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115" yWindow="510" windowWidth="20610" windowHeight="9645" tabRatio="795"/>
  </bookViews>
  <sheets>
    <sheet name="ImportantDisclosures" sheetId="33" r:id="rId1"/>
    <sheet name="MS v Con" sheetId="19" r:id="rId2"/>
    <sheet name="Model" sheetId="5" r:id="rId3"/>
    <sheet name="MW-Cache" sheetId="23" state="veryHidden" r:id="rId4"/>
    <sheet name="Bookings and Drivers" sheetId="6" r:id="rId5"/>
    <sheet name="FX" sheetId="7" r:id="rId6"/>
    <sheet name="Bear DCF" sheetId="27" r:id="rId7"/>
    <sheet name="Base DCF" sheetId="16" r:id="rId8"/>
    <sheet name="Bull DCF" sheetId="26" r:id="rId9"/>
    <sheet name="Outlinks" sheetId="18" r:id="rId10"/>
    <sheet name="IndexInformation" sheetId="34" r:id="rId11"/>
    <sheet name="ModPubIndex" sheetId="35" r:id="rId12"/>
  </sheets>
  <externalReferences>
    <externalReference r:id="rId13"/>
    <externalReference r:id="rId14"/>
    <externalReference r:id="rId15"/>
    <externalReference r:id="rId16"/>
  </externalReferences>
  <definedNames>
    <definedName name="__FDS_HYPERLINK_TOGGLE_STATE__" hidden="1">"ON"</definedName>
    <definedName name="__FDS_UNIQUE_RANGE_ID_GENERATOR_COUNTER" hidden="1">1</definedName>
    <definedName name="_1__FDSAUDITLINK__" localSheetId="1" hidden="1">{"fdsup://directions/FAT Viewer?action=UPDATE&amp;creator=factset&amp;DYN_ARGS=TRUE&amp;DOC_NAME=FAT:FQL_AUDITING_CLIENT_TEMPLATE.FAT&amp;display_string=Audit&amp;VAR:KEY=RUZAXIRCDI&amp;VAR:QUERY=RkZfRUJJVERBX09QRVIoUVRSLDQvMS8yMDA5LDYvMzAvMjAwOSwsLFVTRCk=&amp;WINDOW=FIRST_POPUP&amp;HEIGH","T=450&amp;WIDTH=450&amp;START_MAXIMIZED=FALSE&amp;VAR:CALENDAR=US&amp;VAR:SYMBOL=ZMH&amp;VAR:INDEX=0"}</definedName>
    <definedName name="_1__FDSAUDITLINK__" hidden="1">{"fdsup://directions/FAT Viewer?action=UPDATE&amp;creator=factset&amp;DYN_ARGS=TRUE&amp;DOC_NAME=FAT:FQL_AUDITING_CLIENT_TEMPLATE.FAT&amp;display_string=Audit&amp;VAR:KEY=RUZAXIRCDI&amp;VAR:QUERY=RkZfRUJJVERBX09QRVIoUVRSLDQvMS8yMDA5LDYvMzAvMjAwOSwsLFVTRCk=&amp;WINDOW=FIRST_POPUP&amp;HEIGH","T=450&amp;WIDTH=450&amp;START_MAXIMIZED=FALSE&amp;VAR:CALENDAR=US&amp;VAR:SYMBOL=ZMH&amp;VAR:INDEX=0"}</definedName>
    <definedName name="_10__FDSAUDITLINK__" localSheetId="1"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__FDSAUDITLINK__" hidden="1">{"fdsup://directions/FAT Viewer?action=UPDATE&amp;creator=factset&amp;DYN_ARGS=TRUE&amp;DOC_NAME=FAT:FQL_AUDITING_CLIENT_TEMPLATE.FAT&amp;display_string=Audit&amp;VAR:KEY=ZIZEXWFYJU&amp;VAR:QUERY=RkZfRUJJVERBX09QRVIoUVRSLDQvMS8yMDEwLDYvMzAvMjAxMCwsLFVTRCk=&amp;WINDOW=FIRST_POPUP&amp;HEIGH","T=450&amp;WIDTH=450&amp;START_MAXIMIZED=FALSE&amp;VAR:CALENDAR=US&amp;VAR:SYMBOL=XRX&amp;VAR:INDEX=0"}</definedName>
    <definedName name="_100__FDSAUDITLINK__" localSheetId="1"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__FDSAUDITLINK__" hidden="1">{"fdsup://directions/FAT Viewer?action=UPDATE&amp;creator=factset&amp;DYN_ARGS=TRUE&amp;DOC_NAME=FAT:FQL_AUDITING_CLIENT_TEMPLATE.FAT&amp;display_string=Audit&amp;VAR:KEY=DAXSZEFETQ&amp;VAR:QUERY=RkZfRUJJVERBX09QRVIoUVRSLDQvMS8yMDEwLDYvMzAvMjAxMCwsLFVTRCk=&amp;WINDOW=FIRST_POPUP&amp;HEIGH","T=450&amp;WIDTH=450&amp;START_MAXIMIZED=FALSE&amp;VAR:CALENDAR=US&amp;VAR:SYMBOL=TXN&amp;VAR:INDEX=0"}</definedName>
    <definedName name="_1000__FDSAUDITLINK__" localSheetId="1" hidden="1">{"fdsup://Directions/FactSet Auditing Viewer?action=AUDIT_VALUE&amp;DB=129&amp;ID1=98849810&amp;VALUEID=01001&amp;SDATE=201002&amp;PERIODTYPE=QTR_STD&amp;window=popup_no_bar&amp;width=385&amp;height=120&amp;START_MAXIMIZED=FALSE&amp;creator=factset&amp;display_string=Audit"}</definedName>
    <definedName name="_1000__FDSAUDITLINK__" hidden="1">{"fdsup://Directions/FactSet Auditing Viewer?action=AUDIT_VALUE&amp;DB=129&amp;ID1=98849810&amp;VALUEID=01001&amp;SDATE=201002&amp;PERIODTYPE=QTR_STD&amp;window=popup_no_bar&amp;width=385&amp;height=120&amp;START_MAXIMIZED=FALSE&amp;creator=factset&amp;display_string=Audit"}</definedName>
    <definedName name="_1001__FDSAUDITLINK__" localSheetId="1" hidden="1">{"fdsup://Directions/FactSet Auditing Viewer?action=AUDIT_VALUE&amp;DB=129&amp;ID1=98433210&amp;VALUEID=01001&amp;SDATE=200902&amp;PERIODTYPE=QTR_STD&amp;window=popup_no_bar&amp;width=385&amp;height=120&amp;START_MAXIMIZED=FALSE&amp;creator=factset&amp;display_string=Audit"}</definedName>
    <definedName name="_1001__FDSAUDITLINK__" hidden="1">{"fdsup://Directions/FactSet Auditing Viewer?action=AUDIT_VALUE&amp;DB=129&amp;ID1=98433210&amp;VALUEID=01001&amp;SDATE=200902&amp;PERIODTYPE=QTR_STD&amp;window=popup_no_bar&amp;width=385&amp;height=120&amp;START_MAXIMIZED=FALSE&amp;creator=factset&amp;display_string=Audit"}</definedName>
    <definedName name="_1002__FDSAUDITLINK__" localSheetId="1" hidden="1">{"fdsup://Directions/FactSet Auditing Viewer?action=AUDIT_VALUE&amp;DB=129&amp;ID1=98433210&amp;VALUEID=01001&amp;SDATE=201002&amp;PERIODTYPE=QTR_STD&amp;window=popup_no_bar&amp;width=385&amp;height=120&amp;START_MAXIMIZED=FALSE&amp;creator=factset&amp;display_string=Audit"}</definedName>
    <definedName name="_1002__FDSAUDITLINK__" hidden="1">{"fdsup://Directions/FactSet Auditing Viewer?action=AUDIT_VALUE&amp;DB=129&amp;ID1=98433210&amp;VALUEID=01001&amp;SDATE=201002&amp;PERIODTYPE=QTR_STD&amp;window=popup_no_bar&amp;width=385&amp;height=120&amp;START_MAXIMIZED=FALSE&amp;creator=factset&amp;display_string=Audit"}</definedName>
    <definedName name="_1003__FDSAUDITLINK__" localSheetId="1" hidden="1">{"fdsup://Directions/FactSet Auditing Viewer?action=AUDIT_VALUE&amp;DB=129&amp;ID1=98412110&amp;VALUEID=01001&amp;SDATE=200902&amp;PERIODTYPE=QTR_STD&amp;window=popup_no_bar&amp;width=385&amp;height=120&amp;START_MAXIMIZED=FALSE&amp;creator=factset&amp;display_string=Audit"}</definedName>
    <definedName name="_1003__FDSAUDITLINK__" hidden="1">{"fdsup://Directions/FactSet Auditing Viewer?action=AUDIT_VALUE&amp;DB=129&amp;ID1=98412110&amp;VALUEID=01001&amp;SDATE=200902&amp;PERIODTYPE=QTR_STD&amp;window=popup_no_bar&amp;width=385&amp;height=120&amp;START_MAXIMIZED=FALSE&amp;creator=factset&amp;display_string=Audit"}</definedName>
    <definedName name="_1004__FDSAUDITLINK__" localSheetId="1" hidden="1">{"fdsup://Directions/FactSet Auditing Viewer?action=AUDIT_VALUE&amp;DB=129&amp;ID1=98412110&amp;VALUEID=01001&amp;SDATE=201002&amp;PERIODTYPE=QTR_STD&amp;window=popup_no_bar&amp;width=385&amp;height=120&amp;START_MAXIMIZED=FALSE&amp;creator=factset&amp;display_string=Audit"}</definedName>
    <definedName name="_1004__FDSAUDITLINK__" hidden="1">{"fdsup://Directions/FactSet Auditing Viewer?action=AUDIT_VALUE&amp;DB=129&amp;ID1=98412110&amp;VALUEID=01001&amp;SDATE=201002&amp;PERIODTYPE=QTR_STD&amp;window=popup_no_bar&amp;width=385&amp;height=120&amp;START_MAXIMIZED=FALSE&amp;creator=factset&amp;display_string=Audit"}</definedName>
    <definedName name="_1005__FDSAUDITLINK__" localSheetId="1" hidden="1">{"fdsup://Directions/FactSet Auditing Viewer?action=AUDIT_VALUE&amp;DB=129&amp;ID1=24903010&amp;VALUEID=01001&amp;SDATE=200902&amp;PERIODTYPE=QTR_STD&amp;window=popup_no_bar&amp;width=385&amp;height=120&amp;START_MAXIMIZED=FALSE&amp;creator=factset&amp;display_string=Audit"}</definedName>
    <definedName name="_1005__FDSAUDITLINK__" hidden="1">{"fdsup://Directions/FactSet Auditing Viewer?action=AUDIT_VALUE&amp;DB=129&amp;ID1=24903010&amp;VALUEID=01001&amp;SDATE=200902&amp;PERIODTYPE=QTR_STD&amp;window=popup_no_bar&amp;width=385&amp;height=120&amp;START_MAXIMIZED=FALSE&amp;creator=factset&amp;display_string=Audit"}</definedName>
    <definedName name="_1006__FDSAUDITLINK__" localSheetId="1" hidden="1">{"fdsup://Directions/FactSet Auditing Viewer?action=AUDIT_VALUE&amp;DB=129&amp;ID1=24903010&amp;VALUEID=01001&amp;SDATE=201002&amp;PERIODTYPE=QTR_STD&amp;window=popup_no_bar&amp;width=385&amp;height=120&amp;START_MAXIMIZED=FALSE&amp;creator=factset&amp;display_string=Audit"}</definedName>
    <definedName name="_1006__FDSAUDITLINK__" hidden="1">{"fdsup://Directions/FactSet Auditing Viewer?action=AUDIT_VALUE&amp;DB=129&amp;ID1=24903010&amp;VALUEID=01001&amp;SDATE=201002&amp;PERIODTYPE=QTR_STD&amp;window=popup_no_bar&amp;width=385&amp;height=120&amp;START_MAXIMIZED=FALSE&amp;creator=factset&amp;display_string=Audit"}</definedName>
    <definedName name="_1007__FDSAUDITLINK__" localSheetId="1" hidden="1">{"fdsup://Directions/FactSet Auditing Viewer?action=AUDIT_VALUE&amp;DB=129&amp;ID1=30231G10&amp;VALUEID=01001&amp;SDATE=200902&amp;PERIODTYPE=QTR_STD&amp;window=popup_no_bar&amp;width=385&amp;height=120&amp;START_MAXIMIZED=FALSE&amp;creator=factset&amp;display_string=Audit"}</definedName>
    <definedName name="_1007__FDSAUDITLINK__" hidden="1">{"fdsup://Directions/FactSet Auditing Viewer?action=AUDIT_VALUE&amp;DB=129&amp;ID1=30231G10&amp;VALUEID=01001&amp;SDATE=200902&amp;PERIODTYPE=QTR_STD&amp;window=popup_no_bar&amp;width=385&amp;height=120&amp;START_MAXIMIZED=FALSE&amp;creator=factset&amp;display_string=Audit"}</definedName>
    <definedName name="_1008__FDSAUDITLINK__" localSheetId="1" hidden="1">{"fdsup://Directions/FactSet Auditing Viewer?action=AUDIT_VALUE&amp;DB=129&amp;ID1=30231G10&amp;VALUEID=01001&amp;SDATE=201002&amp;PERIODTYPE=QTR_STD&amp;window=popup_no_bar&amp;width=385&amp;height=120&amp;START_MAXIMIZED=FALSE&amp;creator=factset&amp;display_string=Audit"}</definedName>
    <definedName name="_1008__FDSAUDITLINK__" hidden="1">{"fdsup://Directions/FactSet Auditing Viewer?action=AUDIT_VALUE&amp;DB=129&amp;ID1=30231G10&amp;VALUEID=01001&amp;SDATE=201002&amp;PERIODTYPE=QTR_STD&amp;window=popup_no_bar&amp;width=385&amp;height=120&amp;START_MAXIMIZED=FALSE&amp;creator=factset&amp;display_string=Audit"}</definedName>
    <definedName name="_1009__FDSAUDITLINK__" localSheetId="1" hidden="1">{"fdsup://Directions/FactSet Auditing Viewer?action=AUDIT_VALUE&amp;DB=129&amp;ID1=98391910&amp;VALUEID=01001&amp;SDATE=200901&amp;PERIODTYPE=QTR_STD&amp;window=popup_no_bar&amp;width=385&amp;height=120&amp;START_MAXIMIZED=FALSE&amp;creator=factset&amp;display_string=Audit"}</definedName>
    <definedName name="_1009__FDSAUDITLINK__" hidden="1">{"fdsup://Directions/FactSet Auditing Viewer?action=AUDIT_VALUE&amp;DB=129&amp;ID1=98391910&amp;VALUEID=01001&amp;SDATE=200901&amp;PERIODTYPE=QTR_STD&amp;window=popup_no_bar&amp;width=385&amp;height=120&amp;START_MAXIMIZED=FALSE&amp;creator=factset&amp;display_string=Audit"}</definedName>
    <definedName name="_101__FDSAUDITLINK__" localSheetId="1"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__FDSAUDITLINK__" hidden="1">{"fdsup://directions/FAT Viewer?action=UPDATE&amp;creator=factset&amp;DYN_ARGS=TRUE&amp;DOC_NAME=FAT:FQL_AUDITING_CLIENT_TEMPLATE.FAT&amp;display_string=Audit&amp;VAR:KEY=VSHUVEDCLQ&amp;VAR:QUERY=RkZfRUJJVERBX09QRVIoUVRSLDQvMS8yMDA5LDYvMzAvMjAwOSwsLFVTRCk=&amp;WINDOW=FIRST_POPUP&amp;HEIGH","T=450&amp;WIDTH=450&amp;START_MAXIMIZED=FALSE&amp;VAR:CALENDAR=US&amp;VAR:SYMBOL=TWX&amp;VAR:INDEX=0"}</definedName>
    <definedName name="_1010__FDSAUDITLINK__" localSheetId="1" hidden="1">{"fdsup://Directions/FactSet Auditing Viewer?action=AUDIT_VALUE&amp;DB=129&amp;ID1=98391910&amp;VALUEID=01001&amp;SDATE=201001&amp;PERIODTYPE=QTR_STD&amp;window=popup_no_bar&amp;width=385&amp;height=120&amp;START_MAXIMIZED=FALSE&amp;creator=factset&amp;display_string=Audit"}</definedName>
    <definedName name="_1010__FDSAUDITLINK__" hidden="1">{"fdsup://Directions/FactSet Auditing Viewer?action=AUDIT_VALUE&amp;DB=129&amp;ID1=98391910&amp;VALUEID=01001&amp;SDATE=201001&amp;PERIODTYPE=QTR_STD&amp;window=popup_no_bar&amp;width=385&amp;height=120&amp;START_MAXIMIZED=FALSE&amp;creator=factset&amp;display_string=Audit"}</definedName>
    <definedName name="_1011__FDSAUDITLINK__" localSheetId="1" hidden="1">{"fdsup://Directions/FactSet Auditing Viewer?action=AUDIT_VALUE&amp;DB=129&amp;ID1=G9825510&amp;VALUEID=01001&amp;SDATE=200902&amp;PERIODTYPE=QTR_STD&amp;window=popup_no_bar&amp;width=385&amp;height=120&amp;START_MAXIMIZED=FALSE&amp;creator=factset&amp;display_string=Audit"}</definedName>
    <definedName name="_1011__FDSAUDITLINK__" hidden="1">{"fdsup://Directions/FactSet Auditing Viewer?action=AUDIT_VALUE&amp;DB=129&amp;ID1=G9825510&amp;VALUEID=01001&amp;SDATE=200902&amp;PERIODTYPE=QTR_STD&amp;window=popup_no_bar&amp;width=385&amp;height=120&amp;START_MAXIMIZED=FALSE&amp;creator=factset&amp;display_string=Audit"}</definedName>
    <definedName name="_1012__FDSAUDITLINK__" localSheetId="1" hidden="1">{"fdsup://Directions/FactSet Auditing Viewer?action=AUDIT_VALUE&amp;DB=129&amp;ID1=G9825510&amp;VALUEID=01001&amp;SDATE=201002&amp;PERIODTYPE=QTR_STD&amp;window=popup_no_bar&amp;width=385&amp;height=120&amp;START_MAXIMIZED=FALSE&amp;creator=factset&amp;display_string=Audit"}</definedName>
    <definedName name="_1012__FDSAUDITLINK__" hidden="1">{"fdsup://Directions/FactSet Auditing Viewer?action=AUDIT_VALUE&amp;DB=129&amp;ID1=G9825510&amp;VALUEID=01001&amp;SDATE=201002&amp;PERIODTYPE=QTR_STD&amp;window=popup_no_bar&amp;width=385&amp;height=120&amp;START_MAXIMIZED=FALSE&amp;creator=factset&amp;display_string=Audit"}</definedName>
    <definedName name="_1013__FDSAUDITLINK__" localSheetId="1" hidden="1">{"fdsup://Directions/FactSet Auditing Viewer?action=AUDIT_VALUE&amp;DB=129&amp;ID1=98389B10&amp;VALUEID=01001&amp;SDATE=200902&amp;PERIODTYPE=QTR_STD&amp;window=popup_no_bar&amp;width=385&amp;height=120&amp;START_MAXIMIZED=FALSE&amp;creator=factset&amp;display_string=Audit"}</definedName>
    <definedName name="_1013__FDSAUDITLINK__" hidden="1">{"fdsup://Directions/FactSet Auditing Viewer?action=AUDIT_VALUE&amp;DB=129&amp;ID1=98389B10&amp;VALUEID=01001&amp;SDATE=200902&amp;PERIODTYPE=QTR_STD&amp;window=popup_no_bar&amp;width=385&amp;height=120&amp;START_MAXIMIZED=FALSE&amp;creator=factset&amp;display_string=Audit"}</definedName>
    <definedName name="_1014__FDSAUDITLINK__" localSheetId="1" hidden="1">{"fdsup://Directions/FactSet Auditing Viewer?action=AUDIT_VALUE&amp;DB=129&amp;ID1=98389B10&amp;VALUEID=01001&amp;SDATE=201002&amp;PERIODTYPE=QTR_STD&amp;window=popup_no_bar&amp;width=385&amp;height=120&amp;START_MAXIMIZED=FALSE&amp;creator=factset&amp;display_string=Audit"}</definedName>
    <definedName name="_1014__FDSAUDITLINK__" hidden="1">{"fdsup://Directions/FactSet Auditing Viewer?action=AUDIT_VALUE&amp;DB=129&amp;ID1=98389B10&amp;VALUEID=01001&amp;SDATE=201002&amp;PERIODTYPE=QTR_STD&amp;window=popup_no_bar&amp;width=385&amp;height=120&amp;START_MAXIMIZED=FALSE&amp;creator=factset&amp;display_string=Audit"}</definedName>
    <definedName name="_1015__FDSAUDITLINK__" localSheetId="1" hidden="1">{"fdsup://Directions/FactSet Auditing Viewer?action=AUDIT_VALUE&amp;DB=129&amp;ID1=91290910&amp;VALUEID=01001&amp;SDATE=200902&amp;PERIODTYPE=QTR_STD&amp;window=popup_no_bar&amp;width=385&amp;height=120&amp;START_MAXIMIZED=FALSE&amp;creator=factset&amp;display_string=Audit"}</definedName>
    <definedName name="_1015__FDSAUDITLINK__" hidden="1">{"fdsup://Directions/FactSet Auditing Viewer?action=AUDIT_VALUE&amp;DB=129&amp;ID1=91290910&amp;VALUEID=01001&amp;SDATE=200902&amp;PERIODTYPE=QTR_STD&amp;window=popup_no_bar&amp;width=385&amp;height=120&amp;START_MAXIMIZED=FALSE&amp;creator=factset&amp;display_string=Audit"}</definedName>
    <definedName name="_1016__FDSAUDITLINK__" localSheetId="1" hidden="1">{"fdsup://Directions/FactSet Auditing Viewer?action=AUDIT_VALUE&amp;DB=129&amp;ID1=91290910&amp;VALUEID=01001&amp;SDATE=201002&amp;PERIODTYPE=QTR_STD&amp;window=popup_no_bar&amp;width=385&amp;height=120&amp;START_MAXIMIZED=FALSE&amp;creator=factset&amp;display_string=Audit"}</definedName>
    <definedName name="_1016__FDSAUDITLINK__" hidden="1">{"fdsup://Directions/FactSet Auditing Viewer?action=AUDIT_VALUE&amp;DB=129&amp;ID1=91290910&amp;VALUEID=01001&amp;SDATE=201002&amp;PERIODTYPE=QTR_STD&amp;window=popup_no_bar&amp;width=385&amp;height=120&amp;START_MAXIMIZED=FALSE&amp;creator=factset&amp;display_string=Audit"}</definedName>
    <definedName name="_1017__FDSAUDITLINK__" localSheetId="1" hidden="1">{"fdsup://Directions/FactSet Auditing Viewer?action=AUDIT_VALUE&amp;DB=129&amp;ID1=98313410&amp;VALUEID=01001&amp;SDATE=200902&amp;PERIODTYPE=QTR_STD&amp;window=popup_no_bar&amp;width=385&amp;height=120&amp;START_MAXIMIZED=FALSE&amp;creator=factset&amp;display_string=Audit"}</definedName>
    <definedName name="_1017__FDSAUDITLINK__" hidden="1">{"fdsup://Directions/FactSet Auditing Viewer?action=AUDIT_VALUE&amp;DB=129&amp;ID1=98313410&amp;VALUEID=01001&amp;SDATE=200902&amp;PERIODTYPE=QTR_STD&amp;window=popup_no_bar&amp;width=385&amp;height=120&amp;START_MAXIMIZED=FALSE&amp;creator=factset&amp;display_string=Audit"}</definedName>
    <definedName name="_1018__FDSAUDITLINK__" localSheetId="1" hidden="1">{"fdsup://Directions/FactSet Auditing Viewer?action=AUDIT_VALUE&amp;DB=129&amp;ID1=98313410&amp;VALUEID=01001&amp;SDATE=201002&amp;PERIODTYPE=QTR_STD&amp;window=popup_no_bar&amp;width=385&amp;height=120&amp;START_MAXIMIZED=FALSE&amp;creator=factset&amp;display_string=Audit"}</definedName>
    <definedName name="_1018__FDSAUDITLINK__" hidden="1">{"fdsup://Directions/FactSet Auditing Viewer?action=AUDIT_VALUE&amp;DB=129&amp;ID1=98313410&amp;VALUEID=01001&amp;SDATE=201002&amp;PERIODTYPE=QTR_STD&amp;window=popup_no_bar&amp;width=385&amp;height=120&amp;START_MAXIMIZED=FALSE&amp;creator=factset&amp;display_string=Audit"}</definedName>
    <definedName name="_1019__FDSAUDITLINK__" localSheetId="1" hidden="1">{"fdsup://Directions/FactSet Auditing Viewer?action=AUDIT_VALUE&amp;DB=129&amp;ID1=98310W10&amp;VALUEID=01001&amp;SDATE=200902&amp;PERIODTYPE=QTR_STD&amp;window=popup_no_bar&amp;width=385&amp;height=120&amp;START_MAXIMIZED=FALSE&amp;creator=factset&amp;display_string=Audit"}</definedName>
    <definedName name="_1019__FDSAUDITLINK__" hidden="1">{"fdsup://Directions/FactSet Auditing Viewer?action=AUDIT_VALUE&amp;DB=129&amp;ID1=98310W10&amp;VALUEID=01001&amp;SDATE=200902&amp;PERIODTYPE=QTR_STD&amp;window=popup_no_bar&amp;width=385&amp;height=120&amp;START_MAXIMIZED=FALSE&amp;creator=factset&amp;display_string=Audit"}</definedName>
    <definedName name="_102__FDSAUDITLINK__" localSheetId="1"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__FDSAUDITLINK__" hidden="1">{"fdsup://directions/FAT Viewer?action=UPDATE&amp;creator=factset&amp;DYN_ARGS=TRUE&amp;DOC_NAME=FAT:FQL_AUDITING_CLIENT_TEMPLATE.FAT&amp;display_string=Audit&amp;VAR:KEY=VEVYFMZADC&amp;VAR:QUERY=RkZfRUJJVERBX09QRVIoUVRSLDQvMS8yMDEwLDYvMzAvMjAxMCwsLFVTRCk=&amp;WINDOW=FIRST_POPUP&amp;HEIGH","T=450&amp;WIDTH=450&amp;START_MAXIMIZED=FALSE&amp;VAR:CALENDAR=US&amp;VAR:SYMBOL=TWX&amp;VAR:INDEX=0"}</definedName>
    <definedName name="_1020__FDSAUDITLINK__" localSheetId="1" hidden="1">{"fdsup://Directions/FactSet Auditing Viewer?action=AUDIT_VALUE&amp;DB=129&amp;ID1=98310W10&amp;VALUEID=01001&amp;SDATE=201002&amp;PERIODTYPE=QTR_STD&amp;window=popup_no_bar&amp;width=385&amp;height=120&amp;START_MAXIMIZED=FALSE&amp;creator=factset&amp;display_string=Audit"}</definedName>
    <definedName name="_1020__FDSAUDITLINK__" hidden="1">{"fdsup://Directions/FactSet Auditing Viewer?action=AUDIT_VALUE&amp;DB=129&amp;ID1=98310W10&amp;VALUEID=01001&amp;SDATE=201002&amp;PERIODTYPE=QTR_STD&amp;window=popup_no_bar&amp;width=385&amp;height=120&amp;START_MAXIMIZED=FALSE&amp;creator=factset&amp;display_string=Audit"}</definedName>
    <definedName name="_1021__FDSAUDITLINK__" localSheetId="1" hidden="1">{"fdsup://Directions/FactSet Auditing Viewer?action=AUDIT_VALUE&amp;DB=129&amp;ID1=96216610&amp;VALUEID=01001&amp;SDATE=200902&amp;PERIODTYPE=QTR_STD&amp;window=popup_no_bar&amp;width=385&amp;height=120&amp;START_MAXIMIZED=FALSE&amp;creator=factset&amp;display_string=Audit"}</definedName>
    <definedName name="_1021__FDSAUDITLINK__" hidden="1">{"fdsup://Directions/FactSet Auditing Viewer?action=AUDIT_VALUE&amp;DB=129&amp;ID1=96216610&amp;VALUEID=01001&amp;SDATE=200902&amp;PERIODTYPE=QTR_STD&amp;window=popup_no_bar&amp;width=385&amp;height=120&amp;START_MAXIMIZED=FALSE&amp;creator=factset&amp;display_string=Audit"}</definedName>
    <definedName name="_1022__FDSAUDITLINK__" localSheetId="1" hidden="1">{"fdsup://Directions/FactSet Auditing Viewer?action=AUDIT_VALUE&amp;DB=129&amp;ID1=96216610&amp;VALUEID=01001&amp;SDATE=201002&amp;PERIODTYPE=QTR_STD&amp;window=popup_no_bar&amp;width=385&amp;height=120&amp;START_MAXIMIZED=FALSE&amp;creator=factset&amp;display_string=Audit"}</definedName>
    <definedName name="_1022__FDSAUDITLINK__" hidden="1">{"fdsup://Directions/FactSet Auditing Viewer?action=AUDIT_VALUE&amp;DB=129&amp;ID1=96216610&amp;VALUEID=01001&amp;SDATE=201002&amp;PERIODTYPE=QTR_STD&amp;window=popup_no_bar&amp;width=385&amp;height=120&amp;START_MAXIMIZED=FALSE&amp;creator=factset&amp;display_string=Audit"}</definedName>
    <definedName name="_1023__FDSAUDITLINK__" localSheetId="1" hidden="1">{"fdsup://Directions/FactSet Auditing Viewer?action=AUDIT_VALUE&amp;DB=129&amp;ID1=95980210&amp;VALUEID=01001&amp;SDATE=200902&amp;PERIODTYPE=QTR_STD&amp;window=popup_no_bar&amp;width=385&amp;height=120&amp;START_MAXIMIZED=FALSE&amp;creator=factset&amp;display_string=Audit"}</definedName>
    <definedName name="_1023__FDSAUDITLINK__" hidden="1">{"fdsup://Directions/FactSet Auditing Viewer?action=AUDIT_VALUE&amp;DB=129&amp;ID1=95980210&amp;VALUEID=01001&amp;SDATE=200902&amp;PERIODTYPE=QTR_STD&amp;window=popup_no_bar&amp;width=385&amp;height=120&amp;START_MAXIMIZED=FALSE&amp;creator=factset&amp;display_string=Audit"}</definedName>
    <definedName name="_1024__FDSAUDITLINK__" localSheetId="1" hidden="1">{"fdsup://Directions/FactSet Auditing Viewer?action=AUDIT_VALUE&amp;DB=129&amp;ID1=95980210&amp;VALUEID=01001&amp;SDATE=201002&amp;PERIODTYPE=QTR_STD&amp;window=popup_no_bar&amp;width=385&amp;height=120&amp;START_MAXIMIZED=FALSE&amp;creator=factset&amp;display_string=Audit"}</definedName>
    <definedName name="_1024__FDSAUDITLINK__" hidden="1">{"fdsup://Directions/FactSet Auditing Viewer?action=AUDIT_VALUE&amp;DB=129&amp;ID1=95980210&amp;VALUEID=01001&amp;SDATE=201002&amp;PERIODTYPE=QTR_STD&amp;window=popup_no_bar&amp;width=385&amp;height=120&amp;START_MAXIMIZED=FALSE&amp;creator=factset&amp;display_string=Audit"}</definedName>
    <definedName name="_1025__FDSAUDITLINK__" localSheetId="1" hidden="1">{"fdsup://Directions/FactSet Auditing Viewer?action=AUDIT_VALUE&amp;DB=129&amp;ID1=93964010&amp;VALUEID=01001&amp;SDATE=200902&amp;PERIODTYPE=QTR_STD&amp;window=popup_no_bar&amp;width=385&amp;height=120&amp;START_MAXIMIZED=FALSE&amp;creator=factset&amp;display_string=Audit"}</definedName>
    <definedName name="_1025__FDSAUDITLINK__" hidden="1">{"fdsup://Directions/FactSet Auditing Viewer?action=AUDIT_VALUE&amp;DB=129&amp;ID1=93964010&amp;VALUEID=01001&amp;SDATE=200902&amp;PERIODTYPE=QTR_STD&amp;window=popup_no_bar&amp;width=385&amp;height=120&amp;START_MAXIMIZED=FALSE&amp;creator=factset&amp;display_string=Audit"}</definedName>
    <definedName name="_1026__FDSAUDITLINK__" localSheetId="1" hidden="1">{"fdsup://Directions/FactSet Auditing Viewer?action=AUDIT_VALUE&amp;DB=129&amp;ID1=93964010&amp;VALUEID=01001&amp;SDATE=201002&amp;PERIODTYPE=QTR_STD&amp;window=popup_no_bar&amp;width=385&amp;height=120&amp;START_MAXIMIZED=FALSE&amp;creator=factset&amp;display_string=Audit"}</definedName>
    <definedName name="_1026__FDSAUDITLINK__" hidden="1">{"fdsup://Directions/FactSet Auditing Viewer?action=AUDIT_VALUE&amp;DB=129&amp;ID1=93964010&amp;VALUEID=01001&amp;SDATE=201002&amp;PERIODTYPE=QTR_STD&amp;window=popup_no_bar&amp;width=385&amp;height=120&amp;START_MAXIMIZED=FALSE&amp;creator=factset&amp;display_string=Audit"}</definedName>
    <definedName name="_1027__FDSAUDITLINK__" localSheetId="1" hidden="1">{"fdsup://Directions/FactSet Auditing Viewer?action=AUDIT_VALUE&amp;DB=129&amp;ID1=94268310&amp;VALUEID=01001&amp;SDATE=200902&amp;PERIODTYPE=QTR_STD&amp;window=popup_no_bar&amp;width=385&amp;height=120&amp;START_MAXIMIZED=FALSE&amp;creator=factset&amp;display_string=Audit"}</definedName>
    <definedName name="_1027__FDSAUDITLINK__" hidden="1">{"fdsup://Directions/FactSet Auditing Viewer?action=AUDIT_VALUE&amp;DB=129&amp;ID1=94268310&amp;VALUEID=01001&amp;SDATE=200902&amp;PERIODTYPE=QTR_STD&amp;window=popup_no_bar&amp;width=385&amp;height=120&amp;START_MAXIMIZED=FALSE&amp;creator=factset&amp;display_string=Audit"}</definedName>
    <definedName name="_1028__FDSAUDITLINK__" localSheetId="1" hidden="1">{"fdsup://Directions/FactSet Auditing Viewer?action=AUDIT_VALUE&amp;DB=129&amp;ID1=94268310&amp;VALUEID=01001&amp;SDATE=201002&amp;PERIODTYPE=QTR_STD&amp;window=popup_no_bar&amp;width=385&amp;height=120&amp;START_MAXIMIZED=FALSE&amp;creator=factset&amp;display_string=Audit"}</definedName>
    <definedName name="_1028__FDSAUDITLINK__" hidden="1">{"fdsup://Directions/FactSet Auditing Viewer?action=AUDIT_VALUE&amp;DB=129&amp;ID1=94268310&amp;VALUEID=01001&amp;SDATE=201002&amp;PERIODTYPE=QTR_STD&amp;window=popup_no_bar&amp;width=385&amp;height=120&amp;START_MAXIMIZED=FALSE&amp;creator=factset&amp;display_string=Audit"}</definedName>
    <definedName name="_1029__FDSAUDITLINK__" localSheetId="1" hidden="1">{"fdsup://Directions/FactSet Auditing Viewer?action=AUDIT_VALUE&amp;DB=129&amp;ID1=93114210&amp;VALUEID=01001&amp;SDATE=200901&amp;PERIODTYPE=QTR_STD&amp;window=popup_no_bar&amp;width=385&amp;height=120&amp;START_MAXIMIZED=FALSE&amp;creator=factset&amp;display_string=Audit"}</definedName>
    <definedName name="_1029__FDSAUDITLINK__" hidden="1">{"fdsup://Directions/FactSet Auditing Viewer?action=AUDIT_VALUE&amp;DB=129&amp;ID1=93114210&amp;VALUEID=01001&amp;SDATE=200901&amp;PERIODTYPE=QTR_STD&amp;window=popup_no_bar&amp;width=385&amp;height=120&amp;START_MAXIMIZED=FALSE&amp;creator=factset&amp;display_string=Audit"}</definedName>
    <definedName name="_103__FDSAUDITLINK__" localSheetId="1"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__FDSAUDITLINK__" hidden="1">{"fdsup://directions/FAT Viewer?action=UPDATE&amp;creator=factset&amp;DYN_ARGS=TRUE&amp;DOC_NAME=FAT:FQL_AUDITING_CLIENT_TEMPLATE.FAT&amp;display_string=Audit&amp;VAR:KEY=NWLUTQJCZQ&amp;VAR:QUERY=RkZfRUJJVERBX09QRVIoUVRSLDQvMS8yMDA5LDYvMzAvMjAwOSwsLFVTRCk=&amp;WINDOW=FIRST_POPUP&amp;HEIGH","T=450&amp;WIDTH=450&amp;START_MAXIMIZED=FALSE&amp;VAR:CALENDAR=US&amp;VAR:SYMBOL=TWC&amp;VAR:INDEX=0"}</definedName>
    <definedName name="_1030__FDSAUDITLINK__" localSheetId="1" hidden="1">{"fdsup://Directions/FactSet Auditing Viewer?action=AUDIT_VALUE&amp;DB=129&amp;ID1=93114210&amp;VALUEID=01001&amp;SDATE=201001&amp;PERIODTYPE=QTR_STD&amp;window=popup_no_bar&amp;width=385&amp;height=120&amp;START_MAXIMIZED=FALSE&amp;creator=factset&amp;display_string=Audit"}</definedName>
    <definedName name="_1030__FDSAUDITLINK__" hidden="1">{"fdsup://Directions/FactSet Auditing Viewer?action=AUDIT_VALUE&amp;DB=129&amp;ID1=93114210&amp;VALUEID=01001&amp;SDATE=201001&amp;PERIODTYPE=QTR_STD&amp;window=popup_no_bar&amp;width=385&amp;height=120&amp;START_MAXIMIZED=FALSE&amp;creator=factset&amp;display_string=Audit"}</definedName>
    <definedName name="_1031__FDSAUDITLINK__" localSheetId="1" hidden="1">{"fdsup://Directions/FactSet Auditing Viewer?action=AUDIT_VALUE&amp;DB=129&amp;ID1=96945710&amp;VALUEID=01001&amp;SDATE=200902&amp;PERIODTYPE=QTR_STD&amp;window=popup_no_bar&amp;width=385&amp;height=120&amp;START_MAXIMIZED=FALSE&amp;creator=factset&amp;display_string=Audit"}</definedName>
    <definedName name="_1031__FDSAUDITLINK__" hidden="1">{"fdsup://Directions/FactSet Auditing Viewer?action=AUDIT_VALUE&amp;DB=129&amp;ID1=96945710&amp;VALUEID=01001&amp;SDATE=200902&amp;PERIODTYPE=QTR_STD&amp;window=popup_no_bar&amp;width=385&amp;height=120&amp;START_MAXIMIZED=FALSE&amp;creator=factset&amp;display_string=Audit"}</definedName>
    <definedName name="_1032__FDSAUDITLINK__" localSheetId="1" hidden="1">{"fdsup://Directions/FactSet Auditing Viewer?action=AUDIT_VALUE&amp;DB=129&amp;ID1=96945710&amp;VALUEID=01001&amp;SDATE=201002&amp;PERIODTYPE=QTR_STD&amp;window=popup_no_bar&amp;width=385&amp;height=120&amp;START_MAXIMIZED=FALSE&amp;creator=factset&amp;display_string=Audit"}</definedName>
    <definedName name="_1032__FDSAUDITLINK__" hidden="1">{"fdsup://Directions/FactSet Auditing Viewer?action=AUDIT_VALUE&amp;DB=129&amp;ID1=96945710&amp;VALUEID=01001&amp;SDATE=201002&amp;PERIODTYPE=QTR_STD&amp;window=popup_no_bar&amp;width=385&amp;height=120&amp;START_MAXIMIZED=FALSE&amp;creator=factset&amp;display_string=Audit"}</definedName>
    <definedName name="_1033__FDSAUDITLINK__" localSheetId="1" hidden="1">{"fdsup://Directions/FactSet Auditing Viewer?action=AUDIT_VALUE&amp;DB=129&amp;ID1=94106L10&amp;VALUEID=01001&amp;SDATE=200902&amp;PERIODTYPE=QTR_STD&amp;window=popup_no_bar&amp;width=385&amp;height=120&amp;START_MAXIMIZED=FALSE&amp;creator=factset&amp;display_string=Audit"}</definedName>
    <definedName name="_1033__FDSAUDITLINK__" hidden="1">{"fdsup://Directions/FactSet Auditing Viewer?action=AUDIT_VALUE&amp;DB=129&amp;ID1=94106L10&amp;VALUEID=01001&amp;SDATE=200902&amp;PERIODTYPE=QTR_STD&amp;window=popup_no_bar&amp;width=385&amp;height=120&amp;START_MAXIMIZED=FALSE&amp;creator=factset&amp;display_string=Audit"}</definedName>
    <definedName name="_1034__FDSAUDITLINK__" localSheetId="1" hidden="1">{"fdsup://Directions/FactSet Auditing Viewer?action=AUDIT_VALUE&amp;DB=129&amp;ID1=94106L10&amp;VALUEID=01001&amp;SDATE=201002&amp;PERIODTYPE=QTR_STD&amp;window=popup_no_bar&amp;width=385&amp;height=120&amp;START_MAXIMIZED=FALSE&amp;creator=factset&amp;display_string=Audit"}</definedName>
    <definedName name="_1034__FDSAUDITLINK__" hidden="1">{"fdsup://Directions/FactSet Auditing Viewer?action=AUDIT_VALUE&amp;DB=129&amp;ID1=94106L10&amp;VALUEID=01001&amp;SDATE=201002&amp;PERIODTYPE=QTR_STD&amp;window=popup_no_bar&amp;width=385&amp;height=120&amp;START_MAXIMIZED=FALSE&amp;creator=factset&amp;display_string=Audit"}</definedName>
    <definedName name="_1035__FDSAUDITLINK__" localSheetId="1" hidden="1">{"fdsup://Directions/FactSet Auditing Viewer?action=AUDIT_VALUE&amp;DB=129&amp;ID1=94973V10&amp;VALUEID=01001&amp;SDATE=200902&amp;PERIODTYPE=QTR_STD&amp;window=popup_no_bar&amp;width=385&amp;height=120&amp;START_MAXIMIZED=FALSE&amp;creator=factset&amp;display_string=Audit"}</definedName>
    <definedName name="_1035__FDSAUDITLINK__" hidden="1">{"fdsup://Directions/FactSet Auditing Viewer?action=AUDIT_VALUE&amp;DB=129&amp;ID1=94973V10&amp;VALUEID=01001&amp;SDATE=200902&amp;PERIODTYPE=QTR_STD&amp;window=popup_no_bar&amp;width=385&amp;height=120&amp;START_MAXIMIZED=FALSE&amp;creator=factset&amp;display_string=Audit"}</definedName>
    <definedName name="_1036__FDSAUDITLINK__" localSheetId="1" hidden="1">{"fdsup://Directions/FactSet Auditing Viewer?action=AUDIT_VALUE&amp;DB=129&amp;ID1=94973V10&amp;VALUEID=01001&amp;SDATE=201002&amp;PERIODTYPE=QTR_STD&amp;window=popup_no_bar&amp;width=385&amp;height=120&amp;START_MAXIMIZED=FALSE&amp;creator=factset&amp;display_string=Audit"}</definedName>
    <definedName name="_1036__FDSAUDITLINK__" hidden="1">{"fdsup://Directions/FactSet Auditing Viewer?action=AUDIT_VALUE&amp;DB=129&amp;ID1=94973V10&amp;VALUEID=01001&amp;SDATE=201002&amp;PERIODTYPE=QTR_STD&amp;window=popup_no_bar&amp;width=385&amp;height=120&amp;START_MAXIMIZED=FALSE&amp;creator=factset&amp;display_string=Audit"}</definedName>
    <definedName name="_1037__FDSAUDITLINK__" localSheetId="1" hidden="1">{"fdsup://Directions/FactSet Auditing Viewer?action=AUDIT_VALUE&amp;DB=129&amp;ID1=97381W10&amp;VALUEID=01001&amp;SDATE=200902&amp;PERIODTYPE=QTR_STD&amp;window=popup_no_bar&amp;width=385&amp;height=120&amp;START_MAXIMIZED=FALSE&amp;creator=factset&amp;display_string=Audit"}</definedName>
    <definedName name="_1037__FDSAUDITLINK__" hidden="1">{"fdsup://Directions/FactSet Auditing Viewer?action=AUDIT_VALUE&amp;DB=129&amp;ID1=97381W10&amp;VALUEID=01001&amp;SDATE=200902&amp;PERIODTYPE=QTR_STD&amp;window=popup_no_bar&amp;width=385&amp;height=120&amp;START_MAXIMIZED=FALSE&amp;creator=factset&amp;display_string=Audit"}</definedName>
    <definedName name="_1038__FDSAUDITLINK__" localSheetId="1" hidden="1">{"fdsup://Directions/FactSet Auditing Viewer?action=AUDIT_VALUE&amp;DB=129&amp;ID1=97381W10&amp;VALUEID=01001&amp;SDATE=201002&amp;PERIODTYPE=QTR_STD&amp;window=popup_no_bar&amp;width=385&amp;height=120&amp;START_MAXIMIZED=FALSE&amp;creator=factset&amp;display_string=Audit"}</definedName>
    <definedName name="_1038__FDSAUDITLINK__" hidden="1">{"fdsup://Directions/FactSet Auditing Viewer?action=AUDIT_VALUE&amp;DB=129&amp;ID1=97381W10&amp;VALUEID=01001&amp;SDATE=201002&amp;PERIODTYPE=QTR_STD&amp;window=popup_no_bar&amp;width=385&amp;height=120&amp;START_MAXIMIZED=FALSE&amp;creator=factset&amp;display_string=Audit"}</definedName>
    <definedName name="_1039__FDSAUDITLINK__" localSheetId="1" hidden="1">{"fdsup://Directions/FactSet Auditing Viewer?action=AUDIT_VALUE&amp;DB=129&amp;ID1=96332010&amp;VALUEID=01001&amp;SDATE=200902&amp;PERIODTYPE=QTR_STD&amp;window=popup_no_bar&amp;width=385&amp;height=120&amp;START_MAXIMIZED=FALSE&amp;creator=factset&amp;display_string=Audit"}</definedName>
    <definedName name="_1039__FDSAUDITLINK__" hidden="1">{"fdsup://Directions/FactSet Auditing Viewer?action=AUDIT_VALUE&amp;DB=129&amp;ID1=96332010&amp;VALUEID=01001&amp;SDATE=200902&amp;PERIODTYPE=QTR_STD&amp;window=popup_no_bar&amp;width=385&amp;height=120&amp;START_MAXIMIZED=FALSE&amp;creator=factset&amp;display_string=Audit"}</definedName>
    <definedName name="_104__FDSAUDITLINK__" localSheetId="1"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__FDSAUDITLINK__" hidden="1">{"fdsup://directions/FAT Viewer?action=UPDATE&amp;creator=factset&amp;DYN_ARGS=TRUE&amp;DOC_NAME=FAT:FQL_AUDITING_CLIENT_TEMPLATE.FAT&amp;display_string=Audit&amp;VAR:KEY=VQXYZCDERU&amp;VAR:QUERY=RkZfRUJJVERBX09QRVIoUVRSLDQvMS8yMDEwLDYvMzAvMjAxMCwsLFVTRCk=&amp;WINDOW=FIRST_POPUP&amp;HEIGH","T=450&amp;WIDTH=450&amp;START_MAXIMIZED=FALSE&amp;VAR:CALENDAR=US&amp;VAR:SYMBOL=TWC&amp;VAR:INDEX=0"}</definedName>
    <definedName name="_1040__FDSAUDITLINK__" localSheetId="1" hidden="1">{"fdsup://Directions/FactSet Auditing Viewer?action=AUDIT_VALUE&amp;DB=129&amp;ID1=96332010&amp;VALUEID=01001&amp;SDATE=201002&amp;PERIODTYPE=QTR_STD&amp;window=popup_no_bar&amp;width=385&amp;height=120&amp;START_MAXIMIZED=FALSE&amp;creator=factset&amp;display_string=Audit"}</definedName>
    <definedName name="_1040__FDSAUDITLINK__" hidden="1">{"fdsup://Directions/FactSet Auditing Viewer?action=AUDIT_VALUE&amp;DB=129&amp;ID1=96332010&amp;VALUEID=01001&amp;SDATE=201002&amp;PERIODTYPE=QTR_STD&amp;window=popup_no_bar&amp;width=385&amp;height=120&amp;START_MAXIMIZED=FALSE&amp;creator=factset&amp;display_string=Audit"}</definedName>
    <definedName name="_1041__FDSAUDITLINK__" localSheetId="1" hidden="1">{"fdsup://Directions/FactSet Auditing Viewer?action=AUDIT_VALUE&amp;DB=129&amp;ID1=55271510&amp;VALUEID=01001&amp;SDATE=200902&amp;PERIODTYPE=QTR_STD&amp;window=popup_no_bar&amp;width=385&amp;height=120&amp;START_MAXIMIZED=FALSE&amp;creator=factset&amp;display_string=Audit"}</definedName>
    <definedName name="_1041__FDSAUDITLINK__" hidden="1">{"fdsup://Directions/FactSet Auditing Viewer?action=AUDIT_VALUE&amp;DB=129&amp;ID1=55271510&amp;VALUEID=01001&amp;SDATE=200902&amp;PERIODTYPE=QTR_STD&amp;window=popup_no_bar&amp;width=385&amp;height=120&amp;START_MAXIMIZED=FALSE&amp;creator=factset&amp;display_string=Audit"}</definedName>
    <definedName name="_1042__FDSAUDITLINK__" localSheetId="1" hidden="1">{"fdsup://Directions/FactSet Auditing Viewer?action=AUDIT_VALUE&amp;DB=129&amp;ID1=55271510&amp;VALUEID=01001&amp;SDATE=201002&amp;PERIODTYPE=QTR_STD&amp;window=popup_no_bar&amp;width=385&amp;height=120&amp;START_MAXIMIZED=FALSE&amp;creator=factset&amp;display_string=Audit"}</definedName>
    <definedName name="_1042__FDSAUDITLINK__" hidden="1">{"fdsup://Directions/FactSet Auditing Viewer?action=AUDIT_VALUE&amp;DB=129&amp;ID1=55271510&amp;VALUEID=01001&amp;SDATE=201002&amp;PERIODTYPE=QTR_STD&amp;window=popup_no_bar&amp;width=385&amp;height=120&amp;START_MAXIMIZED=FALSE&amp;creator=factset&amp;display_string=Audit"}</definedName>
    <definedName name="_1043__FDSAUDITLINK__" localSheetId="1" hidden="1">{"fdsup://Directions/FactSet Auditing Viewer?action=AUDIT_VALUE&amp;DB=129&amp;ID1=96683710&amp;VALUEID=01001&amp;SDATE=200902&amp;PERIODTYPE=QTR_STD&amp;window=popup_no_bar&amp;width=385&amp;height=120&amp;START_MAXIMIZED=FALSE&amp;creator=factset&amp;display_string=Audit"}</definedName>
    <definedName name="_1043__FDSAUDITLINK__" hidden="1">{"fdsup://Directions/FactSet Auditing Viewer?action=AUDIT_VALUE&amp;DB=129&amp;ID1=96683710&amp;VALUEID=01001&amp;SDATE=200902&amp;PERIODTYPE=QTR_STD&amp;window=popup_no_bar&amp;width=385&amp;height=120&amp;START_MAXIMIZED=FALSE&amp;creator=factset&amp;display_string=Audit"}</definedName>
    <definedName name="_1044__FDSAUDITLINK__" localSheetId="1" hidden="1">{"fdsup://Directions/FactSet Auditing Viewer?action=AUDIT_VALUE&amp;DB=129&amp;ID1=96683710&amp;VALUEID=01001&amp;SDATE=201002&amp;PERIODTYPE=QTR_STD&amp;window=popup_no_bar&amp;width=385&amp;height=120&amp;START_MAXIMIZED=FALSE&amp;creator=factset&amp;display_string=Audit"}</definedName>
    <definedName name="_1044__FDSAUDITLINK__" hidden="1">{"fdsup://Directions/FactSet Auditing Viewer?action=AUDIT_VALUE&amp;DB=129&amp;ID1=96683710&amp;VALUEID=01001&amp;SDATE=201002&amp;PERIODTYPE=QTR_STD&amp;window=popup_no_bar&amp;width=385&amp;height=120&amp;START_MAXIMIZED=FALSE&amp;creator=factset&amp;display_string=Audit"}</definedName>
    <definedName name="_1045__FDSAUDITLINK__" localSheetId="1" hidden="1">{"fdsup://Directions/FactSet Auditing Viewer?action=AUDIT_VALUE&amp;DB=129&amp;ID1=97665710&amp;VALUEID=01001&amp;SDATE=200902&amp;PERIODTYPE=QTR_STD&amp;window=popup_no_bar&amp;width=385&amp;height=120&amp;START_MAXIMIZED=FALSE&amp;creator=factset&amp;display_string=Audit"}</definedName>
    <definedName name="_1045__FDSAUDITLINK__" hidden="1">{"fdsup://Directions/FactSet Auditing Viewer?action=AUDIT_VALUE&amp;DB=129&amp;ID1=97665710&amp;VALUEID=01001&amp;SDATE=200902&amp;PERIODTYPE=QTR_STD&amp;window=popup_no_bar&amp;width=385&amp;height=120&amp;START_MAXIMIZED=FALSE&amp;creator=factset&amp;display_string=Audit"}</definedName>
    <definedName name="_1046__FDSAUDITLINK__" localSheetId="1" hidden="1">{"fdsup://Directions/FactSet Auditing Viewer?action=AUDIT_VALUE&amp;DB=129&amp;ID1=97665710&amp;VALUEID=01001&amp;SDATE=201002&amp;PERIODTYPE=QTR_STD&amp;window=popup_no_bar&amp;width=385&amp;height=120&amp;START_MAXIMIZED=FALSE&amp;creator=factset&amp;display_string=Audit"}</definedName>
    <definedName name="_1046__FDSAUDITLINK__" hidden="1">{"fdsup://Directions/FactSet Auditing Viewer?action=AUDIT_VALUE&amp;DB=129&amp;ID1=97665710&amp;VALUEID=01001&amp;SDATE=201002&amp;PERIODTYPE=QTR_STD&amp;window=popup_no_bar&amp;width=385&amp;height=120&amp;START_MAXIMIZED=FALSE&amp;creator=factset&amp;display_string=Audit"}</definedName>
    <definedName name="_1047__FDSAUDITLINK__" localSheetId="1" hidden="1">{"fdsup://Directions/FactSet Auditing Viewer?action=AUDIT_VALUE&amp;DB=129&amp;ID1=95810210&amp;VALUEID=01001&amp;SDATE=200904&amp;PERIODTYPE=QTR_STD&amp;window=popup_no_bar&amp;width=385&amp;height=120&amp;START_MAXIMIZED=FALSE&amp;creator=factset&amp;display_string=Audit"}</definedName>
    <definedName name="_1047__FDSAUDITLINK__" hidden="1">{"fdsup://Directions/FactSet Auditing Viewer?action=AUDIT_VALUE&amp;DB=129&amp;ID1=95810210&amp;VALUEID=01001&amp;SDATE=200904&amp;PERIODTYPE=QTR_STD&amp;window=popup_no_bar&amp;width=385&amp;height=120&amp;START_MAXIMIZED=FALSE&amp;creator=factset&amp;display_string=Audit"}</definedName>
    <definedName name="_1048__FDSAUDITLINK__" localSheetId="1" hidden="1">{"fdsup://Directions/FactSet Auditing Viewer?action=AUDIT_VALUE&amp;DB=129&amp;ID1=95810210&amp;VALUEID=01001&amp;SDATE=201004&amp;PERIODTYPE=QTR_STD&amp;window=popup_no_bar&amp;width=385&amp;height=120&amp;START_MAXIMIZED=FALSE&amp;creator=factset&amp;display_string=Audit"}</definedName>
    <definedName name="_1048__FDSAUDITLINK__" hidden="1">{"fdsup://Directions/FactSet Auditing Viewer?action=AUDIT_VALUE&amp;DB=129&amp;ID1=95810210&amp;VALUEID=01001&amp;SDATE=201004&amp;PERIODTYPE=QTR_STD&amp;window=popup_no_bar&amp;width=385&amp;height=120&amp;START_MAXIMIZED=FALSE&amp;creator=factset&amp;display_string=Audit"}</definedName>
    <definedName name="_1049__FDSAUDITLINK__" localSheetId="1" hidden="1">{"fdsup://Directions/FactSet Auditing Viewer?action=AUDIT_VALUE&amp;DB=129&amp;ID1=94184810&amp;VALUEID=01001&amp;SDATE=200902&amp;PERIODTYPE=QTR_STD&amp;window=popup_no_bar&amp;width=385&amp;height=120&amp;START_MAXIMIZED=FALSE&amp;creator=factset&amp;display_string=Audit"}</definedName>
    <definedName name="_1049__FDSAUDITLINK__" hidden="1">{"fdsup://Directions/FactSet Auditing Viewer?action=AUDIT_VALUE&amp;DB=129&amp;ID1=94184810&amp;VALUEID=01001&amp;SDATE=200902&amp;PERIODTYPE=QTR_STD&amp;window=popup_no_bar&amp;width=385&amp;height=120&amp;START_MAXIMIZED=FALSE&amp;creator=factset&amp;display_string=Audit"}</definedName>
    <definedName name="_105__FDSAUDITLINK__" localSheetId="1"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__FDSAUDITLINK__" hidden="1">{"fdsup://directions/FAT Viewer?action=UPDATE&amp;creator=factset&amp;DYN_ARGS=TRUE&amp;DOC_NAME=FAT:FQL_AUDITING_CLIENT_TEMPLATE.FAT&amp;display_string=Audit&amp;VAR:KEY=ZWPSTCJEBS&amp;VAR:QUERY=RkZfRUJJVERBX09QRVIoUVRSLDQvMS8yMDA5LDYvMzAvMjAwOSwsLFVTRCk=&amp;WINDOW=FIRST_POPUP&amp;HEIGH","T=450&amp;WIDTH=450&amp;START_MAXIMIZED=FALSE&amp;VAR:CALENDAR=US&amp;VAR:SYMBOL=TSS&amp;VAR:INDEX=0"}</definedName>
    <definedName name="_1050__FDSAUDITLINK__" localSheetId="1" hidden="1">{"fdsup://Directions/FactSet Auditing Viewer?action=AUDIT_VALUE&amp;DB=129&amp;ID1=94184810&amp;VALUEID=01001&amp;SDATE=201002&amp;PERIODTYPE=QTR_STD&amp;window=popup_no_bar&amp;width=385&amp;height=120&amp;START_MAXIMIZED=FALSE&amp;creator=factset&amp;display_string=Audit"}</definedName>
    <definedName name="_1050__FDSAUDITLINK__" hidden="1">{"fdsup://Directions/FactSet Auditing Viewer?action=AUDIT_VALUE&amp;DB=129&amp;ID1=94184810&amp;VALUEID=01001&amp;SDATE=201002&amp;PERIODTYPE=QTR_STD&amp;window=popup_no_bar&amp;width=385&amp;height=120&amp;START_MAXIMIZED=FALSE&amp;creator=factset&amp;display_string=Audit"}</definedName>
    <definedName name="_1051__FDSAUDITLINK__" localSheetId="1" hidden="1">{"fdsup://Directions/FactSet Auditing Viewer?action=AUDIT_VALUE&amp;DB=129&amp;ID1=93142210&amp;VALUEID=01001&amp;SDATE=200903&amp;PERIODTYPE=QTR_STD&amp;window=popup_no_bar&amp;width=385&amp;height=120&amp;START_MAXIMIZED=FALSE&amp;creator=factset&amp;display_string=Audit"}</definedName>
    <definedName name="_1051__FDSAUDITLINK__" hidden="1">{"fdsup://Directions/FactSet Auditing Viewer?action=AUDIT_VALUE&amp;DB=129&amp;ID1=93142210&amp;VALUEID=01001&amp;SDATE=200903&amp;PERIODTYPE=QTR_STD&amp;window=popup_no_bar&amp;width=385&amp;height=120&amp;START_MAXIMIZED=FALSE&amp;creator=factset&amp;display_string=Audit"}</definedName>
    <definedName name="_1052__FDSAUDITLINK__" localSheetId="1" hidden="1">{"fdsup://Directions/FactSet Auditing Viewer?action=AUDIT_VALUE&amp;DB=129&amp;ID1=93142210&amp;VALUEID=01001&amp;SDATE=201003&amp;PERIODTYPE=QTR_STD&amp;window=popup_no_bar&amp;width=385&amp;height=120&amp;START_MAXIMIZED=FALSE&amp;creator=factset&amp;display_string=Audit"}</definedName>
    <definedName name="_1052__FDSAUDITLINK__" hidden="1">{"fdsup://Directions/FactSet Auditing Viewer?action=AUDIT_VALUE&amp;DB=129&amp;ID1=93142210&amp;VALUEID=01001&amp;SDATE=201003&amp;PERIODTYPE=QTR_STD&amp;window=popup_no_bar&amp;width=385&amp;height=120&amp;START_MAXIMIZED=FALSE&amp;creator=factset&amp;display_string=Audit"}</definedName>
    <definedName name="_1053__FDSAUDITLINK__" localSheetId="1" hidden="1">{"fdsup://Directions/FactSet Auditing Viewer?action=AUDIT_VALUE&amp;DB=129&amp;ID1=92343V10&amp;VALUEID=01001&amp;SDATE=200902&amp;PERIODTYPE=QTR_STD&amp;window=popup_no_bar&amp;width=385&amp;height=120&amp;START_MAXIMIZED=FALSE&amp;creator=factset&amp;display_string=Audit"}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Viewer?action=AUDIT_VALUE&amp;DB=129&amp;ID1=92343V10&amp;VALUEID=01001&amp;SDATE=200902&amp;PERIODTYPE=QTR_STD&amp;window=popup_no_bar&amp;width=385&amp;height=120&amp;START_MAXIMIZED=FALSE&amp;creator=factset&amp;display_string=Audit"}</definedName>
    <definedName name="_1054__FDSAUDITLINK__" localSheetId="1" hidden="1">{"fdsup://Directions/FactSet Auditing Viewer?action=AUDIT_VALUE&amp;DB=129&amp;ID1=92343V10&amp;VALUEID=01001&amp;SDATE=201002&amp;PERIODTYPE=QTR_STD&amp;window=popup_no_bar&amp;width=385&amp;height=120&amp;START_MAXIMIZED=FALSE&amp;creator=factset&amp;display_string=Audit"}</definedName>
    <definedName name="_1054__FDSAUDITLINK__" hidden="1">{"fdsup://Directions/FactSet Auditing Viewer?action=AUDIT_VALUE&amp;DB=129&amp;ID1=92343V10&amp;VALUEID=01001&amp;SDATE=201002&amp;PERIODTYPE=QTR_STD&amp;window=popup_no_bar&amp;width=385&amp;height=120&amp;START_MAXIMIZED=FALSE&amp;creator=factset&amp;display_string=Audit"}</definedName>
    <definedName name="_1055__FDSAUDITLINK__" localSheetId="1" hidden="1">{"fdsup://Directions/FactSet Auditing Viewer?action=AUDIT_VALUE&amp;DB=129&amp;ID1=92276F10&amp;VALUEID=01001&amp;SDATE=200902&amp;PERIODTYPE=QTR_STD&amp;window=popup_no_bar&amp;width=385&amp;height=120&amp;START_MAXIMIZED=FALSE&amp;creator=factset&amp;display_string=Audit"}</definedName>
    <definedName name="_1055__FDSAUDITLINK__" hidden="1">{"fdsup://Directions/FactSet Auditing Viewer?action=AUDIT_VALUE&amp;DB=129&amp;ID1=92276F10&amp;VALUEID=01001&amp;SDATE=200902&amp;PERIODTYPE=QTR_STD&amp;window=popup_no_bar&amp;width=385&amp;height=120&amp;START_MAXIMIZED=FALSE&amp;creator=factset&amp;display_string=Audit"}</definedName>
    <definedName name="_1056__FDSAUDITLINK__" localSheetId="1" hidden="1">{"fdsup://Directions/FactSet Auditing Viewer?action=AUDIT_VALUE&amp;DB=129&amp;ID1=92276F10&amp;VALUEID=01001&amp;SDATE=201002&amp;PERIODTYPE=QTR_STD&amp;window=popup_no_bar&amp;width=385&amp;height=120&amp;START_MAXIMIZED=FALSE&amp;creator=factset&amp;display_string=Audit"}</definedName>
    <definedName name="_1056__FDSAUDITLINK__" hidden="1">{"fdsup://Directions/FactSet Auditing Viewer?action=AUDIT_VALUE&amp;DB=129&amp;ID1=92276F10&amp;VALUEID=01001&amp;SDATE=201002&amp;PERIODTYPE=QTR_STD&amp;window=popup_no_bar&amp;width=385&amp;height=120&amp;START_MAXIMIZED=FALSE&amp;creator=factset&amp;display_string=Audit"}</definedName>
    <definedName name="_1057__FDSAUDITLINK__" localSheetId="1" hidden="1">{"fdsup://Directions/FactSet Auditing Viewer?action=AUDIT_VALUE&amp;DB=129&amp;ID1=92343E10&amp;VALUEID=01001&amp;SDATE=200902&amp;PERIODTYPE=QTR_STD&amp;window=popup_no_bar&amp;width=385&amp;height=120&amp;START_MAXIMIZED=FALSE&amp;creator=factset&amp;display_string=Audit"}</definedName>
    <definedName name="_1057__FDSAUDITLINK__" hidden="1">{"fdsup://Directions/FactSet Auditing Viewer?action=AUDIT_VALUE&amp;DB=129&amp;ID1=92343E10&amp;VALUEID=01001&amp;SDATE=200902&amp;PERIODTYPE=QTR_STD&amp;window=popup_no_bar&amp;width=385&amp;height=120&amp;START_MAXIMIZED=FALSE&amp;creator=factset&amp;display_string=Audit"}</definedName>
    <definedName name="_1058__FDSAUDITLINK__" localSheetId="1" hidden="1">{"fdsup://Directions/FactSet Auditing Viewer?action=AUDIT_VALUE&amp;DB=129&amp;ID1=92343E10&amp;VALUEID=01001&amp;SDATE=201002&amp;PERIODTYPE=QTR_STD&amp;window=popup_no_bar&amp;width=385&amp;height=120&amp;START_MAXIMIZED=FALSE&amp;creator=factset&amp;display_string=Audit"}</definedName>
    <definedName name="_1058__FDSAUDITLINK__" hidden="1">{"fdsup://Directions/FactSet Auditing Viewer?action=AUDIT_VALUE&amp;DB=129&amp;ID1=92343E10&amp;VALUEID=01001&amp;SDATE=201002&amp;PERIODTYPE=QTR_STD&amp;window=popup_no_bar&amp;width=385&amp;height=120&amp;START_MAXIMIZED=FALSE&amp;creator=factset&amp;display_string=Audit"}</definedName>
    <definedName name="_1059__FDSAUDITLINK__" localSheetId="1" hidden="1">{"fdsup://Directions/FactSet Auditing Viewer?action=AUDIT_VALUE&amp;DB=129&amp;ID1=92904210&amp;VALUEID=01001&amp;SDATE=200902&amp;PERIODTYPE=QTR_STD&amp;window=popup_no_bar&amp;width=385&amp;height=120&amp;START_MAXIMIZED=FALSE&amp;creator=factset&amp;display_string=Audit"}</definedName>
    <definedName name="_1059__FDSAUDITLINK__" hidden="1">{"fdsup://Directions/FactSet Auditing Viewer?action=AUDIT_VALUE&amp;DB=129&amp;ID1=92904210&amp;VALUEID=01001&amp;SDATE=200902&amp;PERIODTYPE=QTR_STD&amp;window=popup_no_bar&amp;width=385&amp;height=120&amp;START_MAXIMIZED=FALSE&amp;creator=factset&amp;display_string=Audit"}</definedName>
    <definedName name="_106__FDSAUDITLINK__" localSheetId="1"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__FDSAUDITLINK__" hidden="1">{"fdsup://directions/FAT Viewer?action=UPDATE&amp;creator=factset&amp;DYN_ARGS=TRUE&amp;DOC_NAME=FAT:FQL_AUDITING_CLIENT_TEMPLATE.FAT&amp;display_string=Audit&amp;VAR:KEY=ZWRSXSVOTA&amp;VAR:QUERY=RkZfRUJJVERBX09QRVIoUVRSLDQvMS8yMDEwLDYvMzAvMjAxMCwsLFVTRCk=&amp;WINDOW=FIRST_POPUP&amp;HEIGH","T=450&amp;WIDTH=450&amp;START_MAXIMIZED=FALSE&amp;VAR:CALENDAR=US&amp;VAR:SYMBOL=TSS&amp;VAR:INDEX=0"}</definedName>
    <definedName name="_1060__FDSAUDITLINK__" localSheetId="1" hidden="1">{"fdsup://Directions/FactSet Auditing Viewer?action=AUDIT_VALUE&amp;DB=129&amp;ID1=92904210&amp;VALUEID=01001&amp;SDATE=201002&amp;PERIODTYPE=QTR_STD&amp;window=popup_no_bar&amp;width=385&amp;height=120&amp;START_MAXIMIZED=FALSE&amp;creator=factset&amp;display_string=Audit"}</definedName>
    <definedName name="_1060__FDSAUDITLINK__" hidden="1">{"fdsup://Directions/FactSet Auditing Viewer?action=AUDIT_VALUE&amp;DB=129&amp;ID1=92904210&amp;VALUEID=01001&amp;SDATE=201002&amp;PERIODTYPE=QTR_STD&amp;window=popup_no_bar&amp;width=385&amp;height=120&amp;START_MAXIMIZED=FALSE&amp;creator=factset&amp;display_string=Audit"}</definedName>
    <definedName name="_1061__FDSAUDITLINK__" localSheetId="1" hidden="1">{"fdsup://Directions/FactSet Auditing Viewer?action=AUDIT_VALUE&amp;DB=129&amp;ID1=92916010&amp;VALUEID=01001&amp;SDATE=200902&amp;PERIODTYPE=QTR_STD&amp;window=popup_no_bar&amp;width=385&amp;height=120&amp;START_MAXIMIZED=FALSE&amp;creator=factset&amp;display_string=Audit"}</definedName>
    <definedName name="_1061__FDSAUDITLINK__" hidden="1">{"fdsup://Directions/FactSet Auditing Viewer?action=AUDIT_VALUE&amp;DB=129&amp;ID1=92916010&amp;VALUEID=01001&amp;SDATE=200902&amp;PERIODTYPE=QTR_STD&amp;window=popup_no_bar&amp;width=385&amp;height=120&amp;START_MAXIMIZED=FALSE&amp;creator=factset&amp;display_string=Audit"}</definedName>
    <definedName name="_1062__FDSAUDITLINK__" localSheetId="1" hidden="1">{"fdsup://Directions/FactSet Auditing Viewer?action=AUDIT_VALUE&amp;DB=129&amp;ID1=92916010&amp;VALUEID=01001&amp;SDATE=201002&amp;PERIODTYPE=QTR_STD&amp;window=popup_no_bar&amp;width=385&amp;height=120&amp;START_MAXIMIZED=FALSE&amp;creator=factset&amp;display_string=Audit"}</definedName>
    <definedName name="_1062__FDSAUDITLINK__" hidden="1">{"fdsup://Directions/FactSet Auditing Viewer?action=AUDIT_VALUE&amp;DB=129&amp;ID1=92916010&amp;VALUEID=01001&amp;SDATE=201002&amp;PERIODTYPE=QTR_STD&amp;window=popup_no_bar&amp;width=385&amp;height=120&amp;START_MAXIMIZED=FALSE&amp;creator=factset&amp;display_string=Audit"}</definedName>
    <definedName name="_1063__FDSAUDITLINK__" localSheetId="1" hidden="1">{"fdsup://Directions/FactSet Auditing Viewer?action=AUDIT_VALUE&amp;DB=129&amp;ID1=91913Y10&amp;VALUEID=01001&amp;SDATE=200902&amp;PERIODTYPE=QTR_STD&amp;window=popup_no_bar&amp;width=385&amp;height=120&amp;START_MAXIMIZED=FALSE&amp;creator=factset&amp;display_string=Audit"}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Viewer?action=AUDIT_VALUE&amp;DB=129&amp;ID1=91913Y10&amp;VALUEID=01001&amp;SDATE=200902&amp;PERIODTYPE=QTR_STD&amp;window=popup_no_bar&amp;width=385&amp;height=120&amp;START_MAXIMIZED=FALSE&amp;creator=factset&amp;display_string=Audit"}</definedName>
    <definedName name="_1064__FDSAUDITLINK__" localSheetId="1" hidden="1">{"fdsup://Directions/FactSet Auditing Viewer?action=AUDIT_VALUE&amp;DB=129&amp;ID1=91913Y10&amp;VALUEID=01001&amp;SDATE=201002&amp;PERIODTYPE=QTR_STD&amp;window=popup_no_bar&amp;width=385&amp;height=120&amp;START_MAXIMIZED=FALSE&amp;creator=factset&amp;display_string=Audit"}</definedName>
    <definedName name="_1064__FDSAUDITLINK__" hidden="1">{"fdsup://Directions/FactSet Auditing Viewer?action=AUDIT_VALUE&amp;DB=129&amp;ID1=91913Y10&amp;VALUEID=01001&amp;SDATE=201002&amp;PERIODTYPE=QTR_STD&amp;window=popup_no_bar&amp;width=385&amp;height=120&amp;START_MAXIMIZED=FALSE&amp;creator=factset&amp;display_string=Audit"}</definedName>
    <definedName name="_1065__FDSAUDITLINK__" localSheetId="1" hidden="1">{"fdsup://Directions/FactSet Auditing Viewer?action=AUDIT_VALUE&amp;DB=129&amp;ID1=92553P20&amp;VALUEID=01001&amp;SDATE=200902&amp;PERIODTYPE=QTR_STD&amp;window=popup_no_bar&amp;width=385&amp;height=120&amp;START_MAXIMIZED=FALSE&amp;creator=factset&amp;display_string=Audit"}</definedName>
    <definedName name="_1065__FDSAUDITLINK__" hidden="1">{"fdsup://Directions/FactSet Auditing Viewer?action=AUDIT_VALUE&amp;DB=129&amp;ID1=92553P20&amp;VALUEID=01001&amp;SDATE=200902&amp;PERIODTYPE=QTR_STD&amp;window=popup_no_bar&amp;width=385&amp;height=120&amp;START_MAXIMIZED=FALSE&amp;creator=factset&amp;display_string=Audit"}</definedName>
    <definedName name="_1066__FDSAUDITLINK__" localSheetId="1" hidden="1">{"fdsup://Directions/FactSet Auditing Viewer?action=AUDIT_VALUE&amp;DB=129&amp;ID1=92553P20&amp;VALUEID=01001&amp;SDATE=201002&amp;PERIODTYPE=QTR_STD&amp;window=popup_no_bar&amp;width=385&amp;height=120&amp;START_MAXIMIZED=FALSE&amp;creator=factset&amp;display_string=Audit"}</definedName>
    <definedName name="_1066__FDSAUDITLINK__" hidden="1">{"fdsup://Directions/FactSet Auditing Viewer?action=AUDIT_VALUE&amp;DB=129&amp;ID1=92553P20&amp;VALUEID=01001&amp;SDATE=201002&amp;PERIODTYPE=QTR_STD&amp;window=popup_no_bar&amp;width=385&amp;height=120&amp;START_MAXIMIZED=FALSE&amp;creator=factset&amp;display_string=Audit"}</definedName>
    <definedName name="_1067__FDSAUDITLINK__" localSheetId="1" hidden="1">{"fdsup://Directions/FactSet Auditing Viewer?action=AUDIT_VALUE&amp;DB=129&amp;ID1=91820410&amp;VALUEID=01001&amp;SDATE=200902&amp;PERIODTYPE=QTR_STD&amp;window=popup_no_bar&amp;width=385&amp;height=120&amp;START_MAXIMIZED=FALSE&amp;creator=factset&amp;display_string=Audit"}</definedName>
    <definedName name="_1067__FDSAUDITLINK__" hidden="1">{"fdsup://Directions/FactSet Auditing Viewer?action=AUDIT_VALUE&amp;DB=129&amp;ID1=91820410&amp;VALUEID=01001&amp;SDATE=200902&amp;PERIODTYPE=QTR_STD&amp;window=popup_no_bar&amp;width=385&amp;height=120&amp;START_MAXIMIZED=FALSE&amp;creator=factset&amp;display_string=Audit"}</definedName>
    <definedName name="_1068__FDSAUDITLINK__" localSheetId="1" hidden="1">{"fdsup://Directions/FactSet Auditing Viewer?action=AUDIT_VALUE&amp;DB=129&amp;ID1=91820410&amp;VALUEID=01001&amp;SDATE=201002&amp;PERIODTYPE=QTR_STD&amp;window=popup_no_bar&amp;width=385&amp;height=120&amp;START_MAXIMIZED=FALSE&amp;creator=factset&amp;display_string=Audit"}</definedName>
    <definedName name="_1068__FDSAUDITLINK__" hidden="1">{"fdsup://Directions/FactSet Auditing Viewer?action=AUDIT_VALUE&amp;DB=129&amp;ID1=91820410&amp;VALUEID=01001&amp;SDATE=201002&amp;PERIODTYPE=QTR_STD&amp;window=popup_no_bar&amp;width=385&amp;height=120&amp;START_MAXIMIZED=FALSE&amp;creator=factset&amp;display_string=Audit"}</definedName>
    <definedName name="_1069__FDSAUDITLINK__" localSheetId="1" hidden="1">{"fdsup://Directions/FactSet Auditing Viewer?action=AUDIT_VALUE&amp;DB=129&amp;ID1=92220P10&amp;VALUEID=01001&amp;SDATE=200903&amp;PERIODTYPE=QTR_STD&amp;window=popup_no_bar&amp;width=385&amp;height=120&amp;START_MAXIMIZED=FALSE&amp;creator=factset&amp;display_string=Audit"}</definedName>
    <definedName name="_1069__FDSAUDITLINK__" hidden="1">{"fdsup://Directions/FactSet Auditing Viewer?action=AUDIT_VALUE&amp;DB=129&amp;ID1=92220P10&amp;VALUEID=01001&amp;SDATE=200903&amp;PERIODTYPE=QTR_STD&amp;window=popup_no_bar&amp;width=385&amp;height=120&amp;START_MAXIMIZED=FALSE&amp;creator=factset&amp;display_string=Audit"}</definedName>
    <definedName name="_107__FDSAUDITLINK__" localSheetId="1"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__FDSAUDITLINK__" hidden="1">{"fdsup://directions/FAT Viewer?action=UPDATE&amp;creator=factset&amp;DYN_ARGS=TRUE&amp;DOC_NAME=FAT:FQL_AUDITING_CLIENT_TEMPLATE.FAT&amp;display_string=Audit&amp;VAR:KEY=NYJWRGPEVS&amp;VAR:QUERY=RkZfRUJJVERBX09QRVIoUVRSLDQvMS8yMDA5LDYvMzAvMjAwOSwsLFVTRCk=&amp;WINDOW=FIRST_POPUP&amp;HEIGH","T=450&amp;WIDTH=450&amp;START_MAXIMIZED=FALSE&amp;VAR:CALENDAR=US&amp;VAR:SYMBOL=TSO&amp;VAR:INDEX=0"}</definedName>
    <definedName name="_1070__FDSAUDITLINK__" localSheetId="1" hidden="1">{"fdsup://Directions/FactSet Auditing Viewer?action=AUDIT_VALUE&amp;DB=129&amp;ID1=92220P10&amp;VALUEID=01001&amp;SDATE=201003&amp;PERIODTYPE=QTR_STD&amp;window=popup_no_bar&amp;width=385&amp;height=120&amp;START_MAXIMIZED=FALSE&amp;creator=factset&amp;display_string=Audit"}</definedName>
    <definedName name="_1070__FDSAUDITLINK__" hidden="1">{"fdsup://Directions/FactSet Auditing Viewer?action=AUDIT_VALUE&amp;DB=129&amp;ID1=92220P10&amp;VALUEID=01001&amp;SDATE=201003&amp;PERIODTYPE=QTR_STD&amp;window=popup_no_bar&amp;width=385&amp;height=120&amp;START_MAXIMIZED=FALSE&amp;creator=factset&amp;display_string=Audit"}</definedName>
    <definedName name="_1071__FDSAUDITLINK__" localSheetId="1" hidden="1">{"fdsup://Directions/FactSet Auditing Viewer?action=AUDIT_VALUE&amp;DB=129&amp;ID1=92826C83&amp;VALUEID=01001&amp;SDATE=200903&amp;PERIODTYPE=QTR_STD&amp;window=popup_no_bar&amp;width=385&amp;height=120&amp;START_MAXIMIZED=FALSE&amp;creator=factset&amp;display_string=Audit"}</definedName>
    <definedName name="_1071__FDSAUDITLINK__" hidden="1">{"fdsup://Directions/FactSet Auditing Viewer?action=AUDIT_VALUE&amp;DB=129&amp;ID1=92826C83&amp;VALUEID=01001&amp;SDATE=200903&amp;PERIODTYPE=QTR_STD&amp;window=popup_no_bar&amp;width=385&amp;height=120&amp;START_MAXIMIZED=FALSE&amp;creator=factset&amp;display_string=Audit"}</definedName>
    <definedName name="_1072__FDSAUDITLINK__" localSheetId="1" hidden="1">{"fdsup://Directions/FactSet Auditing Viewer?action=AUDIT_VALUE&amp;DB=129&amp;ID1=92826C83&amp;VALUEID=01001&amp;SDATE=201003&amp;PERIODTYPE=QTR_STD&amp;window=popup_no_bar&amp;width=385&amp;height=120&amp;START_MAXIMIZED=FALSE&amp;creator=factset&amp;display_string=Audit"}</definedName>
    <definedName name="_1072__FDSAUDITLINK__" hidden="1">{"fdsup://Directions/FactSet Auditing Viewer?action=AUDIT_VALUE&amp;DB=129&amp;ID1=92826C83&amp;VALUEID=01001&amp;SDATE=201003&amp;PERIODTYPE=QTR_STD&amp;window=popup_no_bar&amp;width=385&amp;height=120&amp;START_MAXIMIZED=FALSE&amp;creator=factset&amp;display_string=Audit"}</definedName>
    <definedName name="_1073__FDSAUDITLINK__" localSheetId="1" hidden="1">{"fdsup://Directions/FactSet Auditing Viewer?action=AUDIT_VALUE&amp;DB=129&amp;ID1=91301710&amp;VALUEID=01001&amp;SDATE=200902&amp;PERIODTYPE=QTR_STD&amp;window=popup_no_bar&amp;width=385&amp;height=120&amp;START_MAXIMIZED=FALSE&amp;creator=factset&amp;display_string=Audit"}</definedName>
    <definedName name="_1073__FDSAUDITLINK__" hidden="1">{"fdsup://Directions/FactSet Auditing Viewer?action=AUDIT_VALUE&amp;DB=129&amp;ID1=91301710&amp;VALUEID=01001&amp;SDATE=200902&amp;PERIODTYPE=QTR_STD&amp;window=popup_no_bar&amp;width=385&amp;height=120&amp;START_MAXIMIZED=FALSE&amp;creator=factset&amp;display_string=Audit"}</definedName>
    <definedName name="_1074__FDSAUDITLINK__" localSheetId="1" hidden="1">{"fdsup://Directions/FactSet Auditing Viewer?action=AUDIT_VALUE&amp;DB=129&amp;ID1=91301710&amp;VALUEID=01001&amp;SDATE=201002&amp;PERIODTYPE=QTR_STD&amp;window=popup_no_bar&amp;width=385&amp;height=120&amp;START_MAXIMIZED=FALSE&amp;creator=factset&amp;display_string=Audit"}</definedName>
    <definedName name="_1074__FDSAUDITLINK__" hidden="1">{"fdsup://Directions/FactSet Auditing Viewer?action=AUDIT_VALUE&amp;DB=129&amp;ID1=91301710&amp;VALUEID=01001&amp;SDATE=201002&amp;PERIODTYPE=QTR_STD&amp;window=popup_no_bar&amp;width=385&amp;height=120&amp;START_MAXIMIZED=FALSE&amp;creator=factset&amp;display_string=Audit"}</definedName>
    <definedName name="_1075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107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076__FDSAUDITLINK__" localSheetId="1" hidden="1">{"fdsup://Directions/FactSet Auditing Viewer?action=AUDIT_VALUE&amp;DB=129&amp;ID1=91131210&amp;VALUEID=01001&amp;SDATE=200902&amp;PERIODTYPE=QTR_STD&amp;window=popup_no_bar&amp;width=385&amp;height=120&amp;START_MAXIMIZED=FALSE&amp;creator=factset&amp;display_string=Audit"}</definedName>
    <definedName name="_1076__FDSAUDITLINK__" hidden="1">{"fdsup://Directions/FactSet Auditing Viewer?action=AUDIT_VALUE&amp;DB=129&amp;ID1=91131210&amp;VALUEID=01001&amp;SDATE=200902&amp;PERIODTYPE=QTR_STD&amp;window=popup_no_bar&amp;width=385&amp;height=120&amp;START_MAXIMIZED=FALSE&amp;creator=factset&amp;display_string=Audit"}</definedName>
    <definedName name="_1077__FDSAUDITLINK__" localSheetId="1" hidden="1">{"fdsup://Directions/FactSet Auditing Viewer?action=AUDIT_VALUE&amp;DB=129&amp;ID1=91131210&amp;VALUEID=01001&amp;SDATE=201002&amp;PERIODTYPE=QTR_STD&amp;window=popup_no_bar&amp;width=385&amp;height=120&amp;START_MAXIMIZED=FALSE&amp;creator=factset&amp;display_string=Audit"}</definedName>
    <definedName name="_1077__FDSAUDITLINK__" hidden="1">{"fdsup://Directions/FactSet Auditing Viewer?action=AUDIT_VALUE&amp;DB=129&amp;ID1=91131210&amp;VALUEID=01001&amp;SDATE=201002&amp;PERIODTYPE=QTR_STD&amp;window=popup_no_bar&amp;width=385&amp;height=120&amp;START_MAXIMIZED=FALSE&amp;creator=factset&amp;display_string=Audit"}</definedName>
    <definedName name="_1078__FDSAUDITLINK__" localSheetId="1" hidden="1">{"fdsup://Directions/FactSet Auditing Viewer?action=AUDIT_VALUE&amp;DB=129&amp;ID1=90781810&amp;VALUEID=01001&amp;SDATE=200902&amp;PERIODTYPE=QTR_STD&amp;window=popup_no_bar&amp;width=385&amp;height=120&amp;START_MAXIMIZED=FALSE&amp;creator=factset&amp;display_string=Audit"}</definedName>
    <definedName name="_1078__FDSAUDITLINK__" hidden="1">{"fdsup://Directions/FactSet Auditing Viewer?action=AUDIT_VALUE&amp;DB=129&amp;ID1=90781810&amp;VALUEID=01001&amp;SDATE=200902&amp;PERIODTYPE=QTR_STD&amp;window=popup_no_bar&amp;width=385&amp;height=120&amp;START_MAXIMIZED=FALSE&amp;creator=factset&amp;display_string=Audit"}</definedName>
    <definedName name="_1079__FDSAUDITLINK__" localSheetId="1" hidden="1">{"fdsup://Directions/FactSet Auditing Viewer?action=AUDIT_VALUE&amp;DB=129&amp;ID1=90781810&amp;VALUEID=01001&amp;SDATE=201002&amp;PERIODTYPE=QTR_STD&amp;window=popup_no_bar&amp;width=385&amp;height=120&amp;START_MAXIMIZED=FALSE&amp;creator=factset&amp;display_string=Audit"}</definedName>
    <definedName name="_1079__FDSAUDITLINK__" hidden="1">{"fdsup://Directions/FactSet Auditing Viewer?action=AUDIT_VALUE&amp;DB=129&amp;ID1=90781810&amp;VALUEID=01001&amp;SDATE=201002&amp;PERIODTYPE=QTR_STD&amp;window=popup_no_bar&amp;width=385&amp;height=120&amp;START_MAXIMIZED=FALSE&amp;creator=factset&amp;display_string=Audit"}</definedName>
    <definedName name="_108__FDSAUDITLINK__" localSheetId="1"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__FDSAUDITLINK__" hidden="1">{"fdsup://directions/FAT Viewer?action=UPDATE&amp;creator=factset&amp;DYN_ARGS=TRUE&amp;DOC_NAME=FAT:FQL_AUDITING_CLIENT_TEMPLATE.FAT&amp;display_string=Audit&amp;VAR:KEY=LWZCVODYPU&amp;VAR:QUERY=RkZfRUJJVERBX09QRVIoUVRSLDQvMS8yMDEwLDYvMzAvMjAxMCwsLFVTRCk=&amp;WINDOW=FIRST_POPUP&amp;HEIGH","T=450&amp;WIDTH=450&amp;START_MAXIMIZED=FALSE&amp;VAR:CALENDAR=US&amp;VAR:SYMBOL=TSO&amp;VAR:INDEX=0"}</definedName>
    <definedName name="_1080__FDSAUDITLINK__" localSheetId="1" hidden="1">{"fdsup://Directions/FactSet Auditing Viewer?action=AUDIT_VALUE&amp;DB=129&amp;ID1=91529Y10&amp;VALUEID=01001&amp;SDATE=201002&amp;PERIODTYPE=QTR_STD&amp;window=popup_no_bar&amp;width=385&amp;height=120&amp;START_MAXIMIZED=FALSE&amp;creator=factset&amp;display_string=Audit"}</definedName>
    <definedName name="_1080__FDSAUDITLINK__" hidden="1">{"fdsup://Directions/FactSet Auditing Viewer?action=AUDIT_VALUE&amp;DB=129&amp;ID1=91529Y10&amp;VALUEID=01001&amp;SDATE=201002&amp;PERIODTYPE=QTR_STD&amp;window=popup_no_bar&amp;width=385&amp;height=120&amp;START_MAXIMIZED=FALSE&amp;creator=factset&amp;display_string=Audit"}</definedName>
    <definedName name="_1081__FDSAUDITLINK__" localSheetId="1" hidden="1">{"fdsup://Directions/FactSet Auditing Viewer?action=AUDIT_VALUE&amp;DB=129&amp;ID1=91324P10&amp;VALUEID=01001&amp;SDATE=200902&amp;PERIODTYPE=QTR_STD&amp;window=popup_no_bar&amp;width=385&amp;height=120&amp;START_MAXIMIZED=FALSE&amp;creator=factset&amp;display_string=Audit"}</definedName>
    <definedName name="_1081__FDSAUDITLINK__" hidden="1">{"fdsup://Directions/FactSet Auditing Viewer?action=AUDIT_VALUE&amp;DB=129&amp;ID1=91324P10&amp;VALUEID=01001&amp;SDATE=200902&amp;PERIODTYPE=QTR_STD&amp;window=popup_no_bar&amp;width=385&amp;height=120&amp;START_MAXIMIZED=FALSE&amp;creator=factset&amp;display_string=Audit"}</definedName>
    <definedName name="_1082__FDSAUDITLINK__" localSheetId="1" hidden="1">{"fdsup://Directions/FactSet Auditing Viewer?action=AUDIT_VALUE&amp;DB=129&amp;ID1=91324P10&amp;VALUEID=01001&amp;SDATE=201002&amp;PERIODTYPE=QTR_STD&amp;window=popup_no_bar&amp;width=385&amp;height=120&amp;START_MAXIMIZED=FALSE&amp;creator=factset&amp;display_string=Audit"}</definedName>
    <definedName name="_1082__FDSAUDITLINK__" hidden="1">{"fdsup://Directions/FactSet Auditing Viewer?action=AUDIT_VALUE&amp;DB=129&amp;ID1=91324P10&amp;VALUEID=01001&amp;SDATE=201002&amp;PERIODTYPE=QTR_STD&amp;window=popup_no_bar&amp;width=385&amp;height=120&amp;START_MAXIMIZED=FALSE&amp;creator=factset&amp;display_string=Audit"}</definedName>
    <definedName name="_1083__FDSAUDITLINK__" localSheetId="1" hidden="1">{"fdsup://Directions/FactSet Auditing Viewer?action=AUDIT_VALUE&amp;DB=129&amp;ID1=H8912810&amp;VALUEID=01001&amp;SDATE=200903&amp;PERIODTYPE=QTR_STD&amp;window=popup_no_bar&amp;width=385&amp;height=120&amp;START_MAXIMIZED=FALSE&amp;creator=factset&amp;display_string=Audit"}</definedName>
    <definedName name="_1083__FDSAUDITLINK__" hidden="1">{"fdsup://Directions/FactSet Auditing Viewer?action=AUDIT_VALUE&amp;DB=129&amp;ID1=H8912810&amp;VALUEID=01001&amp;SDATE=200903&amp;PERIODTYPE=QTR_STD&amp;window=popup_no_bar&amp;width=385&amp;height=120&amp;START_MAXIMIZED=FALSE&amp;creator=factset&amp;display_string=Audit"}</definedName>
    <definedName name="_1084__FDSAUDITLINK__" localSheetId="1" hidden="1">{"fdsup://Directions/FactSet Auditing Viewer?action=AUDIT_VALUE&amp;DB=129&amp;ID1=H8912810&amp;VALUEID=01001&amp;SDATE=201003&amp;PERIODTYPE=QTR_STD&amp;window=popup_no_bar&amp;width=385&amp;height=120&amp;START_MAXIMIZED=FALSE&amp;creator=factset&amp;display_string=Audit"}</definedName>
    <definedName name="_1084__FDSAUDITLINK__" hidden="1">{"fdsup://Directions/FactSet Auditing Viewer?action=AUDIT_VALUE&amp;DB=129&amp;ID1=H8912810&amp;VALUEID=01001&amp;SDATE=201003&amp;PERIODTYPE=QTR_STD&amp;window=popup_no_bar&amp;width=385&amp;height=120&amp;START_MAXIMIZED=FALSE&amp;creator=factset&amp;display_string=Audit"}</definedName>
    <definedName name="_1085__FDSAUDITLINK__" localSheetId="1" hidden="1">{"fdsup://Directions/FactSet Auditing Viewer?action=AUDIT_VALUE&amp;DB=129&amp;ID1=88320310&amp;VALUEID=01001&amp;SDATE=200902&amp;PERIODTYPE=QTR_STD&amp;window=popup_no_bar&amp;width=385&amp;height=120&amp;START_MAXIMIZED=FALSE&amp;creator=factset&amp;display_string=Audit"}</definedName>
    <definedName name="_1085__FDSAUDITLINK__" hidden="1">{"fdsup://Directions/FactSet Auditing Viewer?action=AUDIT_VALUE&amp;DB=129&amp;ID1=88320310&amp;VALUEID=01001&amp;SDATE=200902&amp;PERIODTYPE=QTR_STD&amp;window=popup_no_bar&amp;width=385&amp;height=120&amp;START_MAXIMIZED=FALSE&amp;creator=factset&amp;display_string=Audit"}</definedName>
    <definedName name="_1086__FDSAUDITLINK__" localSheetId="1" hidden="1">{"fdsup://Directions/FactSet Auditing Viewer?action=AUDIT_VALUE&amp;DB=129&amp;ID1=88320310&amp;VALUEID=01001&amp;SDATE=201002&amp;PERIODTYPE=QTR_STD&amp;window=popup_no_bar&amp;width=385&amp;height=120&amp;START_MAXIMIZED=FALSE&amp;creator=factset&amp;display_string=Audit"}</definedName>
    <definedName name="_1086__FDSAUDITLINK__" hidden="1">{"fdsup://Directions/FactSet Auditing Viewer?action=AUDIT_VALUE&amp;DB=129&amp;ID1=88320310&amp;VALUEID=01001&amp;SDATE=201002&amp;PERIODTYPE=QTR_STD&amp;window=popup_no_bar&amp;width=385&amp;height=120&amp;START_MAXIMIZED=FALSE&amp;creator=factset&amp;display_string=Audit"}</definedName>
    <definedName name="_1087__FDSAUDITLINK__" localSheetId="1" hidden="1">{"fdsup://Directions/FactSet Auditing Viewer?action=AUDIT_VALUE&amp;DB=129&amp;ID1=88250810&amp;VALUEID=01001&amp;SDATE=200902&amp;PERIODTYPE=QTR_STD&amp;window=popup_no_bar&amp;width=385&amp;height=120&amp;START_MAXIMIZED=FALSE&amp;creator=factset&amp;display_string=Audit"}</definedName>
    <definedName name="_1087__FDSAUDITLINK__" hidden="1">{"fdsup://Directions/FactSet Auditing Viewer?action=AUDIT_VALUE&amp;DB=129&amp;ID1=88250810&amp;VALUEID=01001&amp;SDATE=200902&amp;PERIODTYPE=QTR_STD&amp;window=popup_no_bar&amp;width=385&amp;height=120&amp;START_MAXIMIZED=FALSE&amp;creator=factset&amp;display_string=Audit"}</definedName>
    <definedName name="_1088__FDSAUDITLINK__" localSheetId="1" hidden="1">{"fdsup://Directions/FactSet Auditing Viewer?action=AUDIT_VALUE&amp;DB=129&amp;ID1=88250810&amp;VALUEID=01001&amp;SDATE=201002&amp;PERIODTYPE=QTR_STD&amp;window=popup_no_bar&amp;width=385&amp;height=120&amp;START_MAXIMIZED=FALSE&amp;creator=factset&amp;display_string=Audit"}</definedName>
    <definedName name="_1088__FDSAUDITLINK__" hidden="1">{"fdsup://Directions/FactSet Auditing Viewer?action=AUDIT_VALUE&amp;DB=129&amp;ID1=88250810&amp;VALUEID=01001&amp;SDATE=201002&amp;PERIODTYPE=QTR_STD&amp;window=popup_no_bar&amp;width=385&amp;height=120&amp;START_MAXIMIZED=FALSE&amp;creator=factset&amp;display_string=Audit"}</definedName>
    <definedName name="_1089__FDSAUDITLINK__" localSheetId="1" hidden="1">{"fdsup://Directions/FactSet Auditing Viewer?action=AUDIT_VALUE&amp;DB=129&amp;ID1=88731730&amp;VALUEID=01001&amp;SDATE=200902&amp;PERIODTYPE=QTR_STD&amp;window=popup_no_bar&amp;width=385&amp;height=120&amp;START_MAXIMIZED=FALSE&amp;creator=factset&amp;display_string=Audit"}</definedName>
    <definedName name="_1089__FDSAUDITLINK__" hidden="1">{"fdsup://Directions/FactSet Auditing Viewer?action=AUDIT_VALUE&amp;DB=129&amp;ID1=88731730&amp;VALUEID=01001&amp;SDATE=200902&amp;PERIODTYPE=QTR_STD&amp;window=popup_no_bar&amp;width=385&amp;height=120&amp;START_MAXIMIZED=FALSE&amp;creator=factset&amp;display_string=Audit"}</definedName>
    <definedName name="_109__FDSAUDITLINK__" localSheetId="1"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__FDSAUDITLINK__" hidden="1">{"fdsup://directions/FAT Viewer?action=UPDATE&amp;creator=factset&amp;DYN_ARGS=TRUE&amp;DOC_NAME=FAT:FQL_AUDITING_CLIENT_TEMPLATE.FAT&amp;display_string=Audit&amp;VAR:KEY=LWDSJWJWDE&amp;VAR:QUERY=RkZfRUJJVERBX09QRVIoUVRSLDQvMS8yMDA5LDYvMzAvMjAwOSwsLFVTRCk=&amp;WINDOW=FIRST_POPUP&amp;HEIGH","T=450&amp;WIDTH=450&amp;START_MAXIMIZED=FALSE&amp;VAR:CALENDAR=US&amp;VAR:SYMBOL=TSN&amp;VAR:INDEX=0"}</definedName>
    <definedName name="_1090__FDSAUDITLINK__" localSheetId="1" hidden="1">{"fdsup://Directions/FactSet Auditing Viewer?action=AUDIT_VALUE&amp;DB=129&amp;ID1=88731730&amp;VALUEID=01001&amp;SDATE=201002&amp;PERIODTYPE=QTR_STD&amp;window=popup_no_bar&amp;width=385&amp;height=120&amp;START_MAXIMIZED=FALSE&amp;creator=factset&amp;display_string=Audit"}</definedName>
    <definedName name="_1090__FDSAUDITLINK__" hidden="1">{"fdsup://Directions/FactSet Auditing Viewer?action=AUDIT_VALUE&amp;DB=129&amp;ID1=88731730&amp;VALUEID=01001&amp;SDATE=201002&amp;PERIODTYPE=QTR_STD&amp;window=popup_no_bar&amp;width=385&amp;height=120&amp;START_MAXIMIZED=FALSE&amp;creator=factset&amp;display_string=Audit"}</definedName>
    <definedName name="_1091__FDSAUDITLINK__" localSheetId="1" hidden="1">{"fdsup://Directions/FactSet Auditing Viewer?action=AUDIT_VALUE&amp;DB=129&amp;ID1=88732J20&amp;VALUEID=01001&amp;SDATE=200902&amp;PERIODTYPE=QTR_STD&amp;window=popup_no_bar&amp;width=385&amp;height=120&amp;START_MAXIMIZED=FALSE&amp;creator=factset&amp;display_string=Audit"}</definedName>
    <definedName name="_1091__FDSAUDITLINK__" hidden="1">{"fdsup://Directions/FactSet Auditing Viewer?action=AUDIT_VALUE&amp;DB=129&amp;ID1=88732J20&amp;VALUEID=01001&amp;SDATE=200902&amp;PERIODTYPE=QTR_STD&amp;window=popup_no_bar&amp;width=385&amp;height=120&amp;START_MAXIMIZED=FALSE&amp;creator=factset&amp;display_string=Audit"}</definedName>
    <definedName name="_1092__FDSAUDITLINK__" localSheetId="1" hidden="1">{"fdsup://Directions/FactSet Auditing Viewer?action=AUDIT_VALUE&amp;DB=129&amp;ID1=88732J20&amp;VALUEID=01001&amp;SDATE=201002&amp;PERIODTYPE=QTR_STD&amp;window=popup_no_bar&amp;width=385&amp;height=120&amp;START_MAXIMIZED=FALSE&amp;creator=factset&amp;display_string=Audit"}</definedName>
    <definedName name="_1092__FDSAUDITLINK__" hidden="1">{"fdsup://Directions/FactSet Auditing Viewer?action=AUDIT_VALUE&amp;DB=129&amp;ID1=88732J20&amp;VALUEID=01001&amp;SDATE=201002&amp;PERIODTYPE=QTR_STD&amp;window=popup_no_bar&amp;width=385&amp;height=120&amp;START_MAXIMIZED=FALSE&amp;creator=factset&amp;display_string=Audit"}</definedName>
    <definedName name="_1093__FDSAUDITLINK__" localSheetId="1" hidden="1">{"fdsup://Directions/FactSet Auditing Viewer?action=AUDIT_VALUE&amp;DB=129&amp;ID1=89190610&amp;VALUEID=01001&amp;SDATE=200902&amp;PERIODTYPE=QTR_STD&amp;window=popup_no_bar&amp;width=385&amp;height=120&amp;START_MAXIMIZED=FALSE&amp;creator=factset&amp;display_string=Audit"}</definedName>
    <definedName name="_1093__FDSAUDITLINK__" hidden="1">{"fdsup://Directions/FactSet Auditing Viewer?action=AUDIT_VALUE&amp;DB=129&amp;ID1=89190610&amp;VALUEID=01001&amp;SDATE=200902&amp;PERIODTYPE=QTR_STD&amp;window=popup_no_bar&amp;width=385&amp;height=120&amp;START_MAXIMIZED=FALSE&amp;creator=factset&amp;display_string=Audit"}</definedName>
    <definedName name="_1094__FDSAUDITLINK__" localSheetId="1" hidden="1">{"fdsup://Directions/FactSet Auditing Viewer?action=AUDIT_VALUE&amp;DB=129&amp;ID1=89190610&amp;VALUEID=01001&amp;SDATE=201002&amp;PERIODTYPE=QTR_STD&amp;window=popup_no_bar&amp;width=385&amp;height=120&amp;START_MAXIMIZED=FALSE&amp;creator=factset&amp;display_string=Audit"}</definedName>
    <definedName name="_1094__FDSAUDITLINK__" hidden="1">{"fdsup://Directions/FactSet Auditing Viewer?action=AUDIT_VALUE&amp;DB=129&amp;ID1=89190610&amp;VALUEID=01001&amp;SDATE=201002&amp;PERIODTYPE=QTR_STD&amp;window=popup_no_bar&amp;width=385&amp;height=120&amp;START_MAXIMIZED=FALSE&amp;creator=factset&amp;display_string=Audit"}</definedName>
    <definedName name="_1095__FDSAUDITLINK__" localSheetId="1" hidden="1">{"fdsup://Directions/FactSet Auditing Viewer?action=AUDIT_VALUE&amp;DB=129&amp;ID1=88160910&amp;VALUEID=01001&amp;SDATE=200902&amp;PERIODTYPE=QTR_STD&amp;window=popup_no_bar&amp;width=385&amp;height=120&amp;START_MAXIMIZED=FALSE&amp;creator=factset&amp;display_string=Audit"}</definedName>
    <definedName name="_1095__FDSAUDITLINK__" hidden="1">{"fdsup://Directions/FactSet Auditing Viewer?action=AUDIT_VALUE&amp;DB=129&amp;ID1=88160910&amp;VALUEID=01001&amp;SDATE=200902&amp;PERIODTYPE=QTR_STD&amp;window=popup_no_bar&amp;width=385&amp;height=120&amp;START_MAXIMIZED=FALSE&amp;creator=factset&amp;display_string=Audit"}</definedName>
    <definedName name="_1096__FDSAUDITLINK__" localSheetId="1" hidden="1">{"fdsup://Directions/FactSet Auditing Viewer?action=AUDIT_VALUE&amp;DB=129&amp;ID1=88160910&amp;VALUEID=01001&amp;SDATE=201002&amp;PERIODTYPE=QTR_STD&amp;window=popup_no_bar&amp;width=385&amp;height=120&amp;START_MAXIMIZED=FALSE&amp;creator=factset&amp;display_string=Audit"}</definedName>
    <definedName name="_1096__FDSAUDITLINK__" hidden="1">{"fdsup://Directions/FactSet Auditing Viewer?action=AUDIT_VALUE&amp;DB=129&amp;ID1=88160910&amp;VALUEID=01001&amp;SDATE=201002&amp;PERIODTYPE=QTR_STD&amp;window=popup_no_bar&amp;width=385&amp;height=120&amp;START_MAXIMIZED=FALSE&amp;creator=factset&amp;display_string=Audit"}</definedName>
    <definedName name="_1097__FDSAUDITLINK__" localSheetId="1" hidden="1">{"fdsup://Directions/FactSet Auditing Viewer?action=AUDIT_VALUE&amp;DB=129&amp;ID1=90249410&amp;VALUEID=01001&amp;SDATE=200903&amp;PERIODTYPE=QTR_STD&amp;window=popup_no_bar&amp;width=385&amp;height=120&amp;START_MAXIMIZED=FALSE&amp;creator=factset&amp;display_string=Audit"}</definedName>
    <definedName name="_1097__FDSAUDITLINK__" hidden="1">{"fdsup://Directions/FactSet Auditing Viewer?action=AUDIT_VALUE&amp;DB=129&amp;ID1=90249410&amp;VALUEID=01001&amp;SDATE=200903&amp;PERIODTYPE=QTR_STD&amp;window=popup_no_bar&amp;width=385&amp;height=120&amp;START_MAXIMIZED=FALSE&amp;creator=factset&amp;display_string=Audit"}</definedName>
    <definedName name="_1098__FDSAUDITLINK__" localSheetId="1" hidden="1">{"fdsup://Directions/FactSet Auditing Viewer?action=AUDIT_VALUE&amp;DB=129&amp;ID1=90249410&amp;VALUEID=01001&amp;SDATE=201003&amp;PERIODTYPE=QTR_STD&amp;window=popup_no_bar&amp;width=385&amp;height=120&amp;START_MAXIMIZED=FALSE&amp;creator=factset&amp;display_string=Audit"}</definedName>
    <definedName name="_1098__FDSAUDITLINK__" hidden="1">{"fdsup://Directions/FactSet Auditing Viewer?action=AUDIT_VALUE&amp;DB=129&amp;ID1=90249410&amp;VALUEID=01001&amp;SDATE=201003&amp;PERIODTYPE=QTR_STD&amp;window=popup_no_bar&amp;width=385&amp;height=120&amp;START_MAXIMIZED=FALSE&amp;creator=factset&amp;display_string=Audit"}</definedName>
    <definedName name="_1099__FDSAUDITLINK__" localSheetId="1" hidden="1">{"fdsup://Directions/FactSet Auditing Viewer?action=AUDIT_VALUE&amp;DB=129&amp;ID1=89417E10&amp;VALUEID=01001&amp;SDATE=200902&amp;PERIODTYPE=QTR_STD&amp;window=popup_no_bar&amp;width=385&amp;height=120&amp;START_MAXIMIZED=FALSE&amp;creator=factset&amp;display_string=Audit"}</definedName>
    <definedName name="_1099__FDSAUDITLINK__" hidden="1">{"fdsup://Directions/FactSet Auditing Viewer?action=AUDIT_VALUE&amp;DB=129&amp;ID1=89417E10&amp;VALUEID=01001&amp;SDATE=200902&amp;PERIODTYPE=QTR_STD&amp;window=popup_no_bar&amp;width=385&amp;height=120&amp;START_MAXIMIZED=FALSE&amp;creator=factset&amp;display_string=Audit"}</definedName>
    <definedName name="_11__123Graph_XLIQUIDS" hidden="1">[1]P!$R$29:$AK$29</definedName>
    <definedName name="_11__FDSAUDITLINK__" localSheetId="1"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__FDSAUDITLINK__" hidden="1">{"fdsup://directions/FAT Viewer?action=UPDATE&amp;creator=factset&amp;DYN_ARGS=TRUE&amp;DOC_NAME=FAT:FQL_AUDITING_CLIENT_TEMPLATE.FAT&amp;display_string=Audit&amp;VAR:KEY=ZQFCZEROFC&amp;VAR:QUERY=RkZfRUJJVERBX09QRVIoUVRSLDQvMS8yMDA5LDYvMzAvMjAwOSwsLFVTRCk=&amp;WINDOW=FIRST_POPUP&amp;HEIGH","T=450&amp;WIDTH=450&amp;START_MAXIMIZED=FALSE&amp;VAR:CALENDAR=US&amp;VAR:SYMBOL=XRAY&amp;VAR:INDEX=0"}</definedName>
    <definedName name="_110__FDSAUDITLINK__" localSheetId="1"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__FDSAUDITLINK__" hidden="1">{"fdsup://directions/FAT Viewer?action=UPDATE&amp;creator=factset&amp;DYN_ARGS=TRUE&amp;DOC_NAME=FAT:FQL_AUDITING_CLIENT_TEMPLATE.FAT&amp;display_string=Audit&amp;VAR:KEY=PADORCNILO&amp;VAR:QUERY=RkZfRUJJVERBX09QRVIoUVRSLDQvMS8yMDEwLDYvMzAvMjAxMCwsLFVTRCk=&amp;WINDOW=FIRST_POPUP&amp;HEIGH","T=450&amp;WIDTH=450&amp;START_MAXIMIZED=FALSE&amp;VAR:CALENDAR=US&amp;VAR:SYMBOL=TSN&amp;VAR:INDEX=0"}</definedName>
    <definedName name="_1100__FDSAUDITLINK__" localSheetId="1" hidden="1">{"fdsup://Directions/FactSet Auditing Viewer?action=AUDIT_VALUE&amp;DB=129&amp;ID1=89417E10&amp;VALUEID=01001&amp;SDATE=201002&amp;PERIODTYPE=QTR_STD&amp;window=popup_no_bar&amp;width=385&amp;height=120&amp;START_MAXIMIZED=FALSE&amp;creator=factset&amp;display_string=Audit"}</definedName>
    <definedName name="_1100__FDSAUDITLINK__" hidden="1">{"fdsup://Directions/FactSet Auditing Viewer?action=AUDIT_VALUE&amp;DB=129&amp;ID1=89417E10&amp;VALUEID=01001&amp;SDATE=201002&amp;PERIODTYPE=QTR_STD&amp;window=popup_no_bar&amp;width=385&amp;height=120&amp;START_MAXIMIZED=FALSE&amp;creator=factset&amp;display_string=Audit"}</definedName>
    <definedName name="_1101__FDSAUDITLINK__" localSheetId="1" hidden="1">{"fdsup://Directions/FactSet Auditing Viewer?action=AUDIT_VALUE&amp;DB=129&amp;ID1=74144T10&amp;VALUEID=01001&amp;SDATE=200902&amp;PERIODTYPE=QTR_STD&amp;window=popup_no_bar&amp;width=385&amp;height=120&amp;START_MAXIMIZED=FALSE&amp;creator=factset&amp;display_string=Audit"}</definedName>
    <definedName name="_1101__FDSAUDITLINK__" hidden="1">{"fdsup://Directions/FactSet Auditing Viewer?action=AUDIT_VALUE&amp;DB=129&amp;ID1=74144T10&amp;VALUEID=01001&amp;SDATE=200902&amp;PERIODTYPE=QTR_STD&amp;window=popup_no_bar&amp;width=385&amp;height=120&amp;START_MAXIMIZED=FALSE&amp;creator=factset&amp;display_string=Audit"}</definedName>
    <definedName name="_1102__FDSAUDITLINK__" localSheetId="1" hidden="1">{"fdsup://Directions/FactSet Auditing Viewer?action=AUDIT_VALUE&amp;DB=129&amp;ID1=74144T10&amp;VALUEID=01001&amp;SDATE=201002&amp;PERIODTYPE=QTR_STD&amp;window=popup_no_bar&amp;width=385&amp;height=120&amp;START_MAXIMIZED=FALSE&amp;creator=factset&amp;display_string=Audit"}</definedName>
    <definedName name="_1102__FDSAUDITLINK__" hidden="1">{"fdsup://Directions/FactSet Auditing Viewer?action=AUDIT_VALUE&amp;DB=129&amp;ID1=74144T10&amp;VALUEID=01001&amp;SDATE=201002&amp;PERIODTYPE=QTR_STD&amp;window=popup_no_bar&amp;width=385&amp;height=120&amp;START_MAXIMIZED=FALSE&amp;creator=factset&amp;display_string=Audit"}</definedName>
    <definedName name="_1103__FDSAUDITLINK__" localSheetId="1" hidden="1">{"fdsup://Directions/FactSet Auditing Viewer?action=AUDIT_VALUE&amp;DB=129&amp;ID1=88355610&amp;VALUEID=01001&amp;SDATE=200902&amp;PERIODTYPE=QTR_STD&amp;window=popup_no_bar&amp;width=385&amp;height=120&amp;START_MAXIMIZED=FALSE&amp;creator=factset&amp;display_string=Audit"}</definedName>
    <definedName name="_1103__FDSAUDITLINK__" hidden="1">{"fdsup://Directions/FactSet Auditing Viewer?action=AUDIT_VALUE&amp;DB=129&amp;ID1=88355610&amp;VALUEID=01001&amp;SDATE=200902&amp;PERIODTYPE=QTR_STD&amp;window=popup_no_bar&amp;width=385&amp;height=120&amp;START_MAXIMIZED=FALSE&amp;creator=factset&amp;display_string=Audit"}</definedName>
    <definedName name="_1104__FDSAUDITLINK__" localSheetId="1" hidden="1">{"fdsup://Directions/FactSet Auditing Viewer?action=AUDIT_VALUE&amp;DB=129&amp;ID1=88355610&amp;VALUEID=01001&amp;SDATE=201002&amp;PERIODTYPE=QTR_STD&amp;window=popup_no_bar&amp;width=385&amp;height=120&amp;START_MAXIMIZED=FALSE&amp;creator=factset&amp;display_string=Audit"}</definedName>
    <definedName name="_1104__FDSAUDITLINK__" hidden="1">{"fdsup://Directions/FactSet Auditing Viewer?action=AUDIT_VALUE&amp;DB=129&amp;ID1=88355610&amp;VALUEID=01001&amp;SDATE=201002&amp;PERIODTYPE=QTR_STD&amp;window=popup_no_bar&amp;width=385&amp;height=120&amp;START_MAXIMIZED=FALSE&amp;creator=factset&amp;display_string=Audit"}</definedName>
    <definedName name="_1105__FDSAUDITLINK__" localSheetId="1" hidden="1">{"fdsup://Directions/FactSet Auditing Viewer?action=AUDIT_VALUE&amp;DB=129&amp;ID1=89102710&amp;VALUEID=01001&amp;SDATE=200902&amp;PERIODTYPE=QTR_STD&amp;window=popup_no_bar&amp;width=385&amp;height=120&amp;START_MAXIMIZED=FALSE&amp;creator=factset&amp;display_string=Audit"}</definedName>
    <definedName name="_1105__FDSAUDITLINK__" hidden="1">{"fdsup://Directions/FactSet Auditing Viewer?action=AUDIT_VALUE&amp;DB=129&amp;ID1=89102710&amp;VALUEID=01001&amp;SDATE=200902&amp;PERIODTYPE=QTR_STD&amp;window=popup_no_bar&amp;width=385&amp;height=120&amp;START_MAXIMIZED=FALSE&amp;creator=factset&amp;display_string=Audit"}</definedName>
    <definedName name="_1106__FDSAUDITLINK__" localSheetId="1" hidden="1">{"fdsup://Directions/FactSet Auditing Viewer?action=AUDIT_VALUE&amp;DB=129&amp;ID1=89102710&amp;VALUEID=01001&amp;SDATE=201002&amp;PERIODTYPE=QTR_STD&amp;window=popup_no_bar&amp;width=385&amp;height=120&amp;START_MAXIMIZED=FALSE&amp;creator=factset&amp;display_string=Audit"}</definedName>
    <definedName name="_1106__FDSAUDITLINK__" hidden="1">{"fdsup://Directions/FactSet Auditing Viewer?action=AUDIT_VALUE&amp;DB=129&amp;ID1=89102710&amp;VALUEID=01001&amp;SDATE=201002&amp;PERIODTYPE=QTR_STD&amp;window=popup_no_bar&amp;width=385&amp;height=120&amp;START_MAXIMIZED=FALSE&amp;creator=factset&amp;display_string=Audit"}</definedName>
    <definedName name="_1107__FDSAUDITLINK__" localSheetId="1" hidden="1">{"fdsup://Directions/FactSet Auditing Viewer?action=AUDIT_VALUE&amp;DB=129&amp;ID1=87966410&amp;VALUEID=01001&amp;SDATE=200902&amp;PERIODTYPE=QTR_STD&amp;window=popup_no_bar&amp;width=385&amp;height=120&amp;START_MAXIMIZED=FALSE&amp;creator=factset&amp;display_string=Audit"}</definedName>
    <definedName name="_1107__FDSAUDITLINK__" hidden="1">{"fdsup://Directions/FactSet Auditing Viewer?action=AUDIT_VALUE&amp;DB=129&amp;ID1=87966410&amp;VALUEID=01001&amp;SDATE=200902&amp;PERIODTYPE=QTR_STD&amp;window=popup_no_bar&amp;width=385&amp;height=120&amp;START_MAXIMIZED=FALSE&amp;creator=factset&amp;display_string=Audit"}</definedName>
    <definedName name="_1108__FDSAUDITLINK__" localSheetId="1" hidden="1">{"fdsup://Directions/FactSet Auditing Viewer?action=AUDIT_VALUE&amp;DB=129&amp;ID1=87966410&amp;VALUEID=01001&amp;SDATE=201002&amp;PERIODTYPE=QTR_STD&amp;window=popup_no_bar&amp;width=385&amp;height=120&amp;START_MAXIMIZED=FALSE&amp;creator=factset&amp;display_string=Audit"}</definedName>
    <definedName name="_1108__FDSAUDITLINK__" hidden="1">{"fdsup://Directions/FactSet Auditing Viewer?action=AUDIT_VALUE&amp;DB=129&amp;ID1=87966410&amp;VALUEID=01001&amp;SDATE=201002&amp;PERIODTYPE=QTR_STD&amp;window=popup_no_bar&amp;width=385&amp;height=120&amp;START_MAXIMIZED=FALSE&amp;creator=factset&amp;display_string=Audit"}</definedName>
    <definedName name="_1109__FDSAUDITLINK__" localSheetId="1" hidden="1">{"fdsup://Directions/FactSet Auditing Viewer?action=AUDIT_VALUE&amp;DB=129&amp;ID1=87254010&amp;VALUEID=01001&amp;SDATE=200901&amp;PERIODTYPE=QTR_STD&amp;window=popup_no_bar&amp;width=385&amp;height=120&amp;START_MAXIMIZED=FALSE&amp;creator=factset&amp;display_string=Audit"}</definedName>
    <definedName name="_1109__FDSAUDITLINK__" hidden="1">{"fdsup://Directions/FactSet Auditing Viewer?action=AUDIT_VALUE&amp;DB=129&amp;ID1=87254010&amp;VALUEID=01001&amp;SDATE=200901&amp;PERIODTYPE=QTR_STD&amp;window=popup_no_bar&amp;width=385&amp;height=120&amp;START_MAXIMIZED=FALSE&amp;creator=factset&amp;display_string=Audit"}</definedName>
    <definedName name="_111__FDSAUDITLINK__" localSheetId="1"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__FDSAUDITLINK__" hidden="1">{"fdsup://directions/FAT Viewer?action=UPDATE&amp;creator=factset&amp;DYN_ARGS=TRUE&amp;DOC_NAME=FAT:FQL_AUDITING_CLIENT_TEMPLATE.FAT&amp;display_string=Audit&amp;VAR:KEY=ZGHSXAFWLQ&amp;VAR:QUERY=RkZfRUJJVERBX09QRVIoUVRSLDQvMS8yMDA5LDYvMzAvMjAwOSwsLFVTRCk=&amp;WINDOW=FIRST_POPUP&amp;HEIGH","T=450&amp;WIDTH=450&amp;START_MAXIMIZED=FALSE&amp;VAR:CALENDAR=US&amp;VAR:SYMBOL=TRV&amp;VAR:INDEX=0"}</definedName>
    <definedName name="_1110__FDSAUDITLINK__" localSheetId="1" hidden="1">{"fdsup://Directions/FactSet Auditing Viewer?action=AUDIT_VALUE&amp;DB=129&amp;ID1=87254010&amp;VALUEID=01001&amp;SDATE=201001&amp;PERIODTYPE=QTR_STD&amp;window=popup_no_bar&amp;width=385&amp;height=120&amp;START_MAXIMIZED=FALSE&amp;creator=factset&amp;display_string=Audit"}</definedName>
    <definedName name="_1110__FDSAUDITLINK__" hidden="1">{"fdsup://Directions/FactSet Auditing Viewer?action=AUDIT_VALUE&amp;DB=129&amp;ID1=87254010&amp;VALUEID=01001&amp;SDATE=201001&amp;PERIODTYPE=QTR_STD&amp;window=popup_no_bar&amp;width=385&amp;height=120&amp;START_MAXIMIZED=FALSE&amp;creator=factset&amp;display_string=Audit"}</definedName>
    <definedName name="_1111__FDSAUDITLINK__" localSheetId="1" hidden="1">{"fdsup://Directions/FactSet Auditing Viewer?action=AUDIT_VALUE&amp;DB=129&amp;ID1=88654710&amp;VALUEID=01001&amp;SDATE=200901&amp;PERIODTYPE=QTR_STD&amp;window=popup_no_bar&amp;width=385&amp;height=120&amp;START_MAXIMIZED=FALSE&amp;creator=factset&amp;display_string=Audit"}</definedName>
    <definedName name="_1111__FDSAUDITLINK__" hidden="1">{"fdsup://Directions/FactSet Auditing Viewer?action=AUDIT_VALUE&amp;DB=129&amp;ID1=88654710&amp;VALUEID=01001&amp;SDATE=200901&amp;PERIODTYPE=QTR_STD&amp;window=popup_no_bar&amp;width=385&amp;height=120&amp;START_MAXIMIZED=FALSE&amp;creator=factset&amp;display_string=Audit"}</definedName>
    <definedName name="_1112__FDSAUDITLINK__" localSheetId="1" hidden="1">{"fdsup://Directions/FactSet Auditing Viewer?action=AUDIT_VALUE&amp;DB=129&amp;ID1=88654710&amp;VALUEID=01001&amp;SDATE=201001&amp;PERIODTYPE=QTR_STD&amp;window=popup_no_bar&amp;width=385&amp;height=120&amp;START_MAXIMIZED=FALSE&amp;creator=factset&amp;display_string=Audit"}</definedName>
    <definedName name="_1112__FDSAUDITLINK__" hidden="1">{"fdsup://Directions/FactSet Auditing Viewer?action=AUDIT_VALUE&amp;DB=129&amp;ID1=88654710&amp;VALUEID=01001&amp;SDATE=201001&amp;PERIODTYPE=QTR_STD&amp;window=popup_no_bar&amp;width=385&amp;height=120&amp;START_MAXIMIZED=FALSE&amp;creator=factset&amp;display_string=Audit"}</definedName>
    <definedName name="_1113__FDSAUDITLINK__" localSheetId="1" hidden="1">{"fdsup://Directions/FactSet Auditing Viewer?action=AUDIT_VALUE&amp;DB=129&amp;ID1=88833920&amp;VALUEID=01001&amp;SDATE=200902&amp;PERIODTYPE=QTR_STD&amp;window=popup_no_bar&amp;width=385&amp;height=120&amp;START_MAXIMIZED=FALSE&amp;creator=factset&amp;display_string=Audit"}</definedName>
    <definedName name="_1113__FDSAUDITLINK__" hidden="1">{"fdsup://Directions/FactSet Auditing Viewer?action=AUDIT_VALUE&amp;DB=129&amp;ID1=88833920&amp;VALUEID=01001&amp;SDATE=200902&amp;PERIODTYPE=QTR_STD&amp;window=popup_no_bar&amp;width=385&amp;height=120&amp;START_MAXIMIZED=FALSE&amp;creator=factset&amp;display_string=Audit"}</definedName>
    <definedName name="_1114__FDSAUDITLINK__" localSheetId="1" hidden="1">{"fdsup://Directions/FactSet Auditing Viewer?action=AUDIT_VALUE&amp;DB=129&amp;ID1=88833920&amp;VALUEID=01001&amp;SDATE=201002&amp;PERIODTYPE=QTR_STD&amp;window=popup_no_bar&amp;width=385&amp;height=120&amp;START_MAXIMIZED=FALSE&amp;creator=factset&amp;display_string=Audit"}</definedName>
    <definedName name="_1114__FDSAUDITLINK__" hidden="1">{"fdsup://Directions/FactSet Auditing Viewer?action=AUDIT_VALUE&amp;DB=129&amp;ID1=88833920&amp;VALUEID=01001&amp;SDATE=201002&amp;PERIODTYPE=QTR_STD&amp;window=popup_no_bar&amp;width=385&amp;height=120&amp;START_MAXIMIZED=FALSE&amp;creator=factset&amp;display_string=Audit"}</definedName>
    <definedName name="_1115__FDSAUDITLINK__" localSheetId="1" hidden="1">{"fdsup://Directions/FactSet Auditing Viewer?action=AUDIT_VALUE&amp;DB=129&amp;ID1=88033G10&amp;VALUEID=01001&amp;SDATE=200902&amp;PERIODTYPE=QTR_STD&amp;window=popup_no_bar&amp;width=385&amp;height=120&amp;START_MAXIMIZED=FALSE&amp;creator=factset&amp;display_string=Audit"}</definedName>
    <definedName name="_1115__FDSAUDITLINK__" hidden="1">{"fdsup://Directions/FactSet Auditing Viewer?action=AUDIT_VALUE&amp;DB=129&amp;ID1=88033G10&amp;VALUEID=01001&amp;SDATE=200902&amp;PERIODTYPE=QTR_STD&amp;window=popup_no_bar&amp;width=385&amp;height=120&amp;START_MAXIMIZED=FALSE&amp;creator=factset&amp;display_string=Audit"}</definedName>
    <definedName name="_1116__FDSAUDITLINK__" localSheetId="1" hidden="1">{"fdsup://Directions/FactSet Auditing Viewer?action=AUDIT_VALUE&amp;DB=129&amp;ID1=88033G10&amp;VALUEID=01001&amp;SDATE=201002&amp;PERIODTYPE=QTR_STD&amp;window=popup_no_bar&amp;width=385&amp;height=120&amp;START_MAXIMIZED=FALSE&amp;creator=factset&amp;display_string=Audit"}</definedName>
    <definedName name="_1116__FDSAUDITLINK__" hidden="1">{"fdsup://Directions/FactSet Auditing Viewer?action=AUDIT_VALUE&amp;DB=129&amp;ID1=88033G10&amp;VALUEID=01001&amp;SDATE=201002&amp;PERIODTYPE=QTR_STD&amp;window=popup_no_bar&amp;width=385&amp;height=120&amp;START_MAXIMIZED=FALSE&amp;creator=factset&amp;display_string=Audit"}</definedName>
    <definedName name="_1117__FDSAUDITLINK__" localSheetId="1" hidden="1">{"fdsup://Directions/FactSet Auditing Viewer?action=AUDIT_VALUE&amp;DB=129&amp;ID1=87612E10&amp;VALUEID=01001&amp;SDATE=201001&amp;PERIODTYPE=QTR_STD&amp;window=popup_no_bar&amp;width=385&amp;height=120&amp;START_MAXIMIZED=FALSE&amp;creator=factset&amp;display_string=Audit"}</definedName>
    <definedName name="_1117__FDSAUDITLINK__" hidden="1">{"fdsup://Directions/FactSet Auditing Viewer?action=AUDIT_VALUE&amp;DB=129&amp;ID1=87612E10&amp;VALUEID=01001&amp;SDATE=201001&amp;PERIODTYPE=QTR_STD&amp;window=popup_no_bar&amp;width=385&amp;height=120&amp;START_MAXIMIZED=FALSE&amp;creator=factset&amp;display_string=Audit"}</definedName>
    <definedName name="_1118__FDSAUDITLINK__" localSheetId="1" hidden="1">{"fdsup://Directions/FactSet Auditing Viewer?action=AUDIT_VALUE&amp;DB=129&amp;ID1=88077010&amp;VALUEID=01001&amp;SDATE=200902&amp;PERIODTYPE=QTR_STD&amp;window=popup_no_bar&amp;width=385&amp;height=120&amp;START_MAXIMIZED=FALSE&amp;creator=factset&amp;display_string=Audit"}</definedName>
    <definedName name="_1118__FDSAUDITLINK__" hidden="1">{"fdsup://Directions/FactSet Auditing Viewer?action=AUDIT_VALUE&amp;DB=129&amp;ID1=88077010&amp;VALUEID=01001&amp;SDATE=200902&amp;PERIODTYPE=QTR_STD&amp;window=popup_no_bar&amp;width=385&amp;height=120&amp;START_MAXIMIZED=FALSE&amp;creator=factset&amp;display_string=Audit"}</definedName>
    <definedName name="_1119__FDSAUDITLINK__" localSheetId="1" hidden="1">{"fdsup://Directions/FactSet Auditing Viewer?action=AUDIT_VALUE&amp;DB=129&amp;ID1=88077010&amp;VALUEID=01001&amp;SDATE=201002&amp;PERIODTYPE=QTR_STD&amp;window=popup_no_bar&amp;width=385&amp;height=120&amp;START_MAXIMIZED=FALSE&amp;creator=factset&amp;display_string=Audit"}</definedName>
    <definedName name="_1119__FDSAUDITLINK__" hidden="1">{"fdsup://Directions/FactSet Auditing Viewer?action=AUDIT_VALUE&amp;DB=129&amp;ID1=88077010&amp;VALUEID=01001&amp;SDATE=201002&amp;PERIODTYPE=QTR_STD&amp;window=popup_no_bar&amp;width=385&amp;height=120&amp;START_MAXIMIZED=FALSE&amp;creator=factset&amp;display_string=Audit"}</definedName>
    <definedName name="_112__FDSAUDITLINK__" localSheetId="1"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__FDSAUDITLINK__" hidden="1">{"fdsup://directions/FAT Viewer?action=UPDATE&amp;creator=factset&amp;DYN_ARGS=TRUE&amp;DOC_NAME=FAT:FQL_AUDITING_CLIENT_TEMPLATE.FAT&amp;display_string=Audit&amp;VAR:KEY=TUBUJIJIPM&amp;VAR:QUERY=RkZfRUJJVERBX09QRVIoUVRSLDQvMS8yMDEwLDYvMzAvMjAxMCwsLFVTRCk=&amp;WINDOW=FIRST_POPUP&amp;HEIGH","T=450&amp;WIDTH=450&amp;START_MAXIMIZED=FALSE&amp;VAR:CALENDAR=US&amp;VAR:SYMBOL=TRV&amp;VAR:INDEX=0"}</definedName>
    <definedName name="_1120__FDSAUDITLINK__" localSheetId="1" hidden="1">{"fdsup://Directions/FactSet Auditing Viewer?action=AUDIT_VALUE&amp;DB=129&amp;ID1=45822P10&amp;VALUEID=01001&amp;SDATE=200902&amp;PERIODTYPE=QTR_STD&amp;window=popup_no_bar&amp;width=385&amp;height=120&amp;START_MAXIMIZED=FALSE&amp;creator=factset&amp;display_string=Audit"}</definedName>
    <definedName name="_1120__FDSAUDITLINK__" hidden="1">{"fdsup://Directions/FactSet Auditing Viewer?action=AUDIT_VALUE&amp;DB=129&amp;ID1=45822P10&amp;VALUEID=01001&amp;SDATE=200902&amp;PERIODTYPE=QTR_STD&amp;window=popup_no_bar&amp;width=385&amp;height=120&amp;START_MAXIMIZED=FALSE&amp;creator=factset&amp;display_string=Audit"}</definedName>
    <definedName name="_1121__FDSAUDITLINK__" localSheetId="1" hidden="1">{"fdsup://Directions/FactSet Auditing Viewer?action=AUDIT_VALUE&amp;DB=129&amp;ID1=45822P10&amp;VALUEID=01001&amp;SDATE=201002&amp;PERIODTYPE=QTR_STD&amp;window=popup_no_bar&amp;width=385&amp;height=120&amp;START_MAXIMIZED=FALSE&amp;creator=factset&amp;display_string=Audit"}</definedName>
    <definedName name="_1121__FDSAUDITLINK__" hidden="1">{"fdsup://Directions/FactSet Auditing Viewer?action=AUDIT_VALUE&amp;DB=129&amp;ID1=45822P10&amp;VALUEID=01001&amp;SDATE=201002&amp;PERIODTYPE=QTR_STD&amp;window=popup_no_bar&amp;width=385&amp;height=120&amp;START_MAXIMIZED=FALSE&amp;creator=factset&amp;display_string=Audit"}</definedName>
    <definedName name="_1122__FDSAUDITLINK__" localSheetId="1" hidden="1">{"fdsup://Directions/FactSet Auditing Viewer?action=AUDIT_VALUE&amp;DB=129&amp;ID1=87237510&amp;VALUEID=01001&amp;SDATE=200902&amp;PERIODTYPE=QTR_STD&amp;window=popup_no_bar&amp;width=385&amp;height=120&amp;START_MAXIMIZED=FALSE&amp;creator=factset&amp;display_string=Audit"}</definedName>
    <definedName name="_1122__FDSAUDITLINK__" hidden="1">{"fdsup://Directions/FactSet Auditing Viewer?action=AUDIT_VALUE&amp;DB=129&amp;ID1=87237510&amp;VALUEID=01001&amp;SDATE=200902&amp;PERIODTYPE=QTR_STD&amp;window=popup_no_bar&amp;width=385&amp;height=120&amp;START_MAXIMIZED=FALSE&amp;creator=factset&amp;display_string=Audit"}</definedName>
    <definedName name="_1123__FDSAUDITLINK__" localSheetId="1" hidden="1">{"fdsup://Directions/FactSet Auditing Viewer?action=AUDIT_VALUE&amp;DB=129&amp;ID1=87237510&amp;VALUEID=01001&amp;SDATE=201002&amp;PERIODTYPE=QTR_STD&amp;window=popup_no_bar&amp;width=385&amp;height=120&amp;START_MAXIMIZED=FALSE&amp;creator=factset&amp;display_string=Audit"}</definedName>
    <definedName name="_1123__FDSAUDITLINK__" hidden="1">{"fdsup://Directions/FactSet Auditing Viewer?action=AUDIT_VALUE&amp;DB=129&amp;ID1=87237510&amp;VALUEID=01001&amp;SDATE=201002&amp;PERIODTYPE=QTR_STD&amp;window=popup_no_bar&amp;width=385&amp;height=120&amp;START_MAXIMIZED=FALSE&amp;creator=factset&amp;display_string=Audit"}</definedName>
    <definedName name="_1124__FDSAUDITLINK__" localSheetId="1" hidden="1">{"fdsup://Directions/FactSet Auditing Viewer?action=AUDIT_VALUE&amp;DB=129&amp;ID1=88076W10&amp;VALUEID=01001&amp;SDATE=200902&amp;PERIODTYPE=QTR_STD&amp;window=popup_no_bar&amp;width=385&amp;height=120&amp;START_MAXIMIZED=FALSE&amp;creator=factset&amp;display_string=Audit"}</definedName>
    <definedName name="_1124__FDSAUDITLINK__" hidden="1">{"fdsup://Directions/FactSet Auditing Viewer?action=AUDIT_VALUE&amp;DB=129&amp;ID1=88076W10&amp;VALUEID=01001&amp;SDATE=200902&amp;PERIODTYPE=QTR_STD&amp;window=popup_no_bar&amp;width=385&amp;height=120&amp;START_MAXIMIZED=FALSE&amp;creator=factset&amp;display_string=Audit"}</definedName>
    <definedName name="_1125__FDSAUDITLINK__" localSheetId="1" hidden="1">{"fdsup://Directions/FactSet Auditing Viewer?action=AUDIT_VALUE&amp;DB=129&amp;ID1=88076W10&amp;VALUEID=01001&amp;SDATE=201002&amp;PERIODTYPE=QTR_STD&amp;window=popup_no_bar&amp;width=385&amp;height=120&amp;START_MAXIMIZED=FALSE&amp;creator=factset&amp;display_string=Audit"}</definedName>
    <definedName name="_1125__FDSAUDITLINK__" hidden="1">{"fdsup://Directions/FactSet Auditing Viewer?action=AUDIT_VALUE&amp;DB=129&amp;ID1=88076W10&amp;VALUEID=01001&amp;SDATE=201002&amp;PERIODTYPE=QTR_STD&amp;window=popup_no_bar&amp;width=385&amp;height=120&amp;START_MAXIMIZED=FALSE&amp;creator=factset&amp;display_string=Audit"}</definedName>
    <definedName name="_1126__FDSAUDITLINK__" localSheetId="1" hidden="1">{"fdsup://Directions/FactSet Auditing Viewer?action=AUDIT_VALUE&amp;DB=129&amp;ID1=60871R20&amp;VALUEID=01001&amp;SDATE=200902&amp;PERIODTYPE=QTR_STD&amp;window=popup_no_bar&amp;width=385&amp;height=120&amp;START_MAXIMIZED=FALSE&amp;creator=factset&amp;display_string=Audit"}</definedName>
    <definedName name="_1126__FDSAUDITLINK__" hidden="1">{"fdsup://Directions/FactSet Auditing Viewer?action=AUDIT_VALUE&amp;DB=129&amp;ID1=60871R20&amp;VALUEID=01001&amp;SDATE=200902&amp;PERIODTYPE=QTR_STD&amp;window=popup_no_bar&amp;width=385&amp;height=120&amp;START_MAXIMIZED=FALSE&amp;creator=factset&amp;display_string=Audit"}</definedName>
    <definedName name="_1127__FDSAUDITLINK__" localSheetId="1" hidden="1">{"fdsup://Directions/FactSet Auditing Viewer?action=AUDIT_VALUE&amp;DB=129&amp;ID1=60871R20&amp;VALUEID=01001&amp;SDATE=201002&amp;PERIODTYPE=QTR_STD&amp;window=popup_no_bar&amp;width=385&amp;height=120&amp;START_MAXIMIZED=FALSE&amp;creator=factset&amp;display_string=Audit"}</definedName>
    <definedName name="_1127__FDSAUDITLINK__" hidden="1">{"fdsup://Directions/FactSet Auditing Viewer?action=AUDIT_VALUE&amp;DB=129&amp;ID1=60871R20&amp;VALUEID=01001&amp;SDATE=201002&amp;PERIODTYPE=QTR_STD&amp;window=popup_no_bar&amp;width=385&amp;height=120&amp;START_MAXIMIZED=FALSE&amp;creator=factset&amp;display_string=Audit"}</definedName>
    <definedName name="_1128__FDSAUDITLINK__" localSheetId="1" hidden="1">{"fdsup://Directions/FactSet Auditing Viewer?action=AUDIT_VALUE&amp;DB=129&amp;ID1=00206R10&amp;VALUEID=01001&amp;SDATE=200902&amp;PERIODTYPE=QTR_STD&amp;window=popup_no_bar&amp;width=385&amp;height=120&amp;START_MAXIMIZED=FALSE&amp;creator=factset&amp;display_string=Audit"}</definedName>
    <definedName name="_1128__FDSAUDITLINK__" hidden="1">{"fdsup://Directions/FactSet Auditing Viewer?action=AUDIT_VALUE&amp;DB=129&amp;ID1=00206R10&amp;VALUEID=01001&amp;SDATE=200902&amp;PERIODTYPE=QTR_STD&amp;window=popup_no_bar&amp;width=385&amp;height=120&amp;START_MAXIMIZED=FALSE&amp;creator=factset&amp;display_string=Audit"}</definedName>
    <definedName name="_1129__FDSAUDITLINK__" localSheetId="1" hidden="1">{"fdsup://Directions/FactSet Auditing Viewer?action=AUDIT_VALUE&amp;DB=129&amp;ID1=00206R10&amp;VALUEID=01001&amp;SDATE=201002&amp;PERIODTYPE=QTR_STD&amp;window=popup_no_bar&amp;width=385&amp;height=120&amp;START_MAXIMIZED=FALSE&amp;creator=factset&amp;display_string=Audit"}</definedName>
    <definedName name="_1129__FDSAUDITLINK__" hidden="1">{"fdsup://Directions/FactSet Auditing Viewer?action=AUDIT_VALUE&amp;DB=129&amp;ID1=00206R10&amp;VALUEID=01001&amp;SDATE=201002&amp;PERIODTYPE=QTR_STD&amp;window=popup_no_bar&amp;width=385&amp;height=120&amp;START_MAXIMIZED=FALSE&amp;creator=factset&amp;display_string=Audit"}</definedName>
    <definedName name="_113__FDSAUDITLINK__" localSheetId="1"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__FDSAUDITLINK__" hidden="1">{"fdsup://directions/FAT Viewer?action=UPDATE&amp;creator=factset&amp;DYN_ARGS=TRUE&amp;DOC_NAME=FAT:FQL_AUDITING_CLIENT_TEMPLATE.FAT&amp;display_string=Audit&amp;VAR:KEY=DKBCBOVIHE&amp;VAR:QUERY=RkZfRUJJVERBX09QRVIoUVRSLDQvMS8yMDA5LDYvMzAvMjAwOSwsLFVTRCk=&amp;WINDOW=FIRST_POPUP&amp;HEIGH","T=450&amp;WIDTH=450&amp;START_MAXIMIZED=FALSE&amp;VAR:CALENDAR=US&amp;VAR:SYMBOL=TROW&amp;VAR:INDEX=0"}</definedName>
    <definedName name="_1130__FDSAUDITLINK__" localSheetId="1" hidden="1">{"fdsup://Directions/FactSet Auditing Viewer?action=AUDIT_VALUE&amp;DB=129&amp;ID1=87182910&amp;VALUEID=01001&amp;SDATE=201004&amp;PERIODTYPE=QTR_STD&amp;window=popup_no_bar&amp;width=385&amp;height=120&amp;START_MAXIMIZED=FALSE&amp;creator=factset&amp;display_string=Audit"}</definedName>
    <definedName name="_1130__FDSAUDITLINK__" hidden="1">{"fdsup://Directions/FactSet Auditing Viewer?action=AUDIT_VALUE&amp;DB=129&amp;ID1=87182910&amp;VALUEID=01001&amp;SDATE=201004&amp;PERIODTYPE=QTR_STD&amp;window=popup_no_bar&amp;width=385&amp;height=120&amp;START_MAXIMIZED=FALSE&amp;creator=factset&amp;display_string=Audit"}</definedName>
    <definedName name="_1131__FDSAUDITLINK__" localSheetId="1" hidden="1">{"fdsup://Directions/FactSet Auditing Viewer?action=AUDIT_VALUE&amp;DB=129&amp;ID1=87150310&amp;VALUEID=01001&amp;SDATE=200901&amp;PERIODTYPE=QTR_STD&amp;window=popup_no_bar&amp;width=385&amp;height=120&amp;START_MAXIMIZED=FALSE&amp;creator=factset&amp;display_string=Audit"}</definedName>
    <definedName name="_1131__FDSAUDITLINK__" hidden="1">{"fdsup://Directions/FactSet Auditing Viewer?action=AUDIT_VALUE&amp;DB=129&amp;ID1=87150310&amp;VALUEID=01001&amp;SDATE=200901&amp;PERIODTYPE=QTR_STD&amp;window=popup_no_bar&amp;width=385&amp;height=120&amp;START_MAXIMIZED=FALSE&amp;creator=factset&amp;display_string=Audit"}</definedName>
    <definedName name="_1132__FDSAUDITLINK__" localSheetId="1" hidden="1">{"fdsup://Directions/FactSet Auditing Viewer?action=AUDIT_VALUE&amp;DB=129&amp;ID1=87150310&amp;VALUEID=01001&amp;SDATE=201001&amp;PERIODTYPE=QTR_STD&amp;window=popup_no_bar&amp;width=385&amp;height=120&amp;START_MAXIMIZED=FALSE&amp;creator=factset&amp;display_string=Audit"}</definedName>
    <definedName name="_1132__FDSAUDITLINK__" hidden="1">{"fdsup://Directions/FactSet Auditing Viewer?action=AUDIT_VALUE&amp;DB=129&amp;ID1=87150310&amp;VALUEID=01001&amp;SDATE=201001&amp;PERIODTYPE=QTR_STD&amp;window=popup_no_bar&amp;width=385&amp;height=120&amp;START_MAXIMIZED=FALSE&amp;creator=factset&amp;display_string=Audit"}</definedName>
    <definedName name="_1133__FDSAUDITLINK__" localSheetId="1" hidden="1">{"fdsup://Directions/FactSet Auditing Viewer?action=AUDIT_VALUE&amp;DB=129&amp;ID1=86366710&amp;VALUEID=01001&amp;SDATE=200902&amp;PERIODTYPE=QTR_STD&amp;window=popup_no_bar&amp;width=385&amp;height=120&amp;START_MAXIMIZED=FALSE&amp;creator=factset&amp;display_string=Audit"}</definedName>
    <definedName name="_1133__FDSAUDITLINK__" hidden="1">{"fdsup://Directions/FactSet Auditing Viewer?action=AUDIT_VALUE&amp;DB=129&amp;ID1=86366710&amp;VALUEID=01001&amp;SDATE=200902&amp;PERIODTYPE=QTR_STD&amp;window=popup_no_bar&amp;width=385&amp;height=120&amp;START_MAXIMIZED=FALSE&amp;creator=factset&amp;display_string=Audit"}</definedName>
    <definedName name="_1134__FDSAUDITLINK__" localSheetId="1" hidden="1">{"fdsup://Directions/FactSet Auditing Viewer?action=AUDIT_VALUE&amp;DB=129&amp;ID1=86366710&amp;VALUEID=01001&amp;SDATE=201002&amp;PERIODTYPE=QTR_STD&amp;window=popup_no_bar&amp;width=385&amp;height=120&amp;START_MAXIMIZED=FALSE&amp;creator=factset&amp;display_string=Audit"}</definedName>
    <definedName name="_1134__FDSAUDITLINK__" hidden="1">{"fdsup://Directions/FactSet Auditing Viewer?action=AUDIT_VALUE&amp;DB=129&amp;ID1=86366710&amp;VALUEID=01001&amp;SDATE=201002&amp;PERIODTYPE=QTR_STD&amp;window=popup_no_bar&amp;width=385&amp;height=120&amp;START_MAXIMIZED=FALSE&amp;creator=factset&amp;display_string=Audit"}</definedName>
    <definedName name="_1135__FDSAUDITLINK__" localSheetId="1" hidden="1">{"fdsup://Directions/FactSet Auditing Viewer?action=AUDIT_VALUE&amp;DB=129&amp;ID1=78651420&amp;VALUEID=01001&amp;SDATE=200902&amp;PERIODTYPE=QTR_STD&amp;window=popup_no_bar&amp;width=385&amp;height=120&amp;START_MAXIMIZED=FALSE&amp;creator=factset&amp;display_string=Audit"}</definedName>
    <definedName name="_1135__FDSAUDITLINK__" hidden="1">{"fdsup://Directions/FactSet Auditing Viewer?action=AUDIT_VALUE&amp;DB=129&amp;ID1=78651420&amp;VALUEID=01001&amp;SDATE=200902&amp;PERIODTYPE=QTR_STD&amp;window=popup_no_bar&amp;width=385&amp;height=120&amp;START_MAXIMIZED=FALSE&amp;creator=factset&amp;display_string=Audit"}</definedName>
    <definedName name="_1136__FDSAUDITLINK__" localSheetId="1" hidden="1">{"fdsup://Directions/FactSet Auditing Viewer?action=AUDIT_VALUE&amp;DB=129&amp;ID1=78651420&amp;VALUEID=01001&amp;SDATE=201002&amp;PERIODTYPE=QTR_STD&amp;window=popup_no_bar&amp;width=385&amp;height=120&amp;START_MAXIMIZED=FALSE&amp;creator=factset&amp;display_string=Audit"}</definedName>
    <definedName name="_1136__FDSAUDITLINK__" hidden="1">{"fdsup://Directions/FactSet Auditing Viewer?action=AUDIT_VALUE&amp;DB=129&amp;ID1=78651420&amp;VALUEID=01001&amp;SDATE=201002&amp;PERIODTYPE=QTR_STD&amp;window=popup_no_bar&amp;width=385&amp;height=120&amp;START_MAXIMIZED=FALSE&amp;creator=factset&amp;display_string=Audit"}</definedName>
    <definedName name="_1137__FDSAUDITLINK__" localSheetId="1" hidden="1">{"fdsup://Directions/FactSet Auditing Viewer?action=AUDIT_VALUE&amp;DB=129&amp;ID1=84546710&amp;VALUEID=01001&amp;SDATE=200902&amp;PERIODTYPE=QTR_STD&amp;window=popup_no_bar&amp;width=385&amp;height=120&amp;START_MAXIMIZED=FALSE&amp;creator=factset&amp;display_string=Audit"}</definedName>
    <definedName name="_1137__FDSAUDITLINK__" hidden="1">{"fdsup://Directions/FactSet Auditing Viewer?action=AUDIT_VALUE&amp;DB=129&amp;ID1=84546710&amp;VALUEID=01001&amp;SDATE=200902&amp;PERIODTYPE=QTR_STD&amp;window=popup_no_bar&amp;width=385&amp;height=120&amp;START_MAXIMIZED=FALSE&amp;creator=factset&amp;display_string=Audit"}</definedName>
    <definedName name="_1138__FDSAUDITLINK__" localSheetId="1" hidden="1">{"fdsup://Directions/FactSet Auditing Viewer?action=AUDIT_VALUE&amp;DB=129&amp;ID1=84546710&amp;VALUEID=01001&amp;SDATE=201002&amp;PERIODTYPE=QTR_STD&amp;window=popup_no_bar&amp;width=385&amp;height=120&amp;START_MAXIMIZED=FALSE&amp;creator=factset&amp;display_string=Audit"}</definedName>
    <definedName name="_1138__FDSAUDITLINK__" hidden="1">{"fdsup://Directions/FactSet Auditing Viewer?action=AUDIT_VALUE&amp;DB=129&amp;ID1=84546710&amp;VALUEID=01001&amp;SDATE=201002&amp;PERIODTYPE=QTR_STD&amp;window=popup_no_bar&amp;width=385&amp;height=120&amp;START_MAXIMIZED=FALSE&amp;creator=factset&amp;display_string=Audit"}</definedName>
    <definedName name="_1139__FDSAUDITLINK__" localSheetId="1" hidden="1">{"fdsup://Directions/FactSet Auditing Viewer?action=AUDIT_VALUE&amp;DB=129&amp;ID1=85450210&amp;VALUEID=01001&amp;SDATE=200902&amp;PERIODTYPE=QTR_STD&amp;window=popup_no_bar&amp;width=385&amp;height=120&amp;START_MAXIMIZED=FALSE&amp;creator=factset&amp;display_string=Audit"}</definedName>
    <definedName name="_1139__FDSAUDITLINK__" hidden="1">{"fdsup://Directions/FactSet Auditing Viewer?action=AUDIT_VALUE&amp;DB=129&amp;ID1=85450210&amp;VALUEID=01001&amp;SDATE=200902&amp;PERIODTYPE=QTR_STD&amp;window=popup_no_bar&amp;width=385&amp;height=120&amp;START_MAXIMIZED=FALSE&amp;creator=factset&amp;display_string=Audit"}</definedName>
    <definedName name="_114__FDSAUDITLINK__" localSheetId="1"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__FDSAUDITLINK__" hidden="1">{"fdsup://directions/FAT Viewer?action=UPDATE&amp;creator=factset&amp;DYN_ARGS=TRUE&amp;DOC_NAME=FAT:FQL_AUDITING_CLIENT_TEMPLATE.FAT&amp;display_string=Audit&amp;VAR:KEY=TWJUFWZYLY&amp;VAR:QUERY=RkZfRUJJVERBX09QRVIoUVRSLDQvMS8yMDEwLDYvMzAvMjAxMCwsLFVTRCk=&amp;WINDOW=FIRST_POPUP&amp;HEIGH","T=450&amp;WIDTH=450&amp;START_MAXIMIZED=FALSE&amp;VAR:CALENDAR=US&amp;VAR:SYMBOL=TROW&amp;VAR:INDEX=0"}</definedName>
    <definedName name="_1140__FDSAUDITLINK__" localSheetId="1" hidden="1">{"fdsup://Directions/FactSet Auditing Viewer?action=AUDIT_VALUE&amp;DB=129&amp;ID1=85450210&amp;VALUEID=01001&amp;SDATE=201002&amp;PERIODTYPE=QTR_STD&amp;window=popup_no_bar&amp;width=385&amp;height=120&amp;START_MAXIMIZED=FALSE&amp;creator=factset&amp;display_string=Audit"}</definedName>
    <definedName name="_1140__FDSAUDITLINK__" hidden="1">{"fdsup://Directions/FactSet Auditing Viewer?action=AUDIT_VALUE&amp;DB=129&amp;ID1=85450210&amp;VALUEID=01001&amp;SDATE=201002&amp;PERIODTYPE=QTR_STD&amp;window=popup_no_bar&amp;width=385&amp;height=120&amp;START_MAXIMIZED=FALSE&amp;creator=factset&amp;display_string=Audit"}</definedName>
    <definedName name="_1141__FDSAUDITLINK__" localSheetId="1" hidden="1">{"fdsup://Directions/FactSet Auditing Viewer?action=AUDIT_VALUE&amp;DB=129&amp;ID1=86853610&amp;VALUEID=01001&amp;SDATE=200901&amp;PERIODTYPE=QTR_STD&amp;window=popup_no_bar&amp;width=385&amp;height=120&amp;START_MAXIMIZED=FALSE&amp;creator=factset&amp;display_string=Audit"}</definedName>
    <definedName name="_1141__FDSAUDITLINK__" hidden="1">{"fdsup://Directions/FactSet Auditing Viewer?action=AUDIT_VALUE&amp;DB=129&amp;ID1=86853610&amp;VALUEID=01001&amp;SDATE=200901&amp;PERIODTYPE=QTR_STD&amp;window=popup_no_bar&amp;width=385&amp;height=120&amp;START_MAXIMIZED=FALSE&amp;creator=factset&amp;display_string=Audit"}</definedName>
    <definedName name="_1142__FDSAUDITLINK__" localSheetId="1" hidden="1">{"fdsup://Directions/FactSet Auditing Viewer?action=AUDIT_VALUE&amp;DB=129&amp;ID1=86853610&amp;VALUEID=01001&amp;SDATE=201001&amp;PERIODTYPE=QTR_STD&amp;window=popup_no_bar&amp;width=385&amp;height=120&amp;START_MAXIMIZED=FALSE&amp;creator=factset&amp;display_string=Audit"}</definedName>
    <definedName name="_1142__FDSAUDITLINK__" hidden="1">{"fdsup://Directions/FactSet Auditing Viewer?action=AUDIT_VALUE&amp;DB=129&amp;ID1=86853610&amp;VALUEID=01001&amp;SDATE=201001&amp;PERIODTYPE=QTR_STD&amp;window=popup_no_bar&amp;width=385&amp;height=120&amp;START_MAXIMIZED=FALSE&amp;creator=factset&amp;display_string=Audit"}</definedName>
    <definedName name="_1143__FDSAUDITLINK__" localSheetId="1" hidden="1">{"fdsup://Directions/FactSet Auditing Viewer?action=AUDIT_VALUE&amp;DB=129&amp;ID1=86764P10&amp;VALUEID=01001&amp;SDATE=200902&amp;PERIODTYPE=QTR_STD&amp;window=popup_no_bar&amp;width=385&amp;height=120&amp;START_MAXIMIZED=FALSE&amp;creator=factset&amp;display_string=Audit"}</definedName>
    <definedName name="_1143__FDSAUDITLINK__" hidden="1">{"fdsup://Directions/FactSet Auditing Viewer?action=AUDIT_VALUE&amp;DB=129&amp;ID1=86764P10&amp;VALUEID=01001&amp;SDATE=200902&amp;PERIODTYPE=QTR_STD&amp;window=popup_no_bar&amp;width=385&amp;height=120&amp;START_MAXIMIZED=FALSE&amp;creator=factset&amp;display_string=Audit"}</definedName>
    <definedName name="_1144__FDSAUDITLINK__" localSheetId="1" hidden="1">{"fdsup://Directions/FactSet Auditing Viewer?action=AUDIT_VALUE&amp;DB=129&amp;ID1=86764P10&amp;VALUEID=01001&amp;SDATE=201002&amp;PERIODTYPE=QTR_STD&amp;window=popup_no_bar&amp;width=385&amp;height=120&amp;START_MAXIMIZED=FALSE&amp;creator=factset&amp;display_string=Audit"}</definedName>
    <definedName name="_1144__FDSAUDITLINK__" hidden="1">{"fdsup://Directions/FactSet Auditing Viewer?action=AUDIT_VALUE&amp;DB=129&amp;ID1=86764P10&amp;VALUEID=01001&amp;SDATE=201002&amp;PERIODTYPE=QTR_STD&amp;window=popup_no_bar&amp;width=385&amp;height=120&amp;START_MAXIMIZED=FALSE&amp;creator=factset&amp;display_string=Audit"}</definedName>
    <definedName name="_1145__FDSAUDITLINK__" localSheetId="1" hidden="1">{"fdsup://Directions/FactSet Auditing Viewer?action=AUDIT_VALUE&amp;DB=129&amp;ID1=21036P10&amp;VALUEID=01001&amp;SDATE=200901&amp;PERIODTYPE=QTR_STD&amp;window=popup_no_bar&amp;width=385&amp;height=120&amp;START_MAXIMIZED=FALSE&amp;creator=factset&amp;display_string=Audit"}</definedName>
    <definedName name="_1145__FDSAUDITLINK__" hidden="1">{"fdsup://Directions/FactSet Auditing Viewer?action=AUDIT_VALUE&amp;DB=129&amp;ID1=21036P10&amp;VALUEID=01001&amp;SDATE=200901&amp;PERIODTYPE=QTR_STD&amp;window=popup_no_bar&amp;width=385&amp;height=120&amp;START_MAXIMIZED=FALSE&amp;creator=factset&amp;display_string=Audit"}</definedName>
    <definedName name="_1146__FDSAUDITLINK__" localSheetId="1" hidden="1">{"fdsup://Directions/FactSet Auditing Viewer?action=AUDIT_VALUE&amp;DB=129&amp;ID1=21036P10&amp;VALUEID=01001&amp;SDATE=201001&amp;PERIODTYPE=QTR_STD&amp;window=popup_no_bar&amp;width=385&amp;height=120&amp;START_MAXIMIZED=FALSE&amp;creator=factset&amp;display_string=Audit"}</definedName>
    <definedName name="_1146__FDSAUDITLINK__" hidden="1">{"fdsup://Directions/FactSet Auditing Viewer?action=AUDIT_VALUE&amp;DB=129&amp;ID1=21036P10&amp;VALUEID=01001&amp;SDATE=201001&amp;PERIODTYPE=QTR_STD&amp;window=popup_no_bar&amp;width=385&amp;height=120&amp;START_MAXIMIZED=FALSE&amp;creator=factset&amp;display_string=Audit"}</definedName>
    <definedName name="_1147__FDSAUDITLINK__" localSheetId="1" hidden="1">{"fdsup://Directions/FactSet Auditing Viewer?action=AUDIT_VALUE&amp;DB=129&amp;ID1=79084910&amp;VALUEID=01001&amp;SDATE=200902&amp;PERIODTYPE=QTR_STD&amp;window=popup_no_bar&amp;width=385&amp;height=120&amp;START_MAXIMIZED=FALSE&amp;creator=factset&amp;display_string=Audit"}</definedName>
    <definedName name="_1147__FDSAUDITLINK__" hidden="1">{"fdsup://Directions/FactSet Auditing Viewer?action=AUDIT_VALUE&amp;DB=129&amp;ID1=79084910&amp;VALUEID=01001&amp;SDATE=200902&amp;PERIODTYPE=QTR_STD&amp;window=popup_no_bar&amp;width=385&amp;height=120&amp;START_MAXIMIZED=FALSE&amp;creator=factset&amp;display_string=Audit"}</definedName>
    <definedName name="_1148__FDSAUDITLINK__" localSheetId="1" hidden="1">{"fdsup://Directions/FactSet Auditing Viewer?action=AUDIT_VALUE&amp;DB=129&amp;ID1=79084910&amp;VALUEID=01001&amp;SDATE=201002&amp;PERIODTYPE=QTR_STD&amp;window=popup_no_bar&amp;width=385&amp;height=120&amp;START_MAXIMIZED=FALSE&amp;creator=factset&amp;display_string=Audit"}</definedName>
    <definedName name="_1148__FDSAUDITLINK__" hidden="1">{"fdsup://Directions/FactSet Auditing Viewer?action=AUDIT_VALUE&amp;DB=129&amp;ID1=79084910&amp;VALUEID=01001&amp;SDATE=201002&amp;PERIODTYPE=QTR_STD&amp;window=popup_no_bar&amp;width=385&amp;height=120&amp;START_MAXIMIZED=FALSE&amp;creator=factset&amp;display_string=Audit"}</definedName>
    <definedName name="_1149__FDSAUDITLINK__" localSheetId="1" hidden="1">{"fdsup://Directions/FactSet Auditing Viewer?action=AUDIT_VALUE&amp;DB=129&amp;ID1=81685110&amp;VALUEID=01001&amp;SDATE=200902&amp;PERIODTYPE=QTR_STD&amp;window=popup_no_bar&amp;width=385&amp;height=120&amp;START_MAXIMIZED=FALSE&amp;creator=factset&amp;display_string=Audit"}</definedName>
    <definedName name="_1149__FDSAUDITLINK__" hidden="1">{"fdsup://Directions/FactSet Auditing Viewer?action=AUDIT_VALUE&amp;DB=129&amp;ID1=81685110&amp;VALUEID=01001&amp;SDATE=200902&amp;PERIODTYPE=QTR_STD&amp;window=popup_no_bar&amp;width=385&amp;height=120&amp;START_MAXIMIZED=FALSE&amp;creator=factset&amp;display_string=Audit"}</definedName>
    <definedName name="_115__FDSAUDITLINK__" localSheetId="1"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__FDSAUDITLINK__" hidden="1">{"fdsup://directions/FAT Viewer?action=UPDATE&amp;creator=factset&amp;DYN_ARGS=TRUE&amp;DOC_NAME=FAT:FQL_AUDITING_CLIENT_TEMPLATE.FAT&amp;display_string=Audit&amp;VAR:KEY=TIXOXOJCVI&amp;VAR:QUERY=RkZfRUJJVERBX09QRVIoUVRSLDQvMS8yMDA5LDYvMzAvMjAwOSwsLFVTRCk=&amp;WINDOW=FIRST_POPUP&amp;HEIGH","T=450&amp;WIDTH=450&amp;START_MAXIMIZED=FALSE&amp;VAR:CALENDAR=US&amp;VAR:SYMBOL=TMO&amp;VAR:INDEX=0"}</definedName>
    <definedName name="_1150__FDSAUDITLINK__" localSheetId="1" hidden="1">{"fdsup://Directions/FactSet Auditing Viewer?action=AUDIT_VALUE&amp;DB=129&amp;ID1=81685110&amp;VALUEID=01001&amp;SDATE=201002&amp;PERIODTYPE=QTR_STD&amp;window=popup_no_bar&amp;width=385&amp;height=120&amp;START_MAXIMIZED=FALSE&amp;creator=factset&amp;display_string=Audit"}</definedName>
    <definedName name="_1150__FDSAUDITLINK__" hidden="1">{"fdsup://Directions/FactSet Auditing Viewer?action=AUDIT_VALUE&amp;DB=129&amp;ID1=81685110&amp;VALUEID=01001&amp;SDATE=201002&amp;PERIODTYPE=QTR_STD&amp;window=popup_no_bar&amp;width=385&amp;height=120&amp;START_MAXIMIZED=FALSE&amp;creator=factset&amp;display_string=Audit"}</definedName>
    <definedName name="_1151__FDSAUDITLINK__" localSheetId="1" hidden="1">{"fdsup://Directions/FactSet Auditing Viewer?action=AUDIT_VALUE&amp;DB=129&amp;ID1=85891210&amp;VALUEID=01001&amp;SDATE=200902&amp;PERIODTYPE=QTR_STD&amp;window=popup_no_bar&amp;width=385&amp;height=120&amp;START_MAXIMIZED=FALSE&amp;creator=factset&amp;display_string=Audit"}</definedName>
    <definedName name="_1151__FDSAUDITLINK__" hidden="1">{"fdsup://Directions/FactSet Auditing Viewer?action=AUDIT_VALUE&amp;DB=129&amp;ID1=85891210&amp;VALUEID=01001&amp;SDATE=200902&amp;PERIODTYPE=QTR_STD&amp;window=popup_no_bar&amp;width=385&amp;height=120&amp;START_MAXIMIZED=FALSE&amp;creator=factset&amp;display_string=Audit"}</definedName>
    <definedName name="_1152__FDSAUDITLINK__" localSheetId="1" hidden="1">{"fdsup://Directions/FactSet Auditing Viewer?action=AUDIT_VALUE&amp;DB=129&amp;ID1=85891210&amp;VALUEID=01001&amp;SDATE=201002&amp;PERIODTYPE=QTR_STD&amp;window=popup_no_bar&amp;width=385&amp;height=120&amp;START_MAXIMIZED=FALSE&amp;creator=factset&amp;display_string=Audit"}</definedName>
    <definedName name="_1152__FDSAUDITLINK__" hidden="1">{"fdsup://Directions/FactSet Auditing Viewer?action=AUDIT_VALUE&amp;DB=129&amp;ID1=85891210&amp;VALUEID=01001&amp;SDATE=201002&amp;PERIODTYPE=QTR_STD&amp;window=popup_no_bar&amp;width=385&amp;height=120&amp;START_MAXIMIZED=FALSE&amp;creator=factset&amp;display_string=Audit"}</definedName>
    <definedName name="_1153__FDSAUDITLINK__" localSheetId="1" hidden="1">{"fdsup://Directions/FactSet Auditing Viewer?action=AUDIT_VALUE&amp;DB=129&amp;ID1=85503010&amp;VALUEID=01001&amp;SDATE=200901&amp;PERIODTYPE=QTR_STD&amp;window=popup_no_bar&amp;width=385&amp;height=120&amp;START_MAXIMIZED=FALSE&amp;creator=factset&amp;display_string=Audit"}</definedName>
    <definedName name="_1153__FDSAUDITLINK__" hidden="1">{"fdsup://Directions/FactSet Auditing Viewer?action=AUDIT_VALUE&amp;DB=129&amp;ID1=85503010&amp;VALUEID=01001&amp;SDATE=200901&amp;PERIODTYPE=QTR_STD&amp;window=popup_no_bar&amp;width=385&amp;height=120&amp;START_MAXIMIZED=FALSE&amp;creator=factset&amp;display_string=Audit"}</definedName>
    <definedName name="_1154__FDSAUDITLINK__" localSheetId="1" hidden="1">{"fdsup://Directions/FactSet Auditing Viewer?action=AUDIT_VALUE&amp;DB=129&amp;ID1=85503010&amp;VALUEID=01001&amp;SDATE=201001&amp;PERIODTYPE=QTR_STD&amp;window=popup_no_bar&amp;width=385&amp;height=120&amp;START_MAXIMIZED=FALSE&amp;creator=factset&amp;display_string=Audit"}</definedName>
    <definedName name="_1154__FDSAUDITLINK__" hidden="1">{"fdsup://Directions/FactSet Auditing Viewer?action=AUDIT_VALUE&amp;DB=129&amp;ID1=85503010&amp;VALUEID=01001&amp;SDATE=201001&amp;PERIODTYPE=QTR_STD&amp;window=popup_no_bar&amp;width=385&amp;height=120&amp;START_MAXIMIZED=FALSE&amp;creator=factset&amp;display_string=Audit"}</definedName>
    <definedName name="_1155__FDSAUDITLINK__" localSheetId="1" hidden="1">{"fdsup://Directions/FactSet Auditing Viewer?action=AUDIT_VALUE&amp;DB=129&amp;ID1=82880610&amp;VALUEID=01001&amp;SDATE=200902&amp;PERIODTYPE=QTR_STD&amp;window=popup_no_bar&amp;width=385&amp;height=120&amp;START_MAXIMIZED=FALSE&amp;creator=factset&amp;display_string=Audit"}</definedName>
    <definedName name="_1155__FDSAUDITLINK__" hidden="1">{"fdsup://Directions/FactSet Auditing Viewer?action=AUDIT_VALUE&amp;DB=129&amp;ID1=82880610&amp;VALUEID=01001&amp;SDATE=200902&amp;PERIODTYPE=QTR_STD&amp;window=popup_no_bar&amp;width=385&amp;height=120&amp;START_MAXIMIZED=FALSE&amp;creator=factset&amp;display_string=Audit"}</definedName>
    <definedName name="_1156__FDSAUDITLINK__" localSheetId="1" hidden="1">{"fdsup://Directions/FactSet Auditing Viewer?action=AUDIT_VALUE&amp;DB=129&amp;ID1=82880610&amp;VALUEID=01001&amp;SDATE=201002&amp;PERIODTYPE=QTR_STD&amp;window=popup_no_bar&amp;width=385&amp;height=120&amp;START_MAXIMIZED=FALSE&amp;creator=factset&amp;display_string=Audit"}</definedName>
    <definedName name="_1156__FDSAUDITLINK__" hidden="1">{"fdsup://Directions/FactSet Auditing Viewer?action=AUDIT_VALUE&amp;DB=129&amp;ID1=82880610&amp;VALUEID=01001&amp;SDATE=201002&amp;PERIODTYPE=QTR_STD&amp;window=popup_no_bar&amp;width=385&amp;height=120&amp;START_MAXIMIZED=FALSE&amp;creator=factset&amp;display_string=Audit"}</definedName>
    <definedName name="_1157__FDSAUDITLINK__" localSheetId="1" hidden="1">{"fdsup://Directions/FactSet Auditing Viewer?action=AUDIT_VALUE&amp;DB=129&amp;ID1=84258710&amp;VALUEID=01001&amp;SDATE=200902&amp;PERIODTYPE=QTR_STD&amp;window=popup_no_bar&amp;width=385&amp;height=120&amp;START_MAXIMIZED=FALSE&amp;creator=factset&amp;display_string=Audit"}</definedName>
    <definedName name="_1157__FDSAUDITLINK__" hidden="1">{"fdsup://Directions/FactSet Auditing Viewer?action=AUDIT_VALUE&amp;DB=129&amp;ID1=84258710&amp;VALUEID=01001&amp;SDATE=200902&amp;PERIODTYPE=QTR_STD&amp;window=popup_no_bar&amp;width=385&amp;height=120&amp;START_MAXIMIZED=FALSE&amp;creator=factset&amp;display_string=Audit"}</definedName>
    <definedName name="_1158__FDSAUDITLINK__" localSheetId="1" hidden="1">{"fdsup://Directions/FactSet Auditing Viewer?action=AUDIT_VALUE&amp;DB=129&amp;ID1=84258710&amp;VALUEID=01001&amp;SDATE=201002&amp;PERIODTYPE=QTR_STD&amp;window=popup_no_bar&amp;width=385&amp;height=120&amp;START_MAXIMIZED=FALSE&amp;creator=factset&amp;display_string=Audit"}</definedName>
    <definedName name="_1158__FDSAUDITLINK__" hidden="1">{"fdsup://Directions/FactSet Auditing Viewer?action=AUDIT_VALUE&amp;DB=129&amp;ID1=84258710&amp;VALUEID=01001&amp;SDATE=201002&amp;PERIODTYPE=QTR_STD&amp;window=popup_no_bar&amp;width=385&amp;height=120&amp;START_MAXIMIZED=FALSE&amp;creator=factset&amp;display_string=Audit"}</definedName>
    <definedName name="_1159__FDSAUDITLINK__" localSheetId="1" hidden="1">{"fdsup://Directions/FactSet Auditing Viewer?action=AUDIT_VALUE&amp;DB=129&amp;ID1=81106510&amp;VALUEID=01001&amp;SDATE=200902&amp;PERIODTYPE=QTR_STD&amp;window=popup_no_bar&amp;width=385&amp;height=120&amp;START_MAXIMIZED=FALSE&amp;creator=factset&amp;display_string=Audit"}</definedName>
    <definedName name="_1159__FDSAUDITLINK__" hidden="1">{"fdsup://Directions/FactSet Auditing Viewer?action=AUDIT_VALUE&amp;DB=129&amp;ID1=81106510&amp;VALUEID=01001&amp;SDATE=200902&amp;PERIODTYPE=QTR_STD&amp;window=popup_no_bar&amp;width=385&amp;height=120&amp;START_MAXIMIZED=FALSE&amp;creator=factset&amp;display_string=Audit"}</definedName>
    <definedName name="_116__FDSAUDITLINK__" localSheetId="1"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__FDSAUDITLINK__" hidden="1">{"fdsup://directions/FAT Viewer?action=UPDATE&amp;creator=factset&amp;DYN_ARGS=TRUE&amp;DOC_NAME=FAT:FQL_AUDITING_CLIENT_TEMPLATE.FAT&amp;display_string=Audit&amp;VAR:KEY=LILAJMDMNG&amp;VAR:QUERY=RkZfRUJJVERBX09QRVIoUVRSLDQvMS8yMDEwLDYvMzAvMjAxMCwsLFVTRCk=&amp;WINDOW=FIRST_POPUP&amp;HEIGH","T=450&amp;WIDTH=450&amp;START_MAXIMIZED=FALSE&amp;VAR:CALENDAR=US&amp;VAR:SYMBOL=TMO&amp;VAR:INDEX=0"}</definedName>
    <definedName name="_1160__FDSAUDITLINK__" localSheetId="1" hidden="1">{"fdsup://Directions/FactSet Auditing Viewer?action=AUDIT_VALUE&amp;DB=129&amp;ID1=81106510&amp;VALUEID=01001&amp;SDATE=201002&amp;PERIODTYPE=QTR_STD&amp;window=popup_no_bar&amp;width=385&amp;height=120&amp;START_MAXIMIZED=FALSE&amp;creator=factset&amp;display_string=Audit"}</definedName>
    <definedName name="_1160__FDSAUDITLINK__" hidden="1">{"fdsup://Directions/FactSet Auditing Viewer?action=AUDIT_VALUE&amp;DB=129&amp;ID1=81106510&amp;VALUEID=01001&amp;SDATE=201002&amp;PERIODTYPE=QTR_STD&amp;window=popup_no_bar&amp;width=385&amp;height=120&amp;START_MAXIMIZED=FALSE&amp;creator=factset&amp;display_string=Audit"}</definedName>
    <definedName name="_1161__FDSAUDITLINK__" localSheetId="1" hidden="1">{"fdsup://Directions/FactSet Auditing Viewer?action=AUDIT_VALUE&amp;DB=129&amp;ID1=80004C10&amp;VALUEID=01001&amp;SDATE=200902&amp;PERIODTYPE=QTR_STD&amp;window=popup_no_bar&amp;width=385&amp;height=120&amp;START_MAXIMIZED=FALSE&amp;creator=factset&amp;display_string=Audit"}</definedName>
    <definedName name="_1161__FDSAUDITLINK__" hidden="1">{"fdsup://Directions/FactSet Auditing Viewer?action=AUDIT_VALUE&amp;DB=129&amp;ID1=80004C10&amp;VALUEID=01001&amp;SDATE=200902&amp;PERIODTYPE=QTR_STD&amp;window=popup_no_bar&amp;width=385&amp;height=120&amp;START_MAXIMIZED=FALSE&amp;creator=factset&amp;display_string=Audit"}</definedName>
    <definedName name="_1162__FDSAUDITLINK__" localSheetId="1" hidden="1">{"fdsup://Directions/FactSet Auditing Viewer?action=AUDIT_VALUE&amp;DB=129&amp;ID1=80004C10&amp;VALUEID=01001&amp;SDATE=201002&amp;PERIODTYPE=QTR_STD&amp;window=popup_no_bar&amp;width=385&amp;height=120&amp;START_MAXIMIZED=FALSE&amp;creator=factset&amp;display_string=Audit"}</definedName>
    <definedName name="_1162__FDSAUDITLINK__" hidden="1">{"fdsup://Directions/FactSet Auditing Viewer?action=AUDIT_VALUE&amp;DB=129&amp;ID1=80004C10&amp;VALUEID=01001&amp;SDATE=201002&amp;PERIODTYPE=QTR_STD&amp;window=popup_no_bar&amp;width=385&amp;height=120&amp;START_MAXIMIZED=FALSE&amp;creator=factset&amp;display_string=Audit"}</definedName>
    <definedName name="_1163__FDSAUDITLINK__" localSheetId="1" hidden="1">{"fdsup://Directions/FactSet Auditing Viewer?action=AUDIT_VALUE&amp;DB=129&amp;ID1=83303410&amp;VALUEID=01001&amp;SDATE=200902&amp;PERIODTYPE=QTR_STD&amp;window=popup_no_bar&amp;width=385&amp;height=120&amp;START_MAXIMIZED=FALSE&amp;creator=factset&amp;display_string=Audit"}</definedName>
    <definedName name="_1163__FDSAUDITLINK__" hidden="1">{"fdsup://Directions/FactSet Auditing Viewer?action=AUDIT_VALUE&amp;DB=129&amp;ID1=83303410&amp;VALUEID=01001&amp;SDATE=200902&amp;PERIODTYPE=QTR_STD&amp;window=popup_no_bar&amp;width=385&amp;height=120&amp;START_MAXIMIZED=FALSE&amp;creator=factset&amp;display_string=Audit"}</definedName>
    <definedName name="_1164__FDSAUDITLINK__" localSheetId="1" hidden="1">{"fdsup://Directions/FactSet Auditing Viewer?action=AUDIT_VALUE&amp;DB=129&amp;ID1=83303410&amp;VALUEID=01001&amp;SDATE=201002&amp;PERIODTYPE=QTR_STD&amp;window=popup_no_bar&amp;width=385&amp;height=120&amp;START_MAXIMIZED=FALSE&amp;creator=factset&amp;display_string=Audit"}</definedName>
    <definedName name="_1164__FDSAUDITLINK__" hidden="1">{"fdsup://Directions/FactSet Auditing Viewer?action=AUDIT_VALUE&amp;DB=129&amp;ID1=83303410&amp;VALUEID=01001&amp;SDATE=201002&amp;PERIODTYPE=QTR_STD&amp;window=popup_no_bar&amp;width=385&amp;height=120&amp;START_MAXIMIZED=FALSE&amp;creator=factset&amp;display_string=Audit"}</definedName>
    <definedName name="_1165__FDSAUDITLINK__" localSheetId="1" hidden="1">{"fdsup://Directions/FactSet Auditing Viewer?action=AUDIT_VALUE&amp;DB=129&amp;ID1=78442P10&amp;VALUEID=01001&amp;SDATE=200902&amp;PERIODTYPE=QTR_STD&amp;window=popup_no_bar&amp;width=385&amp;height=120&amp;START_MAXIMIZED=FALSE&amp;creator=factset&amp;display_string=Audit"}</definedName>
    <definedName name="_1165__FDSAUDITLINK__" hidden="1">{"fdsup://Directions/FactSet Auditing Viewer?action=AUDIT_VALUE&amp;DB=129&amp;ID1=78442P10&amp;VALUEID=01001&amp;SDATE=200902&amp;PERIODTYPE=QTR_STD&amp;window=popup_no_bar&amp;width=385&amp;height=120&amp;START_MAXIMIZED=FALSE&amp;creator=factset&amp;display_string=Audit"}</definedName>
    <definedName name="_1166__FDSAUDITLINK__" localSheetId="1" hidden="1">{"fdsup://Directions/FactSet Auditing Viewer?action=AUDIT_VALUE&amp;DB=129&amp;ID1=78442P10&amp;VALUEID=01001&amp;SDATE=201002&amp;PERIODTYPE=QTR_STD&amp;window=popup_no_bar&amp;width=385&amp;height=120&amp;START_MAXIMIZED=FALSE&amp;creator=factset&amp;display_string=Audit"}</definedName>
    <definedName name="_1166__FDSAUDITLINK__" hidden="1">{"fdsup://Directions/FactSet Auditing Viewer?action=AUDIT_VALUE&amp;DB=129&amp;ID1=78442P10&amp;VALUEID=01001&amp;SDATE=201002&amp;PERIODTYPE=QTR_STD&amp;window=popup_no_bar&amp;width=385&amp;height=120&amp;START_MAXIMIZED=FALSE&amp;creator=factset&amp;display_string=Audit"}</definedName>
    <definedName name="_1167__FDSAUDITLINK__" localSheetId="1" hidden="1">{"fdsup://Directions/FactSet Auditing Viewer?action=AUDIT_VALUE&amp;DB=129&amp;ID1=80311110&amp;VALUEID=01001&amp;SDATE=201004&amp;PERIODTYPE=QTR_STD&amp;window=popup_no_bar&amp;width=385&amp;height=120&amp;START_MAXIMIZED=FALSE&amp;creator=factset&amp;display_string=Audit"}</definedName>
    <definedName name="_1167__FDSAUDITLINK__" hidden="1">{"fdsup://Directions/FactSet Auditing Viewer?action=AUDIT_VALUE&amp;DB=129&amp;ID1=80311110&amp;VALUEID=01001&amp;SDATE=201004&amp;PERIODTYPE=QTR_STD&amp;window=popup_no_bar&amp;width=385&amp;height=120&amp;START_MAXIMIZED=FALSE&amp;creator=factset&amp;display_string=Audit"}</definedName>
    <definedName name="_1168__FDSAUDITLINK__" localSheetId="1" hidden="1">{"fdsup://Directions/FactSet Auditing Viewer?action=AUDIT_VALUE&amp;DB=129&amp;ID1=80685710&amp;VALUEID=01001&amp;SDATE=200902&amp;PERIODTYPE=QTR_STD&amp;window=popup_no_bar&amp;width=385&amp;height=120&amp;START_MAXIMIZED=FALSE&amp;creator=factset&amp;display_string=Audit"}</definedName>
    <definedName name="_1168__FDSAUDITLINK__" hidden="1">{"fdsup://Directions/FactSet Auditing Viewer?action=AUDIT_VALUE&amp;DB=129&amp;ID1=80685710&amp;VALUEID=01001&amp;SDATE=200902&amp;PERIODTYPE=QTR_STD&amp;window=popup_no_bar&amp;width=385&amp;height=120&amp;START_MAXIMIZED=FALSE&amp;creator=factset&amp;display_string=Audit"}</definedName>
    <definedName name="_1169__FDSAUDITLINK__" localSheetId="1" hidden="1">{"fdsup://Directions/FactSet Auditing Viewer?action=AUDIT_VALUE&amp;DB=129&amp;ID1=80685710&amp;VALUEID=01001&amp;SDATE=201002&amp;PERIODTYPE=QTR_STD&amp;window=popup_no_bar&amp;width=385&amp;height=120&amp;START_MAXIMIZED=FALSE&amp;creator=factset&amp;display_string=Audit"}</definedName>
    <definedName name="_1169__FDSAUDITLINK__" hidden="1">{"fdsup://Directions/FactSet Auditing Viewer?action=AUDIT_VALUE&amp;DB=129&amp;ID1=80685710&amp;VALUEID=01001&amp;SDATE=201002&amp;PERIODTYPE=QTR_STD&amp;window=popup_no_bar&amp;width=385&amp;height=120&amp;START_MAXIMIZED=FALSE&amp;creator=factset&amp;display_string=Audit"}</definedName>
    <definedName name="_117__FDSAUDITLINK__" localSheetId="1"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__FDSAUDITLINK__" hidden="1">{"fdsup://directions/FAT Viewer?action=UPDATE&amp;creator=factset&amp;DYN_ARGS=TRUE&amp;DOC_NAME=FAT:FQL_AUDITING_CLIENT_TEMPLATE.FAT&amp;display_string=Audit&amp;VAR:KEY=NMJSXEJUNC&amp;VAR:QUERY=RkZfRUJJVERBX09QRVIoUVRSLDQvMS8yMDA5LDYvMzAvMjAwOSwsLFVTRCk=&amp;WINDOW=FIRST_POPUP&amp;HEIGH","T=450&amp;WIDTH=450&amp;START_MAXIMIZED=FALSE&amp;VAR:CALENDAR=US&amp;VAR:SYMBOL=TMK&amp;VAR:INDEX=0"}</definedName>
    <definedName name="_1170__FDSAUDITLINK__" localSheetId="1" hidden="1">{"fdsup://Directions/FactSet Auditing Viewer?action=AUDIT_VALUE&amp;DB=129&amp;ID1=83269640&amp;VALUEID=01001&amp;SDATE=200804&amp;PERIODTYPE=QTR_STD&amp;window=popup_no_bar&amp;width=385&amp;height=120&amp;START_MAXIMIZED=FALSE&amp;creator=factset&amp;display_string=Audit"}</definedName>
    <definedName name="_1170__FDSAUDITLINK__" hidden="1">{"fdsup://Directions/FactSet Auditing Viewer?action=AUDIT_VALUE&amp;DB=129&amp;ID1=83269640&amp;VALUEID=01001&amp;SDATE=200804&amp;PERIODTYPE=QTR_STD&amp;window=popup_no_bar&amp;width=385&amp;height=120&amp;START_MAXIMIZED=FALSE&amp;creator=factset&amp;display_string=Audit"}</definedName>
    <definedName name="_1171__FDSAUDITLINK__" localSheetId="1" hidden="1">{"fdsup://Directions/FactSet Auditing Viewer?action=AUDIT_VALUE&amp;DB=129&amp;ID1=83269640&amp;VALUEID=01001&amp;SDATE=200904&amp;PERIODTYPE=QTR_STD&amp;window=popup_no_bar&amp;width=385&amp;height=120&amp;START_MAXIMIZED=FALSE&amp;creator=factset&amp;display_string=Audit"}</definedName>
    <definedName name="_1171__FDSAUDITLINK__" hidden="1">{"fdsup://Directions/FactSet Auditing Viewer?action=AUDIT_VALUE&amp;DB=129&amp;ID1=83269640&amp;VALUEID=01001&amp;SDATE=200904&amp;PERIODTYPE=QTR_STD&amp;window=popup_no_bar&amp;width=385&amp;height=120&amp;START_MAXIMIZED=FALSE&amp;creator=factset&amp;display_string=Audit"}</definedName>
    <definedName name="_1172__FDSAUDITLINK__" localSheetId="1" hidden="1">{"fdsup://Directions/FactSet Auditing Viewer?action=AUDIT_VALUE&amp;DB=129&amp;ID1=82655210&amp;VALUEID=01001&amp;SDATE=200902&amp;PERIODTYPE=QTR_STD&amp;window=popup_no_bar&amp;width=385&amp;height=120&amp;START_MAXIMIZED=FALSE&amp;creator=factset&amp;display_string=Audit"}</definedName>
    <definedName name="_1172__FDSAUDITLINK__" hidden="1">{"fdsup://Directions/FactSet Auditing Viewer?action=AUDIT_VALUE&amp;DB=129&amp;ID1=82655210&amp;VALUEID=01001&amp;SDATE=200902&amp;PERIODTYPE=QTR_STD&amp;window=popup_no_bar&amp;width=385&amp;height=120&amp;START_MAXIMIZED=FALSE&amp;creator=factset&amp;display_string=Audit"}</definedName>
    <definedName name="_1173__FDSAUDITLINK__" localSheetId="1" hidden="1">{"fdsup://Directions/FactSet Auditing Viewer?action=AUDIT_VALUE&amp;DB=129&amp;ID1=82655210&amp;VALUEID=01001&amp;SDATE=201002&amp;PERIODTYPE=QTR_STD&amp;window=popup_no_bar&amp;width=385&amp;height=120&amp;START_MAXIMIZED=FALSE&amp;creator=factset&amp;display_string=Audit"}</definedName>
    <definedName name="_1173__FDSAUDITLINK__" hidden="1">{"fdsup://Directions/FactSet Auditing Viewer?action=AUDIT_VALUE&amp;DB=129&amp;ID1=82655210&amp;VALUEID=01001&amp;SDATE=201002&amp;PERIODTYPE=QTR_STD&amp;window=popup_no_bar&amp;width=385&amp;height=120&amp;START_MAXIMIZED=FALSE&amp;creator=factset&amp;display_string=Audit"}</definedName>
    <definedName name="_1174__FDSAUDITLINK__" localSheetId="1" hidden="1">{"fdsup://Directions/FactSet Auditing Viewer?action=AUDIT_VALUE&amp;DB=129&amp;ID1=82434810&amp;VALUEID=01001&amp;SDATE=200902&amp;PERIODTYPE=QTR_STD&amp;window=popup_no_bar&amp;width=385&amp;height=120&amp;START_MAXIMIZED=FALSE&amp;creator=factset&amp;display_string=Audit"}</definedName>
    <definedName name="_1174__FDSAUDITLINK__" hidden="1">{"fdsup://Directions/FactSet Auditing Viewer?action=AUDIT_VALUE&amp;DB=129&amp;ID1=82434810&amp;VALUEID=01001&amp;SDATE=200902&amp;PERIODTYPE=QTR_STD&amp;window=popup_no_bar&amp;width=385&amp;height=120&amp;START_MAXIMIZED=FALSE&amp;creator=factset&amp;display_string=Audit"}</definedName>
    <definedName name="_1175__FDSAUDITLINK__" localSheetId="1" hidden="1">{"fdsup://Directions/FactSet Auditing Viewer?action=AUDIT_VALUE&amp;DB=129&amp;ID1=82434810&amp;VALUEID=01001&amp;SDATE=201002&amp;PERIODTYPE=QTR_STD&amp;window=popup_no_bar&amp;width=385&amp;height=120&amp;START_MAXIMIZED=FALSE&amp;creator=factset&amp;display_string=Audit"}</definedName>
    <definedName name="_1175__FDSAUDITLINK__" hidden="1">{"fdsup://Directions/FactSet Auditing Viewer?action=AUDIT_VALUE&amp;DB=129&amp;ID1=82434810&amp;VALUEID=01001&amp;SDATE=201002&amp;PERIODTYPE=QTR_STD&amp;window=popup_no_bar&amp;width=385&amp;height=120&amp;START_MAXIMIZED=FALSE&amp;creator=factset&amp;display_string=Audit"}</definedName>
    <definedName name="_1176__FDSAUDITLINK__" localSheetId="1" hidden="1">{"fdsup://Directions/FactSet Auditing Viewer?action=AUDIT_VALUE&amp;DB=129&amp;ID1=81235010&amp;VALUEID=01001&amp;SDATE=200901&amp;PERIODTYPE=QTR_STD&amp;window=popup_no_bar&amp;width=385&amp;height=120&amp;START_MAXIMIZED=FALSE&amp;creator=factset&amp;display_string=Audit"}</definedName>
    <definedName name="_1176__FDSAUDITLINK__" hidden="1">{"fdsup://Directions/FactSet Auditing Viewer?action=AUDIT_VALUE&amp;DB=129&amp;ID1=81235010&amp;VALUEID=01001&amp;SDATE=200901&amp;PERIODTYPE=QTR_STD&amp;window=popup_no_bar&amp;width=385&amp;height=120&amp;START_MAXIMIZED=FALSE&amp;creator=factset&amp;display_string=Audit"}</definedName>
    <definedName name="_1177__FDSAUDITLINK__" localSheetId="1" hidden="1">{"fdsup://Directions/FactSet Auditing Viewer?action=AUDIT_VALUE&amp;DB=129&amp;ID1=81235010&amp;VALUEID=01001&amp;SDATE=201001&amp;PERIODTYPE=QTR_STD&amp;window=popup_no_bar&amp;width=385&amp;height=120&amp;START_MAXIMIZED=FALSE&amp;creator=factset&amp;display_string=Audit"}</definedName>
    <definedName name="_1177__FDSAUDITLINK__" hidden="1">{"fdsup://Directions/FactSet Auditing Viewer?action=AUDIT_VALUE&amp;DB=129&amp;ID1=81235010&amp;VALUEID=01001&amp;SDATE=201001&amp;PERIODTYPE=QTR_STD&amp;window=popup_no_bar&amp;width=385&amp;height=120&amp;START_MAXIMIZED=FALSE&amp;creator=factset&amp;display_string=Audit"}</definedName>
    <definedName name="_1178__FDSAUDITLINK__" localSheetId="1" hidden="1">{"fdsup://Directions/FactSet Auditing Viewer?action=AUDIT_VALUE&amp;DB=129&amp;ID1=81211K10&amp;VALUEID=01001&amp;SDATE=200902&amp;PERIODTYPE=QTR_STD&amp;window=popup_no_bar&amp;width=385&amp;height=120&amp;START_MAXIMIZED=FALSE&amp;creator=factset&amp;display_string=Audit"}</definedName>
    <definedName name="_1178__FDSAUDITLINK__" hidden="1">{"fdsup://Directions/FactSet Auditing Viewer?action=AUDIT_VALUE&amp;DB=129&amp;ID1=81211K10&amp;VALUEID=01001&amp;SDATE=200902&amp;PERIODTYPE=QTR_STD&amp;window=popup_no_bar&amp;width=385&amp;height=120&amp;START_MAXIMIZED=FALSE&amp;creator=factset&amp;display_string=Audit"}</definedName>
    <definedName name="_1179__FDSAUDITLINK__" localSheetId="1" hidden="1">{"fdsup://Directions/FactSet Auditing Viewer?action=AUDIT_VALUE&amp;DB=129&amp;ID1=81211K10&amp;VALUEID=01001&amp;SDATE=201002&amp;PERIODTYPE=QTR_STD&amp;window=popup_no_bar&amp;width=385&amp;height=120&amp;START_MAXIMIZED=FALSE&amp;creator=factset&amp;display_string=Audit"}</definedName>
    <definedName name="_1179__FDSAUDITLINK__" hidden="1">{"fdsup://Directions/FactSet Auditing Viewer?action=AUDIT_VALUE&amp;DB=129&amp;ID1=81211K10&amp;VALUEID=01001&amp;SDATE=201002&amp;PERIODTYPE=QTR_STD&amp;window=popup_no_bar&amp;width=385&amp;height=120&amp;START_MAXIMIZED=FALSE&amp;creator=factset&amp;display_string=Audit"}</definedName>
    <definedName name="_118__FDSAUDITLINK__" localSheetId="1"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__FDSAUDITLINK__" hidden="1">{"fdsup://directions/FAT Viewer?action=UPDATE&amp;creator=factset&amp;DYN_ARGS=TRUE&amp;DOC_NAME=FAT:FQL_AUDITING_CLIENT_TEMPLATE.FAT&amp;display_string=Audit&amp;VAR:KEY=PIBGBGDUDO&amp;VAR:QUERY=RkZfRUJJVERBX09QRVIoUVRSLDQvMS8yMDEwLDYvMzAvMjAxMCwsLFVTRCk=&amp;WINDOW=FIRST_POPUP&amp;HEIGH","T=450&amp;WIDTH=450&amp;START_MAXIMIZED=FALSE&amp;VAR:CALENDAR=US&amp;VAR:SYMBOL=TMK&amp;VAR:INDEX=0"}</definedName>
    <definedName name="_1180__FDSAUDITLINK__" localSheetId="1" hidden="1">{"fdsup://Directions/FactSet Auditing Viewer?action=AUDIT_VALUE&amp;DB=129&amp;ID1=84756010&amp;VALUEID=01001&amp;SDATE=200902&amp;PERIODTYPE=QTR_STD&amp;window=popup_no_bar&amp;width=385&amp;height=120&amp;START_MAXIMIZED=FALSE&amp;creator=factset&amp;display_string=Audit"}</definedName>
    <definedName name="_1180__FDSAUDITLINK__" hidden="1">{"fdsup://Directions/FactSet Auditing Viewer?action=AUDIT_VALUE&amp;DB=129&amp;ID1=84756010&amp;VALUEID=01001&amp;SDATE=200902&amp;PERIODTYPE=QTR_STD&amp;window=popup_no_bar&amp;width=385&amp;height=120&amp;START_MAXIMIZED=FALSE&amp;creator=factset&amp;display_string=Audit"}</definedName>
    <definedName name="_1181__FDSAUDITLINK__" localSheetId="1" hidden="1">{"fdsup://Directions/FactSet Auditing Viewer?action=AUDIT_VALUE&amp;DB=129&amp;ID1=84756010&amp;VALUEID=01001&amp;SDATE=201002&amp;PERIODTYPE=QTR_STD&amp;window=popup_no_bar&amp;width=385&amp;height=120&amp;START_MAXIMIZED=FALSE&amp;creator=factset&amp;display_string=Audit"}</definedName>
    <definedName name="_1181__FDSAUDITLINK__" hidden="1">{"fdsup://Directions/FactSet Auditing Viewer?action=AUDIT_VALUE&amp;DB=129&amp;ID1=84756010&amp;VALUEID=01001&amp;SDATE=201002&amp;PERIODTYPE=QTR_STD&amp;window=popup_no_bar&amp;width=385&amp;height=120&amp;START_MAXIMIZED=FALSE&amp;creator=factset&amp;display_string=Audit"}</definedName>
    <definedName name="_1182__FDSAUDITLINK__" localSheetId="1" hidden="1">{"fdsup://Directions/FactSet Auditing Viewer?action=AUDIT_VALUE&amp;DB=129&amp;ID1=80851310&amp;VALUEID=01001&amp;SDATE=200902&amp;PERIODTYPE=QTR_STD&amp;window=popup_no_bar&amp;width=385&amp;height=120&amp;START_MAXIMIZED=FALSE&amp;creator=factset&amp;display_string=Audit"}</definedName>
    <definedName name="_1182__FDSAUDITLINK__" hidden="1">{"fdsup://Directions/FactSet Auditing Viewer?action=AUDIT_VALUE&amp;DB=129&amp;ID1=80851310&amp;VALUEID=01001&amp;SDATE=200902&amp;PERIODTYPE=QTR_STD&amp;window=popup_no_bar&amp;width=385&amp;height=120&amp;START_MAXIMIZED=FALSE&amp;creator=factset&amp;display_string=Audit"}</definedName>
    <definedName name="_1183__FDSAUDITLINK__" localSheetId="1" hidden="1">{"fdsup://Directions/FactSet Auditing Viewer?action=AUDIT_VALUE&amp;DB=129&amp;ID1=80851310&amp;VALUEID=01001&amp;SDATE=201002&amp;PERIODTYPE=QTR_STD&amp;window=popup_no_bar&amp;width=385&amp;height=120&amp;START_MAXIMIZED=FALSE&amp;creator=factset&amp;display_string=Audit"}</definedName>
    <definedName name="_1183__FDSAUDITLINK__" hidden="1">{"fdsup://Directions/FactSet Auditing Viewer?action=AUDIT_VALUE&amp;DB=129&amp;ID1=80851310&amp;VALUEID=01001&amp;SDATE=201002&amp;PERIODTYPE=QTR_STD&amp;window=popup_no_bar&amp;width=385&amp;height=120&amp;START_MAXIMIZED=FALSE&amp;creator=factset&amp;display_string=Audit"}</definedName>
    <definedName name="_1184__FDSAUDITLINK__" localSheetId="1" hidden="1">{"fdsup://Directions/FactSet Auditing Viewer?action=AUDIT_VALUE&amp;DB=129&amp;ID1=80589M10&amp;VALUEID=01001&amp;SDATE=200902&amp;PERIODTYPE=QTR_STD&amp;window=popup_no_bar&amp;width=385&amp;height=120&amp;START_MAXIMIZED=FALSE&amp;creator=factset&amp;display_string=Audit"}</definedName>
    <definedName name="_1184__FDSAUDITLINK__" hidden="1">{"fdsup://Directions/FactSet Auditing Viewer?action=AUDIT_VALUE&amp;DB=129&amp;ID1=80589M10&amp;VALUEID=01001&amp;SDATE=200902&amp;PERIODTYPE=QTR_STD&amp;window=popup_no_bar&amp;width=385&amp;height=120&amp;START_MAXIMIZED=FALSE&amp;creator=factset&amp;display_string=Audit"}</definedName>
    <definedName name="_1185__FDSAUDITLINK__" localSheetId="1" hidden="1">{"fdsup://Directions/FactSet Auditing Viewer?action=AUDIT_VALUE&amp;DB=129&amp;ID1=80589M10&amp;VALUEID=01001&amp;SDATE=201002&amp;PERIODTYPE=QTR_STD&amp;window=popup_no_bar&amp;width=385&amp;height=120&amp;START_MAXIMIZED=FALSE&amp;creator=factset&amp;display_string=Audit"}</definedName>
    <definedName name="_1185__FDSAUDITLINK__" hidden="1">{"fdsup://Directions/FactSet Auditing Viewer?action=AUDIT_VALUE&amp;DB=129&amp;ID1=80589M10&amp;VALUEID=01001&amp;SDATE=201002&amp;PERIODTYPE=QTR_STD&amp;window=popup_no_bar&amp;width=385&amp;height=120&amp;START_MAXIMIZED=FALSE&amp;creator=factset&amp;display_string=Audit"}</definedName>
    <definedName name="_1186__FDSAUDITLINK__" localSheetId="1" hidden="1">{"fdsup://Directions/FactSet Auditing Viewer?action=AUDIT_VALUE&amp;DB=129&amp;ID1=85524410&amp;VALUEID=01001&amp;SDATE=200903&amp;PERIODTYPE=QTR_STD&amp;window=popup_no_bar&amp;width=385&amp;height=120&amp;START_MAXIMIZED=FALSE&amp;creator=factset&amp;display_string=Audit"}</definedName>
    <definedName name="_1186__FDSAUDITLINK__" hidden="1">{"fdsup://Directions/FactSet Auditing Viewer?action=AUDIT_VALUE&amp;DB=129&amp;ID1=85524410&amp;VALUEID=01001&amp;SDATE=200903&amp;PERIODTYPE=QTR_STD&amp;window=popup_no_bar&amp;width=385&amp;height=120&amp;START_MAXIMIZED=FALSE&amp;creator=factset&amp;display_string=Audit"}</definedName>
    <definedName name="_1187__FDSAUDITLINK__" localSheetId="1" hidden="1">{"fdsup://Directions/FactSet Auditing Viewer?action=AUDIT_VALUE&amp;DB=129&amp;ID1=85524410&amp;VALUEID=01001&amp;SDATE=201003&amp;PERIODTYPE=QTR_STD&amp;window=popup_no_bar&amp;width=385&amp;height=120&amp;START_MAXIMIZED=FALSE&amp;creator=factset&amp;display_string=Audit"}</definedName>
    <definedName name="_1187__FDSAUDITLINK__" hidden="1">{"fdsup://Directions/FactSet Auditing Viewer?action=AUDIT_VALUE&amp;DB=129&amp;ID1=85524410&amp;VALUEID=01001&amp;SDATE=201003&amp;PERIODTYPE=QTR_STD&amp;window=popup_no_bar&amp;width=385&amp;height=120&amp;START_MAXIMIZED=FALSE&amp;creator=factset&amp;display_string=Audit"}</definedName>
    <definedName name="_1188__FDSAUDITLINK__" localSheetId="1" hidden="1">{"fdsup://Directions/FactSet Auditing Viewer?action=AUDIT_VALUE&amp;DB=129&amp;ID1=78390X10&amp;VALUEID=01001&amp;SDATE=200901&amp;PERIODTYPE=QTR_STD&amp;window=popup_no_bar&amp;width=385&amp;height=120&amp;START_MAXIMIZED=FALSE&amp;creator=factset&amp;display_string=Audit"}</definedName>
    <definedName name="_1188__FDSAUDITLINK__" hidden="1">{"fdsup://Directions/FactSet Auditing Viewer?action=AUDIT_VALUE&amp;DB=129&amp;ID1=78390X10&amp;VALUEID=01001&amp;SDATE=200901&amp;PERIODTYPE=QTR_STD&amp;window=popup_no_bar&amp;width=385&amp;height=120&amp;START_MAXIMIZED=FALSE&amp;creator=factset&amp;display_string=Audit"}</definedName>
    <definedName name="_1189__FDSAUDITLINK__" localSheetId="1" hidden="1">{"fdsup://Directions/FactSet Auditing Viewer?action=AUDIT_VALUE&amp;DB=129&amp;ID1=78390X10&amp;VALUEID=01001&amp;SDATE=201001&amp;PERIODTYPE=QTR_STD&amp;window=popup_no_bar&amp;width=385&amp;height=120&amp;START_MAXIMIZED=FALSE&amp;creator=factset&amp;display_string=Audit"}</definedName>
    <definedName name="_1189__FDSAUDITLINK__" hidden="1">{"fdsup://Directions/FactSet Auditing Viewer?action=AUDIT_VALUE&amp;DB=129&amp;ID1=78390X10&amp;VALUEID=01001&amp;SDATE=201001&amp;PERIODTYPE=QTR_STD&amp;window=popup_no_bar&amp;width=385&amp;height=120&amp;START_MAXIMIZED=FALSE&amp;creator=factset&amp;display_string=Audit"}</definedName>
    <definedName name="_119__FDSAUDITLINK__" localSheetId="1"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__FDSAUDITLINK__" hidden="1">{"fdsup://directions/FAT Viewer?action=UPDATE&amp;creator=factset&amp;DYN_ARGS=TRUE&amp;DOC_NAME=FAT:FQL_AUDITING_CLIENT_TEMPLATE.FAT&amp;display_string=Audit&amp;VAR:KEY=LOZKTUZOVS&amp;VAR:QUERY=RkZfRUJJVERBX09QRVIoUVRSLDQvMS8yMDA5LDYvMzAvMjAwOSwsLFVTRCk=&amp;WINDOW=FIRST_POPUP&amp;HEIGH","T=450&amp;WIDTH=450&amp;START_MAXIMIZED=FALSE&amp;VAR:CALENDAR=US&amp;VAR:SYMBOL=TLAB&amp;VAR:INDEX=0"}</definedName>
    <definedName name="_1190__FDSAUDITLINK__" localSheetId="1" hidden="1">{"fdsup://Directions/FactSet Auditing Viewer?action=AUDIT_VALUE&amp;DB=129&amp;ID1=85206110&amp;VALUEID=01001&amp;SDATE=200902&amp;PERIODTYPE=QTR_STD&amp;window=popup_no_bar&amp;width=385&amp;height=120&amp;START_MAXIMIZED=FALSE&amp;creator=factset&amp;display_string=Audit"}</definedName>
    <definedName name="_1190__FDSAUDITLINK__" hidden="1">{"fdsup://Directions/FactSet Auditing Viewer?action=AUDIT_VALUE&amp;DB=129&amp;ID1=85206110&amp;VALUEID=01001&amp;SDATE=200902&amp;PERIODTYPE=QTR_STD&amp;window=popup_no_bar&amp;width=385&amp;height=120&amp;START_MAXIMIZED=FALSE&amp;creator=factset&amp;display_string=Audit"}</definedName>
    <definedName name="_1191__FDSAUDITLINK__" localSheetId="1" hidden="1">{"fdsup://Directions/FactSet Auditing Viewer?action=AUDIT_VALUE&amp;DB=129&amp;ID1=75511150&amp;VALUEID=01001&amp;SDATE=200902&amp;PERIODTYPE=QTR_STD&amp;window=popup_no_bar&amp;width=385&amp;height=120&amp;START_MAXIMIZED=FALSE&amp;creator=factset&amp;display_string=Audit"}</definedName>
    <definedName name="_1191__FDSAUDITLINK__" hidden="1">{"fdsup://Directions/FactSet Auditing Viewer?action=AUDIT_VALUE&amp;DB=129&amp;ID1=75511150&amp;VALUEID=01001&amp;SDATE=200902&amp;PERIODTYPE=QTR_STD&amp;window=popup_no_bar&amp;width=385&amp;height=120&amp;START_MAXIMIZED=FALSE&amp;creator=factset&amp;display_string=Audit"}</definedName>
    <definedName name="_1192__FDSAUDITLINK__" localSheetId="1" hidden="1">{"fdsup://Directions/FactSet Auditing Viewer?action=AUDIT_VALUE&amp;DB=129&amp;ID1=75511150&amp;VALUEID=01001&amp;SDATE=201002&amp;PERIODTYPE=QTR_STD&amp;window=popup_no_bar&amp;width=385&amp;height=120&amp;START_MAXIMIZED=FALSE&amp;creator=factset&amp;display_string=Audit"}</definedName>
    <definedName name="_1192__FDSAUDITLINK__" hidden="1">{"fdsup://Directions/FactSet Auditing Viewer?action=AUDIT_VALUE&amp;DB=129&amp;ID1=75511150&amp;VALUEID=01001&amp;SDATE=201002&amp;PERIODTYPE=QTR_STD&amp;window=popup_no_bar&amp;width=385&amp;height=120&amp;START_MAXIMIZED=FALSE&amp;creator=factset&amp;display_string=Audit"}</definedName>
    <definedName name="_1193__FDSAUDITLINK__" localSheetId="1" hidden="1">{"fdsup://Directions/FactSet Auditing Viewer?action=AUDIT_VALUE&amp;DB=129&amp;ID1=75043810&amp;VALUEID=01001&amp;SDATE=200902&amp;PERIODTYPE=QTR_STD&amp;window=popup_no_bar&amp;width=385&amp;height=120&amp;START_MAXIMIZED=FALSE&amp;creator=factset&amp;display_string=Audit"}</definedName>
    <definedName name="_1193__FDSAUDITLINK__" hidden="1">{"fdsup://Directions/FactSet Auditing Viewer?action=AUDIT_VALUE&amp;DB=129&amp;ID1=75043810&amp;VALUEID=01001&amp;SDATE=200902&amp;PERIODTYPE=QTR_STD&amp;window=popup_no_bar&amp;width=385&amp;height=120&amp;START_MAXIMIZED=FALSE&amp;creator=factset&amp;display_string=Audit"}</definedName>
    <definedName name="_1194__FDSAUDITLINK__" localSheetId="1" hidden="1">{"fdsup://Directions/FactSet Auditing Viewer?action=AUDIT_VALUE&amp;DB=129&amp;ID1=75043810&amp;VALUEID=01001&amp;SDATE=201002&amp;PERIODTYPE=QTR_STD&amp;window=popup_no_bar&amp;width=385&amp;height=120&amp;START_MAXIMIZED=FALSE&amp;creator=factset&amp;display_string=Audit"}</definedName>
    <definedName name="_1194__FDSAUDITLINK__" hidden="1">{"fdsup://Directions/FactSet Auditing Viewer?action=AUDIT_VALUE&amp;DB=129&amp;ID1=75043810&amp;VALUEID=01001&amp;SDATE=201002&amp;PERIODTYPE=QTR_STD&amp;window=popup_no_bar&amp;width=385&amp;height=120&amp;START_MAXIMIZED=FALSE&amp;creator=factset&amp;display_string=Audit"}</definedName>
    <definedName name="_1195__FDSAUDITLINK__" localSheetId="1" hidden="1">{"fdsup://Directions/FactSet Auditing Viewer?action=AUDIT_VALUE&amp;DB=129&amp;ID1=76075910&amp;VALUEID=01001&amp;SDATE=200902&amp;PERIODTYPE=QTR_STD&amp;window=popup_no_bar&amp;width=385&amp;height=120&amp;START_MAXIMIZED=FALSE&amp;creator=factset&amp;display_string=Audit"}</definedName>
    <definedName name="_1195__FDSAUDITLINK__" hidden="1">{"fdsup://Directions/FactSet Auditing Viewer?action=AUDIT_VALUE&amp;DB=129&amp;ID1=76075910&amp;VALUEID=01001&amp;SDATE=200902&amp;PERIODTYPE=QTR_STD&amp;window=popup_no_bar&amp;width=385&amp;height=120&amp;START_MAXIMIZED=FALSE&amp;creator=factset&amp;display_string=Audit"}</definedName>
    <definedName name="_1196__FDSAUDITLINK__" localSheetId="1" hidden="1">{"fdsup://Directions/FactSet Auditing Viewer?action=AUDIT_VALUE&amp;DB=129&amp;ID1=76075910&amp;VALUEID=01001&amp;SDATE=201002&amp;PERIODTYPE=QTR_STD&amp;window=popup_no_bar&amp;width=385&amp;height=120&amp;START_MAXIMIZED=FALSE&amp;creator=factset&amp;display_string=Audit"}</definedName>
    <definedName name="_1196__FDSAUDITLINK__" hidden="1">{"fdsup://Directions/FactSet Auditing Viewer?action=AUDIT_VALUE&amp;DB=129&amp;ID1=76075910&amp;VALUEID=01001&amp;SDATE=201002&amp;PERIODTYPE=QTR_STD&amp;window=popup_no_bar&amp;width=385&amp;height=120&amp;START_MAXIMIZED=FALSE&amp;creator=factset&amp;display_string=Audit"}</definedName>
    <definedName name="_1197__FDSAUDITLINK__" localSheetId="1" hidden="1">{"fdsup://Directions/FactSet Auditing Viewer?action=AUDIT_VALUE&amp;DB=129&amp;ID1=25786710&amp;VALUEID=01001&amp;SDATE=200902&amp;PERIODTYPE=QTR_STD&amp;window=popup_no_bar&amp;width=385&amp;height=120&amp;START_MAXIMIZED=FALSE&amp;creator=factset&amp;display_string=Audit"}</definedName>
    <definedName name="_1197__FDSAUDITLINK__" hidden="1">{"fdsup://Directions/FactSet Auditing Viewer?action=AUDIT_VALUE&amp;DB=129&amp;ID1=25786710&amp;VALUEID=01001&amp;SDATE=200902&amp;PERIODTYPE=QTR_STD&amp;window=popup_no_bar&amp;width=385&amp;height=120&amp;START_MAXIMIZED=FALSE&amp;creator=factset&amp;display_string=Audit"}</definedName>
    <definedName name="_1198__FDSAUDITLINK__" localSheetId="1" hidden="1">{"fdsup://Directions/FactSet Auditing Viewer?action=AUDIT_VALUE&amp;DB=129&amp;ID1=25786710&amp;VALUEID=01001&amp;SDATE=201002&amp;PERIODTYPE=QTR_STD&amp;window=popup_no_bar&amp;width=385&amp;height=120&amp;START_MAXIMIZED=FALSE&amp;creator=factset&amp;display_string=Audit"}</definedName>
    <definedName name="_1198__FDSAUDITLINK__" hidden="1">{"fdsup://Directions/FactSet Auditing Viewer?action=AUDIT_VALUE&amp;DB=129&amp;ID1=25786710&amp;VALUEID=01001&amp;SDATE=201002&amp;PERIODTYPE=QTR_STD&amp;window=popup_no_bar&amp;width=385&amp;height=120&amp;START_MAXIMIZED=FALSE&amp;creator=factset&amp;display_string=Audit"}</definedName>
    <definedName name="_1199__FDSAUDITLINK__" localSheetId="1" hidden="1">{"fdsup://Directions/FactSet Auditing Viewer?action=AUDIT_VALUE&amp;DB=129&amp;ID1=75281A10&amp;VALUEID=01001&amp;SDATE=200902&amp;PERIODTYPE=QTR_STD&amp;window=popup_no_bar&amp;width=385&amp;height=120&amp;START_MAXIMIZED=FALSE&amp;creator=factset&amp;display_string=Audit"}</definedName>
    <definedName name="_1199__FDSAUDITLINK__" hidden="1">{"fdsup://Directions/FactSet Auditing Viewer?action=AUDIT_VALUE&amp;DB=129&amp;ID1=75281A10&amp;VALUEID=01001&amp;SDATE=200902&amp;PERIODTYPE=QTR_STD&amp;window=popup_no_bar&amp;width=385&amp;height=120&amp;START_MAXIMIZED=FALSE&amp;creator=factset&amp;display_string=Audit"}</definedName>
    <definedName name="_12__123Graph_XR_M_MARG" hidden="1">[1]P!$R$29:$AK$29</definedName>
    <definedName name="_12__FDSAUDITLINK__" localSheetId="1" hidden="1">{"fdsup://directions/FAT Viewer?action=UPDATE&amp;creator=factset&amp;DYN_ARGS=TRUE&amp;DOC_NAME=FAT:FQL_AUDITING_CLIENT_TEMPLATE.FAT&amp;display_string=Audit&amp;VAR:KEY=PUHKZEZKZC&amp;VAR:QUERY=RkZfRUJJVERBX09QRVIoUVRSLDQvMS8yMDEwLDYvMzAvMjAxMCwsLFVTRCk=&amp;WINDOW=FIRST_POPUP&amp;HEIGH","T=450&amp;WIDTH=450&amp;START_MAXIMIZED=FALSE&amp;VAR:CALENDAR=US&amp;VAR:SYMBOL=XRAY&amp;VAR:INDEX=0"}</definedName>
    <definedName name="_12__FDSAUDITLINK__" hidden="1">{"fdsup://directions/FAT Viewer?action=UPDATE&amp;creator=factset&amp;DYN_ARGS=TRUE&amp;DOC_NAME=FAT:FQL_AUDITING_CLIENT_TEMPLATE.FAT&amp;display_string=Audit&amp;VAR:KEY=PUHKZEZKZC&amp;VAR:QUERY=RkZfRUJJVERBX09QRVIoUVRSLDQvMS8yMDEwLDYvMzAvMjAxMCwsLFVTRCk=&amp;WINDOW=FIRST_POPUP&amp;HEIGH","T=450&amp;WIDTH=450&amp;START_MAXIMIZED=FALSE&amp;VAR:CALENDAR=US&amp;VAR:SYMBOL=XRAY&amp;VAR:INDEX=0"}</definedName>
    <definedName name="_120__FDSAUDITLINK__" localSheetId="1"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__FDSAUDITLINK__" hidden="1">{"fdsup://directions/FAT Viewer?action=UPDATE&amp;creator=factset&amp;DYN_ARGS=TRUE&amp;DOC_NAME=FAT:FQL_AUDITING_CLIENT_TEMPLATE.FAT&amp;display_string=Audit&amp;VAR:KEY=BMPMZKPGHQ&amp;VAR:QUERY=RkZfRUJJVERBX09QRVIoUVRSLDQvMS8yMDEwLDYvMzAvMjAxMCwsLFVTRCk=&amp;WINDOW=FIRST_POPUP&amp;HEIGH","T=450&amp;WIDTH=450&amp;START_MAXIMIZED=FALSE&amp;VAR:CALENDAR=US&amp;VAR:SYMBOL=TLAB&amp;VAR:INDEX=0"}</definedName>
    <definedName name="_1200__FDSAUDITLINK__" localSheetId="1" hidden="1">{"fdsup://Directions/FactSet Auditing Viewer?action=AUDIT_VALUE&amp;DB=129&amp;ID1=75281A10&amp;VALUEID=01001&amp;SDATE=201002&amp;PERIODTYPE=QTR_STD&amp;window=popup_no_bar&amp;width=385&amp;height=120&amp;START_MAXIMIZED=FALSE&amp;creator=factset&amp;display_string=Audit"}</definedName>
    <definedName name="_1200__FDSAUDITLINK__" hidden="1">{"fdsup://Directions/FactSet Auditing Viewer?action=AUDIT_VALUE&amp;DB=129&amp;ID1=75281A10&amp;VALUEID=01001&amp;SDATE=201002&amp;PERIODTYPE=QTR_STD&amp;window=popup_no_bar&amp;width=385&amp;height=120&amp;START_MAXIMIZED=FALSE&amp;creator=factset&amp;display_string=Audit"}</definedName>
    <definedName name="_1201__FDSAUDITLINK__" localSheetId="1" hidden="1">{"fdsup://Directions/FactSet Auditing Viewer?action=AUDIT_VALUE&amp;DB=129&amp;ID1=77829610&amp;VALUEID=01001&amp;SDATE=200901&amp;PERIODTYPE=QTR_STD&amp;window=popup_no_bar&amp;width=385&amp;height=120&amp;START_MAXIMIZED=FALSE&amp;creator=factset&amp;display_string=Audit"}</definedName>
    <definedName name="_1201__FDSAUDITLINK__" hidden="1">{"fdsup://Directions/FactSet Auditing Viewer?action=AUDIT_VALUE&amp;DB=129&amp;ID1=77829610&amp;VALUEID=01001&amp;SDATE=200901&amp;PERIODTYPE=QTR_STD&amp;window=popup_no_bar&amp;width=385&amp;height=120&amp;START_MAXIMIZED=FALSE&amp;creator=factset&amp;display_string=Audit"}</definedName>
    <definedName name="_1202__FDSAUDITLINK__" localSheetId="1" hidden="1">{"fdsup://Directions/FactSet Auditing Viewer?action=AUDIT_VALUE&amp;DB=129&amp;ID1=77829610&amp;VALUEID=01001&amp;SDATE=201001&amp;PERIODTYPE=QTR_STD&amp;window=popup_no_bar&amp;width=385&amp;height=120&amp;START_MAXIMIZED=FALSE&amp;creator=factset&amp;display_string=Audit"}</definedName>
    <definedName name="_1202__FDSAUDITLINK__" hidden="1">{"fdsup://Directions/FactSet Auditing Viewer?action=AUDIT_VALUE&amp;DB=129&amp;ID1=77829610&amp;VALUEID=01001&amp;SDATE=201001&amp;PERIODTYPE=QTR_STD&amp;window=popup_no_bar&amp;width=385&amp;height=120&amp;START_MAXIMIZED=FALSE&amp;creator=factset&amp;display_string=Audit"}</definedName>
    <definedName name="_1203__FDSAUDITLINK__" localSheetId="1" hidden="1">{"fdsup://Directions/FactSet Auditing Viewer?action=AUDIT_VALUE&amp;DB=129&amp;ID1=77669610&amp;VALUEID=01001&amp;SDATE=200902&amp;PERIODTYPE=QTR_STD&amp;window=popup_no_bar&amp;width=385&amp;height=120&amp;START_MAXIMIZED=FALSE&amp;creator=factset&amp;display_string=Audit"}</definedName>
    <definedName name="_1203__FDSAUDITLINK__" hidden="1">{"fdsup://Directions/FactSet Auditing Viewer?action=AUDIT_VALUE&amp;DB=129&amp;ID1=77669610&amp;VALUEID=01001&amp;SDATE=200902&amp;PERIODTYPE=QTR_STD&amp;window=popup_no_bar&amp;width=385&amp;height=120&amp;START_MAXIMIZED=FALSE&amp;creator=factset&amp;display_string=Audit"}</definedName>
    <definedName name="_1204__FDSAUDITLINK__" localSheetId="1" hidden="1">{"fdsup://Directions/FactSet Auditing Viewer?action=AUDIT_VALUE&amp;DB=129&amp;ID1=77669610&amp;VALUEID=01001&amp;SDATE=201002&amp;PERIODTYPE=QTR_STD&amp;window=popup_no_bar&amp;width=385&amp;height=120&amp;START_MAXIMIZED=FALSE&amp;creator=factset&amp;display_string=Audit"}</definedName>
    <definedName name="_1204__FDSAUDITLINK__" hidden="1">{"fdsup://Directions/FactSet Auditing Viewer?action=AUDIT_VALUE&amp;DB=129&amp;ID1=77669610&amp;VALUEID=01001&amp;SDATE=201002&amp;PERIODTYPE=QTR_STD&amp;window=popup_no_bar&amp;width=385&amp;height=120&amp;START_MAXIMIZED=FALSE&amp;creator=factset&amp;display_string=Audit"}</definedName>
    <definedName name="_1205__FDSAUDITLINK__" localSheetId="1" hidden="1">{"fdsup://Directions/FactSet Auditing Viewer?action=AUDIT_VALUE&amp;DB=129&amp;ID1=77390310&amp;VALUEID=01001&amp;SDATE=200903&amp;PERIODTYPE=QTR_STD&amp;window=popup_no_bar&amp;width=385&amp;height=120&amp;START_MAXIMIZED=FALSE&amp;creator=factset&amp;display_string=Audit"}</definedName>
    <definedName name="_1205__FDSAUDITLINK__" hidden="1">{"fdsup://Directions/FactSet Auditing Viewer?action=AUDIT_VALUE&amp;DB=129&amp;ID1=77390310&amp;VALUEID=01001&amp;SDATE=200903&amp;PERIODTYPE=QTR_STD&amp;window=popup_no_bar&amp;width=385&amp;height=120&amp;START_MAXIMIZED=FALSE&amp;creator=factset&amp;display_string=Audit"}</definedName>
    <definedName name="_1206__FDSAUDITLINK__" localSheetId="1" hidden="1">{"fdsup://Directions/FactSet Auditing Viewer?action=AUDIT_VALUE&amp;DB=129&amp;ID1=77390310&amp;VALUEID=01001&amp;SDATE=201003&amp;PERIODTYPE=QTR_STD&amp;window=popup_no_bar&amp;width=385&amp;height=120&amp;START_MAXIMIZED=FALSE&amp;creator=factset&amp;display_string=Audit"}</definedName>
    <definedName name="_1206__FDSAUDITLINK__" hidden="1">{"fdsup://Directions/FactSet Auditing Viewer?action=AUDIT_VALUE&amp;DB=129&amp;ID1=77390310&amp;VALUEID=01001&amp;SDATE=201003&amp;PERIODTYPE=QTR_STD&amp;window=popup_no_bar&amp;width=385&amp;height=120&amp;START_MAXIMIZED=FALSE&amp;creator=factset&amp;display_string=Audit"}</definedName>
    <definedName name="_1207__FDSAUDITLINK__" localSheetId="1" hidden="1">{"fdsup://Directions/FactSet Auditing Viewer?action=AUDIT_VALUE&amp;DB=129&amp;ID1=73157210&amp;VALUEID=01001&amp;SDATE=200901&amp;PERIODTYPE=QTR_STD&amp;window=popup_no_bar&amp;width=385&amp;height=120&amp;START_MAXIMIZED=FALSE&amp;creator=factset&amp;display_string=Audit"}</definedName>
    <definedName name="_1207__FDSAUDITLINK__" hidden="1">{"fdsup://Directions/FactSet Auditing Viewer?action=AUDIT_VALUE&amp;DB=129&amp;ID1=73157210&amp;VALUEID=01001&amp;SDATE=200901&amp;PERIODTYPE=QTR_STD&amp;window=popup_no_bar&amp;width=385&amp;height=120&amp;START_MAXIMIZED=FALSE&amp;creator=factset&amp;display_string=Audit"}</definedName>
    <definedName name="_1208__FDSAUDITLINK__" localSheetId="1" hidden="1">{"fdsup://Directions/FactSet Auditing Viewer?action=AUDIT_VALUE&amp;DB=129&amp;ID1=73157210&amp;VALUEID=01001&amp;SDATE=201001&amp;PERIODTYPE=QTR_STD&amp;window=popup_no_bar&amp;width=385&amp;height=120&amp;START_MAXIMIZED=FALSE&amp;creator=factset&amp;display_string=Audit"}</definedName>
    <definedName name="_1208__FDSAUDITLINK__" hidden="1">{"fdsup://Directions/FactSet Auditing Viewer?action=AUDIT_VALUE&amp;DB=129&amp;ID1=73157210&amp;VALUEID=01001&amp;SDATE=201001&amp;PERIODTYPE=QTR_STD&amp;window=popup_no_bar&amp;width=385&amp;height=120&amp;START_MAXIMIZED=FALSE&amp;creator=factset&amp;display_string=Audit"}</definedName>
    <definedName name="_1209__FDSAUDITLINK__" localSheetId="1" hidden="1">{"fdsup://Directions/FactSet Auditing Viewer?action=AUDIT_VALUE&amp;DB=129&amp;ID1=75657710&amp;VALUEID=01001&amp;SDATE=200901&amp;PERIODTYPE=QTR_STD&amp;window=popup_no_bar&amp;width=385&amp;height=120&amp;START_MAXIMIZED=FALSE&amp;creator=factset&amp;display_string=Audit"}</definedName>
    <definedName name="_1209__FDSAUDITLINK__" hidden="1">{"fdsup://Directions/FactSet Auditing Viewer?action=AUDIT_VALUE&amp;DB=129&amp;ID1=75657710&amp;VALUEID=01001&amp;SDATE=200901&amp;PERIODTYPE=QTR_STD&amp;window=popup_no_bar&amp;width=385&amp;height=120&amp;START_MAXIMIZED=FALSE&amp;creator=factset&amp;display_string=Audit"}</definedName>
    <definedName name="_121__FDSAUDITLINK__" localSheetId="1"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__FDSAUDITLINK__" hidden="1">{"fdsup://directions/FAT Viewer?action=UPDATE&amp;creator=factset&amp;DYN_ARGS=TRUE&amp;DOC_NAME=FAT:FQL_AUDITING_CLIENT_TEMPLATE.FAT&amp;display_string=Audit&amp;VAR:KEY=JWFYBQTANE&amp;VAR:QUERY=RkZfRUJJVERBX09QRVIoUVRSLDQvMS8yMDA5LDYvMzAvMjAwOSwsLFVTRCk=&amp;WINDOW=FIRST_POPUP&amp;HEIGH","T=450&amp;WIDTH=450&amp;START_MAXIMIZED=FALSE&amp;VAR:CALENDAR=US&amp;VAR:SYMBOL=TJX&amp;VAR:INDEX=0"}</definedName>
    <definedName name="_1210__FDSAUDITLINK__" localSheetId="1" hidden="1">{"fdsup://Directions/FactSet Auditing Viewer?action=AUDIT_VALUE&amp;DB=129&amp;ID1=75657710&amp;VALUEID=01001&amp;SDATE=201001&amp;PERIODTYPE=QTR_STD&amp;window=popup_no_bar&amp;width=385&amp;height=120&amp;START_MAXIMIZED=FALSE&amp;creator=factset&amp;display_string=Audit"}</definedName>
    <definedName name="_1210__FDSAUDITLINK__" hidden="1">{"fdsup://Directions/FactSet Auditing Viewer?action=AUDIT_VALUE&amp;DB=129&amp;ID1=75657710&amp;VALUEID=01001&amp;SDATE=201001&amp;PERIODTYPE=QTR_STD&amp;window=popup_no_bar&amp;width=385&amp;height=120&amp;START_MAXIMIZED=FALSE&amp;creator=factset&amp;display_string=Audit"}</definedName>
    <definedName name="_1211__FDSAUDITLINK__" localSheetId="1" hidden="1">{"fdsup://Directions/FactSet Auditing Viewer?action=AUDIT_VALUE&amp;DB=129&amp;ID1=77032310&amp;VALUEID=01001&amp;SDATE=200902&amp;PERIODTYPE=QTR_STD&amp;window=popup_no_bar&amp;width=385&amp;height=120&amp;START_MAXIMIZED=FALSE&amp;creator=factset&amp;display_string=Audit"}</definedName>
    <definedName name="_1211__FDSAUDITLINK__" hidden="1">{"fdsup://Directions/FactSet Auditing Viewer?action=AUDIT_VALUE&amp;DB=129&amp;ID1=77032310&amp;VALUEID=01001&amp;SDATE=200902&amp;PERIODTYPE=QTR_STD&amp;window=popup_no_bar&amp;width=385&amp;height=120&amp;START_MAXIMIZED=FALSE&amp;creator=factset&amp;display_string=Audit"}</definedName>
    <definedName name="_1212__FDSAUDITLINK__" localSheetId="1" hidden="1">{"fdsup://Directions/FactSet Auditing Viewer?action=AUDIT_VALUE&amp;DB=129&amp;ID1=77032310&amp;VALUEID=01001&amp;SDATE=201002&amp;PERIODTYPE=QTR_STD&amp;window=popup_no_bar&amp;width=385&amp;height=120&amp;START_MAXIMIZED=FALSE&amp;creator=factset&amp;display_string=Audit"}</definedName>
    <definedName name="_1212__FDSAUDITLINK__" hidden="1">{"fdsup://Directions/FactSet Auditing Viewer?action=AUDIT_VALUE&amp;DB=129&amp;ID1=77032310&amp;VALUEID=01001&amp;SDATE=201002&amp;PERIODTYPE=QTR_STD&amp;window=popup_no_bar&amp;width=385&amp;height=120&amp;START_MAXIMIZED=FALSE&amp;creator=factset&amp;display_string=Audit"}</definedName>
    <definedName name="_1213__FDSAUDITLINK__" localSheetId="1" hidden="1">{"fdsup://Directions/FactSet Auditing Viewer?action=AUDIT_VALUE&amp;DB=129&amp;ID1=77938210&amp;VALUEID=01001&amp;SDATE=200902&amp;PERIODTYPE=QTR_STD&amp;window=popup_no_bar&amp;width=385&amp;height=120&amp;START_MAXIMIZED=FALSE&amp;creator=factset&amp;display_string=Audit"}</definedName>
    <definedName name="_1213__FDSAUDITLINK__" hidden="1">{"fdsup://Directions/FactSet Auditing Viewer?action=AUDIT_VALUE&amp;DB=129&amp;ID1=77938210&amp;VALUEID=01001&amp;SDATE=200902&amp;PERIODTYPE=QTR_STD&amp;window=popup_no_bar&amp;width=385&amp;height=120&amp;START_MAXIMIZED=FALSE&amp;creator=factset&amp;display_string=Audit"}</definedName>
    <definedName name="_1214__FDSAUDITLINK__" localSheetId="1" hidden="1">{"fdsup://Directions/FactSet Auditing Viewer?action=AUDIT_VALUE&amp;DB=129&amp;ID1=77938210&amp;VALUEID=01001&amp;SDATE=201002&amp;PERIODTYPE=QTR_STD&amp;window=popup_no_bar&amp;width=385&amp;height=120&amp;START_MAXIMIZED=FALSE&amp;creator=factset&amp;display_string=Audit"}</definedName>
    <definedName name="_1214__FDSAUDITLINK__" hidden="1">{"fdsup://Directions/FactSet Auditing Viewer?action=AUDIT_VALUE&amp;DB=129&amp;ID1=77938210&amp;VALUEID=01001&amp;SDATE=201002&amp;PERIODTYPE=QTR_STD&amp;window=popup_no_bar&amp;width=385&amp;height=120&amp;START_MAXIMIZED=FALSE&amp;creator=factset&amp;display_string=Audit"}</definedName>
    <definedName name="_1215__FDSAUDITLINK__" localSheetId="1" hidden="1">{"fdsup://Directions/FactSet Auditing Viewer?action=AUDIT_VALUE&amp;DB=129&amp;ID1=76171310&amp;VALUEID=01001&amp;SDATE=200902&amp;PERIODTYPE=QTR_STD&amp;window=popup_no_bar&amp;width=385&amp;height=120&amp;START_MAXIMIZED=FALSE&amp;creator=factset&amp;display_string=Audit"}</definedName>
    <definedName name="_1215__FDSAUDITLINK__" hidden="1">{"fdsup://Directions/FactSet Auditing Viewer?action=AUDIT_VALUE&amp;DB=129&amp;ID1=76171310&amp;VALUEID=01001&amp;SDATE=200902&amp;PERIODTYPE=QTR_STD&amp;window=popup_no_bar&amp;width=385&amp;height=120&amp;START_MAXIMIZED=FALSE&amp;creator=factset&amp;display_string=Audit"}</definedName>
    <definedName name="_1216__FDSAUDITLINK__" localSheetId="1" hidden="1">{"fdsup://Directions/FactSet Auditing Viewer?action=AUDIT_VALUE&amp;DB=129&amp;ID1=76171310&amp;VALUEID=01001&amp;SDATE=201002&amp;PERIODTYPE=QTR_STD&amp;window=popup_no_bar&amp;width=385&amp;height=120&amp;START_MAXIMIZED=FALSE&amp;creator=factset&amp;display_string=Audit"}</definedName>
    <definedName name="_1216__FDSAUDITLINK__" hidden="1">{"fdsup://Directions/FactSet Auditing Viewer?action=AUDIT_VALUE&amp;DB=129&amp;ID1=76171310&amp;VALUEID=01001&amp;SDATE=201002&amp;PERIODTYPE=QTR_STD&amp;window=popup_no_bar&amp;width=385&amp;height=120&amp;START_MAXIMIZED=FALSE&amp;creator=factset&amp;display_string=Audit"}</definedName>
    <definedName name="_1217__FDSAUDITLINK__" localSheetId="1" hidden="1">{"fdsup://Directions/FactSet Auditing Viewer?action=AUDIT_VALUE&amp;DB=129&amp;ID1=78354910&amp;VALUEID=01001&amp;SDATE=200902&amp;PERIODTYPE=QTR_STD&amp;window=popup_no_bar&amp;width=385&amp;height=120&amp;START_MAXIMIZED=FALSE&amp;creator=factset&amp;display_string=Audit"}</definedName>
    <definedName name="_1217__FDSAUDITLINK__" hidden="1">{"fdsup://Directions/FactSet Auditing Viewer?action=AUDIT_VALUE&amp;DB=129&amp;ID1=78354910&amp;VALUEID=01001&amp;SDATE=200902&amp;PERIODTYPE=QTR_STD&amp;window=popup_no_bar&amp;width=385&amp;height=120&amp;START_MAXIMIZED=FALSE&amp;creator=factset&amp;display_string=Audit"}</definedName>
    <definedName name="_1218__FDSAUDITLINK__" localSheetId="1" hidden="1">{"fdsup://Directions/FactSet Auditing Viewer?action=AUDIT_VALUE&amp;DB=129&amp;ID1=78354910&amp;VALUEID=01001&amp;SDATE=201002&amp;PERIODTYPE=QTR_STD&amp;window=popup_no_bar&amp;width=385&amp;height=120&amp;START_MAXIMIZED=FALSE&amp;creator=factset&amp;display_string=Audit"}</definedName>
    <definedName name="_1218__FDSAUDITLINK__" hidden="1">{"fdsup://Directions/FactSet Auditing Viewer?action=AUDIT_VALUE&amp;DB=129&amp;ID1=78354910&amp;VALUEID=01001&amp;SDATE=201002&amp;PERIODTYPE=QTR_STD&amp;window=popup_no_bar&amp;width=385&amp;height=120&amp;START_MAXIMIZED=FALSE&amp;creator=factset&amp;display_string=Audit"}</definedName>
    <definedName name="_1219__FDSAUDITLINK__" localSheetId="1" hidden="1">{"fdsup://Directions/FactSet Auditing Viewer?action=AUDIT_VALUE&amp;DB=129&amp;ID1=74727710&amp;VALUEID=01001&amp;SDATE=200901&amp;PERIODTYPE=QTR_STD&amp;window=popup_no_bar&amp;width=385&amp;height=120&amp;START_MAXIMIZED=FALSE&amp;creator=factset&amp;display_string=Audit"}</definedName>
    <definedName name="_1219__FDSAUDITLINK__" hidden="1">{"fdsup://Directions/FactSet Auditing Viewer?action=AUDIT_VALUE&amp;DB=129&amp;ID1=74727710&amp;VALUEID=01001&amp;SDATE=200901&amp;PERIODTYPE=QTR_STD&amp;window=popup_no_bar&amp;width=385&amp;height=120&amp;START_MAXIMIZED=FALSE&amp;creator=factset&amp;display_string=Audit"}</definedName>
    <definedName name="_122__FDSAUDITLINK__" localSheetId="1"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__FDSAUDITLINK__" hidden="1">{"fdsup://directions/FAT Viewer?action=UPDATE&amp;creator=factset&amp;DYN_ARGS=TRUE&amp;DOC_NAME=FAT:FQL_AUDITING_CLIENT_TEMPLATE.FAT&amp;display_string=Audit&amp;VAR:KEY=VGXQFCRYZS&amp;VAR:QUERY=RkZfRUJJVERBX09QRVIoUVRSLDQvMS8yMDEwLDYvMzAvMjAxMCwsLFVTRCk=&amp;WINDOW=FIRST_POPUP&amp;HEIGH","T=450&amp;WIDTH=450&amp;START_MAXIMIZED=FALSE&amp;VAR:CALENDAR=US&amp;VAR:SYMBOL=TJX&amp;VAR:INDEX=0"}</definedName>
    <definedName name="_1220__FDSAUDITLINK__" localSheetId="1" hidden="1">{"fdsup://Directions/FactSet Auditing Viewer?action=AUDIT_VALUE&amp;DB=129&amp;ID1=74727710&amp;VALUEID=01001&amp;SDATE=201001&amp;PERIODTYPE=QTR_STD&amp;window=popup_no_bar&amp;width=385&amp;height=120&amp;START_MAXIMIZED=FALSE&amp;creator=factset&amp;display_string=Audit"}</definedName>
    <definedName name="_1220__FDSAUDITLINK__" hidden="1">{"fdsup://Directions/FactSet Auditing Viewer?action=AUDIT_VALUE&amp;DB=129&amp;ID1=74727710&amp;VALUEID=01001&amp;SDATE=201001&amp;PERIODTYPE=QTR_STD&amp;window=popup_no_bar&amp;width=385&amp;height=120&amp;START_MAXIMIZED=FALSE&amp;creator=factset&amp;display_string=Audit"}</definedName>
    <definedName name="_1221__FDSAUDITLINK__" localSheetId="1" hidden="1">{"fdsup://Directions/FactSet Auditing Viewer?action=AUDIT_VALUE&amp;DB=129&amp;ID1=74733V10&amp;VALUEID=01001&amp;SDATE=200902&amp;PERIODTYPE=QTR_STD&amp;window=popup_no_bar&amp;width=385&amp;height=120&amp;START_MAXIMIZED=FALSE&amp;creator=factset&amp;display_string=Audit"}</definedName>
    <definedName name="_1221__FDSAUDITLINK__" hidden="1">{"fdsup://Directions/FactSet Auditing Viewer?action=AUDIT_VALUE&amp;DB=129&amp;ID1=74733V10&amp;VALUEID=01001&amp;SDATE=200902&amp;PERIODTYPE=QTR_STD&amp;window=popup_no_bar&amp;width=385&amp;height=120&amp;START_MAXIMIZED=FALSE&amp;creator=factset&amp;display_string=Audit"}</definedName>
    <definedName name="_1222__FDSAUDITLINK__" localSheetId="1" hidden="1">{"fdsup://Directions/FactSet Auditing Viewer?action=AUDIT_VALUE&amp;DB=129&amp;ID1=74733V10&amp;VALUEID=01001&amp;SDATE=201002&amp;PERIODTYPE=QTR_STD&amp;window=popup_no_bar&amp;width=385&amp;height=120&amp;START_MAXIMIZED=FALSE&amp;creator=factset&amp;display_string=Audit"}</definedName>
    <definedName name="_1222__FDSAUDITLINK__" hidden="1">{"fdsup://Directions/FactSet Auditing Viewer?action=AUDIT_VALUE&amp;DB=129&amp;ID1=74733V10&amp;VALUEID=01001&amp;SDATE=201002&amp;PERIODTYPE=QTR_STD&amp;window=popup_no_bar&amp;width=385&amp;height=120&amp;START_MAXIMIZED=FALSE&amp;creator=factset&amp;display_string=Audit"}</definedName>
    <definedName name="_1223__FDSAUDITLINK__" localSheetId="1" hidden="1">{"fdsup://Directions/FactSet Auditing Viewer?action=AUDIT_VALUE&amp;DB=129&amp;ID1=74752510&amp;VALUEID=01001&amp;SDATE=200903&amp;PERIODTYPE=QTR_STD&amp;window=popup_no_bar&amp;width=385&amp;height=120&amp;START_MAXIMIZED=FALSE&amp;creator=factset&amp;display_string=Audit"}</definedName>
    <definedName name="_1223__FDSAUDITLINK__" hidden="1">{"fdsup://Directions/FactSet Auditing Viewer?action=AUDIT_VALUE&amp;DB=129&amp;ID1=74752510&amp;VALUEID=01001&amp;SDATE=200903&amp;PERIODTYPE=QTR_STD&amp;window=popup_no_bar&amp;width=385&amp;height=120&amp;START_MAXIMIZED=FALSE&amp;creator=factset&amp;display_string=Audit"}</definedName>
    <definedName name="_1224__FDSAUDITLINK__" localSheetId="1" hidden="1">{"fdsup://Directions/FactSet Auditing Viewer?action=AUDIT_VALUE&amp;DB=129&amp;ID1=74752510&amp;VALUEID=01001&amp;SDATE=201003&amp;PERIODTYPE=QTR_STD&amp;window=popup_no_bar&amp;width=385&amp;height=120&amp;START_MAXIMIZED=FALSE&amp;creator=factset&amp;display_string=Audit"}</definedName>
    <definedName name="_1224__FDSAUDITLINK__" hidden="1">{"fdsup://Directions/FactSet Auditing Viewer?action=AUDIT_VALUE&amp;DB=129&amp;ID1=74752510&amp;VALUEID=01001&amp;SDATE=201003&amp;PERIODTYPE=QTR_STD&amp;window=popup_no_bar&amp;width=385&amp;height=120&amp;START_MAXIMIZED=FALSE&amp;creator=factset&amp;display_string=Audit"}</definedName>
    <definedName name="_1225__FDSAUDITLINK__" localSheetId="1" hidden="1">{"fdsup://Directions/FactSet Auditing Viewer?action=AUDIT_VALUE&amp;DB=129&amp;ID1=74912110&amp;VALUEID=01001&amp;SDATE=200902&amp;PERIODTYPE=QTR_STD&amp;window=popup_no_bar&amp;width=385&amp;height=120&amp;START_MAXIMIZED=FALSE&amp;creator=factset&amp;display_string=Audit"}</definedName>
    <definedName name="_1225__FDSAUDITLINK__" hidden="1">{"fdsup://Directions/FactSet Auditing Viewer?action=AUDIT_VALUE&amp;DB=129&amp;ID1=74912110&amp;VALUEID=01001&amp;SDATE=200902&amp;PERIODTYPE=QTR_STD&amp;window=popup_no_bar&amp;width=385&amp;height=120&amp;START_MAXIMIZED=FALSE&amp;creator=factset&amp;display_string=Audit"}</definedName>
    <definedName name="_1226__FDSAUDITLINK__" localSheetId="1" hidden="1">{"fdsup://Directions/FactSet Auditing Viewer?action=AUDIT_VALUE&amp;DB=129&amp;ID1=74912110&amp;VALUEID=01001&amp;SDATE=201002&amp;PERIODTYPE=QTR_STD&amp;window=popup_no_bar&amp;width=385&amp;height=120&amp;START_MAXIMIZED=FALSE&amp;creator=factset&amp;display_string=Audit"}</definedName>
    <definedName name="_1226__FDSAUDITLINK__" hidden="1">{"fdsup://Directions/FactSet Auditing Viewer?action=AUDIT_VALUE&amp;DB=129&amp;ID1=74912110&amp;VALUEID=01001&amp;SDATE=201002&amp;PERIODTYPE=QTR_STD&amp;window=popup_no_bar&amp;width=385&amp;height=120&amp;START_MAXIMIZED=FALSE&amp;creator=factset&amp;display_string=Audit"}</definedName>
    <definedName name="_1227__FDSAUDITLINK__" localSheetId="1" hidden="1">{"fdsup://Directions/FactSet Auditing Viewer?action=AUDIT_VALUE&amp;DB=129&amp;ID1=72378710&amp;VALUEID=01001&amp;SDATE=200902&amp;PERIODTYPE=QTR_STD&amp;window=popup_no_bar&amp;width=385&amp;height=120&amp;START_MAXIMIZED=FALSE&amp;creator=factset&amp;display_string=Audit"}</definedName>
    <definedName name="_1227__FDSAUDITLINK__" hidden="1">{"fdsup://Directions/FactSet Auditing Viewer?action=AUDIT_VALUE&amp;DB=129&amp;ID1=72378710&amp;VALUEID=01001&amp;SDATE=200902&amp;PERIODTYPE=QTR_STD&amp;window=popup_no_bar&amp;width=385&amp;height=120&amp;START_MAXIMIZED=FALSE&amp;creator=factset&amp;display_string=Audit"}</definedName>
    <definedName name="_1228__FDSAUDITLINK__" localSheetId="1" hidden="1">{"fdsup://Directions/FactSet Auditing Viewer?action=AUDIT_VALUE&amp;DB=129&amp;ID1=72378710&amp;VALUEID=01001&amp;SDATE=201002&amp;PERIODTYPE=QTR_STD&amp;window=popup_no_bar&amp;width=385&amp;height=120&amp;START_MAXIMIZED=FALSE&amp;creator=factset&amp;display_string=Audit"}</definedName>
    <definedName name="_1228__FDSAUDITLINK__" hidden="1">{"fdsup://Directions/FactSet Auditing Viewer?action=AUDIT_VALUE&amp;DB=129&amp;ID1=72378710&amp;VALUEID=01001&amp;SDATE=201002&amp;PERIODTYPE=QTR_STD&amp;window=popup_no_bar&amp;width=385&amp;height=120&amp;START_MAXIMIZED=FALSE&amp;creator=factset&amp;display_string=Audit"}</definedName>
    <definedName name="_1229__FDSAUDITLINK__" localSheetId="1" hidden="1">{"fdsup://Directions/FactSet Auditing Viewer?action=AUDIT_VALUE&amp;DB=129&amp;ID1=74005P10&amp;VALUEID=01001&amp;SDATE=200902&amp;PERIODTYPE=QTR_STD&amp;window=popup_no_bar&amp;width=385&amp;height=120&amp;START_MAXIMIZED=FALSE&amp;creator=factset&amp;display_string=Audit"}</definedName>
    <definedName name="_1229__FDSAUDITLINK__" hidden="1">{"fdsup://Directions/FactSet Auditing Viewer?action=AUDIT_VALUE&amp;DB=129&amp;ID1=74005P10&amp;VALUEID=01001&amp;SDATE=200902&amp;PERIODTYPE=QTR_STD&amp;window=popup_no_bar&amp;width=385&amp;height=120&amp;START_MAXIMIZED=FALSE&amp;creator=factset&amp;display_string=Audit"}</definedName>
    <definedName name="_123__FDSAUDITLINK__" localSheetId="1"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__FDSAUDITLINK__" hidden="1">{"fdsup://directions/FAT Viewer?action=UPDATE&amp;creator=factset&amp;DYN_ARGS=TRUE&amp;DOC_NAME=FAT:FQL_AUDITING_CLIENT_TEMPLATE.FAT&amp;display_string=Audit&amp;VAR:KEY=HURAZUZURW&amp;VAR:QUERY=RkZfRUJJVERBX09QRVIoUVRSLDQvMS8yMDA5LDYvMzAvMjAwOSwsLFVTRCk=&amp;WINDOW=FIRST_POPUP&amp;HEIGH","T=450&amp;WIDTH=450&amp;START_MAXIMIZED=FALSE&amp;VAR:CALENDAR=US&amp;VAR:SYMBOL=TIF&amp;VAR:INDEX=0"}</definedName>
    <definedName name="_1230__FDSAUDITLINK__" localSheetId="1" hidden="1">{"fdsup://Directions/FactSet Auditing Viewer?action=AUDIT_VALUE&amp;DB=129&amp;ID1=74005P10&amp;VALUEID=01001&amp;SDATE=201002&amp;PERIODTYPE=QTR_STD&amp;window=popup_no_bar&amp;width=385&amp;height=120&amp;START_MAXIMIZED=FALSE&amp;creator=factset&amp;display_string=Audit"}</definedName>
    <definedName name="_1230__FDSAUDITLINK__" hidden="1">{"fdsup://Directions/FactSet Auditing Viewer?action=AUDIT_VALUE&amp;DB=129&amp;ID1=74005P10&amp;VALUEID=01001&amp;SDATE=201002&amp;PERIODTYPE=QTR_STD&amp;window=popup_no_bar&amp;width=385&amp;height=120&amp;START_MAXIMIZED=FALSE&amp;creator=factset&amp;display_string=Audit"}</definedName>
    <definedName name="_1231__FDSAUDITLINK__" localSheetId="1" hidden="1">{"fdsup://Directions/FactSet Auditing Viewer?action=AUDIT_VALUE&amp;DB=129&amp;ID1=74762E10&amp;VALUEID=01001&amp;SDATE=200902&amp;PERIODTYPE=QTR_STD&amp;window=popup_no_bar&amp;width=385&amp;height=120&amp;START_MAXIMIZED=FALSE&amp;creator=factset&amp;display_string=Audit"}</definedName>
    <definedName name="_1231__FDSAUDITLINK__" hidden="1">{"fdsup://Directions/FactSet Auditing Viewer?action=AUDIT_VALUE&amp;DB=129&amp;ID1=74762E10&amp;VALUEID=01001&amp;SDATE=200902&amp;PERIODTYPE=QTR_STD&amp;window=popup_no_bar&amp;width=385&amp;height=120&amp;START_MAXIMIZED=FALSE&amp;creator=factset&amp;display_string=Audit"}</definedName>
    <definedName name="_1232__FDSAUDITLINK__" localSheetId="1" hidden="1">{"fdsup://Directions/FactSet Auditing Viewer?action=AUDIT_VALUE&amp;DB=129&amp;ID1=74762E10&amp;VALUEID=01001&amp;SDATE=201002&amp;PERIODTYPE=QTR_STD&amp;window=popup_no_bar&amp;width=385&amp;height=120&amp;START_MAXIMIZED=FALSE&amp;creator=factset&amp;display_string=Audit"}</definedName>
    <definedName name="_1232__FDSAUDITLINK__" hidden="1">{"fdsup://Directions/FactSet Auditing Viewer?action=AUDIT_VALUE&amp;DB=129&amp;ID1=74762E10&amp;VALUEID=01001&amp;SDATE=201002&amp;PERIODTYPE=QTR_STD&amp;window=popup_no_bar&amp;width=385&amp;height=120&amp;START_MAXIMIZED=FALSE&amp;creator=factset&amp;display_string=Audit"}</definedName>
    <definedName name="_1233__FDSAUDITLINK__" localSheetId="1" hidden="1">{"fdsup://Directions/FactSet Auditing Viewer?action=AUDIT_VALUE&amp;DB=129&amp;ID1=69525710&amp;VALUEID=01001&amp;SDATE=200902&amp;PERIODTYPE=QTR_STD&amp;window=popup_no_bar&amp;width=385&amp;height=120&amp;START_MAXIMIZED=FALSE&amp;creator=factset&amp;display_string=Audit"}</definedName>
    <definedName name="_1233__FDSAUDITLINK__" hidden="1">{"fdsup://Directions/FactSet Auditing Viewer?action=AUDIT_VALUE&amp;DB=129&amp;ID1=69525710&amp;VALUEID=01001&amp;SDATE=200902&amp;PERIODTYPE=QTR_STD&amp;window=popup_no_bar&amp;width=385&amp;height=120&amp;START_MAXIMIZED=FALSE&amp;creator=factset&amp;display_string=Audit"}</definedName>
    <definedName name="_1234__FDSAUDITLINK__" localSheetId="1" hidden="1">{"fdsup://Directions/FactSet Auditing Viewer?action=AUDIT_VALUE&amp;DB=129&amp;ID1=69525710&amp;VALUEID=01001&amp;SDATE=201002&amp;PERIODTYPE=QTR_STD&amp;window=popup_no_bar&amp;width=385&amp;height=120&amp;START_MAXIMIZED=FALSE&amp;creator=factset&amp;display_string=Audit"}</definedName>
    <definedName name="_1234__FDSAUDITLINK__" hidden="1">{"fdsup://Directions/FactSet Auditing Viewer?action=AUDIT_VALUE&amp;DB=129&amp;ID1=69525710&amp;VALUEID=01001&amp;SDATE=201002&amp;PERIODTYPE=QTR_STD&amp;window=popup_no_bar&amp;width=385&amp;height=120&amp;START_MAXIMIZED=FALSE&amp;creator=factset&amp;display_string=Audit"}</definedName>
    <definedName name="_1235__FDSAUDITLINK__" localSheetId="1" hidden="1">{"fdsup://Directions/FactSet Auditing Viewer?action=AUDIT_VALUE&amp;DB=129&amp;ID1=74460D10&amp;VALUEID=01001&amp;SDATE=201002&amp;PERIODTYPE=QTR_STD&amp;window=popup_no_bar&amp;width=385&amp;height=120&amp;START_MAXIMIZED=FALSE&amp;creator=factset&amp;display_string=Audit"}</definedName>
    <definedName name="_1235__FDSAUDITLINK__" hidden="1">{"fdsup://Directions/FactSet Auditing Viewer?action=AUDIT_VALUE&amp;DB=129&amp;ID1=74460D10&amp;VALUEID=01001&amp;SDATE=201002&amp;PERIODTYPE=QTR_STD&amp;window=popup_no_bar&amp;width=385&amp;height=120&amp;START_MAXIMIZED=FALSE&amp;creator=factset&amp;display_string=Audit"}</definedName>
    <definedName name="_1236__FDSAUDITLINK__" localSheetId="1" hidden="1">{"fdsup://Directions/FactSet Auditing Viewer?action=AUDIT_VALUE&amp;DB=129&amp;ID1=74432010&amp;VALUEID=01001&amp;SDATE=200902&amp;PERIODTYPE=QTR_STD&amp;window=popup_no_bar&amp;width=385&amp;height=120&amp;START_MAXIMIZED=FALSE&amp;creator=factset&amp;display_string=Audit"}</definedName>
    <definedName name="_1236__FDSAUDITLINK__" hidden="1">{"fdsup://Directions/FactSet Auditing Viewer?action=AUDIT_VALUE&amp;DB=129&amp;ID1=74432010&amp;VALUEID=01001&amp;SDATE=200902&amp;PERIODTYPE=QTR_STD&amp;window=popup_no_bar&amp;width=385&amp;height=120&amp;START_MAXIMIZED=FALSE&amp;creator=factset&amp;display_string=Audit"}</definedName>
    <definedName name="_1237__FDSAUDITLINK__" localSheetId="1" hidden="1">{"fdsup://Directions/FactSet Auditing Viewer?action=AUDIT_VALUE&amp;DB=129&amp;ID1=74432010&amp;VALUEID=01001&amp;SDATE=201002&amp;PERIODTYPE=QTR_STD&amp;window=popup_no_bar&amp;width=385&amp;height=120&amp;START_MAXIMIZED=FALSE&amp;creator=factset&amp;display_string=Audit"}</definedName>
    <definedName name="_1237__FDSAUDITLINK__" hidden="1">{"fdsup://Directions/FactSet Auditing Viewer?action=AUDIT_VALUE&amp;DB=129&amp;ID1=74432010&amp;VALUEID=01001&amp;SDATE=201002&amp;PERIODTYPE=QTR_STD&amp;window=popup_no_bar&amp;width=385&amp;height=120&amp;START_MAXIMIZED=FALSE&amp;creator=factset&amp;display_string=Audit"}</definedName>
    <definedName name="_1238__FDSAUDITLINK__" localSheetId="1" hidden="1">{"fdsup://Directions/FactSet Auditing Viewer?action=AUDIT_VALUE&amp;DB=129&amp;ID1=69351T10&amp;VALUEID=01001&amp;SDATE=200902&amp;PERIODTYPE=QTR_STD&amp;window=popup_no_bar&amp;width=385&amp;height=120&amp;START_MAXIMIZED=FALSE&amp;creator=factset&amp;display_string=Audit"}</definedName>
    <definedName name="_1238__FDSAUDITLINK__" hidden="1">{"fdsup://Directions/FactSet Auditing Viewer?action=AUDIT_VALUE&amp;DB=129&amp;ID1=69351T10&amp;VALUEID=01001&amp;SDATE=200902&amp;PERIODTYPE=QTR_STD&amp;window=popup_no_bar&amp;width=385&amp;height=120&amp;START_MAXIMIZED=FALSE&amp;creator=factset&amp;display_string=Audit"}</definedName>
    <definedName name="_1239__FDSAUDITLINK__" localSheetId="1" hidden="1">{"fdsup://Directions/FactSet Auditing Viewer?action=AUDIT_VALUE&amp;DB=129&amp;ID1=69351T10&amp;VALUEID=01001&amp;SDATE=201002&amp;PERIODTYPE=QTR_STD&amp;window=popup_no_bar&amp;width=385&amp;height=120&amp;START_MAXIMIZED=FALSE&amp;creator=factset&amp;display_string=Audit"}</definedName>
    <definedName name="_1239__FDSAUDITLINK__" hidden="1">{"fdsup://Directions/FactSet Auditing Viewer?action=AUDIT_VALUE&amp;DB=129&amp;ID1=69351T10&amp;VALUEID=01001&amp;SDATE=201002&amp;PERIODTYPE=QTR_STD&amp;window=popup_no_bar&amp;width=385&amp;height=120&amp;START_MAXIMIZED=FALSE&amp;creator=factset&amp;display_string=Audit"}</definedName>
    <definedName name="_124__FDSAUDITLINK__" localSheetId="1"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__FDSAUDITLINK__" hidden="1">{"fdsup://directions/FAT Viewer?action=UPDATE&amp;creator=factset&amp;DYN_ARGS=TRUE&amp;DOC_NAME=FAT:FQL_AUDITING_CLIENT_TEMPLATE.FAT&amp;display_string=Audit&amp;VAR:KEY=TYDCNKZMLE&amp;VAR:QUERY=RkZfRUJJVERBX09QRVIoUVRSLDQvMS8yMDEwLDYvMzAvMjAxMCwsLFVTRCk=&amp;WINDOW=FIRST_POPUP&amp;HEIGH","T=450&amp;WIDTH=450&amp;START_MAXIMIZED=FALSE&amp;VAR:CALENDAR=US&amp;VAR:SYMBOL=TIF&amp;VAR:INDEX=0"}</definedName>
    <definedName name="_1240__FDSAUDITLINK__" localSheetId="1" hidden="1">{"fdsup://Directions/FactSet Auditing Viewer?action=AUDIT_VALUE&amp;DB=129&amp;ID1=69350610&amp;VALUEID=01001&amp;SDATE=200902&amp;PERIODTYPE=QTR_STD&amp;window=popup_no_bar&amp;width=385&amp;height=120&amp;START_MAXIMIZED=FALSE&amp;creator=factset&amp;display_string=Audit"}</definedName>
    <definedName name="_1240__FDSAUDITLINK__" hidden="1">{"fdsup://Directions/FactSet Auditing Viewer?action=AUDIT_VALUE&amp;DB=129&amp;ID1=69350610&amp;VALUEID=01001&amp;SDATE=200902&amp;PERIODTYPE=QTR_STD&amp;window=popup_no_bar&amp;width=385&amp;height=120&amp;START_MAXIMIZED=FALSE&amp;creator=factset&amp;display_string=Audit"}</definedName>
    <definedName name="_1241__FDSAUDITLINK__" localSheetId="1" hidden="1">{"fdsup://Directions/FactSet Auditing Viewer?action=AUDIT_VALUE&amp;DB=129&amp;ID1=69350610&amp;VALUEID=01001&amp;SDATE=201002&amp;PERIODTYPE=QTR_STD&amp;window=popup_no_bar&amp;width=385&amp;height=120&amp;START_MAXIMIZED=FALSE&amp;creator=factset&amp;display_string=Audit"}</definedName>
    <definedName name="_1241__FDSAUDITLINK__" hidden="1">{"fdsup://Directions/FactSet Auditing Viewer?action=AUDIT_VALUE&amp;DB=129&amp;ID1=69350610&amp;VALUEID=01001&amp;SDATE=201002&amp;PERIODTYPE=QTR_STD&amp;window=popup_no_bar&amp;width=385&amp;height=120&amp;START_MAXIMIZED=FALSE&amp;creator=factset&amp;display_string=Audit"}</definedName>
    <definedName name="_1242__FDSAUDITLINK__" localSheetId="1" hidden="1">{"fdsup://Directions/FactSet Auditing Viewer?action=AUDIT_VALUE&amp;DB=129&amp;ID1=71329110&amp;VALUEID=01001&amp;SDATE=200902&amp;PERIODTYPE=QTR_STD&amp;window=popup_no_bar&amp;width=385&amp;height=120&amp;START_MAXIMIZED=FALSE&amp;creator=factset&amp;display_string=Audit"}</definedName>
    <definedName name="_1242__FDSAUDITLINK__" hidden="1">{"fdsup://Directions/FactSet Auditing Viewer?action=AUDIT_VALUE&amp;DB=129&amp;ID1=71329110&amp;VALUEID=01001&amp;SDATE=200902&amp;PERIODTYPE=QTR_STD&amp;window=popup_no_bar&amp;width=385&amp;height=120&amp;START_MAXIMIZED=FALSE&amp;creator=factset&amp;display_string=Audit"}</definedName>
    <definedName name="_1243__FDSAUDITLINK__" localSheetId="1" hidden="1">{"fdsup://Directions/FactSet Auditing Viewer?action=AUDIT_VALUE&amp;DB=129&amp;ID1=71329110&amp;VALUEID=01001&amp;SDATE=201002&amp;PERIODTYPE=QTR_STD&amp;window=popup_no_bar&amp;width=385&amp;height=120&amp;START_MAXIMIZED=FALSE&amp;creator=factset&amp;display_string=Audit"}</definedName>
    <definedName name="_1243__FDSAUDITLINK__" hidden="1">{"fdsup://Directions/FactSet Auditing Viewer?action=AUDIT_VALUE&amp;DB=129&amp;ID1=71329110&amp;VALUEID=01001&amp;SDATE=201002&amp;PERIODTYPE=QTR_STD&amp;window=popup_no_bar&amp;width=385&amp;height=120&amp;START_MAXIMIZED=FALSE&amp;creator=factset&amp;display_string=Audit"}</definedName>
    <definedName name="_1244__FDSAUDITLINK__" localSheetId="1" hidden="1">{"fdsup://Directions/FactSet Auditing Viewer?action=AUDIT_VALUE&amp;DB=129&amp;ID1=72348410&amp;VALUEID=01001&amp;SDATE=200902&amp;PERIODTYPE=QTR_STD&amp;window=popup_no_bar&amp;width=385&amp;height=120&amp;START_MAXIMIZED=FALSE&amp;creator=factset&amp;display_string=Audit"}</definedName>
    <definedName name="_1244__FDSAUDITLINK__" hidden="1">{"fdsup://Directions/FactSet Auditing Viewer?action=AUDIT_VALUE&amp;DB=129&amp;ID1=72348410&amp;VALUEID=01001&amp;SDATE=200902&amp;PERIODTYPE=QTR_STD&amp;window=popup_no_bar&amp;width=385&amp;height=120&amp;START_MAXIMIZED=FALSE&amp;creator=factset&amp;display_string=Audit"}</definedName>
    <definedName name="_1245__FDSAUDITLINK__" localSheetId="1" hidden="1">{"fdsup://Directions/FactSet Auditing Viewer?action=AUDIT_VALUE&amp;DB=129&amp;ID1=72348410&amp;VALUEID=01001&amp;SDATE=201002&amp;PERIODTYPE=QTR_STD&amp;window=popup_no_bar&amp;width=385&amp;height=120&amp;START_MAXIMIZED=FALSE&amp;creator=factset&amp;display_string=Audit"}</definedName>
    <definedName name="_1245__FDSAUDITLINK__" hidden="1">{"fdsup://Directions/FactSet Auditing Viewer?action=AUDIT_VALUE&amp;DB=129&amp;ID1=72348410&amp;VALUEID=01001&amp;SDATE=201002&amp;PERIODTYPE=QTR_STD&amp;window=popup_no_bar&amp;width=385&amp;height=120&amp;START_MAXIMIZED=FALSE&amp;creator=factset&amp;display_string=Audit"}</definedName>
    <definedName name="_1246__FDSAUDITLINK__" localSheetId="1" hidden="1">{"fdsup://Directions/FactSet Auditing Viewer?action=AUDIT_VALUE&amp;DB=129&amp;ID1=71817210&amp;VALUEID=01001&amp;SDATE=200902&amp;PERIODTYPE=QTR_STD&amp;window=popup_no_bar&amp;width=385&amp;height=120&amp;START_MAXIMIZED=FALSE&amp;creator=factset&amp;display_string=Audit"}</definedName>
    <definedName name="_1246__FDSAUDITLINK__" hidden="1">{"fdsup://Directions/FactSet Auditing Viewer?action=AUDIT_VALUE&amp;DB=129&amp;ID1=71817210&amp;VALUEID=01001&amp;SDATE=200902&amp;PERIODTYPE=QTR_STD&amp;window=popup_no_bar&amp;width=385&amp;height=120&amp;START_MAXIMIZED=FALSE&amp;creator=factset&amp;display_string=Audit"}</definedName>
    <definedName name="_1247__FDSAUDITLINK__" localSheetId="1" hidden="1">{"fdsup://Directions/FactSet Auditing Viewer?action=AUDIT_VALUE&amp;DB=129&amp;ID1=71817210&amp;VALUEID=01001&amp;SDATE=201002&amp;PERIODTYPE=QTR_STD&amp;window=popup_no_bar&amp;width=385&amp;height=120&amp;START_MAXIMIZED=FALSE&amp;creator=factset&amp;display_string=Audit"}</definedName>
    <definedName name="_1247__FDSAUDITLINK__" hidden="1">{"fdsup://Directions/FactSet Auditing Viewer?action=AUDIT_VALUE&amp;DB=129&amp;ID1=71817210&amp;VALUEID=01001&amp;SDATE=201002&amp;PERIODTYPE=QTR_STD&amp;window=popup_no_bar&amp;width=385&amp;height=120&amp;START_MAXIMIZED=FALSE&amp;creator=factset&amp;display_string=Audit"}</definedName>
    <definedName name="_1248__FDSAUDITLINK__" localSheetId="1" hidden="1">{"fdsup://Directions/FactSet Auditing Viewer?action=AUDIT_VALUE&amp;DB=129&amp;ID1=69642930&amp;VALUEID=01001&amp;SDATE=200903&amp;PERIODTYPE=QTR_STD&amp;window=popup_no_bar&amp;width=385&amp;height=120&amp;START_MAXIMIZED=FALSE&amp;creator=factset&amp;display_string=Audit"}</definedName>
    <definedName name="_1248__FDSAUDITLINK__" hidden="1">{"fdsup://Directions/FactSet Auditing Viewer?action=AUDIT_VALUE&amp;DB=129&amp;ID1=69642930&amp;VALUEID=01001&amp;SDATE=200903&amp;PERIODTYPE=QTR_STD&amp;window=popup_no_bar&amp;width=385&amp;height=120&amp;START_MAXIMIZED=FALSE&amp;creator=factset&amp;display_string=Audit"}</definedName>
    <definedName name="_1249__FDSAUDITLINK__" localSheetId="1" hidden="1">{"fdsup://Directions/FactSet Auditing Viewer?action=AUDIT_VALUE&amp;DB=129&amp;ID1=69642930&amp;VALUEID=01001&amp;SDATE=201003&amp;PERIODTYPE=QTR_STD&amp;window=popup_no_bar&amp;width=385&amp;height=120&amp;START_MAXIMIZED=FALSE&amp;creator=factset&amp;display_string=Audit"}</definedName>
    <definedName name="_1249__FDSAUDITLINK__" hidden="1">{"fdsup://Directions/FactSet Auditing Viewer?action=AUDIT_VALUE&amp;DB=129&amp;ID1=69642930&amp;VALUEID=01001&amp;SDATE=201003&amp;PERIODTYPE=QTR_STD&amp;window=popup_no_bar&amp;width=385&amp;height=120&amp;START_MAXIMIZED=FALSE&amp;creator=factset&amp;display_string=Audit"}</definedName>
    <definedName name="_125__FDSAUDITLINK__" localSheetId="1"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__FDSAUDITLINK__" hidden="1">{"fdsup://directions/FAT Viewer?action=UPDATE&amp;creator=factset&amp;DYN_ARGS=TRUE&amp;DOC_NAME=FAT:FQL_AUDITING_CLIENT_TEMPLATE.FAT&amp;display_string=Audit&amp;VAR:KEY=XSVCLKPKFQ&amp;VAR:QUERY=RkZfRUJJVERBX09QRVIoUVRSLDQvMS8yMDA5LDYvMzAvMjAwOSwsLFVTRCk=&amp;WINDOW=FIRST_POPUP&amp;HEIGH","T=450&amp;WIDTH=450&amp;START_MAXIMIZED=FALSE&amp;VAR:CALENDAR=US&amp;VAR:SYMBOL=TIE&amp;VAR:INDEX=0"}</definedName>
    <definedName name="_1250__FDSAUDITLINK__" localSheetId="1" hidden="1">{"fdsup://Directions/FactSet Auditing Viewer?action=AUDIT_VALUE&amp;DB=129&amp;ID1=74341010&amp;VALUEID=01001&amp;SDATE=200902&amp;PERIODTYPE=QTR_STD&amp;window=popup_no_bar&amp;width=385&amp;height=120&amp;START_MAXIMIZED=FALSE&amp;creator=factset&amp;display_string=Audit"}</definedName>
    <definedName name="_1250__FDSAUDITLINK__" hidden="1">{"fdsup://Directions/FactSet Auditing Viewer?action=AUDIT_VALUE&amp;DB=129&amp;ID1=74341010&amp;VALUEID=01001&amp;SDATE=200902&amp;PERIODTYPE=QTR_STD&amp;window=popup_no_bar&amp;width=385&amp;height=120&amp;START_MAXIMIZED=FALSE&amp;creator=factset&amp;display_string=Audit"}</definedName>
    <definedName name="_1251__FDSAUDITLINK__" localSheetId="1" hidden="1">{"fdsup://Directions/FactSet Auditing Viewer?action=AUDIT_VALUE&amp;DB=129&amp;ID1=74341010&amp;VALUEID=01001&amp;SDATE=201002&amp;PERIODTYPE=QTR_STD&amp;window=popup_no_bar&amp;width=385&amp;height=120&amp;START_MAXIMIZED=FALSE&amp;creator=factset&amp;display_string=Audit"}</definedName>
    <definedName name="_1251__FDSAUDITLINK__" hidden="1">{"fdsup://Directions/FactSet Auditing Viewer?action=AUDIT_VALUE&amp;DB=129&amp;ID1=74341010&amp;VALUEID=01001&amp;SDATE=201002&amp;PERIODTYPE=QTR_STD&amp;window=popup_no_bar&amp;width=385&amp;height=120&amp;START_MAXIMIZED=FALSE&amp;creator=factset&amp;display_string=Audit"}</definedName>
    <definedName name="_1252__FDSAUDITLINK__" localSheetId="1" hidden="1">{"fdsup://Directions/FactSet Auditing Viewer?action=AUDIT_VALUE&amp;DB=129&amp;ID1=71404610&amp;VALUEID=01001&amp;SDATE=200902&amp;PERIODTYPE=QTR_STD&amp;window=popup_no_bar&amp;width=385&amp;height=120&amp;START_MAXIMIZED=FALSE&amp;creator=factset&amp;display_string=Audit"}</definedName>
    <definedName name="_1252__FDSAUDITLINK__" hidden="1">{"fdsup://Directions/FactSet Auditing Viewer?action=AUDIT_VALUE&amp;DB=129&amp;ID1=71404610&amp;VALUEID=01001&amp;SDATE=200902&amp;PERIODTYPE=QTR_STD&amp;window=popup_no_bar&amp;width=385&amp;height=120&amp;START_MAXIMIZED=FALSE&amp;creator=factset&amp;display_string=Audit"}</definedName>
    <definedName name="_1253__FDSAUDITLINK__" localSheetId="1" hidden="1">{"fdsup://Directions/FactSet Auditing Viewer?action=AUDIT_VALUE&amp;DB=129&amp;ID1=71404610&amp;VALUEID=01001&amp;SDATE=201002&amp;PERIODTYPE=QTR_STD&amp;window=popup_no_bar&amp;width=385&amp;height=120&amp;START_MAXIMIZED=FALSE&amp;creator=factset&amp;display_string=Audit"}</definedName>
    <definedName name="_1253__FDSAUDITLINK__" hidden="1">{"fdsup://Directions/FactSet Auditing Viewer?action=AUDIT_VALUE&amp;DB=129&amp;ID1=71404610&amp;VALUEID=01001&amp;SDATE=201002&amp;PERIODTYPE=QTR_STD&amp;window=popup_no_bar&amp;width=385&amp;height=120&amp;START_MAXIMIZED=FALSE&amp;creator=factset&amp;display_string=Audit"}</definedName>
    <definedName name="_1254__FDSAUDITLINK__" localSheetId="1" hidden="1">{"fdsup://Directions/FactSet Auditing Viewer?action=AUDIT_VALUE&amp;DB=129&amp;ID1=74586710&amp;VALUEID=01001&amp;SDATE=200902&amp;PERIODTYPE=QTR_STD&amp;window=popup_no_bar&amp;width=385&amp;height=120&amp;START_MAXIMIZED=FALSE&amp;creator=factset&amp;display_string=Audit"}</definedName>
    <definedName name="_1254__FDSAUDITLINK__" hidden="1">{"fdsup://Directions/FactSet Auditing Viewer?action=AUDIT_VALUE&amp;DB=129&amp;ID1=74586710&amp;VALUEID=01001&amp;SDATE=200902&amp;PERIODTYPE=QTR_STD&amp;window=popup_no_bar&amp;width=385&amp;height=120&amp;START_MAXIMIZED=FALSE&amp;creator=factset&amp;display_string=Audit"}</definedName>
    <definedName name="_1255__FDSAUDITLINK__" localSheetId="1" hidden="1">{"fdsup://Directions/FactSet Auditing Viewer?action=AUDIT_VALUE&amp;DB=129&amp;ID1=74586710&amp;VALUEID=01001&amp;SDATE=201002&amp;PERIODTYPE=QTR_STD&amp;window=popup_no_bar&amp;width=385&amp;height=120&amp;START_MAXIMIZED=FALSE&amp;creator=factset&amp;display_string=Audit"}</definedName>
    <definedName name="_1255__FDSAUDITLINK__" hidden="1">{"fdsup://Directions/FactSet Auditing Viewer?action=AUDIT_VALUE&amp;DB=129&amp;ID1=74586710&amp;VALUEID=01001&amp;SDATE=201002&amp;PERIODTYPE=QTR_STD&amp;window=popup_no_bar&amp;width=385&amp;height=120&amp;START_MAXIMIZED=FALSE&amp;creator=factset&amp;display_string=Audit"}</definedName>
    <definedName name="_1256__FDSAUDITLINK__" localSheetId="1" hidden="1">{"fdsup://Directions/FactSet Auditing Viewer?action=AUDIT_VALUE&amp;DB=129&amp;ID1=70109410&amp;VALUEID=01001&amp;SDATE=200904&amp;PERIODTYPE=QTR_STD&amp;window=popup_no_bar&amp;width=385&amp;height=120&amp;START_MAXIMIZED=FALSE&amp;creator=factset&amp;display_string=Audit"}</definedName>
    <definedName name="_1256__FDSAUDITLINK__" hidden="1">{"fdsup://Directions/FactSet Auditing Viewer?action=AUDIT_VALUE&amp;DB=129&amp;ID1=70109410&amp;VALUEID=01001&amp;SDATE=200904&amp;PERIODTYPE=QTR_STD&amp;window=popup_no_bar&amp;width=385&amp;height=120&amp;START_MAXIMIZED=FALSE&amp;creator=factset&amp;display_string=Audit"}</definedName>
    <definedName name="_1257__FDSAUDITLINK__" localSheetId="1" hidden="1">{"fdsup://Directions/FactSet Auditing Viewer?action=AUDIT_VALUE&amp;DB=129&amp;ID1=70109410&amp;VALUEID=01001&amp;SDATE=201004&amp;PERIODTYPE=QTR_STD&amp;window=popup_no_bar&amp;width=385&amp;height=120&amp;START_MAXIMIZED=FALSE&amp;creator=factset&amp;display_string=Audit"}</definedName>
    <definedName name="_1257__FDSAUDITLINK__" hidden="1">{"fdsup://Directions/FactSet Auditing Viewer?action=AUDIT_VALUE&amp;DB=129&amp;ID1=70109410&amp;VALUEID=01001&amp;SDATE=201004&amp;PERIODTYPE=QTR_STD&amp;window=popup_no_bar&amp;width=385&amp;height=120&amp;START_MAXIMIZED=FALSE&amp;creator=factset&amp;display_string=Audit"}</definedName>
    <definedName name="_1258__FDSAUDITLINK__" localSheetId="1" hidden="1">{"fdsup://Directions/FactSet Auditing Viewer?action=AUDIT_VALUE&amp;DB=129&amp;ID1=74331510&amp;VALUEID=01001&amp;SDATE=200902&amp;PERIODTYPE=QTR_STD&amp;window=popup_no_bar&amp;width=385&amp;height=120&amp;START_MAXIMIZED=FALSE&amp;creator=factset&amp;display_string=Audit"}</definedName>
    <definedName name="_1258__FDSAUDITLINK__" hidden="1">{"fdsup://Directions/FactSet Auditing Viewer?action=AUDIT_VALUE&amp;DB=129&amp;ID1=74331510&amp;VALUEID=01001&amp;SDATE=200902&amp;PERIODTYPE=QTR_STD&amp;window=popup_no_bar&amp;width=385&amp;height=120&amp;START_MAXIMIZED=FALSE&amp;creator=factset&amp;display_string=Audit"}</definedName>
    <definedName name="_1259__FDSAUDITLINK__" localSheetId="1" hidden="1">{"fdsup://Directions/FactSet Auditing Viewer?action=AUDIT_VALUE&amp;DB=129&amp;ID1=74331510&amp;VALUEID=01001&amp;SDATE=201002&amp;PERIODTYPE=QTR_STD&amp;window=popup_no_bar&amp;width=385&amp;height=120&amp;START_MAXIMIZED=FALSE&amp;creator=factset&amp;display_string=Audit"}</definedName>
    <definedName name="_1259__FDSAUDITLINK__" hidden="1">{"fdsup://Directions/FactSet Auditing Viewer?action=AUDIT_VALUE&amp;DB=129&amp;ID1=74331510&amp;VALUEID=01001&amp;SDATE=201002&amp;PERIODTYPE=QTR_STD&amp;window=popup_no_bar&amp;width=385&amp;height=120&amp;START_MAXIMIZED=FALSE&amp;creator=factset&amp;display_string=Audit"}</definedName>
    <definedName name="_126__FDSAUDITLINK__" localSheetId="1"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__FDSAUDITLINK__" hidden="1">{"fdsup://directions/FAT Viewer?action=UPDATE&amp;creator=factset&amp;DYN_ARGS=TRUE&amp;DOC_NAME=FAT:FQL_AUDITING_CLIENT_TEMPLATE.FAT&amp;display_string=Audit&amp;VAR:KEY=FUJEFOPWTI&amp;VAR:QUERY=RkZfRUJJVERBX09QRVIoUVRSLDQvMS8yMDEwLDYvMzAvMjAxMCwsLFVTRCk=&amp;WINDOW=FIRST_POPUP&amp;HEIGH","T=450&amp;WIDTH=450&amp;START_MAXIMIZED=FALSE&amp;VAR:CALENDAR=US&amp;VAR:SYMBOL=TIE&amp;VAR:INDEX=0"}</definedName>
    <definedName name="_1260__FDSAUDITLINK__" localSheetId="1" hidden="1">{"fdsup://Directions/FactSet Auditing Viewer?action=AUDIT_VALUE&amp;DB=129&amp;ID1=74326310&amp;VALUEID=01001&amp;SDATE=200902&amp;PERIODTYPE=QTR_STD&amp;window=popup_no_bar&amp;width=385&amp;height=120&amp;START_MAXIMIZED=FALSE&amp;creator=factset&amp;display_string=Audit"}</definedName>
    <definedName name="_1260__FDSAUDITLINK__" hidden="1">{"fdsup://Directions/FactSet Auditing Viewer?action=AUDIT_VALUE&amp;DB=129&amp;ID1=74326310&amp;VALUEID=01001&amp;SDATE=200902&amp;PERIODTYPE=QTR_STD&amp;window=popup_no_bar&amp;width=385&amp;height=120&amp;START_MAXIMIZED=FALSE&amp;creator=factset&amp;display_string=Audit"}</definedName>
    <definedName name="_1261__FDSAUDITLINK__" localSheetId="1" hidden="1">{"fdsup://Directions/FactSet Auditing Viewer?action=AUDIT_VALUE&amp;DB=129&amp;ID1=74326310&amp;VALUEID=01001&amp;SDATE=201002&amp;PERIODTYPE=QTR_STD&amp;window=popup_no_bar&amp;width=385&amp;height=120&amp;START_MAXIMIZED=FALSE&amp;creator=factset&amp;display_string=Audit"}</definedName>
    <definedName name="_1261__FDSAUDITLINK__" hidden="1">{"fdsup://Directions/FactSet Auditing Viewer?action=AUDIT_VALUE&amp;DB=129&amp;ID1=74326310&amp;VALUEID=01001&amp;SDATE=201002&amp;PERIODTYPE=QTR_STD&amp;window=popup_no_bar&amp;width=385&amp;height=120&amp;START_MAXIMIZED=FALSE&amp;creator=factset&amp;display_string=Audit"}</definedName>
    <definedName name="_1262__FDSAUDITLINK__" localSheetId="1" hidden="1">{"fdsup://Directions/FactSet Auditing Viewer?action=AUDIT_VALUE&amp;DB=129&amp;ID1=74271810&amp;VALUEID=01001&amp;SDATE=201004&amp;PERIODTYPE=QTR_STD&amp;window=popup_no_bar&amp;width=385&amp;height=120&amp;START_MAXIMIZED=FALSE&amp;creator=factset&amp;display_string=Audit"}</definedName>
    <definedName name="_1262__FDSAUDITLINK__" hidden="1">{"fdsup://Directions/FactSet Auditing Viewer?action=AUDIT_VALUE&amp;DB=129&amp;ID1=74271810&amp;VALUEID=01001&amp;SDATE=201004&amp;PERIODTYPE=QTR_STD&amp;window=popup_no_bar&amp;width=385&amp;height=120&amp;START_MAXIMIZED=FALSE&amp;creator=factset&amp;display_string=Audit"}</definedName>
    <definedName name="_1263__FDSAUDITLINK__" localSheetId="1" hidden="1">{"fdsup://Directions/FactSet Auditing Viewer?action=AUDIT_VALUE&amp;DB=129&amp;ID1=74251V10&amp;VALUEID=01001&amp;SDATE=200902&amp;PERIODTYPE=QTR_STD&amp;window=popup_no_bar&amp;width=385&amp;height=120&amp;START_MAXIMIZED=FALSE&amp;creator=factset&amp;display_string=Audit"}</definedName>
    <definedName name="_1263__FDSAUDITLINK__" hidden="1">{"fdsup://Directions/FactSet Auditing Viewer?action=AUDIT_VALUE&amp;DB=129&amp;ID1=74251V10&amp;VALUEID=01001&amp;SDATE=200902&amp;PERIODTYPE=QTR_STD&amp;window=popup_no_bar&amp;width=385&amp;height=120&amp;START_MAXIMIZED=FALSE&amp;creator=factset&amp;display_string=Audit"}</definedName>
    <definedName name="_1264__FDSAUDITLINK__" localSheetId="1" hidden="1">{"fdsup://Directions/FactSet Auditing Viewer?action=AUDIT_VALUE&amp;DB=129&amp;ID1=74251V10&amp;VALUEID=01001&amp;SDATE=201002&amp;PERIODTYPE=QTR_STD&amp;window=popup_no_bar&amp;width=385&amp;height=120&amp;START_MAXIMIZED=FALSE&amp;creator=factset&amp;display_string=Audit"}</definedName>
    <definedName name="_1264__FDSAUDITLINK__" hidden="1">{"fdsup://Directions/FactSet Auditing Viewer?action=AUDIT_VALUE&amp;DB=129&amp;ID1=74251V10&amp;VALUEID=01001&amp;SDATE=201002&amp;PERIODTYPE=QTR_STD&amp;window=popup_no_bar&amp;width=385&amp;height=120&amp;START_MAXIMIZED=FALSE&amp;creator=factset&amp;display_string=Audit"}</definedName>
    <definedName name="_1265__FDSAUDITLINK__" localSheetId="1" hidden="1">{"fdsup://Directions/FactSet Auditing Viewer?action=AUDIT_VALUE&amp;DB=129&amp;ID1=71708110&amp;VALUEID=01001&amp;SDATE=200902&amp;PERIODTYPE=QTR_STD&amp;window=popup_no_bar&amp;width=385&amp;height=120&amp;START_MAXIMIZED=FALSE&amp;creator=factset&amp;display_string=Audit"}</definedName>
    <definedName name="_1265__FDSAUDITLINK__" hidden="1">{"fdsup://Directions/FactSet Auditing Viewer?action=AUDIT_VALUE&amp;DB=129&amp;ID1=71708110&amp;VALUEID=01001&amp;SDATE=200902&amp;PERIODTYPE=QTR_STD&amp;window=popup_no_bar&amp;width=385&amp;height=120&amp;START_MAXIMIZED=FALSE&amp;creator=factset&amp;display_string=Audit"}</definedName>
    <definedName name="_1266__FDSAUDITLINK__" localSheetId="1" hidden="1">{"fdsup://Directions/FactSet Auditing Viewer?action=AUDIT_VALUE&amp;DB=129&amp;ID1=71708110&amp;VALUEID=01001&amp;SDATE=201002&amp;PERIODTYPE=QTR_STD&amp;window=popup_no_bar&amp;width=385&amp;height=120&amp;START_MAXIMIZED=FALSE&amp;creator=factset&amp;display_string=Audit"}</definedName>
    <definedName name="_1266__FDSAUDITLINK__" hidden="1">{"fdsup://Directions/FactSet Auditing Viewer?action=AUDIT_VALUE&amp;DB=129&amp;ID1=71708110&amp;VALUEID=01001&amp;SDATE=201002&amp;PERIODTYPE=QTR_STD&amp;window=popup_no_bar&amp;width=385&amp;height=120&amp;START_MAXIMIZED=FALSE&amp;creator=factset&amp;display_string=Audit"}</definedName>
    <definedName name="_1267__FDSAUDITLINK__" localSheetId="1" hidden="1">{"fdsup://Directions/FactSet Auditing Viewer?action=AUDIT_VALUE&amp;DB=129&amp;ID1=71344810&amp;VALUEID=01001&amp;SDATE=200902&amp;PERIODTYPE=QTR_STD&amp;window=popup_no_bar&amp;width=385&amp;height=120&amp;START_MAXIMIZED=FALSE&amp;creator=factset&amp;display_string=Audit"}</definedName>
    <definedName name="_1267__FDSAUDITLINK__" hidden="1">{"fdsup://Directions/FactSet Auditing Viewer?action=AUDIT_VALUE&amp;DB=129&amp;ID1=71344810&amp;VALUEID=01001&amp;SDATE=200902&amp;PERIODTYPE=QTR_STD&amp;window=popup_no_bar&amp;width=385&amp;height=120&amp;START_MAXIMIZED=FALSE&amp;creator=factset&amp;display_string=Audit"}</definedName>
    <definedName name="_1268__FDSAUDITLINK__" localSheetId="1" hidden="1">{"fdsup://Directions/FactSet Auditing Viewer?action=AUDIT_VALUE&amp;DB=129&amp;ID1=71344810&amp;VALUEID=01001&amp;SDATE=201002&amp;PERIODTYPE=QTR_STD&amp;window=popup_no_bar&amp;width=385&amp;height=120&amp;START_MAXIMIZED=FALSE&amp;creator=factset&amp;display_string=Audit"}</definedName>
    <definedName name="_1268__FDSAUDITLINK__" hidden="1">{"fdsup://Directions/FactSet Auditing Viewer?action=AUDIT_VALUE&amp;DB=129&amp;ID1=71344810&amp;VALUEID=01001&amp;SDATE=201002&amp;PERIODTYPE=QTR_STD&amp;window=popup_no_bar&amp;width=385&amp;height=120&amp;START_MAXIMIZED=FALSE&amp;creator=factset&amp;display_string=Audit"}</definedName>
    <definedName name="_1269__FDSAUDITLINK__" localSheetId="1" hidden="1">{"fdsup://Directions/FactSet Auditing Viewer?action=AUDIT_VALUE&amp;DB=129&amp;ID1=74457310&amp;VALUEID=01001&amp;SDATE=200902&amp;PERIODTYPE=QTR_STD&amp;window=popup_no_bar&amp;width=385&amp;height=120&amp;START_MAXIMIZED=FALSE&amp;creator=factset&amp;display_string=Audit"}</definedName>
    <definedName name="_1269__FDSAUDITLINK__" hidden="1">{"fdsup://Directions/FactSet Auditing Viewer?action=AUDIT_VALUE&amp;DB=129&amp;ID1=74457310&amp;VALUEID=01001&amp;SDATE=200902&amp;PERIODTYPE=QTR_STD&amp;window=popup_no_bar&amp;width=385&amp;height=120&amp;START_MAXIMIZED=FALSE&amp;creator=factset&amp;display_string=Audit"}</definedName>
    <definedName name="_127__FDSAUDITLINK__" localSheetId="1"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__FDSAUDITLINK__" hidden="1">{"fdsup://directions/FAT Viewer?action=UPDATE&amp;creator=factset&amp;DYN_ARGS=TRUE&amp;DOC_NAME=FAT:FQL_AUDITING_CLIENT_TEMPLATE.FAT&amp;display_string=Audit&amp;VAR:KEY=TOBSLWLMLC&amp;VAR:QUERY=RkZfRUJJVERBX09QRVIoUVRSLDQvMS8yMDA5LDYvMzAvMjAwOSwsLFVTRCk=&amp;WINDOW=FIRST_POPUP&amp;HEIGH","T=450&amp;WIDTH=450&amp;START_MAXIMIZED=FALSE&amp;VAR:CALENDAR=US&amp;VAR:SYMBOL=THC&amp;VAR:INDEX=0"}</definedName>
    <definedName name="_1270__FDSAUDITLINK__" localSheetId="1" hidden="1">{"fdsup://Directions/FactSet Auditing Viewer?action=AUDIT_VALUE&amp;DB=129&amp;ID1=74457310&amp;VALUEID=01001&amp;SDATE=201002&amp;PERIODTYPE=QTR_STD&amp;window=popup_no_bar&amp;width=385&amp;height=120&amp;START_MAXIMIZED=FALSE&amp;creator=factset&amp;display_string=Audit"}</definedName>
    <definedName name="_1270__FDSAUDITLINK__" hidden="1">{"fdsup://Directions/FactSet Auditing Viewer?action=AUDIT_VALUE&amp;DB=129&amp;ID1=74457310&amp;VALUEID=01001&amp;SDATE=201002&amp;PERIODTYPE=QTR_STD&amp;window=popup_no_bar&amp;width=385&amp;height=120&amp;START_MAXIMIZED=FALSE&amp;creator=factset&amp;display_string=Audit"}</definedName>
    <definedName name="_1271__FDSAUDITLINK__" localSheetId="1" hidden="1">{"fdsup://Directions/FactSet Auditing Viewer?action=AUDIT_VALUE&amp;DB=129&amp;ID1=70339510&amp;VALUEID=01001&amp;SDATE=200904&amp;PERIODTYPE=QTR_STD&amp;window=popup_no_bar&amp;width=385&amp;height=120&amp;START_MAXIMIZED=FALSE&amp;creator=factset&amp;display_string=Audit"}</definedName>
    <definedName name="_1271__FDSAUDITLINK__" hidden="1">{"fdsup://Directions/FactSet Auditing Viewer?action=AUDIT_VALUE&amp;DB=129&amp;ID1=70339510&amp;VALUEID=01001&amp;SDATE=200904&amp;PERIODTYPE=QTR_STD&amp;window=popup_no_bar&amp;width=385&amp;height=120&amp;START_MAXIMIZED=FALSE&amp;creator=factset&amp;display_string=Audit"}</definedName>
    <definedName name="_1272__FDSAUDITLINK__" localSheetId="1" hidden="1">{"fdsup://Directions/FactSet Auditing Viewer?action=AUDIT_VALUE&amp;DB=129&amp;ID1=59170810&amp;VALUEID=01001&amp;SDATE=200902&amp;PERIODTYPE=QTR_STD&amp;window=popup_no_bar&amp;width=385&amp;height=120&amp;START_MAXIMIZED=FALSE&amp;creator=factset&amp;display_string=Audit"}</definedName>
    <definedName name="_1272__FDSAUDITLINK__" hidden="1">{"fdsup://Directions/FactSet Auditing Viewer?action=AUDIT_VALUE&amp;DB=129&amp;ID1=59170810&amp;VALUEID=01001&amp;SDATE=200902&amp;PERIODTYPE=QTR_STD&amp;window=popup_no_bar&amp;width=385&amp;height=120&amp;START_MAXIMIZED=FALSE&amp;creator=factset&amp;display_string=Audit"}</definedName>
    <definedName name="_1273__FDSAUDITLINK__" localSheetId="1" hidden="1">{"fdsup://Directions/FactSet Auditing Viewer?action=AUDIT_VALUE&amp;DB=129&amp;ID1=59170810&amp;VALUEID=01001&amp;SDATE=201002&amp;PERIODTYPE=QTR_STD&amp;window=popup_no_bar&amp;width=385&amp;height=120&amp;START_MAXIMIZED=FALSE&amp;creator=factset&amp;display_string=Audit"}</definedName>
    <definedName name="_1273__FDSAUDITLINK__" hidden="1">{"fdsup://Directions/FactSet Auditing Viewer?action=AUDIT_VALUE&amp;DB=129&amp;ID1=59170810&amp;VALUEID=01001&amp;SDATE=201002&amp;PERIODTYPE=QTR_STD&amp;window=popup_no_bar&amp;width=385&amp;height=120&amp;START_MAXIMIZED=FALSE&amp;creator=factset&amp;display_string=Audit"}</definedName>
    <definedName name="_1274__FDSAUDITLINK__" localSheetId="1" hidden="1">{"fdsup://Directions/FactSet Auditing Viewer?action=AUDIT_VALUE&amp;DB=129&amp;ID1=74018910&amp;VALUEID=01001&amp;SDATE=200901&amp;PERIODTYPE=QTR_STD&amp;window=popup_no_bar&amp;width=385&amp;height=120&amp;START_MAXIMIZED=FALSE&amp;creator=factset&amp;display_string=Audit"}</definedName>
    <definedName name="_1274__FDSAUDITLINK__" hidden="1">{"fdsup://Directions/FactSet Auditing Viewer?action=AUDIT_VALUE&amp;DB=129&amp;ID1=74018910&amp;VALUEID=01001&amp;SDATE=200901&amp;PERIODTYPE=QTR_STD&amp;window=popup_no_bar&amp;width=385&amp;height=120&amp;START_MAXIMIZED=FALSE&amp;creator=factset&amp;display_string=Audit"}</definedName>
    <definedName name="_1275__FDSAUDITLINK__" localSheetId="1" hidden="1">{"fdsup://Directions/FactSet Auditing Viewer?action=AUDIT_VALUE&amp;DB=129&amp;ID1=74018910&amp;VALUEID=01001&amp;SDATE=201001&amp;PERIODTYPE=QTR_STD&amp;window=popup_no_bar&amp;width=385&amp;height=120&amp;START_MAXIMIZED=FALSE&amp;creator=factset&amp;display_string=Audit"}</definedName>
    <definedName name="_1275__FDSAUDITLINK__" hidden="1">{"fdsup://Directions/FactSet Auditing Viewer?action=AUDIT_VALUE&amp;DB=129&amp;ID1=74018910&amp;VALUEID=01001&amp;SDATE=201001&amp;PERIODTYPE=QTR_STD&amp;window=popup_no_bar&amp;width=385&amp;height=120&amp;START_MAXIMIZED=FALSE&amp;creator=factset&amp;display_string=Audit"}</definedName>
    <definedName name="_1276__FDSAUDITLINK__" localSheetId="1" hidden="1">{"fdsup://Directions/FactSet Auditing Viewer?action=AUDIT_VALUE&amp;DB=129&amp;ID1=74150340&amp;VALUEID=01001&amp;SDATE=200902&amp;PERIODTYPE=QTR_STD&amp;window=popup_no_bar&amp;width=385&amp;height=120&amp;START_MAXIMIZED=FALSE&amp;creator=factset&amp;display_string=Audit"}</definedName>
    <definedName name="_1276__FDSAUDITLINK__" hidden="1">{"fdsup://Directions/FactSet Auditing Viewer?action=AUDIT_VALUE&amp;DB=129&amp;ID1=74150340&amp;VALUEID=01001&amp;SDATE=200902&amp;PERIODTYPE=QTR_STD&amp;window=popup_no_bar&amp;width=385&amp;height=120&amp;START_MAXIMIZED=FALSE&amp;creator=factset&amp;display_string=Audit"}</definedName>
    <definedName name="_1277__FDSAUDITLINK__" localSheetId="1" hidden="1">{"fdsup://Directions/FactSet Auditing Viewer?action=AUDIT_VALUE&amp;DB=129&amp;ID1=74150340&amp;VALUEID=01001&amp;SDATE=201002&amp;PERIODTYPE=QTR_STD&amp;window=popup_no_bar&amp;width=385&amp;height=120&amp;START_MAXIMIZED=FALSE&amp;creator=factset&amp;display_string=Audit"}</definedName>
    <definedName name="_1277__FDSAUDITLINK__" hidden="1">{"fdsup://Directions/FactSet Auditing Viewer?action=AUDIT_VALUE&amp;DB=129&amp;ID1=74150340&amp;VALUEID=01001&amp;SDATE=201002&amp;PERIODTYPE=QTR_STD&amp;window=popup_no_bar&amp;width=385&amp;height=120&amp;START_MAXIMIZED=FALSE&amp;creator=factset&amp;display_string=Audit"}</definedName>
    <definedName name="_1278__FDSAUDITLINK__" localSheetId="1" hidden="1">{"fdsup://Directions/FactSet Auditing Viewer?action=AUDIT_VALUE&amp;DB=129&amp;ID1=72925110&amp;VALUEID=01001&amp;SDATE=200902&amp;PERIODTYPE=QTR_STD&amp;window=popup_no_bar&amp;width=385&amp;height=120&amp;START_MAXIMIZED=FALSE&amp;creator=factset&amp;display_string=Audit"}</definedName>
    <definedName name="_1278__FDSAUDITLINK__" hidden="1">{"fdsup://Directions/FactSet Auditing Viewer?action=AUDIT_VALUE&amp;DB=129&amp;ID1=72925110&amp;VALUEID=01001&amp;SDATE=200902&amp;PERIODTYPE=QTR_STD&amp;window=popup_no_bar&amp;width=385&amp;height=120&amp;START_MAXIMIZED=FALSE&amp;creator=factset&amp;display_string=Audit"}</definedName>
    <definedName name="_1279__FDSAUDITLINK__" localSheetId="1" hidden="1">{"fdsup://Directions/FactSet Auditing Viewer?action=AUDIT_VALUE&amp;DB=129&amp;ID1=72925110&amp;VALUEID=01001&amp;SDATE=201002&amp;PERIODTYPE=QTR_STD&amp;window=popup_no_bar&amp;width=385&amp;height=120&amp;START_MAXIMIZED=FALSE&amp;creator=factset&amp;display_string=Audit"}</definedName>
    <definedName name="_1279__FDSAUDITLINK__" hidden="1">{"fdsup://Directions/FactSet Auditing Viewer?action=AUDIT_VALUE&amp;DB=129&amp;ID1=72925110&amp;VALUEID=01001&amp;SDATE=201002&amp;PERIODTYPE=QTR_STD&amp;window=popup_no_bar&amp;width=385&amp;height=120&amp;START_MAXIMIZED=FALSE&amp;creator=factset&amp;display_string=Audit"}</definedName>
    <definedName name="_128__FDSAUDITLINK__" localSheetId="1"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__FDSAUDITLINK__" hidden="1">{"fdsup://directions/FAT Viewer?action=UPDATE&amp;creator=factset&amp;DYN_ARGS=TRUE&amp;DOC_NAME=FAT:FQL_AUDITING_CLIENT_TEMPLATE.FAT&amp;display_string=Audit&amp;VAR:KEY=LSPGVEPGDO&amp;VAR:QUERY=RkZfRUJJVERBX09QRVIoUVRSLDQvMS8yMDEwLDYvMzAvMjAxMCwsLFVTRCk=&amp;WINDOW=FIRST_POPUP&amp;HEIGH","T=450&amp;WIDTH=450&amp;START_MAXIMIZED=FALSE&amp;VAR:CALENDAR=US&amp;VAR:SYMBOL=THC&amp;VAR:INDEX=0"}</definedName>
    <definedName name="_1280__FDSAUDITLINK__" localSheetId="1" hidden="1">{"fdsup://Directions/FactSet Auditing Viewer?action=AUDIT_VALUE&amp;DB=129&amp;ID1=69331C10&amp;VALUEID=01001&amp;SDATE=200902&amp;PERIODTYPE=QTR_STD&amp;window=popup_no_bar&amp;width=385&amp;height=120&amp;START_MAXIMIZED=FALSE&amp;creator=factset&amp;display_string=Audit"}</definedName>
    <definedName name="_1280__FDSAUDITLINK__" hidden="1">{"fdsup://Directions/FactSet Auditing Viewer?action=AUDIT_VALUE&amp;DB=129&amp;ID1=69331C10&amp;VALUEID=01001&amp;SDATE=200902&amp;PERIODTYPE=QTR_STD&amp;window=popup_no_bar&amp;width=385&amp;height=120&amp;START_MAXIMIZED=FALSE&amp;creator=factset&amp;display_string=Audit"}</definedName>
    <definedName name="_1281__FDSAUDITLINK__" localSheetId="1" hidden="1">{"fdsup://Directions/FactSet Auditing Viewer?action=AUDIT_VALUE&amp;DB=129&amp;ID1=69331C10&amp;VALUEID=01001&amp;SDATE=201002&amp;PERIODTYPE=QTR_STD&amp;window=popup_no_bar&amp;width=385&amp;height=120&amp;START_MAXIMIZED=FALSE&amp;creator=factset&amp;display_string=Audit"}</definedName>
    <definedName name="_1281__FDSAUDITLINK__" hidden="1">{"fdsup://Directions/FactSet Auditing Viewer?action=AUDIT_VALUE&amp;DB=129&amp;ID1=69331C10&amp;VALUEID=01001&amp;SDATE=201002&amp;PERIODTYPE=QTR_STD&amp;window=popup_no_bar&amp;width=385&amp;height=120&amp;START_MAXIMIZED=FALSE&amp;creator=factset&amp;display_string=Audit"}</definedName>
    <definedName name="_1282__FDSAUDITLINK__" localSheetId="1" hidden="1">{"fdsup://Directions/FactSet Auditing Viewer?action=AUDIT_VALUE&amp;DB=129&amp;ID1=69371810&amp;VALUEID=01001&amp;SDATE=200902&amp;PERIODTYPE=QTR_STD&amp;window=popup_no_bar&amp;width=385&amp;height=120&amp;START_MAXIMIZED=FALSE&amp;creator=factset&amp;display_string=Audit"}</definedName>
    <definedName name="_1282__FDSAUDITLINK__" hidden="1">{"fdsup://Directions/FactSet Auditing Viewer?action=AUDIT_VALUE&amp;DB=129&amp;ID1=69371810&amp;VALUEID=01001&amp;SDATE=200902&amp;PERIODTYPE=QTR_STD&amp;window=popup_no_bar&amp;width=385&amp;height=120&amp;START_MAXIMIZED=FALSE&amp;creator=factset&amp;display_string=Audit"}</definedName>
    <definedName name="_1283__FDSAUDITLINK__" localSheetId="1" hidden="1">{"fdsup://Directions/FactSet Auditing Viewer?action=AUDIT_VALUE&amp;DB=129&amp;ID1=69371810&amp;VALUEID=01001&amp;SDATE=201002&amp;PERIODTYPE=QTR_STD&amp;window=popup_no_bar&amp;width=385&amp;height=120&amp;START_MAXIMIZED=FALSE&amp;creator=factset&amp;display_string=Audit"}</definedName>
    <definedName name="_1283__FDSAUDITLINK__" hidden="1">{"fdsup://Directions/FactSet Auditing Viewer?action=AUDIT_VALUE&amp;DB=129&amp;ID1=69371810&amp;VALUEID=01001&amp;SDATE=201002&amp;PERIODTYPE=QTR_STD&amp;window=popup_no_bar&amp;width=385&amp;height=120&amp;START_MAXIMIZED=FALSE&amp;creator=factset&amp;display_string=Audit"}</definedName>
    <definedName name="_1284__FDSAUDITLINK__" localSheetId="1" hidden="1">{"fdsup://Directions/FactSet Auditing Viewer?action=AUDIT_VALUE&amp;DB=129&amp;ID1=72447910&amp;VALUEID=01001&amp;SDATE=200902&amp;PERIODTYPE=QTR_STD&amp;window=popup_no_bar&amp;width=385&amp;height=120&amp;START_MAXIMIZED=FALSE&amp;creator=factset&amp;display_string=Audit"}</definedName>
    <definedName name="_1284__FDSAUDITLINK__" hidden="1">{"fdsup://Directions/FactSet Auditing Viewer?action=AUDIT_VALUE&amp;DB=129&amp;ID1=72447910&amp;VALUEID=01001&amp;SDATE=200902&amp;PERIODTYPE=QTR_STD&amp;window=popup_no_bar&amp;width=385&amp;height=120&amp;START_MAXIMIZED=FALSE&amp;creator=factset&amp;display_string=Audit"}</definedName>
    <definedName name="_1285__FDSAUDITLINK__" localSheetId="1" hidden="1">{"fdsup://Directions/FactSet Auditing Viewer?action=AUDIT_VALUE&amp;DB=129&amp;ID1=72447910&amp;VALUEID=01001&amp;SDATE=201002&amp;PERIODTYPE=QTR_STD&amp;window=popup_no_bar&amp;width=385&amp;height=120&amp;START_MAXIMIZED=FALSE&amp;creator=factset&amp;display_string=Audit"}</definedName>
    <definedName name="_1285__FDSAUDITLINK__" hidden="1">{"fdsup://Directions/FactSet Auditing Viewer?action=AUDIT_VALUE&amp;DB=129&amp;ID1=72447910&amp;VALUEID=01001&amp;SDATE=201002&amp;PERIODTYPE=QTR_STD&amp;window=popup_no_bar&amp;width=385&amp;height=120&amp;START_MAXIMIZED=FALSE&amp;creator=factset&amp;display_string=Audit"}</definedName>
    <definedName name="_1286__FDSAUDITLINK__" localSheetId="1" hidden="1">{"fdsup://Directions/FactSet Auditing Viewer?action=AUDIT_VALUE&amp;DB=129&amp;ID1=70432610&amp;VALUEID=01001&amp;SDATE=200804&amp;PERIODTYPE=QTR_STD&amp;window=popup_no_bar&amp;width=385&amp;height=120&amp;START_MAXIMIZED=FALSE&amp;creator=factset&amp;display_string=Audit"}</definedName>
    <definedName name="_1286__FDSAUDITLINK__" hidden="1">{"fdsup://Directions/FactSet Auditing Viewer?action=AUDIT_VALUE&amp;DB=129&amp;ID1=70432610&amp;VALUEID=01001&amp;SDATE=200804&amp;PERIODTYPE=QTR_STD&amp;window=popup_no_bar&amp;width=385&amp;height=120&amp;START_MAXIMIZED=FALSE&amp;creator=factset&amp;display_string=Audit"}</definedName>
    <definedName name="_1287__FDSAUDITLINK__" localSheetId="1" hidden="1">{"fdsup://Directions/FactSet Auditing Viewer?action=AUDIT_VALUE&amp;DB=129&amp;ID1=70432610&amp;VALUEID=01001&amp;SDATE=200904&amp;PERIODTYPE=QTR_STD&amp;window=popup_no_bar&amp;width=385&amp;height=120&amp;START_MAXIMIZED=FALSE&amp;creator=factset&amp;display_string=Audit"}</definedName>
    <definedName name="_1287__FDSAUDITLINK__" hidden="1">{"fdsup://Directions/FactSet Auditing Viewer?action=AUDIT_VALUE&amp;DB=129&amp;ID1=70432610&amp;VALUEID=01001&amp;SDATE=200904&amp;PERIODTYPE=QTR_STD&amp;window=popup_no_bar&amp;width=385&amp;height=120&amp;START_MAXIMIZED=FALSE&amp;creator=factset&amp;display_string=Audit"}</definedName>
    <definedName name="_1288__FDSAUDITLINK__" localSheetId="1" hidden="1">{"fdsup://Directions/FactSet Auditing Viewer?action=AUDIT_VALUE&amp;DB=129&amp;ID1=67459910&amp;VALUEID=01001&amp;SDATE=200902&amp;PERIODTYPE=QTR_STD&amp;window=popup_no_bar&amp;width=385&amp;height=120&amp;START_MAXIMIZED=FALSE&amp;creator=factset&amp;display_string=Audit"}</definedName>
    <definedName name="_1288__FDSAUDITLINK__" hidden="1">{"fdsup://Directions/FactSet Auditing Viewer?action=AUDIT_VALUE&amp;DB=129&amp;ID1=67459910&amp;VALUEID=01001&amp;SDATE=200902&amp;PERIODTYPE=QTR_STD&amp;window=popup_no_bar&amp;width=385&amp;height=120&amp;START_MAXIMIZED=FALSE&amp;creator=factset&amp;display_string=Audit"}</definedName>
    <definedName name="_1289__FDSAUDITLINK__" localSheetId="1" hidden="1">{"fdsup://Directions/FactSet Auditing Viewer?action=AUDIT_VALUE&amp;DB=129&amp;ID1=67459910&amp;VALUEID=01001&amp;SDATE=201002&amp;PERIODTYPE=QTR_STD&amp;window=popup_no_bar&amp;width=385&amp;height=120&amp;START_MAXIMIZED=FALSE&amp;creator=factset&amp;display_string=Audit"}</definedName>
    <definedName name="_1289__FDSAUDITLINK__" hidden="1">{"fdsup://Directions/FactSet Auditing Viewer?action=AUDIT_VALUE&amp;DB=129&amp;ID1=67459910&amp;VALUEID=01001&amp;SDATE=201002&amp;PERIODTYPE=QTR_STD&amp;window=popup_no_bar&amp;width=385&amp;height=120&amp;START_MAXIMIZED=FALSE&amp;creator=factset&amp;display_string=Audit"}</definedName>
    <definedName name="_129__FDSAUDITLINK__" localSheetId="1"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__FDSAUDITLINK__" hidden="1">{"fdsup://directions/FAT Viewer?action=UPDATE&amp;creator=factset&amp;DYN_ARGS=TRUE&amp;DOC_NAME=FAT:FQL_AUDITING_CLIENT_TEMPLATE.FAT&amp;display_string=Audit&amp;VAR:KEY=JYPWHKZYNU&amp;VAR:QUERY=RkZfRUJJVERBX09QRVIoUVRSLDQvMS8yMDA5LDYvMzAvMjAwOSwsLFVTRCk=&amp;WINDOW=FIRST_POPUP&amp;HEIGH","T=450&amp;WIDTH=450&amp;START_MAXIMIZED=FALSE&amp;VAR:CALENDAR=US&amp;VAR:SYMBOL=TGT&amp;VAR:INDEX=0"}</definedName>
    <definedName name="_1290__FDSAUDITLINK__" localSheetId="1" hidden="1">{"fdsup://Directions/FactSet Auditing Viewer?action=AUDIT_VALUE&amp;DB=129&amp;ID1=68609110&amp;VALUEID=01001&amp;SDATE=200902&amp;PERIODTYPE=QTR_STD&amp;window=popup_no_bar&amp;width=385&amp;height=120&amp;START_MAXIMIZED=FALSE&amp;creator=factset&amp;display_string=Audit"}</definedName>
    <definedName name="_1290__FDSAUDITLINK__" hidden="1">{"fdsup://Directions/FactSet Auditing Viewer?action=AUDIT_VALUE&amp;DB=129&amp;ID1=68609110&amp;VALUEID=01001&amp;SDATE=200902&amp;PERIODTYPE=QTR_STD&amp;window=popup_no_bar&amp;width=385&amp;height=120&amp;START_MAXIMIZED=FALSE&amp;creator=factset&amp;display_string=Audit"}</definedName>
    <definedName name="_1291__FDSAUDITLINK__" localSheetId="1" hidden="1">{"fdsup://Directions/FactSet Auditing Viewer?action=AUDIT_VALUE&amp;DB=129&amp;ID1=68609110&amp;VALUEID=01001&amp;SDATE=201002&amp;PERIODTYPE=QTR_STD&amp;window=popup_no_bar&amp;width=385&amp;height=120&amp;START_MAXIMIZED=FALSE&amp;creator=factset&amp;display_string=Audit"}</definedName>
    <definedName name="_1291__FDSAUDITLINK__" hidden="1">{"fdsup://Directions/FactSet Auditing Viewer?action=AUDIT_VALUE&amp;DB=129&amp;ID1=68609110&amp;VALUEID=01001&amp;SDATE=201002&amp;PERIODTYPE=QTR_STD&amp;window=popup_no_bar&amp;width=385&amp;height=120&amp;START_MAXIMIZED=FALSE&amp;creator=factset&amp;display_string=Audit"}</definedName>
    <definedName name="_1292__FDSAUDITLINK__" localSheetId="1" hidden="1">{"fdsup://Directions/FactSet Auditing Viewer?action=AUDIT_VALUE&amp;DB=129&amp;ID1=68389X10&amp;VALUEID=01001&amp;SDATE=200804&amp;PERIODTYPE=QTR_STD&amp;window=popup_no_bar&amp;width=385&amp;height=120&amp;START_MAXIMIZED=FALSE&amp;creator=factset&amp;display_string=Audit"}</definedName>
    <definedName name="_1292__FDSAUDITLINK__" hidden="1">{"fdsup://Directions/FactSet Auditing Viewer?action=AUDIT_VALUE&amp;DB=129&amp;ID1=68389X10&amp;VALUEID=01001&amp;SDATE=200804&amp;PERIODTYPE=QTR_STD&amp;window=popup_no_bar&amp;width=385&amp;height=120&amp;START_MAXIMIZED=FALSE&amp;creator=factset&amp;display_string=Audit"}</definedName>
    <definedName name="_1293__FDSAUDITLINK__" localSheetId="1" hidden="1">{"fdsup://Directions/FactSet Auditing Viewer?action=AUDIT_VALUE&amp;DB=129&amp;ID1=68389X10&amp;VALUEID=01001&amp;SDATE=200904&amp;PERIODTYPE=QTR_STD&amp;window=popup_no_bar&amp;width=385&amp;height=120&amp;START_MAXIMIZED=FALSE&amp;creator=factset&amp;display_string=Audit"}</definedName>
    <definedName name="_1293__FDSAUDITLINK__" hidden="1">{"fdsup://Directions/FactSet Auditing Viewer?action=AUDIT_VALUE&amp;DB=129&amp;ID1=68389X10&amp;VALUEID=01001&amp;SDATE=200904&amp;PERIODTYPE=QTR_STD&amp;window=popup_no_bar&amp;width=385&amp;height=120&amp;START_MAXIMIZED=FALSE&amp;creator=factset&amp;display_string=Audit"}</definedName>
    <definedName name="_1294__FDSAUDITLINK__" localSheetId="1" hidden="1">{"fdsup://Directions/FactSet Auditing Viewer?action=AUDIT_VALUE&amp;DB=129&amp;ID1=68191910&amp;VALUEID=01001&amp;SDATE=200902&amp;PERIODTYPE=QTR_STD&amp;window=popup_no_bar&amp;width=385&amp;height=120&amp;START_MAXIMIZED=FALSE&amp;creator=factset&amp;display_string=Audit"}</definedName>
    <definedName name="_1294__FDSAUDITLINK__" hidden="1">{"fdsup://Directions/FactSet Auditing Viewer?action=AUDIT_VALUE&amp;DB=129&amp;ID1=68191910&amp;VALUEID=01001&amp;SDATE=200902&amp;PERIODTYPE=QTR_STD&amp;window=popup_no_bar&amp;width=385&amp;height=120&amp;START_MAXIMIZED=FALSE&amp;creator=factset&amp;display_string=Audit"}</definedName>
    <definedName name="_1295__FDSAUDITLINK__" localSheetId="1" hidden="1">{"fdsup://Directions/FactSet Auditing Viewer?action=AUDIT_VALUE&amp;DB=129&amp;ID1=68191910&amp;VALUEID=01001&amp;SDATE=201002&amp;PERIODTYPE=QTR_STD&amp;window=popup_no_bar&amp;width=385&amp;height=120&amp;START_MAXIMIZED=FALSE&amp;creator=factset&amp;display_string=Audit"}</definedName>
    <definedName name="_1295__FDSAUDITLINK__" hidden="1">{"fdsup://Directions/FactSet Auditing Viewer?action=AUDIT_VALUE&amp;DB=129&amp;ID1=68191910&amp;VALUEID=01001&amp;SDATE=201002&amp;PERIODTYPE=QTR_STD&amp;window=popup_no_bar&amp;width=385&amp;height=120&amp;START_MAXIMIZED=FALSE&amp;creator=factset&amp;display_string=Audit"}</definedName>
    <definedName name="_1296__FDSAUDITLINK__" localSheetId="1" hidden="1">{"fdsup://Directions/FactSet Auditing Viewer?action=AUDIT_VALUE&amp;DB=129&amp;ID1=68268010&amp;VALUEID=01001&amp;SDATE=200902&amp;PERIODTYPE=QTR_STD&amp;window=popup_no_bar&amp;width=385&amp;height=120&amp;START_MAXIMIZED=FALSE&amp;creator=factset&amp;display_string=Audit"}</definedName>
    <definedName name="_1296__FDSAUDITLINK__" hidden="1">{"fdsup://Directions/FactSet Auditing Viewer?action=AUDIT_VALUE&amp;DB=129&amp;ID1=68268010&amp;VALUEID=01001&amp;SDATE=200902&amp;PERIODTYPE=QTR_STD&amp;window=popup_no_bar&amp;width=385&amp;height=120&amp;START_MAXIMIZED=FALSE&amp;creator=factset&amp;display_string=Audit"}</definedName>
    <definedName name="_1297__FDSAUDITLINK__" localSheetId="1" hidden="1">{"fdsup://Directions/FactSet Auditing Viewer?action=AUDIT_VALUE&amp;DB=129&amp;ID1=68268010&amp;VALUEID=01001&amp;SDATE=201002&amp;PERIODTYPE=QTR_STD&amp;window=popup_no_bar&amp;width=385&amp;height=120&amp;START_MAXIMIZED=FALSE&amp;creator=factset&amp;display_string=Audit"}</definedName>
    <definedName name="_1297__FDSAUDITLINK__" hidden="1">{"fdsup://Directions/FactSet Auditing Viewer?action=AUDIT_VALUE&amp;DB=129&amp;ID1=68268010&amp;VALUEID=01001&amp;SDATE=201002&amp;PERIODTYPE=QTR_STD&amp;window=popup_no_bar&amp;width=385&amp;height=120&amp;START_MAXIMIZED=FALSE&amp;creator=factset&amp;display_string=Audit"}</definedName>
    <definedName name="_1298__FDSAUDITLINK__" localSheetId="1" hidden="1">{"fdsup://Directions/FactSet Auditing Viewer?action=AUDIT_VALUE&amp;DB=129&amp;ID1=69076840&amp;VALUEID=01001&amp;SDATE=200902&amp;PERIODTYPE=QTR_STD&amp;window=popup_no_bar&amp;width=385&amp;height=120&amp;START_MAXIMIZED=FALSE&amp;creator=factset&amp;display_string=Audit"}</definedName>
    <definedName name="_1298__FDSAUDITLINK__" hidden="1">{"fdsup://Directions/FactSet Auditing Viewer?action=AUDIT_VALUE&amp;DB=129&amp;ID1=69076840&amp;VALUEID=01001&amp;SDATE=200902&amp;PERIODTYPE=QTR_STD&amp;window=popup_no_bar&amp;width=385&amp;height=120&amp;START_MAXIMIZED=FALSE&amp;creator=factset&amp;display_string=Audit"}</definedName>
    <definedName name="_1299__FDSAUDITLINK__" localSheetId="1" hidden="1">{"fdsup://Directions/FactSet Auditing Viewer?action=AUDIT_VALUE&amp;DB=129&amp;ID1=69076840&amp;VALUEID=01001&amp;SDATE=201002&amp;PERIODTYPE=QTR_STD&amp;window=popup_no_bar&amp;width=385&amp;height=120&amp;START_MAXIMIZED=FALSE&amp;creator=factset&amp;display_string=Audit"}</definedName>
    <definedName name="_1299__FDSAUDITLINK__" hidden="1">{"fdsup://Directions/FactSet Auditing Viewer?action=AUDIT_VALUE&amp;DB=129&amp;ID1=69076840&amp;VALUEID=01001&amp;SDATE=201002&amp;PERIODTYPE=QTR_STD&amp;window=popup_no_bar&amp;width=385&amp;height=120&amp;START_MAXIMIZED=FALSE&amp;creator=factset&amp;display_string=Audit"}</definedName>
    <definedName name="_13__FDSAUDITLINK__" localSheetId="1" hidden="1">{"fdsup://directions/FAT Viewer?action=UPDATE&amp;creator=factset&amp;DYN_ARGS=TRUE&amp;DOC_NAME=FAT:FQL_AUDITING_CLIENT_TEMPLATE.FAT&amp;display_string=Audit&amp;VAR:KEY=BINEHMDYHG&amp;VAR:QUERY=RkZfRUJJVERBX09QRVIoUVRSLDQvMS8yMDA5LDYvMzAvMjAwOSwsLFVTRCk=&amp;WINDOW=FIRST_POPUP&amp;HEIGH","T=450&amp;WIDTH=450&amp;START_MAXIMIZED=FALSE&amp;VAR:CALENDAR=US&amp;VAR:SYMBOL=XOM&amp;VAR:INDEX=0"}</definedName>
    <definedName name="_13__FDSAUDITLINK__" hidden="1">{"fdsup://directions/FAT Viewer?action=UPDATE&amp;creator=factset&amp;DYN_ARGS=TRUE&amp;DOC_NAME=FAT:FQL_AUDITING_CLIENT_TEMPLATE.FAT&amp;display_string=Audit&amp;VAR:KEY=BINEHMDYHG&amp;VAR:QUERY=RkZfRUJJVERBX09QRVIoUVRSLDQvMS8yMDA5LDYvMzAvMjAwOSwsLFVTRCk=&amp;WINDOW=FIRST_POPUP&amp;HEIGH","T=450&amp;WIDTH=450&amp;START_MAXIMIZED=FALSE&amp;VAR:CALENDAR=US&amp;VAR:SYMBOL=XOM&amp;VAR:INDEX=0"}</definedName>
    <definedName name="_130__FDSAUDITLINK__" localSheetId="1"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__FDSAUDITLINK__" hidden="1">{"fdsup://directions/FAT Viewer?action=UPDATE&amp;creator=factset&amp;DYN_ARGS=TRUE&amp;DOC_NAME=FAT:FQL_AUDITING_CLIENT_TEMPLATE.FAT&amp;display_string=Audit&amp;VAR:KEY=PKBKPYHWZE&amp;VAR:QUERY=RkZfRUJJVERBX09QRVIoUVRSLDQvMS8yMDEwLDYvMzAvMjAxMCwsLFVTRCk=&amp;WINDOW=FIRST_POPUP&amp;HEIGH","T=450&amp;WIDTH=450&amp;START_MAXIMIZED=FALSE&amp;VAR:CALENDAR=US&amp;VAR:SYMBOL=TGT&amp;VAR:INDEX=0"}</definedName>
    <definedName name="_1300__FDSAUDITLINK__" localSheetId="1" hidden="1">{"fdsup://Directions/FactSet Auditing Viewer?action=AUDIT_VALUE&amp;DB=129&amp;ID1=67622010&amp;VALUEID=01001&amp;SDATE=200902&amp;PERIODTYPE=QTR_STD&amp;window=popup_no_bar&amp;width=385&amp;height=120&amp;START_MAXIMIZED=FALSE&amp;creator=factset&amp;display_string=Audit"}</definedName>
    <definedName name="_1300__FDSAUDITLINK__" hidden="1">{"fdsup://Directions/FactSet Auditing Viewer?action=AUDIT_VALUE&amp;DB=129&amp;ID1=67622010&amp;VALUEID=01001&amp;SDATE=200902&amp;PERIODTYPE=QTR_STD&amp;window=popup_no_bar&amp;width=385&amp;height=120&amp;START_MAXIMIZED=FALSE&amp;creator=factset&amp;display_string=Audit"}</definedName>
    <definedName name="_1301__FDSAUDITLINK__" localSheetId="1" hidden="1">{"fdsup://Directions/FactSet Auditing Viewer?action=AUDIT_VALUE&amp;DB=129&amp;ID1=67622010&amp;VALUEID=01001&amp;SDATE=201002&amp;PERIODTYPE=QTR_STD&amp;window=popup_no_bar&amp;width=385&amp;height=120&amp;START_MAXIMIZED=FALSE&amp;creator=factset&amp;display_string=Audit"}</definedName>
    <definedName name="_1301__FDSAUDITLINK__" hidden="1">{"fdsup://Directions/FactSet Auditing Viewer?action=AUDIT_VALUE&amp;DB=129&amp;ID1=67622010&amp;VALUEID=01001&amp;SDATE=201002&amp;PERIODTYPE=QTR_STD&amp;window=popup_no_bar&amp;width=385&amp;height=120&amp;START_MAXIMIZED=FALSE&amp;creator=factset&amp;display_string=Audit"}</definedName>
    <definedName name="_1302__FDSAUDITLINK__" localSheetId="1" hidden="1">{"fdsup://Directions/FactSet Auditing Viewer?action=AUDIT_VALUE&amp;DB=129&amp;ID1=62949110&amp;VALUEID=01001&amp;SDATE=200902&amp;PERIODTYPE=QTR_STD&amp;window=popup_no_bar&amp;width=385&amp;height=120&amp;START_MAXIMIZED=FALSE&amp;creator=factset&amp;display_string=Audit"}</definedName>
    <definedName name="_1302__FDSAUDITLINK__" hidden="1">{"fdsup://Directions/FactSet Auditing Viewer?action=AUDIT_VALUE&amp;DB=129&amp;ID1=62949110&amp;VALUEID=01001&amp;SDATE=200902&amp;PERIODTYPE=QTR_STD&amp;window=popup_no_bar&amp;width=385&amp;height=120&amp;START_MAXIMIZED=FALSE&amp;creator=factset&amp;display_string=Audit"}</definedName>
    <definedName name="_1303__FDSAUDITLINK__" localSheetId="1" hidden="1">{"fdsup://Directions/FactSet Auditing Viewer?action=AUDIT_VALUE&amp;DB=129&amp;ID1=62949110&amp;VALUEID=01001&amp;SDATE=201002&amp;PERIODTYPE=QTR_STD&amp;window=popup_no_bar&amp;width=385&amp;height=120&amp;START_MAXIMIZED=FALSE&amp;creator=factset&amp;display_string=Audit"}</definedName>
    <definedName name="_1303__FDSAUDITLINK__" hidden="1">{"fdsup://Directions/FactSet Auditing Viewer?action=AUDIT_VALUE&amp;DB=129&amp;ID1=62949110&amp;VALUEID=01001&amp;SDATE=201002&amp;PERIODTYPE=QTR_STD&amp;window=popup_no_bar&amp;width=385&amp;height=120&amp;START_MAXIMIZED=FALSE&amp;creator=factset&amp;display_string=Audit"}</definedName>
    <definedName name="_1304__FDSAUDITLINK__" localSheetId="1" hidden="1">{"fdsup://Directions/FactSet Auditing Viewer?action=AUDIT_VALUE&amp;DB=129&amp;ID1=65011110&amp;VALUEID=01001&amp;SDATE=201002&amp;PERIODTYPE=QTR_STD&amp;window=popup_no_bar&amp;width=385&amp;height=120&amp;START_MAXIMIZED=FALSE&amp;creator=factset&amp;display_string=Audit"}</definedName>
    <definedName name="_1304__FDSAUDITLINK__" hidden="1">{"fdsup://Directions/FactSet Auditing Viewer?action=AUDIT_VALUE&amp;DB=129&amp;ID1=65011110&amp;VALUEID=01001&amp;SDATE=201002&amp;PERIODTYPE=QTR_STD&amp;window=popup_no_bar&amp;width=385&amp;height=120&amp;START_MAXIMIZED=FALSE&amp;creator=factset&amp;display_string=Audit"}</definedName>
    <definedName name="_1305__FDSAUDITLINK__" localSheetId="1" hidden="1">{"fdsup://Directions/FactSet Auditing Viewer?action=AUDIT_VALUE&amp;DB=129&amp;ID1=65248E10&amp;VALUEID=01001&amp;SDATE=200904&amp;PERIODTYPE=QTR_STD&amp;window=popup_no_bar&amp;width=385&amp;height=120&amp;START_MAXIMIZED=FALSE&amp;creator=factset&amp;display_string=Audit"}</definedName>
    <definedName name="_1305__FDSAUDITLINK__" hidden="1">{"fdsup://Directions/FactSet Auditing Viewer?action=AUDIT_VALUE&amp;DB=129&amp;ID1=65248E10&amp;VALUEID=01001&amp;SDATE=200904&amp;PERIODTYPE=QTR_STD&amp;window=popup_no_bar&amp;width=385&amp;height=120&amp;START_MAXIMIZED=FALSE&amp;creator=factset&amp;display_string=Audit"}</definedName>
    <definedName name="_1306__FDSAUDITLINK__" localSheetId="1" hidden="1">{"fdsup://Directions/FactSet Auditing Viewer?action=AUDIT_VALUE&amp;DB=129&amp;ID1=65248E10&amp;VALUEID=01001&amp;SDATE=201004&amp;PERIODTYPE=QTR_STD&amp;window=popup_no_bar&amp;width=385&amp;height=120&amp;START_MAXIMIZED=FALSE&amp;creator=factset&amp;display_string=Audit"}</definedName>
    <definedName name="_1306__FDSAUDITLINK__" hidden="1">{"fdsup://Directions/FactSet Auditing Viewer?action=AUDIT_VALUE&amp;DB=129&amp;ID1=65248E10&amp;VALUEID=01001&amp;SDATE=201004&amp;PERIODTYPE=QTR_STD&amp;window=popup_no_bar&amp;width=385&amp;height=120&amp;START_MAXIMIZED=FALSE&amp;creator=factset&amp;display_string=Audit"}</definedName>
    <definedName name="_1307__FDSAUDITLINK__" localSheetId="1" hidden="1">{"fdsup://Directions/FactSet Auditing Viewer?action=AUDIT_VALUE&amp;DB=129&amp;ID1=65122910&amp;VALUEID=01001&amp;SDATE=200902&amp;PERIODTYPE=QTR_STD&amp;window=popup_no_bar&amp;width=385&amp;height=120&amp;START_MAXIMIZED=FALSE&amp;creator=factset&amp;display_string=Audit"}</definedName>
    <definedName name="_1307__FDSAUDITLINK__" hidden="1">{"fdsup://Directions/FactSet Auditing Viewer?action=AUDIT_VALUE&amp;DB=129&amp;ID1=65122910&amp;VALUEID=01001&amp;SDATE=200902&amp;PERIODTYPE=QTR_STD&amp;window=popup_no_bar&amp;width=385&amp;height=120&amp;START_MAXIMIZED=FALSE&amp;creator=factset&amp;display_string=Audit"}</definedName>
    <definedName name="_1308__FDSAUDITLINK__" localSheetId="1" hidden="1">{"fdsup://Directions/FactSet Auditing Viewer?action=AUDIT_VALUE&amp;DB=129&amp;ID1=65122910&amp;VALUEID=01001&amp;SDATE=201002&amp;PERIODTYPE=QTR_STD&amp;window=popup_no_bar&amp;width=385&amp;height=120&amp;START_MAXIMIZED=FALSE&amp;creator=factset&amp;display_string=Audit"}</definedName>
    <definedName name="_1308__FDSAUDITLINK__" hidden="1">{"fdsup://Directions/FactSet Auditing Viewer?action=AUDIT_VALUE&amp;DB=129&amp;ID1=65122910&amp;VALUEID=01001&amp;SDATE=201002&amp;PERIODTYPE=QTR_STD&amp;window=popup_no_bar&amp;width=385&amp;height=120&amp;START_MAXIMIZED=FALSE&amp;creator=factset&amp;display_string=Audit"}</definedName>
    <definedName name="_1309__FDSAUDITLINK__" localSheetId="1" hidden="1">{"fdsup://Directions/FactSet Auditing Viewer?action=AUDIT_VALUE&amp;DB=129&amp;ID1=67000810&amp;VALUEID=01001&amp;SDATE=200902&amp;PERIODTYPE=QTR_STD&amp;window=popup_no_bar&amp;width=385&amp;height=120&amp;START_MAXIMIZED=FALSE&amp;creator=factset&amp;display_string=Audit"}</definedName>
    <definedName name="_1309__FDSAUDITLINK__" hidden="1">{"fdsup://Directions/FactSet Auditing Viewer?action=AUDIT_VALUE&amp;DB=129&amp;ID1=67000810&amp;VALUEID=01001&amp;SDATE=200902&amp;PERIODTYPE=QTR_STD&amp;window=popup_no_bar&amp;width=385&amp;height=120&amp;START_MAXIMIZED=FALSE&amp;creator=factset&amp;display_string=Audit"}</definedName>
    <definedName name="_131__FDSAUDITLINK__" localSheetId="1"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__FDSAUDITLINK__" hidden="1">{"fdsup://directions/FAT Viewer?action=UPDATE&amp;creator=factset&amp;DYN_ARGS=TRUE&amp;DOC_NAME=FAT:FQL_AUDITING_CLIENT_TEMPLATE.FAT&amp;display_string=Audit&amp;VAR:KEY=XGVSRYFEJG&amp;VAR:QUERY=RkZfRUJJVERBX09QRVIoUVRSLDQvMS8yMDA5LDYvMzAvMjAwOSwsLFVTRCk=&amp;WINDOW=FIRST_POPUP&amp;HEIGH","T=450&amp;WIDTH=450&amp;START_MAXIMIZED=FALSE&amp;VAR:CALENDAR=US&amp;VAR:SYMBOL=TER&amp;VAR:INDEX=0"}</definedName>
    <definedName name="_1310__FDSAUDITLINK__" localSheetId="1" hidden="1">{"fdsup://Directions/FactSet Auditing Viewer?action=AUDIT_VALUE&amp;DB=129&amp;ID1=67000810&amp;VALUEID=01001&amp;SDATE=201002&amp;PERIODTYPE=QTR_STD&amp;window=popup_no_bar&amp;width=385&amp;height=120&amp;START_MAXIMIZED=FALSE&amp;creator=factset&amp;display_string=Audit"}</definedName>
    <definedName name="_1310__FDSAUDITLINK__" hidden="1">{"fdsup://Directions/FactSet Auditing Viewer?action=AUDIT_VALUE&amp;DB=129&amp;ID1=67000810&amp;VALUEID=01001&amp;SDATE=201002&amp;PERIODTYPE=QTR_STD&amp;window=popup_no_bar&amp;width=385&amp;height=120&amp;START_MAXIMIZED=FALSE&amp;creator=factset&amp;display_string=Audit"}</definedName>
    <definedName name="_1311__FDSAUDITLINK__" localSheetId="1" hidden="1">{"fdsup://Directions/FactSet Auditing Viewer?action=AUDIT_VALUE&amp;DB=129&amp;ID1=67066G10&amp;VALUEID=01001&amp;SDATE=201001&amp;PERIODTYPE=QTR_STD&amp;window=popup_no_bar&amp;width=385&amp;height=120&amp;START_MAXIMIZED=FALSE&amp;creator=factset&amp;display_string=Audit"}</definedName>
    <definedName name="_1311__FDSAUDITLINK__" hidden="1">{"fdsup://Directions/FactSet Auditing Viewer?action=AUDIT_VALUE&amp;DB=129&amp;ID1=67066G10&amp;VALUEID=01001&amp;SDATE=201001&amp;PERIODTYPE=QTR_STD&amp;window=popup_no_bar&amp;width=385&amp;height=120&amp;START_MAXIMIZED=FALSE&amp;creator=factset&amp;display_string=Audit"}</definedName>
    <definedName name="_1312__FDSAUDITLINK__" localSheetId="1" hidden="1">{"fdsup://Directions/FactSet Auditing Viewer?action=AUDIT_VALUE&amp;DB=129&amp;ID1=67034610&amp;VALUEID=01001&amp;SDATE=200902&amp;PERIODTYPE=QTR_STD&amp;window=popup_no_bar&amp;width=385&amp;height=120&amp;START_MAXIMIZED=FALSE&amp;creator=factset&amp;display_string=Audit"}</definedName>
    <definedName name="_1312__FDSAUDITLINK__" hidden="1">{"fdsup://Directions/FactSet Auditing Viewer?action=AUDIT_VALUE&amp;DB=129&amp;ID1=67034610&amp;VALUEID=01001&amp;SDATE=200902&amp;PERIODTYPE=QTR_STD&amp;window=popup_no_bar&amp;width=385&amp;height=120&amp;START_MAXIMIZED=FALSE&amp;creator=factset&amp;display_string=Audit"}</definedName>
    <definedName name="_1313__FDSAUDITLINK__" localSheetId="1" hidden="1">{"fdsup://Directions/FactSet Auditing Viewer?action=AUDIT_VALUE&amp;DB=129&amp;ID1=67034610&amp;VALUEID=01001&amp;SDATE=201002&amp;PERIODTYPE=QTR_STD&amp;window=popup_no_bar&amp;width=385&amp;height=120&amp;START_MAXIMIZED=FALSE&amp;creator=factset&amp;display_string=Audit"}</definedName>
    <definedName name="_1313__FDSAUDITLINK__" hidden="1">{"fdsup://Directions/FactSet Auditing Viewer?action=AUDIT_VALUE&amp;DB=129&amp;ID1=67034610&amp;VALUEID=01001&amp;SDATE=201002&amp;PERIODTYPE=QTR_STD&amp;window=popup_no_bar&amp;width=385&amp;height=120&amp;START_MAXIMIZED=FALSE&amp;creator=factset&amp;display_string=Audit"}</definedName>
    <definedName name="_1314__FDSAUDITLINK__" localSheetId="1" hidden="1">{"fdsup://Directions/FactSet Auditing Viewer?action=AUDIT_VALUE&amp;DB=129&amp;ID1=66439710&amp;VALUEID=01001&amp;SDATE=200902&amp;PERIODTYPE=QTR_STD&amp;window=popup_no_bar&amp;width=385&amp;height=120&amp;START_MAXIMIZED=FALSE&amp;creator=factset&amp;display_string=Audit"}</definedName>
    <definedName name="_1314__FDSAUDITLINK__" hidden="1">{"fdsup://Directions/FactSet Auditing Viewer?action=AUDIT_VALUE&amp;DB=129&amp;ID1=66439710&amp;VALUEID=01001&amp;SDATE=200902&amp;PERIODTYPE=QTR_STD&amp;window=popup_no_bar&amp;width=385&amp;height=120&amp;START_MAXIMIZED=FALSE&amp;creator=factset&amp;display_string=Audit"}</definedName>
    <definedName name="_1315__FDSAUDITLINK__" localSheetId="1" hidden="1">{"fdsup://Directions/FactSet Auditing Viewer?action=AUDIT_VALUE&amp;DB=129&amp;ID1=66439710&amp;VALUEID=01001&amp;SDATE=201002&amp;PERIODTYPE=QTR_STD&amp;window=popup_no_bar&amp;width=385&amp;height=120&amp;START_MAXIMIZED=FALSE&amp;creator=factset&amp;display_string=Audit"}</definedName>
    <definedName name="_1315__FDSAUDITLINK__" hidden="1">{"fdsup://Directions/FactSet Auditing Viewer?action=AUDIT_VALUE&amp;DB=129&amp;ID1=66439710&amp;VALUEID=01001&amp;SDATE=201002&amp;PERIODTYPE=QTR_STD&amp;window=popup_no_bar&amp;width=385&amp;height=120&amp;START_MAXIMIZED=FALSE&amp;creator=factset&amp;display_string=Audit"}</definedName>
    <definedName name="_1316__FDSAUDITLINK__" localSheetId="1" hidden="1">{"fdsup://Directions/FactSet Auditing Viewer?action=AUDIT_VALUE&amp;DB=129&amp;ID1=64110D10&amp;VALUEID=01001&amp;SDATE=200904&amp;PERIODTYPE=QTR_STD&amp;window=popup_no_bar&amp;width=385&amp;height=120&amp;START_MAXIMIZED=FALSE&amp;creator=factset&amp;display_string=Audit"}</definedName>
    <definedName name="_1316__FDSAUDITLINK__" hidden="1">{"fdsup://Directions/FactSet Auditing Viewer?action=AUDIT_VALUE&amp;DB=129&amp;ID1=64110D10&amp;VALUEID=01001&amp;SDATE=200904&amp;PERIODTYPE=QTR_STD&amp;window=popup_no_bar&amp;width=385&amp;height=120&amp;START_MAXIMIZED=FALSE&amp;creator=factset&amp;display_string=Audit"}</definedName>
    <definedName name="_1317__FDSAUDITLINK__" localSheetId="1" hidden="1">{"fdsup://Directions/FactSet Auditing Viewer?action=AUDIT_VALUE&amp;DB=129&amp;ID1=63764010&amp;VALUEID=01001&amp;SDATE=200904&amp;PERIODTYPE=QTR_STD&amp;window=popup_no_bar&amp;width=385&amp;height=120&amp;START_MAXIMIZED=FALSE&amp;creator=factset&amp;display_string=Audit"}</definedName>
    <definedName name="_1317__FDSAUDITLINK__" hidden="1">{"fdsup://Directions/FactSet Auditing Viewer?action=AUDIT_VALUE&amp;DB=129&amp;ID1=63764010&amp;VALUEID=01001&amp;SDATE=200904&amp;PERIODTYPE=QTR_STD&amp;window=popup_no_bar&amp;width=385&amp;height=120&amp;START_MAXIMIZED=FALSE&amp;creator=factset&amp;display_string=Audit"}</definedName>
    <definedName name="_1318__FDSAUDITLINK__" localSheetId="1" hidden="1">{"fdsup://Directions/FactSet Auditing Viewer?action=AUDIT_VALUE&amp;DB=129&amp;ID1=65584410&amp;VALUEID=01001&amp;SDATE=200902&amp;PERIODTYPE=QTR_STD&amp;window=popup_no_bar&amp;width=385&amp;height=120&amp;START_MAXIMIZED=FALSE&amp;creator=factset&amp;display_string=Audit"}</definedName>
    <definedName name="_1318__FDSAUDITLINK__" hidden="1">{"fdsup://Directions/FactSet Auditing Viewer?action=AUDIT_VALUE&amp;DB=129&amp;ID1=65584410&amp;VALUEID=01001&amp;SDATE=200902&amp;PERIODTYPE=QTR_STD&amp;window=popup_no_bar&amp;width=385&amp;height=120&amp;START_MAXIMIZED=FALSE&amp;creator=factset&amp;display_string=Audit"}</definedName>
    <definedName name="_1319__FDSAUDITLINK__" localSheetId="1" hidden="1">{"fdsup://Directions/FactSet Auditing Viewer?action=AUDIT_VALUE&amp;DB=129&amp;ID1=65584410&amp;VALUEID=01001&amp;SDATE=201002&amp;PERIODTYPE=QTR_STD&amp;window=popup_no_bar&amp;width=385&amp;height=120&amp;START_MAXIMIZED=FALSE&amp;creator=factset&amp;display_string=Audit"}</definedName>
    <definedName name="_1319__FDSAUDITLINK__" hidden="1">{"fdsup://Directions/FactSet Auditing Viewer?action=AUDIT_VALUE&amp;DB=129&amp;ID1=65584410&amp;VALUEID=01001&amp;SDATE=201002&amp;PERIODTYPE=QTR_STD&amp;window=popup_no_bar&amp;width=385&amp;height=120&amp;START_MAXIMIZED=FALSE&amp;creator=factset&amp;display_string=Audit"}</definedName>
    <definedName name="_132__FDSAUDITLINK__" localSheetId="1"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__FDSAUDITLINK__" hidden="1">{"fdsup://directions/FAT Viewer?action=UPDATE&amp;creator=factset&amp;DYN_ARGS=TRUE&amp;DOC_NAME=FAT:FQL_AUDITING_CLIENT_TEMPLATE.FAT&amp;display_string=Audit&amp;VAR:KEY=FAFSTSPCHM&amp;VAR:QUERY=RkZfRUJJVERBX09QRVIoUVRSLDQvMS8yMDEwLDYvMzAvMjAxMCwsLFVTRCk=&amp;WINDOW=FIRST_POPUP&amp;HEIGH","T=450&amp;WIDTH=450&amp;START_MAXIMIZED=FALSE&amp;VAR:CALENDAR=US&amp;VAR:SYMBOL=TER&amp;VAR:INDEX=0"}</definedName>
    <definedName name="_1320__FDSAUDITLINK__" localSheetId="1" hidden="1">{"fdsup://Directions/FactSet Auditing Viewer?action=AUDIT_VALUE&amp;DB=129&amp;ID1=62937750&amp;VALUEID=01001&amp;SDATE=200902&amp;PERIODTYPE=QTR_STD&amp;window=popup_no_bar&amp;width=385&amp;height=120&amp;START_MAXIMIZED=FALSE&amp;creator=factset&amp;display_string=Audit"}</definedName>
    <definedName name="_1320__FDSAUDITLINK__" hidden="1">{"fdsup://Directions/FactSet Auditing Viewer?action=AUDIT_VALUE&amp;DB=129&amp;ID1=62937750&amp;VALUEID=01001&amp;SDATE=200902&amp;PERIODTYPE=QTR_STD&amp;window=popup_no_bar&amp;width=385&amp;height=120&amp;START_MAXIMIZED=FALSE&amp;creator=factset&amp;display_string=Audit"}</definedName>
    <definedName name="_1321__FDSAUDITLINK__" localSheetId="1" hidden="1">{"fdsup://Directions/FactSet Auditing Viewer?action=AUDIT_VALUE&amp;DB=129&amp;ID1=62937750&amp;VALUEID=01001&amp;SDATE=201002&amp;PERIODTYPE=QTR_STD&amp;window=popup_no_bar&amp;width=385&amp;height=120&amp;START_MAXIMIZED=FALSE&amp;creator=factset&amp;display_string=Audit"}</definedName>
    <definedName name="_1321__FDSAUDITLINK__" hidden="1">{"fdsup://Directions/FactSet Auditing Viewer?action=AUDIT_VALUE&amp;DB=129&amp;ID1=62937750&amp;VALUEID=01001&amp;SDATE=201002&amp;PERIODTYPE=QTR_STD&amp;window=popup_no_bar&amp;width=385&amp;height=120&amp;START_MAXIMIZED=FALSE&amp;creator=factset&amp;display_string=Audit"}</definedName>
    <definedName name="_1322__FDSAUDITLINK__" localSheetId="1" hidden="1">{"fdsup://Directions/FactSet Auditing Viewer?action=AUDIT_VALUE&amp;DB=129&amp;ID1=67000610&amp;VALUEID=01001&amp;SDATE=201002&amp;PERIODTYPE=QTR_STD&amp;window=popup_no_bar&amp;width=385&amp;height=120&amp;START_MAXIMIZED=FALSE&amp;creator=factset&amp;display_string=Audit"}</definedName>
    <definedName name="_1322__FDSAUDITLINK__" hidden="1">{"fdsup://Directions/FactSet Auditing Viewer?action=AUDIT_VALUE&amp;DB=129&amp;ID1=67000610&amp;VALUEID=01001&amp;SDATE=201002&amp;PERIODTYPE=QTR_STD&amp;window=popup_no_bar&amp;width=385&amp;height=120&amp;START_MAXIMIZED=FALSE&amp;creator=factset&amp;display_string=Audit"}</definedName>
    <definedName name="_1323__FDSAUDITLINK__" localSheetId="1" hidden="1">{"fdsup://Directions/FactSet Auditing Viewer?action=AUDIT_VALUE&amp;DB=129&amp;ID1=63707110&amp;VALUEID=01001&amp;SDATE=200902&amp;PERIODTYPE=QTR_STD&amp;window=popup_no_bar&amp;width=385&amp;height=120&amp;START_MAXIMIZED=FALSE&amp;creator=factset&amp;display_string=Audit"}</definedName>
    <definedName name="_1323__FDSAUDITLINK__" hidden="1">{"fdsup://Directions/FactSet Auditing Viewer?action=AUDIT_VALUE&amp;DB=129&amp;ID1=63707110&amp;VALUEID=01001&amp;SDATE=200902&amp;PERIODTYPE=QTR_STD&amp;window=popup_no_bar&amp;width=385&amp;height=120&amp;START_MAXIMIZED=FALSE&amp;creator=factset&amp;display_string=Audit"}</definedName>
    <definedName name="_1324__FDSAUDITLINK__" localSheetId="1" hidden="1">{"fdsup://Directions/FactSet Auditing Viewer?action=AUDIT_VALUE&amp;DB=129&amp;ID1=63707110&amp;VALUEID=01001&amp;SDATE=201002&amp;PERIODTYPE=QTR_STD&amp;window=popup_no_bar&amp;width=385&amp;height=120&amp;START_MAXIMIZED=FALSE&amp;creator=factset&amp;display_string=Audit"}</definedName>
    <definedName name="_1324__FDSAUDITLINK__" hidden="1">{"fdsup://Directions/FactSet Auditing Viewer?action=AUDIT_VALUE&amp;DB=129&amp;ID1=63707110&amp;VALUEID=01001&amp;SDATE=201002&amp;PERIODTYPE=QTR_STD&amp;window=popup_no_bar&amp;width=385&amp;height=120&amp;START_MAXIMIZED=FALSE&amp;creator=factset&amp;display_string=Audit"}</definedName>
    <definedName name="_1325__FDSAUDITLINK__" localSheetId="1" hidden="1">{"fdsup://Directions/FactSet Auditing Viewer?action=AUDIT_VALUE&amp;DB=129&amp;ID1=66680710&amp;VALUEID=01001&amp;SDATE=200902&amp;PERIODTYPE=QTR_STD&amp;window=popup_no_bar&amp;width=385&amp;height=120&amp;START_MAXIMIZED=FALSE&amp;creator=factset&amp;display_string=Audit"}</definedName>
    <definedName name="_1325__FDSAUDITLINK__" hidden="1">{"fdsup://Directions/FactSet Auditing Viewer?action=AUDIT_VALUE&amp;DB=129&amp;ID1=66680710&amp;VALUEID=01001&amp;SDATE=200902&amp;PERIODTYPE=QTR_STD&amp;window=popup_no_bar&amp;width=385&amp;height=120&amp;START_MAXIMIZED=FALSE&amp;creator=factset&amp;display_string=Audit"}</definedName>
    <definedName name="_1326__FDSAUDITLINK__" localSheetId="1" hidden="1">{"fdsup://Directions/FactSet Auditing Viewer?action=AUDIT_VALUE&amp;DB=129&amp;ID1=66680710&amp;VALUEID=01001&amp;SDATE=201002&amp;PERIODTYPE=QTR_STD&amp;window=popup_no_bar&amp;width=385&amp;height=120&amp;START_MAXIMIZED=FALSE&amp;creator=factset&amp;display_string=Audit"}</definedName>
    <definedName name="_1326__FDSAUDITLINK__" hidden="1">{"fdsup://Directions/FactSet Auditing Viewer?action=AUDIT_VALUE&amp;DB=129&amp;ID1=66680710&amp;VALUEID=01001&amp;SDATE=201002&amp;PERIODTYPE=QTR_STD&amp;window=popup_no_bar&amp;width=385&amp;height=120&amp;START_MAXIMIZED=FALSE&amp;creator=factset&amp;display_string=Audit"}</definedName>
    <definedName name="_1327__FDSAUDITLINK__" localSheetId="1" hidden="1">{"fdsup://Directions/FactSet Auditing Viewer?action=AUDIT_VALUE&amp;DB=129&amp;ID1=65410610&amp;VALUEID=01001&amp;SDATE=200804&amp;PERIODTYPE=QTR_STD&amp;window=popup_no_bar&amp;width=385&amp;height=120&amp;START_MAXIMIZED=FALSE&amp;creator=factset&amp;display_string=Audit"}</definedName>
    <definedName name="_1327__FDSAUDITLINK__" hidden="1">{"fdsup://Directions/FactSet Auditing Viewer?action=AUDIT_VALUE&amp;DB=129&amp;ID1=65410610&amp;VALUEID=01001&amp;SDATE=200804&amp;PERIODTYPE=QTR_STD&amp;window=popup_no_bar&amp;width=385&amp;height=120&amp;START_MAXIMIZED=FALSE&amp;creator=factset&amp;display_string=Audit"}</definedName>
    <definedName name="_1328__FDSAUDITLINK__" localSheetId="1" hidden="1">{"fdsup://Directions/FactSet Auditing Viewer?action=AUDIT_VALUE&amp;DB=129&amp;ID1=65410610&amp;VALUEID=01001&amp;SDATE=200904&amp;PERIODTYPE=QTR_STD&amp;window=popup_no_bar&amp;width=385&amp;height=120&amp;START_MAXIMIZED=FALSE&amp;creator=factset&amp;display_string=Audit"}</definedName>
    <definedName name="_1328__FDSAUDITLINK__" hidden="1">{"fdsup://Directions/FactSet Auditing Viewer?action=AUDIT_VALUE&amp;DB=129&amp;ID1=65410610&amp;VALUEID=01001&amp;SDATE=200904&amp;PERIODTYPE=QTR_STD&amp;window=popup_no_bar&amp;width=385&amp;height=120&amp;START_MAXIMIZED=FALSE&amp;creator=factset&amp;display_string=Audit"}</definedName>
    <definedName name="_1329__FDSAUDITLINK__" localSheetId="1" hidden="1">{"fdsup://Directions/FactSet Auditing Viewer?action=AUDIT_VALUE&amp;DB=129&amp;ID1=65473P10&amp;VALUEID=01001&amp;SDATE=200902&amp;PERIODTYPE=QTR_STD&amp;window=popup_no_bar&amp;width=385&amp;height=120&amp;START_MAXIMIZED=FALSE&amp;creator=factset&amp;display_string=Audit"}</definedName>
    <definedName name="_1329__FDSAUDITLINK__" hidden="1">{"fdsup://Directions/FactSet Auditing Viewer?action=AUDIT_VALUE&amp;DB=129&amp;ID1=65473P10&amp;VALUEID=01001&amp;SDATE=200902&amp;PERIODTYPE=QTR_STD&amp;window=popup_no_bar&amp;width=385&amp;height=120&amp;START_MAXIMIZED=FALSE&amp;creator=factset&amp;display_string=Audit"}</definedName>
    <definedName name="_133__FDSAUDITLINK__" localSheetId="1"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__FDSAUDITLINK__" hidden="1">{"fdsup://directions/FAT Viewer?action=UPDATE&amp;creator=factset&amp;DYN_ARGS=TRUE&amp;DOC_NAME=FAT:FQL_AUDITING_CLIENT_TEMPLATE.FAT&amp;display_string=Audit&amp;VAR:KEY=XSBQHKDKRI&amp;VAR:QUERY=RkZfRUJJVERBX09QRVIoUVRSLDQvMS8yMDA5LDYvMzAvMjAwOSwsLFVTRCk=&amp;WINDOW=FIRST_POPUP&amp;HEIGH","T=450&amp;WIDTH=450&amp;START_MAXIMIZED=FALSE&amp;VAR:CALENDAR=US&amp;VAR:SYMBOL=TEG&amp;VAR:INDEX=0"}</definedName>
    <definedName name="_1330__FDSAUDITLINK__" localSheetId="1" hidden="1">{"fdsup://Directions/FactSet Auditing Viewer?action=AUDIT_VALUE&amp;DB=129&amp;ID1=65473P10&amp;VALUEID=01001&amp;SDATE=201002&amp;PERIODTYPE=QTR_STD&amp;window=popup_no_bar&amp;width=385&amp;height=120&amp;START_MAXIMIZED=FALSE&amp;creator=factset&amp;display_string=Audit"}</definedName>
    <definedName name="_1330__FDSAUDITLINK__" hidden="1">{"fdsup://Directions/FactSet Auditing Viewer?action=AUDIT_VALUE&amp;DB=129&amp;ID1=65473P10&amp;VALUEID=01001&amp;SDATE=201002&amp;PERIODTYPE=QTR_STD&amp;window=popup_no_bar&amp;width=385&amp;height=120&amp;START_MAXIMIZED=FALSE&amp;creator=factset&amp;display_string=Audit"}</definedName>
    <definedName name="_1331__FDSAUDITLINK__" localSheetId="1" hidden="1">{"fdsup://Directions/FactSet Auditing Viewer?action=AUDIT_VALUE&amp;DB=129&amp;ID1=65163910&amp;VALUEID=01001&amp;SDATE=200902&amp;PERIODTYPE=QTR_STD&amp;window=popup_no_bar&amp;width=385&amp;height=120&amp;START_MAXIMIZED=FALSE&amp;creator=factset&amp;display_string=Audit"}</definedName>
    <definedName name="_1331__FDSAUDITLINK__" hidden="1">{"fdsup://Directions/FactSet Auditing Viewer?action=AUDIT_VALUE&amp;DB=129&amp;ID1=65163910&amp;VALUEID=01001&amp;SDATE=200902&amp;PERIODTYPE=QTR_STD&amp;window=popup_no_bar&amp;width=385&amp;height=120&amp;START_MAXIMIZED=FALSE&amp;creator=factset&amp;display_string=Audit"}</definedName>
    <definedName name="_1332__FDSAUDITLINK__" localSheetId="1" hidden="1">{"fdsup://Directions/FactSet Auditing Viewer?action=AUDIT_VALUE&amp;DB=129&amp;ID1=65163910&amp;VALUEID=01001&amp;SDATE=201002&amp;PERIODTYPE=QTR_STD&amp;window=popup_no_bar&amp;width=385&amp;height=120&amp;START_MAXIMIZED=FALSE&amp;creator=factset&amp;display_string=Audit"}</definedName>
    <definedName name="_1332__FDSAUDITLINK__" hidden="1">{"fdsup://Directions/FactSet Auditing Viewer?action=AUDIT_VALUE&amp;DB=129&amp;ID1=65163910&amp;VALUEID=01001&amp;SDATE=201002&amp;PERIODTYPE=QTR_STD&amp;window=popup_no_bar&amp;width=385&amp;height=120&amp;START_MAXIMIZED=FALSE&amp;creator=factset&amp;display_string=Audit"}</definedName>
    <definedName name="_1333__FDSAUDITLINK__" localSheetId="1" hidden="1">{"fdsup://Directions/FactSet Auditing Viewer?action=AUDIT_VALUE&amp;DB=129&amp;ID1=65339F10&amp;VALUEID=01001&amp;SDATE=200902&amp;PERIODTYPE=QTR_STD&amp;window=popup_no_bar&amp;width=385&amp;height=120&amp;START_MAXIMIZED=FALSE&amp;creator=factset&amp;display_string=Audit"}</definedName>
    <definedName name="_1333__FDSAUDITLINK__" hidden="1">{"fdsup://Directions/FactSet Auditing Viewer?action=AUDIT_VALUE&amp;DB=129&amp;ID1=65339F10&amp;VALUEID=01001&amp;SDATE=200902&amp;PERIODTYPE=QTR_STD&amp;window=popup_no_bar&amp;width=385&amp;height=120&amp;START_MAXIMIZED=FALSE&amp;creator=factset&amp;display_string=Audit"}</definedName>
    <definedName name="_1334__FDSAUDITLINK__" localSheetId="1" hidden="1">{"fdsup://Directions/FactSet Auditing Viewer?action=AUDIT_VALUE&amp;DB=129&amp;ID1=65339F10&amp;VALUEID=01001&amp;SDATE=201002&amp;PERIODTYPE=QTR_STD&amp;window=popup_no_bar&amp;width=385&amp;height=120&amp;START_MAXIMIZED=FALSE&amp;creator=factset&amp;display_string=Audit"}</definedName>
    <definedName name="_1334__FDSAUDITLINK__" hidden="1">{"fdsup://Directions/FactSet Auditing Viewer?action=AUDIT_VALUE&amp;DB=129&amp;ID1=65339F10&amp;VALUEID=01001&amp;SDATE=201002&amp;PERIODTYPE=QTR_STD&amp;window=popup_no_bar&amp;width=385&amp;height=120&amp;START_MAXIMIZED=FALSE&amp;creator=factset&amp;display_string=Audit"}</definedName>
    <definedName name="_1335__FDSAUDITLINK__" localSheetId="1" hidden="1">{"fdsup://Directions/FactSet Auditing Viewer?action=AUDIT_VALUE&amp;DB=129&amp;ID1=63110310&amp;VALUEID=01001&amp;SDATE=200902&amp;PERIODTYPE=QTR_STD&amp;window=popup_no_bar&amp;width=385&amp;height=120&amp;START_MAXIMIZED=FALSE&amp;creator=factset&amp;display_string=Audit"}</definedName>
    <definedName name="_1335__FDSAUDITLINK__" hidden="1">{"fdsup://Directions/FactSet Auditing Viewer?action=AUDIT_VALUE&amp;DB=129&amp;ID1=63110310&amp;VALUEID=01001&amp;SDATE=200902&amp;PERIODTYPE=QTR_STD&amp;window=popup_no_bar&amp;width=385&amp;height=120&amp;START_MAXIMIZED=FALSE&amp;creator=factset&amp;display_string=Audit"}</definedName>
    <definedName name="_1336__FDSAUDITLINK__" localSheetId="1" hidden="1">{"fdsup://Directions/FactSet Auditing Viewer?action=AUDIT_VALUE&amp;DB=129&amp;ID1=63110310&amp;VALUEID=01001&amp;SDATE=201002&amp;PERIODTYPE=QTR_STD&amp;window=popup_no_bar&amp;width=385&amp;height=120&amp;START_MAXIMIZED=FALSE&amp;creator=factset&amp;display_string=Audit"}</definedName>
    <definedName name="_1336__FDSAUDITLINK__" hidden="1">{"fdsup://Directions/FactSet Auditing Viewer?action=AUDIT_VALUE&amp;DB=129&amp;ID1=63110310&amp;VALUEID=01001&amp;SDATE=201002&amp;PERIODTYPE=QTR_STD&amp;window=popup_no_bar&amp;width=385&amp;height=120&amp;START_MAXIMIZED=FALSE&amp;creator=factset&amp;display_string=Audit"}</definedName>
    <definedName name="_1337__FDSAUDITLINK__" localSheetId="1" hidden="1">{"fdsup://Directions/FactSet Auditing Viewer?action=AUDIT_VALUE&amp;DB=129&amp;ID1=G6359F10&amp;VALUEID=01001&amp;SDATE=200902&amp;PERIODTYPE=QTR_STD&amp;window=popup_no_bar&amp;width=385&amp;height=120&amp;START_MAXIMIZED=FALSE&amp;creator=factset&amp;display_string=Audit"}</definedName>
    <definedName name="_1337__FDSAUDITLINK__" hidden="1">{"fdsup://Directions/FactSet Auditing Viewer?action=AUDIT_VALUE&amp;DB=129&amp;ID1=G6359F10&amp;VALUEID=01001&amp;SDATE=200902&amp;PERIODTYPE=QTR_STD&amp;window=popup_no_bar&amp;width=385&amp;height=120&amp;START_MAXIMIZED=FALSE&amp;creator=factset&amp;display_string=Audit"}</definedName>
    <definedName name="_1338__FDSAUDITLINK__" localSheetId="1" hidden="1">{"fdsup://Directions/FactSet Auditing Viewer?action=AUDIT_VALUE&amp;DB=129&amp;ID1=G6359F10&amp;VALUEID=01001&amp;SDATE=201002&amp;PERIODTYPE=QTR_STD&amp;window=popup_no_bar&amp;width=385&amp;height=120&amp;START_MAXIMIZED=FALSE&amp;creator=factset&amp;display_string=Audit"}</definedName>
    <definedName name="_1338__FDSAUDITLINK__" hidden="1">{"fdsup://Directions/FactSet Auditing Viewer?action=AUDIT_VALUE&amp;DB=129&amp;ID1=G6359F10&amp;VALUEID=01001&amp;SDATE=201002&amp;PERIODTYPE=QTR_STD&amp;window=popup_no_bar&amp;width=385&amp;height=120&amp;START_MAXIMIZED=FALSE&amp;creator=factset&amp;display_string=Audit"}</definedName>
    <definedName name="_1339__FDSAUDITLINK__" localSheetId="1" hidden="1">{"fdsup://Directions/FactSet Auditing Viewer?action=AUDIT_VALUE&amp;DB=129&amp;ID1=65504410&amp;VALUEID=01001&amp;SDATE=200902&amp;PERIODTYPE=QTR_STD&amp;window=popup_no_bar&amp;width=385&amp;height=120&amp;START_MAXIMIZED=FALSE&amp;creator=factset&amp;display_string=Audit"}</definedName>
    <definedName name="_1339__FDSAUDITLINK__" hidden="1">{"fdsup://Directions/FactSet Auditing Viewer?action=AUDIT_VALUE&amp;DB=129&amp;ID1=65504410&amp;VALUEID=01001&amp;SDATE=200902&amp;PERIODTYPE=QTR_STD&amp;window=popup_no_bar&amp;width=385&amp;height=120&amp;START_MAXIMIZED=FALSE&amp;creator=factset&amp;display_string=Audit"}</definedName>
    <definedName name="_134__FDSAUDITLINK__" localSheetId="1"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__FDSAUDITLINK__" hidden="1">{"fdsup://directions/FAT Viewer?action=UPDATE&amp;creator=factset&amp;DYN_ARGS=TRUE&amp;DOC_NAME=FAT:FQL_AUDITING_CLIENT_TEMPLATE.FAT&amp;display_string=Audit&amp;VAR:KEY=RUFSPYPIFO&amp;VAR:QUERY=RkZfRUJJVERBX09QRVIoUVRSLDQvMS8yMDEwLDYvMzAvMjAxMCwsLFVTRCk=&amp;WINDOW=FIRST_POPUP&amp;HEIGH","T=450&amp;WIDTH=450&amp;START_MAXIMIZED=FALSE&amp;VAR:CALENDAR=US&amp;VAR:SYMBOL=TEG&amp;VAR:INDEX=0"}</definedName>
    <definedName name="_1340__FDSAUDITLINK__" localSheetId="1" hidden="1">{"fdsup://Directions/FactSet Auditing Viewer?action=AUDIT_VALUE&amp;DB=129&amp;ID1=65504410&amp;VALUEID=01001&amp;SDATE=201002&amp;PERIODTYPE=QTR_STD&amp;window=popup_no_bar&amp;width=385&amp;height=120&amp;START_MAXIMIZED=FALSE&amp;creator=factset&amp;display_string=Audit"}</definedName>
    <definedName name="_1340__FDSAUDITLINK__" hidden="1">{"fdsup://Directions/FactSet Auditing Viewer?action=AUDIT_VALUE&amp;DB=129&amp;ID1=65504410&amp;VALUEID=01001&amp;SDATE=201002&amp;PERIODTYPE=QTR_STD&amp;window=popup_no_bar&amp;width=385&amp;height=120&amp;START_MAXIMIZED=FALSE&amp;creator=factset&amp;display_string=Audit"}</definedName>
    <definedName name="_1341__FDSAUDITLINK__" localSheetId="1" hidden="1">{"fdsup://Directions/FactSet Auditing Viewer?action=AUDIT_VALUE&amp;DB=129&amp;ID1=62853010&amp;VALUEID=01001&amp;SDATE=200902&amp;PERIODTYPE=QTR_STD&amp;window=popup_no_bar&amp;width=385&amp;height=120&amp;START_MAXIMIZED=FALSE&amp;creator=factset&amp;display_string=Audit"}</definedName>
    <definedName name="_1341__FDSAUDITLINK__" hidden="1">{"fdsup://Directions/FactSet Auditing Viewer?action=AUDIT_VALUE&amp;DB=129&amp;ID1=62853010&amp;VALUEID=01001&amp;SDATE=200902&amp;PERIODTYPE=QTR_STD&amp;window=popup_no_bar&amp;width=385&amp;height=120&amp;START_MAXIMIZED=FALSE&amp;creator=factset&amp;display_string=Audit"}</definedName>
    <definedName name="_1342__FDSAUDITLINK__" localSheetId="1" hidden="1">{"fdsup://Directions/FactSet Auditing Viewer?action=AUDIT_VALUE&amp;DB=129&amp;ID1=62853010&amp;VALUEID=01001&amp;SDATE=201002&amp;PERIODTYPE=QTR_STD&amp;window=popup_no_bar&amp;width=385&amp;height=120&amp;START_MAXIMIZED=FALSE&amp;creator=factset&amp;display_string=Audit"}</definedName>
    <definedName name="_1342__FDSAUDITLINK__" hidden="1">{"fdsup://Directions/FactSet Auditing Viewer?action=AUDIT_VALUE&amp;DB=129&amp;ID1=62853010&amp;VALUEID=01001&amp;SDATE=201002&amp;PERIODTYPE=QTR_STD&amp;window=popup_no_bar&amp;width=385&amp;height=120&amp;START_MAXIMIZED=FALSE&amp;creator=factset&amp;display_string=Audit"}</definedName>
    <definedName name="_1343__FDSAUDITLINK__" localSheetId="1" hidden="1">{"fdsup://Directions/FactSet Auditing Viewer?action=AUDIT_VALUE&amp;DB=129&amp;ID1=61174210&amp;VALUEID=01001&amp;SDATE=200902&amp;PERIODTYPE=QTR_STD&amp;window=popup_no_bar&amp;width=385&amp;height=120&amp;START_MAXIMIZED=FALSE&amp;creator=factset&amp;display_string=Audit"}</definedName>
    <definedName name="_1343__FDSAUDITLINK__" hidden="1">{"fdsup://Directions/FactSet Auditing Viewer?action=AUDIT_VALUE&amp;DB=129&amp;ID1=61174210&amp;VALUEID=01001&amp;SDATE=200902&amp;PERIODTYPE=QTR_STD&amp;window=popup_no_bar&amp;width=385&amp;height=120&amp;START_MAXIMIZED=FALSE&amp;creator=factset&amp;display_string=Audit"}</definedName>
    <definedName name="_1344__FDSAUDITLINK__" localSheetId="1" hidden="1">{"fdsup://Directions/FactSet Auditing Viewer?action=AUDIT_VALUE&amp;DB=129&amp;ID1=61174210&amp;VALUEID=01001&amp;SDATE=201002&amp;PERIODTYPE=QTR_STD&amp;window=popup_no_bar&amp;width=385&amp;height=120&amp;START_MAXIMIZED=FALSE&amp;creator=factset&amp;display_string=Audit"}</definedName>
    <definedName name="_1344__FDSAUDITLINK__" hidden="1">{"fdsup://Directions/FactSet Auditing Viewer?action=AUDIT_VALUE&amp;DB=129&amp;ID1=61174210&amp;VALUEID=01001&amp;SDATE=201002&amp;PERIODTYPE=QTR_STD&amp;window=popup_no_bar&amp;width=385&amp;height=120&amp;START_MAXIMIZED=FALSE&amp;creator=factset&amp;display_string=Audit"}</definedName>
    <definedName name="_1345__FDSAUDITLINK__" localSheetId="1" hidden="1">{"fdsup://Directions/FactSet Auditing Viewer?action=AUDIT_VALUE&amp;DB=129&amp;ID1=58333410&amp;VALUEID=01001&amp;SDATE=200902&amp;PERIODTYPE=QTR_STD&amp;window=popup_no_bar&amp;width=385&amp;height=120&amp;START_MAXIMIZED=FALSE&amp;creator=factset&amp;display_string=Audit"}</definedName>
    <definedName name="_1345__FDSAUDITLINK__" hidden="1">{"fdsup://Directions/FactSet Auditing Viewer?action=AUDIT_VALUE&amp;DB=129&amp;ID1=58333410&amp;VALUEID=01001&amp;SDATE=200902&amp;PERIODTYPE=QTR_STD&amp;window=popup_no_bar&amp;width=385&amp;height=120&amp;START_MAXIMIZED=FALSE&amp;creator=factset&amp;display_string=Audit"}</definedName>
    <definedName name="_1346__FDSAUDITLINK__" localSheetId="1" hidden="1">{"fdsup://Directions/FactSet Auditing Viewer?action=AUDIT_VALUE&amp;DB=129&amp;ID1=58333410&amp;VALUEID=01001&amp;SDATE=201002&amp;PERIODTYPE=QTR_STD&amp;window=popup_no_bar&amp;width=385&amp;height=120&amp;START_MAXIMIZED=FALSE&amp;creator=factset&amp;display_string=Audit"}</definedName>
    <definedName name="_1346__FDSAUDITLINK__" hidden="1">{"fdsup://Directions/FactSet Auditing Viewer?action=AUDIT_VALUE&amp;DB=129&amp;ID1=58333410&amp;VALUEID=01001&amp;SDATE=201002&amp;PERIODTYPE=QTR_STD&amp;window=popup_no_bar&amp;width=385&amp;height=120&amp;START_MAXIMIZED=FALSE&amp;creator=factset&amp;display_string=Audit"}</definedName>
    <definedName name="_1347__FDSAUDITLINK__" localSheetId="1" hidden="1">{"fdsup://Directions/FactSet Auditing Viewer?action=AUDIT_VALUE&amp;DB=129&amp;ID1=62671710&amp;VALUEID=01001&amp;SDATE=200902&amp;PERIODTYPE=QTR_STD&amp;window=popup_no_bar&amp;width=385&amp;height=120&amp;START_MAXIMIZED=FALSE&amp;creator=factset&amp;display_string=Audit"}</definedName>
    <definedName name="_1347__FDSAUDITLINK__" hidden="1">{"fdsup://Directions/FactSet Auditing Viewer?action=AUDIT_VALUE&amp;DB=129&amp;ID1=62671710&amp;VALUEID=01001&amp;SDATE=200902&amp;PERIODTYPE=QTR_STD&amp;window=popup_no_bar&amp;width=385&amp;height=120&amp;START_MAXIMIZED=FALSE&amp;creator=factset&amp;display_string=Audit"}</definedName>
    <definedName name="_1348__FDSAUDITLINK__" localSheetId="1" hidden="1">{"fdsup://Directions/FactSet Auditing Viewer?action=AUDIT_VALUE&amp;DB=129&amp;ID1=62671710&amp;VALUEID=01001&amp;SDATE=201002&amp;PERIODTYPE=QTR_STD&amp;window=popup_no_bar&amp;width=385&amp;height=120&amp;START_MAXIMIZED=FALSE&amp;creator=factset&amp;display_string=Audit"}</definedName>
    <definedName name="_1348__FDSAUDITLINK__" hidden="1">{"fdsup://Directions/FactSet Auditing Viewer?action=AUDIT_VALUE&amp;DB=129&amp;ID1=62671710&amp;VALUEID=01001&amp;SDATE=201002&amp;PERIODTYPE=QTR_STD&amp;window=popup_no_bar&amp;width=385&amp;height=120&amp;START_MAXIMIZED=FALSE&amp;creator=factset&amp;display_string=Audit"}</definedName>
    <definedName name="_1349__FDSAUDITLINK__" localSheetId="1" hidden="1">{"fdsup://Directions/FactSet Auditing Viewer?action=AUDIT_VALUE&amp;DB=129&amp;ID1=59511210&amp;VALUEID=01001&amp;SDATE=200903&amp;PERIODTYPE=QTR_STD&amp;window=popup_no_bar&amp;width=385&amp;height=120&amp;START_MAXIMIZED=FALSE&amp;creator=factset&amp;display_string=Audit"}</definedName>
    <definedName name="_1349__FDSAUDITLINK__" hidden="1">{"fdsup://Directions/FactSet Auditing Viewer?action=AUDIT_VALUE&amp;DB=129&amp;ID1=59511210&amp;VALUEID=01001&amp;SDATE=200903&amp;PERIODTYPE=QTR_STD&amp;window=popup_no_bar&amp;width=385&amp;height=120&amp;START_MAXIMIZED=FALSE&amp;creator=factset&amp;display_string=Audit"}</definedName>
    <definedName name="_135__FDSAUDITLINK__" localSheetId="1"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__FDSAUDITLINK__" hidden="1">{"fdsup://directions/FAT Viewer?action=UPDATE&amp;creator=factset&amp;DYN_ARGS=TRUE&amp;DOC_NAME=FAT:FQL_AUDITING_CLIENT_TEMPLATE.FAT&amp;display_string=Audit&amp;VAR:KEY=TKXMNCPOXO&amp;VAR:QUERY=RkZfRUJJVERBX09QRVIoUVRSLDQvMS8yMDA5LDYvMzAvMjAwOSwsLFVTRCk=&amp;WINDOW=FIRST_POPUP&amp;HEIGH","T=450&amp;WIDTH=450&amp;START_MAXIMIZED=FALSE&amp;VAR:CALENDAR=US&amp;VAR:SYMBOL=TE&amp;VAR:INDEX=0"}</definedName>
    <definedName name="_1350__FDSAUDITLINK__" localSheetId="1" hidden="1">{"fdsup://Directions/FactSet Auditing Viewer?action=AUDIT_VALUE&amp;DB=129&amp;ID1=59511210&amp;VALUEID=01001&amp;SDATE=201003&amp;PERIODTYPE=QTR_STD&amp;window=popup_no_bar&amp;width=385&amp;height=120&amp;START_MAXIMIZED=FALSE&amp;creator=factset&amp;display_string=Audit"}</definedName>
    <definedName name="_1350__FDSAUDITLINK__" hidden="1">{"fdsup://Directions/FactSet Auditing Viewer?action=AUDIT_VALUE&amp;DB=129&amp;ID1=59511210&amp;VALUEID=01001&amp;SDATE=201003&amp;PERIODTYPE=QTR_STD&amp;window=popup_no_bar&amp;width=385&amp;height=120&amp;START_MAXIMIZED=FALSE&amp;creator=factset&amp;display_string=Audit"}</definedName>
    <definedName name="_1351__FDSAUDITLINK__" localSheetId="1" hidden="1">{"fdsup://Directions/FactSet Auditing Viewer?action=AUDIT_VALUE&amp;DB=129&amp;ID1=59491810&amp;VALUEID=01001&amp;SDATE=200904&amp;PERIODTYPE=QTR_STD&amp;window=popup_no_bar&amp;width=385&amp;height=120&amp;START_MAXIMIZED=FALSE&amp;creator=factset&amp;display_string=Audit"}</definedName>
    <definedName name="_1351__FDSAUDITLINK__" hidden="1">{"fdsup://Directions/FactSet Auditing Viewer?action=AUDIT_VALUE&amp;DB=129&amp;ID1=59491810&amp;VALUEID=01001&amp;SDATE=200904&amp;PERIODTYPE=QTR_STD&amp;window=popup_no_bar&amp;width=385&amp;height=120&amp;START_MAXIMIZED=FALSE&amp;creator=factset&amp;display_string=Audit"}</definedName>
    <definedName name="_1352__FDSAUDITLINK__" localSheetId="1" hidden="1">{"fdsup://Directions/FactSet Auditing Viewer?action=AUDIT_VALUE&amp;DB=129&amp;ID1=59491810&amp;VALUEID=01001&amp;SDATE=201004&amp;PERIODTYPE=QTR_STD&amp;window=popup_no_bar&amp;width=385&amp;height=120&amp;START_MAXIMIZED=FALSE&amp;creator=factset&amp;display_string=Audit"}</definedName>
    <definedName name="_1352__FDSAUDITLINK__" hidden="1">{"fdsup://Directions/FactSet Auditing Viewer?action=AUDIT_VALUE&amp;DB=129&amp;ID1=59491810&amp;VALUEID=01001&amp;SDATE=201004&amp;PERIODTYPE=QTR_STD&amp;window=popup_no_bar&amp;width=385&amp;height=120&amp;START_MAXIMIZED=FALSE&amp;creator=factset&amp;display_string=Audit"}</definedName>
    <definedName name="_1353__FDSAUDITLINK__" localSheetId="1" hidden="1">{"fdsup://Directions/FactSet Auditing Viewer?action=AUDIT_VALUE&amp;DB=129&amp;ID1=61744644&amp;VALUEID=01001&amp;SDATE=200902&amp;PERIODTYPE=QTR_STD&amp;window=popup_no_bar&amp;width=385&amp;height=120&amp;START_MAXIMIZED=FALSE&amp;creator=factset&amp;display_string=Audit"}</definedName>
    <definedName name="_1353__FDSAUDITLINK__" hidden="1">{"fdsup://Directions/FactSet Auditing Viewer?action=AUDIT_VALUE&amp;DB=129&amp;ID1=61744644&amp;VALUEID=01001&amp;SDATE=200902&amp;PERIODTYPE=QTR_STD&amp;window=popup_no_bar&amp;width=385&amp;height=120&amp;START_MAXIMIZED=FALSE&amp;creator=factset&amp;display_string=Audit"}</definedName>
    <definedName name="_1354__FDSAUDITLINK__" localSheetId="1" hidden="1">{"fdsup://Directions/FactSet Auditing Viewer?action=AUDIT_VALUE&amp;DB=129&amp;ID1=61744644&amp;VALUEID=01001&amp;SDATE=201002&amp;PERIODTYPE=QTR_STD&amp;window=popup_no_bar&amp;width=385&amp;height=120&amp;START_MAXIMIZED=FALSE&amp;creator=factset&amp;display_string=Audit"}</definedName>
    <definedName name="_1354__FDSAUDITLINK__" hidden="1">{"fdsup://Directions/FactSet Auditing Viewer?action=AUDIT_VALUE&amp;DB=129&amp;ID1=61744644&amp;VALUEID=01001&amp;SDATE=201002&amp;PERIODTYPE=QTR_STD&amp;window=popup_no_bar&amp;width=385&amp;height=120&amp;START_MAXIMIZED=FALSE&amp;creator=factset&amp;display_string=Audit"}</definedName>
    <definedName name="_1355__FDSAUDITLINK__" localSheetId="1" hidden="1">{"fdsup://Directions/FactSet Auditing Viewer?action=AUDIT_VALUE&amp;DB=129&amp;ID1=56584910&amp;VALUEID=01001&amp;SDATE=200902&amp;PERIODTYPE=QTR_STD&amp;window=popup_no_bar&amp;width=385&amp;height=120&amp;START_MAXIMIZED=FALSE&amp;creator=factset&amp;display_string=Audit"}</definedName>
    <definedName name="_1355__FDSAUDITLINK__" hidden="1">{"fdsup://Directions/FactSet Auditing Viewer?action=AUDIT_VALUE&amp;DB=129&amp;ID1=56584910&amp;VALUEID=01001&amp;SDATE=200902&amp;PERIODTYPE=QTR_STD&amp;window=popup_no_bar&amp;width=385&amp;height=120&amp;START_MAXIMIZED=FALSE&amp;creator=factset&amp;display_string=Audit"}</definedName>
    <definedName name="_1356__FDSAUDITLINK__" localSheetId="1" hidden="1">{"fdsup://Directions/FactSet Auditing Viewer?action=AUDIT_VALUE&amp;DB=129&amp;ID1=56584910&amp;VALUEID=01001&amp;SDATE=201002&amp;PERIODTYPE=QTR_STD&amp;window=popup_no_bar&amp;width=385&amp;height=120&amp;START_MAXIMIZED=FALSE&amp;creator=factset&amp;display_string=Audit"}</definedName>
    <definedName name="_1356__FDSAUDITLINK__" hidden="1">{"fdsup://Directions/FactSet Auditing Viewer?action=AUDIT_VALUE&amp;DB=129&amp;ID1=56584910&amp;VALUEID=01001&amp;SDATE=201002&amp;PERIODTYPE=QTR_STD&amp;window=popup_no_bar&amp;width=385&amp;height=120&amp;START_MAXIMIZED=FALSE&amp;creator=factset&amp;display_string=Audit"}</definedName>
    <definedName name="_1357__FDSAUDITLINK__" localSheetId="1" hidden="1">{"fdsup://Directions/FactSet Auditing Viewer?action=AUDIT_VALUE&amp;DB=129&amp;ID1=58933Y10&amp;VALUEID=01001&amp;SDATE=200902&amp;PERIODTYPE=QTR_STD&amp;window=popup_no_bar&amp;width=385&amp;height=120&amp;START_MAXIMIZED=FALSE&amp;creator=factset&amp;display_string=Audit"}</definedName>
    <definedName name="_1357__FDSAUDITLINK__" hidden="1">{"fdsup://Directions/FactSet Auditing Viewer?action=AUDIT_VALUE&amp;DB=129&amp;ID1=58933Y10&amp;VALUEID=01001&amp;SDATE=200902&amp;PERIODTYPE=QTR_STD&amp;window=popup_no_bar&amp;width=385&amp;height=120&amp;START_MAXIMIZED=FALSE&amp;creator=factset&amp;display_string=Audit"}</definedName>
    <definedName name="_1358__FDSAUDITLINK__" localSheetId="1" hidden="1">{"fdsup://Directions/FactSet Auditing Viewer?action=AUDIT_VALUE&amp;DB=129&amp;ID1=58933Y10&amp;VALUEID=01001&amp;SDATE=201002&amp;PERIODTYPE=QTR_STD&amp;window=popup_no_bar&amp;width=385&amp;height=120&amp;START_MAXIMIZED=FALSE&amp;creator=factset&amp;display_string=Audit"}</definedName>
    <definedName name="_1358__FDSAUDITLINK__" hidden="1">{"fdsup://Directions/FactSet Auditing Viewer?action=AUDIT_VALUE&amp;DB=129&amp;ID1=58933Y10&amp;VALUEID=01001&amp;SDATE=201002&amp;PERIODTYPE=QTR_STD&amp;window=popup_no_bar&amp;width=385&amp;height=120&amp;START_MAXIMIZED=FALSE&amp;creator=factset&amp;display_string=Audit"}</definedName>
    <definedName name="_1359__FDSAUDITLINK__" localSheetId="1" hidden="1">{"fdsup://Directions/FactSet Auditing Viewer?action=AUDIT_VALUE&amp;DB=129&amp;ID1=62007610&amp;VALUEID=01001&amp;SDATE=200902&amp;PERIODTYPE=QTR_STD&amp;window=popup_no_bar&amp;width=385&amp;height=120&amp;START_MAXIMIZED=FALSE&amp;creator=factset&amp;display_string=Audit"}</definedName>
    <definedName name="_1359__FDSAUDITLINK__" hidden="1">{"fdsup://Directions/FactSet Auditing Viewer?action=AUDIT_VALUE&amp;DB=129&amp;ID1=62007610&amp;VALUEID=01001&amp;SDATE=200902&amp;PERIODTYPE=QTR_STD&amp;window=popup_no_bar&amp;width=385&amp;height=120&amp;START_MAXIMIZED=FALSE&amp;creator=factset&amp;display_string=Audit"}</definedName>
    <definedName name="_136__FDSAUDITLINK__" localSheetId="1"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__FDSAUDITLINK__" hidden="1">{"fdsup://directions/FAT Viewer?action=UPDATE&amp;creator=factset&amp;DYN_ARGS=TRUE&amp;DOC_NAME=FAT:FQL_AUDITING_CLIENT_TEMPLATE.FAT&amp;display_string=Audit&amp;VAR:KEY=ZIXEFILOLW&amp;VAR:QUERY=RkZfRUJJVERBX09QRVIoUVRSLDQvMS8yMDEwLDYvMzAvMjAxMCwsLFVTRCk=&amp;WINDOW=FIRST_POPUP&amp;HEIGH","T=450&amp;WIDTH=450&amp;START_MAXIMIZED=FALSE&amp;VAR:CALENDAR=US&amp;VAR:SYMBOL=TE&amp;VAR:INDEX=0"}</definedName>
    <definedName name="_1360__FDSAUDITLINK__" localSheetId="1" hidden="1">{"fdsup://Directions/FactSet Auditing Viewer?action=AUDIT_VALUE&amp;DB=129&amp;ID1=62007610&amp;VALUEID=01001&amp;SDATE=201002&amp;PERIODTYPE=QTR_STD&amp;window=popup_no_bar&amp;width=385&amp;height=120&amp;START_MAXIMIZED=FALSE&amp;creator=factset&amp;display_string=Audit"}</definedName>
    <definedName name="_1360__FDSAUDITLINK__" hidden="1">{"fdsup://Directions/FactSet Auditing Viewer?action=AUDIT_VALUE&amp;DB=129&amp;ID1=62007610&amp;VALUEID=01001&amp;SDATE=201002&amp;PERIODTYPE=QTR_STD&amp;window=popup_no_bar&amp;width=385&amp;height=120&amp;START_MAXIMIZED=FALSE&amp;creator=factset&amp;display_string=Audit"}</definedName>
    <definedName name="_1361__FDSAUDITLINK__" localSheetId="1" hidden="1">{"fdsup://Directions/FactSet Auditing Viewer?action=AUDIT_VALUE&amp;DB=129&amp;ID1=61166W10&amp;VALUEID=01001&amp;SDATE=200903&amp;PERIODTYPE=QTR_STD&amp;window=popup_no_bar&amp;width=385&amp;height=120&amp;START_MAXIMIZED=FALSE&amp;creator=factset&amp;display_string=Audit"}</definedName>
    <definedName name="_1361__FDSAUDITLINK__" hidden="1">{"fdsup://Directions/FactSet Auditing Viewer?action=AUDIT_VALUE&amp;DB=129&amp;ID1=61166W10&amp;VALUEID=01001&amp;SDATE=200903&amp;PERIODTYPE=QTR_STD&amp;window=popup_no_bar&amp;width=385&amp;height=120&amp;START_MAXIMIZED=FALSE&amp;creator=factset&amp;display_string=Audit"}</definedName>
    <definedName name="_1362__FDSAUDITLINK__" localSheetId="1" hidden="1">{"fdsup://Directions/FactSet Auditing Viewer?action=AUDIT_VALUE&amp;DB=129&amp;ID1=61166W10&amp;VALUEID=01001&amp;SDATE=201003&amp;PERIODTYPE=QTR_STD&amp;window=popup_no_bar&amp;width=385&amp;height=120&amp;START_MAXIMIZED=FALSE&amp;creator=factset&amp;display_string=Audit"}</definedName>
    <definedName name="_1362__FDSAUDITLINK__" hidden="1">{"fdsup://Directions/FactSet Auditing Viewer?action=AUDIT_VALUE&amp;DB=129&amp;ID1=61166W10&amp;VALUEID=01001&amp;SDATE=201003&amp;PERIODTYPE=QTR_STD&amp;window=popup_no_bar&amp;width=385&amp;height=120&amp;START_MAXIMIZED=FALSE&amp;creator=factset&amp;display_string=Audit"}</definedName>
    <definedName name="_1363__FDSAUDITLINK__" localSheetId="1" hidden="1">{"fdsup://Directions/FactSet Auditing Viewer?action=AUDIT_VALUE&amp;DB=129&amp;ID1=60855410&amp;VALUEID=01001&amp;SDATE=201004&amp;PERIODTYPE=QTR_STD&amp;window=popup_no_bar&amp;width=385&amp;height=120&amp;START_MAXIMIZED=FALSE&amp;creator=factset&amp;display_string=Audit"}</definedName>
    <definedName name="_1363__FDSAUDITLINK__" hidden="1">{"fdsup://Directions/FactSet Auditing Viewer?action=AUDIT_VALUE&amp;DB=129&amp;ID1=60855410&amp;VALUEID=01001&amp;SDATE=201004&amp;PERIODTYPE=QTR_STD&amp;window=popup_no_bar&amp;width=385&amp;height=120&amp;START_MAXIMIZED=FALSE&amp;creator=factset&amp;display_string=Audit"}</definedName>
    <definedName name="_1364__FDSAUDITLINK__" localSheetId="1" hidden="1">{"fdsup://Directions/FactSet Auditing Viewer?action=AUDIT_VALUE&amp;DB=129&amp;ID1=02209S10&amp;VALUEID=01001&amp;SDATE=200902&amp;PERIODTYPE=QTR_STD&amp;window=popup_no_bar&amp;width=385&amp;height=120&amp;START_MAXIMIZED=FALSE&amp;creator=factset&amp;display_string=Audit"}</definedName>
    <definedName name="_1364__FDSAUDITLINK__" hidden="1">{"fdsup://Directions/FactSet Auditing Viewer?action=AUDIT_VALUE&amp;DB=129&amp;ID1=02209S10&amp;VALUEID=01001&amp;SDATE=200902&amp;PERIODTYPE=QTR_STD&amp;window=popup_no_bar&amp;width=385&amp;height=120&amp;START_MAXIMIZED=FALSE&amp;creator=factset&amp;display_string=Audit"}</definedName>
    <definedName name="_1365__FDSAUDITLINK__" localSheetId="1" hidden="1">{"fdsup://Directions/FactSet Auditing Viewer?action=AUDIT_VALUE&amp;DB=129&amp;ID1=02209S10&amp;VALUEID=01001&amp;SDATE=201002&amp;PERIODTYPE=QTR_STD&amp;window=popup_no_bar&amp;width=385&amp;height=120&amp;START_MAXIMIZED=FALSE&amp;creator=factset&amp;display_string=Audit"}</definedName>
    <definedName name="_1365__FDSAUDITLINK__" hidden="1">{"fdsup://Directions/FactSet Auditing Viewer?action=AUDIT_VALUE&amp;DB=129&amp;ID1=02209S10&amp;VALUEID=01001&amp;SDATE=201002&amp;PERIODTYPE=QTR_STD&amp;window=popup_no_bar&amp;width=385&amp;height=120&amp;START_MAXIMIZED=FALSE&amp;creator=factset&amp;display_string=Audit"}</definedName>
    <definedName name="_1366__FDSAUDITLINK__" localSheetId="1" hidden="1">{"fdsup://Directions/FactSet Auditing Viewer?action=AUDIT_VALUE&amp;DB=129&amp;ID1=88579Y10&amp;VALUEID=01001&amp;SDATE=200902&amp;PERIODTYPE=QTR_STD&amp;window=popup_no_bar&amp;width=385&amp;height=120&amp;START_MAXIMIZED=FALSE&amp;creator=factset&amp;display_string=Audit"}</definedName>
    <definedName name="_1366__FDSAUDITLINK__" hidden="1">{"fdsup://Directions/FactSet Auditing Viewer?action=AUDIT_VALUE&amp;DB=129&amp;ID1=88579Y10&amp;VALUEID=01001&amp;SDATE=200902&amp;PERIODTYPE=QTR_STD&amp;window=popup_no_bar&amp;width=385&amp;height=120&amp;START_MAXIMIZED=FALSE&amp;creator=factset&amp;display_string=Audit"}</definedName>
    <definedName name="_1367__FDSAUDITLINK__" localSheetId="1" hidden="1">{"fdsup://Directions/FactSet Auditing Viewer?action=AUDIT_VALUE&amp;DB=129&amp;ID1=88579Y10&amp;VALUEID=01001&amp;SDATE=201002&amp;PERIODTYPE=QTR_STD&amp;window=popup_no_bar&amp;width=385&amp;height=120&amp;START_MAXIMIZED=FALSE&amp;creator=factset&amp;display_string=Audit"}</definedName>
    <definedName name="_1367__FDSAUDITLINK__" hidden="1">{"fdsup://Directions/FactSet Auditing Viewer?action=AUDIT_VALUE&amp;DB=129&amp;ID1=88579Y10&amp;VALUEID=01001&amp;SDATE=201002&amp;PERIODTYPE=QTR_STD&amp;window=popup_no_bar&amp;width=385&amp;height=120&amp;START_MAXIMIZED=FALSE&amp;creator=factset&amp;display_string=Audit"}</definedName>
    <definedName name="_1368__FDSAUDITLINK__" localSheetId="1" hidden="1">{"fdsup://Directions/FactSet Auditing Viewer?action=AUDIT_VALUE&amp;DB=129&amp;ID1=57174810&amp;VALUEID=01001&amp;SDATE=200902&amp;PERIODTYPE=QTR_STD&amp;window=popup_no_bar&amp;width=385&amp;height=120&amp;START_MAXIMIZED=FALSE&amp;creator=factset&amp;display_string=Audit"}</definedName>
    <definedName name="_1368__FDSAUDITLINK__" hidden="1">{"fdsup://Directions/FactSet Auditing Viewer?action=AUDIT_VALUE&amp;DB=129&amp;ID1=57174810&amp;VALUEID=01001&amp;SDATE=200902&amp;PERIODTYPE=QTR_STD&amp;window=popup_no_bar&amp;width=385&amp;height=120&amp;START_MAXIMIZED=FALSE&amp;creator=factset&amp;display_string=Audit"}</definedName>
    <definedName name="_1369__FDSAUDITLINK__" localSheetId="1" hidden="1">{"fdsup://Directions/FactSet Auditing Viewer?action=AUDIT_VALUE&amp;DB=129&amp;ID1=57174810&amp;VALUEID=01001&amp;SDATE=201002&amp;PERIODTYPE=QTR_STD&amp;window=popup_no_bar&amp;width=385&amp;height=120&amp;START_MAXIMIZED=FALSE&amp;creator=factset&amp;display_string=Audit"}</definedName>
    <definedName name="_1369__FDSAUDITLINK__" hidden="1">{"fdsup://Directions/FactSet Auditing Viewer?action=AUDIT_VALUE&amp;DB=129&amp;ID1=57174810&amp;VALUEID=01001&amp;SDATE=201002&amp;PERIODTYPE=QTR_STD&amp;window=popup_no_bar&amp;width=385&amp;height=120&amp;START_MAXIMIZED=FALSE&amp;creator=factset&amp;display_string=Audit"}</definedName>
    <definedName name="_137__FDSAUDITLINK__" localSheetId="1"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__FDSAUDITLINK__" hidden="1">{"fdsup://directions/FAT Viewer?action=UPDATE&amp;creator=factset&amp;DYN_ARGS=TRUE&amp;DOC_NAME=FAT:FQL_AUDITING_CLIENT_TEMPLATE.FAT&amp;display_string=Audit&amp;VAR:KEY=ROHAZYNUVS&amp;VAR:QUERY=RkZfRUJJVERBX09QRVIoUVRSLDQvMS8yMDA5LDYvMzAvMjAwOSwsLFVTRCk=&amp;WINDOW=FIRST_POPUP&amp;HEIGH","T=450&amp;WIDTH=450&amp;START_MAXIMIZED=FALSE&amp;VAR:CALENDAR=US&amp;VAR:SYMBOL=TDC&amp;VAR:INDEX=0"}</definedName>
    <definedName name="_1370__FDSAUDITLINK__" localSheetId="1" hidden="1">{"fdsup://Directions/FactSet Auditing Viewer?action=AUDIT_VALUE&amp;DB=129&amp;ID1=57978020&amp;VALUEID=01001&amp;SDATE=200902&amp;PERIODTYPE=QTR_STD&amp;window=popup_no_bar&amp;width=385&amp;height=120&amp;START_MAXIMIZED=FALSE&amp;creator=factset&amp;display_string=Audit"}</definedName>
    <definedName name="_1370__FDSAUDITLINK__" hidden="1">{"fdsup://Directions/FactSet Auditing Viewer?action=AUDIT_VALUE&amp;DB=129&amp;ID1=57978020&amp;VALUEID=01001&amp;SDATE=200902&amp;PERIODTYPE=QTR_STD&amp;window=popup_no_bar&amp;width=385&amp;height=120&amp;START_MAXIMIZED=FALSE&amp;creator=factset&amp;display_string=Audit"}</definedName>
    <definedName name="_1371__FDSAUDITLINK__" localSheetId="1" hidden="1">{"fdsup://Directions/FactSet Auditing Viewer?action=AUDIT_VALUE&amp;DB=129&amp;ID1=57978020&amp;VALUEID=01001&amp;SDATE=201002&amp;PERIODTYPE=QTR_STD&amp;window=popup_no_bar&amp;width=385&amp;height=120&amp;START_MAXIMIZED=FALSE&amp;creator=factset&amp;display_string=Audit"}</definedName>
    <definedName name="_1371__FDSAUDITLINK__" hidden="1">{"fdsup://Directions/FactSet Auditing Viewer?action=AUDIT_VALUE&amp;DB=129&amp;ID1=57978020&amp;VALUEID=01001&amp;SDATE=201002&amp;PERIODTYPE=QTR_STD&amp;window=popup_no_bar&amp;width=385&amp;height=120&amp;START_MAXIMIZED=FALSE&amp;creator=factset&amp;display_string=Audit"}</definedName>
    <definedName name="_1372__FDSAUDITLINK__" localSheetId="1" hidden="1">{"fdsup://Directions/FactSet Auditing Viewer?action=AUDIT_VALUE&amp;DB=129&amp;ID1=58283910&amp;VALUEID=01001&amp;SDATE=200902&amp;PERIODTYPE=QTR_STD&amp;window=popup_no_bar&amp;width=385&amp;height=120&amp;START_MAXIMIZED=FALSE&amp;creator=factset&amp;display_string=Audit"}</definedName>
    <definedName name="_1372__FDSAUDITLINK__" hidden="1">{"fdsup://Directions/FactSet Auditing Viewer?action=AUDIT_VALUE&amp;DB=129&amp;ID1=58283910&amp;VALUEID=01001&amp;SDATE=200902&amp;PERIODTYPE=QTR_STD&amp;window=popup_no_bar&amp;width=385&amp;height=120&amp;START_MAXIMIZED=FALSE&amp;creator=factset&amp;display_string=Audit"}</definedName>
    <definedName name="_1373__FDSAUDITLINK__" localSheetId="1" hidden="1">{"fdsup://Directions/FactSet Auditing Viewer?action=AUDIT_VALUE&amp;DB=129&amp;ID1=58283910&amp;VALUEID=01001&amp;SDATE=201002&amp;PERIODTYPE=QTR_STD&amp;window=popup_no_bar&amp;width=385&amp;height=120&amp;START_MAXIMIZED=FALSE&amp;creator=factset&amp;display_string=Audit"}</definedName>
    <definedName name="_1373__FDSAUDITLINK__" hidden="1">{"fdsup://Directions/FactSet Auditing Viewer?action=AUDIT_VALUE&amp;DB=129&amp;ID1=58283910&amp;VALUEID=01001&amp;SDATE=201002&amp;PERIODTYPE=QTR_STD&amp;window=popup_no_bar&amp;width=385&amp;height=120&amp;START_MAXIMIZED=FALSE&amp;creator=factset&amp;display_string=Audit"}</definedName>
    <definedName name="_1374__FDSAUDITLINK__" localSheetId="1" hidden="1">{"fdsup://Directions/FactSet Auditing Viewer?action=AUDIT_VALUE&amp;DB=129&amp;ID1=58405U10&amp;VALUEID=01001&amp;SDATE=200902&amp;PERIODTYPE=QTR_STD&amp;window=popup_no_bar&amp;width=385&amp;height=120&amp;START_MAXIMIZED=FALSE&amp;creator=factset&amp;display_string=Audit"}</definedName>
    <definedName name="_1374__FDSAUDITLINK__" hidden="1">{"fdsup://Directions/FactSet Auditing Viewer?action=AUDIT_VALUE&amp;DB=129&amp;ID1=58405U10&amp;VALUEID=01001&amp;SDATE=200902&amp;PERIODTYPE=QTR_STD&amp;window=popup_no_bar&amp;width=385&amp;height=120&amp;START_MAXIMIZED=FALSE&amp;creator=factset&amp;display_string=Audit"}</definedName>
    <definedName name="_1375__FDSAUDITLINK__" localSheetId="1" hidden="1">{"fdsup://Directions/FactSet Auditing Viewer?action=AUDIT_VALUE&amp;DB=129&amp;ID1=58405U10&amp;VALUEID=01001&amp;SDATE=201002&amp;PERIODTYPE=QTR_STD&amp;window=popup_no_bar&amp;width=385&amp;height=120&amp;START_MAXIMIZED=FALSE&amp;creator=factset&amp;display_string=Audit"}</definedName>
    <definedName name="_1375__FDSAUDITLINK__" hidden="1">{"fdsup://Directions/FactSet Auditing Viewer?action=AUDIT_VALUE&amp;DB=129&amp;ID1=58405U10&amp;VALUEID=01001&amp;SDATE=201002&amp;PERIODTYPE=QTR_STD&amp;window=popup_no_bar&amp;width=385&amp;height=120&amp;START_MAXIMIZED=FALSE&amp;creator=factset&amp;display_string=Audit"}</definedName>
    <definedName name="_1376__FDSAUDITLINK__" localSheetId="1" hidden="1">{"fdsup://Directions/FactSet Auditing Viewer?action=AUDIT_VALUE&amp;DB=129&amp;ID1=58064510&amp;VALUEID=01001&amp;SDATE=200902&amp;PERIODTYPE=QTR_STD&amp;window=popup_no_bar&amp;width=385&amp;height=120&amp;START_MAXIMIZED=FALSE&amp;creator=factset&amp;display_string=Audit"}</definedName>
    <definedName name="_1376__FDSAUDITLINK__" hidden="1">{"fdsup://Directions/FactSet Auditing Viewer?action=AUDIT_VALUE&amp;DB=129&amp;ID1=58064510&amp;VALUEID=01001&amp;SDATE=200902&amp;PERIODTYPE=QTR_STD&amp;window=popup_no_bar&amp;width=385&amp;height=120&amp;START_MAXIMIZED=FALSE&amp;creator=factset&amp;display_string=Audit"}</definedName>
    <definedName name="_1377__FDSAUDITLINK__" localSheetId="1" hidden="1">{"fdsup://Directions/FactSet Auditing Viewer?action=AUDIT_VALUE&amp;DB=129&amp;ID1=58064510&amp;VALUEID=01001&amp;SDATE=201002&amp;PERIODTYPE=QTR_STD&amp;window=popup_no_bar&amp;width=385&amp;height=120&amp;START_MAXIMIZED=FALSE&amp;creator=factset&amp;display_string=Audit"}</definedName>
    <definedName name="_1377__FDSAUDITLINK__" hidden="1">{"fdsup://Directions/FactSet Auditing Viewer?action=AUDIT_VALUE&amp;DB=129&amp;ID1=58064510&amp;VALUEID=01001&amp;SDATE=201002&amp;PERIODTYPE=QTR_STD&amp;window=popup_no_bar&amp;width=385&amp;height=120&amp;START_MAXIMIZED=FALSE&amp;creator=factset&amp;display_string=Audit"}</definedName>
    <definedName name="_1378__FDSAUDITLINK__" localSheetId="1" hidden="1">{"fdsup://Directions/FactSet Auditing Viewer?action=AUDIT_VALUE&amp;DB=129&amp;ID1=57906410&amp;VALUEID=01001&amp;SDATE=200902&amp;PERIODTYPE=QTR_STD&amp;window=popup_no_bar&amp;width=385&amp;height=120&amp;START_MAXIMIZED=FALSE&amp;creator=factset&amp;display_string=Audit"}</definedName>
    <definedName name="_1378__FDSAUDITLINK__" hidden="1">{"fdsup://Directions/FactSet Auditing Viewer?action=AUDIT_VALUE&amp;DB=129&amp;ID1=57906410&amp;VALUEID=01001&amp;SDATE=200902&amp;PERIODTYPE=QTR_STD&amp;window=popup_no_bar&amp;width=385&amp;height=120&amp;START_MAXIMIZED=FALSE&amp;creator=factset&amp;display_string=Audit"}</definedName>
    <definedName name="_1379__FDSAUDITLINK__" localSheetId="1" hidden="1">{"fdsup://Directions/FactSet Auditing Viewer?action=AUDIT_VALUE&amp;DB=129&amp;ID1=57906410&amp;VALUEID=01001&amp;SDATE=201002&amp;PERIODTYPE=QTR_STD&amp;window=popup_no_bar&amp;width=385&amp;height=120&amp;START_MAXIMIZED=FALSE&amp;creator=factset&amp;display_string=Audit"}</definedName>
    <definedName name="_1379__FDSAUDITLINK__" hidden="1">{"fdsup://Directions/FactSet Auditing Viewer?action=AUDIT_VALUE&amp;DB=129&amp;ID1=57906410&amp;VALUEID=01001&amp;SDATE=201002&amp;PERIODTYPE=QTR_STD&amp;window=popup_no_bar&amp;width=385&amp;height=120&amp;START_MAXIMIZED=FALSE&amp;creator=factset&amp;display_string=Audit"}</definedName>
    <definedName name="_138__FDSAUDITLINK__" localSheetId="1"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__FDSAUDITLINK__" hidden="1">{"fdsup://directions/FAT Viewer?action=UPDATE&amp;creator=factset&amp;DYN_ARGS=TRUE&amp;DOC_NAME=FAT:FQL_AUDITING_CLIENT_TEMPLATE.FAT&amp;display_string=Audit&amp;VAR:KEY=LCPULQJAHK&amp;VAR:QUERY=RkZfRUJJVERBX09QRVIoUVRSLDQvMS8yMDEwLDYvMzAvMjAxMCwsLFVTRCk=&amp;WINDOW=FIRST_POPUP&amp;HEIGH","T=450&amp;WIDTH=450&amp;START_MAXIMIZED=FALSE&amp;VAR:CALENDAR=US&amp;VAR:SYMBOL=TDC&amp;VAR:INDEX=0"}</definedName>
    <definedName name="_1380__FDSAUDITLINK__" localSheetId="1" hidden="1">{"fdsup://Directions/FactSet Auditing Viewer?action=AUDIT_VALUE&amp;DB=129&amp;ID1=59156R10&amp;VALUEID=01001&amp;SDATE=200902&amp;PERIODTYPE=QTR_STD&amp;window=popup_no_bar&amp;width=385&amp;height=120&amp;START_MAXIMIZED=FALSE&amp;creator=factset&amp;display_string=Audit"}</definedName>
    <definedName name="_1380__FDSAUDITLINK__" hidden="1">{"fdsup://Directions/FactSet Auditing Viewer?action=AUDIT_VALUE&amp;DB=129&amp;ID1=59156R10&amp;VALUEID=01001&amp;SDATE=200902&amp;PERIODTYPE=QTR_STD&amp;window=popup_no_bar&amp;width=385&amp;height=120&amp;START_MAXIMIZED=FALSE&amp;creator=factset&amp;display_string=Audit"}</definedName>
    <definedName name="_1381__FDSAUDITLINK__" localSheetId="1" hidden="1">{"fdsup://Directions/FactSet Auditing Viewer?action=AUDIT_VALUE&amp;DB=129&amp;ID1=59156R10&amp;VALUEID=01001&amp;SDATE=201002&amp;PERIODTYPE=QTR_STD&amp;window=popup_no_bar&amp;width=385&amp;height=120&amp;START_MAXIMIZED=FALSE&amp;creator=factset&amp;display_string=Audit"}</definedName>
    <definedName name="_1381__FDSAUDITLINK__" hidden="1">{"fdsup://Directions/FactSet Auditing Viewer?action=AUDIT_VALUE&amp;DB=129&amp;ID1=59156R10&amp;VALUEID=01001&amp;SDATE=201002&amp;PERIODTYPE=QTR_STD&amp;window=popup_no_bar&amp;width=385&amp;height=120&amp;START_MAXIMIZED=FALSE&amp;creator=factset&amp;display_string=Audit"}</definedName>
    <definedName name="_1382__FDSAUDITLINK__" localSheetId="1" hidden="1">{"fdsup://Directions/FactSet Auditing Viewer?action=AUDIT_VALUE&amp;DB=129&amp;ID1=57620610&amp;VALUEID=01001&amp;SDATE=201002&amp;PERIODTYPE=QTR_STD&amp;window=popup_no_bar&amp;width=385&amp;height=120&amp;START_MAXIMIZED=FALSE&amp;creator=factset&amp;display_string=Audit"}</definedName>
    <definedName name="_1382__FDSAUDITLINK__" hidden="1">{"fdsup://Directions/FactSet Auditing Viewer?action=AUDIT_VALUE&amp;DB=129&amp;ID1=57620610&amp;VALUEID=01001&amp;SDATE=201002&amp;PERIODTYPE=QTR_STD&amp;window=popup_no_bar&amp;width=385&amp;height=120&amp;START_MAXIMIZED=FALSE&amp;creator=factset&amp;display_string=Audit"}</definedName>
    <definedName name="_1383__FDSAUDITLINK__" localSheetId="1" hidden="1">{"fdsup://Directions/FactSet Auditing Viewer?action=AUDIT_VALUE&amp;DB=129&amp;ID1=58505510&amp;VALUEID=01001&amp;SDATE=200804&amp;PERIODTYPE=QTR_STD&amp;window=popup_no_bar&amp;width=385&amp;height=120&amp;START_MAXIMIZED=FALSE&amp;creator=factset&amp;display_string=Audit"}</definedName>
    <definedName name="_1383__FDSAUDITLINK__" hidden="1">{"fdsup://Directions/FactSet Auditing Viewer?action=AUDIT_VALUE&amp;DB=129&amp;ID1=58505510&amp;VALUEID=01001&amp;SDATE=200804&amp;PERIODTYPE=QTR_STD&amp;window=popup_no_bar&amp;width=385&amp;height=120&amp;START_MAXIMIZED=FALSE&amp;creator=factset&amp;display_string=Audit"}</definedName>
    <definedName name="_1384__FDSAUDITLINK__" localSheetId="1" hidden="1">{"fdsup://Directions/FactSet Auditing Viewer?action=AUDIT_VALUE&amp;DB=129&amp;ID1=58505510&amp;VALUEID=01001&amp;SDATE=200904&amp;PERIODTYPE=QTR_STD&amp;window=popup_no_bar&amp;width=385&amp;height=120&amp;START_MAXIMIZED=FALSE&amp;creator=factset&amp;display_string=Audit"}</definedName>
    <definedName name="_1384__FDSAUDITLINK__" hidden="1">{"fdsup://Directions/FactSet Auditing Viewer?action=AUDIT_VALUE&amp;DB=129&amp;ID1=58505510&amp;VALUEID=01001&amp;SDATE=200904&amp;PERIODTYPE=QTR_STD&amp;window=popup_no_bar&amp;width=385&amp;height=120&amp;START_MAXIMIZED=FALSE&amp;creator=factset&amp;display_string=Audit"}</definedName>
    <definedName name="_1385__FDSAUDITLINK__" localSheetId="1" hidden="1">{"fdsup://Directions/FactSet Auditing Viewer?action=AUDIT_VALUE&amp;DB=129&amp;ID1=58943310&amp;VALUEID=01001&amp;SDATE=200904&amp;PERIODTYPE=QTR_STD&amp;window=popup_no_bar&amp;width=385&amp;height=120&amp;START_MAXIMIZED=FALSE&amp;creator=factset&amp;display_string=Audit"}</definedName>
    <definedName name="_1385__FDSAUDITLINK__" hidden="1">{"fdsup://Directions/FactSet Auditing Viewer?action=AUDIT_VALUE&amp;DB=129&amp;ID1=58943310&amp;VALUEID=01001&amp;SDATE=200904&amp;PERIODTYPE=QTR_STD&amp;window=popup_no_bar&amp;width=385&amp;height=120&amp;START_MAXIMIZED=FALSE&amp;creator=factset&amp;display_string=Audit"}</definedName>
    <definedName name="_1386__FDSAUDITLINK__" localSheetId="1" hidden="1">{"fdsup://Directions/FactSet Auditing Viewer?action=AUDIT_VALUE&amp;DB=129&amp;ID1=58943310&amp;VALUEID=01001&amp;SDATE=201004&amp;PERIODTYPE=QTR_STD&amp;window=popup_no_bar&amp;width=385&amp;height=120&amp;START_MAXIMIZED=FALSE&amp;creator=factset&amp;display_string=Audit"}</definedName>
    <definedName name="_1386__FDSAUDITLINK__" hidden="1">{"fdsup://Directions/FactSet Auditing Viewer?action=AUDIT_VALUE&amp;DB=129&amp;ID1=58943310&amp;VALUEID=01001&amp;SDATE=201004&amp;PERIODTYPE=QTR_STD&amp;window=popup_no_bar&amp;width=385&amp;height=120&amp;START_MAXIMIZED=FALSE&amp;creator=factset&amp;display_string=Audit"}</definedName>
    <definedName name="_1387__FDSAUDITLINK__" localSheetId="1" hidden="1">{"fdsup://Directions/FactSet Auditing Viewer?action=AUDIT_VALUE&amp;DB=129&amp;ID1=61536910&amp;VALUEID=01001&amp;SDATE=200902&amp;PERIODTYPE=QTR_STD&amp;window=popup_no_bar&amp;width=385&amp;height=120&amp;START_MAXIMIZED=FALSE&amp;creator=factset&amp;display_string=Audit"}</definedName>
    <definedName name="_1387__FDSAUDITLINK__" hidden="1">{"fdsup://Directions/FactSet Auditing Viewer?action=AUDIT_VALUE&amp;DB=129&amp;ID1=61536910&amp;VALUEID=01001&amp;SDATE=200902&amp;PERIODTYPE=QTR_STD&amp;window=popup_no_bar&amp;width=385&amp;height=120&amp;START_MAXIMIZED=FALSE&amp;creator=factset&amp;display_string=Audit"}</definedName>
    <definedName name="_1388__FDSAUDITLINK__" localSheetId="1" hidden="1">{"fdsup://Directions/FactSet Auditing Viewer?action=AUDIT_VALUE&amp;DB=129&amp;ID1=61536910&amp;VALUEID=01001&amp;SDATE=201002&amp;PERIODTYPE=QTR_STD&amp;window=popup_no_bar&amp;width=385&amp;height=120&amp;START_MAXIMIZED=FALSE&amp;creator=factset&amp;display_string=Audit"}</definedName>
    <definedName name="_1388__FDSAUDITLINK__" hidden="1">{"fdsup://Directions/FactSet Auditing Viewer?action=AUDIT_VALUE&amp;DB=129&amp;ID1=61536910&amp;VALUEID=01001&amp;SDATE=201002&amp;PERIODTYPE=QTR_STD&amp;window=popup_no_bar&amp;width=385&amp;height=120&amp;START_MAXIMIZED=FALSE&amp;creator=factset&amp;display_string=Audit"}</definedName>
    <definedName name="_1389__FDSAUDITLINK__" localSheetId="1" hidden="1">{"fdsup://Directions/FactSet Auditing Viewer?action=AUDIT_VALUE&amp;DB=129&amp;ID1=58155Q10&amp;VALUEID=01001&amp;SDATE=200901&amp;PERIODTYPE=QTR_STD&amp;window=popup_no_bar&amp;width=385&amp;height=120&amp;START_MAXIMIZED=FALSE&amp;creator=factset&amp;display_string=Audit"}</definedName>
    <definedName name="_1389__FDSAUDITLINK__" hidden="1">{"fdsup://Directions/FactSet Auditing Viewer?action=AUDIT_VALUE&amp;DB=129&amp;ID1=58155Q10&amp;VALUEID=01001&amp;SDATE=200901&amp;PERIODTYPE=QTR_STD&amp;window=popup_no_bar&amp;width=385&amp;height=120&amp;START_MAXIMIZED=FALSE&amp;creator=factset&amp;display_string=Audit"}</definedName>
    <definedName name="_139__FDSAUDITLINK__" localSheetId="1"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__FDSAUDITLINK__" hidden="1">{"fdsup://directions/FAT Viewer?action=UPDATE&amp;creator=factset&amp;DYN_ARGS=TRUE&amp;DOC_NAME=FAT:FQL_AUDITING_CLIENT_TEMPLATE.FAT&amp;display_string=Audit&amp;VAR:KEY=LIZMREJUBM&amp;VAR:QUERY=RkZfRUJJVERBX09QRVIoUVRSLDQvMS8yMDA5LDYvMzAvMjAwOSwsLFVTRCk=&amp;WINDOW=FIRST_POPUP&amp;HEIGH","T=450&amp;WIDTH=450&amp;START_MAXIMIZED=FALSE&amp;VAR:CALENDAR=US&amp;VAR:SYMBOL=TAP&amp;VAR:INDEX=0"}</definedName>
    <definedName name="_1390__FDSAUDITLINK__" localSheetId="1" hidden="1">{"fdsup://Directions/FactSet Auditing Viewer?action=AUDIT_VALUE&amp;DB=129&amp;ID1=58155Q10&amp;VALUEID=01001&amp;SDATE=201001&amp;PERIODTYPE=QTR_STD&amp;window=popup_no_bar&amp;width=385&amp;height=120&amp;START_MAXIMIZED=FALSE&amp;creator=factset&amp;display_string=Audit"}</definedName>
    <definedName name="_1390__FDSAUDITLINK__" hidden="1">{"fdsup://Directions/FactSet Auditing Viewer?action=AUDIT_VALUE&amp;DB=129&amp;ID1=58155Q10&amp;VALUEID=01001&amp;SDATE=201001&amp;PERIODTYPE=QTR_STD&amp;window=popup_no_bar&amp;width=385&amp;height=120&amp;START_MAXIMIZED=FALSE&amp;creator=factset&amp;display_string=Audit"}</definedName>
    <definedName name="_1391__FDSAUDITLINK__" localSheetId="1" hidden="1">{"fdsup://Directions/FactSet Auditing Viewer?action=AUDIT_VALUE&amp;DB=129&amp;ID1=59501710&amp;VALUEID=01001&amp;SDATE=200901&amp;PERIODTYPE=QTR_STD&amp;window=popup_no_bar&amp;width=385&amp;height=120&amp;START_MAXIMIZED=FALSE&amp;creator=factset&amp;display_string=Audit"}</definedName>
    <definedName name="_1391__FDSAUDITLINK__" hidden="1">{"fdsup://Directions/FactSet Auditing Viewer?action=AUDIT_VALUE&amp;DB=129&amp;ID1=59501710&amp;VALUEID=01001&amp;SDATE=200901&amp;PERIODTYPE=QTR_STD&amp;window=popup_no_bar&amp;width=385&amp;height=120&amp;START_MAXIMIZED=FALSE&amp;creator=factset&amp;display_string=Audit"}</definedName>
    <definedName name="_1392__FDSAUDITLINK__" localSheetId="1" hidden="1">{"fdsup://Directions/FactSet Auditing Viewer?action=AUDIT_VALUE&amp;DB=129&amp;ID1=59501710&amp;VALUEID=01001&amp;SDATE=201001&amp;PERIODTYPE=QTR_STD&amp;window=popup_no_bar&amp;width=385&amp;height=120&amp;START_MAXIMIZED=FALSE&amp;creator=factset&amp;display_string=Audit"}</definedName>
    <definedName name="_1392__FDSAUDITLINK__" hidden="1">{"fdsup://Directions/FactSet Auditing Viewer?action=AUDIT_VALUE&amp;DB=129&amp;ID1=59501710&amp;VALUEID=01001&amp;SDATE=201001&amp;PERIODTYPE=QTR_STD&amp;window=popup_no_bar&amp;width=385&amp;height=120&amp;START_MAXIMIZED=FALSE&amp;creator=factset&amp;display_string=Audit"}</definedName>
    <definedName name="_1393__FDSAUDITLINK__" localSheetId="1" hidden="1">{"fdsup://Directions/FactSet Auditing Viewer?action=AUDIT_VALUE&amp;DB=129&amp;ID1=58013510&amp;VALUEID=01001&amp;SDATE=200902&amp;PERIODTYPE=QTR_STD&amp;window=popup_no_bar&amp;width=385&amp;height=120&amp;START_MAXIMIZED=FALSE&amp;creator=factset&amp;display_string=Audit"}</definedName>
    <definedName name="_1393__FDSAUDITLINK__" hidden="1">{"fdsup://Directions/FactSet Auditing Viewer?action=AUDIT_VALUE&amp;DB=129&amp;ID1=58013510&amp;VALUEID=01001&amp;SDATE=200902&amp;PERIODTYPE=QTR_STD&amp;window=popup_no_bar&amp;width=385&amp;height=120&amp;START_MAXIMIZED=FALSE&amp;creator=factset&amp;display_string=Audit"}</definedName>
    <definedName name="_1394__FDSAUDITLINK__" localSheetId="1" hidden="1">{"fdsup://Directions/FactSet Auditing Viewer?action=AUDIT_VALUE&amp;DB=129&amp;ID1=58013510&amp;VALUEID=01001&amp;SDATE=201002&amp;PERIODTYPE=QTR_STD&amp;window=popup_no_bar&amp;width=385&amp;height=120&amp;START_MAXIMIZED=FALSE&amp;creator=factset&amp;display_string=Audit"}</definedName>
    <definedName name="_1394__FDSAUDITLINK__" hidden="1">{"fdsup://Directions/FactSet Auditing Viewer?action=AUDIT_VALUE&amp;DB=129&amp;ID1=58013510&amp;VALUEID=01001&amp;SDATE=201002&amp;PERIODTYPE=QTR_STD&amp;window=popup_no_bar&amp;width=385&amp;height=120&amp;START_MAXIMIZED=FALSE&amp;creator=factset&amp;display_string=Audit"}</definedName>
    <definedName name="_1395__FDSAUDITLINK__" localSheetId="1" hidden="1">{"fdsup://Directions/FactSet Auditing Viewer?action=AUDIT_VALUE&amp;DB=129&amp;ID1=57708110&amp;VALUEID=01001&amp;SDATE=200902&amp;PERIODTYPE=QTR_STD&amp;window=popup_no_bar&amp;width=385&amp;height=120&amp;START_MAXIMIZED=FALSE&amp;creator=factset&amp;display_string=Audit"}</definedName>
    <definedName name="_1395__FDSAUDITLINK__" hidden="1">{"fdsup://Directions/FactSet Auditing Viewer?action=AUDIT_VALUE&amp;DB=129&amp;ID1=57708110&amp;VALUEID=01001&amp;SDATE=200902&amp;PERIODTYPE=QTR_STD&amp;window=popup_no_bar&amp;width=385&amp;height=120&amp;START_MAXIMIZED=FALSE&amp;creator=factset&amp;display_string=Audit"}</definedName>
    <definedName name="_1396__FDSAUDITLINK__" localSheetId="1" hidden="1">{"fdsup://Directions/FactSet Auditing Viewer?action=AUDIT_VALUE&amp;DB=129&amp;ID1=57708110&amp;VALUEID=01001&amp;SDATE=201002&amp;PERIODTYPE=QTR_STD&amp;window=popup_no_bar&amp;width=385&amp;height=120&amp;START_MAXIMIZED=FALSE&amp;creator=factset&amp;display_string=Audit"}</definedName>
    <definedName name="_1396__FDSAUDITLINK__" hidden="1">{"fdsup://Directions/FactSet Auditing Viewer?action=AUDIT_VALUE&amp;DB=129&amp;ID1=57708110&amp;VALUEID=01001&amp;SDATE=201002&amp;PERIODTYPE=QTR_STD&amp;window=popup_no_bar&amp;width=385&amp;height=120&amp;START_MAXIMIZED=FALSE&amp;creator=factset&amp;display_string=Audit"}</definedName>
    <definedName name="_1397__FDSAUDITLINK__" localSheetId="1" hidden="1">{"fdsup://Directions/FactSet Auditing Viewer?action=AUDIT_VALUE&amp;DB=129&amp;ID1=57459910&amp;VALUEID=01001&amp;SDATE=200902&amp;PERIODTYPE=QTR_STD&amp;window=popup_no_bar&amp;width=385&amp;height=120&amp;START_MAXIMIZED=FALSE&amp;creator=factset&amp;display_string=Audit"}</definedName>
    <definedName name="_1397__FDSAUDITLINK__" hidden="1">{"fdsup://Directions/FactSet Auditing Viewer?action=AUDIT_VALUE&amp;DB=129&amp;ID1=57459910&amp;VALUEID=01001&amp;SDATE=200902&amp;PERIODTYPE=QTR_STD&amp;window=popup_no_bar&amp;width=385&amp;height=120&amp;START_MAXIMIZED=FALSE&amp;creator=factset&amp;display_string=Audit"}</definedName>
    <definedName name="_1398__FDSAUDITLINK__" localSheetId="1" hidden="1">{"fdsup://Directions/FactSet Auditing Viewer?action=AUDIT_VALUE&amp;DB=129&amp;ID1=57459910&amp;VALUEID=01001&amp;SDATE=201002&amp;PERIODTYPE=QTR_STD&amp;window=popup_no_bar&amp;width=385&amp;height=120&amp;START_MAXIMIZED=FALSE&amp;creator=factset&amp;display_string=Audit"}</definedName>
    <definedName name="_1398__FDSAUDITLINK__" hidden="1">{"fdsup://Directions/FactSet Auditing Viewer?action=AUDIT_VALUE&amp;DB=129&amp;ID1=57459910&amp;VALUEID=01001&amp;SDATE=201002&amp;PERIODTYPE=QTR_STD&amp;window=popup_no_bar&amp;width=385&amp;height=120&amp;START_MAXIMIZED=FALSE&amp;creator=factset&amp;display_string=Audit"}</definedName>
    <definedName name="_1399__FDSAUDITLINK__" localSheetId="1" hidden="1">{"fdsup://Directions/FactSet Auditing Viewer?action=AUDIT_VALUE&amp;DB=129&amp;ID1=57190320&amp;VALUEID=01001&amp;SDATE=200902&amp;PERIODTYPE=QTR_STD&amp;window=popup_no_bar&amp;width=385&amp;height=120&amp;START_MAXIMIZED=FALSE&amp;creator=factset&amp;display_string=Audit"}</definedName>
    <definedName name="_1399__FDSAUDITLINK__" hidden="1">{"fdsup://Directions/FactSet Auditing Viewer?action=AUDIT_VALUE&amp;DB=129&amp;ID1=57190320&amp;VALUEID=01001&amp;SDATE=200902&amp;PERIODTYPE=QTR_STD&amp;window=popup_no_bar&amp;width=385&amp;height=120&amp;START_MAXIMIZED=FALSE&amp;creator=factset&amp;display_string=Audit"}</definedName>
    <definedName name="_14__FDSAUDITLINK__" localSheetId="1" hidden="1">{"fdsup://directions/FAT Viewer?action=UPDATE&amp;creator=factset&amp;DYN_ARGS=TRUE&amp;DOC_NAME=FAT:FQL_AUDITING_CLIENT_TEMPLATE.FAT&amp;display_string=Audit&amp;VAR:KEY=XMTANELKRK&amp;VAR:QUERY=RkZfRUJJVERBX09QRVIoUVRSLDQvMS8yMDEwLDYvMzAvMjAxMCwsLFVTRCk=&amp;WINDOW=FIRST_POPUP&amp;HEIGH","T=450&amp;WIDTH=450&amp;START_MAXIMIZED=FALSE&amp;VAR:CALENDAR=US&amp;VAR:SYMBOL=XOM&amp;VAR:INDEX=0"}</definedName>
    <definedName name="_14__FDSAUDITLINK__" hidden="1">{"fdsup://directions/FAT Viewer?action=UPDATE&amp;creator=factset&amp;DYN_ARGS=TRUE&amp;DOC_NAME=FAT:FQL_AUDITING_CLIENT_TEMPLATE.FAT&amp;display_string=Audit&amp;VAR:KEY=XMTANELKRK&amp;VAR:QUERY=RkZfRUJJVERBX09QRVIoUVRSLDQvMS8yMDEwLDYvMzAvMjAxMCwsLFVTRCk=&amp;WINDOW=FIRST_POPUP&amp;HEIGH","T=450&amp;WIDTH=450&amp;START_MAXIMIZED=FALSE&amp;VAR:CALENDAR=US&amp;VAR:SYMBOL=XOM&amp;VAR:INDEX=0"}</definedName>
    <definedName name="_140__FDSAUDITLINK__" localSheetId="1"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__FDSAUDITLINK__" hidden="1">{"fdsup://directions/FAT Viewer?action=UPDATE&amp;creator=factset&amp;DYN_ARGS=TRUE&amp;DOC_NAME=FAT:FQL_AUDITING_CLIENT_TEMPLATE.FAT&amp;display_string=Audit&amp;VAR:KEY=RYLOJAFUPY&amp;VAR:QUERY=RkZfRUJJVERBX09QRVIoUVRSLDQvMS8yMDEwLDYvMzAvMjAxMCwsLFVTRCk=&amp;WINDOW=FIRST_POPUP&amp;HEIGH","T=450&amp;WIDTH=450&amp;START_MAXIMIZED=FALSE&amp;VAR:CALENDAR=US&amp;VAR:SYMBOL=TAP&amp;VAR:INDEX=0"}</definedName>
    <definedName name="_1400__FDSAUDITLINK__" localSheetId="1" hidden="1">{"fdsup://Directions/FactSet Auditing Viewer?action=AUDIT_VALUE&amp;DB=129&amp;ID1=57190320&amp;VALUEID=01001&amp;SDATE=201002&amp;PERIODTYPE=QTR_STD&amp;window=popup_no_bar&amp;width=385&amp;height=120&amp;START_MAXIMIZED=FALSE&amp;creator=factset&amp;display_string=Audit"}</definedName>
    <definedName name="_1400__FDSAUDITLINK__" hidden="1">{"fdsup://Directions/FactSet Auditing Viewer?action=AUDIT_VALUE&amp;DB=129&amp;ID1=57190320&amp;VALUEID=01001&amp;SDATE=201002&amp;PERIODTYPE=QTR_STD&amp;window=popup_no_bar&amp;width=385&amp;height=120&amp;START_MAXIMIZED=FALSE&amp;creator=factset&amp;display_string=Audit"}</definedName>
    <definedName name="_1401__FDSAUDITLINK__" localSheetId="1" hidden="1">{"fdsup://Directions/FactSet Auditing Viewer?action=AUDIT_VALUE&amp;DB=129&amp;ID1=57636Q10&amp;VALUEID=01001&amp;SDATE=200902&amp;PERIODTYPE=QTR_STD&amp;window=popup_no_bar&amp;width=385&amp;height=120&amp;START_MAXIMIZED=FALSE&amp;creator=factset&amp;display_string=Audit"}</definedName>
    <definedName name="_1401__FDSAUDITLINK__" hidden="1">{"fdsup://Directions/FactSet Auditing Viewer?action=AUDIT_VALUE&amp;DB=129&amp;ID1=57636Q10&amp;VALUEID=01001&amp;SDATE=200902&amp;PERIODTYPE=QTR_STD&amp;window=popup_no_bar&amp;width=385&amp;height=120&amp;START_MAXIMIZED=FALSE&amp;creator=factset&amp;display_string=Audit"}</definedName>
    <definedName name="_1402__FDSAUDITLINK__" localSheetId="1" hidden="1">{"fdsup://Directions/FactSet Auditing Viewer?action=AUDIT_VALUE&amp;DB=129&amp;ID1=57636Q10&amp;VALUEID=01001&amp;SDATE=201002&amp;PERIODTYPE=QTR_STD&amp;window=popup_no_bar&amp;width=385&amp;height=120&amp;START_MAXIMIZED=FALSE&amp;creator=factset&amp;display_string=Audit"}</definedName>
    <definedName name="_1402__FDSAUDITLINK__" hidden="1">{"fdsup://Directions/FactSet Auditing Viewer?action=AUDIT_VALUE&amp;DB=129&amp;ID1=57636Q10&amp;VALUEID=01001&amp;SDATE=201002&amp;PERIODTYPE=QTR_STD&amp;window=popup_no_bar&amp;width=385&amp;height=120&amp;START_MAXIMIZED=FALSE&amp;creator=factset&amp;display_string=Audit"}</definedName>
    <definedName name="_1403__FDSAUDITLINK__" localSheetId="1" hidden="1">{"fdsup://Directions/FactSet Auditing Viewer?action=AUDIT_VALUE&amp;DB=129&amp;ID1=55616P10&amp;VALUEID=01001&amp;SDATE=200901&amp;PERIODTYPE=QTR_STD&amp;window=popup_no_bar&amp;width=385&amp;height=120&amp;START_MAXIMIZED=FALSE&amp;creator=factset&amp;display_string=Audit"}</definedName>
    <definedName name="_1403__FDSAUDITLINK__" hidden="1">{"fdsup://Directions/FactSet Auditing Viewer?action=AUDIT_VALUE&amp;DB=129&amp;ID1=55616P10&amp;VALUEID=01001&amp;SDATE=200901&amp;PERIODTYPE=QTR_STD&amp;window=popup_no_bar&amp;width=385&amp;height=120&amp;START_MAXIMIZED=FALSE&amp;creator=factset&amp;display_string=Audit"}</definedName>
    <definedName name="_1404__FDSAUDITLINK__" localSheetId="1" hidden="1">{"fdsup://Directions/FactSet Auditing Viewer?action=AUDIT_VALUE&amp;DB=129&amp;ID1=55616P10&amp;VALUEID=01001&amp;SDATE=201001&amp;PERIODTYPE=QTR_STD&amp;window=popup_no_bar&amp;width=385&amp;height=120&amp;START_MAXIMIZED=FALSE&amp;creator=factset&amp;display_string=Audit"}</definedName>
    <definedName name="_1404__FDSAUDITLINK__" hidden="1">{"fdsup://Directions/FactSet Auditing Viewer?action=AUDIT_VALUE&amp;DB=129&amp;ID1=55616P10&amp;VALUEID=01001&amp;SDATE=201001&amp;PERIODTYPE=QTR_STD&amp;window=popup_no_bar&amp;width=385&amp;height=120&amp;START_MAXIMIZED=FALSE&amp;creator=factset&amp;display_string=Audit"}</definedName>
    <definedName name="_1405__FDSAUDITLINK__" localSheetId="1" hidden="1">{"fdsup://Directions/FactSet Auditing Viewer?action=AUDIT_VALUE&amp;DB=129&amp;ID1=52977110&amp;VALUEID=01001&amp;SDATE=201002&amp;PERIODTYPE=QTR_STD&amp;window=popup_no_bar&amp;width=385&amp;height=120&amp;START_MAXIMIZED=FALSE&amp;creator=factset&amp;display_string=Audit"}</definedName>
    <definedName name="_1405__FDSAUDITLINK__" hidden="1">{"fdsup://Directions/FactSet Auditing Viewer?action=AUDIT_VALUE&amp;DB=129&amp;ID1=52977110&amp;VALUEID=01001&amp;SDATE=201002&amp;PERIODTYPE=QTR_STD&amp;window=popup_no_bar&amp;width=385&amp;height=120&amp;START_MAXIMIZED=FALSE&amp;creator=factset&amp;display_string=Audit"}</definedName>
    <definedName name="_1406__FDSAUDITLINK__" localSheetId="1" hidden="1">{"fdsup://Directions/FactSet Auditing Viewer?action=AUDIT_VALUE&amp;DB=129&amp;ID1=84474110&amp;VALUEID=01001&amp;SDATE=200902&amp;PERIODTYPE=QTR_STD&amp;window=popup_no_bar&amp;width=385&amp;height=120&amp;START_MAXIMIZED=FALSE&amp;creator=factset&amp;display_string=Audit"}</definedName>
    <definedName name="_1406__FDSAUDITLINK__" hidden="1">{"fdsup://Directions/FactSet Auditing Viewer?action=AUDIT_VALUE&amp;DB=129&amp;ID1=84474110&amp;VALUEID=01001&amp;SDATE=200902&amp;PERIODTYPE=QTR_STD&amp;window=popup_no_bar&amp;width=385&amp;height=120&amp;START_MAXIMIZED=FALSE&amp;creator=factset&amp;display_string=Audit"}</definedName>
    <definedName name="_1407__FDSAUDITLINK__" localSheetId="1" hidden="1">{"fdsup://Directions/FactSet Auditing Viewer?action=AUDIT_VALUE&amp;DB=129&amp;ID1=84474110&amp;VALUEID=01001&amp;SDATE=201002&amp;PERIODTYPE=QTR_STD&amp;window=popup_no_bar&amp;width=385&amp;height=120&amp;START_MAXIMIZED=FALSE&amp;creator=factset&amp;display_string=Audit"}</definedName>
    <definedName name="_1407__FDSAUDITLINK__" hidden="1">{"fdsup://Directions/FactSet Auditing Viewer?action=AUDIT_VALUE&amp;DB=129&amp;ID1=84474110&amp;VALUEID=01001&amp;SDATE=201002&amp;PERIODTYPE=QTR_STD&amp;window=popup_no_bar&amp;width=385&amp;height=120&amp;START_MAXIMIZED=FALSE&amp;creator=factset&amp;display_string=Audit"}</definedName>
    <definedName name="_1408__FDSAUDITLINK__" localSheetId="1" hidden="1">{"fdsup://Directions/FactSet Auditing Viewer?action=AUDIT_VALUE&amp;DB=129&amp;ID1=52728810&amp;VALUEID=01001&amp;SDATE=200902&amp;PERIODTYPE=QTR_STD&amp;window=popup_no_bar&amp;width=385&amp;height=120&amp;START_MAXIMIZED=FALSE&amp;creator=factset&amp;display_string=Audit"}</definedName>
    <definedName name="_1408__FDSAUDITLINK__" hidden="1">{"fdsup://Directions/FactSet Auditing Viewer?action=AUDIT_VALUE&amp;DB=129&amp;ID1=52728810&amp;VALUEID=01001&amp;SDATE=200902&amp;PERIODTYPE=QTR_STD&amp;window=popup_no_bar&amp;width=385&amp;height=120&amp;START_MAXIMIZED=FALSE&amp;creator=factset&amp;display_string=Audit"}</definedName>
    <definedName name="_1409__FDSAUDITLINK__" localSheetId="1" hidden="1">{"fdsup://Directions/FactSet Auditing Viewer?action=AUDIT_VALUE&amp;DB=129&amp;ID1=52728810&amp;VALUEID=01001&amp;SDATE=201002&amp;PERIODTYPE=QTR_STD&amp;window=popup_no_bar&amp;width=385&amp;height=120&amp;START_MAXIMIZED=FALSE&amp;creator=factset&amp;display_string=Audit"}</definedName>
    <definedName name="_1409__FDSAUDITLINK__" hidden="1">{"fdsup://Directions/FactSet Auditing Viewer?action=AUDIT_VALUE&amp;DB=129&amp;ID1=52728810&amp;VALUEID=01001&amp;SDATE=201002&amp;PERIODTYPE=QTR_STD&amp;window=popup_no_bar&amp;width=385&amp;height=120&amp;START_MAXIMIZED=FALSE&amp;creator=factset&amp;display_string=Audit"}</definedName>
    <definedName name="_141__FDSAUDITLINK__" localSheetId="1"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__FDSAUDITLINK__" hidden="1">{"fdsup://directions/FAT Viewer?action=UPDATE&amp;creator=factset&amp;DYN_ARGS=TRUE&amp;DOC_NAME=FAT:FQL_AUDITING_CLIENT_TEMPLATE.FAT&amp;display_string=Audit&amp;VAR:KEY=RCVENYPMFS&amp;VAR:QUERY=RkZfRUJJVERBX09QRVIoUVRSLDQvMS8yMDA5LDYvMzAvMjAwOSwsLFVTRCk=&amp;WINDOW=FIRST_POPUP&amp;HEIGH","T=450&amp;WIDTH=450&amp;START_MAXIMIZED=FALSE&amp;VAR:CALENDAR=US&amp;VAR:SYMBOL=T&amp;VAR:INDEX=0"}</definedName>
    <definedName name="_1410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141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411__FDSAUDITLINK__" localSheetId="1" hidden="1">{"fdsup://Directions/FactSet Auditing Viewer?action=AUDIT_VALUE&amp;DB=129&amp;ID1=50216110&amp;VALUEID=01001&amp;SDATE=200902&amp;PERIODTYPE=QTR_STD&amp;window=popup_no_bar&amp;width=385&amp;height=120&amp;START_MAXIMIZED=FALSE&amp;creator=factset&amp;display_string=Audit"}</definedName>
    <definedName name="_1411__FDSAUDITLINK__" hidden="1">{"fdsup://Directions/FactSet Auditing Viewer?action=AUDIT_VALUE&amp;DB=129&amp;ID1=50216110&amp;VALUEID=01001&amp;SDATE=200902&amp;PERIODTYPE=QTR_STD&amp;window=popup_no_bar&amp;width=385&amp;height=120&amp;START_MAXIMIZED=FALSE&amp;creator=factset&amp;display_string=Audit"}</definedName>
    <definedName name="_1412__FDSAUDITLINK__" localSheetId="1" hidden="1">{"fdsup://Directions/FactSet Auditing Viewer?action=AUDIT_VALUE&amp;DB=129&amp;ID1=50216110&amp;VALUEID=01001&amp;SDATE=201002&amp;PERIODTYPE=QTR_STD&amp;window=popup_no_bar&amp;width=385&amp;height=120&amp;START_MAXIMIZED=FALSE&amp;creator=factset&amp;display_string=Audit"}</definedName>
    <definedName name="_1412__FDSAUDITLINK__" hidden="1">{"fdsup://Directions/FactSet Auditing Viewer?action=AUDIT_VALUE&amp;DB=129&amp;ID1=50216110&amp;VALUEID=01001&amp;SDATE=201002&amp;PERIODTYPE=QTR_STD&amp;window=popup_no_bar&amp;width=385&amp;height=120&amp;START_MAXIMIZED=FALSE&amp;creator=factset&amp;display_string=Audit"}</definedName>
    <definedName name="_1413__FDSAUDITLINK__" localSheetId="1" hidden="1">{"fdsup://Directions/FactSet Auditing Viewer?action=AUDIT_VALUE&amp;DB=129&amp;ID1=54414710&amp;VALUEID=01001&amp;SDATE=200902&amp;PERIODTYPE=QTR_STD&amp;window=popup_no_bar&amp;width=385&amp;height=120&amp;START_MAXIMIZED=FALSE&amp;creator=factset&amp;display_string=Audit"}</definedName>
    <definedName name="_1413__FDSAUDITLINK__" hidden="1">{"fdsup://Directions/FactSet Auditing Viewer?action=AUDIT_VALUE&amp;DB=129&amp;ID1=54414710&amp;VALUEID=01001&amp;SDATE=200902&amp;PERIODTYPE=QTR_STD&amp;window=popup_no_bar&amp;width=385&amp;height=120&amp;START_MAXIMIZED=FALSE&amp;creator=factset&amp;display_string=Audit"}</definedName>
    <definedName name="_1414__FDSAUDITLINK__" localSheetId="1" hidden="1">{"fdsup://Directions/FactSet Auditing Viewer?action=AUDIT_VALUE&amp;DB=129&amp;ID1=54414710&amp;VALUEID=01001&amp;SDATE=201002&amp;PERIODTYPE=QTR_STD&amp;window=popup_no_bar&amp;width=385&amp;height=120&amp;START_MAXIMIZED=FALSE&amp;creator=factset&amp;display_string=Audit"}</definedName>
    <definedName name="_1414__FDSAUDITLINK__" hidden="1">{"fdsup://Directions/FactSet Auditing Viewer?action=AUDIT_VALUE&amp;DB=129&amp;ID1=54414710&amp;VALUEID=01001&amp;SDATE=201002&amp;PERIODTYPE=QTR_STD&amp;window=popup_no_bar&amp;width=385&amp;height=120&amp;START_MAXIMIZED=FALSE&amp;creator=factset&amp;display_string=Audit"}</definedName>
    <definedName name="_1415__FDSAUDITLINK__" localSheetId="1" hidden="1">{"fdsup://Directions/FactSet Auditing Viewer?action=AUDIT_VALUE&amp;DB=129&amp;ID1=53418710&amp;VALUEID=01001&amp;SDATE=200902&amp;PERIODTYPE=QTR_STD&amp;window=popup_no_bar&amp;width=385&amp;height=120&amp;START_MAXIMIZED=FALSE&amp;creator=factset&amp;display_string=Audit"}</definedName>
    <definedName name="_1415__FDSAUDITLINK__" hidden="1">{"fdsup://Directions/FactSet Auditing Viewer?action=AUDIT_VALUE&amp;DB=129&amp;ID1=53418710&amp;VALUEID=01001&amp;SDATE=200902&amp;PERIODTYPE=QTR_STD&amp;window=popup_no_bar&amp;width=385&amp;height=120&amp;START_MAXIMIZED=FALSE&amp;creator=factset&amp;display_string=Audit"}</definedName>
    <definedName name="_1416__FDSAUDITLINK__" localSheetId="1" hidden="1">{"fdsup://Directions/FactSet Auditing Viewer?action=AUDIT_VALUE&amp;DB=129&amp;ID1=53418710&amp;VALUEID=01001&amp;SDATE=201002&amp;PERIODTYPE=QTR_STD&amp;window=popup_no_bar&amp;width=385&amp;height=120&amp;START_MAXIMIZED=FALSE&amp;creator=factset&amp;display_string=Audit"}</definedName>
    <definedName name="_1416__FDSAUDITLINK__" hidden="1">{"fdsup://Directions/FactSet Auditing Viewer?action=AUDIT_VALUE&amp;DB=129&amp;ID1=53418710&amp;VALUEID=01001&amp;SDATE=201002&amp;PERIODTYPE=QTR_STD&amp;window=popup_no_bar&amp;width=385&amp;height=120&amp;START_MAXIMIZED=FALSE&amp;creator=factset&amp;display_string=Audit"}</definedName>
    <definedName name="_1417__FDSAUDITLINK__" localSheetId="1" hidden="1">{"fdsup://Directions/FactSet Auditing Viewer?action=AUDIT_VALUE&amp;DB=129&amp;ID1=53983010&amp;VALUEID=01001&amp;SDATE=200902&amp;PERIODTYPE=QTR_STD&amp;window=popup_no_bar&amp;width=385&amp;height=120&amp;START_MAXIMIZED=FALSE&amp;creator=factset&amp;display_string=Audit"}</definedName>
    <definedName name="_1417__FDSAUDITLINK__" hidden="1">{"fdsup://Directions/FactSet Auditing Viewer?action=AUDIT_VALUE&amp;DB=129&amp;ID1=53983010&amp;VALUEID=01001&amp;SDATE=200902&amp;PERIODTYPE=QTR_STD&amp;window=popup_no_bar&amp;width=385&amp;height=120&amp;START_MAXIMIZED=FALSE&amp;creator=factset&amp;display_string=Audit"}</definedName>
    <definedName name="_1418__FDSAUDITLINK__" localSheetId="1" hidden="1">{"fdsup://Directions/FactSet Auditing Viewer?action=AUDIT_VALUE&amp;DB=129&amp;ID1=53983010&amp;VALUEID=01001&amp;SDATE=201002&amp;PERIODTYPE=QTR_STD&amp;window=popup_no_bar&amp;width=385&amp;height=120&amp;START_MAXIMIZED=FALSE&amp;creator=factset&amp;display_string=Audit"}</definedName>
    <definedName name="_1418__FDSAUDITLINK__" hidden="1">{"fdsup://Directions/FactSet Auditing Viewer?action=AUDIT_VALUE&amp;DB=129&amp;ID1=53983010&amp;VALUEID=01001&amp;SDATE=201002&amp;PERIODTYPE=QTR_STD&amp;window=popup_no_bar&amp;width=385&amp;height=120&amp;START_MAXIMIZED=FALSE&amp;creator=factset&amp;display_string=Audit"}</definedName>
    <definedName name="_1419__FDSAUDITLINK__" localSheetId="1" hidden="1">{"fdsup://Directions/FactSet Auditing Viewer?action=AUDIT_VALUE&amp;DB=129&amp;ID1=52490110&amp;VALUEID=01001&amp;SDATE=200901&amp;PERIODTYPE=QTR_STD&amp;window=popup_no_bar&amp;width=385&amp;height=120&amp;START_MAXIMIZED=FALSE&amp;creator=factset&amp;display_string=Audit"}</definedName>
    <definedName name="_1419__FDSAUDITLINK__" hidden="1">{"fdsup://Directions/FactSet Auditing Viewer?action=AUDIT_VALUE&amp;DB=129&amp;ID1=52490110&amp;VALUEID=01001&amp;SDATE=200901&amp;PERIODTYPE=QTR_STD&amp;window=popup_no_bar&amp;width=385&amp;height=120&amp;START_MAXIMIZED=FALSE&amp;creator=factset&amp;display_string=Audit"}</definedName>
    <definedName name="_142__FDSAUDITLINK__" localSheetId="1"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__FDSAUDITLINK__" hidden="1">{"fdsup://directions/FAT Viewer?action=UPDATE&amp;creator=factset&amp;DYN_ARGS=TRUE&amp;DOC_NAME=FAT:FQL_AUDITING_CLIENT_TEMPLATE.FAT&amp;display_string=Audit&amp;VAR:KEY=PGZCPMXMVK&amp;VAR:QUERY=RkZfRUJJVERBX09QRVIoUVRSLDQvMS8yMDEwLDYvMzAvMjAxMCwsLFVTRCk=&amp;WINDOW=FIRST_POPUP&amp;HEIGH","T=450&amp;WIDTH=450&amp;START_MAXIMIZED=FALSE&amp;VAR:CALENDAR=US&amp;VAR:SYMBOL=T&amp;VAR:INDEX=0"}</definedName>
    <definedName name="_1420__FDSAUDITLINK__" localSheetId="1" hidden="1">{"fdsup://Directions/FactSet Auditing Viewer?action=AUDIT_VALUE&amp;DB=129&amp;ID1=52490110&amp;VALUEID=01001&amp;SDATE=201001&amp;PERIODTYPE=QTR_STD&amp;window=popup_no_bar&amp;width=385&amp;height=120&amp;START_MAXIMIZED=FALSE&amp;creator=factset&amp;display_string=Audit"}</definedName>
    <definedName name="_1420__FDSAUDITLINK__" hidden="1">{"fdsup://Directions/FactSet Auditing Viewer?action=AUDIT_VALUE&amp;DB=129&amp;ID1=52490110&amp;VALUEID=01001&amp;SDATE=201001&amp;PERIODTYPE=QTR_STD&amp;window=popup_no_bar&amp;width=385&amp;height=120&amp;START_MAXIMIZED=FALSE&amp;creator=factset&amp;display_string=Audit"}</definedName>
    <definedName name="_1421__FDSAUDITLINK__" localSheetId="1" hidden="1">{"fdsup://Directions/FactSet Auditing Viewer?action=AUDIT_VALUE&amp;DB=129&amp;ID1=53245710&amp;VALUEID=01001&amp;SDATE=200902&amp;PERIODTYPE=QTR_STD&amp;window=popup_no_bar&amp;width=385&amp;height=120&amp;START_MAXIMIZED=FALSE&amp;creator=factset&amp;display_string=Audit"}</definedName>
    <definedName name="_1421__FDSAUDITLINK__" hidden="1">{"fdsup://Directions/FactSet Auditing Viewer?action=AUDIT_VALUE&amp;DB=129&amp;ID1=53245710&amp;VALUEID=01001&amp;SDATE=200902&amp;PERIODTYPE=QTR_STD&amp;window=popup_no_bar&amp;width=385&amp;height=120&amp;START_MAXIMIZED=FALSE&amp;creator=factset&amp;display_string=Audit"}</definedName>
    <definedName name="_1422__FDSAUDITLINK__" localSheetId="1" hidden="1">{"fdsup://Directions/FactSet Auditing Viewer?action=AUDIT_VALUE&amp;DB=129&amp;ID1=53245710&amp;VALUEID=01001&amp;SDATE=201002&amp;PERIODTYPE=QTR_STD&amp;window=popup_no_bar&amp;width=385&amp;height=120&amp;START_MAXIMIZED=FALSE&amp;creator=factset&amp;display_string=Audit"}</definedName>
    <definedName name="_1422__FDSAUDITLINK__" hidden="1">{"fdsup://Directions/FactSet Auditing Viewer?action=AUDIT_VALUE&amp;DB=129&amp;ID1=53245710&amp;VALUEID=01001&amp;SDATE=201002&amp;PERIODTYPE=QTR_STD&amp;window=popup_no_bar&amp;width=385&amp;height=120&amp;START_MAXIMIZED=FALSE&amp;creator=factset&amp;display_string=Audit"}</definedName>
    <definedName name="_1423__FDSAUDITLINK__" localSheetId="1" hidden="1">{"fdsup://Directions/FactSet Auditing Viewer?action=AUDIT_VALUE&amp;DB=129&amp;ID1=53567810&amp;VALUEID=01001&amp;SDATE=201004&amp;PERIODTYPE=QTR_STD&amp;window=popup_no_bar&amp;width=385&amp;height=120&amp;START_MAXIMIZED=FALSE&amp;creator=factset&amp;display_string=Audit"}</definedName>
    <definedName name="_1423__FDSAUDITLINK__" hidden="1">{"fdsup://Directions/FactSet Auditing Viewer?action=AUDIT_VALUE&amp;DB=129&amp;ID1=53567810&amp;VALUEID=01001&amp;SDATE=201004&amp;PERIODTYPE=QTR_STD&amp;window=popup_no_bar&amp;width=385&amp;height=120&amp;START_MAXIMIZED=FALSE&amp;creator=factset&amp;display_string=Audit"}</definedName>
    <definedName name="_1424__FDSAUDITLINK__" localSheetId="1" hidden="1">{"fdsup://Directions/FactSet Auditing Viewer?action=AUDIT_VALUE&amp;DB=129&amp;ID1=50242410&amp;VALUEID=01001&amp;SDATE=200902&amp;PERIODTYPE=QTR_STD&amp;window=popup_no_bar&amp;width=385&amp;height=120&amp;START_MAXIMIZED=FALSE&amp;creator=factset&amp;display_string=Audit"}</definedName>
    <definedName name="_1424__FDSAUDITLINK__" hidden="1">{"fdsup://Directions/FactSet Auditing Viewer?action=AUDIT_VALUE&amp;DB=129&amp;ID1=50242410&amp;VALUEID=01001&amp;SDATE=200902&amp;PERIODTYPE=QTR_STD&amp;window=popup_no_bar&amp;width=385&amp;height=120&amp;START_MAXIMIZED=FALSE&amp;creator=factset&amp;display_string=Audit"}</definedName>
    <definedName name="_1425__FDSAUDITLINK__" localSheetId="1" hidden="1">{"fdsup://Directions/FactSet Auditing Viewer?action=AUDIT_VALUE&amp;DB=129&amp;ID1=50242410&amp;VALUEID=01001&amp;SDATE=201002&amp;PERIODTYPE=QTR_STD&amp;window=popup_no_bar&amp;width=385&amp;height=120&amp;START_MAXIMIZED=FALSE&amp;creator=factset&amp;display_string=Audit"}</definedName>
    <definedName name="_1425__FDSAUDITLINK__" hidden="1">{"fdsup://Directions/FactSet Auditing Viewer?action=AUDIT_VALUE&amp;DB=129&amp;ID1=50242410&amp;VALUEID=01001&amp;SDATE=201002&amp;PERIODTYPE=QTR_STD&amp;window=popup_no_bar&amp;width=385&amp;height=120&amp;START_MAXIMIZED=FALSE&amp;creator=factset&amp;display_string=Audit"}</definedName>
    <definedName name="_1426__FDSAUDITLINK__" localSheetId="1" hidden="1">{"fdsup://Directions/FactSet Auditing Viewer?action=AUDIT_VALUE&amp;DB=129&amp;ID1=53217V10&amp;VALUEID=01001&amp;SDATE=200902&amp;PERIODTYPE=QTR_STD&amp;window=popup_no_bar&amp;width=385&amp;height=120&amp;START_MAXIMIZED=FALSE&amp;creator=factset&amp;display_string=Audit"}</definedName>
    <definedName name="_1426__FDSAUDITLINK__" hidden="1">{"fdsup://Directions/FactSet Auditing Viewer?action=AUDIT_VALUE&amp;DB=129&amp;ID1=53217V10&amp;VALUEID=01001&amp;SDATE=200902&amp;PERIODTYPE=QTR_STD&amp;window=popup_no_bar&amp;width=385&amp;height=120&amp;START_MAXIMIZED=FALSE&amp;creator=factset&amp;display_string=Audit"}</definedName>
    <definedName name="_1427__FDSAUDITLINK__" localSheetId="1" hidden="1">{"fdsup://Directions/FactSet Auditing Viewer?action=AUDIT_VALUE&amp;DB=129&amp;ID1=53217V10&amp;VALUEID=01001&amp;SDATE=201002&amp;PERIODTYPE=QTR_STD&amp;window=popup_no_bar&amp;width=385&amp;height=120&amp;START_MAXIMIZED=FALSE&amp;creator=factset&amp;display_string=Audit"}</definedName>
    <definedName name="_1427__FDSAUDITLINK__" hidden="1">{"fdsup://Directions/FactSet Auditing Viewer?action=AUDIT_VALUE&amp;DB=129&amp;ID1=53217V10&amp;VALUEID=01001&amp;SDATE=201002&amp;PERIODTYPE=QTR_STD&amp;window=popup_no_bar&amp;width=385&amp;height=120&amp;START_MAXIMIZED=FALSE&amp;creator=factset&amp;display_string=Audit"}</definedName>
    <definedName name="_1428__FDSAUDITLINK__" localSheetId="1" hidden="1">{"fdsup://Directions/FactSet Auditing Viewer?action=AUDIT_VALUE&amp;DB=129&amp;ID1=50540R40&amp;VALUEID=01001&amp;SDATE=200902&amp;PERIODTYPE=QTR_STD&amp;window=popup_no_bar&amp;width=385&amp;height=120&amp;START_MAXIMIZED=FALSE&amp;creator=factset&amp;display_string=Audit"}</definedName>
    <definedName name="_1428__FDSAUDITLINK__" hidden="1">{"fdsup://Directions/FactSet Auditing Viewer?action=AUDIT_VALUE&amp;DB=129&amp;ID1=50540R40&amp;VALUEID=01001&amp;SDATE=200902&amp;PERIODTYPE=QTR_STD&amp;window=popup_no_bar&amp;width=385&amp;height=120&amp;START_MAXIMIZED=FALSE&amp;creator=factset&amp;display_string=Audit"}</definedName>
    <definedName name="_1429__FDSAUDITLINK__" localSheetId="1" hidden="1">{"fdsup://Directions/FactSet Auditing Viewer?action=AUDIT_VALUE&amp;DB=129&amp;ID1=50540R40&amp;VALUEID=01001&amp;SDATE=201002&amp;PERIODTYPE=QTR_STD&amp;window=popup_no_bar&amp;width=385&amp;height=120&amp;START_MAXIMIZED=FALSE&amp;creator=factset&amp;display_string=Audit"}</definedName>
    <definedName name="_1429__FDSAUDITLINK__" hidden="1">{"fdsup://Directions/FactSet Auditing Viewer?action=AUDIT_VALUE&amp;DB=129&amp;ID1=50540R40&amp;VALUEID=01001&amp;SDATE=201002&amp;PERIODTYPE=QTR_STD&amp;window=popup_no_bar&amp;width=385&amp;height=120&amp;START_MAXIMIZED=FALSE&amp;creator=factset&amp;display_string=Audit"}</definedName>
    <definedName name="_143__FDSAUDITLINK__" localSheetId="1"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__FDSAUDITLINK__" hidden="1">{"fdsup://directions/FAT Viewer?action=UPDATE&amp;creator=factset&amp;DYN_ARGS=TRUE&amp;DOC_NAME=FAT:FQL_AUDITING_CLIENT_TEMPLATE.FAT&amp;display_string=Audit&amp;VAR:KEY=JKHUVWRMBO&amp;VAR:QUERY=RkZfRUJJVERBX09QRVIoUVRSLDQvMS8yMDA5LDYvMzAvMjAwOSwsLFVTRCk=&amp;WINDOW=FIRST_POPUP&amp;HEIGH","T=450&amp;WIDTH=450&amp;START_MAXIMIZED=FALSE&amp;VAR:CALENDAR=US&amp;VAR:SYMBOL=SYY&amp;VAR:INDEX=0"}</definedName>
    <definedName name="_1430__FDSAUDITLINK__" localSheetId="1" hidden="1">{"fdsup://Directions/FactSet Auditing Viewer?action=AUDIT_VALUE&amp;DB=129&amp;ID1=52605710&amp;VALUEID=01001&amp;SDATE=200902&amp;PERIODTYPE=QTR_STD&amp;window=popup_no_bar&amp;width=385&amp;height=120&amp;START_MAXIMIZED=FALSE&amp;creator=factset&amp;display_string=Audit"}</definedName>
    <definedName name="_1430__FDSAUDITLINK__" hidden="1">{"fdsup://Directions/FactSet Auditing Viewer?action=AUDIT_VALUE&amp;DB=129&amp;ID1=52605710&amp;VALUEID=01001&amp;SDATE=200902&amp;PERIODTYPE=QTR_STD&amp;window=popup_no_bar&amp;width=385&amp;height=120&amp;START_MAXIMIZED=FALSE&amp;creator=factset&amp;display_string=Audit"}</definedName>
    <definedName name="_1431__FDSAUDITLINK__" localSheetId="1" hidden="1">{"fdsup://Directions/FactSet Auditing Viewer?action=AUDIT_VALUE&amp;DB=129&amp;ID1=52605710&amp;VALUEID=01001&amp;SDATE=201002&amp;PERIODTYPE=QTR_STD&amp;window=popup_no_bar&amp;width=385&amp;height=120&amp;START_MAXIMIZED=FALSE&amp;creator=factset&amp;display_string=Audit"}</definedName>
    <definedName name="_1431__FDSAUDITLINK__" hidden="1">{"fdsup://Directions/FactSet Auditing Viewer?action=AUDIT_VALUE&amp;DB=129&amp;ID1=52605710&amp;VALUEID=01001&amp;SDATE=201002&amp;PERIODTYPE=QTR_STD&amp;window=popup_no_bar&amp;width=385&amp;height=120&amp;START_MAXIMIZED=FALSE&amp;creator=factset&amp;display_string=Audit"}</definedName>
    <definedName name="_1432__FDSAUDITLINK__" localSheetId="1" hidden="1">{"fdsup://Directions/FactSet Auditing Viewer?action=AUDIT_VALUE&amp;DB=129&amp;ID1=52466010&amp;VALUEID=01001&amp;SDATE=200902&amp;PERIODTYPE=QTR_STD&amp;window=popup_no_bar&amp;width=385&amp;height=120&amp;START_MAXIMIZED=FALSE&amp;creator=factset&amp;display_string=Audit"}</definedName>
    <definedName name="_1432__FDSAUDITLINK__" hidden="1">{"fdsup://Directions/FactSet Auditing Viewer?action=AUDIT_VALUE&amp;DB=129&amp;ID1=52466010&amp;VALUEID=01001&amp;SDATE=200902&amp;PERIODTYPE=QTR_STD&amp;window=popup_no_bar&amp;width=385&amp;height=120&amp;START_MAXIMIZED=FALSE&amp;creator=factset&amp;display_string=Audit"}</definedName>
    <definedName name="_1433__FDSAUDITLINK__" localSheetId="1" hidden="1">{"fdsup://Directions/FactSet Auditing Viewer?action=AUDIT_VALUE&amp;DB=129&amp;ID1=52466010&amp;VALUEID=01001&amp;SDATE=201002&amp;PERIODTYPE=QTR_STD&amp;window=popup_no_bar&amp;width=385&amp;height=120&amp;START_MAXIMIZED=FALSE&amp;creator=factset&amp;display_string=Audit"}</definedName>
    <definedName name="_1433__FDSAUDITLINK__" hidden="1">{"fdsup://Directions/FactSet Auditing Viewer?action=AUDIT_VALUE&amp;DB=129&amp;ID1=52466010&amp;VALUEID=01001&amp;SDATE=201002&amp;PERIODTYPE=QTR_STD&amp;window=popup_no_bar&amp;width=385&amp;height=120&amp;START_MAXIMIZED=FALSE&amp;creator=factset&amp;display_string=Audit"}</definedName>
    <definedName name="_1434__FDSAUDITLINK__" localSheetId="1" hidden="1">{"fdsup://Directions/FactSet Auditing Viewer?action=AUDIT_VALUE&amp;DB=129&amp;ID1=54042410&amp;VALUEID=01001&amp;SDATE=200902&amp;PERIODTYPE=QTR_STD&amp;window=popup_no_bar&amp;width=385&amp;height=120&amp;START_MAXIMIZED=FALSE&amp;creator=factset&amp;display_string=Audit"}</definedName>
    <definedName name="_1434__FDSAUDITLINK__" hidden="1">{"fdsup://Directions/FactSet Auditing Viewer?action=AUDIT_VALUE&amp;DB=129&amp;ID1=54042410&amp;VALUEID=01001&amp;SDATE=200902&amp;PERIODTYPE=QTR_STD&amp;window=popup_no_bar&amp;width=385&amp;height=120&amp;START_MAXIMIZED=FALSE&amp;creator=factset&amp;display_string=Audit"}</definedName>
    <definedName name="_1435__FDSAUDITLINK__" localSheetId="1" hidden="1">{"fdsup://Directions/FactSet Auditing Viewer?action=AUDIT_VALUE&amp;DB=129&amp;ID1=54042410&amp;VALUEID=01001&amp;SDATE=201002&amp;PERIODTYPE=QTR_STD&amp;window=popup_no_bar&amp;width=385&amp;height=120&amp;START_MAXIMIZED=FALSE&amp;creator=factset&amp;display_string=Audit"}</definedName>
    <definedName name="_1435__FDSAUDITLINK__" hidden="1">{"fdsup://Directions/FactSet Auditing Viewer?action=AUDIT_VALUE&amp;DB=129&amp;ID1=54042410&amp;VALUEID=01001&amp;SDATE=201002&amp;PERIODTYPE=QTR_STD&amp;window=popup_no_bar&amp;width=385&amp;height=120&amp;START_MAXIMIZED=FALSE&amp;creator=factset&amp;display_string=Audit"}</definedName>
    <definedName name="_1436__FDSAUDITLINK__" localSheetId="1" hidden="1">{"fdsup://Directions/FactSet Auditing Viewer?action=AUDIT_VALUE&amp;DB=129&amp;ID1=50025510&amp;VALUEID=01001&amp;SDATE=200901&amp;PERIODTYPE=QTR_STD&amp;window=popup_no_bar&amp;width=385&amp;height=120&amp;START_MAXIMIZED=FALSE&amp;creator=factset&amp;display_string=Audit"}</definedName>
    <definedName name="_1436__FDSAUDITLINK__" hidden="1">{"fdsup://Directions/FactSet Auditing Viewer?action=AUDIT_VALUE&amp;DB=129&amp;ID1=50025510&amp;VALUEID=01001&amp;SDATE=200901&amp;PERIODTYPE=QTR_STD&amp;window=popup_no_bar&amp;width=385&amp;height=120&amp;START_MAXIMIZED=FALSE&amp;creator=factset&amp;display_string=Audit"}</definedName>
    <definedName name="_1437__FDSAUDITLINK__" localSheetId="1" hidden="1">{"fdsup://Directions/FactSet Auditing Viewer?action=AUDIT_VALUE&amp;DB=129&amp;ID1=50025510&amp;VALUEID=01001&amp;SDATE=201001&amp;PERIODTYPE=QTR_STD&amp;window=popup_no_bar&amp;width=385&amp;height=120&amp;START_MAXIMIZED=FALSE&amp;creator=factset&amp;display_string=Audit"}</definedName>
    <definedName name="_1437__FDSAUDITLINK__" hidden="1">{"fdsup://Directions/FactSet Auditing Viewer?action=AUDIT_VALUE&amp;DB=129&amp;ID1=50025510&amp;VALUEID=01001&amp;SDATE=201001&amp;PERIODTYPE=QTR_STD&amp;window=popup_no_bar&amp;width=385&amp;height=120&amp;START_MAXIMIZED=FALSE&amp;creator=factset&amp;display_string=Audit"}</definedName>
    <definedName name="_1438__FDSAUDITLINK__" localSheetId="1" hidden="1">{"fdsup://Directions/FactSet Auditing Viewer?action=AUDIT_VALUE&amp;DB=129&amp;ID1=50104410&amp;VALUEID=01001&amp;SDATE=200901&amp;PERIODTYPE=QTR_STD&amp;window=popup_no_bar&amp;width=385&amp;height=120&amp;START_MAXIMIZED=FALSE&amp;creator=factset&amp;display_string=Audit"}</definedName>
    <definedName name="_1438__FDSAUDITLINK__" hidden="1">{"fdsup://Directions/FactSet Auditing Viewer?action=AUDIT_VALUE&amp;DB=129&amp;ID1=50104410&amp;VALUEID=01001&amp;SDATE=200901&amp;PERIODTYPE=QTR_STD&amp;window=popup_no_bar&amp;width=385&amp;height=120&amp;START_MAXIMIZED=FALSE&amp;creator=factset&amp;display_string=Audit"}</definedName>
    <definedName name="_1439__FDSAUDITLINK__" localSheetId="1" hidden="1">{"fdsup://Directions/FactSet Auditing Viewer?action=AUDIT_VALUE&amp;DB=129&amp;ID1=50104410&amp;VALUEID=01001&amp;SDATE=201001&amp;PERIODTYPE=QTR_STD&amp;window=popup_no_bar&amp;width=385&amp;height=120&amp;START_MAXIMIZED=FALSE&amp;creator=factset&amp;display_string=Audit"}</definedName>
    <definedName name="_1439__FDSAUDITLINK__" hidden="1">{"fdsup://Directions/FactSet Auditing Viewer?action=AUDIT_VALUE&amp;DB=129&amp;ID1=50104410&amp;VALUEID=01001&amp;SDATE=201001&amp;PERIODTYPE=QTR_STD&amp;window=popup_no_bar&amp;width=385&amp;height=120&amp;START_MAXIMIZED=FALSE&amp;creator=factset&amp;display_string=Audit"}</definedName>
    <definedName name="_144__FDSAUDITLINK__" localSheetId="1"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__FDSAUDITLINK__" hidden="1">{"fdsup://directions/FAT Viewer?action=UPDATE&amp;creator=factset&amp;DYN_ARGS=TRUE&amp;DOC_NAME=FAT:FQL_AUDITING_CLIENT_TEMPLATE.FAT&amp;display_string=Audit&amp;VAR:KEY=ZYXITQZKRG&amp;VAR:QUERY=RkZfRUJJVERBX09QRVIoUVRSLDQvMS8yMDEwLDYvMzAvMjAxMCwsLFVTRCk=&amp;WINDOW=FIRST_POPUP&amp;HEIGH","T=450&amp;WIDTH=450&amp;START_MAXIMIZED=FALSE&amp;VAR:CALENDAR=US&amp;VAR:SYMBOL=SYY&amp;VAR:INDEX=0"}</definedName>
    <definedName name="_1440__FDSAUDITLINK__" localSheetId="1" hidden="1">{"fdsup://Directions/FactSet Auditing Viewer?action=AUDIT_VALUE&amp;DB=129&amp;ID1=19121610&amp;VALUEID=01001&amp;SDATE=200902&amp;PERIODTYPE=QTR_STD&amp;window=popup_no_bar&amp;width=385&amp;height=120&amp;START_MAXIMIZED=FALSE&amp;creator=factset&amp;display_string=Audit"}</definedName>
    <definedName name="_1440__FDSAUDITLINK__" hidden="1">{"fdsup://Directions/FactSet Auditing Viewer?action=AUDIT_VALUE&amp;DB=129&amp;ID1=19121610&amp;VALUEID=01001&amp;SDATE=200902&amp;PERIODTYPE=QTR_STD&amp;window=popup_no_bar&amp;width=385&amp;height=120&amp;START_MAXIMIZED=FALSE&amp;creator=factset&amp;display_string=Audit"}</definedName>
    <definedName name="_1441__FDSAUDITLINK__" localSheetId="1" hidden="1">{"fdsup://Directions/FactSet Auditing Viewer?action=AUDIT_VALUE&amp;DB=129&amp;ID1=19121610&amp;VALUEID=01001&amp;SDATE=201002&amp;PERIODTYPE=QTR_STD&amp;window=popup_no_bar&amp;width=385&amp;height=120&amp;START_MAXIMIZED=FALSE&amp;creator=factset&amp;display_string=Audit"}</definedName>
    <definedName name="_1441__FDSAUDITLINK__" hidden="1">{"fdsup://Directions/FactSet Auditing Viewer?action=AUDIT_VALUE&amp;DB=129&amp;ID1=19121610&amp;VALUEID=01001&amp;SDATE=201002&amp;PERIODTYPE=QTR_STD&amp;window=popup_no_bar&amp;width=385&amp;height=120&amp;START_MAXIMIZED=FALSE&amp;creator=factset&amp;display_string=Audit"}</definedName>
    <definedName name="_1442__FDSAUDITLINK__" localSheetId="1" hidden="1">{"fdsup://Directions/FactSet Auditing Viewer?action=AUDIT_VALUE&amp;DB=129&amp;ID1=14313010&amp;VALUEID=01001&amp;SDATE=200901&amp;PERIODTYPE=QTR_STD&amp;window=popup_no_bar&amp;width=385&amp;height=120&amp;START_MAXIMIZED=FALSE&amp;creator=factset&amp;display_string=Audit"}</definedName>
    <definedName name="_1442__FDSAUDITLINK__" hidden="1">{"fdsup://Directions/FactSet Auditing Viewer?action=AUDIT_VALUE&amp;DB=129&amp;ID1=14313010&amp;VALUEID=01001&amp;SDATE=200901&amp;PERIODTYPE=QTR_STD&amp;window=popup_no_bar&amp;width=385&amp;height=120&amp;START_MAXIMIZED=FALSE&amp;creator=factset&amp;display_string=Audit"}</definedName>
    <definedName name="_1443__FDSAUDITLINK__" localSheetId="1" hidden="1">{"fdsup://Directions/FactSet Auditing Viewer?action=AUDIT_VALUE&amp;DB=129&amp;ID1=14313010&amp;VALUEID=01001&amp;SDATE=201001&amp;PERIODTYPE=QTR_STD&amp;window=popup_no_bar&amp;width=385&amp;height=120&amp;START_MAXIMIZED=FALSE&amp;creator=factset&amp;display_string=Audit"}</definedName>
    <definedName name="_1443__FDSAUDITLINK__" hidden="1">{"fdsup://Directions/FactSet Auditing Viewer?action=AUDIT_VALUE&amp;DB=129&amp;ID1=14313010&amp;VALUEID=01001&amp;SDATE=201001&amp;PERIODTYPE=QTR_STD&amp;window=popup_no_bar&amp;width=385&amp;height=120&amp;START_MAXIMIZED=FALSE&amp;creator=factset&amp;display_string=Audit"}</definedName>
    <definedName name="_1444__FDSAUDITLINK__" localSheetId="1" hidden="1">{"fdsup://Directions/FactSet Auditing Viewer?action=AUDIT_VALUE&amp;DB=129&amp;ID1=49436810&amp;VALUEID=01001&amp;SDATE=200902&amp;PERIODTYPE=QTR_STD&amp;window=popup_no_bar&amp;width=385&amp;height=120&amp;START_MAXIMIZED=FALSE&amp;creator=factset&amp;display_string=Audit"}</definedName>
    <definedName name="_1444__FDSAUDITLINK__" hidden="1">{"fdsup://Directions/FactSet Auditing Viewer?action=AUDIT_VALUE&amp;DB=129&amp;ID1=49436810&amp;VALUEID=01001&amp;SDATE=200902&amp;PERIODTYPE=QTR_STD&amp;window=popup_no_bar&amp;width=385&amp;height=120&amp;START_MAXIMIZED=FALSE&amp;creator=factset&amp;display_string=Audit"}</definedName>
    <definedName name="_1445__FDSAUDITLINK__" localSheetId="1" hidden="1">{"fdsup://Directions/FactSet Auditing Viewer?action=AUDIT_VALUE&amp;DB=129&amp;ID1=49436810&amp;VALUEID=01001&amp;SDATE=201002&amp;PERIODTYPE=QTR_STD&amp;window=popup_no_bar&amp;width=385&amp;height=120&amp;START_MAXIMIZED=FALSE&amp;creator=factset&amp;display_string=Audit"}</definedName>
    <definedName name="_1445__FDSAUDITLINK__" hidden="1">{"fdsup://Directions/FactSet Auditing Viewer?action=AUDIT_VALUE&amp;DB=129&amp;ID1=49436810&amp;VALUEID=01001&amp;SDATE=201002&amp;PERIODTYPE=QTR_STD&amp;window=popup_no_bar&amp;width=385&amp;height=120&amp;START_MAXIMIZED=FALSE&amp;creator=factset&amp;display_string=Audit"}</definedName>
    <definedName name="_1446__FDSAUDITLINK__" localSheetId="1" hidden="1">{"fdsup://Directions/FactSet Auditing Viewer?action=AUDIT_VALUE&amp;DB=129&amp;ID1=48248010&amp;VALUEID=01001&amp;SDATE=200904&amp;PERIODTYPE=QTR_STD&amp;window=popup_no_bar&amp;width=385&amp;height=120&amp;START_MAXIMIZED=FALSE&amp;creator=factset&amp;display_string=Audit"}</definedName>
    <definedName name="_1446__FDSAUDITLINK__" hidden="1">{"fdsup://Directions/FactSet Auditing Viewer?action=AUDIT_VALUE&amp;DB=129&amp;ID1=48248010&amp;VALUEID=01001&amp;SDATE=200904&amp;PERIODTYPE=QTR_STD&amp;window=popup_no_bar&amp;width=385&amp;height=120&amp;START_MAXIMIZED=FALSE&amp;creator=factset&amp;display_string=Audit"}</definedName>
    <definedName name="_1447__FDSAUDITLINK__" localSheetId="1" hidden="1">{"fdsup://Directions/FactSet Auditing Viewer?action=AUDIT_VALUE&amp;DB=129&amp;ID1=48248010&amp;VALUEID=01001&amp;SDATE=201004&amp;PERIODTYPE=QTR_STD&amp;window=popup_no_bar&amp;width=385&amp;height=120&amp;START_MAXIMIZED=FALSE&amp;creator=factset&amp;display_string=Audit"}</definedName>
    <definedName name="_1447__FDSAUDITLINK__" hidden="1">{"fdsup://Directions/FactSet Auditing Viewer?action=AUDIT_VALUE&amp;DB=129&amp;ID1=48248010&amp;VALUEID=01001&amp;SDATE=201004&amp;PERIODTYPE=QTR_STD&amp;window=popup_no_bar&amp;width=385&amp;height=120&amp;START_MAXIMIZED=FALSE&amp;creator=factset&amp;display_string=Audit"}</definedName>
    <definedName name="_1448__FDSAUDITLINK__" localSheetId="1" hidden="1">{"fdsup://Directions/FactSet Auditing Viewer?action=AUDIT_VALUE&amp;DB=129&amp;ID1=49446R10&amp;VALUEID=01001&amp;SDATE=200902&amp;PERIODTYPE=QTR_STD&amp;window=popup_no_bar&amp;width=385&amp;height=120&amp;START_MAXIMIZED=FALSE&amp;creator=factset&amp;display_string=Audit"}</definedName>
    <definedName name="_1448__FDSAUDITLINK__" hidden="1">{"fdsup://Directions/FactSet Auditing Viewer?action=AUDIT_VALUE&amp;DB=129&amp;ID1=49446R10&amp;VALUEID=01001&amp;SDATE=200902&amp;PERIODTYPE=QTR_STD&amp;window=popup_no_bar&amp;width=385&amp;height=120&amp;START_MAXIMIZED=FALSE&amp;creator=factset&amp;display_string=Audit"}</definedName>
    <definedName name="_1449__FDSAUDITLINK__" localSheetId="1" hidden="1">{"fdsup://Directions/FactSet Auditing Viewer?action=AUDIT_VALUE&amp;DB=129&amp;ID1=49446R10&amp;VALUEID=01001&amp;SDATE=201002&amp;PERIODTYPE=QTR_STD&amp;window=popup_no_bar&amp;width=385&amp;height=120&amp;START_MAXIMIZED=FALSE&amp;creator=factset&amp;display_string=Audit"}</definedName>
    <definedName name="_1449__FDSAUDITLINK__" hidden="1">{"fdsup://Directions/FactSet Auditing Viewer?action=AUDIT_VALUE&amp;DB=129&amp;ID1=49446R10&amp;VALUEID=01001&amp;SDATE=201002&amp;PERIODTYPE=QTR_STD&amp;window=popup_no_bar&amp;width=385&amp;height=120&amp;START_MAXIMIZED=FALSE&amp;creator=factset&amp;display_string=Audit"}</definedName>
    <definedName name="_145__FDSAUDITLINK__" localSheetId="1"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__FDSAUDITLINK__" hidden="1">{"fdsup://directions/FAT Viewer?action=UPDATE&amp;creator=factset&amp;DYN_ARGS=TRUE&amp;DOC_NAME=FAT:FQL_AUDITING_CLIENT_TEMPLATE.FAT&amp;display_string=Audit&amp;VAR:KEY=RWBSDSPGJG&amp;VAR:QUERY=RkZfRUJJVERBX09QRVIoUVRSLDQvMS8yMDA5LDYvMzAvMjAwOSwsLFVTRCk=&amp;WINDOW=FIRST_POPUP&amp;HEIGH","T=450&amp;WIDTH=450&amp;START_MAXIMIZED=FALSE&amp;VAR:CALENDAR=US&amp;VAR:SYMBOL=SYMC&amp;VAR:INDEX=0"}</definedName>
    <definedName name="_1450__FDSAUDITLINK__" localSheetId="1" hidden="1">{"fdsup://Directions/FactSet Auditing Viewer?action=AUDIT_VALUE&amp;DB=129&amp;ID1=49558210&amp;VALUEID=01001&amp;SDATE=200902&amp;PERIODTYPE=QTR_STD&amp;window=popup_no_bar&amp;width=385&amp;height=120&amp;START_MAXIMIZED=FALSE&amp;creator=factset&amp;display_string=Audit"}</definedName>
    <definedName name="_1450__FDSAUDITLINK__" hidden="1">{"fdsup://Directions/FactSet Auditing Viewer?action=AUDIT_VALUE&amp;DB=129&amp;ID1=49558210&amp;VALUEID=01001&amp;SDATE=200902&amp;PERIODTYPE=QTR_STD&amp;window=popup_no_bar&amp;width=385&amp;height=120&amp;START_MAXIMIZED=FALSE&amp;creator=factset&amp;display_string=Audit"}</definedName>
    <definedName name="_1451__FDSAUDITLINK__" localSheetId="1" hidden="1">{"fdsup://Directions/FactSet Auditing Viewer?action=AUDIT_VALUE&amp;DB=129&amp;ID1=49558210&amp;VALUEID=01001&amp;SDATE=201002&amp;PERIODTYPE=QTR_STD&amp;window=popup_no_bar&amp;width=385&amp;height=120&amp;START_MAXIMIZED=FALSE&amp;creator=factset&amp;display_string=Audit"}</definedName>
    <definedName name="_1451__FDSAUDITLINK__" hidden="1">{"fdsup://Directions/FactSet Auditing Viewer?action=AUDIT_VALUE&amp;DB=129&amp;ID1=49558210&amp;VALUEID=01001&amp;SDATE=201002&amp;PERIODTYPE=QTR_STD&amp;window=popup_no_bar&amp;width=385&amp;height=120&amp;START_MAXIMIZED=FALSE&amp;creator=factset&amp;display_string=Audit"}</definedName>
    <definedName name="_1452__FDSAUDITLINK__" localSheetId="1" hidden="1">{"fdsup://Directions/FactSet Auditing Viewer?action=AUDIT_VALUE&amp;DB=129&amp;ID1=50075N10&amp;VALUEID=01001&amp;SDATE=200902&amp;PERIODTYPE=QTR_STD&amp;window=popup_no_bar&amp;width=385&amp;height=120&amp;START_MAXIMIZED=FALSE&amp;creator=factset&amp;display_string=Audit"}</definedName>
    <definedName name="_1452__FDSAUDITLINK__" hidden="1">{"fdsup://Directions/FactSet Auditing Viewer?action=AUDIT_VALUE&amp;DB=129&amp;ID1=50075N10&amp;VALUEID=01001&amp;SDATE=200902&amp;PERIODTYPE=QTR_STD&amp;window=popup_no_bar&amp;width=385&amp;height=120&amp;START_MAXIMIZED=FALSE&amp;creator=factset&amp;display_string=Audit"}</definedName>
    <definedName name="_1453__FDSAUDITLINK__" localSheetId="1" hidden="1">{"fdsup://Directions/FactSet Auditing Viewer?action=AUDIT_VALUE&amp;DB=129&amp;ID1=50075N10&amp;VALUEID=01001&amp;SDATE=201002&amp;PERIODTYPE=QTR_STD&amp;window=popup_no_bar&amp;width=385&amp;height=120&amp;START_MAXIMIZED=FALSE&amp;creator=factset&amp;display_string=Audit"}</definedName>
    <definedName name="_1453__FDSAUDITLINK__" hidden="1">{"fdsup://Directions/FactSet Auditing Viewer?action=AUDIT_VALUE&amp;DB=129&amp;ID1=50075N10&amp;VALUEID=01001&amp;SDATE=201002&amp;PERIODTYPE=QTR_STD&amp;window=popup_no_bar&amp;width=385&amp;height=120&amp;START_MAXIMIZED=FALSE&amp;creator=factset&amp;display_string=Audit"}</definedName>
    <definedName name="_1454__FDSAUDITLINK__" localSheetId="1" hidden="1">{"fdsup://Directions/FactSet Auditing Viewer?action=AUDIT_VALUE&amp;DB=129&amp;ID1=48783610&amp;VALUEID=01001&amp;SDATE=200902&amp;PERIODTYPE=QTR_STD&amp;window=popup_no_bar&amp;width=385&amp;height=120&amp;START_MAXIMIZED=FALSE&amp;creator=factset&amp;display_string=Audit"}</definedName>
    <definedName name="_1454__FDSAUDITLINK__" hidden="1">{"fdsup://Directions/FactSet Auditing Viewer?action=AUDIT_VALUE&amp;DB=129&amp;ID1=48783610&amp;VALUEID=01001&amp;SDATE=200902&amp;PERIODTYPE=QTR_STD&amp;window=popup_no_bar&amp;width=385&amp;height=120&amp;START_MAXIMIZED=FALSE&amp;creator=factset&amp;display_string=Audit"}</definedName>
    <definedName name="_1455__FDSAUDITLINK__" localSheetId="1" hidden="1">{"fdsup://Directions/FactSet Auditing Viewer?action=AUDIT_VALUE&amp;DB=129&amp;ID1=48783610&amp;VALUEID=01001&amp;SDATE=201002&amp;PERIODTYPE=QTR_STD&amp;window=popup_no_bar&amp;width=385&amp;height=120&amp;START_MAXIMIZED=FALSE&amp;creator=factset&amp;display_string=Audit"}</definedName>
    <definedName name="_1455__FDSAUDITLINK__" hidden="1">{"fdsup://Directions/FactSet Auditing Viewer?action=AUDIT_VALUE&amp;DB=129&amp;ID1=48783610&amp;VALUEID=01001&amp;SDATE=201002&amp;PERIODTYPE=QTR_STD&amp;window=popup_no_bar&amp;width=385&amp;height=120&amp;START_MAXIMIZED=FALSE&amp;creator=factset&amp;display_string=Audit"}</definedName>
    <definedName name="_1456__FDSAUDITLINK__" localSheetId="1" hidden="1">{"fdsup://Directions/FactSet Auditing Viewer?action=AUDIT_VALUE&amp;DB=129&amp;ID1=65566410&amp;VALUEID=01001&amp;SDATE=201001&amp;PERIODTYPE=QTR_STD&amp;window=popup_no_bar&amp;width=385&amp;height=120&amp;START_MAXIMIZED=FALSE&amp;creator=factset&amp;display_string=Audit"}</definedName>
    <definedName name="_1456__FDSAUDITLINK__" hidden="1">{"fdsup://Directions/FactSet Auditing Viewer?action=AUDIT_VALUE&amp;DB=129&amp;ID1=65566410&amp;VALUEID=01001&amp;SDATE=201001&amp;PERIODTYPE=QTR_STD&amp;window=popup_no_bar&amp;width=385&amp;height=120&amp;START_MAXIMIZED=FALSE&amp;creator=factset&amp;display_string=Audit"}</definedName>
    <definedName name="_1457__FDSAUDITLINK__" localSheetId="1" hidden="1">{"fdsup://Directions/FactSet Auditing Viewer?action=AUDIT_VALUE&amp;DB=129&amp;ID1=47102X10&amp;VALUEID=01001&amp;SDATE=200902&amp;PERIODTYPE=QTR_STD&amp;window=popup_no_bar&amp;width=385&amp;height=120&amp;START_MAXIMIZED=FALSE&amp;creator=factset&amp;display_string=Audit"}</definedName>
    <definedName name="_1457__FDSAUDITLINK__" hidden="1">{"fdsup://Directions/FactSet Auditing Viewer?action=AUDIT_VALUE&amp;DB=129&amp;ID1=47102X10&amp;VALUEID=01001&amp;SDATE=200902&amp;PERIODTYPE=QTR_STD&amp;window=popup_no_bar&amp;width=385&amp;height=120&amp;START_MAXIMIZED=FALSE&amp;creator=factset&amp;display_string=Audit"}</definedName>
    <definedName name="_1458__FDSAUDITLINK__" localSheetId="1" hidden="1">{"fdsup://Directions/FactSet Auditing Viewer?action=AUDIT_VALUE&amp;DB=129&amp;ID1=47102X10&amp;VALUEID=01001&amp;SDATE=201002&amp;PERIODTYPE=QTR_STD&amp;window=popup_no_bar&amp;width=385&amp;height=120&amp;START_MAXIMIZED=FALSE&amp;creator=factset&amp;display_string=Audit"}</definedName>
    <definedName name="_1458__FDSAUDITLINK__" hidden="1">{"fdsup://Directions/FactSet Auditing Viewer?action=AUDIT_VALUE&amp;DB=129&amp;ID1=47102X10&amp;VALUEID=01001&amp;SDATE=201002&amp;PERIODTYPE=QTR_STD&amp;window=popup_no_bar&amp;width=385&amp;height=120&amp;START_MAXIMIZED=FALSE&amp;creator=factset&amp;display_string=Audit"}</definedName>
    <definedName name="_1459__FDSAUDITLINK__" localSheetId="1" hidden="1">{"fdsup://Directions/FactSet Auditing Viewer?action=AUDIT_VALUE&amp;DB=129&amp;ID1=48203R10&amp;VALUEID=01001&amp;SDATE=200902&amp;PERIODTYPE=QTR_STD&amp;window=popup_no_bar&amp;width=385&amp;height=120&amp;START_MAXIMIZED=FALSE&amp;creator=factset&amp;display_string=Audit"}</definedName>
    <definedName name="_1459__FDSAUDITLINK__" hidden="1">{"fdsup://Directions/FactSet Auditing Viewer?action=AUDIT_VALUE&amp;DB=129&amp;ID1=48203R10&amp;VALUEID=01001&amp;SDATE=200902&amp;PERIODTYPE=QTR_STD&amp;window=popup_no_bar&amp;width=385&amp;height=120&amp;START_MAXIMIZED=FALSE&amp;creator=factset&amp;display_string=Audit"}</definedName>
    <definedName name="_146__FDSAUDITLINK__" localSheetId="1"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__FDSAUDITLINK__" hidden="1">{"fdsup://directions/FAT Viewer?action=UPDATE&amp;creator=factset&amp;DYN_ARGS=TRUE&amp;DOC_NAME=FAT:FQL_AUDITING_CLIENT_TEMPLATE.FAT&amp;display_string=Audit&amp;VAR:KEY=VSNWJKXIRC&amp;VAR:QUERY=RkZfRUJJVERBX09QRVIoUVRSLDQvMS8yMDEwLDYvMzAvMjAxMCwsLFVTRCk=&amp;WINDOW=FIRST_POPUP&amp;HEIGH","T=450&amp;WIDTH=450&amp;START_MAXIMIZED=FALSE&amp;VAR:CALENDAR=US&amp;VAR:SYMBOL=SYMC&amp;VAR:INDEX=0"}</definedName>
    <definedName name="_1460__FDSAUDITLINK__" localSheetId="1" hidden="1">{"fdsup://Directions/FactSet Auditing Viewer?action=AUDIT_VALUE&amp;DB=129&amp;ID1=48203R10&amp;VALUEID=01001&amp;SDATE=201002&amp;PERIODTYPE=QTR_STD&amp;window=popup_no_bar&amp;width=385&amp;height=120&amp;START_MAXIMIZED=FALSE&amp;creator=factset&amp;display_string=Audit"}</definedName>
    <definedName name="_1460__FDSAUDITLINK__" hidden="1">{"fdsup://Directions/FactSet Auditing Viewer?action=AUDIT_VALUE&amp;DB=129&amp;ID1=48203R10&amp;VALUEID=01001&amp;SDATE=201002&amp;PERIODTYPE=QTR_STD&amp;window=popup_no_bar&amp;width=385&amp;height=120&amp;START_MAXIMIZED=FALSE&amp;creator=factset&amp;display_string=Audit"}</definedName>
    <definedName name="_1461__FDSAUDITLINK__" localSheetId="1" hidden="1">{"fdsup://Directions/FactSet Auditing Viewer?action=AUDIT_VALUE&amp;DB=129&amp;ID1=47816010&amp;VALUEID=01001&amp;SDATE=200902&amp;PERIODTYPE=QTR_STD&amp;window=popup_no_bar&amp;width=385&amp;height=120&amp;START_MAXIMIZED=FALSE&amp;creator=factset&amp;display_string=Audit"}</definedName>
    <definedName name="_1461__FDSAUDITLINK__" hidden="1">{"fdsup://Directions/FactSet Auditing Viewer?action=AUDIT_VALUE&amp;DB=129&amp;ID1=47816010&amp;VALUEID=01001&amp;SDATE=200902&amp;PERIODTYPE=QTR_STD&amp;window=popup_no_bar&amp;width=385&amp;height=120&amp;START_MAXIMIZED=FALSE&amp;creator=factset&amp;display_string=Audit"}</definedName>
    <definedName name="_1462__FDSAUDITLINK__" localSheetId="1" hidden="1">{"fdsup://Directions/FactSet Auditing Viewer?action=AUDIT_VALUE&amp;DB=129&amp;ID1=47816010&amp;VALUEID=01001&amp;SDATE=201002&amp;PERIODTYPE=QTR_STD&amp;window=popup_no_bar&amp;width=385&amp;height=120&amp;START_MAXIMIZED=FALSE&amp;creator=factset&amp;display_string=Audit"}</definedName>
    <definedName name="_1462__FDSAUDITLINK__" hidden="1">{"fdsup://Directions/FactSet Auditing Viewer?action=AUDIT_VALUE&amp;DB=129&amp;ID1=47816010&amp;VALUEID=01001&amp;SDATE=201002&amp;PERIODTYPE=QTR_STD&amp;window=popup_no_bar&amp;width=385&amp;height=120&amp;START_MAXIMIZED=FALSE&amp;creator=factset&amp;display_string=Audit"}</definedName>
    <definedName name="_1463__FDSAUDITLINK__" localSheetId="1" hidden="1">{"fdsup://Directions/FactSet Auditing Viewer?action=AUDIT_VALUE&amp;DB=129&amp;ID1=46981410&amp;VALUEID=01001&amp;SDATE=200903&amp;PERIODTYPE=QTR_STD&amp;window=popup_no_bar&amp;width=385&amp;height=120&amp;START_MAXIMIZED=FALSE&amp;creator=factset&amp;display_string=Audit"}</definedName>
    <definedName name="_1463__FDSAUDITLINK__" hidden="1">{"fdsup://Directions/FactSet Auditing Viewer?action=AUDIT_VALUE&amp;DB=129&amp;ID1=46981410&amp;VALUEID=01001&amp;SDATE=200903&amp;PERIODTYPE=QTR_STD&amp;window=popup_no_bar&amp;width=385&amp;height=120&amp;START_MAXIMIZED=FALSE&amp;creator=factset&amp;display_string=Audit"}</definedName>
    <definedName name="_1464__FDSAUDITLINK__" localSheetId="1" hidden="1">{"fdsup://Directions/FactSet Auditing Viewer?action=AUDIT_VALUE&amp;DB=129&amp;ID1=46981410&amp;VALUEID=01001&amp;SDATE=201003&amp;PERIODTYPE=QTR_STD&amp;window=popup_no_bar&amp;width=385&amp;height=120&amp;START_MAXIMIZED=FALSE&amp;creator=factset&amp;display_string=Audit"}</definedName>
    <definedName name="_1464__FDSAUDITLINK__" hidden="1">{"fdsup://Directions/FactSet Auditing Viewer?action=AUDIT_VALUE&amp;DB=129&amp;ID1=46981410&amp;VALUEID=01001&amp;SDATE=201003&amp;PERIODTYPE=QTR_STD&amp;window=popup_no_bar&amp;width=385&amp;height=120&amp;START_MAXIMIZED=FALSE&amp;creator=factset&amp;display_string=Audit"}</definedName>
    <definedName name="_1465__FDSAUDITLINK__" localSheetId="1" hidden="1">{"fdsup://Directions/FactSet Auditing Viewer?action=AUDIT_VALUE&amp;DB=129&amp;ID1=46612J50&amp;VALUEID=01001&amp;SDATE=201003&amp;PERIODTYPE=QTR_STD&amp;window=popup_no_bar&amp;width=385&amp;height=120&amp;START_MAXIMIZED=FALSE&amp;creator=factset&amp;display_string=Audit"}</definedName>
    <definedName name="_1465__FDSAUDITLINK__" hidden="1">{"fdsup://Directions/FactSet Auditing Viewer?action=AUDIT_VALUE&amp;DB=129&amp;ID1=46612J50&amp;VALUEID=01001&amp;SDATE=201003&amp;PERIODTYPE=QTR_STD&amp;window=popup_no_bar&amp;width=385&amp;height=120&amp;START_MAXIMIZED=FALSE&amp;creator=factset&amp;display_string=Audit"}</definedName>
    <definedName name="_1466__FDSAUDITLINK__" localSheetId="1" hidden="1">{"fdsup://Directions/FactSet Auditing Viewer?action=AUDIT_VALUE&amp;DB=129&amp;ID1=70816010&amp;VALUEID=01001&amp;SDATE=200901&amp;PERIODTYPE=QTR_STD&amp;window=popup_no_bar&amp;width=385&amp;height=120&amp;START_MAXIMIZED=FALSE&amp;creator=factset&amp;display_string=Audit"}</definedName>
    <definedName name="_1466__FDSAUDITLINK__" hidden="1">{"fdsup://Directions/FactSet Auditing Viewer?action=AUDIT_VALUE&amp;DB=129&amp;ID1=70816010&amp;VALUEID=01001&amp;SDATE=200901&amp;PERIODTYPE=QTR_STD&amp;window=popup_no_bar&amp;width=385&amp;height=120&amp;START_MAXIMIZED=FALSE&amp;creator=factset&amp;display_string=Audit"}</definedName>
    <definedName name="_1467__FDSAUDITLINK__" localSheetId="1" hidden="1">{"fdsup://Directions/FactSet Auditing Viewer?action=AUDIT_VALUE&amp;DB=129&amp;ID1=70816010&amp;VALUEID=01001&amp;SDATE=201001&amp;PERIODTYPE=QTR_STD&amp;window=popup_no_bar&amp;width=385&amp;height=120&amp;START_MAXIMIZED=FALSE&amp;creator=factset&amp;display_string=Audit"}</definedName>
    <definedName name="_1467__FDSAUDITLINK__" hidden="1">{"fdsup://Directions/FactSet Auditing Viewer?action=AUDIT_VALUE&amp;DB=129&amp;ID1=70816010&amp;VALUEID=01001&amp;SDATE=201001&amp;PERIODTYPE=QTR_STD&amp;window=popup_no_bar&amp;width=385&amp;height=120&amp;START_MAXIMIZED=FALSE&amp;creator=factset&amp;display_string=Audit"}</definedName>
    <definedName name="_1468__FDSAUDITLINK__" localSheetId="1" hidden="1">{"fdsup://Directions/FactSet Auditing Viewer?action=AUDIT_VALUE&amp;DB=129&amp;ID1=47836610&amp;VALUEID=01001&amp;SDATE=200903&amp;PERIODTYPE=QTR_STD&amp;window=popup_no_bar&amp;width=385&amp;height=120&amp;START_MAXIMIZED=FALSE&amp;creator=factset&amp;display_string=Audit"}</definedName>
    <definedName name="_1468__FDSAUDITLINK__" hidden="1">{"fdsup://Directions/FactSet Auditing Viewer?action=AUDIT_VALUE&amp;DB=129&amp;ID1=47836610&amp;VALUEID=01001&amp;SDATE=200903&amp;PERIODTYPE=QTR_STD&amp;window=popup_no_bar&amp;width=385&amp;height=120&amp;START_MAXIMIZED=FALSE&amp;creator=factset&amp;display_string=Audit"}</definedName>
    <definedName name="_1469__FDSAUDITLINK__" localSheetId="1" hidden="1">{"fdsup://Directions/FactSet Auditing Viewer?action=AUDIT_VALUE&amp;DB=129&amp;ID1=47836610&amp;VALUEID=01001&amp;SDATE=201003&amp;PERIODTYPE=QTR_STD&amp;window=popup_no_bar&amp;width=385&amp;height=120&amp;START_MAXIMIZED=FALSE&amp;creator=factset&amp;display_string=Audit"}</definedName>
    <definedName name="_1469__FDSAUDITLINK__" hidden="1">{"fdsup://Directions/FactSet Auditing Viewer?action=AUDIT_VALUE&amp;DB=129&amp;ID1=47836610&amp;VALUEID=01001&amp;SDATE=201003&amp;PERIODTYPE=QTR_STD&amp;window=popup_no_bar&amp;width=385&amp;height=120&amp;START_MAXIMIZED=FALSE&amp;creator=factset&amp;display_string=Audit"}</definedName>
    <definedName name="_147__FDSAUDITLINK__" localSheetId="1"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__FDSAUDITLINK__" hidden="1">{"fdsup://directions/FAT Viewer?action=UPDATE&amp;creator=factset&amp;DYN_ARGS=TRUE&amp;DOC_NAME=FAT:FQL_AUDITING_CLIENT_TEMPLATE.FAT&amp;display_string=Audit&amp;VAR:KEY=BGROTWXYLS&amp;VAR:QUERY=RkZfRUJJVERBX09QRVIoUVRSLDQvMS8yMDA5LDYvMzAvMjAwOSwsLFVTRCk=&amp;WINDOW=FIRST_POPUP&amp;HEIGH","T=450&amp;WIDTH=450&amp;START_MAXIMIZED=FALSE&amp;VAR:CALENDAR=US&amp;VAR:SYMBOL=SYK&amp;VAR:INDEX=0"}</definedName>
    <definedName name="_1470__FDSAUDITLINK__" localSheetId="1" hidden="1">{"fdsup://Directions/FactSet Auditing Viewer?action=AUDIT_VALUE&amp;DB=129&amp;ID1=46631310&amp;VALUEID=01001&amp;SDATE=200903&amp;PERIODTYPE=QTR_STD&amp;window=popup_no_bar&amp;width=385&amp;height=120&amp;START_MAXIMIZED=FALSE&amp;creator=factset&amp;display_string=Audit"}</definedName>
    <definedName name="_1470__FDSAUDITLINK__" hidden="1">{"fdsup://Directions/FactSet Auditing Viewer?action=AUDIT_VALUE&amp;DB=129&amp;ID1=46631310&amp;VALUEID=01001&amp;SDATE=200903&amp;PERIODTYPE=QTR_STD&amp;window=popup_no_bar&amp;width=385&amp;height=120&amp;START_MAXIMIZED=FALSE&amp;creator=factset&amp;display_string=Audit"}</definedName>
    <definedName name="_1471__FDSAUDITLINK__" localSheetId="1" hidden="1">{"fdsup://Directions/FactSet Auditing Viewer?action=AUDIT_VALUE&amp;DB=129&amp;ID1=46631310&amp;VALUEID=01001&amp;SDATE=201003&amp;PERIODTYPE=QTR_STD&amp;window=popup_no_bar&amp;width=385&amp;height=120&amp;START_MAXIMIZED=FALSE&amp;creator=factset&amp;display_string=Audit"}</definedName>
    <definedName name="_1471__FDSAUDITLINK__" hidden="1">{"fdsup://Directions/FactSet Auditing Viewer?action=AUDIT_VALUE&amp;DB=129&amp;ID1=46631310&amp;VALUEID=01001&amp;SDATE=201003&amp;PERIODTYPE=QTR_STD&amp;window=popup_no_bar&amp;width=385&amp;height=120&amp;START_MAXIMIZED=FALSE&amp;creator=factset&amp;display_string=Audit"}</definedName>
    <definedName name="_1472__FDSAUDITLINK__" localSheetId="1" hidden="1">{"fdsup://Directions/FactSet Auditing Viewer?action=AUDIT_VALUE&amp;DB=129&amp;ID1=G491BT10&amp;VALUEID=01001&amp;SDATE=200902&amp;PERIODTYPE=QTR_STD&amp;window=popup_no_bar&amp;width=385&amp;height=120&amp;START_MAXIMIZED=FALSE&amp;creator=factset&amp;display_string=Audit"}</definedName>
    <definedName name="_1472__FDSAUDITLINK__" hidden="1">{"fdsup://Directions/FactSet Auditing Viewer?action=AUDIT_VALUE&amp;DB=129&amp;ID1=G491BT10&amp;VALUEID=01001&amp;SDATE=200902&amp;PERIODTYPE=QTR_STD&amp;window=popup_no_bar&amp;width=385&amp;height=120&amp;START_MAXIMIZED=FALSE&amp;creator=factset&amp;display_string=Audit"}</definedName>
    <definedName name="_1473__FDSAUDITLINK__" localSheetId="1" hidden="1">{"fdsup://Directions/FactSet Auditing Viewer?action=AUDIT_VALUE&amp;DB=129&amp;ID1=G491BT10&amp;VALUEID=01001&amp;SDATE=201002&amp;PERIODTYPE=QTR_STD&amp;window=popup_no_bar&amp;width=385&amp;height=120&amp;START_MAXIMIZED=FALSE&amp;creator=factset&amp;display_string=Audit"}</definedName>
    <definedName name="_1473__FDSAUDITLINK__" hidden="1">{"fdsup://Directions/FactSet Auditing Viewer?action=AUDIT_VALUE&amp;DB=129&amp;ID1=G491BT10&amp;VALUEID=01001&amp;SDATE=201002&amp;PERIODTYPE=QTR_STD&amp;window=popup_no_bar&amp;width=385&amp;height=120&amp;START_MAXIMIZED=FALSE&amp;creator=factset&amp;display_string=Audit"}</definedName>
    <definedName name="_1474__FDSAUDITLINK__" localSheetId="1" hidden="1">{"fdsup://Directions/FactSet Auditing Viewer?action=AUDIT_VALUE&amp;DB=129&amp;ID1=45230810&amp;VALUEID=01001&amp;SDATE=200902&amp;PERIODTYPE=QTR_STD&amp;window=popup_no_bar&amp;width=385&amp;height=120&amp;START_MAXIMIZED=FALSE&amp;creator=factset&amp;display_string=Audit"}</definedName>
    <definedName name="_1474__FDSAUDITLINK__" hidden="1">{"fdsup://Directions/FactSet Auditing Viewer?action=AUDIT_VALUE&amp;DB=129&amp;ID1=45230810&amp;VALUEID=01001&amp;SDATE=200902&amp;PERIODTYPE=QTR_STD&amp;window=popup_no_bar&amp;width=385&amp;height=120&amp;START_MAXIMIZED=FALSE&amp;creator=factset&amp;display_string=Audit"}</definedName>
    <definedName name="_1475__FDSAUDITLINK__" localSheetId="1" hidden="1">{"fdsup://Directions/FactSet Auditing Viewer?action=AUDIT_VALUE&amp;DB=129&amp;ID1=45230810&amp;VALUEID=01001&amp;SDATE=201002&amp;PERIODTYPE=QTR_STD&amp;window=popup_no_bar&amp;width=385&amp;height=120&amp;START_MAXIMIZED=FALSE&amp;creator=factset&amp;display_string=Audit"}</definedName>
    <definedName name="_1475__FDSAUDITLINK__" hidden="1">{"fdsup://Directions/FactSet Auditing Viewer?action=AUDIT_VALUE&amp;DB=129&amp;ID1=45230810&amp;VALUEID=01001&amp;SDATE=201002&amp;PERIODTYPE=QTR_STD&amp;window=popup_no_bar&amp;width=385&amp;height=120&amp;START_MAXIMIZED=FALSE&amp;creator=factset&amp;display_string=Audit"}</definedName>
    <definedName name="_1476__FDSAUDITLINK__" localSheetId="1" hidden="1">{"fdsup://Directions/FactSet Auditing Viewer?action=AUDIT_VALUE&amp;DB=129&amp;ID1=45091110&amp;VALUEID=01001&amp;SDATE=200902&amp;PERIODTYPE=QTR_STD&amp;window=popup_no_bar&amp;width=385&amp;height=120&amp;START_MAXIMIZED=FALSE&amp;creator=factset&amp;display_string=Audit"}</definedName>
    <definedName name="_1476__FDSAUDITLINK__" hidden="1">{"fdsup://Directions/FactSet Auditing Viewer?action=AUDIT_VALUE&amp;DB=129&amp;ID1=45091110&amp;VALUEID=01001&amp;SDATE=200902&amp;PERIODTYPE=QTR_STD&amp;window=popup_no_bar&amp;width=385&amp;height=120&amp;START_MAXIMIZED=FALSE&amp;creator=factset&amp;display_string=Audit"}</definedName>
    <definedName name="_1477__FDSAUDITLINK__" localSheetId="1" hidden="1">{"fdsup://Directions/FactSet Auditing Viewer?action=AUDIT_VALUE&amp;DB=129&amp;ID1=45091110&amp;VALUEID=01001&amp;SDATE=201002&amp;PERIODTYPE=QTR_STD&amp;window=popup_no_bar&amp;width=385&amp;height=120&amp;START_MAXIMIZED=FALSE&amp;creator=factset&amp;display_string=Audit"}</definedName>
    <definedName name="_1477__FDSAUDITLINK__" hidden="1">{"fdsup://Directions/FactSet Auditing Viewer?action=AUDIT_VALUE&amp;DB=129&amp;ID1=45091110&amp;VALUEID=01001&amp;SDATE=201002&amp;PERIODTYPE=QTR_STD&amp;window=popup_no_bar&amp;width=385&amp;height=120&amp;START_MAXIMIZED=FALSE&amp;creator=factset&amp;display_string=Audit"}</definedName>
    <definedName name="_1478__FDSAUDITLINK__" localSheetId="1" hidden="1">{"fdsup://Directions/FactSet Auditing Viewer?action=AUDIT_VALUE&amp;DB=129&amp;ID1=46120E60&amp;VALUEID=01001&amp;SDATE=200902&amp;PERIODTYPE=QTR_STD&amp;window=popup_no_bar&amp;width=385&amp;height=120&amp;START_MAXIMIZED=FALSE&amp;creator=factset&amp;display_string=Audit"}</definedName>
    <definedName name="_1478__FDSAUDITLINK__" hidden="1">{"fdsup://Directions/FactSet Auditing Viewer?action=AUDIT_VALUE&amp;DB=129&amp;ID1=46120E60&amp;VALUEID=01001&amp;SDATE=200902&amp;PERIODTYPE=QTR_STD&amp;window=popup_no_bar&amp;width=385&amp;height=120&amp;START_MAXIMIZED=FALSE&amp;creator=factset&amp;display_string=Audit"}</definedName>
    <definedName name="_1479__FDSAUDITLINK__" localSheetId="1" hidden="1">{"fdsup://Directions/FactSet Auditing Viewer?action=AUDIT_VALUE&amp;DB=129&amp;ID1=46120E60&amp;VALUEID=01001&amp;SDATE=201002&amp;PERIODTYPE=QTR_STD&amp;window=popup_no_bar&amp;width=385&amp;height=120&amp;START_MAXIMIZED=FALSE&amp;creator=factset&amp;display_string=Audit"}</definedName>
    <definedName name="_1479__FDSAUDITLINK__" hidden="1">{"fdsup://Directions/FactSet Auditing Viewer?action=AUDIT_VALUE&amp;DB=129&amp;ID1=46120E60&amp;VALUEID=01001&amp;SDATE=201002&amp;PERIODTYPE=QTR_STD&amp;window=popup_no_bar&amp;width=385&amp;height=120&amp;START_MAXIMIZED=FALSE&amp;creator=factset&amp;display_string=Audit"}</definedName>
    <definedName name="_148__FDSAUDITLINK__" localSheetId="1"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__FDSAUDITLINK__" hidden="1">{"fdsup://directions/FAT Viewer?action=UPDATE&amp;creator=factset&amp;DYN_ARGS=TRUE&amp;DOC_NAME=FAT:FQL_AUDITING_CLIENT_TEMPLATE.FAT&amp;display_string=Audit&amp;VAR:KEY=ZORQXUDSPW&amp;VAR:QUERY=RkZfRUJJVERBX09QRVIoUVRSLDQvMS8yMDEwLDYvMzAvMjAxMCwsLFVTRCk=&amp;WINDOW=FIRST_POPUP&amp;HEIGH","T=450&amp;WIDTH=450&amp;START_MAXIMIZED=FALSE&amp;VAR:CALENDAR=US&amp;VAR:SYMBOL=SYK&amp;VAR:INDEX=0"}</definedName>
    <definedName name="_1480__FDSAUDITLINK__" localSheetId="1" hidden="1">{"fdsup://Directions/FactSet Auditing Viewer?action=AUDIT_VALUE&amp;DB=129&amp;ID1=46284610&amp;VALUEID=01001&amp;SDATE=200902&amp;PERIODTYPE=QTR_STD&amp;window=popup_no_bar&amp;width=385&amp;height=120&amp;START_MAXIMIZED=FALSE&amp;creator=factset&amp;display_string=Audit"}</definedName>
    <definedName name="_1480__FDSAUDITLINK__" hidden="1">{"fdsup://Directions/FactSet Auditing Viewer?action=AUDIT_VALUE&amp;DB=129&amp;ID1=46284610&amp;VALUEID=01001&amp;SDATE=200902&amp;PERIODTYPE=QTR_STD&amp;window=popup_no_bar&amp;width=385&amp;height=120&amp;START_MAXIMIZED=FALSE&amp;creator=factset&amp;display_string=Audit"}</definedName>
    <definedName name="_1481__FDSAUDITLINK__" localSheetId="1" hidden="1">{"fdsup://Directions/FactSet Auditing Viewer?action=AUDIT_VALUE&amp;DB=129&amp;ID1=46284610&amp;VALUEID=01001&amp;SDATE=201002&amp;PERIODTYPE=QTR_STD&amp;window=popup_no_bar&amp;width=385&amp;height=120&amp;START_MAXIMIZED=FALSE&amp;creator=factset&amp;display_string=Audit"}</definedName>
    <definedName name="_1481__FDSAUDITLINK__" hidden="1">{"fdsup://Directions/FactSet Auditing Viewer?action=AUDIT_VALUE&amp;DB=129&amp;ID1=46284610&amp;VALUEID=01001&amp;SDATE=201002&amp;PERIODTYPE=QTR_STD&amp;window=popup_no_bar&amp;width=385&amp;height=120&amp;START_MAXIMIZED=FALSE&amp;creator=factset&amp;display_string=Audit"}</definedName>
    <definedName name="_1482__FDSAUDITLINK__" localSheetId="1" hidden="1">{"fdsup://Directions/FactSet Auditing Viewer?action=AUDIT_VALUE&amp;DB=129&amp;ID1=46069010&amp;VALUEID=01001&amp;SDATE=200902&amp;PERIODTYPE=QTR_STD&amp;window=popup_no_bar&amp;width=385&amp;height=120&amp;START_MAXIMIZED=FALSE&amp;creator=factset&amp;display_string=Audit"}</definedName>
    <definedName name="_1482__FDSAUDITLINK__" hidden="1">{"fdsup://Directions/FactSet Auditing Viewer?action=AUDIT_VALUE&amp;DB=129&amp;ID1=46069010&amp;VALUEID=01001&amp;SDATE=200902&amp;PERIODTYPE=QTR_STD&amp;window=popup_no_bar&amp;width=385&amp;height=120&amp;START_MAXIMIZED=FALSE&amp;creator=factset&amp;display_string=Audit"}</definedName>
    <definedName name="_1483__FDSAUDITLINK__" localSheetId="1" hidden="1">{"fdsup://Directions/FactSet Auditing Viewer?action=AUDIT_VALUE&amp;DB=129&amp;ID1=46069010&amp;VALUEID=01001&amp;SDATE=201002&amp;PERIODTYPE=QTR_STD&amp;window=popup_no_bar&amp;width=385&amp;height=120&amp;START_MAXIMIZED=FALSE&amp;creator=factset&amp;display_string=Audit"}</definedName>
    <definedName name="_1483__FDSAUDITLINK__" hidden="1">{"fdsup://Directions/FactSet Auditing Viewer?action=AUDIT_VALUE&amp;DB=129&amp;ID1=46069010&amp;VALUEID=01001&amp;SDATE=201002&amp;PERIODTYPE=QTR_STD&amp;window=popup_no_bar&amp;width=385&amp;height=120&amp;START_MAXIMIZED=FALSE&amp;creator=factset&amp;display_string=Audit"}</definedName>
    <definedName name="_1484__FDSAUDITLINK__" localSheetId="1" hidden="1">{"fdsup://Directions/FactSet Auditing Viewer?action=AUDIT_VALUE&amp;DB=129&amp;ID1=46014610&amp;VALUEID=01001&amp;SDATE=200902&amp;PERIODTYPE=QTR_STD&amp;window=popup_no_bar&amp;width=385&amp;height=120&amp;START_MAXIMIZED=FALSE&amp;creator=factset&amp;display_string=Audit"}</definedName>
    <definedName name="_1484__FDSAUDITLINK__" hidden="1">{"fdsup://Directions/FactSet Auditing Viewer?action=AUDIT_VALUE&amp;DB=129&amp;ID1=46014610&amp;VALUEID=01001&amp;SDATE=200902&amp;PERIODTYPE=QTR_STD&amp;window=popup_no_bar&amp;width=385&amp;height=120&amp;START_MAXIMIZED=FALSE&amp;creator=factset&amp;display_string=Audit"}</definedName>
    <definedName name="_1485__FDSAUDITLINK__" localSheetId="1" hidden="1">{"fdsup://Directions/FactSet Auditing Viewer?action=AUDIT_VALUE&amp;DB=129&amp;ID1=46014610&amp;VALUEID=01001&amp;SDATE=201002&amp;PERIODTYPE=QTR_STD&amp;window=popup_no_bar&amp;width=385&amp;height=120&amp;START_MAXIMIZED=FALSE&amp;creator=factset&amp;display_string=Audit"}</definedName>
    <definedName name="_1485__FDSAUDITLINK__" hidden="1">{"fdsup://Directions/FactSet Auditing Viewer?action=AUDIT_VALUE&amp;DB=129&amp;ID1=46014610&amp;VALUEID=01001&amp;SDATE=201002&amp;PERIODTYPE=QTR_STD&amp;window=popup_no_bar&amp;width=385&amp;height=120&amp;START_MAXIMIZED=FALSE&amp;creator=factset&amp;display_string=Audit"}</definedName>
    <definedName name="_1486__FDSAUDITLINK__" localSheetId="1" hidden="1">{"fdsup://Directions/FactSet Auditing Viewer?action=AUDIT_VALUE&amp;DB=129&amp;ID1=46120210&amp;VALUEID=01001&amp;SDATE=200903&amp;PERIODTYPE=QTR_STD&amp;window=popup_no_bar&amp;width=385&amp;height=120&amp;START_MAXIMIZED=FALSE&amp;creator=factset&amp;display_string=Audit"}</definedName>
    <definedName name="_1486__FDSAUDITLINK__" hidden="1">{"fdsup://Directions/FactSet Auditing Viewer?action=AUDIT_VALUE&amp;DB=129&amp;ID1=46120210&amp;VALUEID=01001&amp;SDATE=200903&amp;PERIODTYPE=QTR_STD&amp;window=popup_no_bar&amp;width=385&amp;height=120&amp;START_MAXIMIZED=FALSE&amp;creator=factset&amp;display_string=Audit"}</definedName>
    <definedName name="_1487__FDSAUDITLINK__" localSheetId="1" hidden="1">{"fdsup://Directions/FactSet Auditing Viewer?action=AUDIT_VALUE&amp;DB=129&amp;ID1=46120210&amp;VALUEID=01001&amp;SDATE=201003&amp;PERIODTYPE=QTR_STD&amp;window=popup_no_bar&amp;width=385&amp;height=120&amp;START_MAXIMIZED=FALSE&amp;creator=factset&amp;display_string=Audit"}</definedName>
    <definedName name="_1487__FDSAUDITLINK__" hidden="1">{"fdsup://Directions/FactSet Auditing Viewer?action=AUDIT_VALUE&amp;DB=129&amp;ID1=46120210&amp;VALUEID=01001&amp;SDATE=201003&amp;PERIODTYPE=QTR_STD&amp;window=popup_no_bar&amp;width=385&amp;height=120&amp;START_MAXIMIZED=FALSE&amp;creator=factset&amp;display_string=Audit"}</definedName>
    <definedName name="_1488__FDSAUDITLINK__" localSheetId="1" hidden="1">{"fdsup://Directions/FactSet Auditing Viewer?action=AUDIT_VALUE&amp;DB=129&amp;ID1=45814010&amp;VALUEID=01001&amp;SDATE=200902&amp;PERIODTYPE=QTR_STD&amp;window=popup_no_bar&amp;width=385&amp;height=120&amp;START_MAXIMIZED=FALSE&amp;creator=factset&amp;display_string=Audit"}</definedName>
    <definedName name="_1488__FDSAUDITLINK__" hidden="1">{"fdsup://Directions/FactSet Auditing Viewer?action=AUDIT_VALUE&amp;DB=129&amp;ID1=45814010&amp;VALUEID=01001&amp;SDATE=200902&amp;PERIODTYPE=QTR_STD&amp;window=popup_no_bar&amp;width=385&amp;height=120&amp;START_MAXIMIZED=FALSE&amp;creator=factset&amp;display_string=Audit"}</definedName>
    <definedName name="_1489__FDSAUDITLINK__" localSheetId="1" hidden="1">{"fdsup://Directions/FactSet Auditing Viewer?action=AUDIT_VALUE&amp;DB=129&amp;ID1=45814010&amp;VALUEID=01001&amp;SDATE=201002&amp;PERIODTYPE=QTR_STD&amp;window=popup_no_bar&amp;width=385&amp;height=120&amp;START_MAXIMIZED=FALSE&amp;creator=factset&amp;display_string=Audit"}</definedName>
    <definedName name="_1489__FDSAUDITLINK__" hidden="1">{"fdsup://Directions/FactSet Auditing Viewer?action=AUDIT_VALUE&amp;DB=129&amp;ID1=45814010&amp;VALUEID=01001&amp;SDATE=201002&amp;PERIODTYPE=QTR_STD&amp;window=popup_no_bar&amp;width=385&amp;height=120&amp;START_MAXIMIZED=FALSE&amp;creator=factset&amp;display_string=Audit"}</definedName>
    <definedName name="_149__FDSAUDITLINK__" localSheetId="1"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__FDSAUDITLINK__" hidden="1">{"fdsup://directions/FAT Viewer?action=UPDATE&amp;creator=factset&amp;DYN_ARGS=TRUE&amp;DOC_NAME=FAT:FQL_AUDITING_CLIENT_TEMPLATE.FAT&amp;display_string=Audit&amp;VAR:KEY=RGLWHGVEXO&amp;VAR:QUERY=RkZfRUJJVERBX09QRVIoUVRSLDQvMS8yMDA5LDYvMzAvMjAwOSwsLFVTRCk=&amp;WINDOW=FIRST_POPUP&amp;HEIGH","T=450&amp;WIDTH=450&amp;START_MAXIMIZED=FALSE&amp;VAR:CALENDAR=US&amp;VAR:SYMBOL=SWY&amp;VAR:INDEX=0"}</definedName>
    <definedName name="_1490__FDSAUDITLINK__" localSheetId="1" hidden="1">{"fdsup://Directions/FactSet Auditing Viewer?action=AUDIT_VALUE&amp;DB=129&amp;ID1=45990210&amp;VALUEID=01001&amp;SDATE=200903&amp;PERIODTYPE=QTR_STD&amp;window=popup_no_bar&amp;width=385&amp;height=120&amp;START_MAXIMIZED=FALSE&amp;creator=factset&amp;display_string=Audit"}</definedName>
    <definedName name="_1490__FDSAUDITLINK__" hidden="1">{"fdsup://Directions/FactSet Auditing Viewer?action=AUDIT_VALUE&amp;DB=129&amp;ID1=45990210&amp;VALUEID=01001&amp;SDATE=200903&amp;PERIODTYPE=QTR_STD&amp;window=popup_no_bar&amp;width=385&amp;height=120&amp;START_MAXIMIZED=FALSE&amp;creator=factset&amp;display_string=Audit"}</definedName>
    <definedName name="_1491__FDSAUDITLINK__" localSheetId="1" hidden="1">{"fdsup://Directions/FactSet Auditing Viewer?action=AUDIT_VALUE&amp;DB=129&amp;ID1=45990210&amp;VALUEID=01001&amp;SDATE=201003&amp;PERIODTYPE=QTR_STD&amp;window=popup_no_bar&amp;width=385&amp;height=120&amp;START_MAXIMIZED=FALSE&amp;creator=factset&amp;display_string=Audit"}</definedName>
    <definedName name="_1491__FDSAUDITLINK__" hidden="1">{"fdsup://Directions/FactSet Auditing Viewer?action=AUDIT_VALUE&amp;DB=129&amp;ID1=45990210&amp;VALUEID=01001&amp;SDATE=201003&amp;PERIODTYPE=QTR_STD&amp;window=popup_no_bar&amp;width=385&amp;height=120&amp;START_MAXIMIZED=FALSE&amp;creator=factset&amp;display_string=Audit"}</definedName>
    <definedName name="_1492__FDSAUDITLINK__" localSheetId="1" hidden="1">{"fdsup://Directions/FactSet Auditing Viewer?action=AUDIT_VALUE&amp;DB=129&amp;ID1=45950610&amp;VALUEID=01001&amp;SDATE=200902&amp;PERIODTYPE=QTR_STD&amp;window=popup_no_bar&amp;width=385&amp;height=120&amp;START_MAXIMIZED=FALSE&amp;creator=factset&amp;display_string=Audit"}</definedName>
    <definedName name="_1492__FDSAUDITLINK__" hidden="1">{"fdsup://Directions/FactSet Auditing Viewer?action=AUDIT_VALUE&amp;DB=129&amp;ID1=45950610&amp;VALUEID=01001&amp;SDATE=200902&amp;PERIODTYPE=QTR_STD&amp;window=popup_no_bar&amp;width=385&amp;height=120&amp;START_MAXIMIZED=FALSE&amp;creator=factset&amp;display_string=Audit"}</definedName>
    <definedName name="_1493__FDSAUDITLINK__" localSheetId="1" hidden="1">{"fdsup://Directions/FactSet Auditing Viewer?action=AUDIT_VALUE&amp;DB=129&amp;ID1=45950610&amp;VALUEID=01001&amp;SDATE=201002&amp;PERIODTYPE=QTR_STD&amp;window=popup_no_bar&amp;width=385&amp;height=120&amp;START_MAXIMIZED=FALSE&amp;creator=factset&amp;display_string=Audit"}</definedName>
    <definedName name="_1493__FDSAUDITLINK__" hidden="1">{"fdsup://Directions/FactSet Auditing Viewer?action=AUDIT_VALUE&amp;DB=129&amp;ID1=45950610&amp;VALUEID=01001&amp;SDATE=201002&amp;PERIODTYPE=QTR_STD&amp;window=popup_no_bar&amp;width=385&amp;height=120&amp;START_MAXIMIZED=FALSE&amp;creator=factset&amp;display_string=Audit"}</definedName>
    <definedName name="_1494__FDSAUDITLINK__" localSheetId="1" hidden="1">{"fdsup://Directions/FactSet Auditing Viewer?action=AUDIT_VALUE&amp;DB=129&amp;ID1=45865V10&amp;VALUEID=01001&amp;SDATE=200902&amp;PERIODTYPE=QTR_STD&amp;window=popup_no_bar&amp;width=385&amp;height=120&amp;START_MAXIMIZED=FALSE&amp;creator=factset&amp;display_string=Audit"}</definedName>
    <definedName name="_1494__FDSAUDITLINK__" hidden="1">{"fdsup://Directions/FactSet Auditing Viewer?action=AUDIT_VALUE&amp;DB=129&amp;ID1=45865V10&amp;VALUEID=01001&amp;SDATE=200902&amp;PERIODTYPE=QTR_STD&amp;window=popup_no_bar&amp;width=385&amp;height=120&amp;START_MAXIMIZED=FALSE&amp;creator=factset&amp;display_string=Audit"}</definedName>
    <definedName name="_1495__FDSAUDITLINK__" localSheetId="1" hidden="1">{"fdsup://Directions/FactSet Auditing Viewer?action=AUDIT_VALUE&amp;DB=129&amp;ID1=45865V10&amp;VALUEID=01001&amp;SDATE=201002&amp;PERIODTYPE=QTR_STD&amp;window=popup_no_bar&amp;width=385&amp;height=120&amp;START_MAXIMIZED=FALSE&amp;creator=factset&amp;display_string=Audit"}</definedName>
    <definedName name="_1495__FDSAUDITLINK__" hidden="1">{"fdsup://Directions/FactSet Auditing Viewer?action=AUDIT_VALUE&amp;DB=129&amp;ID1=45865V10&amp;VALUEID=01001&amp;SDATE=201002&amp;PERIODTYPE=QTR_STD&amp;window=popup_no_bar&amp;width=385&amp;height=120&amp;START_MAXIMIZED=FALSE&amp;creator=factset&amp;display_string=Audit"}</definedName>
    <definedName name="_1496__FDSAUDITLINK__" localSheetId="1" hidden="1">{"fdsup://Directions/FactSet Auditing Viewer?action=AUDIT_VALUE&amp;DB=129&amp;ID1=45920010&amp;VALUEID=01001&amp;SDATE=200902&amp;PERIODTYPE=QTR_STD&amp;window=popup_no_bar&amp;width=385&amp;height=120&amp;START_MAXIMIZED=FALSE&amp;creator=factset&amp;display_string=Audit"}</definedName>
    <definedName name="_1496__FDSAUDITLINK__" hidden="1">{"fdsup://Directions/FactSet Auditing Viewer?action=AUDIT_VALUE&amp;DB=129&amp;ID1=45920010&amp;VALUEID=01001&amp;SDATE=200902&amp;PERIODTYPE=QTR_STD&amp;window=popup_no_bar&amp;width=385&amp;height=120&amp;START_MAXIMIZED=FALSE&amp;creator=factset&amp;display_string=Audit"}</definedName>
    <definedName name="_1497__FDSAUDITLINK__" localSheetId="1" hidden="1">{"fdsup://Directions/FactSet Auditing Viewer?action=AUDIT_VALUE&amp;DB=129&amp;ID1=45920010&amp;VALUEID=01001&amp;SDATE=201002&amp;PERIODTYPE=QTR_STD&amp;window=popup_no_bar&amp;width=385&amp;height=120&amp;START_MAXIMIZED=FALSE&amp;creator=factset&amp;display_string=Audit"}</definedName>
    <definedName name="_1497__FDSAUDITLINK__" hidden="1">{"fdsup://Directions/FactSet Auditing Viewer?action=AUDIT_VALUE&amp;DB=129&amp;ID1=45920010&amp;VALUEID=01001&amp;SDATE=201002&amp;PERIODTYPE=QTR_STD&amp;window=popup_no_bar&amp;width=385&amp;height=120&amp;START_MAXIMIZED=FALSE&amp;creator=factset&amp;display_string=Audit"}</definedName>
    <definedName name="_1498__FDSAUDITLINK__" localSheetId="1" hidden="1">{"fdsup://Directions/FactSet Auditing Viewer?action=AUDIT_VALUE&amp;DB=129&amp;ID1=44485910&amp;VALUEID=01001&amp;SDATE=200902&amp;PERIODTYPE=QTR_STD&amp;window=popup_no_bar&amp;width=385&amp;height=120&amp;START_MAXIMIZED=FALSE&amp;creator=factset&amp;display_string=Audit"}</definedName>
    <definedName name="_1498__FDSAUDITLINK__" hidden="1">{"fdsup://Directions/FactSet Auditing Viewer?action=AUDIT_VALUE&amp;DB=129&amp;ID1=44485910&amp;VALUEID=01001&amp;SDATE=200902&amp;PERIODTYPE=QTR_STD&amp;window=popup_no_bar&amp;width=385&amp;height=120&amp;START_MAXIMIZED=FALSE&amp;creator=factset&amp;display_string=Audit"}</definedName>
    <definedName name="_1499__FDSAUDITLINK__" localSheetId="1" hidden="1">{"fdsup://Directions/FactSet Auditing Viewer?action=AUDIT_VALUE&amp;DB=129&amp;ID1=44485910&amp;VALUEID=01001&amp;SDATE=201002&amp;PERIODTYPE=QTR_STD&amp;window=popup_no_bar&amp;width=385&amp;height=120&amp;START_MAXIMIZED=FALSE&amp;creator=factset&amp;display_string=Audit"}</definedName>
    <definedName name="_1499__FDSAUDITLINK__" hidden="1">{"fdsup://Directions/FactSet Auditing Viewer?action=AUDIT_VALUE&amp;DB=129&amp;ID1=44485910&amp;VALUEID=01001&amp;SDATE=201002&amp;PERIODTYPE=QTR_STD&amp;window=popup_no_bar&amp;width=385&amp;height=120&amp;START_MAXIMIZED=FALSE&amp;creator=factset&amp;display_string=Audit"}</definedName>
    <definedName name="_15__FDSAUDITLINK__" localSheetId="1" hidden="1">{"fdsup://directions/FAT Viewer?action=UPDATE&amp;creator=factset&amp;DYN_ARGS=TRUE&amp;DOC_NAME=FAT:FQL_AUDITING_CLIENT_TEMPLATE.FAT&amp;display_string=Audit&amp;VAR:KEY=ZEPILGTOJO&amp;VAR:QUERY=RkZfRUJJVERBX09QRVIoUVRSLDQvMS8yMDA5LDYvMzAvMjAwOSwsLFVTRCk=&amp;WINDOW=FIRST_POPUP&amp;HEIGH","T=450&amp;WIDTH=450&amp;START_MAXIMIZED=FALSE&amp;VAR:CALENDAR=US&amp;VAR:SYMBOL=XLNX&amp;VAR:INDEX=0"}</definedName>
    <definedName name="_15__FDSAUDITLINK__" hidden="1">{"fdsup://directions/FAT Viewer?action=UPDATE&amp;creator=factset&amp;DYN_ARGS=TRUE&amp;DOC_NAME=FAT:FQL_AUDITING_CLIENT_TEMPLATE.FAT&amp;display_string=Audit&amp;VAR:KEY=ZEPILGTOJO&amp;VAR:QUERY=RkZfRUJJVERBX09QRVIoUVRSLDQvMS8yMDA5LDYvMzAvMjAwOSwsLFVTRCk=&amp;WINDOW=FIRST_POPUP&amp;HEIGH","T=450&amp;WIDTH=450&amp;START_MAXIMIZED=FALSE&amp;VAR:CALENDAR=US&amp;VAR:SYMBOL=XLNX&amp;VAR:INDEX=0"}</definedName>
    <definedName name="_150__FDSAUDITLINK__" localSheetId="1"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__FDSAUDITLINK__" hidden="1">{"fdsup://directions/FAT Viewer?action=UPDATE&amp;creator=factset&amp;DYN_ARGS=TRUE&amp;DOC_NAME=FAT:FQL_AUDITING_CLIENT_TEMPLATE.FAT&amp;display_string=Audit&amp;VAR:KEY=JGHIBMLYBM&amp;VAR:QUERY=RkZfRUJJVERBX09QRVIoUVRSLDQvMS8yMDEwLDYvMzAvMjAxMCwsLFVTRCk=&amp;WINDOW=FIRST_POPUP&amp;HEIGH","T=450&amp;WIDTH=450&amp;START_MAXIMIZED=FALSE&amp;VAR:CALENDAR=US&amp;VAR:SYMBOL=SWY&amp;VAR:INDEX=0"}</definedName>
    <definedName name="_1500__FDSAUDITLINK__" localSheetId="1" hidden="1">{"fdsup://Directions/FactSet Auditing Viewer?action=AUDIT_VALUE&amp;DB=129&amp;ID1=42786610&amp;VALUEID=01001&amp;SDATE=200902&amp;PERIODTYPE=QTR_STD&amp;window=popup_no_bar&amp;width=385&amp;height=120&amp;START_MAXIMIZED=FALSE&amp;creator=factset&amp;display_string=Audit"}</definedName>
    <definedName name="_1500__FDSAUDITLINK__" hidden="1">{"fdsup://Directions/FactSet Auditing Viewer?action=AUDIT_VALUE&amp;DB=129&amp;ID1=42786610&amp;VALUEID=01001&amp;SDATE=200902&amp;PERIODTYPE=QTR_STD&amp;window=popup_no_bar&amp;width=385&amp;height=120&amp;START_MAXIMIZED=FALSE&amp;creator=factset&amp;display_string=Audit"}</definedName>
    <definedName name="_1501__FDSAUDITLINK__" localSheetId="1" hidden="1">{"fdsup://Directions/FactSet Auditing Viewer?action=AUDIT_VALUE&amp;DB=129&amp;ID1=42786610&amp;VALUEID=01001&amp;SDATE=201002&amp;PERIODTYPE=QTR_STD&amp;window=popup_no_bar&amp;width=385&amp;height=120&amp;START_MAXIMIZED=FALSE&amp;creator=factset&amp;display_string=Audit"}</definedName>
    <definedName name="_1501__FDSAUDITLINK__" hidden="1">{"fdsup://Directions/FactSet Auditing Viewer?action=AUDIT_VALUE&amp;DB=129&amp;ID1=42786610&amp;VALUEID=01001&amp;SDATE=201002&amp;PERIODTYPE=QTR_STD&amp;window=popup_no_bar&amp;width=385&amp;height=120&amp;START_MAXIMIZED=FALSE&amp;creator=factset&amp;display_string=Audit"}</definedName>
    <definedName name="_1502__FDSAUDITLINK__" localSheetId="1" hidden="1">{"fdsup://Directions/FactSet Auditing Viewer?action=AUDIT_VALUE&amp;DB=129&amp;ID1=44107P10&amp;VALUEID=01001&amp;SDATE=200902&amp;PERIODTYPE=QTR_STD&amp;window=popup_no_bar&amp;width=385&amp;height=120&amp;START_MAXIMIZED=FALSE&amp;creator=factset&amp;display_string=Audit"}</definedName>
    <definedName name="_1502__FDSAUDITLINK__" hidden="1">{"fdsup://Directions/FactSet Auditing Viewer?action=AUDIT_VALUE&amp;DB=129&amp;ID1=44107P10&amp;VALUEID=01001&amp;SDATE=200902&amp;PERIODTYPE=QTR_STD&amp;window=popup_no_bar&amp;width=385&amp;height=120&amp;START_MAXIMIZED=FALSE&amp;creator=factset&amp;display_string=Audit"}</definedName>
    <definedName name="_1503__FDSAUDITLINK__" localSheetId="1" hidden="1">{"fdsup://Directions/FactSet Auditing Viewer?action=AUDIT_VALUE&amp;DB=129&amp;ID1=44107P10&amp;VALUEID=01001&amp;SDATE=201002&amp;PERIODTYPE=QTR_STD&amp;window=popup_no_bar&amp;width=385&amp;height=120&amp;START_MAXIMIZED=FALSE&amp;creator=factset&amp;display_string=Audit"}</definedName>
    <definedName name="_1503__FDSAUDITLINK__" hidden="1">{"fdsup://Directions/FactSet Auditing Viewer?action=AUDIT_VALUE&amp;DB=129&amp;ID1=44107P10&amp;VALUEID=01001&amp;SDATE=201002&amp;PERIODTYPE=QTR_STD&amp;window=popup_no_bar&amp;width=385&amp;height=120&amp;START_MAXIMIZED=FALSE&amp;creator=factset&amp;display_string=Audit"}</definedName>
    <definedName name="_1504__FDSAUDITLINK__" localSheetId="1" hidden="1">{"fdsup://Directions/FactSet Auditing Viewer?action=AUDIT_VALUE&amp;DB=129&amp;ID1=44106010&amp;VALUEID=01001&amp;SDATE=200902&amp;PERIODTYPE=QTR_STD&amp;window=popup_no_bar&amp;width=385&amp;height=120&amp;START_MAXIMIZED=FALSE&amp;creator=factset&amp;display_string=Audit"}</definedName>
    <definedName name="_1504__FDSAUDITLINK__" hidden="1">{"fdsup://Directions/FactSet Auditing Viewer?action=AUDIT_VALUE&amp;DB=129&amp;ID1=44106010&amp;VALUEID=01001&amp;SDATE=200902&amp;PERIODTYPE=QTR_STD&amp;window=popup_no_bar&amp;width=385&amp;height=120&amp;START_MAXIMIZED=FALSE&amp;creator=factset&amp;display_string=Audit"}</definedName>
    <definedName name="_1505__FDSAUDITLINK__" localSheetId="1" hidden="1">{"fdsup://Directions/FactSet Auditing Viewer?action=AUDIT_VALUE&amp;DB=129&amp;ID1=44106010&amp;VALUEID=01001&amp;SDATE=201002&amp;PERIODTYPE=QTR_STD&amp;window=popup_no_bar&amp;width=385&amp;height=120&amp;START_MAXIMIZED=FALSE&amp;creator=factset&amp;display_string=Audit"}</definedName>
    <definedName name="_1505__FDSAUDITLINK__" hidden="1">{"fdsup://Directions/FactSet Auditing Viewer?action=AUDIT_VALUE&amp;DB=129&amp;ID1=44106010&amp;VALUEID=01001&amp;SDATE=201002&amp;PERIODTYPE=QTR_STD&amp;window=popup_no_bar&amp;width=385&amp;height=120&amp;START_MAXIMIZED=FALSE&amp;creator=factset&amp;display_string=Audit"}</definedName>
    <definedName name="_1506__FDSAUDITLINK__" localSheetId="1" hidden="1">{"fdsup://Directions/FactSet Auditing Viewer?action=AUDIT_VALUE&amp;DB=129&amp;ID1=41387510&amp;VALUEID=01001&amp;SDATE=201004&amp;PERIODTYPE=QTR_STD&amp;window=popup_no_bar&amp;width=385&amp;height=120&amp;START_MAXIMIZED=FALSE&amp;creator=factset&amp;display_string=Audit"}</definedName>
    <definedName name="_1506__FDSAUDITLINK__" hidden="1">{"fdsup://Directions/FactSet Auditing Viewer?action=AUDIT_VALUE&amp;DB=129&amp;ID1=41387510&amp;VALUEID=01001&amp;SDATE=201004&amp;PERIODTYPE=QTR_STD&amp;window=popup_no_bar&amp;width=385&amp;height=120&amp;START_MAXIMIZED=FALSE&amp;creator=factset&amp;display_string=Audit"}</definedName>
    <definedName name="_1507__FDSAUDITLINK__" localSheetId="1" hidden="1">{"fdsup://Directions/FactSet Auditing Viewer?action=AUDIT_VALUE&amp;DB=129&amp;ID1=44045210&amp;VALUEID=01001&amp;SDATE=200902&amp;PERIODTYPE=QTR_STD&amp;window=popup_no_bar&amp;width=385&amp;height=120&amp;START_MAXIMIZED=FALSE&amp;creator=factset&amp;display_string=Audit"}</definedName>
    <definedName name="_1507__FDSAUDITLINK__" hidden="1">{"fdsup://Directions/FactSet Auditing Viewer?action=AUDIT_VALUE&amp;DB=129&amp;ID1=44045210&amp;VALUEID=01001&amp;SDATE=200902&amp;PERIODTYPE=QTR_STD&amp;window=popup_no_bar&amp;width=385&amp;height=120&amp;START_MAXIMIZED=FALSE&amp;creator=factset&amp;display_string=Audit"}</definedName>
    <definedName name="_1508__FDSAUDITLINK__" localSheetId="1" hidden="1">{"fdsup://Directions/FactSet Auditing Viewer?action=AUDIT_VALUE&amp;DB=129&amp;ID1=44045210&amp;VALUEID=01001&amp;SDATE=201002&amp;PERIODTYPE=QTR_STD&amp;window=popup_no_bar&amp;width=385&amp;height=120&amp;START_MAXIMIZED=FALSE&amp;creator=factset&amp;display_string=Audit"}</definedName>
    <definedName name="_1508__FDSAUDITLINK__" hidden="1">{"fdsup://Directions/FactSet Auditing Viewer?action=AUDIT_VALUE&amp;DB=129&amp;ID1=44045210&amp;VALUEID=01001&amp;SDATE=201002&amp;PERIODTYPE=QTR_STD&amp;window=popup_no_bar&amp;width=385&amp;height=120&amp;START_MAXIMIZED=FALSE&amp;creator=factset&amp;display_string=Audit"}</definedName>
    <definedName name="_1509__FDSAUDITLINK__" localSheetId="1" hidden="1">{"fdsup://Directions/FactSet Auditing Viewer?action=AUDIT_VALUE&amp;DB=129&amp;ID1=09367110&amp;VALUEID=01001&amp;SDATE=200904&amp;PERIODTYPE=QTR_STD&amp;window=popup_no_bar&amp;width=385&amp;height=120&amp;START_MAXIMIZED=FALSE&amp;creator=factset&amp;display_string=Audit"}</definedName>
    <definedName name="_1509__FDSAUDITLINK__" hidden="1">{"fdsup://Directions/FactSet Auditing Viewer?action=AUDIT_VALUE&amp;DB=129&amp;ID1=09367110&amp;VALUEID=01001&amp;SDATE=200904&amp;PERIODTYPE=QTR_STD&amp;window=popup_no_bar&amp;width=385&amp;height=120&amp;START_MAXIMIZED=FALSE&amp;creator=factset&amp;display_string=Audit"}</definedName>
    <definedName name="_151__FDSAUDITLINK__" localSheetId="1"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__FDSAUDITLINK__" hidden="1">{"fdsup://directions/FAT Viewer?action=UPDATE&amp;creator=factset&amp;DYN_ARGS=TRUE&amp;DOC_NAME=FAT:FQL_AUDITING_CLIENT_TEMPLATE.FAT&amp;display_string=Audit&amp;VAR:KEY=DWLALAPQPA&amp;VAR:QUERY=RkZfRUJJVERBX09QRVIoUVRSLDQvMS8yMDA5LDYvMzAvMjAwOSwsLFVTRCk=&amp;WINDOW=FIRST_POPUP&amp;HEIGH","T=450&amp;WIDTH=450&amp;START_MAXIMIZED=FALSE&amp;VAR:CALENDAR=US&amp;VAR:SYMBOL=SWN&amp;VAR:INDEX=0"}</definedName>
    <definedName name="_1510__FDSAUDITLINK__" localSheetId="1" hidden="1">{"fdsup://Directions/FactSet Auditing Viewer?action=AUDIT_VALUE&amp;DB=129&amp;ID1=42823610&amp;VALUEID=01001&amp;SDATE=200902&amp;PERIODTYPE=QTR_STD&amp;window=popup_no_bar&amp;width=385&amp;height=120&amp;START_MAXIMIZED=FALSE&amp;creator=factset&amp;display_string=Audit"}</definedName>
    <definedName name="_1510__FDSAUDITLINK__" hidden="1">{"fdsup://Directions/FactSet Auditing Viewer?action=AUDIT_VALUE&amp;DB=129&amp;ID1=42823610&amp;VALUEID=01001&amp;SDATE=200902&amp;PERIODTYPE=QTR_STD&amp;window=popup_no_bar&amp;width=385&amp;height=120&amp;START_MAXIMIZED=FALSE&amp;creator=factset&amp;display_string=Audit"}</definedName>
    <definedName name="_1511__FDSAUDITLINK__" localSheetId="1" hidden="1">{"fdsup://Directions/FactSet Auditing Viewer?action=AUDIT_VALUE&amp;DB=129&amp;ID1=42823610&amp;VALUEID=01001&amp;SDATE=201002&amp;PERIODTYPE=QTR_STD&amp;window=popup_no_bar&amp;width=385&amp;height=120&amp;START_MAXIMIZED=FALSE&amp;creator=factset&amp;display_string=Audit"}</definedName>
    <definedName name="_1511__FDSAUDITLINK__" hidden="1">{"fdsup://Directions/FactSet Auditing Viewer?action=AUDIT_VALUE&amp;DB=129&amp;ID1=42823610&amp;VALUEID=01001&amp;SDATE=201002&amp;PERIODTYPE=QTR_STD&amp;window=popup_no_bar&amp;width=385&amp;height=120&amp;START_MAXIMIZED=FALSE&amp;creator=factset&amp;display_string=Audit"}</definedName>
    <definedName name="_1512__FDSAUDITLINK__" localSheetId="1" hidden="1">{"fdsup://Directions/FactSet Auditing Viewer?action=AUDIT_VALUE&amp;DB=129&amp;ID1=42345210&amp;VALUEID=01001&amp;SDATE=200903&amp;PERIODTYPE=QTR_STD&amp;window=popup_no_bar&amp;width=385&amp;height=120&amp;START_MAXIMIZED=FALSE&amp;creator=factset&amp;display_string=Audit"}</definedName>
    <definedName name="_1512__FDSAUDITLINK__" hidden="1">{"fdsup://Directions/FactSet Auditing Viewer?action=AUDIT_VALUE&amp;DB=129&amp;ID1=42345210&amp;VALUEID=01001&amp;SDATE=200903&amp;PERIODTYPE=QTR_STD&amp;window=popup_no_bar&amp;width=385&amp;height=120&amp;START_MAXIMIZED=FALSE&amp;creator=factset&amp;display_string=Audit"}</definedName>
    <definedName name="_1513__FDSAUDITLINK__" localSheetId="1" hidden="1">{"fdsup://Directions/FactSet Auditing Viewer?action=AUDIT_VALUE&amp;DB=129&amp;ID1=42345210&amp;VALUEID=01001&amp;SDATE=201003&amp;PERIODTYPE=QTR_STD&amp;window=popup_no_bar&amp;width=385&amp;height=120&amp;START_MAXIMIZED=FALSE&amp;creator=factset&amp;display_string=Audit"}</definedName>
    <definedName name="_1513__FDSAUDITLINK__" hidden="1">{"fdsup://Directions/FactSet Auditing Viewer?action=AUDIT_VALUE&amp;DB=129&amp;ID1=42345210&amp;VALUEID=01001&amp;SDATE=201003&amp;PERIODTYPE=QTR_STD&amp;window=popup_no_bar&amp;width=385&amp;height=120&amp;START_MAXIMIZED=FALSE&amp;creator=factset&amp;display_string=Audit"}</definedName>
    <definedName name="_1514__FDSAUDITLINK__" localSheetId="1" hidden="1">{"fdsup://Directions/FactSet Auditing Viewer?action=AUDIT_VALUE&amp;DB=129&amp;ID1=85590A40&amp;VALUEID=01001&amp;SDATE=200902&amp;PERIODTYPE=QTR_STD&amp;window=popup_no_bar&amp;width=385&amp;height=120&amp;START_MAXIMIZED=FALSE&amp;creator=factset&amp;display_string=Audit"}</definedName>
    <definedName name="_1514__FDSAUDITLINK__" hidden="1">{"fdsup://Directions/FactSet Auditing Viewer?action=AUDIT_VALUE&amp;DB=129&amp;ID1=85590A40&amp;VALUEID=01001&amp;SDATE=200902&amp;PERIODTYPE=QTR_STD&amp;window=popup_no_bar&amp;width=385&amp;height=120&amp;START_MAXIMIZED=FALSE&amp;creator=factset&amp;display_string=Audit"}</definedName>
    <definedName name="_1515__FDSAUDITLINK__" localSheetId="1" hidden="1">{"fdsup://Directions/FactSet Auditing Viewer?action=AUDIT_VALUE&amp;DB=129&amp;ID1=85590A40&amp;VALUEID=01001&amp;SDATE=201002&amp;PERIODTYPE=QTR_STD&amp;window=popup_no_bar&amp;width=385&amp;height=120&amp;START_MAXIMIZED=FALSE&amp;creator=factset&amp;display_string=Audit"}</definedName>
    <definedName name="_1515__FDSAUDITLINK__" hidden="1">{"fdsup://Directions/FactSet Auditing Viewer?action=AUDIT_VALUE&amp;DB=129&amp;ID1=85590A40&amp;VALUEID=01001&amp;SDATE=201002&amp;PERIODTYPE=QTR_STD&amp;window=popup_no_bar&amp;width=385&amp;height=120&amp;START_MAXIMIZED=FALSE&amp;creator=factset&amp;display_string=Audit"}</definedName>
    <definedName name="_1516__FDSAUDITLINK__" localSheetId="1" hidden="1">{"fdsup://Directions/FactSet Auditing Viewer?action=AUDIT_VALUE&amp;DB=129&amp;ID1=43851610&amp;VALUEID=01001&amp;SDATE=200902&amp;PERIODTYPE=QTR_STD&amp;window=popup_no_bar&amp;width=385&amp;height=120&amp;START_MAXIMIZED=FALSE&amp;creator=factset&amp;display_string=Audit"}</definedName>
    <definedName name="_1516__FDSAUDITLINK__" hidden="1">{"fdsup://Directions/FactSet Auditing Viewer?action=AUDIT_VALUE&amp;DB=129&amp;ID1=43851610&amp;VALUEID=01001&amp;SDATE=200902&amp;PERIODTYPE=QTR_STD&amp;window=popup_no_bar&amp;width=385&amp;height=120&amp;START_MAXIMIZED=FALSE&amp;creator=factset&amp;display_string=Audit"}</definedName>
    <definedName name="_1517__FDSAUDITLINK__" localSheetId="1" hidden="1">{"fdsup://Directions/FactSet Auditing Viewer?action=AUDIT_VALUE&amp;DB=129&amp;ID1=43851610&amp;VALUEID=01001&amp;SDATE=201002&amp;PERIODTYPE=QTR_STD&amp;window=popup_no_bar&amp;width=385&amp;height=120&amp;START_MAXIMIZED=FALSE&amp;creator=factset&amp;display_string=Audit"}</definedName>
    <definedName name="_1517__FDSAUDITLINK__" hidden="1">{"fdsup://Directions/FactSet Auditing Viewer?action=AUDIT_VALUE&amp;DB=129&amp;ID1=43851610&amp;VALUEID=01001&amp;SDATE=201002&amp;PERIODTYPE=QTR_STD&amp;window=popup_no_bar&amp;width=385&amp;height=120&amp;START_MAXIMIZED=FALSE&amp;creator=factset&amp;display_string=Audit"}</definedName>
    <definedName name="_1518__FDSAUDITLINK__" localSheetId="1" hidden="1">{"fdsup://Directions/FactSet Auditing Viewer?action=AUDIT_VALUE&amp;DB=129&amp;ID1=41282210&amp;VALUEID=01001&amp;SDATE=200902&amp;PERIODTYPE=QTR_STD&amp;window=popup_no_bar&amp;width=385&amp;height=120&amp;START_MAXIMIZED=FALSE&amp;creator=factset&amp;display_string=Audit"}</definedName>
    <definedName name="_1518__FDSAUDITLINK__" hidden="1">{"fdsup://Directions/FactSet Auditing Viewer?action=AUDIT_VALUE&amp;DB=129&amp;ID1=41282210&amp;VALUEID=01001&amp;SDATE=200902&amp;PERIODTYPE=QTR_STD&amp;window=popup_no_bar&amp;width=385&amp;height=120&amp;START_MAXIMIZED=FALSE&amp;creator=factset&amp;display_string=Audit"}</definedName>
    <definedName name="_1519__FDSAUDITLINK__" localSheetId="1" hidden="1">{"fdsup://Directions/FactSet Auditing Viewer?action=AUDIT_VALUE&amp;DB=129&amp;ID1=41282210&amp;VALUEID=01001&amp;SDATE=201002&amp;PERIODTYPE=QTR_STD&amp;window=popup_no_bar&amp;width=385&amp;height=120&amp;START_MAXIMIZED=FALSE&amp;creator=factset&amp;display_string=Audit"}</definedName>
    <definedName name="_1519__FDSAUDITLINK__" hidden="1">{"fdsup://Directions/FactSet Auditing Viewer?action=AUDIT_VALUE&amp;DB=129&amp;ID1=41282210&amp;VALUEID=01001&amp;SDATE=201002&amp;PERIODTYPE=QTR_STD&amp;window=popup_no_bar&amp;width=385&amp;height=120&amp;START_MAXIMIZED=FALSE&amp;creator=factset&amp;display_string=Audit"}</definedName>
    <definedName name="_152__FDSAUDITLINK__" localSheetId="1"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__FDSAUDITLINK__" hidden="1">{"fdsup://directions/FAT Viewer?action=UPDATE&amp;creator=factset&amp;DYN_ARGS=TRUE&amp;DOC_NAME=FAT:FQL_AUDITING_CLIENT_TEMPLATE.FAT&amp;display_string=Audit&amp;VAR:KEY=TSLMFSVQVS&amp;VAR:QUERY=RkZfRUJJVERBX09QRVIoUVRSLDQvMS8yMDEwLDYvMzAvMjAxMCwsLFVTRCk=&amp;WINDOW=FIRST_POPUP&amp;HEIGH","T=450&amp;WIDTH=450&amp;START_MAXIMIZED=FALSE&amp;VAR:CALENDAR=US&amp;VAR:SYMBOL=SWN&amp;VAR:INDEX=0"}</definedName>
    <definedName name="_1520__FDSAUDITLINK__" localSheetId="1" hidden="1">{"fdsup://Directions/FactSet Auditing Viewer?action=AUDIT_VALUE&amp;DB=129&amp;ID1=42307410&amp;VALUEID=01001&amp;SDATE=200804&amp;PERIODTYPE=QTR_STD&amp;window=popup_no_bar&amp;width=385&amp;height=120&amp;START_MAXIMIZED=FALSE&amp;creator=factset&amp;display_string=Audit"}</definedName>
    <definedName name="_1520__FDSAUDITLINK__" hidden="1">{"fdsup://Directions/FactSet Auditing Viewer?action=AUDIT_VALUE&amp;DB=129&amp;ID1=42307410&amp;VALUEID=01001&amp;SDATE=200804&amp;PERIODTYPE=QTR_STD&amp;window=popup_no_bar&amp;width=385&amp;height=120&amp;START_MAXIMIZED=FALSE&amp;creator=factset&amp;display_string=Audit"}</definedName>
    <definedName name="_1521__FDSAUDITLINK__" localSheetId="1" hidden="1">{"fdsup://Directions/FactSet Auditing Viewer?action=AUDIT_VALUE&amp;DB=129&amp;ID1=42307410&amp;VALUEID=01001&amp;SDATE=200904&amp;PERIODTYPE=QTR_STD&amp;window=popup_no_bar&amp;width=385&amp;height=120&amp;START_MAXIMIZED=FALSE&amp;creator=factset&amp;display_string=Audit"}</definedName>
    <definedName name="_1521__FDSAUDITLINK__" hidden="1">{"fdsup://Directions/FactSet Auditing Viewer?action=AUDIT_VALUE&amp;DB=129&amp;ID1=42307410&amp;VALUEID=01001&amp;SDATE=200904&amp;PERIODTYPE=QTR_STD&amp;window=popup_no_bar&amp;width=385&amp;height=120&amp;START_MAXIMIZED=FALSE&amp;creator=factset&amp;display_string=Audit"}</definedName>
    <definedName name="_1522__FDSAUDITLINK__" localSheetId="1" hidden="1">{"fdsup://Directions/FactSet Auditing Viewer?action=AUDIT_VALUE&amp;DB=129&amp;ID1=41651510&amp;VALUEID=01001&amp;SDATE=200902&amp;PERIODTYPE=QTR_STD&amp;window=popup_no_bar&amp;width=385&amp;height=120&amp;START_MAXIMIZED=FALSE&amp;creator=factset&amp;display_string=Audit"}</definedName>
    <definedName name="_1522__FDSAUDITLINK__" hidden="1">{"fdsup://Directions/FactSet Auditing Viewer?action=AUDIT_VALUE&amp;DB=129&amp;ID1=41651510&amp;VALUEID=01001&amp;SDATE=200902&amp;PERIODTYPE=QTR_STD&amp;window=popup_no_bar&amp;width=385&amp;height=120&amp;START_MAXIMIZED=FALSE&amp;creator=factset&amp;display_string=Audit"}</definedName>
    <definedName name="_1523__FDSAUDITLINK__" localSheetId="1" hidden="1">{"fdsup://Directions/FactSet Auditing Viewer?action=AUDIT_VALUE&amp;DB=129&amp;ID1=41651510&amp;VALUEID=01001&amp;SDATE=201002&amp;PERIODTYPE=QTR_STD&amp;window=popup_no_bar&amp;width=385&amp;height=120&amp;START_MAXIMIZED=FALSE&amp;creator=factset&amp;display_string=Audit"}</definedName>
    <definedName name="_1523__FDSAUDITLINK__" hidden="1">{"fdsup://Directions/FactSet Auditing Viewer?action=AUDIT_VALUE&amp;DB=129&amp;ID1=41651510&amp;VALUEID=01001&amp;SDATE=201002&amp;PERIODTYPE=QTR_STD&amp;window=popup_no_bar&amp;width=385&amp;height=120&amp;START_MAXIMIZED=FALSE&amp;creator=factset&amp;display_string=Audit"}</definedName>
    <definedName name="_1524__FDSAUDITLINK__" localSheetId="1" hidden="1">{"fdsup://Directions/FactSet Auditing Viewer?action=AUDIT_VALUE&amp;DB=129&amp;ID1=42809H10&amp;VALUEID=01001&amp;SDATE=200902&amp;PERIODTYPE=QTR_STD&amp;window=popup_no_bar&amp;width=385&amp;height=120&amp;START_MAXIMIZED=FALSE&amp;creator=factset&amp;display_string=Audit"}</definedName>
    <definedName name="_1524__FDSAUDITLINK__" hidden="1">{"fdsup://Directions/FactSet Auditing Viewer?action=AUDIT_VALUE&amp;DB=129&amp;ID1=42809H10&amp;VALUEID=01001&amp;SDATE=200902&amp;PERIODTYPE=QTR_STD&amp;window=popup_no_bar&amp;width=385&amp;height=120&amp;START_MAXIMIZED=FALSE&amp;creator=factset&amp;display_string=Audit"}</definedName>
    <definedName name="_1525__FDSAUDITLINK__" localSheetId="1" hidden="1">{"fdsup://Directions/FactSet Auditing Viewer?action=AUDIT_VALUE&amp;DB=129&amp;ID1=42809H10&amp;VALUEID=01001&amp;SDATE=201002&amp;PERIODTYPE=QTR_STD&amp;window=popup_no_bar&amp;width=385&amp;height=120&amp;START_MAXIMIZED=FALSE&amp;creator=factset&amp;display_string=Audit"}</definedName>
    <definedName name="_1525__FDSAUDITLINK__" hidden="1">{"fdsup://Directions/FactSet Auditing Viewer?action=AUDIT_VALUE&amp;DB=129&amp;ID1=42809H10&amp;VALUEID=01001&amp;SDATE=201002&amp;PERIODTYPE=QTR_STD&amp;window=popup_no_bar&amp;width=385&amp;height=120&amp;START_MAXIMIZED=FALSE&amp;creator=factset&amp;display_string=Audit"}</definedName>
    <definedName name="_1526__FDSAUDITLINK__" localSheetId="1" hidden="1">{"fdsup://Directions/FactSet Auditing Viewer?action=AUDIT_VALUE&amp;DB=129&amp;ID1=43707610&amp;VALUEID=01001&amp;SDATE=200901&amp;PERIODTYPE=QTR_STD&amp;window=popup_no_bar&amp;width=385&amp;height=120&amp;START_MAXIMIZED=FALSE&amp;creator=factset&amp;display_string=Audit"}</definedName>
    <definedName name="_1526__FDSAUDITLINK__" hidden="1">{"fdsup://Directions/FactSet Auditing Viewer?action=AUDIT_VALUE&amp;DB=129&amp;ID1=43707610&amp;VALUEID=01001&amp;SDATE=200901&amp;PERIODTYPE=QTR_STD&amp;window=popup_no_bar&amp;width=385&amp;height=120&amp;START_MAXIMIZED=FALSE&amp;creator=factset&amp;display_string=Audit"}</definedName>
    <definedName name="_1527__FDSAUDITLINK__" localSheetId="1" hidden="1">{"fdsup://Directions/FactSet Auditing Viewer?action=AUDIT_VALUE&amp;DB=129&amp;ID1=43707610&amp;VALUEID=01001&amp;SDATE=201001&amp;PERIODTYPE=QTR_STD&amp;window=popup_no_bar&amp;width=385&amp;height=120&amp;START_MAXIMIZED=FALSE&amp;creator=factset&amp;display_string=Audit"}</definedName>
    <definedName name="_1527__FDSAUDITLINK__" hidden="1">{"fdsup://Directions/FactSet Auditing Viewer?action=AUDIT_VALUE&amp;DB=129&amp;ID1=43707610&amp;VALUEID=01001&amp;SDATE=201001&amp;PERIODTYPE=QTR_STD&amp;window=popup_no_bar&amp;width=385&amp;height=120&amp;START_MAXIMIZED=FALSE&amp;creator=factset&amp;display_string=Audit"}</definedName>
    <definedName name="_1528__FDSAUDITLINK__" localSheetId="1" hidden="1">{"fdsup://Directions/FactSet Auditing Viewer?action=AUDIT_VALUE&amp;DB=129&amp;ID1=40414L10&amp;VALUEID=01001&amp;SDATE=200902&amp;PERIODTYPE=QTR_STD&amp;window=popup_no_bar&amp;width=385&amp;height=120&amp;START_MAXIMIZED=FALSE&amp;creator=factset&amp;display_string=Audit"}</definedName>
    <definedName name="_1528__FDSAUDITLINK__" hidden="1">{"fdsup://Directions/FactSet Auditing Viewer?action=AUDIT_VALUE&amp;DB=129&amp;ID1=40414L10&amp;VALUEID=01001&amp;SDATE=200902&amp;PERIODTYPE=QTR_STD&amp;window=popup_no_bar&amp;width=385&amp;height=120&amp;START_MAXIMIZED=FALSE&amp;creator=factset&amp;display_string=Audit"}</definedName>
    <definedName name="_1529__FDSAUDITLINK__" localSheetId="1" hidden="1">{"fdsup://Directions/FactSet Auditing Viewer?action=AUDIT_VALUE&amp;DB=129&amp;ID1=40414L10&amp;VALUEID=01001&amp;SDATE=201002&amp;PERIODTYPE=QTR_STD&amp;window=popup_no_bar&amp;width=385&amp;height=120&amp;START_MAXIMIZED=FALSE&amp;creator=factset&amp;display_string=Audit"}</definedName>
    <definedName name="_1529__FDSAUDITLINK__" hidden="1">{"fdsup://Directions/FactSet Auditing Viewer?action=AUDIT_VALUE&amp;DB=129&amp;ID1=40414L10&amp;VALUEID=01001&amp;SDATE=201002&amp;PERIODTYPE=QTR_STD&amp;window=popup_no_bar&amp;width=385&amp;height=120&amp;START_MAXIMIZED=FALSE&amp;creator=factset&amp;display_string=Audit"}</definedName>
    <definedName name="_153__FDSAUDITLINK__" localSheetId="1"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__FDSAUDITLINK__" hidden="1">{"fdsup://directions/FAT Viewer?action=UPDATE&amp;creator=factset&amp;DYN_ARGS=TRUE&amp;DOC_NAME=FAT:FQL_AUDITING_CLIENT_TEMPLATE.FAT&amp;display_string=Audit&amp;VAR:KEY=NGVGDYJORE&amp;VAR:QUERY=RkZfRUJJVERBX09QRVIoUVRSLDQvMS8yMDA5LDYvMzAvMjAwOSwsLFVTRCk=&amp;WINDOW=FIRST_POPUP&amp;HEIGH","T=450&amp;WIDTH=450&amp;START_MAXIMIZED=FALSE&amp;VAR:CALENDAR=US&amp;VAR:SYMBOL=SWK&amp;VAR:INDEX=0"}</definedName>
    <definedName name="_1530__FDSAUDITLINK__" localSheetId="1" hidden="1">{"fdsup://Directions/FactSet Auditing Viewer?action=AUDIT_VALUE&amp;DB=129&amp;ID1=42217K10&amp;VALUEID=01001&amp;SDATE=200902&amp;PERIODTYPE=QTR_STD&amp;window=popup_no_bar&amp;width=385&amp;height=120&amp;START_MAXIMIZED=FALSE&amp;creator=factset&amp;display_string=Audit"}</definedName>
    <definedName name="_1530__FDSAUDITLINK__" hidden="1">{"fdsup://Directions/FactSet Auditing Viewer?action=AUDIT_VALUE&amp;DB=129&amp;ID1=42217K10&amp;VALUEID=01001&amp;SDATE=200902&amp;PERIODTYPE=QTR_STD&amp;window=popup_no_bar&amp;width=385&amp;height=120&amp;START_MAXIMIZED=FALSE&amp;creator=factset&amp;display_string=Audit"}</definedName>
    <definedName name="_1531__FDSAUDITLINK__" localSheetId="1" hidden="1">{"fdsup://Directions/FactSet Auditing Viewer?action=AUDIT_VALUE&amp;DB=129&amp;ID1=42217K10&amp;VALUEID=01001&amp;SDATE=201002&amp;PERIODTYPE=QTR_STD&amp;window=popup_no_bar&amp;width=385&amp;height=120&amp;START_MAXIMIZED=FALSE&amp;creator=factset&amp;display_string=Audit"}</definedName>
    <definedName name="_1531__FDSAUDITLINK__" hidden="1">{"fdsup://Directions/FactSet Auditing Viewer?action=AUDIT_VALUE&amp;DB=129&amp;ID1=42217K10&amp;VALUEID=01001&amp;SDATE=201002&amp;PERIODTYPE=QTR_STD&amp;window=popup_no_bar&amp;width=385&amp;height=120&amp;START_MAXIMIZED=FALSE&amp;creator=factset&amp;display_string=Audit"}</definedName>
    <definedName name="_1532__FDSAUDITLINK__" localSheetId="1" hidden="1">{"fdsup://Directions/FactSet Auditing Viewer?action=AUDIT_VALUE&amp;DB=129&amp;ID1=41805610&amp;VALUEID=01001&amp;SDATE=200902&amp;PERIODTYPE=QTR_STD&amp;window=popup_no_bar&amp;width=385&amp;height=120&amp;START_MAXIMIZED=FALSE&amp;creator=factset&amp;display_string=Audit"}</definedName>
    <definedName name="_1532__FDSAUDITLINK__" hidden="1">{"fdsup://Directions/FactSet Auditing Viewer?action=AUDIT_VALUE&amp;DB=129&amp;ID1=41805610&amp;VALUEID=01001&amp;SDATE=200902&amp;PERIODTYPE=QTR_STD&amp;window=popup_no_bar&amp;width=385&amp;height=120&amp;START_MAXIMIZED=FALSE&amp;creator=factset&amp;display_string=Audit"}</definedName>
    <definedName name="_1533__FDSAUDITLINK__" localSheetId="1" hidden="1">{"fdsup://Directions/FactSet Auditing Viewer?action=AUDIT_VALUE&amp;DB=129&amp;ID1=41805610&amp;VALUEID=01001&amp;SDATE=201002&amp;PERIODTYPE=QTR_STD&amp;window=popup_no_bar&amp;width=385&amp;height=120&amp;START_MAXIMIZED=FALSE&amp;creator=factset&amp;display_string=Audit"}</definedName>
    <definedName name="_1533__FDSAUDITLINK__" hidden="1">{"fdsup://Directions/FactSet Auditing Viewer?action=AUDIT_VALUE&amp;DB=129&amp;ID1=41805610&amp;VALUEID=01001&amp;SDATE=201002&amp;PERIODTYPE=QTR_STD&amp;window=popup_no_bar&amp;width=385&amp;height=120&amp;START_MAXIMIZED=FALSE&amp;creator=factset&amp;display_string=Audit"}</definedName>
    <definedName name="_1534__FDSAUDITLINK__" localSheetId="1" hidden="1">{"fdsup://Directions/FactSet Auditing Viewer?action=AUDIT_VALUE&amp;DB=129&amp;ID1=41308610&amp;VALUEID=01001&amp;SDATE=201004&amp;PERIODTYPE=QTR_STD&amp;window=popup_no_bar&amp;width=385&amp;height=120&amp;START_MAXIMIZED=FALSE&amp;creator=factset&amp;display_string=Audit"}</definedName>
    <definedName name="_1534__FDSAUDITLINK__" hidden="1">{"fdsup://Directions/FactSet Auditing Viewer?action=AUDIT_VALUE&amp;DB=129&amp;ID1=41308610&amp;VALUEID=01001&amp;SDATE=201004&amp;PERIODTYPE=QTR_STD&amp;window=popup_no_bar&amp;width=385&amp;height=120&amp;START_MAXIMIZED=FALSE&amp;creator=factset&amp;display_string=Audit"}</definedName>
    <definedName name="_1535__FDSAUDITLINK__" localSheetId="1" hidden="1">{"fdsup://Directions/FactSet Auditing Viewer?action=AUDIT_VALUE&amp;DB=129&amp;ID1=40621610&amp;VALUEID=01001&amp;SDATE=201002&amp;PERIODTYPE=QTR_STD&amp;window=popup_no_bar&amp;width=385&amp;height=120&amp;START_MAXIMIZED=FALSE&amp;creator=factset&amp;display_string=Audit"}</definedName>
    <definedName name="_1535__FDSAUDITLINK__" hidden="1">{"fdsup://Directions/FactSet Auditing Viewer?action=AUDIT_VALUE&amp;DB=129&amp;ID1=40621610&amp;VALUEID=01001&amp;SDATE=201002&amp;PERIODTYPE=QTR_STD&amp;window=popup_no_bar&amp;width=385&amp;height=120&amp;START_MAXIMIZED=FALSE&amp;creator=factset&amp;display_string=Audit"}</definedName>
    <definedName name="_1536__FDSAUDITLINK__" localSheetId="1" hidden="1">{"fdsup://Directions/FactSet Auditing Viewer?action=AUDIT_VALUE&amp;DB=129&amp;ID1=38480210&amp;VALUEID=01001&amp;SDATE=200902&amp;PERIODTYPE=QTR_STD&amp;window=popup_no_bar&amp;width=385&amp;height=120&amp;START_MAXIMIZED=FALSE&amp;creator=factset&amp;display_string=Audit"}</definedName>
    <definedName name="_1536__FDSAUDITLINK__" hidden="1">{"fdsup://Directions/FactSet Auditing Viewer?action=AUDIT_VALUE&amp;DB=129&amp;ID1=38480210&amp;VALUEID=01001&amp;SDATE=200902&amp;PERIODTYPE=QTR_STD&amp;window=popup_no_bar&amp;width=385&amp;height=120&amp;START_MAXIMIZED=FALSE&amp;creator=factset&amp;display_string=Audit"}</definedName>
    <definedName name="_1537__FDSAUDITLINK__" localSheetId="1" hidden="1">{"fdsup://Directions/FactSet Auditing Viewer?action=AUDIT_VALUE&amp;DB=129&amp;ID1=38480210&amp;VALUEID=01001&amp;SDATE=201002&amp;PERIODTYPE=QTR_STD&amp;window=popup_no_bar&amp;width=385&amp;height=120&amp;START_MAXIMIZED=FALSE&amp;creator=factset&amp;display_string=Audit"}</definedName>
    <definedName name="_1537__FDSAUDITLINK__" hidden="1">{"fdsup://Directions/FactSet Auditing Viewer?action=AUDIT_VALUE&amp;DB=129&amp;ID1=38480210&amp;VALUEID=01001&amp;SDATE=201002&amp;PERIODTYPE=QTR_STD&amp;window=popup_no_bar&amp;width=385&amp;height=120&amp;START_MAXIMIZED=FALSE&amp;creator=factset&amp;display_string=Audit"}</definedName>
    <definedName name="_1538__FDSAUDITLINK__" localSheetId="1" hidden="1">{"fdsup://Directions/FactSet Auditing Viewer?action=AUDIT_VALUE&amp;DB=129&amp;ID1=38255010&amp;VALUEID=01001&amp;SDATE=200902&amp;PERIODTYPE=QTR_STD&amp;window=popup_no_bar&amp;width=385&amp;height=120&amp;START_MAXIMIZED=FALSE&amp;creator=factset&amp;display_string=Audit"}</definedName>
    <definedName name="_1538__FDSAUDITLINK__" hidden="1">{"fdsup://Directions/FactSet Auditing Viewer?action=AUDIT_VALUE&amp;DB=129&amp;ID1=38255010&amp;VALUEID=01001&amp;SDATE=200902&amp;PERIODTYPE=QTR_STD&amp;window=popup_no_bar&amp;width=385&amp;height=120&amp;START_MAXIMIZED=FALSE&amp;creator=factset&amp;display_string=Audit"}</definedName>
    <definedName name="_1539__FDSAUDITLINK__" localSheetId="1" hidden="1">{"fdsup://Directions/FactSet Auditing Viewer?action=AUDIT_VALUE&amp;DB=129&amp;ID1=38255010&amp;VALUEID=01001&amp;SDATE=201002&amp;PERIODTYPE=QTR_STD&amp;window=popup_no_bar&amp;width=385&amp;height=120&amp;START_MAXIMIZED=FALSE&amp;creator=factset&amp;display_string=Audit"}</definedName>
    <definedName name="_1539__FDSAUDITLINK__" hidden="1">{"fdsup://Directions/FactSet Auditing Viewer?action=AUDIT_VALUE&amp;DB=129&amp;ID1=38255010&amp;VALUEID=01001&amp;SDATE=201002&amp;PERIODTYPE=QTR_STD&amp;window=popup_no_bar&amp;width=385&amp;height=120&amp;START_MAXIMIZED=FALSE&amp;creator=factset&amp;display_string=Audit"}</definedName>
    <definedName name="_154__FDSAUDITLINK__" localSheetId="1"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__FDSAUDITLINK__" hidden="1">{"fdsup://directions/FAT Viewer?action=UPDATE&amp;creator=factset&amp;DYN_ARGS=TRUE&amp;DOC_NAME=FAT:FQL_AUDITING_CLIENT_TEMPLATE.FAT&amp;display_string=Audit&amp;VAR:KEY=JYFSBIXSXC&amp;VAR:QUERY=RkZfRUJJVERBX09QRVIoUVRSLDQvMS8yMDEwLDYvMzAvMjAxMCwsLFVTRCk=&amp;WINDOW=FIRST_POPUP&amp;HEIGH","T=450&amp;WIDTH=450&amp;START_MAXIMIZED=FALSE&amp;VAR:CALENDAR=US&amp;VAR:SYMBOL=SWK&amp;VAR:INDEX=0"}</definedName>
    <definedName name="_1540__FDSAUDITLINK__" localSheetId="1" hidden="1">{"fdsup://Directions/FactSet Auditing Viewer?action=AUDIT_VALUE&amp;DB=129&amp;ID1=38141G10&amp;VALUEID=01001&amp;SDATE=200902&amp;PERIODTYPE=QTR_STD&amp;window=popup_no_bar&amp;width=385&amp;height=120&amp;START_MAXIMIZED=FALSE&amp;creator=factset&amp;display_string=Audit"}</definedName>
    <definedName name="_1540__FDSAUDITLINK__" hidden="1">{"fdsup://Directions/FactSet Auditing Viewer?action=AUDIT_VALUE&amp;DB=129&amp;ID1=38141G10&amp;VALUEID=01001&amp;SDATE=200902&amp;PERIODTYPE=QTR_STD&amp;window=popup_no_bar&amp;width=385&amp;height=120&amp;START_MAXIMIZED=FALSE&amp;creator=factset&amp;display_string=Audit"}</definedName>
    <definedName name="_1541__FDSAUDITLINK__" localSheetId="1" hidden="1">{"fdsup://Directions/FactSet Auditing Viewer?action=AUDIT_VALUE&amp;DB=129&amp;ID1=38141G10&amp;VALUEID=01001&amp;SDATE=201002&amp;PERIODTYPE=QTR_STD&amp;window=popup_no_bar&amp;width=385&amp;height=120&amp;START_MAXIMIZED=FALSE&amp;creator=factset&amp;display_string=Audit"}</definedName>
    <definedName name="_1541__FDSAUDITLINK__" hidden="1">{"fdsup://Directions/FactSet Auditing Viewer?action=AUDIT_VALUE&amp;DB=129&amp;ID1=38141G10&amp;VALUEID=01001&amp;SDATE=201002&amp;PERIODTYPE=QTR_STD&amp;window=popup_no_bar&amp;width=385&amp;height=120&amp;START_MAXIMIZED=FALSE&amp;creator=factset&amp;display_string=Audit"}</definedName>
    <definedName name="_1542__FDSAUDITLINK__" localSheetId="1" hidden="1">{"fdsup://Directions/FactSet Auditing Viewer?action=AUDIT_VALUE&amp;DB=129&amp;ID1=38238810&amp;VALUEID=01001&amp;SDATE=200902&amp;PERIODTYPE=QTR_STD&amp;window=popup_no_bar&amp;width=385&amp;height=120&amp;START_MAXIMIZED=FALSE&amp;creator=factset&amp;display_string=Audit"}</definedName>
    <definedName name="_1542__FDSAUDITLINK__" hidden="1">{"fdsup://Directions/FactSet Auditing Viewer?action=AUDIT_VALUE&amp;DB=129&amp;ID1=38238810&amp;VALUEID=01001&amp;SDATE=200902&amp;PERIODTYPE=QTR_STD&amp;window=popup_no_bar&amp;width=385&amp;height=120&amp;START_MAXIMIZED=FALSE&amp;creator=factset&amp;display_string=Audit"}</definedName>
    <definedName name="_1543__FDSAUDITLINK__" localSheetId="1" hidden="1">{"fdsup://Directions/FactSet Auditing Viewer?action=AUDIT_VALUE&amp;DB=129&amp;ID1=38238810&amp;VALUEID=01001&amp;SDATE=201002&amp;PERIODTYPE=QTR_STD&amp;window=popup_no_bar&amp;width=385&amp;height=120&amp;START_MAXIMIZED=FALSE&amp;creator=factset&amp;display_string=Audit"}</definedName>
    <definedName name="_1543__FDSAUDITLINK__" hidden="1">{"fdsup://Directions/FactSet Auditing Viewer?action=AUDIT_VALUE&amp;DB=129&amp;ID1=38238810&amp;VALUEID=01001&amp;SDATE=201002&amp;PERIODTYPE=QTR_STD&amp;window=popup_no_bar&amp;width=385&amp;height=120&amp;START_MAXIMIZED=FALSE&amp;creator=factset&amp;display_string=Audit"}</definedName>
    <definedName name="_1544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15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545__FDSAUDITLINK__" localSheetId="1" hidden="1">{"fdsup://Directions/FactSet Auditing Viewer?action=AUDIT_VALUE&amp;DB=129&amp;ID1=37246010&amp;VALUEID=01001&amp;SDATE=200902&amp;PERIODTYPE=QTR_STD&amp;window=popup_no_bar&amp;width=385&amp;height=120&amp;START_MAXIMIZED=FALSE&amp;creator=factset&amp;display_string=Audit"}</definedName>
    <definedName name="_1545__FDSAUDITLINK__" hidden="1">{"fdsup://Directions/FactSet Auditing Viewer?action=AUDIT_VALUE&amp;DB=129&amp;ID1=37246010&amp;VALUEID=01001&amp;SDATE=200902&amp;PERIODTYPE=QTR_STD&amp;window=popup_no_bar&amp;width=385&amp;height=120&amp;START_MAXIMIZED=FALSE&amp;creator=factset&amp;display_string=Audit"}</definedName>
    <definedName name="_1546__FDSAUDITLINK__" localSheetId="1" hidden="1">{"fdsup://Directions/FactSet Auditing Viewer?action=AUDIT_VALUE&amp;DB=129&amp;ID1=37246010&amp;VALUEID=01001&amp;SDATE=201002&amp;PERIODTYPE=QTR_STD&amp;window=popup_no_bar&amp;width=385&amp;height=120&amp;START_MAXIMIZED=FALSE&amp;creator=factset&amp;display_string=Audit"}</definedName>
    <definedName name="_1546__FDSAUDITLINK__" hidden="1">{"fdsup://Directions/FactSet Auditing Viewer?action=AUDIT_VALUE&amp;DB=129&amp;ID1=37246010&amp;VALUEID=01001&amp;SDATE=201002&amp;PERIODTYPE=QTR_STD&amp;window=popup_no_bar&amp;width=385&amp;height=120&amp;START_MAXIMIZED=FALSE&amp;creator=factset&amp;display_string=Audit"}</definedName>
    <definedName name="_1547__FDSAUDITLINK__" localSheetId="1" hidden="1">{"fdsup://Directions/FactSet Auditing Viewer?action=AUDIT_VALUE&amp;DB=129&amp;ID1=38259P50&amp;VALUEID=01001&amp;SDATE=200902&amp;PERIODTYPE=QTR_STD&amp;window=popup_no_bar&amp;width=385&amp;height=120&amp;START_MAXIMIZED=FALSE&amp;creator=factset&amp;display_string=Audit"}</definedName>
    <definedName name="_1547__FDSAUDITLINK__" hidden="1">{"fdsup://Directions/FactSet Auditing Viewer?action=AUDIT_VALUE&amp;DB=129&amp;ID1=38259P50&amp;VALUEID=01001&amp;SDATE=200902&amp;PERIODTYPE=QTR_STD&amp;window=popup_no_bar&amp;width=385&amp;height=120&amp;START_MAXIMIZED=FALSE&amp;creator=factset&amp;display_string=Audit"}</definedName>
    <definedName name="_1548__FDSAUDITLINK__" localSheetId="1" hidden="1">{"fdsup://Directions/FactSet Auditing Viewer?action=AUDIT_VALUE&amp;DB=129&amp;ID1=38259P50&amp;VALUEID=01001&amp;SDATE=201002&amp;PERIODTYPE=QTR_STD&amp;window=popup_no_bar&amp;width=385&amp;height=120&amp;START_MAXIMIZED=FALSE&amp;creator=factset&amp;display_string=Audit"}</definedName>
    <definedName name="_1548__FDSAUDITLINK__" hidden="1">{"fdsup://Directions/FactSet Auditing Viewer?action=AUDIT_VALUE&amp;DB=129&amp;ID1=38259P50&amp;VALUEID=01001&amp;SDATE=201002&amp;PERIODTYPE=QTR_STD&amp;window=popup_no_bar&amp;width=385&amp;height=120&amp;START_MAXIMIZED=FALSE&amp;creator=factset&amp;display_string=Audit"}</definedName>
    <definedName name="_1549__FDSAUDITLINK__" localSheetId="1" hidden="1">{"fdsup://Directions/FactSet Auditing Viewer?action=AUDIT_VALUE&amp;DB=129&amp;ID1=37247D10&amp;VALUEID=01001&amp;SDATE=200902&amp;PERIODTYPE=QTR_STD&amp;window=popup_no_bar&amp;width=385&amp;height=120&amp;START_MAXIMIZED=FALSE&amp;creator=factset&amp;display_string=Audit"}</definedName>
    <definedName name="_1549__FDSAUDITLINK__" hidden="1">{"fdsup://Directions/FactSet Auditing Viewer?action=AUDIT_VALUE&amp;DB=129&amp;ID1=37247D10&amp;VALUEID=01001&amp;SDATE=200902&amp;PERIODTYPE=QTR_STD&amp;window=popup_no_bar&amp;width=385&amp;height=120&amp;START_MAXIMIZED=FALSE&amp;creator=factset&amp;display_string=Audit"}</definedName>
    <definedName name="_155__FDSAUDITLINK__" localSheetId="1"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__FDSAUDITLINK__" hidden="1">{"fdsup://directions/FAT Viewer?action=UPDATE&amp;creator=factset&amp;DYN_ARGS=TRUE&amp;DOC_NAME=FAT:FQL_AUDITING_CLIENT_TEMPLATE.FAT&amp;display_string=Audit&amp;VAR:KEY=VQRSTGPKJW&amp;VAR:QUERY=RkZfRUJJVERBX09QRVIoUVRSLDQvMS8yMDA5LDYvMzAvMjAwOSwsLFVTRCk=&amp;WINDOW=FIRST_POPUP&amp;HEIGH","T=450&amp;WIDTH=450&amp;START_MAXIMIZED=FALSE&amp;VAR:CALENDAR=US&amp;VAR:SYMBOL=SVU&amp;VAR:INDEX=0"}</definedName>
    <definedName name="_1550__FDSAUDITLINK__" localSheetId="1" hidden="1">{"fdsup://Directions/FactSet Auditing Viewer?action=AUDIT_VALUE&amp;DB=129&amp;ID1=37247D10&amp;VALUEID=01001&amp;SDATE=201002&amp;PERIODTYPE=QTR_STD&amp;window=popup_no_bar&amp;width=385&amp;height=120&amp;START_MAXIMIZED=FALSE&amp;creator=factset&amp;display_string=Audit"}</definedName>
    <definedName name="_1550__FDSAUDITLINK__" hidden="1">{"fdsup://Directions/FactSet Auditing Viewer?action=AUDIT_VALUE&amp;DB=129&amp;ID1=37247D10&amp;VALUEID=01001&amp;SDATE=201002&amp;PERIODTYPE=QTR_STD&amp;window=popup_no_bar&amp;width=385&amp;height=120&amp;START_MAXIMIZED=FALSE&amp;creator=factset&amp;display_string=Audit"}</definedName>
    <definedName name="_1551__FDSAUDITLINK__" localSheetId="1" hidden="1">{"fdsup://Directions/FactSet Auditing Viewer?action=AUDIT_VALUE&amp;DB=129&amp;ID1=36467W10&amp;VALUEID=01001&amp;SDATE=200901&amp;PERIODTYPE=QTR_STD&amp;window=popup_no_bar&amp;width=385&amp;height=120&amp;START_MAXIMIZED=FALSE&amp;creator=factset&amp;display_string=Audit"}</definedName>
    <definedName name="_1551__FDSAUDITLINK__" hidden="1">{"fdsup://Directions/FactSet Auditing Viewer?action=AUDIT_VALUE&amp;DB=129&amp;ID1=36467W10&amp;VALUEID=01001&amp;SDATE=200901&amp;PERIODTYPE=QTR_STD&amp;window=popup_no_bar&amp;width=385&amp;height=120&amp;START_MAXIMIZED=FALSE&amp;creator=factset&amp;display_string=Audit"}</definedName>
    <definedName name="_1552__FDSAUDITLINK__" localSheetId="1" hidden="1">{"fdsup://Directions/FactSet Auditing Viewer?action=AUDIT_VALUE&amp;DB=129&amp;ID1=36467W10&amp;VALUEID=01001&amp;SDATE=201001&amp;PERIODTYPE=QTR_STD&amp;window=popup_no_bar&amp;width=385&amp;height=120&amp;START_MAXIMIZED=FALSE&amp;creator=factset&amp;display_string=Audit"}</definedName>
    <definedName name="_1552__FDSAUDITLINK__" hidden="1">{"fdsup://Directions/FactSet Auditing Viewer?action=AUDIT_VALUE&amp;DB=129&amp;ID1=36467W10&amp;VALUEID=01001&amp;SDATE=201001&amp;PERIODTYPE=QTR_STD&amp;window=popup_no_bar&amp;width=385&amp;height=120&amp;START_MAXIMIZED=FALSE&amp;creator=factset&amp;display_string=Audit"}</definedName>
    <definedName name="_1553__FDSAUDITLINK__" localSheetId="1" hidden="1">{"fdsup://Directions/FactSet Auditing Viewer?action=AUDIT_VALUE&amp;DB=129&amp;ID1=21935010&amp;VALUEID=01001&amp;SDATE=200902&amp;PERIODTYPE=QTR_STD&amp;window=popup_no_bar&amp;width=385&amp;height=120&amp;START_MAXIMIZED=FALSE&amp;creator=factset&amp;display_string=Audit"}</definedName>
    <definedName name="_1553__FDSAUDITLINK__" hidden="1">{"fdsup://Directions/FactSet Auditing Viewer?action=AUDIT_VALUE&amp;DB=129&amp;ID1=21935010&amp;VALUEID=01001&amp;SDATE=200902&amp;PERIODTYPE=QTR_STD&amp;window=popup_no_bar&amp;width=385&amp;height=120&amp;START_MAXIMIZED=FALSE&amp;creator=factset&amp;display_string=Audit"}</definedName>
    <definedName name="_1554__FDSAUDITLINK__" localSheetId="1" hidden="1">{"fdsup://Directions/FactSet Auditing Viewer?action=AUDIT_VALUE&amp;DB=129&amp;ID1=21935010&amp;VALUEID=01001&amp;SDATE=201002&amp;PERIODTYPE=QTR_STD&amp;window=popup_no_bar&amp;width=385&amp;height=120&amp;START_MAXIMIZED=FALSE&amp;creator=factset&amp;display_string=Audit"}</definedName>
    <definedName name="_1554__FDSAUDITLINK__" hidden="1">{"fdsup://Directions/FactSet Auditing Viewer?action=AUDIT_VALUE&amp;DB=129&amp;ID1=21935010&amp;VALUEID=01001&amp;SDATE=201002&amp;PERIODTYPE=QTR_STD&amp;window=popup_no_bar&amp;width=385&amp;height=120&amp;START_MAXIMIZED=FALSE&amp;creator=factset&amp;display_string=Audit"}</definedName>
    <definedName name="_1555__FDSAUDITLINK__" localSheetId="1" hidden="1">{"fdsup://Directions/FactSet Auditing Viewer?action=AUDIT_VALUE&amp;DB=129&amp;ID1=37033410&amp;VALUEID=01001&amp;SDATE=200804&amp;PERIODTYPE=QTR_STD&amp;window=popup_no_bar&amp;width=385&amp;height=120&amp;START_MAXIMIZED=FALSE&amp;creator=factset&amp;display_string=Audit"}</definedName>
    <definedName name="_1555__FDSAUDITLINK__" hidden="1">{"fdsup://Directions/FactSet Auditing Viewer?action=AUDIT_VALUE&amp;DB=129&amp;ID1=37033410&amp;VALUEID=01001&amp;SDATE=200804&amp;PERIODTYPE=QTR_STD&amp;window=popup_no_bar&amp;width=385&amp;height=120&amp;START_MAXIMIZED=FALSE&amp;creator=factset&amp;display_string=Audit"}</definedName>
    <definedName name="_1556__FDSAUDITLINK__" localSheetId="1" hidden="1">{"fdsup://Directions/FactSet Auditing Viewer?action=AUDIT_VALUE&amp;DB=129&amp;ID1=37033410&amp;VALUEID=01001&amp;SDATE=200904&amp;PERIODTYPE=QTR_STD&amp;window=popup_no_bar&amp;width=385&amp;height=120&amp;START_MAXIMIZED=FALSE&amp;creator=factset&amp;display_string=Audit"}</definedName>
    <definedName name="_1556__FDSAUDITLINK__" hidden="1">{"fdsup://Directions/FactSet Auditing Viewer?action=AUDIT_VALUE&amp;DB=129&amp;ID1=37033410&amp;VALUEID=01001&amp;SDATE=200904&amp;PERIODTYPE=QTR_STD&amp;window=popup_no_bar&amp;width=385&amp;height=120&amp;START_MAXIMIZED=FALSE&amp;creator=factset&amp;display_string=Audit"}</definedName>
    <definedName name="_1557__FDSAUDITLINK__" localSheetId="1" hidden="1">{"fdsup://Directions/FactSet Auditing Viewer?action=AUDIT_VALUE&amp;DB=129&amp;ID1=37555810&amp;VALUEID=01001&amp;SDATE=200902&amp;PERIODTYPE=QTR_STD&amp;window=popup_no_bar&amp;width=385&amp;height=120&amp;START_MAXIMIZED=FALSE&amp;creator=factset&amp;display_string=Audit"}</definedName>
    <definedName name="_1557__FDSAUDITLINK__" hidden="1">{"fdsup://Directions/FactSet Auditing Viewer?action=AUDIT_VALUE&amp;DB=129&amp;ID1=37555810&amp;VALUEID=01001&amp;SDATE=200902&amp;PERIODTYPE=QTR_STD&amp;window=popup_no_bar&amp;width=385&amp;height=120&amp;START_MAXIMIZED=FALSE&amp;creator=factset&amp;display_string=Audit"}</definedName>
    <definedName name="_1558__FDSAUDITLINK__" localSheetId="1" hidden="1">{"fdsup://Directions/FactSet Auditing Viewer?action=AUDIT_VALUE&amp;DB=129&amp;ID1=37555810&amp;VALUEID=01001&amp;SDATE=201002&amp;PERIODTYPE=QTR_STD&amp;window=popup_no_bar&amp;width=385&amp;height=120&amp;START_MAXIMIZED=FALSE&amp;creator=factset&amp;display_string=Audit"}</definedName>
    <definedName name="_1558__FDSAUDITLINK__" hidden="1">{"fdsup://Directions/FactSet Auditing Viewer?action=AUDIT_VALUE&amp;DB=129&amp;ID1=37555810&amp;VALUEID=01001&amp;SDATE=201002&amp;PERIODTYPE=QTR_STD&amp;window=popup_no_bar&amp;width=385&amp;height=120&amp;START_MAXIMIZED=FALSE&amp;creator=factset&amp;display_string=Audit"}</definedName>
    <definedName name="_1559__FDSAUDITLINK__" localSheetId="1" hidden="1">{"fdsup://Directions/FactSet Auditing Viewer?action=AUDIT_VALUE&amp;DB=129&amp;ID1=37291710&amp;VALUEID=01001&amp;SDATE=200902&amp;PERIODTYPE=QTR_STD&amp;window=popup_no_bar&amp;width=385&amp;height=120&amp;START_MAXIMIZED=FALSE&amp;creator=factset&amp;display_string=Audit"}</definedName>
    <definedName name="_1559__FDSAUDITLINK__" hidden="1">{"fdsup://Directions/FactSet Auditing Viewer?action=AUDIT_VALUE&amp;DB=129&amp;ID1=37291710&amp;VALUEID=01001&amp;SDATE=200902&amp;PERIODTYPE=QTR_STD&amp;window=popup_no_bar&amp;width=385&amp;height=120&amp;START_MAXIMIZED=FALSE&amp;creator=factset&amp;display_string=Audit"}</definedName>
    <definedName name="_156__FDSAUDITLINK__" localSheetId="1"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__FDSAUDITLINK__" hidden="1">{"fdsup://directions/FAT Viewer?action=UPDATE&amp;creator=factset&amp;DYN_ARGS=TRUE&amp;DOC_NAME=FAT:FQL_AUDITING_CLIENT_TEMPLATE.FAT&amp;display_string=Audit&amp;VAR:KEY=PIDIPEVSTY&amp;VAR:QUERY=RkZfRUJJVERBX09QRVIoUVRSLDQvMS8yMDEwLDYvMzAvMjAxMCwsLFVTRCk=&amp;WINDOW=FIRST_POPUP&amp;HEIGH","T=450&amp;WIDTH=450&amp;START_MAXIMIZED=FALSE&amp;VAR:CALENDAR=US&amp;VAR:SYMBOL=SVU&amp;VAR:INDEX=0"}</definedName>
    <definedName name="_1560__FDSAUDITLINK__" localSheetId="1" hidden="1">{"fdsup://Directions/FactSet Auditing Viewer?action=AUDIT_VALUE&amp;DB=129&amp;ID1=37291710&amp;VALUEID=01001&amp;SDATE=201002&amp;PERIODTYPE=QTR_STD&amp;window=popup_no_bar&amp;width=385&amp;height=120&amp;START_MAXIMIZED=FALSE&amp;creator=factset&amp;display_string=Audit"}</definedName>
    <definedName name="_1560__FDSAUDITLINK__" hidden="1">{"fdsup://Directions/FactSet Auditing Viewer?action=AUDIT_VALUE&amp;DB=129&amp;ID1=37291710&amp;VALUEID=01001&amp;SDATE=201002&amp;PERIODTYPE=QTR_STD&amp;window=popup_no_bar&amp;width=385&amp;height=120&amp;START_MAXIMIZED=FALSE&amp;creator=factset&amp;display_string=Audit"}</definedName>
    <definedName name="_1561__FDSAUDITLINK__" localSheetId="1" hidden="1">{"fdsup://Directions/FactSet Auditing Viewer?action=AUDIT_VALUE&amp;DB=129&amp;ID1=36960410&amp;VALUEID=01001&amp;SDATE=200902&amp;PERIODTYPE=QTR_STD&amp;window=popup_no_bar&amp;width=385&amp;height=120&amp;START_MAXIMIZED=FALSE&amp;creator=factset&amp;display_string=Audit"}</definedName>
    <definedName name="_1561__FDSAUDITLINK__" hidden="1">{"fdsup://Directions/FactSet Auditing Viewer?action=AUDIT_VALUE&amp;DB=129&amp;ID1=36960410&amp;VALUEID=01001&amp;SDATE=200902&amp;PERIODTYPE=QTR_STD&amp;window=popup_no_bar&amp;width=385&amp;height=120&amp;START_MAXIMIZED=FALSE&amp;creator=factset&amp;display_string=Audit"}</definedName>
    <definedName name="_1562__FDSAUDITLINK__" localSheetId="1" hidden="1">{"fdsup://Directions/FactSet Auditing Viewer?action=AUDIT_VALUE&amp;DB=129&amp;ID1=36960410&amp;VALUEID=01001&amp;SDATE=201002&amp;PERIODTYPE=QTR_STD&amp;window=popup_no_bar&amp;width=385&amp;height=120&amp;START_MAXIMIZED=FALSE&amp;creator=factset&amp;display_string=Audit"}</definedName>
    <definedName name="_1562__FDSAUDITLINK__" hidden="1">{"fdsup://Directions/FactSet Auditing Viewer?action=AUDIT_VALUE&amp;DB=129&amp;ID1=36960410&amp;VALUEID=01001&amp;SDATE=201002&amp;PERIODTYPE=QTR_STD&amp;window=popup_no_bar&amp;width=385&amp;height=120&amp;START_MAXIMIZED=FALSE&amp;creator=factset&amp;display_string=Audit"}</definedName>
    <definedName name="_1563__FDSAUDITLINK__" localSheetId="1" hidden="1">{"fdsup://Directions/FactSet Auditing Viewer?action=AUDIT_VALUE&amp;DB=129&amp;ID1=36955010&amp;VALUEID=01001&amp;SDATE=200902&amp;PERIODTYPE=QTR_STD&amp;window=popup_no_bar&amp;width=385&amp;height=120&amp;START_MAXIMIZED=FALSE&amp;creator=factset&amp;display_string=Audit"}</definedName>
    <definedName name="_1563__FDSAUDITLINK__" hidden="1">{"fdsup://Directions/FactSet Auditing Viewer?action=AUDIT_VALUE&amp;DB=129&amp;ID1=36955010&amp;VALUEID=01001&amp;SDATE=200902&amp;PERIODTYPE=QTR_STD&amp;window=popup_no_bar&amp;width=385&amp;height=120&amp;START_MAXIMIZED=FALSE&amp;creator=factset&amp;display_string=Audit"}</definedName>
    <definedName name="_1564__FDSAUDITLINK__" localSheetId="1" hidden="1">{"fdsup://Directions/FactSet Auditing Viewer?action=AUDIT_VALUE&amp;DB=129&amp;ID1=36955010&amp;VALUEID=01001&amp;SDATE=201002&amp;PERIODTYPE=QTR_STD&amp;window=popup_no_bar&amp;width=385&amp;height=120&amp;START_MAXIMIZED=FALSE&amp;creator=factset&amp;display_string=Audit"}</definedName>
    <definedName name="_1564__FDSAUDITLINK__" hidden="1">{"fdsup://Directions/FactSet Auditing Viewer?action=AUDIT_VALUE&amp;DB=129&amp;ID1=36955010&amp;VALUEID=01001&amp;SDATE=201002&amp;PERIODTYPE=QTR_STD&amp;window=popup_no_bar&amp;width=385&amp;height=120&amp;START_MAXIMIZED=FALSE&amp;creator=factset&amp;display_string=Audit"}</definedName>
    <definedName name="_1565__FDSAUDITLINK__" localSheetId="1" hidden="1">{"fdsup://Directions/FactSet Auditing Viewer?action=AUDIT_VALUE&amp;DB=129&amp;ID1=36473010&amp;VALUEID=01001&amp;SDATE=200902&amp;PERIODTYPE=QTR_STD&amp;window=popup_no_bar&amp;width=385&amp;height=120&amp;START_MAXIMIZED=FALSE&amp;creator=factset&amp;display_string=Audit"}</definedName>
    <definedName name="_1565__FDSAUDITLINK__" hidden="1">{"fdsup://Directions/FactSet Auditing Viewer?action=AUDIT_VALUE&amp;DB=129&amp;ID1=36473010&amp;VALUEID=01001&amp;SDATE=200902&amp;PERIODTYPE=QTR_STD&amp;window=popup_no_bar&amp;width=385&amp;height=120&amp;START_MAXIMIZED=FALSE&amp;creator=factset&amp;display_string=Audit"}</definedName>
    <definedName name="_1566__FDSAUDITLINK__" localSheetId="1" hidden="1">{"fdsup://Directions/FactSet Auditing Viewer?action=AUDIT_VALUE&amp;DB=129&amp;ID1=36473010&amp;VALUEID=01001&amp;SDATE=201002&amp;PERIODTYPE=QTR_STD&amp;window=popup_no_bar&amp;width=385&amp;height=120&amp;START_MAXIMIZED=FALSE&amp;creator=factset&amp;display_string=Audit"}</definedName>
    <definedName name="_1566__FDSAUDITLINK__" hidden="1">{"fdsup://Directions/FactSet Auditing Viewer?action=AUDIT_VALUE&amp;DB=129&amp;ID1=36473010&amp;VALUEID=01001&amp;SDATE=201002&amp;PERIODTYPE=QTR_STD&amp;window=popup_no_bar&amp;width=385&amp;height=120&amp;START_MAXIMIZED=FALSE&amp;creator=factset&amp;display_string=Audit"}</definedName>
    <definedName name="_1567__FDSAUDITLINK__" localSheetId="1" hidden="1">{"fdsup://Directions/FactSet Auditing Viewer?action=AUDIT_VALUE&amp;DB=129&amp;ID1=65408610&amp;VALUEID=01001&amp;SDATE=200902&amp;PERIODTYPE=QTR_STD&amp;window=popup_no_bar&amp;width=385&amp;height=120&amp;START_MAXIMIZED=FALSE&amp;creator=factset&amp;display_string=Audit"}</definedName>
    <definedName name="_1567__FDSAUDITLINK__" hidden="1">{"fdsup://Directions/FactSet Auditing Viewer?action=AUDIT_VALUE&amp;DB=129&amp;ID1=65408610&amp;VALUEID=01001&amp;SDATE=200902&amp;PERIODTYPE=QTR_STD&amp;window=popup_no_bar&amp;width=385&amp;height=120&amp;START_MAXIMIZED=FALSE&amp;creator=factset&amp;display_string=Audit"}</definedName>
    <definedName name="_1568__FDSAUDITLINK__" localSheetId="1" hidden="1">{"fdsup://Directions/FactSet Auditing Viewer?action=AUDIT_VALUE&amp;DB=129&amp;ID1=65408610&amp;VALUEID=01001&amp;SDATE=201002&amp;PERIODTYPE=QTR_STD&amp;window=popup_no_bar&amp;width=385&amp;height=120&amp;START_MAXIMIZED=FALSE&amp;creator=factset&amp;display_string=Audit"}</definedName>
    <definedName name="_1568__FDSAUDITLINK__" hidden="1">{"fdsup://Directions/FactSet Auditing Viewer?action=AUDIT_VALUE&amp;DB=129&amp;ID1=65408610&amp;VALUEID=01001&amp;SDATE=201002&amp;PERIODTYPE=QTR_STD&amp;window=popup_no_bar&amp;width=385&amp;height=120&amp;START_MAXIMIZED=FALSE&amp;creator=factset&amp;display_string=Audit"}</definedName>
    <definedName name="_1569__FDSAUDITLINK__" localSheetId="1" hidden="1">{"fdsup://Directions/FactSet Auditing Viewer?action=AUDIT_VALUE&amp;DB=129&amp;ID1=35906A10&amp;VALUEID=01001&amp;SDATE=201002&amp;PERIODTYPE=QTR_STD&amp;window=popup_no_bar&amp;width=385&amp;height=120&amp;START_MAXIMIZED=FALSE&amp;creator=factset&amp;display_string=Audit"}</definedName>
    <definedName name="_1569__FDSAUDITLINK__" hidden="1">{"fdsup://Directions/FactSet Auditing Viewer?action=AUDIT_VALUE&amp;DB=129&amp;ID1=35906A10&amp;VALUEID=01001&amp;SDATE=201002&amp;PERIODTYPE=QTR_STD&amp;window=popup_no_bar&amp;width=385&amp;height=120&amp;START_MAXIMIZED=FALSE&amp;creator=factset&amp;display_string=Audit"}</definedName>
    <definedName name="_157__FDSAUDITLINK__" localSheetId="1"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__FDSAUDITLINK__" hidden="1">{"fdsup://directions/FAT Viewer?action=UPDATE&amp;creator=factset&amp;DYN_ARGS=TRUE&amp;DOC_NAME=FAT:FQL_AUDITING_CLIENT_TEMPLATE.FAT&amp;display_string=Audit&amp;VAR:KEY=DWVUHYBSJM&amp;VAR:QUERY=RkZfRUJJVERBX09QRVIoUVRSLDQvMS8yMDA5LDYvMzAvMjAwOSwsLFVTRCk=&amp;WINDOW=FIRST_POPUP&amp;HEIGH","T=450&amp;WIDTH=450&amp;START_MAXIMIZED=FALSE&amp;VAR:CALENDAR=US&amp;VAR:SYMBOL=SUN&amp;VAR:INDEX=0"}</definedName>
    <definedName name="_1570__FDSAUDITLINK__" localSheetId="1" hidden="1">{"fdsup://Directions/FactSet Auditing Viewer?action=AUDIT_VALUE&amp;DB=129&amp;ID1=30249U10&amp;VALUEID=01001&amp;SDATE=200902&amp;PERIODTYPE=QTR_STD&amp;window=popup_no_bar&amp;width=385&amp;height=120&amp;START_MAXIMIZED=FALSE&amp;creator=factset&amp;display_string=Audit"}</definedName>
    <definedName name="_1570__FDSAUDITLINK__" hidden="1">{"fdsup://Directions/FactSet Auditing Viewer?action=AUDIT_VALUE&amp;DB=129&amp;ID1=30249U10&amp;VALUEID=01001&amp;SDATE=200902&amp;PERIODTYPE=QTR_STD&amp;window=popup_no_bar&amp;width=385&amp;height=120&amp;START_MAXIMIZED=FALSE&amp;creator=factset&amp;display_string=Audit"}</definedName>
    <definedName name="_1571__FDSAUDITLINK__" localSheetId="1" hidden="1">{"fdsup://Directions/FactSet Auditing Viewer?action=AUDIT_VALUE&amp;DB=129&amp;ID1=30249U10&amp;VALUEID=01001&amp;SDATE=201002&amp;PERIODTYPE=QTR_STD&amp;window=popup_no_bar&amp;width=385&amp;height=120&amp;START_MAXIMIZED=FALSE&amp;creator=factset&amp;display_string=Audit"}</definedName>
    <definedName name="_1571__FDSAUDITLINK__" hidden="1">{"fdsup://Directions/FactSet Auditing Viewer?action=AUDIT_VALUE&amp;DB=129&amp;ID1=30249U10&amp;VALUEID=01001&amp;SDATE=201002&amp;PERIODTYPE=QTR_STD&amp;window=popup_no_bar&amp;width=385&amp;height=120&amp;START_MAXIMIZED=FALSE&amp;creator=factset&amp;display_string=Audit"}</definedName>
    <definedName name="_1572__FDSAUDITLINK__" localSheetId="1" hidden="1">{"fdsup://Directions/FactSet Auditing Viewer?action=AUDIT_VALUE&amp;DB=129&amp;ID1=33643310&amp;VALUEID=01001&amp;SDATE=200902&amp;PERIODTYPE=QTR_STD&amp;window=popup_no_bar&amp;width=385&amp;height=120&amp;START_MAXIMIZED=FALSE&amp;creator=factset&amp;display_string=Audit"}</definedName>
    <definedName name="_1572__FDSAUDITLINK__" hidden="1">{"fdsup://Directions/FactSet Auditing Viewer?action=AUDIT_VALUE&amp;DB=129&amp;ID1=33643310&amp;VALUEID=01001&amp;SDATE=200902&amp;PERIODTYPE=QTR_STD&amp;window=popup_no_bar&amp;width=385&amp;height=120&amp;START_MAXIMIZED=FALSE&amp;creator=factset&amp;display_string=Audit"}</definedName>
    <definedName name="_1573__FDSAUDITLINK__" localSheetId="1" hidden="1">{"fdsup://Directions/FactSet Auditing Viewer?action=AUDIT_VALUE&amp;DB=129&amp;ID1=33643310&amp;VALUEID=01001&amp;SDATE=201002&amp;PERIODTYPE=QTR_STD&amp;window=popup_no_bar&amp;width=385&amp;height=120&amp;START_MAXIMIZED=FALSE&amp;creator=factset&amp;display_string=Audit"}</definedName>
    <definedName name="_1573__FDSAUDITLINK__" hidden="1">{"fdsup://Directions/FactSet Auditing Viewer?action=AUDIT_VALUE&amp;DB=129&amp;ID1=33643310&amp;VALUEID=01001&amp;SDATE=201002&amp;PERIODTYPE=QTR_STD&amp;window=popup_no_bar&amp;width=385&amp;height=120&amp;START_MAXIMIZED=FALSE&amp;creator=factset&amp;display_string=Audit"}</definedName>
    <definedName name="_1574__FDSAUDITLINK__" localSheetId="1" hidden="1">{"fdsup://Directions/FactSet Auditing Viewer?action=AUDIT_VALUE&amp;DB=129&amp;ID1=34583810&amp;VALUEID=01001&amp;SDATE=200901&amp;PERIODTYPE=QTR_STD&amp;window=popup_no_bar&amp;width=385&amp;height=120&amp;START_MAXIMIZED=FALSE&amp;creator=factset&amp;display_string=Audit"}</definedName>
    <definedName name="_1574__FDSAUDITLINK__" hidden="1">{"fdsup://Directions/FactSet Auditing Viewer?action=AUDIT_VALUE&amp;DB=129&amp;ID1=34583810&amp;VALUEID=01001&amp;SDATE=200901&amp;PERIODTYPE=QTR_STD&amp;window=popup_no_bar&amp;width=385&amp;height=120&amp;START_MAXIMIZED=FALSE&amp;creator=factset&amp;display_string=Audit"}</definedName>
    <definedName name="_1575__FDSAUDITLINK__" localSheetId="1" hidden="1">{"fdsup://Directions/FactSet Auditing Viewer?action=AUDIT_VALUE&amp;DB=129&amp;ID1=34583810&amp;VALUEID=01001&amp;SDATE=201001&amp;PERIODTYPE=QTR_STD&amp;window=popup_no_bar&amp;width=385&amp;height=120&amp;START_MAXIMIZED=FALSE&amp;creator=factset&amp;display_string=Audit"}</definedName>
    <definedName name="_1575__FDSAUDITLINK__" hidden="1">{"fdsup://Directions/FactSet Auditing Viewer?action=AUDIT_VALUE&amp;DB=129&amp;ID1=34583810&amp;VALUEID=01001&amp;SDATE=201001&amp;PERIODTYPE=QTR_STD&amp;window=popup_no_bar&amp;width=385&amp;height=120&amp;START_MAXIMIZED=FALSE&amp;creator=factset&amp;display_string=Audit"}</definedName>
    <definedName name="_1576__FDSAUDITLINK__" localSheetId="1" hidden="1">{"fdsup://Directions/FactSet Auditing Viewer?action=AUDIT_VALUE&amp;DB=129&amp;ID1=34963110&amp;VALUEID=01001&amp;SDATE=200902&amp;PERIODTYPE=QTR_STD&amp;window=popup_no_bar&amp;width=385&amp;height=120&amp;START_MAXIMIZED=FALSE&amp;creator=factset&amp;display_string=Audit"}</definedName>
    <definedName name="_1576__FDSAUDITLINK__" hidden="1">{"fdsup://Directions/FactSet Auditing Viewer?action=AUDIT_VALUE&amp;DB=129&amp;ID1=34963110&amp;VALUEID=01001&amp;SDATE=200902&amp;PERIODTYPE=QTR_STD&amp;window=popup_no_bar&amp;width=385&amp;height=120&amp;START_MAXIMIZED=FALSE&amp;creator=factset&amp;display_string=Audit"}</definedName>
    <definedName name="_1577__FDSAUDITLINK__" localSheetId="1" hidden="1">{"fdsup://Directions/FactSet Auditing Viewer?action=AUDIT_VALUE&amp;DB=129&amp;ID1=34963110&amp;VALUEID=01001&amp;SDATE=201002&amp;PERIODTYPE=QTR_STD&amp;window=popup_no_bar&amp;width=385&amp;height=120&amp;START_MAXIMIZED=FALSE&amp;creator=factset&amp;display_string=Audit"}</definedName>
    <definedName name="_1577__FDSAUDITLINK__" hidden="1">{"fdsup://Directions/FactSet Auditing Viewer?action=AUDIT_VALUE&amp;DB=129&amp;ID1=34963110&amp;VALUEID=01001&amp;SDATE=201002&amp;PERIODTYPE=QTR_STD&amp;window=popup_no_bar&amp;width=385&amp;height=120&amp;START_MAXIMIZED=FALSE&amp;creator=factset&amp;display_string=Audit"}</definedName>
    <definedName name="_1578__FDSAUDITLINK__" localSheetId="1" hidden="1">{"fdsup://Directions/FactSet Auditing Viewer?action=AUDIT_VALUE&amp;DB=129&amp;ID1=30249130&amp;VALUEID=01001&amp;SDATE=200902&amp;PERIODTYPE=QTR_STD&amp;window=popup_no_bar&amp;width=385&amp;height=120&amp;START_MAXIMIZED=FALSE&amp;creator=factset&amp;display_string=Audit"}</definedName>
    <definedName name="_1578__FDSAUDITLINK__" hidden="1">{"fdsup://Directions/FactSet Auditing Viewer?action=AUDIT_VALUE&amp;DB=129&amp;ID1=30249130&amp;VALUEID=01001&amp;SDATE=200902&amp;PERIODTYPE=QTR_STD&amp;window=popup_no_bar&amp;width=385&amp;height=120&amp;START_MAXIMIZED=FALSE&amp;creator=factset&amp;display_string=Audit"}</definedName>
    <definedName name="_1579__FDSAUDITLINK__" localSheetId="1" hidden="1">{"fdsup://Directions/FactSet Auditing Viewer?action=AUDIT_VALUE&amp;DB=129&amp;ID1=30249130&amp;VALUEID=01001&amp;SDATE=201002&amp;PERIODTYPE=QTR_STD&amp;window=popup_no_bar&amp;width=385&amp;height=120&amp;START_MAXIMIZED=FALSE&amp;creator=factset&amp;display_string=Audit"}</definedName>
    <definedName name="_1579__FDSAUDITLINK__" hidden="1">{"fdsup://Directions/FactSet Auditing Viewer?action=AUDIT_VALUE&amp;DB=129&amp;ID1=30249130&amp;VALUEID=01001&amp;SDATE=201002&amp;PERIODTYPE=QTR_STD&amp;window=popup_no_bar&amp;width=385&amp;height=120&amp;START_MAXIMIZED=FALSE&amp;creator=factset&amp;display_string=Audit"}</definedName>
    <definedName name="_158__FDSAUDITLINK__" localSheetId="1"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__FDSAUDITLINK__" hidden="1">{"fdsup://directions/FAT Viewer?action=UPDATE&amp;creator=factset&amp;DYN_ARGS=TRUE&amp;DOC_NAME=FAT:FQL_AUDITING_CLIENT_TEMPLATE.FAT&amp;display_string=Audit&amp;VAR:KEY=PMLCNEVKLK&amp;VAR:QUERY=RkZfRUJJVERBX09QRVIoUVRSLDQvMS8yMDEwLDYvMzAvMjAxMCwsLFVTRCk=&amp;WINDOW=FIRST_POPUP&amp;HEIGH","T=450&amp;WIDTH=450&amp;START_MAXIMIZED=FALSE&amp;VAR:CALENDAR=US&amp;VAR:SYMBOL=SUN&amp;VAR:INDEX=0"}</definedName>
    <definedName name="_1580__FDSAUDITLINK__" localSheetId="1" hidden="1">{"fdsup://Directions/FactSet Auditing Viewer?action=AUDIT_VALUE&amp;DB=129&amp;ID1=34354P10&amp;VALUEID=01001&amp;SDATE=200902&amp;PERIODTYPE=QTR_STD&amp;window=popup_no_bar&amp;width=385&amp;height=120&amp;START_MAXIMIZED=FALSE&amp;creator=factset&amp;display_string=Audit"}</definedName>
    <definedName name="_1580__FDSAUDITLINK__" hidden="1">{"fdsup://Directions/FactSet Auditing Viewer?action=AUDIT_VALUE&amp;DB=129&amp;ID1=34354P10&amp;VALUEID=01001&amp;SDATE=200902&amp;PERIODTYPE=QTR_STD&amp;window=popup_no_bar&amp;width=385&amp;height=120&amp;START_MAXIMIZED=FALSE&amp;creator=factset&amp;display_string=Audit"}</definedName>
    <definedName name="_1581__FDSAUDITLINK__" localSheetId="1" hidden="1">{"fdsup://Directions/FactSet Auditing Viewer?action=AUDIT_VALUE&amp;DB=129&amp;ID1=34354P10&amp;VALUEID=01001&amp;SDATE=201002&amp;PERIODTYPE=QTR_STD&amp;window=popup_no_bar&amp;width=385&amp;height=120&amp;START_MAXIMIZED=FALSE&amp;creator=factset&amp;display_string=Audit"}</definedName>
    <definedName name="_1581__FDSAUDITLINK__" hidden="1">{"fdsup://Directions/FactSet Auditing Viewer?action=AUDIT_VALUE&amp;DB=129&amp;ID1=34354P10&amp;VALUEID=01001&amp;SDATE=201002&amp;PERIODTYPE=QTR_STD&amp;window=popup_no_bar&amp;width=385&amp;height=120&amp;START_MAXIMIZED=FALSE&amp;creator=factset&amp;display_string=Audit"}</definedName>
    <definedName name="_1582__FDSAUDITLINK__" localSheetId="1" hidden="1">{"fdsup://Directions/FactSet Auditing Viewer?action=AUDIT_VALUE&amp;DB=129&amp;ID1=34341210&amp;VALUEID=01001&amp;SDATE=200902&amp;PERIODTYPE=QTR_STD&amp;window=popup_no_bar&amp;width=385&amp;height=120&amp;START_MAXIMIZED=FALSE&amp;creator=factset&amp;display_string=Audit"}</definedName>
    <definedName name="_1582__FDSAUDITLINK__" hidden="1">{"fdsup://Directions/FactSet Auditing Viewer?action=AUDIT_VALUE&amp;DB=129&amp;ID1=34341210&amp;VALUEID=01001&amp;SDATE=200902&amp;PERIODTYPE=QTR_STD&amp;window=popup_no_bar&amp;width=385&amp;height=120&amp;START_MAXIMIZED=FALSE&amp;creator=factset&amp;display_string=Audit"}</definedName>
    <definedName name="_1583__FDSAUDITLINK__" localSheetId="1" hidden="1">{"fdsup://Directions/FactSet Auditing Viewer?action=AUDIT_VALUE&amp;DB=129&amp;ID1=34341210&amp;VALUEID=01001&amp;SDATE=201002&amp;PERIODTYPE=QTR_STD&amp;window=popup_no_bar&amp;width=385&amp;height=120&amp;START_MAXIMIZED=FALSE&amp;creator=factset&amp;display_string=Audit"}</definedName>
    <definedName name="_1583__FDSAUDITLINK__" hidden="1">{"fdsup://Directions/FactSet Auditing Viewer?action=AUDIT_VALUE&amp;DB=129&amp;ID1=34341210&amp;VALUEID=01001&amp;SDATE=201002&amp;PERIODTYPE=QTR_STD&amp;window=popup_no_bar&amp;width=385&amp;height=120&amp;START_MAXIMIZED=FALSE&amp;creator=factset&amp;display_string=Audit"}</definedName>
    <definedName name="_1584__FDSAUDITLINK__" localSheetId="1" hidden="1">{"fdsup://Directions/FactSet Auditing Viewer?action=AUDIT_VALUE&amp;DB=129&amp;ID1=30244510&amp;VALUEID=01001&amp;SDATE=200902&amp;PERIODTYPE=QTR_STD&amp;window=popup_no_bar&amp;width=385&amp;height=120&amp;START_MAXIMIZED=FALSE&amp;creator=factset&amp;display_string=Audit"}</definedName>
    <definedName name="_1584__FDSAUDITLINK__" hidden="1">{"fdsup://Directions/FactSet Auditing Viewer?action=AUDIT_VALUE&amp;DB=129&amp;ID1=30244510&amp;VALUEID=01001&amp;SDATE=200902&amp;PERIODTYPE=QTR_STD&amp;window=popup_no_bar&amp;width=385&amp;height=120&amp;START_MAXIMIZED=FALSE&amp;creator=factset&amp;display_string=Audit"}</definedName>
    <definedName name="_1585__FDSAUDITLINK__" localSheetId="1" hidden="1">{"fdsup://Directions/FactSet Auditing Viewer?action=AUDIT_VALUE&amp;DB=129&amp;ID1=30244510&amp;VALUEID=01001&amp;SDATE=201002&amp;PERIODTYPE=QTR_STD&amp;window=popup_no_bar&amp;width=385&amp;height=120&amp;START_MAXIMIZED=FALSE&amp;creator=factset&amp;display_string=Audit"}</definedName>
    <definedName name="_1585__FDSAUDITLINK__" hidden="1">{"fdsup://Directions/FactSet Auditing Viewer?action=AUDIT_VALUE&amp;DB=129&amp;ID1=30244510&amp;VALUEID=01001&amp;SDATE=201002&amp;PERIODTYPE=QTR_STD&amp;window=popup_no_bar&amp;width=385&amp;height=120&amp;START_MAXIMIZED=FALSE&amp;creator=factset&amp;display_string=Audit"}</definedName>
    <definedName name="_1586__FDSAUDITLINK__" localSheetId="1" hidden="1">{"fdsup://Directions/FactSet Auditing Viewer?action=AUDIT_VALUE&amp;DB=129&amp;ID1=33773810&amp;VALUEID=01001&amp;SDATE=200902&amp;PERIODTYPE=QTR_STD&amp;window=popup_no_bar&amp;width=385&amp;height=120&amp;START_MAXIMIZED=FALSE&amp;creator=factset&amp;display_string=Audit"}</definedName>
    <definedName name="_1586__FDSAUDITLINK__" hidden="1">{"fdsup://Directions/FactSet Auditing Viewer?action=AUDIT_VALUE&amp;DB=129&amp;ID1=33773810&amp;VALUEID=01001&amp;SDATE=200902&amp;PERIODTYPE=QTR_STD&amp;window=popup_no_bar&amp;width=385&amp;height=120&amp;START_MAXIMIZED=FALSE&amp;creator=factset&amp;display_string=Audit"}</definedName>
    <definedName name="_1587__FDSAUDITLINK__" localSheetId="1" hidden="1">{"fdsup://Directions/FactSet Auditing Viewer?action=AUDIT_VALUE&amp;DB=129&amp;ID1=33773810&amp;VALUEID=01001&amp;SDATE=201002&amp;PERIODTYPE=QTR_STD&amp;window=popup_no_bar&amp;width=385&amp;height=120&amp;START_MAXIMIZED=FALSE&amp;creator=factset&amp;display_string=Audit"}</definedName>
    <definedName name="_1587__FDSAUDITLINK__" hidden="1">{"fdsup://Directions/FactSet Auditing Viewer?action=AUDIT_VALUE&amp;DB=129&amp;ID1=33773810&amp;VALUEID=01001&amp;SDATE=201002&amp;PERIODTYPE=QTR_STD&amp;window=popup_no_bar&amp;width=385&amp;height=120&amp;START_MAXIMIZED=FALSE&amp;creator=factset&amp;display_string=Audit"}</definedName>
    <definedName name="_1588__FDSAUDITLINK__" localSheetId="1" hidden="1">{"fdsup://Directions/FactSet Auditing Viewer?action=AUDIT_VALUE&amp;DB=129&amp;ID1=31620M10&amp;VALUEID=01001&amp;SDATE=200902&amp;PERIODTYPE=QTR_STD&amp;window=popup_no_bar&amp;width=385&amp;height=120&amp;START_MAXIMIZED=FALSE&amp;creator=factset&amp;display_string=Audit"}</definedName>
    <definedName name="_1588__FDSAUDITLINK__" hidden="1">{"fdsup://Directions/FactSet Auditing Viewer?action=AUDIT_VALUE&amp;DB=129&amp;ID1=31620M10&amp;VALUEID=01001&amp;SDATE=200902&amp;PERIODTYPE=QTR_STD&amp;window=popup_no_bar&amp;width=385&amp;height=120&amp;START_MAXIMIZED=FALSE&amp;creator=factset&amp;display_string=Audit"}</definedName>
    <definedName name="_1589__FDSAUDITLINK__" localSheetId="1" hidden="1">{"fdsup://Directions/FactSet Auditing Viewer?action=AUDIT_VALUE&amp;DB=129&amp;ID1=31620M10&amp;VALUEID=01001&amp;SDATE=201002&amp;PERIODTYPE=QTR_STD&amp;window=popup_no_bar&amp;width=385&amp;height=120&amp;START_MAXIMIZED=FALSE&amp;creator=factset&amp;display_string=Audit"}</definedName>
    <definedName name="_1589__FDSAUDITLINK__" hidden="1">{"fdsup://Directions/FactSet Auditing Viewer?action=AUDIT_VALUE&amp;DB=129&amp;ID1=31620M10&amp;VALUEID=01001&amp;SDATE=201002&amp;PERIODTYPE=QTR_STD&amp;window=popup_no_bar&amp;width=385&amp;height=120&amp;START_MAXIMIZED=FALSE&amp;creator=factset&amp;display_string=Audit"}</definedName>
    <definedName name="_159__FDSAUDITLINK__" localSheetId="1"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__FDSAUDITLINK__" hidden="1">{"fdsup://directions/FAT Viewer?action=UPDATE&amp;creator=factset&amp;DYN_ARGS=TRUE&amp;DOC_NAME=FAT:FQL_AUDITING_CLIENT_TEMPLATE.FAT&amp;display_string=Audit&amp;VAR:KEY=RCPYNCFSLG&amp;VAR:QUERY=RkZfRUJJVERBX09QRVIoUVRSLDQvMS8yMDA5LDYvMzAvMjAwOSwsLFVTRCk=&amp;WINDOW=FIRST_POPUP&amp;HEIGH","T=450&amp;WIDTH=450&amp;START_MAXIMIZED=FALSE&amp;VAR:CALENDAR=US&amp;VAR:SYMBOL=STZ&amp;VAR:INDEX=0"}</definedName>
    <definedName name="_1590__FDSAUDITLINK__" localSheetId="1" hidden="1">{"fdsup://Directions/FactSet Auditing Viewer?action=AUDIT_VALUE&amp;DB=129&amp;ID1=31421110&amp;VALUEID=01001&amp;SDATE=200902&amp;PERIODTYPE=QTR_STD&amp;window=popup_no_bar&amp;width=385&amp;height=120&amp;START_MAXIMIZED=FALSE&amp;creator=factset&amp;display_string=Audit"}</definedName>
    <definedName name="_1590__FDSAUDITLINK__" hidden="1">{"fdsup://Directions/FactSet Auditing Viewer?action=AUDIT_VALUE&amp;DB=129&amp;ID1=31421110&amp;VALUEID=01001&amp;SDATE=200902&amp;PERIODTYPE=QTR_STD&amp;window=popup_no_bar&amp;width=385&amp;height=120&amp;START_MAXIMIZED=FALSE&amp;creator=factset&amp;display_string=Audit"}</definedName>
    <definedName name="_1591__FDSAUDITLINK__" localSheetId="1" hidden="1">{"fdsup://Directions/FactSet Auditing Viewer?action=AUDIT_VALUE&amp;DB=129&amp;ID1=31421110&amp;VALUEID=01001&amp;SDATE=201002&amp;PERIODTYPE=QTR_STD&amp;window=popup_no_bar&amp;width=385&amp;height=120&amp;START_MAXIMIZED=FALSE&amp;creator=factset&amp;display_string=Audit"}</definedName>
    <definedName name="_1591__FDSAUDITLINK__" hidden="1">{"fdsup://Directions/FactSet Auditing Viewer?action=AUDIT_VALUE&amp;DB=129&amp;ID1=31421110&amp;VALUEID=01001&amp;SDATE=201002&amp;PERIODTYPE=QTR_STD&amp;window=popup_no_bar&amp;width=385&amp;height=120&amp;START_MAXIMIZED=FALSE&amp;creator=factset&amp;display_string=Audit"}</definedName>
    <definedName name="_1592__FDSAUDITLINK__" localSheetId="1" hidden="1">{"fdsup://Directions/FactSet Auditing Viewer?action=AUDIT_VALUE&amp;DB=129&amp;ID1=33793210&amp;VALUEID=01001&amp;SDATE=201002&amp;PERIODTYPE=QTR_STD&amp;window=popup_no_bar&amp;width=385&amp;height=120&amp;START_MAXIMIZED=FALSE&amp;creator=factset&amp;display_string=Audit"}</definedName>
    <definedName name="_1592__FDSAUDITLINK__" hidden="1">{"fdsup://Directions/FactSet Auditing Viewer?action=AUDIT_VALUE&amp;DB=129&amp;ID1=33793210&amp;VALUEID=01001&amp;SDATE=201002&amp;PERIODTYPE=QTR_STD&amp;window=popup_no_bar&amp;width=385&amp;height=120&amp;START_MAXIMIZED=FALSE&amp;creator=factset&amp;display_string=Audit"}</definedName>
    <definedName name="_1593__FDSAUDITLINK__" localSheetId="1" hidden="1">{"fdsup://Directions/FactSet Auditing Viewer?action=AUDIT_VALUE&amp;DB=129&amp;ID1=31428X10&amp;VALUEID=01001&amp;SDATE=200804&amp;PERIODTYPE=QTR_STD&amp;window=popup_no_bar&amp;width=385&amp;height=120&amp;START_MAXIMIZED=FALSE&amp;creator=factset&amp;display_string=Audit"}</definedName>
    <definedName name="_1593__FDSAUDITLINK__" hidden="1">{"fdsup://Directions/FactSet Auditing Viewer?action=AUDIT_VALUE&amp;DB=129&amp;ID1=31428X10&amp;VALUEID=01001&amp;SDATE=200804&amp;PERIODTYPE=QTR_STD&amp;window=popup_no_bar&amp;width=385&amp;height=120&amp;START_MAXIMIZED=FALSE&amp;creator=factset&amp;display_string=Audit"}</definedName>
    <definedName name="_1594__FDSAUDITLINK__" localSheetId="1" hidden="1">{"fdsup://Directions/FactSet Auditing Viewer?action=AUDIT_VALUE&amp;DB=129&amp;ID1=31428X10&amp;VALUEID=01001&amp;SDATE=200904&amp;PERIODTYPE=QTR_STD&amp;window=popup_no_bar&amp;width=385&amp;height=120&amp;START_MAXIMIZED=FALSE&amp;creator=factset&amp;display_string=Audit"}</definedName>
    <definedName name="_1594__FDSAUDITLINK__" hidden="1">{"fdsup://Directions/FactSet Auditing Viewer?action=AUDIT_VALUE&amp;DB=129&amp;ID1=31428X10&amp;VALUEID=01001&amp;SDATE=200904&amp;PERIODTYPE=QTR_STD&amp;window=popup_no_bar&amp;width=385&amp;height=120&amp;START_MAXIMIZED=FALSE&amp;creator=factset&amp;display_string=Audit"}</definedName>
    <definedName name="_1595__FDSAUDITLINK__" localSheetId="1" hidden="1">{"fdsup://Directions/FactSet Auditing Viewer?action=AUDIT_VALUE&amp;DB=129&amp;ID1=30700010&amp;VALUEID=01001&amp;SDATE=200903&amp;PERIODTYPE=QTR_STD&amp;window=popup_no_bar&amp;width=385&amp;height=120&amp;START_MAXIMIZED=FALSE&amp;creator=factset&amp;display_string=Audit"}</definedName>
    <definedName name="_1595__FDSAUDITLINK__" hidden="1">{"fdsup://Directions/FactSet Auditing Viewer?action=AUDIT_VALUE&amp;DB=129&amp;ID1=30700010&amp;VALUEID=01001&amp;SDATE=200903&amp;PERIODTYPE=QTR_STD&amp;window=popup_no_bar&amp;width=385&amp;height=120&amp;START_MAXIMIZED=FALSE&amp;creator=factset&amp;display_string=Audit"}</definedName>
    <definedName name="_1596__FDSAUDITLINK__" localSheetId="1" hidden="1">{"fdsup://Directions/FactSet Auditing Viewer?action=AUDIT_VALUE&amp;DB=129&amp;ID1=30700010&amp;VALUEID=01001&amp;SDATE=201003&amp;PERIODTYPE=QTR_STD&amp;window=popup_no_bar&amp;width=385&amp;height=120&amp;START_MAXIMIZED=FALSE&amp;creator=factset&amp;display_string=Audit"}</definedName>
    <definedName name="_1596__FDSAUDITLINK__" hidden="1">{"fdsup://Directions/FactSet Auditing Viewer?action=AUDIT_VALUE&amp;DB=129&amp;ID1=30700010&amp;VALUEID=01001&amp;SDATE=201003&amp;PERIODTYPE=QTR_STD&amp;window=popup_no_bar&amp;width=385&amp;height=120&amp;START_MAXIMIZED=FALSE&amp;creator=factset&amp;display_string=Audit"}</definedName>
    <definedName name="_1597__FDSAUDITLINK__" localSheetId="1" hidden="1">{"fdsup://Directions/FactSet Auditing Viewer?action=AUDIT_VALUE&amp;DB=129&amp;ID1=35671D85&amp;VALUEID=01001&amp;SDATE=200902&amp;PERIODTYPE=QTR_STD&amp;window=popup_no_bar&amp;width=385&amp;height=120&amp;START_MAXIMIZED=FALSE&amp;creator=factset&amp;display_string=Audit"}</definedName>
    <definedName name="_1597__FDSAUDITLINK__" hidden="1">{"fdsup://Directions/FactSet Auditing Viewer?action=AUDIT_VALUE&amp;DB=129&amp;ID1=35671D85&amp;VALUEID=01001&amp;SDATE=200902&amp;PERIODTYPE=QTR_STD&amp;window=popup_no_bar&amp;width=385&amp;height=120&amp;START_MAXIMIZED=FALSE&amp;creator=factset&amp;display_string=Audit"}</definedName>
    <definedName name="_1598__FDSAUDITLINK__" localSheetId="1" hidden="1">{"fdsup://Directions/FactSet Auditing Viewer?action=AUDIT_VALUE&amp;DB=129&amp;ID1=35671D85&amp;VALUEID=01001&amp;SDATE=201002&amp;PERIODTYPE=QTR_STD&amp;window=popup_no_bar&amp;width=385&amp;height=120&amp;START_MAXIMIZED=FALSE&amp;creator=factset&amp;display_string=Audit"}</definedName>
    <definedName name="_1598__FDSAUDITLINK__" hidden="1">{"fdsup://Directions/FactSet Auditing Viewer?action=AUDIT_VALUE&amp;DB=129&amp;ID1=35671D85&amp;VALUEID=01001&amp;SDATE=201002&amp;PERIODTYPE=QTR_STD&amp;window=popup_no_bar&amp;width=385&amp;height=120&amp;START_MAXIMIZED=FALSE&amp;creator=factset&amp;display_string=Audit"}</definedName>
    <definedName name="_1599__FDSAUDITLINK__" localSheetId="1" hidden="1">{"fdsup://Directions/FactSet Auditing Viewer?action=AUDIT_VALUE&amp;DB=129&amp;ID1=31190010&amp;VALUEID=01001&amp;SDATE=200902&amp;PERIODTYPE=QTR_STD&amp;window=popup_no_bar&amp;width=385&amp;height=120&amp;START_MAXIMIZED=FALSE&amp;creator=factset&amp;display_string=Audit"}</definedName>
    <definedName name="_1599__FDSAUDITLINK__" hidden="1">{"fdsup://Directions/FactSet Auditing Viewer?action=AUDIT_VALUE&amp;DB=129&amp;ID1=31190010&amp;VALUEID=01001&amp;SDATE=200902&amp;PERIODTYPE=QTR_STD&amp;window=popup_no_bar&amp;width=385&amp;height=120&amp;START_MAXIMIZED=FALSE&amp;creator=factset&amp;display_string=Audit"}</definedName>
    <definedName name="_16__FDSAUDITLINK__" localSheetId="1" hidden="1">{"fdsup://directions/FAT Viewer?action=UPDATE&amp;creator=factset&amp;DYN_ARGS=TRUE&amp;DOC_NAME=FAT:FQL_AUDITING_CLIENT_TEMPLATE.FAT&amp;display_string=Audit&amp;VAR:KEY=HSFCXGHKNC&amp;VAR:QUERY=RkZfRUJJVERBX09QRVIoUVRSLDQvMS8yMDEwLDYvMzAvMjAxMCwsLFVTRCk=&amp;WINDOW=FIRST_POPUP&amp;HEIGH","T=450&amp;WIDTH=450&amp;START_MAXIMIZED=FALSE&amp;VAR:CALENDAR=US&amp;VAR:SYMBOL=XLNX&amp;VAR:INDEX=0"}</definedName>
    <definedName name="_16__FDSAUDITLINK__" hidden="1">{"fdsup://directions/FAT Viewer?action=UPDATE&amp;creator=factset&amp;DYN_ARGS=TRUE&amp;DOC_NAME=FAT:FQL_AUDITING_CLIENT_TEMPLATE.FAT&amp;display_string=Audit&amp;VAR:KEY=HSFCXGHKNC&amp;VAR:QUERY=RkZfRUJJVERBX09QRVIoUVRSLDQvMS8yMDEwLDYvMzAvMjAxMCwsLFVTRCk=&amp;WINDOW=FIRST_POPUP&amp;HEIGH","T=450&amp;WIDTH=450&amp;START_MAXIMIZED=FALSE&amp;VAR:CALENDAR=US&amp;VAR:SYMBOL=XLNX&amp;VAR:INDEX=0"}</definedName>
    <definedName name="_160__FDSAUDITLINK__" localSheetId="1"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__FDSAUDITLINK__" hidden="1">{"fdsup://directions/FAT Viewer?action=UPDATE&amp;creator=factset&amp;DYN_ARGS=TRUE&amp;DOC_NAME=FAT:FQL_AUDITING_CLIENT_TEMPLATE.FAT&amp;display_string=Audit&amp;VAR:KEY=TKTERWJSVS&amp;VAR:QUERY=RkZfRUJJVERBX09QRVIoUVRSLDQvMS8yMDEwLDYvMzAvMjAxMCwsLFVTRCk=&amp;WINDOW=FIRST_POPUP&amp;HEIGH","T=450&amp;WIDTH=450&amp;START_MAXIMIZED=FALSE&amp;VAR:CALENDAR=US&amp;VAR:SYMBOL=STZ&amp;VAR:INDEX=0"}</definedName>
    <definedName name="_1600__FDSAUDITLINK__" localSheetId="1" hidden="1">{"fdsup://Directions/FactSet Auditing Viewer?action=AUDIT_VALUE&amp;DB=129&amp;ID1=31190010&amp;VALUEID=01001&amp;SDATE=201002&amp;PERIODTYPE=QTR_STD&amp;window=popup_no_bar&amp;width=385&amp;height=120&amp;START_MAXIMIZED=FALSE&amp;creator=factset&amp;display_string=Audit"}</definedName>
    <definedName name="_1600__FDSAUDITLINK__" hidden="1">{"fdsup://Directions/FactSet Auditing Viewer?action=AUDIT_VALUE&amp;DB=129&amp;ID1=31190010&amp;VALUEID=01001&amp;SDATE=201002&amp;PERIODTYPE=QTR_STD&amp;window=popup_no_bar&amp;width=385&amp;height=120&amp;START_MAXIMIZED=FALSE&amp;creator=factset&amp;display_string=Audit"}</definedName>
    <definedName name="_1601__FDSAUDITLINK__" localSheetId="1" hidden="1">{"fdsup://Directions/FactSet Auditing Viewer?action=AUDIT_VALUE&amp;DB=129&amp;ID1=34537086&amp;VALUEID=01001&amp;SDATE=200902&amp;PERIODTYPE=QTR_STD&amp;window=popup_no_bar&amp;width=385&amp;height=120&amp;START_MAXIMIZED=FALSE&amp;creator=factset&amp;display_string=Audit"}</definedName>
    <definedName name="_1601__FDSAUDITLINK__" hidden="1">{"fdsup://Directions/FactSet Auditing Viewer?action=AUDIT_VALUE&amp;DB=129&amp;ID1=34537086&amp;VALUEID=01001&amp;SDATE=200902&amp;PERIODTYPE=QTR_STD&amp;window=popup_no_bar&amp;width=385&amp;height=120&amp;START_MAXIMIZED=FALSE&amp;creator=factset&amp;display_string=Audit"}</definedName>
    <definedName name="_1602__FDSAUDITLINK__" localSheetId="1" hidden="1">{"fdsup://Directions/FactSet Auditing Viewer?action=AUDIT_VALUE&amp;DB=129&amp;ID1=34537086&amp;VALUEID=01001&amp;SDATE=201002&amp;PERIODTYPE=QTR_STD&amp;window=popup_no_bar&amp;width=385&amp;height=120&amp;START_MAXIMIZED=FALSE&amp;creator=factset&amp;display_string=Audit"}</definedName>
    <definedName name="_1602__FDSAUDITLINK__" hidden="1">{"fdsup://Directions/FactSet Auditing Viewer?action=AUDIT_VALUE&amp;DB=129&amp;ID1=34537086&amp;VALUEID=01001&amp;SDATE=201002&amp;PERIODTYPE=QTR_STD&amp;window=popup_no_bar&amp;width=385&amp;height=120&amp;START_MAXIMIZED=FALSE&amp;creator=factset&amp;display_string=Audit"}</definedName>
    <definedName name="_1603__FDSAUDITLINK__" localSheetId="1" hidden="1">{"fdsup://Directions/FactSet Auditing Viewer?action=AUDIT_VALUE&amp;DB=129&amp;ID1=30212P10&amp;VALUEID=01001&amp;SDATE=200902&amp;PERIODTYPE=QTR_STD&amp;window=popup_no_bar&amp;width=385&amp;height=120&amp;START_MAXIMIZED=FALSE&amp;creator=factset&amp;display_string=Audit"}</definedName>
    <definedName name="_1603__FDSAUDITLINK__" hidden="1">{"fdsup://Directions/FactSet Auditing Viewer?action=AUDIT_VALUE&amp;DB=129&amp;ID1=30212P10&amp;VALUEID=01001&amp;SDATE=200902&amp;PERIODTYPE=QTR_STD&amp;window=popup_no_bar&amp;width=385&amp;height=120&amp;START_MAXIMIZED=FALSE&amp;creator=factset&amp;display_string=Audit"}</definedName>
    <definedName name="_1604__FDSAUDITLINK__" localSheetId="1" hidden="1">{"fdsup://Directions/FactSet Auditing Viewer?action=AUDIT_VALUE&amp;DB=129&amp;ID1=30212P10&amp;VALUEID=01001&amp;SDATE=201002&amp;PERIODTYPE=QTR_STD&amp;window=popup_no_bar&amp;width=385&amp;height=120&amp;START_MAXIMIZED=FALSE&amp;creator=factset&amp;display_string=Audit"}</definedName>
    <definedName name="_1604__FDSAUDITLINK__" hidden="1">{"fdsup://Directions/FactSet Auditing Viewer?action=AUDIT_VALUE&amp;DB=129&amp;ID1=30212P10&amp;VALUEID=01001&amp;SDATE=201002&amp;PERIODTYPE=QTR_STD&amp;window=popup_no_bar&amp;width=385&amp;height=120&amp;START_MAXIMIZED=FALSE&amp;creator=factset&amp;display_string=Audit"}</definedName>
    <definedName name="_1605__FDSAUDITLINK__" localSheetId="1" hidden="1">{"fdsup://Directions/FactSet Auditing Viewer?action=AUDIT_VALUE&amp;DB=129&amp;ID1=30213010&amp;VALUEID=01001&amp;SDATE=200902&amp;PERIODTYPE=QTR_STD&amp;window=popup_no_bar&amp;width=385&amp;height=120&amp;START_MAXIMIZED=FALSE&amp;creator=factset&amp;display_string=Audit"}</definedName>
    <definedName name="_1605__FDSAUDITLINK__" hidden="1">{"fdsup://Directions/FactSet Auditing Viewer?action=AUDIT_VALUE&amp;DB=129&amp;ID1=30213010&amp;VALUEID=01001&amp;SDATE=200902&amp;PERIODTYPE=QTR_STD&amp;window=popup_no_bar&amp;width=385&amp;height=120&amp;START_MAXIMIZED=FALSE&amp;creator=factset&amp;display_string=Audit"}</definedName>
    <definedName name="_1606__FDSAUDITLINK__" localSheetId="1" hidden="1">{"fdsup://Directions/FactSet Auditing Viewer?action=AUDIT_VALUE&amp;DB=129&amp;ID1=30213010&amp;VALUEID=01001&amp;SDATE=201002&amp;PERIODTYPE=QTR_STD&amp;window=popup_no_bar&amp;width=385&amp;height=120&amp;START_MAXIMIZED=FALSE&amp;creator=factset&amp;display_string=Audit"}</definedName>
    <definedName name="_1606__FDSAUDITLINK__" hidden="1">{"fdsup://Directions/FactSet Auditing Viewer?action=AUDIT_VALUE&amp;DB=129&amp;ID1=30213010&amp;VALUEID=01001&amp;SDATE=201002&amp;PERIODTYPE=QTR_STD&amp;window=popup_no_bar&amp;width=385&amp;height=120&amp;START_MAXIMIZED=FALSE&amp;creator=factset&amp;display_string=Audit"}</definedName>
    <definedName name="_1607__FDSAUDITLINK__" localSheetId="1" hidden="1">{"fdsup://Directions/FactSet Auditing Viewer?action=AUDIT_VALUE&amp;DB=129&amp;ID1=30161N10&amp;VALUEID=01001&amp;SDATE=200902&amp;PERIODTYPE=QTR_STD&amp;window=popup_no_bar&amp;width=385&amp;height=120&amp;START_MAXIMIZED=FALSE&amp;creator=factset&amp;display_string=Audit"}</definedName>
    <definedName name="_1607__FDSAUDITLINK__" hidden="1">{"fdsup://Directions/FactSet Auditing Viewer?action=AUDIT_VALUE&amp;DB=129&amp;ID1=30161N10&amp;VALUEID=01001&amp;SDATE=200902&amp;PERIODTYPE=QTR_STD&amp;window=popup_no_bar&amp;width=385&amp;height=120&amp;START_MAXIMIZED=FALSE&amp;creator=factset&amp;display_string=Audit"}</definedName>
    <definedName name="_1608__FDSAUDITLINK__" localSheetId="1" hidden="1">{"fdsup://Directions/FactSet Auditing Viewer?action=AUDIT_VALUE&amp;DB=129&amp;ID1=30161N10&amp;VALUEID=01001&amp;SDATE=201002&amp;PERIODTYPE=QTR_STD&amp;window=popup_no_bar&amp;width=385&amp;height=120&amp;START_MAXIMIZED=FALSE&amp;creator=factset&amp;display_string=Audit"}</definedName>
    <definedName name="_1608__FDSAUDITLINK__" hidden="1">{"fdsup://Directions/FactSet Auditing Viewer?action=AUDIT_VALUE&amp;DB=129&amp;ID1=30161N10&amp;VALUEID=01001&amp;SDATE=201002&amp;PERIODTYPE=QTR_STD&amp;window=popup_no_bar&amp;width=385&amp;height=120&amp;START_MAXIMIZED=FALSE&amp;creator=factset&amp;display_string=Audit"}</definedName>
    <definedName name="_1609__FDSAUDITLINK__" localSheetId="1" hidden="1">{"fdsup://Directions/FactSet Auditing Viewer?action=AUDIT_VALUE&amp;DB=129&amp;ID1=29364G10&amp;VALUEID=01001&amp;SDATE=200902&amp;PERIODTYPE=QTR_STD&amp;window=popup_no_bar&amp;width=385&amp;height=120&amp;START_MAXIMIZED=FALSE&amp;creator=factset&amp;display_string=Audit"}</definedName>
    <definedName name="_1609__FDSAUDITLINK__" hidden="1">{"fdsup://Directions/FactSet Auditing Viewer?action=AUDIT_VALUE&amp;DB=129&amp;ID1=29364G10&amp;VALUEID=01001&amp;SDATE=200902&amp;PERIODTYPE=QTR_STD&amp;window=popup_no_bar&amp;width=385&amp;height=120&amp;START_MAXIMIZED=FALSE&amp;creator=factset&amp;display_string=Audit"}</definedName>
    <definedName name="_161__FDSAUDITLINK__" localSheetId="1"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__FDSAUDITLINK__" hidden="1">{"fdsup://directions/FAT Viewer?action=UPDATE&amp;creator=factset&amp;DYN_ARGS=TRUE&amp;DOC_NAME=FAT:FQL_AUDITING_CLIENT_TEMPLATE.FAT&amp;display_string=Audit&amp;VAR:KEY=ZQHABYBAHQ&amp;VAR:QUERY=RkZfRUJJVERBX09QRVIoUVRSLDQvMS8yMDA5LDYvMzAvMjAwOSwsLFVTRCk=&amp;WINDOW=FIRST_POPUP&amp;HEIGH","T=450&amp;WIDTH=450&amp;START_MAXIMIZED=FALSE&amp;VAR:CALENDAR=US&amp;VAR:SYMBOL=STT&amp;VAR:INDEX=0"}</definedName>
    <definedName name="_1610__FDSAUDITLINK__" localSheetId="1" hidden="1">{"fdsup://Directions/FactSet Auditing Viewer?action=AUDIT_VALUE&amp;DB=129&amp;ID1=29364G10&amp;VALUEID=01001&amp;SDATE=201002&amp;PERIODTYPE=QTR_STD&amp;window=popup_no_bar&amp;width=385&amp;height=120&amp;START_MAXIMIZED=FALSE&amp;creator=factset&amp;display_string=Audit"}</definedName>
    <definedName name="_1610__FDSAUDITLINK__" hidden="1">{"fdsup://Directions/FactSet Auditing Viewer?action=AUDIT_VALUE&amp;DB=129&amp;ID1=29364G10&amp;VALUEID=01001&amp;SDATE=201002&amp;PERIODTYPE=QTR_STD&amp;window=popup_no_bar&amp;width=385&amp;height=120&amp;START_MAXIMIZED=FALSE&amp;creator=factset&amp;display_string=Audit"}</definedName>
    <definedName name="_1611__FDSAUDITLINK__" localSheetId="1" hidden="1">{"fdsup://Directions/FactSet Auditing Viewer?action=AUDIT_VALUE&amp;DB=129&amp;ID1=27805810&amp;VALUEID=01001&amp;SDATE=200902&amp;PERIODTYPE=QTR_STD&amp;window=popup_no_bar&amp;width=385&amp;height=120&amp;START_MAXIMIZED=FALSE&amp;creator=factset&amp;display_string=Audit"}</definedName>
    <definedName name="_1611__FDSAUDITLINK__" hidden="1">{"fdsup://Directions/FactSet Auditing Viewer?action=AUDIT_VALUE&amp;DB=129&amp;ID1=27805810&amp;VALUEID=01001&amp;SDATE=200902&amp;PERIODTYPE=QTR_STD&amp;window=popup_no_bar&amp;width=385&amp;height=120&amp;START_MAXIMIZED=FALSE&amp;creator=factset&amp;display_string=Audit"}</definedName>
    <definedName name="_1612__FDSAUDITLINK__" localSheetId="1" hidden="1">{"fdsup://Directions/FactSet Auditing Viewer?action=AUDIT_VALUE&amp;DB=129&amp;ID1=27805810&amp;VALUEID=01001&amp;SDATE=201002&amp;PERIODTYPE=QTR_STD&amp;window=popup_no_bar&amp;width=385&amp;height=120&amp;START_MAXIMIZED=FALSE&amp;creator=factset&amp;display_string=Audit"}</definedName>
    <definedName name="_1612__FDSAUDITLINK__" hidden="1">{"fdsup://Directions/FactSet Auditing Viewer?action=AUDIT_VALUE&amp;DB=129&amp;ID1=27805810&amp;VALUEID=01001&amp;SDATE=201002&amp;PERIODTYPE=QTR_STD&amp;window=popup_no_bar&amp;width=385&amp;height=120&amp;START_MAXIMIZED=FALSE&amp;creator=factset&amp;display_string=Audit"}</definedName>
    <definedName name="_1613__FDSAUDITLINK__" localSheetId="1" hidden="1">{"fdsup://Directions/FactSet Auditing Viewer?action=AUDIT_VALUE&amp;DB=129&amp;ID1=26924640&amp;VALUEID=01001&amp;SDATE=200902&amp;PERIODTYPE=QTR_STD&amp;window=popup_no_bar&amp;width=385&amp;height=120&amp;START_MAXIMIZED=FALSE&amp;creator=factset&amp;display_string=Audit"}</definedName>
    <definedName name="_1613__FDSAUDITLINK__" hidden="1">{"fdsup://Directions/FactSet Auditing Viewer?action=AUDIT_VALUE&amp;DB=129&amp;ID1=26924640&amp;VALUEID=01001&amp;SDATE=200902&amp;PERIODTYPE=QTR_STD&amp;window=popup_no_bar&amp;width=385&amp;height=120&amp;START_MAXIMIZED=FALSE&amp;creator=factset&amp;display_string=Audit"}</definedName>
    <definedName name="_1614__FDSAUDITLINK__" localSheetId="1" hidden="1">{"fdsup://Directions/FactSet Auditing Viewer?action=AUDIT_VALUE&amp;DB=129&amp;ID1=26924640&amp;VALUEID=01001&amp;SDATE=201002&amp;PERIODTYPE=QTR_STD&amp;window=popup_no_bar&amp;width=385&amp;height=120&amp;START_MAXIMIZED=FALSE&amp;creator=factset&amp;display_string=Audit"}</definedName>
    <definedName name="_1614__FDSAUDITLINK__" hidden="1">{"fdsup://Directions/FactSet Auditing Viewer?action=AUDIT_VALUE&amp;DB=129&amp;ID1=26924640&amp;VALUEID=01001&amp;SDATE=201002&amp;PERIODTYPE=QTR_STD&amp;window=popup_no_bar&amp;width=385&amp;height=120&amp;START_MAXIMIZED=FALSE&amp;creator=factset&amp;display_string=Audit"}</definedName>
    <definedName name="_1615__FDSAUDITLINK__" localSheetId="1" hidden="1">{"fdsup://Directions/FactSet Auditing Viewer?action=AUDIT_VALUE&amp;DB=129&amp;ID1=30218210&amp;VALUEID=01001&amp;SDATE=200902&amp;PERIODTYPE=QTR_STD&amp;window=popup_no_bar&amp;width=385&amp;height=120&amp;START_MAXIMIZED=FALSE&amp;creator=factset&amp;display_string=Audit"}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Viewer?action=AUDIT_VALUE&amp;DB=129&amp;ID1=30218210&amp;VALUEID=01001&amp;SDATE=200902&amp;PERIODTYPE=QTR_STD&amp;window=popup_no_bar&amp;width=385&amp;height=120&amp;START_MAXIMIZED=FALSE&amp;creator=factset&amp;display_string=Audit"}</definedName>
    <definedName name="_1616__FDSAUDITLINK__" localSheetId="1" hidden="1">{"fdsup://Directions/FactSet Auditing Viewer?action=AUDIT_VALUE&amp;DB=129&amp;ID1=30218210&amp;VALUEID=01001&amp;SDATE=201002&amp;PERIODTYPE=QTR_STD&amp;window=popup_no_bar&amp;width=385&amp;height=120&amp;START_MAXIMIZED=FALSE&amp;creator=factset&amp;display_string=Audit"}</definedName>
    <definedName name="_1616__FDSAUDITLINK__" hidden="1">{"fdsup://Directions/FactSet Auditing Viewer?action=AUDIT_VALUE&amp;DB=129&amp;ID1=30218210&amp;VALUEID=01001&amp;SDATE=201002&amp;PERIODTYPE=QTR_STD&amp;window=popup_no_bar&amp;width=385&amp;height=120&amp;START_MAXIMIZED=FALSE&amp;creator=factset&amp;display_string=Audit"}</definedName>
    <definedName name="_1617__FDSAUDITLINK__" localSheetId="1" hidden="1">{"fdsup://Directions/FactSet Auditing Viewer?action=AUDIT_VALUE&amp;DB=129&amp;ID1=28551210&amp;VALUEID=01001&amp;SDATE=200901&amp;PERIODTYPE=QTR_STD&amp;window=popup_no_bar&amp;width=385&amp;height=120&amp;START_MAXIMIZED=FALSE&amp;creator=factset&amp;display_string=Audit"}</definedName>
    <definedName name="_1617__FDSAUDITLINK__" hidden="1">{"fdsup://Directions/FactSet Auditing Viewer?action=AUDIT_VALUE&amp;DB=129&amp;ID1=28551210&amp;VALUEID=01001&amp;SDATE=200901&amp;PERIODTYPE=QTR_STD&amp;window=popup_no_bar&amp;width=385&amp;height=120&amp;START_MAXIMIZED=FALSE&amp;creator=factset&amp;display_string=Audit"}</definedName>
    <definedName name="_1618__FDSAUDITLINK__" localSheetId="1" hidden="1">{"fdsup://Directions/FactSet Auditing Viewer?action=AUDIT_VALUE&amp;DB=129&amp;ID1=28551210&amp;VALUEID=01001&amp;SDATE=201001&amp;PERIODTYPE=QTR_STD&amp;window=popup_no_bar&amp;width=385&amp;height=120&amp;START_MAXIMIZED=FALSE&amp;creator=factset&amp;display_string=Audit"}</definedName>
    <definedName name="_1618__FDSAUDITLINK__" hidden="1">{"fdsup://Directions/FactSet Auditing Viewer?action=AUDIT_VALUE&amp;DB=129&amp;ID1=28551210&amp;VALUEID=01001&amp;SDATE=201001&amp;PERIODTYPE=QTR_STD&amp;window=popup_no_bar&amp;width=385&amp;height=120&amp;START_MAXIMIZED=FALSE&amp;creator=factset&amp;display_string=Audit"}</definedName>
    <definedName name="_1619__FDSAUDITLINK__" localSheetId="1" hidden="1">{"fdsup://Directions/FactSet Auditing Viewer?action=AUDIT_VALUE&amp;DB=129&amp;ID1=26884L10&amp;VALUEID=01001&amp;SDATE=201002&amp;PERIODTYPE=QTR_STD&amp;window=popup_no_bar&amp;width=385&amp;height=120&amp;START_MAXIMIZED=FALSE&amp;creator=factset&amp;display_string=Audit"}</definedName>
    <definedName name="_1619__FDSAUDITLINK__" hidden="1">{"fdsup://Directions/FactSet Auditing Viewer?action=AUDIT_VALUE&amp;DB=129&amp;ID1=26884L10&amp;VALUEID=01001&amp;SDATE=201002&amp;PERIODTYPE=QTR_STD&amp;window=popup_no_bar&amp;width=385&amp;height=120&amp;START_MAXIMIZED=FALSE&amp;creator=factset&amp;display_string=Audit"}</definedName>
    <definedName name="_162__FDSAUDITLINK__" localSheetId="1"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__FDSAUDITLINK__" hidden="1">{"fdsup://directions/FAT Viewer?action=UPDATE&amp;creator=factset&amp;DYN_ARGS=TRUE&amp;DOC_NAME=FAT:FQL_AUDITING_CLIENT_TEMPLATE.FAT&amp;display_string=Audit&amp;VAR:KEY=VMBYTULKJM&amp;VAR:QUERY=RkZfRUJJVERBX09QRVIoUVRSLDQvMS8yMDEwLDYvMzAvMjAxMCwsLFVTRCk=&amp;WINDOW=FIRST_POPUP&amp;HEIGH","T=450&amp;WIDTH=450&amp;START_MAXIMIZED=FALSE&amp;VAR:CALENDAR=US&amp;VAR:SYMBOL=STT&amp;VAR:INDEX=0"}</definedName>
    <definedName name="_1620__FDSAUDITLINK__" localSheetId="1" hidden="1">{"fdsup://Directions/FactSet Auditing Viewer?action=AUDIT_VALUE&amp;DB=129&amp;ID1=29476L10&amp;VALUEID=01001&amp;SDATE=200902&amp;PERIODTYPE=QTR_STD&amp;window=popup_no_bar&amp;width=385&amp;height=120&amp;START_MAXIMIZED=FALSE&amp;creator=factset&amp;display_string=Audit"}</definedName>
    <definedName name="_1620__FDSAUDITLINK__" hidden="1">{"fdsup://Directions/FactSet Auditing Viewer?action=AUDIT_VALUE&amp;DB=129&amp;ID1=29476L10&amp;VALUEID=01001&amp;SDATE=200902&amp;PERIODTYPE=QTR_STD&amp;window=popup_no_bar&amp;width=385&amp;height=120&amp;START_MAXIMIZED=FALSE&amp;creator=factset&amp;display_string=Audit"}</definedName>
    <definedName name="_1621__FDSAUDITLINK__" localSheetId="1" hidden="1">{"fdsup://Directions/FactSet Auditing Viewer?action=AUDIT_VALUE&amp;DB=129&amp;ID1=29476L10&amp;VALUEID=01001&amp;SDATE=201002&amp;PERIODTYPE=QTR_STD&amp;window=popup_no_bar&amp;width=385&amp;height=120&amp;START_MAXIMIZED=FALSE&amp;creator=factset&amp;display_string=Audit"}</definedName>
    <definedName name="_1621__FDSAUDITLINK__" hidden="1">{"fdsup://Directions/FactSet Auditing Viewer?action=AUDIT_VALUE&amp;DB=129&amp;ID1=29476L10&amp;VALUEID=01001&amp;SDATE=201002&amp;PERIODTYPE=QTR_STD&amp;window=popup_no_bar&amp;width=385&amp;height=120&amp;START_MAXIMIZED=FALSE&amp;creator=factset&amp;display_string=Audit"}</definedName>
    <definedName name="_1622__FDSAUDITLINK__" localSheetId="1" hidden="1">{"fdsup://Directions/FactSet Auditing Viewer?action=AUDIT_VALUE&amp;DB=129&amp;ID1=28336L10&amp;VALUEID=01001&amp;SDATE=200902&amp;PERIODTYPE=QTR_STD&amp;window=popup_no_bar&amp;width=385&amp;height=120&amp;START_MAXIMIZED=FALSE&amp;creator=factset&amp;display_string=Audit"}</definedName>
    <definedName name="_1622__FDSAUDITLINK__" hidden="1">{"fdsup://Directions/FactSet Auditing Viewer?action=AUDIT_VALUE&amp;DB=129&amp;ID1=28336L10&amp;VALUEID=01001&amp;SDATE=200902&amp;PERIODTYPE=QTR_STD&amp;window=popup_no_bar&amp;width=385&amp;height=120&amp;START_MAXIMIZED=FALSE&amp;creator=factset&amp;display_string=Audit"}</definedName>
    <definedName name="_1623__FDSAUDITLINK__" localSheetId="1" hidden="1">{"fdsup://Directions/FactSet Auditing Viewer?action=AUDIT_VALUE&amp;DB=129&amp;ID1=28336L10&amp;VALUEID=01001&amp;SDATE=201002&amp;PERIODTYPE=QTR_STD&amp;window=popup_no_bar&amp;width=385&amp;height=120&amp;START_MAXIMIZED=FALSE&amp;creator=factset&amp;display_string=Audit"}</definedName>
    <definedName name="_1623__FDSAUDITLINK__" hidden="1">{"fdsup://Directions/FactSet Auditing Viewer?action=AUDIT_VALUE&amp;DB=129&amp;ID1=28336L10&amp;VALUEID=01001&amp;SDATE=201002&amp;PERIODTYPE=QTR_STD&amp;window=popup_no_bar&amp;width=385&amp;height=120&amp;START_MAXIMIZED=FALSE&amp;creator=factset&amp;display_string=Audit"}</definedName>
    <definedName name="_1624__FDSAUDITLINK__" localSheetId="1" hidden="1">{"fdsup://Directions/FactSet Auditing Viewer?action=AUDIT_VALUE&amp;DB=129&amp;ID1=26875P10&amp;VALUEID=01001&amp;SDATE=200902&amp;PERIODTYPE=QTR_STD&amp;window=popup_no_bar&amp;width=385&amp;height=120&amp;START_MAXIMIZED=FALSE&amp;creator=factset&amp;display_string=Audit"}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Viewer?action=AUDIT_VALUE&amp;DB=129&amp;ID1=26875P10&amp;VALUEID=01001&amp;SDATE=200902&amp;PERIODTYPE=QTR_STD&amp;window=popup_no_bar&amp;width=385&amp;height=120&amp;START_MAXIMIZED=FALSE&amp;creator=factset&amp;display_string=Audit"}</definedName>
    <definedName name="_1625__FDSAUDITLINK__" localSheetId="1" hidden="1">{"fdsup://Directions/FactSet Auditing Viewer?action=AUDIT_VALUE&amp;DB=129&amp;ID1=26875P10&amp;VALUEID=01001&amp;SDATE=201002&amp;PERIODTYPE=QTR_STD&amp;window=popup_no_bar&amp;width=385&amp;height=120&amp;START_MAXIMIZED=FALSE&amp;creator=factset&amp;display_string=Audit"}</definedName>
    <definedName name="_1625__FDSAUDITLINK__" hidden="1">{"fdsup://Directions/FactSet Auditing Viewer?action=AUDIT_VALUE&amp;DB=129&amp;ID1=26875P10&amp;VALUEID=01001&amp;SDATE=201002&amp;PERIODTYPE=QTR_STD&amp;window=popup_no_bar&amp;width=385&amp;height=120&amp;START_MAXIMIZED=FALSE&amp;creator=factset&amp;display_string=Audit"}</definedName>
    <definedName name="_1626__FDSAUDITLINK__" localSheetId="1" hidden="1">{"fdsup://Directions/FactSet Auditing Viewer?action=AUDIT_VALUE&amp;DB=129&amp;ID1=29101110&amp;VALUEID=01001&amp;SDATE=200903&amp;PERIODTYPE=QTR_STD&amp;window=popup_no_bar&amp;width=385&amp;height=120&amp;START_MAXIMIZED=FALSE&amp;creator=factset&amp;display_string=Audit"}</definedName>
    <definedName name="_1626__FDSAUDITLINK__" hidden="1">{"fdsup://Directions/FactSet Auditing Viewer?action=AUDIT_VALUE&amp;DB=129&amp;ID1=29101110&amp;VALUEID=01001&amp;SDATE=200903&amp;PERIODTYPE=QTR_STD&amp;window=popup_no_bar&amp;width=385&amp;height=120&amp;START_MAXIMIZED=FALSE&amp;creator=factset&amp;display_string=Audit"}</definedName>
    <definedName name="_1627__FDSAUDITLINK__" localSheetId="1" hidden="1">{"fdsup://Directions/FactSet Auditing Viewer?action=AUDIT_VALUE&amp;DB=129&amp;ID1=29101110&amp;VALUEID=01001&amp;SDATE=201003&amp;PERIODTYPE=QTR_STD&amp;window=popup_no_bar&amp;width=385&amp;height=120&amp;START_MAXIMIZED=FALSE&amp;creator=factset&amp;display_string=Audit"}</definedName>
    <definedName name="_1627__FDSAUDITLINK__" hidden="1">{"fdsup://Directions/FactSet Auditing Viewer?action=AUDIT_VALUE&amp;DB=129&amp;ID1=29101110&amp;VALUEID=01001&amp;SDATE=201003&amp;PERIODTYPE=QTR_STD&amp;window=popup_no_bar&amp;width=385&amp;height=120&amp;START_MAXIMIZED=FALSE&amp;creator=factset&amp;display_string=Audit"}</definedName>
    <definedName name="_1628__FDSAUDITLINK__" localSheetId="1" hidden="1">{"fdsup://Directions/FactSet Auditing Viewer?action=AUDIT_VALUE&amp;DB=129&amp;ID1=27743210&amp;VALUEID=01001&amp;SDATE=200902&amp;PERIODTYPE=QTR_STD&amp;window=popup_no_bar&amp;width=385&amp;height=120&amp;START_MAXIMIZED=FALSE&amp;creator=factset&amp;display_string=Audit"}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Viewer?action=AUDIT_VALUE&amp;DB=129&amp;ID1=27743210&amp;VALUEID=01001&amp;SDATE=200902&amp;PERIODTYPE=QTR_STD&amp;window=popup_no_bar&amp;width=385&amp;height=120&amp;START_MAXIMIZED=FALSE&amp;creator=factset&amp;display_string=Audit"}</definedName>
    <definedName name="_1629__FDSAUDITLINK__" localSheetId="1" hidden="1">{"fdsup://Directions/FactSet Auditing Viewer?action=AUDIT_VALUE&amp;DB=129&amp;ID1=27743210&amp;VALUEID=01001&amp;SDATE=201002&amp;PERIODTYPE=QTR_STD&amp;window=popup_no_bar&amp;width=385&amp;height=120&amp;START_MAXIMIZED=FALSE&amp;creator=factset&amp;display_string=Audit"}</definedName>
    <definedName name="_1629__FDSAUDITLINK__" hidden="1">{"fdsup://Directions/FactSet Auditing Viewer?action=AUDIT_VALUE&amp;DB=129&amp;ID1=27743210&amp;VALUEID=01001&amp;SDATE=201002&amp;PERIODTYPE=QTR_STD&amp;window=popup_no_bar&amp;width=385&amp;height=120&amp;START_MAXIMIZED=FALSE&amp;creator=factset&amp;display_string=Audit"}</definedName>
    <definedName name="_163__FDSAUDITLINK__" localSheetId="1"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__FDSAUDITLINK__" hidden="1">{"fdsup://directions/FAT Viewer?action=UPDATE&amp;creator=factset&amp;DYN_ARGS=TRUE&amp;DOC_NAME=FAT:FQL_AUDITING_CLIENT_TEMPLATE.FAT&amp;display_string=Audit&amp;VAR:KEY=ZSPQZMXIXW&amp;VAR:QUERY=RkZfRUJJVERBX09QRVIoUVRSLDQvMS8yMDA5LDYvMzAvMjAwOSwsLFVTRCk=&amp;WINDOW=FIRST_POPUP&amp;HEIGH","T=450&amp;WIDTH=450&amp;START_MAXIMIZED=FALSE&amp;VAR:CALENDAR=US&amp;VAR:SYMBOL=STJ&amp;VAR:INDEX=0"}</definedName>
    <definedName name="_1630__FDSAUDITLINK__" localSheetId="1" hidden="1">{"fdsup://Directions/FactSet Auditing Viewer?action=AUDIT_VALUE&amp;DB=129&amp;ID1=26864810&amp;VALUEID=01001&amp;SDATE=200902&amp;PERIODTYPE=QTR_STD&amp;window=popup_no_bar&amp;width=385&amp;height=120&amp;START_MAXIMIZED=FALSE&amp;creator=factset&amp;display_string=Audit"}</definedName>
    <definedName name="_1630__FDSAUDITLINK__" hidden="1">{"fdsup://Directions/FactSet Auditing Viewer?action=AUDIT_VALUE&amp;DB=129&amp;ID1=26864810&amp;VALUEID=01001&amp;SDATE=200902&amp;PERIODTYPE=QTR_STD&amp;window=popup_no_bar&amp;width=385&amp;height=120&amp;START_MAXIMIZED=FALSE&amp;creator=factset&amp;display_string=Audit"}</definedName>
    <definedName name="_1631__FDSAUDITLINK__" localSheetId="1" hidden="1">{"fdsup://Directions/FactSet Auditing Viewer?action=AUDIT_VALUE&amp;DB=129&amp;ID1=26864810&amp;VALUEID=01001&amp;SDATE=201002&amp;PERIODTYPE=QTR_STD&amp;window=popup_no_bar&amp;width=385&amp;height=120&amp;START_MAXIMIZED=FALSE&amp;creator=factset&amp;display_string=Audit"}</definedName>
    <definedName name="_1631__FDSAUDITLINK__" hidden="1">{"fdsup://Directions/FactSet Auditing Viewer?action=AUDIT_VALUE&amp;DB=129&amp;ID1=26864810&amp;VALUEID=01001&amp;SDATE=201002&amp;PERIODTYPE=QTR_STD&amp;window=popup_no_bar&amp;width=385&amp;height=120&amp;START_MAXIMIZED=FALSE&amp;creator=factset&amp;display_string=Audit"}</definedName>
    <definedName name="_1632__FDSAUDITLINK__" localSheetId="1" hidden="1">{"fdsup://Directions/FactSet Auditing Viewer?action=AUDIT_VALUE&amp;DB=129&amp;ID1=51843910&amp;VALUEID=01001&amp;SDATE=201004&amp;PERIODTYPE=QTR_STD&amp;window=popup_no_bar&amp;width=385&amp;height=120&amp;START_MAXIMIZED=FALSE&amp;creator=factset&amp;display_string=Audit"}</definedName>
    <definedName name="_1632__FDSAUDITLINK__" hidden="1">{"fdsup://Directions/FactSet Auditing Viewer?action=AUDIT_VALUE&amp;DB=129&amp;ID1=51843910&amp;VALUEID=01001&amp;SDATE=201004&amp;PERIODTYPE=QTR_STD&amp;window=popup_no_bar&amp;width=385&amp;height=120&amp;START_MAXIMIZED=FALSE&amp;creator=factset&amp;display_string=Audit"}</definedName>
    <definedName name="_1633__FDSAUDITLINK__" localSheetId="1" hidden="1">{"fdsup://Directions/FactSet Auditing Viewer?action=AUDIT_VALUE&amp;DB=129&amp;ID1=27746110&amp;VALUEID=01001&amp;SDATE=200902&amp;PERIODTYPE=QTR_STD&amp;window=popup_no_bar&amp;width=385&amp;height=120&amp;START_MAXIMIZED=FALSE&amp;creator=factset&amp;display_string=Audit"}</definedName>
    <definedName name="_1633__FDSAUDITLINK__" hidden="1">{"fdsup://Directions/FactSet Auditing Viewer?action=AUDIT_VALUE&amp;DB=129&amp;ID1=27746110&amp;VALUEID=01001&amp;SDATE=200902&amp;PERIODTYPE=QTR_STD&amp;window=popup_no_bar&amp;width=385&amp;height=120&amp;START_MAXIMIZED=FALSE&amp;creator=factset&amp;display_string=Audit"}</definedName>
    <definedName name="_1634__FDSAUDITLINK__" localSheetId="1" hidden="1">{"fdsup://Directions/FactSet Auditing Viewer?action=AUDIT_VALUE&amp;DB=129&amp;ID1=27746110&amp;VALUEID=01001&amp;SDATE=201002&amp;PERIODTYPE=QTR_STD&amp;window=popup_no_bar&amp;width=385&amp;height=120&amp;START_MAXIMIZED=FALSE&amp;creator=factset&amp;display_string=Audit"}</definedName>
    <definedName name="_1634__FDSAUDITLINK__" hidden="1">{"fdsup://Directions/FactSet Auditing Viewer?action=AUDIT_VALUE&amp;DB=129&amp;ID1=27746110&amp;VALUEID=01001&amp;SDATE=201002&amp;PERIODTYPE=QTR_STD&amp;window=popup_no_bar&amp;width=385&amp;height=120&amp;START_MAXIMIZED=FALSE&amp;creator=factset&amp;display_string=Audit"}</definedName>
    <definedName name="_1635__FDSAUDITLINK__" localSheetId="1" hidden="1">{"fdsup://Directions/FactSet Auditing Viewer?action=AUDIT_VALUE&amp;DB=129&amp;ID1=28102010&amp;VALUEID=01001&amp;SDATE=200902&amp;PERIODTYPE=QTR_STD&amp;window=popup_no_bar&amp;width=385&amp;height=120&amp;START_MAXIMIZED=FALSE&amp;creator=factset&amp;display_string=Audit"}</definedName>
    <definedName name="_1635__FDSAUDITLINK__" hidden="1">{"fdsup://Directions/FactSet Auditing Viewer?action=AUDIT_VALUE&amp;DB=129&amp;ID1=28102010&amp;VALUEID=01001&amp;SDATE=200902&amp;PERIODTYPE=QTR_STD&amp;window=popup_no_bar&amp;width=385&amp;height=120&amp;START_MAXIMIZED=FALSE&amp;creator=factset&amp;display_string=Audit"}</definedName>
    <definedName name="_1636__FDSAUDITLINK__" localSheetId="1" hidden="1">{"fdsup://Directions/FactSet Auditing Viewer?action=AUDIT_VALUE&amp;DB=129&amp;ID1=28102010&amp;VALUEID=01001&amp;SDATE=201002&amp;PERIODTYPE=QTR_STD&amp;window=popup_no_bar&amp;width=385&amp;height=120&amp;START_MAXIMIZED=FALSE&amp;creator=factset&amp;display_string=Audit"}</definedName>
    <definedName name="_1636__FDSAUDITLINK__" hidden="1">{"fdsup://Directions/FactSet Auditing Viewer?action=AUDIT_VALUE&amp;DB=129&amp;ID1=28102010&amp;VALUEID=01001&amp;SDATE=201002&amp;PERIODTYPE=QTR_STD&amp;window=popup_no_bar&amp;width=385&amp;height=120&amp;START_MAXIMIZED=FALSE&amp;creator=factset&amp;display_string=Audit"}</definedName>
    <definedName name="_1637__FDSAUDITLINK__" localSheetId="1" hidden="1">{"fdsup://Directions/FactSet Auditing Viewer?action=AUDIT_VALUE&amp;DB=129&amp;ID1=29442910&amp;VALUEID=01001&amp;SDATE=200902&amp;PERIODTYPE=QTR_STD&amp;window=popup_no_bar&amp;width=385&amp;height=120&amp;START_MAXIMIZED=FALSE&amp;creator=factset&amp;display_string=Audit"}</definedName>
    <definedName name="_1637__FDSAUDITLINK__" hidden="1">{"fdsup://Directions/FactSet Auditing Viewer?action=AUDIT_VALUE&amp;DB=129&amp;ID1=29442910&amp;VALUEID=01001&amp;SDATE=200902&amp;PERIODTYPE=QTR_STD&amp;window=popup_no_bar&amp;width=385&amp;height=120&amp;START_MAXIMIZED=FALSE&amp;creator=factset&amp;display_string=Audit"}</definedName>
    <definedName name="_1638__FDSAUDITLINK__" localSheetId="1" hidden="1">{"fdsup://Directions/FactSet Auditing Viewer?action=AUDIT_VALUE&amp;DB=129&amp;ID1=29442910&amp;VALUEID=01001&amp;SDATE=201002&amp;PERIODTYPE=QTR_STD&amp;window=popup_no_bar&amp;width=385&amp;height=120&amp;START_MAXIMIZED=FALSE&amp;creator=factset&amp;display_string=Audit"}</definedName>
    <definedName name="_1638__FDSAUDITLINK__" hidden="1">{"fdsup://Directions/FactSet Auditing Viewer?action=AUDIT_VALUE&amp;DB=129&amp;ID1=29442910&amp;VALUEID=01001&amp;SDATE=201002&amp;PERIODTYPE=QTR_STD&amp;window=popup_no_bar&amp;width=385&amp;height=120&amp;START_MAXIMIZED=FALSE&amp;creator=factset&amp;display_string=Audit"}</definedName>
    <definedName name="_1639__FDSAUDITLINK__" localSheetId="1" hidden="1">{"fdsup://Directions/FactSet Auditing Viewer?action=AUDIT_VALUE&amp;DB=129&amp;ID1=20911510&amp;VALUEID=01001&amp;SDATE=200902&amp;PERIODTYPE=QTR_STD&amp;window=popup_no_bar&amp;width=385&amp;height=120&amp;START_MAXIMIZED=FALSE&amp;creator=factset&amp;display_string=Audit"}</definedName>
    <definedName name="_1639__FDSAUDITLINK__" hidden="1">{"fdsup://Directions/FactSet Auditing Viewer?action=AUDIT_VALUE&amp;DB=129&amp;ID1=20911510&amp;VALUEID=01001&amp;SDATE=200902&amp;PERIODTYPE=QTR_STD&amp;window=popup_no_bar&amp;width=385&amp;height=120&amp;START_MAXIMIZED=FALSE&amp;creator=factset&amp;display_string=Audit"}</definedName>
    <definedName name="_164__FDSAUDITLINK__" localSheetId="1"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__FDSAUDITLINK__" hidden="1">{"fdsup://directions/FAT Viewer?action=UPDATE&amp;creator=factset&amp;DYN_ARGS=TRUE&amp;DOC_NAME=FAT:FQL_AUDITING_CLIENT_TEMPLATE.FAT&amp;display_string=Audit&amp;VAR:KEY=XEVYNCHCJK&amp;VAR:QUERY=RkZfRUJJVERBX09QRVIoUVRSLDQvMS8yMDEwLDYvMzAvMjAxMCwsLFVTRCk=&amp;WINDOW=FIRST_POPUP&amp;HEIGH","T=450&amp;WIDTH=450&amp;START_MAXIMIZED=FALSE&amp;VAR:CALENDAR=US&amp;VAR:SYMBOL=STJ&amp;VAR:INDEX=0"}</definedName>
    <definedName name="_1640__FDSAUDITLINK__" localSheetId="1" hidden="1">{"fdsup://Directions/FactSet Auditing Viewer?action=AUDIT_VALUE&amp;DB=129&amp;ID1=20911510&amp;VALUEID=01001&amp;SDATE=201002&amp;PERIODTYPE=QTR_STD&amp;window=popup_no_bar&amp;width=385&amp;height=120&amp;START_MAXIMIZED=FALSE&amp;creator=factset&amp;display_string=Audit"}</definedName>
    <definedName name="_1640__FDSAUDITLINK__" hidden="1">{"fdsup://Directions/FactSet Auditing Viewer?action=AUDIT_VALUE&amp;DB=129&amp;ID1=20911510&amp;VALUEID=01001&amp;SDATE=201002&amp;PERIODTYPE=QTR_STD&amp;window=popup_no_bar&amp;width=385&amp;height=120&amp;START_MAXIMIZED=FALSE&amp;creator=factset&amp;display_string=Audit"}</definedName>
    <definedName name="_1641__FDSAUDITLINK__" localSheetId="1" hidden="1">{"fdsup://Directions/FactSet Auditing Viewer?action=AUDIT_VALUE&amp;DB=129&amp;ID1=27886510&amp;VALUEID=01001&amp;SDATE=200902&amp;PERIODTYPE=QTR_STD&amp;window=popup_no_bar&amp;width=385&amp;height=120&amp;START_MAXIMIZED=FALSE&amp;creator=factset&amp;display_string=Audit"}</definedName>
    <definedName name="_1641__FDSAUDITLINK__" hidden="1">{"fdsup://Directions/FactSet Auditing Viewer?action=AUDIT_VALUE&amp;DB=129&amp;ID1=27886510&amp;VALUEID=01001&amp;SDATE=200902&amp;PERIODTYPE=QTR_STD&amp;window=popup_no_bar&amp;width=385&amp;height=120&amp;START_MAXIMIZED=FALSE&amp;creator=factset&amp;display_string=Audit"}</definedName>
    <definedName name="_1642__FDSAUDITLINK__" localSheetId="1" hidden="1">{"fdsup://Directions/FactSet Auditing Viewer?action=AUDIT_VALUE&amp;DB=129&amp;ID1=27886510&amp;VALUEID=01001&amp;SDATE=201002&amp;PERIODTYPE=QTR_STD&amp;window=popup_no_bar&amp;width=385&amp;height=120&amp;START_MAXIMIZED=FALSE&amp;creator=factset&amp;display_string=Audit"}</definedName>
    <definedName name="_1642__FDSAUDITLINK__" hidden="1">{"fdsup://Directions/FactSet Auditing Viewer?action=AUDIT_VALUE&amp;DB=129&amp;ID1=27886510&amp;VALUEID=01001&amp;SDATE=201002&amp;PERIODTYPE=QTR_STD&amp;window=popup_no_bar&amp;width=385&amp;height=120&amp;START_MAXIMIZED=FALSE&amp;creator=factset&amp;display_string=Audit"}</definedName>
    <definedName name="_1643__FDSAUDITLINK__" localSheetId="1" hidden="1">{"fdsup://Directions/FactSet Auditing Viewer?action=AUDIT_VALUE&amp;DB=129&amp;ID1=27864210&amp;VALUEID=01001&amp;SDATE=200902&amp;PERIODTYPE=QTR_STD&amp;window=popup_no_bar&amp;width=385&amp;height=120&amp;START_MAXIMIZED=FALSE&amp;creator=factset&amp;display_string=Audit"}</definedName>
    <definedName name="_1643__FDSAUDITLINK__" hidden="1">{"fdsup://Directions/FactSet Auditing Viewer?action=AUDIT_VALUE&amp;DB=129&amp;ID1=27864210&amp;VALUEID=01001&amp;SDATE=200902&amp;PERIODTYPE=QTR_STD&amp;window=popup_no_bar&amp;width=385&amp;height=120&amp;START_MAXIMIZED=FALSE&amp;creator=factset&amp;display_string=Audit"}</definedName>
    <definedName name="_1644__FDSAUDITLINK__" localSheetId="1" hidden="1">{"fdsup://Directions/FactSet Auditing Viewer?action=AUDIT_VALUE&amp;DB=129&amp;ID1=27864210&amp;VALUEID=01001&amp;SDATE=201002&amp;PERIODTYPE=QTR_STD&amp;window=popup_no_bar&amp;width=385&amp;height=120&amp;START_MAXIMIZED=FALSE&amp;creator=factset&amp;display_string=Audit"}</definedName>
    <definedName name="_1644__FDSAUDITLINK__" hidden="1">{"fdsup://Directions/FactSet Auditing Viewer?action=AUDIT_VALUE&amp;DB=129&amp;ID1=27864210&amp;VALUEID=01001&amp;SDATE=201002&amp;PERIODTYPE=QTR_STD&amp;window=popup_no_bar&amp;width=385&amp;height=120&amp;START_MAXIMIZED=FALSE&amp;creator=factset&amp;display_string=Audit"}</definedName>
    <definedName name="_1645__FDSAUDITLINK__" localSheetId="1" hidden="1">{"fdsup://Directions/FactSet Auditing Viewer?action=AUDIT_VALUE&amp;DB=129&amp;ID1=25179M10&amp;VALUEID=01001&amp;SDATE=200902&amp;PERIODTYPE=QTR_STD&amp;window=popup_no_bar&amp;width=385&amp;height=120&amp;START_MAXIMIZED=FALSE&amp;creator=factset&amp;display_string=Audit"}</definedName>
    <definedName name="_1645__FDSAUDITLINK__" hidden="1">{"fdsup://Directions/FactSet Auditing Viewer?action=AUDIT_VALUE&amp;DB=129&amp;ID1=25179M10&amp;VALUEID=01001&amp;SDATE=200902&amp;PERIODTYPE=QTR_STD&amp;window=popup_no_bar&amp;width=385&amp;height=120&amp;START_MAXIMIZED=FALSE&amp;creator=factset&amp;display_string=Audit"}</definedName>
    <definedName name="_1646__FDSAUDITLINK__" localSheetId="1" hidden="1">{"fdsup://Directions/FactSet Auditing Viewer?action=AUDIT_VALUE&amp;DB=129&amp;ID1=25179M10&amp;VALUEID=01001&amp;SDATE=201002&amp;PERIODTYPE=QTR_STD&amp;window=popup_no_bar&amp;width=385&amp;height=120&amp;START_MAXIMIZED=FALSE&amp;creator=factset&amp;display_string=Audit"}</definedName>
    <definedName name="_1646__FDSAUDITLINK__" hidden="1">{"fdsup://Directions/FactSet Auditing Viewer?action=AUDIT_VALUE&amp;DB=129&amp;ID1=25179M10&amp;VALUEID=01001&amp;SDATE=201002&amp;PERIODTYPE=QTR_STD&amp;window=popup_no_bar&amp;width=385&amp;height=120&amp;START_MAXIMIZED=FALSE&amp;creator=factset&amp;display_string=Audit"}</definedName>
    <definedName name="_1647__FDSAUDITLINK__" localSheetId="1" hidden="1">{"fdsup://Directions/FactSet Auditing Viewer?action=AUDIT_VALUE&amp;DB=129&amp;ID1=23918K10&amp;VALUEID=01001&amp;SDATE=200902&amp;PERIODTYPE=QTR_STD&amp;window=popup_no_bar&amp;width=385&amp;height=120&amp;START_MAXIMIZED=FALSE&amp;creator=factset&amp;display_string=Audit"}</definedName>
    <definedName name="_1647__FDSAUDITLINK__" hidden="1">{"fdsup://Directions/FactSet Auditing Viewer?action=AUDIT_VALUE&amp;DB=129&amp;ID1=23918K10&amp;VALUEID=01001&amp;SDATE=200902&amp;PERIODTYPE=QTR_STD&amp;window=popup_no_bar&amp;width=385&amp;height=120&amp;START_MAXIMIZED=FALSE&amp;creator=factset&amp;display_string=Audit"}</definedName>
    <definedName name="_1648__FDSAUDITLINK__" localSheetId="1" hidden="1">{"fdsup://Directions/FactSet Auditing Viewer?action=AUDIT_VALUE&amp;DB=129&amp;ID1=23918K10&amp;VALUEID=01001&amp;SDATE=201002&amp;PERIODTYPE=QTR_STD&amp;window=popup_no_bar&amp;width=385&amp;height=120&amp;START_MAXIMIZED=FALSE&amp;creator=factset&amp;display_string=Audit"}</definedName>
    <definedName name="_1648__FDSAUDITLINK__" hidden="1">{"fdsup://Directions/FactSet Auditing Viewer?action=AUDIT_VALUE&amp;DB=129&amp;ID1=23918K10&amp;VALUEID=01001&amp;SDATE=201002&amp;PERIODTYPE=QTR_STD&amp;window=popup_no_bar&amp;width=385&amp;height=120&amp;START_MAXIMIZED=FALSE&amp;creator=factset&amp;display_string=Audit"}</definedName>
    <definedName name="_1649__FDSAUDITLINK__" localSheetId="1" hidden="1">{"fdsup://Directions/FactSet Auditing Viewer?action=AUDIT_VALUE&amp;DB=129&amp;ID1=25189310&amp;VALUEID=01001&amp;SDATE=201004&amp;PERIODTYPE=QTR_STD&amp;window=popup_no_bar&amp;width=385&amp;height=120&amp;START_MAXIMIZED=FALSE&amp;creator=factset&amp;display_string=Audit"}</definedName>
    <definedName name="_1649__FDSAUDITLINK__" hidden="1">{"fdsup://Directions/FactSet Auditing Viewer?action=AUDIT_VALUE&amp;DB=129&amp;ID1=25189310&amp;VALUEID=01001&amp;SDATE=201004&amp;PERIODTYPE=QTR_STD&amp;window=popup_no_bar&amp;width=385&amp;height=120&amp;START_MAXIMIZED=FALSE&amp;creator=factset&amp;display_string=Audit"}</definedName>
    <definedName name="_165__FDSAUDITLINK__" localSheetId="1"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__FDSAUDITLINK__" hidden="1">{"fdsup://directions/FAT Viewer?action=UPDATE&amp;creator=factset&amp;DYN_ARGS=TRUE&amp;DOC_NAME=FAT:FQL_AUDITING_CLIENT_TEMPLATE.FAT&amp;display_string=Audit&amp;VAR:KEY=BEPYBYLYPU&amp;VAR:QUERY=RkZfRUJJVERBX09QRVIoUVRSLDQvMS8yMDA5LDYvMzAvMjAwOSwsLFVTRCk=&amp;WINDOW=FIRST_POPUP&amp;HEIGH","T=450&amp;WIDTH=450&amp;START_MAXIMIZED=FALSE&amp;VAR:CALENDAR=US&amp;VAR:SYMBOL=STI&amp;VAR:INDEX=0"}</definedName>
    <definedName name="_1650__FDSAUDITLINK__" localSheetId="1" hidden="1">{"fdsup://Directions/FactSet Auditing Viewer?action=AUDIT_VALUE&amp;DB=129&amp;ID1=26441C10&amp;VALUEID=01001&amp;SDATE=200902&amp;PERIODTYPE=QTR_STD&amp;window=popup_no_bar&amp;width=385&amp;height=120&amp;START_MAXIMIZED=FALSE&amp;creator=factset&amp;display_string=Audit"}</definedName>
    <definedName name="_1650__FDSAUDITLINK__" hidden="1">{"fdsup://Directions/FactSet Auditing Viewer?action=AUDIT_VALUE&amp;DB=129&amp;ID1=26441C10&amp;VALUEID=01001&amp;SDATE=200902&amp;PERIODTYPE=QTR_STD&amp;window=popup_no_bar&amp;width=385&amp;height=120&amp;START_MAXIMIZED=FALSE&amp;creator=factset&amp;display_string=Audit"}</definedName>
    <definedName name="_1651__FDSAUDITLINK__" localSheetId="1" hidden="1">{"fdsup://Directions/FactSet Auditing Viewer?action=AUDIT_VALUE&amp;DB=129&amp;ID1=26441C10&amp;VALUEID=01001&amp;SDATE=201002&amp;PERIODTYPE=QTR_STD&amp;window=popup_no_bar&amp;width=385&amp;height=120&amp;START_MAXIMIZED=FALSE&amp;creator=factset&amp;display_string=Audit"}</definedName>
    <definedName name="_1651__FDSAUDITLINK__" hidden="1">{"fdsup://Directions/FactSet Auditing Viewer?action=AUDIT_VALUE&amp;DB=129&amp;ID1=26441C10&amp;VALUEID=01001&amp;SDATE=201002&amp;PERIODTYPE=QTR_STD&amp;window=popup_no_bar&amp;width=385&amp;height=120&amp;START_MAXIMIZED=FALSE&amp;creator=factset&amp;display_string=Audit"}</definedName>
    <definedName name="_1652__FDSAUDITLINK__" localSheetId="1" hidden="1">{"fdsup://Directions/FactSet Auditing Viewer?action=AUDIT_VALUE&amp;DB=129&amp;ID1=25490A10&amp;VALUEID=01001&amp;SDATE=200902&amp;PERIODTYPE=QTR_STD&amp;window=popup_no_bar&amp;width=385&amp;height=120&amp;START_MAXIMIZED=FALSE&amp;creator=factset&amp;display_string=Audit"}</definedName>
    <definedName name="_1652__FDSAUDITLINK__" hidden="1">{"fdsup://Directions/FactSet Auditing Viewer?action=AUDIT_VALUE&amp;DB=129&amp;ID1=25490A10&amp;VALUEID=01001&amp;SDATE=200902&amp;PERIODTYPE=QTR_STD&amp;window=popup_no_bar&amp;width=385&amp;height=120&amp;START_MAXIMIZED=FALSE&amp;creator=factset&amp;display_string=Audit"}</definedName>
    <definedName name="_1653__FDSAUDITLINK__" localSheetId="1" hidden="1">{"fdsup://Directions/FactSet Auditing Viewer?action=AUDIT_VALUE&amp;DB=129&amp;ID1=25490A10&amp;VALUEID=01001&amp;SDATE=201002&amp;PERIODTYPE=QTR_STD&amp;window=popup_no_bar&amp;width=385&amp;height=120&amp;START_MAXIMIZED=FALSE&amp;creator=factset&amp;display_string=Audit"}</definedName>
    <definedName name="_1653__FDSAUDITLINK__" hidden="1">{"fdsup://Directions/FactSet Auditing Viewer?action=AUDIT_VALUE&amp;DB=129&amp;ID1=25490A10&amp;VALUEID=01001&amp;SDATE=201002&amp;PERIODTYPE=QTR_STD&amp;window=popup_no_bar&amp;width=385&amp;height=120&amp;START_MAXIMIZED=FALSE&amp;creator=factset&amp;display_string=Audit"}</definedName>
    <definedName name="_1654__FDSAUDITLINK__" localSheetId="1" hidden="1">{"fdsup://Directions/FactSet Auditing Viewer?action=AUDIT_VALUE&amp;DB=129&amp;ID1=23333110&amp;VALUEID=01001&amp;SDATE=200902&amp;PERIODTYPE=QTR_STD&amp;window=popup_no_bar&amp;width=385&amp;height=120&amp;START_MAXIMIZED=FALSE&amp;creator=factset&amp;display_string=Audit"}</definedName>
    <definedName name="_1654__FDSAUDITLINK__" hidden="1">{"fdsup://Directions/FactSet Auditing Viewer?action=AUDIT_VALUE&amp;DB=129&amp;ID1=23333110&amp;VALUEID=01001&amp;SDATE=200902&amp;PERIODTYPE=QTR_STD&amp;window=popup_no_bar&amp;width=385&amp;height=120&amp;START_MAXIMIZED=FALSE&amp;creator=factset&amp;display_string=Audit"}</definedName>
    <definedName name="_1655__FDSAUDITLINK__" localSheetId="1" hidden="1">{"fdsup://Directions/FactSet Auditing Viewer?action=AUDIT_VALUE&amp;DB=129&amp;ID1=23333110&amp;VALUEID=01001&amp;SDATE=201002&amp;PERIODTYPE=QTR_STD&amp;window=popup_no_bar&amp;width=385&amp;height=120&amp;START_MAXIMIZED=FALSE&amp;creator=factset&amp;display_string=Audit"}</definedName>
    <definedName name="_1655__FDSAUDITLINK__" hidden="1">{"fdsup://Directions/FactSet Auditing Viewer?action=AUDIT_VALUE&amp;DB=129&amp;ID1=23333110&amp;VALUEID=01001&amp;SDATE=201002&amp;PERIODTYPE=QTR_STD&amp;window=popup_no_bar&amp;width=385&amp;height=120&amp;START_MAXIMIZED=FALSE&amp;creator=factset&amp;display_string=Audit"}</definedName>
    <definedName name="_1656__FDSAUDITLINK__" localSheetId="1" hidden="1">{"fdsup://Directions/FactSet Auditing Viewer?action=AUDIT_VALUE&amp;DB=129&amp;ID1=23719410&amp;VALUEID=01001&amp;SDATE=200804&amp;PERIODTYPE=QTR_STD&amp;window=popup_no_bar&amp;width=385&amp;height=120&amp;START_MAXIMIZED=FALSE&amp;creator=factset&amp;display_string=Audit"}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Viewer?action=AUDIT_VALUE&amp;DB=129&amp;ID1=23719410&amp;VALUEID=01001&amp;SDATE=200804&amp;PERIODTYPE=QTR_STD&amp;window=popup_no_bar&amp;width=385&amp;height=120&amp;START_MAXIMIZED=FALSE&amp;creator=factset&amp;display_string=Audit"}</definedName>
    <definedName name="_1657__FDSAUDITLINK__" localSheetId="1" hidden="1">{"fdsup://Directions/FactSet Auditing Viewer?action=AUDIT_VALUE&amp;DB=129&amp;ID1=23719410&amp;VALUEID=01001&amp;SDATE=200904&amp;PERIODTYPE=QTR_STD&amp;window=popup_no_bar&amp;width=385&amp;height=120&amp;START_MAXIMIZED=FALSE&amp;creator=factset&amp;display_string=Audit"}</definedName>
    <definedName name="_1657__FDSAUDITLINK__" hidden="1">{"fdsup://Directions/FactSet Auditing Viewer?action=AUDIT_VALUE&amp;DB=129&amp;ID1=23719410&amp;VALUEID=01001&amp;SDATE=200904&amp;PERIODTYPE=QTR_STD&amp;window=popup_no_bar&amp;width=385&amp;height=120&amp;START_MAXIMIZED=FALSE&amp;creator=factset&amp;display_string=Audit"}</definedName>
    <definedName name="_1658__FDSAUDITLINK__" localSheetId="1" hidden="1">{"fdsup://Directions/FactSet Auditing Viewer?action=AUDIT_VALUE&amp;DB=129&amp;ID1=26138E10&amp;VALUEID=01001&amp;SDATE=200902&amp;PERIODTYPE=QTR_STD&amp;window=popup_no_bar&amp;width=385&amp;height=120&amp;START_MAXIMIZED=FALSE&amp;creator=factset&amp;display_string=Audit"}</definedName>
    <definedName name="_1658__FDSAUDITLINK__" hidden="1">{"fdsup://Directions/FactSet Auditing Viewer?action=AUDIT_VALUE&amp;DB=129&amp;ID1=26138E10&amp;VALUEID=01001&amp;SDATE=200902&amp;PERIODTYPE=QTR_STD&amp;window=popup_no_bar&amp;width=385&amp;height=120&amp;START_MAXIMIZED=FALSE&amp;creator=factset&amp;display_string=Audit"}</definedName>
    <definedName name="_1659__FDSAUDITLINK__" localSheetId="1" hidden="1">{"fdsup://Directions/FactSet Auditing Viewer?action=AUDIT_VALUE&amp;DB=129&amp;ID1=26138E10&amp;VALUEID=01001&amp;SDATE=201002&amp;PERIODTYPE=QTR_STD&amp;window=popup_no_bar&amp;width=385&amp;height=120&amp;START_MAXIMIZED=FALSE&amp;creator=factset&amp;display_string=Audit"}</definedName>
    <definedName name="_1659__FDSAUDITLINK__" hidden="1">{"fdsup://Directions/FactSet Auditing Viewer?action=AUDIT_VALUE&amp;DB=129&amp;ID1=26138E10&amp;VALUEID=01001&amp;SDATE=201002&amp;PERIODTYPE=QTR_STD&amp;window=popup_no_bar&amp;width=385&amp;height=120&amp;START_MAXIMIZED=FALSE&amp;creator=factset&amp;display_string=Audit"}</definedName>
    <definedName name="_166__FDSAUDITLINK__" localSheetId="1"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__FDSAUDITLINK__" hidden="1">{"fdsup://directions/FAT Viewer?action=UPDATE&amp;creator=factset&amp;DYN_ARGS=TRUE&amp;DOC_NAME=FAT:FQL_AUDITING_CLIENT_TEMPLATE.FAT&amp;display_string=Audit&amp;VAR:KEY=JMBWLQJOPA&amp;VAR:QUERY=RkZfRUJJVERBX09QRVIoUVRSLDQvMS8yMDEwLDYvMzAvMjAxMCwsLFVTRCk=&amp;WINDOW=FIRST_POPUP&amp;HEIGH","T=450&amp;WIDTH=450&amp;START_MAXIMIZED=FALSE&amp;VAR:CALENDAR=US&amp;VAR:SYMBOL=STI&amp;VAR:INDEX=0"}</definedName>
    <definedName name="_1660__FDSAUDITLINK__" localSheetId="1" hidden="1">{"fdsup://Directions/FactSet Auditing Viewer?action=AUDIT_VALUE&amp;DB=129&amp;ID1=26054310&amp;VALUEID=01001&amp;SDATE=200902&amp;PERIODTYPE=QTR_STD&amp;window=popup_no_bar&amp;width=385&amp;height=120&amp;START_MAXIMIZED=FALSE&amp;creator=factset&amp;display_string=Audit"}</definedName>
    <definedName name="_1660__FDSAUDITLINK__" hidden="1">{"fdsup://Directions/FactSet Auditing Viewer?action=AUDIT_VALUE&amp;DB=129&amp;ID1=26054310&amp;VALUEID=01001&amp;SDATE=200902&amp;PERIODTYPE=QTR_STD&amp;window=popup_no_bar&amp;width=385&amp;height=120&amp;START_MAXIMIZED=FALSE&amp;creator=factset&amp;display_string=Audit"}</definedName>
    <definedName name="_1661__FDSAUDITLINK__" localSheetId="1" hidden="1">{"fdsup://Directions/FactSet Auditing Viewer?action=AUDIT_VALUE&amp;DB=129&amp;ID1=26054310&amp;VALUEID=01001&amp;SDATE=201002&amp;PERIODTYPE=QTR_STD&amp;window=popup_no_bar&amp;width=385&amp;height=120&amp;START_MAXIMIZED=FALSE&amp;creator=factset&amp;display_string=Audit"}</definedName>
    <definedName name="_1661__FDSAUDITLINK__" hidden="1">{"fdsup://Directions/FactSet Auditing Viewer?action=AUDIT_VALUE&amp;DB=129&amp;ID1=26054310&amp;VALUEID=01001&amp;SDATE=201002&amp;PERIODTYPE=QTR_STD&amp;window=popup_no_bar&amp;width=385&amp;height=120&amp;START_MAXIMIZED=FALSE&amp;creator=factset&amp;display_string=Audit"}</definedName>
    <definedName name="_1662__FDSAUDITLINK__" localSheetId="1" hidden="1">{"fdsup://Directions/FactSet Auditing Viewer?action=AUDIT_VALUE&amp;DB=129&amp;ID1=26000310&amp;VALUEID=01001&amp;SDATE=200902&amp;PERIODTYPE=QTR_STD&amp;window=popup_no_bar&amp;width=385&amp;height=120&amp;START_MAXIMIZED=FALSE&amp;creator=factset&amp;display_string=Audit"}</definedName>
    <definedName name="_1662__FDSAUDITLINK__" hidden="1">{"fdsup://Directions/FactSet Auditing Viewer?action=AUDIT_VALUE&amp;DB=129&amp;ID1=26000310&amp;VALUEID=01001&amp;SDATE=200902&amp;PERIODTYPE=QTR_STD&amp;window=popup_no_bar&amp;width=385&amp;height=120&amp;START_MAXIMIZED=FALSE&amp;creator=factset&amp;display_string=Audit"}</definedName>
    <definedName name="_1663__FDSAUDITLINK__" localSheetId="1" hidden="1">{"fdsup://Directions/FactSet Auditing Viewer?action=AUDIT_VALUE&amp;DB=129&amp;ID1=26000310&amp;VALUEID=01001&amp;SDATE=201002&amp;PERIODTYPE=QTR_STD&amp;window=popup_no_bar&amp;width=385&amp;height=120&amp;START_MAXIMIZED=FALSE&amp;creator=factset&amp;display_string=Audit"}</definedName>
    <definedName name="_1663__FDSAUDITLINK__" hidden="1">{"fdsup://Directions/FactSet Auditing Viewer?action=AUDIT_VALUE&amp;DB=129&amp;ID1=26000310&amp;VALUEID=01001&amp;SDATE=201002&amp;PERIODTYPE=QTR_STD&amp;window=popup_no_bar&amp;width=385&amp;height=120&amp;START_MAXIMIZED=FALSE&amp;creator=factset&amp;display_string=Audit"}</definedName>
    <definedName name="_1664__FDSAUDITLINK__" localSheetId="1" hidden="1">{"fdsup://Directions/FactSet Auditing Viewer?action=AUDIT_VALUE&amp;DB=129&amp;ID1=25271C10&amp;VALUEID=01001&amp;SDATE=200902&amp;PERIODTYPE=QTR_STD&amp;window=popup_no_bar&amp;width=385&amp;height=120&amp;START_MAXIMIZED=FALSE&amp;creator=factset&amp;display_string=Audit"}</definedName>
    <definedName name="_1664__FDSAUDITLINK__" hidden="1">{"fdsup://Directions/FactSet Auditing Viewer?action=AUDIT_VALUE&amp;DB=129&amp;ID1=25271C10&amp;VALUEID=01001&amp;SDATE=200902&amp;PERIODTYPE=QTR_STD&amp;window=popup_no_bar&amp;width=385&amp;height=120&amp;START_MAXIMIZED=FALSE&amp;creator=factset&amp;display_string=Audit"}</definedName>
    <definedName name="_1665__FDSAUDITLINK__" localSheetId="1" hidden="1">{"fdsup://Directions/FactSet Auditing Viewer?action=AUDIT_VALUE&amp;DB=129&amp;ID1=25271C10&amp;VALUEID=01001&amp;SDATE=201002&amp;PERIODTYPE=QTR_STD&amp;window=popup_no_bar&amp;width=385&amp;height=120&amp;START_MAXIMIZED=FALSE&amp;creator=factset&amp;display_string=Audit"}</definedName>
    <definedName name="_1665__FDSAUDITLINK__" hidden="1">{"fdsup://Directions/FactSet Auditing Viewer?action=AUDIT_VALUE&amp;DB=129&amp;ID1=25271C10&amp;VALUEID=01001&amp;SDATE=201002&amp;PERIODTYPE=QTR_STD&amp;window=popup_no_bar&amp;width=385&amp;height=120&amp;START_MAXIMIZED=FALSE&amp;creator=factset&amp;display_string=Audit"}</definedName>
    <definedName name="_1666__FDSAUDITLINK__" localSheetId="1" hidden="1">{"fdsup://Directions/FactSet Auditing Viewer?action=AUDIT_VALUE&amp;DB=129&amp;ID1=24791620&amp;VALUEID=01001&amp;SDATE=200902&amp;PERIODTYPE=QTR_STD&amp;window=popup_no_bar&amp;width=385&amp;height=120&amp;START_MAXIMIZED=FALSE&amp;creator=factset&amp;display_string=Audit"}</definedName>
    <definedName name="_1666__FDSAUDITLINK__" hidden="1">{"fdsup://Directions/FactSet Auditing Viewer?action=AUDIT_VALUE&amp;DB=129&amp;ID1=24791620&amp;VALUEID=01001&amp;SDATE=200902&amp;PERIODTYPE=QTR_STD&amp;window=popup_no_bar&amp;width=385&amp;height=120&amp;START_MAXIMIZED=FALSE&amp;creator=factset&amp;display_string=Audit"}</definedName>
    <definedName name="_1667__FDSAUDITLINK__" localSheetId="1" hidden="1">{"fdsup://Directions/FactSet Auditing Viewer?action=AUDIT_VALUE&amp;DB=129&amp;ID1=24791620&amp;VALUEID=01001&amp;SDATE=201002&amp;PERIODTYPE=QTR_STD&amp;window=popup_no_bar&amp;width=385&amp;height=120&amp;START_MAXIMIZED=FALSE&amp;creator=factset&amp;display_string=Audit"}</definedName>
    <definedName name="_1667__FDSAUDITLINK__" hidden="1">{"fdsup://Directions/FactSet Auditing Viewer?action=AUDIT_VALUE&amp;DB=129&amp;ID1=24791620&amp;VALUEID=01001&amp;SDATE=201002&amp;PERIODTYPE=QTR_STD&amp;window=popup_no_bar&amp;width=385&amp;height=120&amp;START_MAXIMIZED=FALSE&amp;creator=factset&amp;display_string=Audit"}</definedName>
    <definedName name="_1668__FDSAUDITLINK__" localSheetId="1" hidden="1">{"fdsup://Directions/FactSet Auditing Viewer?action=AUDIT_VALUE&amp;DB=129&amp;ID1=26483E10&amp;VALUEID=01001&amp;SDATE=200902&amp;PERIODTYPE=QTR_STD&amp;window=popup_no_bar&amp;width=385&amp;height=120&amp;START_MAXIMIZED=FALSE&amp;creator=factset&amp;display_string=Audit"}</definedName>
    <definedName name="_1668__FDSAUDITLINK__" hidden="1">{"fdsup://Directions/FactSet Auditing Viewer?action=AUDIT_VALUE&amp;DB=129&amp;ID1=26483E10&amp;VALUEID=01001&amp;SDATE=200902&amp;PERIODTYPE=QTR_STD&amp;window=popup_no_bar&amp;width=385&amp;height=120&amp;START_MAXIMIZED=FALSE&amp;creator=factset&amp;display_string=Audit"}</definedName>
    <definedName name="_1669__FDSAUDITLINK__" localSheetId="1" hidden="1">{"fdsup://Directions/FactSet Auditing Viewer?action=AUDIT_VALUE&amp;DB=129&amp;ID1=26483E10&amp;VALUEID=01001&amp;SDATE=201002&amp;PERIODTYPE=QTR_STD&amp;window=popup_no_bar&amp;width=385&amp;height=120&amp;START_MAXIMIZED=FALSE&amp;creator=factset&amp;display_string=Audit"}</definedName>
    <definedName name="_1669__FDSAUDITLINK__" hidden="1">{"fdsup://Directions/FactSet Auditing Viewer?action=AUDIT_VALUE&amp;DB=129&amp;ID1=26483E10&amp;VALUEID=01001&amp;SDATE=201002&amp;PERIODTYPE=QTR_STD&amp;window=popup_no_bar&amp;width=385&amp;height=120&amp;START_MAXIMIZED=FALSE&amp;creator=factset&amp;display_string=Audit"}</definedName>
    <definedName name="_167__FDSAUDITLINK__" localSheetId="1"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__FDSAUDITLINK__" hidden="1">{"fdsup://directions/FAT Viewer?action=UPDATE&amp;creator=factset&amp;DYN_ARGS=TRUE&amp;DOC_NAME=FAT:FQL_AUDITING_CLIENT_TEMPLATE.FAT&amp;display_string=Audit&amp;VAR:KEY=ZEJKFOZUBY&amp;VAR:QUERY=RkZfRUJJVERBX09QRVIoUVRSLDQvMS8yMDA5LDYvMzAvMjAwOSwsLFVTRCk=&amp;WINDOW=FIRST_POPUP&amp;HEIGH","T=450&amp;WIDTH=450&amp;START_MAXIMIZED=FALSE&amp;VAR:CALENDAR=US&amp;VAR:SYMBOL=SRE&amp;VAR:INDEX=0"}</definedName>
    <definedName name="_1670__FDSAUDITLINK__" localSheetId="1" hidden="1">{"fdsup://Directions/FactSet Auditing Viewer?action=AUDIT_VALUE&amp;DB=129&amp;ID1=25470F10&amp;VALUEID=01001&amp;SDATE=200902&amp;PERIODTYPE=QTR_STD&amp;window=popup_no_bar&amp;width=385&amp;height=120&amp;START_MAXIMIZED=FALSE&amp;creator=factset&amp;display_string=Audit"}</definedName>
    <definedName name="_1670__FDSAUDITLINK__" hidden="1">{"fdsup://Directions/FactSet Auditing Viewer?action=AUDIT_VALUE&amp;DB=129&amp;ID1=25470F10&amp;VALUEID=01001&amp;SDATE=200902&amp;PERIODTYPE=QTR_STD&amp;window=popup_no_bar&amp;width=385&amp;height=120&amp;START_MAXIMIZED=FALSE&amp;creator=factset&amp;display_string=Audit"}</definedName>
    <definedName name="_1671__FDSAUDITLINK__" localSheetId="1" hidden="1">{"fdsup://Directions/FactSet Auditing Viewer?action=AUDIT_VALUE&amp;DB=129&amp;ID1=25470F10&amp;VALUEID=01001&amp;SDATE=201002&amp;PERIODTYPE=QTR_STD&amp;window=popup_no_bar&amp;width=385&amp;height=120&amp;START_MAXIMIZED=FALSE&amp;creator=factset&amp;display_string=Audit"}</definedName>
    <definedName name="_1671__FDSAUDITLINK__" hidden="1">{"fdsup://Directions/FactSet Auditing Viewer?action=AUDIT_VALUE&amp;DB=129&amp;ID1=25470F10&amp;VALUEID=01001&amp;SDATE=201002&amp;PERIODTYPE=QTR_STD&amp;window=popup_no_bar&amp;width=385&amp;height=120&amp;START_MAXIMIZED=FALSE&amp;creator=factset&amp;display_string=Audit"}</definedName>
    <definedName name="_1672__FDSAUDITLINK__" localSheetId="1" hidden="1">{"fdsup://Directions/FactSet Auditing Viewer?action=AUDIT_VALUE&amp;DB=129&amp;ID1=25468710&amp;VALUEID=01001&amp;SDATE=200903&amp;PERIODTYPE=QTR_STD&amp;window=popup_no_bar&amp;width=385&amp;height=120&amp;START_MAXIMIZED=FALSE&amp;creator=factset&amp;display_string=Audit"}</definedName>
    <definedName name="_1672__FDSAUDITLINK__" hidden="1">{"fdsup://Directions/FactSet Auditing Viewer?action=AUDIT_VALUE&amp;DB=129&amp;ID1=25468710&amp;VALUEID=01001&amp;SDATE=200903&amp;PERIODTYPE=QTR_STD&amp;window=popup_no_bar&amp;width=385&amp;height=120&amp;START_MAXIMIZED=FALSE&amp;creator=factset&amp;display_string=Audit"}</definedName>
    <definedName name="_1673__FDSAUDITLINK__" localSheetId="1" hidden="1">{"fdsup://Directions/FactSet Auditing Viewer?action=AUDIT_VALUE&amp;DB=129&amp;ID1=25468710&amp;VALUEID=01001&amp;SDATE=201003&amp;PERIODTYPE=QTR_STD&amp;window=popup_no_bar&amp;width=385&amp;height=120&amp;START_MAXIMIZED=FALSE&amp;creator=factset&amp;display_string=Audit"}</definedName>
    <definedName name="_1673__FDSAUDITLINK__" hidden="1">{"fdsup://Directions/FactSet Auditing Viewer?action=AUDIT_VALUE&amp;DB=129&amp;ID1=25468710&amp;VALUEID=01001&amp;SDATE=201003&amp;PERIODTYPE=QTR_STD&amp;window=popup_no_bar&amp;width=385&amp;height=120&amp;START_MAXIMIZED=FALSE&amp;creator=factset&amp;display_string=Audit"}</definedName>
    <definedName name="_1674__FDSAUDITLINK__" localSheetId="1" hidden="1">{"fdsup://Directions/FactSet Auditing Viewer?action=AUDIT_VALUE&amp;DB=129&amp;ID1=23585110&amp;VALUEID=01001&amp;SDATE=200902&amp;PERIODTYPE=QTR_STD&amp;window=popup_no_bar&amp;width=385&amp;height=120&amp;START_MAXIMIZED=FALSE&amp;creator=factset&amp;display_string=Audit"}</definedName>
    <definedName name="_1674__FDSAUDITLINK__" hidden="1">{"fdsup://Directions/FactSet Auditing Viewer?action=AUDIT_VALUE&amp;DB=129&amp;ID1=23585110&amp;VALUEID=01001&amp;SDATE=200902&amp;PERIODTYPE=QTR_STD&amp;window=popup_no_bar&amp;width=385&amp;height=120&amp;START_MAXIMIZED=FALSE&amp;creator=factset&amp;display_string=Audit"}</definedName>
    <definedName name="_1675__FDSAUDITLINK__" localSheetId="1" hidden="1">{"fdsup://Directions/FactSet Auditing Viewer?action=AUDIT_VALUE&amp;DB=129&amp;ID1=23585110&amp;VALUEID=01001&amp;SDATE=201002&amp;PERIODTYPE=QTR_STD&amp;window=popup_no_bar&amp;width=385&amp;height=120&amp;START_MAXIMIZED=FALSE&amp;creator=factset&amp;display_string=Audit"}</definedName>
    <definedName name="_1675__FDSAUDITLINK__" hidden="1">{"fdsup://Directions/FactSet Auditing Viewer?action=AUDIT_VALUE&amp;DB=129&amp;ID1=23585110&amp;VALUEID=01001&amp;SDATE=201002&amp;PERIODTYPE=QTR_STD&amp;window=popup_no_bar&amp;width=385&amp;height=120&amp;START_MAXIMIZED=FALSE&amp;creator=factset&amp;display_string=Audit"}</definedName>
    <definedName name="_1676__FDSAUDITLINK__" localSheetId="1" hidden="1">{"fdsup://Directions/FactSet Auditing Viewer?action=AUDIT_VALUE&amp;DB=129&amp;ID1=23331A10&amp;VALUEID=01001&amp;SDATE=200903&amp;PERIODTYPE=QTR_STD&amp;window=popup_no_bar&amp;width=385&amp;height=120&amp;START_MAXIMIZED=FALSE&amp;creator=factset&amp;display_string=Audit"}</definedName>
    <definedName name="_1676__FDSAUDITLINK__" hidden="1">{"fdsup://Directions/FactSet Auditing Viewer?action=AUDIT_VALUE&amp;DB=129&amp;ID1=23331A10&amp;VALUEID=01001&amp;SDATE=200903&amp;PERIODTYPE=QTR_STD&amp;window=popup_no_bar&amp;width=385&amp;height=120&amp;START_MAXIMIZED=FALSE&amp;creator=factset&amp;display_string=Audit"}</definedName>
    <definedName name="_1677__FDSAUDITLINK__" localSheetId="1" hidden="1">{"fdsup://Directions/FactSet Auditing Viewer?action=AUDIT_VALUE&amp;DB=129&amp;ID1=23331A10&amp;VALUEID=01001&amp;SDATE=201003&amp;PERIODTYPE=QTR_STD&amp;window=popup_no_bar&amp;width=385&amp;height=120&amp;START_MAXIMIZED=FALSE&amp;creator=factset&amp;display_string=Audit"}</definedName>
    <definedName name="_1677__FDSAUDITLINK__" hidden="1">{"fdsup://Directions/FactSet Auditing Viewer?action=AUDIT_VALUE&amp;DB=129&amp;ID1=23331A10&amp;VALUEID=01001&amp;SDATE=201003&amp;PERIODTYPE=QTR_STD&amp;window=popup_no_bar&amp;width=385&amp;height=120&amp;START_MAXIMIZED=FALSE&amp;creator=factset&amp;display_string=Audit"}</definedName>
    <definedName name="_1678__FDSAUDITLINK__" localSheetId="1" hidden="1">{"fdsup://Directions/FactSet Auditing Viewer?action=AUDIT_VALUE&amp;DB=129&amp;ID1=74834L10&amp;VALUEID=01001&amp;SDATE=200902&amp;PERIODTYPE=QTR_STD&amp;window=popup_no_bar&amp;width=385&amp;height=120&amp;START_MAXIMIZED=FALSE&amp;creator=factset&amp;display_string=Audit"}</definedName>
    <definedName name="_1678__FDSAUDITLINK__" hidden="1">{"fdsup://Directions/FactSet Auditing Viewer?action=AUDIT_VALUE&amp;DB=129&amp;ID1=74834L10&amp;VALUEID=01001&amp;SDATE=200902&amp;PERIODTYPE=QTR_STD&amp;window=popup_no_bar&amp;width=385&amp;height=120&amp;START_MAXIMIZED=FALSE&amp;creator=factset&amp;display_string=Audit"}</definedName>
    <definedName name="_1679__FDSAUDITLINK__" localSheetId="1" hidden="1">{"fdsup://Directions/FactSet Auditing Viewer?action=AUDIT_VALUE&amp;DB=129&amp;ID1=74834L10&amp;VALUEID=01001&amp;SDATE=201002&amp;PERIODTYPE=QTR_STD&amp;window=popup_no_bar&amp;width=385&amp;height=120&amp;START_MAXIMIZED=FALSE&amp;creator=factset&amp;display_string=Audit"}</definedName>
    <definedName name="_1679__FDSAUDITLINK__" hidden="1">{"fdsup://Directions/FactSet Auditing Viewer?action=AUDIT_VALUE&amp;DB=129&amp;ID1=74834L10&amp;VALUEID=01001&amp;SDATE=201002&amp;PERIODTYPE=QTR_STD&amp;window=popup_no_bar&amp;width=385&amp;height=120&amp;START_MAXIMIZED=FALSE&amp;creator=factset&amp;display_string=Audit"}</definedName>
    <definedName name="_168__FDSAUDITLINK__" localSheetId="1"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__FDSAUDITLINK__" hidden="1">{"fdsup://directions/FAT Viewer?action=UPDATE&amp;creator=factset&amp;DYN_ARGS=TRUE&amp;DOC_NAME=FAT:FQL_AUDITING_CLIENT_TEMPLATE.FAT&amp;display_string=Audit&amp;VAR:KEY=ZABITWPSVC&amp;VAR:QUERY=RkZfRUJJVERBX09QRVIoUVRSLDQvMS8yMDEwLDYvMzAvMjAxMCwsLFVTRCk=&amp;WINDOW=FIRST_POPUP&amp;HEIGH","T=450&amp;WIDTH=450&amp;START_MAXIMIZED=FALSE&amp;VAR:CALENDAR=US&amp;VAR:SYMBOL=SRE&amp;VAR:INDEX=0"}</definedName>
    <definedName name="_1680__FDSAUDITLINK__" localSheetId="1" hidden="1">{"fdsup://Directions/FactSet Auditing Viewer?action=AUDIT_VALUE&amp;DB=129&amp;ID1=25470910&amp;VALUEID=01001&amp;SDATE=201002&amp;PERIODTYPE=QTR_STD&amp;window=popup_no_bar&amp;width=385&amp;height=120&amp;START_MAXIMIZED=FALSE&amp;creator=factset&amp;display_string=Audit"}</definedName>
    <definedName name="_1680__FDSAUDITLINK__" hidden="1">{"fdsup://Directions/FactSet Auditing Viewer?action=AUDIT_VALUE&amp;DB=129&amp;ID1=25470910&amp;VALUEID=01001&amp;SDATE=201002&amp;PERIODTYPE=QTR_STD&amp;window=popup_no_bar&amp;width=385&amp;height=120&amp;START_MAXIMIZED=FALSE&amp;creator=factset&amp;display_string=Audit"}</definedName>
    <definedName name="_1681__FDSAUDITLINK__" localSheetId="1" hidden="1">{"fdsup://Directions/FactSet Auditing Viewer?action=AUDIT_VALUE&amp;DB=129&amp;ID1=24237010&amp;VALUEID=01001&amp;SDATE=200902&amp;PERIODTYPE=QTR_STD&amp;window=popup_no_bar&amp;width=385&amp;height=120&amp;START_MAXIMIZED=FALSE&amp;creator=factset&amp;display_string=Audit"}</definedName>
    <definedName name="_1681__FDSAUDITLINK__" hidden="1">{"fdsup://Directions/FactSet Auditing Viewer?action=AUDIT_VALUE&amp;DB=129&amp;ID1=24237010&amp;VALUEID=01001&amp;SDATE=200902&amp;PERIODTYPE=QTR_STD&amp;window=popup_no_bar&amp;width=385&amp;height=120&amp;START_MAXIMIZED=FALSE&amp;creator=factset&amp;display_string=Audit"}</definedName>
    <definedName name="_1682__FDSAUDITLINK__" localSheetId="1" hidden="1">{"fdsup://Directions/FactSet Auditing Viewer?action=AUDIT_VALUE&amp;DB=129&amp;ID1=24237010&amp;VALUEID=01001&amp;SDATE=201002&amp;PERIODTYPE=QTR_STD&amp;window=popup_no_bar&amp;width=385&amp;height=120&amp;START_MAXIMIZED=FALSE&amp;creator=factset&amp;display_string=Audit"}</definedName>
    <definedName name="_1682__FDSAUDITLINK__" hidden="1">{"fdsup://Directions/FactSet Auditing Viewer?action=AUDIT_VALUE&amp;DB=129&amp;ID1=24237010&amp;VALUEID=01001&amp;SDATE=201002&amp;PERIODTYPE=QTR_STD&amp;window=popup_no_bar&amp;width=385&amp;height=120&amp;START_MAXIMIZED=FALSE&amp;creator=factset&amp;display_string=Audit"}</definedName>
    <definedName name="_1683__FDSAUDITLINK__" localSheetId="1" hidden="1">{"fdsup://Directions/FactSet Auditing Viewer?action=AUDIT_VALUE&amp;DB=129&amp;ID1=24702R10&amp;VALUEID=01001&amp;SDATE=201001&amp;PERIODTYPE=QTR_STD&amp;window=popup_no_bar&amp;width=385&amp;height=120&amp;START_MAXIMIZED=FALSE&amp;creator=factset&amp;display_string=Audit"}</definedName>
    <definedName name="_1683__FDSAUDITLINK__" hidden="1">{"fdsup://Directions/FactSet Auditing Viewer?action=AUDIT_VALUE&amp;DB=129&amp;ID1=24702R10&amp;VALUEID=01001&amp;SDATE=201001&amp;PERIODTYPE=QTR_STD&amp;window=popup_no_bar&amp;width=385&amp;height=120&amp;START_MAXIMIZED=FALSE&amp;creator=factset&amp;display_string=Audit"}</definedName>
    <definedName name="_1684__FDSAUDITLINK__" localSheetId="1" hidden="1">{"fdsup://Directions/FactSet Auditing Viewer?action=AUDIT_VALUE&amp;DB=129&amp;ID1=24419910&amp;VALUEID=01001&amp;SDATE=200902&amp;PERIODTYPE=QTR_STD&amp;window=popup_no_bar&amp;width=385&amp;height=120&amp;START_MAXIMIZED=FALSE&amp;creator=factset&amp;display_string=Audit"}</definedName>
    <definedName name="_1684__FDSAUDITLINK__" hidden="1">{"fdsup://Directions/FactSet Auditing Viewer?action=AUDIT_VALUE&amp;DB=129&amp;ID1=24419910&amp;VALUEID=01001&amp;SDATE=200902&amp;PERIODTYPE=QTR_STD&amp;window=popup_no_bar&amp;width=385&amp;height=120&amp;START_MAXIMIZED=FALSE&amp;creator=factset&amp;display_string=Audit"}</definedName>
    <definedName name="_1685__FDSAUDITLINK__" localSheetId="1" hidden="1">{"fdsup://Directions/FactSet Auditing Viewer?action=AUDIT_VALUE&amp;DB=129&amp;ID1=24419910&amp;VALUEID=01001&amp;SDATE=201002&amp;PERIODTYPE=QTR_STD&amp;window=popup_no_bar&amp;width=385&amp;height=120&amp;START_MAXIMIZED=FALSE&amp;creator=factset&amp;display_string=Audit"}</definedName>
    <definedName name="_1685__FDSAUDITLINK__" hidden="1">{"fdsup://Directions/FactSet Auditing Viewer?action=AUDIT_VALUE&amp;DB=129&amp;ID1=24419910&amp;VALUEID=01001&amp;SDATE=201002&amp;PERIODTYPE=QTR_STD&amp;window=popup_no_bar&amp;width=385&amp;height=120&amp;START_MAXIMIZED=FALSE&amp;creator=factset&amp;display_string=Audit"}</definedName>
    <definedName name="_1686__FDSAUDITLINK__" localSheetId="1" hidden="1">{"fdsup://Directions/FactSet Auditing Viewer?action=AUDIT_VALUE&amp;DB=129&amp;ID1=26353410&amp;VALUEID=01001&amp;SDATE=200902&amp;PERIODTYPE=QTR_STD&amp;window=popup_no_bar&amp;width=385&amp;height=120&amp;START_MAXIMIZED=FALSE&amp;creator=factset&amp;display_string=Audit"}</definedName>
    <definedName name="_1686__FDSAUDITLINK__" hidden="1">{"fdsup://Directions/FactSet Auditing Viewer?action=AUDIT_VALUE&amp;DB=129&amp;ID1=26353410&amp;VALUEID=01001&amp;SDATE=200902&amp;PERIODTYPE=QTR_STD&amp;window=popup_no_bar&amp;width=385&amp;height=120&amp;START_MAXIMIZED=FALSE&amp;creator=factset&amp;display_string=Audit"}</definedName>
    <definedName name="_1687__FDSAUDITLINK__" localSheetId="1" hidden="1">{"fdsup://Directions/FactSet Auditing Viewer?action=AUDIT_VALUE&amp;DB=129&amp;ID1=26353410&amp;VALUEID=01001&amp;SDATE=201002&amp;PERIODTYPE=QTR_STD&amp;window=popup_no_bar&amp;width=385&amp;height=120&amp;START_MAXIMIZED=FALSE&amp;creator=factset&amp;display_string=Audit"}</definedName>
    <definedName name="_1687__FDSAUDITLINK__" hidden="1">{"fdsup://Directions/FactSet Auditing Viewer?action=AUDIT_VALUE&amp;DB=129&amp;ID1=26353410&amp;VALUEID=01001&amp;SDATE=201002&amp;PERIODTYPE=QTR_STD&amp;window=popup_no_bar&amp;width=385&amp;height=120&amp;START_MAXIMIZED=FALSE&amp;creator=factset&amp;display_string=Audit"}</definedName>
    <definedName name="_1688__FDSAUDITLINK__" localSheetId="1" hidden="1">{"fdsup://Directions/FactSet Auditing Viewer?action=AUDIT_VALUE&amp;DB=129&amp;ID1=25746U10&amp;VALUEID=01001&amp;SDATE=200902&amp;PERIODTYPE=QTR_STD&amp;window=popup_no_bar&amp;width=385&amp;height=120&amp;START_MAXIMIZED=FALSE&amp;creator=factset&amp;display_string=Audit"}</definedName>
    <definedName name="_1688__FDSAUDITLINK__" hidden="1">{"fdsup://Directions/FactSet Auditing Viewer?action=AUDIT_VALUE&amp;DB=129&amp;ID1=25746U10&amp;VALUEID=01001&amp;SDATE=200902&amp;PERIODTYPE=QTR_STD&amp;window=popup_no_bar&amp;width=385&amp;height=120&amp;START_MAXIMIZED=FALSE&amp;creator=factset&amp;display_string=Audit"}</definedName>
    <definedName name="_1689__FDSAUDITLINK__" localSheetId="1" hidden="1">{"fdsup://Directions/FactSet Auditing Viewer?action=AUDIT_VALUE&amp;DB=129&amp;ID1=25746U10&amp;VALUEID=01001&amp;SDATE=201002&amp;PERIODTYPE=QTR_STD&amp;window=popup_no_bar&amp;width=385&amp;height=120&amp;START_MAXIMIZED=FALSE&amp;creator=factset&amp;display_string=Audit"}</definedName>
    <definedName name="_1689__FDSAUDITLINK__" hidden="1">{"fdsup://Directions/FactSet Auditing Viewer?action=AUDIT_VALUE&amp;DB=129&amp;ID1=25746U10&amp;VALUEID=01001&amp;SDATE=201002&amp;PERIODTYPE=QTR_STD&amp;window=popup_no_bar&amp;width=385&amp;height=120&amp;START_MAXIMIZED=FALSE&amp;creator=factset&amp;display_string=Audit"}</definedName>
    <definedName name="_169__FDSAUDITLINK__" localSheetId="1"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__FDSAUDITLINK__" hidden="1">{"fdsup://directions/FAT Viewer?action=UPDATE&amp;creator=factset&amp;DYN_ARGS=TRUE&amp;DOC_NAME=FAT:FQL_AUDITING_CLIENT_TEMPLATE.FAT&amp;display_string=Audit&amp;VAR:KEY=BYXCZQLCDW&amp;VAR:QUERY=RkZfRUJJVERBX09QRVIoUVRSLDQvMS8yMDA5LDYvMzAvMjAwOSwsLFVTRCk=&amp;WINDOW=FIRST_POPUP&amp;HEIGH","T=450&amp;WIDTH=450&amp;START_MAXIMIZED=FALSE&amp;VAR:CALENDAR=US&amp;VAR:SYMBOL=SRCL&amp;VAR:INDEX=0"}</definedName>
    <definedName name="_1690__FDSAUDITLINK__" localSheetId="1" hidden="1">{"fdsup://Directions/FactSet Auditing Viewer?action=AUDIT_VALUE&amp;DB=129&amp;ID1=16676410&amp;VALUEID=01001&amp;SDATE=200902&amp;PERIODTYPE=QTR_STD&amp;window=popup_no_bar&amp;width=385&amp;height=120&amp;START_MAXIMIZED=FALSE&amp;creator=factset&amp;display_string=Audit"}</definedName>
    <definedName name="_1690__FDSAUDITLINK__" hidden="1">{"fdsup://Directions/FactSet Auditing Viewer?action=AUDIT_VALUE&amp;DB=129&amp;ID1=16676410&amp;VALUEID=01001&amp;SDATE=200902&amp;PERIODTYPE=QTR_STD&amp;window=popup_no_bar&amp;width=385&amp;height=120&amp;START_MAXIMIZED=FALSE&amp;creator=factset&amp;display_string=Audit"}</definedName>
    <definedName name="_1691__FDSAUDITLINK__" localSheetId="1" hidden="1">{"fdsup://Directions/FactSet Auditing Viewer?action=AUDIT_VALUE&amp;DB=129&amp;ID1=16676410&amp;VALUEID=01001&amp;SDATE=201002&amp;PERIODTYPE=QTR_STD&amp;window=popup_no_bar&amp;width=385&amp;height=120&amp;START_MAXIMIZED=FALSE&amp;creator=factset&amp;display_string=Audit"}</definedName>
    <definedName name="_1691__FDSAUDITLINK__" hidden="1">{"fdsup://Directions/FactSet Auditing Viewer?action=AUDIT_VALUE&amp;DB=129&amp;ID1=16676410&amp;VALUEID=01001&amp;SDATE=201002&amp;PERIODTYPE=QTR_STD&amp;window=popup_no_bar&amp;width=385&amp;height=120&amp;START_MAXIMIZED=FALSE&amp;creator=factset&amp;display_string=Audit"}</definedName>
    <definedName name="_1692__FDSAUDITLINK__" localSheetId="1" hidden="1">{"fdsup://Directions/FactSet Auditing Viewer?action=AUDIT_VALUE&amp;DB=129&amp;ID1=12665010&amp;VALUEID=01001&amp;SDATE=200902&amp;PERIODTYPE=QTR_STD&amp;window=popup_no_bar&amp;width=385&amp;height=120&amp;START_MAXIMIZED=FALSE&amp;creator=factset&amp;display_string=Audit"}</definedName>
    <definedName name="_1692__FDSAUDITLINK__" hidden="1">{"fdsup://Directions/FactSet Auditing Viewer?action=AUDIT_VALUE&amp;DB=129&amp;ID1=12665010&amp;VALUEID=01001&amp;SDATE=200902&amp;PERIODTYPE=QTR_STD&amp;window=popup_no_bar&amp;width=385&amp;height=120&amp;START_MAXIMIZED=FALSE&amp;creator=factset&amp;display_string=Audit"}</definedName>
    <definedName name="_1693__FDSAUDITLINK__" localSheetId="1" hidden="1">{"fdsup://Directions/FactSet Auditing Viewer?action=AUDIT_VALUE&amp;DB=129&amp;ID1=12665010&amp;VALUEID=01001&amp;SDATE=201002&amp;PERIODTYPE=QTR_STD&amp;window=popup_no_bar&amp;width=385&amp;height=120&amp;START_MAXIMIZED=FALSE&amp;creator=factset&amp;display_string=Audit"}</definedName>
    <definedName name="_1693__FDSAUDITLINK__" hidden="1">{"fdsup://Directions/FactSet Auditing Viewer?action=AUDIT_VALUE&amp;DB=129&amp;ID1=12665010&amp;VALUEID=01001&amp;SDATE=201002&amp;PERIODTYPE=QTR_STD&amp;window=popup_no_bar&amp;width=385&amp;height=120&amp;START_MAXIMIZED=FALSE&amp;creator=factset&amp;display_string=Audit"}</definedName>
    <definedName name="_1694__FDSAUDITLINK__" localSheetId="1" hidden="1">{"fdsup://Directions/FactSet Auditing Viewer?action=AUDIT_VALUE&amp;DB=129&amp;ID1=22286210&amp;VALUEID=01001&amp;SDATE=200902&amp;PERIODTYPE=QTR_STD&amp;window=popup_no_bar&amp;width=385&amp;height=120&amp;START_MAXIMIZED=FALSE&amp;creator=factset&amp;display_string=Audit"}</definedName>
    <definedName name="_1694__FDSAUDITLINK__" hidden="1">{"fdsup://Directions/FactSet Auditing Viewer?action=AUDIT_VALUE&amp;DB=129&amp;ID1=22286210&amp;VALUEID=01001&amp;SDATE=200902&amp;PERIODTYPE=QTR_STD&amp;window=popup_no_bar&amp;width=385&amp;height=120&amp;START_MAXIMIZED=FALSE&amp;creator=factset&amp;display_string=Audit"}</definedName>
    <definedName name="_1695__FDSAUDITLINK__" localSheetId="1" hidden="1">{"fdsup://Directions/FactSet Auditing Viewer?action=AUDIT_VALUE&amp;DB=129&amp;ID1=22286210&amp;VALUEID=01001&amp;SDATE=201002&amp;PERIODTYPE=QTR_STD&amp;window=popup_no_bar&amp;width=385&amp;height=120&amp;START_MAXIMIZED=FALSE&amp;creator=factset&amp;display_string=Audit"}</definedName>
    <definedName name="_1695__FDSAUDITLINK__" hidden="1">{"fdsup://Directions/FactSet Auditing Viewer?action=AUDIT_VALUE&amp;DB=129&amp;ID1=22286210&amp;VALUEID=01001&amp;SDATE=201002&amp;PERIODTYPE=QTR_STD&amp;window=popup_no_bar&amp;width=385&amp;height=120&amp;START_MAXIMIZED=FALSE&amp;creator=factset&amp;display_string=Audit"}</definedName>
    <definedName name="_1696__FDSAUDITLINK__" localSheetId="1" hidden="1">{"fdsup://Directions/FactSet Auditing Viewer?action=AUDIT_VALUE&amp;DB=129&amp;ID1=17737610&amp;VALUEID=01001&amp;SDATE=200902&amp;PERIODTYPE=QTR_STD&amp;window=popup_no_bar&amp;width=385&amp;height=120&amp;START_MAXIMIZED=FALSE&amp;creator=factset&amp;display_string=Audit"}</definedName>
    <definedName name="_1696__FDSAUDITLINK__" hidden="1">{"fdsup://Directions/FactSet Auditing Viewer?action=AUDIT_VALUE&amp;DB=129&amp;ID1=17737610&amp;VALUEID=01001&amp;SDATE=200902&amp;PERIODTYPE=QTR_STD&amp;window=popup_no_bar&amp;width=385&amp;height=120&amp;START_MAXIMIZED=FALSE&amp;creator=factset&amp;display_string=Audit"}</definedName>
    <definedName name="_1697__FDSAUDITLINK__" localSheetId="1" hidden="1">{"fdsup://Directions/FactSet Auditing Viewer?action=AUDIT_VALUE&amp;DB=129&amp;ID1=17737610&amp;VALUEID=01001&amp;SDATE=201002&amp;PERIODTYPE=QTR_STD&amp;window=popup_no_bar&amp;width=385&amp;height=120&amp;START_MAXIMIZED=FALSE&amp;creator=factset&amp;display_string=Audit"}</definedName>
    <definedName name="_1697__FDSAUDITLINK__" hidden="1">{"fdsup://Directions/FactSet Auditing Viewer?action=AUDIT_VALUE&amp;DB=129&amp;ID1=17737610&amp;VALUEID=01001&amp;SDATE=201002&amp;PERIODTYPE=QTR_STD&amp;window=popup_no_bar&amp;width=385&amp;height=120&amp;START_MAXIMIZED=FALSE&amp;creator=factset&amp;display_string=Audit"}</definedName>
    <definedName name="_1698__FDSAUDITLINK__" localSheetId="1" hidden="1">{"fdsup://Directions/FactSet Auditing Viewer?action=AUDIT_VALUE&amp;DB=129&amp;ID1=19244610&amp;VALUEID=01001&amp;SDATE=200902&amp;PERIODTYPE=QTR_STD&amp;window=popup_no_bar&amp;width=385&amp;height=120&amp;START_MAXIMIZED=FALSE&amp;creator=factset&amp;display_string=Audit"}</definedName>
    <definedName name="_1698__FDSAUDITLINK__" hidden="1">{"fdsup://Directions/FactSet Auditing Viewer?action=AUDIT_VALUE&amp;DB=129&amp;ID1=19244610&amp;VALUEID=01001&amp;SDATE=200902&amp;PERIODTYPE=QTR_STD&amp;window=popup_no_bar&amp;width=385&amp;height=120&amp;START_MAXIMIZED=FALSE&amp;creator=factset&amp;display_string=Audit"}</definedName>
    <definedName name="_1699__FDSAUDITLINK__" localSheetId="1" hidden="1">{"fdsup://Directions/FactSet Auditing Viewer?action=AUDIT_VALUE&amp;DB=129&amp;ID1=19244610&amp;VALUEID=01001&amp;SDATE=201002&amp;PERIODTYPE=QTR_STD&amp;window=popup_no_bar&amp;width=385&amp;height=120&amp;START_MAXIMIZED=FALSE&amp;creator=factset&amp;display_string=Audit"}</definedName>
    <definedName name="_1699__FDSAUDITLINK__" hidden="1">{"fdsup://Directions/FactSet Auditing Viewer?action=AUDIT_VALUE&amp;DB=129&amp;ID1=19244610&amp;VALUEID=01001&amp;SDATE=201002&amp;PERIODTYPE=QTR_STD&amp;window=popup_no_bar&amp;width=385&amp;height=120&amp;START_MAXIMIZED=FALSE&amp;creator=factset&amp;display_string=Audit"}</definedName>
    <definedName name="_17__FDSAUDITLINK__" localSheetId="1" hidden="1">{"fdsup://directions/FAT Viewer?action=UPDATE&amp;creator=factset&amp;DYN_ARGS=TRUE&amp;DOC_NAME=FAT:FQL_AUDITING_CLIENT_TEMPLATE.FAT&amp;display_string=Audit&amp;VAR:KEY=VSXADOBIVQ&amp;VAR:QUERY=RkZfRUJJVERBX09QRVIoUVRSLDQvMS8yMDA5LDYvMzAvMjAwOSwsLFVTRCk=&amp;WINDOW=FIRST_POPUP&amp;HEIGH","T=450&amp;WIDTH=450&amp;START_MAXIMIZED=FALSE&amp;VAR:CALENDAR=US&amp;VAR:SYMBOL=XL&amp;VAR:INDEX=0"}</definedName>
    <definedName name="_17__FDSAUDITLINK__" hidden="1">{"fdsup://directions/FAT Viewer?action=UPDATE&amp;creator=factset&amp;DYN_ARGS=TRUE&amp;DOC_NAME=FAT:FQL_AUDITING_CLIENT_TEMPLATE.FAT&amp;display_string=Audit&amp;VAR:KEY=VSXADOBIVQ&amp;VAR:QUERY=RkZfRUJJVERBX09QRVIoUVRSLDQvMS8yMDA5LDYvMzAvMjAwOSwsLFVTRCk=&amp;WINDOW=FIRST_POPUP&amp;HEIGH","T=450&amp;WIDTH=450&amp;START_MAXIMIZED=FALSE&amp;VAR:CALENDAR=US&amp;VAR:SYMBOL=XL&amp;VAR:INDEX=0"}</definedName>
    <definedName name="_170__FDSAUDITLINK__" localSheetId="1"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__FDSAUDITLINK__" hidden="1">{"fdsup://directions/FAT Viewer?action=UPDATE&amp;creator=factset&amp;DYN_ARGS=TRUE&amp;DOC_NAME=FAT:FQL_AUDITING_CLIENT_TEMPLATE.FAT&amp;display_string=Audit&amp;VAR:KEY=ZMVWFQNGJE&amp;VAR:QUERY=RkZfRUJJVERBX09QRVIoUVRSLDQvMS8yMDEwLDYvMzAvMjAxMCwsLFVTRCk=&amp;WINDOW=FIRST_POPUP&amp;HEIGH","T=450&amp;WIDTH=450&amp;START_MAXIMIZED=FALSE&amp;VAR:CALENDAR=US&amp;VAR:SYMBOL=SRCL&amp;VAR:INDEX=0"}</definedName>
    <definedName name="_1700__FDSAUDITLINK__" localSheetId="1" hidden="1">{"fdsup://Directions/FactSet Auditing Viewer?action=AUDIT_VALUE&amp;DB=129&amp;ID1=15670010&amp;VALUEID=01001&amp;SDATE=200902&amp;PERIODTYPE=QTR_STD&amp;window=popup_no_bar&amp;width=385&amp;height=120&amp;START_MAXIMIZED=FALSE&amp;creator=factset&amp;display_string=Audit"}</definedName>
    <definedName name="_1700__FDSAUDITLINK__" hidden="1">{"fdsup://Directions/FactSet Auditing Viewer?action=AUDIT_VALUE&amp;DB=129&amp;ID1=15670010&amp;VALUEID=01001&amp;SDATE=200902&amp;PERIODTYPE=QTR_STD&amp;window=popup_no_bar&amp;width=385&amp;height=120&amp;START_MAXIMIZED=FALSE&amp;creator=factset&amp;display_string=Audit"}</definedName>
    <definedName name="_1701__FDSAUDITLINK__" localSheetId="1" hidden="1">{"fdsup://Directions/FactSet Auditing Viewer?action=AUDIT_VALUE&amp;DB=129&amp;ID1=15670010&amp;VALUEID=01001&amp;SDATE=201002&amp;PERIODTYPE=QTR_STD&amp;window=popup_no_bar&amp;width=385&amp;height=120&amp;START_MAXIMIZED=FALSE&amp;creator=factset&amp;display_string=Audit"}</definedName>
    <definedName name="_1701__FDSAUDITLINK__" hidden="1">{"fdsup://Directions/FactSet Auditing Viewer?action=AUDIT_VALUE&amp;DB=129&amp;ID1=15670010&amp;VALUEID=01001&amp;SDATE=201002&amp;PERIODTYPE=QTR_STD&amp;window=popup_no_bar&amp;width=385&amp;height=120&amp;START_MAXIMIZED=FALSE&amp;creator=factset&amp;display_string=Audit"}</definedName>
    <definedName name="_1702__FDSAUDITLINK__" localSheetId="1" hidden="1">{"fdsup://Directions/FactSet Auditing Viewer?action=AUDIT_VALUE&amp;DB=129&amp;ID1=17290810&amp;VALUEID=01001&amp;SDATE=200904&amp;PERIODTYPE=QTR_STD&amp;window=popup_no_bar&amp;width=385&amp;height=120&amp;START_MAXIMIZED=FALSE&amp;creator=factset&amp;display_string=Audit"}</definedName>
    <definedName name="_1702__FDSAUDITLINK__" hidden="1">{"fdsup://Directions/FactSet Auditing Viewer?action=AUDIT_VALUE&amp;DB=129&amp;ID1=17290810&amp;VALUEID=01001&amp;SDATE=200904&amp;PERIODTYPE=QTR_STD&amp;window=popup_no_bar&amp;width=385&amp;height=120&amp;START_MAXIMIZED=FALSE&amp;creator=factset&amp;display_string=Audit"}</definedName>
    <definedName name="_1703__FDSAUDITLINK__" localSheetId="1" hidden="1">{"fdsup://Directions/FactSet Auditing Viewer?action=AUDIT_VALUE&amp;DB=129&amp;ID1=12640810&amp;VALUEID=01001&amp;SDATE=201002&amp;PERIODTYPE=QTR_STD&amp;window=popup_no_bar&amp;width=385&amp;height=120&amp;START_MAXIMIZED=FALSE&amp;creator=factset&amp;display_string=Audit"}</definedName>
    <definedName name="_1703__FDSAUDITLINK__" hidden="1">{"fdsup://Directions/FactSet Auditing Viewer?action=AUDIT_VALUE&amp;DB=129&amp;ID1=12640810&amp;VALUEID=01001&amp;SDATE=201002&amp;PERIODTYPE=QTR_STD&amp;window=popup_no_bar&amp;width=385&amp;height=120&amp;START_MAXIMIZED=FALSE&amp;creator=factset&amp;display_string=Audit"}</definedName>
    <definedName name="_1704__FDSAUDITLINK__" localSheetId="1" hidden="1">{"fdsup://Directions/FactSet Auditing Viewer?action=AUDIT_VALUE&amp;DB=129&amp;ID1=17275R10&amp;VALUEID=01001&amp;SDATE=200903&amp;PERIODTYPE=QTR_STD&amp;window=popup_no_bar&amp;width=385&amp;height=120&amp;START_MAXIMIZED=FALSE&amp;creator=factset&amp;display_string=Audit"}</definedName>
    <definedName name="_1704__FDSAUDITLINK__" hidden="1">{"fdsup://Directions/FactSet Auditing Viewer?action=AUDIT_VALUE&amp;DB=129&amp;ID1=17275R10&amp;VALUEID=01001&amp;SDATE=200903&amp;PERIODTYPE=QTR_STD&amp;window=popup_no_bar&amp;width=385&amp;height=120&amp;START_MAXIMIZED=FALSE&amp;creator=factset&amp;display_string=Audit"}</definedName>
    <definedName name="_1705__FDSAUDITLINK__" localSheetId="1" hidden="1">{"fdsup://Directions/FactSet Auditing Viewer?action=AUDIT_VALUE&amp;DB=129&amp;ID1=17275R10&amp;VALUEID=01001&amp;SDATE=201003&amp;PERIODTYPE=QTR_STD&amp;window=popup_no_bar&amp;width=385&amp;height=120&amp;START_MAXIMIZED=FALSE&amp;creator=factset&amp;display_string=Audit"}</definedName>
    <definedName name="_1705__FDSAUDITLINK__" hidden="1">{"fdsup://Directions/FactSet Auditing Viewer?action=AUDIT_VALUE&amp;DB=129&amp;ID1=17275R10&amp;VALUEID=01001&amp;SDATE=201003&amp;PERIODTYPE=QTR_STD&amp;window=popup_no_bar&amp;width=385&amp;height=120&amp;START_MAXIMIZED=FALSE&amp;creator=factset&amp;display_string=Audit"}</definedName>
    <definedName name="_1706__FDSAUDITLINK__" localSheetId="1" hidden="1">{"fdsup://Directions/FactSet Auditing Viewer?action=AUDIT_VALUE&amp;DB=129&amp;ID1=20536310&amp;VALUEID=01001&amp;SDATE=200901&amp;PERIODTYPE=QTR_STD&amp;window=popup_no_bar&amp;width=385&amp;height=120&amp;START_MAXIMIZED=FALSE&amp;creator=factset&amp;display_string=Audit"}</definedName>
    <definedName name="_1706__FDSAUDITLINK__" hidden="1">{"fdsup://Directions/FactSet Auditing Viewer?action=AUDIT_VALUE&amp;DB=129&amp;ID1=20536310&amp;VALUEID=01001&amp;SDATE=200901&amp;PERIODTYPE=QTR_STD&amp;window=popup_no_bar&amp;width=385&amp;height=120&amp;START_MAXIMIZED=FALSE&amp;creator=factset&amp;display_string=Audit"}</definedName>
    <definedName name="_1707__FDSAUDITLINK__" localSheetId="1" hidden="1">{"fdsup://Directions/FactSet Auditing Viewer?action=AUDIT_VALUE&amp;DB=129&amp;ID1=20536310&amp;VALUEID=01001&amp;SDATE=201001&amp;PERIODTYPE=QTR_STD&amp;window=popup_no_bar&amp;width=385&amp;height=120&amp;START_MAXIMIZED=FALSE&amp;creator=factset&amp;display_string=Audit"}</definedName>
    <definedName name="_1707__FDSAUDITLINK__" hidden="1">{"fdsup://Directions/FactSet Auditing Viewer?action=AUDIT_VALUE&amp;DB=129&amp;ID1=20536310&amp;VALUEID=01001&amp;SDATE=201001&amp;PERIODTYPE=QTR_STD&amp;window=popup_no_bar&amp;width=385&amp;height=120&amp;START_MAXIMIZED=FALSE&amp;creator=factset&amp;display_string=Audit"}</definedName>
    <definedName name="_1708__FDSAUDITLINK__" localSheetId="1" hidden="1">{"fdsup://Directions/FactSet Auditing Viewer?action=AUDIT_VALUE&amp;DB=129&amp;ID1=79466L30&amp;VALUEID=01001&amp;SDATE=201001&amp;PERIODTYPE=QTR_STD&amp;window=popup_no_bar&amp;width=385&amp;height=120&amp;START_MAXIMIZED=FALSE&amp;creator=factset&amp;display_string=Audit"}</definedName>
    <definedName name="_1708__FDSAUDITLINK__" hidden="1">{"fdsup://Directions/FactSet Auditing Viewer?action=AUDIT_VALUE&amp;DB=129&amp;ID1=79466L30&amp;VALUEID=01001&amp;SDATE=201001&amp;PERIODTYPE=QTR_STD&amp;window=popup_no_bar&amp;width=385&amp;height=120&amp;START_MAXIMIZED=FALSE&amp;creator=factset&amp;display_string=Audit"}</definedName>
    <definedName name="_1709__FDSAUDITLINK__" localSheetId="1" hidden="1">{"fdsup://Directions/FactSet Auditing Viewer?action=AUDIT_VALUE&amp;DB=129&amp;ID1=20563810&amp;VALUEID=01001&amp;SDATE=200901&amp;PERIODTYPE=QTR_STD&amp;window=popup_no_bar&amp;width=385&amp;height=120&amp;START_MAXIMIZED=FALSE&amp;creator=factset&amp;display_string=Audit"}</definedName>
    <definedName name="_1709__FDSAUDITLINK__" hidden="1">{"fdsup://Directions/FactSet Auditing Viewer?action=AUDIT_VALUE&amp;DB=129&amp;ID1=20563810&amp;VALUEID=01001&amp;SDATE=200901&amp;PERIODTYPE=QTR_STD&amp;window=popup_no_bar&amp;width=385&amp;height=120&amp;START_MAXIMIZED=FALSE&amp;creator=factset&amp;display_string=Audit"}</definedName>
    <definedName name="_171__FDSAUDITLINK__" localSheetId="1"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__FDSAUDITLINK__" hidden="1">{"fdsup://directions/FAT Viewer?action=UPDATE&amp;creator=factset&amp;DYN_ARGS=TRUE&amp;DOC_NAME=FAT:FQL_AUDITING_CLIENT_TEMPLATE.FAT&amp;display_string=Audit&amp;VAR:KEY=HQVGTMNGXE&amp;VAR:QUERY=RkZfRUJJVERBX09QRVIoUVRSLDQvMS8yMDA5LDYvMzAvMjAwOSwsLFVTRCk=&amp;WINDOW=FIRST_POPUP&amp;HEIGH","T=450&amp;WIDTH=450&amp;START_MAXIMIZED=FALSE&amp;VAR:CALENDAR=US&amp;VAR:SYMBOL=SPLS&amp;VAR:INDEX=0"}</definedName>
    <definedName name="_1710__FDSAUDITLINK__" localSheetId="1" hidden="1">{"fdsup://Directions/FactSet Auditing Viewer?action=AUDIT_VALUE&amp;DB=129&amp;ID1=20563810&amp;VALUEID=01001&amp;SDATE=201001&amp;PERIODTYPE=QTR_STD&amp;window=popup_no_bar&amp;width=385&amp;height=120&amp;START_MAXIMIZED=FALSE&amp;creator=factset&amp;display_string=Audit"}</definedName>
    <definedName name="_1710__FDSAUDITLINK__" hidden="1">{"fdsup://Directions/FactSet Auditing Viewer?action=AUDIT_VALUE&amp;DB=129&amp;ID1=20563810&amp;VALUEID=01001&amp;SDATE=201001&amp;PERIODTYPE=QTR_STD&amp;window=popup_no_bar&amp;width=385&amp;height=120&amp;START_MAXIMIZED=FALSE&amp;creator=factset&amp;display_string=Audit"}</definedName>
    <definedName name="_1711__FDSAUDITLINK__" localSheetId="1" hidden="1">{"fdsup://Directions/FactSet Auditing Viewer?action=AUDIT_VALUE&amp;DB=129&amp;ID1=13442910&amp;VALUEID=01001&amp;SDATE=200903&amp;PERIODTYPE=QTR_STD&amp;window=popup_no_bar&amp;width=385&amp;height=120&amp;START_MAXIMIZED=FALSE&amp;creator=factset&amp;display_string=Audit"}</definedName>
    <definedName name="_1711__FDSAUDITLINK__" hidden="1">{"fdsup://Directions/FactSet Auditing Viewer?action=AUDIT_VALUE&amp;DB=129&amp;ID1=13442910&amp;VALUEID=01001&amp;SDATE=200903&amp;PERIODTYPE=QTR_STD&amp;window=popup_no_bar&amp;width=385&amp;height=120&amp;START_MAXIMIZED=FALSE&amp;creator=factset&amp;display_string=Audit"}</definedName>
    <definedName name="_1712__FDSAUDITLINK__" localSheetId="1" hidden="1">{"fdsup://Directions/FactSet Auditing Viewer?action=AUDIT_VALUE&amp;DB=129&amp;ID1=13442910&amp;VALUEID=01001&amp;SDATE=201003&amp;PERIODTYPE=QTR_STD&amp;window=popup_no_bar&amp;width=385&amp;height=120&amp;START_MAXIMIZED=FALSE&amp;creator=factset&amp;display_string=Audit"}</definedName>
    <definedName name="_1712__FDSAUDITLINK__" hidden="1">{"fdsup://Directions/FactSet Auditing Viewer?action=AUDIT_VALUE&amp;DB=129&amp;ID1=13442910&amp;VALUEID=01001&amp;SDATE=201003&amp;PERIODTYPE=QTR_STD&amp;window=popup_no_bar&amp;width=385&amp;height=120&amp;START_MAXIMIZED=FALSE&amp;creator=factset&amp;display_string=Audit"}</definedName>
    <definedName name="_1713__FDSAUDITLINK__" localSheetId="1" hidden="1">{"fdsup://Directions/FactSet Auditing Viewer?action=AUDIT_VALUE&amp;DB=129&amp;ID1=22160K10&amp;VALUEID=01001&amp;SDATE=200903&amp;PERIODTYPE=QTR_STD&amp;window=popup_no_bar&amp;width=385&amp;height=120&amp;START_MAXIMIZED=FALSE&amp;creator=factset&amp;display_string=Audit"}</definedName>
    <definedName name="_1713__FDSAUDITLINK__" hidden="1">{"fdsup://Directions/FactSet Auditing Viewer?action=AUDIT_VALUE&amp;DB=129&amp;ID1=22160K10&amp;VALUEID=01001&amp;SDATE=200903&amp;PERIODTYPE=QTR_STD&amp;window=popup_no_bar&amp;width=385&amp;height=120&amp;START_MAXIMIZED=FALSE&amp;creator=factset&amp;display_string=Audit"}</definedName>
    <definedName name="_1714__FDSAUDITLINK__" localSheetId="1" hidden="1">{"fdsup://Directions/FactSet Auditing Viewer?action=AUDIT_VALUE&amp;DB=129&amp;ID1=22160K10&amp;VALUEID=01001&amp;SDATE=201003&amp;PERIODTYPE=QTR_STD&amp;window=popup_no_bar&amp;width=385&amp;height=120&amp;START_MAXIMIZED=FALSE&amp;creator=factset&amp;display_string=Audit"}</definedName>
    <definedName name="_1714__FDSAUDITLINK__" hidden="1">{"fdsup://Directions/FactSet Auditing Viewer?action=AUDIT_VALUE&amp;DB=129&amp;ID1=22160K10&amp;VALUEID=01001&amp;SDATE=201003&amp;PERIODTYPE=QTR_STD&amp;window=popup_no_bar&amp;width=385&amp;height=120&amp;START_MAXIMIZED=FALSE&amp;creator=factset&amp;display_string=Audit"}</definedName>
    <definedName name="_1715__FDSAUDITLINK__" localSheetId="1" hidden="1">{"fdsup://Directions/FactSet Auditing Viewer?action=AUDIT_VALUE&amp;DB=129&amp;ID1=20825C10&amp;VALUEID=01001&amp;SDATE=200902&amp;PERIODTYPE=QTR_STD&amp;window=popup_no_bar&amp;width=385&amp;height=120&amp;START_MAXIMIZED=FALSE&amp;creator=factset&amp;display_string=Audit"}</definedName>
    <definedName name="_1715__FDSAUDITLINK__" hidden="1">{"fdsup://Directions/FactSet Auditing Viewer?action=AUDIT_VALUE&amp;DB=129&amp;ID1=20825C10&amp;VALUEID=01001&amp;SDATE=200902&amp;PERIODTYPE=QTR_STD&amp;window=popup_no_bar&amp;width=385&amp;height=120&amp;START_MAXIMIZED=FALSE&amp;creator=factset&amp;display_string=Audit"}</definedName>
    <definedName name="_1716__FDSAUDITLINK__" localSheetId="1" hidden="1">{"fdsup://Directions/FactSet Auditing Viewer?action=AUDIT_VALUE&amp;DB=129&amp;ID1=20825C10&amp;VALUEID=01001&amp;SDATE=201002&amp;PERIODTYPE=QTR_STD&amp;window=popup_no_bar&amp;width=385&amp;height=120&amp;START_MAXIMIZED=FALSE&amp;creator=factset&amp;display_string=Audit"}</definedName>
    <definedName name="_1716__FDSAUDITLINK__" hidden="1">{"fdsup://Directions/FactSet Auditing Viewer?action=AUDIT_VALUE&amp;DB=129&amp;ID1=20825C10&amp;VALUEID=01001&amp;SDATE=201002&amp;PERIODTYPE=QTR_STD&amp;window=popup_no_bar&amp;width=385&amp;height=120&amp;START_MAXIMIZED=FALSE&amp;creator=factset&amp;display_string=Audit"}</definedName>
    <definedName name="_1717__FDSAUDITLINK__" localSheetId="1" hidden="1">{"fdsup://Directions/FactSet Auditing Viewer?action=AUDIT_VALUE&amp;DB=129&amp;ID1=77434110&amp;VALUEID=01001&amp;SDATE=200903&amp;PERIODTYPE=QTR_STD&amp;window=popup_no_bar&amp;width=385&amp;height=120&amp;START_MAXIMIZED=FALSE&amp;creator=factset&amp;display_string=Audit"}</definedName>
    <definedName name="_1717__FDSAUDITLINK__" hidden="1">{"fdsup://Directions/FactSet Auditing Viewer?action=AUDIT_VALUE&amp;DB=129&amp;ID1=77434110&amp;VALUEID=01001&amp;SDATE=200903&amp;PERIODTYPE=QTR_STD&amp;window=popup_no_bar&amp;width=385&amp;height=120&amp;START_MAXIMIZED=FALSE&amp;creator=factset&amp;display_string=Audit"}</definedName>
    <definedName name="_1718__FDSAUDITLINK__" localSheetId="1" hidden="1">{"fdsup://Directions/FactSet Auditing Viewer?action=AUDIT_VALUE&amp;DB=129&amp;ID1=77434110&amp;VALUEID=01001&amp;SDATE=201003&amp;PERIODTYPE=QTR_STD&amp;window=popup_no_bar&amp;width=385&amp;height=120&amp;START_MAXIMIZED=FALSE&amp;creator=factset&amp;display_string=Audit"}</definedName>
    <definedName name="_1718__FDSAUDITLINK__" hidden="1">{"fdsup://Directions/FactSet Auditing Viewer?action=AUDIT_VALUE&amp;DB=129&amp;ID1=77434110&amp;VALUEID=01001&amp;SDATE=201003&amp;PERIODTYPE=QTR_STD&amp;window=popup_no_bar&amp;width=385&amp;height=120&amp;START_MAXIMIZED=FALSE&amp;creator=factset&amp;display_string=Audit"}</definedName>
    <definedName name="_1719__FDSAUDITLINK__" localSheetId="1" hidden="1">{"fdsup://Directions/FactSet Auditing Viewer?action=AUDIT_VALUE&amp;DB=129&amp;ID1=18975410&amp;VALUEID=01001&amp;SDATE=201004&amp;PERIODTYPE=QTR_STD&amp;window=popup_no_bar&amp;width=385&amp;height=120&amp;START_MAXIMIZED=FALSE&amp;creator=factset&amp;display_string=Audit"}</definedName>
    <definedName name="_1719__FDSAUDITLINK__" hidden="1">{"fdsup://Directions/FactSet Auditing Viewer?action=AUDIT_VALUE&amp;DB=129&amp;ID1=18975410&amp;VALUEID=01001&amp;SDATE=201004&amp;PERIODTYPE=QTR_STD&amp;window=popup_no_bar&amp;width=385&amp;height=120&amp;START_MAXIMIZED=FALSE&amp;creator=factset&amp;display_string=Audit"}</definedName>
    <definedName name="_172__FDSAUDITLINK__" localSheetId="1"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__FDSAUDITLINK__" hidden="1">{"fdsup://directions/FAT Viewer?action=UPDATE&amp;creator=factset&amp;DYN_ARGS=TRUE&amp;DOC_NAME=FAT:FQL_AUDITING_CLIENT_TEMPLATE.FAT&amp;display_string=Audit&amp;VAR:KEY=NGVWJSTYJQ&amp;VAR:QUERY=RkZfRUJJVERBX09QRVIoUVRSLDQvMS8yMDEwLDYvMzAvMjAxMCwsLFVTRCk=&amp;WINDOW=FIRST_POPUP&amp;HEIGH","T=450&amp;WIDTH=450&amp;START_MAXIMIZED=FALSE&amp;VAR:CALENDAR=US&amp;VAR:SYMBOL=SPLS&amp;VAR:INDEX=0"}</definedName>
    <definedName name="_1720__FDSAUDITLINK__" localSheetId="1" hidden="1">{"fdsup://Directions/FactSet Auditing Viewer?action=AUDIT_VALUE&amp;DB=129&amp;ID1=12709710&amp;VALUEID=01001&amp;SDATE=200902&amp;PERIODTYPE=QTR_STD&amp;window=popup_no_bar&amp;width=385&amp;height=120&amp;START_MAXIMIZED=FALSE&amp;creator=factset&amp;display_string=Audit"}</definedName>
    <definedName name="_1720__FDSAUDITLINK__" hidden="1">{"fdsup://Directions/FactSet Auditing Viewer?action=AUDIT_VALUE&amp;DB=129&amp;ID1=12709710&amp;VALUEID=01001&amp;SDATE=200902&amp;PERIODTYPE=QTR_STD&amp;window=popup_no_bar&amp;width=385&amp;height=120&amp;START_MAXIMIZED=FALSE&amp;creator=factset&amp;display_string=Audit"}</definedName>
    <definedName name="_1721__FDSAUDITLINK__" localSheetId="1" hidden="1">{"fdsup://Directions/FactSet Auditing Viewer?action=AUDIT_VALUE&amp;DB=129&amp;ID1=12709710&amp;VALUEID=01001&amp;SDATE=201002&amp;PERIODTYPE=QTR_STD&amp;window=popup_no_bar&amp;width=385&amp;height=120&amp;START_MAXIMIZED=FALSE&amp;creator=factset&amp;display_string=Audit"}</definedName>
    <definedName name="_1721__FDSAUDITLINK__" hidden="1">{"fdsup://Directions/FactSet Auditing Viewer?action=AUDIT_VALUE&amp;DB=129&amp;ID1=12709710&amp;VALUEID=01001&amp;SDATE=201002&amp;PERIODTYPE=QTR_STD&amp;window=popup_no_bar&amp;width=385&amp;height=120&amp;START_MAXIMIZED=FALSE&amp;creator=factset&amp;display_string=Audit"}</definedName>
    <definedName name="_1722__FDSAUDITLINK__" localSheetId="1" hidden="1">{"fdsup://Directions/FactSet Auditing Viewer?action=AUDIT_VALUE&amp;DB=129&amp;ID1=14040H10&amp;VALUEID=01001&amp;SDATE=200902&amp;PERIODTYPE=QTR_STD&amp;window=popup_no_bar&amp;width=385&amp;height=120&amp;START_MAXIMIZED=FALSE&amp;creator=factset&amp;display_string=Audit"}</definedName>
    <definedName name="_1722__FDSAUDITLINK__" hidden="1">{"fdsup://Directions/FactSet Auditing Viewer?action=AUDIT_VALUE&amp;DB=129&amp;ID1=14040H10&amp;VALUEID=01001&amp;SDATE=200902&amp;PERIODTYPE=QTR_STD&amp;window=popup_no_bar&amp;width=385&amp;height=120&amp;START_MAXIMIZED=FALSE&amp;creator=factset&amp;display_string=Audit"}</definedName>
    <definedName name="_1723__FDSAUDITLINK__" localSheetId="1" hidden="1">{"fdsup://Directions/FactSet Auditing Viewer?action=AUDIT_VALUE&amp;DB=129&amp;ID1=20854P10&amp;VALUEID=01001&amp;SDATE=200902&amp;PERIODTYPE=QTR_STD&amp;window=popup_no_bar&amp;width=385&amp;height=120&amp;START_MAXIMIZED=FALSE&amp;creator=factset&amp;display_string=Audit"}</definedName>
    <definedName name="_1723__FDSAUDITLINK__" hidden="1">{"fdsup://Directions/FactSet Auditing Viewer?action=AUDIT_VALUE&amp;DB=129&amp;ID1=20854P10&amp;VALUEID=01001&amp;SDATE=200902&amp;PERIODTYPE=QTR_STD&amp;window=popup_no_bar&amp;width=385&amp;height=120&amp;START_MAXIMIZED=FALSE&amp;creator=factset&amp;display_string=Audit"}</definedName>
    <definedName name="_1724__FDSAUDITLINK__" localSheetId="1" hidden="1">{"fdsup://Directions/FactSet Auditing Viewer?action=AUDIT_VALUE&amp;DB=129&amp;ID1=20854P10&amp;VALUEID=01001&amp;SDATE=201002&amp;PERIODTYPE=QTR_STD&amp;window=popup_no_bar&amp;width=385&amp;height=120&amp;START_MAXIMIZED=FALSE&amp;creator=factset&amp;display_string=Audit"}</definedName>
    <definedName name="_1724__FDSAUDITLINK__" hidden="1">{"fdsup://Directions/FactSet Auditing Viewer?action=AUDIT_VALUE&amp;DB=129&amp;ID1=20854P10&amp;VALUEID=01001&amp;SDATE=201002&amp;PERIODTYPE=QTR_STD&amp;window=popup_no_bar&amp;width=385&amp;height=120&amp;START_MAXIMIZED=FALSE&amp;creator=factset&amp;display_string=Audit"}</definedName>
    <definedName name="_1725__FDSAUDITLINK__" localSheetId="1" hidden="1">{"fdsup://Directions/FactSet Auditing Viewer?action=AUDIT_VALUE&amp;DB=129&amp;ID1=15189T10&amp;VALUEID=01001&amp;SDATE=200902&amp;PERIODTYPE=QTR_STD&amp;window=popup_no_bar&amp;width=385&amp;height=120&amp;START_MAXIMIZED=FALSE&amp;creator=factset&amp;display_string=Audit"}</definedName>
    <definedName name="_1725__FDSAUDITLINK__" hidden="1">{"fdsup://Directions/FactSet Auditing Viewer?action=AUDIT_VALUE&amp;DB=129&amp;ID1=15189T10&amp;VALUEID=01001&amp;SDATE=200902&amp;PERIODTYPE=QTR_STD&amp;window=popup_no_bar&amp;width=385&amp;height=120&amp;START_MAXIMIZED=FALSE&amp;creator=factset&amp;display_string=Audit"}</definedName>
    <definedName name="_1726__FDSAUDITLINK__" localSheetId="1" hidden="1">{"fdsup://Directions/FactSet Auditing Viewer?action=AUDIT_VALUE&amp;DB=129&amp;ID1=15189T10&amp;VALUEID=01001&amp;SDATE=201002&amp;PERIODTYPE=QTR_STD&amp;window=popup_no_bar&amp;width=385&amp;height=120&amp;START_MAXIMIZED=FALSE&amp;creator=factset&amp;display_string=Audit"}</definedName>
    <definedName name="_1726__FDSAUDITLINK__" hidden="1">{"fdsup://Directions/FactSet Auditing Viewer?action=AUDIT_VALUE&amp;DB=129&amp;ID1=15189T10&amp;VALUEID=01001&amp;SDATE=201002&amp;PERIODTYPE=QTR_STD&amp;window=popup_no_bar&amp;width=385&amp;height=120&amp;START_MAXIMIZED=FALSE&amp;creator=factset&amp;display_string=Audit"}</definedName>
    <definedName name="_1727__FDSAUDITLINK__" localSheetId="1" hidden="1">{"fdsup://Directions/FactSet Auditing Viewer?action=AUDIT_VALUE&amp;DB=129&amp;ID1=12589610&amp;VALUEID=01001&amp;SDATE=200902&amp;PERIODTYPE=QTR_STD&amp;window=popup_no_bar&amp;width=385&amp;height=120&amp;START_MAXIMIZED=FALSE&amp;creator=factset&amp;display_string=Audit"}</definedName>
    <definedName name="_1727__FDSAUDITLINK__" hidden="1">{"fdsup://Directions/FactSet Auditing Viewer?action=AUDIT_VALUE&amp;DB=129&amp;ID1=12589610&amp;VALUEID=01001&amp;SDATE=200902&amp;PERIODTYPE=QTR_STD&amp;window=popup_no_bar&amp;width=385&amp;height=120&amp;START_MAXIMIZED=FALSE&amp;creator=factset&amp;display_string=Audit"}</definedName>
    <definedName name="_1728__FDSAUDITLINK__" localSheetId="1" hidden="1">{"fdsup://Directions/FactSet Auditing Viewer?action=AUDIT_VALUE&amp;DB=129&amp;ID1=12589610&amp;VALUEID=01001&amp;SDATE=201002&amp;PERIODTYPE=QTR_STD&amp;window=popup_no_bar&amp;width=385&amp;height=120&amp;START_MAXIMIZED=FALSE&amp;creator=factset&amp;display_string=Audit"}</definedName>
    <definedName name="_1728__FDSAUDITLINK__" hidden="1">{"fdsup://Directions/FactSet Auditing Viewer?action=AUDIT_VALUE&amp;DB=129&amp;ID1=12589610&amp;VALUEID=01001&amp;SDATE=201002&amp;PERIODTYPE=QTR_STD&amp;window=popup_no_bar&amp;width=385&amp;height=120&amp;START_MAXIMIZED=FALSE&amp;creator=factset&amp;display_string=Audit"}</definedName>
    <definedName name="_1729__FDSAUDITLINK__" localSheetId="1" hidden="1">{"fdsup://Directions/FactSet Auditing Viewer?action=AUDIT_VALUE&amp;DB=129&amp;ID1=23102110&amp;VALUEID=01001&amp;SDATE=200902&amp;PERIODTYPE=QTR_STD&amp;window=popup_no_bar&amp;width=385&amp;height=120&amp;START_MAXIMIZED=FALSE&amp;creator=factset&amp;display_string=Audit"}</definedName>
    <definedName name="_1729__FDSAUDITLINK__" hidden="1">{"fdsup://Directions/FactSet Auditing Viewer?action=AUDIT_VALUE&amp;DB=129&amp;ID1=23102110&amp;VALUEID=01001&amp;SDATE=200902&amp;PERIODTYPE=QTR_STD&amp;window=popup_no_bar&amp;width=385&amp;height=120&amp;START_MAXIMIZED=FALSE&amp;creator=factset&amp;display_string=Audit"}</definedName>
    <definedName name="_173__FDSAUDITLINK__" localSheetId="1"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__FDSAUDITLINK__" hidden="1">{"fdsup://directions/FAT Viewer?action=UPDATE&amp;creator=factset&amp;DYN_ARGS=TRUE&amp;DOC_NAME=FAT:FQL_AUDITING_CLIENT_TEMPLATE.FAT&amp;display_string=Audit&amp;VAR:KEY=ZMNCJOFIFO&amp;VAR:QUERY=RkZfRUJJVERBX09QRVIoUVRSLDQvMS8yMDA5LDYvMzAvMjAwOSwsLFVTRCk=&amp;WINDOW=FIRST_POPUP&amp;HEIGH","T=450&amp;WIDTH=450&amp;START_MAXIMIZED=FALSE&amp;VAR:CALENDAR=US&amp;VAR:SYMBOL=SPG&amp;VAR:INDEX=0"}</definedName>
    <definedName name="_1730__FDSAUDITLINK__" localSheetId="1" hidden="1">{"fdsup://Directions/FactSet Auditing Viewer?action=AUDIT_VALUE&amp;DB=129&amp;ID1=23102110&amp;VALUEID=01001&amp;SDATE=201002&amp;PERIODTYPE=QTR_STD&amp;window=popup_no_bar&amp;width=385&amp;height=120&amp;START_MAXIMIZED=FALSE&amp;creator=factset&amp;display_string=Audit"}</definedName>
    <definedName name="_1730__FDSAUDITLINK__" hidden="1">{"fdsup://Directions/FactSet Auditing Viewer?action=AUDIT_VALUE&amp;DB=129&amp;ID1=23102110&amp;VALUEID=01001&amp;SDATE=201002&amp;PERIODTYPE=QTR_STD&amp;window=popup_no_bar&amp;width=385&amp;height=120&amp;START_MAXIMIZED=FALSE&amp;creator=factset&amp;display_string=Audit"}</definedName>
    <definedName name="_1731__FDSAUDITLINK__" localSheetId="1" hidden="1">{"fdsup://Directions/FactSet Auditing Viewer?action=AUDIT_VALUE&amp;DB=129&amp;ID1=12572Q10&amp;VALUEID=01001&amp;SDATE=200902&amp;PERIODTYPE=QTR_STD&amp;window=popup_no_bar&amp;width=385&amp;height=120&amp;START_MAXIMIZED=FALSE&amp;creator=factset&amp;display_string=Audit"}</definedName>
    <definedName name="_1731__FDSAUDITLINK__" hidden="1">{"fdsup://Directions/FactSet Auditing Viewer?action=AUDIT_VALUE&amp;DB=129&amp;ID1=12572Q10&amp;VALUEID=01001&amp;SDATE=200902&amp;PERIODTYPE=QTR_STD&amp;window=popup_no_bar&amp;width=385&amp;height=120&amp;START_MAXIMIZED=FALSE&amp;creator=factset&amp;display_string=Audit"}</definedName>
    <definedName name="_1732__FDSAUDITLINK__" localSheetId="1" hidden="1">{"fdsup://Directions/FactSet Auditing Viewer?action=AUDIT_VALUE&amp;DB=129&amp;ID1=12572Q10&amp;VALUEID=01001&amp;SDATE=201002&amp;PERIODTYPE=QTR_STD&amp;window=popup_no_bar&amp;width=385&amp;height=120&amp;START_MAXIMIZED=FALSE&amp;creator=factset&amp;display_string=Audit"}</definedName>
    <definedName name="_1732__FDSAUDITLINK__" hidden="1">{"fdsup://Directions/FactSet Auditing Viewer?action=AUDIT_VALUE&amp;DB=129&amp;ID1=12572Q10&amp;VALUEID=01001&amp;SDATE=201002&amp;PERIODTYPE=QTR_STD&amp;window=popup_no_bar&amp;width=385&amp;height=120&amp;START_MAXIMIZED=FALSE&amp;creator=factset&amp;display_string=Audit"}</definedName>
    <definedName name="_1733__FDSAUDITLINK__" localSheetId="1" hidden="1">{"fdsup://Directions/FactSet Auditing Viewer?action=AUDIT_VALUE&amp;DB=129&amp;ID1=20030N10&amp;VALUEID=01001&amp;SDATE=200902&amp;PERIODTYPE=QTR_STD&amp;window=popup_no_bar&amp;width=385&amp;height=120&amp;START_MAXIMIZED=FALSE&amp;creator=factset&amp;display_string=Audit"}</definedName>
    <definedName name="_1733__FDSAUDITLINK__" hidden="1">{"fdsup://Directions/FactSet Auditing Viewer?action=AUDIT_VALUE&amp;DB=129&amp;ID1=20030N10&amp;VALUEID=01001&amp;SDATE=200902&amp;PERIODTYPE=QTR_STD&amp;window=popup_no_bar&amp;width=385&amp;height=120&amp;START_MAXIMIZED=FALSE&amp;creator=factset&amp;display_string=Audit"}</definedName>
    <definedName name="_1734__FDSAUDITLINK__" localSheetId="1" hidden="1">{"fdsup://Directions/FactSet Auditing Viewer?action=AUDIT_VALUE&amp;DB=129&amp;ID1=20030N10&amp;VALUEID=01001&amp;SDATE=201002&amp;PERIODTYPE=QTR_STD&amp;window=popup_no_bar&amp;width=385&amp;height=120&amp;START_MAXIMIZED=FALSE&amp;creator=factset&amp;display_string=Audit"}</definedName>
    <definedName name="_1734__FDSAUDITLINK__" hidden="1">{"fdsup://Directions/FactSet Auditing Viewer?action=AUDIT_VALUE&amp;DB=129&amp;ID1=20030N10&amp;VALUEID=01001&amp;SDATE=201002&amp;PERIODTYPE=QTR_STD&amp;window=popup_no_bar&amp;width=385&amp;height=120&amp;START_MAXIMIZED=FALSE&amp;creator=factset&amp;display_string=Audit"}</definedName>
    <definedName name="_1735__FDSAUDITLINK__" localSheetId="1" hidden="1">{"fdsup://Directions/FactSet Auditing Viewer?action=AUDIT_VALUE&amp;DB=129&amp;ID1=18905410&amp;VALUEID=01001&amp;SDATE=200904&amp;PERIODTYPE=QTR_STD&amp;window=popup_no_bar&amp;width=385&amp;height=120&amp;START_MAXIMIZED=FALSE&amp;creator=factset&amp;display_string=Audit"}</definedName>
    <definedName name="_1735__FDSAUDITLINK__" hidden="1">{"fdsup://Directions/FactSet Auditing Viewer?action=AUDIT_VALUE&amp;DB=129&amp;ID1=18905410&amp;VALUEID=01001&amp;SDATE=200904&amp;PERIODTYPE=QTR_STD&amp;window=popup_no_bar&amp;width=385&amp;height=120&amp;START_MAXIMIZED=FALSE&amp;creator=factset&amp;display_string=Audit"}</definedName>
    <definedName name="_1736__FDSAUDITLINK__" localSheetId="1" hidden="1">{"fdsup://Directions/FactSet Auditing Viewer?action=AUDIT_VALUE&amp;DB=129&amp;ID1=18905410&amp;VALUEID=01001&amp;SDATE=201004&amp;PERIODTYPE=QTR_STD&amp;window=popup_no_bar&amp;width=385&amp;height=120&amp;START_MAXIMIZED=FALSE&amp;creator=factset&amp;display_string=Audit"}</definedName>
    <definedName name="_1736__FDSAUDITLINK__" hidden="1">{"fdsup://Directions/FactSet Auditing Viewer?action=AUDIT_VALUE&amp;DB=129&amp;ID1=18905410&amp;VALUEID=01001&amp;SDATE=201004&amp;PERIODTYPE=QTR_STD&amp;window=popup_no_bar&amp;width=385&amp;height=120&amp;START_MAXIMIZED=FALSE&amp;creator=factset&amp;display_string=Audit"}</definedName>
    <definedName name="_1737__FDSAUDITLINK__" localSheetId="1" hidden="1">{"fdsup://Directions/FactSet Auditing Viewer?action=AUDIT_VALUE&amp;DB=129&amp;ID1=18683K10&amp;VALUEID=01001&amp;SDATE=200902&amp;PERIODTYPE=QTR_STD&amp;window=popup_no_bar&amp;width=385&amp;height=120&amp;START_MAXIMIZED=FALSE&amp;creator=factset&amp;display_string=Audit"}</definedName>
    <definedName name="_1737__FDSAUDITLINK__" hidden="1">{"fdsup://Directions/FactSet Auditing Viewer?action=AUDIT_VALUE&amp;DB=129&amp;ID1=18683K10&amp;VALUEID=01001&amp;SDATE=200902&amp;PERIODTYPE=QTR_STD&amp;window=popup_no_bar&amp;width=385&amp;height=120&amp;START_MAXIMIZED=FALSE&amp;creator=factset&amp;display_string=Audit"}</definedName>
    <definedName name="_1738__FDSAUDITLINK__" localSheetId="1" hidden="1">{"fdsup://Directions/FactSet Auditing Viewer?action=AUDIT_VALUE&amp;DB=129&amp;ID1=18683K10&amp;VALUEID=01001&amp;SDATE=201002&amp;PERIODTYPE=QTR_STD&amp;window=popup_no_bar&amp;width=385&amp;height=120&amp;START_MAXIMIZED=FALSE&amp;creator=factset&amp;display_string=Audit"}</definedName>
    <definedName name="_1738__FDSAUDITLINK__" hidden="1">{"fdsup://Directions/FactSet Auditing Viewer?action=AUDIT_VALUE&amp;DB=129&amp;ID1=18683K10&amp;VALUEID=01001&amp;SDATE=201002&amp;PERIODTYPE=QTR_STD&amp;window=popup_no_bar&amp;width=385&amp;height=120&amp;START_MAXIMIZED=FALSE&amp;creator=factset&amp;display_string=Audit"}</definedName>
    <definedName name="_1739__FDSAUDITLINK__" localSheetId="1" hidden="1">{"fdsup://Directions/FactSet Auditing Viewer?action=AUDIT_VALUE&amp;DB=129&amp;ID1=19416210&amp;VALUEID=01001&amp;SDATE=200902&amp;PERIODTYPE=QTR_STD&amp;window=popup_no_bar&amp;width=385&amp;height=120&amp;START_MAXIMIZED=FALSE&amp;creator=factset&amp;display_string=Audit"}</definedName>
    <definedName name="_1739__FDSAUDITLINK__" hidden="1">{"fdsup://Directions/FactSet Auditing Viewer?action=AUDIT_VALUE&amp;DB=129&amp;ID1=19416210&amp;VALUEID=01001&amp;SDATE=200902&amp;PERIODTYPE=QTR_STD&amp;window=popup_no_bar&amp;width=385&amp;height=120&amp;START_MAXIMIZED=FALSE&amp;creator=factset&amp;display_string=Audit"}</definedName>
    <definedName name="_174__FDSAUDITLINK__" localSheetId="1"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__FDSAUDITLINK__" hidden="1">{"fdsup://directions/FAT Viewer?action=UPDATE&amp;creator=factset&amp;DYN_ARGS=TRUE&amp;DOC_NAME=FAT:FQL_AUDITING_CLIENT_TEMPLATE.FAT&amp;display_string=Audit&amp;VAR:KEY=LYZEXSBEPA&amp;VAR:QUERY=RkZfRUJJVERBX09QRVIoUVRSLDQvMS8yMDEwLDYvMzAvMjAxMCwsLFVTRCk=&amp;WINDOW=FIRST_POPUP&amp;HEIGH","T=450&amp;WIDTH=450&amp;START_MAXIMIZED=FALSE&amp;VAR:CALENDAR=US&amp;VAR:SYMBOL=SPG&amp;VAR:INDEX=0"}</definedName>
    <definedName name="_1740__FDSAUDITLINK__" localSheetId="1" hidden="1">{"fdsup://Directions/FactSet Auditing Viewer?action=AUDIT_VALUE&amp;DB=129&amp;ID1=19416210&amp;VALUEID=01001&amp;SDATE=201002&amp;PERIODTYPE=QTR_STD&amp;window=popup_no_bar&amp;width=385&amp;height=120&amp;START_MAXIMIZED=FALSE&amp;creator=factset&amp;display_string=Audit"}</definedName>
    <definedName name="_1740__FDSAUDITLINK__" hidden="1">{"fdsup://Directions/FactSet Auditing Viewer?action=AUDIT_VALUE&amp;DB=129&amp;ID1=19416210&amp;VALUEID=01001&amp;SDATE=201002&amp;PERIODTYPE=QTR_STD&amp;window=popup_no_bar&amp;width=385&amp;height=120&amp;START_MAXIMIZED=FALSE&amp;creator=factset&amp;display_string=Audit"}</definedName>
    <definedName name="_1741__FDSAUDITLINK__" localSheetId="1" hidden="1">{"fdsup://Directions/FactSet Auditing Viewer?action=AUDIT_VALUE&amp;DB=129&amp;ID1=17206210&amp;VALUEID=01001&amp;SDATE=200902&amp;PERIODTYPE=QTR_STD&amp;window=popup_no_bar&amp;width=385&amp;height=120&amp;START_MAXIMIZED=FALSE&amp;creator=factset&amp;display_string=Audit"}</definedName>
    <definedName name="_1741__FDSAUDITLINK__" hidden="1">{"fdsup://Directions/FactSet Auditing Viewer?action=AUDIT_VALUE&amp;DB=129&amp;ID1=17206210&amp;VALUEID=01001&amp;SDATE=200902&amp;PERIODTYPE=QTR_STD&amp;window=popup_no_bar&amp;width=385&amp;height=120&amp;START_MAXIMIZED=FALSE&amp;creator=factset&amp;display_string=Audit"}</definedName>
    <definedName name="_1742__FDSAUDITLINK__" localSheetId="1" hidden="1">{"fdsup://Directions/FactSet Auditing Viewer?action=AUDIT_VALUE&amp;DB=129&amp;ID1=17206210&amp;VALUEID=01001&amp;SDATE=201002&amp;PERIODTYPE=QTR_STD&amp;window=popup_no_bar&amp;width=385&amp;height=120&amp;START_MAXIMIZED=FALSE&amp;creator=factset&amp;display_string=Audit"}</definedName>
    <definedName name="_1742__FDSAUDITLINK__" hidden="1">{"fdsup://Directions/FactSet Auditing Viewer?action=AUDIT_VALUE&amp;DB=129&amp;ID1=17206210&amp;VALUEID=01001&amp;SDATE=201002&amp;PERIODTYPE=QTR_STD&amp;window=popup_no_bar&amp;width=385&amp;height=120&amp;START_MAXIMIZED=FALSE&amp;creator=factset&amp;display_string=Audit"}</definedName>
    <definedName name="_1743__FDSAUDITLINK__" localSheetId="1" hidden="1">{"fdsup://Directions/FactSet Auditing Viewer?action=AUDIT_VALUE&amp;DB=129&amp;ID1=12550910&amp;VALUEID=01001&amp;SDATE=200902&amp;PERIODTYPE=QTR_STD&amp;window=popup_no_bar&amp;width=385&amp;height=120&amp;START_MAXIMIZED=FALSE&amp;creator=factset&amp;display_string=Audit"}</definedName>
    <definedName name="_1743__FDSAUDITLINK__" hidden="1">{"fdsup://Directions/FactSet Auditing Viewer?action=AUDIT_VALUE&amp;DB=129&amp;ID1=12550910&amp;VALUEID=01001&amp;SDATE=200902&amp;PERIODTYPE=QTR_STD&amp;window=popup_no_bar&amp;width=385&amp;height=120&amp;START_MAXIMIZED=FALSE&amp;creator=factset&amp;display_string=Audit"}</definedName>
    <definedName name="_1744__FDSAUDITLINK__" localSheetId="1" hidden="1">{"fdsup://Directions/FactSet Auditing Viewer?action=AUDIT_VALUE&amp;DB=129&amp;ID1=12550910&amp;VALUEID=01001&amp;SDATE=201002&amp;PERIODTYPE=QTR_STD&amp;window=popup_no_bar&amp;width=385&amp;height=120&amp;START_MAXIMIZED=FALSE&amp;creator=factset&amp;display_string=Audit"}</definedName>
    <definedName name="_1744__FDSAUDITLINK__" hidden="1">{"fdsup://Directions/FactSet Auditing Viewer?action=AUDIT_VALUE&amp;DB=129&amp;ID1=12550910&amp;VALUEID=01001&amp;SDATE=201002&amp;PERIODTYPE=QTR_STD&amp;window=popup_no_bar&amp;width=385&amp;height=120&amp;START_MAXIMIZED=FALSE&amp;creator=factset&amp;display_string=Audit"}</definedName>
    <definedName name="_1745__FDSAUDITLINK__" localSheetId="1" hidden="1">{"fdsup://Directions/FactSet Auditing Viewer?action=AUDIT_VALUE&amp;DB=129&amp;ID1=12541W20&amp;VALUEID=01001&amp;SDATE=200902&amp;PERIODTYPE=QTR_STD&amp;window=popup_no_bar&amp;width=385&amp;height=120&amp;START_MAXIMIZED=FALSE&amp;creator=factset&amp;display_string=Audit"}</definedName>
    <definedName name="_1745__FDSAUDITLINK__" hidden="1">{"fdsup://Directions/FactSet Auditing Viewer?action=AUDIT_VALUE&amp;DB=129&amp;ID1=12541W20&amp;VALUEID=01001&amp;SDATE=200902&amp;PERIODTYPE=QTR_STD&amp;window=popup_no_bar&amp;width=385&amp;height=120&amp;START_MAXIMIZED=FALSE&amp;creator=factset&amp;display_string=Audit"}</definedName>
    <definedName name="_1746__FDSAUDITLINK__" localSheetId="1" hidden="1">{"fdsup://Directions/FactSet Auditing Viewer?action=AUDIT_VALUE&amp;DB=129&amp;ID1=12541W20&amp;VALUEID=01001&amp;SDATE=201002&amp;PERIODTYPE=QTR_STD&amp;window=popup_no_bar&amp;width=385&amp;height=120&amp;START_MAXIMIZED=FALSE&amp;creator=factset&amp;display_string=Audit"}</definedName>
    <definedName name="_1746__FDSAUDITLINK__" hidden="1">{"fdsup://Directions/FactSet Auditing Viewer?action=AUDIT_VALUE&amp;DB=129&amp;ID1=12541W20&amp;VALUEID=01001&amp;SDATE=201002&amp;PERIODTYPE=QTR_STD&amp;window=popup_no_bar&amp;width=385&amp;height=120&amp;START_MAXIMIZED=FALSE&amp;creator=factset&amp;display_string=Audit"}</definedName>
    <definedName name="_1747__FDSAUDITLINK__" localSheetId="1" hidden="1">{"fdsup://Directions/FactSet Auditing Viewer?action=AUDIT_VALUE&amp;DB=129&amp;ID1=16516710&amp;VALUEID=01001&amp;SDATE=200902&amp;PERIODTYPE=QTR_STD&amp;window=popup_no_bar&amp;width=385&amp;height=120&amp;START_MAXIMIZED=FALSE&amp;creator=factset&amp;display_string=Audit"}</definedName>
    <definedName name="_1747__FDSAUDITLINK__" hidden="1">{"fdsup://Directions/FactSet Auditing Viewer?action=AUDIT_VALUE&amp;DB=129&amp;ID1=16516710&amp;VALUEID=01001&amp;SDATE=200902&amp;PERIODTYPE=QTR_STD&amp;window=popup_no_bar&amp;width=385&amp;height=120&amp;START_MAXIMIZED=FALSE&amp;creator=factset&amp;display_string=Audit"}</definedName>
    <definedName name="_1748__FDSAUDITLINK__" localSheetId="1" hidden="1">{"fdsup://Directions/FactSet Auditing Viewer?action=AUDIT_VALUE&amp;DB=129&amp;ID1=16516710&amp;VALUEID=01001&amp;SDATE=201002&amp;PERIODTYPE=QTR_STD&amp;window=popup_no_bar&amp;width=385&amp;height=120&amp;START_MAXIMIZED=FALSE&amp;creator=factset&amp;display_string=Audit"}</definedName>
    <definedName name="_1748__FDSAUDITLINK__" hidden="1">{"fdsup://Directions/FactSet Auditing Viewer?action=AUDIT_VALUE&amp;DB=129&amp;ID1=16516710&amp;VALUEID=01001&amp;SDATE=201002&amp;PERIODTYPE=QTR_STD&amp;window=popup_no_bar&amp;width=385&amp;height=120&amp;START_MAXIMIZED=FALSE&amp;creator=factset&amp;display_string=Audit"}</definedName>
    <definedName name="_1749__FDSAUDITLINK__" localSheetId="1" hidden="1">{"fdsup://Directions/FactSet Auditing Viewer?action=AUDIT_VALUE&amp;DB=129&amp;ID1=14170T10&amp;VALUEID=01001&amp;SDATE=201004&amp;PERIODTYPE=QTR_STD&amp;window=popup_no_bar&amp;width=385&amp;height=120&amp;START_MAXIMIZED=FALSE&amp;creator=factset&amp;display_string=Audit"}</definedName>
    <definedName name="_1749__FDSAUDITLINK__" hidden="1">{"fdsup://Directions/FactSet Auditing Viewer?action=AUDIT_VALUE&amp;DB=129&amp;ID1=14170T10&amp;VALUEID=01001&amp;SDATE=201004&amp;PERIODTYPE=QTR_STD&amp;window=popup_no_bar&amp;width=385&amp;height=120&amp;START_MAXIMIZED=FALSE&amp;creator=factset&amp;display_string=Audit"}</definedName>
    <definedName name="_175__FDSAUDITLINK__" localSheetId="1"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__FDSAUDITLINK__" hidden="1">{"fdsup://directions/FAT Viewer?action=UPDATE&amp;creator=factset&amp;DYN_ARGS=TRUE&amp;DOC_NAME=FAT:FQL_AUDITING_CLIENT_TEMPLATE.FAT&amp;display_string=Audit&amp;VAR:KEY=TABENGFCVQ&amp;VAR:QUERY=RkZfRUJJVERBX09QRVIoUVRSLDQvMS8yMDA5LDYvMzAvMjAwOSwsLFVTRCk=&amp;WINDOW=FIRST_POPUP&amp;HEIGH","T=450&amp;WIDTH=450&amp;START_MAXIMIZED=FALSE&amp;VAR:CALENDAR=US&amp;VAR:SYMBOL=SO&amp;VAR:INDEX=0"}</definedName>
    <definedName name="_1750__FDSAUDITLINK__" localSheetId="1" hidden="1">{"fdsup://Directions/FactSet Auditing Viewer?action=AUDIT_VALUE&amp;DB=129&amp;ID1=12526910&amp;VALUEID=01001&amp;SDATE=200902&amp;PERIODTYPE=QTR_STD&amp;window=popup_no_bar&amp;width=385&amp;height=120&amp;START_MAXIMIZED=FALSE&amp;creator=factset&amp;display_string=Audit"}</definedName>
    <definedName name="_1750__FDSAUDITLINK__" hidden="1">{"fdsup://Directions/FactSet Auditing Viewer?action=AUDIT_VALUE&amp;DB=129&amp;ID1=12526910&amp;VALUEID=01001&amp;SDATE=200902&amp;PERIODTYPE=QTR_STD&amp;window=popup_no_bar&amp;width=385&amp;height=120&amp;START_MAXIMIZED=FALSE&amp;creator=factset&amp;display_string=Audit"}</definedName>
    <definedName name="_1751__FDSAUDITLINK__" localSheetId="1" hidden="1">{"fdsup://Directions/FactSet Auditing Viewer?action=AUDIT_VALUE&amp;DB=129&amp;ID1=12526910&amp;VALUEID=01001&amp;SDATE=201002&amp;PERIODTYPE=QTR_STD&amp;window=popup_no_bar&amp;width=385&amp;height=120&amp;START_MAXIMIZED=FALSE&amp;creator=factset&amp;display_string=Audit"}</definedName>
    <definedName name="_1751__FDSAUDITLINK__" hidden="1">{"fdsup://Directions/FactSet Auditing Viewer?action=AUDIT_VALUE&amp;DB=129&amp;ID1=12526910&amp;VALUEID=01001&amp;SDATE=201002&amp;PERIODTYPE=QTR_STD&amp;window=popup_no_bar&amp;width=385&amp;height=120&amp;START_MAXIMIZED=FALSE&amp;creator=factset&amp;display_string=Audit"}</definedName>
    <definedName name="_1752__FDSAUDITLINK__" localSheetId="1" hidden="1">{"fdsup://Directions/FactSet Auditing Viewer?action=AUDIT_VALUE&amp;DB=129&amp;ID1=15678210&amp;VALUEID=01001&amp;SDATE=200902&amp;PERIODTYPE=QTR_STD&amp;window=popup_no_bar&amp;width=385&amp;height=120&amp;START_MAXIMIZED=FALSE&amp;creator=factset&amp;display_string=Audit"}</definedName>
    <definedName name="_1752__FDSAUDITLINK__" hidden="1">{"fdsup://Directions/FactSet Auditing Viewer?action=AUDIT_VALUE&amp;DB=129&amp;ID1=15678210&amp;VALUEID=01001&amp;SDATE=200902&amp;PERIODTYPE=QTR_STD&amp;window=popup_no_bar&amp;width=385&amp;height=120&amp;START_MAXIMIZED=FALSE&amp;creator=factset&amp;display_string=Audit"}</definedName>
    <definedName name="_1753__FDSAUDITLINK__" localSheetId="1" hidden="1">{"fdsup://Directions/FactSet Auditing Viewer?action=AUDIT_VALUE&amp;DB=129&amp;ID1=15678210&amp;VALUEID=01001&amp;SDATE=201002&amp;PERIODTYPE=QTR_STD&amp;window=popup_no_bar&amp;width=385&amp;height=120&amp;START_MAXIMIZED=FALSE&amp;creator=factset&amp;display_string=Audit"}</definedName>
    <definedName name="_1753__FDSAUDITLINK__" hidden="1">{"fdsup://Directions/FactSet Auditing Viewer?action=AUDIT_VALUE&amp;DB=129&amp;ID1=15678210&amp;VALUEID=01001&amp;SDATE=201002&amp;PERIODTYPE=QTR_STD&amp;window=popup_no_bar&amp;width=385&amp;height=120&amp;START_MAXIMIZED=FALSE&amp;creator=factset&amp;display_string=Audit"}</definedName>
    <definedName name="_1754__FDSAUDITLINK__" localSheetId="1" hidden="1">{"fdsup://Directions/FactSet Auditing Viewer?action=AUDIT_VALUE&amp;DB=129&amp;ID1=15670810&amp;VALUEID=01001&amp;SDATE=200902&amp;PERIODTYPE=QTR_STD&amp;window=popup_no_bar&amp;width=385&amp;height=120&amp;START_MAXIMIZED=FALSE&amp;creator=factset&amp;display_string=Audit"}</definedName>
    <definedName name="_1754__FDSAUDITLINK__" hidden="1">{"fdsup://Directions/FactSet Auditing Viewer?action=AUDIT_VALUE&amp;DB=129&amp;ID1=15670810&amp;VALUEID=01001&amp;SDATE=200902&amp;PERIODTYPE=QTR_STD&amp;window=popup_no_bar&amp;width=385&amp;height=120&amp;START_MAXIMIZED=FALSE&amp;creator=factset&amp;display_string=Audit"}</definedName>
    <definedName name="_1755__FDSAUDITLINK__" localSheetId="1" hidden="1">{"fdsup://Directions/FactSet Auditing Viewer?action=AUDIT_VALUE&amp;DB=129&amp;ID1=15670810&amp;VALUEID=01001&amp;SDATE=201002&amp;PERIODTYPE=QTR_STD&amp;window=popup_no_bar&amp;width=385&amp;height=120&amp;START_MAXIMIZED=FALSE&amp;creator=factset&amp;display_string=Audit"}</definedName>
    <definedName name="_1755__FDSAUDITLINK__" hidden="1">{"fdsup://Directions/FactSet Auditing Viewer?action=AUDIT_VALUE&amp;DB=129&amp;ID1=15670810&amp;VALUEID=01001&amp;SDATE=201002&amp;PERIODTYPE=QTR_STD&amp;window=popup_no_bar&amp;width=385&amp;height=120&amp;START_MAXIMIZED=FALSE&amp;creator=factset&amp;display_string=Audit"}</definedName>
    <definedName name="_1756__FDSAUDITLINK__" localSheetId="1" hidden="1">{"fdsup://Directions/FactSet Auditing Viewer?action=AUDIT_VALUE&amp;DB=129&amp;ID1=15102010&amp;VALUEID=01001&amp;SDATE=200902&amp;PERIODTYPE=QTR_STD&amp;window=popup_no_bar&amp;width=385&amp;height=120&amp;START_MAXIMIZED=FALSE&amp;creator=factset&amp;display_string=Audit"}</definedName>
    <definedName name="_1756__FDSAUDITLINK__" hidden="1">{"fdsup://Directions/FactSet Auditing Viewer?action=AUDIT_VALUE&amp;DB=129&amp;ID1=15102010&amp;VALUEID=01001&amp;SDATE=200902&amp;PERIODTYPE=QTR_STD&amp;window=popup_no_bar&amp;width=385&amp;height=120&amp;START_MAXIMIZED=FALSE&amp;creator=factset&amp;display_string=Audit"}</definedName>
    <definedName name="_1757__FDSAUDITLINK__" localSheetId="1" hidden="1">{"fdsup://Directions/FactSet Auditing Viewer?action=AUDIT_VALUE&amp;DB=129&amp;ID1=15102010&amp;VALUEID=01001&amp;SDATE=201002&amp;PERIODTYPE=QTR_STD&amp;window=popup_no_bar&amp;width=385&amp;height=120&amp;START_MAXIMIZED=FALSE&amp;creator=factset&amp;display_string=Audit"}</definedName>
    <definedName name="_1757__FDSAUDITLINK__" hidden="1">{"fdsup://Directions/FactSet Auditing Viewer?action=AUDIT_VALUE&amp;DB=129&amp;ID1=15102010&amp;VALUEID=01001&amp;SDATE=201002&amp;PERIODTYPE=QTR_STD&amp;window=popup_no_bar&amp;width=385&amp;height=120&amp;START_MAXIMIZED=FALSE&amp;creator=factset&amp;display_string=Audit"}</definedName>
    <definedName name="_1758__FDSAUDITLINK__" localSheetId="1" hidden="1">{"fdsup://Directions/FactSet Auditing Viewer?action=AUDIT_VALUE&amp;DB=129&amp;ID1=21037110&amp;VALUEID=01001&amp;SDATE=200902&amp;PERIODTYPE=QTR_STD&amp;window=popup_no_bar&amp;width=385&amp;height=120&amp;START_MAXIMIZED=FALSE&amp;creator=factset&amp;display_string=Audit"}</definedName>
    <definedName name="_1758__FDSAUDITLINK__" hidden="1">{"fdsup://Directions/FactSet Auditing Viewer?action=AUDIT_VALUE&amp;DB=129&amp;ID1=21037110&amp;VALUEID=01001&amp;SDATE=200902&amp;PERIODTYPE=QTR_STD&amp;window=popup_no_bar&amp;width=385&amp;height=120&amp;START_MAXIMIZED=FALSE&amp;creator=factset&amp;display_string=Audit"}</definedName>
    <definedName name="_1759__FDSAUDITLINK__" localSheetId="1" hidden="1">{"fdsup://Directions/FactSet Auditing Viewer?action=AUDIT_VALUE&amp;DB=129&amp;ID1=21037110&amp;VALUEID=01001&amp;SDATE=201002&amp;PERIODTYPE=QTR_STD&amp;window=popup_no_bar&amp;width=385&amp;height=120&amp;START_MAXIMIZED=FALSE&amp;creator=factset&amp;display_string=Audit"}</definedName>
    <definedName name="_1759__FDSAUDITLINK__" hidden="1">{"fdsup://Directions/FactSet Auditing Viewer?action=AUDIT_VALUE&amp;DB=129&amp;ID1=21037110&amp;VALUEID=01001&amp;SDATE=201002&amp;PERIODTYPE=QTR_STD&amp;window=popup_no_bar&amp;width=385&amp;height=120&amp;START_MAXIMIZED=FALSE&amp;creator=factset&amp;display_string=Audit"}</definedName>
    <definedName name="_176__FDSAUDITLINK__" localSheetId="1"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__FDSAUDITLINK__" hidden="1">{"fdsup://directions/FAT Viewer?action=UPDATE&amp;creator=factset&amp;DYN_ARGS=TRUE&amp;DOC_NAME=FAT:FQL_AUDITING_CLIENT_TEMPLATE.FAT&amp;display_string=Audit&amp;VAR:KEY=RUBKFCPCRU&amp;VAR:QUERY=RkZfRUJJVERBX09QRVIoUVRSLDQvMS8yMDEwLDYvMzAvMjAxMCwsLFVTRCk=&amp;WINDOW=FIRST_POPUP&amp;HEIGH","T=450&amp;WIDTH=450&amp;START_MAXIMIZED=FALSE&amp;VAR:CALENDAR=US&amp;VAR:SYMBOL=SO&amp;VAR:INDEX=0"}</definedName>
    <definedName name="_1760__FDSAUDITLINK__" localSheetId="1" hidden="1">{"fdsup://Directions/FactSet Auditing Viewer?action=AUDIT_VALUE&amp;DB=129&amp;ID1=14365830&amp;VALUEID=01001&amp;SDATE=200902&amp;PERIODTYPE=QTR_STD&amp;window=popup_no_bar&amp;width=385&amp;height=120&amp;START_MAXIMIZED=FALSE&amp;creator=factset&amp;display_string=Audit"}</definedName>
    <definedName name="_1760__FDSAUDITLINK__" hidden="1">{"fdsup://Directions/FactSet Auditing Viewer?action=AUDIT_VALUE&amp;DB=129&amp;ID1=14365830&amp;VALUEID=01001&amp;SDATE=200902&amp;PERIODTYPE=QTR_STD&amp;window=popup_no_bar&amp;width=385&amp;height=120&amp;START_MAXIMIZED=FALSE&amp;creator=factset&amp;display_string=Audit"}</definedName>
    <definedName name="_1761__FDSAUDITLINK__" localSheetId="1" hidden="1">{"fdsup://Directions/FactSet Auditing Viewer?action=AUDIT_VALUE&amp;DB=129&amp;ID1=14365830&amp;VALUEID=01001&amp;SDATE=201002&amp;PERIODTYPE=QTR_STD&amp;window=popup_no_bar&amp;width=385&amp;height=120&amp;START_MAXIMIZED=FALSE&amp;creator=factset&amp;display_string=Audit"}</definedName>
    <definedName name="_1761__FDSAUDITLINK__" hidden="1">{"fdsup://Directions/FactSet Auditing Viewer?action=AUDIT_VALUE&amp;DB=129&amp;ID1=14365830&amp;VALUEID=01001&amp;SDATE=201002&amp;PERIODTYPE=QTR_STD&amp;window=popup_no_bar&amp;width=385&amp;height=120&amp;START_MAXIMIZED=FALSE&amp;creator=factset&amp;display_string=Audit"}</definedName>
    <definedName name="_1762__FDSAUDITLINK__" localSheetId="1" hidden="1">{"fdsup://Directions/FactSet Auditing Viewer?action=AUDIT_VALUE&amp;DB=129&amp;ID1=19121910&amp;VALUEID=01001&amp;SDATE=200902&amp;PERIODTYPE=QTR_STD&amp;window=popup_no_bar&amp;width=385&amp;height=120&amp;START_MAXIMIZED=FALSE&amp;creator=factset&amp;display_string=Audit"}</definedName>
    <definedName name="_1762__FDSAUDITLINK__" hidden="1">{"fdsup://Directions/FactSet Auditing Viewer?action=AUDIT_VALUE&amp;DB=129&amp;ID1=19121910&amp;VALUEID=01001&amp;SDATE=200902&amp;PERIODTYPE=QTR_STD&amp;window=popup_no_bar&amp;width=385&amp;height=120&amp;START_MAXIMIZED=FALSE&amp;creator=factset&amp;display_string=Audit"}</definedName>
    <definedName name="_1763__FDSAUDITLINK__" localSheetId="1" hidden="1">{"fdsup://Directions/FactSet Auditing Viewer?action=AUDIT_VALUE&amp;DB=129&amp;ID1=19121910&amp;VALUEID=01001&amp;SDATE=201002&amp;PERIODTYPE=QTR_STD&amp;window=popup_no_bar&amp;width=385&amp;height=120&amp;START_MAXIMIZED=FALSE&amp;creator=factset&amp;display_string=Audit"}</definedName>
    <definedName name="_1763__FDSAUDITLINK__" hidden="1">{"fdsup://Directions/FactSet Auditing Viewer?action=AUDIT_VALUE&amp;DB=129&amp;ID1=19121910&amp;VALUEID=01001&amp;SDATE=201002&amp;PERIODTYPE=QTR_STD&amp;window=popup_no_bar&amp;width=385&amp;height=120&amp;START_MAXIMIZED=FALSE&amp;creator=factset&amp;display_string=Audit"}</definedName>
    <definedName name="_1764__FDSAUDITLINK__" localSheetId="1" hidden="1">{"fdsup://Directions/FactSet Auditing Viewer?action=AUDIT_VALUE&amp;DB=129&amp;ID1=12485720&amp;VALUEID=01001&amp;SDATE=200902&amp;PERIODTYPE=QTR_STD&amp;window=popup_no_bar&amp;width=385&amp;height=120&amp;START_MAXIMIZED=FALSE&amp;creator=factset&amp;display_string=Audit"}</definedName>
    <definedName name="_1764__FDSAUDITLINK__" hidden="1">{"fdsup://Directions/FactSet Auditing Viewer?action=AUDIT_VALUE&amp;DB=129&amp;ID1=12485720&amp;VALUEID=01001&amp;SDATE=200902&amp;PERIODTYPE=QTR_STD&amp;window=popup_no_bar&amp;width=385&amp;height=120&amp;START_MAXIMIZED=FALSE&amp;creator=factset&amp;display_string=Audit"}</definedName>
    <definedName name="_1765__FDSAUDITLINK__" localSheetId="1" hidden="1">{"fdsup://Directions/FactSet Auditing Viewer?action=AUDIT_VALUE&amp;DB=129&amp;ID1=12485720&amp;VALUEID=01001&amp;SDATE=201002&amp;PERIODTYPE=QTR_STD&amp;window=popup_no_bar&amp;width=385&amp;height=120&amp;START_MAXIMIZED=FALSE&amp;creator=factset&amp;display_string=Audit"}</definedName>
    <definedName name="_1765__FDSAUDITLINK__" hidden="1">{"fdsup://Directions/FactSet Auditing Viewer?action=AUDIT_VALUE&amp;DB=129&amp;ID1=12485720&amp;VALUEID=01001&amp;SDATE=201002&amp;PERIODTYPE=QTR_STD&amp;window=popup_no_bar&amp;width=385&amp;height=120&amp;START_MAXIMIZED=FALSE&amp;creator=factset&amp;display_string=Audit"}</definedName>
    <definedName name="_1766__FDSAUDITLINK__" localSheetId="1" hidden="1">{"fdsup://Directions/FactSet Auditing Viewer?action=AUDIT_VALUE&amp;DB=129&amp;ID1=12497T10&amp;VALUEID=01001&amp;SDATE=200902&amp;PERIODTYPE=QTR_STD&amp;window=popup_no_bar&amp;width=385&amp;height=120&amp;START_MAXIMIZED=FALSE&amp;creator=factset&amp;display_string=Audit"}</definedName>
    <definedName name="_1766__FDSAUDITLINK__" hidden="1">{"fdsup://Directions/FactSet Auditing Viewer?action=AUDIT_VALUE&amp;DB=129&amp;ID1=12497T10&amp;VALUEID=01001&amp;SDATE=200902&amp;PERIODTYPE=QTR_STD&amp;window=popup_no_bar&amp;width=385&amp;height=120&amp;START_MAXIMIZED=FALSE&amp;creator=factset&amp;display_string=Audit"}</definedName>
    <definedName name="_1767__FDSAUDITLINK__" localSheetId="1" hidden="1">{"fdsup://Directions/FactSet Auditing Viewer?action=AUDIT_VALUE&amp;DB=129&amp;ID1=12497T10&amp;VALUEID=01001&amp;SDATE=201002&amp;PERIODTYPE=QTR_STD&amp;window=popup_no_bar&amp;width=385&amp;height=120&amp;START_MAXIMIZED=FALSE&amp;creator=factset&amp;display_string=Audit"}</definedName>
    <definedName name="_1767__FDSAUDITLINK__" hidden="1">{"fdsup://Directions/FactSet Auditing Viewer?action=AUDIT_VALUE&amp;DB=129&amp;ID1=12497T10&amp;VALUEID=01001&amp;SDATE=201002&amp;PERIODTYPE=QTR_STD&amp;window=popup_no_bar&amp;width=385&amp;height=120&amp;START_MAXIMIZED=FALSE&amp;creator=factset&amp;display_string=Audit"}</definedName>
    <definedName name="_1768__FDSAUDITLINK__" localSheetId="1" hidden="1">{"fdsup://Directions/FactSet Auditing Viewer?action=AUDIT_VALUE&amp;DB=129&amp;ID1=17123210&amp;VALUEID=01001&amp;SDATE=200902&amp;PERIODTYPE=QTR_STD&amp;window=popup_no_bar&amp;width=385&amp;height=120&amp;START_MAXIMIZED=FALSE&amp;creator=factset&amp;display_string=Audit"}</definedName>
    <definedName name="_1768__FDSAUDITLINK__" hidden="1">{"fdsup://Directions/FactSet Auditing Viewer?action=AUDIT_VALUE&amp;DB=129&amp;ID1=17123210&amp;VALUEID=01001&amp;SDATE=200902&amp;PERIODTYPE=QTR_STD&amp;window=popup_no_bar&amp;width=385&amp;height=120&amp;START_MAXIMIZED=FALSE&amp;creator=factset&amp;display_string=Audit"}</definedName>
    <definedName name="_1769__FDSAUDITLINK__" localSheetId="1" hidden="1">{"fdsup://Directions/FactSet Auditing Viewer?action=AUDIT_VALUE&amp;DB=129&amp;ID1=17123210&amp;VALUEID=01001&amp;SDATE=201002&amp;PERIODTYPE=QTR_STD&amp;window=popup_no_bar&amp;width=385&amp;height=120&amp;START_MAXIMIZED=FALSE&amp;creator=factset&amp;display_string=Audit"}</definedName>
    <definedName name="_1769__FDSAUDITLINK__" hidden="1">{"fdsup://Directions/FactSet Auditing Viewer?action=AUDIT_VALUE&amp;DB=129&amp;ID1=17123210&amp;VALUEID=01001&amp;SDATE=201002&amp;PERIODTYPE=QTR_STD&amp;window=popup_no_bar&amp;width=385&amp;height=120&amp;START_MAXIMIZED=FALSE&amp;creator=factset&amp;display_string=Audit"}</definedName>
    <definedName name="_177__FDSAUDITLINK__" localSheetId="1"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__FDSAUDITLINK__" hidden="1">{"fdsup://directions/FAT Viewer?action=UPDATE&amp;creator=factset&amp;DYN_ARGS=TRUE&amp;DOC_NAME=FAT:FQL_AUDITING_CLIENT_TEMPLATE.FAT&amp;display_string=Audit&amp;VAR:KEY=JUNKNQHYBK&amp;VAR:QUERY=RkZfRUJJVERBX09QRVIoUVRSLDQvMS8yMDA5LDYvMzAvMjAwOSwsLFVTRCk=&amp;WINDOW=FIRST_POPUP&amp;HEIGH","T=450&amp;WIDTH=450&amp;START_MAXIMIZED=FALSE&amp;VAR:CALENDAR=US&amp;VAR:SYMBOL=SNI&amp;VAR:INDEX=0"}</definedName>
    <definedName name="_1770__FDSAUDITLINK__" localSheetId="1" hidden="1">{"fdsup://Directions/FactSet Auditing Viewer?action=AUDIT_VALUE&amp;DB=129&amp;ID1=14912310&amp;VALUEID=01001&amp;SDATE=201002&amp;PERIODTYPE=QTR_STD&amp;window=popup_no_bar&amp;width=385&amp;height=120&amp;START_MAXIMIZED=FALSE&amp;creator=factset&amp;display_string=Audit"}</definedName>
    <definedName name="_1770__FDSAUDITLINK__" hidden="1">{"fdsup://Directions/FactSet Auditing Viewer?action=AUDIT_VALUE&amp;DB=129&amp;ID1=14912310&amp;VALUEID=01001&amp;SDATE=201002&amp;PERIODTYPE=QTR_STD&amp;window=popup_no_bar&amp;width=385&amp;height=120&amp;START_MAXIMIZED=FALSE&amp;creator=factset&amp;display_string=Audit"}</definedName>
    <definedName name="_1771__FDSAUDITLINK__" localSheetId="1" hidden="1">{"fdsup://Directions/FactSet Auditing Viewer?action=AUDIT_VALUE&amp;DB=129&amp;ID1=13342B10&amp;VALUEID=01001&amp;SDATE=200902&amp;PERIODTYPE=QTR_STD&amp;window=popup_no_bar&amp;width=385&amp;height=120&amp;START_MAXIMIZED=FALSE&amp;creator=factset&amp;display_string=Audit"}</definedName>
    <definedName name="_1771__FDSAUDITLINK__" hidden="1">{"fdsup://Directions/FactSet Auditing Viewer?action=AUDIT_VALUE&amp;DB=129&amp;ID1=13342B10&amp;VALUEID=01001&amp;SDATE=200902&amp;PERIODTYPE=QTR_STD&amp;window=popup_no_bar&amp;width=385&amp;height=120&amp;START_MAXIMIZED=FALSE&amp;creator=factset&amp;display_string=Audit"}</definedName>
    <definedName name="_1772__FDSAUDITLINK__" localSheetId="1" hidden="1">{"fdsup://Directions/FactSet Auditing Viewer?action=AUDIT_VALUE&amp;DB=129&amp;ID1=13342B10&amp;VALUEID=01001&amp;SDATE=201002&amp;PERIODTYPE=QTR_STD&amp;window=popup_no_bar&amp;width=385&amp;height=120&amp;START_MAXIMIZED=FALSE&amp;creator=factset&amp;display_string=Audit"}</definedName>
    <definedName name="_1772__FDSAUDITLINK__" hidden="1">{"fdsup://Directions/FactSet Auditing Viewer?action=AUDIT_VALUE&amp;DB=129&amp;ID1=13342B10&amp;VALUEID=01001&amp;SDATE=201002&amp;PERIODTYPE=QTR_STD&amp;window=popup_no_bar&amp;width=385&amp;height=120&amp;START_MAXIMIZED=FALSE&amp;creator=factset&amp;display_string=Audit"}</definedName>
    <definedName name="_1773__FDSAUDITLINK__" localSheetId="1" hidden="1">{"fdsup://Directions/FactSet Auditing Viewer?action=AUDIT_VALUE&amp;DB=129&amp;ID1=14149Y10&amp;VALUEID=01001&amp;SDATE=201004&amp;PERIODTYPE=QTR_STD&amp;window=popup_no_bar&amp;width=385&amp;height=120&amp;START_MAXIMIZED=FALSE&amp;creator=factset&amp;display_string=Audit"}</definedName>
    <definedName name="_1773__FDSAUDITLINK__" hidden="1">{"fdsup://Directions/FactSet Auditing Viewer?action=AUDIT_VALUE&amp;DB=129&amp;ID1=14149Y10&amp;VALUEID=01001&amp;SDATE=201004&amp;PERIODTYPE=QTR_STD&amp;window=popup_no_bar&amp;width=385&amp;height=120&amp;START_MAXIMIZED=FALSE&amp;creator=factset&amp;display_string=Audit"}</definedName>
    <definedName name="_1774__FDSAUDITLINK__" localSheetId="1" hidden="1">{"fdsup://Directions/FactSet Auditing Viewer?action=AUDIT_VALUE&amp;DB=129&amp;ID1=20588710&amp;VALUEID=01001&amp;SDATE=200804&amp;PERIODTYPE=QTR_STD&amp;window=popup_no_bar&amp;width=385&amp;height=120&amp;START_MAXIMIZED=FALSE&amp;creator=factset&amp;display_string=Audit"}</definedName>
    <definedName name="_1774__FDSAUDITLINK__" hidden="1">{"fdsup://Directions/FactSet Auditing Viewer?action=AUDIT_VALUE&amp;DB=129&amp;ID1=20588710&amp;VALUEID=01001&amp;SDATE=200804&amp;PERIODTYPE=QTR_STD&amp;window=popup_no_bar&amp;width=385&amp;height=120&amp;START_MAXIMIZED=FALSE&amp;creator=factset&amp;display_string=Audit"}</definedName>
    <definedName name="_1775__FDSAUDITLINK__" localSheetId="1" hidden="1">{"fdsup://Directions/FactSet Auditing Viewer?action=AUDIT_VALUE&amp;DB=129&amp;ID1=20588710&amp;VALUEID=01001&amp;SDATE=200904&amp;PERIODTYPE=QTR_STD&amp;window=popup_no_bar&amp;width=385&amp;height=120&amp;START_MAXIMIZED=FALSE&amp;creator=factset&amp;display_string=Audit"}</definedName>
    <definedName name="_1775__FDSAUDITLINK__" hidden="1">{"fdsup://Directions/FactSet Auditing Viewer?action=AUDIT_VALUE&amp;DB=129&amp;ID1=20588710&amp;VALUEID=01001&amp;SDATE=200904&amp;PERIODTYPE=QTR_STD&amp;window=popup_no_bar&amp;width=385&amp;height=120&amp;START_MAXIMIZED=FALSE&amp;creator=factset&amp;display_string=Audit"}</definedName>
    <definedName name="_1776__FDSAUDITLINK__" localSheetId="1" hidden="1">{"fdsup://Directions/FactSet Auditing Viewer?action=AUDIT_VALUE&amp;DB=129&amp;ID1=12673P10&amp;VALUEID=01001&amp;SDATE=200901&amp;PERIODTYPE=QTR_STD&amp;window=popup_no_bar&amp;width=385&amp;height=120&amp;START_MAXIMIZED=FALSE&amp;creator=factset&amp;display_string=Audit"}</definedName>
    <definedName name="_1776__FDSAUDITLINK__" hidden="1">{"fdsup://Directions/FactSet Auditing Viewer?action=AUDIT_VALUE&amp;DB=129&amp;ID1=12673P10&amp;VALUEID=01001&amp;SDATE=200901&amp;PERIODTYPE=QTR_STD&amp;window=popup_no_bar&amp;width=385&amp;height=120&amp;START_MAXIMIZED=FALSE&amp;creator=factset&amp;display_string=Audit"}</definedName>
    <definedName name="_1777__FDSAUDITLINK__" localSheetId="1" hidden="1">{"fdsup://Directions/FactSet Auditing Viewer?action=AUDIT_VALUE&amp;DB=129&amp;ID1=12673P10&amp;VALUEID=01001&amp;SDATE=201001&amp;PERIODTYPE=QTR_STD&amp;window=popup_no_bar&amp;width=385&amp;height=120&amp;START_MAXIMIZED=FALSE&amp;creator=factset&amp;display_string=Audit"}</definedName>
    <definedName name="_1777__FDSAUDITLINK__" hidden="1">{"fdsup://Directions/FactSet Auditing Viewer?action=AUDIT_VALUE&amp;DB=129&amp;ID1=12673P10&amp;VALUEID=01001&amp;SDATE=201001&amp;PERIODTYPE=QTR_STD&amp;window=popup_no_bar&amp;width=385&amp;height=120&amp;START_MAXIMIZED=FALSE&amp;creator=factset&amp;display_string=Audit"}</definedName>
    <definedName name="_1778__FDSAUDITLINK__" localSheetId="1" hidden="1">{"fdsup://Directions/FactSet Auditing Viewer?action=AUDIT_VALUE&amp;DB=129&amp;ID1=70454910&amp;VALUEID=01001&amp;SDATE=200902&amp;PERIODTYPE=QTR_STD&amp;window=popup_no_bar&amp;width=385&amp;height=120&amp;START_MAXIMIZED=FALSE&amp;creator=factset&amp;display_string=Audit"}</definedName>
    <definedName name="_1778__FDSAUDITLINK__" hidden="1">{"fdsup://Directions/FactSet Auditing Viewer?action=AUDIT_VALUE&amp;DB=129&amp;ID1=70454910&amp;VALUEID=01001&amp;SDATE=200902&amp;PERIODTYPE=QTR_STD&amp;window=popup_no_bar&amp;width=385&amp;height=120&amp;START_MAXIMIZED=FALSE&amp;creator=factset&amp;display_string=Audit"}</definedName>
    <definedName name="_1779__FDSAUDITLINK__" localSheetId="1" hidden="1">{"fdsup://Directions/FactSet Auditing Viewer?action=AUDIT_VALUE&amp;DB=129&amp;ID1=70454910&amp;VALUEID=01001&amp;SDATE=201002&amp;PERIODTYPE=QTR_STD&amp;window=popup_no_bar&amp;width=385&amp;height=120&amp;START_MAXIMIZED=FALSE&amp;creator=factset&amp;display_string=Audit"}</definedName>
    <definedName name="_1779__FDSAUDITLINK__" hidden="1">{"fdsup://Directions/FactSet Auditing Viewer?action=AUDIT_VALUE&amp;DB=129&amp;ID1=70454910&amp;VALUEID=01001&amp;SDATE=201002&amp;PERIODTYPE=QTR_STD&amp;window=popup_no_bar&amp;width=385&amp;height=120&amp;START_MAXIMIZED=FALSE&amp;creator=factset&amp;display_string=Audit"}</definedName>
    <definedName name="_178__FDSAUDITLINK__" localSheetId="1"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__FDSAUDITLINK__" hidden="1">{"fdsup://directions/FAT Viewer?action=UPDATE&amp;creator=factset&amp;DYN_ARGS=TRUE&amp;DOC_NAME=FAT:FQL_AUDITING_CLIENT_TEMPLATE.FAT&amp;display_string=Audit&amp;VAR:KEY=DQTUROXOHC&amp;VAR:QUERY=RkZfRUJJVERBX09QRVIoUVRSLDQvMS8yMDEwLDYvMzAvMjAxMCwsLFVTRCk=&amp;WINDOW=FIRST_POPUP&amp;HEIGH","T=450&amp;WIDTH=450&amp;START_MAXIMIZED=FALSE&amp;VAR:CALENDAR=US&amp;VAR:SYMBOL=SNI&amp;VAR:INDEX=0"}</definedName>
    <definedName name="_1780__FDSAUDITLINK__" localSheetId="1" hidden="1">{"fdsup://Directions/FactSet Auditing Viewer?action=AUDIT_VALUE&amp;DB=129&amp;ID1=10113710&amp;VALUEID=01001&amp;SDATE=200902&amp;PERIODTYPE=QTR_STD&amp;window=popup_no_bar&amp;width=385&amp;height=120&amp;START_MAXIMIZED=FALSE&amp;creator=factset&amp;display_string=Audit"}</definedName>
    <definedName name="_1780__FDSAUDITLINK__" hidden="1">{"fdsup://Directions/FactSet Auditing Viewer?action=AUDIT_VALUE&amp;DB=129&amp;ID1=10113710&amp;VALUEID=01001&amp;SDATE=200902&amp;PERIODTYPE=QTR_STD&amp;window=popup_no_bar&amp;width=385&amp;height=120&amp;START_MAXIMIZED=FALSE&amp;creator=factset&amp;display_string=Audit"}</definedName>
    <definedName name="_1781__FDSAUDITLINK__" localSheetId="1" hidden="1">{"fdsup://Directions/FactSet Auditing Viewer?action=AUDIT_VALUE&amp;DB=129&amp;ID1=10113710&amp;VALUEID=01001&amp;SDATE=201002&amp;PERIODTYPE=QTR_STD&amp;window=popup_no_bar&amp;width=385&amp;height=120&amp;START_MAXIMIZED=FALSE&amp;creator=factset&amp;display_string=Audit"}</definedName>
    <definedName name="_1781__FDSAUDITLINK__" hidden="1">{"fdsup://Directions/FactSet Auditing Viewer?action=AUDIT_VALUE&amp;DB=129&amp;ID1=10113710&amp;VALUEID=01001&amp;SDATE=201002&amp;PERIODTYPE=QTR_STD&amp;window=popup_no_bar&amp;width=385&amp;height=120&amp;START_MAXIMIZED=FALSE&amp;creator=factset&amp;display_string=Audit"}</definedName>
    <definedName name="_1782__FDSAUDITLINK__" localSheetId="1" hidden="1">{"fdsup://Directions/FactSet Auditing Viewer?action=AUDIT_VALUE&amp;DB=129&amp;ID1=08467070&amp;VALUEID=01001&amp;SDATE=200902&amp;PERIODTYPE=QTR_STD&amp;window=popup_no_bar&amp;width=385&amp;height=120&amp;START_MAXIMIZED=FALSE&amp;creator=factset&amp;display_string=Audit"}</definedName>
    <definedName name="_1782__FDSAUDITLINK__" hidden="1">{"fdsup://Directions/FactSet Auditing Viewer?action=AUDIT_VALUE&amp;DB=129&amp;ID1=08467070&amp;VALUEID=01001&amp;SDATE=200902&amp;PERIODTYPE=QTR_STD&amp;window=popup_no_bar&amp;width=385&amp;height=120&amp;START_MAXIMIZED=FALSE&amp;creator=factset&amp;display_string=Audit"}</definedName>
    <definedName name="_1783__FDSAUDITLINK__" localSheetId="1" hidden="1">{"fdsup://Directions/FactSet Auditing Viewer?action=AUDIT_VALUE&amp;DB=129&amp;ID1=08467070&amp;VALUEID=01001&amp;SDATE=201002&amp;PERIODTYPE=QTR_STD&amp;window=popup_no_bar&amp;width=385&amp;height=120&amp;START_MAXIMIZED=FALSE&amp;creator=factset&amp;display_string=Audit"}</definedName>
    <definedName name="_1783__FDSAUDITLINK__" hidden="1">{"fdsup://Directions/FactSet Auditing Viewer?action=AUDIT_VALUE&amp;DB=129&amp;ID1=08467070&amp;VALUEID=01001&amp;SDATE=201002&amp;PERIODTYPE=QTR_STD&amp;window=popup_no_bar&amp;width=385&amp;height=120&amp;START_MAXIMIZED=FALSE&amp;creator=factset&amp;display_string=Audit"}</definedName>
    <definedName name="_1784__FDSAUDITLINK__" localSheetId="1" hidden="1">{"fdsup://Directions/FactSet Auditing Viewer?action=AUDIT_VALUE&amp;DB=129&amp;ID1=11132010&amp;VALUEID=01001&amp;SDATE=200902&amp;PERIODTYPE=QTR_STD&amp;window=popup_no_bar&amp;width=385&amp;height=120&amp;START_MAXIMIZED=FALSE&amp;creator=factset&amp;display_string=Audit"}</definedName>
    <definedName name="_1784__FDSAUDITLINK__" hidden="1">{"fdsup://Directions/FactSet Auditing Viewer?action=AUDIT_VALUE&amp;DB=129&amp;ID1=11132010&amp;VALUEID=01001&amp;SDATE=200902&amp;PERIODTYPE=QTR_STD&amp;window=popup_no_bar&amp;width=385&amp;height=120&amp;START_MAXIMIZED=FALSE&amp;creator=factset&amp;display_string=Audit"}</definedName>
    <definedName name="_1785__FDSAUDITLINK__" localSheetId="1" hidden="1">{"fdsup://Directions/FactSet Auditing Viewer?action=AUDIT_VALUE&amp;DB=129&amp;ID1=11132010&amp;VALUEID=01001&amp;SDATE=201002&amp;PERIODTYPE=QTR_STD&amp;window=popup_no_bar&amp;width=385&amp;height=120&amp;START_MAXIMIZED=FALSE&amp;creator=factset&amp;display_string=Audit"}</definedName>
    <definedName name="_1785__FDSAUDITLINK__" hidden="1">{"fdsup://Directions/FactSet Auditing Viewer?action=AUDIT_VALUE&amp;DB=129&amp;ID1=11132010&amp;VALUEID=01001&amp;SDATE=201002&amp;PERIODTYPE=QTR_STD&amp;window=popup_no_bar&amp;width=385&amp;height=120&amp;START_MAXIMIZED=FALSE&amp;creator=factset&amp;display_string=Audit"}</definedName>
    <definedName name="_1786__FDSAUDITLINK__" localSheetId="1" hidden="1">{"fdsup://Directions/FactSet Auditing Viewer?action=AUDIT_VALUE&amp;DB=129&amp;ID1=11012210&amp;VALUEID=01001&amp;SDATE=200902&amp;PERIODTYPE=QTR_STD&amp;window=popup_no_bar&amp;width=385&amp;height=120&amp;START_MAXIMIZED=FALSE&amp;creator=factset&amp;display_string=Audit"}</definedName>
    <definedName name="_1786__FDSAUDITLINK__" hidden="1">{"fdsup://Directions/FactSet Auditing Viewer?action=AUDIT_VALUE&amp;DB=129&amp;ID1=11012210&amp;VALUEID=01001&amp;SDATE=200902&amp;PERIODTYPE=QTR_STD&amp;window=popup_no_bar&amp;width=385&amp;height=120&amp;START_MAXIMIZED=FALSE&amp;creator=factset&amp;display_string=Audit"}</definedName>
    <definedName name="_1787__FDSAUDITLINK__" localSheetId="1" hidden="1">{"fdsup://Directions/FactSet Auditing Viewer?action=AUDIT_VALUE&amp;DB=129&amp;ID1=11012210&amp;VALUEID=01001&amp;SDATE=201002&amp;PERIODTYPE=QTR_STD&amp;window=popup_no_bar&amp;width=385&amp;height=120&amp;START_MAXIMIZED=FALSE&amp;creator=factset&amp;display_string=Audit"}</definedName>
    <definedName name="_1787__FDSAUDITLINK__" hidden="1">{"fdsup://Directions/FactSet Auditing Viewer?action=AUDIT_VALUE&amp;DB=129&amp;ID1=11012210&amp;VALUEID=01001&amp;SDATE=201002&amp;PERIODTYPE=QTR_STD&amp;window=popup_no_bar&amp;width=385&amp;height=120&amp;START_MAXIMIZED=FALSE&amp;creator=factset&amp;display_string=Audit"}</definedName>
    <definedName name="_1788__FDSAUDITLINK__" localSheetId="1" hidden="1">{"fdsup://Directions/FactSet Auditing Viewer?action=AUDIT_VALUE&amp;DB=129&amp;ID1=08143710&amp;VALUEID=01001&amp;SDATE=200902&amp;PERIODTYPE=QTR_STD&amp;window=popup_no_bar&amp;width=385&amp;height=120&amp;START_MAXIMIZED=FALSE&amp;creator=factset&amp;display_string=Audit"}</definedName>
    <definedName name="_1788__FDSAUDITLINK__" hidden="1">{"fdsup://Directions/FactSet Auditing Viewer?action=AUDIT_VALUE&amp;DB=129&amp;ID1=08143710&amp;VALUEID=01001&amp;SDATE=200902&amp;PERIODTYPE=QTR_STD&amp;window=popup_no_bar&amp;width=385&amp;height=120&amp;START_MAXIMIZED=FALSE&amp;creator=factset&amp;display_string=Audit"}</definedName>
    <definedName name="_1789__FDSAUDITLINK__" localSheetId="1" hidden="1">{"fdsup://Directions/FactSet Auditing Viewer?action=AUDIT_VALUE&amp;DB=129&amp;ID1=08143710&amp;VALUEID=01001&amp;SDATE=201002&amp;PERIODTYPE=QTR_STD&amp;window=popup_no_bar&amp;width=385&amp;height=120&amp;START_MAXIMIZED=FALSE&amp;creator=factset&amp;display_string=Audit"}</definedName>
    <definedName name="_1789__FDSAUDITLINK__" hidden="1">{"fdsup://Directions/FactSet Auditing Viewer?action=AUDIT_VALUE&amp;DB=129&amp;ID1=08143710&amp;VALUEID=01001&amp;SDATE=201002&amp;PERIODTYPE=QTR_STD&amp;window=popup_no_bar&amp;width=385&amp;height=120&amp;START_MAXIMIZED=FALSE&amp;creator=factset&amp;display_string=Audit"}</definedName>
    <definedName name="_179__FDSAUDITLINK__" localSheetId="1"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__FDSAUDITLINK__" hidden="1">{"fdsup://directions/FAT Viewer?action=UPDATE&amp;creator=factset&amp;DYN_ARGS=TRUE&amp;DOC_NAME=FAT:FQL_AUDITING_CLIENT_TEMPLATE.FAT&amp;display_string=Audit&amp;VAR:KEY=NCLCLONQJA&amp;VAR:QUERY=RkZfRUJJVERBX09QRVIoUVRSLDQvMS8yMDA5LDYvMzAvMjAwOSwsLFVTRCk=&amp;WINDOW=FIRST_POPUP&amp;HEIGH","T=450&amp;WIDTH=450&amp;START_MAXIMIZED=FALSE&amp;VAR:CALENDAR=US&amp;VAR:SYMBOL=SNDK&amp;VAR:INDEX=0"}</definedName>
    <definedName name="_1790__FDSAUDITLINK__" localSheetId="1" hidden="1">{"fdsup://Directions/FactSet Auditing Viewer?action=AUDIT_VALUE&amp;DB=129&amp;ID1=05592110&amp;VALUEID=01001&amp;SDATE=200901&amp;PERIODTYPE=QTR_STD&amp;window=popup_no_bar&amp;width=385&amp;height=120&amp;START_MAXIMIZED=FALSE&amp;creator=factset&amp;display_string=Audit"}</definedName>
    <definedName name="_1790__FDSAUDITLINK__" hidden="1">{"fdsup://Directions/FactSet Auditing Viewer?action=AUDIT_VALUE&amp;DB=129&amp;ID1=05592110&amp;VALUEID=01001&amp;SDATE=200901&amp;PERIODTYPE=QTR_STD&amp;window=popup_no_bar&amp;width=385&amp;height=120&amp;START_MAXIMIZED=FALSE&amp;creator=factset&amp;display_string=Audit"}</definedName>
    <definedName name="_1791__FDSAUDITLINK__" localSheetId="1" hidden="1">{"fdsup://Directions/FactSet Auditing Viewer?action=AUDIT_VALUE&amp;DB=129&amp;ID1=05592110&amp;VALUEID=01001&amp;SDATE=201001&amp;PERIODTYPE=QTR_STD&amp;window=popup_no_bar&amp;width=385&amp;height=120&amp;START_MAXIMIZED=FALSE&amp;creator=factset&amp;display_string=Audit"}</definedName>
    <definedName name="_1791__FDSAUDITLINK__" hidden="1">{"fdsup://Directions/FactSet Auditing Viewer?action=AUDIT_VALUE&amp;DB=129&amp;ID1=05592110&amp;VALUEID=01001&amp;SDATE=201001&amp;PERIODTYPE=QTR_STD&amp;window=popup_no_bar&amp;width=385&amp;height=120&amp;START_MAXIMIZED=FALSE&amp;creator=factset&amp;display_string=Audit"}</definedName>
    <definedName name="_1792__FDSAUDITLINK__" localSheetId="1" hidden="1">{"fdsup://Directions/FactSet Auditing Viewer?action=AUDIT_VALUE&amp;DB=129&amp;ID1=05849810&amp;VALUEID=01001&amp;SDATE=200902&amp;PERIODTYPE=QTR_STD&amp;window=popup_no_bar&amp;width=385&amp;height=120&amp;START_MAXIMIZED=FALSE&amp;creator=factset&amp;display_string=Audit"}</definedName>
    <definedName name="_1792__FDSAUDITLINK__" hidden="1">{"fdsup://Directions/FactSet Auditing Viewer?action=AUDIT_VALUE&amp;DB=129&amp;ID1=05849810&amp;VALUEID=01001&amp;SDATE=200902&amp;PERIODTYPE=QTR_STD&amp;window=popup_no_bar&amp;width=385&amp;height=120&amp;START_MAXIMIZED=FALSE&amp;creator=factset&amp;display_string=Audit"}</definedName>
    <definedName name="_1793__FDSAUDITLINK__" localSheetId="1" hidden="1">{"fdsup://Directions/FactSet Auditing Viewer?action=AUDIT_VALUE&amp;DB=129&amp;ID1=05849810&amp;VALUEID=01001&amp;SDATE=201002&amp;PERIODTYPE=QTR_STD&amp;window=popup_no_bar&amp;width=385&amp;height=120&amp;START_MAXIMIZED=FALSE&amp;creator=factset&amp;display_string=Audit"}</definedName>
    <definedName name="_1793__FDSAUDITLINK__" hidden="1">{"fdsup://Directions/FactSet Auditing Viewer?action=AUDIT_VALUE&amp;DB=129&amp;ID1=05849810&amp;VALUEID=01001&amp;SDATE=201002&amp;PERIODTYPE=QTR_STD&amp;window=popup_no_bar&amp;width=385&amp;height=120&amp;START_MAXIMIZED=FALSE&amp;creator=factset&amp;display_string=Audit"}</definedName>
    <definedName name="_1794__FDSAUDITLINK__" localSheetId="1" hidden="1">{"fdsup://Directions/FactSet Auditing Viewer?action=AUDIT_VALUE&amp;DB=129&amp;ID1=09062X10&amp;VALUEID=01001&amp;SDATE=200902&amp;PERIODTYPE=QTR_STD&amp;window=popup_no_bar&amp;width=385&amp;height=120&amp;START_MAXIMIZED=FALSE&amp;creator=factset&amp;display_string=Audit"}</definedName>
    <definedName name="_1794__FDSAUDITLINK__" hidden="1">{"fdsup://Directions/FactSet Auditing Viewer?action=AUDIT_VALUE&amp;DB=129&amp;ID1=09062X10&amp;VALUEID=01001&amp;SDATE=200902&amp;PERIODTYPE=QTR_STD&amp;window=popup_no_bar&amp;width=385&amp;height=120&amp;START_MAXIMIZED=FALSE&amp;creator=factset&amp;display_string=Audit"}</definedName>
    <definedName name="_1795__FDSAUDITLINK__" localSheetId="1" hidden="1">{"fdsup://Directions/FactSet Auditing Viewer?action=AUDIT_VALUE&amp;DB=129&amp;ID1=09062X10&amp;VALUEID=01001&amp;SDATE=201002&amp;PERIODTYPE=QTR_STD&amp;window=popup_no_bar&amp;width=385&amp;height=120&amp;START_MAXIMIZED=FALSE&amp;creator=factset&amp;display_string=Audit"}</definedName>
    <definedName name="_1795__FDSAUDITLINK__" hidden="1">{"fdsup://Directions/FactSet Auditing Viewer?action=AUDIT_VALUE&amp;DB=129&amp;ID1=09062X10&amp;VALUEID=01001&amp;SDATE=201002&amp;PERIODTYPE=QTR_STD&amp;window=popup_no_bar&amp;width=385&amp;height=120&amp;START_MAXIMIZED=FALSE&amp;creator=factset&amp;display_string=Audit"}</definedName>
    <definedName name="_1796__FDSAUDITLINK__" localSheetId="1" hidden="1">{"fdsup://Directions/FactSet Auditing Viewer?action=AUDIT_VALUE&amp;DB=129&amp;ID1=08930210&amp;VALUEID=01001&amp;SDATE=200901&amp;PERIODTYPE=QTR_STD&amp;window=popup_no_bar&amp;width=385&amp;height=120&amp;START_MAXIMIZED=FALSE&amp;creator=factset&amp;display_string=Audit"}</definedName>
    <definedName name="_1796__FDSAUDITLINK__" hidden="1">{"fdsup://Directions/FactSet Auditing Viewer?action=AUDIT_VALUE&amp;DB=129&amp;ID1=08930210&amp;VALUEID=01001&amp;SDATE=200901&amp;PERIODTYPE=QTR_STD&amp;window=popup_no_bar&amp;width=385&amp;height=120&amp;START_MAXIMIZED=FALSE&amp;creator=factset&amp;display_string=Audit"}</definedName>
    <definedName name="_1797__FDSAUDITLINK__" localSheetId="1" hidden="1">{"fdsup://Directions/FactSet Auditing Viewer?action=AUDIT_VALUE&amp;DB=129&amp;ID1=08930210&amp;VALUEID=01001&amp;SDATE=201001&amp;PERIODTYPE=QTR_STD&amp;window=popup_no_bar&amp;width=385&amp;height=120&amp;START_MAXIMIZED=FALSE&amp;creator=factset&amp;display_string=Audit"}</definedName>
    <definedName name="_1797__FDSAUDITLINK__" hidden="1">{"fdsup://Directions/FactSet Auditing Viewer?action=AUDIT_VALUE&amp;DB=129&amp;ID1=08930210&amp;VALUEID=01001&amp;SDATE=201001&amp;PERIODTYPE=QTR_STD&amp;window=popup_no_bar&amp;width=385&amp;height=120&amp;START_MAXIMIZED=FALSE&amp;creator=factset&amp;display_string=Audit"}</definedName>
    <definedName name="_1798__FDSAUDITLINK__" localSheetId="1" hidden="1">{"fdsup://Directions/FactSet Auditing Viewer?action=AUDIT_VALUE&amp;DB=129&amp;ID1=05722410&amp;VALUEID=01001&amp;SDATE=200902&amp;PERIODTYPE=QTR_STD&amp;window=popup_no_bar&amp;width=385&amp;height=120&amp;START_MAXIMIZED=FALSE&amp;creator=factset&amp;display_string=Audit"}</definedName>
    <definedName name="_1798__FDSAUDITLINK__" hidden="1">{"fdsup://Directions/FactSet Auditing Viewer?action=AUDIT_VALUE&amp;DB=129&amp;ID1=05722410&amp;VALUEID=01001&amp;SDATE=200902&amp;PERIODTYPE=QTR_STD&amp;window=popup_no_bar&amp;width=385&amp;height=120&amp;START_MAXIMIZED=FALSE&amp;creator=factset&amp;display_string=Audit"}</definedName>
    <definedName name="_1799__FDSAUDITLINK__" localSheetId="1" hidden="1">{"fdsup://Directions/FactSet Auditing Viewer?action=AUDIT_VALUE&amp;DB=129&amp;ID1=05722410&amp;VALUEID=01001&amp;SDATE=201002&amp;PERIODTYPE=QTR_STD&amp;window=popup_no_bar&amp;width=385&amp;height=120&amp;START_MAXIMIZED=FALSE&amp;creator=factset&amp;display_string=Audit"}</definedName>
    <definedName name="_1799__FDSAUDITLINK__" hidden="1">{"fdsup://Directions/FactSet Auditing Viewer?action=AUDIT_VALUE&amp;DB=129&amp;ID1=05722410&amp;VALUEID=01001&amp;SDATE=201002&amp;PERIODTYPE=QTR_STD&amp;window=popup_no_bar&amp;width=385&amp;height=120&amp;START_MAXIMIZED=FALSE&amp;creator=factset&amp;display_string=Audit"}</definedName>
    <definedName name="_18__FDSAUDITLINK__" localSheetId="1" hidden="1">{"fdsup://directions/FAT Viewer?action=UPDATE&amp;creator=factset&amp;DYN_ARGS=TRUE&amp;DOC_NAME=FAT:FQL_AUDITING_CLIENT_TEMPLATE.FAT&amp;display_string=Audit&amp;VAR:KEY=VSRGLEROZK&amp;VAR:QUERY=RkZfRUJJVERBX09QRVIoUVRSLDQvMS8yMDEwLDYvMzAvMjAxMCwsLFVTRCk=&amp;WINDOW=FIRST_POPUP&amp;HEIGH","T=450&amp;WIDTH=450&amp;START_MAXIMIZED=FALSE&amp;VAR:CALENDAR=US&amp;VAR:SYMBOL=XL&amp;VAR:INDEX=0"}</definedName>
    <definedName name="_18__FDSAUDITLINK__" hidden="1">{"fdsup://directions/FAT Viewer?action=UPDATE&amp;creator=factset&amp;DYN_ARGS=TRUE&amp;DOC_NAME=FAT:FQL_AUDITING_CLIENT_TEMPLATE.FAT&amp;display_string=Audit&amp;VAR:KEY=VSRGLEROZK&amp;VAR:QUERY=RkZfRUJJVERBX09QRVIoUVRSLDQvMS8yMDEwLDYvMzAvMjAxMCwsLFVTRCk=&amp;WINDOW=FIRST_POPUP&amp;HEIGH","T=450&amp;WIDTH=450&amp;START_MAXIMIZED=FALSE&amp;VAR:CALENDAR=US&amp;VAR:SYMBOL=XL&amp;VAR:INDEX=0"}</definedName>
    <definedName name="_180__FDSAUDITLINK__" localSheetId="1"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__FDSAUDITLINK__" hidden="1">{"fdsup://directions/FAT Viewer?action=UPDATE&amp;creator=factset&amp;DYN_ARGS=TRUE&amp;DOC_NAME=FAT:FQL_AUDITING_CLIENT_TEMPLATE.FAT&amp;display_string=Audit&amp;VAR:KEY=TWVINYNEFC&amp;VAR:QUERY=RkZfRUJJVERBX09QRVIoUVRSLDQvMS8yMDEwLDYvMzAvMjAxMCwsLFVTRCk=&amp;WINDOW=FIRST_POPUP&amp;HEIGH","T=450&amp;WIDTH=450&amp;START_MAXIMIZED=FALSE&amp;VAR:CALENDAR=US&amp;VAR:SYMBOL=SNDK&amp;VAR:INDEX=0"}</definedName>
    <definedName name="_1800__FDSAUDITLINK__" localSheetId="1" hidden="1">{"fdsup://Directions/FactSet Auditing Viewer?action=AUDIT_VALUE&amp;DB=129&amp;ID1=11563720&amp;VALUEID=01001&amp;SDATE=200904&amp;PERIODTYPE=QTR_STD&amp;window=popup_no_bar&amp;width=385&amp;height=120&amp;START_MAXIMIZED=FALSE&amp;creator=factset&amp;display_string=Audit"}</definedName>
    <definedName name="_1800__FDSAUDITLINK__" hidden="1">{"fdsup://Directions/FactSet Auditing Viewer?action=AUDIT_VALUE&amp;DB=129&amp;ID1=11563720&amp;VALUEID=01001&amp;SDATE=200904&amp;PERIODTYPE=QTR_STD&amp;window=popup_no_bar&amp;width=385&amp;height=120&amp;START_MAXIMIZED=FALSE&amp;creator=factset&amp;display_string=Audit"}</definedName>
    <definedName name="_1801__FDSAUDITLINK__" localSheetId="1" hidden="1">{"fdsup://Directions/FactSet Auditing Viewer?action=AUDIT_VALUE&amp;DB=129&amp;ID1=35461310&amp;VALUEID=01001&amp;SDATE=200903&amp;PERIODTYPE=QTR_STD&amp;window=popup_no_bar&amp;width=385&amp;height=120&amp;START_MAXIMIZED=FALSE&amp;creator=factset&amp;display_string=Audit"}</definedName>
    <definedName name="_1801__FDSAUDITLINK__" hidden="1">{"fdsup://Directions/FactSet Auditing Viewer?action=AUDIT_VALUE&amp;DB=129&amp;ID1=35461310&amp;VALUEID=01001&amp;SDATE=200903&amp;PERIODTYPE=QTR_STD&amp;window=popup_no_bar&amp;width=385&amp;height=120&amp;START_MAXIMIZED=FALSE&amp;creator=factset&amp;display_string=Audit"}</definedName>
    <definedName name="_1802__FDSAUDITLINK__" localSheetId="1" hidden="1">{"fdsup://Directions/FactSet Auditing Viewer?action=AUDIT_VALUE&amp;DB=129&amp;ID1=35461310&amp;VALUEID=01001&amp;SDATE=201003&amp;PERIODTYPE=QTR_STD&amp;window=popup_no_bar&amp;width=385&amp;height=120&amp;START_MAXIMIZED=FALSE&amp;creator=factset&amp;display_string=Audit"}</definedName>
    <definedName name="_1802__FDSAUDITLINK__" hidden="1">{"fdsup://Directions/FactSet Auditing Viewer?action=AUDIT_VALUE&amp;DB=129&amp;ID1=35461310&amp;VALUEID=01001&amp;SDATE=201003&amp;PERIODTYPE=QTR_STD&amp;window=popup_no_bar&amp;width=385&amp;height=120&amp;START_MAXIMIZED=FALSE&amp;creator=factset&amp;display_string=Audit"}</definedName>
    <definedName name="_1803__FDSAUDITLINK__" localSheetId="1" hidden="1">{"fdsup://Directions/FactSet Auditing Viewer?action=AUDIT_VALUE&amp;DB=129&amp;ID1=07588710&amp;VALUEID=01001&amp;SDATE=200903&amp;PERIODTYPE=QTR_STD&amp;window=popup_no_bar&amp;width=385&amp;height=120&amp;START_MAXIMIZED=FALSE&amp;creator=factset&amp;display_string=Audit"}</definedName>
    <definedName name="_1803__FDSAUDITLINK__" hidden="1">{"fdsup://Directions/FactSet Auditing Viewer?action=AUDIT_VALUE&amp;DB=129&amp;ID1=07588710&amp;VALUEID=01001&amp;SDATE=200903&amp;PERIODTYPE=QTR_STD&amp;window=popup_no_bar&amp;width=385&amp;height=120&amp;START_MAXIMIZED=FALSE&amp;creator=factset&amp;display_string=Audit"}</definedName>
    <definedName name="_1804__FDSAUDITLINK__" localSheetId="1" hidden="1">{"fdsup://Directions/FactSet Auditing Viewer?action=AUDIT_VALUE&amp;DB=129&amp;ID1=07588710&amp;VALUEID=01001&amp;SDATE=201003&amp;PERIODTYPE=QTR_STD&amp;window=popup_no_bar&amp;width=385&amp;height=120&amp;START_MAXIMIZED=FALSE&amp;creator=factset&amp;display_string=Audit"}</definedName>
    <definedName name="_1804__FDSAUDITLINK__" hidden="1">{"fdsup://Directions/FactSet Auditing Viewer?action=AUDIT_VALUE&amp;DB=129&amp;ID1=07588710&amp;VALUEID=01001&amp;SDATE=201003&amp;PERIODTYPE=QTR_STD&amp;window=popup_no_bar&amp;width=385&amp;height=120&amp;START_MAXIMIZED=FALSE&amp;creator=factset&amp;display_string=Audit"}</definedName>
    <definedName name="_1805__FDSAUDITLINK__" localSheetId="1" hidden="1">{"fdsup://Directions/FactSet Auditing Viewer?action=AUDIT_VALUE&amp;DB=129&amp;ID1=06738310&amp;VALUEID=01001&amp;SDATE=200902&amp;PERIODTYPE=QTR_STD&amp;window=popup_no_bar&amp;width=385&amp;height=120&amp;START_MAXIMIZED=FALSE&amp;creator=factset&amp;display_string=Audit"}</definedName>
    <definedName name="_1805__FDSAUDITLINK__" hidden="1">{"fdsup://Directions/FactSet Auditing Viewer?action=AUDIT_VALUE&amp;DB=129&amp;ID1=06738310&amp;VALUEID=01001&amp;SDATE=200902&amp;PERIODTYPE=QTR_STD&amp;window=popup_no_bar&amp;width=385&amp;height=120&amp;START_MAXIMIZED=FALSE&amp;creator=factset&amp;display_string=Audit"}</definedName>
    <definedName name="_1806__FDSAUDITLINK__" localSheetId="1" hidden="1">{"fdsup://Directions/FactSet Auditing Viewer?action=AUDIT_VALUE&amp;DB=129&amp;ID1=06738310&amp;VALUEID=01001&amp;SDATE=201002&amp;PERIODTYPE=QTR_STD&amp;window=popup_no_bar&amp;width=385&amp;height=120&amp;START_MAXIMIZED=FALSE&amp;creator=factset&amp;display_string=Audit"}</definedName>
    <definedName name="_1806__FDSAUDITLINK__" hidden="1">{"fdsup://Directions/FactSet Auditing Viewer?action=AUDIT_VALUE&amp;DB=129&amp;ID1=06738310&amp;VALUEID=01001&amp;SDATE=201002&amp;PERIODTYPE=QTR_STD&amp;window=popup_no_bar&amp;width=385&amp;height=120&amp;START_MAXIMIZED=FALSE&amp;creator=factset&amp;display_string=Audit"}</definedName>
    <definedName name="_1807__FDSAUDITLINK__" localSheetId="1" hidden="1">{"fdsup://Directions/FactSet Auditing Viewer?action=AUDIT_VALUE&amp;DB=129&amp;ID1=08651610&amp;VALUEID=01001&amp;SDATE=200901&amp;PERIODTYPE=QTR_STD&amp;window=popup_no_bar&amp;width=385&amp;height=120&amp;START_MAXIMIZED=FALSE&amp;creator=factset&amp;display_string=Audit"}</definedName>
    <definedName name="_1807__FDSAUDITLINK__" hidden="1">{"fdsup://Directions/FactSet Auditing Viewer?action=AUDIT_VALUE&amp;DB=129&amp;ID1=08651610&amp;VALUEID=01001&amp;SDATE=200901&amp;PERIODTYPE=QTR_STD&amp;window=popup_no_bar&amp;width=385&amp;height=120&amp;START_MAXIMIZED=FALSE&amp;creator=factset&amp;display_string=Audit"}</definedName>
    <definedName name="_1808__FDSAUDITLINK__" localSheetId="1" hidden="1">{"fdsup://Directions/FactSet Auditing Viewer?action=AUDIT_VALUE&amp;DB=129&amp;ID1=08651610&amp;VALUEID=01001&amp;SDATE=201001&amp;PERIODTYPE=QTR_STD&amp;window=popup_no_bar&amp;width=385&amp;height=120&amp;START_MAXIMIZED=FALSE&amp;creator=factset&amp;display_string=Audit"}</definedName>
    <definedName name="_1808__FDSAUDITLINK__" hidden="1">{"fdsup://Directions/FactSet Auditing Viewer?action=AUDIT_VALUE&amp;DB=129&amp;ID1=08651610&amp;VALUEID=01001&amp;SDATE=201001&amp;PERIODTYPE=QTR_STD&amp;window=popup_no_bar&amp;width=385&amp;height=120&amp;START_MAXIMIZED=FALSE&amp;creator=factset&amp;display_string=Audit"}</definedName>
    <definedName name="_1809__FDSAUDITLINK__" localSheetId="1" hidden="1">{"fdsup://Directions/FactSet Auditing Viewer?action=AUDIT_VALUE&amp;DB=129&amp;ID1=07589610&amp;VALUEID=01001&amp;SDATE=200901&amp;PERIODTYPE=QTR_STD&amp;window=popup_no_bar&amp;width=385&amp;height=120&amp;START_MAXIMIZED=FALSE&amp;creator=factset&amp;display_string=Audit"}</definedName>
    <definedName name="_1809__FDSAUDITLINK__" hidden="1">{"fdsup://Directions/FactSet Auditing Viewer?action=AUDIT_VALUE&amp;DB=129&amp;ID1=07589610&amp;VALUEID=01001&amp;SDATE=200901&amp;PERIODTYPE=QTR_STD&amp;window=popup_no_bar&amp;width=385&amp;height=120&amp;START_MAXIMIZED=FALSE&amp;creator=factset&amp;display_string=Audit"}</definedName>
    <definedName name="_181__FDSAUDITLINK__" localSheetId="1"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__FDSAUDITLINK__" hidden="1">{"fdsup://directions/FAT Viewer?action=UPDATE&amp;creator=factset&amp;DYN_ARGS=TRUE&amp;DOC_NAME=FAT:FQL_AUDITING_CLIENT_TEMPLATE.FAT&amp;display_string=Audit&amp;VAR:KEY=HITQNWJMRG&amp;VAR:QUERY=RkZfRUJJVERBX09QRVIoUVRSLDQvMS8yMDA5LDYvMzAvMjAwOSwsLFVTRCk=&amp;WINDOW=FIRST_POPUP&amp;HEIGH","T=450&amp;WIDTH=450&amp;START_MAXIMIZED=FALSE&amp;VAR:CALENDAR=US&amp;VAR:SYMBOL=SNA&amp;VAR:INDEX=0"}</definedName>
    <definedName name="_1810__FDSAUDITLINK__" localSheetId="1" hidden="1">{"fdsup://Directions/FactSet Auditing Viewer?action=AUDIT_VALUE&amp;DB=129&amp;ID1=07589610&amp;VALUEID=01001&amp;SDATE=201001&amp;PERIODTYPE=QTR_STD&amp;window=popup_no_bar&amp;width=385&amp;height=120&amp;START_MAXIMIZED=FALSE&amp;creator=factset&amp;display_string=Audit"}</definedName>
    <definedName name="_1810__FDSAUDITLINK__" hidden="1">{"fdsup://Directions/FactSet Auditing Viewer?action=AUDIT_VALUE&amp;DB=129&amp;ID1=07589610&amp;VALUEID=01001&amp;SDATE=201001&amp;PERIODTYPE=QTR_STD&amp;window=popup_no_bar&amp;width=385&amp;height=120&amp;START_MAXIMIZED=FALSE&amp;creator=factset&amp;display_string=Audit"}</definedName>
    <definedName name="_1811__FDSAUDITLINK__" localSheetId="1" hidden="1">{"fdsup://Directions/FactSet Auditing Viewer?action=AUDIT_VALUE&amp;DB=129&amp;ID1=07181310&amp;VALUEID=01001&amp;SDATE=200902&amp;PERIODTYPE=QTR_STD&amp;window=popup_no_bar&amp;width=385&amp;height=120&amp;START_MAXIMIZED=FALSE&amp;creator=factset&amp;display_string=Audit"}</definedName>
    <definedName name="_1811__FDSAUDITLINK__" hidden="1">{"fdsup://Directions/FactSet Auditing Viewer?action=AUDIT_VALUE&amp;DB=129&amp;ID1=07181310&amp;VALUEID=01001&amp;SDATE=200902&amp;PERIODTYPE=QTR_STD&amp;window=popup_no_bar&amp;width=385&amp;height=120&amp;START_MAXIMIZED=FALSE&amp;creator=factset&amp;display_string=Audit"}</definedName>
    <definedName name="_1812__FDSAUDITLINK__" localSheetId="1" hidden="1">{"fdsup://Directions/FactSet Auditing Viewer?action=AUDIT_VALUE&amp;DB=129&amp;ID1=07181310&amp;VALUEID=01001&amp;SDATE=201002&amp;PERIODTYPE=QTR_STD&amp;window=popup_no_bar&amp;width=385&amp;height=120&amp;START_MAXIMIZED=FALSE&amp;creator=factset&amp;display_string=Audit"}</definedName>
    <definedName name="_1812__FDSAUDITLINK__" hidden="1">{"fdsup://Directions/FactSet Auditing Viewer?action=AUDIT_VALUE&amp;DB=129&amp;ID1=07181310&amp;VALUEID=01001&amp;SDATE=201002&amp;PERIODTYPE=QTR_STD&amp;window=popup_no_bar&amp;width=385&amp;height=120&amp;START_MAXIMIZED=FALSE&amp;creator=factset&amp;display_string=Audit"}</definedName>
    <definedName name="_1813__FDSAUDITLINK__" localSheetId="1" hidden="1">{"fdsup://Directions/FactSet Auditing Viewer?action=AUDIT_VALUE&amp;DB=129&amp;ID1=09702310&amp;VALUEID=01001&amp;SDATE=200902&amp;PERIODTYPE=QTR_STD&amp;window=popup_no_bar&amp;width=385&amp;height=120&amp;START_MAXIMIZED=FALSE&amp;creator=factset&amp;display_string=Audit"}</definedName>
    <definedName name="_1813__FDSAUDITLINK__" hidden="1">{"fdsup://Directions/FactSet Auditing Viewer?action=AUDIT_VALUE&amp;DB=129&amp;ID1=09702310&amp;VALUEID=01001&amp;SDATE=200902&amp;PERIODTYPE=QTR_STD&amp;window=popup_no_bar&amp;width=385&amp;height=120&amp;START_MAXIMIZED=FALSE&amp;creator=factset&amp;display_string=Audit"}</definedName>
    <definedName name="_1814__FDSAUDITLINK__" localSheetId="1" hidden="1">{"fdsup://Directions/FactSet Auditing Viewer?action=AUDIT_VALUE&amp;DB=129&amp;ID1=09702310&amp;VALUEID=01001&amp;SDATE=201002&amp;PERIODTYPE=QTR_STD&amp;window=popup_no_bar&amp;width=385&amp;height=120&amp;START_MAXIMIZED=FALSE&amp;creator=factset&amp;display_string=Audit"}</definedName>
    <definedName name="_1814__FDSAUDITLINK__" hidden="1">{"fdsup://Directions/FactSet Auditing Viewer?action=AUDIT_VALUE&amp;DB=129&amp;ID1=09702310&amp;VALUEID=01001&amp;SDATE=201002&amp;PERIODTYPE=QTR_STD&amp;window=popup_no_bar&amp;width=385&amp;height=120&amp;START_MAXIMIZED=FALSE&amp;creator=factset&amp;display_string=Audit"}</definedName>
    <definedName name="_1815__FDSAUDITLINK__" localSheetId="1" hidden="1">{"fdsup://Directions/FactSet Auditing Viewer?action=AUDIT_VALUE&amp;DB=129&amp;ID1=05333210&amp;VALUEID=01001&amp;SDATE=200903&amp;PERIODTYPE=QTR_STD&amp;window=popup_no_bar&amp;width=385&amp;height=120&amp;START_MAXIMIZED=FALSE&amp;creator=factset&amp;display_string=Audit"}</definedName>
    <definedName name="_1815__FDSAUDITLINK__" hidden="1">{"fdsup://Directions/FactSet Auditing Viewer?action=AUDIT_VALUE&amp;DB=129&amp;ID1=05333210&amp;VALUEID=01001&amp;SDATE=200903&amp;PERIODTYPE=QTR_STD&amp;window=popup_no_bar&amp;width=385&amp;height=120&amp;START_MAXIMIZED=FALSE&amp;creator=factset&amp;display_string=Audit"}</definedName>
    <definedName name="_1816__FDSAUDITLINK__" localSheetId="1" hidden="1">{"fdsup://Directions/FactSet Auditing Viewer?action=AUDIT_VALUE&amp;DB=129&amp;ID1=05333210&amp;VALUEID=01001&amp;SDATE=201003&amp;PERIODTYPE=QTR_STD&amp;window=popup_no_bar&amp;width=385&amp;height=120&amp;START_MAXIMIZED=FALSE&amp;creator=factset&amp;display_string=Audit"}</definedName>
    <definedName name="_1816__FDSAUDITLINK__" hidden="1">{"fdsup://Directions/FactSet Auditing Viewer?action=AUDIT_VALUE&amp;DB=129&amp;ID1=05333210&amp;VALUEID=01001&amp;SDATE=201003&amp;PERIODTYPE=QTR_STD&amp;window=popup_no_bar&amp;width=385&amp;height=120&amp;START_MAXIMIZED=FALSE&amp;creator=factset&amp;display_string=Audit"}</definedName>
    <definedName name="_1817__FDSAUDITLINK__" localSheetId="1" hidden="1">{"fdsup://Directions/FactSet Auditing Viewer?action=AUDIT_VALUE&amp;DB=129&amp;ID1=01736110&amp;VALUEID=01001&amp;SDATE=200902&amp;PERIODTYPE=QTR_STD&amp;window=popup_no_bar&amp;width=385&amp;height=120&amp;START_MAXIMIZED=FALSE&amp;creator=factset&amp;display_string=Audit"}</definedName>
    <definedName name="_1817__FDSAUDITLINK__" hidden="1">{"fdsup://Directions/FactSet Auditing Viewer?action=AUDIT_VALUE&amp;DB=129&amp;ID1=01736110&amp;VALUEID=01001&amp;SDATE=200902&amp;PERIODTYPE=QTR_STD&amp;window=popup_no_bar&amp;width=385&amp;height=120&amp;START_MAXIMIZED=FALSE&amp;creator=factset&amp;display_string=Audit"}</definedName>
    <definedName name="_1818__FDSAUDITLINK__" localSheetId="1" hidden="1">{"fdsup://Directions/FactSet Auditing Viewer?action=AUDIT_VALUE&amp;DB=129&amp;ID1=01736110&amp;VALUEID=01001&amp;SDATE=201002&amp;PERIODTYPE=QTR_STD&amp;window=popup_no_bar&amp;width=385&amp;height=120&amp;START_MAXIMIZED=FALSE&amp;creator=factset&amp;display_string=Audit"}</definedName>
    <definedName name="_1818__FDSAUDITLINK__" hidden="1">{"fdsup://Directions/FactSet Auditing Viewer?action=AUDIT_VALUE&amp;DB=129&amp;ID1=01736110&amp;VALUEID=01001&amp;SDATE=201002&amp;PERIODTYPE=QTR_STD&amp;window=popup_no_bar&amp;width=385&amp;height=120&amp;START_MAXIMIZED=FALSE&amp;creator=factset&amp;display_string=Audit"}</definedName>
    <definedName name="_1819__FDSAUDITLINK__" localSheetId="1" hidden="1">{"fdsup://Directions/FactSet Auditing Viewer?action=AUDIT_VALUE&amp;DB=129&amp;ID1=02581610&amp;VALUEID=01001&amp;SDATE=200902&amp;PERIODTYPE=QTR_STD&amp;window=popup_no_bar&amp;width=385&amp;height=120&amp;START_MAXIMIZED=FALSE&amp;creator=factset&amp;display_string=Audit"}</definedName>
    <definedName name="_1819__FDSAUDITLINK__" hidden="1">{"fdsup://Directions/FactSet Auditing Viewer?action=AUDIT_VALUE&amp;DB=129&amp;ID1=02581610&amp;VALUEID=01001&amp;SDATE=200902&amp;PERIODTYPE=QTR_STD&amp;window=popup_no_bar&amp;width=385&amp;height=120&amp;START_MAXIMIZED=FALSE&amp;creator=factset&amp;display_string=Audit"}</definedName>
    <definedName name="_182__FDSAUDITLINK__" localSheetId="1"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__FDSAUDITLINK__" hidden="1">{"fdsup://directions/FAT Viewer?action=UPDATE&amp;creator=factset&amp;DYN_ARGS=TRUE&amp;DOC_NAME=FAT:FQL_AUDITING_CLIENT_TEMPLATE.FAT&amp;display_string=Audit&amp;VAR:KEY=DMDCZWFOPY&amp;VAR:QUERY=RkZfRUJJVERBX09QRVIoUVRSLDQvMS8yMDEwLDYvMzAvMjAxMCwsLFVTRCk=&amp;WINDOW=FIRST_POPUP&amp;HEIGH","T=450&amp;WIDTH=450&amp;START_MAXIMIZED=FALSE&amp;VAR:CALENDAR=US&amp;VAR:SYMBOL=SNA&amp;VAR:INDEX=0"}</definedName>
    <definedName name="_1820__FDSAUDITLINK__" localSheetId="1" hidden="1">{"fdsup://Directions/FactSet Auditing Viewer?action=AUDIT_VALUE&amp;DB=129&amp;ID1=02581610&amp;VALUEID=01001&amp;SDATE=201002&amp;PERIODTYPE=QTR_STD&amp;window=popup_no_bar&amp;width=385&amp;height=120&amp;START_MAXIMIZED=FALSE&amp;creator=factset&amp;display_string=Audit"}</definedName>
    <definedName name="_1820__FDSAUDITLINK__" hidden="1">{"fdsup://Directions/FactSet Auditing Viewer?action=AUDIT_VALUE&amp;DB=129&amp;ID1=02581610&amp;VALUEID=01001&amp;SDATE=201002&amp;PERIODTYPE=QTR_STD&amp;window=popup_no_bar&amp;width=385&amp;height=120&amp;START_MAXIMIZED=FALSE&amp;creator=factset&amp;display_string=Audit"}</definedName>
    <definedName name="_1821__FDSAUDITLINK__" localSheetId="1" hidden="1">{"fdsup://Directions/FactSet Auditing Viewer?action=AUDIT_VALUE&amp;DB=129&amp;ID1=05361110&amp;VALUEID=01001&amp;SDATE=200902&amp;PERIODTYPE=QTR_STD&amp;window=popup_no_bar&amp;width=385&amp;height=120&amp;START_MAXIMIZED=FALSE&amp;creator=factset&amp;display_string=Audit"}</definedName>
    <definedName name="_1821__FDSAUDITLINK__" hidden="1">{"fdsup://Directions/FactSet Auditing Viewer?action=AUDIT_VALUE&amp;DB=129&amp;ID1=05361110&amp;VALUEID=01001&amp;SDATE=200902&amp;PERIODTYPE=QTR_STD&amp;window=popup_no_bar&amp;width=385&amp;height=120&amp;START_MAXIMIZED=FALSE&amp;creator=factset&amp;display_string=Audit"}</definedName>
    <definedName name="_1822__FDSAUDITLINK__" localSheetId="1" hidden="1">{"fdsup://Directions/FactSet Auditing Viewer?action=AUDIT_VALUE&amp;DB=129&amp;ID1=05361110&amp;VALUEID=01001&amp;SDATE=201002&amp;PERIODTYPE=QTR_STD&amp;window=popup_no_bar&amp;width=385&amp;height=120&amp;START_MAXIMIZED=FALSE&amp;creator=factset&amp;display_string=Audit"}</definedName>
    <definedName name="_1822__FDSAUDITLINK__" hidden="1">{"fdsup://Directions/FactSet Auditing Viewer?action=AUDIT_VALUE&amp;DB=129&amp;ID1=05361110&amp;VALUEID=01001&amp;SDATE=201002&amp;PERIODTYPE=QTR_STD&amp;window=popup_no_bar&amp;width=385&amp;height=120&amp;START_MAXIMIZED=FALSE&amp;creator=factset&amp;display_string=Audit"}</definedName>
    <definedName name="_1823__FDSAUDITLINK__" localSheetId="1" hidden="1">{"fdsup://Directions/FactSet Auditing Viewer?action=AUDIT_VALUE&amp;DB=129&amp;ID1=05430310&amp;VALUEID=01001&amp;SDATE=200902&amp;PERIODTYPE=QTR_STD&amp;window=popup_no_bar&amp;width=385&amp;height=120&amp;START_MAXIMIZED=FALSE&amp;creator=factset&amp;display_string=Audit"}</definedName>
    <definedName name="_1823__FDSAUDITLINK__" hidden="1">{"fdsup://Directions/FactSet Auditing Viewer?action=AUDIT_VALUE&amp;DB=129&amp;ID1=05430310&amp;VALUEID=01001&amp;SDATE=200902&amp;PERIODTYPE=QTR_STD&amp;window=popup_no_bar&amp;width=385&amp;height=120&amp;START_MAXIMIZED=FALSE&amp;creator=factset&amp;display_string=Audit"}</definedName>
    <definedName name="_1824__FDSAUDITLINK__" localSheetId="1" hidden="1">{"fdsup://Directions/FactSet Auditing Viewer?action=AUDIT_VALUE&amp;DB=129&amp;ID1=05430310&amp;VALUEID=01001&amp;SDATE=201002&amp;PERIODTYPE=QTR_STD&amp;window=popup_no_bar&amp;width=385&amp;height=120&amp;START_MAXIMIZED=FALSE&amp;creator=factset&amp;display_string=Audit"}</definedName>
    <definedName name="_1824__FDSAUDITLINK__" hidden="1">{"fdsup://Directions/FactSet Auditing Viewer?action=AUDIT_VALUE&amp;DB=129&amp;ID1=05430310&amp;VALUEID=01001&amp;SDATE=201002&amp;PERIODTYPE=QTR_STD&amp;window=popup_no_bar&amp;width=385&amp;height=120&amp;START_MAXIMIZED=FALSE&amp;creator=factset&amp;display_string=Audit"}</definedName>
    <definedName name="_1825__FDSAUDITLINK__" localSheetId="1" hidden="1">{"fdsup://Directions/FactSet Auditing Viewer?action=AUDIT_VALUE&amp;DB=129&amp;ID1=05348410&amp;VALUEID=01001&amp;SDATE=200902&amp;PERIODTYPE=QTR_STD&amp;window=popup_no_bar&amp;width=385&amp;height=120&amp;START_MAXIMIZED=FALSE&amp;creator=factset&amp;display_string=Audit"}</definedName>
    <definedName name="_1825__FDSAUDITLINK__" hidden="1">{"fdsup://Directions/FactSet Auditing Viewer?action=AUDIT_VALUE&amp;DB=129&amp;ID1=05348410&amp;VALUEID=01001&amp;SDATE=200902&amp;PERIODTYPE=QTR_STD&amp;window=popup_no_bar&amp;width=385&amp;height=120&amp;START_MAXIMIZED=FALSE&amp;creator=factset&amp;display_string=Audit"}</definedName>
    <definedName name="_1826__FDSAUDITLINK__" localSheetId="1" hidden="1">{"fdsup://Directions/FactSet Auditing Viewer?action=AUDIT_VALUE&amp;DB=129&amp;ID1=05348410&amp;VALUEID=01001&amp;SDATE=201002&amp;PERIODTYPE=QTR_STD&amp;window=popup_no_bar&amp;width=385&amp;height=120&amp;START_MAXIMIZED=FALSE&amp;creator=factset&amp;display_string=Audit"}</definedName>
    <definedName name="_1826__FDSAUDITLINK__" hidden="1">{"fdsup://Directions/FactSet Auditing Viewer?action=AUDIT_VALUE&amp;DB=129&amp;ID1=05348410&amp;VALUEID=01001&amp;SDATE=201002&amp;PERIODTYPE=QTR_STD&amp;window=popup_no_bar&amp;width=385&amp;height=120&amp;START_MAXIMIZED=FALSE&amp;creator=factset&amp;display_string=Audit"}</definedName>
    <definedName name="_1827__FDSAUDITLINK__" localSheetId="1" hidden="1">{"fdsup://Directions/FactSet Auditing Viewer?action=AUDIT_VALUE&amp;DB=129&amp;ID1=01741R10&amp;VALUEID=01001&amp;SDATE=200902&amp;PERIODTYPE=QTR_STD&amp;window=popup_no_bar&amp;width=385&amp;height=120&amp;START_MAXIMIZED=FALSE&amp;creator=factset&amp;display_string=Audit"}</definedName>
    <definedName name="_1827__FDSAUDITLINK__" hidden="1">{"fdsup://Directions/FactSet Auditing Viewer?action=AUDIT_VALUE&amp;DB=129&amp;ID1=01741R10&amp;VALUEID=01001&amp;SDATE=200902&amp;PERIODTYPE=QTR_STD&amp;window=popup_no_bar&amp;width=385&amp;height=120&amp;START_MAXIMIZED=FALSE&amp;creator=factset&amp;display_string=Audit"}</definedName>
    <definedName name="_1828__FDSAUDITLINK__" localSheetId="1" hidden="1">{"fdsup://Directions/FactSet Auditing Viewer?action=AUDIT_VALUE&amp;DB=129&amp;ID1=01741R10&amp;VALUEID=01001&amp;SDATE=201002&amp;PERIODTYPE=QTR_STD&amp;window=popup_no_bar&amp;width=385&amp;height=120&amp;START_MAXIMIZED=FALSE&amp;creator=factset&amp;display_string=Audit"}</definedName>
    <definedName name="_1828__FDSAUDITLINK__" hidden="1">{"fdsup://Directions/FactSet Auditing Viewer?action=AUDIT_VALUE&amp;DB=129&amp;ID1=01741R10&amp;VALUEID=01001&amp;SDATE=201002&amp;PERIODTYPE=QTR_STD&amp;window=popup_no_bar&amp;width=385&amp;height=120&amp;START_MAXIMIZED=FALSE&amp;creator=factset&amp;display_string=Audit"}</definedName>
    <definedName name="_1829__FDSAUDITLINK__" localSheetId="1" hidden="1">{"fdsup://Directions/FactSet Auditing Viewer?action=AUDIT_VALUE&amp;DB=129&amp;ID1=00936310&amp;VALUEID=01001&amp;SDATE=200901&amp;PERIODTYPE=QTR_STD&amp;window=popup_no_bar&amp;width=385&amp;height=120&amp;START_MAXIMIZED=FALSE&amp;creator=factset&amp;display_string=Audit"}</definedName>
    <definedName name="_1829__FDSAUDITLINK__" hidden="1">{"fdsup://Directions/FactSet Auditing Viewer?action=AUDIT_VALUE&amp;DB=129&amp;ID1=00936310&amp;VALUEID=01001&amp;SDATE=200901&amp;PERIODTYPE=QTR_STD&amp;window=popup_no_bar&amp;width=385&amp;height=120&amp;START_MAXIMIZED=FALSE&amp;creator=factset&amp;display_string=Audit"}</definedName>
    <definedName name="_183__FDSAUDITLINK__" localSheetId="1"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__FDSAUDITLINK__" hidden="1">{"fdsup://directions/FAT Viewer?action=UPDATE&amp;creator=factset&amp;DYN_ARGS=TRUE&amp;DOC_NAME=FAT:FQL_AUDITING_CLIENT_TEMPLATE.FAT&amp;display_string=Audit&amp;VAR:KEY=TWZWZYHAHE&amp;VAR:QUERY=RkZfRUJJVERBX09QRVIoUVRSLDQvMS8yMDA5LDYvMzAvMjAwOSwsLFVTRCk=&amp;WINDOW=FIRST_POPUP&amp;HEIGH","T=450&amp;WIDTH=450&amp;START_MAXIMIZED=FALSE&amp;VAR:CALENDAR=US&amp;VAR:SYMBOL=SLM&amp;VAR:INDEX=0"}</definedName>
    <definedName name="_1830__FDSAUDITLINK__" localSheetId="1" hidden="1">{"fdsup://Directions/FactSet Auditing Viewer?action=AUDIT_VALUE&amp;DB=129&amp;ID1=00936310&amp;VALUEID=01001&amp;SDATE=201001&amp;PERIODTYPE=QTR_STD&amp;window=popup_no_bar&amp;width=385&amp;height=120&amp;START_MAXIMIZED=FALSE&amp;creator=factset&amp;display_string=Audit"}</definedName>
    <definedName name="_1830__FDSAUDITLINK__" hidden="1">{"fdsup://Directions/FactSet Auditing Viewer?action=AUDIT_VALUE&amp;DB=129&amp;ID1=00936310&amp;VALUEID=01001&amp;SDATE=201001&amp;PERIODTYPE=QTR_STD&amp;window=popup_no_bar&amp;width=385&amp;height=120&amp;START_MAXIMIZED=FALSE&amp;creator=factset&amp;display_string=Audit"}</definedName>
    <definedName name="_1831__FDSAUDITLINK__" localSheetId="1" hidden="1">{"fdsup://Directions/FactSet Auditing Viewer?action=AUDIT_VALUE&amp;DB=129&amp;ID1=03760410&amp;VALUEID=01001&amp;SDATE=200903&amp;PERIODTYPE=QTR_STD&amp;window=popup_no_bar&amp;width=385&amp;height=120&amp;START_MAXIMIZED=FALSE&amp;creator=factset&amp;display_string=Audit"}</definedName>
    <definedName name="_1831__FDSAUDITLINK__" hidden="1">{"fdsup://Directions/FactSet Auditing Viewer?action=AUDIT_VALUE&amp;DB=129&amp;ID1=03760410&amp;VALUEID=01001&amp;SDATE=200903&amp;PERIODTYPE=QTR_STD&amp;window=popup_no_bar&amp;width=385&amp;height=120&amp;START_MAXIMIZED=FALSE&amp;creator=factset&amp;display_string=Audit"}</definedName>
    <definedName name="_1832__FDSAUDITLINK__" localSheetId="1" hidden="1">{"fdsup://Directions/FactSet Auditing Viewer?action=AUDIT_VALUE&amp;DB=129&amp;ID1=03760410&amp;VALUEID=01001&amp;SDATE=201003&amp;PERIODTYPE=QTR_STD&amp;window=popup_no_bar&amp;width=385&amp;height=120&amp;START_MAXIMIZED=FALSE&amp;creator=factset&amp;display_string=Audit"}</definedName>
    <definedName name="_1832__FDSAUDITLINK__" hidden="1">{"fdsup://Directions/FactSet Auditing Viewer?action=AUDIT_VALUE&amp;DB=129&amp;ID1=03760410&amp;VALUEID=01001&amp;SDATE=201003&amp;PERIODTYPE=QTR_STD&amp;window=popup_no_bar&amp;width=385&amp;height=120&amp;START_MAXIMIZED=FALSE&amp;creator=factset&amp;display_string=Audit"}</definedName>
    <definedName name="_1833__FDSAUDITLINK__" localSheetId="1" hidden="1">{"fdsup://Directions/FactSet Auditing Viewer?action=AUDIT_VALUE&amp;DB=129&amp;ID1=03209510&amp;VALUEID=01001&amp;SDATE=200902&amp;PERIODTYPE=QTR_STD&amp;window=popup_no_bar&amp;width=385&amp;height=120&amp;START_MAXIMIZED=FALSE&amp;creator=factset&amp;display_string=Audit"}</definedName>
    <definedName name="_1833__FDSAUDITLINK__" hidden="1">{"fdsup://Directions/FactSet Auditing Viewer?action=AUDIT_VALUE&amp;DB=129&amp;ID1=03209510&amp;VALUEID=01001&amp;SDATE=200902&amp;PERIODTYPE=QTR_STD&amp;window=popup_no_bar&amp;width=385&amp;height=120&amp;START_MAXIMIZED=FALSE&amp;creator=factset&amp;display_string=Audit"}</definedName>
    <definedName name="_1834__FDSAUDITLINK__" localSheetId="1" hidden="1">{"fdsup://Directions/FactSet Auditing Viewer?action=AUDIT_VALUE&amp;DB=129&amp;ID1=03209510&amp;VALUEID=01001&amp;SDATE=201002&amp;PERIODTYPE=QTR_STD&amp;window=popup_no_bar&amp;width=385&amp;height=120&amp;START_MAXIMIZED=FALSE&amp;creator=factset&amp;display_string=Audit"}</definedName>
    <definedName name="_1834__FDSAUDITLINK__" hidden="1">{"fdsup://Directions/FactSet Auditing Viewer?action=AUDIT_VALUE&amp;DB=129&amp;ID1=03209510&amp;VALUEID=01001&amp;SDATE=201002&amp;PERIODTYPE=QTR_STD&amp;window=popup_no_bar&amp;width=385&amp;height=120&amp;START_MAXIMIZED=FALSE&amp;creator=factset&amp;display_string=Audit"}</definedName>
    <definedName name="_1835__FDSAUDITLINK__" localSheetId="1" hidden="1">{"fdsup://Directions/FactSet Auditing Viewer?action=AUDIT_VALUE&amp;DB=129&amp;ID1=00915810&amp;VALUEID=01001&amp;SDATE=200903&amp;PERIODTYPE=QTR_STD&amp;window=popup_no_bar&amp;width=385&amp;height=120&amp;START_MAXIMIZED=FALSE&amp;creator=factset&amp;display_string=Audit"}</definedName>
    <definedName name="_1835__FDSAUDITLINK__" hidden="1">{"fdsup://Directions/FactSet Auditing Viewer?action=AUDIT_VALUE&amp;DB=129&amp;ID1=00915810&amp;VALUEID=01001&amp;SDATE=200903&amp;PERIODTYPE=QTR_STD&amp;window=popup_no_bar&amp;width=385&amp;height=120&amp;START_MAXIMIZED=FALSE&amp;creator=factset&amp;display_string=Audit"}</definedName>
    <definedName name="_1836__FDSAUDITLINK__" localSheetId="1" hidden="1">{"fdsup://Directions/FactSet Auditing Viewer?action=AUDIT_VALUE&amp;DB=129&amp;ID1=00915810&amp;VALUEID=01001&amp;SDATE=201003&amp;PERIODTYPE=QTR_STD&amp;window=popup_no_bar&amp;width=385&amp;height=120&amp;START_MAXIMIZED=FALSE&amp;creator=factset&amp;display_string=Audit"}</definedName>
    <definedName name="_1836__FDSAUDITLINK__" hidden="1">{"fdsup://Directions/FactSet Auditing Viewer?action=AUDIT_VALUE&amp;DB=129&amp;ID1=00915810&amp;VALUEID=01001&amp;SDATE=201003&amp;PERIODTYPE=QTR_STD&amp;window=popup_no_bar&amp;width=385&amp;height=120&amp;START_MAXIMIZED=FALSE&amp;creator=factset&amp;display_string=Audit"}</definedName>
    <definedName name="_1837__FDSAUDITLINK__" localSheetId="1" hidden="1">{"fdsup://Directions/FactSet Auditing Viewer?action=AUDIT_VALUE&amp;DB=129&amp;ID1=03251110&amp;VALUEID=01001&amp;SDATE=200902&amp;PERIODTYPE=QTR_STD&amp;window=popup_no_bar&amp;width=385&amp;height=120&amp;START_MAXIMIZED=FALSE&amp;creator=factset&amp;display_string=Audit"}</definedName>
    <definedName name="_1837__FDSAUDITLINK__" hidden="1">{"fdsup://Directions/FactSet Auditing Viewer?action=AUDIT_VALUE&amp;DB=129&amp;ID1=03251110&amp;VALUEID=01001&amp;SDATE=200902&amp;PERIODTYPE=QTR_STD&amp;window=popup_no_bar&amp;width=385&amp;height=120&amp;START_MAXIMIZED=FALSE&amp;creator=factset&amp;display_string=Audit"}</definedName>
    <definedName name="_1838__FDSAUDITLINK__" localSheetId="1" hidden="1">{"fdsup://Directions/FactSet Auditing Viewer?action=AUDIT_VALUE&amp;DB=129&amp;ID1=03251110&amp;VALUEID=01001&amp;SDATE=201002&amp;PERIODTYPE=QTR_STD&amp;window=popup_no_bar&amp;width=385&amp;height=120&amp;START_MAXIMIZED=FALSE&amp;creator=factset&amp;display_string=Audit"}</definedName>
    <definedName name="_1838__FDSAUDITLINK__" hidden="1">{"fdsup://Directions/FactSet Auditing Viewer?action=AUDIT_VALUE&amp;DB=129&amp;ID1=03251110&amp;VALUEID=01001&amp;SDATE=201002&amp;PERIODTYPE=QTR_STD&amp;window=popup_no_bar&amp;width=385&amp;height=120&amp;START_MAXIMIZED=FALSE&amp;creator=factset&amp;display_string=Audit"}</definedName>
    <definedName name="_1839__FDSAUDITLINK__" localSheetId="1" hidden="1">{"fdsup://Directions/FactSet Auditing Viewer?action=AUDIT_VALUE&amp;DB=129&amp;ID1=03741110&amp;VALUEID=01001&amp;SDATE=200902&amp;PERIODTYPE=QTR_STD&amp;window=popup_no_bar&amp;width=385&amp;height=120&amp;START_MAXIMIZED=FALSE&amp;creator=factset&amp;display_string=Audit"}</definedName>
    <definedName name="_1839__FDSAUDITLINK__" hidden="1">{"fdsup://Directions/FactSet Auditing Viewer?action=AUDIT_VALUE&amp;DB=129&amp;ID1=03741110&amp;VALUEID=01001&amp;SDATE=200902&amp;PERIODTYPE=QTR_STD&amp;window=popup_no_bar&amp;width=385&amp;height=120&amp;START_MAXIMIZED=FALSE&amp;creator=factset&amp;display_string=Audit"}</definedName>
    <definedName name="_184__FDSAUDITLINK__" localSheetId="1"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__FDSAUDITLINK__" hidden="1">{"fdsup://directions/FAT Viewer?action=UPDATE&amp;creator=factset&amp;DYN_ARGS=TRUE&amp;DOC_NAME=FAT:FQL_AUDITING_CLIENT_TEMPLATE.FAT&amp;display_string=Audit&amp;VAR:KEY=BEBELCHIHU&amp;VAR:QUERY=RkZfRUJJVERBX09QRVIoUVRSLDQvMS8yMDEwLDYvMzAvMjAxMCwsLFVTRCk=&amp;WINDOW=FIRST_POPUP&amp;HEIGH","T=450&amp;WIDTH=450&amp;START_MAXIMIZED=FALSE&amp;VAR:CALENDAR=US&amp;VAR:SYMBOL=SLM&amp;VAR:INDEX=0"}</definedName>
    <definedName name="_1840__FDSAUDITLINK__" localSheetId="1" hidden="1">{"fdsup://Directions/FactSet Auditing Viewer?action=AUDIT_VALUE&amp;DB=129&amp;ID1=03741110&amp;VALUEID=01001&amp;SDATE=201002&amp;PERIODTYPE=QTR_STD&amp;window=popup_no_bar&amp;width=385&amp;height=120&amp;START_MAXIMIZED=FALSE&amp;creator=factset&amp;display_string=Audit"}</definedName>
    <definedName name="_1840__FDSAUDITLINK__" hidden="1">{"fdsup://Directions/FactSet Auditing Viewer?action=AUDIT_VALUE&amp;DB=129&amp;ID1=03741110&amp;VALUEID=01001&amp;SDATE=201002&amp;PERIODTYPE=QTR_STD&amp;window=popup_no_bar&amp;width=385&amp;height=120&amp;START_MAXIMIZED=FALSE&amp;creator=factset&amp;display_string=Audit"}</definedName>
    <definedName name="_1841__FDSAUDITLINK__" localSheetId="1" hidden="1">{"fdsup://Directions/FactSet Auditing Viewer?action=AUDIT_VALUE&amp;DB=129&amp;ID1=03738910&amp;VALUEID=01001&amp;SDATE=200902&amp;PERIODTYPE=QTR_STD&amp;window=popup_no_bar&amp;width=385&amp;height=120&amp;START_MAXIMIZED=FALSE&amp;creator=factset&amp;display_string=Audit"}</definedName>
    <definedName name="_1841__FDSAUDITLINK__" hidden="1">{"fdsup://Directions/FactSet Auditing Viewer?action=AUDIT_VALUE&amp;DB=129&amp;ID1=03738910&amp;VALUEID=01001&amp;SDATE=200902&amp;PERIODTYPE=QTR_STD&amp;window=popup_no_bar&amp;width=385&amp;height=120&amp;START_MAXIMIZED=FALSE&amp;creator=factset&amp;display_string=Audit"}</definedName>
    <definedName name="_1842__FDSAUDITLINK__" localSheetId="1" hidden="1">{"fdsup://Directions/FactSet Auditing Viewer?action=AUDIT_VALUE&amp;DB=129&amp;ID1=03738910&amp;VALUEID=01001&amp;SDATE=201002&amp;PERIODTYPE=QTR_STD&amp;window=popup_no_bar&amp;width=385&amp;height=120&amp;START_MAXIMIZED=FALSE&amp;creator=factset&amp;display_string=Audit"}</definedName>
    <definedName name="_1842__FDSAUDITLINK__" hidden="1">{"fdsup://Directions/FactSet Auditing Viewer?action=AUDIT_VALUE&amp;DB=129&amp;ID1=03738910&amp;VALUEID=01001&amp;SDATE=201002&amp;PERIODTYPE=QTR_STD&amp;window=popup_no_bar&amp;width=385&amp;height=120&amp;START_MAXIMIZED=FALSE&amp;creator=factset&amp;display_string=Audit"}</definedName>
    <definedName name="_1843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1843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844__FDSAUDITLINK__" localSheetId="1" hidden="1">{"fdsup://Directions/FactSet Auditing Viewer?action=AUDIT_VALUE&amp;DB=129&amp;ID1=05329W10&amp;VALUEID=01001&amp;SDATE=200902&amp;PERIODTYPE=QTR_STD&amp;window=popup_no_bar&amp;width=385&amp;height=120&amp;START_MAXIMIZED=FALSE&amp;creator=factset&amp;display_string=Audit"}</definedName>
    <definedName name="_1844__FDSAUDITLINK__" hidden="1">{"fdsup://Directions/FactSet Auditing Viewer?action=AUDIT_VALUE&amp;DB=129&amp;ID1=05329W10&amp;VALUEID=01001&amp;SDATE=200902&amp;PERIODTYPE=QTR_STD&amp;window=popup_no_bar&amp;width=385&amp;height=120&amp;START_MAXIMIZED=FALSE&amp;creator=factset&amp;display_string=Audit"}</definedName>
    <definedName name="_1845__FDSAUDITLINK__" localSheetId="1" hidden="1">{"fdsup://Directions/FactSet Auditing Viewer?action=AUDIT_VALUE&amp;DB=129&amp;ID1=05329W10&amp;VALUEID=01001&amp;SDATE=201002&amp;PERIODTYPE=QTR_STD&amp;window=popup_no_bar&amp;width=385&amp;height=120&amp;START_MAXIMIZED=FALSE&amp;creator=factset&amp;display_string=Audit"}</definedName>
    <definedName name="_1845__FDSAUDITLINK__" hidden="1">{"fdsup://Directions/FactSet Auditing Viewer?action=AUDIT_VALUE&amp;DB=129&amp;ID1=05329W10&amp;VALUEID=01001&amp;SDATE=201002&amp;PERIODTYPE=QTR_STD&amp;window=popup_no_bar&amp;width=385&amp;height=120&amp;START_MAXIMIZED=FALSE&amp;creator=factset&amp;display_string=Audit"}</definedName>
    <definedName name="_1846__FDSAUDITLINK__" localSheetId="1" hidden="1">{"fdsup://Directions/FactSet Auditing Viewer?action=AUDIT_VALUE&amp;DB=129&amp;ID1=02313510&amp;VALUEID=01001&amp;SDATE=200902&amp;PERIODTYPE=QTR_STD&amp;window=popup_no_bar&amp;width=385&amp;height=120&amp;START_MAXIMIZED=FALSE&amp;creator=factset&amp;display_string=Audit"}</definedName>
    <definedName name="_1846__FDSAUDITLINK__" hidden="1">{"fdsup://Directions/FactSet Auditing Viewer?action=AUDIT_VALUE&amp;DB=129&amp;ID1=02313510&amp;VALUEID=01001&amp;SDATE=200902&amp;PERIODTYPE=QTR_STD&amp;window=popup_no_bar&amp;width=385&amp;height=120&amp;START_MAXIMIZED=FALSE&amp;creator=factset&amp;display_string=Audit"}</definedName>
    <definedName name="_1847__FDSAUDITLINK__" localSheetId="1" hidden="1">{"fdsup://Directions/FactSet Auditing Viewer?action=AUDIT_VALUE&amp;DB=129&amp;ID1=02313510&amp;VALUEID=01001&amp;SDATE=201002&amp;PERIODTYPE=QTR_STD&amp;window=popup_no_bar&amp;width=385&amp;height=120&amp;START_MAXIMIZED=FALSE&amp;creator=factset&amp;display_string=Audit"}</definedName>
    <definedName name="_1847__FDSAUDITLINK__" hidden="1">{"fdsup://Directions/FactSet Auditing Viewer?action=AUDIT_VALUE&amp;DB=129&amp;ID1=02313510&amp;VALUEID=01001&amp;SDATE=201002&amp;PERIODTYPE=QTR_STD&amp;window=popup_no_bar&amp;width=385&amp;height=120&amp;START_MAXIMIZED=FALSE&amp;creator=factset&amp;display_string=Audit"}</definedName>
    <definedName name="_1848__FDSAUDITLINK__" localSheetId="1" hidden="1">{"fdsup://Directions/FactSet Auditing Viewer?action=AUDIT_VALUE&amp;DB=129&amp;ID1=02991220&amp;VALUEID=01001&amp;SDATE=200902&amp;PERIODTYPE=QTR_STD&amp;window=popup_no_bar&amp;width=385&amp;height=120&amp;START_MAXIMIZED=FALSE&amp;creator=factset&amp;display_string=Audit"}</definedName>
    <definedName name="_1848__FDSAUDITLINK__" hidden="1">{"fdsup://Directions/FactSet Auditing Viewer?action=AUDIT_VALUE&amp;DB=129&amp;ID1=02991220&amp;VALUEID=01001&amp;SDATE=200902&amp;PERIODTYPE=QTR_STD&amp;window=popup_no_bar&amp;width=385&amp;height=120&amp;START_MAXIMIZED=FALSE&amp;creator=factset&amp;display_string=Audit"}</definedName>
    <definedName name="_1849__FDSAUDITLINK__" localSheetId="1" hidden="1">{"fdsup://Directions/FactSet Auditing Viewer?action=AUDIT_VALUE&amp;DB=129&amp;ID1=02991220&amp;VALUEID=01001&amp;SDATE=201002&amp;PERIODTYPE=QTR_STD&amp;window=popup_no_bar&amp;width=385&amp;height=120&amp;START_MAXIMIZED=FALSE&amp;creator=factset&amp;display_string=Audit"}</definedName>
    <definedName name="_1849__FDSAUDITLINK__" hidden="1">{"fdsup://Directions/FactSet Auditing Viewer?action=AUDIT_VALUE&amp;DB=129&amp;ID1=02991220&amp;VALUEID=01001&amp;SDATE=201002&amp;PERIODTYPE=QTR_STD&amp;window=popup_no_bar&amp;width=385&amp;height=120&amp;START_MAXIMIZED=FALSE&amp;creator=factset&amp;display_string=Audit"}</definedName>
    <definedName name="_185__FDSAUDITLINK__" localSheetId="1"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__FDSAUDITLINK__" hidden="1">{"fdsup://directions/FAT Viewer?action=UPDATE&amp;creator=factset&amp;DYN_ARGS=TRUE&amp;DOC_NAME=FAT:FQL_AUDITING_CLIENT_TEMPLATE.FAT&amp;display_string=Audit&amp;VAR:KEY=PERGZWPWVQ&amp;VAR:QUERY=RkZfRUJJVERBX09QRVIoUVRSLDQvMS8yMDA5LDYvMzAvMjAwOSwsLFVTRCk=&amp;WINDOW=FIRST_POPUP&amp;HEIGH","T=450&amp;WIDTH=450&amp;START_MAXIMIZED=FALSE&amp;VAR:CALENDAR=US&amp;VAR:SYMBOL=SLE&amp;VAR:INDEX=0"}</definedName>
    <definedName name="_1850__FDSAUDITLINK__" localSheetId="1" hidden="1">{"fdsup://Directions/FactSet Auditing Viewer?action=AUDIT_VALUE&amp;DB=129&amp;ID1=03076C10&amp;VALUEID=01001&amp;SDATE=200902&amp;PERIODTYPE=QTR_STD&amp;window=popup_no_bar&amp;width=385&amp;height=120&amp;START_MAXIMIZED=FALSE&amp;creator=factset&amp;display_string=Audit"}</definedName>
    <definedName name="_1850__FDSAUDITLINK__" hidden="1">{"fdsup://Directions/FactSet Auditing Viewer?action=AUDIT_VALUE&amp;DB=129&amp;ID1=03076C10&amp;VALUEID=01001&amp;SDATE=200902&amp;PERIODTYPE=QTR_STD&amp;window=popup_no_bar&amp;width=385&amp;height=120&amp;START_MAXIMIZED=FALSE&amp;creator=factset&amp;display_string=Audit"}</definedName>
    <definedName name="_1851__FDSAUDITLINK__" localSheetId="1" hidden="1">{"fdsup://Directions/FactSet Auditing Viewer?action=AUDIT_VALUE&amp;DB=129&amp;ID1=03076C10&amp;VALUEID=01001&amp;SDATE=201002&amp;PERIODTYPE=QTR_STD&amp;window=popup_no_bar&amp;width=385&amp;height=120&amp;START_MAXIMIZED=FALSE&amp;creator=factset&amp;display_string=Audit"}</definedName>
    <definedName name="_1851__FDSAUDITLINK__" hidden="1">{"fdsup://Directions/FactSet Auditing Viewer?action=AUDIT_VALUE&amp;DB=129&amp;ID1=03076C10&amp;VALUEID=01001&amp;SDATE=201002&amp;PERIODTYPE=QTR_STD&amp;window=popup_no_bar&amp;width=385&amp;height=120&amp;START_MAXIMIZED=FALSE&amp;creator=factset&amp;display_string=Audit"}</definedName>
    <definedName name="_1852__FDSAUDITLINK__" localSheetId="1" hidden="1">{"fdsup://Directions/FactSet Auditing Viewer?action=AUDIT_VALUE&amp;DB=129&amp;ID1=03116210&amp;VALUEID=01001&amp;SDATE=200902&amp;PERIODTYPE=QTR_STD&amp;window=popup_no_bar&amp;width=385&amp;height=120&amp;START_MAXIMIZED=FALSE&amp;creator=factset&amp;display_string=Audit"}</definedName>
    <definedName name="_1852__FDSAUDITLINK__" hidden="1">{"fdsup://Directions/FactSet Auditing Viewer?action=AUDIT_VALUE&amp;DB=129&amp;ID1=03116210&amp;VALUEID=01001&amp;SDATE=200902&amp;PERIODTYPE=QTR_STD&amp;window=popup_no_bar&amp;width=385&amp;height=120&amp;START_MAXIMIZED=FALSE&amp;creator=factset&amp;display_string=Audit"}</definedName>
    <definedName name="_1853__FDSAUDITLINK__" localSheetId="1" hidden="1">{"fdsup://Directions/FactSet Auditing Viewer?action=AUDIT_VALUE&amp;DB=129&amp;ID1=03116210&amp;VALUEID=01001&amp;SDATE=201002&amp;PERIODTYPE=QTR_STD&amp;window=popup_no_bar&amp;width=385&amp;height=120&amp;START_MAXIMIZED=FALSE&amp;creator=factset&amp;display_string=Audit"}</definedName>
    <definedName name="_1853__FDSAUDITLINK__" hidden="1">{"fdsup://Directions/FactSet Auditing Viewer?action=AUDIT_VALUE&amp;DB=129&amp;ID1=03116210&amp;VALUEID=01001&amp;SDATE=201002&amp;PERIODTYPE=QTR_STD&amp;window=popup_no_bar&amp;width=385&amp;height=120&amp;START_MAXIMIZED=FALSE&amp;creator=factset&amp;display_string=Audit"}</definedName>
    <definedName name="_1854__FDSAUDITLINK__" localSheetId="1" hidden="1">{"fdsup://Directions/FactSet Auditing Viewer?action=AUDIT_VALUE&amp;DB=129&amp;ID1=00790310&amp;VALUEID=01001&amp;SDATE=200902&amp;PERIODTYPE=QTR_STD&amp;window=popup_no_bar&amp;width=385&amp;height=120&amp;START_MAXIMIZED=FALSE&amp;creator=factset&amp;display_string=Audit"}</definedName>
    <definedName name="_1854__FDSAUDITLINK__" hidden="1">{"fdsup://Directions/FactSet Auditing Viewer?action=AUDIT_VALUE&amp;DB=129&amp;ID1=00790310&amp;VALUEID=01001&amp;SDATE=200902&amp;PERIODTYPE=QTR_STD&amp;window=popup_no_bar&amp;width=385&amp;height=120&amp;START_MAXIMIZED=FALSE&amp;creator=factset&amp;display_string=Audit"}</definedName>
    <definedName name="_1855__FDSAUDITLINK__" localSheetId="1" hidden="1">{"fdsup://Directions/FactSet Auditing Viewer?action=AUDIT_VALUE&amp;DB=129&amp;ID1=00790310&amp;VALUEID=01001&amp;SDATE=201002&amp;PERIODTYPE=QTR_STD&amp;window=popup_no_bar&amp;width=385&amp;height=120&amp;START_MAXIMIZED=FALSE&amp;creator=factset&amp;display_string=Audit"}</definedName>
    <definedName name="_1855__FDSAUDITLINK__" hidden="1">{"fdsup://Directions/FactSet Auditing Viewer?action=AUDIT_VALUE&amp;DB=129&amp;ID1=00790310&amp;VALUEID=01001&amp;SDATE=201002&amp;PERIODTYPE=QTR_STD&amp;window=popup_no_bar&amp;width=385&amp;height=120&amp;START_MAXIMIZED=FALSE&amp;creator=factset&amp;display_string=Audit"}</definedName>
    <definedName name="_1856__FDSAUDITLINK__" localSheetId="1" hidden="1">{"fdsup://Directions/FactSet Auditing Viewer?action=AUDIT_VALUE&amp;DB=129&amp;ID1=03822210&amp;VALUEID=01001&amp;SDATE=200902&amp;PERIODTYPE=QTR_STD&amp;window=popup_no_bar&amp;width=385&amp;height=120&amp;START_MAXIMIZED=FALSE&amp;creator=factset&amp;display_string=Audit"}</definedName>
    <definedName name="_1856__FDSAUDITLINK__" hidden="1">{"fdsup://Directions/FactSet Auditing Viewer?action=AUDIT_VALUE&amp;DB=129&amp;ID1=03822210&amp;VALUEID=01001&amp;SDATE=200902&amp;PERIODTYPE=QTR_STD&amp;window=popup_no_bar&amp;width=385&amp;height=120&amp;START_MAXIMIZED=FALSE&amp;creator=factset&amp;display_string=Audit"}</definedName>
    <definedName name="_1857__FDSAUDITLINK__" localSheetId="1" hidden="1">{"fdsup://Directions/FactSet Auditing Viewer?action=AUDIT_VALUE&amp;DB=129&amp;ID1=03822210&amp;VALUEID=01001&amp;SDATE=201002&amp;PERIODTYPE=QTR_STD&amp;window=popup_no_bar&amp;width=385&amp;height=120&amp;START_MAXIMIZED=FALSE&amp;creator=factset&amp;display_string=Audit"}</definedName>
    <definedName name="_1857__FDSAUDITLINK__" hidden="1">{"fdsup://Directions/FactSet Auditing Viewer?action=AUDIT_VALUE&amp;DB=129&amp;ID1=03822210&amp;VALUEID=01001&amp;SDATE=201002&amp;PERIODTYPE=QTR_STD&amp;window=popup_no_bar&amp;width=385&amp;height=120&amp;START_MAXIMIZED=FALSE&amp;creator=factset&amp;display_string=Audit"}</definedName>
    <definedName name="_1858__FDSAUDITLINK__" localSheetId="1" hidden="1">{"fdsup://Directions/FactSet Auditing Viewer?action=AUDIT_VALUE&amp;DB=129&amp;ID1=02144110&amp;VALUEID=01001&amp;SDATE=200902&amp;PERIODTYPE=QTR_STD&amp;window=popup_no_bar&amp;width=385&amp;height=120&amp;START_MAXIMIZED=FALSE&amp;creator=factset&amp;display_string=Audit"}</definedName>
    <definedName name="_1858__FDSAUDITLINK__" hidden="1">{"fdsup://Directions/FactSet Auditing Viewer?action=AUDIT_VALUE&amp;DB=129&amp;ID1=02144110&amp;VALUEID=01001&amp;SDATE=200902&amp;PERIODTYPE=QTR_STD&amp;window=popup_no_bar&amp;width=385&amp;height=120&amp;START_MAXIMIZED=FALSE&amp;creator=factset&amp;display_string=Audit"}</definedName>
    <definedName name="_1859__FDSAUDITLINK__" localSheetId="1" hidden="1">{"fdsup://Directions/FactSet Auditing Viewer?action=AUDIT_VALUE&amp;DB=129&amp;ID1=02144110&amp;VALUEID=01001&amp;SDATE=201002&amp;PERIODTYPE=QTR_STD&amp;window=popup_no_bar&amp;width=385&amp;height=120&amp;START_MAXIMIZED=FALSE&amp;creator=factset&amp;display_string=Audit"}</definedName>
    <definedName name="_1859__FDSAUDITLINK__" hidden="1">{"fdsup://Directions/FactSet Auditing Viewer?action=AUDIT_VALUE&amp;DB=129&amp;ID1=02144110&amp;VALUEID=01001&amp;SDATE=201002&amp;PERIODTYPE=QTR_STD&amp;window=popup_no_bar&amp;width=385&amp;height=120&amp;START_MAXIMIZED=FALSE&amp;creator=factset&amp;display_string=Audit"}</definedName>
    <definedName name="_186__FDSAUDITLINK__" localSheetId="1"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__FDSAUDITLINK__" hidden="1">{"fdsup://directions/FAT Viewer?action=UPDATE&amp;creator=factset&amp;DYN_ARGS=TRUE&amp;DOC_NAME=FAT:FQL_AUDITING_CLIENT_TEMPLATE.FAT&amp;display_string=Audit&amp;VAR:KEY=TQJQRSXSHA&amp;VAR:QUERY=RkZfRUJJVERBX09QRVIoUVRSLDQvMS8yMDEwLDYvMzAvMjAxMCwsLFVTRCk=&amp;WINDOW=FIRST_POPUP&amp;HEIGH","T=450&amp;WIDTH=450&amp;START_MAXIMIZED=FALSE&amp;VAR:CALENDAR=US&amp;VAR:SYMBOL=SLE&amp;VAR:INDEX=0"}</definedName>
    <definedName name="_1860__FDSAUDITLINK__" localSheetId="1" hidden="1">{"fdsup://Directions/FactSet Auditing Viewer?action=AUDIT_VALUE&amp;DB=129&amp;ID1=02000210&amp;VALUEID=01001&amp;SDATE=200902&amp;PERIODTYPE=QTR_STD&amp;window=popup_no_bar&amp;width=385&amp;height=120&amp;START_MAXIMIZED=FALSE&amp;creator=factset&amp;display_string=Audit"}</definedName>
    <definedName name="_1860__FDSAUDITLINK__" hidden="1">{"fdsup://Directions/FactSet Auditing Viewer?action=AUDIT_VALUE&amp;DB=129&amp;ID1=02000210&amp;VALUEID=01001&amp;SDATE=200902&amp;PERIODTYPE=QTR_STD&amp;window=popup_no_bar&amp;width=385&amp;height=120&amp;START_MAXIMIZED=FALSE&amp;creator=factset&amp;display_string=Audit"}</definedName>
    <definedName name="_1861__FDSAUDITLINK__" localSheetId="1" hidden="1">{"fdsup://Directions/FactSet Auditing Viewer?action=AUDIT_VALUE&amp;DB=129&amp;ID1=02000210&amp;VALUEID=01001&amp;SDATE=201002&amp;PERIODTYPE=QTR_STD&amp;window=popup_no_bar&amp;width=385&amp;height=120&amp;START_MAXIMIZED=FALSE&amp;creator=factset&amp;display_string=Audit"}</definedName>
    <definedName name="_1861__FDSAUDITLINK__" hidden="1">{"fdsup://Directions/FactSet Auditing Viewer?action=AUDIT_VALUE&amp;DB=129&amp;ID1=02000210&amp;VALUEID=01001&amp;SDATE=201002&amp;PERIODTYPE=QTR_STD&amp;window=popup_no_bar&amp;width=385&amp;height=120&amp;START_MAXIMIZED=FALSE&amp;creator=factset&amp;display_string=Audit"}</definedName>
    <definedName name="_1862__FDSAUDITLINK__" localSheetId="1" hidden="1">{"fdsup://Directions/FactSet Auditing Viewer?action=AUDIT_VALUE&amp;DB=129&amp;ID1=00154710&amp;VALUEID=01001&amp;SDATE=200902&amp;PERIODTYPE=QTR_STD&amp;window=popup_no_bar&amp;width=385&amp;height=120&amp;START_MAXIMIZED=FALSE&amp;creator=factset&amp;display_string=Audit"}</definedName>
    <definedName name="_1862__FDSAUDITLINK__" hidden="1">{"fdsup://Directions/FactSet Auditing Viewer?action=AUDIT_VALUE&amp;DB=129&amp;ID1=00154710&amp;VALUEID=01001&amp;SDATE=200902&amp;PERIODTYPE=QTR_STD&amp;window=popup_no_bar&amp;width=385&amp;height=120&amp;START_MAXIMIZED=FALSE&amp;creator=factset&amp;display_string=Audit"}</definedName>
    <definedName name="_1863__FDSAUDITLINK__" localSheetId="1" hidden="1">{"fdsup://Directions/FactSet Auditing Viewer?action=AUDIT_VALUE&amp;DB=129&amp;ID1=00154710&amp;VALUEID=01001&amp;SDATE=201002&amp;PERIODTYPE=QTR_STD&amp;window=popup_no_bar&amp;width=385&amp;height=120&amp;START_MAXIMIZED=FALSE&amp;creator=factset&amp;display_string=Audit"}</definedName>
    <definedName name="_1863__FDSAUDITLINK__" hidden="1">{"fdsup://Directions/FactSet Auditing Viewer?action=AUDIT_VALUE&amp;DB=129&amp;ID1=00154710&amp;VALUEID=01001&amp;SDATE=201002&amp;PERIODTYPE=QTR_STD&amp;window=popup_no_bar&amp;width=385&amp;height=120&amp;START_MAXIMIZED=FALSE&amp;creator=factset&amp;display_string=Audit"}</definedName>
    <definedName name="_1864__FDSAUDITLINK__" localSheetId="1" hidden="1">{"fdsup://Directions/FactSet Auditing Viewer?action=AUDIT_VALUE&amp;DB=129&amp;ID1=00971T10&amp;VALUEID=01001&amp;SDATE=200902&amp;PERIODTYPE=QTR_STD&amp;window=popup_no_bar&amp;width=385&amp;height=120&amp;START_MAXIMIZED=FALSE&amp;creator=factset&amp;display_string=Audit"}</definedName>
    <definedName name="_1864__FDSAUDITLINK__" hidden="1">{"fdsup://Directions/FactSet Auditing Viewer?action=AUDIT_VALUE&amp;DB=129&amp;ID1=00971T10&amp;VALUEID=01001&amp;SDATE=200902&amp;PERIODTYPE=QTR_STD&amp;window=popup_no_bar&amp;width=385&amp;height=120&amp;START_MAXIMIZED=FALSE&amp;creator=factset&amp;display_string=Audit"}</definedName>
    <definedName name="_1865__FDSAUDITLINK__" localSheetId="1" hidden="1">{"fdsup://Directions/FactSet Auditing Viewer?action=AUDIT_VALUE&amp;DB=129&amp;ID1=00971T10&amp;VALUEID=01001&amp;SDATE=201002&amp;PERIODTYPE=QTR_STD&amp;window=popup_no_bar&amp;width=385&amp;height=120&amp;START_MAXIMIZED=FALSE&amp;creator=factset&amp;display_string=Audit"}</definedName>
    <definedName name="_1865__FDSAUDITLINK__" hidden="1">{"fdsup://Directions/FactSet Auditing Viewer?action=AUDIT_VALUE&amp;DB=129&amp;ID1=00971T10&amp;VALUEID=01001&amp;SDATE=201002&amp;PERIODTYPE=QTR_STD&amp;window=popup_no_bar&amp;width=385&amp;height=120&amp;START_MAXIMIZED=FALSE&amp;creator=factset&amp;display_string=Audit"}</definedName>
    <definedName name="_1866__FDSAUDITLINK__" localSheetId="1" hidden="1">{"fdsup://Directions/FactSet Auditing Viewer?action=AUDIT_VALUE&amp;DB=129&amp;ID1=04621X10&amp;VALUEID=01001&amp;SDATE=200902&amp;PERIODTYPE=QTR_STD&amp;window=popup_no_bar&amp;width=385&amp;height=120&amp;START_MAXIMIZED=FALSE&amp;creator=factset&amp;display_string=Audit"}</definedName>
    <definedName name="_1866__FDSAUDITLINK__" hidden="1">{"fdsup://Directions/FactSet Auditing Viewer?action=AUDIT_VALUE&amp;DB=129&amp;ID1=04621X10&amp;VALUEID=01001&amp;SDATE=200902&amp;PERIODTYPE=QTR_STD&amp;window=popup_no_bar&amp;width=385&amp;height=120&amp;START_MAXIMIZED=FALSE&amp;creator=factset&amp;display_string=Audit"}</definedName>
    <definedName name="_1867__FDSAUDITLINK__" localSheetId="1" hidden="1">{"fdsup://Directions/FactSet Auditing Viewer?action=AUDIT_VALUE&amp;DB=129&amp;ID1=04621X10&amp;VALUEID=01001&amp;SDATE=201002&amp;PERIODTYPE=QTR_STD&amp;window=popup_no_bar&amp;width=385&amp;height=120&amp;START_MAXIMIZED=FALSE&amp;creator=factset&amp;display_string=Audit"}</definedName>
    <definedName name="_1867__FDSAUDITLINK__" hidden="1">{"fdsup://Directions/FactSet Auditing Viewer?action=AUDIT_VALUE&amp;DB=129&amp;ID1=04621X10&amp;VALUEID=01001&amp;SDATE=201002&amp;PERIODTYPE=QTR_STD&amp;window=popup_no_bar&amp;width=385&amp;height=120&amp;START_MAXIMIZED=FALSE&amp;creator=factset&amp;display_string=Audit"}</definedName>
    <definedName name="_1868__FDSAUDITLINK__" localSheetId="1" hidden="1">{"fdsup://Directions/FactSet Auditing Viewer?action=AUDIT_VALUE&amp;DB=129&amp;ID1=03748R10&amp;VALUEID=01001&amp;SDATE=200902&amp;PERIODTYPE=QTR_STD&amp;window=popup_no_bar&amp;width=385&amp;height=120&amp;START_MAXIMIZED=FALSE&amp;creator=factset&amp;display_string=Audit"}</definedName>
    <definedName name="_1868__FDSAUDITLINK__" hidden="1">{"fdsup://Directions/FactSet Auditing Viewer?action=AUDIT_VALUE&amp;DB=129&amp;ID1=03748R10&amp;VALUEID=01001&amp;SDATE=200902&amp;PERIODTYPE=QTR_STD&amp;window=popup_no_bar&amp;width=385&amp;height=120&amp;START_MAXIMIZED=FALSE&amp;creator=factset&amp;display_string=Audit"}</definedName>
    <definedName name="_1869__FDSAUDITLINK__" localSheetId="1" hidden="1">{"fdsup://Directions/FactSet Auditing Viewer?action=AUDIT_VALUE&amp;DB=129&amp;ID1=03748R10&amp;VALUEID=01001&amp;SDATE=201002&amp;PERIODTYPE=QTR_STD&amp;window=popup_no_bar&amp;width=385&amp;height=120&amp;START_MAXIMIZED=FALSE&amp;creator=factset&amp;display_string=Audit"}</definedName>
    <definedName name="_1869__FDSAUDITLINK__" hidden="1">{"fdsup://Directions/FactSet Auditing Viewer?action=AUDIT_VALUE&amp;DB=129&amp;ID1=03748R10&amp;VALUEID=01001&amp;SDATE=201002&amp;PERIODTYPE=QTR_STD&amp;window=popup_no_bar&amp;width=385&amp;height=120&amp;START_MAXIMIZED=FALSE&amp;creator=factset&amp;display_string=Audit"}</definedName>
    <definedName name="_187__FDSAUDITLINK__" localSheetId="1"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__FDSAUDITLINK__" hidden="1">{"fdsup://directions/FAT Viewer?action=UPDATE&amp;creator=factset&amp;DYN_ARGS=TRUE&amp;DOC_NAME=FAT:FQL_AUDITING_CLIENT_TEMPLATE.FAT&amp;display_string=Audit&amp;VAR:KEY=NIBYJQBCTS&amp;VAR:QUERY=RkZfRUJJVERBX09QRVIoUVRSLDQvMS8yMDA5LDYvMzAvMjAwOSwsLFVTRCk=&amp;WINDOW=FIRST_POPUP&amp;HEIGH","T=450&amp;WIDTH=450&amp;START_MAXIMIZED=FALSE&amp;VAR:CALENDAR=US&amp;VAR:SYMBOL=SLB&amp;VAR:INDEX=0"}</definedName>
    <definedName name="_1870__FDSAUDITLINK__" localSheetId="1" hidden="1">{"fdsup://Directions/FactSet Auditing Viewer?action=AUDIT_VALUE&amp;DB=129&amp;ID1=02687478&amp;VALUEID=01001&amp;SDATE=200902&amp;PERIODTYPE=QTR_STD&amp;window=popup_no_bar&amp;width=385&amp;height=120&amp;START_MAXIMIZED=FALSE&amp;creator=factset&amp;display_string=Audit"}</definedName>
    <definedName name="_1870__FDSAUDITLINK__" hidden="1">{"fdsup://Directions/FactSet Auditing Viewer?action=AUDIT_VALUE&amp;DB=129&amp;ID1=02687478&amp;VALUEID=01001&amp;SDATE=200902&amp;PERIODTYPE=QTR_STD&amp;window=popup_no_bar&amp;width=385&amp;height=120&amp;START_MAXIMIZED=FALSE&amp;creator=factset&amp;display_string=Audit"}</definedName>
    <definedName name="_1871__FDSAUDITLINK__" localSheetId="1" hidden="1">{"fdsup://Directions/FactSet Auditing Viewer?action=AUDIT_VALUE&amp;DB=129&amp;ID1=02687478&amp;VALUEID=01001&amp;SDATE=201002&amp;PERIODTYPE=QTR_STD&amp;window=popup_no_bar&amp;width=385&amp;height=120&amp;START_MAXIMIZED=FALSE&amp;creator=factset&amp;display_string=Audit"}</definedName>
    <definedName name="_1871__FDSAUDITLINK__" hidden="1">{"fdsup://Directions/FactSet Auditing Viewer?action=AUDIT_VALUE&amp;DB=129&amp;ID1=02687478&amp;VALUEID=01001&amp;SDATE=201002&amp;PERIODTYPE=QTR_STD&amp;window=popup_no_bar&amp;width=385&amp;height=120&amp;START_MAXIMIZED=FALSE&amp;creator=factset&amp;display_string=Audit"}</definedName>
    <definedName name="_1872__FDSAUDITLINK__" localSheetId="1" hidden="1">{"fdsup://Directions/FactSet Auditing Viewer?action=AUDIT_VALUE&amp;DB=129&amp;ID1=01849010&amp;VALUEID=01001&amp;SDATE=200902&amp;PERIODTYPE=QTR_STD&amp;window=popup_no_bar&amp;width=385&amp;height=120&amp;START_MAXIMIZED=FALSE&amp;creator=factset&amp;display_string=Audit"}</definedName>
    <definedName name="_1872__FDSAUDITLINK__" hidden="1">{"fdsup://Directions/FactSet Auditing Viewer?action=AUDIT_VALUE&amp;DB=129&amp;ID1=01849010&amp;VALUEID=01001&amp;SDATE=200902&amp;PERIODTYPE=QTR_STD&amp;window=popup_no_bar&amp;width=385&amp;height=120&amp;START_MAXIMIZED=FALSE&amp;creator=factset&amp;display_string=Audit"}</definedName>
    <definedName name="_1873__FDSAUDITLINK__" localSheetId="1" hidden="1">{"fdsup://Directions/FactSet Auditing Viewer?action=AUDIT_VALUE&amp;DB=129&amp;ID1=01849010&amp;VALUEID=01001&amp;SDATE=201002&amp;PERIODTYPE=QTR_STD&amp;window=popup_no_bar&amp;width=385&amp;height=120&amp;START_MAXIMIZED=FALSE&amp;creator=factset&amp;display_string=Audit"}</definedName>
    <definedName name="_1873__FDSAUDITLINK__" hidden="1">{"fdsup://Directions/FactSet Auditing Viewer?action=AUDIT_VALUE&amp;DB=129&amp;ID1=01849010&amp;VALUEID=01001&amp;SDATE=201002&amp;PERIODTYPE=QTR_STD&amp;window=popup_no_bar&amp;width=385&amp;height=120&amp;START_MAXIMIZED=FALSE&amp;creator=factset&amp;display_string=Audit"}</definedName>
    <definedName name="_1874__FDSAUDITLINK__" localSheetId="1" hidden="1">{"fdsup://Directions/FactSet Auditing Viewer?action=AUDIT_VALUE&amp;DB=129&amp;ID1=00105510&amp;VALUEID=01001&amp;SDATE=200902&amp;PERIODTYPE=QTR_STD&amp;window=popup_no_bar&amp;width=385&amp;height=120&amp;START_MAXIMIZED=FALSE&amp;creator=factset&amp;display_string=Audit"}</definedName>
    <definedName name="_1874__FDSAUDITLINK__" hidden="1">{"fdsup://Directions/FactSet Auditing Viewer?action=AUDIT_VALUE&amp;DB=129&amp;ID1=00105510&amp;VALUEID=01001&amp;SDATE=200902&amp;PERIODTYPE=QTR_STD&amp;window=popup_no_bar&amp;width=385&amp;height=120&amp;START_MAXIMIZED=FALSE&amp;creator=factset&amp;display_string=Audit"}</definedName>
    <definedName name="_1875__FDSAUDITLINK__" localSheetId="1" hidden="1">{"fdsup://Directions/FactSet Auditing Viewer?action=AUDIT_VALUE&amp;DB=129&amp;ID1=00105510&amp;VALUEID=01001&amp;SDATE=201002&amp;PERIODTYPE=QTR_STD&amp;window=popup_no_bar&amp;width=385&amp;height=120&amp;START_MAXIMIZED=FALSE&amp;creator=factset&amp;display_string=Audit"}</definedName>
    <definedName name="_1875__FDSAUDITLINK__" hidden="1">{"fdsup://Directions/FactSet Auditing Viewer?action=AUDIT_VALUE&amp;DB=129&amp;ID1=00105510&amp;VALUEID=01001&amp;SDATE=201002&amp;PERIODTYPE=QTR_STD&amp;window=popup_no_bar&amp;width=385&amp;height=120&amp;START_MAXIMIZED=FALSE&amp;creator=factset&amp;display_string=Audit"}</definedName>
    <definedName name="_1876__FDSAUDITLINK__" localSheetId="1" hidden="1">{"fdsup://Directions/FactSet Auditing Viewer?action=AUDIT_VALUE&amp;DB=129&amp;ID1=00817Y10&amp;VALUEID=01001&amp;SDATE=201002&amp;PERIODTYPE=QTR_STD&amp;window=popup_no_bar&amp;width=385&amp;height=120&amp;START_MAXIMIZED=FALSE&amp;creator=factset&amp;display_string=Audit"}</definedName>
    <definedName name="_1876__FDSAUDITLINK__" hidden="1">{"fdsup://Directions/FactSet Auditing Viewer?action=AUDIT_VALUE&amp;DB=129&amp;ID1=00817Y10&amp;VALUEID=01001&amp;SDATE=201002&amp;PERIODTYPE=QTR_STD&amp;window=popup_no_bar&amp;width=385&amp;height=120&amp;START_MAXIMIZED=FALSE&amp;creator=factset&amp;display_string=Audit"}</definedName>
    <definedName name="_1877__FDSAUDITLINK__" localSheetId="1" hidden="1">{"fdsup://Directions/FactSet Auditing Viewer?action=AUDIT_VALUE&amp;DB=129&amp;ID1=00130H10&amp;VALUEID=01001&amp;SDATE=200902&amp;PERIODTYPE=QTR_STD&amp;window=popup_no_bar&amp;width=385&amp;height=120&amp;START_MAXIMIZED=FALSE&amp;creator=factset&amp;display_string=Audit"}</definedName>
    <definedName name="_1877__FDSAUDITLINK__" hidden="1">{"fdsup://Directions/FactSet Auditing Viewer?action=AUDIT_VALUE&amp;DB=129&amp;ID1=00130H10&amp;VALUEID=01001&amp;SDATE=200902&amp;PERIODTYPE=QTR_STD&amp;window=popup_no_bar&amp;width=385&amp;height=120&amp;START_MAXIMIZED=FALSE&amp;creator=factset&amp;display_string=Audit"}</definedName>
    <definedName name="_1878__FDSAUDITLINK__" localSheetId="1" hidden="1">{"fdsup://Directions/FactSet Auditing Viewer?action=AUDIT_VALUE&amp;DB=129&amp;ID1=00130H10&amp;VALUEID=01001&amp;SDATE=201002&amp;PERIODTYPE=QTR_STD&amp;window=popup_no_bar&amp;width=385&amp;height=120&amp;START_MAXIMIZED=FALSE&amp;creator=factset&amp;display_string=Audit"}</definedName>
    <definedName name="_1878__FDSAUDITLINK__" hidden="1">{"fdsup://Directions/FactSet Auditing Viewer?action=AUDIT_VALUE&amp;DB=129&amp;ID1=00130H10&amp;VALUEID=01001&amp;SDATE=201002&amp;PERIODTYPE=QTR_STD&amp;window=popup_no_bar&amp;width=385&amp;height=120&amp;START_MAXIMIZED=FALSE&amp;creator=factset&amp;display_string=Audit"}</definedName>
    <definedName name="_1879__FDSAUDITLINK__" localSheetId="1" hidden="1">{"fdsup://Directions/FactSet Auditing Viewer?action=AUDIT_VALUE&amp;DB=129&amp;ID1=02553710&amp;VALUEID=01001&amp;SDATE=200902&amp;PERIODTYPE=QTR_STD&amp;window=popup_no_bar&amp;width=385&amp;height=120&amp;START_MAXIMIZED=FALSE&amp;creator=factset&amp;display_string=Audit"}</definedName>
    <definedName name="_1879__FDSAUDITLINK__" hidden="1">{"fdsup://Directions/FactSet Auditing Viewer?action=AUDIT_VALUE&amp;DB=129&amp;ID1=02553710&amp;VALUEID=01001&amp;SDATE=200902&amp;PERIODTYPE=QTR_STD&amp;window=popup_no_bar&amp;width=385&amp;height=120&amp;START_MAXIMIZED=FALSE&amp;creator=factset&amp;display_string=Audit"}</definedName>
    <definedName name="_188__FDSAUDITLINK__" localSheetId="1"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__FDSAUDITLINK__" hidden="1">{"fdsup://directions/FAT Viewer?action=UPDATE&amp;creator=factset&amp;DYN_ARGS=TRUE&amp;DOC_NAME=FAT:FQL_AUDITING_CLIENT_TEMPLATE.FAT&amp;display_string=Audit&amp;VAR:KEY=XMJCHQTGFI&amp;VAR:QUERY=RkZfRUJJVERBX09QRVIoUVRSLDQvMS8yMDEwLDYvMzAvMjAxMCwsLFVTRCk=&amp;WINDOW=FIRST_POPUP&amp;HEIGH","T=450&amp;WIDTH=450&amp;START_MAXIMIZED=FALSE&amp;VAR:CALENDAR=US&amp;VAR:SYMBOL=SLB&amp;VAR:INDEX=0"}</definedName>
    <definedName name="_1880__FDSAUDITLINK__" localSheetId="1" hidden="1">{"fdsup://Directions/FactSet Auditing Viewer?action=AUDIT_VALUE&amp;DB=129&amp;ID1=02553710&amp;VALUEID=01001&amp;SDATE=201002&amp;PERIODTYPE=QTR_STD&amp;window=popup_no_bar&amp;width=385&amp;height=120&amp;START_MAXIMIZED=FALSE&amp;creator=factset&amp;display_string=Audit"}</definedName>
    <definedName name="_1880__FDSAUDITLINK__" hidden="1">{"fdsup://Directions/FactSet Auditing Viewer?action=AUDIT_VALUE&amp;DB=129&amp;ID1=02553710&amp;VALUEID=01001&amp;SDATE=201002&amp;PERIODTYPE=QTR_STD&amp;window=popup_no_bar&amp;width=385&amp;height=120&amp;START_MAXIMIZED=FALSE&amp;creator=factset&amp;display_string=Audit"}</definedName>
    <definedName name="_1881__FDSAUDITLINK__" localSheetId="1" hidden="1">{"fdsup://Directions/FactSet Auditing Viewer?action=AUDIT_VALUE&amp;DB=129&amp;ID1=02360810&amp;VALUEID=01001&amp;SDATE=200902&amp;PERIODTYPE=QTR_STD&amp;window=popup_no_bar&amp;width=385&amp;height=120&amp;START_MAXIMIZED=FALSE&amp;creator=factset&amp;display_string=Audit"}</definedName>
    <definedName name="_1881__FDSAUDITLINK__" hidden="1">{"fdsup://Directions/FactSet Auditing Viewer?action=AUDIT_VALUE&amp;DB=129&amp;ID1=02360810&amp;VALUEID=01001&amp;SDATE=200902&amp;PERIODTYPE=QTR_STD&amp;window=popup_no_bar&amp;width=385&amp;height=120&amp;START_MAXIMIZED=FALSE&amp;creator=factset&amp;display_string=Audit"}</definedName>
    <definedName name="_1882__FDSAUDITLINK__" localSheetId="1" hidden="1">{"fdsup://Directions/FactSet Auditing Viewer?action=AUDIT_VALUE&amp;DB=129&amp;ID1=02360810&amp;VALUEID=01001&amp;SDATE=201002&amp;PERIODTYPE=QTR_STD&amp;window=popup_no_bar&amp;width=385&amp;height=120&amp;START_MAXIMIZED=FALSE&amp;creator=factset&amp;display_string=Audit"}</definedName>
    <definedName name="_1882__FDSAUDITLINK__" hidden="1">{"fdsup://Directions/FactSet Auditing Viewer?action=AUDIT_VALUE&amp;DB=129&amp;ID1=02360810&amp;VALUEID=01001&amp;SDATE=201002&amp;PERIODTYPE=QTR_STD&amp;window=popup_no_bar&amp;width=385&amp;height=120&amp;START_MAXIMIZED=FALSE&amp;creator=factset&amp;display_string=Audit"}</definedName>
    <definedName name="_1883__FDSAUDITLINK__" localSheetId="1" hidden="1">{"fdsup://Directions/FactSet Auditing Viewer?action=AUDIT_VALUE&amp;DB=129&amp;ID1=05276910&amp;VALUEID=01001&amp;SDATE=201001&amp;PERIODTYPE=QTR_STD&amp;window=popup_no_bar&amp;width=385&amp;height=120&amp;START_MAXIMIZED=FALSE&amp;creator=factset&amp;display_string=Audit"}</definedName>
    <definedName name="_1883__FDSAUDITLINK__" hidden="1">{"fdsup://Directions/FactSet Auditing Viewer?action=AUDIT_VALUE&amp;DB=129&amp;ID1=05276910&amp;VALUEID=01001&amp;SDATE=201001&amp;PERIODTYPE=QTR_STD&amp;window=popup_no_bar&amp;width=385&amp;height=120&amp;START_MAXIMIZED=FALSE&amp;creator=factset&amp;display_string=Audit"}</definedName>
    <definedName name="_1884__FDSAUDITLINK__" localSheetId="1" hidden="1">{"fdsup://Directions/FactSet Auditing Viewer?action=AUDIT_VALUE&amp;DB=129&amp;ID1=05301510&amp;VALUEID=01001&amp;SDATE=200904&amp;PERIODTYPE=QTR_STD&amp;window=popup_no_bar&amp;width=385&amp;height=120&amp;START_MAXIMIZED=FALSE&amp;creator=factset&amp;display_string=Audit"}</definedName>
    <definedName name="_1884__FDSAUDITLINK__" hidden="1">{"fdsup://Directions/FactSet Auditing Viewer?action=AUDIT_VALUE&amp;DB=129&amp;ID1=05301510&amp;VALUEID=01001&amp;SDATE=200904&amp;PERIODTYPE=QTR_STD&amp;window=popup_no_bar&amp;width=385&amp;height=120&amp;START_MAXIMIZED=FALSE&amp;creator=factset&amp;display_string=Audit"}</definedName>
    <definedName name="_1885__FDSAUDITLINK__" localSheetId="1" hidden="1">{"fdsup://Directions/FactSet Auditing Viewer?action=AUDIT_VALUE&amp;DB=129&amp;ID1=05301510&amp;VALUEID=01001&amp;SDATE=201004&amp;PERIODTYPE=QTR_STD&amp;window=popup_no_bar&amp;width=385&amp;height=120&amp;START_MAXIMIZED=FALSE&amp;creator=factset&amp;display_string=Audit"}</definedName>
    <definedName name="_1885__FDSAUDITLINK__" hidden="1">{"fdsup://Directions/FactSet Auditing Viewer?action=AUDIT_VALUE&amp;DB=129&amp;ID1=05301510&amp;VALUEID=01001&amp;SDATE=201004&amp;PERIODTYPE=QTR_STD&amp;window=popup_no_bar&amp;width=385&amp;height=120&amp;START_MAXIMIZED=FALSE&amp;creator=factset&amp;display_string=Audit"}</definedName>
    <definedName name="_1886__FDSAUDITLINK__" localSheetId="1" hidden="1">{"fdsup://Directions/FactSet Auditing Viewer?action=AUDIT_VALUE&amp;DB=129&amp;ID1=03948310&amp;VALUEID=01001&amp;SDATE=201004&amp;PERIODTYPE=QTR_STD&amp;window=popup_no_bar&amp;width=385&amp;height=120&amp;START_MAXIMIZED=FALSE&amp;creator=factset&amp;display_string=Audit"}</definedName>
    <definedName name="_1886__FDSAUDITLINK__" hidden="1">{"fdsup://Directions/FactSet Auditing Viewer?action=AUDIT_VALUE&amp;DB=129&amp;ID1=03948310&amp;VALUEID=01001&amp;SDATE=201004&amp;PERIODTYPE=QTR_STD&amp;window=popup_no_bar&amp;width=385&amp;height=120&amp;START_MAXIMIZED=FALSE&amp;creator=factset&amp;display_string=Audit"}</definedName>
    <definedName name="_1887__FDSAUDITLINK__" localSheetId="1" hidden="1">{"fdsup://Directions/FactSet Auditing Viewer?action=AUDIT_VALUE&amp;DB=129&amp;ID1=03265410&amp;VALUEID=01001&amp;SDATE=201002&amp;PERIODTYPE=QTR_STD&amp;window=popup_no_bar&amp;width=385&amp;height=120&amp;START_MAXIMIZED=FALSE&amp;creator=factset&amp;display_string=Audit"}</definedName>
    <definedName name="_1887__FDSAUDITLINK__" hidden="1">{"fdsup://Directions/FactSet Auditing Viewer?action=AUDIT_VALUE&amp;DB=129&amp;ID1=03265410&amp;VALUEID=01001&amp;SDATE=201002&amp;PERIODTYPE=QTR_STD&amp;window=popup_no_bar&amp;width=385&amp;height=120&amp;START_MAXIMIZED=FALSE&amp;creator=factset&amp;display_string=Audit"}</definedName>
    <definedName name="_1888__FDSAUDITLINK__" localSheetId="1" hidden="1">{"fdsup://Directions/FactSet Auditing Viewer?action=AUDIT_VALUE&amp;DB=129&amp;ID1=00724F10&amp;VALUEID=01001&amp;SDATE=200902&amp;PERIODTYPE=QTR_STD&amp;window=popup_no_bar&amp;width=385&amp;height=120&amp;START_MAXIMIZED=FALSE&amp;creator=factset&amp;display_string=Audit"}</definedName>
    <definedName name="_1888__FDSAUDITLINK__" hidden="1">{"fdsup://Directions/FactSet Auditing Viewer?action=AUDIT_VALUE&amp;DB=129&amp;ID1=00724F10&amp;VALUEID=01001&amp;SDATE=200902&amp;PERIODTYPE=QTR_STD&amp;window=popup_no_bar&amp;width=385&amp;height=120&amp;START_MAXIMIZED=FALSE&amp;creator=factset&amp;display_string=Audit"}</definedName>
    <definedName name="_1889__FDSAUDITLINK__" localSheetId="1" hidden="1">{"fdsup://Directions/FactSet Auditing Viewer?action=AUDIT_VALUE&amp;DB=129&amp;ID1=00724F10&amp;VALUEID=01001&amp;SDATE=201002&amp;PERIODTYPE=QTR_STD&amp;window=popup_no_bar&amp;width=385&amp;height=120&amp;START_MAXIMIZED=FALSE&amp;creator=factset&amp;display_string=Audit"}</definedName>
    <definedName name="_1889__FDSAUDITLINK__" hidden="1">{"fdsup://Directions/FactSet Auditing Viewer?action=AUDIT_VALUE&amp;DB=129&amp;ID1=00724F10&amp;VALUEID=01001&amp;SDATE=201002&amp;PERIODTYPE=QTR_STD&amp;window=popup_no_bar&amp;width=385&amp;height=120&amp;START_MAXIMIZED=FALSE&amp;creator=factset&amp;display_string=Audit"}</definedName>
    <definedName name="_189__FDSAUDITLINK__" localSheetId="1"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__FDSAUDITLINK__" hidden="1">{"fdsup://directions/FAT Viewer?action=UPDATE&amp;creator=factset&amp;DYN_ARGS=TRUE&amp;DOC_NAME=FAT:FQL_AUDITING_CLIENT_TEMPLATE.FAT&amp;display_string=Audit&amp;VAR:KEY=LYRKBCXMTW&amp;VAR:QUERY=RkZfRUJJVERBX09QRVIoUVRSLDQvMS8yMDA5LDYvMzAvMjAwOSwsLFVTRCk=&amp;WINDOW=FIRST_POPUP&amp;HEIGH","T=450&amp;WIDTH=450&amp;START_MAXIMIZED=FALSE&amp;VAR:CALENDAR=US&amp;VAR:SYMBOL=SJM&amp;VAR:INDEX=0"}</definedName>
    <definedName name="_1890__FDSAUDITLINK__" localSheetId="1" hidden="1">{"fdsup://Directions/FactSet Auditing Viewer?action=AUDIT_VALUE&amp;DB=129&amp;ID1=H0023R10&amp;VALUEID=01001&amp;SDATE=200902&amp;PERIODTYPE=QTR_STD&amp;window=popup_no_bar&amp;width=385&amp;height=120&amp;START_MAXIMIZED=FALSE&amp;creator=factset&amp;display_string=Audit"}</definedName>
    <definedName name="_1890__FDSAUDITLINK__" hidden="1">{"fdsup://Directions/FactSet Auditing Viewer?action=AUDIT_VALUE&amp;DB=129&amp;ID1=H0023R10&amp;VALUEID=01001&amp;SDATE=200902&amp;PERIODTYPE=QTR_STD&amp;window=popup_no_bar&amp;width=385&amp;height=120&amp;START_MAXIMIZED=FALSE&amp;creator=factset&amp;display_string=Audit"}</definedName>
    <definedName name="_1891__FDSAUDITLINK__" localSheetId="1" hidden="1">{"fdsup://Directions/FactSet Auditing Viewer?action=AUDIT_VALUE&amp;DB=129&amp;ID1=H0023R10&amp;VALUEID=01001&amp;SDATE=201002&amp;PERIODTYPE=QTR_STD&amp;window=popup_no_bar&amp;width=385&amp;height=120&amp;START_MAXIMIZED=FALSE&amp;creator=factset&amp;display_string=Audit"}</definedName>
    <definedName name="_1891__FDSAUDITLINK__" hidden="1">{"fdsup://Directions/FactSet Auditing Viewer?action=AUDIT_VALUE&amp;DB=129&amp;ID1=H0023R10&amp;VALUEID=01001&amp;SDATE=201002&amp;PERIODTYPE=QTR_STD&amp;window=popup_no_bar&amp;width=385&amp;height=120&amp;START_MAXIMIZED=FALSE&amp;creator=factset&amp;display_string=Audit"}</definedName>
    <definedName name="_1892__FDSAUDITLINK__" localSheetId="1" hidden="1">{"fdsup://Directions/FactSet Auditing Viewer?action=AUDIT_VALUE&amp;DB=129&amp;ID1=00282410&amp;VALUEID=01001&amp;SDATE=200902&amp;PERIODTYPE=QTR_STD&amp;window=popup_no_bar&amp;width=385&amp;height=120&amp;START_MAXIMIZED=FALSE&amp;creator=factset&amp;display_string=Audit"}</definedName>
    <definedName name="_1892__FDSAUDITLINK__" hidden="1">{"fdsup://Directions/FactSet Auditing Viewer?action=AUDIT_VALUE&amp;DB=129&amp;ID1=00282410&amp;VALUEID=01001&amp;SDATE=200902&amp;PERIODTYPE=QTR_STD&amp;window=popup_no_bar&amp;width=385&amp;height=120&amp;START_MAXIMIZED=FALSE&amp;creator=factset&amp;display_string=Audit"}</definedName>
    <definedName name="_1893__FDSAUDITLINK__" localSheetId="1" hidden="1">{"fdsup://Directions/FactSet Auditing Viewer?action=AUDIT_VALUE&amp;DB=129&amp;ID1=00282410&amp;VALUEID=01001&amp;SDATE=201002&amp;PERIODTYPE=QTR_STD&amp;window=popup_no_bar&amp;width=385&amp;height=120&amp;START_MAXIMIZED=FALSE&amp;creator=factset&amp;display_string=Audit"}</definedName>
    <definedName name="_1893__FDSAUDITLINK__" hidden="1">{"fdsup://Directions/FactSet Auditing Viewer?action=AUDIT_VALUE&amp;DB=129&amp;ID1=00282410&amp;VALUEID=01001&amp;SDATE=201002&amp;PERIODTYPE=QTR_STD&amp;window=popup_no_bar&amp;width=385&amp;height=120&amp;START_MAXIMIZED=FALSE&amp;creator=factset&amp;display_string=Audit"}</definedName>
    <definedName name="_1894__FDSAUDITLINK__" localSheetId="1" hidden="1">{"fdsup://Directions/FactSet Auditing Viewer?action=AUDIT_VALUE&amp;DB=129&amp;ID1=03073E10&amp;VALUEID=01001&amp;SDATE=200903&amp;PERIODTYPE=QTR_STD&amp;window=popup_no_bar&amp;width=385&amp;height=120&amp;START_MAXIMIZED=FALSE&amp;creator=factset&amp;display_string=Audit"}</definedName>
    <definedName name="_1894__FDSAUDITLINK__" hidden="1">{"fdsup://Directions/FactSet Auditing Viewer?action=AUDIT_VALUE&amp;DB=129&amp;ID1=03073E10&amp;VALUEID=01001&amp;SDATE=200903&amp;PERIODTYPE=QTR_STD&amp;window=popup_no_bar&amp;width=385&amp;height=120&amp;START_MAXIMIZED=FALSE&amp;creator=factset&amp;display_string=Audit"}</definedName>
    <definedName name="_1895__FDSAUDITLINK__" localSheetId="1" hidden="1">{"fdsup://Directions/FactSet Auditing Viewer?action=AUDIT_VALUE&amp;DB=129&amp;ID1=03073E10&amp;VALUEID=01001&amp;SDATE=201003&amp;PERIODTYPE=QTR_STD&amp;window=popup_no_bar&amp;width=385&amp;height=120&amp;START_MAXIMIZED=FALSE&amp;creator=factset&amp;display_string=Audit"}</definedName>
    <definedName name="_1895__FDSAUDITLINK__" hidden="1">{"fdsup://Directions/FactSet Auditing Viewer?action=AUDIT_VALUE&amp;DB=129&amp;ID1=03073E10&amp;VALUEID=01001&amp;SDATE=201003&amp;PERIODTYPE=QTR_STD&amp;window=popup_no_bar&amp;width=385&amp;height=120&amp;START_MAXIMIZED=FALSE&amp;creator=factset&amp;display_string=Audit"}</definedName>
    <definedName name="_1896__FDSAUDITLINK__" localSheetId="1" hidden="1">{"fdsup://Directions/FactSet Auditing Viewer?action=AUDIT_VALUE&amp;DB=129&amp;ID1=03783310&amp;VALUEID=01001&amp;SDATE=200903&amp;PERIODTYPE=QTR_STD&amp;window=popup_no_bar&amp;width=385&amp;height=120&amp;START_MAXIMIZED=FALSE&amp;creator=factset&amp;display_string=Audit"}</definedName>
    <definedName name="_1896__FDSAUDITLINK__" hidden="1">{"fdsup://Directions/FactSet Auditing Viewer?action=AUDIT_VALUE&amp;DB=129&amp;ID1=03783310&amp;VALUEID=01001&amp;SDATE=200903&amp;PERIODTYPE=QTR_STD&amp;window=popup_no_bar&amp;width=385&amp;height=120&amp;START_MAXIMIZED=FALSE&amp;creator=factset&amp;display_string=Audit"}</definedName>
    <definedName name="_1897__FDSAUDITLINK__" localSheetId="1" hidden="1">{"fdsup://Directions/FactSet Auditing Viewer?action=AUDIT_VALUE&amp;DB=129&amp;ID1=03783310&amp;VALUEID=01001&amp;SDATE=201003&amp;PERIODTYPE=QTR_STD&amp;window=popup_no_bar&amp;width=385&amp;height=120&amp;START_MAXIMIZED=FALSE&amp;creator=factset&amp;display_string=Audit"}</definedName>
    <definedName name="_1897__FDSAUDITLINK__" hidden="1">{"fdsup://Directions/FactSet Auditing Viewer?action=AUDIT_VALUE&amp;DB=129&amp;ID1=03783310&amp;VALUEID=01001&amp;SDATE=201003&amp;PERIODTYPE=QTR_STD&amp;window=popup_no_bar&amp;width=385&amp;height=120&amp;START_MAXIMIZED=FALSE&amp;creator=factset&amp;display_string=Audit"}</definedName>
    <definedName name="_1898__FDSAUDITLINK__" localSheetId="1" hidden="1">{"fdsup://Directions/FactSet Auditing Viewer?action=AUDIT_VALUE&amp;DB=129&amp;ID1=01381710&amp;VALUEID=01001&amp;SDATE=200902&amp;PERIODTYPE=QTR_STD&amp;window=popup_no_bar&amp;width=385&amp;height=120&amp;START_MAXIMIZED=FALSE&amp;creator=factset&amp;display_string=Audit"}</definedName>
    <definedName name="_1898__FDSAUDITLINK__" hidden="1">{"fdsup://Directions/FactSet Auditing Viewer?action=AUDIT_VALUE&amp;DB=129&amp;ID1=01381710&amp;VALUEID=01001&amp;SDATE=200902&amp;PERIODTYPE=QTR_STD&amp;window=popup_no_bar&amp;width=385&amp;height=120&amp;START_MAXIMIZED=FALSE&amp;creator=factset&amp;display_string=Audit"}</definedName>
    <definedName name="_1899__FDSAUDITLINK__" localSheetId="1" hidden="1">{"fdsup://Directions/FactSet Auditing Viewer?action=AUDIT_VALUE&amp;DB=129&amp;ID1=01381710&amp;VALUEID=01001&amp;SDATE=201002&amp;PERIODTYPE=QTR_STD&amp;window=popup_no_bar&amp;width=385&amp;height=120&amp;START_MAXIMIZED=FALSE&amp;creator=factset&amp;display_string=Audit"}</definedName>
    <definedName name="_1899__FDSAUDITLINK__" hidden="1">{"fdsup://Directions/FactSet Auditing Viewer?action=AUDIT_VALUE&amp;DB=129&amp;ID1=01381710&amp;VALUEID=01001&amp;SDATE=201002&amp;PERIODTYPE=QTR_STD&amp;window=popup_no_bar&amp;width=385&amp;height=120&amp;START_MAXIMIZED=FALSE&amp;creator=factset&amp;display_string=Audit"}</definedName>
    <definedName name="_19__FDSAUDITLINK__" localSheetId="1"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__FDSAUDITLINK__" hidden="1">{"fdsup://directions/FAT Viewer?action=UPDATE&amp;creator=factset&amp;DYN_ARGS=TRUE&amp;DOC_NAME=FAT:FQL_AUDITING_CLIENT_TEMPLATE.FAT&amp;display_string=Audit&amp;VAR:KEY=LQFIVAVIRA&amp;VAR:QUERY=RkZfRUJJVERBX09QRVIoUVRSLDQvMS8yMDA5LDYvMzAvMjAwOSwsLFVTRCk=&amp;WINDOW=FIRST_POPUP&amp;HEIGH","T=450&amp;WIDTH=450&amp;START_MAXIMIZED=FALSE&amp;VAR:CALENDAR=US&amp;VAR:SYMBOL=XEL&amp;VAR:INDEX=0"}</definedName>
    <definedName name="_190__FDSAUDITLINK__" localSheetId="1"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__FDSAUDITLINK__" hidden="1">{"fdsup://directions/FAT Viewer?action=UPDATE&amp;creator=factset&amp;DYN_ARGS=TRUE&amp;DOC_NAME=FAT:FQL_AUDITING_CLIENT_TEMPLATE.FAT&amp;display_string=Audit&amp;VAR:KEY=HIPYTYRUBC&amp;VAR:QUERY=RkZfRUJJVERBX09QRVIoUVRSLDQvMS8yMDEwLDYvMzAvMjAxMCwsLFVTRCk=&amp;WINDOW=FIRST_POPUP&amp;HEIGH","T=450&amp;WIDTH=450&amp;START_MAXIMIZED=FALSE&amp;VAR:CALENDAR=US&amp;VAR:SYMBOL=SJM&amp;VAR:INDEX=0"}</definedName>
    <definedName name="_1900__FDSAUDITLINK__" localSheetId="1" hidden="1">{"fdsup://Directions/FactSet Auditing Viewer?action=AUDIT_VALUE&amp;DB=129&amp;ID1=00846U10&amp;VALUEID=01001&amp;SDATE=200902&amp;PERIODTYPE=QTR_STD&amp;window=popup_no_bar&amp;width=385&amp;height=120&amp;START_MAXIMIZED=FALSE&amp;creator=factset&amp;display_string=Audit"}</definedName>
    <definedName name="_1900__FDSAUDITLINK__" hidden="1">{"fdsup://Directions/FactSet Auditing Viewer?action=AUDIT_VALUE&amp;DB=129&amp;ID1=00846U10&amp;VALUEID=01001&amp;SDATE=200902&amp;PERIODTYPE=QTR_STD&amp;window=popup_no_bar&amp;width=385&amp;height=120&amp;START_MAXIMIZED=FALSE&amp;creator=factset&amp;display_string=Audit"}</definedName>
    <definedName name="_1901__FDSAUDITLINK__" localSheetId="1" hidden="1">{"fdsup://Directions/FactSet Auditing Viewer?action=AUDIT_VALUE&amp;DB=129&amp;ID1=00846U10&amp;VALUEID=01001&amp;SDATE=201002&amp;PERIODTYPE=QTR_STD&amp;window=popup_no_bar&amp;width=385&amp;height=120&amp;START_MAXIMIZED=FALSE&amp;creator=factset&amp;display_string=Audit"}</definedName>
    <definedName name="_1901__FDSAUDITLINK__" hidden="1">{"fdsup://Directions/FactSet Auditing Viewer?action=AUDIT_VALUE&amp;DB=129&amp;ID1=00846U10&amp;VALUEID=01001&amp;SDATE=201002&amp;PERIODTYPE=QTR_STD&amp;window=popup_no_bar&amp;width=385&amp;height=120&amp;START_MAXIMIZED=FALSE&amp;creator=factset&amp;display_string=Audit"}</definedName>
    <definedName name="_191__FDSAUDITLINK__" localSheetId="1"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1__FDSAUDITLINK__" hidden="1">{"fdsup://directions/FAT Viewer?action=UPDATE&amp;creator=factset&amp;DYN_ARGS=TRUE&amp;DOC_NAME=FAT:FQL_AUDITING_CLIENT_TEMPLATE.FAT&amp;display_string=Audit&amp;VAR:KEY=FOFABKDYZA&amp;VAR:QUERY=RkZfRUJJVERBX09QRVIoUVRSLDQvMS8yMDA5LDYvMzAvMjAwOSwsLFVTRCk=&amp;WINDOW=FIRST_POPUP&amp;HEIGH","T=450&amp;WIDTH=450&amp;START_MAXIMIZED=FALSE&amp;VAR:CALENDAR=US&amp;VAR:SYMBOL=SIAL&amp;VAR:INDEX=0"}</definedName>
    <definedName name="_192__FDSAUDITLINK__" localSheetId="1"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2__FDSAUDITLINK__" hidden="1">{"fdsup://directions/FAT Viewer?action=UPDATE&amp;creator=factset&amp;DYN_ARGS=TRUE&amp;DOC_NAME=FAT:FQL_AUDITING_CLIENT_TEMPLATE.FAT&amp;display_string=Audit&amp;VAR:KEY=HMJIHUHGXA&amp;VAR:QUERY=RkZfRUJJVERBX09QRVIoUVRSLDQvMS8yMDEwLDYvMzAvMjAxMCwsLFVTRCk=&amp;WINDOW=FIRST_POPUP&amp;HEIGH","T=450&amp;WIDTH=450&amp;START_MAXIMIZED=FALSE&amp;VAR:CALENDAR=US&amp;VAR:SYMBOL=SIAL&amp;VAR:INDEX=0"}</definedName>
    <definedName name="_193__FDSAUDITLINK__" localSheetId="1"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3__FDSAUDITLINK__" hidden="1">{"fdsup://directions/FAT Viewer?action=UPDATE&amp;creator=factset&amp;DYN_ARGS=TRUE&amp;DOC_NAME=FAT:FQL_AUDITING_CLIENT_TEMPLATE.FAT&amp;display_string=Audit&amp;VAR:KEY=NOXOVYBIVS&amp;VAR:QUERY=RkZfRUJJVERBX09QRVIoUVRSLDQvMS8yMDA5LDYvMzAvMjAwOSwsLFVTRCk=&amp;WINDOW=FIRST_POPUP&amp;HEIGH","T=450&amp;WIDTH=450&amp;START_MAXIMIZED=FALSE&amp;VAR:CALENDAR=US&amp;VAR:SYMBOL=SHW&amp;VAR:INDEX=0"}</definedName>
    <definedName name="_194__FDSAUDITLINK__" localSheetId="1"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4__FDSAUDITLINK__" hidden="1">{"fdsup://directions/FAT Viewer?action=UPDATE&amp;creator=factset&amp;DYN_ARGS=TRUE&amp;DOC_NAME=FAT:FQL_AUDITING_CLIENT_TEMPLATE.FAT&amp;display_string=Audit&amp;VAR:KEY=LALEVWNALE&amp;VAR:QUERY=RkZfRUJJVERBX09QRVIoUVRSLDQvMS8yMDEwLDYvMzAvMjAxMCwsLFVTRCk=&amp;WINDOW=FIRST_POPUP&amp;HEIGH","T=450&amp;WIDTH=450&amp;START_MAXIMIZED=FALSE&amp;VAR:CALENDAR=US&amp;VAR:SYMBOL=SHW&amp;VAR:INDEX=0"}</definedName>
    <definedName name="_195__FDSAUDITLINK__" localSheetId="1"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5__FDSAUDITLINK__" hidden="1">{"fdsup://directions/FAT Viewer?action=UPDATE&amp;creator=factset&amp;DYN_ARGS=TRUE&amp;DOC_NAME=FAT:FQL_AUDITING_CLIENT_TEMPLATE.FAT&amp;display_string=Audit&amp;VAR:KEY=BWRWPCJELG&amp;VAR:QUERY=RkZfRUJJVERBX09QRVIoUVRSLDQvMS8yMDA5LDYvMzAvMjAwOSwsLFVTRCk=&amp;WINDOW=FIRST_POPUP&amp;HEIGH","T=450&amp;WIDTH=450&amp;START_MAXIMIZED=FALSE&amp;VAR:CALENDAR=US&amp;VAR:SYMBOL=SHLD&amp;VAR:INDEX=0"}</definedName>
    <definedName name="_196__FDSAUDITLINK__" localSheetId="1"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6__FDSAUDITLINK__" hidden="1">{"fdsup://directions/FAT Viewer?action=UPDATE&amp;creator=factset&amp;DYN_ARGS=TRUE&amp;DOC_NAME=FAT:FQL_AUDITING_CLIENT_TEMPLATE.FAT&amp;display_string=Audit&amp;VAR:KEY=TIJURCVMNO&amp;VAR:QUERY=RkZfRUJJVERBX09QRVIoUVRSLDQvMS8yMDEwLDYvMzAvMjAxMCwsLFVTRCk=&amp;WINDOW=FIRST_POPUP&amp;HEIGH","T=450&amp;WIDTH=450&amp;START_MAXIMIZED=FALSE&amp;VAR:CALENDAR=US&amp;VAR:SYMBOL=SHLD&amp;VAR:INDEX=0"}</definedName>
    <definedName name="_197__FDSAUDITLINK__" localSheetId="1"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7__FDSAUDITLINK__" hidden="1">{"fdsup://directions/FAT Viewer?action=UPDATE&amp;creator=factset&amp;DYN_ARGS=TRUE&amp;DOC_NAME=FAT:FQL_AUDITING_CLIENT_TEMPLATE.FAT&amp;display_string=Audit&amp;VAR:KEY=HSJUPEXEBS&amp;VAR:QUERY=RkZfRUJJVERBX09QRVIoUVRSLDQvMS8yMDA5LDYvMzAvMjAwOSwsLFVTRCk=&amp;WINDOW=FIRST_POPUP&amp;HEIGH","T=450&amp;WIDTH=450&amp;START_MAXIMIZED=FALSE&amp;VAR:CALENDAR=US&amp;VAR:SYMBOL=SEE&amp;VAR:INDEX=0"}</definedName>
    <definedName name="_198__FDSAUDITLINK__" localSheetId="1"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8__FDSAUDITLINK__" hidden="1">{"fdsup://directions/FAT Viewer?action=UPDATE&amp;creator=factset&amp;DYN_ARGS=TRUE&amp;DOC_NAME=FAT:FQL_AUDITING_CLIENT_TEMPLATE.FAT&amp;display_string=Audit&amp;VAR:KEY=RMDYXIHQFI&amp;VAR:QUERY=RkZfRUJJVERBX09QRVIoUVRSLDQvMS8yMDEwLDYvMzAvMjAxMCwsLFVTRCk=&amp;WINDOW=FIRST_POPUP&amp;HEIGH","T=450&amp;WIDTH=450&amp;START_MAXIMIZED=FALSE&amp;VAR:CALENDAR=US&amp;VAR:SYMBOL=SEE&amp;VAR:INDEX=0"}</definedName>
    <definedName name="_199__FDSAUDITLINK__" localSheetId="1"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199__FDSAUDITLINK__" hidden="1">{"fdsup://directions/FAT Viewer?action=UPDATE&amp;creator=factset&amp;DYN_ARGS=TRUE&amp;DOC_NAME=FAT:FQL_AUDITING_CLIENT_TEMPLATE.FAT&amp;display_string=Audit&amp;VAR:KEY=JCHMDCTUFM&amp;VAR:QUERY=RkZfRUJJVERBX09QRVIoUVRSLDQvMS8yMDA5LDYvMzAvMjAwOSwsLFVTRCk=&amp;WINDOW=FIRST_POPUP&amp;HEIGH","T=450&amp;WIDTH=450&amp;START_MAXIMIZED=FALSE&amp;VAR:CALENDAR=US&amp;VAR:SYMBOL=SE&amp;VAR:INDEX=0"}</definedName>
    <definedName name="_2__FDSAUDITLINK__" localSheetId="1" hidden="1">{"fdsup://directions/FAT Viewer?action=UPDATE&amp;creator=factset&amp;DYN_ARGS=TRUE&amp;DOC_NAME=FAT:FQL_AUDITING_CLIENT_TEMPLATE.FAT&amp;display_string=Audit&amp;VAR:KEY=BWLABMHOFO&amp;VAR:QUERY=RkZfRUJJVERBX09QRVIoUVRSLDQvMS8yMDEwLDYvMzAvMjAxMCwsLFVTRCk=&amp;WINDOW=FIRST_POPUP&amp;HEIGH","T=450&amp;WIDTH=450&amp;START_MAXIMIZED=FALSE&amp;VAR:CALENDAR=US&amp;VAR:SYMBOL=ZMH&amp;VAR:INDEX=0"}</definedName>
    <definedName name="_2__FDSAUDITLINK__" hidden="1">{"fdsup://directions/FAT Viewer?action=UPDATE&amp;creator=factset&amp;DYN_ARGS=TRUE&amp;DOC_NAME=FAT:FQL_AUDITING_CLIENT_TEMPLATE.FAT&amp;display_string=Audit&amp;VAR:KEY=BWLABMHOFO&amp;VAR:QUERY=RkZfRUJJVERBX09QRVIoUVRSLDQvMS8yMDEwLDYvMzAvMjAxMCwsLFVTRCk=&amp;WINDOW=FIRST_POPUP&amp;HEIGH","T=450&amp;WIDTH=450&amp;START_MAXIMIZED=FALSE&amp;VAR:CALENDAR=US&amp;VAR:SYMBOL=ZMH&amp;VAR:INDEX=0"}</definedName>
    <definedName name="_20__FDSAUDITLINK__" localSheetId="1"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__FDSAUDITLINK__" hidden="1">{"fdsup://directions/FAT Viewer?action=UPDATE&amp;creator=factset&amp;DYN_ARGS=TRUE&amp;DOC_NAME=FAT:FQL_AUDITING_CLIENT_TEMPLATE.FAT&amp;display_string=Audit&amp;VAR:KEY=NEVSZIZQHY&amp;VAR:QUERY=RkZfRUJJVERBX09QRVIoUVRSLDQvMS8yMDEwLDYvMzAvMjAxMCwsLFVTRCk=&amp;WINDOW=FIRST_POPUP&amp;HEIGH","T=450&amp;WIDTH=450&amp;START_MAXIMIZED=FALSE&amp;VAR:CALENDAR=US&amp;VAR:SYMBOL=XEL&amp;VAR:INDEX=0"}</definedName>
    <definedName name="_200__FDSAUDITLINK__" localSheetId="1"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0__FDSAUDITLINK__" hidden="1">{"fdsup://directions/FAT Viewer?action=UPDATE&amp;creator=factset&amp;DYN_ARGS=TRUE&amp;DOC_NAME=FAT:FQL_AUDITING_CLIENT_TEMPLATE.FAT&amp;display_string=Audit&amp;VAR:KEY=PAVUDCPSRE&amp;VAR:QUERY=RkZfRUJJVERBX09QRVIoUVRSLDQvMS8yMDEwLDYvMzAvMjAxMCwsLFVTRCk=&amp;WINDOW=FIRST_POPUP&amp;HEIGH","T=450&amp;WIDTH=450&amp;START_MAXIMIZED=FALSE&amp;VAR:CALENDAR=US&amp;VAR:SYMBOL=SE&amp;VAR:INDEX=0"}</definedName>
    <definedName name="_201__FDSAUDITLINK__" localSheetId="1"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1__FDSAUDITLINK__" hidden="1">{"fdsup://directions/FAT Viewer?action=UPDATE&amp;creator=factset&amp;DYN_ARGS=TRUE&amp;DOC_NAME=FAT:FQL_AUDITING_CLIENT_TEMPLATE.FAT&amp;display_string=Audit&amp;VAR:KEY=VSJODOHYLS&amp;VAR:QUERY=RkZfRUJJVERBX09QRVIoUVRSLDQvMS8yMDA5LDYvMzAvMjAwOSwsLFVTRCk=&amp;WINDOW=FIRST_POPUP&amp;HEIGH","T=450&amp;WIDTH=450&amp;START_MAXIMIZED=FALSE&amp;VAR:CALENDAR=US&amp;VAR:SYMBOL=SCHW&amp;VAR:INDEX=0"}</definedName>
    <definedName name="_202__FDSAUDITLINK__" localSheetId="1"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2__FDSAUDITLINK__" hidden="1">{"fdsup://directions/FAT Viewer?action=UPDATE&amp;creator=factset&amp;DYN_ARGS=TRUE&amp;DOC_NAME=FAT:FQL_AUDITING_CLIENT_TEMPLATE.FAT&amp;display_string=Audit&amp;VAR:KEY=LSRMTSZEFM&amp;VAR:QUERY=RkZfRUJJVERBX09QRVIoUVRSLDQvMS8yMDEwLDYvMzAvMjAxMCwsLFVTRCk=&amp;WINDOW=FIRST_POPUP&amp;HEIGH","T=450&amp;WIDTH=450&amp;START_MAXIMIZED=FALSE&amp;VAR:CALENDAR=US&amp;VAR:SYMBOL=SCHW&amp;VAR:INDEX=0"}</definedName>
    <definedName name="_203__FDSAUDITLINK__" localSheetId="1"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3__FDSAUDITLINK__" hidden="1">{"fdsup://directions/FAT Viewer?action=UPDATE&amp;creator=factset&amp;DYN_ARGS=TRUE&amp;DOC_NAME=FAT:FQL_AUDITING_CLIENT_TEMPLATE.FAT&amp;display_string=Audit&amp;VAR:KEY=XQPQTEJAXO&amp;VAR:QUERY=RkZfRUJJVERBX09QRVIoUVRSLDQvMS8yMDA5LDYvMzAvMjAwOSwsLFVTRCk=&amp;WINDOW=FIRST_POPUP&amp;HEIGH","T=450&amp;WIDTH=450&amp;START_MAXIMIZED=FALSE&amp;VAR:CALENDAR=US&amp;VAR:SYMBOL=SCG&amp;VAR:INDEX=0"}</definedName>
    <definedName name="_204__FDSAUDITLINK__" localSheetId="1"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4__FDSAUDITLINK__" hidden="1">{"fdsup://directions/FAT Viewer?action=UPDATE&amp;creator=factset&amp;DYN_ARGS=TRUE&amp;DOC_NAME=FAT:FQL_AUDITING_CLIENT_TEMPLATE.FAT&amp;display_string=Audit&amp;VAR:KEY=VOFIPILIZY&amp;VAR:QUERY=RkZfRUJJVERBX09QRVIoUVRSLDQvMS8yMDEwLDYvMzAvMjAxMCwsLFVTRCk=&amp;WINDOW=FIRST_POPUP&amp;HEIGH","T=450&amp;WIDTH=450&amp;START_MAXIMIZED=FALSE&amp;VAR:CALENDAR=US&amp;VAR:SYMBOL=SCG&amp;VAR:INDEX=0"}</definedName>
    <definedName name="_205__FDSAUDITLINK__" localSheetId="1"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5__FDSAUDITLINK__" hidden="1">{"fdsup://directions/FAT Viewer?action=UPDATE&amp;creator=factset&amp;DYN_ARGS=TRUE&amp;DOC_NAME=FAT:FQL_AUDITING_CLIENT_TEMPLATE.FAT&amp;display_string=Audit&amp;VAR:KEY=VOFKTUNUFC&amp;VAR:QUERY=RkZfRUJJVERBX09QRVIoUVRSLDQvMS8yMDA5LDYvMzAvMjAwOSwsLFVTRCk=&amp;WINDOW=FIRST_POPUP&amp;HEIGH","T=450&amp;WIDTH=450&amp;START_MAXIMIZED=FALSE&amp;VAR:CALENDAR=US&amp;VAR:SYMBOL=SBUX&amp;VAR:INDEX=0"}</definedName>
    <definedName name="_206__FDSAUDITLINK__" localSheetId="1"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6__FDSAUDITLINK__" hidden="1">{"fdsup://directions/FAT Viewer?action=UPDATE&amp;creator=factset&amp;DYN_ARGS=TRUE&amp;DOC_NAME=FAT:FQL_AUDITING_CLIENT_TEMPLATE.FAT&amp;display_string=Audit&amp;VAR:KEY=LMJGFMDADY&amp;VAR:QUERY=RkZfRUJJVERBX09QRVIoUVRSLDQvMS8yMDEwLDYvMzAvMjAxMCwsLFVTRCk=&amp;WINDOW=FIRST_POPUP&amp;HEIGH","T=450&amp;WIDTH=450&amp;START_MAXIMIZED=FALSE&amp;VAR:CALENDAR=US&amp;VAR:SYMBOL=SBUX&amp;VAR:INDEX=0"}</definedName>
    <definedName name="_207__FDSAUDITLINK__" localSheetId="1"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7__FDSAUDITLINK__" hidden="1">{"fdsup://directions/FAT Viewer?action=UPDATE&amp;creator=factset&amp;DYN_ARGS=TRUE&amp;DOC_NAME=FAT:FQL_AUDITING_CLIENT_TEMPLATE.FAT&amp;display_string=Audit&amp;VAR:KEY=RYHUPELOVO&amp;VAR:QUERY=RkZfRUJJVERBX09QRVIoUVRSLDQvMS8yMDA5LDYvMzAvMjAwOSwsLFVTRCk=&amp;WINDOW=FIRST_POPUP&amp;HEIGH","T=450&amp;WIDTH=450&amp;START_MAXIMIZED=FALSE&amp;VAR:CALENDAR=US&amp;VAR:SYMBOL=SAI&amp;VAR:INDEX=0"}</definedName>
    <definedName name="_208__FDSAUDITLINK__" localSheetId="1"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8__FDSAUDITLINK__" hidden="1">{"fdsup://directions/FAT Viewer?action=UPDATE&amp;creator=factset&amp;DYN_ARGS=TRUE&amp;DOC_NAME=FAT:FQL_AUDITING_CLIENT_TEMPLATE.FAT&amp;display_string=Audit&amp;VAR:KEY=VOHITUVEVS&amp;VAR:QUERY=RkZfRUJJVERBX09QRVIoUVRSLDQvMS8yMDEwLDYvMzAvMjAxMCwsLFVTRCk=&amp;WINDOW=FIRST_POPUP&amp;HEIGH","T=450&amp;WIDTH=450&amp;START_MAXIMIZED=FALSE&amp;VAR:CALENDAR=US&amp;VAR:SYMBOL=SAI&amp;VAR:INDEX=0"}</definedName>
    <definedName name="_209__FDSAUDITLINK__" localSheetId="1"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09__FDSAUDITLINK__" hidden="1">{"fdsup://directions/FAT Viewer?action=UPDATE&amp;creator=factset&amp;DYN_ARGS=TRUE&amp;DOC_NAME=FAT:FQL_AUDITING_CLIENT_TEMPLATE.FAT&amp;display_string=Audit&amp;VAR:KEY=FOTOZMLGDA&amp;VAR:QUERY=RkZfRUJJVERBX09QRVIoUVRSLDQvMS8yMDA5LDYvMzAvMjAwOSwsLFVTRCk=&amp;WINDOW=FIRST_POPUP&amp;HEIGH","T=450&amp;WIDTH=450&amp;START_MAXIMIZED=FALSE&amp;VAR:CALENDAR=US&amp;VAR:SYMBOL=S&amp;VAR:INDEX=0"}</definedName>
    <definedName name="_21__FDSAUDITLINK__" localSheetId="1"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__FDSAUDITLINK__" hidden="1">{"fdsup://directions/FAT Viewer?action=UPDATE&amp;creator=factset&amp;DYN_ARGS=TRUE&amp;DOC_NAME=FAT:FQL_AUDITING_CLIENT_TEMPLATE.FAT&amp;display_string=Audit&amp;VAR:KEY=NUDGVWTODA&amp;VAR:QUERY=RkZfRUJJVERBX09QRVIoUVRSLDQvMS8yMDA5LDYvMzAvMjAwOSwsLFVTRCk=&amp;WINDOW=FIRST_POPUP&amp;HEIGH","T=450&amp;WIDTH=450&amp;START_MAXIMIZED=FALSE&amp;VAR:CALENDAR=US&amp;VAR:SYMBOL=X&amp;VAR:INDEX=0"}</definedName>
    <definedName name="_210__FDSAUDITLINK__" localSheetId="1"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0__FDSAUDITLINK__" hidden="1">{"fdsup://directions/FAT Viewer?action=UPDATE&amp;creator=factset&amp;DYN_ARGS=TRUE&amp;DOC_NAME=FAT:FQL_AUDITING_CLIENT_TEMPLATE.FAT&amp;display_string=Audit&amp;VAR:KEY=HCZADMXGZA&amp;VAR:QUERY=RkZfRUJJVERBX09QRVIoUVRSLDQvMS8yMDEwLDYvMzAvMjAxMCwsLFVTRCk=&amp;WINDOW=FIRST_POPUP&amp;HEIGH","T=450&amp;WIDTH=450&amp;START_MAXIMIZED=FALSE&amp;VAR:CALENDAR=US&amp;VAR:SYMBOL=S&amp;VAR:INDEX=0"}</definedName>
    <definedName name="_211__FDSAUDITLINK__" localSheetId="1"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1__FDSAUDITLINK__" hidden="1">{"fdsup://directions/FAT Viewer?action=UPDATE&amp;creator=factset&amp;DYN_ARGS=TRUE&amp;DOC_NAME=FAT:FQL_AUDITING_CLIENT_TEMPLATE.FAT&amp;display_string=Audit&amp;VAR:KEY=FKFMFOBOLU&amp;VAR:QUERY=RkZfRUJJVERBX09QRVIoUVRSLDQvMS8yMDA5LDYvMzAvMjAwOSwsLFVTRCk=&amp;WINDOW=FIRST_POPUP&amp;HEIGH","T=450&amp;WIDTH=450&amp;START_MAXIMIZED=FALSE&amp;VAR:CALENDAR=US&amp;VAR:SYMBOL=RTN&amp;VAR:INDEX=0"}</definedName>
    <definedName name="_212__FDSAUDITLINK__" localSheetId="1"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2__FDSAUDITLINK__" hidden="1">{"fdsup://directions/FAT Viewer?action=UPDATE&amp;creator=factset&amp;DYN_ARGS=TRUE&amp;DOC_NAME=FAT:FQL_AUDITING_CLIENT_TEMPLATE.FAT&amp;display_string=Audit&amp;VAR:KEY=XYJADKHUBC&amp;VAR:QUERY=RkZfRUJJVERBX09QRVIoUVRSLDQvMS8yMDEwLDYvMzAvMjAxMCwsLFVTRCk=&amp;WINDOW=FIRST_POPUP&amp;HEIGH","T=450&amp;WIDTH=450&amp;START_MAXIMIZED=FALSE&amp;VAR:CALENDAR=US&amp;VAR:SYMBOL=RTN&amp;VAR:INDEX=0"}</definedName>
    <definedName name="_213__FDSAUDITLINK__" localSheetId="1"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3__FDSAUDITLINK__" hidden="1">{"fdsup://directions/FAT Viewer?action=UPDATE&amp;creator=factset&amp;DYN_ARGS=TRUE&amp;DOC_NAME=FAT:FQL_AUDITING_CLIENT_TEMPLATE.FAT&amp;display_string=Audit&amp;VAR:KEY=DCVUZETEHK&amp;VAR:QUERY=RkZfRUJJVERBX09QRVIoUVRSLDQvMS8yMDA5LDYvMzAvMjAwOSwsLFVTRCk=&amp;WINDOW=FIRST_POPUP&amp;HEIGH","T=450&amp;WIDTH=450&amp;START_MAXIMIZED=FALSE&amp;VAR:CALENDAR=US&amp;VAR:SYMBOL=RSH&amp;VAR:INDEX=0"}</definedName>
    <definedName name="_214__FDSAUDITLINK__" localSheetId="1"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4__FDSAUDITLINK__" hidden="1">{"fdsup://directions/FAT Viewer?action=UPDATE&amp;creator=factset&amp;DYN_ARGS=TRUE&amp;DOC_NAME=FAT:FQL_AUDITING_CLIENT_TEMPLATE.FAT&amp;display_string=Audit&amp;VAR:KEY=PAHYRYDELM&amp;VAR:QUERY=RkZfRUJJVERBX09QRVIoUVRSLDQvMS8yMDEwLDYvMzAvMjAxMCwsLFVTRCk=&amp;WINDOW=FIRST_POPUP&amp;HEIGH","T=450&amp;WIDTH=450&amp;START_MAXIMIZED=FALSE&amp;VAR:CALENDAR=US&amp;VAR:SYMBOL=RSH&amp;VAR:INDEX=0"}</definedName>
    <definedName name="_215__FDSAUDITLINK__" localSheetId="1"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5__FDSAUDITLINK__" hidden="1">{"fdsup://directions/FAT Viewer?action=UPDATE&amp;creator=factset&amp;DYN_ARGS=TRUE&amp;DOC_NAME=FAT:FQL_AUDITING_CLIENT_TEMPLATE.FAT&amp;display_string=Audit&amp;VAR:KEY=BGTULIBOLS&amp;VAR:QUERY=RkZfRUJJVERBX09QRVIoUVRSLDQvMS8yMDA5LDYvMzAvMjAwOSwsLFVTRCk=&amp;WINDOW=FIRST_POPUP&amp;HEIGH","T=450&amp;WIDTH=450&amp;START_MAXIMIZED=FALSE&amp;VAR:CALENDAR=US&amp;VAR:SYMBOL=RSG&amp;VAR:INDEX=0"}</definedName>
    <definedName name="_216__FDSAUDITLINK__" localSheetId="1"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6__FDSAUDITLINK__" hidden="1">{"fdsup://directions/FAT Viewer?action=UPDATE&amp;creator=factset&amp;DYN_ARGS=TRUE&amp;DOC_NAME=FAT:FQL_AUDITING_CLIENT_TEMPLATE.FAT&amp;display_string=Audit&amp;VAR:KEY=HWNOVORCDM&amp;VAR:QUERY=RkZfRUJJVERBX09QRVIoUVRSLDQvMS8yMDEwLDYvMzAvMjAxMCwsLFVTRCk=&amp;WINDOW=FIRST_POPUP&amp;HEIGH","T=450&amp;WIDTH=450&amp;START_MAXIMIZED=FALSE&amp;VAR:CALENDAR=US&amp;VAR:SYMBOL=RSG&amp;VAR:INDEX=0"}</definedName>
    <definedName name="_217__FDSAUDITLINK__" localSheetId="1"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7__FDSAUDITLINK__" hidden="1">{"fdsup://directions/FAT Viewer?action=UPDATE&amp;creator=factset&amp;DYN_ARGS=TRUE&amp;DOC_NAME=FAT:FQL_AUDITING_CLIENT_TEMPLATE.FAT&amp;display_string=Audit&amp;VAR:KEY=XAFCPMLMFU&amp;VAR:QUERY=RkZfRUJJVERBX09QRVIoUVRSLDQvMS8yMDA5LDYvMzAvMjAwOSwsLFVTRCk=&amp;WINDOW=FIRST_POPUP&amp;HEIGH","T=450&amp;WIDTH=450&amp;START_MAXIMIZED=FALSE&amp;VAR:CALENDAR=US&amp;VAR:SYMBOL=RRD&amp;VAR:INDEX=0"}</definedName>
    <definedName name="_218__FDSAUDITLINK__" localSheetId="1"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8__FDSAUDITLINK__" hidden="1">{"fdsup://directions/FAT Viewer?action=UPDATE&amp;creator=factset&amp;DYN_ARGS=TRUE&amp;DOC_NAME=FAT:FQL_AUDITING_CLIENT_TEMPLATE.FAT&amp;display_string=Audit&amp;VAR:KEY=TANQJGBMBK&amp;VAR:QUERY=RkZfRUJJVERBX09QRVIoUVRSLDQvMS8yMDEwLDYvMzAvMjAxMCwsLFVTRCk=&amp;WINDOW=FIRST_POPUP&amp;HEIGH","T=450&amp;WIDTH=450&amp;START_MAXIMIZED=FALSE&amp;VAR:CALENDAR=US&amp;VAR:SYMBOL=RRD&amp;VAR:INDEX=0"}</definedName>
    <definedName name="_219__FDSAUDITLINK__" localSheetId="1"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19__FDSAUDITLINK__" hidden="1">{"fdsup://directions/FAT Viewer?action=UPDATE&amp;creator=factset&amp;DYN_ARGS=TRUE&amp;DOC_NAME=FAT:FQL_AUDITING_CLIENT_TEMPLATE.FAT&amp;display_string=Audit&amp;VAR:KEY=XKFULUREDW&amp;VAR:QUERY=RkZfRUJJVERBX09QRVIoUVRSLDQvMS8yMDA5LDYvMzAvMjAwOSwsLFVTRCk=&amp;WINDOW=FIRST_POPUP&amp;HEIGH","T=450&amp;WIDTH=450&amp;START_MAXIMIZED=FALSE&amp;VAR:CALENDAR=US&amp;VAR:SYMBOL=RRC&amp;VAR:INDEX=0"}</definedName>
    <definedName name="_22__FDSAUDITLINK__" localSheetId="1"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__FDSAUDITLINK__" hidden="1">{"fdsup://directions/FAT Viewer?action=UPDATE&amp;creator=factset&amp;DYN_ARGS=TRUE&amp;DOC_NAME=FAT:FQL_AUDITING_CLIENT_TEMPLATE.FAT&amp;display_string=Audit&amp;VAR:KEY=ZCDGZERAJK&amp;VAR:QUERY=RkZfRUJJVERBX09QRVIoUVRSLDQvMS8yMDEwLDYvMzAvMjAxMCwsLFVTRCk=&amp;WINDOW=FIRST_POPUP&amp;HEIGH","T=450&amp;WIDTH=450&amp;START_MAXIMIZED=FALSE&amp;VAR:CALENDAR=US&amp;VAR:SYMBOL=X&amp;VAR:INDEX=0"}</definedName>
    <definedName name="_220__FDSAUDITLINK__" localSheetId="1"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0__FDSAUDITLINK__" hidden="1">{"fdsup://directions/FAT Viewer?action=UPDATE&amp;creator=factset&amp;DYN_ARGS=TRUE&amp;DOC_NAME=FAT:FQL_AUDITING_CLIENT_TEMPLATE.FAT&amp;display_string=Audit&amp;VAR:KEY=DSVKBEHWRE&amp;VAR:QUERY=RkZfRUJJVERBX09QRVIoUVRSLDQvMS8yMDEwLDYvMzAvMjAxMCwsLFVTRCk=&amp;WINDOW=FIRST_POPUP&amp;HEIGH","T=450&amp;WIDTH=450&amp;START_MAXIMIZED=FALSE&amp;VAR:CALENDAR=US&amp;VAR:SYMBOL=RRC&amp;VAR:INDEX=0"}</definedName>
    <definedName name="_221__FDSAUDITLINK__" localSheetId="1"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1__FDSAUDITLINK__" hidden="1">{"fdsup://directions/FAT Viewer?action=UPDATE&amp;creator=factset&amp;DYN_ARGS=TRUE&amp;DOC_NAME=FAT:FQL_AUDITING_CLIENT_TEMPLATE.FAT&amp;display_string=Audit&amp;VAR:KEY=ZGBSLYDWHA&amp;VAR:QUERY=RkZfRUJJVERBX09QRVIoUVRSLDQvMS8yMDA5LDYvMzAvMjAwOSwsLFVTRCk=&amp;WINDOW=FIRST_POPUP&amp;HEIGH","T=450&amp;WIDTH=450&amp;START_MAXIMIZED=FALSE&amp;VAR:CALENDAR=US&amp;VAR:SYMBOL=ROST&amp;VAR:INDEX=0"}</definedName>
    <definedName name="_222__FDSAUDITLINK__" localSheetId="1"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2__FDSAUDITLINK__" hidden="1">{"fdsup://directions/FAT Viewer?action=UPDATE&amp;creator=factset&amp;DYN_ARGS=TRUE&amp;DOC_NAME=FAT:FQL_AUDITING_CLIENT_TEMPLATE.FAT&amp;display_string=Audit&amp;VAR:KEY=HKVUFKFQTU&amp;VAR:QUERY=RkZfRUJJVERBX09QRVIoUVRSLDQvMS8yMDEwLDYvMzAvMjAxMCwsLFVTRCk=&amp;WINDOW=FIRST_POPUP&amp;HEIGH","T=450&amp;WIDTH=450&amp;START_MAXIMIZED=FALSE&amp;VAR:CALENDAR=US&amp;VAR:SYMBOL=ROST&amp;VAR:INDEX=0"}</definedName>
    <definedName name="_223__FDSAUDITLINK__" localSheetId="1"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3__FDSAUDITLINK__" hidden="1">{"fdsup://directions/FAT Viewer?action=UPDATE&amp;creator=factset&amp;DYN_ARGS=TRUE&amp;DOC_NAME=FAT:FQL_AUDITING_CLIENT_TEMPLATE.FAT&amp;display_string=Audit&amp;VAR:KEY=NKFQFQRSXS&amp;VAR:QUERY=RkZfRUJJVERBX09QRVIoUVRSLDQvMS8yMDA5LDYvMzAvMjAwOSwsLFVTRCk=&amp;WINDOW=FIRST_POPUP&amp;HEIGH","T=450&amp;WIDTH=450&amp;START_MAXIMIZED=FALSE&amp;VAR:CALENDAR=US&amp;VAR:SYMBOL=ROP&amp;VAR:INDEX=0"}</definedName>
    <definedName name="_224__FDSAUDITLINK__" localSheetId="1"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4__FDSAUDITLINK__" hidden="1">{"fdsup://directions/FAT Viewer?action=UPDATE&amp;creator=factset&amp;DYN_ARGS=TRUE&amp;DOC_NAME=FAT:FQL_AUDITING_CLIENT_TEMPLATE.FAT&amp;display_string=Audit&amp;VAR:KEY=XWZQNWLOHU&amp;VAR:QUERY=RkZfRUJJVERBX09QRVIoUVRSLDQvMS8yMDEwLDYvMzAvMjAxMCwsLFVTRCk=&amp;WINDOW=FIRST_POPUP&amp;HEIGH","T=450&amp;WIDTH=450&amp;START_MAXIMIZED=FALSE&amp;VAR:CALENDAR=US&amp;VAR:SYMBOL=ROP&amp;VAR:INDEX=0"}</definedName>
    <definedName name="_225__FDSAUDITLINK__" localSheetId="1"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5__FDSAUDITLINK__" hidden="1">{"fdsup://directions/FAT Viewer?action=UPDATE&amp;creator=factset&amp;DYN_ARGS=TRUE&amp;DOC_NAME=FAT:FQL_AUDITING_CLIENT_TEMPLATE.FAT&amp;display_string=Audit&amp;VAR:KEY=VYJQZIHMTG&amp;VAR:QUERY=RkZfRUJJVERBX09QRVIoUVRSLDQvMS8yMDA5LDYvMzAvMjAwOSwsLFVTRCk=&amp;WINDOW=FIRST_POPUP&amp;HEIGH","T=450&amp;WIDTH=450&amp;START_MAXIMIZED=FALSE&amp;VAR:CALENDAR=US&amp;VAR:SYMBOL=ROK&amp;VAR:INDEX=0"}</definedName>
    <definedName name="_226__FDSAUDITLINK__" localSheetId="1"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6__FDSAUDITLINK__" hidden="1">{"fdsup://directions/FAT Viewer?action=UPDATE&amp;creator=factset&amp;DYN_ARGS=TRUE&amp;DOC_NAME=FAT:FQL_AUDITING_CLIENT_TEMPLATE.FAT&amp;display_string=Audit&amp;VAR:KEY=NIVEJCDGJE&amp;VAR:QUERY=RkZfRUJJVERBX09QRVIoUVRSLDQvMS8yMDEwLDYvMzAvMjAxMCwsLFVTRCk=&amp;WINDOW=FIRST_POPUP&amp;HEIGH","T=450&amp;WIDTH=450&amp;START_MAXIMIZED=FALSE&amp;VAR:CALENDAR=US&amp;VAR:SYMBOL=ROK&amp;VAR:INDEX=0"}</definedName>
    <definedName name="_227__FDSAUDITLINK__" localSheetId="1"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7__FDSAUDITLINK__" hidden="1">{"fdsup://directions/FAT Viewer?action=UPDATE&amp;creator=factset&amp;DYN_ARGS=TRUE&amp;DOC_NAME=FAT:FQL_AUDITING_CLIENT_TEMPLATE.FAT&amp;display_string=Audit&amp;VAR:KEY=BGVILEHQPS&amp;VAR:QUERY=RkZfRUJJVERBX09QRVIoUVRSLDQvMS8yMDA5LDYvMzAvMjAwOSwsLFVTRCk=&amp;WINDOW=FIRST_POPUP&amp;HEIGH","T=450&amp;WIDTH=450&amp;START_MAXIMIZED=FALSE&amp;VAR:CALENDAR=US&amp;VAR:SYMBOL=RL&amp;VAR:INDEX=0"}</definedName>
    <definedName name="_228__FDSAUDITLINK__" localSheetId="1"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8__FDSAUDITLINK__" hidden="1">{"fdsup://directions/FAT Viewer?action=UPDATE&amp;creator=factset&amp;DYN_ARGS=TRUE&amp;DOC_NAME=FAT:FQL_AUDITING_CLIENT_TEMPLATE.FAT&amp;display_string=Audit&amp;VAR:KEY=RUFCBCXSDU&amp;VAR:QUERY=RkZfRUJJVERBX09QRVIoUVRSLDQvMS8yMDEwLDYvMzAvMjAxMCwsLFVTRCk=&amp;WINDOW=FIRST_POPUP&amp;HEIGH","T=450&amp;WIDTH=450&amp;START_MAXIMIZED=FALSE&amp;VAR:CALENDAR=US&amp;VAR:SYMBOL=RL&amp;VAR:INDEX=0"}</definedName>
    <definedName name="_229__FDSAUDITLINK__" localSheetId="1"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29__FDSAUDITLINK__" hidden="1">{"fdsup://directions/FAT Viewer?action=UPDATE&amp;creator=factset&amp;DYN_ARGS=TRUE&amp;DOC_NAME=FAT:FQL_AUDITING_CLIENT_TEMPLATE.FAT&amp;display_string=Audit&amp;VAR:KEY=FMRWDADEFC&amp;VAR:QUERY=RkZfRUJJVERBX09QRVIoUVRSLDQvMS8yMDA5LDYvMzAvMjAwOSwsLFVTRCk=&amp;WINDOW=FIRST_POPUP&amp;HEIGH","T=450&amp;WIDTH=450&amp;START_MAXIMIZED=FALSE&amp;VAR:CALENDAR=US&amp;VAR:SYMBOL=RHT&amp;VAR:INDEX=0"}</definedName>
    <definedName name="_23__FDSAUDITLINK__" localSheetId="1"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__FDSAUDITLINK__" hidden="1">{"fdsup://directions/FAT Viewer?action=UPDATE&amp;creator=factset&amp;DYN_ARGS=TRUE&amp;DOC_NAME=FAT:FQL_AUDITING_CLIENT_TEMPLATE.FAT&amp;display_string=Audit&amp;VAR:KEY=TOXUBALQZG&amp;VAR:QUERY=RkZfRUJJVERBX09QRVIoUVRSLDQvMS8yMDA5LDYvMzAvMjAwOSwsLFVTRCk=&amp;WINDOW=FIRST_POPUP&amp;HEIGH","T=450&amp;WIDTH=450&amp;START_MAXIMIZED=FALSE&amp;VAR:CALENDAR=US&amp;VAR:SYMBOL=WYNN&amp;VAR:INDEX=0"}</definedName>
    <definedName name="_230__FDSAUDITLINK__" localSheetId="1"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0__FDSAUDITLINK__" hidden="1">{"fdsup://directions/FAT Viewer?action=UPDATE&amp;creator=factset&amp;DYN_ARGS=TRUE&amp;DOC_NAME=FAT:FQL_AUDITING_CLIENT_TEMPLATE.FAT&amp;display_string=Audit&amp;VAR:KEY=ZSXARITWRU&amp;VAR:QUERY=RkZfRUJJVERBX09QRVIoUVRSLDQvMS8yMDEwLDYvMzAvMjAxMCwsLFVTRCk=&amp;WINDOW=FIRST_POPUP&amp;HEIGH","T=450&amp;WIDTH=450&amp;START_MAXIMIZED=FALSE&amp;VAR:CALENDAR=US&amp;VAR:SYMBOL=RHT&amp;VAR:INDEX=0"}</definedName>
    <definedName name="_231__FDSAUDITLINK__" localSheetId="1"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1__FDSAUDITLINK__" hidden="1">{"fdsup://directions/FAT Viewer?action=UPDATE&amp;creator=factset&amp;DYN_ARGS=TRUE&amp;DOC_NAME=FAT:FQL_AUDITING_CLIENT_TEMPLATE.FAT&amp;display_string=Audit&amp;VAR:KEY=NMPIZKTCPO&amp;VAR:QUERY=RkZfRUJJVERBX09QRVIoUVRSLDQvMS8yMDA5LDYvMzAvMjAwOSwsLFVTRCk=&amp;WINDOW=FIRST_POPUP&amp;HEIGH","T=450&amp;WIDTH=450&amp;START_MAXIMIZED=FALSE&amp;VAR:CALENDAR=US&amp;VAR:SYMBOL=RHI&amp;VAR:INDEX=0"}</definedName>
    <definedName name="_232__FDSAUDITLINK__" localSheetId="1"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2__FDSAUDITLINK__" hidden="1">{"fdsup://directions/FAT Viewer?action=UPDATE&amp;creator=factset&amp;DYN_ARGS=TRUE&amp;DOC_NAME=FAT:FQL_AUDITING_CLIENT_TEMPLATE.FAT&amp;display_string=Audit&amp;VAR:KEY=BAFINQXYJK&amp;VAR:QUERY=RkZfRUJJVERBX09QRVIoUVRSLDQvMS8yMDEwLDYvMzAvMjAxMCwsLFVTRCk=&amp;WINDOW=FIRST_POPUP&amp;HEIGH","T=450&amp;WIDTH=450&amp;START_MAXIMIZED=FALSE&amp;VAR:CALENDAR=US&amp;VAR:SYMBOL=RHI&amp;VAR:INDEX=0"}</definedName>
    <definedName name="_233__FDSAUDITLINK__" localSheetId="1"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3__FDSAUDITLINK__" hidden="1">{"fdsup://directions/FAT Viewer?action=UPDATE&amp;creator=factset&amp;DYN_ARGS=TRUE&amp;DOC_NAME=FAT:FQL_AUDITING_CLIENT_TEMPLATE.FAT&amp;display_string=Audit&amp;VAR:KEY=FWVIDMRWPC&amp;VAR:QUERY=RkZfRUJJVERBX09QRVIoUVRSLDQvMS8yMDA5LDYvMzAvMjAwOSwsLFVTRCk=&amp;WINDOW=FIRST_POPUP&amp;HEIGH","T=450&amp;WIDTH=450&amp;START_MAXIMIZED=FALSE&amp;VAR:CALENDAR=US&amp;VAR:SYMBOL=RF&amp;VAR:INDEX=0"}</definedName>
    <definedName name="_234__FDSAUDITLINK__" localSheetId="1"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4__FDSAUDITLINK__" hidden="1">{"fdsup://directions/FAT Viewer?action=UPDATE&amp;creator=factset&amp;DYN_ARGS=TRUE&amp;DOC_NAME=FAT:FQL_AUDITING_CLIENT_TEMPLATE.FAT&amp;display_string=Audit&amp;VAR:KEY=LEJOXSTWRA&amp;VAR:QUERY=RkZfRUJJVERBX09QRVIoUVRSLDQvMS8yMDEwLDYvMzAvMjAxMCwsLFVTRCk=&amp;WINDOW=FIRST_POPUP&amp;HEIGH","T=450&amp;WIDTH=450&amp;START_MAXIMIZED=FALSE&amp;VAR:CALENDAR=US&amp;VAR:SYMBOL=RF&amp;VAR:INDEX=0"}</definedName>
    <definedName name="_235__FDSAUDITLINK__" localSheetId="1"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5__FDSAUDITLINK__" hidden="1">{"fdsup://directions/FAT Viewer?action=UPDATE&amp;creator=factset&amp;DYN_ARGS=TRUE&amp;DOC_NAME=FAT:FQL_AUDITING_CLIENT_TEMPLATE.FAT&amp;display_string=Audit&amp;VAR:KEY=NOJQDUBABU&amp;VAR:QUERY=RkZfRUJJVERBX09QRVIoUVRSLDQvMS8yMDA5LDYvMzAvMjAwOSwsLFVTRCk=&amp;WINDOW=FIRST_POPUP&amp;HEIGH","T=450&amp;WIDTH=450&amp;START_MAXIMIZED=FALSE&amp;VAR:CALENDAR=US&amp;VAR:SYMBOL=RDC&amp;VAR:INDEX=0"}</definedName>
    <definedName name="_236__FDSAUDITLINK__" localSheetId="1"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6__FDSAUDITLINK__" hidden="1">{"fdsup://directions/FAT Viewer?action=UPDATE&amp;creator=factset&amp;DYN_ARGS=TRUE&amp;DOC_NAME=FAT:FQL_AUDITING_CLIENT_TEMPLATE.FAT&amp;display_string=Audit&amp;VAR:KEY=BAHQHAPMZM&amp;VAR:QUERY=RkZfRUJJVERBX09QRVIoUVRSLDQvMS8yMDEwLDYvMzAvMjAxMCwsLFVTRCk=&amp;WINDOW=FIRST_POPUP&amp;HEIGH","T=450&amp;WIDTH=450&amp;START_MAXIMIZED=FALSE&amp;VAR:CALENDAR=US&amp;VAR:SYMBOL=RDC&amp;VAR:INDEX=0"}</definedName>
    <definedName name="_237__FDSAUDITLINK__" localSheetId="1"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7__FDSAUDITLINK__" hidden="1">{"fdsup://directions/FAT Viewer?action=UPDATE&amp;creator=factset&amp;DYN_ARGS=TRUE&amp;DOC_NAME=FAT:FQL_AUDITING_CLIENT_TEMPLATE.FAT&amp;display_string=Audit&amp;VAR:KEY=BIHMFOJWVG&amp;VAR:QUERY=RkZfRUJJVERBX09QRVIoUVRSLDQvMS8yMDA5LDYvMzAvMjAwOSwsLFVTRCk=&amp;WINDOW=FIRST_POPUP&amp;HEIGH","T=450&amp;WIDTH=450&amp;START_MAXIMIZED=FALSE&amp;VAR:CALENDAR=US&amp;VAR:SYMBOL=RAI&amp;VAR:INDEX=0"}</definedName>
    <definedName name="_238__FDSAUDITLINK__" localSheetId="1"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8__FDSAUDITLINK__" hidden="1">{"fdsup://directions/FAT Viewer?action=UPDATE&amp;creator=factset&amp;DYN_ARGS=TRUE&amp;DOC_NAME=FAT:FQL_AUDITING_CLIENT_TEMPLATE.FAT&amp;display_string=Audit&amp;VAR:KEY=HKVILWBGJG&amp;VAR:QUERY=RkZfRUJJVERBX09QRVIoUVRSLDQvMS8yMDEwLDYvMzAvMjAxMCwsLFVTRCk=&amp;WINDOW=FIRST_POPUP&amp;HEIGH","T=450&amp;WIDTH=450&amp;START_MAXIMIZED=FALSE&amp;VAR:CALENDAR=US&amp;VAR:SYMBOL=RAI&amp;VAR:INDEX=0"}</definedName>
    <definedName name="_239__FDSAUDITLINK__" localSheetId="1"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39__FDSAUDITLINK__" hidden="1">{"fdsup://directions/FAT Viewer?action=UPDATE&amp;creator=factset&amp;DYN_ARGS=TRUE&amp;DOC_NAME=FAT:FQL_AUDITING_CLIENT_TEMPLATE.FAT&amp;display_string=Audit&amp;VAR:KEY=DGLCBEPGVO&amp;VAR:QUERY=RkZfRUJJVERBX09QRVIoUVRSLDQvMS8yMDA5LDYvMzAvMjAwOSwsLFVTRCk=&amp;WINDOW=FIRST_POPUP&amp;HEIGH","T=450&amp;WIDTH=450&amp;START_MAXIMIZED=FALSE&amp;VAR:CALENDAR=US&amp;VAR:SYMBOL=R&amp;VAR:INDEX=0"}</definedName>
    <definedName name="_24__FDSAUDITLINK__" localSheetId="1"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__FDSAUDITLINK__" hidden="1">{"fdsup://directions/FAT Viewer?action=UPDATE&amp;creator=factset&amp;DYN_ARGS=TRUE&amp;DOC_NAME=FAT:FQL_AUDITING_CLIENT_TEMPLATE.FAT&amp;display_string=Audit&amp;VAR:KEY=DCPIFIFMNU&amp;VAR:QUERY=RkZfRUJJVERBX09QRVIoUVRSLDQvMS8yMDEwLDYvMzAvMjAxMCwsLFVTRCk=&amp;WINDOW=FIRST_POPUP&amp;HEIGH","T=450&amp;WIDTH=450&amp;START_MAXIMIZED=FALSE&amp;VAR:CALENDAR=US&amp;VAR:SYMBOL=WYNN&amp;VAR:INDEX=0"}</definedName>
    <definedName name="_240__FDSAUDITLINK__" localSheetId="1"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0__FDSAUDITLINK__" hidden="1">{"fdsup://directions/FAT Viewer?action=UPDATE&amp;creator=factset&amp;DYN_ARGS=TRUE&amp;DOC_NAME=FAT:FQL_AUDITING_CLIENT_TEMPLATE.FAT&amp;display_string=Audit&amp;VAR:KEY=BYXSTIJCXA&amp;VAR:QUERY=RkZfRUJJVERBX09QRVIoUVRSLDQvMS8yMDEwLDYvMzAvMjAxMCwsLFVTRCk=&amp;WINDOW=FIRST_POPUP&amp;HEIGH","T=450&amp;WIDTH=450&amp;START_MAXIMIZED=FALSE&amp;VAR:CALENDAR=US&amp;VAR:SYMBOL=R&amp;VAR:INDEX=0"}</definedName>
    <definedName name="_241__FDSAUDITLINK__" localSheetId="1"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1__FDSAUDITLINK__" hidden="1">{"fdsup://directions/FAT Viewer?action=UPDATE&amp;creator=factset&amp;DYN_ARGS=TRUE&amp;DOC_NAME=FAT:FQL_AUDITING_CLIENT_TEMPLATE.FAT&amp;display_string=Audit&amp;VAR:KEY=VEHCPYZOXY&amp;VAR:QUERY=RkZfRUJJVERBX09QRVIoUVRSLDQvMS8yMDA5LDYvMzAvMjAwOSwsLFVTRCk=&amp;WINDOW=FIRST_POPUP&amp;HEIGH","T=450&amp;WIDTH=450&amp;START_MAXIMIZED=FALSE&amp;VAR:CALENDAR=US&amp;VAR:SYMBOL=QLGC&amp;VAR:INDEX=0"}</definedName>
    <definedName name="_242__FDSAUDITLINK__" localSheetId="1"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2__FDSAUDITLINK__" hidden="1">{"fdsup://directions/FAT Viewer?action=UPDATE&amp;creator=factset&amp;DYN_ARGS=TRUE&amp;DOC_NAME=FAT:FQL_AUDITING_CLIENT_TEMPLATE.FAT&amp;display_string=Audit&amp;VAR:KEY=BKNMVUNOXK&amp;VAR:QUERY=RkZfRUJJVERBX09QRVIoUVRSLDQvMS8yMDEwLDYvMzAvMjAxMCwsLFVTRCk=&amp;WINDOW=FIRST_POPUP&amp;HEIGH","T=450&amp;WIDTH=450&amp;START_MAXIMIZED=FALSE&amp;VAR:CALENDAR=US&amp;VAR:SYMBOL=QLGC&amp;VAR:INDEX=0"}</definedName>
    <definedName name="_243__FDSAUDITLINK__" localSheetId="1"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3__FDSAUDITLINK__" hidden="1">{"fdsup://directions/FAT Viewer?action=UPDATE&amp;creator=factset&amp;DYN_ARGS=TRUE&amp;DOC_NAME=FAT:FQL_AUDITING_CLIENT_TEMPLATE.FAT&amp;display_string=Audit&amp;VAR:KEY=VORMTIVMZE&amp;VAR:QUERY=RkZfRUJJVERBX09QRVIoUVRSLDQvMS8yMDA5LDYvMzAvMjAwOSwsLFVTRCk=&amp;WINDOW=FIRST_POPUP&amp;HEIGH","T=450&amp;WIDTH=450&amp;START_MAXIMIZED=FALSE&amp;VAR:CALENDAR=US&amp;VAR:SYMBOL=QEP&amp;VAR:INDEX=0"}</definedName>
    <definedName name="_244__FDSAUDITLINK__" localSheetId="1"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4__FDSAUDITLINK__" hidden="1">{"fdsup://directions/FAT Viewer?action=UPDATE&amp;creator=factset&amp;DYN_ARGS=TRUE&amp;DOC_NAME=FAT:FQL_AUDITING_CLIENT_TEMPLATE.FAT&amp;display_string=Audit&amp;VAR:KEY=HUJMPIFYXI&amp;VAR:QUERY=RkZfRUJJVERBX09QRVIoUVRSLDQvMS8yMDEwLDYvMzAvMjAxMCwsLFVTRCk=&amp;WINDOW=FIRST_POPUP&amp;HEIGH","T=450&amp;WIDTH=450&amp;START_MAXIMIZED=FALSE&amp;VAR:CALENDAR=US&amp;VAR:SYMBOL=QEP&amp;VAR:INDEX=0"}</definedName>
    <definedName name="_245__FDSAUDITLINK__" localSheetId="1"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5__FDSAUDITLINK__" hidden="1">{"fdsup://directions/FAT Viewer?action=UPDATE&amp;creator=factset&amp;DYN_ARGS=TRUE&amp;DOC_NAME=FAT:FQL_AUDITING_CLIENT_TEMPLATE.FAT&amp;display_string=Audit&amp;VAR:KEY=LMLSLUBWVY&amp;VAR:QUERY=RkZfRUJJVERBX09QRVIoUVRSLDQvMS8yMDA5LDYvMzAvMjAwOSwsLFVTRCk=&amp;WINDOW=FIRST_POPUP&amp;HEIGH","T=450&amp;WIDTH=450&amp;START_MAXIMIZED=FALSE&amp;VAR:CALENDAR=US&amp;VAR:SYMBOL=QCOM&amp;VAR:INDEX=0"}</definedName>
    <definedName name="_246__FDSAUDITLINK__" localSheetId="1"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6__FDSAUDITLINK__" hidden="1">{"fdsup://directions/FAT Viewer?action=UPDATE&amp;creator=factset&amp;DYN_ARGS=TRUE&amp;DOC_NAME=FAT:FQL_AUDITING_CLIENT_TEMPLATE.FAT&amp;display_string=Audit&amp;VAR:KEY=VMXURULYBA&amp;VAR:QUERY=RkZfRUJJVERBX09QRVIoUVRSLDQvMS8yMDEwLDYvMzAvMjAxMCwsLFVTRCk=&amp;WINDOW=FIRST_POPUP&amp;HEIGH","T=450&amp;WIDTH=450&amp;START_MAXIMIZED=FALSE&amp;VAR:CALENDAR=US&amp;VAR:SYMBOL=QCOM&amp;VAR:INDEX=0"}</definedName>
    <definedName name="_247__FDSAUDITLINK__" localSheetId="1"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7__FDSAUDITLINK__" hidden="1">{"fdsup://directions/FAT Viewer?action=UPDATE&amp;creator=factset&amp;DYN_ARGS=TRUE&amp;DOC_NAME=FAT:FQL_AUDITING_CLIENT_TEMPLATE.FAT&amp;display_string=Audit&amp;VAR:KEY=NCLCDMPKBU&amp;VAR:QUERY=RkZfRUJJVERBX09QRVIoUVRSLDQvMS8yMDA5LDYvMzAvMjAwOSwsLFVTRCk=&amp;WINDOW=FIRST_POPUP&amp;HEIGH","T=450&amp;WIDTH=450&amp;START_MAXIMIZED=FALSE&amp;VAR:CALENDAR=US&amp;VAR:SYMBOL=Q&amp;VAR:INDEX=0"}</definedName>
    <definedName name="_248__FDSAUDITLINK__" localSheetId="1"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8__FDSAUDITLINK__" hidden="1">{"fdsup://directions/FAT Viewer?action=UPDATE&amp;creator=factset&amp;DYN_ARGS=TRUE&amp;DOC_NAME=FAT:FQL_AUDITING_CLIENT_TEMPLATE.FAT&amp;display_string=Audit&amp;VAR:KEY=NINIHQHIPO&amp;VAR:QUERY=RkZfRUJJVERBX09QRVIoUVRSLDQvMS8yMDEwLDYvMzAvMjAxMCwsLFVTRCk=&amp;WINDOW=FIRST_POPUP&amp;HEIGH","T=450&amp;WIDTH=450&amp;START_MAXIMIZED=FALSE&amp;VAR:CALENDAR=US&amp;VAR:SYMBOL=Q&amp;VAR:INDEX=0"}</definedName>
    <definedName name="_249__FDSAUDITLINK__" localSheetId="1"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49__FDSAUDITLINK__" hidden="1">{"fdsup://directions/FAT Viewer?action=UPDATE&amp;creator=factset&amp;DYN_ARGS=TRUE&amp;DOC_NAME=FAT:FQL_AUDITING_CLIENT_TEMPLATE.FAT&amp;display_string=Audit&amp;VAR:KEY=LQNQPGDQJK&amp;VAR:QUERY=RkZfRUJJVERBX09QRVIoUVRSLDQvMS8yMDA5LDYvMzAvMjAwOSwsLFVTRCk=&amp;WINDOW=FIRST_POPUP&amp;HEIGH","T=450&amp;WIDTH=450&amp;START_MAXIMIZED=FALSE&amp;VAR:CALENDAR=US&amp;VAR:SYMBOL=PXD&amp;VAR:INDEX=0"}</definedName>
    <definedName name="_25__FDSAUDITLINK__" localSheetId="1"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__FDSAUDITLINK__" hidden="1">{"fdsup://directions/FAT Viewer?action=UPDATE&amp;creator=factset&amp;DYN_ARGS=TRUE&amp;DOC_NAME=FAT:FQL_AUDITING_CLIENT_TEMPLATE.FAT&amp;display_string=Audit&amp;VAR:KEY=BSHUTKFQTQ&amp;VAR:QUERY=RkZfRUJJVERBX09QRVIoUVRSLDQvMS8yMDA5LDYvMzAvMjAwOSwsLFVTRCk=&amp;WINDOW=FIRST_POPUP&amp;HEIGH","T=450&amp;WIDTH=450&amp;START_MAXIMIZED=FALSE&amp;VAR:CALENDAR=US&amp;VAR:SYMBOL=WYN&amp;VAR:INDEX=0"}</definedName>
    <definedName name="_250__FDSAUDITLINK__" localSheetId="1"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0__FDSAUDITLINK__" hidden="1">{"fdsup://directions/FAT Viewer?action=UPDATE&amp;creator=factset&amp;DYN_ARGS=TRUE&amp;DOC_NAME=FAT:FQL_AUDITING_CLIENT_TEMPLATE.FAT&amp;display_string=Audit&amp;VAR:KEY=PYPOPIFAVQ&amp;VAR:QUERY=RkZfRUJJVERBX09QRVIoUVRSLDQvMS8yMDEwLDYvMzAvMjAxMCwsLFVTRCk=&amp;WINDOW=FIRST_POPUP&amp;HEIGH","T=450&amp;WIDTH=450&amp;START_MAXIMIZED=FALSE&amp;VAR:CALENDAR=US&amp;VAR:SYMBOL=PXD&amp;VAR:INDEX=0"}</definedName>
    <definedName name="_251__FDSAUDITLINK__" localSheetId="1"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1__FDSAUDITLINK__" hidden="1">{"fdsup://directions/FAT Viewer?action=UPDATE&amp;creator=factset&amp;DYN_ARGS=TRUE&amp;DOC_NAME=FAT:FQL_AUDITING_CLIENT_TEMPLATE.FAT&amp;display_string=Audit&amp;VAR:KEY=ZYDCBYBGFI&amp;VAR:QUERY=RkZfRUJJVERBX09QRVIoUVRSLDQvMS8yMDA5LDYvMzAvMjAwOSwsLFVTRCk=&amp;WINDOW=FIRST_POPUP&amp;HEIGH","T=450&amp;WIDTH=450&amp;START_MAXIMIZED=FALSE&amp;VAR:CALENDAR=US&amp;VAR:SYMBOL=PX&amp;VAR:INDEX=0"}</definedName>
    <definedName name="_252__FDSAUDITLINK__" localSheetId="1"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2__FDSAUDITLINK__" hidden="1">{"fdsup://directions/FAT Viewer?action=UPDATE&amp;creator=factset&amp;DYN_ARGS=TRUE&amp;DOC_NAME=FAT:FQL_AUDITING_CLIENT_TEMPLATE.FAT&amp;display_string=Audit&amp;VAR:KEY=NEVUZSLSJA&amp;VAR:QUERY=RkZfRUJJVERBX09QRVIoUVRSLDQvMS8yMDEwLDYvMzAvMjAxMCwsLFVTRCk=&amp;WINDOW=FIRST_POPUP&amp;HEIGH","T=450&amp;WIDTH=450&amp;START_MAXIMIZED=FALSE&amp;VAR:CALENDAR=US&amp;VAR:SYMBOL=PX&amp;VAR:INDEX=0"}</definedName>
    <definedName name="_253__FDSAUDITLINK__" localSheetId="1"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3__FDSAUDITLINK__" hidden="1">{"fdsup://directions/FAT Viewer?action=UPDATE&amp;creator=factset&amp;DYN_ARGS=TRUE&amp;DOC_NAME=FAT:FQL_AUDITING_CLIENT_TEMPLATE.FAT&amp;display_string=Audit&amp;VAR:KEY=LQDYTWLQDS&amp;VAR:QUERY=RkZfRUJJVERBX09QRVIoUVRSLDQvMS8yMDA5LDYvMzAvMjAwOSwsLFVTRCk=&amp;WINDOW=FIRST_POPUP&amp;HEIGH","T=450&amp;WIDTH=450&amp;START_MAXIMIZED=FALSE&amp;VAR:CALENDAR=US&amp;VAR:SYMBOL=PWR&amp;VAR:INDEX=0"}</definedName>
    <definedName name="_254__FDSAUDITLINK__" localSheetId="1"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4__FDSAUDITLINK__" hidden="1">{"fdsup://directions/FAT Viewer?action=UPDATE&amp;creator=factset&amp;DYN_ARGS=TRUE&amp;DOC_NAME=FAT:FQL_AUDITING_CLIENT_TEMPLATE.FAT&amp;display_string=Audit&amp;VAR:KEY=BAPOXMBUFG&amp;VAR:QUERY=RkZfRUJJVERBX09QRVIoUVRSLDQvMS8yMDEwLDYvMzAvMjAxMCwsLFVTRCk=&amp;WINDOW=FIRST_POPUP&amp;HEIGH","T=450&amp;WIDTH=450&amp;START_MAXIMIZED=FALSE&amp;VAR:CALENDAR=US&amp;VAR:SYMBOL=PWR&amp;VAR:INDEX=0"}</definedName>
    <definedName name="_255__FDSAUDITLINK__" localSheetId="1"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5__FDSAUDITLINK__" hidden="1">{"fdsup://directions/FAT Viewer?action=UPDATE&amp;creator=factset&amp;DYN_ARGS=TRUE&amp;DOC_NAME=FAT:FQL_AUDITING_CLIENT_TEMPLATE.FAT&amp;display_string=Audit&amp;VAR:KEY=LSXWVWVETI&amp;VAR:QUERY=RkZfRUJJVERBX09QRVIoUVRSLDQvMS8yMDA5LDYvMzAvMjAwOSwsLFVTRCk=&amp;WINDOW=FIRST_POPUP&amp;HEIGH","T=450&amp;WIDTH=450&amp;START_MAXIMIZED=FALSE&amp;VAR:CALENDAR=US&amp;VAR:SYMBOL=PTV&amp;VAR:INDEX=0"}</definedName>
    <definedName name="_256__FDSAUDITLINK__" localSheetId="1"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6__FDSAUDITLINK__" hidden="1">{"fdsup://directions/FAT Viewer?action=UPDATE&amp;creator=factset&amp;DYN_ARGS=TRUE&amp;DOC_NAME=FAT:FQL_AUDITING_CLIENT_TEMPLATE.FAT&amp;display_string=Audit&amp;VAR:KEY=ZYTQLKNSPW&amp;VAR:QUERY=RkZfRUJJVERBX09QRVIoUVRSLDQvMS8yMDEwLDYvMzAvMjAxMCwsLFVTRCk=&amp;WINDOW=FIRST_POPUP&amp;HEIGH","T=450&amp;WIDTH=450&amp;START_MAXIMIZED=FALSE&amp;VAR:CALENDAR=US&amp;VAR:SYMBOL=PTV&amp;VAR:INDEX=0"}</definedName>
    <definedName name="_257__FDSAUDITLINK__" localSheetId="1"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7__FDSAUDITLINK__" hidden="1">{"fdsup://directions/FAT Viewer?action=UPDATE&amp;creator=factset&amp;DYN_ARGS=TRUE&amp;DOC_NAME=FAT:FQL_AUDITING_CLIENT_TEMPLATE.FAT&amp;display_string=Audit&amp;VAR:KEY=FKDUNMPQBY&amp;VAR:QUERY=RkZfRUJJVERBX09QRVIoUVRSLDQvMS8yMDA5LDYvMzAvMjAwOSwsLFVTRCk=&amp;WINDOW=FIRST_POPUP&amp;HEIGH","T=450&amp;WIDTH=450&amp;START_MAXIMIZED=FALSE&amp;VAR:CALENDAR=US&amp;VAR:SYMBOL=PSA&amp;VAR:INDEX=0"}</definedName>
    <definedName name="_258__FDSAUDITLINK__" localSheetId="1"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8__FDSAUDITLINK__" hidden="1">{"fdsup://directions/FAT Viewer?action=UPDATE&amp;creator=factset&amp;DYN_ARGS=TRUE&amp;DOC_NAME=FAT:FQL_AUDITING_CLIENT_TEMPLATE.FAT&amp;display_string=Audit&amp;VAR:KEY=VGJSLUPADS&amp;VAR:QUERY=RkZfRUJJVERBX09QRVIoUVRSLDQvMS8yMDEwLDYvMzAvMjAxMCwsLFVTRCk=&amp;WINDOW=FIRST_POPUP&amp;HEIGH","T=450&amp;WIDTH=450&amp;START_MAXIMIZED=FALSE&amp;VAR:CALENDAR=US&amp;VAR:SYMBOL=PSA&amp;VAR:INDEX=0"}</definedName>
    <definedName name="_259__FDSAUDITLINK__" localSheetId="1"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59__FDSAUDITLINK__" hidden="1">{"fdsup://directions/FAT Viewer?action=UPDATE&amp;creator=factset&amp;DYN_ARGS=TRUE&amp;DOC_NAME=FAT:FQL_AUDITING_CLIENT_TEMPLATE.FAT&amp;display_string=Audit&amp;VAR:KEY=LSLQZARINE&amp;VAR:QUERY=RkZfRUJJVERBX09QRVIoUVRSLDQvMS8yMDA5LDYvMzAvMjAwOSwsLFVTRCk=&amp;WINDOW=FIRST_POPUP&amp;HEIGH","T=450&amp;WIDTH=450&amp;START_MAXIMIZED=FALSE&amp;VAR:CALENDAR=US&amp;VAR:SYMBOL=PRU&amp;VAR:INDEX=0"}</definedName>
    <definedName name="_26__FDSAUDITLINK__" localSheetId="1"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__FDSAUDITLINK__" hidden="1">{"fdsup://directions/FAT Viewer?action=UPDATE&amp;creator=factset&amp;DYN_ARGS=TRUE&amp;DOC_NAME=FAT:FQL_AUDITING_CLIENT_TEMPLATE.FAT&amp;display_string=Audit&amp;VAR:KEY=FKBOTWFQTY&amp;VAR:QUERY=RkZfRUJJVERBX09QRVIoUVRSLDQvMS8yMDEwLDYvMzAvMjAxMCwsLFVTRCk=&amp;WINDOW=FIRST_POPUP&amp;HEIGH","T=450&amp;WIDTH=450&amp;START_MAXIMIZED=FALSE&amp;VAR:CALENDAR=US&amp;VAR:SYMBOL=WYN&amp;VAR:INDEX=0"}</definedName>
    <definedName name="_260__FDSAUDITLINK__" localSheetId="1"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0__FDSAUDITLINK__" hidden="1">{"fdsup://directions/FAT Viewer?action=UPDATE&amp;creator=factset&amp;DYN_ARGS=TRUE&amp;DOC_NAME=FAT:FQL_AUDITING_CLIENT_TEMPLATE.FAT&amp;display_string=Audit&amp;VAR:KEY=HKZGBUXAXG&amp;VAR:QUERY=RkZfRUJJVERBX09QRVIoUVRSLDQvMS8yMDEwLDYvMzAvMjAxMCwsLFVTRCk=&amp;WINDOW=FIRST_POPUP&amp;HEIGH","T=450&amp;WIDTH=450&amp;START_MAXIMIZED=FALSE&amp;VAR:CALENDAR=US&amp;VAR:SYMBOL=PRU&amp;VAR:INDEX=0"}</definedName>
    <definedName name="_261__FDSAUDITLINK__" localSheetId="1"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1__FDSAUDITLINK__" hidden="1">{"fdsup://directions/FAT Viewer?action=UPDATE&amp;creator=factset&amp;DYN_ARGS=TRUE&amp;DOC_NAME=FAT:FQL_AUDITING_CLIENT_TEMPLATE.FAT&amp;display_string=Audit&amp;VAR:KEY=VEZCFSZMRO&amp;VAR:QUERY=RkZfRUJJVERBX09QRVIoUVRSLDQvMS8yMDA5LDYvMzAvMjAwOSwsLFVTRCk=&amp;WINDOW=FIRST_POPUP&amp;HEIGH","T=450&amp;WIDTH=450&amp;START_MAXIMIZED=FALSE&amp;VAR:CALENDAR=US&amp;VAR:SYMBOL=PPL&amp;VAR:INDEX=0"}</definedName>
    <definedName name="_262__FDSAUDITLINK__" localSheetId="1"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2__FDSAUDITLINK__" hidden="1">{"fdsup://directions/FAT Viewer?action=UPDATE&amp;creator=factset&amp;DYN_ARGS=TRUE&amp;DOC_NAME=FAT:FQL_AUDITING_CLIENT_TEMPLATE.FAT&amp;display_string=Audit&amp;VAR:KEY=FMDWBKVCBA&amp;VAR:QUERY=RkZfRUJJVERBX09QRVIoUVRSLDQvMS8yMDEwLDYvMzAvMjAxMCwsLFVTRCk=&amp;WINDOW=FIRST_POPUP&amp;HEIGH","T=450&amp;WIDTH=450&amp;START_MAXIMIZED=FALSE&amp;VAR:CALENDAR=US&amp;VAR:SYMBOL=PPL&amp;VAR:INDEX=0"}</definedName>
    <definedName name="_263__FDSAUDITLINK__" localSheetId="1"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3__FDSAUDITLINK__" hidden="1">{"fdsup://directions/FAT Viewer?action=UPDATE&amp;creator=factset&amp;DYN_ARGS=TRUE&amp;DOC_NAME=FAT:FQL_AUDITING_CLIENT_TEMPLATE.FAT&amp;display_string=Audit&amp;VAR:KEY=NERYVKHSBY&amp;VAR:QUERY=RkZfRUJJVERBX09QRVIoUVRSLDQvMS8yMDA5LDYvMzAvMjAwOSwsLFVTRCk=&amp;WINDOW=FIRST_POPUP&amp;HEIGH","T=450&amp;WIDTH=450&amp;START_MAXIMIZED=FALSE&amp;VAR:CALENDAR=US&amp;VAR:SYMBOL=PPG&amp;VAR:INDEX=0"}</definedName>
    <definedName name="_264__FDSAUDITLINK__" localSheetId="1"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4__FDSAUDITLINK__" hidden="1">{"fdsup://directions/FAT Viewer?action=UPDATE&amp;creator=factset&amp;DYN_ARGS=TRUE&amp;DOC_NAME=FAT:FQL_AUDITING_CLIENT_TEMPLATE.FAT&amp;display_string=Audit&amp;VAR:KEY=ZKNILWTMTI&amp;VAR:QUERY=RkZfRUJJVERBX09QRVIoUVRSLDQvMS8yMDEwLDYvMzAvMjAxMCwsLFVTRCk=&amp;WINDOW=FIRST_POPUP&amp;HEIGH","T=450&amp;WIDTH=450&amp;START_MAXIMIZED=FALSE&amp;VAR:CALENDAR=US&amp;VAR:SYMBOL=PPG&amp;VAR:INDEX=0"}</definedName>
    <definedName name="_265__FDSAUDITLINK__" localSheetId="1"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5__FDSAUDITLINK__" hidden="1">{"fdsup://directions/FAT Viewer?action=UPDATE&amp;creator=factset&amp;DYN_ARGS=TRUE&amp;DOC_NAME=FAT:FQL_AUDITING_CLIENT_TEMPLATE.FAT&amp;display_string=Audit&amp;VAR:KEY=VADWJQTWXS&amp;VAR:QUERY=RkZfRUJJVERBX09QRVIoUVRSLDQvMS8yMDA5LDYvMzAvMjAwOSwsLFVTRCk=&amp;WINDOW=FIRST_POPUP&amp;HEIGH","T=450&amp;WIDTH=450&amp;START_MAXIMIZED=FALSE&amp;VAR:CALENDAR=US&amp;VAR:SYMBOL=POM&amp;VAR:INDEX=0"}</definedName>
    <definedName name="_266__FDSAUDITLINK__" localSheetId="1"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6__FDSAUDITLINK__" hidden="1">{"fdsup://directions/FAT Viewer?action=UPDATE&amp;creator=factset&amp;DYN_ARGS=TRUE&amp;DOC_NAME=FAT:FQL_AUDITING_CLIENT_TEMPLATE.FAT&amp;display_string=Audit&amp;VAR:KEY=DMJUBWPEVY&amp;VAR:QUERY=RkZfRUJJVERBX09QRVIoUVRSLDQvMS8yMDEwLDYvMzAvMjAxMCwsLFVTRCk=&amp;WINDOW=FIRST_POPUP&amp;HEIGH","T=450&amp;WIDTH=450&amp;START_MAXIMIZED=FALSE&amp;VAR:CALENDAR=US&amp;VAR:SYMBOL=POM&amp;VAR:INDEX=0"}</definedName>
    <definedName name="_267__FDSAUDITLINK__" localSheetId="1"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7__FDSAUDITLINK__" hidden="1">{"fdsup://directions/FAT Viewer?action=UPDATE&amp;creator=factset&amp;DYN_ARGS=TRUE&amp;DOC_NAME=FAT:FQL_AUDITING_CLIENT_TEMPLATE.FAT&amp;display_string=Audit&amp;VAR:KEY=ZIXUTKBSVQ&amp;VAR:QUERY=RkZfRUJJVERBX09QRVIoUVRSLDQvMS8yMDA5LDYvMzAvMjAwOSwsLFVTRCk=&amp;WINDOW=FIRST_POPUP&amp;HEIGH","T=450&amp;WIDTH=450&amp;START_MAXIMIZED=FALSE&amp;VAR:CALENDAR=US&amp;VAR:SYMBOL=PNW&amp;VAR:INDEX=0"}</definedName>
    <definedName name="_268__FDSAUDITLINK__" localSheetId="1"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8__FDSAUDITLINK__" hidden="1">{"fdsup://directions/FAT Viewer?action=UPDATE&amp;creator=factset&amp;DYN_ARGS=TRUE&amp;DOC_NAME=FAT:FQL_AUDITING_CLIENT_TEMPLATE.FAT&amp;display_string=Audit&amp;VAR:KEY=ZMDADMXGPO&amp;VAR:QUERY=RkZfRUJJVERBX09QRVIoUVRSLDQvMS8yMDEwLDYvMzAvMjAxMCwsLFVTRCk=&amp;WINDOW=FIRST_POPUP&amp;HEIGH","T=450&amp;WIDTH=450&amp;START_MAXIMIZED=FALSE&amp;VAR:CALENDAR=US&amp;VAR:SYMBOL=PNW&amp;VAR:INDEX=0"}</definedName>
    <definedName name="_269__FDSAUDITLINK__" localSheetId="1"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69__FDSAUDITLINK__" hidden="1">{"fdsup://directions/FAT Viewer?action=UPDATE&amp;creator=factset&amp;DYN_ARGS=TRUE&amp;DOC_NAME=FAT:FQL_AUDITING_CLIENT_TEMPLATE.FAT&amp;display_string=Audit&amp;VAR:KEY=BIVKRYBUZQ&amp;VAR:QUERY=RkZfRUJJVERBX09QRVIoUVRSLDQvMS8yMDA5LDYvMzAvMjAwOSwsLFVTRCk=&amp;WINDOW=FIRST_POPUP&amp;HEIGH","T=450&amp;WIDTH=450&amp;START_MAXIMIZED=FALSE&amp;VAR:CALENDAR=US&amp;VAR:SYMBOL=PNC&amp;VAR:INDEX=0"}</definedName>
    <definedName name="_27__FDSAUDITLINK__" localSheetId="1"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__FDSAUDITLINK__" hidden="1">{"fdsup://directions/FAT Viewer?action=UPDATE&amp;creator=factset&amp;DYN_ARGS=TRUE&amp;DOC_NAME=FAT:FQL_AUDITING_CLIENT_TEMPLATE.FAT&amp;display_string=Audit&amp;VAR:KEY=TKRCZANMHQ&amp;VAR:QUERY=RkZfRUJJVERBX09QRVIoUVRSLDQvMS8yMDA5LDYvMzAvMjAwOSwsLFVTRCk=&amp;WINDOW=FIRST_POPUP&amp;HEIGH","T=450&amp;WIDTH=450&amp;START_MAXIMIZED=FALSE&amp;VAR:CALENDAR=US&amp;VAR:SYMBOL=WY&amp;VAR:INDEX=0"}</definedName>
    <definedName name="_270__FDSAUDITLINK__" localSheetId="1"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0__FDSAUDITLINK__" hidden="1">{"fdsup://directions/FAT Viewer?action=UPDATE&amp;creator=factset&amp;DYN_ARGS=TRUE&amp;DOC_NAME=FAT:FQL_AUDITING_CLIENT_TEMPLATE.FAT&amp;display_string=Audit&amp;VAR:KEY=FYPYHQBQTS&amp;VAR:QUERY=RkZfRUJJVERBX09QRVIoUVRSLDQvMS8yMDEwLDYvMzAvMjAxMCwsLFVTRCk=&amp;WINDOW=FIRST_POPUP&amp;HEIGH","T=450&amp;WIDTH=450&amp;START_MAXIMIZED=FALSE&amp;VAR:CALENDAR=US&amp;VAR:SYMBOL=PNC&amp;VAR:INDEX=0"}</definedName>
    <definedName name="_271__FDSAUDITLINK__" localSheetId="1"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1__FDSAUDITLINK__" hidden="1">{"fdsup://directions/FAT Viewer?action=UPDATE&amp;creator=factset&amp;DYN_ARGS=TRUE&amp;DOC_NAME=FAT:FQL_AUDITING_CLIENT_TEMPLATE.FAT&amp;display_string=Audit&amp;VAR:KEY=NWFANCHYXE&amp;VAR:QUERY=RkZfRUJJVERBX09QRVIoUVRSLDQvMS8yMDA5LDYvMzAvMjAwOSwsLFVTRCk=&amp;WINDOW=FIRST_POPUP&amp;HEIGH","T=450&amp;WIDTH=450&amp;START_MAXIMIZED=FALSE&amp;VAR:CALENDAR=US&amp;VAR:SYMBOL=PM&amp;VAR:INDEX=0"}</definedName>
    <definedName name="_272__FDSAUDITLINK__" localSheetId="1"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2__FDSAUDITLINK__" hidden="1">{"fdsup://directions/FAT Viewer?action=UPDATE&amp;creator=factset&amp;DYN_ARGS=TRUE&amp;DOC_NAME=FAT:FQL_AUDITING_CLIENT_TEMPLATE.FAT&amp;display_string=Audit&amp;VAR:KEY=LYRUBWRWDK&amp;VAR:QUERY=RkZfRUJJVERBX09QRVIoUVRSLDQvMS8yMDEwLDYvMzAvMjAxMCwsLFVTRCk=&amp;WINDOW=FIRST_POPUP&amp;HEIGH","T=450&amp;WIDTH=450&amp;START_MAXIMIZED=FALSE&amp;VAR:CALENDAR=US&amp;VAR:SYMBOL=PM&amp;VAR:INDEX=0"}</definedName>
    <definedName name="_273__FDSAUDITLINK__" localSheetId="1"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3__FDSAUDITLINK__" hidden="1">{"fdsup://directions/FAT Viewer?action=UPDATE&amp;creator=factset&amp;DYN_ARGS=TRUE&amp;DOC_NAME=FAT:FQL_AUDITING_CLIENT_TEMPLATE.FAT&amp;display_string=Audit&amp;VAR:KEY=FCLKDENQBO&amp;VAR:QUERY=RkZfRUJJVERBX09QRVIoUVRSLDQvMS8yMDA5LDYvMzAvMjAwOSwsLFVTRCk=&amp;WINDOW=FIRST_POPUP&amp;HEIGH","T=450&amp;WIDTH=450&amp;START_MAXIMIZED=FALSE&amp;VAR:CALENDAR=US&amp;VAR:SYMBOL=PLL&amp;VAR:INDEX=0"}</definedName>
    <definedName name="_274__FDSAUDITLINK__" localSheetId="1"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4__FDSAUDITLINK__" hidden="1">{"fdsup://directions/FAT Viewer?action=UPDATE&amp;creator=factset&amp;DYN_ARGS=TRUE&amp;DOC_NAME=FAT:FQL_AUDITING_CLIENT_TEMPLATE.FAT&amp;display_string=Audit&amp;VAR:KEY=XCJQRQPARI&amp;VAR:QUERY=RkZfRUJJVERBX09QRVIoUVRSLDQvMS8yMDEwLDYvMzAvMjAxMCwsLFVTRCk=&amp;WINDOW=FIRST_POPUP&amp;HEIGH","T=450&amp;WIDTH=450&amp;START_MAXIMIZED=FALSE&amp;VAR:CALENDAR=US&amp;VAR:SYMBOL=PLL&amp;VAR:INDEX=0"}</definedName>
    <definedName name="_275__FDSAUDITLINK__" localSheetId="1"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5__FDSAUDITLINK__" hidden="1">{"fdsup://directions/FAT Viewer?action=UPDATE&amp;creator=factset&amp;DYN_ARGS=TRUE&amp;DOC_NAME=FAT:FQL_AUDITING_CLIENT_TEMPLATE.FAT&amp;display_string=Audit&amp;VAR:KEY=PARKJSTSXU&amp;VAR:QUERY=RkZfRUJJVERBX09QRVIoUVRSLDQvMS8yMDA5LDYvMzAvMjAwOSwsLFVTRCk=&amp;WINDOW=FIRST_POPUP&amp;HEIGH","T=450&amp;WIDTH=450&amp;START_MAXIMIZED=FALSE&amp;VAR:CALENDAR=US&amp;VAR:SYMBOL=PLD&amp;VAR:INDEX=0"}</definedName>
    <definedName name="_276__FDSAUDITLINK__" localSheetId="1"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6__FDSAUDITLINK__" hidden="1">{"fdsup://directions/FAT Viewer?action=UPDATE&amp;creator=factset&amp;DYN_ARGS=TRUE&amp;DOC_NAME=FAT:FQL_AUDITING_CLIENT_TEMPLATE.FAT&amp;display_string=Audit&amp;VAR:KEY=BAJUVGJMJW&amp;VAR:QUERY=RkZfRUJJVERBX09QRVIoUVRSLDQvMS8yMDEwLDYvMzAvMjAxMCwsLFVTRCk=&amp;WINDOW=FIRST_POPUP&amp;HEIGH","T=450&amp;WIDTH=450&amp;START_MAXIMIZED=FALSE&amp;VAR:CALENDAR=US&amp;VAR:SYMBOL=PLD&amp;VAR:INDEX=0"}</definedName>
    <definedName name="_277__FDSAUDITLINK__" localSheetId="1"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7__FDSAUDITLINK__" hidden="1">{"fdsup://directions/FAT Viewer?action=UPDATE&amp;creator=factset&amp;DYN_ARGS=TRUE&amp;DOC_NAME=FAT:FQL_AUDITING_CLIENT_TEMPLATE.FAT&amp;display_string=Audit&amp;VAR:KEY=XYZEJUBYNC&amp;VAR:QUERY=RkZfRUJJVERBX09QRVIoUVRSLDQvMS8yMDA5LDYvMzAvMjAwOSwsLFVTRCk=&amp;WINDOW=FIRST_POPUP&amp;HEIGH","T=450&amp;WIDTH=450&amp;START_MAXIMIZED=FALSE&amp;VAR:CALENDAR=US&amp;VAR:SYMBOL=PKI&amp;VAR:INDEX=0"}</definedName>
    <definedName name="_278__FDSAUDITLINK__" localSheetId="1"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8__FDSAUDITLINK__" hidden="1">{"fdsup://directions/FAT Viewer?action=UPDATE&amp;creator=factset&amp;DYN_ARGS=TRUE&amp;DOC_NAME=FAT:FQL_AUDITING_CLIENT_TEMPLATE.FAT&amp;display_string=Audit&amp;VAR:KEY=LYLWXYVKDA&amp;VAR:QUERY=RkZfRUJJVERBX09QRVIoUVRSLDQvMS8yMDEwLDYvMzAvMjAxMCwsLFVTRCk=&amp;WINDOW=FIRST_POPUP&amp;HEIGH","T=450&amp;WIDTH=450&amp;START_MAXIMIZED=FALSE&amp;VAR:CALENDAR=US&amp;VAR:SYMBOL=PKI&amp;VAR:INDEX=0"}</definedName>
    <definedName name="_279__FDSAUDITLINK__" localSheetId="1"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79__FDSAUDITLINK__" hidden="1">{"fdsup://directions/FAT Viewer?action=UPDATE&amp;creator=factset&amp;DYN_ARGS=TRUE&amp;DOC_NAME=FAT:FQL_AUDITING_CLIENT_TEMPLATE.FAT&amp;display_string=Audit&amp;VAR:KEY=XAHKDIVKTU&amp;VAR:QUERY=RkZfRUJJVERBX09QRVIoUVRSLDQvMS8yMDA5LDYvMzAvMjAwOSwsLFVTRCk=&amp;WINDOW=FIRST_POPUP&amp;HEIGH","T=450&amp;WIDTH=450&amp;START_MAXIMIZED=FALSE&amp;VAR:CALENDAR=US&amp;VAR:SYMBOL=PHM&amp;VAR:INDEX=0"}</definedName>
    <definedName name="_28__FDSAUDITLINK__" localSheetId="1"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__FDSAUDITLINK__" hidden="1">{"fdsup://directions/FAT Viewer?action=UPDATE&amp;creator=factset&amp;DYN_ARGS=TRUE&amp;DOC_NAME=FAT:FQL_AUDITING_CLIENT_TEMPLATE.FAT&amp;display_string=Audit&amp;VAR:KEY=BSRYVUFULE&amp;VAR:QUERY=RkZfRUJJVERBX09QRVIoUVRSLDQvMS8yMDEwLDYvMzAvMjAxMCwsLFVTRCk=&amp;WINDOW=FIRST_POPUP&amp;HEIGH","T=450&amp;WIDTH=450&amp;START_MAXIMIZED=FALSE&amp;VAR:CALENDAR=US&amp;VAR:SYMBOL=WY&amp;VAR:INDEX=0"}</definedName>
    <definedName name="_280__FDSAUDITLINK__" localSheetId="1"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0__FDSAUDITLINK__" hidden="1">{"fdsup://directions/FAT Viewer?action=UPDATE&amp;creator=factset&amp;DYN_ARGS=TRUE&amp;DOC_NAME=FAT:FQL_AUDITING_CLIENT_TEMPLATE.FAT&amp;display_string=Audit&amp;VAR:KEY=FOJMDEZSJS&amp;VAR:QUERY=RkZfRUJJVERBX09QRVIoUVRSLDQvMS8yMDEwLDYvMzAvMjAxMCwsLFVTRCk=&amp;WINDOW=FIRST_POPUP&amp;HEIGH","T=450&amp;WIDTH=450&amp;START_MAXIMIZED=FALSE&amp;VAR:CALENDAR=US&amp;VAR:SYMBOL=PHM&amp;VAR:INDEX=0"}</definedName>
    <definedName name="_281__FDSAUDITLINK__" localSheetId="1"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1__FDSAUDITLINK__" hidden="1">{"fdsup://directions/FAT Viewer?action=UPDATE&amp;creator=factset&amp;DYN_ARGS=TRUE&amp;DOC_NAME=FAT:FQL_AUDITING_CLIENT_TEMPLATE.FAT&amp;display_string=Audit&amp;VAR:KEY=TGFAZITENS&amp;VAR:QUERY=RkZfRUJJVERBX09QRVIoUVRSLDQvMS8yMDA5LDYvMzAvMjAwOSwsLFVTRCk=&amp;WINDOW=FIRST_POPUP&amp;HEIGH","T=450&amp;WIDTH=450&amp;START_MAXIMIZED=FALSE&amp;VAR:CALENDAR=US&amp;VAR:SYMBOL=PH&amp;VAR:INDEX=0"}</definedName>
    <definedName name="_282__FDSAUDITLINK__" localSheetId="1"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2__FDSAUDITLINK__" hidden="1">{"fdsup://directions/FAT Viewer?action=UPDATE&amp;creator=factset&amp;DYN_ARGS=TRUE&amp;DOC_NAME=FAT:FQL_AUDITING_CLIENT_TEMPLATE.FAT&amp;display_string=Audit&amp;VAR:KEY=DYTOPYTWPU&amp;VAR:QUERY=RkZfRUJJVERBX09QRVIoUVRSLDQvMS8yMDEwLDYvMzAvMjAxMCwsLFVTRCk=&amp;WINDOW=FIRST_POPUP&amp;HEIGH","T=450&amp;WIDTH=450&amp;START_MAXIMIZED=FALSE&amp;VAR:CALENDAR=US&amp;VAR:SYMBOL=PH&amp;VAR:INDEX=0"}</definedName>
    <definedName name="_283__FDSAUDITLINK__" localSheetId="1"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3__FDSAUDITLINK__" hidden="1">{"fdsup://directions/FAT Viewer?action=UPDATE&amp;creator=factset&amp;DYN_ARGS=TRUE&amp;DOC_NAME=FAT:FQL_AUDITING_CLIENT_TEMPLATE.FAT&amp;display_string=Audit&amp;VAR:KEY=HMBAZUPMDQ&amp;VAR:QUERY=RkZfRUJJVERBX09QRVIoUVRSLDQvMS8yMDA5LDYvMzAvMjAwOSwsLFVTRCk=&amp;WINDOW=FIRST_POPUP&amp;HEIGH","T=450&amp;WIDTH=450&amp;START_MAXIMIZED=FALSE&amp;VAR:CALENDAR=US&amp;VAR:SYMBOL=PGR&amp;VAR:INDEX=0"}</definedName>
    <definedName name="_284__FDSAUDITLINK__" localSheetId="1"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4__FDSAUDITLINK__" hidden="1">{"fdsup://directions/FAT Viewer?action=UPDATE&amp;creator=factset&amp;DYN_ARGS=TRUE&amp;DOC_NAME=FAT:FQL_AUDITING_CLIENT_TEMPLATE.FAT&amp;display_string=Audit&amp;VAR:KEY=PEFENQRQFS&amp;VAR:QUERY=RkZfRUJJVERBX09QRVIoUVRSLDQvMS8yMDEwLDYvMzAvMjAxMCwsLFVTRCk=&amp;WINDOW=FIRST_POPUP&amp;HEIGH","T=450&amp;WIDTH=450&amp;START_MAXIMIZED=FALSE&amp;VAR:CALENDAR=US&amp;VAR:SYMBOL=PGR&amp;VAR:INDEX=0"}</definedName>
    <definedName name="_285__FDSAUDITLINK__" localSheetId="1"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5__FDSAUDITLINK__" hidden="1">{"fdsup://directions/FAT Viewer?action=UPDATE&amp;creator=factset&amp;DYN_ARGS=TRUE&amp;DOC_NAME=FAT:FQL_AUDITING_CLIENT_TEMPLATE.FAT&amp;display_string=Audit&amp;VAR:KEY=XETQPWTUHY&amp;VAR:QUERY=RkZfRUJJVERBX09QRVIoUVRSLDQvMS8yMDA5LDYvMzAvMjAwOSwsLFVTRCk=&amp;WINDOW=FIRST_POPUP&amp;HEIGH","T=450&amp;WIDTH=450&amp;START_MAXIMIZED=FALSE&amp;VAR:CALENDAR=US&amp;VAR:SYMBOL=PGN&amp;VAR:INDEX=0"}</definedName>
    <definedName name="_286__FDSAUDITLINK__" localSheetId="1"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6__FDSAUDITLINK__" hidden="1">{"fdsup://directions/FAT Viewer?action=UPDATE&amp;creator=factset&amp;DYN_ARGS=TRUE&amp;DOC_NAME=FAT:FQL_AUDITING_CLIENT_TEMPLATE.FAT&amp;display_string=Audit&amp;VAR:KEY=PEVIZKFSNY&amp;VAR:QUERY=RkZfRUJJVERBX09QRVIoUVRSLDQvMS8yMDEwLDYvMzAvMjAxMCwsLFVTRCk=&amp;WINDOW=FIRST_POPUP&amp;HEIGH","T=450&amp;WIDTH=450&amp;START_MAXIMIZED=FALSE&amp;VAR:CALENDAR=US&amp;VAR:SYMBOL=PGN&amp;VAR:INDEX=0"}</definedName>
    <definedName name="_287__FDSAUDITLINK__" localSheetId="1"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7__FDSAUDITLINK__" hidden="1">{"fdsup://directions/FAT Viewer?action=UPDATE&amp;creator=factset&amp;DYN_ARGS=TRUE&amp;DOC_NAME=FAT:FQL_AUDITING_CLIENT_TEMPLATE.FAT&amp;display_string=Audit&amp;VAR:KEY=DWRMHWXAHE&amp;VAR:QUERY=RkZfRUJJVERBX09QRVIoUVRSLDQvMS8yMDA5LDYvMzAvMjAwOSwsLFVTRCk=&amp;WINDOW=FIRST_POPUP&amp;HEIGH","T=450&amp;WIDTH=450&amp;START_MAXIMIZED=FALSE&amp;VAR:CALENDAR=US&amp;VAR:SYMBOL=PG&amp;VAR:INDEX=0"}</definedName>
    <definedName name="_288__FDSAUDITLINK__" localSheetId="1"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8__FDSAUDITLINK__" hidden="1">{"fdsup://directions/FAT Viewer?action=UPDATE&amp;creator=factset&amp;DYN_ARGS=TRUE&amp;DOC_NAME=FAT:FQL_AUDITING_CLIENT_TEMPLATE.FAT&amp;display_string=Audit&amp;VAR:KEY=JODGVIPKVO&amp;VAR:QUERY=RkZfRUJJVERBX09QRVIoUVRSLDQvMS8yMDEwLDYvMzAvMjAxMCwsLFVTRCk=&amp;WINDOW=FIRST_POPUP&amp;HEIGH","T=450&amp;WIDTH=450&amp;START_MAXIMIZED=FALSE&amp;VAR:CALENDAR=US&amp;VAR:SYMBOL=PG&amp;VAR:INDEX=0"}</definedName>
    <definedName name="_289__FDSAUDITLINK__" localSheetId="1"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89__FDSAUDITLINK__" hidden="1">{"fdsup://directions/FAT Viewer?action=UPDATE&amp;creator=factset&amp;DYN_ARGS=TRUE&amp;DOC_NAME=FAT:FQL_AUDITING_CLIENT_TEMPLATE.FAT&amp;display_string=Audit&amp;VAR:KEY=NEBETGDIDU&amp;VAR:QUERY=RkZfRUJJVERBX09QRVIoUVRSLDQvMS8yMDA5LDYvMzAvMjAwOSwsLFVTRCk=&amp;WINDOW=FIRST_POPUP&amp;HEIGH","T=450&amp;WIDTH=450&amp;START_MAXIMIZED=FALSE&amp;VAR:CALENDAR=US&amp;VAR:SYMBOL=PFG&amp;VAR:INDEX=0"}</definedName>
    <definedName name="_29__FDSAUDITLINK__" localSheetId="1"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__FDSAUDITLINK__" hidden="1">{"fdsup://directions/FAT Viewer?action=UPDATE&amp;creator=factset&amp;DYN_ARGS=TRUE&amp;DOC_NAME=FAT:FQL_AUDITING_CLIENT_TEMPLATE.FAT&amp;display_string=Audit&amp;VAR:KEY=DCNQRIBQVA&amp;VAR:QUERY=RkZfRUJJVERBX09QRVIoUVRSLDQvMS8yMDA5LDYvMzAvMjAwOSwsLFVTRCk=&amp;WINDOW=FIRST_POPUP&amp;HEIGH","T=450&amp;WIDTH=450&amp;START_MAXIMIZED=FALSE&amp;VAR:CALENDAR=US&amp;VAR:SYMBOL=WU&amp;VAR:INDEX=0"}</definedName>
    <definedName name="_290__FDSAUDITLINK__" localSheetId="1"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0__FDSAUDITLINK__" hidden="1">{"fdsup://directions/FAT Viewer?action=UPDATE&amp;creator=factset&amp;DYN_ARGS=TRUE&amp;DOC_NAME=FAT:FQL_AUDITING_CLIENT_TEMPLATE.FAT&amp;display_string=Audit&amp;VAR:KEY=NGRYPUTOBQ&amp;VAR:QUERY=RkZfRUJJVERBX09QRVIoUVRSLDQvMS8yMDEwLDYvMzAvMjAxMCwsLFVTRCk=&amp;WINDOW=FIRST_POPUP&amp;HEIGH","T=450&amp;WIDTH=450&amp;START_MAXIMIZED=FALSE&amp;VAR:CALENDAR=US&amp;VAR:SYMBOL=PFG&amp;VAR:INDEX=0"}</definedName>
    <definedName name="_291__FDSAUDITLINK__" localSheetId="1"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1__FDSAUDITLINK__" hidden="1">{"fdsup://directions/FAT Viewer?action=UPDATE&amp;creator=factset&amp;DYN_ARGS=TRUE&amp;DOC_NAME=FAT:FQL_AUDITING_CLIENT_TEMPLATE.FAT&amp;display_string=Audit&amp;VAR:KEY=BSFAHGFIRY&amp;VAR:QUERY=RkZfRUJJVERBX09QRVIoUVRSLDQvMS8yMDA5LDYvMzAvMjAwOSwsLFVTRCk=&amp;WINDOW=FIRST_POPUP&amp;HEIGH","T=450&amp;WIDTH=450&amp;START_MAXIMIZED=FALSE&amp;VAR:CALENDAR=US&amp;VAR:SYMBOL=PFE&amp;VAR:INDEX=0"}</definedName>
    <definedName name="_292__FDSAUDITLINK__" localSheetId="1"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2__FDSAUDITLINK__" hidden="1">{"fdsup://directions/FAT Viewer?action=UPDATE&amp;creator=factset&amp;DYN_ARGS=TRUE&amp;DOC_NAME=FAT:FQL_AUDITING_CLIENT_TEMPLATE.FAT&amp;display_string=Audit&amp;VAR:KEY=POBCNQTWZY&amp;VAR:QUERY=RkZfRUJJVERBX09QRVIoUVRSLDQvMS8yMDEwLDYvMzAvMjAxMCwsLFVTRCk=&amp;WINDOW=FIRST_POPUP&amp;HEIGH","T=450&amp;WIDTH=450&amp;START_MAXIMIZED=FALSE&amp;VAR:CALENDAR=US&amp;VAR:SYMBOL=PFE&amp;VAR:INDEX=0"}</definedName>
    <definedName name="_293__FDSAUDITLINK__" localSheetId="1"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3__FDSAUDITLINK__" hidden="1">{"fdsup://directions/FAT Viewer?action=UPDATE&amp;creator=factset&amp;DYN_ARGS=TRUE&amp;DOC_NAME=FAT:FQL_AUDITING_CLIENT_TEMPLATE.FAT&amp;display_string=Audit&amp;VAR:KEY=NULCVCZARE&amp;VAR:QUERY=RkZfRUJJVERBX09QRVIoUVRSLDQvMS8yMDA5LDYvMzAvMjAwOSwsLFVTRCk=&amp;WINDOW=FIRST_POPUP&amp;HEIGH","T=450&amp;WIDTH=450&amp;START_MAXIMIZED=FALSE&amp;VAR:CALENDAR=US&amp;VAR:SYMBOL=PEP&amp;VAR:INDEX=0"}</definedName>
    <definedName name="_294__FDSAUDITLINK__" localSheetId="1"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4__FDSAUDITLINK__" hidden="1">{"fdsup://directions/FAT Viewer?action=UPDATE&amp;creator=factset&amp;DYN_ARGS=TRUE&amp;DOC_NAME=FAT:FQL_AUDITING_CLIENT_TEMPLATE.FAT&amp;display_string=Audit&amp;VAR:KEY=TMFMTWTQVK&amp;VAR:QUERY=RkZfRUJJVERBX09QRVIoUVRSLDQvMS8yMDEwLDYvMzAvMjAxMCwsLFVTRCk=&amp;WINDOW=FIRST_POPUP&amp;HEIGH","T=450&amp;WIDTH=450&amp;START_MAXIMIZED=FALSE&amp;VAR:CALENDAR=US&amp;VAR:SYMBOL=PEP&amp;VAR:INDEX=0"}</definedName>
    <definedName name="_295__FDSAUDITLINK__" localSheetId="1"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5__FDSAUDITLINK__" hidden="1">{"fdsup://directions/FAT Viewer?action=UPDATE&amp;creator=factset&amp;DYN_ARGS=TRUE&amp;DOC_NAME=FAT:FQL_AUDITING_CLIENT_TEMPLATE.FAT&amp;display_string=Audit&amp;VAR:KEY=XQRWLUDEXY&amp;VAR:QUERY=RkZfRUJJVERBX09QRVIoUVRSLDQvMS8yMDA5LDYvMzAvMjAwOSwsLFVTRCk=&amp;WINDOW=FIRST_POPUP&amp;HEIGH","T=450&amp;WIDTH=450&amp;START_MAXIMIZED=FALSE&amp;VAR:CALENDAR=US&amp;VAR:SYMBOL=PEG&amp;VAR:INDEX=0"}</definedName>
    <definedName name="_296__FDSAUDITLINK__" localSheetId="1"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6__FDSAUDITLINK__" hidden="1">{"fdsup://directions/FAT Viewer?action=UPDATE&amp;creator=factset&amp;DYN_ARGS=TRUE&amp;DOC_NAME=FAT:FQL_AUDITING_CLIENT_TEMPLATE.FAT&amp;display_string=Audit&amp;VAR:KEY=PWTOVKNAJI&amp;VAR:QUERY=RkZfRUJJVERBX09QRVIoUVRSLDQvMS8yMDEwLDYvMzAvMjAxMCwsLFVTRCk=&amp;WINDOW=FIRST_POPUP&amp;HEIGH","T=450&amp;WIDTH=450&amp;START_MAXIMIZED=FALSE&amp;VAR:CALENDAR=US&amp;VAR:SYMBOL=PEG&amp;VAR:INDEX=0"}</definedName>
    <definedName name="_297__FDSAUDITLINK__" localSheetId="1"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7__FDSAUDITLINK__" hidden="1">{"fdsup://directions/FAT Viewer?action=UPDATE&amp;creator=factset&amp;DYN_ARGS=TRUE&amp;DOC_NAME=FAT:FQL_AUDITING_CLIENT_TEMPLATE.FAT&amp;display_string=Audit&amp;VAR:KEY=ZEPINYDGHM&amp;VAR:QUERY=RkZfRUJJVERBX09QRVIoUVRSLDQvMS8yMDA5LDYvMzAvMjAwOSwsLFVTRCk=&amp;WINDOW=FIRST_POPUP&amp;HEIGH","T=450&amp;WIDTH=450&amp;START_MAXIMIZED=FALSE&amp;VAR:CALENDAR=US&amp;VAR:SYMBOL=PDCO&amp;VAR:INDEX=0"}</definedName>
    <definedName name="_298__FDSAUDITLINK__" localSheetId="1"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8__FDSAUDITLINK__" hidden="1">{"fdsup://directions/FAT Viewer?action=UPDATE&amp;creator=factset&amp;DYN_ARGS=TRUE&amp;DOC_NAME=FAT:FQL_AUDITING_CLIENT_TEMPLATE.FAT&amp;display_string=Audit&amp;VAR:KEY=XYREDWRILC&amp;VAR:QUERY=RkZfRUJJVERBX09QRVIoUVRSLDQvMS8yMDEwLDYvMzAvMjAxMCwsLFVTRCk=&amp;WINDOW=FIRST_POPUP&amp;HEIGH","T=450&amp;WIDTH=450&amp;START_MAXIMIZED=FALSE&amp;VAR:CALENDAR=US&amp;VAR:SYMBOL=PDCO&amp;VAR:INDEX=0"}</definedName>
    <definedName name="_299__FDSAUDITLINK__" localSheetId="1"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299__FDSAUDITLINK__" hidden="1">{"fdsup://directions/FAT Viewer?action=UPDATE&amp;creator=factset&amp;DYN_ARGS=TRUE&amp;DOC_NAME=FAT:FQL_AUDITING_CLIENT_TEMPLATE.FAT&amp;display_string=Audit&amp;VAR:KEY=LCHYZKHYFI&amp;VAR:QUERY=RkZfRUJJVERBX09QRVIoUVRSLDQvMS8yMDA5LDYvMzAvMjAwOSwsLFVTRCk=&amp;WINDOW=FIRST_POPUP&amp;HEIGH","T=450&amp;WIDTH=450&amp;START_MAXIMIZED=FALSE&amp;VAR:CALENDAR=US&amp;VAR:SYMBOL=PCS&amp;VAR:INDEX=0"}</definedName>
    <definedName name="_3__FDSAUDITLINK__" localSheetId="1" hidden="1">{"fdsup://directions/FAT Viewer?action=UPDATE&amp;creator=factset&amp;DYN_ARGS=TRUE&amp;DOC_NAME=FAT:FQL_AUDITING_CLIENT_TEMPLATE.FAT&amp;display_string=Audit&amp;VAR:KEY=BQPOXSNSBW&amp;VAR:QUERY=RkZfRUJJVERBX09QRVIoUVRSLDQvMS8yMDA5LDYvMzAvMjAwOSwsLFVTRCk=&amp;WINDOW=FIRST_POPUP&amp;HEIGH","T=450&amp;WIDTH=450&amp;START_MAXIMIZED=FALSE&amp;VAR:CALENDAR=US&amp;VAR:SYMBOL=ZION&amp;VAR:INDEX=0"}</definedName>
    <definedName name="_3__FDSAUDITLINK__" hidden="1">{"fdsup://directions/FAT Viewer?action=UPDATE&amp;creator=factset&amp;DYN_ARGS=TRUE&amp;DOC_NAME=FAT:FQL_AUDITING_CLIENT_TEMPLATE.FAT&amp;display_string=Audit&amp;VAR:KEY=BQPOXSNSBW&amp;VAR:QUERY=RkZfRUJJVERBX09QRVIoUVRSLDQvMS8yMDA5LDYvMzAvMjAwOSwsLFVTRCk=&amp;WINDOW=FIRST_POPUP&amp;HEIGH","T=450&amp;WIDTH=450&amp;START_MAXIMIZED=FALSE&amp;VAR:CALENDAR=US&amp;VAR:SYMBOL=ZION&amp;VAR:INDEX=0"}</definedName>
    <definedName name="_30__FDSAUDITLINK__" localSheetId="1"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__FDSAUDITLINK__" hidden="1">{"fdsup://directions/FAT Viewer?action=UPDATE&amp;creator=factset&amp;DYN_ARGS=TRUE&amp;DOC_NAME=FAT:FQL_AUDITING_CLIENT_TEMPLATE.FAT&amp;display_string=Audit&amp;VAR:KEY=NGFSFWPSPE&amp;VAR:QUERY=RkZfRUJJVERBX09QRVIoUVRSLDQvMS8yMDEwLDYvMzAvMjAxMCwsLFVTRCk=&amp;WINDOW=FIRST_POPUP&amp;HEIGH","T=450&amp;WIDTH=450&amp;START_MAXIMIZED=FALSE&amp;VAR:CALENDAR=US&amp;VAR:SYMBOL=WU&amp;VAR:INDEX=0"}</definedName>
    <definedName name="_300__FDSAUDITLINK__" localSheetId="1"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0__FDSAUDITLINK__" hidden="1">{"fdsup://directions/FAT Viewer?action=UPDATE&amp;creator=factset&amp;DYN_ARGS=TRUE&amp;DOC_NAME=FAT:FQL_AUDITING_CLIENT_TEMPLATE.FAT&amp;display_string=Audit&amp;VAR:KEY=DCLKJWNGHS&amp;VAR:QUERY=RkZfRUJJVERBX09QRVIoUVRSLDQvMS8yMDEwLDYvMzAvMjAxMCwsLFVTRCk=&amp;WINDOW=FIRST_POPUP&amp;HEIGH","T=450&amp;WIDTH=450&amp;START_MAXIMIZED=FALSE&amp;VAR:CALENDAR=US&amp;VAR:SYMBOL=PCS&amp;VAR:INDEX=0"}</definedName>
    <definedName name="_301__FDSAUDITLINK__" localSheetId="1"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1__FDSAUDITLINK__" hidden="1">{"fdsup://directions/FAT Viewer?action=UPDATE&amp;creator=factset&amp;DYN_ARGS=TRUE&amp;DOC_NAME=FAT:FQL_AUDITING_CLIENT_TEMPLATE.FAT&amp;display_string=Audit&amp;VAR:KEY=PMHMTSNQLA&amp;VAR:QUERY=RkZfRUJJVERBX09QRVIoUVRSLDQvMS8yMDA5LDYvMzAvMjAwOSwsLFVTRCk=&amp;WINDOW=FIRST_POPUP&amp;HEIGH","T=450&amp;WIDTH=450&amp;START_MAXIMIZED=FALSE&amp;VAR:CALENDAR=US&amp;VAR:SYMBOL=PCP&amp;VAR:INDEX=0"}</definedName>
    <definedName name="_302__FDSAUDITLINK__" localSheetId="1"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2__FDSAUDITLINK__" hidden="1">{"fdsup://directions/FAT Viewer?action=UPDATE&amp;creator=factset&amp;DYN_ARGS=TRUE&amp;DOC_NAME=FAT:FQL_AUDITING_CLIENT_TEMPLATE.FAT&amp;display_string=Audit&amp;VAR:KEY=ZULCVUZIFI&amp;VAR:QUERY=RkZfRUJJVERBX09QRVIoUVRSLDQvMS8yMDEwLDYvMzAvMjAxMCwsLFVTRCk=&amp;WINDOW=FIRST_POPUP&amp;HEIGH","T=450&amp;WIDTH=450&amp;START_MAXIMIZED=FALSE&amp;VAR:CALENDAR=US&amp;VAR:SYMBOL=PCP&amp;VAR:INDEX=0"}</definedName>
    <definedName name="_303__FDSAUDITLINK__" localSheetId="1"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3__FDSAUDITLINK__" hidden="1">{"fdsup://directions/FAT Viewer?action=UPDATE&amp;creator=factset&amp;DYN_ARGS=TRUE&amp;DOC_NAME=FAT:FQL_AUDITING_CLIENT_TEMPLATE.FAT&amp;display_string=Audit&amp;VAR:KEY=XWBYZKTETO&amp;VAR:QUERY=RkZfRUJJVERBX09QRVIoUVRSLDQvMS8yMDA5LDYvMzAvMjAwOSwsLFVTRCk=&amp;WINDOW=FIRST_POPUP&amp;HEIGH","T=450&amp;WIDTH=450&amp;START_MAXIMIZED=FALSE&amp;VAR:CALENDAR=US&amp;VAR:SYMBOL=PCLN&amp;VAR:INDEX=0"}</definedName>
    <definedName name="_304__FDSAUDITLINK__" localSheetId="1"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4__FDSAUDITLINK__" hidden="1">{"fdsup://directions/FAT Viewer?action=UPDATE&amp;creator=factset&amp;DYN_ARGS=TRUE&amp;DOC_NAME=FAT:FQL_AUDITING_CLIENT_TEMPLATE.FAT&amp;display_string=Audit&amp;VAR:KEY=PIZIFYTWLW&amp;VAR:QUERY=RkZfRUJJVERBX09QRVIoUVRSLDQvMS8yMDEwLDYvMzAvMjAxMCwsLFVTRCk=&amp;WINDOW=FIRST_POPUP&amp;HEIGH","T=450&amp;WIDTH=450&amp;START_MAXIMIZED=FALSE&amp;VAR:CALENDAR=US&amp;VAR:SYMBOL=PCLN&amp;VAR:INDEX=0"}</definedName>
    <definedName name="_305__FDSAUDITLINK__" localSheetId="1"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5__FDSAUDITLINK__" hidden="1">{"fdsup://directions/FAT Viewer?action=UPDATE&amp;creator=factset&amp;DYN_ARGS=TRUE&amp;DOC_NAME=FAT:FQL_AUDITING_CLIENT_TEMPLATE.FAT&amp;display_string=Audit&amp;VAR:KEY=BEVKRWBYXU&amp;VAR:QUERY=RkZfRUJJVERBX09QRVIoUVRSLDQvMS8yMDA5LDYvMzAvMjAwOSwsLFVTRCk=&amp;WINDOW=FIRST_POPUP&amp;HEIGH","T=450&amp;WIDTH=450&amp;START_MAXIMIZED=FALSE&amp;VAR:CALENDAR=US&amp;VAR:SYMBOL=PCL&amp;VAR:INDEX=0"}</definedName>
    <definedName name="_306__FDSAUDITLINK__" localSheetId="1"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6__FDSAUDITLINK__" hidden="1">{"fdsup://directions/FAT Viewer?action=UPDATE&amp;creator=factset&amp;DYN_ARGS=TRUE&amp;DOC_NAME=FAT:FQL_AUDITING_CLIENT_TEMPLATE.FAT&amp;display_string=Audit&amp;VAR:KEY=VGZIXMTWHG&amp;VAR:QUERY=RkZfRUJJVERBX09QRVIoUVRSLDQvMS8yMDEwLDYvMzAvMjAxMCwsLFVTRCk=&amp;WINDOW=FIRST_POPUP&amp;HEIGH","T=450&amp;WIDTH=450&amp;START_MAXIMIZED=FALSE&amp;VAR:CALENDAR=US&amp;VAR:SYMBOL=PCL&amp;VAR:INDEX=0"}</definedName>
    <definedName name="_307__FDSAUDITLINK__" localSheetId="1"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7__FDSAUDITLINK__" hidden="1">{"fdsup://directions/FAT Viewer?action=UPDATE&amp;creator=factset&amp;DYN_ARGS=TRUE&amp;DOC_NAME=FAT:FQL_AUDITING_CLIENT_TEMPLATE.FAT&amp;display_string=Audit&amp;VAR:KEY=DCTGTCDCLS&amp;VAR:QUERY=RkZfRUJJVERBX09QRVIoUVRSLDQvMS8yMDA5LDYvMzAvMjAwOSwsLFVTRCk=&amp;WINDOW=FIRST_POPUP&amp;HEIGH","T=450&amp;WIDTH=450&amp;START_MAXIMIZED=FALSE&amp;VAR:CALENDAR=US&amp;VAR:SYMBOL=PCG&amp;VAR:INDEX=0"}</definedName>
    <definedName name="_308__FDSAUDITLINK__" localSheetId="1"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8__FDSAUDITLINK__" hidden="1">{"fdsup://directions/FAT Viewer?action=UPDATE&amp;creator=factset&amp;DYN_ARGS=TRUE&amp;DOC_NAME=FAT:FQL_AUDITING_CLIENT_TEMPLATE.FAT&amp;display_string=Audit&amp;VAR:KEY=FUHQPGFSFE&amp;VAR:QUERY=RkZfRUJJVERBX09QRVIoUVRSLDQvMS8yMDEwLDYvMzAvMjAxMCwsLFVTRCk=&amp;WINDOW=FIRST_POPUP&amp;HEIGH","T=450&amp;WIDTH=450&amp;START_MAXIMIZED=FALSE&amp;VAR:CALENDAR=US&amp;VAR:SYMBOL=PCG&amp;VAR:INDEX=0"}</definedName>
    <definedName name="_309__FDSAUDITLINK__" localSheetId="1"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09__FDSAUDITLINK__" hidden="1">{"fdsup://directions/FAT Viewer?action=UPDATE&amp;creator=factset&amp;DYN_ARGS=TRUE&amp;DOC_NAME=FAT:FQL_AUDITING_CLIENT_TEMPLATE.FAT&amp;display_string=Audit&amp;VAR:KEY=VGJMLUZCNS&amp;VAR:QUERY=RkZfRUJJVERBX09QRVIoUVRSLDQvMS8yMDA5LDYvMzAvMjAwOSwsLFVTRCk=&amp;WINDOW=FIRST_POPUP&amp;HEIGH","T=450&amp;WIDTH=450&amp;START_MAXIMIZED=FALSE&amp;VAR:CALENDAR=US&amp;VAR:SYMBOL=PCAR&amp;VAR:INDEX=0"}</definedName>
    <definedName name="_31__FDSAUDITLINK__" localSheetId="1"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__FDSAUDITLINK__" hidden="1">{"fdsup://directions/FAT Viewer?action=UPDATE&amp;creator=factset&amp;DYN_ARGS=TRUE&amp;DOC_NAME=FAT:FQL_AUDITING_CLIENT_TEMPLATE.FAT&amp;display_string=Audit&amp;VAR:KEY=XKJKRQPWBI&amp;VAR:QUERY=RkZfRUJJVERBX09QRVIoUVRSLDQvMS8yMDA5LDYvMzAvMjAwOSwsLFVTRCk=&amp;WINDOW=FIRST_POPUP&amp;HEIGH","T=450&amp;WIDTH=450&amp;START_MAXIMIZED=FALSE&amp;VAR:CALENDAR=US&amp;VAR:SYMBOL=WPO&amp;VAR:INDEX=0"}</definedName>
    <definedName name="_310__FDSAUDITLINK__" localSheetId="1"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0__FDSAUDITLINK__" hidden="1">{"fdsup://directions/FAT Viewer?action=UPDATE&amp;creator=factset&amp;DYN_ARGS=TRUE&amp;DOC_NAME=FAT:FQL_AUDITING_CLIENT_TEMPLATE.FAT&amp;display_string=Audit&amp;VAR:KEY=NWBEVKJSZQ&amp;VAR:QUERY=RkZfRUJJVERBX09QRVIoUVRSLDQvMS8yMDEwLDYvMzAvMjAxMCwsLFVTRCk=&amp;WINDOW=FIRST_POPUP&amp;HEIGH","T=450&amp;WIDTH=450&amp;START_MAXIMIZED=FALSE&amp;VAR:CALENDAR=US&amp;VAR:SYMBOL=PCAR&amp;VAR:INDEX=0"}</definedName>
    <definedName name="_311__FDSAUDITLINK__" localSheetId="1"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1__FDSAUDITLINK__" hidden="1">{"fdsup://directions/FAT Viewer?action=UPDATE&amp;creator=factset&amp;DYN_ARGS=TRUE&amp;DOC_NAME=FAT:FQL_AUDITING_CLIENT_TEMPLATE.FAT&amp;display_string=Audit&amp;VAR:KEY=PCZERAHULW&amp;VAR:QUERY=RkZfRUJJVERBX09QRVIoUVRSLDQvMS8yMDA5LDYvMzAvMjAwOSwsLFVTRCk=&amp;WINDOW=FIRST_POPUP&amp;HEIGH","T=450&amp;WIDTH=450&amp;START_MAXIMIZED=FALSE&amp;VAR:CALENDAR=US&amp;VAR:SYMBOL=PBI&amp;VAR:INDEX=0"}</definedName>
    <definedName name="_312__FDSAUDITLINK__" localSheetId="1"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2__FDSAUDITLINK__" hidden="1">{"fdsup://directions/FAT Viewer?action=UPDATE&amp;creator=factset&amp;DYN_ARGS=TRUE&amp;DOC_NAME=FAT:FQL_AUDITING_CLIENT_TEMPLATE.FAT&amp;display_string=Audit&amp;VAR:KEY=HCPQBUXOLU&amp;VAR:QUERY=RkZfRUJJVERBX09QRVIoUVRSLDQvMS8yMDEwLDYvMzAvMjAxMCwsLFVTRCk=&amp;WINDOW=FIRST_POPUP&amp;HEIGH","T=450&amp;WIDTH=450&amp;START_MAXIMIZED=FALSE&amp;VAR:CALENDAR=US&amp;VAR:SYMBOL=PBI&amp;VAR:INDEX=0"}</definedName>
    <definedName name="_313__FDSAUDITLINK__" localSheetId="1"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3__FDSAUDITLINK__" hidden="1">{"fdsup://directions/FAT Viewer?action=UPDATE&amp;creator=factset&amp;DYN_ARGS=TRUE&amp;DOC_NAME=FAT:FQL_AUDITING_CLIENT_TEMPLATE.FAT&amp;display_string=Audit&amp;VAR:KEY=RWFCHCNGHO&amp;VAR:QUERY=RkZfRUJJVERBX09QRVIoUVRSLDQvMS8yMDA5LDYvMzAvMjAwOSwsLFVTRCk=&amp;WINDOW=FIRST_POPUP&amp;HEIGH","T=450&amp;WIDTH=450&amp;START_MAXIMIZED=FALSE&amp;VAR:CALENDAR=US&amp;VAR:SYMBOL=PBCT&amp;VAR:INDEX=0"}</definedName>
    <definedName name="_314__FDSAUDITLINK__" localSheetId="1"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4__FDSAUDITLINK__" hidden="1">{"fdsup://directions/FAT Viewer?action=UPDATE&amp;creator=factset&amp;DYN_ARGS=TRUE&amp;DOC_NAME=FAT:FQL_AUDITING_CLIENT_TEMPLATE.FAT&amp;display_string=Audit&amp;VAR:KEY=RCVQBOPCTE&amp;VAR:QUERY=RkZfRUJJVERBX09QRVIoUVRSLDQvMS8yMDEwLDYvMzAvMjAxMCwsLFVTRCk=&amp;WINDOW=FIRST_POPUP&amp;HEIGH","T=450&amp;WIDTH=450&amp;START_MAXIMIZED=FALSE&amp;VAR:CALENDAR=US&amp;VAR:SYMBOL=PBCT&amp;VAR:INDEX=0"}</definedName>
    <definedName name="_315__FDSAUDITLINK__" localSheetId="1"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5__FDSAUDITLINK__" hidden="1">{"fdsup://directions/FAT Viewer?action=UPDATE&amp;creator=factset&amp;DYN_ARGS=TRUE&amp;DOC_NAME=FAT:FQL_AUDITING_CLIENT_TEMPLATE.FAT&amp;display_string=Audit&amp;VAR:KEY=XAZGFSXQTS&amp;VAR:QUERY=RkZfRUJJVERBX09QRVIoUVRSLDQvMS8yMDA5LDYvMzAvMjAwOSwsLFVTRCk=&amp;WINDOW=FIRST_POPUP&amp;HEIGH","T=450&amp;WIDTH=450&amp;START_MAXIMIZED=FALSE&amp;VAR:CALENDAR=US&amp;VAR:SYMBOL=PAYX&amp;VAR:INDEX=0"}</definedName>
    <definedName name="_316__FDSAUDITLINK__" localSheetId="1"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6__FDSAUDITLINK__" hidden="1">{"fdsup://directions/FAT Viewer?action=UPDATE&amp;creator=factset&amp;DYN_ARGS=TRUE&amp;DOC_NAME=FAT:FQL_AUDITING_CLIENT_TEMPLATE.FAT&amp;display_string=Audit&amp;VAR:KEY=RULERYXSNO&amp;VAR:QUERY=RkZfRUJJVERBX09QRVIoUVRSLDQvMS8yMDEwLDYvMzAvMjAxMCwsLFVTRCk=&amp;WINDOW=FIRST_POPUP&amp;HEIGH","T=450&amp;WIDTH=450&amp;START_MAXIMIZED=FALSE&amp;VAR:CALENDAR=US&amp;VAR:SYMBOL=PAYX&amp;VAR:INDEX=0"}</definedName>
    <definedName name="_317__FDSAUDITLINK__" localSheetId="1"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7__FDSAUDITLINK__" hidden="1">{"fdsup://directions/FAT Viewer?action=UPDATE&amp;creator=factset&amp;DYN_ARGS=TRUE&amp;DOC_NAME=FAT:FQL_AUDITING_CLIENT_TEMPLATE.FAT&amp;display_string=Audit&amp;VAR:KEY=ZWBCHMVCZQ&amp;VAR:QUERY=RkZfRUJJVERBX09QRVIoUVRSLDQvMS8yMDA5LDYvMzAvMjAwOSwsLFVTRCk=&amp;WINDOW=FIRST_POPUP&amp;HEIGH","T=450&amp;WIDTH=450&amp;START_MAXIMIZED=FALSE&amp;VAR:CALENDAR=US&amp;VAR:SYMBOL=OXY&amp;VAR:INDEX=0"}</definedName>
    <definedName name="_318__FDSAUDITLINK__" localSheetId="1"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8__FDSAUDITLINK__" hidden="1">{"fdsup://directions/FAT Viewer?action=UPDATE&amp;creator=factset&amp;DYN_ARGS=TRUE&amp;DOC_NAME=FAT:FQL_AUDITING_CLIENT_TEMPLATE.FAT&amp;display_string=Audit&amp;VAR:KEY=JGBWJIFINS&amp;VAR:QUERY=RkZfRUJJVERBX09QRVIoUVRSLDQvMS8yMDEwLDYvMzAvMjAxMCwsLFVTRCk=&amp;WINDOW=FIRST_POPUP&amp;HEIGH","T=450&amp;WIDTH=450&amp;START_MAXIMIZED=FALSE&amp;VAR:CALENDAR=US&amp;VAR:SYMBOL=OXY&amp;VAR:INDEX=0"}</definedName>
    <definedName name="_319__FDSAUDITLINK__" localSheetId="1"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19__FDSAUDITLINK__" hidden="1">{"fdsup://directions/FAT Viewer?action=UPDATE&amp;creator=factset&amp;DYN_ARGS=TRUE&amp;DOC_NAME=FAT:FQL_AUDITING_CLIENT_TEMPLATE.FAT&amp;display_string=Audit&amp;VAR:KEY=HYTQLUXIBI&amp;VAR:QUERY=RkZfRUJJVERBX09QRVIoUVRSLDQvMS8yMDA5LDYvMzAvMjAwOSwsLFVTRCk=&amp;WINDOW=FIRST_POPUP&amp;HEIGH","T=450&amp;WIDTH=450&amp;START_MAXIMIZED=FALSE&amp;VAR:CALENDAR=US&amp;VAR:SYMBOL=ORLY&amp;VAR:INDEX=0"}</definedName>
    <definedName name="_32__FDSAUDITLINK__" localSheetId="1"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__FDSAUDITLINK__" hidden="1">{"fdsup://directions/FAT Viewer?action=UPDATE&amp;creator=factset&amp;DYN_ARGS=TRUE&amp;DOC_NAME=FAT:FQL_AUDITING_CLIENT_TEMPLATE.FAT&amp;display_string=Audit&amp;VAR:KEY=NGXYJENWJQ&amp;VAR:QUERY=RkZfRUJJVERBX09QRVIoUVRSLDQvMS8yMDEwLDYvMzAvMjAxMCwsLFVTRCk=&amp;WINDOW=FIRST_POPUP&amp;HEIGH","T=450&amp;WIDTH=450&amp;START_MAXIMIZED=FALSE&amp;VAR:CALENDAR=US&amp;VAR:SYMBOL=WPO&amp;VAR:INDEX=0"}</definedName>
    <definedName name="_320__FDSAUDITLINK__" localSheetId="1"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0__FDSAUDITLINK__" hidden="1">{"fdsup://directions/FAT Viewer?action=UPDATE&amp;creator=factset&amp;DYN_ARGS=TRUE&amp;DOC_NAME=FAT:FQL_AUDITING_CLIENT_TEMPLATE.FAT&amp;display_string=Audit&amp;VAR:KEY=JGHWTANWLS&amp;VAR:QUERY=RkZfRUJJVERBX09QRVIoUVRSLDQvMS8yMDEwLDYvMzAvMjAxMCwsLFVTRCk=&amp;WINDOW=FIRST_POPUP&amp;HEIGH","T=450&amp;WIDTH=450&amp;START_MAXIMIZED=FALSE&amp;VAR:CALENDAR=US&amp;VAR:SYMBOL=ORLY&amp;VAR:INDEX=0"}</definedName>
    <definedName name="_321__FDSAUDITLINK__" localSheetId="1"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1__FDSAUDITLINK__" hidden="1">{"fdsup://directions/FAT Viewer?action=UPDATE&amp;creator=factset&amp;DYN_ARGS=TRUE&amp;DOC_NAME=FAT:FQL_AUDITING_CLIENT_TEMPLATE.FAT&amp;display_string=Audit&amp;VAR:KEY=BAPMTETODM&amp;VAR:QUERY=RkZfRUJJVERBX09QRVIoUVRSLDQvMS8yMDA5LDYvMzAvMjAwOSwsLFVTRCk=&amp;WINDOW=FIRST_POPUP&amp;HEIGH","T=450&amp;WIDTH=450&amp;START_MAXIMIZED=FALSE&amp;VAR:CALENDAR=US&amp;VAR:SYMBOL=ORCL&amp;VAR:INDEX=0"}</definedName>
    <definedName name="_322__FDSAUDITLINK__" localSheetId="1"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2__FDSAUDITLINK__" hidden="1">{"fdsup://directions/FAT Viewer?action=UPDATE&amp;creator=factset&amp;DYN_ARGS=TRUE&amp;DOC_NAME=FAT:FQL_AUDITING_CLIENT_TEMPLATE.FAT&amp;display_string=Audit&amp;VAR:KEY=HAZMVMRWBE&amp;VAR:QUERY=RkZfRUJJVERBX09QRVIoUVRSLDQvMS8yMDEwLDYvMzAvMjAxMCwsLFVTRCk=&amp;WINDOW=FIRST_POPUP&amp;HEIGH","T=450&amp;WIDTH=450&amp;START_MAXIMIZED=FALSE&amp;VAR:CALENDAR=US&amp;VAR:SYMBOL=ORCL&amp;VAR:INDEX=0"}</definedName>
    <definedName name="_323__FDSAUDITLINK__" localSheetId="1"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3__FDSAUDITLINK__" hidden="1">{"fdsup://directions/FAT Viewer?action=UPDATE&amp;creator=factset&amp;DYN_ARGS=TRUE&amp;DOC_NAME=FAT:FQL_AUDITING_CLIENT_TEMPLATE.FAT&amp;display_string=Audit&amp;VAR:KEY=HGLYXYZEJY&amp;VAR:QUERY=RkZfRUJJVERBX09QRVIoUVRSLDQvMS8yMDA5LDYvMzAvMjAwOSwsLFVTRCk=&amp;WINDOW=FIRST_POPUP&amp;HEIGH","T=450&amp;WIDTH=450&amp;START_MAXIMIZED=FALSE&amp;VAR:CALENDAR=US&amp;VAR:SYMBOL=OMC&amp;VAR:INDEX=0"}</definedName>
    <definedName name="_324__FDSAUDITLINK__" localSheetId="1"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4__FDSAUDITLINK__" hidden="1">{"fdsup://directions/FAT Viewer?action=UPDATE&amp;creator=factset&amp;DYN_ARGS=TRUE&amp;DOC_NAME=FAT:FQL_AUDITING_CLIENT_TEMPLATE.FAT&amp;display_string=Audit&amp;VAR:KEY=BCFETKRMBY&amp;VAR:QUERY=RkZfRUJJVERBX09QRVIoUVRSLDQvMS8yMDEwLDYvMzAvMjAxMCwsLFVTRCk=&amp;WINDOW=FIRST_POPUP&amp;HEIGH","T=450&amp;WIDTH=450&amp;START_MAXIMIZED=FALSE&amp;VAR:CALENDAR=US&amp;VAR:SYMBOL=OMC&amp;VAR:INDEX=0"}</definedName>
    <definedName name="_325__FDSAUDITLINK__" localSheetId="1"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5__FDSAUDITLINK__" hidden="1">{"fdsup://directions/FAT Viewer?action=UPDATE&amp;creator=factset&amp;DYN_ARGS=TRUE&amp;DOC_NAME=FAT:FQL_AUDITING_CLIENT_TEMPLATE.FAT&amp;display_string=Audit&amp;VAR:KEY=JCTYTSZKXM&amp;VAR:QUERY=RkZfRUJJVERBX09QRVIoUVRSLDQvMS8yMDA5LDYvMzAvMjAwOSwsLFVTRCk=&amp;WINDOW=FIRST_POPUP&amp;HEIGH","T=450&amp;WIDTH=450&amp;START_MAXIMIZED=FALSE&amp;VAR:CALENDAR=US&amp;VAR:SYMBOL=OKE&amp;VAR:INDEX=0"}</definedName>
    <definedName name="_326__FDSAUDITLINK__" localSheetId="1"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6__FDSAUDITLINK__" hidden="1">{"fdsup://directions/FAT Viewer?action=UPDATE&amp;creator=factset&amp;DYN_ARGS=TRUE&amp;DOC_NAME=FAT:FQL_AUDITING_CLIENT_TEMPLATE.FAT&amp;display_string=Audit&amp;VAR:KEY=JEBMXMRGDO&amp;VAR:QUERY=RkZfRUJJVERBX09QRVIoUVRSLDQvMS8yMDEwLDYvMzAvMjAxMCwsLFVTRCk=&amp;WINDOW=FIRST_POPUP&amp;HEIGH","T=450&amp;WIDTH=450&amp;START_MAXIMIZED=FALSE&amp;VAR:CALENDAR=US&amp;VAR:SYMBOL=OKE&amp;VAR:INDEX=0"}</definedName>
    <definedName name="_327__FDSAUDITLINK__" localSheetId="1"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7__FDSAUDITLINK__" hidden="1">{"fdsup://directions/FAT Viewer?action=UPDATE&amp;creator=factset&amp;DYN_ARGS=TRUE&amp;DOC_NAME=FAT:FQL_AUDITING_CLIENT_TEMPLATE.FAT&amp;display_string=Audit&amp;VAR:KEY=XOXCBONIXG&amp;VAR:QUERY=RkZfRUJJVERBX09QRVIoUVRSLDQvMS8yMDA5LDYvMzAvMjAwOSwsLFVTRCk=&amp;WINDOW=FIRST_POPUP&amp;HEIGH","T=450&amp;WIDTH=450&amp;START_MAXIMIZED=FALSE&amp;VAR:CALENDAR=US&amp;VAR:SYMBOL=OI&amp;VAR:INDEX=0"}</definedName>
    <definedName name="_328__FDSAUDITLINK__" localSheetId="1"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8__FDSAUDITLINK__" hidden="1">{"fdsup://directions/FAT Viewer?action=UPDATE&amp;creator=factset&amp;DYN_ARGS=TRUE&amp;DOC_NAME=FAT:FQL_AUDITING_CLIENT_TEMPLATE.FAT&amp;display_string=Audit&amp;VAR:KEY=RSHKLQJMZC&amp;VAR:QUERY=RkZfRUJJVERBX09QRVIoUVRSLDQvMS8yMDEwLDYvMzAvMjAxMCwsLFVTRCk=&amp;WINDOW=FIRST_POPUP&amp;HEIGH","T=450&amp;WIDTH=450&amp;START_MAXIMIZED=FALSE&amp;VAR:CALENDAR=US&amp;VAR:SYMBOL=OI&amp;VAR:INDEX=0"}</definedName>
    <definedName name="_329__FDSAUDITLINK__" localSheetId="1"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29__FDSAUDITLINK__" hidden="1">{"fdsup://directions/FAT Viewer?action=UPDATE&amp;creator=factset&amp;DYN_ARGS=TRUE&amp;DOC_NAME=FAT:FQL_AUDITING_CLIENT_TEMPLATE.FAT&amp;display_string=Audit&amp;VAR:KEY=FYBAZOZEDY&amp;VAR:QUERY=RkZfRUJJVERBX09QRVIoUVRSLDQvMS8yMDA5LDYvMzAvMjAwOSwsLFVTRCk=&amp;WINDOW=FIRST_POPUP&amp;HEIGH","T=450&amp;WIDTH=450&amp;START_MAXIMIZED=FALSE&amp;VAR:CALENDAR=US&amp;VAR:SYMBOL=ODP&amp;VAR:INDEX=0"}</definedName>
    <definedName name="_33__FDSAUDITLINK__" localSheetId="1"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__FDSAUDITLINK__" hidden="1">{"fdsup://directions/FAT Viewer?action=UPDATE&amp;creator=factset&amp;DYN_ARGS=TRUE&amp;DOC_NAME=FAT:FQL_AUDITING_CLIENT_TEMPLATE.FAT&amp;display_string=Audit&amp;VAR:KEY=RQHWRKNARI&amp;VAR:QUERY=RkZfRUJJVERBX09QRVIoUVRSLDQvMS8yMDA5LDYvMzAvMjAwOSwsLFVTRCk=&amp;WINDOW=FIRST_POPUP&amp;HEIGH","T=450&amp;WIDTH=450&amp;START_MAXIMIZED=FALSE&amp;VAR:CALENDAR=US&amp;VAR:SYMBOL=WPI&amp;VAR:INDEX=0"}</definedName>
    <definedName name="_330__FDSAUDITLINK__" localSheetId="1"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0__FDSAUDITLINK__" hidden="1">{"fdsup://directions/FAT Viewer?action=UPDATE&amp;creator=factset&amp;DYN_ARGS=TRUE&amp;DOC_NAME=FAT:FQL_AUDITING_CLIENT_TEMPLATE.FAT&amp;display_string=Audit&amp;VAR:KEY=XIVENWLEVM&amp;VAR:QUERY=RkZfRUJJVERBX09QRVIoUVRSLDQvMS8yMDEwLDYvMzAvMjAxMCwsLFVTRCk=&amp;WINDOW=FIRST_POPUP&amp;HEIGH","T=450&amp;WIDTH=450&amp;START_MAXIMIZED=FALSE&amp;VAR:CALENDAR=US&amp;VAR:SYMBOL=ODP&amp;VAR:INDEX=0"}</definedName>
    <definedName name="_331__FDSAUDITLINK__" localSheetId="1"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1__FDSAUDITLINK__" hidden="1">{"fdsup://directions/FAT Viewer?action=UPDATE&amp;creator=factset&amp;DYN_ARGS=TRUE&amp;DOC_NAME=FAT:FQL_AUDITING_CLIENT_TEMPLATE.FAT&amp;display_string=Audit&amp;VAR:KEY=VUDQRWHGPQ&amp;VAR:QUERY=RkZfRUJJVERBX09QRVIoUVRSLDQvMS8yMDA5LDYvMzAvMjAwOSwsLFVTRCk=&amp;WINDOW=FIRST_POPUP&amp;HEIGH","T=450&amp;WIDTH=450&amp;START_MAXIMIZED=FALSE&amp;VAR:CALENDAR=US&amp;VAR:SYMBOL=NYX&amp;VAR:INDEX=0"}</definedName>
    <definedName name="_332__FDSAUDITLINK__" localSheetId="1"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2__FDSAUDITLINK__" hidden="1">{"fdsup://directions/FAT Viewer?action=UPDATE&amp;creator=factset&amp;DYN_ARGS=TRUE&amp;DOC_NAME=FAT:FQL_AUDITING_CLIENT_TEMPLATE.FAT&amp;display_string=Audit&amp;VAR:KEY=HOHWTYFKFC&amp;VAR:QUERY=RkZfRUJJVERBX09QRVIoUVRSLDQvMS8yMDEwLDYvMzAvMjAxMCwsLFVTRCk=&amp;WINDOW=FIRST_POPUP&amp;HEIGH","T=450&amp;WIDTH=450&amp;START_MAXIMIZED=FALSE&amp;VAR:CALENDAR=US&amp;VAR:SYMBOL=NYX&amp;VAR:INDEX=0"}</definedName>
    <definedName name="_333__FDSAUDITLINK__" localSheetId="1"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3__FDSAUDITLINK__" hidden="1">{"fdsup://directions/FAT Viewer?action=UPDATE&amp;creator=factset&amp;DYN_ARGS=TRUE&amp;DOC_NAME=FAT:FQL_AUDITING_CLIENT_TEMPLATE.FAT&amp;display_string=Audit&amp;VAR:KEY=FKTSHCZSDA&amp;VAR:QUERY=RkZfRUJJVERBX09QRVIoUVRSLDQvMS8yMDA5LDYvMzAvMjAwOSwsLFVTRCk=&amp;WINDOW=FIRST_POPUP&amp;HEIGH","T=450&amp;WIDTH=450&amp;START_MAXIMIZED=FALSE&amp;VAR:CALENDAR=US&amp;VAR:SYMBOL=NYT&amp;VAR:INDEX=0"}</definedName>
    <definedName name="_334__FDSAUDITLINK__" localSheetId="1"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4__FDSAUDITLINK__" hidden="1">{"fdsup://directions/FAT Viewer?action=UPDATE&amp;creator=factset&amp;DYN_ARGS=TRUE&amp;DOC_NAME=FAT:FQL_AUDITING_CLIENT_TEMPLATE.FAT&amp;display_string=Audit&amp;VAR:KEY=VENEREDAFU&amp;VAR:QUERY=RkZfRUJJVERBX09QRVIoUVRSLDQvMS8yMDEwLDYvMzAvMjAxMCwsLFVTRCk=&amp;WINDOW=FIRST_POPUP&amp;HEIGH","T=450&amp;WIDTH=450&amp;START_MAXIMIZED=FALSE&amp;VAR:CALENDAR=US&amp;VAR:SYMBOL=NYT&amp;VAR:INDEX=0"}</definedName>
    <definedName name="_335__FDSAUDITLINK__" localSheetId="1"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5__FDSAUDITLINK__" hidden="1">{"fdsup://directions/FAT Viewer?action=UPDATE&amp;creator=factset&amp;DYN_ARGS=TRUE&amp;DOC_NAME=FAT:FQL_AUDITING_CLIENT_TEMPLATE.FAT&amp;display_string=Audit&amp;VAR:KEY=RCVSBCPSPO&amp;VAR:QUERY=RkZfRUJJVERBX09QRVIoUVRSLDQvMS8yMDA5LDYvMzAvMjAwOSwsLFVTRCk=&amp;WINDOW=FIRST_POPUP&amp;HEIGH","T=450&amp;WIDTH=450&amp;START_MAXIMIZED=FALSE&amp;VAR:CALENDAR=US&amp;VAR:SYMBOL=NWSA&amp;VAR:INDEX=0"}</definedName>
    <definedName name="_336__FDSAUDITLINK__" localSheetId="1"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6__FDSAUDITLINK__" hidden="1">{"fdsup://directions/FAT Viewer?action=UPDATE&amp;creator=factset&amp;DYN_ARGS=TRUE&amp;DOC_NAME=FAT:FQL_AUDITING_CLIENT_TEMPLATE.FAT&amp;display_string=Audit&amp;VAR:KEY=PGRIBWZYXA&amp;VAR:QUERY=RkZfRUJJVERBX09QRVIoUVRSLDQvMS8yMDEwLDYvMzAvMjAxMCwsLFVTRCk=&amp;WINDOW=FIRST_POPUP&amp;HEIGH","T=450&amp;WIDTH=450&amp;START_MAXIMIZED=FALSE&amp;VAR:CALENDAR=US&amp;VAR:SYMBOL=NWSA&amp;VAR:INDEX=0"}</definedName>
    <definedName name="_337__FDSAUDITLINK__" localSheetId="1"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7__FDSAUDITLINK__" hidden="1">{"fdsup://directions/FAT Viewer?action=UPDATE&amp;creator=factset&amp;DYN_ARGS=TRUE&amp;DOC_NAME=FAT:FQL_AUDITING_CLIENT_TEMPLATE.FAT&amp;display_string=Audit&amp;VAR:KEY=HAPIXEBEDA&amp;VAR:QUERY=RkZfRUJJVERBX09QRVIoUVRSLDQvMS8yMDA5LDYvMzAvMjAwOSwsLFVTRCk=&amp;WINDOW=FIRST_POPUP&amp;HEIGH","T=450&amp;WIDTH=450&amp;START_MAXIMIZED=FALSE&amp;VAR:CALENDAR=US&amp;VAR:SYMBOL=NWL&amp;VAR:INDEX=0"}</definedName>
    <definedName name="_338__FDSAUDITLINK__" localSheetId="1"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8__FDSAUDITLINK__" hidden="1">{"fdsup://directions/FAT Viewer?action=UPDATE&amp;creator=factset&amp;DYN_ARGS=TRUE&amp;DOC_NAME=FAT:FQL_AUDITING_CLIENT_TEMPLATE.FAT&amp;display_string=Audit&amp;VAR:KEY=FQFCFMZSLK&amp;VAR:QUERY=RkZfRUJJVERBX09QRVIoUVRSLDQvMS8yMDEwLDYvMzAvMjAxMCwsLFVTRCk=&amp;WINDOW=FIRST_POPUP&amp;HEIGH","T=450&amp;WIDTH=450&amp;START_MAXIMIZED=FALSE&amp;VAR:CALENDAR=US&amp;VAR:SYMBOL=NWL&amp;VAR:INDEX=0"}</definedName>
    <definedName name="_339__FDSAUDITLINK__" localSheetId="1"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39__FDSAUDITLINK__" hidden="1">{"fdsup://directions/FAT Viewer?action=UPDATE&amp;creator=factset&amp;DYN_ARGS=TRUE&amp;DOC_NAME=FAT:FQL_AUDITING_CLIENT_TEMPLATE.FAT&amp;display_string=Audit&amp;VAR:KEY=PKZGFIZYPQ&amp;VAR:QUERY=RkZfRUJJVERBX09QRVIoUVRSLDQvMS8yMDA5LDYvMzAvMjAwOSwsLFVTRCk=&amp;WINDOW=FIRST_POPUP&amp;HEIGH","T=450&amp;WIDTH=450&amp;START_MAXIMIZED=FALSE&amp;VAR:CALENDAR=US&amp;VAR:SYMBOL=NVLS&amp;VAR:INDEX=0"}</definedName>
    <definedName name="_34__FDSAUDITLINK__" localSheetId="1"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__FDSAUDITLINK__" hidden="1">{"fdsup://directions/FAT Viewer?action=UPDATE&amp;creator=factset&amp;DYN_ARGS=TRUE&amp;DOC_NAME=FAT:FQL_AUDITING_CLIENT_TEMPLATE.FAT&amp;display_string=Audit&amp;VAR:KEY=RCVOLMREZG&amp;VAR:QUERY=RkZfRUJJVERBX09QRVIoUVRSLDQvMS8yMDEwLDYvMzAvMjAxMCwsLFVTRCk=&amp;WINDOW=FIRST_POPUP&amp;HEIGH","T=450&amp;WIDTH=450&amp;START_MAXIMIZED=FALSE&amp;VAR:CALENDAR=US&amp;VAR:SYMBOL=WPI&amp;VAR:INDEX=0"}</definedName>
    <definedName name="_340__FDSAUDITLINK__" localSheetId="1"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0__FDSAUDITLINK__" hidden="1">{"fdsup://directions/FAT Viewer?action=UPDATE&amp;creator=factset&amp;DYN_ARGS=TRUE&amp;DOC_NAME=FAT:FQL_AUDITING_CLIENT_TEMPLATE.FAT&amp;display_string=Audit&amp;VAR:KEY=VQPCVUZOBK&amp;VAR:QUERY=RkZfRUJJVERBX09QRVIoUVRSLDQvMS8yMDEwLDYvMzAvMjAxMCwsLFVTRCk=&amp;WINDOW=FIRST_POPUP&amp;HEIGH","T=450&amp;WIDTH=450&amp;START_MAXIMIZED=FALSE&amp;VAR:CALENDAR=US&amp;VAR:SYMBOL=NVLS&amp;VAR:INDEX=0"}</definedName>
    <definedName name="_341__FDSAUDITLINK__" localSheetId="1"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1__FDSAUDITLINK__" hidden="1">{"fdsup://directions/FAT Viewer?action=UPDATE&amp;creator=factset&amp;DYN_ARGS=TRUE&amp;DOC_NAME=FAT:FQL_AUDITING_CLIENT_TEMPLATE.FAT&amp;display_string=Audit&amp;VAR:KEY=ZUVKFWNSBG&amp;VAR:QUERY=RkZfRUJJVERBX09QRVIoUVRSLDQvMS8yMDA5LDYvMzAvMjAwOSwsLFVTRCk=&amp;WINDOW=FIRST_POPUP&amp;HEIGH","T=450&amp;WIDTH=450&amp;START_MAXIMIZED=FALSE&amp;VAR:CALENDAR=US&amp;VAR:SYMBOL=NVDA&amp;VAR:INDEX=0"}</definedName>
    <definedName name="_342__FDSAUDITLINK__" localSheetId="1"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2__FDSAUDITLINK__" hidden="1">{"fdsup://directions/FAT Viewer?action=UPDATE&amp;creator=factset&amp;DYN_ARGS=TRUE&amp;DOC_NAME=FAT:FQL_AUDITING_CLIENT_TEMPLATE.FAT&amp;display_string=Audit&amp;VAR:KEY=TMJWJSZIJG&amp;VAR:QUERY=RkZfRUJJVERBX09QRVIoUVRSLDQvMS8yMDEwLDYvMzAvMjAxMCwsLFVTRCk=&amp;WINDOW=FIRST_POPUP&amp;HEIGH","T=450&amp;WIDTH=450&amp;START_MAXIMIZED=FALSE&amp;VAR:CALENDAR=US&amp;VAR:SYMBOL=NVDA&amp;VAR:INDEX=0"}</definedName>
    <definedName name="_343__FDSAUDITLINK__" localSheetId="1"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3__FDSAUDITLINK__" hidden="1">{"fdsup://directions/FAT Viewer?action=UPDATE&amp;creator=factset&amp;DYN_ARGS=TRUE&amp;DOC_NAME=FAT:FQL_AUDITING_CLIENT_TEMPLATE.FAT&amp;display_string=Audit&amp;VAR:KEY=LYRAXODETO&amp;VAR:QUERY=RkZfRUJJVERBX09QRVIoUVRSLDQvMS8yMDA5LDYvMzAvMjAwOSwsLFVTRCk=&amp;WINDOW=FIRST_POPUP&amp;HEIGH","T=450&amp;WIDTH=450&amp;START_MAXIMIZED=FALSE&amp;VAR:CALENDAR=US&amp;VAR:SYMBOL=NUE&amp;VAR:INDEX=0"}</definedName>
    <definedName name="_344__FDSAUDITLINK__" localSheetId="1"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4__FDSAUDITLINK__" hidden="1">{"fdsup://directions/FAT Viewer?action=UPDATE&amp;creator=factset&amp;DYN_ARGS=TRUE&amp;DOC_NAME=FAT:FQL_AUDITING_CLIENT_TEMPLATE.FAT&amp;display_string=Audit&amp;VAR:KEY=DANWNMZSRG&amp;VAR:QUERY=RkZfRUJJVERBX09QRVIoUVRSLDQvMS8yMDEwLDYvMzAvMjAxMCwsLFVTRCk=&amp;WINDOW=FIRST_POPUP&amp;HEIGH","T=450&amp;WIDTH=450&amp;START_MAXIMIZED=FALSE&amp;VAR:CALENDAR=US&amp;VAR:SYMBOL=NUE&amp;VAR:INDEX=0"}</definedName>
    <definedName name="_345__FDSAUDITLINK__" localSheetId="1"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5__FDSAUDITLINK__" hidden="1">{"fdsup://directions/FAT Viewer?action=UPDATE&amp;creator=factset&amp;DYN_ARGS=TRUE&amp;DOC_NAME=FAT:FQL_AUDITING_CLIENT_TEMPLATE.FAT&amp;display_string=Audit&amp;VAR:KEY=PQFANUJORE&amp;VAR:QUERY=RkZfRUJJVERBX09QRVIoUVRSLDQvMS8yMDA5LDYvMzAvMjAwOSwsLFVTRCk=&amp;WINDOW=FIRST_POPUP&amp;HEIGH","T=450&amp;WIDTH=450&amp;START_MAXIMIZED=FALSE&amp;VAR:CALENDAR=US&amp;VAR:SYMBOL=NU&amp;VAR:INDEX=0"}</definedName>
    <definedName name="_346__FDSAUDITLINK__" localSheetId="1"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6__FDSAUDITLINK__" hidden="1">{"fdsup://directions/FAT Viewer?action=UPDATE&amp;creator=factset&amp;DYN_ARGS=TRUE&amp;DOC_NAME=FAT:FQL_AUDITING_CLIENT_TEMPLATE.FAT&amp;display_string=Audit&amp;VAR:KEY=BUDYBEDCHS&amp;VAR:QUERY=RkZfRUJJVERBX09QRVIoUVRSLDQvMS8yMDEwLDYvMzAvMjAxMCwsLFVTRCk=&amp;WINDOW=FIRST_POPUP&amp;HEIGH","T=450&amp;WIDTH=450&amp;START_MAXIMIZED=FALSE&amp;VAR:CALENDAR=US&amp;VAR:SYMBOL=NU&amp;VAR:INDEX=0"}</definedName>
    <definedName name="_347__FDSAUDITLINK__" localSheetId="1"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7__FDSAUDITLINK__" hidden="1">{"fdsup://directions/FAT Viewer?action=UPDATE&amp;creator=factset&amp;DYN_ARGS=TRUE&amp;DOC_NAME=FAT:FQL_AUDITING_CLIENT_TEMPLATE.FAT&amp;display_string=Audit&amp;VAR:KEY=JCHCLIJWFA&amp;VAR:QUERY=RkZfRUJJVERBX09QRVIoUVRSLDQvMS8yMDA5LDYvMzAvMjAwOSwsLFVTRCk=&amp;WINDOW=FIRST_POPUP&amp;HEIGH","T=450&amp;WIDTH=450&amp;START_MAXIMIZED=FALSE&amp;VAR:CALENDAR=US&amp;VAR:SYMBOL=NTRS&amp;VAR:INDEX=0"}</definedName>
    <definedName name="_348__FDSAUDITLINK__" localSheetId="1"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8__FDSAUDITLINK__" hidden="1">{"fdsup://directions/FAT Viewer?action=UPDATE&amp;creator=factset&amp;DYN_ARGS=TRUE&amp;DOC_NAME=FAT:FQL_AUDITING_CLIENT_TEMPLATE.FAT&amp;display_string=Audit&amp;VAR:KEY=JKJUXARUDQ&amp;VAR:QUERY=RkZfRUJJVERBX09QRVIoUVRSLDQvMS8yMDEwLDYvMzAvMjAxMCwsLFVTRCk=&amp;WINDOW=FIRST_POPUP&amp;HEIGH","T=450&amp;WIDTH=450&amp;START_MAXIMIZED=FALSE&amp;VAR:CALENDAR=US&amp;VAR:SYMBOL=NTRS&amp;VAR:INDEX=0"}</definedName>
    <definedName name="_349__FDSAUDITLINK__" localSheetId="1"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49__FDSAUDITLINK__" hidden="1">{"fdsup://directions/FAT Viewer?action=UPDATE&amp;creator=factset&amp;DYN_ARGS=TRUE&amp;DOC_NAME=FAT:FQL_AUDITING_CLIENT_TEMPLATE.FAT&amp;display_string=Audit&amp;VAR:KEY=VUXYNORSBW&amp;VAR:QUERY=RkZfRUJJVERBX09QRVIoUVRSLDQvMS8yMDA5LDYvMzAvMjAwOSwsLFVTRCk=&amp;WINDOW=FIRST_POPUP&amp;HEIGH","T=450&amp;WIDTH=450&amp;START_MAXIMIZED=FALSE&amp;VAR:CALENDAR=US&amp;VAR:SYMBOL=NTAP&amp;VAR:INDEX=0"}</definedName>
    <definedName name="_35__FDSAUDITLINK__" localSheetId="1"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__FDSAUDITLINK__" hidden="1">{"fdsup://directions/FAT Viewer?action=UPDATE&amp;creator=factset&amp;DYN_ARGS=TRUE&amp;DOC_NAME=FAT:FQL_AUDITING_CLIENT_TEMPLATE.FAT&amp;display_string=Audit&amp;VAR:KEY=FCPQJYFCLY&amp;VAR:QUERY=RkZfRUJJVERBX09QRVIoUVRSLDQvMS8yMDA5LDYvMzAvMjAwOSwsLFVTRCk=&amp;WINDOW=FIRST_POPUP&amp;HEIGH","T=450&amp;WIDTH=450&amp;START_MAXIMIZED=FALSE&amp;VAR:CALENDAR=US&amp;VAR:SYMBOL=WMT&amp;VAR:INDEX=0"}</definedName>
    <definedName name="_350__FDSAUDITLINK__" localSheetId="1"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0__FDSAUDITLINK__" hidden="1">{"fdsup://directions/FAT Viewer?action=UPDATE&amp;creator=factset&amp;DYN_ARGS=TRUE&amp;DOC_NAME=FAT:FQL_AUDITING_CLIENT_TEMPLATE.FAT&amp;display_string=Audit&amp;VAR:KEY=LIFKJKHCFW&amp;VAR:QUERY=RkZfRUJJVERBX09QRVIoUVRSLDQvMS8yMDEwLDYvMzAvMjAxMCwsLFVTRCk=&amp;WINDOW=FIRST_POPUP&amp;HEIGH","T=450&amp;WIDTH=450&amp;START_MAXIMIZED=FALSE&amp;VAR:CALENDAR=US&amp;VAR:SYMBOL=NTAP&amp;VAR:INDEX=0"}</definedName>
    <definedName name="_351__FDSAUDITLINK__" localSheetId="1"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1__FDSAUDITLINK__" hidden="1">{"fdsup://directions/FAT Viewer?action=UPDATE&amp;creator=factset&amp;DYN_ARGS=TRUE&amp;DOC_NAME=FAT:FQL_AUDITING_CLIENT_TEMPLATE.FAT&amp;display_string=Audit&amp;VAR:KEY=DITWNIFUXE&amp;VAR:QUERY=RkZfRUJJVERBX09QRVIoUVRSLDQvMS8yMDA5LDYvMzAvMjAwOSwsLFVTRCk=&amp;WINDOW=FIRST_POPUP&amp;HEIGH","T=450&amp;WIDTH=450&amp;START_MAXIMIZED=FALSE&amp;VAR:CALENDAR=US&amp;VAR:SYMBOL=NSM&amp;VAR:INDEX=0"}</definedName>
    <definedName name="_352__FDSAUDITLINK__" localSheetId="1"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2__FDSAUDITLINK__" hidden="1">{"fdsup://directions/FAT Viewer?action=UPDATE&amp;creator=factset&amp;DYN_ARGS=TRUE&amp;DOC_NAME=FAT:FQL_AUDITING_CLIENT_TEMPLATE.FAT&amp;display_string=Audit&amp;VAR:KEY=VUVOXGFSNQ&amp;VAR:QUERY=RkZfRUJJVERBX09QRVIoUVRSLDQvMS8yMDEwLDYvMzAvMjAxMCwsLFVTRCk=&amp;WINDOW=FIRST_POPUP&amp;HEIGH","T=450&amp;WIDTH=450&amp;START_MAXIMIZED=FALSE&amp;VAR:CALENDAR=US&amp;VAR:SYMBOL=NSM&amp;VAR:INDEX=0"}</definedName>
    <definedName name="_353__FDSAUDITLINK__" localSheetId="1"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3__FDSAUDITLINK__" hidden="1">{"fdsup://directions/FAT Viewer?action=UPDATE&amp;creator=factset&amp;DYN_ARGS=TRUE&amp;DOC_NAME=FAT:FQL_AUDITING_CLIENT_TEMPLATE.FAT&amp;display_string=Audit&amp;VAR:KEY=RCTUTARCLE&amp;VAR:QUERY=RkZfRUJJVERBX09QRVIoUVRSLDQvMS8yMDA5LDYvMzAvMjAwOSwsLFVTRCk=&amp;WINDOW=FIRST_POPUP&amp;HEIGH","T=450&amp;WIDTH=450&amp;START_MAXIMIZED=FALSE&amp;VAR:CALENDAR=US&amp;VAR:SYMBOL=NSC&amp;VAR:INDEX=0"}</definedName>
    <definedName name="_354__FDSAUDITLINK__" localSheetId="1"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4__FDSAUDITLINK__" hidden="1">{"fdsup://directions/FAT Viewer?action=UPDATE&amp;creator=factset&amp;DYN_ARGS=TRUE&amp;DOC_NAME=FAT:FQL_AUDITING_CLIENT_TEMPLATE.FAT&amp;display_string=Audit&amp;VAR:KEY=FEXOPSHGLG&amp;VAR:QUERY=RkZfRUJJVERBX09QRVIoUVRSLDQvMS8yMDEwLDYvMzAvMjAxMCwsLFVTRCk=&amp;WINDOW=FIRST_POPUP&amp;HEIGH","T=450&amp;WIDTH=450&amp;START_MAXIMIZED=FALSE&amp;VAR:CALENDAR=US&amp;VAR:SYMBOL=NSC&amp;VAR:INDEX=0"}</definedName>
    <definedName name="_355__FDSAUDITLINK__" localSheetId="1"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5__FDSAUDITLINK__" hidden="1">{"fdsup://directions/FAT Viewer?action=UPDATE&amp;creator=factset&amp;DYN_ARGS=TRUE&amp;DOC_NAME=FAT:FQL_AUDITING_CLIENT_TEMPLATE.FAT&amp;display_string=Audit&amp;VAR:KEY=DQVMRUPYBM&amp;VAR:QUERY=RkZfRUJJVERBX09QRVIoUVRSLDQvMS8yMDA5LDYvMzAvMjAwOSwsLFVTRCk=&amp;WINDOW=FIRST_POPUP&amp;HEIGH","T=450&amp;WIDTH=450&amp;START_MAXIMIZED=FALSE&amp;VAR:CALENDAR=US&amp;VAR:SYMBOL=NRG&amp;VAR:INDEX=0"}</definedName>
    <definedName name="_356__FDSAUDITLINK__" localSheetId="1"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6__FDSAUDITLINK__" hidden="1">{"fdsup://directions/FAT Viewer?action=UPDATE&amp;creator=factset&amp;DYN_ARGS=TRUE&amp;DOC_NAME=FAT:FQL_AUDITING_CLIENT_TEMPLATE.FAT&amp;display_string=Audit&amp;VAR:KEY=TGPETIRKLE&amp;VAR:QUERY=RkZfRUJJVERBX09QRVIoUVRSLDQvMS8yMDEwLDYvMzAvMjAxMCwsLFVTRCk=&amp;WINDOW=FIRST_POPUP&amp;HEIGH","T=450&amp;WIDTH=450&amp;START_MAXIMIZED=FALSE&amp;VAR:CALENDAR=US&amp;VAR:SYMBOL=NRG&amp;VAR:INDEX=0"}</definedName>
    <definedName name="_357__FDSAUDITLINK__" localSheetId="1"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7__FDSAUDITLINK__" hidden="1">{"fdsup://directions/FAT Viewer?action=UPDATE&amp;creator=factset&amp;DYN_ARGS=TRUE&amp;DOC_NAME=FAT:FQL_AUDITING_CLIENT_TEMPLATE.FAT&amp;display_string=Audit&amp;VAR:KEY=XEZCZGPQPO&amp;VAR:QUERY=RkZfRUJJVERBX09QRVIoUVRSLDQvMS8yMDA5LDYvMzAvMjAwOSwsLFVTRCk=&amp;WINDOW=FIRST_POPUP&amp;HEIGH","T=450&amp;WIDTH=450&amp;START_MAXIMIZED=FALSE&amp;VAR:CALENDAR=US&amp;VAR:SYMBOL=NOVL&amp;VAR:INDEX=0"}</definedName>
    <definedName name="_358__FDSAUDITLINK__" localSheetId="1"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8__FDSAUDITLINK__" hidden="1">{"fdsup://directions/FAT Viewer?action=UPDATE&amp;creator=factset&amp;DYN_ARGS=TRUE&amp;DOC_NAME=FAT:FQL_AUDITING_CLIENT_TEMPLATE.FAT&amp;display_string=Audit&amp;VAR:KEY=LGXYFMXINW&amp;VAR:QUERY=RkZfRUJJVERBX09QRVIoUVRSLDQvMS8yMDEwLDYvMzAvMjAxMCwsLFVTRCk=&amp;WINDOW=FIRST_POPUP&amp;HEIGH","T=450&amp;WIDTH=450&amp;START_MAXIMIZED=FALSE&amp;VAR:CALENDAR=US&amp;VAR:SYMBOL=NOVL&amp;VAR:INDEX=0"}</definedName>
    <definedName name="_359__FDSAUDITLINK__" localSheetId="1"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59__FDSAUDITLINK__" hidden="1">{"fdsup://directions/FAT Viewer?action=UPDATE&amp;creator=factset&amp;DYN_ARGS=TRUE&amp;DOC_NAME=FAT:FQL_AUDITING_CLIENT_TEMPLATE.FAT&amp;display_string=Audit&amp;VAR:KEY=ZIHEFKJWHI&amp;VAR:QUERY=RkZfRUJJVERBX09QRVIoUVRSLDQvMS8yMDA5LDYvMzAvMjAwOSwsLFVTRCk=&amp;WINDOW=FIRST_POPUP&amp;HEIGH","T=450&amp;WIDTH=450&amp;START_MAXIMIZED=FALSE&amp;VAR:CALENDAR=US&amp;VAR:SYMBOL=NOV&amp;VAR:INDEX=0"}</definedName>
    <definedName name="_36__FDSAUDITLINK__" localSheetId="1"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__FDSAUDITLINK__" hidden="1">{"fdsup://directions/FAT Viewer?action=UPDATE&amp;creator=factset&amp;DYN_ARGS=TRUE&amp;DOC_NAME=FAT:FQL_AUDITING_CLIENT_TEMPLATE.FAT&amp;display_string=Audit&amp;VAR:KEY=BOJCNYTAVG&amp;VAR:QUERY=RkZfRUJJVERBX09QRVIoUVRSLDQvMS8yMDEwLDYvMzAvMjAxMCwsLFVTRCk=&amp;WINDOW=FIRST_POPUP&amp;HEIGH","T=450&amp;WIDTH=450&amp;START_MAXIMIZED=FALSE&amp;VAR:CALENDAR=US&amp;VAR:SYMBOL=WMT&amp;VAR:INDEX=0"}</definedName>
    <definedName name="_360__FDSAUDITLINK__" localSheetId="1"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0__FDSAUDITLINK__" hidden="1">{"fdsup://directions/FAT Viewer?action=UPDATE&amp;creator=factset&amp;DYN_ARGS=TRUE&amp;DOC_NAME=FAT:FQL_AUDITING_CLIENT_TEMPLATE.FAT&amp;display_string=Audit&amp;VAR:KEY=LUFQDERKZU&amp;VAR:QUERY=RkZfRUJJVERBX09QRVIoUVRSLDQvMS8yMDEwLDYvMzAvMjAxMCwsLFVTRCk=&amp;WINDOW=FIRST_POPUP&amp;HEIGH","T=450&amp;WIDTH=450&amp;START_MAXIMIZED=FALSE&amp;VAR:CALENDAR=US&amp;VAR:SYMBOL=NOV&amp;VAR:INDEX=0"}</definedName>
    <definedName name="_361__FDSAUDITLINK__" localSheetId="1"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1__FDSAUDITLINK__" hidden="1">{"fdsup://directions/FAT Viewer?action=UPDATE&amp;creator=factset&amp;DYN_ARGS=TRUE&amp;DOC_NAME=FAT:FQL_AUDITING_CLIENT_TEMPLATE.FAT&amp;display_string=Audit&amp;VAR:KEY=XMVCLKBYHE&amp;VAR:QUERY=RkZfRUJJVERBX09QRVIoUVRSLDQvMS8yMDA5LDYvMzAvMjAwOSwsLFVTRCk=&amp;WINDOW=FIRST_POPUP&amp;HEIGH","T=450&amp;WIDTH=450&amp;START_MAXIMIZED=FALSE&amp;VAR:CALENDAR=US&amp;VAR:SYMBOL=NOC&amp;VAR:INDEX=0"}</definedName>
    <definedName name="_362__FDSAUDITLINK__" localSheetId="1"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2__FDSAUDITLINK__" hidden="1">{"fdsup://directions/FAT Viewer?action=UPDATE&amp;creator=factset&amp;DYN_ARGS=TRUE&amp;DOC_NAME=FAT:FQL_AUDITING_CLIENT_TEMPLATE.FAT&amp;display_string=Audit&amp;VAR:KEY=RWZYBQDWTW&amp;VAR:QUERY=RkZfRUJJVERBX09QRVIoUVRSLDQvMS8yMDEwLDYvMzAvMjAxMCwsLFVTRCk=&amp;WINDOW=FIRST_POPUP&amp;HEIGH","T=450&amp;WIDTH=450&amp;START_MAXIMIZED=FALSE&amp;VAR:CALENDAR=US&amp;VAR:SYMBOL=NOC&amp;VAR:INDEX=0"}</definedName>
    <definedName name="_363__FDSAUDITLINK__" localSheetId="1"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3__FDSAUDITLINK__" hidden="1">{"fdsup://directions/FAT Viewer?action=UPDATE&amp;creator=factset&amp;DYN_ARGS=TRUE&amp;DOC_NAME=FAT:FQL_AUDITING_CLIENT_TEMPLATE.FAT&amp;display_string=Audit&amp;VAR:KEY=JQPUFGBOBS&amp;VAR:QUERY=RkZfRUJJVERBX09QRVIoUVRSLDQvMS8yMDA5LDYvMzAvMjAwOSwsLFVTRCk=&amp;WINDOW=FIRST_POPUP&amp;HEIGH","T=450&amp;WIDTH=450&amp;START_MAXIMIZED=FALSE&amp;VAR:CALENDAR=US&amp;VAR:SYMBOL=NKE&amp;VAR:INDEX=0"}</definedName>
    <definedName name="_364__FDSAUDITLINK__" localSheetId="1"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4__FDSAUDITLINK__" hidden="1">{"fdsup://directions/FAT Viewer?action=UPDATE&amp;creator=factset&amp;DYN_ARGS=TRUE&amp;DOC_NAME=FAT:FQL_AUDITING_CLIENT_TEMPLATE.FAT&amp;display_string=Audit&amp;VAR:KEY=XAJGNUHGXK&amp;VAR:QUERY=RkZfRUJJVERBX09QRVIoUVRSLDQvMS8yMDEwLDYvMzAvMjAxMCwsLFVTRCk=&amp;WINDOW=FIRST_POPUP&amp;HEIGH","T=450&amp;WIDTH=450&amp;START_MAXIMIZED=FALSE&amp;VAR:CALENDAR=US&amp;VAR:SYMBOL=NKE&amp;VAR:INDEX=0"}</definedName>
    <definedName name="_365__FDSAUDITLINK__" localSheetId="1"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5__FDSAUDITLINK__" hidden="1">{"fdsup://directions/FAT Viewer?action=UPDATE&amp;creator=factset&amp;DYN_ARGS=TRUE&amp;DOC_NAME=FAT:FQL_AUDITING_CLIENT_TEMPLATE.FAT&amp;display_string=Audit&amp;VAR:KEY=TANMTWJYPM&amp;VAR:QUERY=RkZfRUJJVERBX09QRVIoUVRSLDQvMS8yMDA5LDYvMzAvMjAwOSwsLFVTRCk=&amp;WINDOW=FIRST_POPUP&amp;HEIGH","T=450&amp;WIDTH=450&amp;START_MAXIMIZED=FALSE&amp;VAR:CALENDAR=US&amp;VAR:SYMBOL=NI&amp;VAR:INDEX=0"}</definedName>
    <definedName name="_366__FDSAUDITLINK__" localSheetId="1"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6__FDSAUDITLINK__" hidden="1">{"fdsup://directions/FAT Viewer?action=UPDATE&amp;creator=factset&amp;DYN_ARGS=TRUE&amp;DOC_NAME=FAT:FQL_AUDITING_CLIENT_TEMPLATE.FAT&amp;display_string=Audit&amp;VAR:KEY=LSPEVULWPE&amp;VAR:QUERY=RkZfRUJJVERBX09QRVIoUVRSLDQvMS8yMDEwLDYvMzAvMjAxMCwsLFVTRCk=&amp;WINDOW=FIRST_POPUP&amp;HEIGH","T=450&amp;WIDTH=450&amp;START_MAXIMIZED=FALSE&amp;VAR:CALENDAR=US&amp;VAR:SYMBOL=NI&amp;VAR:INDEX=0"}</definedName>
    <definedName name="_367__FDSAUDITLINK__" localSheetId="1"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7__FDSAUDITLINK__" hidden="1">{"fdsup://directions/FAT Viewer?action=UPDATE&amp;creator=factset&amp;DYN_ARGS=TRUE&amp;DOC_NAME=FAT:FQL_AUDITING_CLIENT_TEMPLATE.FAT&amp;display_string=Audit&amp;VAR:KEY=VSTSVQBABE&amp;VAR:QUERY=RkZfRUJJVERBX09QRVIoUVRSLDQvMS8yMDA5LDYvMzAvMjAwOSwsLFVTRCk=&amp;WINDOW=FIRST_POPUP&amp;HEIGH","T=450&amp;WIDTH=450&amp;START_MAXIMIZED=FALSE&amp;VAR:CALENDAR=US&amp;VAR:SYMBOL=NEM&amp;VAR:INDEX=0"}</definedName>
    <definedName name="_368__FDSAUDITLINK__" localSheetId="1"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8__FDSAUDITLINK__" hidden="1">{"fdsup://directions/FAT Viewer?action=UPDATE&amp;creator=factset&amp;DYN_ARGS=TRUE&amp;DOC_NAME=FAT:FQL_AUDITING_CLIENT_TEMPLATE.FAT&amp;display_string=Audit&amp;VAR:KEY=BGZSBAFQLA&amp;VAR:QUERY=RkZfRUJJVERBX09QRVIoUVRSLDQvMS8yMDEwLDYvMzAvMjAxMCwsLFVTRCk=&amp;WINDOW=FIRST_POPUP&amp;HEIGH","T=450&amp;WIDTH=450&amp;START_MAXIMIZED=FALSE&amp;VAR:CALENDAR=US&amp;VAR:SYMBOL=NEM&amp;VAR:INDEX=0"}</definedName>
    <definedName name="_369__FDSAUDITLINK__" localSheetId="1"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69__FDSAUDITLINK__" hidden="1">{"fdsup://directions/FAT Viewer?action=UPDATE&amp;creator=factset&amp;DYN_ARGS=TRUE&amp;DOC_NAME=FAT:FQL_AUDITING_CLIENT_TEMPLATE.FAT&amp;display_string=Audit&amp;VAR:KEY=NMLCXUPSBE&amp;VAR:QUERY=RkZfRUJJVERBX09QRVIoUVRSLDQvMS8yMDA5LDYvMzAvMjAwOSwsLFVTRCk=&amp;WINDOW=FIRST_POPUP&amp;HEIGH","T=450&amp;WIDTH=450&amp;START_MAXIMIZED=FALSE&amp;VAR:CALENDAR=US&amp;VAR:SYMBOL=NEE&amp;VAR:INDEX=0"}</definedName>
    <definedName name="_37__FDSAUDITLINK__" localSheetId="1"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__FDSAUDITLINK__" hidden="1">{"fdsup://directions/FAT Viewer?action=UPDATE&amp;creator=factset&amp;DYN_ARGS=TRUE&amp;DOC_NAME=FAT:FQL_AUDITING_CLIENT_TEMPLATE.FAT&amp;display_string=Audit&amp;VAR:KEY=PYXAPUPIBA&amp;VAR:QUERY=RkZfRUJJVERBX09QRVIoUVRSLDQvMS8yMDA5LDYvMzAvMjAwOSwsLFVTRCk=&amp;WINDOW=FIRST_POPUP&amp;HEIGH","T=450&amp;WIDTH=450&amp;START_MAXIMIZED=FALSE&amp;VAR:CALENDAR=US&amp;VAR:SYMBOL=WMB&amp;VAR:INDEX=0"}</definedName>
    <definedName name="_370__FDSAUDITLINK__" localSheetId="1"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0__FDSAUDITLINK__" hidden="1">{"fdsup://directions/FAT Viewer?action=UPDATE&amp;creator=factset&amp;DYN_ARGS=TRUE&amp;DOC_NAME=FAT:FQL_AUDITING_CLIENT_TEMPLATE.FAT&amp;display_string=Audit&amp;VAR:KEY=ZELQXERSHG&amp;VAR:QUERY=RkZfRUJJVERBX09QRVIoUVRSLDQvMS8yMDEwLDYvMzAvMjAxMCwsLFVTRCk=&amp;WINDOW=FIRST_POPUP&amp;HEIGH","T=450&amp;WIDTH=450&amp;START_MAXIMIZED=FALSE&amp;VAR:CALENDAR=US&amp;VAR:SYMBOL=NEE&amp;VAR:INDEX=0"}</definedName>
    <definedName name="_371__FDSAUDITLINK__" localSheetId="1"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1__FDSAUDITLINK__" hidden="1">{"fdsup://directions/FAT Viewer?action=UPDATE&amp;creator=factset&amp;DYN_ARGS=TRUE&amp;DOC_NAME=FAT:FQL_AUDITING_CLIENT_TEMPLATE.FAT&amp;display_string=Audit&amp;VAR:KEY=RCXINUNAPO&amp;VAR:QUERY=RkZfRUJJVERBX09QRVIoUVRSLDQvMS8yMDA5LDYvMzAvMjAwOSwsLFVTRCk=&amp;WINDOW=FIRST_POPUP&amp;HEIGH","T=450&amp;WIDTH=450&amp;START_MAXIMIZED=FALSE&amp;VAR:CALENDAR=US&amp;VAR:SYMBOL=NDAQ&amp;VAR:INDEX=0"}</definedName>
    <definedName name="_372__FDSAUDITLINK__" localSheetId="1"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2__FDSAUDITLINK__" hidden="1">{"fdsup://directions/FAT Viewer?action=UPDATE&amp;creator=factset&amp;DYN_ARGS=TRUE&amp;DOC_NAME=FAT:FQL_AUDITING_CLIENT_TEMPLATE.FAT&amp;display_string=Audit&amp;VAR:KEY=RQLUJCFIVY&amp;VAR:QUERY=RkZfRUJJVERBX09QRVIoUVRSLDQvMS8yMDEwLDYvMzAvMjAxMCwsLFVTRCk=&amp;WINDOW=FIRST_POPUP&amp;HEIGH","T=450&amp;WIDTH=450&amp;START_MAXIMIZED=FALSE&amp;VAR:CALENDAR=US&amp;VAR:SYMBOL=NDAQ&amp;VAR:INDEX=0"}</definedName>
    <definedName name="_373__FDSAUDITLINK__" localSheetId="1"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3__FDSAUDITLINK__" hidden="1">{"fdsup://directions/FAT Viewer?action=UPDATE&amp;creator=factset&amp;DYN_ARGS=TRUE&amp;DOC_NAME=FAT:FQL_AUDITING_CLIENT_TEMPLATE.FAT&amp;display_string=Audit&amp;VAR:KEY=RMJKJSVMHI&amp;VAR:QUERY=RkZfRUJJVERBX09QRVIoUVRSLDQvMS8yMDA5LDYvMzAvMjAwOSwsLFVTRCk=&amp;WINDOW=FIRST_POPUP&amp;HEIGH","T=450&amp;WIDTH=450&amp;START_MAXIMIZED=FALSE&amp;VAR:CALENDAR=US&amp;VAR:SYMBOL=NBR&amp;VAR:INDEX=0"}</definedName>
    <definedName name="_374__FDSAUDITLINK__" localSheetId="1"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4__FDSAUDITLINK__" hidden="1">{"fdsup://directions/FAT Viewer?action=UPDATE&amp;creator=factset&amp;DYN_ARGS=TRUE&amp;DOC_NAME=FAT:FQL_AUDITING_CLIENT_TEMPLATE.FAT&amp;display_string=Audit&amp;VAR:KEY=FCLABWPITW&amp;VAR:QUERY=RkZfRUJJVERBX09QRVIoUVRSLDQvMS8yMDEwLDYvMzAvMjAxMCwsLFVTRCk=&amp;WINDOW=FIRST_POPUP&amp;HEIGH","T=450&amp;WIDTH=450&amp;START_MAXIMIZED=FALSE&amp;VAR:CALENDAR=US&amp;VAR:SYMBOL=NBR&amp;VAR:INDEX=0"}</definedName>
    <definedName name="_375__FDSAUDITLINK__" localSheetId="1"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5__FDSAUDITLINK__" hidden="1">{"fdsup://directions/FAT Viewer?action=UPDATE&amp;creator=factset&amp;DYN_ARGS=TRUE&amp;DOC_NAME=FAT:FQL_AUDITING_CLIENT_TEMPLATE.FAT&amp;display_string=Audit&amp;VAR:KEY=VSFIFCVARY&amp;VAR:QUERY=RkZfRUJJVERBX09QRVIoUVRSLDQvMS8yMDA5LDYvMzAvMjAwOSwsLFVTRCk=&amp;WINDOW=FIRST_POPUP&amp;HEIGH","T=450&amp;WIDTH=450&amp;START_MAXIMIZED=FALSE&amp;VAR:CALENDAR=US&amp;VAR:SYMBOL=NBL&amp;VAR:INDEX=0"}</definedName>
    <definedName name="_376__FDSAUDITLINK__" localSheetId="1"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6__FDSAUDITLINK__" hidden="1">{"fdsup://directions/FAT Viewer?action=UPDATE&amp;creator=factset&amp;DYN_ARGS=TRUE&amp;DOC_NAME=FAT:FQL_AUDITING_CLIENT_TEMPLATE.FAT&amp;display_string=Audit&amp;VAR:KEY=XUVSDSJKBA&amp;VAR:QUERY=RkZfRUJJVERBX09QRVIoUVRSLDQvMS8yMDEwLDYvMzAvMjAxMCwsLFVTRCk=&amp;WINDOW=FIRST_POPUP&amp;HEIGH","T=450&amp;WIDTH=450&amp;START_MAXIMIZED=FALSE&amp;VAR:CALENDAR=US&amp;VAR:SYMBOL=NBL&amp;VAR:INDEX=0"}</definedName>
    <definedName name="_377__FDSAUDITLINK__" localSheetId="1"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7__FDSAUDITLINK__" hidden="1">{"fdsup://directions/FAT Viewer?action=UPDATE&amp;creator=factset&amp;DYN_ARGS=TRUE&amp;DOC_NAME=FAT:FQL_AUDITING_CLIENT_TEMPLATE.FAT&amp;display_string=Audit&amp;VAR:KEY=PMFOHWVINI&amp;VAR:QUERY=RkZfRUJJVERBX09QRVIoUVRSLDQvMS8yMDA5LDYvMzAvMjAwOSwsLFVTRCk=&amp;WINDOW=FIRST_POPUP&amp;HEIGH","T=450&amp;WIDTH=450&amp;START_MAXIMIZED=FALSE&amp;VAR:CALENDAR=US&amp;VAR:SYMBOL=MYL&amp;VAR:INDEX=0"}</definedName>
    <definedName name="_378__FDSAUDITLINK__" localSheetId="1"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8__FDSAUDITLINK__" hidden="1">{"fdsup://directions/FAT Viewer?action=UPDATE&amp;creator=factset&amp;DYN_ARGS=TRUE&amp;DOC_NAME=FAT:FQL_AUDITING_CLIENT_TEMPLATE.FAT&amp;display_string=Audit&amp;VAR:KEY=NCLGHEFYVY&amp;VAR:QUERY=RkZfRUJJVERBX09QRVIoUVRSLDQvMS8yMDEwLDYvMzAvMjAxMCwsLFVTRCk=&amp;WINDOW=FIRST_POPUP&amp;HEIGH","T=450&amp;WIDTH=450&amp;START_MAXIMIZED=FALSE&amp;VAR:CALENDAR=US&amp;VAR:SYMBOL=MYL&amp;VAR:INDEX=0"}</definedName>
    <definedName name="_379__FDSAUDITLINK__" localSheetId="1"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79__FDSAUDITLINK__" hidden="1">{"fdsup://directions/FAT Viewer?action=UPDATE&amp;creator=factset&amp;DYN_ARGS=TRUE&amp;DOC_NAME=FAT:FQL_AUDITING_CLIENT_TEMPLATE.FAT&amp;display_string=Audit&amp;VAR:KEY=RWXGVAPUHO&amp;VAR:QUERY=RkZfRUJJVERBX09QRVIoUVRSLDQvMS8yMDA5LDYvMzAvMjAwOSwsLFVTRCk=&amp;WINDOW=FIRST_POPUP&amp;HEIGH","T=450&amp;WIDTH=450&amp;START_MAXIMIZED=FALSE&amp;VAR:CALENDAR=US&amp;VAR:SYMBOL=MWW&amp;VAR:INDEX=0"}</definedName>
    <definedName name="_38__FDSAUDITLINK__" localSheetId="1"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__FDSAUDITLINK__" hidden="1">{"fdsup://directions/FAT Viewer?action=UPDATE&amp;creator=factset&amp;DYN_ARGS=TRUE&amp;DOC_NAME=FAT:FQL_AUDITING_CLIENT_TEMPLATE.FAT&amp;display_string=Audit&amp;VAR:KEY=NMPQLSBSZE&amp;VAR:QUERY=RkZfRUJJVERBX09QRVIoUVRSLDQvMS8yMDEwLDYvMzAvMjAxMCwsLFVTRCk=&amp;WINDOW=FIRST_POPUP&amp;HEIGH","T=450&amp;WIDTH=450&amp;START_MAXIMIZED=FALSE&amp;VAR:CALENDAR=US&amp;VAR:SYMBOL=WMB&amp;VAR:INDEX=0"}</definedName>
    <definedName name="_380__FDSAUDITLINK__" localSheetId="1"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0__FDSAUDITLINK__" hidden="1">{"fdsup://directions/FAT Viewer?action=UPDATE&amp;creator=factset&amp;DYN_ARGS=TRUE&amp;DOC_NAME=FAT:FQL_AUDITING_CLIENT_TEMPLATE.FAT&amp;display_string=Audit&amp;VAR:KEY=TAJOFYXCLG&amp;VAR:QUERY=RkZfRUJJVERBX09QRVIoUVRSLDQvMS8yMDEwLDYvMzAvMjAxMCwsLFVTRCk=&amp;WINDOW=FIRST_POPUP&amp;HEIGH","T=450&amp;WIDTH=450&amp;START_MAXIMIZED=FALSE&amp;VAR:CALENDAR=US&amp;VAR:SYMBOL=MWW&amp;VAR:INDEX=0"}</definedName>
    <definedName name="_381__FDSAUDITLINK__" localSheetId="1"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1__FDSAUDITLINK__" hidden="1">{"fdsup://directions/FAT Viewer?action=UPDATE&amp;creator=factset&amp;DYN_ARGS=TRUE&amp;DOC_NAME=FAT:FQL_AUDITING_CLIENT_TEMPLATE.FAT&amp;display_string=Audit&amp;VAR:KEY=DSNKNUXEVK&amp;VAR:QUERY=RkZfRUJJVERBX09QRVIoUVRSLDQvMS8yMDA5LDYvMzAvMjAwOSwsLFVTRCk=&amp;WINDOW=FIRST_POPUP&amp;HEIGH","T=450&amp;WIDTH=450&amp;START_MAXIMIZED=FALSE&amp;VAR:CALENDAR=US&amp;VAR:SYMBOL=MWV&amp;VAR:INDEX=0"}</definedName>
    <definedName name="_382__FDSAUDITLINK__" localSheetId="1"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2__FDSAUDITLINK__" hidden="1">{"fdsup://directions/FAT Viewer?action=UPDATE&amp;creator=factset&amp;DYN_ARGS=TRUE&amp;DOC_NAME=FAT:FQL_AUDITING_CLIENT_TEMPLATE.FAT&amp;display_string=Audit&amp;VAR:KEY=FQVSVSVALK&amp;VAR:QUERY=RkZfRUJJVERBX09QRVIoUVRSLDQvMS8yMDEwLDYvMzAvMjAxMCwsLFVTRCk=&amp;WINDOW=FIRST_POPUP&amp;HEIGH","T=450&amp;WIDTH=450&amp;START_MAXIMIZED=FALSE&amp;VAR:CALENDAR=US&amp;VAR:SYMBOL=MWV&amp;VAR:INDEX=0"}</definedName>
    <definedName name="_383__FDSAUDITLINK__" localSheetId="1"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3__FDSAUDITLINK__" hidden="1">{"fdsup://directions/FAT Viewer?action=UPDATE&amp;creator=factset&amp;DYN_ARGS=TRUE&amp;DOC_NAME=FAT:FQL_AUDITING_CLIENT_TEMPLATE.FAT&amp;display_string=Audit&amp;VAR:KEY=NCPMJUTIFO&amp;VAR:QUERY=RkZfRUJJVERBX09QRVIoUVRSLDQvMS8yMDA5LDYvMzAvMjAwOSwsLFVTRCk=&amp;WINDOW=FIRST_POPUP&amp;HEIGH","T=450&amp;WIDTH=450&amp;START_MAXIMIZED=FALSE&amp;VAR:CALENDAR=US&amp;VAR:SYMBOL=MUR&amp;VAR:INDEX=0"}</definedName>
    <definedName name="_384__FDSAUDITLINK__" localSheetId="1"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4__FDSAUDITLINK__" hidden="1">{"fdsup://directions/FAT Viewer?action=UPDATE&amp;creator=factset&amp;DYN_ARGS=TRUE&amp;DOC_NAME=FAT:FQL_AUDITING_CLIENT_TEMPLATE.FAT&amp;display_string=Audit&amp;VAR:KEY=ZQRQNKPCNI&amp;VAR:QUERY=RkZfRUJJVERBX09QRVIoUVRSLDQvMS8yMDEwLDYvMzAvMjAxMCwsLFVTRCk=&amp;WINDOW=FIRST_POPUP&amp;HEIGH","T=450&amp;WIDTH=450&amp;START_MAXIMIZED=FALSE&amp;VAR:CALENDAR=US&amp;VAR:SYMBOL=MUR&amp;VAR:INDEX=0"}</definedName>
    <definedName name="_385__FDSAUDITLINK__" localSheetId="1"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5__FDSAUDITLINK__" hidden="1">{"fdsup://directions/FAT Viewer?action=UPDATE&amp;creator=factset&amp;DYN_ARGS=TRUE&amp;DOC_NAME=FAT:FQL_AUDITING_CLIENT_TEMPLATE.FAT&amp;display_string=Audit&amp;VAR:KEY=PCVSTKRYDO&amp;VAR:QUERY=RkZfRUJJVERBX09QRVIoUVRSLDQvMS8yMDA5LDYvMzAvMjAwOSwsLFVTRCk=&amp;WINDOW=FIRST_POPUP&amp;HEIGH","T=450&amp;WIDTH=450&amp;START_MAXIMIZED=FALSE&amp;VAR:CALENDAR=US&amp;VAR:SYMBOL=MU&amp;VAR:INDEX=0"}</definedName>
    <definedName name="_386__FDSAUDITLINK__" localSheetId="1"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6__FDSAUDITLINK__" hidden="1">{"fdsup://directions/FAT Viewer?action=UPDATE&amp;creator=factset&amp;DYN_ARGS=TRUE&amp;DOC_NAME=FAT:FQL_AUDITING_CLIENT_TEMPLATE.FAT&amp;display_string=Audit&amp;VAR:KEY=DKRWZSTSDC&amp;VAR:QUERY=RkZfRUJJVERBX09QRVIoUVRSLDQvMS8yMDEwLDYvMzAvMjAxMCwsLFVTRCk=&amp;WINDOW=FIRST_POPUP&amp;HEIGH","T=450&amp;WIDTH=450&amp;START_MAXIMIZED=FALSE&amp;VAR:CALENDAR=US&amp;VAR:SYMBOL=MU&amp;VAR:INDEX=0"}</definedName>
    <definedName name="_387__FDSAUDITLINK__" localSheetId="1"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7__FDSAUDITLINK__" hidden="1">{"fdsup://directions/FAT Viewer?action=UPDATE&amp;creator=factset&amp;DYN_ARGS=TRUE&amp;DOC_NAME=FAT:FQL_AUDITING_CLIENT_TEMPLATE.FAT&amp;display_string=Audit&amp;VAR:KEY=XUTIHYFEVM&amp;VAR:QUERY=RkZfRUJJVERBX09QRVIoUVRSLDQvMS8yMDA5LDYvMzAvMjAwOSwsLFVTRCk=&amp;WINDOW=FIRST_POPUP&amp;HEIGH","T=450&amp;WIDTH=450&amp;START_MAXIMIZED=FALSE&amp;VAR:CALENDAR=US&amp;VAR:SYMBOL=MTB&amp;VAR:INDEX=0"}</definedName>
    <definedName name="_388__FDSAUDITLINK__" localSheetId="1"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8__FDSAUDITLINK__" hidden="1">{"fdsup://directions/FAT Viewer?action=UPDATE&amp;creator=factset&amp;DYN_ARGS=TRUE&amp;DOC_NAME=FAT:FQL_AUDITING_CLIENT_TEMPLATE.FAT&amp;display_string=Audit&amp;VAR:KEY=DAZQTIZSTW&amp;VAR:QUERY=RkZfRUJJVERBX09QRVIoUVRSLDQvMS8yMDEwLDYvMzAvMjAxMCwsLFVTRCk=&amp;WINDOW=FIRST_POPUP&amp;HEIGH","T=450&amp;WIDTH=450&amp;START_MAXIMIZED=FALSE&amp;VAR:CALENDAR=US&amp;VAR:SYMBOL=MTB&amp;VAR:INDEX=0"}</definedName>
    <definedName name="_389__FDSAUDITLINK__" localSheetId="1"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89__FDSAUDITLINK__" hidden="1">{"fdsup://directions/FAT Viewer?action=UPDATE&amp;creator=factset&amp;DYN_ARGS=TRUE&amp;DOC_NAME=FAT:FQL_AUDITING_CLIENT_TEMPLATE.FAT&amp;display_string=Audit&amp;VAR:KEY=DQRUFCPGJA&amp;VAR:QUERY=RkZfRUJJVERBX09QRVIoUVRSLDQvMS8yMDA5LDYvMzAvMjAwOSwsLFVTRCk=&amp;WINDOW=FIRST_POPUP&amp;HEIGH","T=450&amp;WIDTH=450&amp;START_MAXIMIZED=FALSE&amp;VAR:CALENDAR=US&amp;VAR:SYMBOL=MSFT&amp;VAR:INDEX=0"}</definedName>
    <definedName name="_39__FDSAUDITLINK__" localSheetId="1"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__FDSAUDITLINK__" hidden="1">{"fdsup://directions/FAT Viewer?action=UPDATE&amp;creator=factset&amp;DYN_ARGS=TRUE&amp;DOC_NAME=FAT:FQL_AUDITING_CLIENT_TEMPLATE.FAT&amp;display_string=Audit&amp;VAR:KEY=JQBIXELEBI&amp;VAR:QUERY=RkZfRUJJVERBX09QRVIoUVRSLDQvMS8yMDA5LDYvMzAvMjAwOSwsLFVTRCk=&amp;WINDOW=FIRST_POPUP&amp;HEIGH","T=450&amp;WIDTH=450&amp;START_MAXIMIZED=FALSE&amp;VAR:CALENDAR=US&amp;VAR:SYMBOL=WM&amp;VAR:INDEX=0"}</definedName>
    <definedName name="_390__FDSAUDITLINK__" localSheetId="1"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0__FDSAUDITLINK__" hidden="1">{"fdsup://directions/FAT Viewer?action=UPDATE&amp;creator=factset&amp;DYN_ARGS=TRUE&amp;DOC_NAME=FAT:FQL_AUDITING_CLIENT_TEMPLATE.FAT&amp;display_string=Audit&amp;VAR:KEY=XAPOZSLSBY&amp;VAR:QUERY=RkZfRUJJVERBX09QRVIoUVRSLDQvMS8yMDEwLDYvMzAvMjAxMCwsLFVTRCk=&amp;WINDOW=FIRST_POPUP&amp;HEIGH","T=450&amp;WIDTH=450&amp;START_MAXIMIZED=FALSE&amp;VAR:CALENDAR=US&amp;VAR:SYMBOL=MSFT&amp;VAR:INDEX=0"}</definedName>
    <definedName name="_391__FDSAUDITLINK__" localSheetId="1"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1__FDSAUDITLINK__" hidden="1">{"fdsup://directions/FAT Viewer?action=UPDATE&amp;creator=factset&amp;DYN_ARGS=TRUE&amp;DOC_NAME=FAT:FQL_AUDITING_CLIENT_TEMPLATE.FAT&amp;display_string=Audit&amp;VAR:KEY=HYLEHGZQXW&amp;VAR:QUERY=RkZfRUJJVERBX09QRVIoUVRSLDQvMS8yMDA5LDYvMzAvMjAwOSwsLFVTRCk=&amp;WINDOW=FIRST_POPUP&amp;HEIGH","T=450&amp;WIDTH=450&amp;START_MAXIMIZED=FALSE&amp;VAR:CALENDAR=US&amp;VAR:SYMBOL=MS&amp;VAR:INDEX=0"}</definedName>
    <definedName name="_392__FDSAUDITLINK__" localSheetId="1"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2__FDSAUDITLINK__" hidden="1">{"fdsup://directions/FAT Viewer?action=UPDATE&amp;creator=factset&amp;DYN_ARGS=TRUE&amp;DOC_NAME=FAT:FQL_AUDITING_CLIENT_TEMPLATE.FAT&amp;display_string=Audit&amp;VAR:KEY=NGXONKPWLC&amp;VAR:QUERY=RkZfRUJJVERBX09QRVIoUVRSLDQvMS8yMDEwLDYvMzAvMjAxMCwsLFVTRCk=&amp;WINDOW=FIRST_POPUP&amp;HEIGH","T=450&amp;WIDTH=450&amp;START_MAXIMIZED=FALSE&amp;VAR:CALENDAR=US&amp;VAR:SYMBOL=MS&amp;VAR:INDEX=0"}</definedName>
    <definedName name="_393__FDSAUDITLINK__" localSheetId="1"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3__FDSAUDITLINK__" hidden="1">{"fdsup://directions/FAT Viewer?action=UPDATE&amp;creator=factset&amp;DYN_ARGS=TRUE&amp;DOC_NAME=FAT:FQL_AUDITING_CLIENT_TEMPLATE.FAT&amp;display_string=Audit&amp;VAR:KEY=PGRYHQHQFO&amp;VAR:QUERY=RkZfRUJJVERBX09QRVIoUVRSLDQvMS8yMDA5LDYvMzAvMjAwOSwsLFVTRCk=&amp;WINDOW=FIRST_POPUP&amp;HEIGH","T=450&amp;WIDTH=450&amp;START_MAXIMIZED=FALSE&amp;VAR:CALENDAR=US&amp;VAR:SYMBOL=MRO&amp;VAR:INDEX=0"}</definedName>
    <definedName name="_394__FDSAUDITLINK__" localSheetId="1"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4__FDSAUDITLINK__" hidden="1">{"fdsup://directions/FAT Viewer?action=UPDATE&amp;creator=factset&amp;DYN_ARGS=TRUE&amp;DOC_NAME=FAT:FQL_AUDITING_CLIENT_TEMPLATE.FAT&amp;display_string=Audit&amp;VAR:KEY=HINYFKLGJK&amp;VAR:QUERY=RkZfRUJJVERBX09QRVIoUVRSLDQvMS8yMDEwLDYvMzAvMjAxMCwsLFVTRCk=&amp;WINDOW=FIRST_POPUP&amp;HEIGH","T=450&amp;WIDTH=450&amp;START_MAXIMIZED=FALSE&amp;VAR:CALENDAR=US&amp;VAR:SYMBOL=MRO&amp;VAR:INDEX=0"}</definedName>
    <definedName name="_395__FDSAUDITLINK__" localSheetId="1"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5__FDSAUDITLINK__" hidden="1">{"fdsup://directions/FAT Viewer?action=UPDATE&amp;creator=factset&amp;DYN_ARGS=TRUE&amp;DOC_NAME=FAT:FQL_AUDITING_CLIENT_TEMPLATE.FAT&amp;display_string=Audit&amp;VAR:KEY=XKLWNQBGBI&amp;VAR:QUERY=RkZfRUJJVERBX09QRVIoUVRSLDQvMS8yMDA5LDYvMzAvMjAwOSwsLFVTRCk=&amp;WINDOW=FIRST_POPUP&amp;HEIGH","T=450&amp;WIDTH=450&amp;START_MAXIMIZED=FALSE&amp;VAR:CALENDAR=US&amp;VAR:SYMBOL=MRK&amp;VAR:INDEX=0"}</definedName>
    <definedName name="_396__FDSAUDITLINK__" localSheetId="1"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6__FDSAUDITLINK__" hidden="1">{"fdsup://directions/FAT Viewer?action=UPDATE&amp;creator=factset&amp;DYN_ARGS=TRUE&amp;DOC_NAME=FAT:FQL_AUDITING_CLIENT_TEMPLATE.FAT&amp;display_string=Audit&amp;VAR:KEY=XKTUNGJSLU&amp;VAR:QUERY=RkZfRUJJVERBX09QRVIoUVRSLDQvMS8yMDEwLDYvMzAvMjAxMCwsLFVTRCk=&amp;WINDOW=FIRST_POPUP&amp;HEIGH","T=450&amp;WIDTH=450&amp;START_MAXIMIZED=FALSE&amp;VAR:CALENDAR=US&amp;VAR:SYMBOL=MRK&amp;VAR:INDEX=0"}</definedName>
    <definedName name="_397__FDSAUDITLINK__" localSheetId="1"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7__FDSAUDITLINK__" hidden="1">{"fdsup://directions/FAT Viewer?action=UPDATE&amp;creator=factset&amp;DYN_ARGS=TRUE&amp;DOC_NAME=FAT:FQL_AUDITING_CLIENT_TEMPLATE.FAT&amp;display_string=Audit&amp;VAR:KEY=NYTUDGXUBU&amp;VAR:QUERY=RkZfRUJJVERBX09QRVIoUVRSLDQvMS8yMDA5LDYvMzAvMjAwOSwsLFVTRCk=&amp;WINDOW=FIRST_POPUP&amp;HEIGH","T=450&amp;WIDTH=450&amp;START_MAXIMIZED=FALSE&amp;VAR:CALENDAR=US&amp;VAR:SYMBOL=MOT&amp;VAR:INDEX=0"}</definedName>
    <definedName name="_398__FDSAUDITLINK__" localSheetId="1"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8__FDSAUDITLINK__" hidden="1">{"fdsup://directions/FAT Viewer?action=UPDATE&amp;creator=factset&amp;DYN_ARGS=TRUE&amp;DOC_NAME=FAT:FQL_AUDITING_CLIENT_TEMPLATE.FAT&amp;display_string=Audit&amp;VAR:KEY=DQXOXKBSXE&amp;VAR:QUERY=RkZfRUJJVERBX09QRVIoUVRSLDQvMS8yMDEwLDYvMzAvMjAxMCwsLFVTRCk=&amp;WINDOW=FIRST_POPUP&amp;HEIGH","T=450&amp;WIDTH=450&amp;START_MAXIMIZED=FALSE&amp;VAR:CALENDAR=US&amp;VAR:SYMBOL=MOT&amp;VAR:INDEX=0"}</definedName>
    <definedName name="_399__FDSAUDITLINK__" localSheetId="1"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399__FDSAUDITLINK__" hidden="1">{"fdsup://directions/FAT Viewer?action=UPDATE&amp;creator=factset&amp;DYN_ARGS=TRUE&amp;DOC_NAME=FAT:FQL_AUDITING_CLIENT_TEMPLATE.FAT&amp;display_string=Audit&amp;VAR:KEY=XMRAVYVWFE&amp;VAR:QUERY=RkZfRUJJVERBX09QRVIoUVRSLDQvMS8yMDA5LDYvMzAvMjAwOSwsLFVTRCk=&amp;WINDOW=FIRST_POPUP&amp;HEIGH","T=450&amp;WIDTH=450&amp;START_MAXIMIZED=FALSE&amp;VAR:CALENDAR=US&amp;VAR:SYMBOL=MON&amp;VAR:INDEX=0"}</definedName>
    <definedName name="_4__FDSAUDITLINK__" localSheetId="1"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__FDSAUDITLINK__" hidden="1">{"fdsup://directions/FAT Viewer?action=UPDATE&amp;creator=factset&amp;DYN_ARGS=TRUE&amp;DOC_NAME=FAT:FQL_AUDITING_CLIENT_TEMPLATE.FAT&amp;display_string=Audit&amp;VAR:KEY=PYFIPCNANQ&amp;VAR:QUERY=RkZfRUJJVERBX09QRVIoUVRSLDQvMS8yMDEwLDYvMzAvMjAxMCwsLFVTRCk=&amp;WINDOW=FIRST_POPUP&amp;HEIGH","T=450&amp;WIDTH=450&amp;START_MAXIMIZED=FALSE&amp;VAR:CALENDAR=US&amp;VAR:SYMBOL=ZION&amp;VAR:INDEX=0"}</definedName>
    <definedName name="_40__FDSAUDITLINK__" localSheetId="1"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__FDSAUDITLINK__" hidden="1">{"fdsup://directions/FAT Viewer?action=UPDATE&amp;creator=factset&amp;DYN_ARGS=TRUE&amp;DOC_NAME=FAT:FQL_AUDITING_CLIENT_TEMPLATE.FAT&amp;display_string=Audit&amp;VAR:KEY=XOBOXIJSPS&amp;VAR:QUERY=RkZfRUJJVERBX09QRVIoUVRSLDQvMS8yMDEwLDYvMzAvMjAxMCwsLFVTRCk=&amp;WINDOW=FIRST_POPUP&amp;HEIGH","T=450&amp;WIDTH=450&amp;START_MAXIMIZED=FALSE&amp;VAR:CALENDAR=US&amp;VAR:SYMBOL=WM&amp;VAR:INDEX=0"}</definedName>
    <definedName name="_400__FDSAUDITLINK__" localSheetId="1"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0__FDSAUDITLINK__" hidden="1">{"fdsup://directions/FAT Viewer?action=UPDATE&amp;creator=factset&amp;DYN_ARGS=TRUE&amp;DOC_NAME=FAT:FQL_AUDITING_CLIENT_TEMPLATE.FAT&amp;display_string=Audit&amp;VAR:KEY=ZQTOFSXSHK&amp;VAR:QUERY=RkZfRUJJVERBX09QRVIoUVRSLDQvMS8yMDEwLDYvMzAvMjAxMCwsLFVTRCk=&amp;WINDOW=FIRST_POPUP&amp;HEIGH","T=450&amp;WIDTH=450&amp;START_MAXIMIZED=FALSE&amp;VAR:CALENDAR=US&amp;VAR:SYMBOL=MON&amp;VAR:INDEX=0"}</definedName>
    <definedName name="_401__FDSAUDITLINK__" localSheetId="1"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1__FDSAUDITLINK__" hidden="1">{"fdsup://directions/FAT Viewer?action=UPDATE&amp;creator=factset&amp;DYN_ARGS=TRUE&amp;DOC_NAME=FAT:FQL_AUDITING_CLIENT_TEMPLATE.FAT&amp;display_string=Audit&amp;VAR:KEY=VCNENWFMJO&amp;VAR:QUERY=RkZfRUJJVERBX09QRVIoUVRSLDQvMS8yMDA5LDYvMzAvMjAwOSwsLFVTRCk=&amp;WINDOW=FIRST_POPUP&amp;HEIGH","T=450&amp;WIDTH=450&amp;START_MAXIMIZED=FALSE&amp;VAR:CALENDAR=US&amp;VAR:SYMBOL=MOLX&amp;VAR:INDEX=0"}</definedName>
    <definedName name="_402__FDSAUDITLINK__" localSheetId="1"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2__FDSAUDITLINK__" hidden="1">{"fdsup://directions/FAT Viewer?action=UPDATE&amp;creator=factset&amp;DYN_ARGS=TRUE&amp;DOC_NAME=FAT:FQL_AUDITING_CLIENT_TEMPLATE.FAT&amp;display_string=Audit&amp;VAR:KEY=NQPQVUBMJU&amp;VAR:QUERY=RkZfRUJJVERBX09QRVIoUVRSLDQvMS8yMDEwLDYvMzAvMjAxMCwsLFVTRCk=&amp;WINDOW=FIRST_POPUP&amp;HEIGH","T=450&amp;WIDTH=450&amp;START_MAXIMIZED=FALSE&amp;VAR:CALENDAR=US&amp;VAR:SYMBOL=MOLX&amp;VAR:INDEX=0"}</definedName>
    <definedName name="_403__FDSAUDITLINK__" localSheetId="1"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3__FDSAUDITLINK__" hidden="1">{"fdsup://directions/FAT Viewer?action=UPDATE&amp;creator=factset&amp;DYN_ARGS=TRUE&amp;DOC_NAME=FAT:FQL_AUDITING_CLIENT_TEMPLATE.FAT&amp;display_string=Audit&amp;VAR:KEY=LUNSXMPQHC&amp;VAR:QUERY=RkZfRUJJVERBX09QRVIoUVRSLDQvMS8yMDA5LDYvMzAvMjAwOSwsLFVTRCk=&amp;WINDOW=FIRST_POPUP&amp;HEIGH","T=450&amp;WIDTH=450&amp;START_MAXIMIZED=FALSE&amp;VAR:CALENDAR=US&amp;VAR:SYMBOL=MO&amp;VAR:INDEX=0"}</definedName>
    <definedName name="_404__FDSAUDITLINK__" localSheetId="1"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4__FDSAUDITLINK__" hidden="1">{"fdsup://directions/FAT Viewer?action=UPDATE&amp;creator=factset&amp;DYN_ARGS=TRUE&amp;DOC_NAME=FAT:FQL_AUDITING_CLIENT_TEMPLATE.FAT&amp;display_string=Audit&amp;VAR:KEY=DKFYDOBWZW&amp;VAR:QUERY=RkZfRUJJVERBX09QRVIoUVRSLDQvMS8yMDEwLDYvMzAvMjAxMCwsLFVTRCk=&amp;WINDOW=FIRST_POPUP&amp;HEIGH","T=450&amp;WIDTH=450&amp;START_MAXIMIZED=FALSE&amp;VAR:CALENDAR=US&amp;VAR:SYMBOL=MO&amp;VAR:INDEX=0"}</definedName>
    <definedName name="_405__FDSAUDITLINK__" localSheetId="1"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5__FDSAUDITLINK__" hidden="1">{"fdsup://directions/FAT Viewer?action=UPDATE&amp;creator=factset&amp;DYN_ARGS=TRUE&amp;DOC_NAME=FAT:FQL_AUDITING_CLIENT_TEMPLATE.FAT&amp;display_string=Audit&amp;VAR:KEY=NUHCHITSNK&amp;VAR:QUERY=RkZfRUJJVERBX09QRVIoUVRSLDQvMS8yMDA5LDYvMzAvMjAwOSwsLFVTRCk=&amp;WINDOW=FIRST_POPUP&amp;HEIGH","T=450&amp;WIDTH=450&amp;START_MAXIMIZED=FALSE&amp;VAR:CALENDAR=US&amp;VAR:SYMBOL=MMM&amp;VAR:INDEX=0"}</definedName>
    <definedName name="_406__FDSAUDITLINK__" localSheetId="1"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6__FDSAUDITLINK__" hidden="1">{"fdsup://directions/FAT Viewer?action=UPDATE&amp;creator=factset&amp;DYN_ARGS=TRUE&amp;DOC_NAME=FAT:FQL_AUDITING_CLIENT_TEMPLATE.FAT&amp;display_string=Audit&amp;VAR:KEY=NAXWTMDKTA&amp;VAR:QUERY=RkZfRUJJVERBX09QRVIoUVRSLDQvMS8yMDEwLDYvMzAvMjAxMCwsLFVTRCk=&amp;WINDOW=FIRST_POPUP&amp;HEIGH","T=450&amp;WIDTH=450&amp;START_MAXIMIZED=FALSE&amp;VAR:CALENDAR=US&amp;VAR:SYMBOL=MMM&amp;VAR:INDEX=0"}</definedName>
    <definedName name="_407__FDSAUDITLINK__" localSheetId="1"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7__FDSAUDITLINK__" hidden="1">{"fdsup://directions/FAT Viewer?action=UPDATE&amp;creator=factset&amp;DYN_ARGS=TRUE&amp;DOC_NAME=FAT:FQL_AUDITING_CLIENT_TEMPLATE.FAT&amp;display_string=Audit&amp;VAR:KEY=NYRWLQLWTM&amp;VAR:QUERY=RkZfRUJJVERBX09QRVIoUVRSLDQvMS8yMDA5LDYvMzAvMjAwOSwsLFVTRCk=&amp;WINDOW=FIRST_POPUP&amp;HEIGH","T=450&amp;WIDTH=450&amp;START_MAXIMIZED=FALSE&amp;VAR:CALENDAR=US&amp;VAR:SYMBOL=MMC&amp;VAR:INDEX=0"}</definedName>
    <definedName name="_408__FDSAUDITLINK__" localSheetId="1"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8__FDSAUDITLINK__" hidden="1">{"fdsup://directions/FAT Viewer?action=UPDATE&amp;creator=factset&amp;DYN_ARGS=TRUE&amp;DOC_NAME=FAT:FQL_AUDITING_CLIENT_TEMPLATE.FAT&amp;display_string=Audit&amp;VAR:KEY=VKPGJOXOHS&amp;VAR:QUERY=RkZfRUJJVERBX09QRVIoUVRSLDQvMS8yMDEwLDYvMzAvMjAxMCwsLFVTRCk=&amp;WINDOW=FIRST_POPUP&amp;HEIGH","T=450&amp;WIDTH=450&amp;START_MAXIMIZED=FALSE&amp;VAR:CALENDAR=US&amp;VAR:SYMBOL=MMC&amp;VAR:INDEX=0"}</definedName>
    <definedName name="_409__FDSAUDITLINK__" localSheetId="1"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09__FDSAUDITLINK__" hidden="1">{"fdsup://directions/FAT Viewer?action=UPDATE&amp;creator=factset&amp;DYN_ARGS=TRUE&amp;DOC_NAME=FAT:FQL_AUDITING_CLIENT_TEMPLATE.FAT&amp;display_string=Audit&amp;VAR:KEY=BSRAPIRITG&amp;VAR:QUERY=RkZfRUJJVERBX09QRVIoUVRSLDQvMS8yMDA5LDYvMzAvMjAwOSwsLFVTRCk=&amp;WINDOW=FIRST_POPUP&amp;HEIGH","T=450&amp;WIDTH=450&amp;START_MAXIMIZED=FALSE&amp;VAR:CALENDAR=US&amp;VAR:SYMBOL=MKC&amp;VAR:INDEX=0"}</definedName>
    <definedName name="_41__FDSAUDITLINK__" localSheetId="1"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__FDSAUDITLINK__" hidden="1">{"fdsup://directions/FAT Viewer?action=UPDATE&amp;creator=factset&amp;DYN_ARGS=TRUE&amp;DOC_NAME=FAT:FQL_AUDITING_CLIENT_TEMPLATE.FAT&amp;display_string=Audit&amp;VAR:KEY=JWLGFODIDK&amp;VAR:QUERY=RkZfRUJJVERBX09QRVIoUVRSLDQvMS8yMDA5LDYvMzAvMjAwOSwsLFVTRCk=&amp;WINDOW=FIRST_POPUP&amp;HEIGH","T=450&amp;WIDTH=450&amp;START_MAXIMIZED=FALSE&amp;VAR:CALENDAR=US&amp;VAR:SYMBOL=WLP&amp;VAR:INDEX=0"}</definedName>
    <definedName name="_410__FDSAUDITLINK__" localSheetId="1"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0__FDSAUDITLINK__" hidden="1">{"fdsup://directions/FAT Viewer?action=UPDATE&amp;creator=factset&amp;DYN_ARGS=TRUE&amp;DOC_NAME=FAT:FQL_AUDITING_CLIENT_TEMPLATE.FAT&amp;display_string=Audit&amp;VAR:KEY=XMBAVQFEFS&amp;VAR:QUERY=RkZfRUJJVERBX09QRVIoUVRSLDQvMS8yMDEwLDYvMzAvMjAxMCwsLFVTRCk=&amp;WINDOW=FIRST_POPUP&amp;HEIGH","T=450&amp;WIDTH=450&amp;START_MAXIMIZED=FALSE&amp;VAR:CALENDAR=US&amp;VAR:SYMBOL=MKC&amp;VAR:INDEX=0"}</definedName>
    <definedName name="_411__FDSAUDITLINK__" localSheetId="1"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1__FDSAUDITLINK__" hidden="1">{"fdsup://directions/FAT Viewer?action=UPDATE&amp;creator=factset&amp;DYN_ARGS=TRUE&amp;DOC_NAME=FAT:FQL_AUDITING_CLIENT_TEMPLATE.FAT&amp;display_string=Audit&amp;VAR:KEY=LSDWZOVSDU&amp;VAR:QUERY=RkZfRUJJVERBX09QRVIoUVRSLDQvMS8yMDA5LDYvMzAvMjAwOSwsLFVTRCk=&amp;WINDOW=FIRST_POPUP&amp;HEIGH","T=450&amp;WIDTH=450&amp;START_MAXIMIZED=FALSE&amp;VAR:CALENDAR=US&amp;VAR:SYMBOL=MJN&amp;VAR:INDEX=0"}</definedName>
    <definedName name="_412__FDSAUDITLINK__" localSheetId="1"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2__FDSAUDITLINK__" hidden="1">{"fdsup://directions/FAT Viewer?action=UPDATE&amp;creator=factset&amp;DYN_ARGS=TRUE&amp;DOC_NAME=FAT:FQL_AUDITING_CLIENT_TEMPLATE.FAT&amp;display_string=Audit&amp;VAR:KEY=LCHKBYDIDI&amp;VAR:QUERY=RkZfRUJJVERBX09QRVIoUVRSLDQvMS8yMDEwLDYvMzAvMjAxMCwsLFVTRCk=&amp;WINDOW=FIRST_POPUP&amp;HEIGH","T=450&amp;WIDTH=450&amp;START_MAXIMIZED=FALSE&amp;VAR:CALENDAR=US&amp;VAR:SYMBOL=MJN&amp;VAR:INDEX=0"}</definedName>
    <definedName name="_413__FDSAUDITLINK__" localSheetId="1"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3__FDSAUDITLINK__" hidden="1">{"fdsup://directions/FAT Viewer?action=UPDATE&amp;creator=factset&amp;DYN_ARGS=TRUE&amp;DOC_NAME=FAT:FQL_AUDITING_CLIENT_TEMPLATE.FAT&amp;display_string=Audit&amp;VAR:KEY=XANEZANUBI&amp;VAR:QUERY=RkZfRUJJVERBX09QRVIoUVRSLDQvMS8yMDA5LDYvMzAvMjAwOSwsLFVTRCk=&amp;WINDOW=FIRST_POPUP&amp;HEIGH","T=450&amp;WIDTH=450&amp;START_MAXIMIZED=FALSE&amp;VAR:CALENDAR=US&amp;VAR:SYMBOL=MI&amp;VAR:INDEX=0"}</definedName>
    <definedName name="_414__FDSAUDITLINK__" localSheetId="1"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4__FDSAUDITLINK__" hidden="1">{"fdsup://directions/FAT Viewer?action=UPDATE&amp;creator=factset&amp;DYN_ARGS=TRUE&amp;DOC_NAME=FAT:FQL_AUDITING_CLIENT_TEMPLATE.FAT&amp;display_string=Audit&amp;VAR:KEY=TGTADQBMHO&amp;VAR:QUERY=RkZfRUJJVERBX09QRVIoUVRSLDQvMS8yMDEwLDYvMzAvMjAxMCwsLFVTRCk=&amp;WINDOW=FIRST_POPUP&amp;HEIGH","T=450&amp;WIDTH=450&amp;START_MAXIMIZED=FALSE&amp;VAR:CALENDAR=US&amp;VAR:SYMBOL=MI&amp;VAR:INDEX=0"}</definedName>
    <definedName name="_415__FDSAUDITLINK__" localSheetId="1"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5__FDSAUDITLINK__" hidden="1">{"fdsup://directions/FAT Viewer?action=UPDATE&amp;creator=factset&amp;DYN_ARGS=TRUE&amp;DOC_NAME=FAT:FQL_AUDITING_CLIENT_TEMPLATE.FAT&amp;display_string=Audit&amp;VAR:KEY=NSZAHSBUXY&amp;VAR:QUERY=RkZfRUJJVERBX09QRVIoUVRSLDQvMS8yMDA5LDYvMzAvMjAwOSwsLFVTRCk=&amp;WINDOW=FIRST_POPUP&amp;HEIGH","T=450&amp;WIDTH=450&amp;START_MAXIMIZED=FALSE&amp;VAR:CALENDAR=US&amp;VAR:SYMBOL=MHS&amp;VAR:INDEX=0"}</definedName>
    <definedName name="_416__FDSAUDITLINK__" localSheetId="1"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6__FDSAUDITLINK__" hidden="1">{"fdsup://directions/FAT Viewer?action=UPDATE&amp;creator=factset&amp;DYN_ARGS=TRUE&amp;DOC_NAME=FAT:FQL_AUDITING_CLIENT_TEMPLATE.FAT&amp;display_string=Audit&amp;VAR:KEY=VSLEFMPUPY&amp;VAR:QUERY=RkZfRUJJVERBX09QRVIoUVRSLDQvMS8yMDEwLDYvMzAvMjAxMCwsLFVTRCk=&amp;WINDOW=FIRST_POPUP&amp;HEIGH","T=450&amp;WIDTH=450&amp;START_MAXIMIZED=FALSE&amp;VAR:CALENDAR=US&amp;VAR:SYMBOL=MHS&amp;VAR:INDEX=0"}</definedName>
    <definedName name="_417__FDSAUDITLINK__" localSheetId="1"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7__FDSAUDITLINK__" hidden="1">{"fdsup://directions/FAT Viewer?action=UPDATE&amp;creator=factset&amp;DYN_ARGS=TRUE&amp;DOC_NAME=FAT:FQL_AUDITING_CLIENT_TEMPLATE.FAT&amp;display_string=Audit&amp;VAR:KEY=RGXIFCBSRQ&amp;VAR:QUERY=RkZfRUJJVERBX09QRVIoUVRSLDQvMS8yMDA5LDYvMzAvMjAwOSwsLFVTRCk=&amp;WINDOW=FIRST_POPUP&amp;HEIGH","T=450&amp;WIDTH=450&amp;START_MAXIMIZED=FALSE&amp;VAR:CALENDAR=US&amp;VAR:SYMBOL=MHP&amp;VAR:INDEX=0"}</definedName>
    <definedName name="_418__FDSAUDITLINK__" localSheetId="1"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8__FDSAUDITLINK__" hidden="1">{"fdsup://directions/FAT Viewer?action=UPDATE&amp;creator=factset&amp;DYN_ARGS=TRUE&amp;DOC_NAME=FAT:FQL_AUDITING_CLIENT_TEMPLATE.FAT&amp;display_string=Audit&amp;VAR:KEY=DCXMLMVOLO&amp;VAR:QUERY=RkZfRUJJVERBX09QRVIoUVRSLDQvMS8yMDEwLDYvMzAvMjAxMCwsLFVTRCk=&amp;WINDOW=FIRST_POPUP&amp;HEIGH","T=450&amp;WIDTH=450&amp;START_MAXIMIZED=FALSE&amp;VAR:CALENDAR=US&amp;VAR:SYMBOL=MHP&amp;VAR:INDEX=0"}</definedName>
    <definedName name="_419__FDSAUDITLINK__" localSheetId="1"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19__FDSAUDITLINK__" hidden="1">{"fdsup://directions/FAT Viewer?action=UPDATE&amp;creator=factset&amp;DYN_ARGS=TRUE&amp;DOC_NAME=FAT:FQL_AUDITING_CLIENT_TEMPLATE.FAT&amp;display_string=Audit&amp;VAR:KEY=REXMRALYJE&amp;VAR:QUERY=RkZfRUJJVERBX09QRVIoUVRSLDQvMS8yMDA5LDYvMzAvMjAwOSwsLFVTRCk=&amp;WINDOW=FIRST_POPUP&amp;HEIGH","T=450&amp;WIDTH=450&amp;START_MAXIMIZED=FALSE&amp;VAR:CALENDAR=US&amp;VAR:SYMBOL=MFE&amp;VAR:INDEX=0"}</definedName>
    <definedName name="_42__FDSAUDITLINK__" localSheetId="1"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__FDSAUDITLINK__" hidden="1">{"fdsup://directions/FAT Viewer?action=UPDATE&amp;creator=factset&amp;DYN_ARGS=TRUE&amp;DOC_NAME=FAT:FQL_AUDITING_CLIENT_TEMPLATE.FAT&amp;display_string=Audit&amp;VAR:KEY=ZMPSVGPOTE&amp;VAR:QUERY=RkZfRUJJVERBX09QRVIoUVRSLDQvMS8yMDEwLDYvMzAvMjAxMCwsLFVTRCk=&amp;WINDOW=FIRST_POPUP&amp;HEIGH","T=450&amp;WIDTH=450&amp;START_MAXIMIZED=FALSE&amp;VAR:CALENDAR=US&amp;VAR:SYMBOL=WLP&amp;VAR:INDEX=0"}</definedName>
    <definedName name="_420__FDSAUDITLINK__" localSheetId="1"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0__FDSAUDITLINK__" hidden="1">{"fdsup://directions/FAT Viewer?action=UPDATE&amp;creator=factset&amp;DYN_ARGS=TRUE&amp;DOC_NAME=FAT:FQL_AUDITING_CLIENT_TEMPLATE.FAT&amp;display_string=Audit&amp;VAR:KEY=JQPKTOLCFS&amp;VAR:QUERY=RkZfRUJJVERBX09QRVIoUVRSLDQvMS8yMDEwLDYvMzAvMjAxMCwsLFVTRCk=&amp;WINDOW=FIRST_POPUP&amp;HEIGH","T=450&amp;WIDTH=450&amp;START_MAXIMIZED=FALSE&amp;VAR:CALENDAR=US&amp;VAR:SYMBOL=MFE&amp;VAR:INDEX=0"}</definedName>
    <definedName name="_421__FDSAUDITLINK__" localSheetId="1"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1__FDSAUDITLINK__" hidden="1">{"fdsup://directions/FAT Viewer?action=UPDATE&amp;creator=factset&amp;DYN_ARGS=TRUE&amp;DOC_NAME=FAT:FQL_AUDITING_CLIENT_TEMPLATE.FAT&amp;display_string=Audit&amp;VAR:KEY=LSZKJERINY&amp;VAR:QUERY=RkZfRUJJVERBX09QRVIoUVRSLDQvMS8yMDA5LDYvMzAvMjAwOSwsLFVTRCk=&amp;WINDOW=FIRST_POPUP&amp;HEIGH","T=450&amp;WIDTH=450&amp;START_MAXIMIZED=FALSE&amp;VAR:CALENDAR=US&amp;VAR:SYMBOL=MET&amp;VAR:INDEX=0"}</definedName>
    <definedName name="_422__FDSAUDITLINK__" localSheetId="1"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2__FDSAUDITLINK__" hidden="1">{"fdsup://directions/FAT Viewer?action=UPDATE&amp;creator=factset&amp;DYN_ARGS=TRUE&amp;DOC_NAME=FAT:FQL_AUDITING_CLIENT_TEMPLATE.FAT&amp;display_string=Audit&amp;VAR:KEY=DKPIVKTSFC&amp;VAR:QUERY=RkZfRUJJVERBX09QRVIoUVRSLDQvMS8yMDEwLDYvMzAvMjAxMCwsLFVTRCk=&amp;WINDOW=FIRST_POPUP&amp;HEIGH","T=450&amp;WIDTH=450&amp;START_MAXIMIZED=FALSE&amp;VAR:CALENDAR=US&amp;VAR:SYMBOL=MET&amp;VAR:INDEX=0"}</definedName>
    <definedName name="_423__FDSAUDITLINK__" localSheetId="1"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3__FDSAUDITLINK__" hidden="1">{"fdsup://directions/FAT Viewer?action=UPDATE&amp;creator=factset&amp;DYN_ARGS=TRUE&amp;DOC_NAME=FAT:FQL_AUDITING_CLIENT_TEMPLATE.FAT&amp;display_string=Audit&amp;VAR:KEY=LQFOXUBEZE&amp;VAR:QUERY=RkZfRUJJVERBX09QRVIoUVRSLDQvMS8yMDA5LDYvMzAvMjAwOSwsLFVTRCk=&amp;WINDOW=FIRST_POPUP&amp;HEIGH","T=450&amp;WIDTH=450&amp;START_MAXIMIZED=FALSE&amp;VAR:CALENDAR=US&amp;VAR:SYMBOL=MEE&amp;VAR:INDEX=0"}</definedName>
    <definedName name="_424__FDSAUDITLINK__" localSheetId="1"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4__FDSAUDITLINK__" hidden="1">{"fdsup://directions/FAT Viewer?action=UPDATE&amp;creator=factset&amp;DYN_ARGS=TRUE&amp;DOC_NAME=FAT:FQL_AUDITING_CLIENT_TEMPLATE.FAT&amp;display_string=Audit&amp;VAR:KEY=DAHCTYRKNI&amp;VAR:QUERY=RkZfRUJJVERBX09QRVIoUVRSLDQvMS8yMDEwLDYvMzAvMjAxMCwsLFVTRCk=&amp;WINDOW=FIRST_POPUP&amp;HEIGH","T=450&amp;WIDTH=450&amp;START_MAXIMIZED=FALSE&amp;VAR:CALENDAR=US&amp;VAR:SYMBOL=MEE&amp;VAR:INDEX=0"}</definedName>
    <definedName name="_425__FDSAUDITLINK__" localSheetId="1"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5__FDSAUDITLINK__" hidden="1">{"fdsup://directions/FAT Viewer?action=UPDATE&amp;creator=factset&amp;DYN_ARGS=TRUE&amp;DOC_NAME=FAT:FQL_AUDITING_CLIENT_TEMPLATE.FAT&amp;display_string=Audit&amp;VAR:KEY=NKVQFENSTE&amp;VAR:QUERY=RkZfRUJJVERBX09QRVIoUVRSLDQvMS8yMDA5LDYvMzAvMjAwOSwsLFVTRCk=&amp;WINDOW=FIRST_POPUP&amp;HEIGH","T=450&amp;WIDTH=450&amp;START_MAXIMIZED=FALSE&amp;VAR:CALENDAR=US&amp;VAR:SYMBOL=MDT&amp;VAR:INDEX=0"}</definedName>
    <definedName name="_426__FDSAUDITLINK__" localSheetId="1"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6__FDSAUDITLINK__" hidden="1">{"fdsup://directions/FAT Viewer?action=UPDATE&amp;creator=factset&amp;DYN_ARGS=TRUE&amp;DOC_NAME=FAT:FQL_AUDITING_CLIENT_TEMPLATE.FAT&amp;display_string=Audit&amp;VAR:KEY=FWPIVWJOLU&amp;VAR:QUERY=RkZfRUJJVERBX09QRVIoUVRSLDQvMS8yMDEwLDYvMzAvMjAxMCwsLFVTRCk=&amp;WINDOW=FIRST_POPUP&amp;HEIGH","T=450&amp;WIDTH=450&amp;START_MAXIMIZED=FALSE&amp;VAR:CALENDAR=US&amp;VAR:SYMBOL=MDT&amp;VAR:INDEX=0"}</definedName>
    <definedName name="_427__FDSAUDITLINK__" localSheetId="1"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7__FDSAUDITLINK__" hidden="1">{"fdsup://directions/FAT Viewer?action=UPDATE&amp;creator=factset&amp;DYN_ARGS=TRUE&amp;DOC_NAME=FAT:FQL_AUDITING_CLIENT_TEMPLATE.FAT&amp;display_string=Audit&amp;VAR:KEY=PKPYZOHGLS&amp;VAR:QUERY=RkZfRUJJVERBX09QRVIoUVRSLDQvMS8yMDA5LDYvMzAvMjAwOSwsLFVTRCk=&amp;WINDOW=FIRST_POPUP&amp;HEIGH","T=450&amp;WIDTH=450&amp;START_MAXIMIZED=FALSE&amp;VAR:CALENDAR=US&amp;VAR:SYMBOL=MDP&amp;VAR:INDEX=0"}</definedName>
    <definedName name="_428__FDSAUDITLINK__" localSheetId="1"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8__FDSAUDITLINK__" hidden="1">{"fdsup://directions/FAT Viewer?action=UPDATE&amp;creator=factset&amp;DYN_ARGS=TRUE&amp;DOC_NAME=FAT:FQL_AUDITING_CLIENT_TEMPLATE.FAT&amp;display_string=Audit&amp;VAR:KEY=RSBGVIRGLW&amp;VAR:QUERY=RkZfRUJJVERBX09QRVIoUVRSLDQvMS8yMDEwLDYvMzAvMjAxMCwsLFVTRCk=&amp;WINDOW=FIRST_POPUP&amp;HEIGH","T=450&amp;WIDTH=450&amp;START_MAXIMIZED=FALSE&amp;VAR:CALENDAR=US&amp;VAR:SYMBOL=MDP&amp;VAR:INDEX=0"}</definedName>
    <definedName name="_429__FDSAUDITLINK__" localSheetId="1"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29__FDSAUDITLINK__" hidden="1">{"fdsup://directions/FAT Viewer?action=UPDATE&amp;creator=factset&amp;DYN_ARGS=TRUE&amp;DOC_NAME=FAT:FQL_AUDITING_CLIENT_TEMPLATE.FAT&amp;display_string=Audit&amp;VAR:KEY=LCXAZWNAZC&amp;VAR:QUERY=RkZfRUJJVERBX09QRVIoUVRSLDQvMS8yMDA5LDYvMzAvMjAwOSwsLFVTRCk=&amp;WINDOW=FIRST_POPUP&amp;HEIGH","T=450&amp;WIDTH=450&amp;START_MAXIMIZED=FALSE&amp;VAR:CALENDAR=US&amp;VAR:SYMBOL=MCO&amp;VAR:INDEX=0"}</definedName>
    <definedName name="_43__FDSAUDITLINK__" localSheetId="1"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__FDSAUDITLINK__" hidden="1">{"fdsup://directions/FAT Viewer?action=UPDATE&amp;creator=factset&amp;DYN_ARGS=TRUE&amp;DOC_NAME=FAT:FQL_AUDITING_CLIENT_TEMPLATE.FAT&amp;display_string=Audit&amp;VAR:KEY=VCXYZANGDM&amp;VAR:QUERY=RkZfRUJJVERBX09QRVIoUVRSLDQvMS8yMDA5LDYvMzAvMjAwOSwsLFVTRCk=&amp;WINDOW=FIRST_POPUP&amp;HEIGH","T=450&amp;WIDTH=450&amp;START_MAXIMIZED=FALSE&amp;VAR:CALENDAR=US&amp;VAR:SYMBOL=WIN&amp;VAR:INDEX=0"}</definedName>
    <definedName name="_430__FDSAUDITLINK__" localSheetId="1"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0__FDSAUDITLINK__" hidden="1">{"fdsup://directions/FAT Viewer?action=UPDATE&amp;creator=factset&amp;DYN_ARGS=TRUE&amp;DOC_NAME=FAT:FQL_AUDITING_CLIENT_TEMPLATE.FAT&amp;display_string=Audit&amp;VAR:KEY=RODMBCZOXU&amp;VAR:QUERY=RkZfRUJJVERBX09QRVIoUVRSLDQvMS8yMDEwLDYvMzAvMjAxMCwsLFVTRCk=&amp;WINDOW=FIRST_POPUP&amp;HEIGH","T=450&amp;WIDTH=450&amp;START_MAXIMIZED=FALSE&amp;VAR:CALENDAR=US&amp;VAR:SYMBOL=MCO&amp;VAR:INDEX=0"}</definedName>
    <definedName name="_431__FDSAUDITLINK__" localSheetId="1"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1__FDSAUDITLINK__" hidden="1">{"fdsup://directions/FAT Viewer?action=UPDATE&amp;creator=factset&amp;DYN_ARGS=TRUE&amp;DOC_NAME=FAT:FQL_AUDITING_CLIENT_TEMPLATE.FAT&amp;display_string=Audit&amp;VAR:KEY=TQZWDKBQXS&amp;VAR:QUERY=RkZfRUJJVERBX09QRVIoUVRSLDQvMS8yMDA5LDYvMzAvMjAwOSwsLFVTRCk=&amp;WINDOW=FIRST_POPUP&amp;HEIGH","T=450&amp;WIDTH=450&amp;START_MAXIMIZED=FALSE&amp;VAR:CALENDAR=US&amp;VAR:SYMBOL=MCK&amp;VAR:INDEX=0"}</definedName>
    <definedName name="_432__FDSAUDITLINK__" localSheetId="1"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2__FDSAUDITLINK__" hidden="1">{"fdsup://directions/FAT Viewer?action=UPDATE&amp;creator=factset&amp;DYN_ARGS=TRUE&amp;DOC_NAME=FAT:FQL_AUDITING_CLIENT_TEMPLATE.FAT&amp;display_string=Audit&amp;VAR:KEY=ZAJOVMZSDG&amp;VAR:QUERY=RkZfRUJJVERBX09QRVIoUVRSLDQvMS8yMDEwLDYvMzAvMjAxMCwsLFVTRCk=&amp;WINDOW=FIRST_POPUP&amp;HEIGH","T=450&amp;WIDTH=450&amp;START_MAXIMIZED=FALSE&amp;VAR:CALENDAR=US&amp;VAR:SYMBOL=MCK&amp;VAR:INDEX=0"}</definedName>
    <definedName name="_433__FDSAUDITLINK__" localSheetId="1"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3__FDSAUDITLINK__" hidden="1">{"fdsup://directions/FAT Viewer?action=UPDATE&amp;creator=factset&amp;DYN_ARGS=TRUE&amp;DOC_NAME=FAT:FQL_AUDITING_CLIENT_TEMPLATE.FAT&amp;display_string=Audit&amp;VAR:KEY=VSPITCVUJA&amp;VAR:QUERY=RkZfRUJJVERBX09QRVIoUVRSLDQvMS8yMDA5LDYvMzAvMjAwOSwsLFVTRCk=&amp;WINDOW=FIRST_POPUP&amp;HEIGH","T=450&amp;WIDTH=450&amp;START_MAXIMIZED=FALSE&amp;VAR:CALENDAR=US&amp;VAR:SYMBOL=MCHP&amp;VAR:INDEX=0"}</definedName>
    <definedName name="_434__FDSAUDITLINK__" localSheetId="1"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4__FDSAUDITLINK__" hidden="1">{"fdsup://directions/FAT Viewer?action=UPDATE&amp;creator=factset&amp;DYN_ARGS=TRUE&amp;DOC_NAME=FAT:FQL_AUDITING_CLIENT_TEMPLATE.FAT&amp;display_string=Audit&amp;VAR:KEY=VCDUFULCVS&amp;VAR:QUERY=RkZfRUJJVERBX09QRVIoUVRSLDQvMS8yMDEwLDYvMzAvMjAxMCwsLFVTRCk=&amp;WINDOW=FIRST_POPUP&amp;HEIGH","T=450&amp;WIDTH=450&amp;START_MAXIMIZED=FALSE&amp;VAR:CALENDAR=US&amp;VAR:SYMBOL=MCHP&amp;VAR:INDEX=0"}</definedName>
    <definedName name="_435__FDSAUDITLINK__" localSheetId="1"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5__FDSAUDITLINK__" hidden="1">{"fdsup://directions/FAT Viewer?action=UPDATE&amp;creator=factset&amp;DYN_ARGS=TRUE&amp;DOC_NAME=FAT:FQL_AUDITING_CLIENT_TEMPLATE.FAT&amp;display_string=Audit&amp;VAR:KEY=RWJIDSRQDK&amp;VAR:QUERY=RkZfRUJJVERBX09QRVIoUVRSLDQvMS8yMDA5LDYvMzAvMjAwOSwsLFVTRCk=&amp;WINDOW=FIRST_POPUP&amp;HEIGH","T=450&amp;WIDTH=450&amp;START_MAXIMIZED=FALSE&amp;VAR:CALENDAR=US&amp;VAR:SYMBOL=MCD&amp;VAR:INDEX=0"}</definedName>
    <definedName name="_436__FDSAUDITLINK__" localSheetId="1"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6__FDSAUDITLINK__" hidden="1">{"fdsup://directions/FAT Viewer?action=UPDATE&amp;creator=factset&amp;DYN_ARGS=TRUE&amp;DOC_NAME=FAT:FQL_AUDITING_CLIENT_TEMPLATE.FAT&amp;display_string=Audit&amp;VAR:KEY=ZCZEVIZQLU&amp;VAR:QUERY=RkZfRUJJVERBX09QRVIoUVRSLDQvMS8yMDEwLDYvMzAvMjAxMCwsLFVTRCk=&amp;WINDOW=FIRST_POPUP&amp;HEIGH","T=450&amp;WIDTH=450&amp;START_MAXIMIZED=FALSE&amp;VAR:CALENDAR=US&amp;VAR:SYMBOL=MCD&amp;VAR:INDEX=0"}</definedName>
    <definedName name="_437__FDSAUDITLINK__" localSheetId="1"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7__FDSAUDITLINK__" hidden="1">{"fdsup://directions/FAT Viewer?action=UPDATE&amp;creator=factset&amp;DYN_ARGS=TRUE&amp;DOC_NAME=FAT:FQL_AUDITING_CLIENT_TEMPLATE.FAT&amp;display_string=Audit&amp;VAR:KEY=VONYXKJERI&amp;VAR:QUERY=RkZfRUJJVERBX09QRVIoUVRSLDQvMS8yMDA5LDYvMzAvMjAwOSwsLFVTRCk=&amp;WINDOW=FIRST_POPUP&amp;HEIGH","T=450&amp;WIDTH=450&amp;START_MAXIMIZED=FALSE&amp;VAR:CALENDAR=US&amp;VAR:SYMBOL=MAT&amp;VAR:INDEX=0"}</definedName>
    <definedName name="_438__FDSAUDITLINK__" localSheetId="1"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8__FDSAUDITLINK__" hidden="1">{"fdsup://directions/FAT Viewer?action=UPDATE&amp;creator=factset&amp;DYN_ARGS=TRUE&amp;DOC_NAME=FAT:FQL_AUDITING_CLIENT_TEMPLATE.FAT&amp;display_string=Audit&amp;VAR:KEY=VSXIZMROVQ&amp;VAR:QUERY=RkZfRUJJVERBX09QRVIoUVRSLDQvMS8yMDEwLDYvMzAvMjAxMCwsLFVTRCk=&amp;WINDOW=FIRST_POPUP&amp;HEIGH","T=450&amp;WIDTH=450&amp;START_MAXIMIZED=FALSE&amp;VAR:CALENDAR=US&amp;VAR:SYMBOL=MAT&amp;VAR:INDEX=0"}</definedName>
    <definedName name="_439__FDSAUDITLINK__" localSheetId="1"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39__FDSAUDITLINK__" hidden="1">{"fdsup://directions/FAT Viewer?action=UPDATE&amp;creator=factset&amp;DYN_ARGS=TRUE&amp;DOC_NAME=FAT:FQL_AUDITING_CLIENT_TEMPLATE.FAT&amp;display_string=Audit&amp;VAR:KEY=XWXYFKPCBG&amp;VAR:QUERY=RkZfRUJJVERBX09QRVIoUVRSLDQvMS8yMDA5LDYvMzAvMjAwOSwsLFVTRCk=&amp;WINDOW=FIRST_POPUP&amp;HEIGH","T=450&amp;WIDTH=450&amp;START_MAXIMIZED=FALSE&amp;VAR:CALENDAR=US&amp;VAR:SYMBOL=MAS&amp;VAR:INDEX=0"}</definedName>
    <definedName name="_44__FDSAUDITLINK__" localSheetId="1"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__FDSAUDITLINK__" hidden="1">{"fdsup://directions/FAT Viewer?action=UPDATE&amp;creator=factset&amp;DYN_ARGS=TRUE&amp;DOC_NAME=FAT:FQL_AUDITING_CLIENT_TEMPLATE.FAT&amp;display_string=Audit&amp;VAR:KEY=NIVAPCZMDU&amp;VAR:QUERY=RkZfRUJJVERBX09QRVIoUVRSLDQvMS8yMDEwLDYvMzAvMjAxMCwsLFVTRCk=&amp;WINDOW=FIRST_POPUP&amp;HEIGH","T=450&amp;WIDTH=450&amp;START_MAXIMIZED=FALSE&amp;VAR:CALENDAR=US&amp;VAR:SYMBOL=WIN&amp;VAR:INDEX=0"}</definedName>
    <definedName name="_440__FDSAUDITLINK__" localSheetId="1"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0__FDSAUDITLINK__" hidden="1">{"fdsup://directions/FAT Viewer?action=UPDATE&amp;creator=factset&amp;DYN_ARGS=TRUE&amp;DOC_NAME=FAT:FQL_AUDITING_CLIENT_TEMPLATE.FAT&amp;display_string=Audit&amp;VAR:KEY=BORCXKZINE&amp;VAR:QUERY=RkZfRUJJVERBX09QRVIoUVRSLDQvMS8yMDEwLDYvMzAvMjAxMCwsLFVTRCk=&amp;WINDOW=FIRST_POPUP&amp;HEIGH","T=450&amp;WIDTH=450&amp;START_MAXIMIZED=FALSE&amp;VAR:CALENDAR=US&amp;VAR:SYMBOL=MAS&amp;VAR:INDEX=0"}</definedName>
    <definedName name="_441__FDSAUDITLINK__" localSheetId="1"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1__FDSAUDITLINK__" hidden="1">{"fdsup://directions/FAT Viewer?action=UPDATE&amp;creator=factset&amp;DYN_ARGS=TRUE&amp;DOC_NAME=FAT:FQL_AUDITING_CLIENT_TEMPLATE.FAT&amp;display_string=Audit&amp;VAR:KEY=XETCZUHSDQ&amp;VAR:QUERY=RkZfRUJJVERBX09QRVIoUVRSLDQvMS8yMDA5LDYvMzAvMjAwOSwsLFVTRCk=&amp;WINDOW=FIRST_POPUP&amp;HEIGH","T=450&amp;WIDTH=450&amp;START_MAXIMIZED=FALSE&amp;VAR:CALENDAR=US&amp;VAR:SYMBOL=MAR&amp;VAR:INDEX=0"}</definedName>
    <definedName name="_442__FDSAUDITLINK__" localSheetId="1"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2__FDSAUDITLINK__" hidden="1">{"fdsup://directions/FAT Viewer?action=UPDATE&amp;creator=factset&amp;DYN_ARGS=TRUE&amp;DOC_NAME=FAT:FQL_AUDITING_CLIENT_TEMPLATE.FAT&amp;display_string=Audit&amp;VAR:KEY=LYRWJWZSZO&amp;VAR:QUERY=RkZfRUJJVERBX09QRVIoUVRSLDQvMS8yMDEwLDYvMzAvMjAxMCwsLFVTRCk=&amp;WINDOW=FIRST_POPUP&amp;HEIGH","T=450&amp;WIDTH=450&amp;START_MAXIMIZED=FALSE&amp;VAR:CALENDAR=US&amp;VAR:SYMBOL=MAR&amp;VAR:INDEX=0"}</definedName>
    <definedName name="_443__FDSAUDITLINK__" localSheetId="1"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3__FDSAUDITLINK__" hidden="1">{"fdsup://directions/FAT Viewer?action=UPDATE&amp;creator=factset&amp;DYN_ARGS=TRUE&amp;DOC_NAME=FAT:FQL_AUDITING_CLIENT_TEMPLATE.FAT&amp;display_string=Audit&amp;VAR:KEY=PWZQZCXENU&amp;VAR:QUERY=RkZfRUJJVERBX09QRVIoUVRSLDQvMS8yMDA5LDYvMzAvMjAwOSwsLFVTRCk=&amp;WINDOW=FIRST_POPUP&amp;HEIGH","T=450&amp;WIDTH=450&amp;START_MAXIMIZED=FALSE&amp;VAR:CALENDAR=US&amp;VAR:SYMBOL=MA&amp;VAR:INDEX=0"}</definedName>
    <definedName name="_444__FDSAUDITLINK__" localSheetId="1"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4__FDSAUDITLINK__" hidden="1">{"fdsup://directions/FAT Viewer?action=UPDATE&amp;creator=factset&amp;DYN_ARGS=TRUE&amp;DOC_NAME=FAT:FQL_AUDITING_CLIENT_TEMPLATE.FAT&amp;display_string=Audit&amp;VAR:KEY=RQPWNAHSRG&amp;VAR:QUERY=RkZfRUJJVERBX09QRVIoUVRSLDQvMS8yMDEwLDYvMzAvMjAxMCwsLFVTRCk=&amp;WINDOW=FIRST_POPUP&amp;HEIGH","T=450&amp;WIDTH=450&amp;START_MAXIMIZED=FALSE&amp;VAR:CALENDAR=US&amp;VAR:SYMBOL=MA&amp;VAR:INDEX=0"}</definedName>
    <definedName name="_445__FDSAUDITLINK__" localSheetId="1"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5__FDSAUDITLINK__" hidden="1">{"fdsup://directions/FAT Viewer?action=UPDATE&amp;creator=factset&amp;DYN_ARGS=TRUE&amp;DOC_NAME=FAT:FQL_AUDITING_CLIENT_TEMPLATE.FAT&amp;display_string=Audit&amp;VAR:KEY=VKHIDSFCDM&amp;VAR:QUERY=RkZfRUJJVERBX09QRVIoUVRSLDQvMS8yMDA5LDYvMzAvMjAwOSwsLFVTRCk=&amp;WINDOW=FIRST_POPUP&amp;HEIGH","T=450&amp;WIDTH=450&amp;START_MAXIMIZED=FALSE&amp;VAR:CALENDAR=US&amp;VAR:SYMBOL=M&amp;VAR:INDEX=0"}</definedName>
    <definedName name="_446__FDSAUDITLINK__" localSheetId="1"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6__FDSAUDITLINK__" hidden="1">{"fdsup://directions/FAT Viewer?action=UPDATE&amp;creator=factset&amp;DYN_ARGS=TRUE&amp;DOC_NAME=FAT:FQL_AUDITING_CLIENT_TEMPLATE.FAT&amp;display_string=Audit&amp;VAR:KEY=NOPCZALOJI&amp;VAR:QUERY=RkZfRUJJVERBX09QRVIoUVRSLDQvMS8yMDEwLDYvMzAvMjAxMCwsLFVTRCk=&amp;WINDOW=FIRST_POPUP&amp;HEIGH","T=450&amp;WIDTH=450&amp;START_MAXIMIZED=FALSE&amp;VAR:CALENDAR=US&amp;VAR:SYMBOL=M&amp;VAR:INDEX=0"}</definedName>
    <definedName name="_447__FDSAUDITLINK__" localSheetId="1"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7__FDSAUDITLINK__" hidden="1">{"fdsup://directions/FAT Viewer?action=UPDATE&amp;creator=factset&amp;DYN_ARGS=TRUE&amp;DOC_NAME=FAT:FQL_AUDITING_CLIENT_TEMPLATE.FAT&amp;display_string=Audit&amp;VAR:KEY=XAZQDMXENG&amp;VAR:QUERY=RkZfRUJJVERBX09QRVIoUVRSLDQvMS8yMDA5LDYvMzAvMjAwOSwsLFVTRCk=&amp;WINDOW=FIRST_POPUP&amp;HEIGH","T=450&amp;WIDTH=450&amp;START_MAXIMIZED=FALSE&amp;VAR:CALENDAR=US&amp;VAR:SYMBOL=LXK&amp;VAR:INDEX=0"}</definedName>
    <definedName name="_448__FDSAUDITLINK__" localSheetId="1"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8__FDSAUDITLINK__" hidden="1">{"fdsup://directions/FAT Viewer?action=UPDATE&amp;creator=factset&amp;DYN_ARGS=TRUE&amp;DOC_NAME=FAT:FQL_AUDITING_CLIENT_TEMPLATE.FAT&amp;display_string=Audit&amp;VAR:KEY=PKHMFUBWDK&amp;VAR:QUERY=RkZfRUJJVERBX09QRVIoUVRSLDQvMS8yMDEwLDYvMzAvMjAxMCwsLFVTRCk=&amp;WINDOW=FIRST_POPUP&amp;HEIGH","T=450&amp;WIDTH=450&amp;START_MAXIMIZED=FALSE&amp;VAR:CALENDAR=US&amp;VAR:SYMBOL=LXK&amp;VAR:INDEX=0"}</definedName>
    <definedName name="_449__FDSAUDITLINK__" localSheetId="1"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49__FDSAUDITLINK__" hidden="1">{"fdsup://directions/FAT Viewer?action=UPDATE&amp;creator=factset&amp;DYN_ARGS=TRUE&amp;DOC_NAME=FAT:FQL_AUDITING_CLIENT_TEMPLATE.FAT&amp;display_string=Audit&amp;VAR:KEY=JEFIZQPMDE&amp;VAR:QUERY=RkZfRUJJVERBX09QRVIoUVRSLDQvMS8yMDA5LDYvMzAvMjAwOSwsLFVTRCk=&amp;WINDOW=FIRST_POPUP&amp;HEIGH","T=450&amp;WIDTH=450&amp;START_MAXIMIZED=FALSE&amp;VAR:CALENDAR=US&amp;VAR:SYMBOL=LUV&amp;VAR:INDEX=0"}</definedName>
    <definedName name="_45__FDSAUDITLINK__" localSheetId="1"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__FDSAUDITLINK__" hidden="1">{"fdsup://directions/FAT Viewer?action=UPDATE&amp;creator=factset&amp;DYN_ARGS=TRUE&amp;DOC_NAME=FAT:FQL_AUDITING_CLIENT_TEMPLATE.FAT&amp;display_string=Audit&amp;VAR:KEY=FGFWLOHGZQ&amp;VAR:QUERY=RkZfRUJJVERBX09QRVIoUVRSLDQvMS8yMDA5LDYvMzAvMjAwOSwsLFVTRCk=&amp;WINDOW=FIRST_POPUP&amp;HEIGH","T=450&amp;WIDTH=450&amp;START_MAXIMIZED=FALSE&amp;VAR:CALENDAR=US&amp;VAR:SYMBOL=WHR&amp;VAR:INDEX=0"}</definedName>
    <definedName name="_450__FDSAUDITLINK__" localSheetId="1"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0__FDSAUDITLINK__" hidden="1">{"fdsup://directions/FAT Viewer?action=UPDATE&amp;creator=factset&amp;DYN_ARGS=TRUE&amp;DOC_NAME=FAT:FQL_AUDITING_CLIENT_TEMPLATE.FAT&amp;display_string=Audit&amp;VAR:KEY=VGTCDGTSFY&amp;VAR:QUERY=RkZfRUJJVERBX09QRVIoUVRSLDQvMS8yMDEwLDYvMzAvMjAxMCwsLFVTRCk=&amp;WINDOW=FIRST_POPUP&amp;HEIGH","T=450&amp;WIDTH=450&amp;START_MAXIMIZED=FALSE&amp;VAR:CALENDAR=US&amp;VAR:SYMBOL=LUV&amp;VAR:INDEX=0"}</definedName>
    <definedName name="_451__FDSAUDITLINK__" localSheetId="1"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1__FDSAUDITLINK__" hidden="1">{"fdsup://directions/FAT Viewer?action=UPDATE&amp;creator=factset&amp;DYN_ARGS=TRUE&amp;DOC_NAME=FAT:FQL_AUDITING_CLIENT_TEMPLATE.FAT&amp;display_string=Audit&amp;VAR:KEY=RSPQHCJURO&amp;VAR:QUERY=RkZfRUJJVERBX09QRVIoUVRSLDQvMS8yMDA5LDYvMzAvMjAwOSwsLFVTRCk=&amp;WINDOW=FIRST_POPUP&amp;HEIGH","T=450&amp;WIDTH=450&amp;START_MAXIMIZED=FALSE&amp;VAR:CALENDAR=US&amp;VAR:SYMBOL=LUK&amp;VAR:INDEX=0"}</definedName>
    <definedName name="_452__FDSAUDITLINK__" localSheetId="1"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2__FDSAUDITLINK__" hidden="1">{"fdsup://directions/FAT Viewer?action=UPDATE&amp;creator=factset&amp;DYN_ARGS=TRUE&amp;DOC_NAME=FAT:FQL_AUDITING_CLIENT_TEMPLATE.FAT&amp;display_string=Audit&amp;VAR:KEY=VAJWZALQNC&amp;VAR:QUERY=RkZfRUJJVERBX09QRVIoUVRSLDQvMS8yMDEwLDYvMzAvMjAxMCwsLFVTRCk=&amp;WINDOW=FIRST_POPUP&amp;HEIGH","T=450&amp;WIDTH=450&amp;START_MAXIMIZED=FALSE&amp;VAR:CALENDAR=US&amp;VAR:SYMBOL=LUK&amp;VAR:INDEX=0"}</definedName>
    <definedName name="_453__FDSAUDITLINK__" localSheetId="1"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3__FDSAUDITLINK__" hidden="1">{"fdsup://directions/FAT Viewer?action=UPDATE&amp;creator=factset&amp;DYN_ARGS=TRUE&amp;DOC_NAME=FAT:FQL_AUDITING_CLIENT_TEMPLATE.FAT&amp;display_string=Audit&amp;VAR:KEY=ZYPCFUNIRW&amp;VAR:QUERY=RkZfRUJJVERBX09QRVIoUVRSLDQvMS8yMDA5LDYvMzAvMjAwOSwsLFVTRCk=&amp;WINDOW=FIRST_POPUP&amp;HEIGH","T=450&amp;WIDTH=450&amp;START_MAXIMIZED=FALSE&amp;VAR:CALENDAR=US&amp;VAR:SYMBOL=LTD&amp;VAR:INDEX=0"}</definedName>
    <definedName name="_454__FDSAUDITLINK__" localSheetId="1"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4__FDSAUDITLINK__" hidden="1">{"fdsup://directions/FAT Viewer?action=UPDATE&amp;creator=factset&amp;DYN_ARGS=TRUE&amp;DOC_NAME=FAT:FQL_AUDITING_CLIENT_TEMPLATE.FAT&amp;display_string=Audit&amp;VAR:KEY=XQTAZKREBE&amp;VAR:QUERY=RkZfRUJJVERBX09QRVIoUVRSLDQvMS8yMDEwLDYvMzAvMjAxMCwsLFVTRCk=&amp;WINDOW=FIRST_POPUP&amp;HEIGH","T=450&amp;WIDTH=450&amp;START_MAXIMIZED=FALSE&amp;VAR:CALENDAR=US&amp;VAR:SYMBOL=LTD&amp;VAR:INDEX=0"}</definedName>
    <definedName name="_455__FDSAUDITLINK__" localSheetId="1"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5__FDSAUDITLINK__" hidden="1">{"fdsup://directions/FAT Viewer?action=UPDATE&amp;creator=factset&amp;DYN_ARGS=TRUE&amp;DOC_NAME=FAT:FQL_AUDITING_CLIENT_TEMPLATE.FAT&amp;display_string=Audit&amp;VAR:KEY=PIDKFABMJA&amp;VAR:QUERY=RkZfRUJJVERBX09QRVIoUVRSLDQvMS8yMDA5LDYvMzAvMjAwOSwsLFVTRCk=&amp;WINDOW=FIRST_POPUP&amp;HEIGH","T=450&amp;WIDTH=450&amp;START_MAXIMIZED=FALSE&amp;VAR:CALENDAR=US&amp;VAR:SYMBOL=LSI&amp;VAR:INDEX=0"}</definedName>
    <definedName name="_456__FDSAUDITLINK__" localSheetId="1"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6__FDSAUDITLINK__" hidden="1">{"fdsup://directions/FAT Viewer?action=UPDATE&amp;creator=factset&amp;DYN_ARGS=TRUE&amp;DOC_NAME=FAT:FQL_AUDITING_CLIENT_TEMPLATE.FAT&amp;display_string=Audit&amp;VAR:KEY=ZGVOFCVCHE&amp;VAR:QUERY=RkZfRUJJVERBX09QRVIoUVRSLDQvMS8yMDEwLDYvMzAvMjAxMCwsLFVTRCk=&amp;WINDOW=FIRST_POPUP&amp;HEIGH","T=450&amp;WIDTH=450&amp;START_MAXIMIZED=FALSE&amp;VAR:CALENDAR=US&amp;VAR:SYMBOL=LSI&amp;VAR:INDEX=0"}</definedName>
    <definedName name="_457__FDSAUDITLINK__" localSheetId="1"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7__FDSAUDITLINK__" hidden="1">{"fdsup://directions/FAT Viewer?action=UPDATE&amp;creator=factset&amp;DYN_ARGS=TRUE&amp;DOC_NAME=FAT:FQL_AUDITING_CLIENT_TEMPLATE.FAT&amp;display_string=Audit&amp;VAR:KEY=JMXILAFAVQ&amp;VAR:QUERY=RkZfRUJJVERBX09QRVIoUVRSLDQvMS8yMDA5LDYvMzAvMjAwOSwsLFVTRCk=&amp;WINDOW=FIRST_POPUP&amp;HEIGH","T=450&amp;WIDTH=450&amp;START_MAXIMIZED=FALSE&amp;VAR:CALENDAR=US&amp;VAR:SYMBOL=LO&amp;VAR:INDEX=0"}</definedName>
    <definedName name="_458__FDSAUDITLINK__" localSheetId="1"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8__FDSAUDITLINK__" hidden="1">{"fdsup://directions/FAT Viewer?action=UPDATE&amp;creator=factset&amp;DYN_ARGS=TRUE&amp;DOC_NAME=FAT:FQL_AUDITING_CLIENT_TEMPLATE.FAT&amp;display_string=Audit&amp;VAR:KEY=BUNAFWZWXW&amp;VAR:QUERY=RkZfRUJJVERBX09QRVIoUVRSLDQvMS8yMDEwLDYvMzAvMjAxMCwsLFVTRCk=&amp;WINDOW=FIRST_POPUP&amp;HEIGH","T=450&amp;WIDTH=450&amp;START_MAXIMIZED=FALSE&amp;VAR:CALENDAR=US&amp;VAR:SYMBOL=LO&amp;VAR:INDEX=0"}</definedName>
    <definedName name="_459__FDSAUDITLINK__" localSheetId="1"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59__FDSAUDITLINK__" hidden="1">{"fdsup://directions/FAT Viewer?action=UPDATE&amp;creator=factset&amp;DYN_ARGS=TRUE&amp;DOC_NAME=FAT:FQL_AUDITING_CLIENT_TEMPLATE.FAT&amp;display_string=Audit&amp;VAR:KEY=XAZEFENELQ&amp;VAR:QUERY=RkZfRUJJVERBX09QRVIoUVRSLDQvMS8yMDA5LDYvMzAvMjAwOSwsLFVTRCk=&amp;WINDOW=FIRST_POPUP&amp;HEIGH","T=450&amp;WIDTH=450&amp;START_MAXIMIZED=FALSE&amp;VAR:CALENDAR=US&amp;VAR:SYMBOL=LNC&amp;VAR:INDEX=0"}</definedName>
    <definedName name="_46__FDSAUDITLINK__" localSheetId="1"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__FDSAUDITLINK__" hidden="1">{"fdsup://directions/FAT Viewer?action=UPDATE&amp;creator=factset&amp;DYN_ARGS=TRUE&amp;DOC_NAME=FAT:FQL_AUDITING_CLIENT_TEMPLATE.FAT&amp;display_string=Audit&amp;VAR:KEY=TCNUZWVGNW&amp;VAR:QUERY=RkZfRUJJVERBX09QRVIoUVRSLDQvMS8yMDEwLDYvMzAvMjAxMCwsLFVTRCk=&amp;WINDOW=FIRST_POPUP&amp;HEIGH","T=450&amp;WIDTH=450&amp;START_MAXIMIZED=FALSE&amp;VAR:CALENDAR=US&amp;VAR:SYMBOL=WHR&amp;VAR:INDEX=0"}</definedName>
    <definedName name="_460__FDSAUDITLINK__" localSheetId="1"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0__FDSAUDITLINK__" hidden="1">{"fdsup://directions/FAT Viewer?action=UPDATE&amp;creator=factset&amp;DYN_ARGS=TRUE&amp;DOC_NAME=FAT:FQL_AUDITING_CLIENT_TEMPLATE.FAT&amp;display_string=Audit&amp;VAR:KEY=FSPEVMJIFU&amp;VAR:QUERY=RkZfRUJJVERBX09QRVIoUVRSLDQvMS8yMDEwLDYvMzAvMjAxMCwsLFVTRCk=&amp;WINDOW=FIRST_POPUP&amp;HEIGH","T=450&amp;WIDTH=450&amp;START_MAXIMIZED=FALSE&amp;VAR:CALENDAR=US&amp;VAR:SYMBOL=LNC&amp;VAR:INDEX=0"}</definedName>
    <definedName name="_461__FDSAUDITLINK__" localSheetId="1"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1__FDSAUDITLINK__" hidden="1">{"fdsup://directions/FAT Viewer?action=UPDATE&amp;creator=factset&amp;DYN_ARGS=TRUE&amp;DOC_NAME=FAT:FQL_AUDITING_CLIENT_TEMPLATE.FAT&amp;display_string=Audit&amp;VAR:KEY=ZWNEJALIDK&amp;VAR:QUERY=RkZfRUJJVERBX09QRVIoUVRSLDQvMS8yMDA5LDYvMzAvMjAwOSwsLFVTRCk=&amp;WINDOW=FIRST_POPUP&amp;HEIGH","T=450&amp;WIDTH=450&amp;START_MAXIMIZED=FALSE&amp;VAR:CALENDAR=US&amp;VAR:SYMBOL=LMT&amp;VAR:INDEX=0"}</definedName>
    <definedName name="_462__FDSAUDITLINK__" localSheetId="1"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2__FDSAUDITLINK__" hidden="1">{"fdsup://directions/FAT Viewer?action=UPDATE&amp;creator=factset&amp;DYN_ARGS=TRUE&amp;DOC_NAME=FAT:FQL_AUDITING_CLIENT_TEMPLATE.FAT&amp;display_string=Audit&amp;VAR:KEY=FMNAXOTOJG&amp;VAR:QUERY=RkZfRUJJVERBX09QRVIoUVRSLDQvMS8yMDEwLDYvMzAvMjAxMCwsLFVTRCk=&amp;WINDOW=FIRST_POPUP&amp;HEIGH","T=450&amp;WIDTH=450&amp;START_MAXIMIZED=FALSE&amp;VAR:CALENDAR=US&amp;VAR:SYMBOL=LMT&amp;VAR:INDEX=0"}</definedName>
    <definedName name="_463__FDSAUDITLINK__" localSheetId="1"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3__FDSAUDITLINK__" hidden="1">{"fdsup://directions/FAT Viewer?action=UPDATE&amp;creator=factset&amp;DYN_ARGS=TRUE&amp;DOC_NAME=FAT:FQL_AUDITING_CLIENT_TEMPLATE.FAT&amp;display_string=Audit&amp;VAR:KEY=PUTYJODKVC&amp;VAR:QUERY=RkZfRUJJVERBX09QRVIoUVRSLDQvMS8yMDA5LDYvMzAvMjAwOSwsLFVTRCk=&amp;WINDOW=FIRST_POPUP&amp;HEIGH","T=450&amp;WIDTH=450&amp;START_MAXIMIZED=FALSE&amp;VAR:CALENDAR=US&amp;VAR:SYMBOL=LM&amp;VAR:INDEX=0"}</definedName>
    <definedName name="_464__FDSAUDITLINK__" localSheetId="1"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4__FDSAUDITLINK__" hidden="1">{"fdsup://directions/FAT Viewer?action=UPDATE&amp;creator=factset&amp;DYN_ARGS=TRUE&amp;DOC_NAME=FAT:FQL_AUDITING_CLIENT_TEMPLATE.FAT&amp;display_string=Audit&amp;VAR:KEY=JGZQVGXIHA&amp;VAR:QUERY=RkZfRUJJVERBX09QRVIoUVRSLDQvMS8yMDEwLDYvMzAvMjAxMCwsLFVTRCk=&amp;WINDOW=FIRST_POPUP&amp;HEIGH","T=450&amp;WIDTH=450&amp;START_MAXIMIZED=FALSE&amp;VAR:CALENDAR=US&amp;VAR:SYMBOL=LM&amp;VAR:INDEX=0"}</definedName>
    <definedName name="_465__FDSAUDITLINK__" localSheetId="1"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5__FDSAUDITLINK__" hidden="1">{"fdsup://directions/FAT Viewer?action=UPDATE&amp;creator=factset&amp;DYN_ARGS=TRUE&amp;DOC_NAME=FAT:FQL_AUDITING_CLIENT_TEMPLATE.FAT&amp;display_string=Audit&amp;VAR:KEY=NUJMLIPIXC&amp;VAR:QUERY=RkZfRUJJVERBX09QRVIoUVRSLDQvMS8yMDA5LDYvMzAvMjAwOSwsLFVTRCk=&amp;WINDOW=FIRST_POPUP&amp;HEIGH","T=450&amp;WIDTH=450&amp;START_MAXIMIZED=FALSE&amp;VAR:CALENDAR=US&amp;VAR:SYMBOL=LLY&amp;VAR:INDEX=0"}</definedName>
    <definedName name="_466__FDSAUDITLINK__" localSheetId="1"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6__FDSAUDITLINK__" hidden="1">{"fdsup://directions/FAT Viewer?action=UPDATE&amp;creator=factset&amp;DYN_ARGS=TRUE&amp;DOC_NAME=FAT:FQL_AUDITING_CLIENT_TEMPLATE.FAT&amp;display_string=Audit&amp;VAR:KEY=JEFOPAHIRO&amp;VAR:QUERY=RkZfRUJJVERBX09QRVIoUVRSLDQvMS8yMDEwLDYvMzAvMjAxMCwsLFVTRCk=&amp;WINDOW=FIRST_POPUP&amp;HEIGH","T=450&amp;WIDTH=450&amp;START_MAXIMIZED=FALSE&amp;VAR:CALENDAR=US&amp;VAR:SYMBOL=LLY&amp;VAR:INDEX=0"}</definedName>
    <definedName name="_467__FDSAUDITLINK__" localSheetId="1"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7__FDSAUDITLINK__" hidden="1">{"fdsup://directions/FAT Viewer?action=UPDATE&amp;creator=factset&amp;DYN_ARGS=TRUE&amp;DOC_NAME=FAT:FQL_AUDITING_CLIENT_TEMPLATE.FAT&amp;display_string=Audit&amp;VAR:KEY=LCHQNALEHI&amp;VAR:QUERY=RkZfRUJJVERBX09QRVIoUVRSLDQvMS8yMDA5LDYvMzAvMjAwOSwsLFVTRCk=&amp;WINDOW=FIRST_POPUP&amp;HEIGH","T=450&amp;WIDTH=450&amp;START_MAXIMIZED=FALSE&amp;VAR:CALENDAR=US&amp;VAR:SYMBOL=LLTC&amp;VAR:INDEX=0"}</definedName>
    <definedName name="_468__FDSAUDITLINK__" localSheetId="1"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8__FDSAUDITLINK__" hidden="1">{"fdsup://directions/FAT Viewer?action=UPDATE&amp;creator=factset&amp;DYN_ARGS=TRUE&amp;DOC_NAME=FAT:FQL_AUDITING_CLIENT_TEMPLATE.FAT&amp;display_string=Audit&amp;VAR:KEY=REXQTMXIPI&amp;VAR:QUERY=RkZfRUJJVERBX09QRVIoUVRSLDQvMS8yMDEwLDYvMzAvMjAxMCwsLFVTRCk=&amp;WINDOW=FIRST_POPUP&amp;HEIGH","T=450&amp;WIDTH=450&amp;START_MAXIMIZED=FALSE&amp;VAR:CALENDAR=US&amp;VAR:SYMBOL=LLTC&amp;VAR:INDEX=0"}</definedName>
    <definedName name="_469__FDSAUDITLINK__" localSheetId="1"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69__FDSAUDITLINK__" hidden="1">{"fdsup://directions/FAT Viewer?action=UPDATE&amp;creator=factset&amp;DYN_ARGS=TRUE&amp;DOC_NAME=FAT:FQL_AUDITING_CLIENT_TEMPLATE.FAT&amp;display_string=Audit&amp;VAR:KEY=XWZGHGHKBU&amp;VAR:QUERY=RkZfRUJJVERBX09QRVIoUVRSLDQvMS8yMDA5LDYvMzAvMjAwOSwsLFVTRCk=&amp;WINDOW=FIRST_POPUP&amp;HEIGH","T=450&amp;WIDTH=450&amp;START_MAXIMIZED=FALSE&amp;VAR:CALENDAR=US&amp;VAR:SYMBOL=LLL&amp;VAR:INDEX=0"}</definedName>
    <definedName name="_47__FDSAUDITLINK__" localSheetId="1"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__FDSAUDITLINK__" hidden="1">{"fdsup://directions/FAT Viewer?action=UPDATE&amp;creator=factset&amp;DYN_ARGS=TRUE&amp;DOC_NAME=FAT:FQL_AUDITING_CLIENT_TEMPLATE.FAT&amp;display_string=Audit&amp;VAR:KEY=ZCNQNYFONA&amp;VAR:QUERY=RkZfRUJJVERBX09QRVIoUVRSLDQvMS8yMDA5LDYvMzAvMjAwOSwsLFVTRCk=&amp;WINDOW=FIRST_POPUP&amp;HEIGH","T=450&amp;WIDTH=450&amp;START_MAXIMIZED=FALSE&amp;VAR:CALENDAR=US&amp;VAR:SYMBOL=WFR&amp;VAR:INDEX=0"}</definedName>
    <definedName name="_470__FDSAUDITLINK__" localSheetId="1"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0__FDSAUDITLINK__" hidden="1">{"fdsup://directions/FAT Viewer?action=UPDATE&amp;creator=factset&amp;DYN_ARGS=TRUE&amp;DOC_NAME=FAT:FQL_AUDITING_CLIENT_TEMPLATE.FAT&amp;display_string=Audit&amp;VAR:KEY=XCDIDGFOJY&amp;VAR:QUERY=RkZfRUJJVERBX09QRVIoUVRSLDQvMS8yMDEwLDYvMzAvMjAxMCwsLFVTRCk=&amp;WINDOW=FIRST_POPUP&amp;HEIGH","T=450&amp;WIDTH=450&amp;START_MAXIMIZED=FALSE&amp;VAR:CALENDAR=US&amp;VAR:SYMBOL=LLL&amp;VAR:INDEX=0"}</definedName>
    <definedName name="_471__FDSAUDITLINK__" localSheetId="1"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1__FDSAUDITLINK__" hidden="1">{"fdsup://directions/FAT Viewer?action=UPDATE&amp;creator=factset&amp;DYN_ARGS=TRUE&amp;DOC_NAME=FAT:FQL_AUDITING_CLIENT_TEMPLATE.FAT&amp;display_string=Audit&amp;VAR:KEY=PCZALGPETY&amp;VAR:QUERY=RkZfRUJJVERBX09QRVIoUVRSLDQvMS8yMDA5LDYvMzAvMjAwOSwsLFVTRCk=&amp;WINDOW=FIRST_POPUP&amp;HEIGH","T=450&amp;WIDTH=450&amp;START_MAXIMIZED=FALSE&amp;VAR:CALENDAR=US&amp;VAR:SYMBOL=LIFE&amp;VAR:INDEX=0"}</definedName>
    <definedName name="_472__FDSAUDITLINK__" localSheetId="1"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2__FDSAUDITLINK__" hidden="1">{"fdsup://directions/FAT Viewer?action=UPDATE&amp;creator=factset&amp;DYN_ARGS=TRUE&amp;DOC_NAME=FAT:FQL_AUDITING_CLIENT_TEMPLATE.FAT&amp;display_string=Audit&amp;VAR:KEY=BAREDAZEFI&amp;VAR:QUERY=RkZfRUJJVERBX09QRVIoUVRSLDQvMS8yMDEwLDYvMzAvMjAxMCwsLFVTRCk=&amp;WINDOW=FIRST_POPUP&amp;HEIGH","T=450&amp;WIDTH=450&amp;START_MAXIMIZED=FALSE&amp;VAR:CALENDAR=US&amp;VAR:SYMBOL=LIFE&amp;VAR:INDEX=0"}</definedName>
    <definedName name="_473__FDSAUDITLINK__" localSheetId="1"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3__FDSAUDITLINK__" hidden="1">{"fdsup://directions/FAT Viewer?action=UPDATE&amp;creator=factset&amp;DYN_ARGS=TRUE&amp;DOC_NAME=FAT:FQL_AUDITING_CLIENT_TEMPLATE.FAT&amp;display_string=Audit&amp;VAR:KEY=TSTYLOZORY&amp;VAR:QUERY=RkZfRUJJVERBX09QRVIoUVRSLDQvMS8yMDA5LDYvMzAvMjAwOSwsLFVTRCk=&amp;WINDOW=FIRST_POPUP&amp;HEIGH","T=450&amp;WIDTH=450&amp;START_MAXIMIZED=FALSE&amp;VAR:CALENDAR=US&amp;VAR:SYMBOL=LH&amp;VAR:INDEX=0"}</definedName>
    <definedName name="_474__FDSAUDITLINK__" localSheetId="1"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4__FDSAUDITLINK__" hidden="1">{"fdsup://directions/FAT Viewer?action=UPDATE&amp;creator=factset&amp;DYN_ARGS=TRUE&amp;DOC_NAME=FAT:FQL_AUDITING_CLIENT_TEMPLATE.FAT&amp;display_string=Audit&amp;VAR:KEY=BABABSVAVY&amp;VAR:QUERY=RkZfRUJJVERBX09QRVIoUVRSLDQvMS8yMDEwLDYvMzAvMjAxMCwsLFVTRCk=&amp;WINDOW=FIRST_POPUP&amp;HEIGH","T=450&amp;WIDTH=450&amp;START_MAXIMIZED=FALSE&amp;VAR:CALENDAR=US&amp;VAR:SYMBOL=LH&amp;VAR:INDEX=0"}</definedName>
    <definedName name="_475__FDSAUDITLINK__" localSheetId="1"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5__FDSAUDITLINK__" hidden="1">{"fdsup://directions/FAT Viewer?action=UPDATE&amp;creator=factset&amp;DYN_ARGS=TRUE&amp;DOC_NAME=FAT:FQL_AUDITING_CLIENT_TEMPLATE.FAT&amp;display_string=Audit&amp;VAR:KEY=BELSVYZIXA&amp;VAR:QUERY=RkZfRUJJVERBX09QRVIoUVRSLDQvMS8yMDA5LDYvMzAvMjAwOSwsLFVTRCk=&amp;WINDOW=FIRST_POPUP&amp;HEIGH","T=450&amp;WIDTH=450&amp;START_MAXIMIZED=FALSE&amp;VAR:CALENDAR=US&amp;VAR:SYMBOL=LEN&amp;VAR:INDEX=0"}</definedName>
    <definedName name="_476__FDSAUDITLINK__" localSheetId="1"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6__FDSAUDITLINK__" hidden="1">{"fdsup://directions/FAT Viewer?action=UPDATE&amp;creator=factset&amp;DYN_ARGS=TRUE&amp;DOC_NAME=FAT:FQL_AUDITING_CLIENT_TEMPLATE.FAT&amp;display_string=Audit&amp;VAR:KEY=NOHAVGBMZA&amp;VAR:QUERY=RkZfRUJJVERBX09QRVIoUVRSLDQvMS8yMDEwLDYvMzAvMjAxMCwsLFVTRCk=&amp;WINDOW=FIRST_POPUP&amp;HEIGH","T=450&amp;WIDTH=450&amp;START_MAXIMIZED=FALSE&amp;VAR:CALENDAR=US&amp;VAR:SYMBOL=LEN&amp;VAR:INDEX=0"}</definedName>
    <definedName name="_477__FDSAUDITLINK__" localSheetId="1"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7__FDSAUDITLINK__" hidden="1">{"fdsup://directions/FAT Viewer?action=UPDATE&amp;creator=factset&amp;DYN_ARGS=TRUE&amp;DOC_NAME=FAT:FQL_AUDITING_CLIENT_TEMPLATE.FAT&amp;display_string=Audit&amp;VAR:KEY=XSDAFQVEVW&amp;VAR:QUERY=RkZfRUJJVERBX09QRVIoUVRSLDQvMS8yMDA5LDYvMzAvMjAwOSwsLFVTRCk=&amp;WINDOW=FIRST_POPUP&amp;HEIGH","T=450&amp;WIDTH=450&amp;START_MAXIMIZED=FALSE&amp;VAR:CALENDAR=US&amp;VAR:SYMBOL=LEG&amp;VAR:INDEX=0"}</definedName>
    <definedName name="_478__FDSAUDITLINK__" localSheetId="1"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8__FDSAUDITLINK__" hidden="1">{"fdsup://directions/FAT Viewer?action=UPDATE&amp;creator=factset&amp;DYN_ARGS=TRUE&amp;DOC_NAME=FAT:FQL_AUDITING_CLIENT_TEMPLATE.FAT&amp;display_string=Audit&amp;VAR:KEY=DOTQFEZAFC&amp;VAR:QUERY=RkZfRUJJVERBX09QRVIoUVRSLDQvMS8yMDEwLDYvMzAvMjAxMCwsLFVTRCk=&amp;WINDOW=FIRST_POPUP&amp;HEIGH","T=450&amp;WIDTH=450&amp;START_MAXIMIZED=FALSE&amp;VAR:CALENDAR=US&amp;VAR:SYMBOL=LEG&amp;VAR:INDEX=0"}</definedName>
    <definedName name="_479__FDSAUDITLINK__" localSheetId="1"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79__FDSAUDITLINK__" hidden="1">{"fdsup://directions/FAT Viewer?action=UPDATE&amp;creator=factset&amp;DYN_ARGS=TRUE&amp;DOC_NAME=FAT:FQL_AUDITING_CLIENT_TEMPLATE.FAT&amp;display_string=Audit&amp;VAR:KEY=HEXULUPUXG&amp;VAR:QUERY=RkZfRUJJVERBX09QRVIoUVRSLDQvMS8yMDA5LDYvMzAvMjAwOSwsLFVTRCk=&amp;WINDOW=FIRST_POPUP&amp;HEIGH","T=450&amp;WIDTH=450&amp;START_MAXIMIZED=FALSE&amp;VAR:CALENDAR=US&amp;VAR:SYMBOL=L&amp;VAR:INDEX=0"}</definedName>
    <definedName name="_48__FDSAUDITLINK__" localSheetId="1"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__FDSAUDITLINK__" hidden="1">{"fdsup://directions/FAT Viewer?action=UPDATE&amp;creator=factset&amp;DYN_ARGS=TRUE&amp;DOC_NAME=FAT:FQL_AUDITING_CLIENT_TEMPLATE.FAT&amp;display_string=Audit&amp;VAR:KEY=TOHCPYDMNG&amp;VAR:QUERY=RkZfRUJJVERBX09QRVIoUVRSLDQvMS8yMDEwLDYvMzAvMjAxMCwsLFVTRCk=&amp;WINDOW=FIRST_POPUP&amp;HEIGH","T=450&amp;WIDTH=450&amp;START_MAXIMIZED=FALSE&amp;VAR:CALENDAR=US&amp;VAR:SYMBOL=WFR&amp;VAR:INDEX=0"}</definedName>
    <definedName name="_480__FDSAUDITLINK__" localSheetId="1"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0__FDSAUDITLINK__" hidden="1">{"fdsup://directions/FAT Viewer?action=UPDATE&amp;creator=factset&amp;DYN_ARGS=TRUE&amp;DOC_NAME=FAT:FQL_AUDITING_CLIENT_TEMPLATE.FAT&amp;display_string=Audit&amp;VAR:KEY=PCXWLYJOXC&amp;VAR:QUERY=RkZfRUJJVERBX09QRVIoUVRSLDQvMS8yMDEwLDYvMzAvMjAxMCwsLFVTRCk=&amp;WINDOW=FIRST_POPUP&amp;HEIGH","T=450&amp;WIDTH=450&amp;START_MAXIMIZED=FALSE&amp;VAR:CALENDAR=US&amp;VAR:SYMBOL=L&amp;VAR:INDEX=0"}</definedName>
    <definedName name="_481__FDSAUDITLINK__" localSheetId="1"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1__FDSAUDITLINK__" hidden="1">{"fdsup://directions/FAT Viewer?action=UPDATE&amp;creator=factset&amp;DYN_ARGS=TRUE&amp;DOC_NAME=FAT:FQL_AUDITING_CLIENT_TEMPLATE.FAT&amp;display_string=Audit&amp;VAR:KEY=ZUPUFWPULW&amp;VAR:QUERY=RkZfRUJJVERBX09QRVIoUVRSLDQvMS8yMDA5LDYvMzAvMjAwOSwsLFVTRCk=&amp;WINDOW=FIRST_POPUP&amp;HEIGH","T=450&amp;WIDTH=450&amp;START_MAXIMIZED=FALSE&amp;VAR:CALENDAR=US&amp;VAR:SYMBOL=KSS&amp;VAR:INDEX=0"}</definedName>
    <definedName name="_482__FDSAUDITLINK__" localSheetId="1"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2__FDSAUDITLINK__" hidden="1">{"fdsup://directions/FAT Viewer?action=UPDATE&amp;creator=factset&amp;DYN_ARGS=TRUE&amp;DOC_NAME=FAT:FQL_AUDITING_CLIENT_TEMPLATE.FAT&amp;display_string=Audit&amp;VAR:KEY=PKJWJWVYXU&amp;VAR:QUERY=RkZfRUJJVERBX09QRVIoUVRSLDQvMS8yMDEwLDYvMzAvMjAxMCwsLFVTRCk=&amp;WINDOW=FIRST_POPUP&amp;HEIGH","T=450&amp;WIDTH=450&amp;START_MAXIMIZED=FALSE&amp;VAR:CALENDAR=US&amp;VAR:SYMBOL=KSS&amp;VAR:INDEX=0"}</definedName>
    <definedName name="_483__FDSAUDITLINK__" localSheetId="1"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3__FDSAUDITLINK__" hidden="1">{"fdsup://directions/FAT Viewer?action=UPDATE&amp;creator=factset&amp;DYN_ARGS=TRUE&amp;DOC_NAME=FAT:FQL_AUDITING_CLIENT_TEMPLATE.FAT&amp;display_string=Audit&amp;VAR:KEY=FONKTUVGZW&amp;VAR:QUERY=RkZfRUJJVERBX09QRVIoUVRSLDQvMS8yMDA5LDYvMzAvMjAwOSwsLFVTRCk=&amp;WINDOW=FIRST_POPUP&amp;HEIGH","T=450&amp;WIDTH=450&amp;START_MAXIMIZED=FALSE&amp;VAR:CALENDAR=US&amp;VAR:SYMBOL=KR&amp;VAR:INDEX=0"}</definedName>
    <definedName name="_484__FDSAUDITLINK__" localSheetId="1"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4__FDSAUDITLINK__" hidden="1">{"fdsup://directions/FAT Viewer?action=UPDATE&amp;creator=factset&amp;DYN_ARGS=TRUE&amp;DOC_NAME=FAT:FQL_AUDITING_CLIENT_TEMPLATE.FAT&amp;display_string=Audit&amp;VAR:KEY=POFODWVIFG&amp;VAR:QUERY=RkZfRUJJVERBX09QRVIoUVRSLDQvMS8yMDEwLDYvMzAvMjAxMCwsLFVTRCk=&amp;WINDOW=FIRST_POPUP&amp;HEIGH","T=450&amp;WIDTH=450&amp;START_MAXIMIZED=FALSE&amp;VAR:CALENDAR=US&amp;VAR:SYMBOL=KR&amp;VAR:INDEX=0"}</definedName>
    <definedName name="_485__FDSAUDITLINK__" localSheetId="1"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5__FDSAUDITLINK__" hidden="1">{"fdsup://directions/FAT Viewer?action=UPDATE&amp;creator=factset&amp;DYN_ARGS=TRUE&amp;DOC_NAME=FAT:FQL_AUDITING_CLIENT_TEMPLATE.FAT&amp;display_string=Audit&amp;VAR:KEY=FIBGZOPCHU&amp;VAR:QUERY=RkZfRUJJVERBX09QRVIoUVRSLDQvMS8yMDA5LDYvMzAvMjAwOSwsLFVTRCk=&amp;WINDOW=FIRST_POPUP&amp;HEIGH","T=450&amp;WIDTH=450&amp;START_MAXIMIZED=FALSE&amp;VAR:CALENDAR=US&amp;VAR:SYMBOL=KO&amp;VAR:INDEX=0"}</definedName>
    <definedName name="_486__FDSAUDITLINK__" localSheetId="1"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6__FDSAUDITLINK__" hidden="1">{"fdsup://directions/FAT Viewer?action=UPDATE&amp;creator=factset&amp;DYN_ARGS=TRUE&amp;DOC_NAME=FAT:FQL_AUDITING_CLIENT_TEMPLATE.FAT&amp;display_string=Audit&amp;VAR:KEY=JULSDOTKBU&amp;VAR:QUERY=RkZfRUJJVERBX09QRVIoUVRSLDQvMS8yMDEwLDYvMzAvMjAxMCwsLFVTRCk=&amp;WINDOW=FIRST_POPUP&amp;HEIGH","T=450&amp;WIDTH=450&amp;START_MAXIMIZED=FALSE&amp;VAR:CALENDAR=US&amp;VAR:SYMBOL=KO&amp;VAR:INDEX=0"}</definedName>
    <definedName name="_487__FDSAUDITLINK__" localSheetId="1"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7__FDSAUDITLINK__" hidden="1">{"fdsup://directions/FAT Viewer?action=UPDATE&amp;creator=factset&amp;DYN_ARGS=TRUE&amp;DOC_NAME=FAT:FQL_AUDITING_CLIENT_TEMPLATE.FAT&amp;display_string=Audit&amp;VAR:KEY=LMBABUVERQ&amp;VAR:QUERY=RkZfRUJJVERBX09QRVIoUVRSLDQvMS8yMDA5LDYvMzAvMjAwOSwsLFVTRCk=&amp;WINDOW=FIRST_POPUP&amp;HEIGH","T=450&amp;WIDTH=450&amp;START_MAXIMIZED=FALSE&amp;VAR:CALENDAR=US&amp;VAR:SYMBOL=KMX&amp;VAR:INDEX=0"}</definedName>
    <definedName name="_488__FDSAUDITLINK__" localSheetId="1"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8__FDSAUDITLINK__" hidden="1">{"fdsup://directions/FAT Viewer?action=UPDATE&amp;creator=factset&amp;DYN_ARGS=TRUE&amp;DOC_NAME=FAT:FQL_AUDITING_CLIENT_TEMPLATE.FAT&amp;display_string=Audit&amp;VAR:KEY=ZAVQRGHMJK&amp;VAR:QUERY=RkZfRUJJVERBX09QRVIoUVRSLDQvMS8yMDEwLDYvMzAvMjAxMCwsLFVTRCk=&amp;WINDOW=FIRST_POPUP&amp;HEIGH","T=450&amp;WIDTH=450&amp;START_MAXIMIZED=FALSE&amp;VAR:CALENDAR=US&amp;VAR:SYMBOL=KMX&amp;VAR:INDEX=0"}</definedName>
    <definedName name="_489__FDSAUDITLINK__" localSheetId="1"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89__FDSAUDITLINK__" hidden="1">{"fdsup://directions/FAT Viewer?action=UPDATE&amp;creator=factset&amp;DYN_ARGS=TRUE&amp;DOC_NAME=FAT:FQL_AUDITING_CLIENT_TEMPLATE.FAT&amp;display_string=Audit&amp;VAR:KEY=LWLCHMXOFI&amp;VAR:QUERY=RkZfRUJJVERBX09QRVIoUVRSLDQvMS8yMDA5LDYvMzAvMjAwOSwsLFVTRCk=&amp;WINDOW=FIRST_POPUP&amp;HEIGH","T=450&amp;WIDTH=450&amp;START_MAXIMIZED=FALSE&amp;VAR:CALENDAR=US&amp;VAR:SYMBOL=KMB&amp;VAR:INDEX=0"}</definedName>
    <definedName name="_49__FDSAUDITLINK__" localSheetId="1"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__FDSAUDITLINK__" hidden="1">{"fdsup://directions/FAT Viewer?action=UPDATE&amp;creator=factset&amp;DYN_ARGS=TRUE&amp;DOC_NAME=FAT:FQL_AUDITING_CLIENT_TEMPLATE.FAT&amp;display_string=Audit&amp;VAR:KEY=NOLKBKHYNA&amp;VAR:QUERY=RkZfRUJJVERBX09QRVIoUVRSLDQvMS8yMDA5LDYvMzAvMjAwOSwsLFVTRCk=&amp;WINDOW=FIRST_POPUP&amp;HEIGH","T=450&amp;WIDTH=450&amp;START_MAXIMIZED=FALSE&amp;VAR:CALENDAR=US&amp;VAR:SYMBOL=WFMI&amp;VAR:INDEX=0"}</definedName>
    <definedName name="_490__FDSAUDITLINK__" localSheetId="1"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0__FDSAUDITLINK__" hidden="1">{"fdsup://directions/FAT Viewer?action=UPDATE&amp;creator=factset&amp;DYN_ARGS=TRUE&amp;DOC_NAME=FAT:FQL_AUDITING_CLIENT_TEMPLATE.FAT&amp;display_string=Audit&amp;VAR:KEY=NURSBYNCPI&amp;VAR:QUERY=RkZfRUJJVERBX09QRVIoUVRSLDQvMS8yMDEwLDYvMzAvMjAxMCwsLFVTRCk=&amp;WINDOW=FIRST_POPUP&amp;HEIGH","T=450&amp;WIDTH=450&amp;START_MAXIMIZED=FALSE&amp;VAR:CALENDAR=US&amp;VAR:SYMBOL=KMB&amp;VAR:INDEX=0"}</definedName>
    <definedName name="_491__FDSAUDITLINK__" localSheetId="1"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1__FDSAUDITLINK__" hidden="1">{"fdsup://directions/FAT Viewer?action=UPDATE&amp;creator=factset&amp;DYN_ARGS=TRUE&amp;DOC_NAME=FAT:FQL_AUDITING_CLIENT_TEMPLATE.FAT&amp;display_string=Audit&amp;VAR:KEY=VSJOHSTEZO&amp;VAR:QUERY=RkZfRUJJVERBX09QRVIoUVRSLDQvMS8yMDA5LDYvMzAvMjAwOSwsLFVTRCk=&amp;WINDOW=FIRST_POPUP&amp;HEIGH","T=450&amp;WIDTH=450&amp;START_MAXIMIZED=FALSE&amp;VAR:CALENDAR=US&amp;VAR:SYMBOL=KLAC&amp;VAR:INDEX=0"}</definedName>
    <definedName name="_492__FDSAUDITLINK__" localSheetId="1"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2__FDSAUDITLINK__" hidden="1">{"fdsup://directions/FAT Viewer?action=UPDATE&amp;creator=factset&amp;DYN_ARGS=TRUE&amp;DOC_NAME=FAT:FQL_AUDITING_CLIENT_TEMPLATE.FAT&amp;display_string=Audit&amp;VAR:KEY=NUXWFWBCPE&amp;VAR:QUERY=RkZfRUJJVERBX09QRVIoUVRSLDQvMS8yMDEwLDYvMzAvMjAxMCwsLFVTRCk=&amp;WINDOW=FIRST_POPUP&amp;HEIGH","T=450&amp;WIDTH=450&amp;START_MAXIMIZED=FALSE&amp;VAR:CALENDAR=US&amp;VAR:SYMBOL=KLAC&amp;VAR:INDEX=0"}</definedName>
    <definedName name="_493__FDSAUDITLINK__" localSheetId="1"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3__FDSAUDITLINK__" hidden="1">{"fdsup://directions/FAT Viewer?action=UPDATE&amp;creator=factset&amp;DYN_ARGS=TRUE&amp;DOC_NAME=FAT:FQL_AUDITING_CLIENT_TEMPLATE.FAT&amp;display_string=Audit&amp;VAR:KEY=NKPMNIDEPM&amp;VAR:QUERY=RkZfRUJJVERBX09QRVIoUVRSLDQvMS8yMDA5LDYvMzAvMjAwOSwsLFVTRCk=&amp;WINDOW=FIRST_POPUP&amp;HEIGH","T=450&amp;WIDTH=450&amp;START_MAXIMIZED=FALSE&amp;VAR:CALENDAR=US&amp;VAR:SYMBOL=KIM&amp;VAR:INDEX=0"}</definedName>
    <definedName name="_494__FDSAUDITLINK__" localSheetId="1"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4__FDSAUDITLINK__" hidden="1">{"fdsup://directions/FAT Viewer?action=UPDATE&amp;creator=factset&amp;DYN_ARGS=TRUE&amp;DOC_NAME=FAT:FQL_AUDITING_CLIENT_TEMPLATE.FAT&amp;display_string=Audit&amp;VAR:KEY=FUROVKHORI&amp;VAR:QUERY=RkZfRUJJVERBX09QRVIoUVRSLDQvMS8yMDEwLDYvMzAvMjAxMCwsLFVTRCk=&amp;WINDOW=FIRST_POPUP&amp;HEIGH","T=450&amp;WIDTH=450&amp;START_MAXIMIZED=FALSE&amp;VAR:CALENDAR=US&amp;VAR:SYMBOL=KIM&amp;VAR:INDEX=0"}</definedName>
    <definedName name="_495__FDSAUDITLINK__" localSheetId="1"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5__FDSAUDITLINK__" hidden="1">{"fdsup://directions/FAT Viewer?action=UPDATE&amp;creator=factset&amp;DYN_ARGS=TRUE&amp;DOC_NAME=FAT:FQL_AUDITING_CLIENT_TEMPLATE.FAT&amp;display_string=Audit&amp;VAR:KEY=PIRYLCZSZQ&amp;VAR:QUERY=RkZfRUJJVERBX09QRVIoUVRSLDQvMS8yMDA5LDYvMzAvMjAwOSwsLFVTRCk=&amp;WINDOW=FIRST_POPUP&amp;HEIGH","T=450&amp;WIDTH=450&amp;START_MAXIMIZED=FALSE&amp;VAR:CALENDAR=US&amp;VAR:SYMBOL=KG&amp;VAR:INDEX=0"}</definedName>
    <definedName name="_496__FDSAUDITLINK__" localSheetId="1"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6__FDSAUDITLINK__" hidden="1">{"fdsup://directions/FAT Viewer?action=UPDATE&amp;creator=factset&amp;DYN_ARGS=TRUE&amp;DOC_NAME=FAT:FQL_AUDITING_CLIENT_TEMPLATE.FAT&amp;display_string=Audit&amp;VAR:KEY=XCLCVYZGXI&amp;VAR:QUERY=RkZfRUJJVERBX09QRVIoUVRSLDQvMS8yMDEwLDYvMzAvMjAxMCwsLFVTRCk=&amp;WINDOW=FIRST_POPUP&amp;HEIGH","T=450&amp;WIDTH=450&amp;START_MAXIMIZED=FALSE&amp;VAR:CALENDAR=US&amp;VAR:SYMBOL=KG&amp;VAR:INDEX=0"}</definedName>
    <definedName name="_497__FDSAUDITLINK__" localSheetId="1"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7__FDSAUDITLINK__" hidden="1">{"fdsup://directions/FAT Viewer?action=UPDATE&amp;creator=factset&amp;DYN_ARGS=TRUE&amp;DOC_NAME=FAT:FQL_AUDITING_CLIENT_TEMPLATE.FAT&amp;display_string=Audit&amp;VAR:KEY=PUDAPUTOZG&amp;VAR:QUERY=RkZfRUJJVERBX09QRVIoUVRSLDQvMS8yMDA5LDYvMzAvMjAwOSwsLFVTRCk=&amp;WINDOW=FIRST_POPUP&amp;HEIGH","T=450&amp;WIDTH=450&amp;START_MAXIMIZED=FALSE&amp;VAR:CALENDAR=US&amp;VAR:SYMBOL=KFT&amp;VAR:INDEX=0"}</definedName>
    <definedName name="_498__FDSAUDITLINK__" localSheetId="1"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8__FDSAUDITLINK__" hidden="1">{"fdsup://directions/FAT Viewer?action=UPDATE&amp;creator=factset&amp;DYN_ARGS=TRUE&amp;DOC_NAME=FAT:FQL_AUDITING_CLIENT_TEMPLATE.FAT&amp;display_string=Audit&amp;VAR:KEY=DWXUBOLMRY&amp;VAR:QUERY=RkZfRUJJVERBX09QRVIoUVRSLDQvMS8yMDEwLDYvMzAvMjAxMCwsLFVTRCk=&amp;WINDOW=FIRST_POPUP&amp;HEIGH","T=450&amp;WIDTH=450&amp;START_MAXIMIZED=FALSE&amp;VAR:CALENDAR=US&amp;VAR:SYMBOL=KFT&amp;VAR:INDEX=0"}</definedName>
    <definedName name="_499__FDSAUDITLINK__" localSheetId="1"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499__FDSAUDITLINK__" hidden="1">{"fdsup://directions/FAT Viewer?action=UPDATE&amp;creator=factset&amp;DYN_ARGS=TRUE&amp;DOC_NAME=FAT:FQL_AUDITING_CLIENT_TEMPLATE.FAT&amp;display_string=Audit&amp;VAR:KEY=NINOXUDMHG&amp;VAR:QUERY=RkZfRUJJVERBX09QRVIoUVRSLDQvMS8yMDA5LDYvMzAvMjAwOSwsLFVTRCk=&amp;WINDOW=FIRST_POPUP&amp;HEIGH","T=450&amp;WIDTH=450&amp;START_MAXIMIZED=FALSE&amp;VAR:CALENDAR=US&amp;VAR:SYMBOL=KEY&amp;VAR:INDEX=0"}</definedName>
    <definedName name="_5__FDSAUDITLINK__" localSheetId="1"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__FDSAUDITLINK__" hidden="1">{"fdsup://directions/FAT Viewer?action=UPDATE&amp;creator=factset&amp;DYN_ARGS=TRUE&amp;DOC_NAME=FAT:FQL_AUDITING_CLIENT_TEMPLATE.FAT&amp;display_string=Audit&amp;VAR:KEY=XMPIFKRIZK&amp;VAR:QUERY=RkZfRUJJVERBX09QRVIoUVRSLDQvMS8yMDA5LDYvMzAvMjAwOSwsLFVTRCk=&amp;WINDOW=FIRST_POPUP&amp;HEIGH","T=450&amp;WIDTH=450&amp;START_MAXIMIZED=FALSE&amp;VAR:CALENDAR=US&amp;VAR:SYMBOL=YUM&amp;VAR:INDEX=0"}</definedName>
    <definedName name="_50__FDSAUDITLINK__" localSheetId="1"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__FDSAUDITLINK__" hidden="1">{"fdsup://directions/FAT Viewer?action=UPDATE&amp;creator=factset&amp;DYN_ARGS=TRUE&amp;DOC_NAME=FAT:FQL_AUDITING_CLIENT_TEMPLATE.FAT&amp;display_string=Audit&amp;VAR:KEY=LGDEHCPKNK&amp;VAR:QUERY=RkZfRUJJVERBX09QRVIoUVRSLDQvMS8yMDEwLDYvMzAvMjAxMCwsLFVTRCk=&amp;WINDOW=FIRST_POPUP&amp;HEIGH","T=450&amp;WIDTH=450&amp;START_MAXIMIZED=FALSE&amp;VAR:CALENDAR=US&amp;VAR:SYMBOL=WFMI&amp;VAR:INDEX=0"}</definedName>
    <definedName name="_500__FDSAUDITLINK__" localSheetId="1"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0__FDSAUDITLINK__" hidden="1">{"fdsup://directions/FAT Viewer?action=UPDATE&amp;creator=factset&amp;DYN_ARGS=TRUE&amp;DOC_NAME=FAT:FQL_AUDITING_CLIENT_TEMPLATE.FAT&amp;display_string=Audit&amp;VAR:KEY=FADWLKBWPA&amp;VAR:QUERY=RkZfRUJJVERBX09QRVIoUVRSLDQvMS8yMDEwLDYvMzAvMjAxMCwsLFVTRCk=&amp;WINDOW=FIRST_POPUP&amp;HEIGH","T=450&amp;WIDTH=450&amp;START_MAXIMIZED=FALSE&amp;VAR:CALENDAR=US&amp;VAR:SYMBOL=KEY&amp;VAR:INDEX=0"}</definedName>
    <definedName name="_501__FDSAUDITLINK__" localSheetId="1"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1__FDSAUDITLINK__" hidden="1">{"fdsup://directions/FAT Viewer?action=UPDATE&amp;creator=factset&amp;DYN_ARGS=TRUE&amp;DOC_NAME=FAT:FQL_AUDITING_CLIENT_TEMPLATE.FAT&amp;display_string=Audit&amp;VAR:KEY=TIRCFOBCXE&amp;VAR:QUERY=RkZfRUJJVERBX09QRVIoUVRSLDQvMS8yMDA5LDYvMzAvMjAwOSwsLFVTRCk=&amp;WINDOW=FIRST_POPUP&amp;HEIGH","T=450&amp;WIDTH=450&amp;START_MAXIMIZED=FALSE&amp;VAR:CALENDAR=US&amp;VAR:SYMBOL=K&amp;VAR:INDEX=0"}</definedName>
    <definedName name="_502__FDSAUDITLINK__" localSheetId="1"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2__FDSAUDITLINK__" hidden="1">{"fdsup://directions/FAT Viewer?action=UPDATE&amp;creator=factset&amp;DYN_ARGS=TRUE&amp;DOC_NAME=FAT:FQL_AUDITING_CLIENT_TEMPLATE.FAT&amp;display_string=Audit&amp;VAR:KEY=LSTMVSZMBY&amp;VAR:QUERY=RkZfRUJJVERBX09QRVIoUVRSLDQvMS8yMDEwLDYvMzAvMjAxMCwsLFVTRCk=&amp;WINDOW=FIRST_POPUP&amp;HEIGH","T=450&amp;WIDTH=450&amp;START_MAXIMIZED=FALSE&amp;VAR:CALENDAR=US&amp;VAR:SYMBOL=K&amp;VAR:INDEX=0"}</definedName>
    <definedName name="_503__FDSAUDITLINK__" localSheetId="1"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3__FDSAUDITLINK__" hidden="1">{"fdsup://directions/FAT Viewer?action=UPDATE&amp;creator=factset&amp;DYN_ARGS=TRUE&amp;DOC_NAME=FAT:FQL_AUDITING_CLIENT_TEMPLATE.FAT&amp;display_string=Audit&amp;VAR:KEY=DKLQPGBAHU&amp;VAR:QUERY=RkZfRUJJVERBX09QRVIoUVRSLDQvMS8yMDA5LDYvMzAvMjAwOSwsLFVTRCk=&amp;WINDOW=FIRST_POPUP&amp;HEIGH","T=450&amp;WIDTH=450&amp;START_MAXIMIZED=FALSE&amp;VAR:CALENDAR=US&amp;VAR:SYMBOL=JWN&amp;VAR:INDEX=0"}</definedName>
    <definedName name="_504__FDSAUDITLINK__" localSheetId="1"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4__FDSAUDITLINK__" hidden="1">{"fdsup://directions/FAT Viewer?action=UPDATE&amp;creator=factset&amp;DYN_ARGS=TRUE&amp;DOC_NAME=FAT:FQL_AUDITING_CLIENT_TEMPLATE.FAT&amp;display_string=Audit&amp;VAR:KEY=XQVSPMBOFM&amp;VAR:QUERY=RkZfRUJJVERBX09QRVIoUVRSLDQvMS8yMDEwLDYvMzAvMjAxMCwsLFVTRCk=&amp;WINDOW=FIRST_POPUP&amp;HEIGH","T=450&amp;WIDTH=450&amp;START_MAXIMIZED=FALSE&amp;VAR:CALENDAR=US&amp;VAR:SYMBOL=JWN&amp;VAR:INDEX=0"}</definedName>
    <definedName name="_505__FDSAUDITLINK__" localSheetId="1"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5__FDSAUDITLINK__" hidden="1">{"fdsup://directions/FAT Viewer?action=UPDATE&amp;creator=factset&amp;DYN_ARGS=TRUE&amp;DOC_NAME=FAT:FQL_AUDITING_CLIENT_TEMPLATE.FAT&amp;display_string=Audit&amp;VAR:KEY=XILIPAVIJG&amp;VAR:QUERY=RkZfRUJJVERBX09QRVIoUVRSLDQvMS8yMDA5LDYvMzAvMjAwOSwsLFVTRCk=&amp;WINDOW=FIRST_POPUP&amp;HEIGH","T=450&amp;WIDTH=450&amp;START_MAXIMIZED=FALSE&amp;VAR:CALENDAR=US&amp;VAR:SYMBOL=JPM&amp;VAR:INDEX=0"}</definedName>
    <definedName name="_506__FDSAUDITLINK__" localSheetId="1"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6__FDSAUDITLINK__" hidden="1">{"fdsup://directions/FAT Viewer?action=UPDATE&amp;creator=factset&amp;DYN_ARGS=TRUE&amp;DOC_NAME=FAT:FQL_AUDITING_CLIENT_TEMPLATE.FAT&amp;display_string=Audit&amp;VAR:KEY=TIDINWTKZU&amp;VAR:QUERY=RkZfRUJJVERBX09QRVIoUVRSLDQvMS8yMDEwLDYvMzAvMjAxMCwsLFVTRCk=&amp;WINDOW=FIRST_POPUP&amp;HEIGH","T=450&amp;WIDTH=450&amp;START_MAXIMIZED=FALSE&amp;VAR:CALENDAR=US&amp;VAR:SYMBOL=JPM&amp;VAR:INDEX=0"}</definedName>
    <definedName name="_507__FDSAUDITLINK__" localSheetId="1"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7__FDSAUDITLINK__" hidden="1">{"fdsup://directions/FAT Viewer?action=UPDATE&amp;creator=factset&amp;DYN_ARGS=TRUE&amp;DOC_NAME=FAT:FQL_AUDITING_CLIENT_TEMPLATE.FAT&amp;display_string=Audit&amp;VAR:KEY=FAHKBCNCPQ&amp;VAR:QUERY=RkZfRUJJVERBX09QRVIoUVRSLDQvMS8yMDA5LDYvMzAvMjAwOSwsLFVTRCk=&amp;WINDOW=FIRST_POPUP&amp;HEIGH","T=450&amp;WIDTH=450&amp;START_MAXIMIZED=FALSE&amp;VAR:CALENDAR=US&amp;VAR:SYMBOL=JNS&amp;VAR:INDEX=0"}</definedName>
    <definedName name="_508__FDSAUDITLINK__" localSheetId="1"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8__FDSAUDITLINK__" hidden="1">{"fdsup://directions/FAT Viewer?action=UPDATE&amp;creator=factset&amp;DYN_ARGS=TRUE&amp;DOC_NAME=FAT:FQL_AUDITING_CLIENT_TEMPLATE.FAT&amp;display_string=Audit&amp;VAR:KEY=FOHSNILKVO&amp;VAR:QUERY=RkZfRUJJVERBX09QRVIoUVRSLDQvMS8yMDEwLDYvMzAvMjAxMCwsLFVTRCk=&amp;WINDOW=FIRST_POPUP&amp;HEIGH","T=450&amp;WIDTH=450&amp;START_MAXIMIZED=FALSE&amp;VAR:CALENDAR=US&amp;VAR:SYMBOL=JNS&amp;VAR:INDEX=0"}</definedName>
    <definedName name="_509__FDSAUDITLINK__" localSheetId="1"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09__FDSAUDITLINK__" hidden="1">{"fdsup://directions/FAT Viewer?action=UPDATE&amp;creator=factset&amp;DYN_ARGS=TRUE&amp;DOC_NAME=FAT:FQL_AUDITING_CLIENT_TEMPLATE.FAT&amp;display_string=Audit&amp;VAR:KEY=HQNKJMRWFU&amp;VAR:QUERY=RkZfRUJJVERBX09QRVIoUVRSLDQvMS8yMDA5LDYvMzAvMjAwOSwsLFVTRCk=&amp;WINDOW=FIRST_POPUP&amp;HEIGH","T=450&amp;WIDTH=450&amp;START_MAXIMIZED=FALSE&amp;VAR:CALENDAR=US&amp;VAR:SYMBOL=JNPR&amp;VAR:INDEX=0"}</definedName>
    <definedName name="_51__FDSAUDITLINK__" localSheetId="1"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__FDSAUDITLINK__" hidden="1">{"fdsup://directions/FAT Viewer?action=UPDATE&amp;creator=factset&amp;DYN_ARGS=TRUE&amp;DOC_NAME=FAT:FQL_AUDITING_CLIENT_TEMPLATE.FAT&amp;display_string=Audit&amp;VAR:KEY=JYZAXGLINI&amp;VAR:QUERY=RkZfRUJJVERBX09QRVIoUVRSLDQvMS8yMDA5LDYvMzAvMjAwOSwsLFVTRCk=&amp;WINDOW=FIRST_POPUP&amp;HEIGH","T=450&amp;WIDTH=450&amp;START_MAXIMIZED=FALSE&amp;VAR:CALENDAR=US&amp;VAR:SYMBOL=WFC&amp;VAR:INDEX=0"}</definedName>
    <definedName name="_510__FDSAUDITLINK__" localSheetId="1"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0__FDSAUDITLINK__" hidden="1">{"fdsup://directions/FAT Viewer?action=UPDATE&amp;creator=factset&amp;DYN_ARGS=TRUE&amp;DOC_NAME=FAT:FQL_AUDITING_CLIENT_TEMPLATE.FAT&amp;display_string=Audit&amp;VAR:KEY=VSTCJAFKJU&amp;VAR:QUERY=RkZfRUJJVERBX09QRVIoUVRSLDQvMS8yMDEwLDYvMzAvMjAxMCwsLFVTRCk=&amp;WINDOW=FIRST_POPUP&amp;HEIGH","T=450&amp;WIDTH=450&amp;START_MAXIMIZED=FALSE&amp;VAR:CALENDAR=US&amp;VAR:SYMBOL=JNPR&amp;VAR:INDEX=0"}</definedName>
    <definedName name="_511__FDSAUDITLINK__" localSheetId="1"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1__FDSAUDITLINK__" hidden="1">{"fdsup://directions/FAT Viewer?action=UPDATE&amp;creator=factset&amp;DYN_ARGS=TRUE&amp;DOC_NAME=FAT:FQL_AUDITING_CLIENT_TEMPLATE.FAT&amp;display_string=Audit&amp;VAR:KEY=VWFKNCTUDO&amp;VAR:QUERY=RkZfRUJJVERBX09QRVIoUVRSLDQvMS8yMDA5LDYvMzAvMjAwOSwsLFVTRCk=&amp;WINDOW=FIRST_POPUP&amp;HEIGH","T=450&amp;WIDTH=450&amp;START_MAXIMIZED=FALSE&amp;VAR:CALENDAR=US&amp;VAR:SYMBOL=JNJ&amp;VAR:INDEX=0"}</definedName>
    <definedName name="_512__FDSAUDITLINK__" localSheetId="1"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2__FDSAUDITLINK__" hidden="1">{"fdsup://directions/FAT Viewer?action=UPDATE&amp;creator=factset&amp;DYN_ARGS=TRUE&amp;DOC_NAME=FAT:FQL_AUDITING_CLIENT_TEMPLATE.FAT&amp;display_string=Audit&amp;VAR:KEY=XQLOLUXYHG&amp;VAR:QUERY=RkZfRUJJVERBX09QRVIoUVRSLDQvMS8yMDEwLDYvMzAvMjAxMCwsLFVTRCk=&amp;WINDOW=FIRST_POPUP&amp;HEIGH","T=450&amp;WIDTH=450&amp;START_MAXIMIZED=FALSE&amp;VAR:CALENDAR=US&amp;VAR:SYMBOL=JNJ&amp;VAR:INDEX=0"}</definedName>
    <definedName name="_513__FDSAUDITLINK__" localSheetId="1"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3__FDSAUDITLINK__" hidden="1">{"fdsup://directions/FAT Viewer?action=UPDATE&amp;creator=factset&amp;DYN_ARGS=TRUE&amp;DOC_NAME=FAT:FQL_AUDITING_CLIENT_TEMPLATE.FAT&amp;display_string=Audit&amp;VAR:KEY=VKFOXOHMTA&amp;VAR:QUERY=RkZfRUJJVERBX09QRVIoUVRSLDQvMS8yMDA5LDYvMzAvMjAwOSwsLFVTRCk=&amp;WINDOW=FIRST_POPUP&amp;HEIGH","T=450&amp;WIDTH=450&amp;START_MAXIMIZED=FALSE&amp;VAR:CALENDAR=US&amp;VAR:SYMBOL=JEC&amp;VAR:INDEX=0"}</definedName>
    <definedName name="_514__FDSAUDITLINK__" localSheetId="1"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4__FDSAUDITLINK__" hidden="1">{"fdsup://directions/FAT Viewer?action=UPDATE&amp;creator=factset&amp;DYN_ARGS=TRUE&amp;DOC_NAME=FAT:FQL_AUDITING_CLIENT_TEMPLATE.FAT&amp;display_string=Audit&amp;VAR:KEY=FSLWJAZCDA&amp;VAR:QUERY=RkZfRUJJVERBX09QRVIoUVRSLDQvMS8yMDEwLDYvMzAvMjAxMCwsLFVTRCk=&amp;WINDOW=FIRST_POPUP&amp;HEIGH","T=450&amp;WIDTH=450&amp;START_MAXIMIZED=FALSE&amp;VAR:CALENDAR=US&amp;VAR:SYMBOL=JEC&amp;VAR:INDEX=0"}</definedName>
    <definedName name="_515__FDSAUDITLINK__" localSheetId="1"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5__FDSAUDITLINK__" hidden="1">{"fdsup://directions/FAT Viewer?action=UPDATE&amp;creator=factset&amp;DYN_ARGS=TRUE&amp;DOC_NAME=FAT:FQL_AUDITING_CLIENT_TEMPLATE.FAT&amp;display_string=Audit&amp;VAR:KEY=DCNKROLSFO&amp;VAR:QUERY=RkZfRUJJVERBX09QRVIoUVRSLDQvMS8yMDA5LDYvMzAvMjAwOSwsLFVTRCk=&amp;WINDOW=FIRST_POPUP&amp;HEIGH","T=450&amp;WIDTH=450&amp;START_MAXIMIZED=FALSE&amp;VAR:CALENDAR=US&amp;VAR:SYMBOL=JDSU&amp;VAR:INDEX=0"}</definedName>
    <definedName name="_516__FDSAUDITLINK__" localSheetId="1"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6__FDSAUDITLINK__" hidden="1">{"fdsup://directions/FAT Viewer?action=UPDATE&amp;creator=factset&amp;DYN_ARGS=TRUE&amp;DOC_NAME=FAT:FQL_AUDITING_CLIENT_TEMPLATE.FAT&amp;display_string=Audit&amp;VAR:KEY=DKBQPSZCRE&amp;VAR:QUERY=RkZfRUJJVERBX09QRVIoUVRSLDQvMS8yMDEwLDYvMzAvMjAxMCwsLFVTRCk=&amp;WINDOW=FIRST_POPUP&amp;HEIGH","T=450&amp;WIDTH=450&amp;START_MAXIMIZED=FALSE&amp;VAR:CALENDAR=US&amp;VAR:SYMBOL=JDSU&amp;VAR:INDEX=0"}</definedName>
    <definedName name="_517__FDSAUDITLINK__" localSheetId="1"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7__FDSAUDITLINK__" hidden="1">{"fdsup://directions/FAT Viewer?action=UPDATE&amp;creator=factset&amp;DYN_ARGS=TRUE&amp;DOC_NAME=FAT:FQL_AUDITING_CLIENT_TEMPLATE.FAT&amp;display_string=Audit&amp;VAR:KEY=NMNCHMBAPE&amp;VAR:QUERY=RkZfRUJJVERBX09QRVIoUVRSLDQvMS8yMDA5LDYvMzAvMjAwOSwsLFVTRCk=&amp;WINDOW=FIRST_POPUP&amp;HEIGH","T=450&amp;WIDTH=450&amp;START_MAXIMIZED=FALSE&amp;VAR:CALENDAR=US&amp;VAR:SYMBOL=JCP&amp;VAR:INDEX=0"}</definedName>
    <definedName name="_518__FDSAUDITLINK__" localSheetId="1"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8__FDSAUDITLINK__" hidden="1">{"fdsup://directions/FAT Viewer?action=UPDATE&amp;creator=factset&amp;DYN_ARGS=TRUE&amp;DOC_NAME=FAT:FQL_AUDITING_CLIENT_TEMPLATE.FAT&amp;display_string=Audit&amp;VAR:KEY=XWNWXSJMTA&amp;VAR:QUERY=RkZfRUJJVERBX09QRVIoUVRSLDQvMS8yMDEwLDYvMzAvMjAxMCwsLFVTRCk=&amp;WINDOW=FIRST_POPUP&amp;HEIGH","T=450&amp;WIDTH=450&amp;START_MAXIMIZED=FALSE&amp;VAR:CALENDAR=US&amp;VAR:SYMBOL=JCP&amp;VAR:INDEX=0"}</definedName>
    <definedName name="_519__FDSAUDITLINK__" localSheetId="1"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19__FDSAUDITLINK__" hidden="1">{"fdsup://directions/FAT Viewer?action=UPDATE&amp;creator=factset&amp;DYN_ARGS=TRUE&amp;DOC_NAME=FAT:FQL_AUDITING_CLIENT_TEMPLATE.FAT&amp;display_string=Audit&amp;VAR:KEY=HEFCBWRCHA&amp;VAR:QUERY=RkZfRUJJVERBX09QRVIoUVRSLDQvMS8yMDA5LDYvMzAvMjAwOSwsLFVTRCk=&amp;WINDOW=FIRST_POPUP&amp;HEIGH","T=450&amp;WIDTH=450&amp;START_MAXIMIZED=FALSE&amp;VAR:CALENDAR=US&amp;VAR:SYMBOL=JCI&amp;VAR:INDEX=0"}</definedName>
    <definedName name="_52__FDSAUDITLINK__" localSheetId="1"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__FDSAUDITLINK__" hidden="1">{"fdsup://directions/FAT Viewer?action=UPDATE&amp;creator=factset&amp;DYN_ARGS=TRUE&amp;DOC_NAME=FAT:FQL_AUDITING_CLIENT_TEMPLATE.FAT&amp;display_string=Audit&amp;VAR:KEY=FMHKHOLCDQ&amp;VAR:QUERY=RkZfRUJJVERBX09QRVIoUVRSLDQvMS8yMDEwLDYvMzAvMjAxMCwsLFVTRCk=&amp;WINDOW=FIRST_POPUP&amp;HEIGH","T=450&amp;WIDTH=450&amp;START_MAXIMIZED=FALSE&amp;VAR:CALENDAR=US&amp;VAR:SYMBOL=WFC&amp;VAR:INDEX=0"}</definedName>
    <definedName name="_520__FDSAUDITLINK__" localSheetId="1"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0__FDSAUDITLINK__" hidden="1">{"fdsup://directions/FAT Viewer?action=UPDATE&amp;creator=factset&amp;DYN_ARGS=TRUE&amp;DOC_NAME=FAT:FQL_AUDITING_CLIENT_TEMPLATE.FAT&amp;display_string=Audit&amp;VAR:KEY=JMNEDCDCHM&amp;VAR:QUERY=RkZfRUJJVERBX09QRVIoUVRSLDQvMS8yMDEwLDYvMzAvMjAxMCwsLFVTRCk=&amp;WINDOW=FIRST_POPUP&amp;HEIGH","T=450&amp;WIDTH=450&amp;START_MAXIMIZED=FALSE&amp;VAR:CALENDAR=US&amp;VAR:SYMBOL=JCI&amp;VAR:INDEX=0"}</definedName>
    <definedName name="_521__FDSAUDITLINK__" localSheetId="1"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1__FDSAUDITLINK__" hidden="1">{"fdsup://directions/FAT Viewer?action=UPDATE&amp;creator=factset&amp;DYN_ARGS=TRUE&amp;DOC_NAME=FAT:FQL_AUDITING_CLIENT_TEMPLATE.FAT&amp;display_string=Audit&amp;VAR:KEY=PKVSLYTGXK&amp;VAR:QUERY=RkZfRUJJVERBX09QRVIoUVRSLDQvMS8yMDA5LDYvMzAvMjAwOSwsLFVTRCk=&amp;WINDOW=FIRST_POPUP&amp;HEIGH","T=450&amp;WIDTH=450&amp;START_MAXIMIZED=FALSE&amp;VAR:CALENDAR=US&amp;VAR:SYMBOL=JBL&amp;VAR:INDEX=0"}</definedName>
    <definedName name="_522__FDSAUDITLINK__" localSheetId="1"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2__FDSAUDITLINK__" hidden="1">{"fdsup://directions/FAT Viewer?action=UPDATE&amp;creator=factset&amp;DYN_ARGS=TRUE&amp;DOC_NAME=FAT:FQL_AUDITING_CLIENT_TEMPLATE.FAT&amp;display_string=Audit&amp;VAR:KEY=XMRQXGZYLO&amp;VAR:QUERY=RkZfRUJJVERBX09QRVIoUVRSLDQvMS8yMDEwLDYvMzAvMjAxMCwsLFVTRCk=&amp;WINDOW=FIRST_POPUP&amp;HEIGH","T=450&amp;WIDTH=450&amp;START_MAXIMIZED=FALSE&amp;VAR:CALENDAR=US&amp;VAR:SYMBOL=JBL&amp;VAR:INDEX=0"}</definedName>
    <definedName name="_523__FDSAUDITLINK__" localSheetId="1"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3__FDSAUDITLINK__" hidden="1">{"fdsup://directions/FAT Viewer?action=UPDATE&amp;creator=factset&amp;DYN_ARGS=TRUE&amp;DOC_NAME=FAT:FQL_AUDITING_CLIENT_TEMPLATE.FAT&amp;display_string=Audit&amp;VAR:KEY=NUDGFSNGTE&amp;VAR:QUERY=RkZfRUJJVERBX09QRVIoUVRSLDQvMS8yMDA5LDYvMzAvMjAwOSwsLFVTRCk=&amp;WINDOW=FIRST_POPUP&amp;HEIGH","T=450&amp;WIDTH=450&amp;START_MAXIMIZED=FALSE&amp;VAR:CALENDAR=US&amp;VAR:SYMBOL=IVZ&amp;VAR:INDEX=0"}</definedName>
    <definedName name="_524__FDSAUDITLINK__" localSheetId="1"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4__FDSAUDITLINK__" hidden="1">{"fdsup://directions/FAT Viewer?action=UPDATE&amp;creator=factset&amp;DYN_ARGS=TRUE&amp;DOC_NAME=FAT:FQL_AUDITING_CLIENT_TEMPLATE.FAT&amp;display_string=Audit&amp;VAR:KEY=VAHUXSNOPQ&amp;VAR:QUERY=RkZfRUJJVERBX09QRVIoUVRSLDQvMS8yMDEwLDYvMzAvMjAxMCwsLFVTRCk=&amp;WINDOW=FIRST_POPUP&amp;HEIGH","T=450&amp;WIDTH=450&amp;START_MAXIMIZED=FALSE&amp;VAR:CALENDAR=US&amp;VAR:SYMBOL=IVZ&amp;VAR:INDEX=0"}</definedName>
    <definedName name="_525__FDSAUDITLINK__" localSheetId="1"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5__FDSAUDITLINK__" hidden="1">{"fdsup://directions/FAT Viewer?action=UPDATE&amp;creator=factset&amp;DYN_ARGS=TRUE&amp;DOC_NAME=FAT:FQL_AUDITING_CLIENT_TEMPLATE.FAT&amp;display_string=Audit&amp;VAR:KEY=TCBMDEVALO&amp;VAR:QUERY=RkZfRUJJVERBX09QRVIoUVRSLDQvMS8yMDA5LDYvMzAvMjAwOSwsLFVTRCk=&amp;WINDOW=FIRST_POPUP&amp;HEIGH","T=450&amp;WIDTH=450&amp;START_MAXIMIZED=FALSE&amp;VAR:CALENDAR=US&amp;VAR:SYMBOL=ITW&amp;VAR:INDEX=0"}</definedName>
    <definedName name="_526__FDSAUDITLINK__" localSheetId="1"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6__FDSAUDITLINK__" hidden="1">{"fdsup://directions/FAT Viewer?action=UPDATE&amp;creator=factset&amp;DYN_ARGS=TRUE&amp;DOC_NAME=FAT:FQL_AUDITING_CLIENT_TEMPLATE.FAT&amp;display_string=Audit&amp;VAR:KEY=ZYPINEXUJE&amp;VAR:QUERY=RkZfRUJJVERBX09QRVIoUVRSLDQvMS8yMDEwLDYvMzAvMjAxMCwsLFVTRCk=&amp;WINDOW=FIRST_POPUP&amp;HEIGH","T=450&amp;WIDTH=450&amp;START_MAXIMIZED=FALSE&amp;VAR:CALENDAR=US&amp;VAR:SYMBOL=ITW&amp;VAR:INDEX=0"}</definedName>
    <definedName name="_527__FDSAUDITLINK__" localSheetId="1"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7__FDSAUDITLINK__" hidden="1">{"fdsup://directions/FAT Viewer?action=UPDATE&amp;creator=factset&amp;DYN_ARGS=TRUE&amp;DOC_NAME=FAT:FQL_AUDITING_CLIENT_TEMPLATE.FAT&amp;display_string=Audit&amp;VAR:KEY=XUPQRSZOPY&amp;VAR:QUERY=RkZfRUJJVERBX09QRVIoUVRSLDQvMS8yMDA5LDYvMzAvMjAwOSwsLFVTRCk=&amp;WINDOW=FIRST_POPUP&amp;HEIGH","T=450&amp;WIDTH=450&amp;START_MAXIMIZED=FALSE&amp;VAR:CALENDAR=US&amp;VAR:SYMBOL=ITT&amp;VAR:INDEX=0"}</definedName>
    <definedName name="_528__FDSAUDITLINK__" localSheetId="1"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8__FDSAUDITLINK__" hidden="1">{"fdsup://directions/FAT Viewer?action=UPDATE&amp;creator=factset&amp;DYN_ARGS=TRUE&amp;DOC_NAME=FAT:FQL_AUDITING_CLIENT_TEMPLATE.FAT&amp;display_string=Audit&amp;VAR:KEY=BINOFSROFO&amp;VAR:QUERY=RkZfRUJJVERBX09QRVIoUVRSLDQvMS8yMDEwLDYvMzAvMjAxMCwsLFVTRCk=&amp;WINDOW=FIRST_POPUP&amp;HEIGH","T=450&amp;WIDTH=450&amp;START_MAXIMIZED=FALSE&amp;VAR:CALENDAR=US&amp;VAR:SYMBOL=ITT&amp;VAR:INDEX=0"}</definedName>
    <definedName name="_529__FDSAUDITLINK__" localSheetId="1"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29__FDSAUDITLINK__" hidden="1">{"fdsup://directions/FAT Viewer?action=UPDATE&amp;creator=factset&amp;DYN_ARGS=TRUE&amp;DOC_NAME=FAT:FQL_AUDITING_CLIENT_TEMPLATE.FAT&amp;display_string=Audit&amp;VAR:KEY=BORIVAXODO&amp;VAR:QUERY=RkZfRUJJVERBX09QRVIoUVRSLDQvMS8yMDA5LDYvMzAvMjAwOSwsLFVTRCk=&amp;WINDOW=FIRST_POPUP&amp;HEIGH","T=450&amp;WIDTH=450&amp;START_MAXIMIZED=FALSE&amp;VAR:CALENDAR=US&amp;VAR:SYMBOL=ISRG&amp;VAR:INDEX=0"}</definedName>
    <definedName name="_53__FDSAUDITLINK__" localSheetId="1"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__FDSAUDITLINK__" hidden="1">{"fdsup://directions/FAT Viewer?action=UPDATE&amp;creator=factset&amp;DYN_ARGS=TRUE&amp;DOC_NAME=FAT:FQL_AUDITING_CLIENT_TEMPLATE.FAT&amp;display_string=Audit&amp;VAR:KEY=XWJMTWHOVY&amp;VAR:QUERY=RkZfRUJJVERBX09QRVIoUVRSLDQvMS8yMDA5LDYvMzAvMjAwOSwsLFVTRCk=&amp;WINDOW=FIRST_POPUP&amp;HEIGH","T=450&amp;WIDTH=450&amp;START_MAXIMIZED=FALSE&amp;VAR:CALENDAR=US&amp;VAR:SYMBOL=WEC&amp;VAR:INDEX=0"}</definedName>
    <definedName name="_530__FDSAUDITLINK__" localSheetId="1"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0__FDSAUDITLINK__" hidden="1">{"fdsup://directions/FAT Viewer?action=UPDATE&amp;creator=factset&amp;DYN_ARGS=TRUE&amp;DOC_NAME=FAT:FQL_AUDITING_CLIENT_TEMPLATE.FAT&amp;display_string=Audit&amp;VAR:KEY=NQRAFQNUXU&amp;VAR:QUERY=RkZfRUJJVERBX09QRVIoUVRSLDQvMS8yMDEwLDYvMzAvMjAxMCwsLFVTRCk=&amp;WINDOW=FIRST_POPUP&amp;HEIGH","T=450&amp;WIDTH=450&amp;START_MAXIMIZED=FALSE&amp;VAR:CALENDAR=US&amp;VAR:SYMBOL=ISRG&amp;VAR:INDEX=0"}</definedName>
    <definedName name="_531__FDSAUDITLINK__" localSheetId="1"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1__FDSAUDITLINK__" hidden="1">{"fdsup://directions/FAT Viewer?action=UPDATE&amp;creator=factset&amp;DYN_ARGS=TRUE&amp;DOC_NAME=FAT:FQL_AUDITING_CLIENT_TEMPLATE.FAT&amp;display_string=Audit&amp;VAR:KEY=XSRONUHKBM&amp;VAR:QUERY=RkZfRUJJVERBX09QRVIoUVRSLDQvMS8yMDA5LDYvMzAvMjAwOSwsLFVTRCk=&amp;WINDOW=FIRST_POPUP&amp;HEIGH","T=450&amp;WIDTH=450&amp;START_MAXIMIZED=FALSE&amp;VAR:CALENDAR=US&amp;VAR:SYMBOL=IRM&amp;VAR:INDEX=0"}</definedName>
    <definedName name="_532__FDSAUDITLINK__" localSheetId="1"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2__FDSAUDITLINK__" hidden="1">{"fdsup://directions/FAT Viewer?action=UPDATE&amp;creator=factset&amp;DYN_ARGS=TRUE&amp;DOC_NAME=FAT:FQL_AUDITING_CLIENT_TEMPLATE.FAT&amp;display_string=Audit&amp;VAR:KEY=BKFEBWVSLG&amp;VAR:QUERY=RkZfRUJJVERBX09QRVIoUVRSLDQvMS8yMDEwLDYvMzAvMjAxMCwsLFVTRCk=&amp;WINDOW=FIRST_POPUP&amp;HEIGH","T=450&amp;WIDTH=450&amp;START_MAXIMIZED=FALSE&amp;VAR:CALENDAR=US&amp;VAR:SYMBOL=IRM&amp;VAR:INDEX=0"}</definedName>
    <definedName name="_533__FDSAUDITLINK__" localSheetId="1"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3__FDSAUDITLINK__" hidden="1">{"fdsup://directions/FAT Viewer?action=UPDATE&amp;creator=factset&amp;DYN_ARGS=TRUE&amp;DOC_NAME=FAT:FQL_AUDITING_CLIENT_TEMPLATE.FAT&amp;display_string=Audit&amp;VAR:KEY=JQDGXAZWBW&amp;VAR:QUERY=RkZfRUJJVERBX09QRVIoUVRSLDQvMS8yMDA5LDYvMzAvMjAwOSwsLFVTRCk=&amp;WINDOW=FIRST_POPUP&amp;HEIGH","T=450&amp;WIDTH=450&amp;START_MAXIMIZED=FALSE&amp;VAR:CALENDAR=US&amp;VAR:SYMBOL=IPG&amp;VAR:INDEX=0"}</definedName>
    <definedName name="_534__FDSAUDITLINK__" localSheetId="1"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4__FDSAUDITLINK__" hidden="1">{"fdsup://directions/FAT Viewer?action=UPDATE&amp;creator=factset&amp;DYN_ARGS=TRUE&amp;DOC_NAME=FAT:FQL_AUDITING_CLIENT_TEMPLATE.FAT&amp;display_string=Audit&amp;VAR:KEY=BGRQFSDADO&amp;VAR:QUERY=RkZfRUJJVERBX09QRVIoUVRSLDQvMS8yMDEwLDYvMzAvMjAxMCwsLFVTRCk=&amp;WINDOW=FIRST_POPUP&amp;HEIGH","T=450&amp;WIDTH=450&amp;START_MAXIMIZED=FALSE&amp;VAR:CALENDAR=US&amp;VAR:SYMBOL=IPG&amp;VAR:INDEX=0"}</definedName>
    <definedName name="_535__FDSAUDITLINK__" localSheetId="1"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5__FDSAUDITLINK__" hidden="1">{"fdsup://directions/FAT Viewer?action=UPDATE&amp;creator=factset&amp;DYN_ARGS=TRUE&amp;DOC_NAME=FAT:FQL_AUDITING_CLIENT_TEMPLATE.FAT&amp;display_string=Audit&amp;VAR:KEY=VKRAJWNWTM&amp;VAR:QUERY=RkZfRUJJVERBX09QRVIoUVRSLDQvMS8yMDA5LDYvMzAvMjAwOSwsLFVTRCk=&amp;WINDOW=FIRST_POPUP&amp;HEIGH","T=450&amp;WIDTH=450&amp;START_MAXIMIZED=FALSE&amp;VAR:CALENDAR=US&amp;VAR:SYMBOL=IP&amp;VAR:INDEX=0"}</definedName>
    <definedName name="_536__FDSAUDITLINK__" localSheetId="1"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6__FDSAUDITLINK__" hidden="1">{"fdsup://directions/FAT Viewer?action=UPDATE&amp;creator=factset&amp;DYN_ARGS=TRUE&amp;DOC_NAME=FAT:FQL_AUDITING_CLIENT_TEMPLATE.FAT&amp;display_string=Audit&amp;VAR:KEY=XILUBEPIDY&amp;VAR:QUERY=RkZfRUJJVERBX09QRVIoUVRSLDQvMS8yMDEwLDYvMzAvMjAxMCwsLFVTRCk=&amp;WINDOW=FIRST_POPUP&amp;HEIGH","T=450&amp;WIDTH=450&amp;START_MAXIMIZED=FALSE&amp;VAR:CALENDAR=US&amp;VAR:SYMBOL=IP&amp;VAR:INDEX=0"}</definedName>
    <definedName name="_537__FDSAUDITLINK__" localSheetId="1"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7__FDSAUDITLINK__" hidden="1">{"fdsup://directions/FAT Viewer?action=UPDATE&amp;creator=factset&amp;DYN_ARGS=TRUE&amp;DOC_NAME=FAT:FQL_AUDITING_CLIENT_TEMPLATE.FAT&amp;display_string=Audit&amp;VAR:KEY=RIJCBKTWRG&amp;VAR:QUERY=RkZfRUJJVERBX09QRVIoUVRSLDQvMS8yMDA5LDYvMzAvMjAwOSwsLFVTRCk=&amp;WINDOW=FIRST_POPUP&amp;HEIGH","T=450&amp;WIDTH=450&amp;START_MAXIMIZED=FALSE&amp;VAR:CALENDAR=US&amp;VAR:SYMBOL=INTU&amp;VAR:INDEX=0"}</definedName>
    <definedName name="_538__FDSAUDITLINK__" localSheetId="1"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8__FDSAUDITLINK__" hidden="1">{"fdsup://directions/FAT Viewer?action=UPDATE&amp;creator=factset&amp;DYN_ARGS=TRUE&amp;DOC_NAME=FAT:FQL_AUDITING_CLIENT_TEMPLATE.FAT&amp;display_string=Audit&amp;VAR:KEY=LYRUPYPSXS&amp;VAR:QUERY=RkZfRUJJVERBX09QRVIoUVRSLDQvMS8yMDEwLDYvMzAvMjAxMCwsLFVTRCk=&amp;WINDOW=FIRST_POPUP&amp;HEIGH","T=450&amp;WIDTH=450&amp;START_MAXIMIZED=FALSE&amp;VAR:CALENDAR=US&amp;VAR:SYMBOL=INTU&amp;VAR:INDEX=0"}</definedName>
    <definedName name="_539__FDSAUDITLINK__" localSheetId="1"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39__FDSAUDITLINK__" hidden="1">{"fdsup://directions/FAT Viewer?action=UPDATE&amp;creator=factset&amp;DYN_ARGS=TRUE&amp;DOC_NAME=FAT:FQL_AUDITING_CLIENT_TEMPLATE.FAT&amp;display_string=Audit&amp;VAR:KEY=JGPETETOBM&amp;VAR:QUERY=RkZfRUJJVERBX09QRVIoUVRSLDQvMS8yMDA5LDYvMzAvMjAwOSwsLFVTRCk=&amp;WINDOW=FIRST_POPUP&amp;HEIGH","T=450&amp;WIDTH=450&amp;START_MAXIMIZED=FALSE&amp;VAR:CALENDAR=US&amp;VAR:SYMBOL=INTC&amp;VAR:INDEX=0"}</definedName>
    <definedName name="_54__FDSAUDITLINK__" localSheetId="1"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__FDSAUDITLINK__" hidden="1">{"fdsup://directions/FAT Viewer?action=UPDATE&amp;creator=factset&amp;DYN_ARGS=TRUE&amp;DOC_NAME=FAT:FQL_AUDITING_CLIENT_TEMPLATE.FAT&amp;display_string=Audit&amp;VAR:KEY=HOVIFYTEJU&amp;VAR:QUERY=RkZfRUJJVERBX09QRVIoUVRSLDQvMS8yMDEwLDYvMzAvMjAxMCwsLFVTRCk=&amp;WINDOW=FIRST_POPUP&amp;HEIGH","T=450&amp;WIDTH=450&amp;START_MAXIMIZED=FALSE&amp;VAR:CALENDAR=US&amp;VAR:SYMBOL=WEC&amp;VAR:INDEX=0"}</definedName>
    <definedName name="_540__FDSAUDITLINK__" localSheetId="1"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0__FDSAUDITLINK__" hidden="1">{"fdsup://directions/FAT Viewer?action=UPDATE&amp;creator=factset&amp;DYN_ARGS=TRUE&amp;DOC_NAME=FAT:FQL_AUDITING_CLIENT_TEMPLATE.FAT&amp;display_string=Audit&amp;VAR:KEY=PQPGHQVSXG&amp;VAR:QUERY=RkZfRUJJVERBX09QRVIoUVRSLDQvMS8yMDEwLDYvMzAvMjAxMCwsLFVTRCk=&amp;WINDOW=FIRST_POPUP&amp;HEIGH","T=450&amp;WIDTH=450&amp;START_MAXIMIZED=FALSE&amp;VAR:CALENDAR=US&amp;VAR:SYMBOL=INTC&amp;VAR:INDEX=0"}</definedName>
    <definedName name="_541__FDSAUDITLINK__" localSheetId="1"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1__FDSAUDITLINK__" hidden="1">{"fdsup://directions/FAT Viewer?action=UPDATE&amp;creator=factset&amp;DYN_ARGS=TRUE&amp;DOC_NAME=FAT:FQL_AUDITING_CLIENT_TEMPLATE.FAT&amp;display_string=Audit&amp;VAR:KEY=FIVGVSZUTK&amp;VAR:QUERY=RkZfRUJJVERBX09QRVIoUVRSLDQvMS8yMDA5LDYvMzAvMjAwOSwsLFVTRCk=&amp;WINDOW=FIRST_POPUP&amp;HEIGH","T=450&amp;WIDTH=450&amp;START_MAXIMIZED=FALSE&amp;VAR:CALENDAR=US&amp;VAR:SYMBOL=IGT&amp;VAR:INDEX=0"}</definedName>
    <definedName name="_542__FDSAUDITLINK__" localSheetId="1"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2__FDSAUDITLINK__" hidden="1">{"fdsup://directions/FAT Viewer?action=UPDATE&amp;creator=factset&amp;DYN_ARGS=TRUE&amp;DOC_NAME=FAT:FQL_AUDITING_CLIENT_TEMPLATE.FAT&amp;display_string=Audit&amp;VAR:KEY=LQBSHETUPW&amp;VAR:QUERY=RkZfRUJJVERBX09QRVIoUVRSLDQvMS8yMDEwLDYvMzAvMjAxMCwsLFVTRCk=&amp;WINDOW=FIRST_POPUP&amp;HEIGH","T=450&amp;WIDTH=450&amp;START_MAXIMIZED=FALSE&amp;VAR:CALENDAR=US&amp;VAR:SYMBOL=IGT&amp;VAR:INDEX=0"}</definedName>
    <definedName name="_543__FDSAUDITLINK__" localSheetId="1"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3__FDSAUDITLINK__" hidden="1">{"fdsup://directions/FAT Viewer?action=UPDATE&amp;creator=factset&amp;DYN_ARGS=TRUE&amp;DOC_NAME=FAT:FQL_AUDITING_CLIENT_TEMPLATE.FAT&amp;display_string=Audit&amp;VAR:KEY=XODGTMJCFE&amp;VAR:QUERY=RkZfRUJJVERBX09QRVIoUVRSLDQvMS8yMDA5LDYvMzAvMjAwOSwsLFVTRCk=&amp;WINDOW=FIRST_POPUP&amp;HEIGH","T=450&amp;WIDTH=450&amp;START_MAXIMIZED=FALSE&amp;VAR:CALENDAR=US&amp;VAR:SYMBOL=IFF&amp;VAR:INDEX=0"}</definedName>
    <definedName name="_544__FDSAUDITLINK__" localSheetId="1"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4__FDSAUDITLINK__" hidden="1">{"fdsup://directions/FAT Viewer?action=UPDATE&amp;creator=factset&amp;DYN_ARGS=TRUE&amp;DOC_NAME=FAT:FQL_AUDITING_CLIENT_TEMPLATE.FAT&amp;display_string=Audit&amp;VAR:KEY=ZCDIRSDITG&amp;VAR:QUERY=RkZfRUJJVERBX09QRVIoUVRSLDQvMS8yMDEwLDYvMzAvMjAxMCwsLFVTRCk=&amp;WINDOW=FIRST_POPUP&amp;HEIGH","T=450&amp;WIDTH=450&amp;START_MAXIMIZED=FALSE&amp;VAR:CALENDAR=US&amp;VAR:SYMBOL=IFF&amp;VAR:INDEX=0"}</definedName>
    <definedName name="_545__FDSAUDITLINK__" localSheetId="1"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5__FDSAUDITLINK__" hidden="1">{"fdsup://directions/FAT Viewer?action=UPDATE&amp;creator=factset&amp;DYN_ARGS=TRUE&amp;DOC_NAME=FAT:FQL_AUDITING_CLIENT_TEMPLATE.FAT&amp;display_string=Audit&amp;VAR:KEY=HWBALQBYFI&amp;VAR:QUERY=RkZfRUJJVERBX09QRVIoUVRSLDQvMS8yMDA5LDYvMzAvMjAwOSwsLFVTRCk=&amp;WINDOW=FIRST_POPUP&amp;HEIGH","T=450&amp;WIDTH=450&amp;START_MAXIMIZED=FALSE&amp;VAR:CALENDAR=US&amp;VAR:SYMBOL=ICE&amp;VAR:INDEX=0"}</definedName>
    <definedName name="_546__FDSAUDITLINK__" localSheetId="1"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6__FDSAUDITLINK__" hidden="1">{"fdsup://directions/FAT Viewer?action=UPDATE&amp;creator=factset&amp;DYN_ARGS=TRUE&amp;DOC_NAME=FAT:FQL_AUDITING_CLIENT_TEMPLATE.FAT&amp;display_string=Audit&amp;VAR:KEY=PGVSRUTSHQ&amp;VAR:QUERY=RkZfRUJJVERBX09QRVIoUVRSLDQvMS8yMDEwLDYvMzAvMjAxMCwsLFVTRCk=&amp;WINDOW=FIRST_POPUP&amp;HEIGH","T=450&amp;WIDTH=450&amp;START_MAXIMIZED=FALSE&amp;VAR:CALENDAR=US&amp;VAR:SYMBOL=ICE&amp;VAR:INDEX=0"}</definedName>
    <definedName name="_547__FDSAUDITLINK__" localSheetId="1"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7__FDSAUDITLINK__" hidden="1">{"fdsup://directions/FAT Viewer?action=UPDATE&amp;creator=factset&amp;DYN_ARGS=TRUE&amp;DOC_NAME=FAT:FQL_AUDITING_CLIENT_TEMPLATE.FAT&amp;display_string=Audit&amp;VAR:KEY=FUNSZYVSPA&amp;VAR:QUERY=RkZfRUJJVERBX09QRVIoUVRSLDQvMS8yMDA5LDYvMzAvMjAwOSwsLFVTRCk=&amp;WINDOW=FIRST_POPUP&amp;HEIGH","T=450&amp;WIDTH=450&amp;START_MAXIMIZED=FALSE&amp;VAR:CALENDAR=US&amp;VAR:SYMBOL=IBM&amp;VAR:INDEX=0"}</definedName>
    <definedName name="_548__FDSAUDITLINK__" localSheetId="1"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8__FDSAUDITLINK__" hidden="1">{"fdsup://directions/FAT Viewer?action=UPDATE&amp;creator=factset&amp;DYN_ARGS=TRUE&amp;DOC_NAME=FAT:FQL_AUDITING_CLIENT_TEMPLATE.FAT&amp;display_string=Audit&amp;VAR:KEY=VCNKXCPUZC&amp;VAR:QUERY=RkZfRUJJVERBX09QRVIoUVRSLDQvMS8yMDEwLDYvMzAvMjAxMCwsLFVTRCk=&amp;WINDOW=FIRST_POPUP&amp;HEIGH","T=450&amp;WIDTH=450&amp;START_MAXIMIZED=FALSE&amp;VAR:CALENDAR=US&amp;VAR:SYMBOL=IBM&amp;VAR:INDEX=0"}</definedName>
    <definedName name="_549__FDSAUDITLINK__" localSheetId="1"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49__FDSAUDITLINK__" hidden="1">{"fdsup://directions/FAT Viewer?action=UPDATE&amp;creator=factset&amp;DYN_ARGS=TRUE&amp;DOC_NAME=FAT:FQL_AUDITING_CLIENT_TEMPLATE.FAT&amp;display_string=Audit&amp;VAR:KEY=ZGLMZIJSPM&amp;VAR:QUERY=RkZfRUJJVERBX09QRVIoUVRSLDQvMS8yMDA5LDYvMzAvMjAwOSwsLFVTRCk=&amp;WINDOW=FIRST_POPUP&amp;HEIGH","T=450&amp;WIDTH=450&amp;START_MAXIMIZED=FALSE&amp;VAR:CALENDAR=US&amp;VAR:SYMBOL=HUM&amp;VAR:INDEX=0"}</definedName>
    <definedName name="_55__FDSAUDITLINK__" localSheetId="1"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__FDSAUDITLINK__" hidden="1">{"fdsup://directions/FAT Viewer?action=UPDATE&amp;creator=factset&amp;DYN_ARGS=TRUE&amp;DOC_NAME=FAT:FQL_AUDITING_CLIENT_TEMPLATE.FAT&amp;display_string=Audit&amp;VAR:KEY=VGRGTIFCHE&amp;VAR:QUERY=RkZfRUJJVERBX09QRVIoUVRSLDQvMS8yMDA5LDYvMzAvMjAwOSwsLFVTRCk=&amp;WINDOW=FIRST_POPUP&amp;HEIGH","T=450&amp;WIDTH=450&amp;START_MAXIMIZED=FALSE&amp;VAR:CALENDAR=US&amp;VAR:SYMBOL=WDC&amp;VAR:INDEX=0"}</definedName>
    <definedName name="_550__FDSAUDITLINK__" localSheetId="1"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0__FDSAUDITLINK__" hidden="1">{"fdsup://directions/FAT Viewer?action=UPDATE&amp;creator=factset&amp;DYN_ARGS=TRUE&amp;DOC_NAME=FAT:FQL_AUDITING_CLIENT_TEMPLATE.FAT&amp;display_string=Audit&amp;VAR:KEY=VIDYREHUTY&amp;VAR:QUERY=RkZfRUJJVERBX09QRVIoUVRSLDQvMS8yMDEwLDYvMzAvMjAxMCwsLFVTRCk=&amp;WINDOW=FIRST_POPUP&amp;HEIGH","T=450&amp;WIDTH=450&amp;START_MAXIMIZED=FALSE&amp;VAR:CALENDAR=US&amp;VAR:SYMBOL=HUM&amp;VAR:INDEX=0"}</definedName>
    <definedName name="_551__FDSAUDITLINK__" localSheetId="1"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1__FDSAUDITLINK__" hidden="1">{"fdsup://directions/FAT Viewer?action=UPDATE&amp;creator=factset&amp;DYN_ARGS=TRUE&amp;DOC_NAME=FAT:FQL_AUDITING_CLIENT_TEMPLATE.FAT&amp;display_string=Audit&amp;VAR:KEY=DMZCJKBGBS&amp;VAR:QUERY=RkZfRUJJVERBX09QRVIoUVRSLDQvMS8yMDA5LDYvMzAvMjAwOSwsLFVTRCk=&amp;WINDOW=FIRST_POPUP&amp;HEIGH","T=450&amp;WIDTH=450&amp;START_MAXIMIZED=FALSE&amp;VAR:CALENDAR=US&amp;VAR:SYMBOL=HSY&amp;VAR:INDEX=0"}</definedName>
    <definedName name="_552__FDSAUDITLINK__" localSheetId="1"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2__FDSAUDITLINK__" hidden="1">{"fdsup://directions/FAT Viewer?action=UPDATE&amp;creator=factset&amp;DYN_ARGS=TRUE&amp;DOC_NAME=FAT:FQL_AUDITING_CLIENT_TEMPLATE.FAT&amp;display_string=Audit&amp;VAR:KEY=JEXGTMBUPE&amp;VAR:QUERY=RkZfRUJJVERBX09QRVIoUVRSLDQvMS8yMDEwLDYvMzAvMjAxMCwsLFVTRCk=&amp;WINDOW=FIRST_POPUP&amp;HEIGH","T=450&amp;WIDTH=450&amp;START_MAXIMIZED=FALSE&amp;VAR:CALENDAR=US&amp;VAR:SYMBOL=HSY&amp;VAR:INDEX=0"}</definedName>
    <definedName name="_553__FDSAUDITLINK__" localSheetId="1"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3__FDSAUDITLINK__" hidden="1">{"fdsup://directions/FAT Viewer?action=UPDATE&amp;creator=factset&amp;DYN_ARGS=TRUE&amp;DOC_NAME=FAT:FQL_AUDITING_CLIENT_TEMPLATE.FAT&amp;display_string=Audit&amp;VAR:KEY=DKFCFYVABG&amp;VAR:QUERY=RkZfRUJJVERBX09QRVIoUVRSLDQvMS8yMDA5LDYvMzAvMjAwOSwsLFVTRCk=&amp;WINDOW=FIRST_POPUP&amp;HEIGH","T=450&amp;WIDTH=450&amp;START_MAXIMIZED=FALSE&amp;VAR:CALENDAR=US&amp;VAR:SYMBOL=HST&amp;VAR:INDEX=0"}</definedName>
    <definedName name="_554__FDSAUDITLINK__" localSheetId="1"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4__FDSAUDITLINK__" hidden="1">{"fdsup://directions/FAT Viewer?action=UPDATE&amp;creator=factset&amp;DYN_ARGS=TRUE&amp;DOC_NAME=FAT:FQL_AUDITING_CLIENT_TEMPLATE.FAT&amp;display_string=Audit&amp;VAR:KEY=PADODARSBA&amp;VAR:QUERY=RkZfRUJJVERBX09QRVIoUVRSLDQvMS8yMDEwLDYvMzAvMjAxMCwsLFVTRCk=&amp;WINDOW=FIRST_POPUP&amp;HEIGH","T=450&amp;WIDTH=450&amp;START_MAXIMIZED=FALSE&amp;VAR:CALENDAR=US&amp;VAR:SYMBOL=HST&amp;VAR:INDEX=0"}</definedName>
    <definedName name="_555__FDSAUDITLINK__" localSheetId="1"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5__FDSAUDITLINK__" hidden="1">{"fdsup://directions/FAT Viewer?action=UPDATE&amp;creator=factset&amp;DYN_ARGS=TRUE&amp;DOC_NAME=FAT:FQL_AUDITING_CLIENT_TEMPLATE.FAT&amp;display_string=Audit&amp;VAR:KEY=XCTONARMHK&amp;VAR:QUERY=RkZfRUJJVERBX09QRVIoUVRSLDQvMS8yMDA5LDYvMzAvMjAwOSwsLFVTRCk=&amp;WINDOW=FIRST_POPUP&amp;HEIGH","T=450&amp;WIDTH=450&amp;START_MAXIMIZED=FALSE&amp;VAR:CALENDAR=US&amp;VAR:SYMBOL=HSP&amp;VAR:INDEX=0"}</definedName>
    <definedName name="_556__FDSAUDITLINK__" localSheetId="1"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6__FDSAUDITLINK__" hidden="1">{"fdsup://directions/FAT Viewer?action=UPDATE&amp;creator=factset&amp;DYN_ARGS=TRUE&amp;DOC_NAME=FAT:FQL_AUDITING_CLIENT_TEMPLATE.FAT&amp;display_string=Audit&amp;VAR:KEY=XAPEZIJWBG&amp;VAR:QUERY=RkZfRUJJVERBX09QRVIoUVRSLDQvMS8yMDEwLDYvMzAvMjAxMCwsLFVTRCk=&amp;WINDOW=FIRST_POPUP&amp;HEIGH","T=450&amp;WIDTH=450&amp;START_MAXIMIZED=FALSE&amp;VAR:CALENDAR=US&amp;VAR:SYMBOL=HSP&amp;VAR:INDEX=0"}</definedName>
    <definedName name="_557__FDSAUDITLINK__" localSheetId="1"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7__FDSAUDITLINK__" hidden="1">{"fdsup://directions/FAT Viewer?action=UPDATE&amp;creator=factset&amp;DYN_ARGS=TRUE&amp;DOC_NAME=FAT:FQL_AUDITING_CLIENT_TEMPLATE.FAT&amp;display_string=Audit&amp;VAR:KEY=VAFULARKLW&amp;VAR:QUERY=RkZfRUJJVERBX09QRVIoUVRSLDQvMS8yMDA5LDYvMzAvMjAwOSwsLFVTRCk=&amp;WINDOW=FIRST_POPUP&amp;HEIGH","T=450&amp;WIDTH=450&amp;START_MAXIMIZED=FALSE&amp;VAR:CALENDAR=US&amp;VAR:SYMBOL=HRS&amp;VAR:INDEX=0"}</definedName>
    <definedName name="_558__FDSAUDITLINK__" localSheetId="1"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8__FDSAUDITLINK__" hidden="1">{"fdsup://directions/FAT Viewer?action=UPDATE&amp;creator=factset&amp;DYN_ARGS=TRUE&amp;DOC_NAME=FAT:FQL_AUDITING_CLIENT_TEMPLATE.FAT&amp;display_string=Audit&amp;VAR:KEY=FSNENOPOHY&amp;VAR:QUERY=RkZfRUJJVERBX09QRVIoUVRSLDQvMS8yMDEwLDYvMzAvMjAxMCwsLFVTRCk=&amp;WINDOW=FIRST_POPUP&amp;HEIGH","T=450&amp;WIDTH=450&amp;START_MAXIMIZED=FALSE&amp;VAR:CALENDAR=US&amp;VAR:SYMBOL=HRS&amp;VAR:INDEX=0"}</definedName>
    <definedName name="_559__FDSAUDITLINK__" localSheetId="1"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59__FDSAUDITLINK__" hidden="1">{"fdsup://directions/FAT Viewer?action=UPDATE&amp;creator=factset&amp;DYN_ARGS=TRUE&amp;DOC_NAME=FAT:FQL_AUDITING_CLIENT_TEMPLATE.FAT&amp;display_string=Audit&amp;VAR:KEY=FCFAHCDIZA&amp;VAR:QUERY=RkZfRUJJVERBX09QRVIoUVRSLDQvMS8yMDA5LDYvMzAvMjAwOSwsLFVTRCk=&amp;WINDOW=FIRST_POPUP&amp;HEIGH","T=450&amp;WIDTH=450&amp;START_MAXIMIZED=FALSE&amp;VAR:CALENDAR=US&amp;VAR:SYMBOL=HRL&amp;VAR:INDEX=0"}</definedName>
    <definedName name="_56__FDSAUDITLINK__" localSheetId="1"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__FDSAUDITLINK__" hidden="1">{"fdsup://directions/FAT Viewer?action=UPDATE&amp;creator=factset&amp;DYN_ARGS=TRUE&amp;DOC_NAME=FAT:FQL_AUDITING_CLIENT_TEMPLATE.FAT&amp;display_string=Audit&amp;VAR:KEY=ZYPSNMTSNM&amp;VAR:QUERY=RkZfRUJJVERBX09QRVIoUVRSLDQvMS8yMDEwLDYvMzAvMjAxMCwsLFVTRCk=&amp;WINDOW=FIRST_POPUP&amp;HEIGH","T=450&amp;WIDTH=450&amp;START_MAXIMIZED=FALSE&amp;VAR:CALENDAR=US&amp;VAR:SYMBOL=WDC&amp;VAR:INDEX=0"}</definedName>
    <definedName name="_560__FDSAUDITLINK__" localSheetId="1"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0__FDSAUDITLINK__" hidden="1">{"fdsup://directions/FAT Viewer?action=UPDATE&amp;creator=factset&amp;DYN_ARGS=TRUE&amp;DOC_NAME=FAT:FQL_AUDITING_CLIENT_TEMPLATE.FAT&amp;display_string=Audit&amp;VAR:KEY=PARYBILGJK&amp;VAR:QUERY=RkZfRUJJVERBX09QRVIoUVRSLDQvMS8yMDEwLDYvMzAvMjAxMCwsLFVTRCk=&amp;WINDOW=FIRST_POPUP&amp;HEIGH","T=450&amp;WIDTH=450&amp;START_MAXIMIZED=FALSE&amp;VAR:CALENDAR=US&amp;VAR:SYMBOL=HRL&amp;VAR:INDEX=0"}</definedName>
    <definedName name="_561__FDSAUDITLINK__" localSheetId="1"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1__FDSAUDITLINK__" hidden="1">{"fdsup://directions/FAT Viewer?action=UPDATE&amp;creator=factset&amp;DYN_ARGS=TRUE&amp;DOC_NAME=FAT:FQL_AUDITING_CLIENT_TEMPLATE.FAT&amp;display_string=Audit&amp;VAR:KEY=NENEZGNEVY&amp;VAR:QUERY=RkZfRUJJVERBX09QRVIoUVRSLDQvMS8yMDA5LDYvMzAvMjAwOSwsLFVTRCk=&amp;WINDOW=FIRST_POPUP&amp;HEIGH","T=450&amp;WIDTH=450&amp;START_MAXIMIZED=FALSE&amp;VAR:CALENDAR=US&amp;VAR:SYMBOL=HRB&amp;VAR:INDEX=0"}</definedName>
    <definedName name="_562__FDSAUDITLINK__" localSheetId="1"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2__FDSAUDITLINK__" hidden="1">{"fdsup://directions/FAT Viewer?action=UPDATE&amp;creator=factset&amp;DYN_ARGS=TRUE&amp;DOC_NAME=FAT:FQL_AUDITING_CLIENT_TEMPLATE.FAT&amp;display_string=Audit&amp;VAR:KEY=JSJWTEFSHQ&amp;VAR:QUERY=RkZfRUJJVERBX09QRVIoUVRSLDQvMS8yMDEwLDYvMzAvMjAxMCwsLFVTRCk=&amp;WINDOW=FIRST_POPUP&amp;HEIGH","T=450&amp;WIDTH=450&amp;START_MAXIMIZED=FALSE&amp;VAR:CALENDAR=US&amp;VAR:SYMBOL=HRB&amp;VAR:INDEX=0"}</definedName>
    <definedName name="_563__FDSAUDITLINK__" localSheetId="1"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3__FDSAUDITLINK__" hidden="1">{"fdsup://directions/FAT Viewer?action=UPDATE&amp;creator=factset&amp;DYN_ARGS=TRUE&amp;DOC_NAME=FAT:FQL_AUDITING_CLIENT_TEMPLATE.FAT&amp;display_string=Audit&amp;VAR:KEY=TCNWFQXQRU&amp;VAR:QUERY=RkZfRUJJVERBX09QRVIoUVRSLDQvMS8yMDA5LDYvMzAvMjAwOSwsLFVTRCk=&amp;WINDOW=FIRST_POPUP&amp;HEIGH","T=450&amp;WIDTH=450&amp;START_MAXIMIZED=FALSE&amp;VAR:CALENDAR=US&amp;VAR:SYMBOL=HPQ&amp;VAR:INDEX=0"}</definedName>
    <definedName name="_564__FDSAUDITLINK__" localSheetId="1"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4__FDSAUDITLINK__" hidden="1">{"fdsup://directions/FAT Viewer?action=UPDATE&amp;creator=factset&amp;DYN_ARGS=TRUE&amp;DOC_NAME=FAT:FQL_AUDITING_CLIENT_TEMPLATE.FAT&amp;display_string=Audit&amp;VAR:KEY=HSBMZYLYNY&amp;VAR:QUERY=RkZfRUJJVERBX09QRVIoUVRSLDQvMS8yMDEwLDYvMzAvMjAxMCwsLFVTRCk=&amp;WINDOW=FIRST_POPUP&amp;HEIGH","T=450&amp;WIDTH=450&amp;START_MAXIMIZED=FALSE&amp;VAR:CALENDAR=US&amp;VAR:SYMBOL=HPQ&amp;VAR:INDEX=0"}</definedName>
    <definedName name="_565__FDSAUDITLINK__" localSheetId="1"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5__FDSAUDITLINK__" hidden="1">{"fdsup://directions/FAT Viewer?action=UPDATE&amp;creator=factset&amp;DYN_ARGS=TRUE&amp;DOC_NAME=FAT:FQL_AUDITING_CLIENT_TEMPLATE.FAT&amp;display_string=Audit&amp;VAR:KEY=BYDCVARYNA&amp;VAR:QUERY=RkZfRUJJVERBX09QRVIoUVRSLDQvMS8yMDA5LDYvMzAvMjAwOSwsLFVTRCk=&amp;WINDOW=FIRST_POPUP&amp;HEIGH","T=450&amp;WIDTH=450&amp;START_MAXIMIZED=FALSE&amp;VAR:CALENDAR=US&amp;VAR:SYMBOL=HP&amp;VAR:INDEX=0"}</definedName>
    <definedName name="_566__FDSAUDITLINK__" localSheetId="1"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6__FDSAUDITLINK__" hidden="1">{"fdsup://directions/FAT Viewer?action=UPDATE&amp;creator=factset&amp;DYN_ARGS=TRUE&amp;DOC_NAME=FAT:FQL_AUDITING_CLIENT_TEMPLATE.FAT&amp;display_string=Audit&amp;VAR:KEY=TKPKFSVKTY&amp;VAR:QUERY=RkZfRUJJVERBX09QRVIoUVRSLDQvMS8yMDEwLDYvMzAvMjAxMCwsLFVTRCk=&amp;WINDOW=FIRST_POPUP&amp;HEIGH","T=450&amp;WIDTH=450&amp;START_MAXIMIZED=FALSE&amp;VAR:CALENDAR=US&amp;VAR:SYMBOL=HP&amp;VAR:INDEX=0"}</definedName>
    <definedName name="_567__FDSAUDITLINK__" localSheetId="1"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7__FDSAUDITLINK__" hidden="1">{"fdsup://directions/FAT Viewer?action=UPDATE&amp;creator=factset&amp;DYN_ARGS=TRUE&amp;DOC_NAME=FAT:FQL_AUDITING_CLIENT_TEMPLATE.FAT&amp;display_string=Audit&amp;VAR:KEY=TYRCLQJYVU&amp;VAR:QUERY=RkZfRUJJVERBX09QRVIoUVRSLDQvMS8yMDA5LDYvMzAvMjAwOSwsLFVTRCk=&amp;WINDOW=FIRST_POPUP&amp;HEIGH","T=450&amp;WIDTH=450&amp;START_MAXIMIZED=FALSE&amp;VAR:CALENDAR=US&amp;VAR:SYMBOL=HOT&amp;VAR:INDEX=0"}</definedName>
    <definedName name="_568__FDSAUDITLINK__" localSheetId="1"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8__FDSAUDITLINK__" hidden="1">{"fdsup://directions/FAT Viewer?action=UPDATE&amp;creator=factset&amp;DYN_ARGS=TRUE&amp;DOC_NAME=FAT:FQL_AUDITING_CLIENT_TEMPLATE.FAT&amp;display_string=Audit&amp;VAR:KEY=JCHGDOLOLC&amp;VAR:QUERY=RkZfRUJJVERBX09QRVIoUVRSLDQvMS8yMDEwLDYvMzAvMjAxMCwsLFVTRCk=&amp;WINDOW=FIRST_POPUP&amp;HEIGH","T=450&amp;WIDTH=450&amp;START_MAXIMIZED=FALSE&amp;VAR:CALENDAR=US&amp;VAR:SYMBOL=HOT&amp;VAR:INDEX=0"}</definedName>
    <definedName name="_569__FDSAUDITLINK__" localSheetId="1"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69__FDSAUDITLINK__" hidden="1">{"fdsup://directions/FAT Viewer?action=UPDATE&amp;creator=factset&amp;DYN_ARGS=TRUE&amp;DOC_NAME=FAT:FQL_AUDITING_CLIENT_TEMPLATE.FAT&amp;display_string=Audit&amp;VAR:KEY=ZSLYXWJSLW&amp;VAR:QUERY=RkZfRUJJVERBX09QRVIoUVRSLDQvMS8yMDA5LDYvMzAvMjAwOSwsLFVTRCk=&amp;WINDOW=FIRST_POPUP&amp;HEIGH","T=450&amp;WIDTH=450&amp;START_MAXIMIZED=FALSE&amp;VAR:CALENDAR=US&amp;VAR:SYMBOL=HON&amp;VAR:INDEX=0"}</definedName>
    <definedName name="_57__FDSAUDITLINK__" localSheetId="1"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__FDSAUDITLINK__" hidden="1">{"fdsup://directions/FAT Viewer?action=UPDATE&amp;creator=factset&amp;DYN_ARGS=TRUE&amp;DOC_NAME=FAT:FQL_AUDITING_CLIENT_TEMPLATE.FAT&amp;display_string=Audit&amp;VAR:KEY=HETSREHMLY&amp;VAR:QUERY=RkZfRUJJVERBX09QRVIoUVRSLDQvMS8yMDA5LDYvMzAvMjAwOSwsLFVTRCk=&amp;WINDOW=FIRST_POPUP&amp;HEIGH","T=450&amp;WIDTH=450&amp;START_MAXIMIZED=FALSE&amp;VAR:CALENDAR=US&amp;VAR:SYMBOL=WAT&amp;VAR:INDEX=0"}</definedName>
    <definedName name="_570__FDSAUDITLINK__" localSheetId="1"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0__FDSAUDITLINK__" hidden="1">{"fdsup://directions/FAT Viewer?action=UPDATE&amp;creator=factset&amp;DYN_ARGS=TRUE&amp;DOC_NAME=FAT:FQL_AUDITING_CLIENT_TEMPLATE.FAT&amp;display_string=Audit&amp;VAR:KEY=FWDYFWFCZC&amp;VAR:QUERY=RkZfRUJJVERBX09QRVIoUVRSLDQvMS8yMDEwLDYvMzAvMjAxMCwsLFVTRCk=&amp;WINDOW=FIRST_POPUP&amp;HEIGH","T=450&amp;WIDTH=450&amp;START_MAXIMIZED=FALSE&amp;VAR:CALENDAR=US&amp;VAR:SYMBOL=HON&amp;VAR:INDEX=0"}</definedName>
    <definedName name="_571__FDSAUDITLINK__" localSheetId="1"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1__FDSAUDITLINK__" hidden="1">{"fdsup://directions/FAT Viewer?action=UPDATE&amp;creator=factset&amp;DYN_ARGS=TRUE&amp;DOC_NAME=FAT:FQL_AUDITING_CLIENT_TEMPLATE.FAT&amp;display_string=Audit&amp;VAR:KEY=HOPCBUJIPI&amp;VAR:QUERY=RkZfRUJJVERBX09QRVIoUVRSLDQvMS8yMDA5LDYvMzAvMjAwOSwsLFVTRCk=&amp;WINDOW=FIRST_POPUP&amp;HEIGH","T=450&amp;WIDTH=450&amp;START_MAXIMIZED=FALSE&amp;VAR:CALENDAR=US&amp;VAR:SYMBOL=HOG&amp;VAR:INDEX=0"}</definedName>
    <definedName name="_572__FDSAUDITLINK__" localSheetId="1"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2__FDSAUDITLINK__" hidden="1">{"fdsup://directions/FAT Viewer?action=UPDATE&amp;creator=factset&amp;DYN_ARGS=TRUE&amp;DOC_NAME=FAT:FQL_AUDITING_CLIENT_TEMPLATE.FAT&amp;display_string=Audit&amp;VAR:KEY=DCRMZYPIBY&amp;VAR:QUERY=RkZfRUJJVERBX09QRVIoUVRSLDQvMS8yMDEwLDYvMzAvMjAxMCwsLFVTRCk=&amp;WINDOW=FIRST_POPUP&amp;HEIGH","T=450&amp;WIDTH=450&amp;START_MAXIMIZED=FALSE&amp;VAR:CALENDAR=US&amp;VAR:SYMBOL=HOG&amp;VAR:INDEX=0"}</definedName>
    <definedName name="_573__FDSAUDITLINK__" localSheetId="1"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3__FDSAUDITLINK__" hidden="1">{"fdsup://directions/FAT Viewer?action=UPDATE&amp;creator=factset&amp;DYN_ARGS=TRUE&amp;DOC_NAME=FAT:FQL_AUDITING_CLIENT_TEMPLATE.FAT&amp;display_string=Audit&amp;VAR:KEY=NSBYNMNGTO&amp;VAR:QUERY=RkZfRUJJVERBX09QRVIoUVRSLDQvMS8yMDA5LDYvMzAvMjAwOSwsLFVTRCk=&amp;WINDOW=FIRST_POPUP&amp;HEIGH","T=450&amp;WIDTH=450&amp;START_MAXIMIZED=FALSE&amp;VAR:CALENDAR=US&amp;VAR:SYMBOL=HNZ&amp;VAR:INDEX=0"}</definedName>
    <definedName name="_574__FDSAUDITLINK__" localSheetId="1"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4__FDSAUDITLINK__" hidden="1">{"fdsup://directions/FAT Viewer?action=UPDATE&amp;creator=factset&amp;DYN_ARGS=TRUE&amp;DOC_NAME=FAT:FQL_AUDITING_CLIENT_TEMPLATE.FAT&amp;display_string=Audit&amp;VAR:KEY=HWRAFCHEJE&amp;VAR:QUERY=RkZfRUJJVERBX09QRVIoUVRSLDQvMS8yMDEwLDYvMzAvMjAxMCwsLFVTRCk=&amp;WINDOW=FIRST_POPUP&amp;HEIGH","T=450&amp;WIDTH=450&amp;START_MAXIMIZED=FALSE&amp;VAR:CALENDAR=US&amp;VAR:SYMBOL=HNZ&amp;VAR:INDEX=0"}</definedName>
    <definedName name="_575__FDSAUDITLINK__" localSheetId="1"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5__FDSAUDITLINK__" hidden="1">{"fdsup://directions/FAT Viewer?action=UPDATE&amp;creator=factset&amp;DYN_ARGS=TRUE&amp;DOC_NAME=FAT:FQL_AUDITING_CLIENT_TEMPLATE.FAT&amp;display_string=Audit&amp;VAR:KEY=RWFYXIDUFS&amp;VAR:QUERY=RkZfRUJJVERBX09QRVIoUVRSLDQvMS8yMDA5LDYvMzAvMjAwOSwsLFVTRCk=&amp;WINDOW=FIRST_POPUP&amp;HEIGH","T=450&amp;WIDTH=450&amp;START_MAXIMIZED=FALSE&amp;VAR:CALENDAR=US&amp;VAR:SYMBOL=HIG&amp;VAR:INDEX=0"}</definedName>
    <definedName name="_576__FDSAUDITLINK__" localSheetId="1"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6__FDSAUDITLINK__" hidden="1">{"fdsup://directions/FAT Viewer?action=UPDATE&amp;creator=factset&amp;DYN_ARGS=TRUE&amp;DOC_NAME=FAT:FQL_AUDITING_CLIENT_TEMPLATE.FAT&amp;display_string=Audit&amp;VAR:KEY=PMDSDAFOFK&amp;VAR:QUERY=RkZfRUJJVERBX09QRVIoUVRSLDQvMS8yMDEwLDYvMzAvMjAxMCwsLFVTRCk=&amp;WINDOW=FIRST_POPUP&amp;HEIGH","T=450&amp;WIDTH=450&amp;START_MAXIMIZED=FALSE&amp;VAR:CALENDAR=US&amp;VAR:SYMBOL=HIG&amp;VAR:INDEX=0"}</definedName>
    <definedName name="_577__FDSAUDITLINK__" localSheetId="1"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7__FDSAUDITLINK__" hidden="1">{"fdsup://directions/FAT Viewer?action=UPDATE&amp;creator=factset&amp;DYN_ARGS=TRUE&amp;DOC_NAME=FAT:FQL_AUDITING_CLIENT_TEMPLATE.FAT&amp;display_string=Audit&amp;VAR:KEY=REPUFIZUVU&amp;VAR:QUERY=RkZfRUJJVERBX09QRVIoUVRSLDQvMS8yMDA5LDYvMzAvMjAwOSwsLFVTRCk=&amp;WINDOW=FIRST_POPUP&amp;HEIGH","T=450&amp;WIDTH=450&amp;START_MAXIMIZED=FALSE&amp;VAR:CALENDAR=US&amp;VAR:SYMBOL=HES&amp;VAR:INDEX=0"}</definedName>
    <definedName name="_578__FDSAUDITLINK__" localSheetId="1"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8__FDSAUDITLINK__" hidden="1">{"fdsup://directions/FAT Viewer?action=UPDATE&amp;creator=factset&amp;DYN_ARGS=TRUE&amp;DOC_NAME=FAT:FQL_AUDITING_CLIENT_TEMPLATE.FAT&amp;display_string=Audit&amp;VAR:KEY=LYFUTWLWFU&amp;VAR:QUERY=RkZfRUJJVERBX09QRVIoUVRSLDQvMS8yMDEwLDYvMzAvMjAxMCwsLFVTRCk=&amp;WINDOW=FIRST_POPUP&amp;HEIGH","T=450&amp;WIDTH=450&amp;START_MAXIMIZED=FALSE&amp;VAR:CALENDAR=US&amp;VAR:SYMBOL=HES&amp;VAR:INDEX=0"}</definedName>
    <definedName name="_579__FDSAUDITLINK__" localSheetId="1"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79__FDSAUDITLINK__" hidden="1">{"fdsup://directions/FAT Viewer?action=UPDATE&amp;creator=factset&amp;DYN_ARGS=TRUE&amp;DOC_NAME=FAT:FQL_AUDITING_CLIENT_TEMPLATE.FAT&amp;display_string=Audit&amp;VAR:KEY=NEHGJIZURU&amp;VAR:QUERY=RkZfRUJJVERBX09QRVIoUVRSLDQvMS8yMDA5LDYvMzAvMjAwOSwsLFVTRCk=&amp;WINDOW=FIRST_POPUP&amp;HEIGH","T=450&amp;WIDTH=450&amp;START_MAXIMIZED=FALSE&amp;VAR:CALENDAR=US&amp;VAR:SYMBOL=HD&amp;VAR:INDEX=0"}</definedName>
    <definedName name="_58__FDSAUDITLINK__" localSheetId="1"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__FDSAUDITLINK__" hidden="1">{"fdsup://directions/FAT Viewer?action=UPDATE&amp;creator=factset&amp;DYN_ARGS=TRUE&amp;DOC_NAME=FAT:FQL_AUDITING_CLIENT_TEMPLATE.FAT&amp;display_string=Audit&amp;VAR:KEY=FUVCZOLSFI&amp;VAR:QUERY=RkZfRUJJVERBX09QRVIoUVRSLDQvMS8yMDEwLDYvMzAvMjAxMCwsLFVTRCk=&amp;WINDOW=FIRST_POPUP&amp;HEIGH","T=450&amp;WIDTH=450&amp;START_MAXIMIZED=FALSE&amp;VAR:CALENDAR=US&amp;VAR:SYMBOL=WAT&amp;VAR:INDEX=0"}</definedName>
    <definedName name="_580__FDSAUDITLINK__" localSheetId="1"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0__FDSAUDITLINK__" hidden="1">{"fdsup://directions/FAT Viewer?action=UPDATE&amp;creator=factset&amp;DYN_ARGS=TRUE&amp;DOC_NAME=FAT:FQL_AUDITING_CLIENT_TEMPLATE.FAT&amp;display_string=Audit&amp;VAR:KEY=NWNKLWTEFY&amp;VAR:QUERY=RkZfRUJJVERBX09QRVIoUVRSLDQvMS8yMDEwLDYvMzAvMjAxMCwsLFVTRCk=&amp;WINDOW=FIRST_POPUP&amp;HEIGH","T=450&amp;WIDTH=450&amp;START_MAXIMIZED=FALSE&amp;VAR:CALENDAR=US&amp;VAR:SYMBOL=HD&amp;VAR:INDEX=0"}</definedName>
    <definedName name="_581__FDSAUDITLINK__" localSheetId="1"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1__FDSAUDITLINK__" hidden="1">{"fdsup://directions/FAT Viewer?action=UPDATE&amp;creator=factset&amp;DYN_ARGS=TRUE&amp;DOC_NAME=FAT:FQL_AUDITING_CLIENT_TEMPLATE.FAT&amp;display_string=Audit&amp;VAR:KEY=VIJKDGPEZQ&amp;VAR:QUERY=RkZfRUJJVERBX09QRVIoUVRSLDQvMS8yMDA5LDYvMzAvMjAwOSwsLFVTRCk=&amp;WINDOW=FIRST_POPUP&amp;HEIGH","T=450&amp;WIDTH=450&amp;START_MAXIMIZED=FALSE&amp;VAR:CALENDAR=US&amp;VAR:SYMBOL=HCP&amp;VAR:INDEX=0"}</definedName>
    <definedName name="_582__FDSAUDITLINK__" localSheetId="1"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2__FDSAUDITLINK__" hidden="1">{"fdsup://directions/FAT Viewer?action=UPDATE&amp;creator=factset&amp;DYN_ARGS=TRUE&amp;DOC_NAME=FAT:FQL_AUDITING_CLIENT_TEMPLATE.FAT&amp;display_string=Audit&amp;VAR:KEY=XKREZGNMZI&amp;VAR:QUERY=RkZfRUJJVERBX09QRVIoUVRSLDQvMS8yMDEwLDYvMzAvMjAxMCwsLFVTRCk=&amp;WINDOW=FIRST_POPUP&amp;HEIGH","T=450&amp;WIDTH=450&amp;START_MAXIMIZED=FALSE&amp;VAR:CALENDAR=US&amp;VAR:SYMBOL=HCP&amp;VAR:INDEX=0"}</definedName>
    <definedName name="_583__FDSAUDITLINK__" localSheetId="1"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3__FDSAUDITLINK__" hidden="1">{"fdsup://directions/FAT Viewer?action=UPDATE&amp;creator=factset&amp;DYN_ARGS=TRUE&amp;DOC_NAME=FAT:FQL_AUDITING_CLIENT_TEMPLATE.FAT&amp;display_string=Audit&amp;VAR:KEY=RADIDSBOHE&amp;VAR:QUERY=RkZfRUJJVERBX09QRVIoUVRSLDQvMS8yMDA5LDYvMzAvMjAwOSwsLFVTRCk=&amp;WINDOW=FIRST_POPUP&amp;HEIGH","T=450&amp;WIDTH=450&amp;START_MAXIMIZED=FALSE&amp;VAR:CALENDAR=US&amp;VAR:SYMBOL=HCN&amp;VAR:INDEX=0"}</definedName>
    <definedName name="_584__FDSAUDITLINK__" localSheetId="1"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4__FDSAUDITLINK__" hidden="1">{"fdsup://directions/FAT Viewer?action=UPDATE&amp;creator=factset&amp;DYN_ARGS=TRUE&amp;DOC_NAME=FAT:FQL_AUDITING_CLIENT_TEMPLATE.FAT&amp;display_string=Audit&amp;VAR:KEY=XSNKTSXEPQ&amp;VAR:QUERY=RkZfRUJJVERBX09QRVIoUVRSLDQvMS8yMDEwLDYvMzAvMjAxMCwsLFVTRCk=&amp;WINDOW=FIRST_POPUP&amp;HEIGH","T=450&amp;WIDTH=450&amp;START_MAXIMIZED=FALSE&amp;VAR:CALENDAR=US&amp;VAR:SYMBOL=HCN&amp;VAR:INDEX=0"}</definedName>
    <definedName name="_585__FDSAUDITLINK__" localSheetId="1"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5__FDSAUDITLINK__" hidden="1">{"fdsup://directions/FAT Viewer?action=UPDATE&amp;creator=factset&amp;DYN_ARGS=TRUE&amp;DOC_NAME=FAT:FQL_AUDITING_CLIENT_TEMPLATE.FAT&amp;display_string=Audit&amp;VAR:KEY=XOHSNOPGBO&amp;VAR:QUERY=RkZfRUJJVERBX09QRVIoUVRSLDQvMS8yMDA5LDYvMzAvMjAwOSwsLFVTRCk=&amp;WINDOW=FIRST_POPUP&amp;HEIGH","T=450&amp;WIDTH=450&amp;START_MAXIMIZED=FALSE&amp;VAR:CALENDAR=US&amp;VAR:SYMBOL=HCBK&amp;VAR:INDEX=0"}</definedName>
    <definedName name="_586__FDSAUDITLINK__" localSheetId="1"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6__FDSAUDITLINK__" hidden="1">{"fdsup://directions/FAT Viewer?action=UPDATE&amp;creator=factset&amp;DYN_ARGS=TRUE&amp;DOC_NAME=FAT:FQL_AUDITING_CLIENT_TEMPLATE.FAT&amp;display_string=Audit&amp;VAR:KEY=NEFSLYDQNA&amp;VAR:QUERY=RkZfRUJJVERBX09QRVIoUVRSLDQvMS8yMDEwLDYvMzAvMjAxMCwsLFVTRCk=&amp;WINDOW=FIRST_POPUP&amp;HEIGH","T=450&amp;WIDTH=450&amp;START_MAXIMIZED=FALSE&amp;VAR:CALENDAR=US&amp;VAR:SYMBOL=HCBK&amp;VAR:INDEX=0"}</definedName>
    <definedName name="_587__FDSAUDITLINK__" localSheetId="1"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7__FDSAUDITLINK__" hidden="1">{"fdsup://directions/FAT Viewer?action=UPDATE&amp;creator=factset&amp;DYN_ARGS=TRUE&amp;DOC_NAME=FAT:FQL_AUDITING_CLIENT_TEMPLATE.FAT&amp;display_string=Audit&amp;VAR:KEY=HIFOBWNEPW&amp;VAR:QUERY=RkZfRUJJVERBX09QRVIoUVRSLDQvMS8yMDA5LDYvMzAvMjAwOSwsLFVTRCk=&amp;WINDOW=FIRST_POPUP&amp;HEIGH","T=450&amp;WIDTH=450&amp;START_MAXIMIZED=FALSE&amp;VAR:CALENDAR=US&amp;VAR:SYMBOL=HBAN&amp;VAR:INDEX=0"}</definedName>
    <definedName name="_588__FDSAUDITLINK__" localSheetId="1"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8__FDSAUDITLINK__" hidden="1">{"fdsup://directions/FAT Viewer?action=UPDATE&amp;creator=factset&amp;DYN_ARGS=TRUE&amp;DOC_NAME=FAT:FQL_AUDITING_CLIENT_TEMPLATE.FAT&amp;display_string=Audit&amp;VAR:KEY=ZAXIXIBWLS&amp;VAR:QUERY=RkZfRUJJVERBX09QRVIoUVRSLDQvMS8yMDEwLDYvMzAvMjAxMCwsLFVTRCk=&amp;WINDOW=FIRST_POPUP&amp;HEIGH","T=450&amp;WIDTH=450&amp;START_MAXIMIZED=FALSE&amp;VAR:CALENDAR=US&amp;VAR:SYMBOL=HBAN&amp;VAR:INDEX=0"}</definedName>
    <definedName name="_589__FDSAUDITLINK__" localSheetId="1"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89__FDSAUDITLINK__" hidden="1">{"fdsup://directions/FAT Viewer?action=UPDATE&amp;creator=factset&amp;DYN_ARGS=TRUE&amp;DOC_NAME=FAT:FQL_AUDITING_CLIENT_TEMPLATE.FAT&amp;display_string=Audit&amp;VAR:KEY=BAVEVWJCRA&amp;VAR:QUERY=RkZfRUJJVERBX09QRVIoUVRSLDQvMS8yMDA5LDYvMzAvMjAwOSwsLFVTRCk=&amp;WINDOW=FIRST_POPUP&amp;HEIGH","T=450&amp;WIDTH=450&amp;START_MAXIMIZED=FALSE&amp;VAR:CALENDAR=US&amp;VAR:SYMBOL=HAS&amp;VAR:INDEX=0"}</definedName>
    <definedName name="_59__FDSAUDITLINK__" localSheetId="1"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__FDSAUDITLINK__" hidden="1">{"fdsup://directions/FAT Viewer?action=UPDATE&amp;creator=factset&amp;DYN_ARGS=TRUE&amp;DOC_NAME=FAT:FQL_AUDITING_CLIENT_TEMPLATE.FAT&amp;display_string=Audit&amp;VAR:KEY=BYVSZEXUDA&amp;VAR:QUERY=RkZfRUJJVERBX09QRVIoUVRSLDQvMS8yMDA5LDYvMzAvMjAwOSwsLFVTRCk=&amp;WINDOW=FIRST_POPUP&amp;HEIGH","T=450&amp;WIDTH=450&amp;START_MAXIMIZED=FALSE&amp;VAR:CALENDAR=US&amp;VAR:SYMBOL=WAG&amp;VAR:INDEX=0"}</definedName>
    <definedName name="_590__FDSAUDITLINK__" localSheetId="1"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0__FDSAUDITLINK__" hidden="1">{"fdsup://directions/FAT Viewer?action=UPDATE&amp;creator=factset&amp;DYN_ARGS=TRUE&amp;DOC_NAME=FAT:FQL_AUDITING_CLIENT_TEMPLATE.FAT&amp;display_string=Audit&amp;VAR:KEY=ZGLEPSPUNC&amp;VAR:QUERY=RkZfRUJJVERBX09QRVIoUVRSLDQvMS8yMDEwLDYvMzAvMjAxMCwsLFVTRCk=&amp;WINDOW=FIRST_POPUP&amp;HEIGH","T=450&amp;WIDTH=450&amp;START_MAXIMIZED=FALSE&amp;VAR:CALENDAR=US&amp;VAR:SYMBOL=HAS&amp;VAR:INDEX=0"}</definedName>
    <definedName name="_591__FDSAUDITLINK__" localSheetId="1"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1__FDSAUDITLINK__" hidden="1">{"fdsup://directions/FAT Viewer?action=UPDATE&amp;creator=factset&amp;DYN_ARGS=TRUE&amp;DOC_NAME=FAT:FQL_AUDITING_CLIENT_TEMPLATE.FAT&amp;display_string=Audit&amp;VAR:KEY=NSPIVOZUTC&amp;VAR:QUERY=RkZfRUJJVERBX09QRVIoUVRSLDQvMS8yMDA5LDYvMzAvMjAwOSwsLFVTRCk=&amp;WINDOW=FIRST_POPUP&amp;HEIGH","T=450&amp;WIDTH=450&amp;START_MAXIMIZED=FALSE&amp;VAR:CALENDAR=US&amp;VAR:SYMBOL=HAR&amp;VAR:INDEX=0"}</definedName>
    <definedName name="_592__FDSAUDITLINK__" localSheetId="1"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2__FDSAUDITLINK__" hidden="1">{"fdsup://directions/FAT Viewer?action=UPDATE&amp;creator=factset&amp;DYN_ARGS=TRUE&amp;DOC_NAME=FAT:FQL_AUDITING_CLIENT_TEMPLATE.FAT&amp;display_string=Audit&amp;VAR:KEY=ZWRSHWHCXW&amp;VAR:QUERY=RkZfRUJJVERBX09QRVIoUVRSLDQvMS8yMDEwLDYvMzAvMjAxMCwsLFVTRCk=&amp;WINDOW=FIRST_POPUP&amp;HEIGH","T=450&amp;WIDTH=450&amp;START_MAXIMIZED=FALSE&amp;VAR:CALENDAR=US&amp;VAR:SYMBOL=HAR&amp;VAR:INDEX=0"}</definedName>
    <definedName name="_593__FDSAUDITLINK__" localSheetId="1"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3__FDSAUDITLINK__" hidden="1">{"fdsup://directions/FAT Viewer?action=UPDATE&amp;creator=factset&amp;DYN_ARGS=TRUE&amp;DOC_NAME=FAT:FQL_AUDITING_CLIENT_TEMPLATE.FAT&amp;display_string=Audit&amp;VAR:KEY=HMRYFOJSVE&amp;VAR:QUERY=RkZfRUJJVERBX09QRVIoUVRSLDQvMS8yMDA5LDYvMzAvMjAwOSwsLFVTRCk=&amp;WINDOW=FIRST_POPUP&amp;HEIGH","T=450&amp;WIDTH=450&amp;START_MAXIMIZED=FALSE&amp;VAR:CALENDAR=US&amp;VAR:SYMBOL=HAL&amp;VAR:INDEX=0"}</definedName>
    <definedName name="_594__FDSAUDITLINK__" localSheetId="1"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4__FDSAUDITLINK__" hidden="1">{"fdsup://directions/FAT Viewer?action=UPDATE&amp;creator=factset&amp;DYN_ARGS=TRUE&amp;DOC_NAME=FAT:FQL_AUDITING_CLIENT_TEMPLATE.FAT&amp;display_string=Audit&amp;VAR:KEY=XOPKVWPCHQ&amp;VAR:QUERY=RkZfRUJJVERBX09QRVIoUVRSLDQvMS8yMDEwLDYvMzAvMjAxMCwsLFVTRCk=&amp;WINDOW=FIRST_POPUP&amp;HEIGH","T=450&amp;WIDTH=450&amp;START_MAXIMIZED=FALSE&amp;VAR:CALENDAR=US&amp;VAR:SYMBOL=HAL&amp;VAR:INDEX=0"}</definedName>
    <definedName name="_595__FDSAUDITLINK__" localSheetId="1"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5__FDSAUDITLINK__" hidden="1">{"fdsup://directions/FAT Viewer?action=UPDATE&amp;creator=factset&amp;DYN_ARGS=TRUE&amp;DOC_NAME=FAT:FQL_AUDITING_CLIENT_TEMPLATE.FAT&amp;display_string=Audit&amp;VAR:KEY=VWLIHMXOJM&amp;VAR:QUERY=RkZfRUJJVERBX09QRVIoUVRSLDQvMS8yMDA5LDYvMzAvMjAwOSwsLFVTRCk=&amp;WINDOW=FIRST_POPUP&amp;HEIGH","T=450&amp;WIDTH=450&amp;START_MAXIMIZED=FALSE&amp;VAR:CALENDAR=US&amp;VAR:SYMBOL=GWW&amp;VAR:INDEX=0"}</definedName>
    <definedName name="_596__FDSAUDITLINK__" localSheetId="1"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6__FDSAUDITLINK__" hidden="1">{"fdsup://directions/FAT Viewer?action=UPDATE&amp;creator=factset&amp;DYN_ARGS=TRUE&amp;DOC_NAME=FAT:FQL_AUDITING_CLIENT_TEMPLATE.FAT&amp;display_string=Audit&amp;VAR:KEY=PCLEHALCPQ&amp;VAR:QUERY=RkZfRUJJVERBX09QRVIoUVRSLDQvMS8yMDEwLDYvMzAvMjAxMCwsLFVTRCk=&amp;WINDOW=FIRST_POPUP&amp;HEIGH","T=450&amp;WIDTH=450&amp;START_MAXIMIZED=FALSE&amp;VAR:CALENDAR=US&amp;VAR:SYMBOL=GWW&amp;VAR:INDEX=0"}</definedName>
    <definedName name="_597__FDSAUDITLINK__" localSheetId="1"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7__FDSAUDITLINK__" hidden="1">{"fdsup://directions/FAT Viewer?action=UPDATE&amp;creator=factset&amp;DYN_ARGS=TRUE&amp;DOC_NAME=FAT:FQL_AUDITING_CLIENT_TEMPLATE.FAT&amp;display_string=Audit&amp;VAR:KEY=RYXIXKBCXE&amp;VAR:QUERY=RkZfRUJJVERBX09QRVIoUVRSLDQvMS8yMDA5LDYvMzAvMjAwOSwsLFVTRCk=&amp;WINDOW=FIRST_POPUP&amp;HEIGH","T=450&amp;WIDTH=450&amp;START_MAXIMIZED=FALSE&amp;VAR:CALENDAR=US&amp;VAR:SYMBOL=GT&amp;VAR:INDEX=0"}</definedName>
    <definedName name="_598__FDSAUDITLINK__" localSheetId="1"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8__FDSAUDITLINK__" hidden="1">{"fdsup://directions/FAT Viewer?action=UPDATE&amp;creator=factset&amp;DYN_ARGS=TRUE&amp;DOC_NAME=FAT:FQL_AUDITING_CLIENT_TEMPLATE.FAT&amp;display_string=Audit&amp;VAR:KEY=ZCRWDUXKRM&amp;VAR:QUERY=RkZfRUJJVERBX09QRVIoUVRSLDQvMS8yMDEwLDYvMzAvMjAxMCwsLFVTRCk=&amp;WINDOW=FIRST_POPUP&amp;HEIGH","T=450&amp;WIDTH=450&amp;START_MAXIMIZED=FALSE&amp;VAR:CALENDAR=US&amp;VAR:SYMBOL=GT&amp;VAR:INDEX=0"}</definedName>
    <definedName name="_599__FDSAUDITLINK__" localSheetId="1"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599__FDSAUDITLINK__" hidden="1">{"fdsup://directions/FAT Viewer?action=UPDATE&amp;creator=factset&amp;DYN_ARGS=TRUE&amp;DOC_NAME=FAT:FQL_AUDITING_CLIENT_TEMPLATE.FAT&amp;display_string=Audit&amp;VAR:KEY=HIZATQLCTY&amp;VAR:QUERY=RkZfRUJJVERBX09QRVIoUVRSLDQvMS8yMDA5LDYvMzAvMjAwOSwsLFVTRCk=&amp;WINDOW=FIRST_POPUP&amp;HEIGH","T=450&amp;WIDTH=450&amp;START_MAXIMIZED=FALSE&amp;VAR:CALENDAR=US&amp;VAR:SYMBOL=GS&amp;VAR:INDEX=0"}</definedName>
    <definedName name="_6__FDSAUDITLINK__" localSheetId="1" hidden="1">{"fdsup://directions/FAT Viewer?action=UPDATE&amp;creator=factset&amp;DYN_ARGS=TRUE&amp;DOC_NAME=FAT:FQL_AUDITING_CLIENT_TEMPLATE.FAT&amp;display_string=Audit&amp;VAR:KEY=VENGBKJMHO&amp;VAR:QUERY=RkZfRUJJVERBX09QRVIoUVRSLDQvMS8yMDEwLDYvMzAvMjAxMCwsLFVTRCk=&amp;WINDOW=FIRST_POPUP&amp;HEIGH","T=450&amp;WIDTH=450&amp;START_MAXIMIZED=FALSE&amp;VAR:CALENDAR=US&amp;VAR:SYMBOL=YUM&amp;VAR:INDEX=0"}</definedName>
    <definedName name="_6__FDSAUDITLINK__" hidden="1">{"fdsup://directions/FAT Viewer?action=UPDATE&amp;creator=factset&amp;DYN_ARGS=TRUE&amp;DOC_NAME=FAT:FQL_AUDITING_CLIENT_TEMPLATE.FAT&amp;display_string=Audit&amp;VAR:KEY=VENGBKJMHO&amp;VAR:QUERY=RkZfRUJJVERBX09QRVIoUVRSLDQvMS8yMDEwLDYvMzAvMjAxMCwsLFVTRCk=&amp;WINDOW=FIRST_POPUP&amp;HEIGH","T=450&amp;WIDTH=450&amp;START_MAXIMIZED=FALSE&amp;VAR:CALENDAR=US&amp;VAR:SYMBOL=YUM&amp;VAR:INDEX=0"}</definedName>
    <definedName name="_60__FDSAUDITLINK__" localSheetId="1"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__FDSAUDITLINK__" hidden="1">{"fdsup://directions/FAT Viewer?action=UPDATE&amp;creator=factset&amp;DYN_ARGS=TRUE&amp;DOC_NAME=FAT:FQL_AUDITING_CLIENT_TEMPLATE.FAT&amp;display_string=Audit&amp;VAR:KEY=VUBSXILMJM&amp;VAR:QUERY=RkZfRUJJVERBX09QRVIoUVRSLDQvMS8yMDEwLDYvMzAvMjAxMCwsLFVTRCk=&amp;WINDOW=FIRST_POPUP&amp;HEIGH","T=450&amp;WIDTH=450&amp;START_MAXIMIZED=FALSE&amp;VAR:CALENDAR=US&amp;VAR:SYMBOL=WAG&amp;VAR:INDEX=0"}</definedName>
    <definedName name="_600__FDSAUDITLINK__" localSheetId="1"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0__FDSAUDITLINK__" hidden="1">{"fdsup://directions/FAT Viewer?action=UPDATE&amp;creator=factset&amp;DYN_ARGS=TRUE&amp;DOC_NAME=FAT:FQL_AUDITING_CLIENT_TEMPLATE.FAT&amp;display_string=Audit&amp;VAR:KEY=ZMPIXSZSBA&amp;VAR:QUERY=RkZfRUJJVERBX09QRVIoUVRSLDQvMS8yMDEwLDYvMzAvMjAxMCwsLFVTRCk=&amp;WINDOW=FIRST_POPUP&amp;HEIGH","T=450&amp;WIDTH=450&amp;START_MAXIMIZED=FALSE&amp;VAR:CALENDAR=US&amp;VAR:SYMBOL=GS&amp;VAR:INDEX=0"}</definedName>
    <definedName name="_601__FDSAUDITLINK__" localSheetId="1"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1__FDSAUDITLINK__" hidden="1">{"fdsup://directions/FAT Viewer?action=UPDATE&amp;creator=factset&amp;DYN_ARGS=TRUE&amp;DOC_NAME=FAT:FQL_AUDITING_CLIENT_TEMPLATE.FAT&amp;display_string=Audit&amp;VAR:KEY=LABCTEZCXQ&amp;VAR:QUERY=RkZfRUJJVERBX09QRVIoUVRSLDQvMS8yMDA5LDYvMzAvMjAwOSwsLFVTRCk=&amp;WINDOW=FIRST_POPUP&amp;HEIGH","T=450&amp;WIDTH=450&amp;START_MAXIMIZED=FALSE&amp;VAR:CALENDAR=US&amp;VAR:SYMBOL=GR&amp;VAR:INDEX=0"}</definedName>
    <definedName name="_602__FDSAUDITLINK__" localSheetId="1"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2__FDSAUDITLINK__" hidden="1">{"fdsup://directions/FAT Viewer?action=UPDATE&amp;creator=factset&amp;DYN_ARGS=TRUE&amp;DOC_NAME=FAT:FQL_AUDITING_CLIENT_TEMPLATE.FAT&amp;display_string=Audit&amp;VAR:KEY=ROHWVCFGBW&amp;VAR:QUERY=RkZfRUJJVERBX09QRVIoUVRSLDQvMS8yMDEwLDYvMzAvMjAxMCwsLFVTRCk=&amp;WINDOW=FIRST_POPUP&amp;HEIGH","T=450&amp;WIDTH=450&amp;START_MAXIMIZED=FALSE&amp;VAR:CALENDAR=US&amp;VAR:SYMBOL=GR&amp;VAR:INDEX=0"}</definedName>
    <definedName name="_603__FDSAUDITLINK__" localSheetId="1"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3__FDSAUDITLINK__" hidden="1">{"fdsup://directions/FAT Viewer?action=UPDATE&amp;creator=factset&amp;DYN_ARGS=TRUE&amp;DOC_NAME=FAT:FQL_AUDITING_CLIENT_TEMPLATE.FAT&amp;display_string=Audit&amp;VAR:KEY=ZIZYRSLQBI&amp;VAR:QUERY=RkZfRUJJVERBX09QRVIoUVRSLDQvMS8yMDA5LDYvMzAvMjAwOSwsLFVTRCk=&amp;WINDOW=FIRST_POPUP&amp;HEIGH","T=450&amp;WIDTH=450&amp;START_MAXIMIZED=FALSE&amp;VAR:CALENDAR=US&amp;VAR:SYMBOL=GPS&amp;VAR:INDEX=0"}</definedName>
    <definedName name="_604__FDSAUDITLINK__" localSheetId="1"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4__FDSAUDITLINK__" hidden="1">{"fdsup://directions/FAT Viewer?action=UPDATE&amp;creator=factset&amp;DYN_ARGS=TRUE&amp;DOC_NAME=FAT:FQL_AUDITING_CLIENT_TEMPLATE.FAT&amp;display_string=Audit&amp;VAR:KEY=XALOZWXULE&amp;VAR:QUERY=RkZfRUJJVERBX09QRVIoUVRSLDQvMS8yMDEwLDYvMzAvMjAxMCwsLFVTRCk=&amp;WINDOW=FIRST_POPUP&amp;HEIGH","T=450&amp;WIDTH=450&amp;START_MAXIMIZED=FALSE&amp;VAR:CALENDAR=US&amp;VAR:SYMBOL=GPS&amp;VAR:INDEX=0"}</definedName>
    <definedName name="_605__FDSAUDITLINK__" localSheetId="1"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5__FDSAUDITLINK__" hidden="1">{"fdsup://directions/FAT Viewer?action=UPDATE&amp;creator=factset&amp;DYN_ARGS=TRUE&amp;DOC_NAME=FAT:FQL_AUDITING_CLIENT_TEMPLATE.FAT&amp;display_string=Audit&amp;VAR:KEY=FITYRMXUBU&amp;VAR:QUERY=RkZfRUJJVERBX09QRVIoUVRSLDQvMS8yMDA5LDYvMzAvMjAwOSwsLFVTRCk=&amp;WINDOW=FIRST_POPUP&amp;HEIGH","T=450&amp;WIDTH=450&amp;START_MAXIMIZED=FALSE&amp;VAR:CALENDAR=US&amp;VAR:SYMBOL=GPC&amp;VAR:INDEX=0"}</definedName>
    <definedName name="_606__FDSAUDITLINK__" localSheetId="1"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6__FDSAUDITLINK__" hidden="1">{"fdsup://directions/FAT Viewer?action=UPDATE&amp;creator=factset&amp;DYN_ARGS=TRUE&amp;DOC_NAME=FAT:FQL_AUDITING_CLIENT_TEMPLATE.FAT&amp;display_string=Audit&amp;VAR:KEY=HEDYVOBIVY&amp;VAR:QUERY=RkZfRUJJVERBX09QRVIoUVRSLDQvMS8yMDEwLDYvMzAvMjAxMCwsLFVTRCk=&amp;WINDOW=FIRST_POPUP&amp;HEIGH","T=450&amp;WIDTH=450&amp;START_MAXIMIZED=FALSE&amp;VAR:CALENDAR=US&amp;VAR:SYMBOL=GPC&amp;VAR:INDEX=0"}</definedName>
    <definedName name="_607__FDSAUDITLINK__" localSheetId="1"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7__FDSAUDITLINK__" hidden="1">{"fdsup://directions/FAT Viewer?action=UPDATE&amp;creator=factset&amp;DYN_ARGS=TRUE&amp;DOC_NAME=FAT:FQL_AUDITING_CLIENT_TEMPLATE.FAT&amp;display_string=Audit&amp;VAR:KEY=BADQJMNKPK&amp;VAR:QUERY=RkZfRUJJVERBX09QRVIoUVRSLDQvMS8yMDA5LDYvMzAvMjAwOSwsLFVTRCk=&amp;WINDOW=FIRST_POPUP&amp;HEIGH","T=450&amp;WIDTH=450&amp;START_MAXIMIZED=FALSE&amp;VAR:CALENDAR=US&amp;VAR:SYMBOL=GOOG&amp;VAR:INDEX=0"}</definedName>
    <definedName name="_608__FDSAUDITLINK__" localSheetId="1"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8__FDSAUDITLINK__" hidden="1">{"fdsup://directions/FAT Viewer?action=UPDATE&amp;creator=factset&amp;DYN_ARGS=TRUE&amp;DOC_NAME=FAT:FQL_AUDITING_CLIENT_TEMPLATE.FAT&amp;display_string=Audit&amp;VAR:KEY=VCBAJOZAZO&amp;VAR:QUERY=RkZfRUJJVERBX09QRVIoUVRSLDQvMS8yMDEwLDYvMzAvMjAxMCwsLFVTRCk=&amp;WINDOW=FIRST_POPUP&amp;HEIGH","T=450&amp;WIDTH=450&amp;START_MAXIMIZED=FALSE&amp;VAR:CALENDAR=US&amp;VAR:SYMBOL=GOOG&amp;VAR:INDEX=0"}</definedName>
    <definedName name="_609__FDSAUDITLINK__" localSheetId="1"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09__FDSAUDITLINK__" hidden="1">{"fdsup://directions/FAT Viewer?action=UPDATE&amp;creator=factset&amp;DYN_ARGS=TRUE&amp;DOC_NAME=FAT:FQL_AUDITING_CLIENT_TEMPLATE.FAT&amp;display_string=Audit&amp;VAR:KEY=ZSNAHGRAHO&amp;VAR:QUERY=RkZfRUJJVERBX09QRVIoUVRSLDQvMS8yMDA5LDYvMzAvMjAwOSwsLFVTRCk=&amp;WINDOW=FIRST_POPUP&amp;HEIGH","T=450&amp;WIDTH=450&amp;START_MAXIMIZED=FALSE&amp;VAR:CALENDAR=US&amp;VAR:SYMBOL=GNW&amp;VAR:INDEX=0"}</definedName>
    <definedName name="_61__FDSAUDITLINK__" localSheetId="1"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__FDSAUDITLINK__" hidden="1">{"fdsup://directions/FAT Viewer?action=UPDATE&amp;creator=factset&amp;DYN_ARGS=TRUE&amp;DOC_NAME=FAT:FQL_AUDITING_CLIENT_TEMPLATE.FAT&amp;display_string=Audit&amp;VAR:KEY=TWRMDUXGBK&amp;VAR:QUERY=RkZfRUJJVERBX09QRVIoUVRSLDQvMS8yMDA5LDYvMzAvMjAwOSwsLFVTRCk=&amp;WINDOW=FIRST_POPUP&amp;HEIGH","T=450&amp;WIDTH=450&amp;START_MAXIMIZED=FALSE&amp;VAR:CALENDAR=US&amp;VAR:SYMBOL=VZ&amp;VAR:INDEX=0"}</definedName>
    <definedName name="_610__FDSAUDITLINK__" localSheetId="1"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0__FDSAUDITLINK__" hidden="1">{"fdsup://directions/FAT Viewer?action=UPDATE&amp;creator=factset&amp;DYN_ARGS=TRUE&amp;DOC_NAME=FAT:FQL_AUDITING_CLIENT_TEMPLATE.FAT&amp;display_string=Audit&amp;VAR:KEY=RAZALQXGBK&amp;VAR:QUERY=RkZfRUJJVERBX09QRVIoUVRSLDQvMS8yMDEwLDYvMzAvMjAxMCwsLFVTRCk=&amp;WINDOW=FIRST_POPUP&amp;HEIGH","T=450&amp;WIDTH=450&amp;START_MAXIMIZED=FALSE&amp;VAR:CALENDAR=US&amp;VAR:SYMBOL=GNW&amp;VAR:INDEX=0"}</definedName>
    <definedName name="_611__FDSAUDITLINK__" localSheetId="1"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1__FDSAUDITLINK__" hidden="1">{"fdsup://directions/FAT Viewer?action=UPDATE&amp;creator=factset&amp;DYN_ARGS=TRUE&amp;DOC_NAME=FAT:FQL_AUDITING_CLIENT_TEMPLATE.FAT&amp;display_string=Audit&amp;VAR:KEY=NMVQVOHYVY&amp;VAR:QUERY=RkZfRUJJVERBX09QRVIoUVRSLDQvMS8yMDA5LDYvMzAvMjAwOSwsLFVTRCk=&amp;WINDOW=FIRST_POPUP&amp;HEIGH","T=450&amp;WIDTH=450&amp;START_MAXIMIZED=FALSE&amp;VAR:CALENDAR=US&amp;VAR:SYMBOL=GME&amp;VAR:INDEX=0"}</definedName>
    <definedName name="_612__FDSAUDITLINK__" localSheetId="1"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2__FDSAUDITLINK__" hidden="1">{"fdsup://directions/FAT Viewer?action=UPDATE&amp;creator=factset&amp;DYN_ARGS=TRUE&amp;DOC_NAME=FAT:FQL_AUDITING_CLIENT_TEMPLATE.FAT&amp;display_string=Audit&amp;VAR:KEY=TMJSVITSZU&amp;VAR:QUERY=RkZfRUJJVERBX09QRVIoUVRSLDQvMS8yMDEwLDYvMzAvMjAxMCwsLFVTRCk=&amp;WINDOW=FIRST_POPUP&amp;HEIGH","T=450&amp;WIDTH=450&amp;START_MAXIMIZED=FALSE&amp;VAR:CALENDAR=US&amp;VAR:SYMBOL=GME&amp;VAR:INDEX=0"}</definedName>
    <definedName name="_613__FDSAUDITLINK__" localSheetId="1"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3__FDSAUDITLINK__" hidden="1">{"fdsup://directions/FAT Viewer?action=UPDATE&amp;creator=factset&amp;DYN_ARGS=TRUE&amp;DOC_NAME=FAT:FQL_AUDITING_CLIENT_TEMPLATE.FAT&amp;display_string=Audit&amp;VAR:KEY=PGDKLSTWDU&amp;VAR:QUERY=RkZfRUJJVERBX09QRVIoUVRSLDQvMS8yMDA5LDYvMzAvMjAwOSwsLFVTRCk=&amp;WINDOW=FIRST_POPUP&amp;HEIGH","T=450&amp;WIDTH=450&amp;START_MAXIMIZED=FALSE&amp;VAR:CALENDAR=US&amp;VAR:SYMBOL=GLW&amp;VAR:INDEX=0"}</definedName>
    <definedName name="_614__FDSAUDITLINK__" localSheetId="1"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4__FDSAUDITLINK__" hidden="1">{"fdsup://directions/FAT Viewer?action=UPDATE&amp;creator=factset&amp;DYN_ARGS=TRUE&amp;DOC_NAME=FAT:FQL_AUDITING_CLIENT_TEMPLATE.FAT&amp;display_string=Audit&amp;VAR:KEY=FYDMXSNYVK&amp;VAR:QUERY=RkZfRUJJVERBX09QRVIoUVRSLDQvMS8yMDEwLDYvMzAvMjAxMCwsLFVTRCk=&amp;WINDOW=FIRST_POPUP&amp;HEIGH","T=450&amp;WIDTH=450&amp;START_MAXIMIZED=FALSE&amp;VAR:CALENDAR=US&amp;VAR:SYMBOL=GLW&amp;VAR:INDEX=0"}</definedName>
    <definedName name="_615__FDSAUDITLINK__" localSheetId="1"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5__FDSAUDITLINK__" hidden="1">{"fdsup://directions/FAT Viewer?action=UPDATE&amp;creator=factset&amp;DYN_ARGS=TRUE&amp;DOC_NAME=FAT:FQL_AUDITING_CLIENT_TEMPLATE.FAT&amp;display_string=Audit&amp;VAR:KEY=DWZWHMJMZM&amp;VAR:QUERY=RkZfRUJJVERBX09QRVIoUVRSLDQvMS8yMDA5LDYvMzAvMjAwOSwsLFVTRCk=&amp;WINDOW=FIRST_POPUP&amp;HEIGH","T=450&amp;WIDTH=450&amp;START_MAXIMIZED=FALSE&amp;VAR:CALENDAR=US&amp;VAR:SYMBOL=GIS&amp;VAR:INDEX=0"}</definedName>
    <definedName name="_616__FDSAUDITLINK__" localSheetId="1"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6__FDSAUDITLINK__" hidden="1">{"fdsup://directions/FAT Viewer?action=UPDATE&amp;creator=factset&amp;DYN_ARGS=TRUE&amp;DOC_NAME=FAT:FQL_AUDITING_CLIENT_TEMPLATE.FAT&amp;display_string=Audit&amp;VAR:KEY=RIHOFKROZQ&amp;VAR:QUERY=RkZfRUJJVERBX09QRVIoUVRSLDQvMS8yMDEwLDYvMzAvMjAxMCwsLFVTRCk=&amp;WINDOW=FIRST_POPUP&amp;HEIGH","T=450&amp;WIDTH=450&amp;START_MAXIMIZED=FALSE&amp;VAR:CALENDAR=US&amp;VAR:SYMBOL=GIS&amp;VAR:INDEX=0"}</definedName>
    <definedName name="_617__FDSAUDITLINK__" localSheetId="1"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7__FDSAUDITLINK__" hidden="1">{"fdsup://directions/FAT Viewer?action=UPDATE&amp;creator=factset&amp;DYN_ARGS=TRUE&amp;DOC_NAME=FAT:FQL_AUDITING_CLIENT_TEMPLATE.FAT&amp;display_string=Audit&amp;VAR:KEY=BGFOTGZAVM&amp;VAR:QUERY=RkZfRUJJVERBX09QRVIoUVRSLDQvMS8yMDA5LDYvMzAvMjAwOSwsLFVTRCk=&amp;WINDOW=FIRST_POPUP&amp;HEIGH","T=450&amp;WIDTH=450&amp;START_MAXIMIZED=FALSE&amp;VAR:CALENDAR=US&amp;VAR:SYMBOL=GILD&amp;VAR:INDEX=0"}</definedName>
    <definedName name="_618__FDSAUDITLINK__" localSheetId="1"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8__FDSAUDITLINK__" hidden="1">{"fdsup://directions/FAT Viewer?action=UPDATE&amp;creator=factset&amp;DYN_ARGS=TRUE&amp;DOC_NAME=FAT:FQL_AUDITING_CLIENT_TEMPLATE.FAT&amp;display_string=Audit&amp;VAR:KEY=DENYDEVYLE&amp;VAR:QUERY=RkZfRUJJVERBX09QRVIoUVRSLDQvMS8yMDEwLDYvMzAvMjAxMCwsLFVTRCk=&amp;WINDOW=FIRST_POPUP&amp;HEIGH","T=450&amp;WIDTH=450&amp;START_MAXIMIZED=FALSE&amp;VAR:CALENDAR=US&amp;VAR:SYMBOL=GILD&amp;VAR:INDEX=0"}</definedName>
    <definedName name="_619__FDSAUDITLINK__" localSheetId="1"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19__FDSAUDITLINK__" hidden="1">{"fdsup://directions/FAT Viewer?action=UPDATE&amp;creator=factset&amp;DYN_ARGS=TRUE&amp;DOC_NAME=FAT:FQL_AUDITING_CLIENT_TEMPLATE.FAT&amp;display_string=Audit&amp;VAR:KEY=RIBOHWXGHK&amp;VAR:QUERY=RkZfRUJJVERBX09QRVIoUVRSLDQvMS8yMDA5LDYvMzAvMjAwOSwsLFVTRCk=&amp;WINDOW=FIRST_POPUP&amp;HEIGH","T=450&amp;WIDTH=450&amp;START_MAXIMIZED=FALSE&amp;VAR:CALENDAR=US&amp;VAR:SYMBOL=GENZ&amp;VAR:INDEX=0"}</definedName>
    <definedName name="_62__FDSAUDITLINK__" localSheetId="1"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__FDSAUDITLINK__" hidden="1">{"fdsup://directions/FAT Viewer?action=UPDATE&amp;creator=factset&amp;DYN_ARGS=TRUE&amp;DOC_NAME=FAT:FQL_AUDITING_CLIENT_TEMPLATE.FAT&amp;display_string=Audit&amp;VAR:KEY=XWXMRCJGTU&amp;VAR:QUERY=RkZfRUJJVERBX09QRVIoUVRSLDQvMS8yMDEwLDYvMzAvMjAxMCwsLFVTRCk=&amp;WINDOW=FIRST_POPUP&amp;HEIGH","T=450&amp;WIDTH=450&amp;START_MAXIMIZED=FALSE&amp;VAR:CALENDAR=US&amp;VAR:SYMBOL=VZ&amp;VAR:INDEX=0"}</definedName>
    <definedName name="_620__FDSAUDITLINK__" localSheetId="1"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0__FDSAUDITLINK__" hidden="1">{"fdsup://directions/FAT Viewer?action=UPDATE&amp;creator=factset&amp;DYN_ARGS=TRUE&amp;DOC_NAME=FAT:FQL_AUDITING_CLIENT_TEMPLATE.FAT&amp;display_string=Audit&amp;VAR:KEY=TQBGZUJSRC&amp;VAR:QUERY=RkZfRUJJVERBX09QRVIoUVRSLDQvMS8yMDEwLDYvMzAvMjAxMCwsLFVTRCk=&amp;WINDOW=FIRST_POPUP&amp;HEIGH","T=450&amp;WIDTH=450&amp;START_MAXIMIZED=FALSE&amp;VAR:CALENDAR=US&amp;VAR:SYMBOL=GENZ&amp;VAR:INDEX=0"}</definedName>
    <definedName name="_621__FDSAUDITLINK__" localSheetId="1"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1__FDSAUDITLINK__" hidden="1">{"fdsup://directions/FAT Viewer?action=UPDATE&amp;creator=factset&amp;DYN_ARGS=TRUE&amp;DOC_NAME=FAT:FQL_AUDITING_CLIENT_TEMPLATE.FAT&amp;display_string=Audit&amp;VAR:KEY=NGLCNCBMTG&amp;VAR:QUERY=RkZfRUJJVERBX09QRVIoUVRSLDQvMS8yMDA5LDYvMzAvMjAwOSwsLFVTRCk=&amp;WINDOW=FIRST_POPUP&amp;HEIGH","T=450&amp;WIDTH=450&amp;START_MAXIMIZED=FALSE&amp;VAR:CALENDAR=US&amp;VAR:SYMBOL=GE&amp;VAR:INDEX=0"}</definedName>
    <definedName name="_622__FDSAUDITLINK__" localSheetId="1"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2__FDSAUDITLINK__" hidden="1">{"fdsup://directions/FAT Viewer?action=UPDATE&amp;creator=factset&amp;DYN_ARGS=TRUE&amp;DOC_NAME=FAT:FQL_AUDITING_CLIENT_TEMPLATE.FAT&amp;display_string=Audit&amp;VAR:KEY=VELCHEZYZU&amp;VAR:QUERY=RkZfRUJJVERBX09QRVIoUVRSLDQvMS8yMDEwLDYvMzAvMjAxMCwsLFVTRCk=&amp;WINDOW=FIRST_POPUP&amp;HEIGH","T=450&amp;WIDTH=450&amp;START_MAXIMIZED=FALSE&amp;VAR:CALENDAR=US&amp;VAR:SYMBOL=GE&amp;VAR:INDEX=0"}</definedName>
    <definedName name="_623__FDSAUDITLINK__" localSheetId="1"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3__FDSAUDITLINK__" hidden="1">{"fdsup://directions/FAT Viewer?action=UPDATE&amp;creator=factset&amp;DYN_ARGS=TRUE&amp;DOC_NAME=FAT:FQL_AUDITING_CLIENT_TEMPLATE.FAT&amp;display_string=Audit&amp;VAR:KEY=JONMNQLKFG&amp;VAR:QUERY=RkZfRUJJVERBX09QRVIoUVRSLDQvMS8yMDA5LDYvMzAvMjAwOSwsLFVTRCk=&amp;WINDOW=FIRST_POPUP&amp;HEIGH","T=450&amp;WIDTH=450&amp;START_MAXIMIZED=FALSE&amp;VAR:CALENDAR=US&amp;VAR:SYMBOL=GD&amp;VAR:INDEX=0"}</definedName>
    <definedName name="_624__FDSAUDITLINK__" localSheetId="1"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4__FDSAUDITLINK__" hidden="1">{"fdsup://directions/FAT Viewer?action=UPDATE&amp;creator=factset&amp;DYN_ARGS=TRUE&amp;DOC_NAME=FAT:FQL_AUDITING_CLIENT_TEMPLATE.FAT&amp;display_string=Audit&amp;VAR:KEY=HYZSZUTCDM&amp;VAR:QUERY=RkZfRUJJVERBX09QRVIoUVRSLDQvMS8yMDEwLDYvMzAvMjAxMCwsLFVTRCk=&amp;WINDOW=FIRST_POPUP&amp;HEIGH","T=450&amp;WIDTH=450&amp;START_MAXIMIZED=FALSE&amp;VAR:CALENDAR=US&amp;VAR:SYMBOL=GD&amp;VAR:INDEX=0"}</definedName>
    <definedName name="_625__FDSAUDITLINK__" localSheetId="1"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5__FDSAUDITLINK__" hidden="1">{"fdsup://directions/FAT Viewer?action=UPDATE&amp;creator=factset&amp;DYN_ARGS=TRUE&amp;DOC_NAME=FAT:FQL_AUDITING_CLIENT_TEMPLATE.FAT&amp;display_string=Audit&amp;VAR:KEY=ZOPKHGXYNI&amp;VAR:QUERY=RkZfRUJJVERBX09QRVIoUVRSLDQvMS8yMDA5LDYvMzAvMjAwOSwsLFVTRCk=&amp;WINDOW=FIRST_POPUP&amp;HEIGH","T=450&amp;WIDTH=450&amp;START_MAXIMIZED=FALSE&amp;VAR:CALENDAR=US&amp;VAR:SYMBOL=GCI&amp;VAR:INDEX=0"}</definedName>
    <definedName name="_626__FDSAUDITLINK__" localSheetId="1"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6__FDSAUDITLINK__" hidden="1">{"fdsup://directions/FAT Viewer?action=UPDATE&amp;creator=factset&amp;DYN_ARGS=TRUE&amp;DOC_NAME=FAT:FQL_AUDITING_CLIENT_TEMPLATE.FAT&amp;display_string=Audit&amp;VAR:KEY=XIHKZSHGVG&amp;VAR:QUERY=RkZfRUJJVERBX09QRVIoUVRSLDQvMS8yMDEwLDYvMzAvMjAxMCwsLFVTRCk=&amp;WINDOW=FIRST_POPUP&amp;HEIGH","T=450&amp;WIDTH=450&amp;START_MAXIMIZED=FALSE&amp;VAR:CALENDAR=US&amp;VAR:SYMBOL=GCI&amp;VAR:INDEX=0"}</definedName>
    <definedName name="_627__FDSAUDITLINK__" localSheetId="1"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7__FDSAUDITLINK__" hidden="1">{"fdsup://directions/FAT Viewer?action=UPDATE&amp;creator=factset&amp;DYN_ARGS=TRUE&amp;DOC_NAME=FAT:FQL_AUDITING_CLIENT_TEMPLATE.FAT&amp;display_string=Audit&amp;VAR:KEY=NWJEPWJWHM&amp;VAR:QUERY=RkZfRUJJVERBX09QRVIoUVRSLDQvMS8yMDA5LDYvMzAvMjAwOSwsLFVTRCk=&amp;WINDOW=FIRST_POPUP&amp;HEIGH","T=450&amp;WIDTH=450&amp;START_MAXIMIZED=FALSE&amp;VAR:CALENDAR=US&amp;VAR:SYMBOL=GAS&amp;VAR:INDEX=0"}</definedName>
    <definedName name="_628__FDSAUDITLINK__" localSheetId="1"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8__FDSAUDITLINK__" hidden="1">{"fdsup://directions/FAT Viewer?action=UPDATE&amp;creator=factset&amp;DYN_ARGS=TRUE&amp;DOC_NAME=FAT:FQL_AUDITING_CLIENT_TEMPLATE.FAT&amp;display_string=Audit&amp;VAR:KEY=DELCHGFIZK&amp;VAR:QUERY=RkZfRUJJVERBX09QRVIoUVRSLDQvMS8yMDEwLDYvMzAvMjAxMCwsLFVTRCk=&amp;WINDOW=FIRST_POPUP&amp;HEIGH","T=450&amp;WIDTH=450&amp;START_MAXIMIZED=FALSE&amp;VAR:CALENDAR=US&amp;VAR:SYMBOL=GAS&amp;VAR:INDEX=0"}</definedName>
    <definedName name="_629__FDSAUDITLINK__" localSheetId="1"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29__FDSAUDITLINK__" hidden="1">{"fdsup://directions/FAT Viewer?action=UPDATE&amp;creator=factset&amp;DYN_ARGS=TRUE&amp;DOC_NAME=FAT:FQL_AUDITING_CLIENT_TEMPLATE.FAT&amp;display_string=Audit&amp;VAR:KEY=PSBEPOTQFI&amp;VAR:QUERY=RkZfRUJJVERBX09QRVIoUVRSLDQvMS8yMDA5LDYvMzAvMjAwOSwsLFVTRCk=&amp;WINDOW=FIRST_POPUP&amp;HEIGH","T=450&amp;WIDTH=450&amp;START_MAXIMIZED=FALSE&amp;VAR:CALENDAR=US&amp;VAR:SYMBOL=FTR&amp;VAR:INDEX=0"}</definedName>
    <definedName name="_63__FDSAUDITLINK__" localSheetId="1"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__FDSAUDITLINK__" hidden="1">{"fdsup://directions/FAT Viewer?action=UPDATE&amp;creator=factset&amp;DYN_ARGS=TRUE&amp;DOC_NAME=FAT:FQL_AUDITING_CLIENT_TEMPLATE.FAT&amp;display_string=Audit&amp;VAR:KEY=JYTWPOHYXI&amp;VAR:QUERY=RkZfRUJJVERBX09QRVIoUVRSLDQvMS8yMDA5LDYvMzAvMjAwOSwsLFVTRCk=&amp;WINDOW=FIRST_POPUP&amp;HEIGH","T=450&amp;WIDTH=450&amp;START_MAXIMIZED=FALSE&amp;VAR:CALENDAR=US&amp;VAR:SYMBOL=VTR&amp;VAR:INDEX=0"}</definedName>
    <definedName name="_630__FDSAUDITLINK__" localSheetId="1"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0__FDSAUDITLINK__" hidden="1">{"fdsup://directions/FAT Viewer?action=UPDATE&amp;creator=factset&amp;DYN_ARGS=TRUE&amp;DOC_NAME=FAT:FQL_AUDITING_CLIENT_TEMPLATE.FAT&amp;display_string=Audit&amp;VAR:KEY=PYTORKRKXA&amp;VAR:QUERY=RkZfRUJJVERBX09QRVIoUVRSLDQvMS8yMDEwLDYvMzAvMjAxMCwsLFVTRCk=&amp;WINDOW=FIRST_POPUP&amp;HEIGH","T=450&amp;WIDTH=450&amp;START_MAXIMIZED=FALSE&amp;VAR:CALENDAR=US&amp;VAR:SYMBOL=FTR&amp;VAR:INDEX=0"}</definedName>
    <definedName name="_631__FDSAUDITLINK__" localSheetId="1"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1__FDSAUDITLINK__" hidden="1">{"fdsup://directions/FAT Viewer?action=UPDATE&amp;creator=factset&amp;DYN_ARGS=TRUE&amp;DOC_NAME=FAT:FQL_AUDITING_CLIENT_TEMPLATE.FAT&amp;display_string=Audit&amp;VAR:KEY=JITQVIHKBS&amp;VAR:QUERY=RkZfRUJJVERBX09QRVIoUVRSLDQvMS8yMDA5LDYvMzAvMjAwOSwsLFVTRCk=&amp;WINDOW=FIRST_POPUP&amp;HEIGH","T=450&amp;WIDTH=450&amp;START_MAXIMIZED=FALSE&amp;VAR:CALENDAR=US&amp;VAR:SYMBOL=FTI&amp;VAR:INDEX=0"}</definedName>
    <definedName name="_632__FDSAUDITLINK__" localSheetId="1"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2__FDSAUDITLINK__" hidden="1">{"fdsup://directions/FAT Viewer?action=UPDATE&amp;creator=factset&amp;DYN_ARGS=TRUE&amp;DOC_NAME=FAT:FQL_AUDITING_CLIENT_TEMPLATE.FAT&amp;display_string=Audit&amp;VAR:KEY=FKFUBADUNC&amp;VAR:QUERY=RkZfRUJJVERBX09QRVIoUVRSLDQvMS8yMDEwLDYvMzAvMjAxMCwsLFVTRCk=&amp;WINDOW=FIRST_POPUP&amp;HEIGH","T=450&amp;WIDTH=450&amp;START_MAXIMIZED=FALSE&amp;VAR:CALENDAR=US&amp;VAR:SYMBOL=FTI&amp;VAR:INDEX=0"}</definedName>
    <definedName name="_633__FDSAUDITLINK__" localSheetId="1"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3__FDSAUDITLINK__" hidden="1">{"fdsup://directions/FAT Viewer?action=UPDATE&amp;creator=factset&amp;DYN_ARGS=TRUE&amp;DOC_NAME=FAT:FQL_AUDITING_CLIENT_TEMPLATE.FAT&amp;display_string=Audit&amp;VAR:KEY=BIDGVSHURM&amp;VAR:QUERY=RkZfRUJJVERBX09QRVIoUVRSLDQvMS8yMDA5LDYvMzAvMjAwOSwsLFVTRCk=&amp;WINDOW=FIRST_POPUP&amp;HEIGH","T=450&amp;WIDTH=450&amp;START_MAXIMIZED=FALSE&amp;VAR:CALENDAR=US&amp;VAR:SYMBOL=FSLR&amp;VAR:INDEX=0"}</definedName>
    <definedName name="_634__FDSAUDITLINK__" localSheetId="1"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4__FDSAUDITLINK__" hidden="1">{"fdsup://directions/FAT Viewer?action=UPDATE&amp;creator=factset&amp;DYN_ARGS=TRUE&amp;DOC_NAME=FAT:FQL_AUDITING_CLIENT_TEMPLATE.FAT&amp;display_string=Audit&amp;VAR:KEY=BYNYJMLOJK&amp;VAR:QUERY=RkZfRUJJVERBX09QRVIoUVRSLDQvMS8yMDEwLDYvMzAvMjAxMCwsLFVTRCk=&amp;WINDOW=FIRST_POPUP&amp;HEIGH","T=450&amp;WIDTH=450&amp;START_MAXIMIZED=FALSE&amp;VAR:CALENDAR=US&amp;VAR:SYMBOL=FSLR&amp;VAR:INDEX=0"}</definedName>
    <definedName name="_635__FDSAUDITLINK__" localSheetId="1"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5__FDSAUDITLINK__" hidden="1">{"fdsup://directions/FAT Viewer?action=UPDATE&amp;creator=factset&amp;DYN_ARGS=TRUE&amp;DOC_NAME=FAT:FQL_AUDITING_CLIENT_TEMPLATE.FAT&amp;display_string=Audit&amp;VAR:KEY=DGZWXQNETG&amp;VAR:QUERY=RkZfRUJJVERBX09QRVIoUVRSLDQvMS8yMDA5LDYvMzAvMjAwOSwsLFVTRCk=&amp;WINDOW=FIRST_POPUP&amp;HEIGH","T=450&amp;WIDTH=450&amp;START_MAXIMIZED=FALSE&amp;VAR:CALENDAR=US&amp;VAR:SYMBOL=FRX&amp;VAR:INDEX=0"}</definedName>
    <definedName name="_636__FDSAUDITLINK__" localSheetId="1"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6__FDSAUDITLINK__" hidden="1">{"fdsup://directions/FAT Viewer?action=UPDATE&amp;creator=factset&amp;DYN_ARGS=TRUE&amp;DOC_NAME=FAT:FQL_AUDITING_CLIENT_TEMPLATE.FAT&amp;display_string=Audit&amp;VAR:KEY=JSLGDCHWRQ&amp;VAR:QUERY=RkZfRUJJVERBX09QRVIoUVRSLDQvMS8yMDEwLDYvMzAvMjAxMCwsLFVTRCk=&amp;WINDOW=FIRST_POPUP&amp;HEIGH","T=450&amp;WIDTH=450&amp;START_MAXIMIZED=FALSE&amp;VAR:CALENDAR=US&amp;VAR:SYMBOL=FRX&amp;VAR:INDEX=0"}</definedName>
    <definedName name="_637__FDSAUDITLINK__" localSheetId="1"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7__FDSAUDITLINK__" hidden="1">{"fdsup://directions/FAT Viewer?action=UPDATE&amp;creator=factset&amp;DYN_ARGS=TRUE&amp;DOC_NAME=FAT:FQL_AUDITING_CLIENT_TEMPLATE.FAT&amp;display_string=Audit&amp;VAR:KEY=FEDMFYXMFW&amp;VAR:QUERY=RkZfRUJJVERBX09QRVIoUVRSLDQvMS8yMDA5LDYvMzAvMjAwOSwsLFVTRCk=&amp;WINDOW=FIRST_POPUP&amp;HEIGH","T=450&amp;WIDTH=450&amp;START_MAXIMIZED=FALSE&amp;VAR:CALENDAR=US&amp;VAR:SYMBOL=FO&amp;VAR:INDEX=0"}</definedName>
    <definedName name="_638__FDSAUDITLINK__" localSheetId="1"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8__FDSAUDITLINK__" hidden="1">{"fdsup://directions/FAT Viewer?action=UPDATE&amp;creator=factset&amp;DYN_ARGS=TRUE&amp;DOC_NAME=FAT:FQL_AUDITING_CLIENT_TEMPLATE.FAT&amp;display_string=Audit&amp;VAR:KEY=TANWJARMLE&amp;VAR:QUERY=RkZfRUJJVERBX09QRVIoUVRSLDQvMS8yMDEwLDYvMzAvMjAxMCwsLFVTRCk=&amp;WINDOW=FIRST_POPUP&amp;HEIGH","T=450&amp;WIDTH=450&amp;START_MAXIMIZED=FALSE&amp;VAR:CALENDAR=US&amp;VAR:SYMBOL=FO&amp;VAR:INDEX=0"}</definedName>
    <definedName name="_639__FDSAUDITLINK__" localSheetId="1"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39__FDSAUDITLINK__" hidden="1">{"fdsup://directions/FAT Viewer?action=UPDATE&amp;creator=factset&amp;DYN_ARGS=TRUE&amp;DOC_NAME=FAT:FQL_AUDITING_CLIENT_TEMPLATE.FAT&amp;display_string=Audit&amp;VAR:KEY=JSPWFMDCLU&amp;VAR:QUERY=RkZfRUJJVERBX09QRVIoUVRSLDQvMS8yMDA5LDYvMzAvMjAwOSwsLFVTRCk=&amp;WINDOW=FIRST_POPUP&amp;HEIGH","T=450&amp;WIDTH=450&amp;START_MAXIMIZED=FALSE&amp;VAR:CALENDAR=US&amp;VAR:SYMBOL=FMC&amp;VAR:INDEX=0"}</definedName>
    <definedName name="_64__FDSAUDITLINK__" localSheetId="1"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__FDSAUDITLINK__" hidden="1">{"fdsup://directions/FAT Viewer?action=UPDATE&amp;creator=factset&amp;DYN_ARGS=TRUE&amp;DOC_NAME=FAT:FQL_AUDITING_CLIENT_TEMPLATE.FAT&amp;display_string=Audit&amp;VAR:KEY=ZGZWRKBGDO&amp;VAR:QUERY=RkZfRUJJVERBX09QRVIoUVRSLDQvMS8yMDEwLDYvMzAvMjAxMCwsLFVTRCk=&amp;WINDOW=FIRST_POPUP&amp;HEIGH","T=450&amp;WIDTH=450&amp;START_MAXIMIZED=FALSE&amp;VAR:CALENDAR=US&amp;VAR:SYMBOL=VTR&amp;VAR:INDEX=0"}</definedName>
    <definedName name="_640__FDSAUDITLINK__" localSheetId="1"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0__FDSAUDITLINK__" hidden="1">{"fdsup://directions/FAT Viewer?action=UPDATE&amp;creator=factset&amp;DYN_ARGS=TRUE&amp;DOC_NAME=FAT:FQL_AUDITING_CLIENT_TEMPLATE.FAT&amp;display_string=Audit&amp;VAR:KEY=LUBWJSPQZY&amp;VAR:QUERY=RkZfRUJJVERBX09QRVIoUVRSLDQvMS8yMDEwLDYvMzAvMjAxMCwsLFVTRCk=&amp;WINDOW=FIRST_POPUP&amp;HEIGH","T=450&amp;WIDTH=450&amp;START_MAXIMIZED=FALSE&amp;VAR:CALENDAR=US&amp;VAR:SYMBOL=FMC&amp;VAR:INDEX=0"}</definedName>
    <definedName name="_641__FDSAUDITLINK__" localSheetId="1"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1__FDSAUDITLINK__" hidden="1">{"fdsup://directions/FAT Viewer?action=UPDATE&amp;creator=factset&amp;DYN_ARGS=TRUE&amp;DOC_NAME=FAT:FQL_AUDITING_CLIENT_TEMPLATE.FAT&amp;display_string=Audit&amp;VAR:KEY=NKBEFQHERQ&amp;VAR:QUERY=RkZfRUJJVERBX09QRVIoUVRSLDQvMS8yMDA5LDYvMzAvMjAwOSwsLFVTRCk=&amp;WINDOW=FIRST_POPUP&amp;HEIGH","T=450&amp;WIDTH=450&amp;START_MAXIMIZED=FALSE&amp;VAR:CALENDAR=US&amp;VAR:SYMBOL=FLS&amp;VAR:INDEX=0"}</definedName>
    <definedName name="_642__FDSAUDITLINK__" localSheetId="1"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2__FDSAUDITLINK__" hidden="1">{"fdsup://directions/FAT Viewer?action=UPDATE&amp;creator=factset&amp;DYN_ARGS=TRUE&amp;DOC_NAME=FAT:FQL_AUDITING_CLIENT_TEMPLATE.FAT&amp;display_string=Audit&amp;VAR:KEY=TITUDYNYNS&amp;VAR:QUERY=RkZfRUJJVERBX09QRVIoUVRSLDQvMS8yMDEwLDYvMzAvMjAxMCwsLFVTRCk=&amp;WINDOW=FIRST_POPUP&amp;HEIGH","T=450&amp;WIDTH=450&amp;START_MAXIMIZED=FALSE&amp;VAR:CALENDAR=US&amp;VAR:SYMBOL=FLS&amp;VAR:INDEX=0"}</definedName>
    <definedName name="_643__FDSAUDITLINK__" localSheetId="1"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3__FDSAUDITLINK__" hidden="1">{"fdsup://directions/FAT Viewer?action=UPDATE&amp;creator=factset&amp;DYN_ARGS=TRUE&amp;DOC_NAME=FAT:FQL_AUDITING_CLIENT_TEMPLATE.FAT&amp;display_string=Audit&amp;VAR:KEY=FIXABYVSPC&amp;VAR:QUERY=RkZfRUJJVERBX09QRVIoUVRSLDQvMS8yMDA5LDYvMzAvMjAwOSwsLFVTRCk=&amp;WINDOW=FIRST_POPUP&amp;HEIGH","T=450&amp;WIDTH=450&amp;START_MAXIMIZED=FALSE&amp;VAR:CALENDAR=US&amp;VAR:SYMBOL=FLR&amp;VAR:INDEX=0"}</definedName>
    <definedName name="_644__FDSAUDITLINK__" localSheetId="1"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4__FDSAUDITLINK__" hidden="1">{"fdsup://directions/FAT Viewer?action=UPDATE&amp;creator=factset&amp;DYN_ARGS=TRUE&amp;DOC_NAME=FAT:FQL_AUDITING_CLIENT_TEMPLATE.FAT&amp;display_string=Audit&amp;VAR:KEY=DKVCHEPCFM&amp;VAR:QUERY=RkZfRUJJVERBX09QRVIoUVRSLDQvMS8yMDEwLDYvMzAvMjAxMCwsLFVTRCk=&amp;WINDOW=FIRST_POPUP&amp;HEIGH","T=450&amp;WIDTH=450&amp;START_MAXIMIZED=FALSE&amp;VAR:CALENDAR=US&amp;VAR:SYMBOL=FLR&amp;VAR:INDEX=0"}</definedName>
    <definedName name="_645__FDSAUDITLINK__" localSheetId="1"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5__FDSAUDITLINK__" hidden="1">{"fdsup://directions/FAT Viewer?action=UPDATE&amp;creator=factset&amp;DYN_ARGS=TRUE&amp;DOC_NAME=FAT:FQL_AUDITING_CLIENT_TEMPLATE.FAT&amp;display_string=Audit&amp;VAR:KEY=LSHOFWZWTS&amp;VAR:QUERY=RkZfRUJJVERBX09QRVIoUVRSLDQvMS8yMDA5LDYvMzAvMjAwOSwsLFVTRCk=&amp;WINDOW=FIRST_POPUP&amp;HEIGH","T=450&amp;WIDTH=450&amp;START_MAXIMIZED=FALSE&amp;VAR:CALENDAR=US&amp;VAR:SYMBOL=FLIR&amp;VAR:INDEX=0"}</definedName>
    <definedName name="_646__FDSAUDITLINK__" localSheetId="1"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6__FDSAUDITLINK__" hidden="1">{"fdsup://directions/FAT Viewer?action=UPDATE&amp;creator=factset&amp;DYN_ARGS=TRUE&amp;DOC_NAME=FAT:FQL_AUDITING_CLIENT_TEMPLATE.FAT&amp;display_string=Audit&amp;VAR:KEY=PCVCXSLIDY&amp;VAR:QUERY=RkZfRUJJVERBX09QRVIoUVRSLDQvMS8yMDEwLDYvMzAvMjAxMCwsLFVTRCk=&amp;WINDOW=FIRST_POPUP&amp;HEIGH","T=450&amp;WIDTH=450&amp;START_MAXIMIZED=FALSE&amp;VAR:CALENDAR=US&amp;VAR:SYMBOL=FLIR&amp;VAR:INDEX=0"}</definedName>
    <definedName name="_647__FDSAUDITLINK__" localSheetId="1"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7__FDSAUDITLINK__" hidden="1">{"fdsup://directions/FAT Viewer?action=UPDATE&amp;creator=factset&amp;DYN_ARGS=TRUE&amp;DOC_NAME=FAT:FQL_AUDITING_CLIENT_TEMPLATE.FAT&amp;display_string=Audit&amp;VAR:KEY=FQHGDCFCJC&amp;VAR:QUERY=RkZfRUJJVERBX09QRVIoUVRSLDQvMS8yMDA5LDYvMzAvMjAwOSwsLFVTRCk=&amp;WINDOW=FIRST_POPUP&amp;HEIGH","T=450&amp;WIDTH=450&amp;START_MAXIMIZED=FALSE&amp;VAR:CALENDAR=US&amp;VAR:SYMBOL=FITB&amp;VAR:INDEX=0"}</definedName>
    <definedName name="_648__FDSAUDITLINK__" localSheetId="1"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8__FDSAUDITLINK__" hidden="1">{"fdsup://directions/FAT Viewer?action=UPDATE&amp;creator=factset&amp;DYN_ARGS=TRUE&amp;DOC_NAME=FAT:FQL_AUDITING_CLIENT_TEMPLATE.FAT&amp;display_string=Audit&amp;VAR:KEY=TYTKJUBSZG&amp;VAR:QUERY=RkZfRUJJVERBX09QRVIoUVRSLDQvMS8yMDEwLDYvMzAvMjAxMCwsLFVTRCk=&amp;WINDOW=FIRST_POPUP&amp;HEIGH","T=450&amp;WIDTH=450&amp;START_MAXIMIZED=FALSE&amp;VAR:CALENDAR=US&amp;VAR:SYMBOL=FITB&amp;VAR:INDEX=0"}</definedName>
    <definedName name="_649__FDSAUDITLINK__" localSheetId="1"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49__FDSAUDITLINK__" hidden="1">{"fdsup://directions/FAT Viewer?action=UPDATE&amp;creator=factset&amp;DYN_ARGS=TRUE&amp;DOC_NAME=FAT:FQL_AUDITING_CLIENT_TEMPLATE.FAT&amp;display_string=Audit&amp;VAR:KEY=NGNCTAPQZW&amp;VAR:QUERY=RkZfRUJJVERBX09QRVIoUVRSLDQvMS8yMDA5LDYvMzAvMjAwOSwsLFVTRCk=&amp;WINDOW=FIRST_POPUP&amp;HEIGH","T=450&amp;WIDTH=450&amp;START_MAXIMIZED=FALSE&amp;VAR:CALENDAR=US&amp;VAR:SYMBOL=FISV&amp;VAR:INDEX=0"}</definedName>
    <definedName name="_65__FDSAUDITLINK__" localSheetId="1"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__FDSAUDITLINK__" hidden="1">{"fdsup://directions/FAT Viewer?action=UPDATE&amp;creator=factset&amp;DYN_ARGS=TRUE&amp;DOC_NAME=FAT:FQL_AUDITING_CLIENT_TEMPLATE.FAT&amp;display_string=Audit&amp;VAR:KEY=HWVQTGHUZA&amp;VAR:QUERY=RkZfRUJJVERBX09QRVIoUVRSLDQvMS8yMDA5LDYvMzAvMjAwOSwsLFVTRCk=&amp;WINDOW=FIRST_POPUP&amp;HEIGH","T=450&amp;WIDTH=450&amp;START_MAXIMIZED=FALSE&amp;VAR:CALENDAR=US&amp;VAR:SYMBOL=VRSN&amp;VAR:INDEX=0"}</definedName>
    <definedName name="_650__FDSAUDITLINK__" localSheetId="1"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0__FDSAUDITLINK__" hidden="1">{"fdsup://directions/FAT Viewer?action=UPDATE&amp;creator=factset&amp;DYN_ARGS=TRUE&amp;DOC_NAME=FAT:FQL_AUDITING_CLIENT_TEMPLATE.FAT&amp;display_string=Audit&amp;VAR:KEY=FQFKVKHWZQ&amp;VAR:QUERY=RkZfRUJJVERBX09QRVIoUVRSLDQvMS8yMDEwLDYvMzAvMjAxMCwsLFVTRCk=&amp;WINDOW=FIRST_POPUP&amp;HEIGH","T=450&amp;WIDTH=450&amp;START_MAXIMIZED=FALSE&amp;VAR:CALENDAR=US&amp;VAR:SYMBOL=FISV&amp;VAR:INDEX=0"}</definedName>
    <definedName name="_651__FDSAUDITLINK__" localSheetId="1"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1__FDSAUDITLINK__" hidden="1">{"fdsup://directions/FAT Viewer?action=UPDATE&amp;creator=factset&amp;DYN_ARGS=TRUE&amp;DOC_NAME=FAT:FQL_AUDITING_CLIENT_TEMPLATE.FAT&amp;display_string=Audit&amp;VAR:KEY=JSFOJIFELM&amp;VAR:QUERY=RkZfRUJJVERBX09QRVIoUVRSLDQvMS8yMDA5LDYvMzAvMjAwOSwsLFVTRCk=&amp;WINDOW=FIRST_POPUP&amp;HEIGH","T=450&amp;WIDTH=450&amp;START_MAXIMIZED=FALSE&amp;VAR:CALENDAR=US&amp;VAR:SYMBOL=FIS&amp;VAR:INDEX=0"}</definedName>
    <definedName name="_652__FDSAUDITLINK__" localSheetId="1"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2__FDSAUDITLINK__" hidden="1">{"fdsup://directions/FAT Viewer?action=UPDATE&amp;creator=factset&amp;DYN_ARGS=TRUE&amp;DOC_NAME=FAT:FQL_AUDITING_CLIENT_TEMPLATE.FAT&amp;display_string=Audit&amp;VAR:KEY=NCFMPMPAFA&amp;VAR:QUERY=RkZfRUJJVERBX09QRVIoUVRSLDQvMS8yMDEwLDYvMzAvMjAxMCwsLFVTRCk=&amp;WINDOW=FIRST_POPUP&amp;HEIGH","T=450&amp;WIDTH=450&amp;START_MAXIMIZED=FALSE&amp;VAR:CALENDAR=US&amp;VAR:SYMBOL=FIS&amp;VAR:INDEX=0"}</definedName>
    <definedName name="_653__FDSAUDITLINK__" localSheetId="1"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3__FDSAUDITLINK__" hidden="1">{"fdsup://directions/FAT Viewer?action=UPDATE&amp;creator=factset&amp;DYN_ARGS=TRUE&amp;DOC_NAME=FAT:FQL_AUDITING_CLIENT_TEMPLATE.FAT&amp;display_string=Audit&amp;VAR:KEY=PORMZSNKXE&amp;VAR:QUERY=RkZfRUJJVERBX09QRVIoUVRSLDQvMS8yMDA5LDYvMzAvMjAwOSwsLFVTRCk=&amp;WINDOW=FIRST_POPUP&amp;HEIGH","T=450&amp;WIDTH=450&amp;START_MAXIMIZED=FALSE&amp;VAR:CALENDAR=US&amp;VAR:SYMBOL=FII&amp;VAR:INDEX=0"}</definedName>
    <definedName name="_654__FDSAUDITLINK__" localSheetId="1"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4__FDSAUDITLINK__" hidden="1">{"fdsup://directions/FAT Viewer?action=UPDATE&amp;creator=factset&amp;DYN_ARGS=TRUE&amp;DOC_NAME=FAT:FQL_AUDITING_CLIENT_TEMPLATE.FAT&amp;display_string=Audit&amp;VAR:KEY=XSNCNCDYZQ&amp;VAR:QUERY=RkZfRUJJVERBX09QRVIoUVRSLDQvMS8yMDEwLDYvMzAvMjAxMCwsLFVTRCk=&amp;WINDOW=FIRST_POPUP&amp;HEIGH","T=450&amp;WIDTH=450&amp;START_MAXIMIZED=FALSE&amp;VAR:CALENDAR=US&amp;VAR:SYMBOL=FII&amp;VAR:INDEX=0"}</definedName>
    <definedName name="_655__FDSAUDITLINK__" localSheetId="1"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5__FDSAUDITLINK__" hidden="1">{"fdsup://directions/FAT Viewer?action=UPDATE&amp;creator=factset&amp;DYN_ARGS=TRUE&amp;DOC_NAME=FAT:FQL_AUDITING_CLIENT_TEMPLATE.FAT&amp;display_string=Audit&amp;VAR:KEY=VCDWBMFWFS&amp;VAR:QUERY=RkZfRUJJVERBX09QRVIoUVRSLDQvMS8yMDA5LDYvMzAvMjAwOSwsLFVTRCk=&amp;WINDOW=FIRST_POPUP&amp;HEIGH","T=450&amp;WIDTH=450&amp;START_MAXIMIZED=FALSE&amp;VAR:CALENDAR=US&amp;VAR:SYMBOL=FHN&amp;VAR:INDEX=0"}</definedName>
    <definedName name="_656__FDSAUDITLINK__" localSheetId="1"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6__FDSAUDITLINK__" hidden="1">{"fdsup://directions/FAT Viewer?action=UPDATE&amp;creator=factset&amp;DYN_ARGS=TRUE&amp;DOC_NAME=FAT:FQL_AUDITING_CLIENT_TEMPLATE.FAT&amp;display_string=Audit&amp;VAR:KEY=TYPKDIVCNK&amp;VAR:QUERY=RkZfRUJJVERBX09QRVIoUVRSLDQvMS8yMDEwLDYvMzAvMjAxMCwsLFVTRCk=&amp;WINDOW=FIRST_POPUP&amp;HEIGH","T=450&amp;WIDTH=450&amp;START_MAXIMIZED=FALSE&amp;VAR:CALENDAR=US&amp;VAR:SYMBOL=FHN&amp;VAR:INDEX=0"}</definedName>
    <definedName name="_657__FDSAUDITLINK__" localSheetId="1"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7__FDSAUDITLINK__" hidden="1">{"fdsup://directions/FAT Viewer?action=UPDATE&amp;creator=factset&amp;DYN_ARGS=TRUE&amp;DOC_NAME=FAT:FQL_AUDITING_CLIENT_TEMPLATE.FAT&amp;display_string=Audit&amp;VAR:KEY=RALANEZGTY&amp;VAR:QUERY=RkZfRUJJVERBX09QRVIoUVRSLDQvMS8yMDA5LDYvMzAvMjAwOSwsLFVTRCk=&amp;WINDOW=FIRST_POPUP&amp;HEIGH","T=450&amp;WIDTH=450&amp;START_MAXIMIZED=FALSE&amp;VAR:CALENDAR=US&amp;VAR:SYMBOL=FE&amp;VAR:INDEX=0"}</definedName>
    <definedName name="_658__FDSAUDITLINK__" localSheetId="1"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8__FDSAUDITLINK__" hidden="1">{"fdsup://directions/FAT Viewer?action=UPDATE&amp;creator=factset&amp;DYN_ARGS=TRUE&amp;DOC_NAME=FAT:FQL_AUDITING_CLIENT_TEMPLATE.FAT&amp;display_string=Audit&amp;VAR:KEY=RQBWJGHCLK&amp;VAR:QUERY=RkZfRUJJVERBX09QRVIoUVRSLDQvMS8yMDEwLDYvMzAvMjAxMCwsLFVTRCk=&amp;WINDOW=FIRST_POPUP&amp;HEIGH","T=450&amp;WIDTH=450&amp;START_MAXIMIZED=FALSE&amp;VAR:CALENDAR=US&amp;VAR:SYMBOL=FE&amp;VAR:INDEX=0"}</definedName>
    <definedName name="_659__FDSAUDITLINK__" localSheetId="1"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59__FDSAUDITLINK__" hidden="1">{"fdsup://directions/FAT Viewer?action=UPDATE&amp;creator=factset&amp;DYN_ARGS=TRUE&amp;DOC_NAME=FAT:FQL_AUDITING_CLIENT_TEMPLATE.FAT&amp;display_string=Audit&amp;VAR:KEY=LONKLYZWTA&amp;VAR:QUERY=RkZfRUJJVERBX09QRVIoUVRSLDQvMS8yMDA5LDYvMzAvMjAwOSwsLFVTRCk=&amp;WINDOW=FIRST_POPUP&amp;HEIGH","T=450&amp;WIDTH=450&amp;START_MAXIMIZED=FALSE&amp;VAR:CALENDAR=US&amp;VAR:SYMBOL=FDX&amp;VAR:INDEX=0"}</definedName>
    <definedName name="_66__FDSAUDITLINK__" localSheetId="1"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__FDSAUDITLINK__" hidden="1">{"fdsup://directions/FAT Viewer?action=UPDATE&amp;creator=factset&amp;DYN_ARGS=TRUE&amp;DOC_NAME=FAT:FQL_AUDITING_CLIENT_TEMPLATE.FAT&amp;display_string=Audit&amp;VAR:KEY=ZIVETKXMXC&amp;VAR:QUERY=RkZfRUJJVERBX09QRVIoUVRSLDQvMS8yMDEwLDYvMzAvMjAxMCwsLFVTRCk=&amp;WINDOW=FIRST_POPUP&amp;HEIGH","T=450&amp;WIDTH=450&amp;START_MAXIMIZED=FALSE&amp;VAR:CALENDAR=US&amp;VAR:SYMBOL=VRSN&amp;VAR:INDEX=0"}</definedName>
    <definedName name="_660__FDSAUDITLINK__" localSheetId="1"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0__FDSAUDITLINK__" hidden="1">{"fdsup://directions/FAT Viewer?action=UPDATE&amp;creator=factset&amp;DYN_ARGS=TRUE&amp;DOC_NAME=FAT:FQL_AUDITING_CLIENT_TEMPLATE.FAT&amp;display_string=Audit&amp;VAR:KEY=JWPODCHGNO&amp;VAR:QUERY=RkZfRUJJVERBX09QRVIoUVRSLDQvMS8yMDEwLDYvMzAvMjAxMCwsLFVTRCk=&amp;WINDOW=FIRST_POPUP&amp;HEIGH","T=450&amp;WIDTH=450&amp;START_MAXIMIZED=FALSE&amp;VAR:CALENDAR=US&amp;VAR:SYMBOL=FDX&amp;VAR:INDEX=0"}</definedName>
    <definedName name="_661__FDSAUDITLINK__" localSheetId="1"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1__FDSAUDITLINK__" hidden="1">{"fdsup://directions/FAT Viewer?action=UPDATE&amp;creator=factset&amp;DYN_ARGS=TRUE&amp;DOC_NAME=FAT:FQL_AUDITING_CLIENT_TEMPLATE.FAT&amp;display_string=Audit&amp;VAR:KEY=TUXMTETGZY&amp;VAR:QUERY=RkZfRUJJVERBX09QRVIoUVRSLDQvMS8yMDA5LDYvMzAvMjAwOSwsLFVTRCk=&amp;WINDOW=FIRST_POPUP&amp;HEIGH","T=450&amp;WIDTH=450&amp;START_MAXIMIZED=FALSE&amp;VAR:CALENDAR=US&amp;VAR:SYMBOL=FDO&amp;VAR:INDEX=0"}</definedName>
    <definedName name="_662__FDSAUDITLINK__" localSheetId="1"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2__FDSAUDITLINK__" hidden="1">{"fdsup://directions/FAT Viewer?action=UPDATE&amp;creator=factset&amp;DYN_ARGS=TRUE&amp;DOC_NAME=FAT:FQL_AUDITING_CLIENT_TEMPLATE.FAT&amp;display_string=Audit&amp;VAR:KEY=FYVODOXCFG&amp;VAR:QUERY=RkZfRUJJVERBX09QRVIoUVRSLDQvMS8yMDEwLDYvMzAvMjAxMCwsLFVTRCk=&amp;WINDOW=FIRST_POPUP&amp;HEIGH","T=450&amp;WIDTH=450&amp;START_MAXIMIZED=FALSE&amp;VAR:CALENDAR=US&amp;VAR:SYMBOL=FDO&amp;VAR:INDEX=0"}</definedName>
    <definedName name="_663__FDSAUDITLINK__" localSheetId="1"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3__FDSAUDITLINK__" hidden="1">{"fdsup://directions/FAT Viewer?action=UPDATE&amp;creator=factset&amp;DYN_ARGS=TRUE&amp;DOC_NAME=FAT:FQL_AUDITING_CLIENT_TEMPLATE.FAT&amp;display_string=Audit&amp;VAR:KEY=LINATWRQVK&amp;VAR:QUERY=RkZfRUJJVERBX09QRVIoUVRSLDQvMS8yMDA5LDYvMzAvMjAwOSwsLFVTRCk=&amp;WINDOW=FIRST_POPUP&amp;HEIGH","T=450&amp;WIDTH=450&amp;START_MAXIMIZED=FALSE&amp;VAR:CALENDAR=US&amp;VAR:SYMBOL=FCX&amp;VAR:INDEX=0"}</definedName>
    <definedName name="_664__FDSAUDITLINK__" localSheetId="1"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4__FDSAUDITLINK__" hidden="1">{"fdsup://directions/FAT Viewer?action=UPDATE&amp;creator=factset&amp;DYN_ARGS=TRUE&amp;DOC_NAME=FAT:FQL_AUDITING_CLIENT_TEMPLATE.FAT&amp;display_string=Audit&amp;VAR:KEY=RKJYRMHITE&amp;VAR:QUERY=RkZfRUJJVERBX09QRVIoUVRSLDQvMS8yMDEwLDYvMzAvMjAxMCwsLFVTRCk=&amp;WINDOW=FIRST_POPUP&amp;HEIGH","T=450&amp;WIDTH=450&amp;START_MAXIMIZED=FALSE&amp;VAR:CALENDAR=US&amp;VAR:SYMBOL=FCX&amp;VAR:INDEX=0"}</definedName>
    <definedName name="_665__FDSAUDITLINK__" localSheetId="1"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5__FDSAUDITLINK__" hidden="1">{"fdsup://directions/FAT Viewer?action=UPDATE&amp;creator=factset&amp;DYN_ARGS=TRUE&amp;DOC_NAME=FAT:FQL_AUDITING_CLIENT_TEMPLATE.FAT&amp;display_string=Audit&amp;VAR:KEY=JEZQREPWDW&amp;VAR:QUERY=RkZfRUJJVERBX09QRVIoUVRSLDQvMS8yMDA5LDYvMzAvMjAwOSwsLFVTRCk=&amp;WINDOW=FIRST_POPUP&amp;HEIGH","T=450&amp;WIDTH=450&amp;START_MAXIMIZED=FALSE&amp;VAR:CALENDAR=US&amp;VAR:SYMBOL=FAST&amp;VAR:INDEX=0"}</definedName>
    <definedName name="_666__FDSAUDITLINK__" localSheetId="1"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6__FDSAUDITLINK__" hidden="1">{"fdsup://directions/FAT Viewer?action=UPDATE&amp;creator=factset&amp;DYN_ARGS=TRUE&amp;DOC_NAME=FAT:FQL_AUDITING_CLIENT_TEMPLATE.FAT&amp;display_string=Audit&amp;VAR:KEY=ZOVGNOLQXS&amp;VAR:QUERY=RkZfRUJJVERBX09QRVIoUVRSLDQvMS8yMDEwLDYvMzAvMjAxMCwsLFVTRCk=&amp;WINDOW=FIRST_POPUP&amp;HEIGH","T=450&amp;WIDTH=450&amp;START_MAXIMIZED=FALSE&amp;VAR:CALENDAR=US&amp;VAR:SYMBOL=FAST&amp;VAR:INDEX=0"}</definedName>
    <definedName name="_667__FDSAUDITLINK__" localSheetId="1"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7__FDSAUDITLINK__" hidden="1">{"fdsup://directions/FAT Viewer?action=UPDATE&amp;creator=factset&amp;DYN_ARGS=TRUE&amp;DOC_NAME=FAT:FQL_AUDITING_CLIENT_TEMPLATE.FAT&amp;display_string=Audit&amp;VAR:KEY=VQJOJKTYNG&amp;VAR:QUERY=RkZfRUJJVERBX09QRVIoUVRSLDQvMS8yMDA5LDYvMzAvMjAwOSwsLFVTRCk=&amp;WINDOW=FIRST_POPUP&amp;HEIGH","T=450&amp;WIDTH=450&amp;START_MAXIMIZED=FALSE&amp;VAR:CALENDAR=US&amp;VAR:SYMBOL=F&amp;VAR:INDEX=0"}</definedName>
    <definedName name="_668__FDSAUDITLINK__" localSheetId="1"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8__FDSAUDITLINK__" hidden="1">{"fdsup://directions/FAT Viewer?action=UPDATE&amp;creator=factset&amp;DYN_ARGS=TRUE&amp;DOC_NAME=FAT:FQL_AUDITING_CLIENT_TEMPLATE.FAT&amp;display_string=Audit&amp;VAR:KEY=LCRWTGVGZU&amp;VAR:QUERY=RkZfRUJJVERBX09QRVIoUVRSLDQvMS8yMDEwLDYvMzAvMjAxMCwsLFVTRCk=&amp;WINDOW=FIRST_POPUP&amp;HEIGH","T=450&amp;WIDTH=450&amp;START_MAXIMIZED=FALSE&amp;VAR:CALENDAR=US&amp;VAR:SYMBOL=F&amp;VAR:INDEX=0"}</definedName>
    <definedName name="_669__FDSAUDITLINK__" localSheetId="1"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69__FDSAUDITLINK__" hidden="1">{"fdsup://directions/FAT Viewer?action=UPDATE&amp;creator=factset&amp;DYN_ARGS=TRUE&amp;DOC_NAME=FAT:FQL_AUDITING_CLIENT_TEMPLATE.FAT&amp;display_string=Audit&amp;VAR:KEY=RSPGJOBADK&amp;VAR:QUERY=RkZfRUJJVERBX09QRVIoUVRSLDQvMS8yMDA5LDYvMzAvMjAwOSwsLFVTRCk=&amp;WINDOW=FIRST_POPUP&amp;HEIGH","T=450&amp;WIDTH=450&amp;START_MAXIMIZED=FALSE&amp;VAR:CALENDAR=US&amp;VAR:SYMBOL=EXPE&amp;VAR:INDEX=0"}</definedName>
    <definedName name="_67__FDSAUDITLINK__" localSheetId="1"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__FDSAUDITLINK__" hidden="1">{"fdsup://directions/FAT Viewer?action=UPDATE&amp;creator=factset&amp;DYN_ARGS=TRUE&amp;DOC_NAME=FAT:FQL_AUDITING_CLIENT_TEMPLATE.FAT&amp;display_string=Audit&amp;VAR:KEY=RSXOBMFUNK&amp;VAR:QUERY=RkZfRUJJVERBX09QRVIoUVRSLDQvMS8yMDA5LDYvMzAvMjAwOSwsLFVTRCk=&amp;WINDOW=FIRST_POPUP&amp;HEIGH","T=450&amp;WIDTH=450&amp;START_MAXIMIZED=FALSE&amp;VAR:CALENDAR=US&amp;VAR:SYMBOL=VNO&amp;VAR:INDEX=0"}</definedName>
    <definedName name="_670__FDSAUDITLINK__" localSheetId="1"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0__FDSAUDITLINK__" hidden="1">{"fdsup://directions/FAT Viewer?action=UPDATE&amp;creator=factset&amp;DYN_ARGS=TRUE&amp;DOC_NAME=FAT:FQL_AUDITING_CLIENT_TEMPLATE.FAT&amp;display_string=Audit&amp;VAR:KEY=NGJWJIJEDE&amp;VAR:QUERY=RkZfRUJJVERBX09QRVIoUVRSLDQvMS8yMDEwLDYvMzAvMjAxMCwsLFVTRCk=&amp;WINDOW=FIRST_POPUP&amp;HEIGH","T=450&amp;WIDTH=450&amp;START_MAXIMIZED=FALSE&amp;VAR:CALENDAR=US&amp;VAR:SYMBOL=EXPE&amp;VAR:INDEX=0"}</definedName>
    <definedName name="_671__FDSAUDITLINK__" localSheetId="1"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1__FDSAUDITLINK__" hidden="1">{"fdsup://directions/FAT Viewer?action=UPDATE&amp;creator=factset&amp;DYN_ARGS=TRUE&amp;DOC_NAME=FAT:FQL_AUDITING_CLIENT_TEMPLATE.FAT&amp;display_string=Audit&amp;VAR:KEY=LCHWREFKDC&amp;VAR:QUERY=RkZfRUJJVERBX09QRVIoUVRSLDQvMS8yMDA5LDYvMzAvMjAwOSwsLFVTRCk=&amp;WINDOW=FIRST_POPUP&amp;HEIGH","T=450&amp;WIDTH=450&amp;START_MAXIMIZED=FALSE&amp;VAR:CALENDAR=US&amp;VAR:SYMBOL=EXPD&amp;VAR:INDEX=0"}</definedName>
    <definedName name="_672__FDSAUDITLINK__" localSheetId="1"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2__FDSAUDITLINK__" hidden="1">{"fdsup://directions/FAT Viewer?action=UPDATE&amp;creator=factset&amp;DYN_ARGS=TRUE&amp;DOC_NAME=FAT:FQL_AUDITING_CLIENT_TEMPLATE.FAT&amp;display_string=Audit&amp;VAR:KEY=PAVKRIZSNM&amp;VAR:QUERY=RkZfRUJJVERBX09QRVIoUVRSLDQvMS8yMDEwLDYvMzAvMjAxMCwsLFVTRCk=&amp;WINDOW=FIRST_POPUP&amp;HEIGH","T=450&amp;WIDTH=450&amp;START_MAXIMIZED=FALSE&amp;VAR:CALENDAR=US&amp;VAR:SYMBOL=EXPD&amp;VAR:INDEX=0"}</definedName>
    <definedName name="_673__FDSAUDITLINK__" localSheetId="1"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3__FDSAUDITLINK__" hidden="1">{"fdsup://directions/FAT Viewer?action=UPDATE&amp;creator=factset&amp;DYN_ARGS=TRUE&amp;DOC_NAME=FAT:FQL_AUDITING_CLIENT_TEMPLATE.FAT&amp;display_string=Audit&amp;VAR:KEY=HSBMZAJIPK&amp;VAR:QUERY=RkZfRUJJVERBX09QRVIoUVRSLDQvMS8yMDA5LDYvMzAvMjAwOSwsLFVTRCk=&amp;WINDOW=FIRST_POPUP&amp;HEIGH","T=450&amp;WIDTH=450&amp;START_MAXIMIZED=FALSE&amp;VAR:CALENDAR=US&amp;VAR:SYMBOL=EXC&amp;VAR:INDEX=0"}</definedName>
    <definedName name="_674__FDSAUDITLINK__" localSheetId="1"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4__FDSAUDITLINK__" hidden="1">{"fdsup://directions/FAT Viewer?action=UPDATE&amp;creator=factset&amp;DYN_ARGS=TRUE&amp;DOC_NAME=FAT:FQL_AUDITING_CLIENT_TEMPLATE.FAT&amp;display_string=Audit&amp;VAR:KEY=VIXYPABMTM&amp;VAR:QUERY=RkZfRUJJVERBX09QRVIoUVRSLDQvMS8yMDEwLDYvMzAvMjAxMCwsLFVTRCk=&amp;WINDOW=FIRST_POPUP&amp;HEIGH","T=450&amp;WIDTH=450&amp;START_MAXIMIZED=FALSE&amp;VAR:CALENDAR=US&amp;VAR:SYMBOL=EXC&amp;VAR:INDEX=0"}</definedName>
    <definedName name="_675__FDSAUDITLINK__" localSheetId="1"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5__FDSAUDITLINK__" hidden="1">{"fdsup://directions/FAT Viewer?action=UPDATE&amp;creator=factset&amp;DYN_ARGS=TRUE&amp;DOC_NAME=FAT:FQL_AUDITING_CLIENT_TEMPLATE.FAT&amp;display_string=Audit&amp;VAR:KEY=DWLWBIXEFG&amp;VAR:QUERY=RkZfRUJJVERBX09QRVIoUVRSLDQvMS8yMDA5LDYvMzAvMjAwOSwsLFVTRCk=&amp;WINDOW=FIRST_POPUP&amp;HEIGH","T=450&amp;WIDTH=450&amp;START_MAXIMIZED=FALSE&amp;VAR:CALENDAR=US&amp;VAR:SYMBOL=ETR&amp;VAR:INDEX=0"}</definedName>
    <definedName name="_676__FDSAUDITLINK__" localSheetId="1"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6__FDSAUDITLINK__" hidden="1">{"fdsup://directions/FAT Viewer?action=UPDATE&amp;creator=factset&amp;DYN_ARGS=TRUE&amp;DOC_NAME=FAT:FQL_AUDITING_CLIENT_TEMPLATE.FAT&amp;display_string=Audit&amp;VAR:KEY=FIJMNUTQPG&amp;VAR:QUERY=RkZfRUJJVERBX09QRVIoUVRSLDQvMS8yMDEwLDYvMzAvMjAxMCwsLFVTRCk=&amp;WINDOW=FIRST_POPUP&amp;HEIGH","T=450&amp;WIDTH=450&amp;START_MAXIMIZED=FALSE&amp;VAR:CALENDAR=US&amp;VAR:SYMBOL=ETR&amp;VAR:INDEX=0"}</definedName>
    <definedName name="_677__FDSAUDITLINK__" localSheetId="1"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7__FDSAUDITLINK__" hidden="1">{"fdsup://directions/FAT Viewer?action=UPDATE&amp;creator=factset&amp;DYN_ARGS=TRUE&amp;DOC_NAME=FAT:FQL_AUDITING_CLIENT_TEMPLATE.FAT&amp;display_string=Audit&amp;VAR:KEY=XGTKZIFQDW&amp;VAR:QUERY=RkZfRUJJVERBX09QRVIoUVRSLDQvMS8yMDA5LDYvMzAvMjAwOSwsLFVTRCk=&amp;WINDOW=FIRST_POPUP&amp;HEIGH","T=450&amp;WIDTH=450&amp;START_MAXIMIZED=FALSE&amp;VAR:CALENDAR=US&amp;VAR:SYMBOL=ETN&amp;VAR:INDEX=0"}</definedName>
    <definedName name="_678__FDSAUDITLINK__" localSheetId="1"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8__FDSAUDITLINK__" hidden="1">{"fdsup://directions/FAT Viewer?action=UPDATE&amp;creator=factset&amp;DYN_ARGS=TRUE&amp;DOC_NAME=FAT:FQL_AUDITING_CLIENT_TEMPLATE.FAT&amp;display_string=Audit&amp;VAR:KEY=FSTWDCVCJA&amp;VAR:QUERY=RkZfRUJJVERBX09QRVIoUVRSLDQvMS8yMDEwLDYvMzAvMjAxMCwsLFVTRCk=&amp;WINDOW=FIRST_POPUP&amp;HEIGH","T=450&amp;WIDTH=450&amp;START_MAXIMIZED=FALSE&amp;VAR:CALENDAR=US&amp;VAR:SYMBOL=ETN&amp;VAR:INDEX=0"}</definedName>
    <definedName name="_679__FDSAUDITLINK__" localSheetId="1"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79__FDSAUDITLINK__" hidden="1">{"fdsup://directions/FAT Viewer?action=UPDATE&amp;creator=factset&amp;DYN_ARGS=TRUE&amp;DOC_NAME=FAT:FQL_AUDITING_CLIENT_TEMPLATE.FAT&amp;display_string=Audit&amp;VAR:KEY=DILKHKBULA&amp;VAR:QUERY=RkZfRUJJVERBX09QRVIoUVRSLDQvMS8yMDA5LDYvMzAvMjAwOSwsLFVTRCk=&amp;WINDOW=FIRST_POPUP&amp;HEIGH","T=450&amp;WIDTH=450&amp;START_MAXIMIZED=FALSE&amp;VAR:CALENDAR=US&amp;VAR:SYMBOL=ETFC&amp;VAR:INDEX=0"}</definedName>
    <definedName name="_68__FDSAUDITLINK__" localSheetId="1"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__FDSAUDITLINK__" hidden="1">{"fdsup://directions/FAT Viewer?action=UPDATE&amp;creator=factset&amp;DYN_ARGS=TRUE&amp;DOC_NAME=FAT:FQL_AUDITING_CLIENT_TEMPLATE.FAT&amp;display_string=Audit&amp;VAR:KEY=NUNYJGJWNY&amp;VAR:QUERY=RkZfRUJJVERBX09QRVIoUVRSLDQvMS8yMDEwLDYvMzAvMjAxMCwsLFVTRCk=&amp;WINDOW=FIRST_POPUP&amp;HEIGH","T=450&amp;WIDTH=450&amp;START_MAXIMIZED=FALSE&amp;VAR:CALENDAR=US&amp;VAR:SYMBOL=VNO&amp;VAR:INDEX=0"}</definedName>
    <definedName name="_680__FDSAUDITLINK__" localSheetId="1"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0__FDSAUDITLINK__" hidden="1">{"fdsup://directions/FAT Viewer?action=UPDATE&amp;creator=factset&amp;DYN_ARGS=TRUE&amp;DOC_NAME=FAT:FQL_AUDITING_CLIENT_TEMPLATE.FAT&amp;display_string=Audit&amp;VAR:KEY=NQBYFQDYJE&amp;VAR:QUERY=RkZfRUJJVERBX09QRVIoUVRSLDQvMS8yMDEwLDYvMzAvMjAxMCwsLFVTRCk=&amp;WINDOW=FIRST_POPUP&amp;HEIGH","T=450&amp;WIDTH=450&amp;START_MAXIMIZED=FALSE&amp;VAR:CALENDAR=US&amp;VAR:SYMBOL=ETFC&amp;VAR:INDEX=0"}</definedName>
    <definedName name="_681__FDSAUDITLINK__" localSheetId="1"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1__FDSAUDITLINK__" hidden="1">{"fdsup://directions/FAT Viewer?action=UPDATE&amp;creator=factset&amp;DYN_ARGS=TRUE&amp;DOC_NAME=FAT:FQL_AUDITING_CLIENT_TEMPLATE.FAT&amp;display_string=Audit&amp;VAR:KEY=LYNGZKJAJU&amp;VAR:QUERY=RkZfRUJJVERBX09QRVIoUVRSLDQvMS8yMDA5LDYvMzAvMjAwOSwsLFVTRCk=&amp;WINDOW=FIRST_POPUP&amp;HEIGH","T=450&amp;WIDTH=450&amp;START_MAXIMIZED=FALSE&amp;VAR:CALENDAR=US&amp;VAR:SYMBOL=ESRX&amp;VAR:INDEX=0"}</definedName>
    <definedName name="_682__FDSAUDITLINK__" localSheetId="1"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2__FDSAUDITLINK__" hidden="1">{"fdsup://directions/FAT Viewer?action=UPDATE&amp;creator=factset&amp;DYN_ARGS=TRUE&amp;DOC_NAME=FAT:FQL_AUDITING_CLIENT_TEMPLATE.FAT&amp;display_string=Audit&amp;VAR:KEY=FWXYTWTQNC&amp;VAR:QUERY=RkZfRUJJVERBX09QRVIoUVRSLDQvMS8yMDEwLDYvMzAvMjAxMCwsLFVTRCk=&amp;WINDOW=FIRST_POPUP&amp;HEIGH","T=450&amp;WIDTH=450&amp;START_MAXIMIZED=FALSE&amp;VAR:CALENDAR=US&amp;VAR:SYMBOL=ESRX&amp;VAR:INDEX=0"}</definedName>
    <definedName name="_683__FDSAUDITLINK__" localSheetId="1"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3__FDSAUDITLINK__" hidden="1">{"fdsup://directions/FAT Viewer?action=UPDATE&amp;creator=factset&amp;DYN_ARGS=TRUE&amp;DOC_NAME=FAT:FQL_AUDITING_CLIENT_TEMPLATE.FAT&amp;display_string=Audit&amp;VAR:KEY=HMDYPAHURC&amp;VAR:QUERY=RkZfRUJJVERBX09QRVIoUVRSLDQvMS8yMDA5LDYvMzAvMjAwOSwsLFVTRCk=&amp;WINDOW=FIRST_POPUP&amp;HEIGH","T=450&amp;WIDTH=450&amp;START_MAXIMIZED=FALSE&amp;VAR:CALENDAR=US&amp;VAR:SYMBOL=ERTS&amp;VAR:INDEX=0"}</definedName>
    <definedName name="_684__FDSAUDITLINK__" localSheetId="1"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4__FDSAUDITLINK__" hidden="1">{"fdsup://directions/FAT Viewer?action=UPDATE&amp;creator=factset&amp;DYN_ARGS=TRUE&amp;DOC_NAME=FAT:FQL_AUDITING_CLIENT_TEMPLATE.FAT&amp;display_string=Audit&amp;VAR:KEY=BCDAXMPCXQ&amp;VAR:QUERY=RkZfRUJJVERBX09QRVIoUVRSLDQvMS8yMDEwLDYvMzAvMjAxMCwsLFVTRCk=&amp;WINDOW=FIRST_POPUP&amp;HEIGH","T=450&amp;WIDTH=450&amp;START_MAXIMIZED=FALSE&amp;VAR:CALENDAR=US&amp;VAR:SYMBOL=ERTS&amp;VAR:INDEX=0"}</definedName>
    <definedName name="_685__FDSAUDITLINK__" localSheetId="1"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5__FDSAUDITLINK__" hidden="1">{"fdsup://directions/FAT Viewer?action=UPDATE&amp;creator=factset&amp;DYN_ARGS=TRUE&amp;DOC_NAME=FAT:FQL_AUDITING_CLIENT_TEMPLATE.FAT&amp;display_string=Audit&amp;VAR:KEY=JAZQHEVGVY&amp;VAR:QUERY=RkZfRUJJVERBX09QRVIoUVRSLDQvMS8yMDA5LDYvMzAvMjAwOSwsLFVTRCk=&amp;WINDOW=FIRST_POPUP&amp;HEIGH","T=450&amp;WIDTH=450&amp;START_MAXIMIZED=FALSE&amp;VAR:CALENDAR=US&amp;VAR:SYMBOL=EQT&amp;VAR:INDEX=0"}</definedName>
    <definedName name="_686__FDSAUDITLINK__" localSheetId="1"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6__FDSAUDITLINK__" hidden="1">{"fdsup://directions/FAT Viewer?action=UPDATE&amp;creator=factset&amp;DYN_ARGS=TRUE&amp;DOC_NAME=FAT:FQL_AUDITING_CLIENT_TEMPLATE.FAT&amp;display_string=Audit&amp;VAR:KEY=RKZWPAZEDQ&amp;VAR:QUERY=RkZfRUJJVERBX09QRVIoUVRSLDQvMS8yMDEwLDYvMzAvMjAxMCwsLFVTRCk=&amp;WINDOW=FIRST_POPUP&amp;HEIGH","T=450&amp;WIDTH=450&amp;START_MAXIMIZED=FALSE&amp;VAR:CALENDAR=US&amp;VAR:SYMBOL=EQT&amp;VAR:INDEX=0"}</definedName>
    <definedName name="_687__FDSAUDITLINK__" localSheetId="1"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7__FDSAUDITLINK__" hidden="1">{"fdsup://directions/FAT Viewer?action=UPDATE&amp;creator=factset&amp;DYN_ARGS=TRUE&amp;DOC_NAME=FAT:FQL_AUDITING_CLIENT_TEMPLATE.FAT&amp;display_string=Audit&amp;VAR:KEY=NIDKNWFOXM&amp;VAR:QUERY=RkZfRUJJVERBX09QRVIoUVRSLDQvMS8yMDA5LDYvMzAvMjAwOSwsLFVTRCk=&amp;WINDOW=FIRST_POPUP&amp;HEIGH","T=450&amp;WIDTH=450&amp;START_MAXIMIZED=FALSE&amp;VAR:CALENDAR=US&amp;VAR:SYMBOL=EQR&amp;VAR:INDEX=0"}</definedName>
    <definedName name="_688__FDSAUDITLINK__" localSheetId="1"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8__FDSAUDITLINK__" hidden="1">{"fdsup://directions/FAT Viewer?action=UPDATE&amp;creator=factset&amp;DYN_ARGS=TRUE&amp;DOC_NAME=FAT:FQL_AUDITING_CLIENT_TEMPLATE.FAT&amp;display_string=Audit&amp;VAR:KEY=JWVSVABCDC&amp;VAR:QUERY=RkZfRUJJVERBX09QRVIoUVRSLDQvMS8yMDEwLDYvMzAvMjAxMCwsLFVTRCk=&amp;WINDOW=FIRST_POPUP&amp;HEIGH","T=450&amp;WIDTH=450&amp;START_MAXIMIZED=FALSE&amp;VAR:CALENDAR=US&amp;VAR:SYMBOL=EQR&amp;VAR:INDEX=0"}</definedName>
    <definedName name="_689__FDSAUDITLINK__" localSheetId="1"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89__FDSAUDITLINK__" hidden="1">{"fdsup://directions/FAT Viewer?action=UPDATE&amp;creator=factset&amp;DYN_ARGS=TRUE&amp;DOC_NAME=FAT:FQL_AUDITING_CLIENT_TEMPLATE.FAT&amp;display_string=Audit&amp;VAR:KEY=BCRQPUZMVE&amp;VAR:QUERY=RkZfRUJJVERBX09QRVIoUVRSLDQvMS8yMDA5LDYvMzAvMjAwOSwsLFVTRCk=&amp;WINDOW=FIRST_POPUP&amp;HEIGH","T=450&amp;WIDTH=450&amp;START_MAXIMIZED=FALSE&amp;VAR:CALENDAR=US&amp;VAR:SYMBOL=EP&amp;VAR:INDEX=0"}</definedName>
    <definedName name="_69__FDSAUDITLINK__" localSheetId="1"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__FDSAUDITLINK__" hidden="1">{"fdsup://directions/FAT Viewer?action=UPDATE&amp;creator=factset&amp;DYN_ARGS=TRUE&amp;DOC_NAME=FAT:FQL_AUDITING_CLIENT_TEMPLATE.FAT&amp;display_string=Audit&amp;VAR:KEY=LADYLKZWVS&amp;VAR:QUERY=RkZfRUJJVERBX09QRVIoUVRSLDQvMS8yMDA5LDYvMzAvMjAwOSwsLFVTRCk=&amp;WINDOW=FIRST_POPUP&amp;HEIGH","T=450&amp;WIDTH=450&amp;START_MAXIMIZED=FALSE&amp;VAR:CALENDAR=US&amp;VAR:SYMBOL=VMC&amp;VAR:INDEX=0"}</definedName>
    <definedName name="_690__FDSAUDITLINK__" localSheetId="1"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0__FDSAUDITLINK__" hidden="1">{"fdsup://directions/FAT Viewer?action=UPDATE&amp;creator=factset&amp;DYN_ARGS=TRUE&amp;DOC_NAME=FAT:FQL_AUDITING_CLIENT_TEMPLATE.FAT&amp;display_string=Audit&amp;VAR:KEY=XMTORQHYBU&amp;VAR:QUERY=RkZfRUJJVERBX09QRVIoUVRSLDQvMS8yMDEwLDYvMzAvMjAxMCwsLFVTRCk=&amp;WINDOW=FIRST_POPUP&amp;HEIGH","T=450&amp;WIDTH=450&amp;START_MAXIMIZED=FALSE&amp;VAR:CALENDAR=US&amp;VAR:SYMBOL=EP&amp;VAR:INDEX=0"}</definedName>
    <definedName name="_691__FDSAUDITLINK__" localSheetId="1"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1__FDSAUDITLINK__" hidden="1">{"fdsup://directions/FAT Viewer?action=UPDATE&amp;creator=factset&amp;DYN_ARGS=TRUE&amp;DOC_NAME=FAT:FQL_AUDITING_CLIENT_TEMPLATE.FAT&amp;display_string=Audit&amp;VAR:KEY=VWXEVIBITA&amp;VAR:QUERY=RkZfRUJJVERBX09QRVIoUVRSLDQvMS8yMDA5LDYvMzAvMjAwOSwsLFVTRCk=&amp;WINDOW=FIRST_POPUP&amp;HEIGH","T=450&amp;WIDTH=450&amp;START_MAXIMIZED=FALSE&amp;VAR:CALENDAR=US&amp;VAR:SYMBOL=EOG&amp;VAR:INDEX=0"}</definedName>
    <definedName name="_692__FDSAUDITLINK__" localSheetId="1"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2__FDSAUDITLINK__" hidden="1">{"fdsup://directions/FAT Viewer?action=UPDATE&amp;creator=factset&amp;DYN_ARGS=TRUE&amp;DOC_NAME=FAT:FQL_AUDITING_CLIENT_TEMPLATE.FAT&amp;display_string=Audit&amp;VAR:KEY=LWZMBQZULI&amp;VAR:QUERY=RkZfRUJJVERBX09QRVIoUVRSLDQvMS8yMDEwLDYvMzAvMjAxMCwsLFVTRCk=&amp;WINDOW=FIRST_POPUP&amp;HEIGH","T=450&amp;WIDTH=450&amp;START_MAXIMIZED=FALSE&amp;VAR:CALENDAR=US&amp;VAR:SYMBOL=EOG&amp;VAR:INDEX=0"}</definedName>
    <definedName name="_693__FDSAUDITLINK__" localSheetId="1"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3__FDSAUDITLINK__" hidden="1">{"fdsup://directions/FAT Viewer?action=UPDATE&amp;creator=factset&amp;DYN_ARGS=TRUE&amp;DOC_NAME=FAT:FQL_AUDITING_CLIENT_TEMPLATE.FAT&amp;display_string=Audit&amp;VAR:KEY=HIDOZSTEFG&amp;VAR:QUERY=RkZfRUJJVERBX09QRVIoUVRSLDQvMS8yMDA5LDYvMzAvMjAwOSwsLFVTRCk=&amp;WINDOW=FIRST_POPUP&amp;HEIGH","T=450&amp;WIDTH=450&amp;START_MAXIMIZED=FALSE&amp;VAR:CALENDAR=US&amp;VAR:SYMBOL=EMR&amp;VAR:INDEX=0"}</definedName>
    <definedName name="_694__FDSAUDITLINK__" localSheetId="1"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4__FDSAUDITLINK__" hidden="1">{"fdsup://directions/FAT Viewer?action=UPDATE&amp;creator=factset&amp;DYN_ARGS=TRUE&amp;DOC_NAME=FAT:FQL_AUDITING_CLIENT_TEMPLATE.FAT&amp;display_string=Audit&amp;VAR:KEY=TOTMLSXUPY&amp;VAR:QUERY=RkZfRUJJVERBX09QRVIoUVRSLDQvMS8yMDEwLDYvMzAvMjAxMCwsLFVTRCk=&amp;WINDOW=FIRST_POPUP&amp;HEIGH","T=450&amp;WIDTH=450&amp;START_MAXIMIZED=FALSE&amp;VAR:CALENDAR=US&amp;VAR:SYMBOL=EMR&amp;VAR:INDEX=0"}</definedName>
    <definedName name="_695__FDSAUDITLINK__" localSheetId="1"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5__FDSAUDITLINK__" hidden="1">{"fdsup://directions/FAT Viewer?action=UPDATE&amp;creator=factset&amp;DYN_ARGS=TRUE&amp;DOC_NAME=FAT:FQL_AUDITING_CLIENT_TEMPLATE.FAT&amp;display_string=Audit&amp;VAR:KEY=NCFCBQBATU&amp;VAR:QUERY=RkZfRUJJVERBX09QRVIoUVRSLDQvMS8yMDA5LDYvMzAvMjAwOSwsLFVTRCk=&amp;WINDOW=FIRST_POPUP&amp;HEIGH","T=450&amp;WIDTH=450&amp;START_MAXIMIZED=FALSE&amp;VAR:CALENDAR=US&amp;VAR:SYMBOL=EMN&amp;VAR:INDEX=0"}</definedName>
    <definedName name="_696__FDSAUDITLINK__" localSheetId="1"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6__FDSAUDITLINK__" hidden="1">{"fdsup://directions/FAT Viewer?action=UPDATE&amp;creator=factset&amp;DYN_ARGS=TRUE&amp;DOC_NAME=FAT:FQL_AUDITING_CLIENT_TEMPLATE.FAT&amp;display_string=Audit&amp;VAR:KEY=VMXQPOHKJS&amp;VAR:QUERY=RkZfRUJJVERBX09QRVIoUVRSLDQvMS8yMDEwLDYvMzAvMjAxMCwsLFVTRCk=&amp;WINDOW=FIRST_POPUP&amp;HEIGH","T=450&amp;WIDTH=450&amp;START_MAXIMIZED=FALSE&amp;VAR:CALENDAR=US&amp;VAR:SYMBOL=EMN&amp;VAR:INDEX=0"}</definedName>
    <definedName name="_697__FDSAUDITLINK__" localSheetId="1"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7__FDSAUDITLINK__" hidden="1">{"fdsup://directions/FAT Viewer?action=UPDATE&amp;creator=factset&amp;DYN_ARGS=TRUE&amp;DOC_NAME=FAT:FQL_AUDITING_CLIENT_TEMPLATE.FAT&amp;display_string=Audit&amp;VAR:KEY=LORYLSRAVW&amp;VAR:QUERY=RkZfRUJJVERBX09QRVIoUVRSLDQvMS8yMDA5LDYvMzAvMjAwOSwsLFVTRCk=&amp;WINDOW=FIRST_POPUP&amp;HEIGH","T=450&amp;WIDTH=450&amp;START_MAXIMIZED=FALSE&amp;VAR:CALENDAR=US&amp;VAR:SYMBOL=EMC&amp;VAR:INDEX=0"}</definedName>
    <definedName name="_698__FDSAUDITLINK__" localSheetId="1"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8__FDSAUDITLINK__" hidden="1">{"fdsup://directions/FAT Viewer?action=UPDATE&amp;creator=factset&amp;DYN_ARGS=TRUE&amp;DOC_NAME=FAT:FQL_AUDITING_CLIENT_TEMPLATE.FAT&amp;display_string=Audit&amp;VAR:KEY=PKLIBGDSXA&amp;VAR:QUERY=RkZfRUJJVERBX09QRVIoUVRSLDQvMS8yMDEwLDYvMzAvMjAxMCwsLFVTRCk=&amp;WINDOW=FIRST_POPUP&amp;HEIGH","T=450&amp;WIDTH=450&amp;START_MAXIMIZED=FALSE&amp;VAR:CALENDAR=US&amp;VAR:SYMBOL=EMC&amp;VAR:INDEX=0"}</definedName>
    <definedName name="_699__FDSAUDITLINK__" localSheetId="1"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699__FDSAUDITLINK__" hidden="1">{"fdsup://directions/FAT Viewer?action=UPDATE&amp;creator=factset&amp;DYN_ARGS=TRUE&amp;DOC_NAME=FAT:FQL_AUDITING_CLIENT_TEMPLATE.FAT&amp;display_string=Audit&amp;VAR:KEY=TEJEJMRSRA&amp;VAR:QUERY=RkZfRUJJVERBX09QRVIoUVRSLDQvMS8yMDA5LDYvMzAvMjAwOSwsLFVTRCk=&amp;WINDOW=FIRST_POPUP&amp;HEIGH","T=450&amp;WIDTH=450&amp;START_MAXIMIZED=FALSE&amp;VAR:CALENDAR=US&amp;VAR:SYMBOL=EL&amp;VAR:INDEX=0"}</definedName>
    <definedName name="_7__123Graph_ALIQUIDS" hidden="1">[1]P!$S$78:$AL$78</definedName>
    <definedName name="_7__FDSAUDITLINK__" localSheetId="1" hidden="1">{"fdsup://directions/FAT Viewer?action=UPDATE&amp;creator=factset&amp;DYN_ARGS=TRUE&amp;DOC_NAME=FAT:FQL_AUDITING_CLIENT_TEMPLATE.FAT&amp;display_string=Audit&amp;VAR:KEY=RQRAXKREZW&amp;VAR:QUERY=RkZfRUJJVERBX09QRVIoUVRSLDQvMS8yMDA5LDYvMzAvMjAwOSwsLFVTRCk=&amp;WINDOW=FIRST_POPUP&amp;HEIGH","T=450&amp;WIDTH=450&amp;START_MAXIMIZED=FALSE&amp;VAR:CALENDAR=US&amp;VAR:SYMBOL=YHOO&amp;VAR:INDEX=0"}</definedName>
    <definedName name="_7__FDSAUDITLINK__" hidden="1">{"fdsup://directions/FAT Viewer?action=UPDATE&amp;creator=factset&amp;DYN_ARGS=TRUE&amp;DOC_NAME=FAT:FQL_AUDITING_CLIENT_TEMPLATE.FAT&amp;display_string=Audit&amp;VAR:KEY=RQRAXKREZW&amp;VAR:QUERY=RkZfRUJJVERBX09QRVIoUVRSLDQvMS8yMDA5LDYvMzAvMjAwOSwsLFVTRCk=&amp;WINDOW=FIRST_POPUP&amp;HEIGH","T=450&amp;WIDTH=450&amp;START_MAXIMIZED=FALSE&amp;VAR:CALENDAR=US&amp;VAR:SYMBOL=YHOO&amp;VAR:INDEX=0"}</definedName>
    <definedName name="_70__FDSAUDITLINK__" localSheetId="1"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__FDSAUDITLINK__" hidden="1">{"fdsup://directions/FAT Viewer?action=UPDATE&amp;creator=factset&amp;DYN_ARGS=TRUE&amp;DOC_NAME=FAT:FQL_AUDITING_CLIENT_TEMPLATE.FAT&amp;display_string=Audit&amp;VAR:KEY=JWPMNADMTO&amp;VAR:QUERY=RkZfRUJJVERBX09QRVIoUVRSLDQvMS8yMDEwLDYvMzAvMjAxMCwsLFVTRCk=&amp;WINDOW=FIRST_POPUP&amp;HEIGH","T=450&amp;WIDTH=450&amp;START_MAXIMIZED=FALSE&amp;VAR:CALENDAR=US&amp;VAR:SYMBOL=VMC&amp;VAR:INDEX=0"}</definedName>
    <definedName name="_700__FDSAUDITLINK__" localSheetId="1"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0__FDSAUDITLINK__" hidden="1">{"fdsup://directions/FAT Viewer?action=UPDATE&amp;creator=factset&amp;DYN_ARGS=TRUE&amp;DOC_NAME=FAT:FQL_AUDITING_CLIENT_TEMPLATE.FAT&amp;display_string=Audit&amp;VAR:KEY=RUNYRABSZM&amp;VAR:QUERY=RkZfRUJJVERBX09QRVIoUVRSLDQvMS8yMDEwLDYvMzAvMjAxMCwsLFVTRCk=&amp;WINDOW=FIRST_POPUP&amp;HEIGH","T=450&amp;WIDTH=450&amp;START_MAXIMIZED=FALSE&amp;VAR:CALENDAR=US&amp;VAR:SYMBOL=EL&amp;VAR:INDEX=0"}</definedName>
    <definedName name="_701__FDSAUDITLINK__" localSheetId="1"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1__FDSAUDITLINK__" hidden="1">{"fdsup://directions/FAT Viewer?action=UPDATE&amp;creator=factset&amp;DYN_ARGS=TRUE&amp;DOC_NAME=FAT:FQL_AUDITING_CLIENT_TEMPLATE.FAT&amp;display_string=Audit&amp;VAR:KEY=JWLIZOFMBE&amp;VAR:QUERY=RkZfRUJJVERBX09QRVIoUVRSLDQvMS8yMDA5LDYvMzAvMjAwOSwsLFVTRCk=&amp;WINDOW=FIRST_POPUP&amp;HEIGH","T=450&amp;WIDTH=450&amp;START_MAXIMIZED=FALSE&amp;VAR:CALENDAR=US&amp;VAR:SYMBOL=EK&amp;VAR:INDEX=0"}</definedName>
    <definedName name="_702__FDSAUDITLINK__" localSheetId="1"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2__FDSAUDITLINK__" hidden="1">{"fdsup://directions/FAT Viewer?action=UPDATE&amp;creator=factset&amp;DYN_ARGS=TRUE&amp;DOC_NAME=FAT:FQL_AUDITING_CLIENT_TEMPLATE.FAT&amp;display_string=Audit&amp;VAR:KEY=XKVIBURQPS&amp;VAR:QUERY=RkZfRUJJVERBX09QRVIoUVRSLDQvMS8yMDEwLDYvMzAvMjAxMCwsLFVTRCk=&amp;WINDOW=FIRST_POPUP&amp;HEIGH","T=450&amp;WIDTH=450&amp;START_MAXIMIZED=FALSE&amp;VAR:CALENDAR=US&amp;VAR:SYMBOL=EK&amp;VAR:INDEX=0"}</definedName>
    <definedName name="_703__FDSAUDITLINK__" localSheetId="1"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3__FDSAUDITLINK__" hidden="1">{"fdsup://directions/FAT Viewer?action=UPDATE&amp;creator=factset&amp;DYN_ARGS=TRUE&amp;DOC_NAME=FAT:FQL_AUDITING_CLIENT_TEMPLATE.FAT&amp;display_string=Audit&amp;VAR:KEY=NYVEVARMTY&amp;VAR:QUERY=RkZfRUJJVERBX09QRVIoUVRSLDQvMS8yMDA5LDYvMzAvMjAwOSwsLFVTRCk=&amp;WINDOW=FIRST_POPUP&amp;HEIGH","T=450&amp;WIDTH=450&amp;START_MAXIMIZED=FALSE&amp;VAR:CALENDAR=US&amp;VAR:SYMBOL=EIX&amp;VAR:INDEX=0"}</definedName>
    <definedName name="_704__FDSAUDITLINK__" localSheetId="1"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4__FDSAUDITLINK__" hidden="1">{"fdsup://directions/FAT Viewer?action=UPDATE&amp;creator=factset&amp;DYN_ARGS=TRUE&amp;DOC_NAME=FAT:FQL_AUDITING_CLIENT_TEMPLATE.FAT&amp;display_string=Audit&amp;VAR:KEY=VQNIHQHGNI&amp;VAR:QUERY=RkZfRUJJVERBX09QRVIoUVRSLDQvMS8yMDEwLDYvMzAvMjAxMCwsLFVTRCk=&amp;WINDOW=FIRST_POPUP&amp;HEIGH","T=450&amp;WIDTH=450&amp;START_MAXIMIZED=FALSE&amp;VAR:CALENDAR=US&amp;VAR:SYMBOL=EIX&amp;VAR:INDEX=0"}</definedName>
    <definedName name="_705__FDSAUDITLINK__" localSheetId="1"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5__FDSAUDITLINK__" hidden="1">{"fdsup://directions/FAT Viewer?action=UPDATE&amp;creator=factset&amp;DYN_ARGS=TRUE&amp;DOC_NAME=FAT:FQL_AUDITING_CLIENT_TEMPLATE.FAT&amp;display_string=Audit&amp;VAR:KEY=PMTKZODCDO&amp;VAR:QUERY=RkZfRUJJVERBX09QRVIoUVRSLDQvMS8yMDA5LDYvMzAvMjAwOSwsLFVTRCk=&amp;WINDOW=FIRST_POPUP&amp;HEIGH","T=450&amp;WIDTH=450&amp;START_MAXIMIZED=FALSE&amp;VAR:CALENDAR=US&amp;VAR:SYMBOL=EFX&amp;VAR:INDEX=0"}</definedName>
    <definedName name="_706__FDSAUDITLINK__" localSheetId="1"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6__FDSAUDITLINK__" hidden="1">{"fdsup://directions/FAT Viewer?action=UPDATE&amp;creator=factset&amp;DYN_ARGS=TRUE&amp;DOC_NAME=FAT:FQL_AUDITING_CLIENT_TEMPLATE.FAT&amp;display_string=Audit&amp;VAR:KEY=HUDWJSBCPA&amp;VAR:QUERY=RkZfRUJJVERBX09QRVIoUVRSLDQvMS8yMDEwLDYvMzAvMjAxMCwsLFVTRCk=&amp;WINDOW=FIRST_POPUP&amp;HEIGH","T=450&amp;WIDTH=450&amp;START_MAXIMIZED=FALSE&amp;VAR:CALENDAR=US&amp;VAR:SYMBOL=EFX&amp;VAR:INDEX=0"}</definedName>
    <definedName name="_707__FDSAUDITLINK__" localSheetId="1"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7__FDSAUDITLINK__" hidden="1">{"fdsup://directions/FAT Viewer?action=UPDATE&amp;creator=factset&amp;DYN_ARGS=TRUE&amp;DOC_NAME=FAT:FQL_AUDITING_CLIENT_TEMPLATE.FAT&amp;display_string=Audit&amp;VAR:KEY=HSFGNGPULC&amp;VAR:QUERY=RkZfRUJJVERBX09QRVIoUVRSLDQvMS8yMDA5LDYvMzAvMjAwOSwsLFVTRCk=&amp;WINDOW=FIRST_POPUP&amp;HEIGH","T=450&amp;WIDTH=450&amp;START_MAXIMIZED=FALSE&amp;VAR:CALENDAR=US&amp;VAR:SYMBOL=ED&amp;VAR:INDEX=0"}</definedName>
    <definedName name="_708__FDSAUDITLINK__" localSheetId="1"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8__FDSAUDITLINK__" hidden="1">{"fdsup://directions/FAT Viewer?action=UPDATE&amp;creator=factset&amp;DYN_ARGS=TRUE&amp;DOC_NAME=FAT:FQL_AUDITING_CLIENT_TEMPLATE.FAT&amp;display_string=Audit&amp;VAR:KEY=VQVOTWDIBU&amp;VAR:QUERY=RkZfRUJJVERBX09QRVIoUVRSLDQvMS8yMDEwLDYvMzAvMjAxMCwsLFVTRCk=&amp;WINDOW=FIRST_POPUP&amp;HEIGH","T=450&amp;WIDTH=450&amp;START_MAXIMIZED=FALSE&amp;VAR:CALENDAR=US&amp;VAR:SYMBOL=ED&amp;VAR:INDEX=0"}</definedName>
    <definedName name="_709__FDSAUDITLINK__" localSheetId="1"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09__FDSAUDITLINK__" hidden="1">{"fdsup://directions/FAT Viewer?action=UPDATE&amp;creator=factset&amp;DYN_ARGS=TRUE&amp;DOC_NAME=FAT:FQL_AUDITING_CLIENT_TEMPLATE.FAT&amp;display_string=Audit&amp;VAR:KEY=DOZWDCREDY&amp;VAR:QUERY=RkZfRUJJVERBX09QRVIoUVRSLDQvMS8yMDA5LDYvMzAvMjAwOSwsLFVTRCk=&amp;WINDOW=FIRST_POPUP&amp;HEIGH","T=450&amp;WIDTH=450&amp;START_MAXIMIZED=FALSE&amp;VAR:CALENDAR=US&amp;VAR:SYMBOL=ECL&amp;VAR:INDEX=0"}</definedName>
    <definedName name="_71__FDSAUDITLINK__" localSheetId="1"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__FDSAUDITLINK__" hidden="1">{"fdsup://directions/FAT Viewer?action=UPDATE&amp;creator=factset&amp;DYN_ARGS=TRUE&amp;DOC_NAME=FAT:FQL_AUDITING_CLIENT_TEMPLATE.FAT&amp;display_string=Audit&amp;VAR:KEY=TGZUHSJAXU&amp;VAR:QUERY=RkZfRUJJVERBX09QRVIoUVRSLDQvMS8yMDA5LDYvMzAvMjAwOSwsLFVTRCk=&amp;WINDOW=FIRST_POPUP&amp;HEIGH","T=450&amp;WIDTH=450&amp;START_MAXIMIZED=FALSE&amp;VAR:CALENDAR=US&amp;VAR:SYMBOL=VLO&amp;VAR:INDEX=0"}</definedName>
    <definedName name="_710__FDSAUDITLINK__" localSheetId="1"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0__FDSAUDITLINK__" hidden="1">{"fdsup://directions/FAT Viewer?action=UPDATE&amp;creator=factset&amp;DYN_ARGS=TRUE&amp;DOC_NAME=FAT:FQL_AUDITING_CLIENT_TEMPLATE.FAT&amp;display_string=Audit&amp;VAR:KEY=TCJEBCPKLM&amp;VAR:QUERY=RkZfRUJJVERBX09QRVIoUVRSLDQvMS8yMDEwLDYvMzAvMjAxMCwsLFVTRCk=&amp;WINDOW=FIRST_POPUP&amp;HEIGH","T=450&amp;WIDTH=450&amp;START_MAXIMIZED=FALSE&amp;VAR:CALENDAR=US&amp;VAR:SYMBOL=ECL&amp;VAR:INDEX=0"}</definedName>
    <definedName name="_711__FDSAUDITLINK__" localSheetId="1"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1__FDSAUDITLINK__" hidden="1">{"fdsup://directions/FAT Viewer?action=UPDATE&amp;creator=factset&amp;DYN_ARGS=TRUE&amp;DOC_NAME=FAT:FQL_AUDITING_CLIENT_TEMPLATE.FAT&amp;display_string=Audit&amp;VAR:KEY=LOFWFOFMPW&amp;VAR:QUERY=RkZfRUJJVERBX09QRVIoUVRSLDQvMS8yMDA5LDYvMzAvMjAwOSwsLFVTRCk=&amp;WINDOW=FIRST_POPUP&amp;HEIGH","T=450&amp;WIDTH=450&amp;START_MAXIMIZED=FALSE&amp;VAR:CALENDAR=US&amp;VAR:SYMBOL=EBAY&amp;VAR:INDEX=0"}</definedName>
    <definedName name="_712__FDSAUDITLINK__" localSheetId="1"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2__FDSAUDITLINK__" hidden="1">{"fdsup://directions/FAT Viewer?action=UPDATE&amp;creator=factset&amp;DYN_ARGS=TRUE&amp;DOC_NAME=FAT:FQL_AUDITING_CLIENT_TEMPLATE.FAT&amp;display_string=Audit&amp;VAR:KEY=FETQDEPYLQ&amp;VAR:QUERY=RkZfRUJJVERBX09QRVIoUVRSLDQvMS8yMDEwLDYvMzAvMjAxMCwsLFVTRCk=&amp;WINDOW=FIRST_POPUP&amp;HEIGH","T=450&amp;WIDTH=450&amp;START_MAXIMIZED=FALSE&amp;VAR:CALENDAR=US&amp;VAR:SYMBOL=EBAY&amp;VAR:INDEX=0"}</definedName>
    <definedName name="_713__FDSAUDITLINK__" localSheetId="1"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3__FDSAUDITLINK__" hidden="1">{"fdsup://directions/FAT Viewer?action=UPDATE&amp;creator=factset&amp;DYN_ARGS=TRUE&amp;DOC_NAME=FAT:FQL_AUDITING_CLIENT_TEMPLATE.FAT&amp;display_string=Audit&amp;VAR:KEY=TYROFKTUNE&amp;VAR:QUERY=RkZfRUJJVERBX09QRVIoUVRSLDQvMS8yMDA5LDYvMzAvMjAwOSwsLFVTRCk=&amp;WINDOW=FIRST_POPUP&amp;HEIGH","T=450&amp;WIDTH=450&amp;START_MAXIMIZED=FALSE&amp;VAR:CALENDAR=US&amp;VAR:SYMBOL=DVN&amp;VAR:INDEX=0"}</definedName>
    <definedName name="_714__FDSAUDITLINK__" localSheetId="1"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4__FDSAUDITLINK__" hidden="1">{"fdsup://directions/FAT Viewer?action=UPDATE&amp;creator=factset&amp;DYN_ARGS=TRUE&amp;DOC_NAME=FAT:FQL_AUDITING_CLIENT_TEMPLATE.FAT&amp;display_string=Audit&amp;VAR:KEY=BOTWVCBMJO&amp;VAR:QUERY=RkZfRUJJVERBX09QRVIoUVRSLDQvMS8yMDEwLDYvMzAvMjAxMCwsLFVTRCk=&amp;WINDOW=FIRST_POPUP&amp;HEIGH","T=450&amp;WIDTH=450&amp;START_MAXIMIZED=FALSE&amp;VAR:CALENDAR=US&amp;VAR:SYMBOL=DVN&amp;VAR:INDEX=0"}</definedName>
    <definedName name="_715__FDSAUDITLINK__" localSheetId="1"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5__FDSAUDITLINK__" hidden="1">{"fdsup://directions/FAT Viewer?action=UPDATE&amp;creator=factset&amp;DYN_ARGS=TRUE&amp;DOC_NAME=FAT:FQL_AUDITING_CLIENT_TEMPLATE.FAT&amp;display_string=Audit&amp;VAR:KEY=TEZSBCHMXO&amp;VAR:QUERY=RkZfRUJJVERBX09QRVIoUVRSLDQvMS8yMDA5LDYvMzAvMjAwOSwsLFVTRCk=&amp;WINDOW=FIRST_POPUP&amp;HEIGH","T=450&amp;WIDTH=450&amp;START_MAXIMIZED=FALSE&amp;VAR:CALENDAR=US&amp;VAR:SYMBOL=DVA&amp;VAR:INDEX=0"}</definedName>
    <definedName name="_716__FDSAUDITLINK__" localSheetId="1"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6__FDSAUDITLINK__" hidden="1">{"fdsup://directions/FAT Viewer?action=UPDATE&amp;creator=factset&amp;DYN_ARGS=TRUE&amp;DOC_NAME=FAT:FQL_AUDITING_CLIENT_TEMPLATE.FAT&amp;display_string=Audit&amp;VAR:KEY=NWZILMROHM&amp;VAR:QUERY=RkZfRUJJVERBX09QRVIoUVRSLDQvMS8yMDEwLDYvMzAvMjAxMCwsLFVTRCk=&amp;WINDOW=FIRST_POPUP&amp;HEIGH","T=450&amp;WIDTH=450&amp;START_MAXIMIZED=FALSE&amp;VAR:CALENDAR=US&amp;VAR:SYMBOL=DVA&amp;VAR:INDEX=0"}</definedName>
    <definedName name="_717__FDSAUDITLINK__" localSheetId="1"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7__FDSAUDITLINK__" hidden="1">{"fdsup://directions/FAT Viewer?action=UPDATE&amp;creator=factset&amp;DYN_ARGS=TRUE&amp;DOC_NAME=FAT:FQL_AUDITING_CLIENT_TEMPLATE.FAT&amp;display_string=Audit&amp;VAR:KEY=HMDOZKTYRI&amp;VAR:QUERY=RkZfRUJJVERBX09QRVIoUVRSLDQvMS8yMDA5LDYvMzAvMjAwOSwsLFVTRCk=&amp;WINDOW=FIRST_POPUP&amp;HEIGH","T=450&amp;WIDTH=450&amp;START_MAXIMIZED=FALSE&amp;VAR:CALENDAR=US&amp;VAR:SYMBOL=DV&amp;VAR:INDEX=0"}</definedName>
    <definedName name="_718__FDSAUDITLINK__" localSheetId="1"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8__FDSAUDITLINK__" hidden="1">{"fdsup://directions/FAT Viewer?action=UPDATE&amp;creator=factset&amp;DYN_ARGS=TRUE&amp;DOC_NAME=FAT:FQL_AUDITING_CLIENT_TEMPLATE.FAT&amp;display_string=Audit&amp;VAR:KEY=JMPSPGVOVM&amp;VAR:QUERY=RkZfRUJJVERBX09QRVIoUVRSLDQvMS8yMDEwLDYvMzAvMjAxMCwsLFVTRCk=&amp;WINDOW=FIRST_POPUP&amp;HEIGH","T=450&amp;WIDTH=450&amp;START_MAXIMIZED=FALSE&amp;VAR:CALENDAR=US&amp;VAR:SYMBOL=DV&amp;VAR:INDEX=0"}</definedName>
    <definedName name="_719__FDSAUDITLINK__" localSheetId="1"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19__FDSAUDITLINK__" hidden="1">{"fdsup://directions/FAT Viewer?action=UPDATE&amp;creator=factset&amp;DYN_ARGS=TRUE&amp;DOC_NAME=FAT:FQL_AUDITING_CLIENT_TEMPLATE.FAT&amp;display_string=Audit&amp;VAR:KEY=LQPIRYZIDY&amp;VAR:QUERY=RkZfRUJJVERBX09QRVIoUVRSLDQvMS8yMDA5LDYvMzAvMjAwOSwsLFVTRCk=&amp;WINDOW=FIRST_POPUP&amp;HEIGH","T=450&amp;WIDTH=450&amp;START_MAXIMIZED=FALSE&amp;VAR:CALENDAR=US&amp;VAR:SYMBOL=DUK&amp;VAR:INDEX=0"}</definedName>
    <definedName name="_72__FDSAUDITLINK__" localSheetId="1"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__FDSAUDITLINK__" hidden="1">{"fdsup://directions/FAT Viewer?action=UPDATE&amp;creator=factset&amp;DYN_ARGS=TRUE&amp;DOC_NAME=FAT:FQL_AUDITING_CLIENT_TEMPLATE.FAT&amp;display_string=Audit&amp;VAR:KEY=JCBWBODWZQ&amp;VAR:QUERY=RkZfRUJJVERBX09QRVIoUVRSLDQvMS8yMDEwLDYvMzAvMjAxMCwsLFVTRCk=&amp;WINDOW=FIRST_POPUP&amp;HEIGH","T=450&amp;WIDTH=450&amp;START_MAXIMIZED=FALSE&amp;VAR:CALENDAR=US&amp;VAR:SYMBOL=VLO&amp;VAR:INDEX=0"}</definedName>
    <definedName name="_720__FDSAUDITLINK__" localSheetId="1"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0__FDSAUDITLINK__" hidden="1">{"fdsup://directions/FAT Viewer?action=UPDATE&amp;creator=factset&amp;DYN_ARGS=TRUE&amp;DOC_NAME=FAT:FQL_AUDITING_CLIENT_TEMPLATE.FAT&amp;display_string=Audit&amp;VAR:KEY=PMRAZAJSTQ&amp;VAR:QUERY=RkZfRUJJVERBX09QRVIoUVRSLDQvMS8yMDEwLDYvMzAvMjAxMCwsLFVTRCk=&amp;WINDOW=FIRST_POPUP&amp;HEIGH","T=450&amp;WIDTH=450&amp;START_MAXIMIZED=FALSE&amp;VAR:CALENDAR=US&amp;VAR:SYMBOL=DUK&amp;VAR:INDEX=0"}</definedName>
    <definedName name="_721__FDSAUDITLINK__" localSheetId="1"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1__FDSAUDITLINK__" hidden="1">{"fdsup://directions/FAT Viewer?action=UPDATE&amp;creator=factset&amp;DYN_ARGS=TRUE&amp;DOC_NAME=FAT:FQL_AUDITING_CLIENT_TEMPLATE.FAT&amp;display_string=Audit&amp;VAR:KEY=JKHMXWRURQ&amp;VAR:QUERY=RkZfRUJJVERBX09QRVIoUVRSLDQvMS8yMDA5LDYvMzAvMjAwOSwsLFVTRCk=&amp;WINDOW=FIRST_POPUP&amp;HEIGH","T=450&amp;WIDTH=450&amp;START_MAXIMIZED=FALSE&amp;VAR:CALENDAR=US&amp;VAR:SYMBOL=DTV&amp;VAR:INDEX=0"}</definedName>
    <definedName name="_722__FDSAUDITLINK__" localSheetId="1"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2__FDSAUDITLINK__" hidden="1">{"fdsup://directions/FAT Viewer?action=UPDATE&amp;creator=factset&amp;DYN_ARGS=TRUE&amp;DOC_NAME=FAT:FQL_AUDITING_CLIENT_TEMPLATE.FAT&amp;display_string=Audit&amp;VAR:KEY=XOBMVIJQDK&amp;VAR:QUERY=RkZfRUJJVERBX09QRVIoUVRSLDQvMS8yMDEwLDYvMzAvMjAxMCwsLFVTRCk=&amp;WINDOW=FIRST_POPUP&amp;HEIGH","T=450&amp;WIDTH=450&amp;START_MAXIMIZED=FALSE&amp;VAR:CALENDAR=US&amp;VAR:SYMBOL=DTV&amp;VAR:INDEX=0"}</definedName>
    <definedName name="_723__FDSAUDITLINK__" localSheetId="1"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3__FDSAUDITLINK__" hidden="1">{"fdsup://directions/FAT Viewer?action=UPDATE&amp;creator=factset&amp;DYN_ARGS=TRUE&amp;DOC_NAME=FAT:FQL_AUDITING_CLIENT_TEMPLATE.FAT&amp;display_string=Audit&amp;VAR:KEY=PAVGXEHORS&amp;VAR:QUERY=RkZfRUJJVERBX09QRVIoUVRSLDQvMS8yMDA5LDYvMzAvMjAwOSwsLFVTRCk=&amp;WINDOW=FIRST_POPUP&amp;HEIGH","T=450&amp;WIDTH=450&amp;START_MAXIMIZED=FALSE&amp;VAR:CALENDAR=US&amp;VAR:SYMBOL=DTE&amp;VAR:INDEX=0"}</definedName>
    <definedName name="_724__FDSAUDITLINK__" localSheetId="1"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4__FDSAUDITLINK__" hidden="1">{"fdsup://directions/FAT Viewer?action=UPDATE&amp;creator=factset&amp;DYN_ARGS=TRUE&amp;DOC_NAME=FAT:FQL_AUDITING_CLIENT_TEMPLATE.FAT&amp;display_string=Audit&amp;VAR:KEY=BEHGFIXOPA&amp;VAR:QUERY=RkZfRUJJVERBX09QRVIoUVRSLDQvMS8yMDEwLDYvMzAvMjAxMCwsLFVTRCk=&amp;WINDOW=FIRST_POPUP&amp;HEIGH","T=450&amp;WIDTH=450&amp;START_MAXIMIZED=FALSE&amp;VAR:CALENDAR=US&amp;VAR:SYMBOL=DTE&amp;VAR:INDEX=0"}</definedName>
    <definedName name="_725__FDSAUDITLINK__" localSheetId="1"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5__FDSAUDITLINK__" hidden="1">{"fdsup://directions/FAT Viewer?action=UPDATE&amp;creator=factset&amp;DYN_ARGS=TRUE&amp;DOC_NAME=FAT:FQL_AUDITING_CLIENT_TEMPLATE.FAT&amp;display_string=Audit&amp;VAR:KEY=HAXCDWREPQ&amp;VAR:QUERY=RkZfRUJJVERBX09QRVIoUVRSLDQvMS8yMDA5LDYvMzAvMjAwOSwsLFVTRCk=&amp;WINDOW=FIRST_POPUP&amp;HEIGH","T=450&amp;WIDTH=450&amp;START_MAXIMIZED=FALSE&amp;VAR:CALENDAR=US&amp;VAR:SYMBOL=DRI&amp;VAR:INDEX=0"}</definedName>
    <definedName name="_726__FDSAUDITLINK__" localSheetId="1"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6__FDSAUDITLINK__" hidden="1">{"fdsup://directions/FAT Viewer?action=UPDATE&amp;creator=factset&amp;DYN_ARGS=TRUE&amp;DOC_NAME=FAT:FQL_AUDITING_CLIENT_TEMPLATE.FAT&amp;display_string=Audit&amp;VAR:KEY=PWPIVYLIXQ&amp;VAR:QUERY=RkZfRUJJVERBX09QRVIoUVRSLDQvMS8yMDEwLDYvMzAvMjAxMCwsLFVTRCk=&amp;WINDOW=FIRST_POPUP&amp;HEIGH","T=450&amp;WIDTH=450&amp;START_MAXIMIZED=FALSE&amp;VAR:CALENDAR=US&amp;VAR:SYMBOL=DRI&amp;VAR:INDEX=0"}</definedName>
    <definedName name="_727__FDSAUDITLINK__" localSheetId="1"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7__FDSAUDITLINK__" hidden="1">{"fdsup://directions/FAT Viewer?action=UPDATE&amp;creator=factset&amp;DYN_ARGS=TRUE&amp;DOC_NAME=FAT:FQL_AUDITING_CLIENT_TEMPLATE.FAT&amp;display_string=Audit&amp;VAR:KEY=ZAPYTWJEBA&amp;VAR:QUERY=RkZfRUJJVERBX09QRVIoUVRSLDQvMS8yMDA5LDYvMzAvMjAwOSwsLFVTRCk=&amp;WINDOW=FIRST_POPUP&amp;HEIGH","T=450&amp;WIDTH=450&amp;START_MAXIMIZED=FALSE&amp;VAR:CALENDAR=US&amp;VAR:SYMBOL=DPS&amp;VAR:INDEX=0"}</definedName>
    <definedName name="_728__FDSAUDITLINK__" localSheetId="1"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8__FDSAUDITLINK__" hidden="1">{"fdsup://directions/FAT Viewer?action=UPDATE&amp;creator=factset&amp;DYN_ARGS=TRUE&amp;DOC_NAME=FAT:FQL_AUDITING_CLIENT_TEMPLATE.FAT&amp;display_string=Audit&amp;VAR:KEY=JCDETENKHU&amp;VAR:QUERY=RkZfRUJJVERBX09QRVIoUVRSLDQvMS8yMDEwLDYvMzAvMjAxMCwsLFVTRCk=&amp;WINDOW=FIRST_POPUP&amp;HEIGH","T=450&amp;WIDTH=450&amp;START_MAXIMIZED=FALSE&amp;VAR:CALENDAR=US&amp;VAR:SYMBOL=DPS&amp;VAR:INDEX=0"}</definedName>
    <definedName name="_729__FDSAUDITLINK__" localSheetId="1"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29__FDSAUDITLINK__" hidden="1">{"fdsup://directions/FAT Viewer?action=UPDATE&amp;creator=factset&amp;DYN_ARGS=TRUE&amp;DOC_NAME=FAT:FQL_AUDITING_CLIENT_TEMPLATE.FAT&amp;display_string=Audit&amp;VAR:KEY=TALMVGRMDY&amp;VAR:QUERY=RkZfRUJJVERBX09QRVIoUVRSLDQvMS8yMDA5LDYvMzAvMjAwOSwsLFVTRCk=&amp;WINDOW=FIRST_POPUP&amp;HEIGH","T=450&amp;WIDTH=450&amp;START_MAXIMIZED=FALSE&amp;VAR:CALENDAR=US&amp;VAR:SYMBOL=DOW&amp;VAR:INDEX=0"}</definedName>
    <definedName name="_73__FDSAUDITLINK__" localSheetId="1"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__FDSAUDITLINK__" hidden="1">{"fdsup://directions/FAT Viewer?action=UPDATE&amp;creator=factset&amp;DYN_ARGS=TRUE&amp;DOC_NAME=FAT:FQL_AUDITING_CLIENT_TEMPLATE.FAT&amp;display_string=Audit&amp;VAR:KEY=TUPIPKHQXU&amp;VAR:QUERY=RkZfRUJJVERBX09QRVIoUVRSLDQvMS8yMDA5LDYvMzAvMjAwOSwsLFVTRCk=&amp;WINDOW=FIRST_POPUP&amp;HEIGH","T=450&amp;WIDTH=450&amp;START_MAXIMIZED=FALSE&amp;VAR:CALENDAR=US&amp;VAR:SYMBOL=VIA.B&amp;VAR:INDEX=0"}</definedName>
    <definedName name="_730__FDSAUDITLINK__" localSheetId="1"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0__FDSAUDITLINK__" hidden="1">{"fdsup://directions/FAT Viewer?action=UPDATE&amp;creator=factset&amp;DYN_ARGS=TRUE&amp;DOC_NAME=FAT:FQL_AUDITING_CLIENT_TEMPLATE.FAT&amp;display_string=Audit&amp;VAR:KEY=NUJEPYBODK&amp;VAR:QUERY=RkZfRUJJVERBX09QRVIoUVRSLDQvMS8yMDEwLDYvMzAvMjAxMCwsLFVTRCk=&amp;WINDOW=FIRST_POPUP&amp;HEIGH","T=450&amp;WIDTH=450&amp;START_MAXIMIZED=FALSE&amp;VAR:CALENDAR=US&amp;VAR:SYMBOL=DOW&amp;VAR:INDEX=0"}</definedName>
    <definedName name="_731__FDSAUDITLINK__" localSheetId="1"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1__FDSAUDITLINK__" hidden="1">{"fdsup://directions/FAT Viewer?action=UPDATE&amp;creator=factset&amp;DYN_ARGS=TRUE&amp;DOC_NAME=FAT:FQL_AUDITING_CLIENT_TEMPLATE.FAT&amp;display_string=Audit&amp;VAR:KEY=ZEVMPYJOZU&amp;VAR:QUERY=RkZfRUJJVERBX09QRVIoUVRSLDQvMS8yMDA5LDYvMzAvMjAwOSwsLFVTRCk=&amp;WINDOW=FIRST_POPUP&amp;HEIGH","T=450&amp;WIDTH=450&amp;START_MAXIMIZED=FALSE&amp;VAR:CALENDAR=US&amp;VAR:SYMBOL=DOV&amp;VAR:INDEX=0"}</definedName>
    <definedName name="_732__FDSAUDITLINK__" localSheetId="1"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2__FDSAUDITLINK__" hidden="1">{"fdsup://directions/FAT Viewer?action=UPDATE&amp;creator=factset&amp;DYN_ARGS=TRUE&amp;DOC_NAME=FAT:FQL_AUDITING_CLIENT_TEMPLATE.FAT&amp;display_string=Audit&amp;VAR:KEY=ZMBWFADSXC&amp;VAR:QUERY=RkZfRUJJVERBX09QRVIoUVRSLDQvMS8yMDEwLDYvMzAvMjAxMCwsLFVTRCk=&amp;WINDOW=FIRST_POPUP&amp;HEIGH","T=450&amp;WIDTH=450&amp;START_MAXIMIZED=FALSE&amp;VAR:CALENDAR=US&amp;VAR:SYMBOL=DOV&amp;VAR:INDEX=0"}</definedName>
    <definedName name="_733__FDSAUDITLINK__" localSheetId="1"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3__FDSAUDITLINK__" hidden="1">{"fdsup://directions/FAT Viewer?action=UPDATE&amp;creator=factset&amp;DYN_ARGS=TRUE&amp;DOC_NAME=FAT:FQL_AUDITING_CLIENT_TEMPLATE.FAT&amp;display_string=Audit&amp;VAR:KEY=LEBKJQXMDQ&amp;VAR:QUERY=RkZfRUJJVERBX09QRVIoUVRSLDQvMS8yMDA5LDYvMzAvMjAwOSwsLFVTRCk=&amp;WINDOW=FIRST_POPUP&amp;HEIGH","T=450&amp;WIDTH=450&amp;START_MAXIMIZED=FALSE&amp;VAR:CALENDAR=US&amp;VAR:SYMBOL=DO&amp;VAR:INDEX=0"}</definedName>
    <definedName name="_734__FDSAUDITLINK__" localSheetId="1"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4__FDSAUDITLINK__" hidden="1">{"fdsup://directions/FAT Viewer?action=UPDATE&amp;creator=factset&amp;DYN_ARGS=TRUE&amp;DOC_NAME=FAT:FQL_AUDITING_CLIENT_TEMPLATE.FAT&amp;display_string=Audit&amp;VAR:KEY=TIJEFIVORE&amp;VAR:QUERY=RkZfRUJJVERBX09QRVIoUVRSLDQvMS8yMDEwLDYvMzAvMjAxMCwsLFVTRCk=&amp;WINDOW=FIRST_POPUP&amp;HEIGH","T=450&amp;WIDTH=450&amp;START_MAXIMIZED=FALSE&amp;VAR:CALENDAR=US&amp;VAR:SYMBOL=DO&amp;VAR:INDEX=0"}</definedName>
    <definedName name="_735__FDSAUDITLINK__" localSheetId="1"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5__FDSAUDITLINK__" hidden="1">{"fdsup://directions/FAT Viewer?action=UPDATE&amp;creator=factset&amp;DYN_ARGS=TRUE&amp;DOC_NAME=FAT:FQL_AUDITING_CLIENT_TEMPLATE.FAT&amp;display_string=Audit&amp;VAR:KEY=LMZAZYTWVK&amp;VAR:QUERY=RkZfRUJJVERBX09QRVIoUVRSLDQvMS8yMDA5LDYvMzAvMjAwOSwsLFVTRCk=&amp;WINDOW=FIRST_POPUP&amp;HEIGH","T=450&amp;WIDTH=450&amp;START_MAXIMIZED=FALSE&amp;VAR:CALENDAR=US&amp;VAR:SYMBOL=DNR&amp;VAR:INDEX=0"}</definedName>
    <definedName name="_736__FDSAUDITLINK__" localSheetId="1"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6__FDSAUDITLINK__" hidden="1">{"fdsup://directions/FAT Viewer?action=UPDATE&amp;creator=factset&amp;DYN_ARGS=TRUE&amp;DOC_NAME=FAT:FQL_AUDITING_CLIENT_TEMPLATE.FAT&amp;display_string=Audit&amp;VAR:KEY=NYVURQHOFM&amp;VAR:QUERY=RkZfRUJJVERBX09QRVIoUVRSLDQvMS8yMDEwLDYvMzAvMjAxMCwsLFVTRCk=&amp;WINDOW=FIRST_POPUP&amp;HEIGH","T=450&amp;WIDTH=450&amp;START_MAXIMIZED=FALSE&amp;VAR:CALENDAR=US&amp;VAR:SYMBOL=DNR&amp;VAR:INDEX=0"}</definedName>
    <definedName name="_737__FDSAUDITLINK__" localSheetId="1"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7__FDSAUDITLINK__" hidden="1">{"fdsup://directions/FAT Viewer?action=UPDATE&amp;creator=factset&amp;DYN_ARGS=TRUE&amp;DOC_NAME=FAT:FQL_AUDITING_CLIENT_TEMPLATE.FAT&amp;display_string=Audit&amp;VAR:KEY=NEXCJWDMVQ&amp;VAR:QUERY=RkZfRUJJVERBX09QRVIoUVRSLDQvMS8yMDA5LDYvMzAvMjAwOSwsLFVTRCk=&amp;WINDOW=FIRST_POPUP&amp;HEIGH","T=450&amp;WIDTH=450&amp;START_MAXIMIZED=FALSE&amp;VAR:CALENDAR=US&amp;VAR:SYMBOL=DNB&amp;VAR:INDEX=0"}</definedName>
    <definedName name="_738__FDSAUDITLINK__" localSheetId="1"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8__FDSAUDITLINK__" hidden="1">{"fdsup://directions/FAT Viewer?action=UPDATE&amp;creator=factset&amp;DYN_ARGS=TRUE&amp;DOC_NAME=FAT:FQL_AUDITING_CLIENT_TEMPLATE.FAT&amp;display_string=Audit&amp;VAR:KEY=HYTMFKDGDA&amp;VAR:QUERY=RkZfRUJJVERBX09QRVIoUVRSLDQvMS8yMDEwLDYvMzAvMjAxMCwsLFVTRCk=&amp;WINDOW=FIRST_POPUP&amp;HEIGH","T=450&amp;WIDTH=450&amp;START_MAXIMIZED=FALSE&amp;VAR:CALENDAR=US&amp;VAR:SYMBOL=DNB&amp;VAR:INDEX=0"}</definedName>
    <definedName name="_739__FDSAUDITLINK__" localSheetId="1"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39__FDSAUDITLINK__" hidden="1">{"fdsup://directions/FAT Viewer?action=UPDATE&amp;creator=factset&amp;DYN_ARGS=TRUE&amp;DOC_NAME=FAT:FQL_AUDITING_CLIENT_TEMPLATE.FAT&amp;display_string=Audit&amp;VAR:KEY=FYFSNIJOJQ&amp;VAR:QUERY=RkZfRUJJVERBX09QRVIoUVRSLDQvMS8yMDA5LDYvMzAvMjAwOSwsLFVTRCk=&amp;WINDOW=FIRST_POPUP&amp;HEIGH","T=450&amp;WIDTH=450&amp;START_MAXIMIZED=FALSE&amp;VAR:CALENDAR=US&amp;VAR:SYMBOL=DISCA&amp;VAR:INDEX=0"}</definedName>
    <definedName name="_74__FDSAUDITLINK__" localSheetId="1"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__FDSAUDITLINK__" hidden="1">{"fdsup://directions/FAT Viewer?action=UPDATE&amp;creator=factset&amp;DYN_ARGS=TRUE&amp;DOC_NAME=FAT:FQL_AUDITING_CLIENT_TEMPLATE.FAT&amp;display_string=Audit&amp;VAR:KEY=VQVMVYVQZI&amp;VAR:QUERY=RkZfRUJJVERBX09QRVIoUVRSLDQvMS8yMDEwLDYvMzAvMjAxMCwsLFVTRCk=&amp;WINDOW=FIRST_POPUP&amp;HEIGH","T=450&amp;WIDTH=450&amp;START_MAXIMIZED=FALSE&amp;VAR:CALENDAR=US&amp;VAR:SYMBOL=VIA.B&amp;VAR:INDEX=0"}</definedName>
    <definedName name="_740__FDSAUDITLINK__" localSheetId="1"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0__FDSAUDITLINK__" hidden="1">{"fdsup://directions/FAT Viewer?action=UPDATE&amp;creator=factset&amp;DYN_ARGS=TRUE&amp;DOC_NAME=FAT:FQL_AUDITING_CLIENT_TEMPLATE.FAT&amp;display_string=Audit&amp;VAR:KEY=FCNKRSFIHM&amp;VAR:QUERY=RkZfRUJJVERBX09QRVIoUVRSLDQvMS8yMDEwLDYvMzAvMjAxMCwsLFVTRCk=&amp;WINDOW=FIRST_POPUP&amp;HEIGH","T=450&amp;WIDTH=450&amp;START_MAXIMIZED=FALSE&amp;VAR:CALENDAR=US&amp;VAR:SYMBOL=DISCA&amp;VAR:INDEX=0"}</definedName>
    <definedName name="_741__FDSAUDITLINK__" localSheetId="1"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1__FDSAUDITLINK__" hidden="1">{"fdsup://directions/FAT Viewer?action=UPDATE&amp;creator=factset&amp;DYN_ARGS=TRUE&amp;DOC_NAME=FAT:FQL_AUDITING_CLIENT_TEMPLATE.FAT&amp;display_string=Audit&amp;VAR:KEY=PAZODUFYBE&amp;VAR:QUERY=RkZfRUJJVERBX09QRVIoUVRSLDQvMS8yMDA5LDYvMzAvMjAwOSwsLFVTRCk=&amp;WINDOW=FIRST_POPUP&amp;HEIGH","T=450&amp;WIDTH=450&amp;START_MAXIMIZED=FALSE&amp;VAR:CALENDAR=US&amp;VAR:SYMBOL=DIS&amp;VAR:INDEX=0"}</definedName>
    <definedName name="_742__FDSAUDITLINK__" localSheetId="1"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2__FDSAUDITLINK__" hidden="1">{"fdsup://directions/FAT Viewer?action=UPDATE&amp;creator=factset&amp;DYN_ARGS=TRUE&amp;DOC_NAME=FAT:FQL_AUDITING_CLIENT_TEMPLATE.FAT&amp;display_string=Audit&amp;VAR:KEY=LARUVKLSRK&amp;VAR:QUERY=RkZfRUJJVERBX09QRVIoUVRSLDQvMS8yMDEwLDYvMzAvMjAxMCwsLFVTRCk=&amp;WINDOW=FIRST_POPUP&amp;HEIGH","T=450&amp;WIDTH=450&amp;START_MAXIMIZED=FALSE&amp;VAR:CALENDAR=US&amp;VAR:SYMBOL=DIS&amp;VAR:INDEX=0"}</definedName>
    <definedName name="_743__FDSAUDITLINK__" localSheetId="1"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3__FDSAUDITLINK__" hidden="1">{"fdsup://directions/FAT Viewer?action=UPDATE&amp;creator=factset&amp;DYN_ARGS=TRUE&amp;DOC_NAME=FAT:FQL_AUDITING_CLIENT_TEMPLATE.FAT&amp;display_string=Audit&amp;VAR:KEY=NKVQPKFSPM&amp;VAR:QUERY=RkZfRUJJVERBX09QRVIoUVRSLDQvMS8yMDA5LDYvMzAvMjAwOSwsLFVTRCk=&amp;WINDOW=FIRST_POPUP&amp;HEIGH","T=450&amp;WIDTH=450&amp;START_MAXIMIZED=FALSE&amp;VAR:CALENDAR=US&amp;VAR:SYMBOL=DHR&amp;VAR:INDEX=0"}</definedName>
    <definedName name="_744__FDSAUDITLINK__" localSheetId="1"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4__FDSAUDITLINK__" hidden="1">{"fdsup://directions/FAT Viewer?action=UPDATE&amp;creator=factset&amp;DYN_ARGS=TRUE&amp;DOC_NAME=FAT:FQL_AUDITING_CLIENT_TEMPLATE.FAT&amp;display_string=Audit&amp;VAR:KEY=FWRQZAPAVI&amp;VAR:QUERY=RkZfRUJJVERBX09QRVIoUVRSLDQvMS8yMDEwLDYvMzAvMjAxMCwsLFVTRCk=&amp;WINDOW=FIRST_POPUP&amp;HEIGH","T=450&amp;WIDTH=450&amp;START_MAXIMIZED=FALSE&amp;VAR:CALENDAR=US&amp;VAR:SYMBOL=DHR&amp;VAR:INDEX=0"}</definedName>
    <definedName name="_745__FDSAUDITLINK__" localSheetId="1"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5__FDSAUDITLINK__" hidden="1">{"fdsup://directions/FAT Viewer?action=UPDATE&amp;creator=factset&amp;DYN_ARGS=TRUE&amp;DOC_NAME=FAT:FQL_AUDITING_CLIENT_TEMPLATE.FAT&amp;display_string=Audit&amp;VAR:KEY=RQHYZOTQJE&amp;VAR:QUERY=RkZfRUJJVERBX09QRVIoUVRSLDQvMS8yMDA5LDYvMzAvMjAwOSwsLFVTRCk=&amp;WINDOW=FIRST_POPUP&amp;HEIGH","T=450&amp;WIDTH=450&amp;START_MAXIMIZED=FALSE&amp;VAR:CALENDAR=US&amp;VAR:SYMBOL=DHI&amp;VAR:INDEX=0"}</definedName>
    <definedName name="_746__FDSAUDITLINK__" localSheetId="1"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6__FDSAUDITLINK__" hidden="1">{"fdsup://directions/FAT Viewer?action=UPDATE&amp;creator=factset&amp;DYN_ARGS=TRUE&amp;DOC_NAME=FAT:FQL_AUDITING_CLIENT_TEMPLATE.FAT&amp;display_string=Audit&amp;VAR:KEY=DAJUDMJSZW&amp;VAR:QUERY=RkZfRUJJVERBX09QRVIoUVRSLDQvMS8yMDEwLDYvMzAvMjAxMCwsLFVTRCk=&amp;WINDOW=FIRST_POPUP&amp;HEIGH","T=450&amp;WIDTH=450&amp;START_MAXIMIZED=FALSE&amp;VAR:CALENDAR=US&amp;VAR:SYMBOL=DHI&amp;VAR:INDEX=0"}</definedName>
    <definedName name="_747__FDSAUDITLINK__" localSheetId="1"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7__FDSAUDITLINK__" hidden="1">{"fdsup://directions/FAT Viewer?action=UPDATE&amp;creator=factset&amp;DYN_ARGS=TRUE&amp;DOC_NAME=FAT:FQL_AUDITING_CLIENT_TEMPLATE.FAT&amp;display_string=Audit&amp;VAR:KEY=RSBIDIHEXA&amp;VAR:QUERY=RkZfRUJJVERBX09QRVIoUVRSLDQvMS8yMDA5LDYvMzAvMjAwOSwsLFVTRCk=&amp;WINDOW=FIRST_POPUP&amp;HEIGH","T=450&amp;WIDTH=450&amp;START_MAXIMIZED=FALSE&amp;VAR:CALENDAR=US&amp;VAR:SYMBOL=DGX&amp;VAR:INDEX=0"}</definedName>
    <definedName name="_748__FDSAUDITLINK__" localSheetId="1"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8__FDSAUDITLINK__" hidden="1">{"fdsup://directions/FAT Viewer?action=UPDATE&amp;creator=factset&amp;DYN_ARGS=TRUE&amp;DOC_NAME=FAT:FQL_AUDITING_CLIENT_TEMPLATE.FAT&amp;display_string=Audit&amp;VAR:KEY=RANILQRQFU&amp;VAR:QUERY=RkZfRUJJVERBX09QRVIoUVRSLDQvMS8yMDEwLDYvMzAvMjAxMCwsLFVTRCk=&amp;WINDOW=FIRST_POPUP&amp;HEIGH","T=450&amp;WIDTH=450&amp;START_MAXIMIZED=FALSE&amp;VAR:CALENDAR=US&amp;VAR:SYMBOL=DGX&amp;VAR:INDEX=0"}</definedName>
    <definedName name="_749__FDSAUDITLINK__" localSheetId="1"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49__FDSAUDITLINK__" hidden="1">{"fdsup://directions/FAT Viewer?action=UPDATE&amp;creator=factset&amp;DYN_ARGS=TRUE&amp;DOC_NAME=FAT:FQL_AUDITING_CLIENT_TEMPLATE.FAT&amp;display_string=Audit&amp;VAR:KEY=FEPQFUJWZK&amp;VAR:QUERY=RkZfRUJJVERBX09QRVIoUVRSLDQvMS8yMDA5LDYvMzAvMjAwOSwsLFVTRCk=&amp;WINDOW=FIRST_POPUP&amp;HEIGH","T=450&amp;WIDTH=450&amp;START_MAXIMIZED=FALSE&amp;VAR:CALENDAR=US&amp;VAR:SYMBOL=DFS&amp;VAR:INDEX=0"}</definedName>
    <definedName name="_75__FDSAUDITLINK__" localSheetId="1"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__FDSAUDITLINK__" hidden="1">{"fdsup://directions/FAT Viewer?action=UPDATE&amp;creator=factset&amp;DYN_ARGS=TRUE&amp;DOC_NAME=FAT:FQL_AUDITING_CLIENT_TEMPLATE.FAT&amp;display_string=Audit&amp;VAR:KEY=FEXMLEDMJQ&amp;VAR:QUERY=RkZfRUJJVERBX09QRVIoUVRSLDQvMS8yMDA5LDYvMzAvMjAwOSwsLFVTRCk=&amp;WINDOW=FIRST_POPUP&amp;HEIGH","T=450&amp;WIDTH=450&amp;START_MAXIMIZED=FALSE&amp;VAR:CALENDAR=US&amp;VAR:SYMBOL=VFC&amp;VAR:INDEX=0"}</definedName>
    <definedName name="_750__FDSAUDITLINK__" localSheetId="1"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0__FDSAUDITLINK__" hidden="1">{"fdsup://directions/FAT Viewer?action=UPDATE&amp;creator=factset&amp;DYN_ARGS=TRUE&amp;DOC_NAME=FAT:FQL_AUDITING_CLIENT_TEMPLATE.FAT&amp;display_string=Audit&amp;VAR:KEY=LORGXGTOTG&amp;VAR:QUERY=RkZfRUJJVERBX09QRVIoUVRSLDQvMS8yMDEwLDYvMzAvMjAxMCwsLFVTRCk=&amp;WINDOW=FIRST_POPUP&amp;HEIGH","T=450&amp;WIDTH=450&amp;START_MAXIMIZED=FALSE&amp;VAR:CALENDAR=US&amp;VAR:SYMBOL=DFS&amp;VAR:INDEX=0"}</definedName>
    <definedName name="_751__FDSAUDITLINK__" localSheetId="1"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1__FDSAUDITLINK__" hidden="1">{"fdsup://directions/FAT Viewer?action=UPDATE&amp;creator=factset&amp;DYN_ARGS=TRUE&amp;DOC_NAME=FAT:FQL_AUDITING_CLIENT_TEMPLATE.FAT&amp;display_string=Audit&amp;VAR:KEY=FAJQPINOBW&amp;VAR:QUERY=RkZfRUJJVERBX09QRVIoUVRSLDQvMS8yMDA5LDYvMzAvMjAwOSwsLFVTRCk=&amp;WINDOW=FIRST_POPUP&amp;HEIGH","T=450&amp;WIDTH=450&amp;START_MAXIMIZED=FALSE&amp;VAR:CALENDAR=US&amp;VAR:SYMBOL=DF&amp;VAR:INDEX=0"}</definedName>
    <definedName name="_752__FDSAUDITLINK__" localSheetId="1"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2__FDSAUDITLINK__" hidden="1">{"fdsup://directions/FAT Viewer?action=UPDATE&amp;creator=factset&amp;DYN_ARGS=TRUE&amp;DOC_NAME=FAT:FQL_AUDITING_CLIENT_TEMPLATE.FAT&amp;display_string=Audit&amp;VAR:KEY=JSLITUHEJQ&amp;VAR:QUERY=RkZfRUJJVERBX09QRVIoUVRSLDQvMS8yMDEwLDYvMzAvMjAxMCwsLFVTRCk=&amp;WINDOW=FIRST_POPUP&amp;HEIGH","T=450&amp;WIDTH=450&amp;START_MAXIMIZED=FALSE&amp;VAR:CALENDAR=US&amp;VAR:SYMBOL=DF&amp;VAR:INDEX=0"}</definedName>
    <definedName name="_753__FDSAUDITLINK__" localSheetId="1"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3__FDSAUDITLINK__" hidden="1">{"fdsup://directions/FAT Viewer?action=UPDATE&amp;creator=factset&amp;DYN_ARGS=TRUE&amp;DOC_NAME=FAT:FQL_AUDITING_CLIENT_TEMPLATE.FAT&amp;display_string=Audit&amp;VAR:KEY=DEVKBYLEPM&amp;VAR:QUERY=RkZfRUJJVERBX09QRVIoUVRSLDQvMS8yMDA5LDYvMzAvMjAwOSwsLFVTRCk=&amp;WINDOW=FIRST_POPUP&amp;HEIGH","T=450&amp;WIDTH=450&amp;START_MAXIMIZED=FALSE&amp;VAR:CALENDAR=US&amp;VAR:SYMBOL=DELL&amp;VAR:INDEX=0"}</definedName>
    <definedName name="_754__FDSAUDITLINK__" localSheetId="1"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4__FDSAUDITLINK__" hidden="1">{"fdsup://directions/FAT Viewer?action=UPDATE&amp;creator=factset&amp;DYN_ARGS=TRUE&amp;DOC_NAME=FAT:FQL_AUDITING_CLIENT_TEMPLATE.FAT&amp;display_string=Audit&amp;VAR:KEY=NWXKPKBORQ&amp;VAR:QUERY=RkZfRUJJVERBX09QRVIoUVRSLDQvMS8yMDEwLDYvMzAvMjAxMCwsLFVTRCk=&amp;WINDOW=FIRST_POPUP&amp;HEIGH","T=450&amp;WIDTH=450&amp;START_MAXIMIZED=FALSE&amp;VAR:CALENDAR=US&amp;VAR:SYMBOL=DELL&amp;VAR:INDEX=0"}</definedName>
    <definedName name="_755__FDSAUDITLINK__" localSheetId="1"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5__FDSAUDITLINK__" hidden="1">{"fdsup://directions/FAT Viewer?action=UPDATE&amp;creator=factset&amp;DYN_ARGS=TRUE&amp;DOC_NAME=FAT:FQL_AUDITING_CLIENT_TEMPLATE.FAT&amp;display_string=Audit&amp;VAR:KEY=XADCRYTIPA&amp;VAR:QUERY=RkZfRUJJVERBX09QRVIoUVRSLDQvMS8yMDA5LDYvMzAvMjAwOSwsLFVTRCk=&amp;WINDOW=FIRST_POPUP&amp;HEIGH","T=450&amp;WIDTH=450&amp;START_MAXIMIZED=FALSE&amp;VAR:CALENDAR=US&amp;VAR:SYMBOL=DE&amp;VAR:INDEX=0"}</definedName>
    <definedName name="_756__FDSAUDITLINK__" localSheetId="1"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6__FDSAUDITLINK__" hidden="1">{"fdsup://directions/FAT Viewer?action=UPDATE&amp;creator=factset&amp;DYN_ARGS=TRUE&amp;DOC_NAME=FAT:FQL_AUDITING_CLIENT_TEMPLATE.FAT&amp;display_string=Audit&amp;VAR:KEY=HIPQZIHUHU&amp;VAR:QUERY=RkZfRUJJVERBX09QRVIoUVRSLDQvMS8yMDEwLDYvMzAvMjAxMCwsLFVTRCk=&amp;WINDOW=FIRST_POPUP&amp;HEIGH","T=450&amp;WIDTH=450&amp;START_MAXIMIZED=FALSE&amp;VAR:CALENDAR=US&amp;VAR:SYMBOL=DE&amp;VAR:INDEX=0"}</definedName>
    <definedName name="_757__FDSAUDITLINK__" localSheetId="1"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7__FDSAUDITLINK__" hidden="1">{"fdsup://directions/FAT Viewer?action=UPDATE&amp;creator=factset&amp;DYN_ARGS=TRUE&amp;DOC_NAME=FAT:FQL_AUDITING_CLIENT_TEMPLATE.FAT&amp;display_string=Audit&amp;VAR:KEY=XUXMRCDMZG&amp;VAR:QUERY=RkZfRUJJVERBX09QRVIoUVRSLDQvMS8yMDA5LDYvMzAvMjAwOSwsLFVTRCk=&amp;WINDOW=FIRST_POPUP&amp;HEIGH","T=450&amp;WIDTH=450&amp;START_MAXIMIZED=FALSE&amp;VAR:CALENDAR=US&amp;VAR:SYMBOL=DD&amp;VAR:INDEX=0"}</definedName>
    <definedName name="_758__FDSAUDITLINK__" localSheetId="1"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8__FDSAUDITLINK__" hidden="1">{"fdsup://directions/FAT Viewer?action=UPDATE&amp;creator=factset&amp;DYN_ARGS=TRUE&amp;DOC_NAME=FAT:FQL_AUDITING_CLIENT_TEMPLATE.FAT&amp;display_string=Audit&amp;VAR:KEY=TKDUBQTYBI&amp;VAR:QUERY=RkZfRUJJVERBX09QRVIoUVRSLDQvMS8yMDEwLDYvMzAvMjAxMCwsLFVTRCk=&amp;WINDOW=FIRST_POPUP&amp;HEIGH","T=450&amp;WIDTH=450&amp;START_MAXIMIZED=FALSE&amp;VAR:CALENDAR=US&amp;VAR:SYMBOL=DD&amp;VAR:INDEX=0"}</definedName>
    <definedName name="_759__FDSAUDITLINK__" localSheetId="1"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59__FDSAUDITLINK__" hidden="1">{"fdsup://directions/FAT Viewer?action=UPDATE&amp;creator=factset&amp;DYN_ARGS=TRUE&amp;DOC_NAME=FAT:FQL_AUDITING_CLIENT_TEMPLATE.FAT&amp;display_string=Audit&amp;VAR:KEY=TYNMLAXMFA&amp;VAR:QUERY=RkZfRUJJVERBX09QRVIoUVRSLDQvMS8yMDA5LDYvMzAvMjAwOSwsLFVTRCk=&amp;WINDOW=FIRST_POPUP&amp;HEIGH","T=450&amp;WIDTH=450&amp;START_MAXIMIZED=FALSE&amp;VAR:CALENDAR=US&amp;VAR:SYMBOL=D&amp;VAR:INDEX=0"}</definedName>
    <definedName name="_76__FDSAUDITLINK__" localSheetId="1"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__FDSAUDITLINK__" hidden="1">{"fdsup://directions/FAT Viewer?action=UPDATE&amp;creator=factset&amp;DYN_ARGS=TRUE&amp;DOC_NAME=FAT:FQL_AUDITING_CLIENT_TEMPLATE.FAT&amp;display_string=Audit&amp;VAR:KEY=JYVQLEHUVK&amp;VAR:QUERY=RkZfRUJJVERBX09QRVIoUVRSLDQvMS8yMDEwLDYvMzAvMjAxMCwsLFVTRCk=&amp;WINDOW=FIRST_POPUP&amp;HEIGH","T=450&amp;WIDTH=450&amp;START_MAXIMIZED=FALSE&amp;VAR:CALENDAR=US&amp;VAR:SYMBOL=VFC&amp;VAR:INDEX=0"}</definedName>
    <definedName name="_760__FDSAUDITLINK__" localSheetId="1"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0__FDSAUDITLINK__" hidden="1">{"fdsup://directions/FAT Viewer?action=UPDATE&amp;creator=factset&amp;DYN_ARGS=TRUE&amp;DOC_NAME=FAT:FQL_AUDITING_CLIENT_TEMPLATE.FAT&amp;display_string=Audit&amp;VAR:KEY=RGVIXUVMZQ&amp;VAR:QUERY=RkZfRUJJVERBX09QRVIoUVRSLDQvMS8yMDEwLDYvMzAvMjAxMCwsLFVTRCk=&amp;WINDOW=FIRST_POPUP&amp;HEIGH","T=450&amp;WIDTH=450&amp;START_MAXIMIZED=FALSE&amp;VAR:CALENDAR=US&amp;VAR:SYMBOL=D&amp;VAR:INDEX=0"}</definedName>
    <definedName name="_761__FDSAUDITLINK__" localSheetId="1"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1__FDSAUDITLINK__" hidden="1">{"fdsup://directions/FAT Viewer?action=UPDATE&amp;creator=factset&amp;DYN_ARGS=TRUE&amp;DOC_NAME=FAT:FQL_AUDITING_CLIENT_TEMPLATE.FAT&amp;display_string=Audit&amp;VAR:KEY=JQHWVAHYTY&amp;VAR:QUERY=RkZfRUJJVERBX09QRVIoUVRSLDQvMS8yMDA5LDYvMzAvMjAwOSwsLFVTRCk=&amp;WINDOW=FIRST_POPUP&amp;HEIGH","T=450&amp;WIDTH=450&amp;START_MAXIMIZED=FALSE&amp;VAR:CALENDAR=US&amp;VAR:SYMBOL=CVX&amp;VAR:INDEX=0"}</definedName>
    <definedName name="_762__FDSAUDITLINK__" localSheetId="1"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2__FDSAUDITLINK__" hidden="1">{"fdsup://directions/FAT Viewer?action=UPDATE&amp;creator=factset&amp;DYN_ARGS=TRUE&amp;DOC_NAME=FAT:FQL_AUDITING_CLIENT_TEMPLATE.FAT&amp;display_string=Audit&amp;VAR:KEY=XWZIDQFKBE&amp;VAR:QUERY=RkZfRUJJVERBX09QRVIoUVRSLDQvMS8yMDEwLDYvMzAvMjAxMCwsLFVTRCk=&amp;WINDOW=FIRST_POPUP&amp;HEIGH","T=450&amp;WIDTH=450&amp;START_MAXIMIZED=FALSE&amp;VAR:CALENDAR=US&amp;VAR:SYMBOL=CVX&amp;VAR:INDEX=0"}</definedName>
    <definedName name="_763__FDSAUDITLINK__" localSheetId="1"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3__FDSAUDITLINK__" hidden="1">{"fdsup://directions/FAT Viewer?action=UPDATE&amp;creator=factset&amp;DYN_ARGS=TRUE&amp;DOC_NAME=FAT:FQL_AUDITING_CLIENT_TEMPLATE.FAT&amp;display_string=Audit&amp;VAR:KEY=FKVOJGJGVE&amp;VAR:QUERY=RkZfRUJJVERBX09QRVIoUVRSLDQvMS8yMDA5LDYvMzAvMjAwOSwsLFVTRCk=&amp;WINDOW=FIRST_POPUP&amp;HEIGH","T=450&amp;WIDTH=450&amp;START_MAXIMIZED=FALSE&amp;VAR:CALENDAR=US&amp;VAR:SYMBOL=CVS&amp;VAR:INDEX=0"}</definedName>
    <definedName name="_764__FDSAUDITLINK__" localSheetId="1"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4__FDSAUDITLINK__" hidden="1">{"fdsup://directions/FAT Viewer?action=UPDATE&amp;creator=factset&amp;DYN_ARGS=TRUE&amp;DOC_NAME=FAT:FQL_AUDITING_CLIENT_TEMPLATE.FAT&amp;display_string=Audit&amp;VAR:KEY=ZURIFYPILM&amp;VAR:QUERY=RkZfRUJJVERBX09QRVIoUVRSLDQvMS8yMDEwLDYvMzAvMjAxMCwsLFVTRCk=&amp;WINDOW=FIRST_POPUP&amp;HEIGH","T=450&amp;WIDTH=450&amp;START_MAXIMIZED=FALSE&amp;VAR:CALENDAR=US&amp;VAR:SYMBOL=CVS&amp;VAR:INDEX=0"}</definedName>
    <definedName name="_765__FDSAUDITLINK__" localSheetId="1"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5__FDSAUDITLINK__" hidden="1">{"fdsup://directions/FAT Viewer?action=UPDATE&amp;creator=factset&amp;DYN_ARGS=TRUE&amp;DOC_NAME=FAT:FQL_AUDITING_CLIENT_TEMPLATE.FAT&amp;display_string=Audit&amp;VAR:KEY=RQRQHYXEPS&amp;VAR:QUERY=RkZfRUJJVERBX09QRVIoUVRSLDQvMS8yMDA5LDYvMzAvMjAwOSwsLFVTRCk=&amp;WINDOW=FIRST_POPUP&amp;HEIGH","T=450&amp;WIDTH=450&amp;START_MAXIMIZED=FALSE&amp;VAR:CALENDAR=US&amp;VAR:SYMBOL=CVH&amp;VAR:INDEX=0"}</definedName>
    <definedName name="_766__FDSAUDITLINK__" localSheetId="1"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6__FDSAUDITLINK__" hidden="1">{"fdsup://directions/FAT Viewer?action=UPDATE&amp;creator=factset&amp;DYN_ARGS=TRUE&amp;DOC_NAME=FAT:FQL_AUDITING_CLIENT_TEMPLATE.FAT&amp;display_string=Audit&amp;VAR:KEY=JIDWXKNCBI&amp;VAR:QUERY=RkZfRUJJVERBX09QRVIoUVRSLDQvMS8yMDEwLDYvMzAvMjAxMCwsLFVTRCk=&amp;WINDOW=FIRST_POPUP&amp;HEIGH","T=450&amp;WIDTH=450&amp;START_MAXIMIZED=FALSE&amp;VAR:CALENDAR=US&amp;VAR:SYMBOL=CVH&amp;VAR:INDEX=0"}</definedName>
    <definedName name="_767__FDSAUDITLINK__" localSheetId="1"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7__FDSAUDITLINK__" hidden="1">{"fdsup://directions/FAT Viewer?action=UPDATE&amp;creator=factset&amp;DYN_ARGS=TRUE&amp;DOC_NAME=FAT:FQL_AUDITING_CLIENT_TEMPLATE.FAT&amp;display_string=Audit&amp;VAR:KEY=PIHYBIDSJE&amp;VAR:QUERY=RkZfRUJJVERBX09QRVIoUVRSLDQvMS8yMDA5LDYvMzAvMjAwOSwsLFVTRCk=&amp;WINDOW=FIRST_POPUP&amp;HEIGH","T=450&amp;WIDTH=450&amp;START_MAXIMIZED=FALSE&amp;VAR:CALENDAR=US&amp;VAR:SYMBOL=CTXS&amp;VAR:INDEX=0"}</definedName>
    <definedName name="_768__FDSAUDITLINK__" localSheetId="1"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8__FDSAUDITLINK__" hidden="1">{"fdsup://directions/FAT Viewer?action=UPDATE&amp;creator=factset&amp;DYN_ARGS=TRUE&amp;DOC_NAME=FAT:FQL_AUDITING_CLIENT_TEMPLATE.FAT&amp;display_string=Audit&amp;VAR:KEY=FWVMZMFMRC&amp;VAR:QUERY=RkZfRUJJVERBX09QRVIoUVRSLDQvMS8yMDEwLDYvMzAvMjAxMCwsLFVTRCk=&amp;WINDOW=FIRST_POPUP&amp;HEIGH","T=450&amp;WIDTH=450&amp;START_MAXIMIZED=FALSE&amp;VAR:CALENDAR=US&amp;VAR:SYMBOL=CTXS&amp;VAR:INDEX=0"}</definedName>
    <definedName name="_769__FDSAUDITLINK__" localSheetId="1"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69__FDSAUDITLINK__" hidden="1">{"fdsup://directions/FAT Viewer?action=UPDATE&amp;creator=factset&amp;DYN_ARGS=TRUE&amp;DOC_NAME=FAT:FQL_AUDITING_CLIENT_TEMPLATE.FAT&amp;display_string=Audit&amp;VAR:KEY=HSVEPENCXI&amp;VAR:QUERY=RkZfRUJJVERBX09QRVIoUVRSLDQvMS8yMDA5LDYvMzAvMjAwOSwsLFVTRCk=&amp;WINDOW=FIRST_POPUP&amp;HEIGH","T=450&amp;WIDTH=450&amp;START_MAXIMIZED=FALSE&amp;VAR:CALENDAR=US&amp;VAR:SYMBOL=CTSH&amp;VAR:INDEX=0"}</definedName>
    <definedName name="_77__FDSAUDITLINK__" localSheetId="1"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__FDSAUDITLINK__" hidden="1">{"fdsup://directions/FAT Viewer?action=UPDATE&amp;creator=factset&amp;DYN_ARGS=TRUE&amp;DOC_NAME=FAT:FQL_AUDITING_CLIENT_TEMPLATE.FAT&amp;display_string=Audit&amp;VAR:KEY=JSZGHMTQLY&amp;VAR:QUERY=RkZfRUJJVERBX09QRVIoUVRSLDQvMS8yMDA5LDYvMzAvMjAwOSwsLFVTRCk=&amp;WINDOW=FIRST_POPUP&amp;HEIGH","T=450&amp;WIDTH=450&amp;START_MAXIMIZED=FALSE&amp;VAR:CALENDAR=US&amp;VAR:SYMBOL=VAR&amp;VAR:INDEX=0"}</definedName>
    <definedName name="_770__FDSAUDITLINK__" localSheetId="1"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0__FDSAUDITLINK__" hidden="1">{"fdsup://directions/FAT Viewer?action=UPDATE&amp;creator=factset&amp;DYN_ARGS=TRUE&amp;DOC_NAME=FAT:FQL_AUDITING_CLIENT_TEMPLATE.FAT&amp;display_string=Audit&amp;VAR:KEY=HWLELUTEFW&amp;VAR:QUERY=RkZfRUJJVERBX09QRVIoUVRSLDQvMS8yMDEwLDYvMzAvMjAxMCwsLFVTRCk=&amp;WINDOW=FIRST_POPUP&amp;HEIGH","T=450&amp;WIDTH=450&amp;START_MAXIMIZED=FALSE&amp;VAR:CALENDAR=US&amp;VAR:SYMBOL=CTSH&amp;VAR:INDEX=0"}</definedName>
    <definedName name="_771__FDSAUDITLINK__" localSheetId="1"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1__FDSAUDITLINK__" hidden="1">{"fdsup://directions/FAT Viewer?action=UPDATE&amp;creator=factset&amp;DYN_ARGS=TRUE&amp;DOC_NAME=FAT:FQL_AUDITING_CLIENT_TEMPLATE.FAT&amp;display_string=Audit&amp;VAR:KEY=VIDIPCBETK&amp;VAR:QUERY=RkZfRUJJVERBX09QRVIoUVRSLDQvMS8yMDA5LDYvMzAvMjAwOSwsLFVTRCk=&amp;WINDOW=FIRST_POPUP&amp;HEIGH","T=450&amp;WIDTH=450&amp;START_MAXIMIZED=FALSE&amp;VAR:CALENDAR=US&amp;VAR:SYMBOL=CTL&amp;VAR:INDEX=0"}</definedName>
    <definedName name="_772__FDSAUDITLINK__" localSheetId="1"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2__FDSAUDITLINK__" hidden="1">{"fdsup://directions/FAT Viewer?action=UPDATE&amp;creator=factset&amp;DYN_ARGS=TRUE&amp;DOC_NAME=FAT:FQL_AUDITING_CLIENT_TEMPLATE.FAT&amp;display_string=Audit&amp;VAR:KEY=LYHQNEVODW&amp;VAR:QUERY=RkZfRUJJVERBX09QRVIoUVRSLDQvMS8yMDEwLDYvMzAvMjAxMCwsLFVTRCk=&amp;WINDOW=FIRST_POPUP&amp;HEIGH","T=450&amp;WIDTH=450&amp;START_MAXIMIZED=FALSE&amp;VAR:CALENDAR=US&amp;VAR:SYMBOL=CTL&amp;VAR:INDEX=0"}</definedName>
    <definedName name="_773__FDSAUDITLINK__" localSheetId="1"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3__FDSAUDITLINK__" hidden="1">{"fdsup://directions/FAT Viewer?action=UPDATE&amp;creator=factset&amp;DYN_ARGS=TRUE&amp;DOC_NAME=FAT:FQL_AUDITING_CLIENT_TEMPLATE.FAT&amp;display_string=Audit&amp;VAR:KEY=PODOJMDAPM&amp;VAR:QUERY=RkZfRUJJVERBX09QRVIoUVRSLDQvMS8yMDA5LDYvMzAvMjAwOSwsLFVTRCk=&amp;WINDOW=FIRST_POPUP&amp;HEIGH","T=450&amp;WIDTH=450&amp;START_MAXIMIZED=FALSE&amp;VAR:CALENDAR=US&amp;VAR:SYMBOL=CTAS&amp;VAR:INDEX=0"}</definedName>
    <definedName name="_774__FDSAUDITLINK__" localSheetId="1"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4__FDSAUDITLINK__" hidden="1">{"fdsup://directions/FAT Viewer?action=UPDATE&amp;creator=factset&amp;DYN_ARGS=TRUE&amp;DOC_NAME=FAT:FQL_AUDITING_CLIENT_TEMPLATE.FAT&amp;display_string=Audit&amp;VAR:KEY=ZSZAXIHEZS&amp;VAR:QUERY=RkZfRUJJVERBX09QRVIoUVRSLDQvMS8yMDEwLDYvMzAvMjAxMCwsLFVTRCk=&amp;WINDOW=FIRST_POPUP&amp;HEIGH","T=450&amp;WIDTH=450&amp;START_MAXIMIZED=FALSE&amp;VAR:CALENDAR=US&amp;VAR:SYMBOL=CTAS&amp;VAR:INDEX=0"}</definedName>
    <definedName name="_775__FDSAUDITLINK__" localSheetId="1"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5__FDSAUDITLINK__" hidden="1">{"fdsup://directions/FAT Viewer?action=UPDATE&amp;creator=factset&amp;DYN_ARGS=TRUE&amp;DOC_NAME=FAT:FQL_AUDITING_CLIENT_TEMPLATE.FAT&amp;display_string=Audit&amp;VAR:KEY=XMFEVIFMXO&amp;VAR:QUERY=RkZfRUJJVERBX09QRVIoUVRSLDQvMS8yMDA5LDYvMzAvMjAwOSwsLFVTRCk=&amp;WINDOW=FIRST_POPUP&amp;HEIGH","T=450&amp;WIDTH=450&amp;START_MAXIMIZED=FALSE&amp;VAR:CALENDAR=US&amp;VAR:SYMBOL=CSX&amp;VAR:INDEX=0"}</definedName>
    <definedName name="_776__FDSAUDITLINK__" localSheetId="1"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6__FDSAUDITLINK__" hidden="1">{"fdsup://directions/FAT Viewer?action=UPDATE&amp;creator=factset&amp;DYN_ARGS=TRUE&amp;DOC_NAME=FAT:FQL_AUDITING_CLIENT_TEMPLATE.FAT&amp;display_string=Audit&amp;VAR:KEY=TKPKDMPYVK&amp;VAR:QUERY=RkZfRUJJVERBX09QRVIoUVRSLDQvMS8yMDEwLDYvMzAvMjAxMCwsLFVTRCk=&amp;WINDOW=FIRST_POPUP&amp;HEIGH","T=450&amp;WIDTH=450&amp;START_MAXIMIZED=FALSE&amp;VAR:CALENDAR=US&amp;VAR:SYMBOL=CSX&amp;VAR:INDEX=0"}</definedName>
    <definedName name="_777__FDSAUDITLINK__" localSheetId="1"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7__FDSAUDITLINK__" hidden="1">{"fdsup://directions/FAT Viewer?action=UPDATE&amp;creator=factset&amp;DYN_ARGS=TRUE&amp;DOC_NAME=FAT:FQL_AUDITING_CLIENT_TEMPLATE.FAT&amp;display_string=Audit&amp;VAR:KEY=XWZWZWXENK&amp;VAR:QUERY=RkZfRUJJVERBX09QRVIoUVRSLDQvMS8yMDA5LDYvMzAvMjAwOSwsLFVTRCk=&amp;WINDOW=FIRST_POPUP&amp;HEIGH","T=450&amp;WIDTH=450&amp;START_MAXIMIZED=FALSE&amp;VAR:CALENDAR=US&amp;VAR:SYMBOL=CSCO&amp;VAR:INDEX=0"}</definedName>
    <definedName name="_778__FDSAUDITLINK__" localSheetId="1"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8__FDSAUDITLINK__" hidden="1">{"fdsup://directions/FAT Viewer?action=UPDATE&amp;creator=factset&amp;DYN_ARGS=TRUE&amp;DOC_NAME=FAT:FQL_AUDITING_CLIENT_TEMPLATE.FAT&amp;display_string=Audit&amp;VAR:KEY=HUVCLOLILA&amp;VAR:QUERY=RkZfRUJJVERBX09QRVIoUVRSLDQvMS8yMDEwLDYvMzAvMjAxMCwsLFVTRCk=&amp;WINDOW=FIRST_POPUP&amp;HEIGH","T=450&amp;WIDTH=450&amp;START_MAXIMIZED=FALSE&amp;VAR:CALENDAR=US&amp;VAR:SYMBOL=CSCO&amp;VAR:INDEX=0"}</definedName>
    <definedName name="_779__FDSAUDITLINK__" localSheetId="1"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79__FDSAUDITLINK__" hidden="1">{"fdsup://directions/FAT Viewer?action=UPDATE&amp;creator=factset&amp;DYN_ARGS=TRUE&amp;DOC_NAME=FAT:FQL_AUDITING_CLIENT_TEMPLATE.FAT&amp;display_string=Audit&amp;VAR:KEY=NSJQVWLINS&amp;VAR:QUERY=RkZfRUJJVERBX09QRVIoUVRSLDQvMS8yMDA5LDYvMzAvMjAwOSwsLFVTRCk=&amp;WINDOW=FIRST_POPUP&amp;HEIGH","T=450&amp;WIDTH=450&amp;START_MAXIMIZED=FALSE&amp;VAR:CALENDAR=US&amp;VAR:SYMBOL=CSC&amp;VAR:INDEX=0"}</definedName>
    <definedName name="_78__FDSAUDITLINK__" localSheetId="1"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__FDSAUDITLINK__" hidden="1">{"fdsup://directions/FAT Viewer?action=UPDATE&amp;creator=factset&amp;DYN_ARGS=TRUE&amp;DOC_NAME=FAT:FQL_AUDITING_CLIENT_TEMPLATE.FAT&amp;display_string=Audit&amp;VAR:KEY=RSTQZMXMLG&amp;VAR:QUERY=RkZfRUJJVERBX09QRVIoUVRSLDQvMS8yMDEwLDYvMzAvMjAxMCwsLFVTRCk=&amp;WINDOW=FIRST_POPUP&amp;HEIGH","T=450&amp;WIDTH=450&amp;START_MAXIMIZED=FALSE&amp;VAR:CALENDAR=US&amp;VAR:SYMBOL=VAR&amp;VAR:INDEX=0"}</definedName>
    <definedName name="_780__FDSAUDITLINK__" localSheetId="1"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0__FDSAUDITLINK__" hidden="1">{"fdsup://directions/FAT Viewer?action=UPDATE&amp;creator=factset&amp;DYN_ARGS=TRUE&amp;DOC_NAME=FAT:FQL_AUDITING_CLIENT_TEMPLATE.FAT&amp;display_string=Audit&amp;VAR:KEY=TSZOJOVCDE&amp;VAR:QUERY=RkZfRUJJVERBX09QRVIoUVRSLDQvMS8yMDEwLDYvMzAvMjAxMCwsLFVTRCk=&amp;WINDOW=FIRST_POPUP&amp;HEIGH","T=450&amp;WIDTH=450&amp;START_MAXIMIZED=FALSE&amp;VAR:CALENDAR=US&amp;VAR:SYMBOL=CSC&amp;VAR:INDEX=0"}</definedName>
    <definedName name="_781__FDSAUDITLINK__" localSheetId="1"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1__FDSAUDITLINK__" hidden="1">{"fdsup://directions/FAT Viewer?action=UPDATE&amp;creator=factset&amp;DYN_ARGS=TRUE&amp;DOC_NAME=FAT:FQL_AUDITING_CLIENT_TEMPLATE.FAT&amp;display_string=Audit&amp;VAR:KEY=TSZSNMJUBW&amp;VAR:QUERY=RkZfRUJJVERBX09QRVIoUVRSLDQvMS8yMDA5LDYvMzAvMjAwOSwsLFVTRCk=&amp;WINDOW=FIRST_POPUP&amp;HEIGH","T=450&amp;WIDTH=450&amp;START_MAXIMIZED=FALSE&amp;VAR:CALENDAR=US&amp;VAR:SYMBOL=CRM&amp;VAR:INDEX=0"}</definedName>
    <definedName name="_782__FDSAUDITLINK__" localSheetId="1"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2__FDSAUDITLINK__" hidden="1">{"fdsup://directions/FAT Viewer?action=UPDATE&amp;creator=factset&amp;DYN_ARGS=TRUE&amp;DOC_NAME=FAT:FQL_AUDITING_CLIENT_TEMPLATE.FAT&amp;display_string=Audit&amp;VAR:KEY=ZUZQJGZAHO&amp;VAR:QUERY=RkZfRUJJVERBX09QRVIoUVRSLDQvMS8yMDEwLDYvMzAvMjAxMCwsLFVTRCk=&amp;WINDOW=FIRST_POPUP&amp;HEIGH","T=450&amp;WIDTH=450&amp;START_MAXIMIZED=FALSE&amp;VAR:CALENDAR=US&amp;VAR:SYMBOL=CRM&amp;VAR:INDEX=0"}</definedName>
    <definedName name="_783__FDSAUDITLINK__" localSheetId="1"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3__FDSAUDITLINK__" hidden="1">{"fdsup://directions/FAT Viewer?action=UPDATE&amp;creator=factset&amp;DYN_ARGS=TRUE&amp;DOC_NAME=FAT:FQL_AUDITING_CLIENT_TEMPLATE.FAT&amp;display_string=Audit&amp;VAR:KEY=XWLSXEJCNU&amp;VAR:QUERY=RkZfRUJJVERBX09QRVIoUVRSLDQvMS8yMDA5LDYvMzAvMjAwOSwsLFVTRCk=&amp;WINDOW=FIRST_POPUP&amp;HEIGH","T=450&amp;WIDTH=450&amp;START_MAXIMIZED=FALSE&amp;VAR:CALENDAR=US&amp;VAR:SYMBOL=CPWR&amp;VAR:INDEX=0"}</definedName>
    <definedName name="_784__FDSAUDITLINK__" localSheetId="1"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4__FDSAUDITLINK__" hidden="1">{"fdsup://directions/FAT Viewer?action=UPDATE&amp;creator=factset&amp;DYN_ARGS=TRUE&amp;DOC_NAME=FAT:FQL_AUDITING_CLIENT_TEMPLATE.FAT&amp;display_string=Audit&amp;VAR:KEY=BKDAZMXARE&amp;VAR:QUERY=RkZfRUJJVERBX09QRVIoUVRSLDQvMS8yMDEwLDYvMzAvMjAxMCwsLFVTRCk=&amp;WINDOW=FIRST_POPUP&amp;HEIGH","T=450&amp;WIDTH=450&amp;START_MAXIMIZED=FALSE&amp;VAR:CALENDAR=US&amp;VAR:SYMBOL=CPWR&amp;VAR:INDEX=0"}</definedName>
    <definedName name="_785__FDSAUDITLINK__" localSheetId="1"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5__FDSAUDITLINK__" hidden="1">{"fdsup://directions/FAT Viewer?action=UPDATE&amp;creator=factset&amp;DYN_ARGS=TRUE&amp;DOC_NAME=FAT:FQL_AUDITING_CLIENT_TEMPLATE.FAT&amp;display_string=Audit&amp;VAR:KEY=RCHWHWHULG&amp;VAR:QUERY=RkZfRUJJVERBX09QRVIoUVRSLDQvMS8yMDA5LDYvMzAvMjAwOSwsLFVTRCk=&amp;WINDOW=FIRST_POPUP&amp;HEIGH","T=450&amp;WIDTH=450&amp;START_MAXIMIZED=FALSE&amp;VAR:CALENDAR=US&amp;VAR:SYMBOL=CPB&amp;VAR:INDEX=0"}</definedName>
    <definedName name="_786__FDSAUDITLINK__" localSheetId="1"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6__FDSAUDITLINK__" hidden="1">{"fdsup://directions/FAT Viewer?action=UPDATE&amp;creator=factset&amp;DYN_ARGS=TRUE&amp;DOC_NAME=FAT:FQL_AUDITING_CLIENT_TEMPLATE.FAT&amp;display_string=Audit&amp;VAR:KEY=XCTKBKPQZS&amp;VAR:QUERY=RkZfRUJJVERBX09QRVIoUVRSLDQvMS8yMDEwLDYvMzAvMjAxMCwsLFVTRCk=&amp;WINDOW=FIRST_POPUP&amp;HEIGH","T=450&amp;WIDTH=450&amp;START_MAXIMIZED=FALSE&amp;VAR:CALENDAR=US&amp;VAR:SYMBOL=CPB&amp;VAR:INDEX=0"}</definedName>
    <definedName name="_787__FDSAUDITLINK__" localSheetId="1"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7__FDSAUDITLINK__" hidden="1">{"fdsup://directions/FAT Viewer?action=UPDATE&amp;creator=factset&amp;DYN_ARGS=TRUE&amp;DOC_NAME=FAT:FQL_AUDITING_CLIENT_TEMPLATE.FAT&amp;display_string=Audit&amp;VAR:KEY=LGFMLUJYVC&amp;VAR:QUERY=RkZfRUJJVERBX09QRVIoUVRSLDQvMS8yMDA5LDYvMzAvMjAwOSwsLFVTRCk=&amp;WINDOW=FIRST_POPUP&amp;HEIGH","T=450&amp;WIDTH=450&amp;START_MAXIMIZED=FALSE&amp;VAR:CALENDAR=US&amp;VAR:SYMBOL=COST&amp;VAR:INDEX=0"}</definedName>
    <definedName name="_788__FDSAUDITLINK__" localSheetId="1"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8__FDSAUDITLINK__" hidden="1">{"fdsup://directions/FAT Viewer?action=UPDATE&amp;creator=factset&amp;DYN_ARGS=TRUE&amp;DOC_NAME=FAT:FQL_AUDITING_CLIENT_TEMPLATE.FAT&amp;display_string=Audit&amp;VAR:KEY=VKLAJAVWJY&amp;VAR:QUERY=RkZfRUJJVERBX09QRVIoUVRSLDQvMS8yMDEwLDYvMzAvMjAxMCwsLFVTRCk=&amp;WINDOW=FIRST_POPUP&amp;HEIGH","T=450&amp;WIDTH=450&amp;START_MAXIMIZED=FALSE&amp;VAR:CALENDAR=US&amp;VAR:SYMBOL=COST&amp;VAR:INDEX=0"}</definedName>
    <definedName name="_789__FDSAUDITLINK__" localSheetId="1"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89__FDSAUDITLINK__" hidden="1">{"fdsup://directions/FAT Viewer?action=UPDATE&amp;creator=factset&amp;DYN_ARGS=TRUE&amp;DOC_NAME=FAT:FQL_AUDITING_CLIENT_TEMPLATE.FAT&amp;display_string=Audit&amp;VAR:KEY=BKLILEDWZO&amp;VAR:QUERY=RkZfRUJJVERBX09QRVIoUVRSLDQvMS8yMDA5LDYvMzAvMjAwOSwsLFVTRCk=&amp;WINDOW=FIRST_POPUP&amp;HEIGH","T=450&amp;WIDTH=450&amp;START_MAXIMIZED=FALSE&amp;VAR:CALENDAR=US&amp;VAR:SYMBOL=COP&amp;VAR:INDEX=0"}</definedName>
    <definedName name="_79__FDSAUDITLINK__" localSheetId="1"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__FDSAUDITLINK__" hidden="1">{"fdsup://directions/FAT Viewer?action=UPDATE&amp;creator=factset&amp;DYN_ARGS=TRUE&amp;DOC_NAME=FAT:FQL_AUDITING_CLIENT_TEMPLATE.FAT&amp;display_string=Audit&amp;VAR:KEY=RKPQPKPWJQ&amp;VAR:QUERY=RkZfRUJJVERBX09QRVIoUVRSLDQvMS8yMDA5LDYvMzAvMjAwOSwsLFVTRCk=&amp;WINDOW=FIRST_POPUP&amp;HEIGH","T=450&amp;WIDTH=450&amp;START_MAXIMIZED=FALSE&amp;VAR:CALENDAR=US&amp;VAR:SYMBOL=V&amp;VAR:INDEX=0"}</definedName>
    <definedName name="_790__FDSAUDITLINK__" localSheetId="1"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0__FDSAUDITLINK__" hidden="1">{"fdsup://directions/FAT Viewer?action=UPDATE&amp;creator=factset&amp;DYN_ARGS=TRUE&amp;DOC_NAME=FAT:FQL_AUDITING_CLIENT_TEMPLATE.FAT&amp;display_string=Audit&amp;VAR:KEY=TGNUNYRMXM&amp;VAR:QUERY=RkZfRUJJVERBX09QRVIoUVRSLDQvMS8yMDEwLDYvMzAvMjAxMCwsLFVTRCk=&amp;WINDOW=FIRST_POPUP&amp;HEIGH","T=450&amp;WIDTH=450&amp;START_MAXIMIZED=FALSE&amp;VAR:CALENDAR=US&amp;VAR:SYMBOL=COP&amp;VAR:INDEX=0"}</definedName>
    <definedName name="_791__FDSAUDITLINK__" localSheetId="1"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1__FDSAUDITLINK__" hidden="1">{"fdsup://directions/FAT Viewer?action=UPDATE&amp;creator=factset&amp;DYN_ARGS=TRUE&amp;DOC_NAME=FAT:FQL_AUDITING_CLIENT_TEMPLATE.FAT&amp;display_string=Audit&amp;VAR:KEY=HEPUBCPOJW&amp;VAR:QUERY=RkZfRUJJVERBX09QRVIoUVRSLDQvMS8yMDA5LDYvMzAvMjAwOSwsLFVTRCk=&amp;WINDOW=FIRST_POPUP&amp;HEIGH","T=450&amp;WIDTH=450&amp;START_MAXIMIZED=FALSE&amp;VAR:CALENDAR=US&amp;VAR:SYMBOL=COL&amp;VAR:INDEX=0"}</definedName>
    <definedName name="_792__FDSAUDITLINK__" localSheetId="1"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2__FDSAUDITLINK__" hidden="1">{"fdsup://directions/FAT Viewer?action=UPDATE&amp;creator=factset&amp;DYN_ARGS=TRUE&amp;DOC_NAME=FAT:FQL_AUDITING_CLIENT_TEMPLATE.FAT&amp;display_string=Audit&amp;VAR:KEY=NOFIDMRALI&amp;VAR:QUERY=RkZfRUJJVERBX09QRVIoUVRSLDQvMS8yMDEwLDYvMzAvMjAxMCwsLFVTRCk=&amp;WINDOW=FIRST_POPUP&amp;HEIGH","T=450&amp;WIDTH=450&amp;START_MAXIMIZED=FALSE&amp;VAR:CALENDAR=US&amp;VAR:SYMBOL=COL&amp;VAR:INDEX=0"}</definedName>
    <definedName name="_793__FDSAUDITLINK__" localSheetId="1"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3__FDSAUDITLINK__" hidden="1">{"fdsup://directions/FAT Viewer?action=UPDATE&amp;creator=factset&amp;DYN_ARGS=TRUE&amp;DOC_NAME=FAT:FQL_AUDITING_CLIENT_TEMPLATE.FAT&amp;display_string=Audit&amp;VAR:KEY=XANIFSXOVO&amp;VAR:QUERY=RkZfRUJJVERBX09QRVIoUVRSLDQvMS8yMDA5LDYvMzAvMjAwOSwsLFVTRCk=&amp;WINDOW=FIRST_POPUP&amp;HEIGH","T=450&amp;WIDTH=450&amp;START_MAXIMIZED=FALSE&amp;VAR:CALENDAR=US&amp;VAR:SYMBOL=COH&amp;VAR:INDEX=0"}</definedName>
    <definedName name="_794__FDSAUDITLINK__" localSheetId="1"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4__FDSAUDITLINK__" hidden="1">{"fdsup://directions/FAT Viewer?action=UPDATE&amp;creator=factset&amp;DYN_ARGS=TRUE&amp;DOC_NAME=FAT:FQL_AUDITING_CLIENT_TEMPLATE.FAT&amp;display_string=Audit&amp;VAR:KEY=LYBSBSZALE&amp;VAR:QUERY=RkZfRUJJVERBX09QRVIoUVRSLDQvMS8yMDEwLDYvMzAvMjAxMCwsLFVTRCk=&amp;WINDOW=FIRST_POPUP&amp;HEIGH","T=450&amp;WIDTH=450&amp;START_MAXIMIZED=FALSE&amp;VAR:CALENDAR=US&amp;VAR:SYMBOL=COH&amp;VAR:INDEX=0"}</definedName>
    <definedName name="_795__FDSAUDITLINK__" localSheetId="1"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5__FDSAUDITLINK__" hidden="1">{"fdsup://directions/FAT Viewer?action=UPDATE&amp;creator=factset&amp;DYN_ARGS=TRUE&amp;DOC_NAME=FAT:FQL_AUDITING_CLIENT_TEMPLATE.FAT&amp;display_string=Audit&amp;VAR:KEY=PEDEFIXWZM&amp;VAR:QUERY=RkZfRUJJVERBX09QRVIoUVRSLDQvMS8yMDA5LDYvMzAvMjAwOSwsLFVTRCk=&amp;WINDOW=FIRST_POPUP&amp;HEIGH","T=450&amp;WIDTH=450&amp;START_MAXIMIZED=FALSE&amp;VAR:CALENDAR=US&amp;VAR:SYMBOL=COG&amp;VAR:INDEX=0"}</definedName>
    <definedName name="_796__FDSAUDITLINK__" localSheetId="1"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6__FDSAUDITLINK__" hidden="1">{"fdsup://directions/FAT Viewer?action=UPDATE&amp;creator=factset&amp;DYN_ARGS=TRUE&amp;DOC_NAME=FAT:FQL_AUDITING_CLIENT_TEMPLATE.FAT&amp;display_string=Audit&amp;VAR:KEY=PQLOBKLWTC&amp;VAR:QUERY=RkZfRUJJVERBX09QRVIoUVRSLDQvMS8yMDEwLDYvMzAvMjAxMCwsLFVTRCk=&amp;WINDOW=FIRST_POPUP&amp;HEIGH","T=450&amp;WIDTH=450&amp;START_MAXIMIZED=FALSE&amp;VAR:CALENDAR=US&amp;VAR:SYMBOL=COG&amp;VAR:INDEX=0"}</definedName>
    <definedName name="_797__FDSAUDITLINK__" localSheetId="1"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7__FDSAUDITLINK__" hidden="1">{"fdsup://directions/FAT Viewer?action=UPDATE&amp;creator=factset&amp;DYN_ARGS=TRUE&amp;DOC_NAME=FAT:FQL_AUDITING_CLIENT_TEMPLATE.FAT&amp;display_string=Audit&amp;VAR:KEY=HQTSFGTEJW&amp;VAR:QUERY=RkZfRUJJVERBX09QRVIoUVRSLDQvMS8yMDA5LDYvMzAvMjAwOSwsLFVTRCk=&amp;WINDOW=FIRST_POPUP&amp;HEIGH","T=450&amp;WIDTH=450&amp;START_MAXIMIZED=FALSE&amp;VAR:CALENDAR=US&amp;VAR:SYMBOL=COF&amp;VAR:INDEX=0"}</definedName>
    <definedName name="_798__FDSAUDITLINK__" localSheetId="1"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8__FDSAUDITLINK__" hidden="1">{"fdsup://directions/FAT Viewer?action=UPDATE&amp;creator=factset&amp;DYN_ARGS=TRUE&amp;DOC_NAME=FAT:FQL_AUDITING_CLIENT_TEMPLATE.FAT&amp;display_string=Audit&amp;VAR:KEY=PMRKVSVYRQ&amp;VAR:QUERY=RkZfRUJJVERBX09QRVIoUVRSLDQvMS8yMDEwLDYvMzAvMjAxMCwsLFVTRCk=&amp;WINDOW=FIRST_POPUP&amp;HEIGH","T=450&amp;WIDTH=450&amp;START_MAXIMIZED=FALSE&amp;VAR:CALENDAR=US&amp;VAR:SYMBOL=COF&amp;VAR:INDEX=0"}</definedName>
    <definedName name="_799__FDSAUDITLINK__" localSheetId="1"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799__FDSAUDITLINK__" hidden="1">{"fdsup://directions/FAT Viewer?action=UPDATE&amp;creator=factset&amp;DYN_ARGS=TRUE&amp;DOC_NAME=FAT:FQL_AUDITING_CLIENT_TEMPLATE.FAT&amp;display_string=Audit&amp;VAR:KEY=TSRANCFMVK&amp;VAR:QUERY=RkZfRUJJVERBX09QRVIoUVRSLDQvMS8yMDA5LDYvMzAvMjAwOSwsLFVTRCk=&amp;WINDOW=FIRST_POPUP&amp;HEIGH","T=450&amp;WIDTH=450&amp;START_MAXIMIZED=FALSE&amp;VAR:CALENDAR=US&amp;VAR:SYMBOL=CNX&amp;VAR:INDEX=0"}</definedName>
    <definedName name="_8__FDSAUDITLINK__" localSheetId="1" hidden="1">{"fdsup://directions/FAT Viewer?action=UPDATE&amp;creator=factset&amp;DYN_ARGS=TRUE&amp;DOC_NAME=FAT:FQL_AUDITING_CLIENT_TEMPLATE.FAT&amp;display_string=Audit&amp;VAR:KEY=DEVGLUJEBU&amp;VAR:QUERY=RkZfRUJJVERBX09QRVIoUVRSLDQvMS8yMDEwLDYvMzAvMjAxMCwsLFVTRCk=&amp;WINDOW=FIRST_POPUP&amp;HEIGH","T=450&amp;WIDTH=450&amp;START_MAXIMIZED=FALSE&amp;VAR:CALENDAR=US&amp;VAR:SYMBOL=YHOO&amp;VAR:INDEX=0"}</definedName>
    <definedName name="_8__FDSAUDITLINK__" hidden="1">{"fdsup://directions/FAT Viewer?action=UPDATE&amp;creator=factset&amp;DYN_ARGS=TRUE&amp;DOC_NAME=FAT:FQL_AUDITING_CLIENT_TEMPLATE.FAT&amp;display_string=Audit&amp;VAR:KEY=DEVGLUJEBU&amp;VAR:QUERY=RkZfRUJJVERBX09QRVIoUVRSLDQvMS8yMDEwLDYvMzAvMjAxMCwsLFVTRCk=&amp;WINDOW=FIRST_POPUP&amp;HEIGH","T=450&amp;WIDTH=450&amp;START_MAXIMIZED=FALSE&amp;VAR:CALENDAR=US&amp;VAR:SYMBOL=YHOO&amp;VAR:INDEX=0"}</definedName>
    <definedName name="_80__FDSAUDITLINK__" localSheetId="1"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__FDSAUDITLINK__" hidden="1">{"fdsup://directions/FAT Viewer?action=UPDATE&amp;creator=factset&amp;DYN_ARGS=TRUE&amp;DOC_NAME=FAT:FQL_AUDITING_CLIENT_TEMPLATE.FAT&amp;display_string=Audit&amp;VAR:KEY=LSDCPMXGRI&amp;VAR:QUERY=RkZfRUJJVERBX09QRVIoUVRSLDQvMS8yMDEwLDYvMzAvMjAxMCwsLFVTRCk=&amp;WINDOW=FIRST_POPUP&amp;HEIGH","T=450&amp;WIDTH=450&amp;START_MAXIMIZED=FALSE&amp;VAR:CALENDAR=US&amp;VAR:SYMBOL=V&amp;VAR:INDEX=0"}</definedName>
    <definedName name="_800__FDSAUDITLINK__" localSheetId="1"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0__FDSAUDITLINK__" hidden="1">{"fdsup://directions/FAT Viewer?action=UPDATE&amp;creator=factset&amp;DYN_ARGS=TRUE&amp;DOC_NAME=FAT:FQL_AUDITING_CLIENT_TEMPLATE.FAT&amp;display_string=Audit&amp;VAR:KEY=DUHOREVOBC&amp;VAR:QUERY=RkZfRUJJVERBX09QRVIoUVRSLDQvMS8yMDEwLDYvMzAvMjAxMCwsLFVTRCk=&amp;WINDOW=FIRST_POPUP&amp;HEIGH","T=450&amp;WIDTH=450&amp;START_MAXIMIZED=FALSE&amp;VAR:CALENDAR=US&amp;VAR:SYMBOL=CNX&amp;VAR:INDEX=0"}</definedName>
    <definedName name="_801__FDSAUDITLINK__" localSheetId="1"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1__FDSAUDITLINK__" hidden="1">{"fdsup://directions/FAT Viewer?action=UPDATE&amp;creator=factset&amp;DYN_ARGS=TRUE&amp;DOC_NAME=FAT:FQL_AUDITING_CLIENT_TEMPLATE.FAT&amp;display_string=Audit&amp;VAR:KEY=ZOFSRAVYXC&amp;VAR:QUERY=RkZfRUJJVERBX09QRVIoUVRSLDQvMS8yMDA5LDYvMzAvMjAwOSwsLFVTRCk=&amp;WINDOW=FIRST_POPUP&amp;HEIGH","T=450&amp;WIDTH=450&amp;START_MAXIMIZED=FALSE&amp;VAR:CALENDAR=US&amp;VAR:SYMBOL=CNP&amp;VAR:INDEX=0"}</definedName>
    <definedName name="_802__FDSAUDITLINK__" localSheetId="1"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2__FDSAUDITLINK__" hidden="1">{"fdsup://directions/FAT Viewer?action=UPDATE&amp;creator=factset&amp;DYN_ARGS=TRUE&amp;DOC_NAME=FAT:FQL_AUDITING_CLIENT_TEMPLATE.FAT&amp;display_string=Audit&amp;VAR:KEY=HSLWBGVKXG&amp;VAR:QUERY=RkZfRUJJVERBX09QRVIoUVRSLDQvMS8yMDEwLDYvMzAvMjAxMCwsLFVTRCk=&amp;WINDOW=FIRST_POPUP&amp;HEIGH","T=450&amp;WIDTH=450&amp;START_MAXIMIZED=FALSE&amp;VAR:CALENDAR=US&amp;VAR:SYMBOL=CNP&amp;VAR:INDEX=0"}</definedName>
    <definedName name="_803__FDSAUDITLINK__" localSheetId="1"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3__FDSAUDITLINK__" hidden="1">{"fdsup://directions/FAT Viewer?action=UPDATE&amp;creator=factset&amp;DYN_ARGS=TRUE&amp;DOC_NAME=FAT:FQL_AUDITING_CLIENT_TEMPLATE.FAT&amp;display_string=Audit&amp;VAR:KEY=RWDSZGHMVQ&amp;VAR:QUERY=RkZfRUJJVERBX09QRVIoUVRSLDQvMS8yMDA5LDYvMzAvMjAwOSwsLFVTRCk=&amp;WINDOW=FIRST_POPUP&amp;HEIGH","T=450&amp;WIDTH=450&amp;START_MAXIMIZED=FALSE&amp;VAR:CALENDAR=US&amp;VAR:SYMBOL=CMS&amp;VAR:INDEX=0"}</definedName>
    <definedName name="_804__FDSAUDITLINK__" localSheetId="1"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4__FDSAUDITLINK__" hidden="1">{"fdsup://directions/FAT Viewer?action=UPDATE&amp;creator=factset&amp;DYN_ARGS=TRUE&amp;DOC_NAME=FAT:FQL_AUDITING_CLIENT_TEMPLATE.FAT&amp;display_string=Audit&amp;VAR:KEY=TENKZKPGJK&amp;VAR:QUERY=RkZfRUJJVERBX09QRVIoUVRSLDQvMS8yMDEwLDYvMzAvMjAxMCwsLFVTRCk=&amp;WINDOW=FIRST_POPUP&amp;HEIGH","T=450&amp;WIDTH=450&amp;START_MAXIMIZED=FALSE&amp;VAR:CALENDAR=US&amp;VAR:SYMBOL=CMS&amp;VAR:INDEX=0"}</definedName>
    <definedName name="_805__FDSAUDITLINK__" localSheetId="1"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5__FDSAUDITLINK__" hidden="1">{"fdsup://directions/FAT Viewer?action=UPDATE&amp;creator=factset&amp;DYN_ARGS=TRUE&amp;DOC_NAME=FAT:FQL_AUDITING_CLIENT_TEMPLATE.FAT&amp;display_string=Audit&amp;VAR:KEY=PMLGLSDUBC&amp;VAR:QUERY=RkZfRUJJVERBX09QRVIoUVRSLDQvMS8yMDA5LDYvMzAvMjAwOSwsLFVTRCk=&amp;WINDOW=FIRST_POPUP&amp;HEIGH","T=450&amp;WIDTH=450&amp;START_MAXIMIZED=FALSE&amp;VAR:CALENDAR=US&amp;VAR:SYMBOL=CMI&amp;VAR:INDEX=0"}</definedName>
    <definedName name="_806__FDSAUDITLINK__" localSheetId="1"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6__FDSAUDITLINK__" hidden="1">{"fdsup://directions/FAT Viewer?action=UPDATE&amp;creator=factset&amp;DYN_ARGS=TRUE&amp;DOC_NAME=FAT:FQL_AUDITING_CLIENT_TEMPLATE.FAT&amp;display_string=Audit&amp;VAR:KEY=NAJUJOREVM&amp;VAR:QUERY=RkZfRUJJVERBX09QRVIoUVRSLDQvMS8yMDEwLDYvMzAvMjAxMCwsLFVTRCk=&amp;WINDOW=FIRST_POPUP&amp;HEIGH","T=450&amp;WIDTH=450&amp;START_MAXIMIZED=FALSE&amp;VAR:CALENDAR=US&amp;VAR:SYMBOL=CMI&amp;VAR:INDEX=0"}</definedName>
    <definedName name="_807__FDSAUDITLINK__" localSheetId="1"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7__FDSAUDITLINK__" hidden="1">{"fdsup://directions/FAT Viewer?action=UPDATE&amp;creator=factset&amp;DYN_ARGS=TRUE&amp;DOC_NAME=FAT:FQL_AUDITING_CLIENT_TEMPLATE.FAT&amp;display_string=Audit&amp;VAR:KEY=VUPONAXELA&amp;VAR:QUERY=RkZfRUJJVERBX09QRVIoUVRSLDQvMS8yMDA5LDYvMzAvMjAwOSwsLFVTRCk=&amp;WINDOW=FIRST_POPUP&amp;HEIGH","T=450&amp;WIDTH=450&amp;START_MAXIMIZED=FALSE&amp;VAR:CALENDAR=US&amp;VAR:SYMBOL=CME&amp;VAR:INDEX=0"}</definedName>
    <definedName name="_808__FDSAUDITLINK__" localSheetId="1"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8__FDSAUDITLINK__" hidden="1">{"fdsup://directions/FAT Viewer?action=UPDATE&amp;creator=factset&amp;DYN_ARGS=TRUE&amp;DOC_NAME=FAT:FQL_AUDITING_CLIENT_TEMPLATE.FAT&amp;display_string=Audit&amp;VAR:KEY=HCLCPEZWDO&amp;VAR:QUERY=RkZfRUJJVERBX09QRVIoUVRSLDQvMS8yMDEwLDYvMzAvMjAxMCwsLFVTRCk=&amp;WINDOW=FIRST_POPUP&amp;HEIGH","T=450&amp;WIDTH=450&amp;START_MAXIMIZED=FALSE&amp;VAR:CALENDAR=US&amp;VAR:SYMBOL=CME&amp;VAR:INDEX=0"}</definedName>
    <definedName name="_809__FDSAUDITLINK__" localSheetId="1"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09__FDSAUDITLINK__" hidden="1">{"fdsup://directions/FAT Viewer?action=UPDATE&amp;creator=factset&amp;DYN_ARGS=TRUE&amp;DOC_NAME=FAT:FQL_AUDITING_CLIENT_TEMPLATE.FAT&amp;display_string=Audit&amp;VAR:KEY=XWVIRUDITI&amp;VAR:QUERY=RkZfRUJJVERBX09QRVIoUVRSLDQvMS8yMDA5LDYvMzAvMjAwOSwsLFVTRCk=&amp;WINDOW=FIRST_POPUP&amp;HEIGH","T=450&amp;WIDTH=450&amp;START_MAXIMIZED=FALSE&amp;VAR:CALENDAR=US&amp;VAR:SYMBOL=CMCSA&amp;VAR:INDEX=0"}</definedName>
    <definedName name="_81__FDSAUDITLINK__" localSheetId="1"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__FDSAUDITLINK__" hidden="1">{"fdsup://directions/FAT Viewer?action=UPDATE&amp;creator=factset&amp;DYN_ARGS=TRUE&amp;DOC_NAME=FAT:FQL_AUDITING_CLIENT_TEMPLATE.FAT&amp;display_string=Audit&amp;VAR:KEY=BMXWHOXUPE&amp;VAR:QUERY=RkZfRUJJVERBX09QRVIoUVRSLDQvMS8yMDA5LDYvMzAvMjAwOSwsLFVTRCk=&amp;WINDOW=FIRST_POPUP&amp;HEIGH","T=450&amp;WIDTH=450&amp;START_MAXIMIZED=FALSE&amp;VAR:CALENDAR=US&amp;VAR:SYMBOL=UTX&amp;VAR:INDEX=0"}</definedName>
    <definedName name="_810__FDSAUDITLINK__" localSheetId="1"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0__FDSAUDITLINK__" hidden="1">{"fdsup://directions/FAT Viewer?action=UPDATE&amp;creator=factset&amp;DYN_ARGS=TRUE&amp;DOC_NAME=FAT:FQL_AUDITING_CLIENT_TEMPLATE.FAT&amp;display_string=Audit&amp;VAR:KEY=ZEVMBOLWJU&amp;VAR:QUERY=RkZfRUJJVERBX09QRVIoUVRSLDQvMS8yMDEwLDYvMzAvMjAxMCwsLFVTRCk=&amp;WINDOW=FIRST_POPUP&amp;HEIGH","T=450&amp;WIDTH=450&amp;START_MAXIMIZED=FALSE&amp;VAR:CALENDAR=US&amp;VAR:SYMBOL=CMCSA&amp;VAR:INDEX=0"}</definedName>
    <definedName name="_811__FDSAUDITLINK__" localSheetId="1"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1__FDSAUDITLINK__" hidden="1">{"fdsup://directions/FAT Viewer?action=UPDATE&amp;creator=factset&amp;DYN_ARGS=TRUE&amp;DOC_NAME=FAT:FQL_AUDITING_CLIENT_TEMPLATE.FAT&amp;display_string=Audit&amp;VAR:KEY=ZCNCRQRUNU&amp;VAR:QUERY=RkZfRUJJVERBX09QRVIoUVRSLDQvMS8yMDA5LDYvMzAvMjAwOSwsLFVTRCk=&amp;WINDOW=FIRST_POPUP&amp;HEIGH","T=450&amp;WIDTH=450&amp;START_MAXIMIZED=FALSE&amp;VAR:CALENDAR=US&amp;VAR:SYMBOL=CMA&amp;VAR:INDEX=0"}</definedName>
    <definedName name="_812__FDSAUDITLINK__" localSheetId="1"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2__FDSAUDITLINK__" hidden="1">{"fdsup://directions/FAT Viewer?action=UPDATE&amp;creator=factset&amp;DYN_ARGS=TRUE&amp;DOC_NAME=FAT:FQL_AUDITING_CLIENT_TEMPLATE.FAT&amp;display_string=Audit&amp;VAR:KEY=NSBAHKZAZS&amp;VAR:QUERY=RkZfRUJJVERBX09QRVIoUVRSLDQvMS8yMDEwLDYvMzAvMjAxMCwsLFVTRCk=&amp;WINDOW=FIRST_POPUP&amp;HEIGH","T=450&amp;WIDTH=450&amp;START_MAXIMIZED=FALSE&amp;VAR:CALENDAR=US&amp;VAR:SYMBOL=CMA&amp;VAR:INDEX=0"}</definedName>
    <definedName name="_813__FDSAUDITLINK__" localSheetId="1"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3__FDSAUDITLINK__" hidden="1">{"fdsup://directions/FAT Viewer?action=UPDATE&amp;creator=factset&amp;DYN_ARGS=TRUE&amp;DOC_NAME=FAT:FQL_AUDITING_CLIENT_TEMPLATE.FAT&amp;display_string=Audit&amp;VAR:KEY=VMVGZSBELW&amp;VAR:QUERY=RkZfRUJJVERBX09QRVIoUVRSLDQvMS8yMDA5LDYvMzAvMjAwOSwsLFVTRCk=&amp;WINDOW=FIRST_POPUP&amp;HEIGH","T=450&amp;WIDTH=450&amp;START_MAXIMIZED=FALSE&amp;VAR:CALENDAR=US&amp;VAR:SYMBOL=CLX&amp;VAR:INDEX=0"}</definedName>
    <definedName name="_814__FDSAUDITLINK__" localSheetId="1"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4__FDSAUDITLINK__" hidden="1">{"fdsup://directions/FAT Viewer?action=UPDATE&amp;creator=factset&amp;DYN_ARGS=TRUE&amp;DOC_NAME=FAT:FQL_AUDITING_CLIENT_TEMPLATE.FAT&amp;display_string=Audit&amp;VAR:KEY=RWZQNUNMDK&amp;VAR:QUERY=RkZfRUJJVERBX09QRVIoUVRSLDQvMS8yMDEwLDYvMzAvMjAxMCwsLFVTRCk=&amp;WINDOW=FIRST_POPUP&amp;HEIGH","T=450&amp;WIDTH=450&amp;START_MAXIMIZED=FALSE&amp;VAR:CALENDAR=US&amp;VAR:SYMBOL=CLX&amp;VAR:INDEX=0"}</definedName>
    <definedName name="_815__FDSAUDITLINK__" localSheetId="1"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5__FDSAUDITLINK__" hidden="1">{"fdsup://directions/FAT Viewer?action=UPDATE&amp;creator=factset&amp;DYN_ARGS=TRUE&amp;DOC_NAME=FAT:FQL_AUDITING_CLIENT_TEMPLATE.FAT&amp;display_string=Audit&amp;VAR:KEY=BGRIXGNGTM&amp;VAR:QUERY=RkZfRUJJVERBX09QRVIoUVRSLDQvMS8yMDA5LDYvMzAvMjAwOSwsLFVTRCk=&amp;WINDOW=FIRST_POPUP&amp;HEIGH","T=450&amp;WIDTH=450&amp;START_MAXIMIZED=FALSE&amp;VAR:CALENDAR=US&amp;VAR:SYMBOL=CLF&amp;VAR:INDEX=0"}</definedName>
    <definedName name="_816__FDSAUDITLINK__" localSheetId="1"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6__FDSAUDITLINK__" hidden="1">{"fdsup://directions/FAT Viewer?action=UPDATE&amp;creator=factset&amp;DYN_ARGS=TRUE&amp;DOC_NAME=FAT:FQL_AUDITING_CLIENT_TEMPLATE.FAT&amp;display_string=Audit&amp;VAR:KEY=RODYXSRMRS&amp;VAR:QUERY=RkZfRUJJVERBX09QRVIoUVRSLDQvMS8yMDEwLDYvMzAvMjAxMCwsLFVTRCk=&amp;WINDOW=FIRST_POPUP&amp;HEIGH","T=450&amp;WIDTH=450&amp;START_MAXIMIZED=FALSE&amp;VAR:CALENDAR=US&amp;VAR:SYMBOL=CLF&amp;VAR:INDEX=0"}</definedName>
    <definedName name="_817__FDSAUDITLINK__" localSheetId="1"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7__FDSAUDITLINK__" hidden="1">{"fdsup://directions/FAT Viewer?action=UPDATE&amp;creator=factset&amp;DYN_ARGS=TRUE&amp;DOC_NAME=FAT:FQL_AUDITING_CLIENT_TEMPLATE.FAT&amp;display_string=Audit&amp;VAR:KEY=PIFQNYLMPA&amp;VAR:QUERY=RkZfRUJJVERBX09QRVIoUVRSLDQvMS8yMDA5LDYvMzAvMjAwOSwsLFVTRCk=&amp;WINDOW=FIRST_POPUP&amp;HEIGH","T=450&amp;WIDTH=450&amp;START_MAXIMIZED=FALSE&amp;VAR:CALENDAR=US&amp;VAR:SYMBOL=CL&amp;VAR:INDEX=0"}</definedName>
    <definedName name="_818__FDSAUDITLINK__" localSheetId="1"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8__FDSAUDITLINK__" hidden="1">{"fdsup://directions/FAT Viewer?action=UPDATE&amp;creator=factset&amp;DYN_ARGS=TRUE&amp;DOC_NAME=FAT:FQL_AUDITING_CLIENT_TEMPLATE.FAT&amp;display_string=Audit&amp;VAR:KEY=XIPCXMNCFA&amp;VAR:QUERY=RkZfRUJJVERBX09QRVIoUVRSLDQvMS8yMDEwLDYvMzAvMjAxMCwsLFVTRCk=&amp;WINDOW=FIRST_POPUP&amp;HEIGH","T=450&amp;WIDTH=450&amp;START_MAXIMIZED=FALSE&amp;VAR:CALENDAR=US&amp;VAR:SYMBOL=CL&amp;VAR:INDEX=0"}</definedName>
    <definedName name="_819__FDSAUDITLINK__" localSheetId="1"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19__FDSAUDITLINK__" hidden="1">{"fdsup://directions/FAT Viewer?action=UPDATE&amp;creator=factset&amp;DYN_ARGS=TRUE&amp;DOC_NAME=FAT:FQL_AUDITING_CLIENT_TEMPLATE.FAT&amp;display_string=Audit&amp;VAR:KEY=POXQZMDEHY&amp;VAR:QUERY=RkZfRUJJVERBX09QRVIoUVRSLDQvMS8yMDA5LDYvMzAvMjAwOSwsLFVTRCk=&amp;WINDOW=FIRST_POPUP&amp;HEIGH","T=450&amp;WIDTH=450&amp;START_MAXIMIZED=FALSE&amp;VAR:CALENDAR=US&amp;VAR:SYMBOL=CINF&amp;VAR:INDEX=0"}</definedName>
    <definedName name="_82__FDSAUDITLINK__" localSheetId="1"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__FDSAUDITLINK__" hidden="1">{"fdsup://directions/FAT Viewer?action=UPDATE&amp;creator=factset&amp;DYN_ARGS=TRUE&amp;DOC_NAME=FAT:FQL_AUDITING_CLIENT_TEMPLATE.FAT&amp;display_string=Audit&amp;VAR:KEY=DYXSDMNEPA&amp;VAR:QUERY=RkZfRUJJVERBX09QRVIoUVRSLDQvMS8yMDEwLDYvMzAvMjAxMCwsLFVTRCk=&amp;WINDOW=FIRST_POPUP&amp;HEIGH","T=450&amp;WIDTH=450&amp;START_MAXIMIZED=FALSE&amp;VAR:CALENDAR=US&amp;VAR:SYMBOL=UTX&amp;VAR:INDEX=0"}</definedName>
    <definedName name="_820__FDSAUDITLINK__" localSheetId="1"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0__FDSAUDITLINK__" hidden="1">{"fdsup://directions/FAT Viewer?action=UPDATE&amp;creator=factset&amp;DYN_ARGS=TRUE&amp;DOC_NAME=FAT:FQL_AUDITING_CLIENT_TEMPLATE.FAT&amp;display_string=Audit&amp;VAR:KEY=PAZIRMTYZS&amp;VAR:QUERY=RkZfRUJJVERBX09QRVIoUVRSLDQvMS8yMDEwLDYvMzAvMjAxMCwsLFVTRCk=&amp;WINDOW=FIRST_POPUP&amp;HEIGH","T=450&amp;WIDTH=450&amp;START_MAXIMIZED=FALSE&amp;VAR:CALENDAR=US&amp;VAR:SYMBOL=CINF&amp;VAR:INDEX=0"}</definedName>
    <definedName name="_821__FDSAUDITLINK__" localSheetId="1"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1__FDSAUDITLINK__" hidden="1">{"fdsup://directions/FAT Viewer?action=UPDATE&amp;creator=factset&amp;DYN_ARGS=TRUE&amp;DOC_NAME=FAT:FQL_AUDITING_CLIENT_TEMPLATE.FAT&amp;display_string=Audit&amp;VAR:KEY=DWFCBIHQPQ&amp;VAR:QUERY=RkZfRUJJVERBX09QRVIoUVRSLDQvMS8yMDA5LDYvMzAvMjAwOSwsLFVTRCk=&amp;WINDOW=FIRST_POPUP&amp;HEIGH","T=450&amp;WIDTH=450&amp;START_MAXIMIZED=FALSE&amp;VAR:CALENDAR=US&amp;VAR:SYMBOL=CI&amp;VAR:INDEX=0"}</definedName>
    <definedName name="_822__FDSAUDITLINK__" localSheetId="1"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2__FDSAUDITLINK__" hidden="1">{"fdsup://directions/FAT Viewer?action=UPDATE&amp;creator=factset&amp;DYN_ARGS=TRUE&amp;DOC_NAME=FAT:FQL_AUDITING_CLIENT_TEMPLATE.FAT&amp;display_string=Audit&amp;VAR:KEY=LWNCZGNGLA&amp;VAR:QUERY=RkZfRUJJVERBX09QRVIoUVRSLDQvMS8yMDEwLDYvMzAvMjAxMCwsLFVTRCk=&amp;WINDOW=FIRST_POPUP&amp;HEIGH","T=450&amp;WIDTH=450&amp;START_MAXIMIZED=FALSE&amp;VAR:CALENDAR=US&amp;VAR:SYMBOL=CI&amp;VAR:INDEX=0"}</definedName>
    <definedName name="_823__FDSAUDITLINK__" localSheetId="1"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3__FDSAUDITLINK__" hidden="1">{"fdsup://directions/FAT Viewer?action=UPDATE&amp;creator=factset&amp;DYN_ARGS=TRUE&amp;DOC_NAME=FAT:FQL_AUDITING_CLIENT_TEMPLATE.FAT&amp;display_string=Audit&amp;VAR:KEY=PMZUFSVQHM&amp;VAR:QUERY=RkZfRUJJVERBX09QRVIoUVRSLDQvMS8yMDA5LDYvMzAvMjAwOSwsLFVTRCk=&amp;WINDOW=FIRST_POPUP&amp;HEIGH","T=450&amp;WIDTH=450&amp;START_MAXIMIZED=FALSE&amp;VAR:CALENDAR=US&amp;VAR:SYMBOL=CHRW&amp;VAR:INDEX=0"}</definedName>
    <definedName name="_824__FDSAUDITLINK__" localSheetId="1"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4__FDSAUDITLINK__" hidden="1">{"fdsup://directions/FAT Viewer?action=UPDATE&amp;creator=factset&amp;DYN_ARGS=TRUE&amp;DOC_NAME=FAT:FQL_AUDITING_CLIENT_TEMPLATE.FAT&amp;display_string=Audit&amp;VAR:KEY=FWBADQXCFG&amp;VAR:QUERY=RkZfRUJJVERBX09QRVIoUVRSLDQvMS8yMDEwLDYvMzAvMjAxMCwsLFVTRCk=&amp;WINDOW=FIRST_POPUP&amp;HEIGH","T=450&amp;WIDTH=450&amp;START_MAXIMIZED=FALSE&amp;VAR:CALENDAR=US&amp;VAR:SYMBOL=CHRW&amp;VAR:INDEX=0"}</definedName>
    <definedName name="_825__FDSAUDITLINK__" localSheetId="1"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5__FDSAUDITLINK__" hidden="1">{"fdsup://directions/FAT Viewer?action=UPDATE&amp;creator=factset&amp;DYN_ARGS=TRUE&amp;DOC_NAME=FAT:FQL_AUDITING_CLIENT_TEMPLATE.FAT&amp;display_string=Audit&amp;VAR:KEY=HCDQZSFADQ&amp;VAR:QUERY=RkZfRUJJVERBX09QRVIoUVRSLDQvMS8yMDA5LDYvMzAvMjAwOSwsLFVTRCk=&amp;WINDOW=FIRST_POPUP&amp;HEIGH","T=450&amp;WIDTH=450&amp;START_MAXIMIZED=FALSE&amp;VAR:CALENDAR=US&amp;VAR:SYMBOL=CHK&amp;VAR:INDEX=0"}</definedName>
    <definedName name="_826__FDSAUDITLINK__" localSheetId="1"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6__FDSAUDITLINK__" hidden="1">{"fdsup://directions/FAT Viewer?action=UPDATE&amp;creator=factset&amp;DYN_ARGS=TRUE&amp;DOC_NAME=FAT:FQL_AUDITING_CLIENT_TEMPLATE.FAT&amp;display_string=Audit&amp;VAR:KEY=FCZYLCJMRY&amp;VAR:QUERY=RkZfRUJJVERBX09QRVIoUVRSLDQvMS8yMDEwLDYvMzAvMjAxMCwsLFVTRCk=&amp;WINDOW=FIRST_POPUP&amp;HEIGH","T=450&amp;WIDTH=450&amp;START_MAXIMIZED=FALSE&amp;VAR:CALENDAR=US&amp;VAR:SYMBOL=CHK&amp;VAR:INDEX=0"}</definedName>
    <definedName name="_827__FDSAUDITLINK__" localSheetId="1"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7__FDSAUDITLINK__" hidden="1">{"fdsup://directions/FAT Viewer?action=UPDATE&amp;creator=factset&amp;DYN_ARGS=TRUE&amp;DOC_NAME=FAT:FQL_AUDITING_CLIENT_TEMPLATE.FAT&amp;display_string=Audit&amp;VAR:KEY=PCDMNSLAVK&amp;VAR:QUERY=RkZfRUJJVERBX09QRVIoUVRSLDQvMS8yMDA5LDYvMzAvMjAwOSwsLFVTRCk=&amp;WINDOW=FIRST_POPUP&amp;HEIGH","T=450&amp;WIDTH=450&amp;START_MAXIMIZED=FALSE&amp;VAR:CALENDAR=US&amp;VAR:SYMBOL=CFN&amp;VAR:INDEX=0"}</definedName>
    <definedName name="_828__FDSAUDITLINK__" localSheetId="1"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8__FDSAUDITLINK__" hidden="1">{"fdsup://directions/FAT Viewer?action=UPDATE&amp;creator=factset&amp;DYN_ARGS=TRUE&amp;DOC_NAME=FAT:FQL_AUDITING_CLIENT_TEMPLATE.FAT&amp;display_string=Audit&amp;VAR:KEY=JKRILCHKLS&amp;VAR:QUERY=RkZfRUJJVERBX09QRVIoUVRSLDQvMS8yMDEwLDYvMzAvMjAxMCwsLFVTRCk=&amp;WINDOW=FIRST_POPUP&amp;HEIGH","T=450&amp;WIDTH=450&amp;START_MAXIMIZED=FALSE&amp;VAR:CALENDAR=US&amp;VAR:SYMBOL=CFN&amp;VAR:INDEX=0"}</definedName>
    <definedName name="_829__FDSAUDITLINK__" localSheetId="1"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29__FDSAUDITLINK__" hidden="1">{"fdsup://directions/FAT Viewer?action=UPDATE&amp;creator=factset&amp;DYN_ARGS=TRUE&amp;DOC_NAME=FAT:FQL_AUDITING_CLIENT_TEMPLATE.FAT&amp;display_string=Audit&amp;VAR:KEY=ZINSVSJQZY&amp;VAR:QUERY=RkZfRUJJVERBX09QRVIoUVRSLDQvMS8yMDA5LDYvMzAvMjAwOSwsLFVTRCk=&amp;WINDOW=FIRST_POPUP&amp;HEIGH","T=450&amp;WIDTH=450&amp;START_MAXIMIZED=FALSE&amp;VAR:CALENDAR=US&amp;VAR:SYMBOL=CF&amp;VAR:INDEX=0"}</definedName>
    <definedName name="_83__FDSAUDITLINK__" localSheetId="1"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__FDSAUDITLINK__" hidden="1">{"fdsup://directions/FAT Viewer?action=UPDATE&amp;creator=factset&amp;DYN_ARGS=TRUE&amp;DOC_NAME=FAT:FQL_AUDITING_CLIENT_TEMPLATE.FAT&amp;display_string=Audit&amp;VAR:KEY=XCRCZINIDS&amp;VAR:QUERY=RkZfRUJJVERBX09QRVIoUVRSLDQvMS8yMDA5LDYvMzAvMjAwOSwsLFVTRCk=&amp;WINDOW=FIRST_POPUP&amp;HEIGH","T=450&amp;WIDTH=450&amp;START_MAXIMIZED=FALSE&amp;VAR:CALENDAR=US&amp;VAR:SYMBOL=USB&amp;VAR:INDEX=0"}</definedName>
    <definedName name="_830__FDSAUDITLINK__" localSheetId="1"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0__FDSAUDITLINK__" hidden="1">{"fdsup://directions/FAT Viewer?action=UPDATE&amp;creator=factset&amp;DYN_ARGS=TRUE&amp;DOC_NAME=FAT:FQL_AUDITING_CLIENT_TEMPLATE.FAT&amp;display_string=Audit&amp;VAR:KEY=TABGDUNEBY&amp;VAR:QUERY=RkZfRUJJVERBX09QRVIoUVRSLDQvMS8yMDEwLDYvMzAvMjAxMCwsLFVTRCk=&amp;WINDOW=FIRST_POPUP&amp;HEIGH","T=450&amp;WIDTH=450&amp;START_MAXIMIZED=FALSE&amp;VAR:CALENDAR=US&amp;VAR:SYMBOL=CF&amp;VAR:INDEX=0"}</definedName>
    <definedName name="_831__FDSAUDITLINK__" localSheetId="1"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1__FDSAUDITLINK__" hidden="1">{"fdsup://directions/FAT Viewer?action=UPDATE&amp;creator=factset&amp;DYN_ARGS=TRUE&amp;DOC_NAME=FAT:FQL_AUDITING_CLIENT_TEMPLATE.FAT&amp;display_string=Audit&amp;VAR:KEY=FILAFSPKFS&amp;VAR:QUERY=RkZfRUJJVERBX09QRVIoUVRSLDQvMS8yMDA5LDYvMzAvMjAwOSwsLFVTRCk=&amp;WINDOW=FIRST_POPUP&amp;HEIGH","T=450&amp;WIDTH=450&amp;START_MAXIMIZED=FALSE&amp;VAR:CALENDAR=US&amp;VAR:SYMBOL=CERN&amp;VAR:INDEX=0"}</definedName>
    <definedName name="_832__FDSAUDITLINK__" localSheetId="1"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2__FDSAUDITLINK__" hidden="1">{"fdsup://directions/FAT Viewer?action=UPDATE&amp;creator=factset&amp;DYN_ARGS=TRUE&amp;DOC_NAME=FAT:FQL_AUDITING_CLIENT_TEMPLATE.FAT&amp;display_string=Audit&amp;VAR:KEY=ZOHSVALQJS&amp;VAR:QUERY=RkZfRUJJVERBX09QRVIoUVRSLDQvMS8yMDEwLDYvMzAvMjAxMCwsLFVTRCk=&amp;WINDOW=FIRST_POPUP&amp;HEIGH","T=450&amp;WIDTH=450&amp;START_MAXIMIZED=FALSE&amp;VAR:CALENDAR=US&amp;VAR:SYMBOL=CERN&amp;VAR:INDEX=0"}</definedName>
    <definedName name="_833__FDSAUDITLINK__" localSheetId="1"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3__FDSAUDITLINK__" hidden="1">{"fdsup://directions/FAT Viewer?action=UPDATE&amp;creator=factset&amp;DYN_ARGS=TRUE&amp;DOC_NAME=FAT:FQL_AUDITING_CLIENT_TEMPLATE.FAT&amp;display_string=Audit&amp;VAR:KEY=XOLGBOHOXU&amp;VAR:QUERY=RkZfRUJJVERBX09QRVIoUVRSLDQvMS8yMDA5LDYvMzAvMjAwOSwsLFVTRCk=&amp;WINDOW=FIRST_POPUP&amp;HEIGH","T=450&amp;WIDTH=450&amp;START_MAXIMIZED=FALSE&amp;VAR:CALENDAR=US&amp;VAR:SYMBOL=CEPH&amp;VAR:INDEX=0"}</definedName>
    <definedName name="_834__FDSAUDITLINK__" localSheetId="1"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4__FDSAUDITLINK__" hidden="1">{"fdsup://directions/FAT Viewer?action=UPDATE&amp;creator=factset&amp;DYN_ARGS=TRUE&amp;DOC_NAME=FAT:FQL_AUDITING_CLIENT_TEMPLATE.FAT&amp;display_string=Audit&amp;VAR:KEY=VIPWHOPCZM&amp;VAR:QUERY=RkZfRUJJVERBX09QRVIoUVRSLDQvMS8yMDEwLDYvMzAvMjAxMCwsLFVTRCk=&amp;WINDOW=FIRST_POPUP&amp;HEIGH","T=450&amp;WIDTH=450&amp;START_MAXIMIZED=FALSE&amp;VAR:CALENDAR=US&amp;VAR:SYMBOL=CEPH&amp;VAR:INDEX=0"}</definedName>
    <definedName name="_835__FDSAUDITLINK__" localSheetId="1"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5__FDSAUDITLINK__" hidden="1">{"fdsup://directions/FAT Viewer?action=UPDATE&amp;creator=factset&amp;DYN_ARGS=TRUE&amp;DOC_NAME=FAT:FQL_AUDITING_CLIENT_TEMPLATE.FAT&amp;display_string=Audit&amp;VAR:KEY=TITYDIVCFS&amp;VAR:QUERY=RkZfRUJJVERBX09QRVIoUVRSLDQvMS8yMDA5LDYvMzAvMjAwOSwsLFVTRCk=&amp;WINDOW=FIRST_POPUP&amp;HEIGH","T=450&amp;WIDTH=450&amp;START_MAXIMIZED=FALSE&amp;VAR:CALENDAR=US&amp;VAR:SYMBOL=CELG&amp;VAR:INDEX=0"}</definedName>
    <definedName name="_836__FDSAUDITLINK__" localSheetId="1"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6__FDSAUDITLINK__" hidden="1">{"fdsup://directions/FAT Viewer?action=UPDATE&amp;creator=factset&amp;DYN_ARGS=TRUE&amp;DOC_NAME=FAT:FQL_AUDITING_CLIENT_TEMPLATE.FAT&amp;display_string=Audit&amp;VAR:KEY=ZYBGHGHIZS&amp;VAR:QUERY=RkZfRUJJVERBX09QRVIoUVRSLDQvMS8yMDEwLDYvMzAvMjAxMCwsLFVTRCk=&amp;WINDOW=FIRST_POPUP&amp;HEIGH","T=450&amp;WIDTH=450&amp;START_MAXIMIZED=FALSE&amp;VAR:CALENDAR=US&amp;VAR:SYMBOL=CELG&amp;VAR:INDEX=0"}</definedName>
    <definedName name="_837__FDSAUDITLINK__" localSheetId="1"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7__FDSAUDITLINK__" hidden="1">{"fdsup://directions/FAT Viewer?action=UPDATE&amp;creator=factset&amp;DYN_ARGS=TRUE&amp;DOC_NAME=FAT:FQL_AUDITING_CLIENT_TEMPLATE.FAT&amp;display_string=Audit&amp;VAR:KEY=RSJSNORKFU&amp;VAR:QUERY=RkZfRUJJVERBX09QRVIoUVRSLDQvMS8yMDA5LDYvMzAvMjAwOSwsLFVTRCk=&amp;WINDOW=FIRST_POPUP&amp;HEIGH","T=450&amp;WIDTH=450&amp;START_MAXIMIZED=FALSE&amp;VAR:CALENDAR=US&amp;VAR:SYMBOL=CEG&amp;VAR:INDEX=0"}</definedName>
    <definedName name="_838__FDSAUDITLINK__" localSheetId="1"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8__FDSAUDITLINK__" hidden="1">{"fdsup://directions/FAT Viewer?action=UPDATE&amp;creator=factset&amp;DYN_ARGS=TRUE&amp;DOC_NAME=FAT:FQL_AUDITING_CLIENT_TEMPLATE.FAT&amp;display_string=Audit&amp;VAR:KEY=XEFIVKPWZK&amp;VAR:QUERY=RkZfRUJJVERBX09QRVIoUVRSLDQvMS8yMDEwLDYvMzAvMjAxMCwsLFVTRCk=&amp;WINDOW=FIRST_POPUP&amp;HEIGH","T=450&amp;WIDTH=450&amp;START_MAXIMIZED=FALSE&amp;VAR:CALENDAR=US&amp;VAR:SYMBOL=CEG&amp;VAR:INDEX=0"}</definedName>
    <definedName name="_839__FDSAUDITLINK__" localSheetId="1"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39__FDSAUDITLINK__" hidden="1">{"fdsup://directions/FAT Viewer?action=UPDATE&amp;creator=factset&amp;DYN_ARGS=TRUE&amp;DOC_NAME=FAT:FQL_AUDITING_CLIENT_TEMPLATE.FAT&amp;display_string=Audit&amp;VAR:KEY=BYTEDUNUNK&amp;VAR:QUERY=RkZfRUJJVERBX09QRVIoUVRSLDQvMS8yMDA5LDYvMzAvMjAwOSwsLFVTRCk=&amp;WINDOW=FIRST_POPUP&amp;HEIGH","T=450&amp;WIDTH=450&amp;START_MAXIMIZED=FALSE&amp;VAR:CALENDAR=US&amp;VAR:SYMBOL=CCL&amp;VAR:INDEX=0"}</definedName>
    <definedName name="_84__FDSAUDITLINK__" localSheetId="1"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__FDSAUDITLINK__" hidden="1">{"fdsup://directions/FAT Viewer?action=UPDATE&amp;creator=factset&amp;DYN_ARGS=TRUE&amp;DOC_NAME=FAT:FQL_AUDITING_CLIENT_TEMPLATE.FAT&amp;display_string=Audit&amp;VAR:KEY=HEFQDYZGFW&amp;VAR:QUERY=RkZfRUJJVERBX09QRVIoUVRSLDQvMS8yMDEwLDYvMzAvMjAxMCwsLFVTRCk=&amp;WINDOW=FIRST_POPUP&amp;HEIGH","T=450&amp;WIDTH=450&amp;START_MAXIMIZED=FALSE&amp;VAR:CALENDAR=US&amp;VAR:SYMBOL=USB&amp;VAR:INDEX=0"}</definedName>
    <definedName name="_840__FDSAUDITLINK__" localSheetId="1"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0__FDSAUDITLINK__" hidden="1">{"fdsup://directions/FAT Viewer?action=UPDATE&amp;creator=factset&amp;DYN_ARGS=TRUE&amp;DOC_NAME=FAT:FQL_AUDITING_CLIENT_TEMPLATE.FAT&amp;display_string=Audit&amp;VAR:KEY=VQTETMDSBA&amp;VAR:QUERY=RkZfRUJJVERBX09QRVIoUVRSLDQvMS8yMDEwLDYvMzAvMjAxMCwsLFVTRCk=&amp;WINDOW=FIRST_POPUP&amp;HEIGH","T=450&amp;WIDTH=450&amp;START_MAXIMIZED=FALSE&amp;VAR:CALENDAR=US&amp;VAR:SYMBOL=CCL&amp;VAR:INDEX=0"}</definedName>
    <definedName name="_841__FDSAUDITLINK__" localSheetId="1"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1__FDSAUDITLINK__" hidden="1">{"fdsup://directions/FAT Viewer?action=UPDATE&amp;creator=factset&amp;DYN_ARGS=TRUE&amp;DOC_NAME=FAT:FQL_AUDITING_CLIENT_TEMPLATE.FAT&amp;display_string=Audit&amp;VAR:KEY=JMLUZKZKRM&amp;VAR:QUERY=RkZfRUJJVERBX09QRVIoUVRSLDQvMS8yMDA5LDYvMzAvMjAwOSwsLFVTRCk=&amp;WINDOW=FIRST_POPUP&amp;HEIGH","T=450&amp;WIDTH=450&amp;START_MAXIMIZED=FALSE&amp;VAR:CALENDAR=US&amp;VAR:SYMBOL=CCE&amp;VAR:INDEX=0"}</definedName>
    <definedName name="_842__FDSAUDITLINK__" localSheetId="1"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2__FDSAUDITLINK__" hidden="1">{"fdsup://directions/FAT Viewer?action=UPDATE&amp;creator=factset&amp;DYN_ARGS=TRUE&amp;DOC_NAME=FAT:FQL_AUDITING_CLIENT_TEMPLATE.FAT&amp;display_string=Audit&amp;VAR:KEY=BWNGPGDIVI&amp;VAR:QUERY=RkZfRUJJVERBX09QRVIoUVRSLDQvMS8yMDEwLDYvMzAvMjAxMCwsLFVTRCk=&amp;WINDOW=FIRST_POPUP&amp;HEIGH","T=450&amp;WIDTH=450&amp;START_MAXIMIZED=FALSE&amp;VAR:CALENDAR=US&amp;VAR:SYMBOL=CCE&amp;VAR:INDEX=0"}</definedName>
    <definedName name="_843__FDSAUDITLINK__" localSheetId="1"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3__FDSAUDITLINK__" hidden="1">{"fdsup://directions/FAT Viewer?action=UPDATE&amp;creator=factset&amp;DYN_ARGS=TRUE&amp;DOC_NAME=FAT:FQL_AUDITING_CLIENT_TEMPLATE.FAT&amp;display_string=Audit&amp;VAR:KEY=PKNQPSHAVQ&amp;VAR:QUERY=RkZfRUJJVERBX09QRVIoUVRSLDQvMS8yMDA5LDYvMzAvMjAwOSwsLFVTRCk=&amp;WINDOW=FIRST_POPUP&amp;HEIGH","T=450&amp;WIDTH=450&amp;START_MAXIMIZED=FALSE&amp;VAR:CALENDAR=US&amp;VAR:SYMBOL=CBS&amp;VAR:INDEX=0"}</definedName>
    <definedName name="_844__FDSAUDITLINK__" localSheetId="1"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4__FDSAUDITLINK__" hidden="1">{"fdsup://directions/FAT Viewer?action=UPDATE&amp;creator=factset&amp;DYN_ARGS=TRUE&amp;DOC_NAME=FAT:FQL_AUDITING_CLIENT_TEMPLATE.FAT&amp;display_string=Audit&amp;VAR:KEY=FEZCVWPEDA&amp;VAR:QUERY=RkZfRUJJVERBX09QRVIoUVRSLDQvMS8yMDEwLDYvMzAvMjAxMCwsLFVTRCk=&amp;WINDOW=FIRST_POPUP&amp;HEIGH","T=450&amp;WIDTH=450&amp;START_MAXIMIZED=FALSE&amp;VAR:CALENDAR=US&amp;VAR:SYMBOL=CBS&amp;VAR:INDEX=0"}</definedName>
    <definedName name="_845__FDSAUDITLINK__" localSheetId="1"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5__FDSAUDITLINK__" hidden="1">{"fdsup://directions/FAT Viewer?action=UPDATE&amp;creator=factset&amp;DYN_ARGS=TRUE&amp;DOC_NAME=FAT:FQL_AUDITING_CLIENT_TEMPLATE.FAT&amp;display_string=Audit&amp;VAR:KEY=XEVEDOXWLC&amp;VAR:QUERY=RkZfRUJJVERBX09QRVIoUVRSLDQvMS8yMDA5LDYvMzAvMjAwOSwsLFVTRCk=&amp;WINDOW=FIRST_POPUP&amp;HEIGH","T=450&amp;WIDTH=450&amp;START_MAXIMIZED=FALSE&amp;VAR:CALENDAR=US&amp;VAR:SYMBOL=CBG&amp;VAR:INDEX=0"}</definedName>
    <definedName name="_846__FDSAUDITLINK__" localSheetId="1"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6__FDSAUDITLINK__" hidden="1">{"fdsup://directions/FAT Viewer?action=UPDATE&amp;creator=factset&amp;DYN_ARGS=TRUE&amp;DOC_NAME=FAT:FQL_AUDITING_CLIENT_TEMPLATE.FAT&amp;display_string=Audit&amp;VAR:KEY=PWLMHAVSNK&amp;VAR:QUERY=RkZfRUJJVERBX09QRVIoUVRSLDQvMS8yMDEwLDYvMzAvMjAxMCwsLFVTRCk=&amp;WINDOW=FIRST_POPUP&amp;HEIGH","T=450&amp;WIDTH=450&amp;START_MAXIMIZED=FALSE&amp;VAR:CALENDAR=US&amp;VAR:SYMBOL=CBG&amp;VAR:INDEX=0"}</definedName>
    <definedName name="_847__FDSAUDITLINK__" localSheetId="1"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7__FDSAUDITLINK__" hidden="1">{"fdsup://directions/FAT Viewer?action=UPDATE&amp;creator=factset&amp;DYN_ARGS=TRUE&amp;DOC_NAME=FAT:FQL_AUDITING_CLIENT_TEMPLATE.FAT&amp;display_string=Audit&amp;VAR:KEY=TMDWFQNWLK&amp;VAR:QUERY=RkZfRUJJVERBX09QRVIoUVRSLDQvMS8yMDA5LDYvMzAvMjAwOSwsLFVTRCk=&amp;WINDOW=FIRST_POPUP&amp;HEIGH","T=450&amp;WIDTH=450&amp;START_MAXIMIZED=FALSE&amp;VAR:CALENDAR=US&amp;VAR:SYMBOL=CB&amp;VAR:INDEX=0"}</definedName>
    <definedName name="_848__FDSAUDITLINK__" localSheetId="1"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8__FDSAUDITLINK__" hidden="1">{"fdsup://directions/FAT Viewer?action=UPDATE&amp;creator=factset&amp;DYN_ARGS=TRUE&amp;DOC_NAME=FAT:FQL_AUDITING_CLIENT_TEMPLATE.FAT&amp;display_string=Audit&amp;VAR:KEY=NUJQHQNEBI&amp;VAR:QUERY=RkZfRUJJVERBX09QRVIoUVRSLDQvMS8yMDEwLDYvMzAvMjAxMCwsLFVTRCk=&amp;WINDOW=FIRST_POPUP&amp;HEIGH","T=450&amp;WIDTH=450&amp;START_MAXIMIZED=FALSE&amp;VAR:CALENDAR=US&amp;VAR:SYMBOL=CB&amp;VAR:INDEX=0"}</definedName>
    <definedName name="_849__FDSAUDITLINK__" localSheetId="1"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49__FDSAUDITLINK__" hidden="1">{"fdsup://directions/FAT Viewer?action=UPDATE&amp;creator=factset&amp;DYN_ARGS=TRUE&amp;DOC_NAME=FAT:FQL_AUDITING_CLIENT_TEMPLATE.FAT&amp;display_string=Audit&amp;VAR:KEY=ZKPAXETOXM&amp;VAR:QUERY=RkZfRUJJVERBX09QRVIoUVRSLDQvMS8yMDA5LDYvMzAvMjAwOSwsLFVTRCk=&amp;WINDOW=FIRST_POPUP&amp;HEIGH","T=450&amp;WIDTH=450&amp;START_MAXIMIZED=FALSE&amp;VAR:CALENDAR=US&amp;VAR:SYMBOL=CAT&amp;VAR:INDEX=0"}</definedName>
    <definedName name="_85__FDSAUDITLINK__" localSheetId="1"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__FDSAUDITLINK__" hidden="1">{"fdsup://directions/FAT Viewer?action=UPDATE&amp;creator=factset&amp;DYN_ARGS=TRUE&amp;DOC_NAME=FAT:FQL_AUDITING_CLIENT_TEMPLATE.FAT&amp;display_string=Audit&amp;VAR:KEY=NEVWNCTSRA&amp;VAR:QUERY=RkZfRUJJVERBX09QRVIoUVRSLDQvMS8yMDA5LDYvMzAvMjAwOSwsLFVTRCk=&amp;WINDOW=FIRST_POPUP&amp;HEIGH","T=450&amp;WIDTH=450&amp;START_MAXIMIZED=FALSE&amp;VAR:CALENDAR=US&amp;VAR:SYMBOL=URBN&amp;VAR:INDEX=0"}</definedName>
    <definedName name="_850__FDSAUDITLINK__" localSheetId="1"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0__FDSAUDITLINK__" hidden="1">{"fdsup://directions/FAT Viewer?action=UPDATE&amp;creator=factset&amp;DYN_ARGS=TRUE&amp;DOC_NAME=FAT:FQL_AUDITING_CLIENT_TEMPLATE.FAT&amp;display_string=Audit&amp;VAR:KEY=TABQBEVWTS&amp;VAR:QUERY=RkZfRUJJVERBX09QRVIoUVRSLDQvMS8yMDEwLDYvMzAvMjAxMCwsLFVTRCk=&amp;WINDOW=FIRST_POPUP&amp;HEIGH","T=450&amp;WIDTH=450&amp;START_MAXIMIZED=FALSE&amp;VAR:CALENDAR=US&amp;VAR:SYMBOL=CAT&amp;VAR:INDEX=0"}</definedName>
    <definedName name="_851__FDSAUDITLINK__" localSheetId="1"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1__FDSAUDITLINK__" hidden="1">{"fdsup://directions/FAT Viewer?action=UPDATE&amp;creator=factset&amp;DYN_ARGS=TRUE&amp;DOC_NAME=FAT:FQL_AUDITING_CLIENT_TEMPLATE.FAT&amp;display_string=Audit&amp;VAR:KEY=BKRMVWXEPW&amp;VAR:QUERY=RkZfRUJJVERBX09QRVIoUVRSLDQvMS8yMDA5LDYvMzAvMjAwOSwsLFVTRCk=&amp;WINDOW=FIRST_POPUP&amp;HEIGH","T=450&amp;WIDTH=450&amp;START_MAXIMIZED=FALSE&amp;VAR:CALENDAR=US&amp;VAR:SYMBOL=CAM&amp;VAR:INDEX=0"}</definedName>
    <definedName name="_852__FDSAUDITLINK__" localSheetId="1"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2__FDSAUDITLINK__" hidden="1">{"fdsup://directions/FAT Viewer?action=UPDATE&amp;creator=factset&amp;DYN_ARGS=TRUE&amp;DOC_NAME=FAT:FQL_AUDITING_CLIENT_TEMPLATE.FAT&amp;display_string=Audit&amp;VAR:KEY=JEVUBGRODK&amp;VAR:QUERY=RkZfRUJJVERBX09QRVIoUVRSLDQvMS8yMDEwLDYvMzAvMjAxMCwsLFVTRCk=&amp;WINDOW=FIRST_POPUP&amp;HEIGH","T=450&amp;WIDTH=450&amp;START_MAXIMIZED=FALSE&amp;VAR:CALENDAR=US&amp;VAR:SYMBOL=CAM&amp;VAR:INDEX=0"}</definedName>
    <definedName name="_853__FDSAUDITLINK__" localSheetId="1"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3__FDSAUDITLINK__" hidden="1">{"fdsup://directions/FAT Viewer?action=UPDATE&amp;creator=factset&amp;DYN_ARGS=TRUE&amp;DOC_NAME=FAT:FQL_AUDITING_CLIENT_TEMPLATE.FAT&amp;display_string=Audit&amp;VAR:KEY=ZWHMJOPKLC&amp;VAR:QUERY=RkZfRUJJVERBX09QRVIoUVRSLDQvMS8yMDA5LDYvMzAvMjAwOSwsLFVTRCk=&amp;WINDOW=FIRST_POPUP&amp;HEIGH","T=450&amp;WIDTH=450&amp;START_MAXIMIZED=FALSE&amp;VAR:CALENDAR=US&amp;VAR:SYMBOL=CAH&amp;VAR:INDEX=0"}</definedName>
    <definedName name="_854__FDSAUDITLINK__" localSheetId="1"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4__FDSAUDITLINK__" hidden="1">{"fdsup://directions/FAT Viewer?action=UPDATE&amp;creator=factset&amp;DYN_ARGS=TRUE&amp;DOC_NAME=FAT:FQL_AUDITING_CLIENT_TEMPLATE.FAT&amp;display_string=Audit&amp;VAR:KEY=HGFQROBAJK&amp;VAR:QUERY=RkZfRUJJVERBX09QRVIoUVRSLDQvMS8yMDEwLDYvMzAvMjAxMCwsLFVTRCk=&amp;WINDOW=FIRST_POPUP&amp;HEIGH","T=450&amp;WIDTH=450&amp;START_MAXIMIZED=FALSE&amp;VAR:CALENDAR=US&amp;VAR:SYMBOL=CAH&amp;VAR:INDEX=0"}</definedName>
    <definedName name="_855__FDSAUDITLINK__" localSheetId="1"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5__FDSAUDITLINK__" hidden="1">{"fdsup://directions/FAT Viewer?action=UPDATE&amp;creator=factset&amp;DYN_ARGS=TRUE&amp;DOC_NAME=FAT:FQL_AUDITING_CLIENT_TEMPLATE.FAT&amp;display_string=Audit&amp;VAR:KEY=BGBQZWPKZC&amp;VAR:QUERY=RkZfRUJJVERBX09QRVIoUVRSLDQvMS8yMDA5LDYvMzAvMjAwOSwsLFVTRCk=&amp;WINDOW=FIRST_POPUP&amp;HEIGH","T=450&amp;WIDTH=450&amp;START_MAXIMIZED=FALSE&amp;VAR:CALENDAR=US&amp;VAR:SYMBOL=CAG&amp;VAR:INDEX=0"}</definedName>
    <definedName name="_856__FDSAUDITLINK__" localSheetId="1"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6__FDSAUDITLINK__" hidden="1">{"fdsup://directions/FAT Viewer?action=UPDATE&amp;creator=factset&amp;DYN_ARGS=TRUE&amp;DOC_NAME=FAT:FQL_AUDITING_CLIENT_TEMPLATE.FAT&amp;display_string=Audit&amp;VAR:KEY=NSTSBEVGFK&amp;VAR:QUERY=RkZfRUJJVERBX09QRVIoUVRSLDQvMS8yMDEwLDYvMzAvMjAxMCwsLFVTRCk=&amp;WINDOW=FIRST_POPUP&amp;HEIGH","T=450&amp;WIDTH=450&amp;START_MAXIMIZED=FALSE&amp;VAR:CALENDAR=US&amp;VAR:SYMBOL=CAG&amp;VAR:INDEX=0"}</definedName>
    <definedName name="_857__FDSAUDITLINK__" localSheetId="1"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7__FDSAUDITLINK__" hidden="1">{"fdsup://directions/FAT Viewer?action=UPDATE&amp;creator=factset&amp;DYN_ARGS=TRUE&amp;DOC_NAME=FAT:FQL_AUDITING_CLIENT_TEMPLATE.FAT&amp;display_string=Audit&amp;VAR:KEY=DMLAXQJOXQ&amp;VAR:QUERY=RkZfRUJJVERBX09QRVIoUVRSLDQvMS8yMDA5LDYvMzAvMjAwOSwsLFVTRCk=&amp;WINDOW=FIRST_POPUP&amp;HEIGH","T=450&amp;WIDTH=450&amp;START_MAXIMIZED=FALSE&amp;VAR:CALENDAR=US&amp;VAR:SYMBOL=CA&amp;VAR:INDEX=0"}</definedName>
    <definedName name="_858__FDSAUDITLINK__" localSheetId="1"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8__FDSAUDITLINK__" hidden="1">{"fdsup://directions/FAT Viewer?action=UPDATE&amp;creator=factset&amp;DYN_ARGS=TRUE&amp;DOC_NAME=FAT:FQL_AUDITING_CLIENT_TEMPLATE.FAT&amp;display_string=Audit&amp;VAR:KEY=ZSTYVGXSNI&amp;VAR:QUERY=RkZfRUJJVERBX09QRVIoUVRSLDQvMS8yMDEwLDYvMzAvMjAxMCwsLFVTRCk=&amp;WINDOW=FIRST_POPUP&amp;HEIGH","T=450&amp;WIDTH=450&amp;START_MAXIMIZED=FALSE&amp;VAR:CALENDAR=US&amp;VAR:SYMBOL=CA&amp;VAR:INDEX=0"}</definedName>
    <definedName name="_859__FDSAUDITLINK__" localSheetId="1"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59__FDSAUDITLINK__" hidden="1">{"fdsup://directions/FAT Viewer?action=UPDATE&amp;creator=factset&amp;DYN_ARGS=TRUE&amp;DOC_NAME=FAT:FQL_AUDITING_CLIENT_TEMPLATE.FAT&amp;display_string=Audit&amp;VAR:KEY=NQJEXKDYBC&amp;VAR:QUERY=RkZfRUJJVERBX09QRVIoUVRSLDQvMS8yMDA5LDYvMzAvMjAwOSwsLFVTRCk=&amp;WINDOW=FIRST_POPUP&amp;HEIGH","T=450&amp;WIDTH=450&amp;START_MAXIMIZED=FALSE&amp;VAR:CALENDAR=US&amp;VAR:SYMBOL=C&amp;VAR:INDEX=0"}</definedName>
    <definedName name="_86__FDSAUDITLINK__" localSheetId="1"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__FDSAUDITLINK__" hidden="1">{"fdsup://directions/FAT Viewer?action=UPDATE&amp;creator=factset&amp;DYN_ARGS=TRUE&amp;DOC_NAME=FAT:FQL_AUDITING_CLIENT_TEMPLATE.FAT&amp;display_string=Audit&amp;VAR:KEY=VCLAJGDCNC&amp;VAR:QUERY=RkZfRUJJVERBX09QRVIoUVRSLDQvMS8yMDEwLDYvMzAvMjAxMCwsLFVTRCk=&amp;WINDOW=FIRST_POPUP&amp;HEIGH","T=450&amp;WIDTH=450&amp;START_MAXIMIZED=FALSE&amp;VAR:CALENDAR=US&amp;VAR:SYMBOL=URBN&amp;VAR:INDEX=0"}</definedName>
    <definedName name="_860__FDSAUDITLINK__" localSheetId="1"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0__FDSAUDITLINK__" hidden="1">{"fdsup://directions/FAT Viewer?action=UPDATE&amp;creator=factset&amp;DYN_ARGS=TRUE&amp;DOC_NAME=FAT:FQL_AUDITING_CLIENT_TEMPLATE.FAT&amp;display_string=Audit&amp;VAR:KEY=DANWXQHGVS&amp;VAR:QUERY=RkZfRUJJVERBX09QRVIoUVRSLDQvMS8yMDEwLDYvMzAvMjAxMCwsLFVTRCk=&amp;WINDOW=FIRST_POPUP&amp;HEIGH","T=450&amp;WIDTH=450&amp;START_MAXIMIZED=FALSE&amp;VAR:CALENDAR=US&amp;VAR:SYMBOL=C&amp;VAR:INDEX=0"}</definedName>
    <definedName name="_861__FDSAUDITLINK__" localSheetId="1"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1__FDSAUDITLINK__" hidden="1">{"fdsup://directions/FAT Viewer?action=UPDATE&amp;creator=factset&amp;DYN_ARGS=TRUE&amp;DOC_NAME=FAT:FQL_AUDITING_CLIENT_TEMPLATE.FAT&amp;display_string=Audit&amp;VAR:KEY=TKRYPCTABG&amp;VAR:QUERY=RkZfRUJJVERBX09QRVIoUVRSLDQvMS8yMDA5LDYvMzAvMjAwOSwsLFVTRCk=&amp;WINDOW=FIRST_POPUP&amp;HEIGH","T=450&amp;WIDTH=450&amp;START_MAXIMIZED=FALSE&amp;VAR:CALENDAR=US&amp;VAR:SYMBOL=BTU&amp;VAR:INDEX=0"}</definedName>
    <definedName name="_862__FDSAUDITLINK__" localSheetId="1"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2__FDSAUDITLINK__" hidden="1">{"fdsup://directions/FAT Viewer?action=UPDATE&amp;creator=factset&amp;DYN_ARGS=TRUE&amp;DOC_NAME=FAT:FQL_AUDITING_CLIENT_TEMPLATE.FAT&amp;display_string=Audit&amp;VAR:KEY=XOPCVUTYXW&amp;VAR:QUERY=RkZfRUJJVERBX09QRVIoUVRSLDQvMS8yMDEwLDYvMzAvMjAxMCwsLFVTRCk=&amp;WINDOW=FIRST_POPUP&amp;HEIGH","T=450&amp;WIDTH=450&amp;START_MAXIMIZED=FALSE&amp;VAR:CALENDAR=US&amp;VAR:SYMBOL=BTU&amp;VAR:INDEX=0"}</definedName>
    <definedName name="_863__FDSAUDITLINK__" localSheetId="1"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3__FDSAUDITLINK__" hidden="1">{"fdsup://directions/FAT Viewer?action=UPDATE&amp;creator=factset&amp;DYN_ARGS=TRUE&amp;DOC_NAME=FAT:FQL_AUDITING_CLIENT_TEMPLATE.FAT&amp;display_string=Audit&amp;VAR:KEY=ZCDYVMLCNU&amp;VAR:QUERY=RkZfRUJJVERBX09QRVIoUVRSLDQvMS8yMDA5LDYvMzAvMjAwOSwsLFVTRCk=&amp;WINDOW=FIRST_POPUP&amp;HEIGH","T=450&amp;WIDTH=450&amp;START_MAXIMIZED=FALSE&amp;VAR:CALENDAR=US&amp;VAR:SYMBOL=BSX&amp;VAR:INDEX=0"}</definedName>
    <definedName name="_864__FDSAUDITLINK__" localSheetId="1"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4__FDSAUDITLINK__" hidden="1">{"fdsup://directions/FAT Viewer?action=UPDATE&amp;creator=factset&amp;DYN_ARGS=TRUE&amp;DOC_NAME=FAT:FQL_AUDITING_CLIENT_TEMPLATE.FAT&amp;display_string=Audit&amp;VAR:KEY=XEBEBCZWRK&amp;VAR:QUERY=RkZfRUJJVERBX09QRVIoUVRSLDQvMS8yMDEwLDYvMzAvMjAxMCwsLFVTRCk=&amp;WINDOW=FIRST_POPUP&amp;HEIGH","T=450&amp;WIDTH=450&amp;START_MAXIMIZED=FALSE&amp;VAR:CALENDAR=US&amp;VAR:SYMBOL=BSX&amp;VAR:INDEX=0"}</definedName>
    <definedName name="_865__FDSAUDITLINK__" localSheetId="1"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5__FDSAUDITLINK__" hidden="1">{"fdsup://directions/FAT Viewer?action=UPDATE&amp;creator=factset&amp;DYN_ARGS=TRUE&amp;DOC_NAME=FAT:FQL_AUDITING_CLIENT_TEMPLATE.FAT&amp;display_string=Audit&amp;VAR:KEY=PSBKFCJABU&amp;VAR:QUERY=RkZfRUJJVERBX09QRVIoUVRSLDQvMS8yMDA5LDYvMzAvMjAwOSwsLFVTRCk=&amp;WINDOW=FIRST_POPUP&amp;HEIGH","T=450&amp;WIDTH=450&amp;START_MAXIMIZED=FALSE&amp;VAR:CALENDAR=US&amp;VAR:SYMBOL=BRK.B&amp;VAR:INDEX=0"}</definedName>
    <definedName name="_866__FDSAUDITLINK__" localSheetId="1"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6__FDSAUDITLINK__" hidden="1">{"fdsup://directions/FAT Viewer?action=UPDATE&amp;creator=factset&amp;DYN_ARGS=TRUE&amp;DOC_NAME=FAT:FQL_AUDITING_CLIENT_TEMPLATE.FAT&amp;display_string=Audit&amp;VAR:KEY=NCFIBYNCLA&amp;VAR:QUERY=RkZfRUJJVERBX09QRVIoUVRSLDQvMS8yMDEwLDYvMzAvMjAxMCwsLFVTRCk=&amp;WINDOW=FIRST_POPUP&amp;HEIGH","T=450&amp;WIDTH=450&amp;START_MAXIMIZED=FALSE&amp;VAR:CALENDAR=US&amp;VAR:SYMBOL=BRK.B&amp;VAR:INDEX=0"}</definedName>
    <definedName name="_867__FDSAUDITLINK__" localSheetId="1"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7__FDSAUDITLINK__" hidden="1">{"fdsup://directions/FAT Viewer?action=UPDATE&amp;creator=factset&amp;DYN_ARGS=TRUE&amp;DOC_NAME=FAT:FQL_AUDITING_CLIENT_TEMPLATE.FAT&amp;display_string=Audit&amp;VAR:KEY=NMXOJSLGLY&amp;VAR:QUERY=RkZfRUJJVERBX09QRVIoUVRSLDQvMS8yMDA5LDYvMzAvMjAwOSwsLFVTRCk=&amp;WINDOW=FIRST_POPUP&amp;HEIGH","T=450&amp;WIDTH=450&amp;START_MAXIMIZED=FALSE&amp;VAR:CALENDAR=US&amp;VAR:SYMBOL=BRCM&amp;VAR:INDEX=0"}</definedName>
    <definedName name="_868__FDSAUDITLINK__" localSheetId="1"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8__FDSAUDITLINK__" hidden="1">{"fdsup://directions/FAT Viewer?action=UPDATE&amp;creator=factset&amp;DYN_ARGS=TRUE&amp;DOC_NAME=FAT:FQL_AUDITING_CLIENT_TEMPLATE.FAT&amp;display_string=Audit&amp;VAR:KEY=HALMHOTUZU&amp;VAR:QUERY=RkZfRUJJVERBX09QRVIoUVRSLDQvMS8yMDEwLDYvMzAvMjAxMCwsLFVTRCk=&amp;WINDOW=FIRST_POPUP&amp;HEIGH","T=450&amp;WIDTH=450&amp;START_MAXIMIZED=FALSE&amp;VAR:CALENDAR=US&amp;VAR:SYMBOL=BRCM&amp;VAR:INDEX=0"}</definedName>
    <definedName name="_869__FDSAUDITLINK__" localSheetId="1"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69__FDSAUDITLINK__" hidden="1">{"fdsup://directions/FAT Viewer?action=UPDATE&amp;creator=factset&amp;DYN_ARGS=TRUE&amp;DOC_NAME=FAT:FQL_AUDITING_CLIENT_TEMPLATE.FAT&amp;display_string=Audit&amp;VAR:KEY=TABCJMNUZQ&amp;VAR:QUERY=RkZfRUJJVERBX09QRVIoUVRSLDQvMS8yMDA5LDYvMzAvMjAwOSwsLFVTRCk=&amp;WINDOW=FIRST_POPUP&amp;HEIGH","T=450&amp;WIDTH=450&amp;START_MAXIMIZED=FALSE&amp;VAR:CALENDAR=US&amp;VAR:SYMBOL=BMY&amp;VAR:INDEX=0"}</definedName>
    <definedName name="_87__FDSAUDITLINK__" localSheetId="1"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__FDSAUDITLINK__" hidden="1">{"fdsup://directions/FAT Viewer?action=UPDATE&amp;creator=factset&amp;DYN_ARGS=TRUE&amp;DOC_NAME=FAT:FQL_AUDITING_CLIENT_TEMPLATE.FAT&amp;display_string=Audit&amp;VAR:KEY=HYTSLUVQXI&amp;VAR:QUERY=RkZfRUJJVERBX09QRVIoUVRSLDQvMS8yMDA5LDYvMzAvMjAwOSwsLFVTRCk=&amp;WINDOW=FIRST_POPUP&amp;HEIGH","T=450&amp;WIDTH=450&amp;START_MAXIMIZED=FALSE&amp;VAR:CALENDAR=US&amp;VAR:SYMBOL=UPS&amp;VAR:INDEX=0"}</definedName>
    <definedName name="_870__FDSAUDITLINK__" localSheetId="1"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0__FDSAUDITLINK__" hidden="1">{"fdsup://directions/FAT Viewer?action=UPDATE&amp;creator=factset&amp;DYN_ARGS=TRUE&amp;DOC_NAME=FAT:FQL_AUDITING_CLIENT_TEMPLATE.FAT&amp;display_string=Audit&amp;VAR:KEY=ZINQJYJSJK&amp;VAR:QUERY=RkZfRUJJVERBX09QRVIoUVRSLDQvMS8yMDEwLDYvMzAvMjAxMCwsLFVTRCk=&amp;WINDOW=FIRST_POPUP&amp;HEIGH","T=450&amp;WIDTH=450&amp;START_MAXIMIZED=FALSE&amp;VAR:CALENDAR=US&amp;VAR:SYMBOL=BMY&amp;VAR:INDEX=0"}</definedName>
    <definedName name="_871__FDSAUDITLINK__" localSheetId="1"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1__FDSAUDITLINK__" hidden="1">{"fdsup://directions/FAT Viewer?action=UPDATE&amp;creator=factset&amp;DYN_ARGS=TRUE&amp;DOC_NAME=FAT:FQL_AUDITING_CLIENT_TEMPLATE.FAT&amp;display_string=Audit&amp;VAR:KEY=NYDEHGLMFE&amp;VAR:QUERY=RkZfRUJJVERBX09QRVIoUVRSLDQvMS8yMDA5LDYvMzAvMjAwOSwsLFVTRCk=&amp;WINDOW=FIRST_POPUP&amp;HEIGH","T=450&amp;WIDTH=450&amp;START_MAXIMIZED=FALSE&amp;VAR:CALENDAR=US&amp;VAR:SYMBOL=BMS&amp;VAR:INDEX=0"}</definedName>
    <definedName name="_872__FDSAUDITLINK__" localSheetId="1"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2__FDSAUDITLINK__" hidden="1">{"fdsup://directions/FAT Viewer?action=UPDATE&amp;creator=factset&amp;DYN_ARGS=TRUE&amp;DOC_NAME=FAT:FQL_AUDITING_CLIENT_TEMPLATE.FAT&amp;display_string=Audit&amp;VAR:KEY=ZENELQTCJE&amp;VAR:QUERY=RkZfRUJJVERBX09QRVIoUVRSLDQvMS8yMDEwLDYvMzAvMjAxMCwsLFVTRCk=&amp;WINDOW=FIRST_POPUP&amp;HEIGH","T=450&amp;WIDTH=450&amp;START_MAXIMIZED=FALSE&amp;VAR:CALENDAR=US&amp;VAR:SYMBOL=BMS&amp;VAR:INDEX=0"}</definedName>
    <definedName name="_873__FDSAUDITLINK__" localSheetId="1"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3__FDSAUDITLINK__" hidden="1">{"fdsup://directions/FAT Viewer?action=UPDATE&amp;creator=factset&amp;DYN_ARGS=TRUE&amp;DOC_NAME=FAT:FQL_AUDITING_CLIENT_TEMPLATE.FAT&amp;display_string=Audit&amp;VAR:KEY=FSRSDWDUDC&amp;VAR:QUERY=RkZfRUJJVERBX09QRVIoUVRSLDQvMS8yMDA5LDYvMzAvMjAwOSwsLFVTRCk=&amp;WINDOW=FIRST_POPUP&amp;HEIGH","T=450&amp;WIDTH=450&amp;START_MAXIMIZED=FALSE&amp;VAR:CALENDAR=US&amp;VAR:SYMBOL=BMC&amp;VAR:INDEX=0"}</definedName>
    <definedName name="_874__FDSAUDITLINK__" localSheetId="1"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4__FDSAUDITLINK__" hidden="1">{"fdsup://directions/FAT Viewer?action=UPDATE&amp;creator=factset&amp;DYN_ARGS=TRUE&amp;DOC_NAME=FAT:FQL_AUDITING_CLIENT_TEMPLATE.FAT&amp;display_string=Audit&amp;VAR:KEY=NUPYBCHUPG&amp;VAR:QUERY=RkZfRUJJVERBX09QRVIoUVRSLDQvMS8yMDEwLDYvMzAvMjAxMCwsLFVTRCk=&amp;WINDOW=FIRST_POPUP&amp;HEIGH","T=450&amp;WIDTH=450&amp;START_MAXIMIZED=FALSE&amp;VAR:CALENDAR=US&amp;VAR:SYMBOL=BMC&amp;VAR:INDEX=0"}</definedName>
    <definedName name="_875__FDSAUDITLINK__" localSheetId="1"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5__FDSAUDITLINK__" hidden="1">{"fdsup://directions/FAT Viewer?action=UPDATE&amp;creator=factset&amp;DYN_ARGS=TRUE&amp;DOC_NAME=FAT:FQL_AUDITING_CLIENT_TEMPLATE.FAT&amp;display_string=Audit&amp;VAR:KEY=BYJWBKHEPS&amp;VAR:QUERY=RkZfRUJJVERBX09QRVIoUVRSLDQvMS8yMDA5LDYvMzAvMjAwOSwsLFVTRCk=&amp;WINDOW=FIRST_POPUP&amp;HEIGH","T=450&amp;WIDTH=450&amp;START_MAXIMIZED=FALSE&amp;VAR:CALENDAR=US&amp;VAR:SYMBOL=BLL&amp;VAR:INDEX=0"}</definedName>
    <definedName name="_876__FDSAUDITLINK__" localSheetId="1"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6__FDSAUDITLINK__" hidden="1">{"fdsup://directions/FAT Viewer?action=UPDATE&amp;creator=factset&amp;DYN_ARGS=TRUE&amp;DOC_NAME=FAT:FQL_AUDITING_CLIENT_TEMPLATE.FAT&amp;display_string=Audit&amp;VAR:KEY=FOPWZQTGJS&amp;VAR:QUERY=RkZfRUJJVERBX09QRVIoUVRSLDQvMS8yMDEwLDYvMzAvMjAxMCwsLFVTRCk=&amp;WINDOW=FIRST_POPUP&amp;HEIGH","T=450&amp;WIDTH=450&amp;START_MAXIMIZED=FALSE&amp;VAR:CALENDAR=US&amp;VAR:SYMBOL=BLL&amp;VAR:INDEX=0"}</definedName>
    <definedName name="_877__FDSAUDITLINK__" localSheetId="1"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7__FDSAUDITLINK__" hidden="1">{"fdsup://directions/FAT Viewer?action=UPDATE&amp;creator=factset&amp;DYN_ARGS=TRUE&amp;DOC_NAME=FAT:FQL_AUDITING_CLIENT_TEMPLATE.FAT&amp;display_string=Audit&amp;VAR:KEY=POLIXAJGXK&amp;VAR:QUERY=RkZfRUJJVERBX09QRVIoUVRSLDQvMS8yMDA5LDYvMzAvMjAwOSwsLFVTRCk=&amp;WINDOW=FIRST_POPUP&amp;HEIGH","T=450&amp;WIDTH=450&amp;START_MAXIMIZED=FALSE&amp;VAR:CALENDAR=US&amp;VAR:SYMBOL=BK&amp;VAR:INDEX=0"}</definedName>
    <definedName name="_878__FDSAUDITLINK__" localSheetId="1"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8__FDSAUDITLINK__" hidden="1">{"fdsup://directions/FAT Viewer?action=UPDATE&amp;creator=factset&amp;DYN_ARGS=TRUE&amp;DOC_NAME=FAT:FQL_AUDITING_CLIENT_TEMPLATE.FAT&amp;display_string=Audit&amp;VAR:KEY=RGFWLSBEZS&amp;VAR:QUERY=RkZfRUJJVERBX09QRVIoUVRSLDQvMS8yMDEwLDYvMzAvMjAxMCwsLFVTRCk=&amp;WINDOW=FIRST_POPUP&amp;HEIGH","T=450&amp;WIDTH=450&amp;START_MAXIMIZED=FALSE&amp;VAR:CALENDAR=US&amp;VAR:SYMBOL=BK&amp;VAR:INDEX=0"}</definedName>
    <definedName name="_879__FDSAUDITLINK__" localSheetId="1"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79__FDSAUDITLINK__" hidden="1">{"fdsup://directions/FAT Viewer?action=UPDATE&amp;creator=factset&amp;DYN_ARGS=TRUE&amp;DOC_NAME=FAT:FQL_AUDITING_CLIENT_TEMPLATE.FAT&amp;display_string=Audit&amp;VAR:KEY=PSBWDWTYPQ&amp;VAR:QUERY=RkZfRUJJVERBX09QRVIoUVRSLDQvMS8yMDA5LDYvMzAvMjAwOSwsLFVTRCk=&amp;WINDOW=FIRST_POPUP&amp;HEIGH","T=450&amp;WIDTH=450&amp;START_MAXIMIZED=FALSE&amp;VAR:CALENDAR=US&amp;VAR:SYMBOL=BIIB&amp;VAR:INDEX=0"}</definedName>
    <definedName name="_88__FDSAUDITLINK__" localSheetId="1"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__FDSAUDITLINK__" hidden="1">{"fdsup://directions/FAT Viewer?action=UPDATE&amp;creator=factset&amp;DYN_ARGS=TRUE&amp;DOC_NAME=FAT:FQL_AUDITING_CLIENT_TEMPLATE.FAT&amp;display_string=Audit&amp;VAR:KEY=XWROVQDWJS&amp;VAR:QUERY=RkZfRUJJVERBX09QRVIoUVRSLDQvMS8yMDEwLDYvMzAvMjAxMCwsLFVTRCk=&amp;WINDOW=FIRST_POPUP&amp;HEIGH","T=450&amp;WIDTH=450&amp;START_MAXIMIZED=FALSE&amp;VAR:CALENDAR=US&amp;VAR:SYMBOL=UPS&amp;VAR:INDEX=0"}</definedName>
    <definedName name="_880__FDSAUDITLINK__" localSheetId="1"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0__FDSAUDITLINK__" hidden="1">{"fdsup://directions/FAT Viewer?action=UPDATE&amp;creator=factset&amp;DYN_ARGS=TRUE&amp;DOC_NAME=FAT:FQL_AUDITING_CLIENT_TEMPLATE.FAT&amp;display_string=Audit&amp;VAR:KEY=FKBSHMHINE&amp;VAR:QUERY=RkZfRUJJVERBX09QRVIoUVRSLDQvMS8yMDEwLDYvMzAvMjAxMCwsLFVTRCk=&amp;WINDOW=FIRST_POPUP&amp;HEIGH","T=450&amp;WIDTH=450&amp;START_MAXIMIZED=FALSE&amp;VAR:CALENDAR=US&amp;VAR:SYMBOL=BIIB&amp;VAR:INDEX=0"}</definedName>
    <definedName name="_881__FDSAUDITLINK__" localSheetId="1"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1__FDSAUDITLINK__" hidden="1">{"fdsup://directions/FAT Viewer?action=UPDATE&amp;creator=factset&amp;DYN_ARGS=TRUE&amp;DOC_NAME=FAT:FQL_AUDITING_CLIENT_TEMPLATE.FAT&amp;display_string=Audit&amp;VAR:KEY=BQHEPUVYNO&amp;VAR:QUERY=RkZfRUJJVERBX09QRVIoUVRSLDQvMS8yMDA5LDYvMzAvMjAwOSwsLFVTRCk=&amp;WINDOW=FIRST_POPUP&amp;HEIGH","T=450&amp;WIDTH=450&amp;START_MAXIMIZED=FALSE&amp;VAR:CALENDAR=US&amp;VAR:SYMBOL=BIG&amp;VAR:INDEX=0"}</definedName>
    <definedName name="_882__FDSAUDITLINK__" localSheetId="1"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2__FDSAUDITLINK__" hidden="1">{"fdsup://directions/FAT Viewer?action=UPDATE&amp;creator=factset&amp;DYN_ARGS=TRUE&amp;DOC_NAME=FAT:FQL_AUDITING_CLIENT_TEMPLATE.FAT&amp;display_string=Audit&amp;VAR:KEY=FKBKXKVWXC&amp;VAR:QUERY=RkZfRUJJVERBX09QRVIoUVRSLDQvMS8yMDEwLDYvMzAvMjAxMCwsLFVTRCk=&amp;WINDOW=FIRST_POPUP&amp;HEIGH","T=450&amp;WIDTH=450&amp;START_MAXIMIZED=FALSE&amp;VAR:CALENDAR=US&amp;VAR:SYMBOL=BIG&amp;VAR:INDEX=0"}</definedName>
    <definedName name="_883__FDSAUDITLINK__" localSheetId="1"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3__FDSAUDITLINK__" hidden="1">{"fdsup://directions/FAT Viewer?action=UPDATE&amp;creator=factset&amp;DYN_ARGS=TRUE&amp;DOC_NAME=FAT:FQL_AUDITING_CLIENT_TEMPLATE.FAT&amp;display_string=Audit&amp;VAR:KEY=XMPUVAPONW&amp;VAR:QUERY=RkZfRUJJVERBX09QRVIoUVRSLDQvMS8yMDA5LDYvMzAvMjAwOSwsLFVTRCk=&amp;WINDOW=FIRST_POPUP&amp;HEIGH","T=450&amp;WIDTH=450&amp;START_MAXIMIZED=FALSE&amp;VAR:CALENDAR=US&amp;VAR:SYMBOL=BHI&amp;VAR:INDEX=0"}</definedName>
    <definedName name="_884__FDSAUDITLINK__" localSheetId="1"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4__FDSAUDITLINK__" hidden="1">{"fdsup://directions/FAT Viewer?action=UPDATE&amp;creator=factset&amp;DYN_ARGS=TRUE&amp;DOC_NAME=FAT:FQL_AUDITING_CLIENT_TEMPLATE.FAT&amp;display_string=Audit&amp;VAR:KEY=HAJALKNCXS&amp;VAR:QUERY=RkZfRUJJVERBX09QRVIoUVRSLDQvMS8yMDEwLDYvMzAvMjAxMCwsLFVTRCk=&amp;WINDOW=FIRST_POPUP&amp;HEIGH","T=450&amp;WIDTH=450&amp;START_MAXIMIZED=FALSE&amp;VAR:CALENDAR=US&amp;VAR:SYMBOL=BHI&amp;VAR:INDEX=0"}</definedName>
    <definedName name="_885__FDSAUDITLINK__" localSheetId="1"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5__FDSAUDITLINK__" hidden="1">{"fdsup://directions/FAT Viewer?action=UPDATE&amp;creator=factset&amp;DYN_ARGS=TRUE&amp;DOC_NAME=FAT:FQL_AUDITING_CLIENT_TEMPLATE.FAT&amp;display_string=Audit&amp;VAR:KEY=RGZATCFCDK&amp;VAR:QUERY=RkZfRUJJVERBX09QRVIoUVRSLDQvMS8yMDA5LDYvMzAvMjAwOSwsLFVTRCk=&amp;WINDOW=FIRST_POPUP&amp;HEIGH","T=450&amp;WIDTH=450&amp;START_MAXIMIZED=FALSE&amp;VAR:CALENDAR=US&amp;VAR:SYMBOL=BF.B&amp;VAR:INDEX=0"}</definedName>
    <definedName name="_886__FDSAUDITLINK__" localSheetId="1"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6__FDSAUDITLINK__" hidden="1">{"fdsup://directions/FAT Viewer?action=UPDATE&amp;creator=factset&amp;DYN_ARGS=TRUE&amp;DOC_NAME=FAT:FQL_AUDITING_CLIENT_TEMPLATE.FAT&amp;display_string=Audit&amp;VAR:KEY=VEBENQLMBC&amp;VAR:QUERY=RkZfRUJJVERBX09QRVIoUVRSLDQvMS8yMDEwLDYvMzAvMjAxMCwsLFVTRCk=&amp;WINDOW=FIRST_POPUP&amp;HEIGH","T=450&amp;WIDTH=450&amp;START_MAXIMIZED=FALSE&amp;VAR:CALENDAR=US&amp;VAR:SYMBOL=BF.B&amp;VAR:INDEX=0"}</definedName>
    <definedName name="_887__FDSAUDITLINK__" localSheetId="1"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7__FDSAUDITLINK__" hidden="1">{"fdsup://directions/FAT Viewer?action=UPDATE&amp;creator=factset&amp;DYN_ARGS=TRUE&amp;DOC_NAME=FAT:FQL_AUDITING_CLIENT_TEMPLATE.FAT&amp;display_string=Audit&amp;VAR:KEY=JGJCZUFSVS&amp;VAR:QUERY=RkZfRUJJVERBX09QRVIoUVRSLDQvMS8yMDA5LDYvMzAvMjAwOSwsLFVTRCk=&amp;WINDOW=FIRST_POPUP&amp;HEIGH","T=450&amp;WIDTH=450&amp;START_MAXIMIZED=FALSE&amp;VAR:CALENDAR=US&amp;VAR:SYMBOL=BEN&amp;VAR:INDEX=0"}</definedName>
    <definedName name="_888__FDSAUDITLINK__" localSheetId="1"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8__FDSAUDITLINK__" hidden="1">{"fdsup://directions/FAT Viewer?action=UPDATE&amp;creator=factset&amp;DYN_ARGS=TRUE&amp;DOC_NAME=FAT:FQL_AUDITING_CLIENT_TEMPLATE.FAT&amp;display_string=Audit&amp;VAR:KEY=TUTIBCNWJS&amp;VAR:QUERY=RkZfRUJJVERBX09QRVIoUVRSLDQvMS8yMDEwLDYvMzAvMjAxMCwsLFVTRCk=&amp;WINDOW=FIRST_POPUP&amp;HEIGH","T=450&amp;WIDTH=450&amp;START_MAXIMIZED=FALSE&amp;VAR:CALENDAR=US&amp;VAR:SYMBOL=BEN&amp;VAR:INDEX=0"}</definedName>
    <definedName name="_889__FDSAUDITLINK__" localSheetId="1"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89__FDSAUDITLINK__" hidden="1">{"fdsup://directions/FAT Viewer?action=UPDATE&amp;creator=factset&amp;DYN_ARGS=TRUE&amp;DOC_NAME=FAT:FQL_AUDITING_CLIENT_TEMPLATE.FAT&amp;display_string=Audit&amp;VAR:KEY=ZIFKTWLGDG&amp;VAR:QUERY=RkZfRUJJVERBX09QRVIoUVRSLDQvMS8yMDA5LDYvMzAvMjAwOSwsLFVTRCk=&amp;WINDOW=FIRST_POPUP&amp;HEIGH","T=450&amp;WIDTH=450&amp;START_MAXIMIZED=FALSE&amp;VAR:CALENDAR=US&amp;VAR:SYMBOL=BDX&amp;VAR:INDEX=0"}</definedName>
    <definedName name="_89__FDSAUDITLINK__" localSheetId="1"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__FDSAUDITLINK__" hidden="1">{"fdsup://directions/FAT Viewer?action=UPDATE&amp;creator=factset&amp;DYN_ARGS=TRUE&amp;DOC_NAME=FAT:FQL_AUDITING_CLIENT_TEMPLATE.FAT&amp;display_string=Audit&amp;VAR:KEY=BIRMHKJWVW&amp;VAR:QUERY=RkZfRUJJVERBX09QRVIoUVRSLDQvMS8yMDA5LDYvMzAvMjAwOSwsLFVTRCk=&amp;WINDOW=FIRST_POPUP&amp;HEIGH","T=450&amp;WIDTH=450&amp;START_MAXIMIZED=FALSE&amp;VAR:CALENDAR=US&amp;VAR:SYMBOL=UNP&amp;VAR:INDEX=0"}</definedName>
    <definedName name="_890__FDSAUDITLINK__" localSheetId="1"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0__FDSAUDITLINK__" hidden="1">{"fdsup://directions/FAT Viewer?action=UPDATE&amp;creator=factset&amp;DYN_ARGS=TRUE&amp;DOC_NAME=FAT:FQL_AUDITING_CLIENT_TEMPLATE.FAT&amp;display_string=Audit&amp;VAR:KEY=PWJUBUVMLA&amp;VAR:QUERY=RkZfRUJJVERBX09QRVIoUVRSLDQvMS8yMDEwLDYvMzAvMjAxMCwsLFVTRCk=&amp;WINDOW=FIRST_POPUP&amp;HEIGH","T=450&amp;WIDTH=450&amp;START_MAXIMIZED=FALSE&amp;VAR:CALENDAR=US&amp;VAR:SYMBOL=BDX&amp;VAR:INDEX=0"}</definedName>
    <definedName name="_891__FDSAUDITLINK__" localSheetId="1"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1__FDSAUDITLINK__" hidden="1">{"fdsup://directions/FAT Viewer?action=UPDATE&amp;creator=factset&amp;DYN_ARGS=TRUE&amp;DOC_NAME=FAT:FQL_AUDITING_CLIENT_TEMPLATE.FAT&amp;display_string=Audit&amp;VAR:KEY=ZUPUBKZUPC&amp;VAR:QUERY=RkZfRUJJVERBX09QRVIoUVRSLDQvMS8yMDA5LDYvMzAvMjAwOSwsLFVTRCk=&amp;WINDOW=FIRST_POPUP&amp;HEIGH","T=450&amp;WIDTH=450&amp;START_MAXIMIZED=FALSE&amp;VAR:CALENDAR=US&amp;VAR:SYMBOL=BCR&amp;VAR:INDEX=0"}</definedName>
    <definedName name="_892__FDSAUDITLINK__" localSheetId="1"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2__FDSAUDITLINK__" hidden="1">{"fdsup://directions/FAT Viewer?action=UPDATE&amp;creator=factset&amp;DYN_ARGS=TRUE&amp;DOC_NAME=FAT:FQL_AUDITING_CLIENT_TEMPLATE.FAT&amp;display_string=Audit&amp;VAR:KEY=VSDYHYZGRE&amp;VAR:QUERY=RkZfRUJJVERBX09QRVIoUVRSLDQvMS8yMDEwLDYvMzAvMjAxMCwsLFVTRCk=&amp;WINDOW=FIRST_POPUP&amp;HEIGH","T=450&amp;WIDTH=450&amp;START_MAXIMIZED=FALSE&amp;VAR:CALENDAR=US&amp;VAR:SYMBOL=BCR&amp;VAR:INDEX=0"}</definedName>
    <definedName name="_893__FDSAUDITLINK__" localSheetId="1"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3__FDSAUDITLINK__" hidden="1">{"fdsup://directions/FAT Viewer?action=UPDATE&amp;creator=factset&amp;DYN_ARGS=TRUE&amp;DOC_NAME=FAT:FQL_AUDITING_CLIENT_TEMPLATE.FAT&amp;display_string=Audit&amp;VAR:KEY=VSTKNOHKJO&amp;VAR:QUERY=RkZfRUJJVERBX09QRVIoUVRSLDQvMS8yMDA5LDYvMzAvMjAwOSwsLFVTRCk=&amp;WINDOW=FIRST_POPUP&amp;HEIGH","T=450&amp;WIDTH=450&amp;START_MAXIMIZED=FALSE&amp;VAR:CALENDAR=US&amp;VAR:SYMBOL=BBY&amp;VAR:INDEX=0"}</definedName>
    <definedName name="_894__FDSAUDITLINK__" localSheetId="1"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4__FDSAUDITLINK__" hidden="1">{"fdsup://directions/FAT Viewer?action=UPDATE&amp;creator=factset&amp;DYN_ARGS=TRUE&amp;DOC_NAME=FAT:FQL_AUDITING_CLIENT_TEMPLATE.FAT&amp;display_string=Audit&amp;VAR:KEY=PQFKVYZOPS&amp;VAR:QUERY=RkZfRUJJVERBX09QRVIoUVRSLDQvMS8yMDEwLDYvMzAvMjAxMCwsLFVTRCk=&amp;WINDOW=FIRST_POPUP&amp;HEIGH","T=450&amp;WIDTH=450&amp;START_MAXIMIZED=FALSE&amp;VAR:CALENDAR=US&amp;VAR:SYMBOL=BBY&amp;VAR:INDEX=0"}</definedName>
    <definedName name="_895__FDSAUDITLINK__" localSheetId="1"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5__FDSAUDITLINK__" hidden="1">{"fdsup://directions/FAT Viewer?action=UPDATE&amp;creator=factset&amp;DYN_ARGS=TRUE&amp;DOC_NAME=FAT:FQL_AUDITING_CLIENT_TEMPLATE.FAT&amp;display_string=Audit&amp;VAR:KEY=RGTKLYJCXW&amp;VAR:QUERY=RkZfRUJJVERBX09QRVIoUVRSLDQvMS8yMDA5LDYvMzAvMjAwOSwsLFVTRCk=&amp;WINDOW=FIRST_POPUP&amp;HEIGH","T=450&amp;WIDTH=450&amp;START_MAXIMIZED=FALSE&amp;VAR:CALENDAR=US&amp;VAR:SYMBOL=BBT&amp;VAR:INDEX=0"}</definedName>
    <definedName name="_896__FDSAUDITLINK__" localSheetId="1"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6__FDSAUDITLINK__" hidden="1">{"fdsup://directions/FAT Viewer?action=UPDATE&amp;creator=factset&amp;DYN_ARGS=TRUE&amp;DOC_NAME=FAT:FQL_AUDITING_CLIENT_TEMPLATE.FAT&amp;display_string=Audit&amp;VAR:KEY=BARCTOFSPE&amp;VAR:QUERY=RkZfRUJJVERBX09QRVIoUVRSLDQvMS8yMDEwLDYvMzAvMjAxMCwsLFVTRCk=&amp;WINDOW=FIRST_POPUP&amp;HEIGH","T=450&amp;WIDTH=450&amp;START_MAXIMIZED=FALSE&amp;VAR:CALENDAR=US&amp;VAR:SYMBOL=BBT&amp;VAR:INDEX=0"}</definedName>
    <definedName name="_897__FDSAUDITLINK__" localSheetId="1"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7__FDSAUDITLINK__" hidden="1">{"fdsup://directions/FAT Viewer?action=UPDATE&amp;creator=factset&amp;DYN_ARGS=TRUE&amp;DOC_NAME=FAT:FQL_AUDITING_CLIENT_TEMPLATE.FAT&amp;display_string=Audit&amp;VAR:KEY=FUTIVWPWFO&amp;VAR:QUERY=RkZfRUJJVERBX09QRVIoUVRSLDQvMS8yMDA5LDYvMzAvMjAwOSwsLFVTRCk=&amp;WINDOW=FIRST_POPUP&amp;HEIGH","T=450&amp;WIDTH=450&amp;START_MAXIMIZED=FALSE&amp;VAR:CALENDAR=US&amp;VAR:SYMBOL=BBBY&amp;VAR:INDEX=0"}</definedName>
    <definedName name="_898__FDSAUDITLINK__" localSheetId="1"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8__FDSAUDITLINK__" hidden="1">{"fdsup://directions/FAT Viewer?action=UPDATE&amp;creator=factset&amp;DYN_ARGS=TRUE&amp;DOC_NAME=FAT:FQL_AUDITING_CLIENT_TEMPLATE.FAT&amp;display_string=Audit&amp;VAR:KEY=JYXGRKBIVE&amp;VAR:QUERY=RkZfRUJJVERBX09QRVIoUVRSLDQvMS8yMDEwLDYvMzAvMjAxMCwsLFVTRCk=&amp;WINDOW=FIRST_POPUP&amp;HEIGH","T=450&amp;WIDTH=450&amp;START_MAXIMIZED=FALSE&amp;VAR:CALENDAR=US&amp;VAR:SYMBOL=BBBY&amp;VAR:INDEX=0"}</definedName>
    <definedName name="_899__FDSAUDITLINK__" localSheetId="1"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899__FDSAUDITLINK__" hidden="1">{"fdsup://directions/FAT Viewer?action=UPDATE&amp;creator=factset&amp;DYN_ARGS=TRUE&amp;DOC_NAME=FAT:FQL_AUDITING_CLIENT_TEMPLATE.FAT&amp;display_string=Audit&amp;VAR:KEY=FULUFCTING&amp;VAR:QUERY=RkZfRUJJVERBX09QRVIoUVRSLDQvMS8yMDA5LDYvMzAvMjAwOSwsLFVTRCk=&amp;WINDOW=FIRST_POPUP&amp;HEIGH","T=450&amp;WIDTH=450&amp;START_MAXIMIZED=FALSE&amp;VAR:CALENDAR=US&amp;VAR:SYMBOL=BAX&amp;VAR:INDEX=0"}</definedName>
    <definedName name="_9__FDSAUDITLINK__" localSheetId="1" hidden="1">{"fdsup://directions/FAT Viewer?action=UPDATE&amp;creator=factset&amp;DYN_ARGS=TRUE&amp;DOC_NAME=FAT:FQL_AUDITING_CLIENT_TEMPLATE.FAT&amp;display_string=Audit&amp;VAR:KEY=PYVMTQJSRQ&amp;VAR:QUERY=RkZfRUJJVERBX09QRVIoUVRSLDQvMS8yMDA5LDYvMzAvMjAwOSwsLFVTRCk=&amp;WINDOW=FIRST_POPUP&amp;HEIGH","T=450&amp;WIDTH=450&amp;START_MAXIMIZED=FALSE&amp;VAR:CALENDAR=US&amp;VAR:SYMBOL=XRX&amp;VAR:INDEX=0"}</definedName>
    <definedName name="_9__FDSAUDITLINK__" hidden="1">{"fdsup://directions/FAT Viewer?action=UPDATE&amp;creator=factset&amp;DYN_ARGS=TRUE&amp;DOC_NAME=FAT:FQL_AUDITING_CLIENT_TEMPLATE.FAT&amp;display_string=Audit&amp;VAR:KEY=PYVMTQJSRQ&amp;VAR:QUERY=RkZfRUJJVERBX09QRVIoUVRSLDQvMS8yMDA5LDYvMzAvMjAwOSwsLFVTRCk=&amp;WINDOW=FIRST_POPUP&amp;HEIGH","T=450&amp;WIDTH=450&amp;START_MAXIMIZED=FALSE&amp;VAR:CALENDAR=US&amp;VAR:SYMBOL=XRX&amp;VAR:INDEX=0"}</definedName>
    <definedName name="_90__FDSAUDITLINK__" localSheetId="1"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__FDSAUDITLINK__" hidden="1">{"fdsup://directions/FAT Viewer?action=UPDATE&amp;creator=factset&amp;DYN_ARGS=TRUE&amp;DOC_NAME=FAT:FQL_AUDITING_CLIENT_TEMPLATE.FAT&amp;display_string=Audit&amp;VAR:KEY=RSNMPMHMDM&amp;VAR:QUERY=RkZfRUJJVERBX09QRVIoUVRSLDQvMS8yMDEwLDYvMzAvMjAxMCwsLFVTRCk=&amp;WINDOW=FIRST_POPUP&amp;HEIGH","T=450&amp;WIDTH=450&amp;START_MAXIMIZED=FALSE&amp;VAR:CALENDAR=US&amp;VAR:SYMBOL=UNP&amp;VAR:INDEX=0"}</definedName>
    <definedName name="_900__FDSAUDITLINK__" localSheetId="1"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0__FDSAUDITLINK__" hidden="1">{"fdsup://directions/FAT Viewer?action=UPDATE&amp;creator=factset&amp;DYN_ARGS=TRUE&amp;DOC_NAME=FAT:FQL_AUDITING_CLIENT_TEMPLATE.FAT&amp;display_string=Audit&amp;VAR:KEY=HSPQHIBYRG&amp;VAR:QUERY=RkZfRUJJVERBX09QRVIoUVRSLDQvMS8yMDEwLDYvMzAvMjAxMCwsLFVTRCk=&amp;WINDOW=FIRST_POPUP&amp;HEIGH","T=450&amp;WIDTH=450&amp;START_MAXIMIZED=FALSE&amp;VAR:CALENDAR=US&amp;VAR:SYMBOL=BAX&amp;VAR:INDEX=0"}</definedName>
    <definedName name="_901__FDSAUDITLINK__" localSheetId="1"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1__FDSAUDITLINK__" hidden="1">{"fdsup://directions/FAT Viewer?action=UPDATE&amp;creator=factset&amp;DYN_ARGS=TRUE&amp;DOC_NAME=FAT:FQL_AUDITING_CLIENT_TEMPLATE.FAT&amp;display_string=Audit&amp;VAR:KEY=POHWNIDEHK&amp;VAR:QUERY=RkZfRUJJVERBX09QRVIoUVRSLDQvMS8yMDA5LDYvMzAvMjAwOSwsLFVTRCk=&amp;WINDOW=FIRST_POPUP&amp;HEIGH","T=450&amp;WIDTH=450&amp;START_MAXIMIZED=FALSE&amp;VAR:CALENDAR=US&amp;VAR:SYMBOL=BAC&amp;VAR:INDEX=0"}</definedName>
    <definedName name="_902__FDSAUDITLINK__" localSheetId="1"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2__FDSAUDITLINK__" hidden="1">{"fdsup://directions/FAT Viewer?action=UPDATE&amp;creator=factset&amp;DYN_ARGS=TRUE&amp;DOC_NAME=FAT:FQL_AUDITING_CLIENT_TEMPLATE.FAT&amp;display_string=Audit&amp;VAR:KEY=VWJEZYFODY&amp;VAR:QUERY=RkZfRUJJVERBX09QRVIoUVRSLDQvMS8yMDEwLDYvMzAvMjAxMCwsLFVTRCk=&amp;WINDOW=FIRST_POPUP&amp;HEIGH","T=450&amp;WIDTH=450&amp;START_MAXIMIZED=FALSE&amp;VAR:CALENDAR=US&amp;VAR:SYMBOL=BAC&amp;VAR:INDEX=0"}</definedName>
    <definedName name="_903__FDSAUDITLINK__" localSheetId="1"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3__FDSAUDITLINK__" hidden="1">{"fdsup://directions/FAT Viewer?action=UPDATE&amp;creator=factset&amp;DYN_ARGS=TRUE&amp;DOC_NAME=FAT:FQL_AUDITING_CLIENT_TEMPLATE.FAT&amp;display_string=Audit&amp;VAR:KEY=HALAJGZYXC&amp;VAR:QUERY=RkZfRUJJVERBX09QRVIoUVRSLDQvMS8yMDA5LDYvMzAvMjAwOSwsLFVTRCk=&amp;WINDOW=FIRST_POPUP&amp;HEIGH","T=450&amp;WIDTH=450&amp;START_MAXIMIZED=FALSE&amp;VAR:CALENDAR=US&amp;VAR:SYMBOL=BA&amp;VAR:INDEX=0"}</definedName>
    <definedName name="_904__FDSAUDITLINK__" localSheetId="1"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4__FDSAUDITLINK__" hidden="1">{"fdsup://directions/FAT Viewer?action=UPDATE&amp;creator=factset&amp;DYN_ARGS=TRUE&amp;DOC_NAME=FAT:FQL_AUDITING_CLIENT_TEMPLATE.FAT&amp;display_string=Audit&amp;VAR:KEY=NSXMHOZGFO&amp;VAR:QUERY=RkZfRUJJVERBX09QRVIoUVRSLDQvMS8yMDEwLDYvMzAvMjAxMCwsLFVTRCk=&amp;WINDOW=FIRST_POPUP&amp;HEIGH","T=450&amp;WIDTH=450&amp;START_MAXIMIZED=FALSE&amp;VAR:CALENDAR=US&amp;VAR:SYMBOL=BA&amp;VAR:INDEX=0"}</definedName>
    <definedName name="_905__FDSAUDITLINK__" localSheetId="1"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5__FDSAUDITLINK__" hidden="1">{"fdsup://directions/FAT Viewer?action=UPDATE&amp;creator=factset&amp;DYN_ARGS=TRUE&amp;DOC_NAME=FAT:FQL_AUDITING_CLIENT_TEMPLATE.FAT&amp;display_string=Audit&amp;VAR:KEY=FMDIDIPQJU&amp;VAR:QUERY=RkZfRUJJVERBX09QRVIoUVRSLDQvMS8yMDA5LDYvMzAvMjAwOSwsLFVTRCk=&amp;WINDOW=FIRST_POPUP&amp;HEIGH","T=450&amp;WIDTH=450&amp;START_MAXIMIZED=FALSE&amp;VAR:CALENDAR=US&amp;VAR:SYMBOL=AZO&amp;VAR:INDEX=0"}</definedName>
    <definedName name="_906__FDSAUDITLINK__" localSheetId="1"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6__FDSAUDITLINK__" hidden="1">{"fdsup://directions/FAT Viewer?action=UPDATE&amp;creator=factset&amp;DYN_ARGS=TRUE&amp;DOC_NAME=FAT:FQL_AUDITING_CLIENT_TEMPLATE.FAT&amp;display_string=Audit&amp;VAR:KEY=TSXWNSNOTA&amp;VAR:QUERY=RkZfRUJJVERBX09QRVIoUVRSLDQvMS8yMDEwLDYvMzAvMjAxMCwsLFVTRCk=&amp;WINDOW=FIRST_POPUP&amp;HEIGH","T=450&amp;WIDTH=450&amp;START_MAXIMIZED=FALSE&amp;VAR:CALENDAR=US&amp;VAR:SYMBOL=AZO&amp;VAR:INDEX=0"}</definedName>
    <definedName name="_907__FDSAUDITLINK__" localSheetId="1"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7__FDSAUDITLINK__" hidden="1">{"fdsup://directions/FAT Viewer?action=UPDATE&amp;creator=factset&amp;DYN_ARGS=TRUE&amp;DOC_NAME=FAT:FQL_AUDITING_CLIENT_TEMPLATE.FAT&amp;display_string=Audit&amp;VAR:KEY=POJEHGTCDM&amp;VAR:QUERY=RkZfRUJJVERBX09QRVIoUVRSLDQvMS8yMDA5LDYvMzAvMjAwOSwsLFVTRCk=&amp;WINDOW=FIRST_POPUP&amp;HEIGH","T=450&amp;WIDTH=450&amp;START_MAXIMIZED=FALSE&amp;VAR:CALENDAR=US&amp;VAR:SYMBOL=AYE&amp;VAR:INDEX=0"}</definedName>
    <definedName name="_908__FDSAUDITLINK__" localSheetId="1"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8__FDSAUDITLINK__" hidden="1">{"fdsup://directions/FAT Viewer?action=UPDATE&amp;creator=factset&amp;DYN_ARGS=TRUE&amp;DOC_NAME=FAT:FQL_AUDITING_CLIENT_TEMPLATE.FAT&amp;display_string=Audit&amp;VAR:KEY=TAJWPQTATW&amp;VAR:QUERY=RkZfRUJJVERBX09QRVIoUVRSLDQvMS8yMDEwLDYvMzAvMjAxMCwsLFVTRCk=&amp;WINDOW=FIRST_POPUP&amp;HEIGH","T=450&amp;WIDTH=450&amp;START_MAXIMIZED=FALSE&amp;VAR:CALENDAR=US&amp;VAR:SYMBOL=AYE&amp;VAR:INDEX=0"}</definedName>
    <definedName name="_909__FDSAUDITLINK__" localSheetId="1"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09__FDSAUDITLINK__" hidden="1">{"fdsup://directions/FAT Viewer?action=UPDATE&amp;creator=factset&amp;DYN_ARGS=TRUE&amp;DOC_NAME=FAT:FQL_AUDITING_CLIENT_TEMPLATE.FAT&amp;display_string=Audit&amp;VAR:KEY=NAZYTQRGXW&amp;VAR:QUERY=RkZfRUJJVERBX09QRVIoUVRSLDQvMS8yMDA5LDYvMzAvMjAwOSwsLFVTRCk=&amp;WINDOW=FIRST_POPUP&amp;HEIGH","T=450&amp;WIDTH=450&amp;START_MAXIMIZED=FALSE&amp;VAR:CALENDAR=US&amp;VAR:SYMBOL=AXP&amp;VAR:INDEX=0"}</definedName>
    <definedName name="_91__FDSAUDITLINK__" localSheetId="1"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__FDSAUDITLINK__" hidden="1">{"fdsup://directions/FAT Viewer?action=UPDATE&amp;creator=factset&amp;DYN_ARGS=TRUE&amp;DOC_NAME=FAT:FQL_AUDITING_CLIENT_TEMPLATE.FAT&amp;display_string=Audit&amp;VAR:KEY=XUFCZANQZU&amp;VAR:QUERY=RkZfRUJJVERBX09QRVIoUVRSLDQvMS8yMDA5LDYvMzAvMjAwOSwsLFVTRCk=&amp;WINDOW=FIRST_POPUP&amp;HEIGH","T=450&amp;WIDTH=450&amp;START_MAXIMIZED=FALSE&amp;VAR:CALENDAR=US&amp;VAR:SYMBOL=UNM&amp;VAR:INDEX=0"}</definedName>
    <definedName name="_910__FDSAUDITLINK__" localSheetId="1"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0__FDSAUDITLINK__" hidden="1">{"fdsup://directions/FAT Viewer?action=UPDATE&amp;creator=factset&amp;DYN_ARGS=TRUE&amp;DOC_NAME=FAT:FQL_AUDITING_CLIENT_TEMPLATE.FAT&amp;display_string=Audit&amp;VAR:KEY=LONGDCHGZU&amp;VAR:QUERY=RkZfRUJJVERBX09QRVIoUVRSLDQvMS8yMDEwLDYvMzAvMjAxMCwsLFVTRCk=&amp;WINDOW=FIRST_POPUP&amp;HEIGH","T=450&amp;WIDTH=450&amp;START_MAXIMIZED=FALSE&amp;VAR:CALENDAR=US&amp;VAR:SYMBOL=AXP&amp;VAR:INDEX=0"}</definedName>
    <definedName name="_911__FDSAUDITLINK__" localSheetId="1"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1__FDSAUDITLINK__" hidden="1">{"fdsup://directions/FAT Viewer?action=UPDATE&amp;creator=factset&amp;DYN_ARGS=TRUE&amp;DOC_NAME=FAT:FQL_AUDITING_CLIENT_TEMPLATE.FAT&amp;display_string=Audit&amp;VAR:KEY=PSLQPYBUTG&amp;VAR:QUERY=RkZfRUJJVERBX09QRVIoUVRSLDQvMS8yMDA5LDYvMzAvMjAwOSwsLFVTRCk=&amp;WINDOW=FIRST_POPUP&amp;HEIGH","T=450&amp;WIDTH=450&amp;START_MAXIMIZED=FALSE&amp;VAR:CALENDAR=US&amp;VAR:SYMBOL=AVY&amp;VAR:INDEX=0"}</definedName>
    <definedName name="_912__FDSAUDITLINK__" localSheetId="1"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2__FDSAUDITLINK__" hidden="1">{"fdsup://directions/FAT Viewer?action=UPDATE&amp;creator=factset&amp;DYN_ARGS=TRUE&amp;DOC_NAME=FAT:FQL_AUDITING_CLIENT_TEMPLATE.FAT&amp;display_string=Audit&amp;VAR:KEY=PCDKRYXIZM&amp;VAR:QUERY=RkZfRUJJVERBX09QRVIoUVRSLDQvMS8yMDEwLDYvMzAvMjAxMCwsLFVTRCk=&amp;WINDOW=FIRST_POPUP&amp;HEIGH","T=450&amp;WIDTH=450&amp;START_MAXIMIZED=FALSE&amp;VAR:CALENDAR=US&amp;VAR:SYMBOL=AVY&amp;VAR:INDEX=0"}</definedName>
    <definedName name="_913__FDSAUDITLINK__" localSheetId="1"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3__FDSAUDITLINK__" hidden="1">{"fdsup://directions/FAT Viewer?action=UPDATE&amp;creator=factset&amp;DYN_ARGS=TRUE&amp;DOC_NAME=FAT:FQL_AUDITING_CLIENT_TEMPLATE.FAT&amp;display_string=Audit&amp;VAR:KEY=LOBSVEPOPM&amp;VAR:QUERY=RkZfRUJJVERBX09QRVIoUVRSLDQvMS8yMDA5LDYvMzAvMjAwOSwsLFVTRCk=&amp;WINDOW=FIRST_POPUP&amp;HEIGH","T=450&amp;WIDTH=450&amp;START_MAXIMIZED=FALSE&amp;VAR:CALENDAR=US&amp;VAR:SYMBOL=AVP&amp;VAR:INDEX=0"}</definedName>
    <definedName name="_914__FDSAUDITLINK__" localSheetId="1"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4__FDSAUDITLINK__" hidden="1">{"fdsup://directions/FAT Viewer?action=UPDATE&amp;creator=factset&amp;DYN_ARGS=TRUE&amp;DOC_NAME=FAT:FQL_AUDITING_CLIENT_TEMPLATE.FAT&amp;display_string=Audit&amp;VAR:KEY=TWFKDKXKHG&amp;VAR:QUERY=RkZfRUJJVERBX09QRVIoUVRSLDQvMS8yMDEwLDYvMzAvMjAxMCwsLFVTRCk=&amp;WINDOW=FIRST_POPUP&amp;HEIGH","T=450&amp;WIDTH=450&amp;START_MAXIMIZED=FALSE&amp;VAR:CALENDAR=US&amp;VAR:SYMBOL=AVP&amp;VAR:INDEX=0"}</definedName>
    <definedName name="_915__FDSAUDITLINK__" localSheetId="1"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5__FDSAUDITLINK__" hidden="1">{"fdsup://directions/FAT Viewer?action=UPDATE&amp;creator=factset&amp;DYN_ARGS=TRUE&amp;DOC_NAME=FAT:FQL_AUDITING_CLIENT_TEMPLATE.FAT&amp;display_string=Audit&amp;VAR:KEY=TIDUJSLSHO&amp;VAR:QUERY=RkZfRUJJVERBX09QRVIoUVRSLDQvMS8yMDA5LDYvMzAvMjAwOSwsLFVTRCk=&amp;WINDOW=FIRST_POPUP&amp;HEIGH","T=450&amp;WIDTH=450&amp;START_MAXIMIZED=FALSE&amp;VAR:CALENDAR=US&amp;VAR:SYMBOL=AVB&amp;VAR:INDEX=0"}</definedName>
    <definedName name="_916__FDSAUDITLINK__" localSheetId="1"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6__FDSAUDITLINK__" hidden="1">{"fdsup://directions/FAT Viewer?action=UPDATE&amp;creator=factset&amp;DYN_ARGS=TRUE&amp;DOC_NAME=FAT:FQL_AUDITING_CLIENT_TEMPLATE.FAT&amp;display_string=Audit&amp;VAR:KEY=XEDIRUVGPG&amp;VAR:QUERY=RkZfRUJJVERBX09QRVIoUVRSLDQvMS8yMDEwLDYvMzAvMjAxMCwsLFVTRCk=&amp;WINDOW=FIRST_POPUP&amp;HEIGH","T=450&amp;WIDTH=450&amp;START_MAXIMIZED=FALSE&amp;VAR:CALENDAR=US&amp;VAR:SYMBOL=AVB&amp;VAR:INDEX=0"}</definedName>
    <definedName name="_917__FDSAUDITLINK__" localSheetId="1"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7__FDSAUDITLINK__" hidden="1">{"fdsup://directions/FAT Viewer?action=UPDATE&amp;creator=factset&amp;DYN_ARGS=TRUE&amp;DOC_NAME=FAT:FQL_AUDITING_CLIENT_TEMPLATE.FAT&amp;display_string=Audit&amp;VAR:KEY=TYJIRONMVU&amp;VAR:QUERY=RkZfRUJJVERBX09QRVIoUVRSLDQvMS8yMDA5LDYvMzAvMjAwOSwsLFVTRCk=&amp;WINDOW=FIRST_POPUP&amp;HEIGH","T=450&amp;WIDTH=450&amp;START_MAXIMIZED=FALSE&amp;VAR:CALENDAR=US&amp;VAR:SYMBOL=ATI&amp;VAR:INDEX=0"}</definedName>
    <definedName name="_918__FDSAUDITLINK__" localSheetId="1"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8__FDSAUDITLINK__" hidden="1">{"fdsup://directions/FAT Viewer?action=UPDATE&amp;creator=factset&amp;DYN_ARGS=TRUE&amp;DOC_NAME=FAT:FQL_AUDITING_CLIENT_TEMPLATE.FAT&amp;display_string=Audit&amp;VAR:KEY=VQFSRADGPK&amp;VAR:QUERY=RkZfRUJJVERBX09QRVIoUVRSLDQvMS8yMDEwLDYvMzAvMjAxMCwsLFVTRCk=&amp;WINDOW=FIRST_POPUP&amp;HEIGH","T=450&amp;WIDTH=450&amp;START_MAXIMIZED=FALSE&amp;VAR:CALENDAR=US&amp;VAR:SYMBOL=ATI&amp;VAR:INDEX=0"}</definedName>
    <definedName name="_919__FDSAUDITLINK__" localSheetId="1"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19__FDSAUDITLINK__" hidden="1">{"fdsup://directions/FAT Viewer?action=UPDATE&amp;creator=factset&amp;DYN_ARGS=TRUE&amp;DOC_NAME=FAT:FQL_AUDITING_CLIENT_TEMPLATE.FAT&amp;display_string=Audit&amp;VAR:KEY=RWHCZAZWFC&amp;VAR:QUERY=RkZfRUJJVERBX09QRVIoUVRSLDQvMS8yMDA5LDYvMzAvMjAwOSwsLFVTRCk=&amp;WINDOW=FIRST_POPUP&amp;HEIGH","T=450&amp;WIDTH=450&amp;START_MAXIMIZED=FALSE&amp;VAR:CALENDAR=US&amp;VAR:SYMBOL=ARG&amp;VAR:INDEX=0"}</definedName>
    <definedName name="_92__FDSAUDITLINK__" localSheetId="1"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__FDSAUDITLINK__" hidden="1">{"fdsup://directions/FAT Viewer?action=UPDATE&amp;creator=factset&amp;DYN_ARGS=TRUE&amp;DOC_NAME=FAT:FQL_AUDITING_CLIENT_TEMPLATE.FAT&amp;display_string=Audit&amp;VAR:KEY=ZGBWDGJIXQ&amp;VAR:QUERY=RkZfRUJJVERBX09QRVIoUVRSLDQvMS8yMDEwLDYvMzAvMjAxMCwsLFVTRCk=&amp;WINDOW=FIRST_POPUP&amp;HEIGH","T=450&amp;WIDTH=450&amp;START_MAXIMIZED=FALSE&amp;VAR:CALENDAR=US&amp;VAR:SYMBOL=UNM&amp;VAR:INDEX=0"}</definedName>
    <definedName name="_920__FDSAUDITLINK__" localSheetId="1"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0__FDSAUDITLINK__" hidden="1">{"fdsup://directions/FAT Viewer?action=UPDATE&amp;creator=factset&amp;DYN_ARGS=TRUE&amp;DOC_NAME=FAT:FQL_AUDITING_CLIENT_TEMPLATE.FAT&amp;display_string=Audit&amp;VAR:KEY=FWRATERQBC&amp;VAR:QUERY=RkZfRUJJVERBX09QRVIoUVRSLDQvMS8yMDEwLDYvMzAvMjAxMCwsLFVTRCk=&amp;WINDOW=FIRST_POPUP&amp;HEIGH","T=450&amp;WIDTH=450&amp;START_MAXIMIZED=FALSE&amp;VAR:CALENDAR=US&amp;VAR:SYMBOL=ARG&amp;VAR:INDEX=0"}</definedName>
    <definedName name="_921__FDSAUDITLINK__" localSheetId="1"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1__FDSAUDITLINK__" hidden="1">{"fdsup://directions/FAT Viewer?action=UPDATE&amp;creator=factset&amp;DYN_ARGS=TRUE&amp;DOC_NAME=FAT:FQL_AUDITING_CLIENT_TEMPLATE.FAT&amp;display_string=Audit&amp;VAR:KEY=ZQJYPAPCTE&amp;VAR:QUERY=RkZfRUJJVERBX09QRVIoUVRSLDQvMS8yMDA5LDYvMzAvMjAwOSwsLFVTRCk=&amp;WINDOW=FIRST_POPUP&amp;HEIGH","T=450&amp;WIDTH=450&amp;START_MAXIMIZED=FALSE&amp;VAR:CALENDAR=US&amp;VAR:SYMBOL=APOL&amp;VAR:INDEX=0"}</definedName>
    <definedName name="_922__FDSAUDITLINK__" localSheetId="1"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2__FDSAUDITLINK__" hidden="1">{"fdsup://directions/FAT Viewer?action=UPDATE&amp;creator=factset&amp;DYN_ARGS=TRUE&amp;DOC_NAME=FAT:FQL_AUDITING_CLIENT_TEMPLATE.FAT&amp;display_string=Audit&amp;VAR:KEY=PADMLYDOPA&amp;VAR:QUERY=RkZfRUJJVERBX09QRVIoUVRSLDQvMS8yMDEwLDYvMzAvMjAxMCwsLFVTRCk=&amp;WINDOW=FIRST_POPUP&amp;HEIGH","T=450&amp;WIDTH=450&amp;START_MAXIMIZED=FALSE&amp;VAR:CALENDAR=US&amp;VAR:SYMBOL=APOL&amp;VAR:INDEX=0"}</definedName>
    <definedName name="_923__FDSAUDITLINK__" localSheetId="1"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3__FDSAUDITLINK__" hidden="1">{"fdsup://directions/FAT Viewer?action=UPDATE&amp;creator=factset&amp;DYN_ARGS=TRUE&amp;DOC_NAME=FAT:FQL_AUDITING_CLIENT_TEMPLATE.FAT&amp;display_string=Audit&amp;VAR:KEY=HCPQTOJIZQ&amp;VAR:QUERY=RkZfRUJJVERBX09QRVIoUVRSLDQvMS8yMDA5LDYvMzAvMjAwOSwsLFVTRCk=&amp;WINDOW=FIRST_POPUP&amp;HEIGH","T=450&amp;WIDTH=450&amp;START_MAXIMIZED=FALSE&amp;VAR:CALENDAR=US&amp;VAR:SYMBOL=APH&amp;VAR:INDEX=0"}</definedName>
    <definedName name="_924__FDSAUDITLINK__" localSheetId="1"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4__FDSAUDITLINK__" hidden="1">{"fdsup://directions/FAT Viewer?action=UPDATE&amp;creator=factset&amp;DYN_ARGS=TRUE&amp;DOC_NAME=FAT:FQL_AUDITING_CLIENT_TEMPLATE.FAT&amp;display_string=Audit&amp;VAR:KEY=XCLIZIPYNI&amp;VAR:QUERY=RkZfRUJJVERBX09QRVIoUVRSLDQvMS8yMDEwLDYvMzAvMjAxMCwsLFVTRCk=&amp;WINDOW=FIRST_POPUP&amp;HEIGH","T=450&amp;WIDTH=450&amp;START_MAXIMIZED=FALSE&amp;VAR:CALENDAR=US&amp;VAR:SYMBOL=APH&amp;VAR:INDEX=0"}</definedName>
    <definedName name="_925__FDSAUDITLINK__" localSheetId="1"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5__FDSAUDITLINK__" hidden="1">{"fdsup://directions/FAT Viewer?action=UPDATE&amp;creator=factset&amp;DYN_ARGS=TRUE&amp;DOC_NAME=FAT:FQL_AUDITING_CLIENT_TEMPLATE.FAT&amp;display_string=Audit&amp;VAR:KEY=DGPQNENEPY&amp;VAR:QUERY=RkZfRUJJVERBX09QRVIoUVRSLDQvMS8yMDA5LDYvMzAvMjAwOSwsLFVTRCk=&amp;WINDOW=FIRST_POPUP&amp;HEIGH","T=450&amp;WIDTH=450&amp;START_MAXIMIZED=FALSE&amp;VAR:CALENDAR=US&amp;VAR:SYMBOL=APD&amp;VAR:INDEX=0"}</definedName>
    <definedName name="_926__FDSAUDITLINK__" localSheetId="1"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6__FDSAUDITLINK__" hidden="1">{"fdsup://directions/FAT Viewer?action=UPDATE&amp;creator=factset&amp;DYN_ARGS=TRUE&amp;DOC_NAME=FAT:FQL_AUDITING_CLIENT_TEMPLATE.FAT&amp;display_string=Audit&amp;VAR:KEY=DEXUHGZUTC&amp;VAR:QUERY=RkZfRUJJVERBX09QRVIoUVRSLDQvMS8yMDEwLDYvMzAvMjAxMCwsLFVTRCk=&amp;WINDOW=FIRST_POPUP&amp;HEIGH","T=450&amp;WIDTH=450&amp;START_MAXIMIZED=FALSE&amp;VAR:CALENDAR=US&amp;VAR:SYMBOL=APD&amp;VAR:INDEX=0"}</definedName>
    <definedName name="_927__FDSAUDITLINK__" localSheetId="1"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7__FDSAUDITLINK__" hidden="1">{"fdsup://directions/FAT Viewer?action=UPDATE&amp;creator=factset&amp;DYN_ARGS=TRUE&amp;DOC_NAME=FAT:FQL_AUDITING_CLIENT_TEMPLATE.FAT&amp;display_string=Audit&amp;VAR:KEY=VGXQXMTONM&amp;VAR:QUERY=RkZfRUJJVERBX09QRVIoUVRSLDQvMS8yMDA5LDYvMzAvMjAwOSwsLFVTRCk=&amp;WINDOW=FIRST_POPUP&amp;HEIGH","T=450&amp;WIDTH=450&amp;START_MAXIMIZED=FALSE&amp;VAR:CALENDAR=US&amp;VAR:SYMBOL=APC&amp;VAR:INDEX=0"}</definedName>
    <definedName name="_928__FDSAUDITLINK__" localSheetId="1"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8__FDSAUDITLINK__" hidden="1">{"fdsup://directions/FAT Viewer?action=UPDATE&amp;creator=factset&amp;DYN_ARGS=TRUE&amp;DOC_NAME=FAT:FQL_AUDITING_CLIENT_TEMPLATE.FAT&amp;display_string=Audit&amp;VAR:KEY=JGRMFIHIBS&amp;VAR:QUERY=RkZfRUJJVERBX09QRVIoUVRSLDQvMS8yMDEwLDYvMzAvMjAxMCwsLFVTRCk=&amp;WINDOW=FIRST_POPUP&amp;HEIGH","T=450&amp;WIDTH=450&amp;START_MAXIMIZED=FALSE&amp;VAR:CALENDAR=US&amp;VAR:SYMBOL=APC&amp;VAR:INDEX=0"}</definedName>
    <definedName name="_929__FDSAUDITLINK__" localSheetId="1"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29__FDSAUDITLINK__" hidden="1">{"fdsup://directions/FAT Viewer?action=UPDATE&amp;creator=factset&amp;DYN_ARGS=TRUE&amp;DOC_NAME=FAT:FQL_AUDITING_CLIENT_TEMPLATE.FAT&amp;display_string=Audit&amp;VAR:KEY=DQXGDOFOTW&amp;VAR:QUERY=RkZfRUJJVERBX09QRVIoUVRSLDQvMS8yMDA5LDYvMzAvMjAwOSwsLFVTRCk=&amp;WINDOW=FIRST_POPUP&amp;HEIGH","T=450&amp;WIDTH=450&amp;START_MAXIMIZED=FALSE&amp;VAR:CALENDAR=US&amp;VAR:SYMBOL=APA&amp;VAR:INDEX=0"}</definedName>
    <definedName name="_93__FDSAUDITLINK__" localSheetId="1"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__FDSAUDITLINK__" hidden="1">{"fdsup://directions/FAT Viewer?action=UPDATE&amp;creator=factset&amp;DYN_ARGS=TRUE&amp;DOC_NAME=FAT:FQL_AUDITING_CLIENT_TEMPLATE.FAT&amp;display_string=Audit&amp;VAR:KEY=DWJGHAXABS&amp;VAR:QUERY=RkZfRUJJVERBX09QRVIoUVRSLDQvMS8yMDA5LDYvMzAvMjAwOSwsLFVTRCk=&amp;WINDOW=FIRST_POPUP&amp;HEIGH","T=450&amp;WIDTH=450&amp;START_MAXIMIZED=FALSE&amp;VAR:CALENDAR=US&amp;VAR:SYMBOL=UNH&amp;VAR:INDEX=0"}</definedName>
    <definedName name="_930__FDSAUDITLINK__" localSheetId="1"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0__FDSAUDITLINK__" hidden="1">{"fdsup://directions/FAT Viewer?action=UPDATE&amp;creator=factset&amp;DYN_ARGS=TRUE&amp;DOC_NAME=FAT:FQL_AUDITING_CLIENT_TEMPLATE.FAT&amp;display_string=Audit&amp;VAR:KEY=RIJCRSLMTK&amp;VAR:QUERY=RkZfRUJJVERBX09QRVIoUVRSLDQvMS8yMDEwLDYvMzAvMjAxMCwsLFVTRCk=&amp;WINDOW=FIRST_POPUP&amp;HEIGH","T=450&amp;WIDTH=450&amp;START_MAXIMIZED=FALSE&amp;VAR:CALENDAR=US&amp;VAR:SYMBOL=APA&amp;VAR:INDEX=0"}</definedName>
    <definedName name="_931__FDSAUDITLINK__" localSheetId="1"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1__FDSAUDITLINK__" hidden="1">{"fdsup://directions/FAT Viewer?action=UPDATE&amp;creator=factset&amp;DYN_ARGS=TRUE&amp;DOC_NAME=FAT:FQL_AUDITING_CLIENT_TEMPLATE.FAT&amp;display_string=Audit&amp;VAR:KEY=JYZWPILEPC&amp;VAR:QUERY=RkZfRUJJVERBX09QRVIoUVRSLDQvMS8yMDA5LDYvMzAvMjAwOSwsLFVTRCk=&amp;WINDOW=FIRST_POPUP&amp;HEIGH","T=450&amp;WIDTH=450&amp;START_MAXIMIZED=FALSE&amp;VAR:CALENDAR=US&amp;VAR:SYMBOL=AON&amp;VAR:INDEX=0"}</definedName>
    <definedName name="_932__FDSAUDITLINK__" localSheetId="1"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2__FDSAUDITLINK__" hidden="1">{"fdsup://directions/FAT Viewer?action=UPDATE&amp;creator=factset&amp;DYN_ARGS=TRUE&amp;DOC_NAME=FAT:FQL_AUDITING_CLIENT_TEMPLATE.FAT&amp;display_string=Audit&amp;VAR:KEY=HELOXKDWJC&amp;VAR:QUERY=RkZfRUJJVERBX09QRVIoUVRSLDQvMS8yMDEwLDYvMzAvMjAxMCwsLFVTRCk=&amp;WINDOW=FIRST_POPUP&amp;HEIGH","T=450&amp;WIDTH=450&amp;START_MAXIMIZED=FALSE&amp;VAR:CALENDAR=US&amp;VAR:SYMBOL=AON&amp;VAR:INDEX=0"}</definedName>
    <definedName name="_933__FDSAUDITLINK__" localSheetId="1"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3__FDSAUDITLINK__" hidden="1">{"fdsup://directions/FAT Viewer?action=UPDATE&amp;creator=factset&amp;DYN_ARGS=TRUE&amp;DOC_NAME=FAT:FQL_AUDITING_CLIENT_TEMPLATE.FAT&amp;display_string=Audit&amp;VAR:KEY=TSTIJEBIHO&amp;VAR:QUERY=RkZfRUJJVERBX09QRVIoUVRSLDQvMS8yMDA5LDYvMzAvMjAwOSwsLFVTRCk=&amp;WINDOW=FIRST_POPUP&amp;HEIGH","T=450&amp;WIDTH=450&amp;START_MAXIMIZED=FALSE&amp;VAR:CALENDAR=US&amp;VAR:SYMBOL=ANF&amp;VAR:INDEX=0"}</definedName>
    <definedName name="_934__FDSAUDITLINK__" localSheetId="1"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4__FDSAUDITLINK__" hidden="1">{"fdsup://directions/FAT Viewer?action=UPDATE&amp;creator=factset&amp;DYN_ARGS=TRUE&amp;DOC_NAME=FAT:FQL_AUDITING_CLIENT_TEMPLATE.FAT&amp;display_string=Audit&amp;VAR:KEY=VOHSJAXOHG&amp;VAR:QUERY=RkZfRUJJVERBX09QRVIoUVRSLDQvMS8yMDEwLDYvMzAvMjAxMCwsLFVTRCk=&amp;WINDOW=FIRST_POPUP&amp;HEIGH","T=450&amp;WIDTH=450&amp;START_MAXIMIZED=FALSE&amp;VAR:CALENDAR=US&amp;VAR:SYMBOL=ANF&amp;VAR:INDEX=0"}</definedName>
    <definedName name="_935__FDSAUDITLINK__" localSheetId="1"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5__FDSAUDITLINK__" hidden="1">{"fdsup://directions/FAT Viewer?action=UPDATE&amp;creator=factset&amp;DYN_ARGS=TRUE&amp;DOC_NAME=FAT:FQL_AUDITING_CLIENT_TEMPLATE.FAT&amp;display_string=Audit&amp;VAR:KEY=VENGTAPQPO&amp;VAR:QUERY=RkZfRUJJVERBX09QRVIoUVRSLDQvMS8yMDA5LDYvMzAvMjAwOSwsLFVTRCk=&amp;WINDOW=FIRST_POPUP&amp;HEIGH","T=450&amp;WIDTH=450&amp;START_MAXIMIZED=FALSE&amp;VAR:CALENDAR=US&amp;VAR:SYMBOL=AN&amp;VAR:INDEX=0"}</definedName>
    <definedName name="_936__FDSAUDITLINK__" localSheetId="1"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6__FDSAUDITLINK__" hidden="1">{"fdsup://directions/FAT Viewer?action=UPDATE&amp;creator=factset&amp;DYN_ARGS=TRUE&amp;DOC_NAME=FAT:FQL_AUDITING_CLIENT_TEMPLATE.FAT&amp;display_string=Audit&amp;VAR:KEY=FUHYHEBGTE&amp;VAR:QUERY=RkZfRUJJVERBX09QRVIoUVRSLDQvMS8yMDEwLDYvMzAvMjAxMCwsLFVTRCk=&amp;WINDOW=FIRST_POPUP&amp;HEIGH","T=450&amp;WIDTH=450&amp;START_MAXIMIZED=FALSE&amp;VAR:CALENDAR=US&amp;VAR:SYMBOL=AN&amp;VAR:INDEX=0"}</definedName>
    <definedName name="_937__FDSAUDITLINK__" localSheetId="1"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7__FDSAUDITLINK__" hidden="1">{"fdsup://directions/FAT Viewer?action=UPDATE&amp;creator=factset&amp;DYN_ARGS=TRUE&amp;DOC_NAME=FAT:FQL_AUDITING_CLIENT_TEMPLATE.FAT&amp;display_string=Audit&amp;VAR:KEY=LUHUDUJMFO&amp;VAR:QUERY=RkZfRUJJVERBX09QRVIoUVRSLDQvMS8yMDA5LDYvMzAvMjAwOSwsLFVTRCk=&amp;WINDOW=FIRST_POPUP&amp;HEIGH","T=450&amp;WIDTH=450&amp;START_MAXIMIZED=FALSE&amp;VAR:CALENDAR=US&amp;VAR:SYMBOL=AMZN&amp;VAR:INDEX=0"}</definedName>
    <definedName name="_938__FDSAUDITLINK__" localSheetId="1"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8__FDSAUDITLINK__" hidden="1">{"fdsup://directions/FAT Viewer?action=UPDATE&amp;creator=factset&amp;DYN_ARGS=TRUE&amp;DOC_NAME=FAT:FQL_AUDITING_CLIENT_TEMPLATE.FAT&amp;display_string=Audit&amp;VAR:KEY=PSVYLYZQNK&amp;VAR:QUERY=RkZfRUJJVERBX09QRVIoUVRSLDQvMS8yMDEwLDYvMzAvMjAxMCwsLFVTRCk=&amp;WINDOW=FIRST_POPUP&amp;HEIGH","T=450&amp;WIDTH=450&amp;START_MAXIMIZED=FALSE&amp;VAR:CALENDAR=US&amp;VAR:SYMBOL=AMZN&amp;VAR:INDEX=0"}</definedName>
    <definedName name="_939__FDSAUDITLINK__" localSheetId="1"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39__FDSAUDITLINK__" hidden="1">{"fdsup://directions/FAT Viewer?action=UPDATE&amp;creator=factset&amp;DYN_ARGS=TRUE&amp;DOC_NAME=FAT:FQL_AUDITING_CLIENT_TEMPLATE.FAT&amp;display_string=Audit&amp;VAR:KEY=PIZOXMNYRK&amp;VAR:QUERY=RkZfRUJJVERBX09QRVIoUVRSLDQvMS8yMDA5LDYvMzAvMjAwOSwsLFVTRCk=&amp;WINDOW=FIRST_POPUP&amp;HEIGH","T=450&amp;WIDTH=450&amp;START_MAXIMIZED=FALSE&amp;VAR:CALENDAR=US&amp;VAR:SYMBOL=AMT&amp;VAR:INDEX=0"}</definedName>
    <definedName name="_94__FDSAUDITLINK__" localSheetId="1"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__FDSAUDITLINK__" hidden="1">{"fdsup://directions/FAT Viewer?action=UPDATE&amp;creator=factset&amp;DYN_ARGS=TRUE&amp;DOC_NAME=FAT:FQL_AUDITING_CLIENT_TEMPLATE.FAT&amp;display_string=Audit&amp;VAR:KEY=RYVKBKLGFW&amp;VAR:QUERY=RkZfRUJJVERBX09QRVIoUVRSLDQvMS8yMDEwLDYvMzAvMjAxMCwsLFVTRCk=&amp;WINDOW=FIRST_POPUP&amp;HEIGH","T=450&amp;WIDTH=450&amp;START_MAXIMIZED=FALSE&amp;VAR:CALENDAR=US&amp;VAR:SYMBOL=UNH&amp;VAR:INDEX=0"}</definedName>
    <definedName name="_940__FDSAUDITLINK__" localSheetId="1"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0__FDSAUDITLINK__" hidden="1">{"fdsup://directions/FAT Viewer?action=UPDATE&amp;creator=factset&amp;DYN_ARGS=TRUE&amp;DOC_NAME=FAT:FQL_AUDITING_CLIENT_TEMPLATE.FAT&amp;display_string=Audit&amp;VAR:KEY=RYZIRSRIPY&amp;VAR:QUERY=RkZfRUJJVERBX09QRVIoUVRSLDQvMS8yMDEwLDYvMzAvMjAxMCwsLFVTRCk=&amp;WINDOW=FIRST_POPUP&amp;HEIGH","T=450&amp;WIDTH=450&amp;START_MAXIMIZED=FALSE&amp;VAR:CALENDAR=US&amp;VAR:SYMBOL=AMT&amp;VAR:INDEX=0"}</definedName>
    <definedName name="_941__FDSAUDITLINK__" localSheetId="1"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1__FDSAUDITLINK__" hidden="1">{"fdsup://directions/FAT Viewer?action=UPDATE&amp;creator=factset&amp;DYN_ARGS=TRUE&amp;DOC_NAME=FAT:FQL_AUDITING_CLIENT_TEMPLATE.FAT&amp;display_string=Audit&amp;VAR:KEY=HSFQVAJIRU&amp;VAR:QUERY=RkZfRUJJVERBX09QRVIoUVRSLDQvMS8yMDA5LDYvMzAvMjAwOSwsLFVTRCk=&amp;WINDOW=FIRST_POPUP&amp;HEIGH","T=450&amp;WIDTH=450&amp;START_MAXIMIZED=FALSE&amp;VAR:CALENDAR=US&amp;VAR:SYMBOL=AMP&amp;VAR:INDEX=0"}</definedName>
    <definedName name="_942__FDSAUDITLINK__" localSheetId="1"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2__FDSAUDITLINK__" hidden="1">{"fdsup://directions/FAT Viewer?action=UPDATE&amp;creator=factset&amp;DYN_ARGS=TRUE&amp;DOC_NAME=FAT:FQL_AUDITING_CLIENT_TEMPLATE.FAT&amp;display_string=Audit&amp;VAR:KEY=VWXOPIRKHC&amp;VAR:QUERY=RkZfRUJJVERBX09QRVIoUVRSLDQvMS8yMDEwLDYvMzAvMjAxMCwsLFVTRCk=&amp;WINDOW=FIRST_POPUP&amp;HEIGH","T=450&amp;WIDTH=450&amp;START_MAXIMIZED=FALSE&amp;VAR:CALENDAR=US&amp;VAR:SYMBOL=AMP&amp;VAR:INDEX=0"}</definedName>
    <definedName name="_943__FDSAUDITLINK__" localSheetId="1"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3__FDSAUDITLINK__" hidden="1">{"fdsup://directions/FAT Viewer?action=UPDATE&amp;creator=factset&amp;DYN_ARGS=TRUE&amp;DOC_NAME=FAT:FQL_AUDITING_CLIENT_TEMPLATE.FAT&amp;display_string=Audit&amp;VAR:KEY=NULAZUHALG&amp;VAR:QUERY=RkZfRUJJVERBX09QRVIoUVRSLDQvMS8yMDA5LDYvMzAvMjAwOSwsLFVTRCk=&amp;WINDOW=FIRST_POPUP&amp;HEIGH","T=450&amp;WIDTH=450&amp;START_MAXIMIZED=FALSE&amp;VAR:CALENDAR=US&amp;VAR:SYMBOL=AMGN&amp;VAR:INDEX=0"}</definedName>
    <definedName name="_944__FDSAUDITLINK__" localSheetId="1"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4__FDSAUDITLINK__" hidden="1">{"fdsup://directions/FAT Viewer?action=UPDATE&amp;creator=factset&amp;DYN_ARGS=TRUE&amp;DOC_NAME=FAT:FQL_AUDITING_CLIENT_TEMPLATE.FAT&amp;display_string=Audit&amp;VAR:KEY=RAFKVSHCDG&amp;VAR:QUERY=RkZfRUJJVERBX09QRVIoUVRSLDQvMS8yMDEwLDYvMzAvMjAxMCwsLFVTRCk=&amp;WINDOW=FIRST_POPUP&amp;HEIGH","T=450&amp;WIDTH=450&amp;START_MAXIMIZED=FALSE&amp;VAR:CALENDAR=US&amp;VAR:SYMBOL=AMGN&amp;VAR:INDEX=0"}</definedName>
    <definedName name="_945__FDSAUDITLINK__" localSheetId="1"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5__FDSAUDITLINK__" hidden="1">{"fdsup://directions/FAT Viewer?action=UPDATE&amp;creator=factset&amp;DYN_ARGS=TRUE&amp;DOC_NAME=FAT:FQL_AUDITING_CLIENT_TEMPLATE.FAT&amp;display_string=Audit&amp;VAR:KEY=JGBGFUNYVM&amp;VAR:QUERY=RkZfRUJJVERBX09QRVIoUVRSLDQvMS8yMDA5LDYvMzAvMjAwOSwsLFVTRCk=&amp;WINDOW=FIRST_POPUP&amp;HEIGH","T=450&amp;WIDTH=450&amp;START_MAXIMIZED=FALSE&amp;VAR:CALENDAR=US&amp;VAR:SYMBOL=AMD&amp;VAR:INDEX=0"}</definedName>
    <definedName name="_946__FDSAUDITLINK__" localSheetId="1"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6__FDSAUDITLINK__" hidden="1">{"fdsup://directions/FAT Viewer?action=UPDATE&amp;creator=factset&amp;DYN_ARGS=TRUE&amp;DOC_NAME=FAT:FQL_AUDITING_CLIENT_TEMPLATE.FAT&amp;display_string=Audit&amp;VAR:KEY=DALSFIBGNY&amp;VAR:QUERY=RkZfRUJJVERBX09QRVIoUVRSLDQvMS8yMDEwLDYvMzAvMjAxMCwsLFVTRCk=&amp;WINDOW=FIRST_POPUP&amp;HEIGH","T=450&amp;WIDTH=450&amp;START_MAXIMIZED=FALSE&amp;VAR:CALENDAR=US&amp;VAR:SYMBOL=AMD&amp;VAR:INDEX=0"}</definedName>
    <definedName name="_947__FDSAUDITLINK__" localSheetId="1"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7__FDSAUDITLINK__" hidden="1">{"fdsup://directions/FAT Viewer?action=UPDATE&amp;creator=factset&amp;DYN_ARGS=TRUE&amp;DOC_NAME=FAT:FQL_AUDITING_CLIENT_TEMPLATE.FAT&amp;display_string=Audit&amp;VAR:KEY=XMTSLUPGXE&amp;VAR:QUERY=RkZfRUJJVERBX09QRVIoUVRSLDQvMS8yMDA5LDYvMzAvMjAwOSwsLFVTRCk=&amp;WINDOW=FIRST_POPUP&amp;HEIGH","T=450&amp;WIDTH=450&amp;START_MAXIMIZED=FALSE&amp;VAR:CALENDAR=US&amp;VAR:SYMBOL=AMAT&amp;VAR:INDEX=0"}</definedName>
    <definedName name="_948__FDSAUDITLINK__" localSheetId="1"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8__FDSAUDITLINK__" hidden="1">{"fdsup://directions/FAT Viewer?action=UPDATE&amp;creator=factset&amp;DYN_ARGS=TRUE&amp;DOC_NAME=FAT:FQL_AUDITING_CLIENT_TEMPLATE.FAT&amp;display_string=Audit&amp;VAR:KEY=DEHEBCDUPC&amp;VAR:QUERY=RkZfRUJJVERBX09QRVIoUVRSLDQvMS8yMDEwLDYvMzAvMjAxMCwsLFVTRCk=&amp;WINDOW=FIRST_POPUP&amp;HEIGH","T=450&amp;WIDTH=450&amp;START_MAXIMIZED=FALSE&amp;VAR:CALENDAR=US&amp;VAR:SYMBOL=AMAT&amp;VAR:INDEX=0"}</definedName>
    <definedName name="_949__FDSAUDITLINK__" localSheetId="1"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49__FDSAUDITLINK__" hidden="1">{"fdsup://directions/FAT Viewer?action=UPDATE&amp;creator=factset&amp;DYN_ARGS=TRUE&amp;DOC_NAME=FAT:FQL_AUDITING_CLIENT_TEMPLATE.FAT&amp;display_string=Audit&amp;VAR:KEY=JYDEHQBSTW&amp;VAR:QUERY=RkZfRUJJVERBX09QRVIoUVRSLDQvMS8yMDA5LDYvMzAvMjAwOSwsLFVTRCk=&amp;WINDOW=FIRST_POPUP&amp;HEIGH","T=450&amp;WIDTH=450&amp;START_MAXIMIZED=FALSE&amp;VAR:CALENDAR=US&amp;VAR:SYMBOL=ALTR&amp;VAR:INDEX=0"}</definedName>
    <definedName name="_95__FDSAUDITLINK__" localSheetId="1"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__FDSAUDITLINK__" hidden="1">{"fdsup://directions/FAT Viewer?action=UPDATE&amp;creator=factset&amp;DYN_ARGS=TRUE&amp;DOC_NAME=FAT:FQL_AUDITING_CLIENT_TEMPLATE.FAT&amp;display_string=Audit&amp;VAR:KEY=TAHGXQZCPQ&amp;VAR:QUERY=RkZfRUJJVERBX09QRVIoUVRSLDQvMS8yMDA5LDYvMzAvMjAwOSwsLFVTRCk=&amp;WINDOW=FIRST_POPUP&amp;HEIGH","T=450&amp;WIDTH=450&amp;START_MAXIMIZED=FALSE&amp;VAR:CALENDAR=US&amp;VAR:SYMBOL=TYC&amp;VAR:INDEX=0"}</definedName>
    <definedName name="_950__FDSAUDITLINK__" localSheetId="1"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0__FDSAUDITLINK__" hidden="1">{"fdsup://directions/FAT Viewer?action=UPDATE&amp;creator=factset&amp;DYN_ARGS=TRUE&amp;DOC_NAME=FAT:FQL_AUDITING_CLIENT_TEMPLATE.FAT&amp;display_string=Audit&amp;VAR:KEY=XEBCFSRQJQ&amp;VAR:QUERY=RkZfRUJJVERBX09QRVIoUVRSLDQvMS8yMDEwLDYvMzAvMjAxMCwsLFVTRCk=&amp;WINDOW=FIRST_POPUP&amp;HEIGH","T=450&amp;WIDTH=450&amp;START_MAXIMIZED=FALSE&amp;VAR:CALENDAR=US&amp;VAR:SYMBOL=ALTR&amp;VAR:INDEX=0"}</definedName>
    <definedName name="_951__FDSAUDITLINK__" localSheetId="1"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1__FDSAUDITLINK__" hidden="1">{"fdsup://directions/FAT Viewer?action=UPDATE&amp;creator=factset&amp;DYN_ARGS=TRUE&amp;DOC_NAME=FAT:FQL_AUDITING_CLIENT_TEMPLATE.FAT&amp;display_string=Audit&amp;VAR:KEY=ZKDWXOJORA&amp;VAR:QUERY=RkZfRUJJVERBX09QRVIoUVRSLDQvMS8yMDA5LDYvMzAvMjAwOSwsLFVTRCk=&amp;WINDOW=FIRST_POPUP&amp;HEIGH","T=450&amp;WIDTH=450&amp;START_MAXIMIZED=FALSE&amp;VAR:CALENDAR=US&amp;VAR:SYMBOL=ALL&amp;VAR:INDEX=0"}</definedName>
    <definedName name="_952__FDSAUDITLINK__" localSheetId="1"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2__FDSAUDITLINK__" hidden="1">{"fdsup://directions/FAT Viewer?action=UPDATE&amp;creator=factset&amp;DYN_ARGS=TRUE&amp;DOC_NAME=FAT:FQL_AUDITING_CLIENT_TEMPLATE.FAT&amp;display_string=Audit&amp;VAR:KEY=NUDOVGJIVS&amp;VAR:QUERY=RkZfRUJJVERBX09QRVIoUVRSLDQvMS8yMDEwLDYvMzAvMjAxMCwsLFVTRCk=&amp;WINDOW=FIRST_POPUP&amp;HEIGH","T=450&amp;WIDTH=450&amp;START_MAXIMIZED=FALSE&amp;VAR:CALENDAR=US&amp;VAR:SYMBOL=ALL&amp;VAR:INDEX=0"}</definedName>
    <definedName name="_953__FDSAUDITLINK__" localSheetId="1"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3__FDSAUDITLINK__" hidden="1">{"fdsup://directions/FAT Viewer?action=UPDATE&amp;creator=factset&amp;DYN_ARGS=TRUE&amp;DOC_NAME=FAT:FQL_AUDITING_CLIENT_TEMPLATE.FAT&amp;display_string=Audit&amp;VAR:KEY=HGBWTKDEHK&amp;VAR:QUERY=RkZfRUJJVERBX09QRVIoUVRSLDQvMS8yMDA5LDYvMzAvMjAwOSwsLFVTRCk=&amp;WINDOW=FIRST_POPUP&amp;HEIGH","T=450&amp;WIDTH=450&amp;START_MAXIMIZED=FALSE&amp;VAR:CALENDAR=US&amp;VAR:SYMBOL=AKS&amp;VAR:INDEX=0"}</definedName>
    <definedName name="_954__FDSAUDITLINK__" localSheetId="1"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4__FDSAUDITLINK__" hidden="1">{"fdsup://directions/FAT Viewer?action=UPDATE&amp;creator=factset&amp;DYN_ARGS=TRUE&amp;DOC_NAME=FAT:FQL_AUDITING_CLIENT_TEMPLATE.FAT&amp;display_string=Audit&amp;VAR:KEY=PWLOTCRIXO&amp;VAR:QUERY=RkZfRUJJVERBX09QRVIoUVRSLDQvMS8yMDEwLDYvMzAvMjAxMCwsLFVTRCk=&amp;WINDOW=FIRST_POPUP&amp;HEIGH","T=450&amp;WIDTH=450&amp;START_MAXIMIZED=FALSE&amp;VAR:CALENDAR=US&amp;VAR:SYMBOL=AKS&amp;VAR:INDEX=0"}</definedName>
    <definedName name="_955__FDSAUDITLINK__" localSheetId="1"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5__FDSAUDITLINK__" hidden="1">{"fdsup://directions/FAT Viewer?action=UPDATE&amp;creator=factset&amp;DYN_ARGS=TRUE&amp;DOC_NAME=FAT:FQL_AUDITING_CLIENT_TEMPLATE.FAT&amp;display_string=Audit&amp;VAR:KEY=PYPCNSFSTS&amp;VAR:QUERY=RkZfRUJJVERBX09QRVIoUVRSLDQvMS8yMDA5LDYvMzAvMjAwOSwsLFVTRCk=&amp;WINDOW=FIRST_POPUP&amp;HEIGH","T=450&amp;WIDTH=450&amp;START_MAXIMIZED=FALSE&amp;VAR:CALENDAR=US&amp;VAR:SYMBOL=AKAM&amp;VAR:INDEX=0"}</definedName>
    <definedName name="_956__FDSAUDITLINK__" localSheetId="1"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6__FDSAUDITLINK__" hidden="1">{"fdsup://directions/FAT Viewer?action=UPDATE&amp;creator=factset&amp;DYN_ARGS=TRUE&amp;DOC_NAME=FAT:FQL_AUDITING_CLIENT_TEMPLATE.FAT&amp;display_string=Audit&amp;VAR:KEY=FOVSVWDSFU&amp;VAR:QUERY=RkZfRUJJVERBX09QRVIoUVRSLDQvMS8yMDEwLDYvMzAvMjAxMCwsLFVTRCk=&amp;WINDOW=FIRST_POPUP&amp;HEIGH","T=450&amp;WIDTH=450&amp;START_MAXIMIZED=FALSE&amp;VAR:CALENDAR=US&amp;VAR:SYMBOL=AKAM&amp;VAR:INDEX=0"}</definedName>
    <definedName name="_957__FDSAUDITLINK__" localSheetId="1"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7__FDSAUDITLINK__" hidden="1">{"fdsup://directions/FAT Viewer?action=UPDATE&amp;creator=factset&amp;DYN_ARGS=TRUE&amp;DOC_NAME=FAT:FQL_AUDITING_CLIENT_TEMPLATE.FAT&amp;display_string=Audit&amp;VAR:KEY=BWPEJGHMVY&amp;VAR:QUERY=RkZfRUJJVERBX09QRVIoUVRSLDQvMS8yMDA5LDYvMzAvMjAwOSwsLFVTRCk=&amp;WINDOW=FIRST_POPUP&amp;HEIGH","T=450&amp;WIDTH=450&amp;START_MAXIMIZED=FALSE&amp;VAR:CALENDAR=US&amp;VAR:SYMBOL=AIZ&amp;VAR:INDEX=0"}</definedName>
    <definedName name="_958__FDSAUDITLINK__" localSheetId="1"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8__FDSAUDITLINK__" hidden="1">{"fdsup://directions/FAT Viewer?action=UPDATE&amp;creator=factset&amp;DYN_ARGS=TRUE&amp;DOC_NAME=FAT:FQL_AUDITING_CLIENT_TEMPLATE.FAT&amp;display_string=Audit&amp;VAR:KEY=JEVWFAZOFK&amp;VAR:QUERY=RkZfRUJJVERBX09QRVIoUVRSLDQvMS8yMDEwLDYvMzAvMjAxMCwsLFVTRCk=&amp;WINDOW=FIRST_POPUP&amp;HEIGH","T=450&amp;WIDTH=450&amp;START_MAXIMIZED=FALSE&amp;VAR:CALENDAR=US&amp;VAR:SYMBOL=AIZ&amp;VAR:INDEX=0"}</definedName>
    <definedName name="_959__FDSAUDITLINK__" localSheetId="1"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59__FDSAUDITLINK__" hidden="1">{"fdsup://directions/FAT Viewer?action=UPDATE&amp;creator=factset&amp;DYN_ARGS=TRUE&amp;DOC_NAME=FAT:FQL_AUDITING_CLIENT_TEMPLATE.FAT&amp;display_string=Audit&amp;VAR:KEY=VEZGTIRCPK&amp;VAR:QUERY=RkZfRUJJVERBX09QRVIoUVRSLDQvMS8yMDA5LDYvMzAvMjAwOSwsLFVTRCk=&amp;WINDOW=FIRST_POPUP&amp;HEIGH","T=450&amp;WIDTH=450&amp;START_MAXIMIZED=FALSE&amp;VAR:CALENDAR=US&amp;VAR:SYMBOL=AIV&amp;VAR:INDEX=0"}</definedName>
    <definedName name="_96__FDSAUDITLINK__" localSheetId="1"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__FDSAUDITLINK__" hidden="1">{"fdsup://directions/FAT Viewer?action=UPDATE&amp;creator=factset&amp;DYN_ARGS=TRUE&amp;DOC_NAME=FAT:FQL_AUDITING_CLIENT_TEMPLATE.FAT&amp;display_string=Audit&amp;VAR:KEY=DYXCTGFQFO&amp;VAR:QUERY=RkZfRUJJVERBX09QRVIoUVRSLDQvMS8yMDEwLDYvMzAvMjAxMCwsLFVTRCk=&amp;WINDOW=FIRST_POPUP&amp;HEIGH","T=450&amp;WIDTH=450&amp;START_MAXIMIZED=FALSE&amp;VAR:CALENDAR=US&amp;VAR:SYMBOL=TYC&amp;VAR:INDEX=0"}</definedName>
    <definedName name="_960__FDSAUDITLINK__" localSheetId="1"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0__FDSAUDITLINK__" hidden="1">{"fdsup://directions/FAT Viewer?action=UPDATE&amp;creator=factset&amp;DYN_ARGS=TRUE&amp;DOC_NAME=FAT:FQL_AUDITING_CLIENT_TEMPLATE.FAT&amp;display_string=Audit&amp;VAR:KEY=HQVUVGNWTE&amp;VAR:QUERY=RkZfRUJJVERBX09QRVIoUVRSLDQvMS8yMDEwLDYvMzAvMjAxMCwsLFVTRCk=&amp;WINDOW=FIRST_POPUP&amp;HEIGH","T=450&amp;WIDTH=450&amp;START_MAXIMIZED=FALSE&amp;VAR:CALENDAR=US&amp;VAR:SYMBOL=AIV&amp;VAR:INDEX=0"}</definedName>
    <definedName name="_961__FDSAUDITLINK__" localSheetId="1"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1__FDSAUDITLINK__" hidden="1">{"fdsup://directions/FAT Viewer?action=UPDATE&amp;creator=factset&amp;DYN_ARGS=TRUE&amp;DOC_NAME=FAT:FQL_AUDITING_CLIENT_TEMPLATE.FAT&amp;display_string=Audit&amp;VAR:KEY=HYFEPOBQJM&amp;VAR:QUERY=RkZfRUJJVERBX09QRVIoUVRSLDQvMS8yMDA5LDYvMzAvMjAwOSwsLFVTRCk=&amp;WINDOW=FIRST_POPUP&amp;HEIGH","T=450&amp;WIDTH=450&amp;START_MAXIMIZED=FALSE&amp;VAR:CALENDAR=US&amp;VAR:SYMBOL=AIG&amp;VAR:INDEX=0"}</definedName>
    <definedName name="_962__FDSAUDITLINK__" localSheetId="1"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2__FDSAUDITLINK__" hidden="1">{"fdsup://directions/FAT Viewer?action=UPDATE&amp;creator=factset&amp;DYN_ARGS=TRUE&amp;DOC_NAME=FAT:FQL_AUDITING_CLIENT_TEMPLATE.FAT&amp;display_string=Audit&amp;VAR:KEY=LONMJWPEFK&amp;VAR:QUERY=RkZfRUJJVERBX09QRVIoUVRSLDQvMS8yMDEwLDYvMzAvMjAxMCwsLFVTRCk=&amp;WINDOW=FIRST_POPUP&amp;HEIGH","T=450&amp;WIDTH=450&amp;START_MAXIMIZED=FALSE&amp;VAR:CALENDAR=US&amp;VAR:SYMBOL=AIG&amp;VAR:INDEX=0"}</definedName>
    <definedName name="_963__FDSAUDITLINK__" localSheetId="1"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3__FDSAUDITLINK__" hidden="1">{"fdsup://directions/FAT Viewer?action=UPDATE&amp;creator=factset&amp;DYN_ARGS=TRUE&amp;DOC_NAME=FAT:FQL_AUDITING_CLIENT_TEMPLATE.FAT&amp;display_string=Audit&amp;VAR:KEY=ZSXWVMVUPE&amp;VAR:QUERY=RkZfRUJJVERBX09QRVIoUVRSLDQvMS8yMDA5LDYvMzAvMjAwOSwsLFVTRCk=&amp;WINDOW=FIRST_POPUP&amp;HEIGH","T=450&amp;WIDTH=450&amp;START_MAXIMIZED=FALSE&amp;VAR:CALENDAR=US&amp;VAR:SYMBOL=AGN&amp;VAR:INDEX=0"}</definedName>
    <definedName name="_964__FDSAUDITLINK__" localSheetId="1"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4__FDSAUDITLINK__" hidden="1">{"fdsup://directions/FAT Viewer?action=UPDATE&amp;creator=factset&amp;DYN_ARGS=TRUE&amp;DOC_NAME=FAT:FQL_AUDITING_CLIENT_TEMPLATE.FAT&amp;display_string=Audit&amp;VAR:KEY=VOPORCXSDA&amp;VAR:QUERY=RkZfRUJJVERBX09QRVIoUVRSLDQvMS8yMDEwLDYvMzAvMjAxMCwsLFVTRCk=&amp;WINDOW=FIRST_POPUP&amp;HEIGH","T=450&amp;WIDTH=450&amp;START_MAXIMIZED=FALSE&amp;VAR:CALENDAR=US&amp;VAR:SYMBOL=AGN&amp;VAR:INDEX=0"}</definedName>
    <definedName name="_965__FDSAUDITLINK__" localSheetId="1"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5__FDSAUDITLINK__" hidden="1">{"fdsup://directions/FAT Viewer?action=UPDATE&amp;creator=factset&amp;DYN_ARGS=TRUE&amp;DOC_NAME=FAT:FQL_AUDITING_CLIENT_TEMPLATE.FAT&amp;display_string=Audit&amp;VAR:KEY=ZAFEFIJIJQ&amp;VAR:QUERY=RkZfRUJJVERBX09QRVIoUVRSLDQvMS8yMDA5LDYvMzAvMjAwOSwsLFVTRCk=&amp;WINDOW=FIRST_POPUP&amp;HEIGH","T=450&amp;WIDTH=450&amp;START_MAXIMIZED=FALSE&amp;VAR:CALENDAR=US&amp;VAR:SYMBOL=AFL&amp;VAR:INDEX=0"}</definedName>
    <definedName name="_966__FDSAUDITLINK__" localSheetId="1"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6__FDSAUDITLINK__" hidden="1">{"fdsup://directions/FAT Viewer?action=UPDATE&amp;creator=factset&amp;DYN_ARGS=TRUE&amp;DOC_NAME=FAT:FQL_AUDITING_CLIENT_TEMPLATE.FAT&amp;display_string=Audit&amp;VAR:KEY=DCXUZMXKZQ&amp;VAR:QUERY=RkZfRUJJVERBX09QRVIoUVRSLDQvMS8yMDEwLDYvMzAvMjAxMCwsLFVTRCk=&amp;WINDOW=FIRST_POPUP&amp;HEIGH","T=450&amp;WIDTH=450&amp;START_MAXIMIZED=FALSE&amp;VAR:CALENDAR=US&amp;VAR:SYMBOL=AFL&amp;VAR:INDEX=0"}</definedName>
    <definedName name="_967__FDSAUDITLINK__" localSheetId="1"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7__FDSAUDITLINK__" hidden="1">{"fdsup://directions/FAT Viewer?action=UPDATE&amp;creator=factset&amp;DYN_ARGS=TRUE&amp;DOC_NAME=FAT:FQL_AUDITING_CLIENT_TEMPLATE.FAT&amp;display_string=Audit&amp;VAR:KEY=BAZGDMVEXG&amp;VAR:QUERY=RkZfRUJJVERBX09QRVIoUVRSLDQvMS8yMDA5LDYvMzAvMjAwOSwsLFVTRCk=&amp;WINDOW=FIRST_POPUP&amp;HEIGH","T=450&amp;WIDTH=450&amp;START_MAXIMIZED=FALSE&amp;VAR:CALENDAR=US&amp;VAR:SYMBOL=AET&amp;VAR:INDEX=0"}</definedName>
    <definedName name="_968__FDSAUDITLINK__" localSheetId="1"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8__FDSAUDITLINK__" hidden="1">{"fdsup://directions/FAT Viewer?action=UPDATE&amp;creator=factset&amp;DYN_ARGS=TRUE&amp;DOC_NAME=FAT:FQL_AUDITING_CLIENT_TEMPLATE.FAT&amp;display_string=Audit&amp;VAR:KEY=XYXWHERCFC&amp;VAR:QUERY=RkZfRUJJVERBX09QRVIoUVRSLDQvMS8yMDEwLDYvMzAvMjAxMCwsLFVTRCk=&amp;WINDOW=FIRST_POPUP&amp;HEIGH","T=450&amp;WIDTH=450&amp;START_MAXIMIZED=FALSE&amp;VAR:CALENDAR=US&amp;VAR:SYMBOL=AET&amp;VAR:INDEX=0"}</definedName>
    <definedName name="_969__FDSAUDITLINK__" localSheetId="1"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69__FDSAUDITLINK__" hidden="1">{"fdsup://directions/FAT Viewer?action=UPDATE&amp;creator=factset&amp;DYN_ARGS=TRUE&amp;DOC_NAME=FAT:FQL_AUDITING_CLIENT_TEMPLATE.FAT&amp;display_string=Audit&amp;VAR:KEY=HAFCFOXQTW&amp;VAR:QUERY=RkZfRUJJVERBX09QRVIoUVRSLDQvMS8yMDA5LDYvMzAvMjAwOSwsLFVTRCk=&amp;WINDOW=FIRST_POPUP&amp;HEIGH","T=450&amp;WIDTH=450&amp;START_MAXIMIZED=FALSE&amp;VAR:CALENDAR=US&amp;VAR:SYMBOL=AES&amp;VAR:INDEX=0"}</definedName>
    <definedName name="_97__FDSAUDITLINK__" localSheetId="1"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__FDSAUDITLINK__" hidden="1">{"fdsup://directions/FAT Viewer?action=UPDATE&amp;creator=factset&amp;DYN_ARGS=TRUE&amp;DOC_NAME=FAT:FQL_AUDITING_CLIENT_TEMPLATE.FAT&amp;display_string=Audit&amp;VAR:KEY=LSLKRUFCPQ&amp;VAR:QUERY=RkZfRUJJVERBX09QRVIoUVRSLDQvMS8yMDA5LDYvMzAvMjAwOSwsLFVTRCk=&amp;WINDOW=FIRST_POPUP&amp;HEIGH","T=450&amp;WIDTH=450&amp;START_MAXIMIZED=FALSE&amp;VAR:CALENDAR=US&amp;VAR:SYMBOL=TXT&amp;VAR:INDEX=0"}</definedName>
    <definedName name="_970__FDSAUDITLINK__" localSheetId="1"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0__FDSAUDITLINK__" hidden="1">{"fdsup://directions/FAT Viewer?action=UPDATE&amp;creator=factset&amp;DYN_ARGS=TRUE&amp;DOC_NAME=FAT:FQL_AUDITING_CLIENT_TEMPLATE.FAT&amp;display_string=Audit&amp;VAR:KEY=JWNQHKDSJC&amp;VAR:QUERY=RkZfRUJJVERBX09QRVIoUVRSLDQvMS8yMDEwLDYvMzAvMjAxMCwsLFVTRCk=&amp;WINDOW=FIRST_POPUP&amp;HEIGH","T=450&amp;WIDTH=450&amp;START_MAXIMIZED=FALSE&amp;VAR:CALENDAR=US&amp;VAR:SYMBOL=AES&amp;VAR:INDEX=0"}</definedName>
    <definedName name="_971__FDSAUDITLINK__" localSheetId="1"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1__FDSAUDITLINK__" hidden="1">{"fdsup://directions/FAT Viewer?action=UPDATE&amp;creator=factset&amp;DYN_ARGS=TRUE&amp;DOC_NAME=FAT:FQL_AUDITING_CLIENT_TEMPLATE.FAT&amp;display_string=Audit&amp;VAR:KEY=NWFYPEHOLG&amp;VAR:QUERY=RkZfRUJJVERBX09QRVIoUVRSLDQvMS8yMDA5LDYvMzAvMjAwOSwsLFVTRCk=&amp;WINDOW=FIRST_POPUP&amp;HEIGH","T=450&amp;WIDTH=450&amp;START_MAXIMIZED=FALSE&amp;VAR:CALENDAR=US&amp;VAR:SYMBOL=AEP&amp;VAR:INDEX=0"}</definedName>
    <definedName name="_972__FDSAUDITLINK__" localSheetId="1"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2__FDSAUDITLINK__" hidden="1">{"fdsup://directions/FAT Viewer?action=UPDATE&amp;creator=factset&amp;DYN_ARGS=TRUE&amp;DOC_NAME=FAT:FQL_AUDITING_CLIENT_TEMPLATE.FAT&amp;display_string=Audit&amp;VAR:KEY=DMHKXYZEDO&amp;VAR:QUERY=RkZfRUJJVERBX09QRVIoUVRSLDQvMS8yMDEwLDYvMzAvMjAxMCwsLFVTRCk=&amp;WINDOW=FIRST_POPUP&amp;HEIGH","T=450&amp;WIDTH=450&amp;START_MAXIMIZED=FALSE&amp;VAR:CALENDAR=US&amp;VAR:SYMBOL=AEP&amp;VAR:INDEX=0"}</definedName>
    <definedName name="_973__FDSAUDITLINK__" localSheetId="1"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3__FDSAUDITLINK__" hidden="1">{"fdsup://directions/FAT Viewer?action=UPDATE&amp;creator=factset&amp;DYN_ARGS=TRUE&amp;DOC_NAME=FAT:FQL_AUDITING_CLIENT_TEMPLATE.FAT&amp;display_string=Audit&amp;VAR:KEY=VCLUVMZEZK&amp;VAR:QUERY=RkZfRUJJVERBX09QRVIoUVRSLDQvMS8yMDA5LDYvMzAvMjAwOSwsLFVTRCk=&amp;WINDOW=FIRST_POPUP&amp;HEIGH","T=450&amp;WIDTH=450&amp;START_MAXIMIZED=FALSE&amp;VAR:CALENDAR=US&amp;VAR:SYMBOL=AEE&amp;VAR:INDEX=0"}</definedName>
    <definedName name="_974__FDSAUDITLINK__" localSheetId="1"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4__FDSAUDITLINK__" hidden="1">{"fdsup://directions/FAT Viewer?action=UPDATE&amp;creator=factset&amp;DYN_ARGS=TRUE&amp;DOC_NAME=FAT:FQL_AUDITING_CLIENT_TEMPLATE.FAT&amp;display_string=Audit&amp;VAR:KEY=DUBGROFIJW&amp;VAR:QUERY=RkZfRUJJVERBX09QRVIoUVRSLDQvMS8yMDEwLDYvMzAvMjAxMCwsLFVTRCk=&amp;WINDOW=FIRST_POPUP&amp;HEIGH","T=450&amp;WIDTH=450&amp;START_MAXIMIZED=FALSE&amp;VAR:CALENDAR=US&amp;VAR:SYMBOL=AEE&amp;VAR:INDEX=0"}</definedName>
    <definedName name="_975__FDSAUDITLINK__" localSheetId="1"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5__FDSAUDITLINK__" hidden="1">{"fdsup://directions/FAT Viewer?action=UPDATE&amp;creator=factset&amp;DYN_ARGS=TRUE&amp;DOC_NAME=FAT:FQL_AUDITING_CLIENT_TEMPLATE.FAT&amp;display_string=Audit&amp;VAR:KEY=RKBKNGDYTK&amp;VAR:QUERY=RkZfRUJJVERBX09QRVIoUVRSLDQvMS8yMDA5LDYvMzAvMjAwOSwsLFVTRCk=&amp;WINDOW=FIRST_POPUP&amp;HEIGH","T=450&amp;WIDTH=450&amp;START_MAXIMIZED=FALSE&amp;VAR:CALENDAR=US&amp;VAR:SYMBOL=ADSK&amp;VAR:INDEX=0"}</definedName>
    <definedName name="_976__FDSAUDITLINK__" localSheetId="1"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6__FDSAUDITLINK__" hidden="1">{"fdsup://directions/FAT Viewer?action=UPDATE&amp;creator=factset&amp;DYN_ARGS=TRUE&amp;DOC_NAME=FAT:FQL_AUDITING_CLIENT_TEMPLATE.FAT&amp;display_string=Audit&amp;VAR:KEY=RYXUVINSJK&amp;VAR:QUERY=RkZfRUJJVERBX09QRVIoUVRSLDQvMS8yMDEwLDYvMzAvMjAxMCwsLFVTRCk=&amp;WINDOW=FIRST_POPUP&amp;HEIGH","T=450&amp;WIDTH=450&amp;START_MAXIMIZED=FALSE&amp;VAR:CALENDAR=US&amp;VAR:SYMBOL=ADSK&amp;VAR:INDEX=0"}</definedName>
    <definedName name="_977__FDSAUDITLINK__" localSheetId="1"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7__FDSAUDITLINK__" hidden="1">{"fdsup://directions/FAT Viewer?action=UPDATE&amp;creator=factset&amp;DYN_ARGS=TRUE&amp;DOC_NAME=FAT:FQL_AUDITING_CLIENT_TEMPLATE.FAT&amp;display_string=Audit&amp;VAR:KEY=PWLSHQFGLS&amp;VAR:QUERY=RkZfRUJJVERBX09QRVIoUVRSLDQvMS8yMDA5LDYvMzAvMjAwOSwsLFVTRCk=&amp;WINDOW=FIRST_POPUP&amp;HEIGH","T=450&amp;WIDTH=450&amp;START_MAXIMIZED=FALSE&amp;VAR:CALENDAR=US&amp;VAR:SYMBOL=ADP&amp;VAR:INDEX=0"}</definedName>
    <definedName name="_978__FDSAUDITLINK__" localSheetId="1"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8__FDSAUDITLINK__" hidden="1">{"fdsup://directions/FAT Viewer?action=UPDATE&amp;creator=factset&amp;DYN_ARGS=TRUE&amp;DOC_NAME=FAT:FQL_AUDITING_CLIENT_TEMPLATE.FAT&amp;display_string=Audit&amp;VAR:KEY=XYLSDQBYLO&amp;VAR:QUERY=RkZfRUJJVERBX09QRVIoUVRSLDQvMS8yMDEwLDYvMzAvMjAxMCwsLFVTRCk=&amp;WINDOW=FIRST_POPUP&amp;HEIGH","T=450&amp;WIDTH=450&amp;START_MAXIMIZED=FALSE&amp;VAR:CALENDAR=US&amp;VAR:SYMBOL=ADP&amp;VAR:INDEX=0"}</definedName>
    <definedName name="_979__FDSAUDITLINK__" localSheetId="1"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79__FDSAUDITLINK__" hidden="1">{"fdsup://directions/FAT Viewer?action=UPDATE&amp;creator=factset&amp;DYN_ARGS=TRUE&amp;DOC_NAME=FAT:FQL_AUDITING_CLIENT_TEMPLATE.FAT&amp;display_string=Audit&amp;VAR:KEY=FOPKZEDUXI&amp;VAR:QUERY=RkZfRUJJVERBX09QRVIoUVRSLDQvMS8yMDA5LDYvMzAvMjAwOSwsLFVTRCk=&amp;WINDOW=FIRST_POPUP&amp;HEIGH","T=450&amp;WIDTH=450&amp;START_MAXIMIZED=FALSE&amp;VAR:CALENDAR=US&amp;VAR:SYMBOL=ADM&amp;VAR:INDEX=0"}</definedName>
    <definedName name="_98__FDSAUDITLINK__" localSheetId="1"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__FDSAUDITLINK__" hidden="1">{"fdsup://directions/FAT Viewer?action=UPDATE&amp;creator=factset&amp;DYN_ARGS=TRUE&amp;DOC_NAME=FAT:FQL_AUDITING_CLIENT_TEMPLATE.FAT&amp;display_string=Audit&amp;VAR:KEY=BUFWLERSFA&amp;VAR:QUERY=RkZfRUJJVERBX09QRVIoUVRSLDQvMS8yMDEwLDYvMzAvMjAxMCwsLFVTRCk=&amp;WINDOW=FIRST_POPUP&amp;HEIGH","T=450&amp;WIDTH=450&amp;START_MAXIMIZED=FALSE&amp;VAR:CALENDAR=US&amp;VAR:SYMBOL=TXT&amp;VAR:INDEX=0"}</definedName>
    <definedName name="_980__FDSAUDITLINK__" localSheetId="1"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0__FDSAUDITLINK__" hidden="1">{"fdsup://directions/FAT Viewer?action=UPDATE&amp;creator=factset&amp;DYN_ARGS=TRUE&amp;DOC_NAME=FAT:FQL_AUDITING_CLIENT_TEMPLATE.FAT&amp;display_string=Audit&amp;VAR:KEY=JEXOZOHMPQ&amp;VAR:QUERY=RkZfRUJJVERBX09QRVIoUVRSLDQvMS8yMDEwLDYvMzAvMjAxMCwsLFVTRCk=&amp;WINDOW=FIRST_POPUP&amp;HEIGH","T=450&amp;WIDTH=450&amp;START_MAXIMIZED=FALSE&amp;VAR:CALENDAR=US&amp;VAR:SYMBOL=ADM&amp;VAR:INDEX=0"}</definedName>
    <definedName name="_981__FDSAUDITLINK__" localSheetId="1"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1__FDSAUDITLINK__" hidden="1">{"fdsup://directions/FAT Viewer?action=UPDATE&amp;creator=factset&amp;DYN_ARGS=TRUE&amp;DOC_NAME=FAT:FQL_AUDITING_CLIENT_TEMPLATE.FAT&amp;display_string=Audit&amp;VAR:KEY=ZUXWPMPOZA&amp;VAR:QUERY=RkZfRUJJVERBX09QRVIoUVRSLDQvMS8yMDA5LDYvMzAvMjAwOSwsLFVTRCk=&amp;WINDOW=FIRST_POPUP&amp;HEIGH","T=450&amp;WIDTH=450&amp;START_MAXIMIZED=FALSE&amp;VAR:CALENDAR=US&amp;VAR:SYMBOL=ADI&amp;VAR:INDEX=0"}</definedName>
    <definedName name="_982__FDSAUDITLINK__" localSheetId="1"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2__FDSAUDITLINK__" hidden="1">{"fdsup://directions/FAT Viewer?action=UPDATE&amp;creator=factset&amp;DYN_ARGS=TRUE&amp;DOC_NAME=FAT:FQL_AUDITING_CLIENT_TEMPLATE.FAT&amp;display_string=Audit&amp;VAR:KEY=VGVSFSLCJU&amp;VAR:QUERY=RkZfRUJJVERBX09QRVIoUVRSLDQvMS8yMDEwLDYvMzAvMjAxMCwsLFVTRCk=&amp;WINDOW=FIRST_POPUP&amp;HEIGH","T=450&amp;WIDTH=450&amp;START_MAXIMIZED=FALSE&amp;VAR:CALENDAR=US&amp;VAR:SYMBOL=ADI&amp;VAR:INDEX=0"}</definedName>
    <definedName name="_983__FDSAUDITLINK__" localSheetId="1"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3__FDSAUDITLINK__" hidden="1">{"fdsup://directions/FAT Viewer?action=UPDATE&amp;creator=factset&amp;DYN_ARGS=TRUE&amp;DOC_NAME=FAT:FQL_AUDITING_CLIENT_TEMPLATE.FAT&amp;display_string=Audit&amp;VAR:KEY=VKHMLCPCNU&amp;VAR:QUERY=RkZfRUJJVERBX09QRVIoUVRSLDQvMS8yMDA5LDYvMzAvMjAwOSwsLFVTRCk=&amp;WINDOW=FIRST_POPUP&amp;HEIGH","T=450&amp;WIDTH=450&amp;START_MAXIMIZED=FALSE&amp;VAR:CALENDAR=US&amp;VAR:SYMBOL=ADBE&amp;VAR:INDEX=0"}</definedName>
    <definedName name="_984__FDSAUDITLINK__" localSheetId="1"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4__FDSAUDITLINK__" hidden="1">{"fdsup://directions/FAT Viewer?action=UPDATE&amp;creator=factset&amp;DYN_ARGS=TRUE&amp;DOC_NAME=FAT:FQL_AUDITING_CLIENT_TEMPLATE.FAT&amp;display_string=Audit&amp;VAR:KEY=JCVAVWBQPO&amp;VAR:QUERY=RkZfRUJJVERBX09QRVIoUVRSLDQvMS8yMDEwLDYvMzAvMjAxMCwsLFVTRCk=&amp;WINDOW=FIRST_POPUP&amp;HEIGH","T=450&amp;WIDTH=450&amp;START_MAXIMIZED=FALSE&amp;VAR:CALENDAR=US&amp;VAR:SYMBOL=ADBE&amp;VAR:INDEX=0"}</definedName>
    <definedName name="_985__FDSAUDITLINK__" localSheetId="1"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5__FDSAUDITLINK__" hidden="1">{"fdsup://directions/FAT Viewer?action=UPDATE&amp;creator=factset&amp;DYN_ARGS=TRUE&amp;DOC_NAME=FAT:FQL_AUDITING_CLIENT_TEMPLATE.FAT&amp;display_string=Audit&amp;VAR:KEY=XKBYZADQPG&amp;VAR:QUERY=RkZfRUJJVERBX09QRVIoUVRSLDQvMS8yMDA5LDYvMzAvMjAwOSwsLFVTRCk=&amp;WINDOW=FIRST_POPUP&amp;HEIGH","T=450&amp;WIDTH=450&amp;START_MAXIMIZED=FALSE&amp;VAR:CALENDAR=US&amp;VAR:SYMBOL=ACE&amp;VAR:INDEX=0"}</definedName>
    <definedName name="_986__FDSAUDITLINK__" localSheetId="1"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6__FDSAUDITLINK__" hidden="1">{"fdsup://directions/FAT Viewer?action=UPDATE&amp;creator=factset&amp;DYN_ARGS=TRUE&amp;DOC_NAME=FAT:FQL_AUDITING_CLIENT_TEMPLATE.FAT&amp;display_string=Audit&amp;VAR:KEY=TGFIJOPGNY&amp;VAR:QUERY=RkZfRUJJVERBX09QRVIoUVRSLDQvMS8yMDEwLDYvMzAvMjAxMCwsLFVTRCk=&amp;WINDOW=FIRST_POPUP&amp;HEIGH","T=450&amp;WIDTH=450&amp;START_MAXIMIZED=FALSE&amp;VAR:CALENDAR=US&amp;VAR:SYMBOL=ACE&amp;VAR:INDEX=0"}</definedName>
    <definedName name="_987__FDSAUDITLINK__" localSheetId="1"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7__FDSAUDITLINK__" hidden="1">{"fdsup://directions/FAT Viewer?action=UPDATE&amp;creator=factset&amp;DYN_ARGS=TRUE&amp;DOC_NAME=FAT:FQL_AUDITING_CLIENT_TEMPLATE.FAT&amp;display_string=Audit&amp;VAR:KEY=DUDSPMXQVW&amp;VAR:QUERY=RkZfRUJJVERBX09QRVIoUVRSLDQvMS8yMDA5LDYvMzAvMjAwOSwsLFVTRCk=&amp;WINDOW=FIRST_POPUP&amp;HEIGH","T=450&amp;WIDTH=450&amp;START_MAXIMIZED=FALSE&amp;VAR:CALENDAR=US&amp;VAR:SYMBOL=ABT&amp;VAR:INDEX=0"}</definedName>
    <definedName name="_988__FDSAUDITLINK__" localSheetId="1"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8__FDSAUDITLINK__" hidden="1">{"fdsup://directions/FAT Viewer?action=UPDATE&amp;creator=factset&amp;DYN_ARGS=TRUE&amp;DOC_NAME=FAT:FQL_AUDITING_CLIENT_TEMPLATE.FAT&amp;display_string=Audit&amp;VAR:KEY=RAZCLMXGTW&amp;VAR:QUERY=RkZfRUJJVERBX09QRVIoUVRSLDQvMS8yMDEwLDYvMzAvMjAxMCwsLFVTRCk=&amp;WINDOW=FIRST_POPUP&amp;HEIGH","T=450&amp;WIDTH=450&amp;START_MAXIMIZED=FALSE&amp;VAR:CALENDAR=US&amp;VAR:SYMBOL=ABT&amp;VAR:INDEX=0"}</definedName>
    <definedName name="_989__FDSAUDITLINK__" localSheetId="1"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89__FDSAUDITLINK__" hidden="1">{"fdsup://directions/FAT Viewer?action=UPDATE&amp;creator=factset&amp;DYN_ARGS=TRUE&amp;DOC_NAME=FAT:FQL_AUDITING_CLIENT_TEMPLATE.FAT&amp;display_string=Audit&amp;VAR:KEY=JUREPSVUNS&amp;VAR:QUERY=RkZfRUJJVERBX09QRVIoUVRSLDQvMS8yMDA5LDYvMzAvMjAwOSwsLFVTRCk=&amp;WINDOW=FIRST_POPUP&amp;HEIGH","T=450&amp;WIDTH=450&amp;START_MAXIMIZED=FALSE&amp;VAR:CALENDAR=US&amp;VAR:SYMBOL=ABC&amp;VAR:INDEX=0"}</definedName>
    <definedName name="_99__FDSAUDITLINK__" localSheetId="1"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__FDSAUDITLINK__" hidden="1">{"fdsup://directions/FAT Viewer?action=UPDATE&amp;creator=factset&amp;DYN_ARGS=TRUE&amp;DOC_NAME=FAT:FQL_AUDITING_CLIENT_TEMPLATE.FAT&amp;display_string=Audit&amp;VAR:KEY=LUFIZCFATO&amp;VAR:QUERY=RkZfRUJJVERBX09QRVIoUVRSLDQvMS8yMDA5LDYvMzAvMjAwOSwsLFVTRCk=&amp;WINDOW=FIRST_POPUP&amp;HEIGH","T=450&amp;WIDTH=450&amp;START_MAXIMIZED=FALSE&amp;VAR:CALENDAR=US&amp;VAR:SYMBOL=TXN&amp;VAR:INDEX=0"}</definedName>
    <definedName name="_990__FDSAUDITLINK__" localSheetId="1"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0__FDSAUDITLINK__" hidden="1">{"fdsup://directions/FAT Viewer?action=UPDATE&amp;creator=factset&amp;DYN_ARGS=TRUE&amp;DOC_NAME=FAT:FQL_AUDITING_CLIENT_TEMPLATE.FAT&amp;display_string=Audit&amp;VAR:KEY=JURWDERELK&amp;VAR:QUERY=RkZfRUJJVERBX09QRVIoUVRSLDQvMS8yMDEwLDYvMzAvMjAxMCwsLFVTRCk=&amp;WINDOW=FIRST_POPUP&amp;HEIGH","T=450&amp;WIDTH=450&amp;START_MAXIMIZED=FALSE&amp;VAR:CALENDAR=US&amp;VAR:SYMBOL=ABC&amp;VAR:INDEX=0"}</definedName>
    <definedName name="_991__FDSAUDITLINK__" localSheetId="1"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1__FDSAUDITLINK__" hidden="1">{"fdsup://directions/FAT Viewer?action=UPDATE&amp;creator=factset&amp;DYN_ARGS=TRUE&amp;DOC_NAME=FAT:FQL_AUDITING_CLIENT_TEMPLATE.FAT&amp;display_string=Audit&amp;VAR:KEY=TIRKZCVURA&amp;VAR:QUERY=RkZfRUJJVERBX09QRVIoUVRSLDQvMS8yMDA5LDYvMzAvMjAwOSwsLFVTRCk=&amp;WINDOW=FIRST_POPUP&amp;HEIGH","T=450&amp;WIDTH=450&amp;START_MAXIMIZED=FALSE&amp;VAR:CALENDAR=US&amp;VAR:SYMBOL=AAPL&amp;VAR:INDEX=0"}</definedName>
    <definedName name="_992__FDSAUDITLINK__" localSheetId="1"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2__FDSAUDITLINK__" hidden="1">{"fdsup://directions/FAT Viewer?action=UPDATE&amp;creator=factset&amp;DYN_ARGS=TRUE&amp;DOC_NAME=FAT:FQL_AUDITING_CLIENT_TEMPLATE.FAT&amp;display_string=Audit&amp;VAR:KEY=VOJYLORUXM&amp;VAR:QUERY=RkZfRUJJVERBX09QRVIoUVRSLDQvMS8yMDEwLDYvMzAvMjAxMCwsLFVTRCk=&amp;WINDOW=FIRST_POPUP&amp;HEIGH","T=450&amp;WIDTH=450&amp;START_MAXIMIZED=FALSE&amp;VAR:CALENDAR=US&amp;VAR:SYMBOL=AAPL&amp;VAR:INDEX=0"}</definedName>
    <definedName name="_993__FDSAUDITLINK__" localSheetId="1"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3__FDSAUDITLINK__" hidden="1">{"fdsup://directions/FAT Viewer?action=UPDATE&amp;creator=factset&amp;DYN_ARGS=TRUE&amp;DOC_NAME=FAT:FQL_AUDITING_CLIENT_TEMPLATE.FAT&amp;display_string=Audit&amp;VAR:KEY=FSRSJQREHK&amp;VAR:QUERY=RkZfRUJJVERBX09QRVIoUVRSLDQvMS8yMDA5LDYvMzAvMjAwOSwsLFVTRCk=&amp;WINDOW=FIRST_POPUP&amp;HEIGH","T=450&amp;WIDTH=450&amp;START_MAXIMIZED=FALSE&amp;VAR:CALENDAR=US&amp;VAR:SYMBOL=AA&amp;VAR:INDEX=0"}</definedName>
    <definedName name="_994__FDSAUDITLINK__" localSheetId="1"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4__FDSAUDITLINK__" hidden="1">{"fdsup://directions/FAT Viewer?action=UPDATE&amp;creator=factset&amp;DYN_ARGS=TRUE&amp;DOC_NAME=FAT:FQL_AUDITING_CLIENT_TEMPLATE.FAT&amp;display_string=Audit&amp;VAR:KEY=ZKTOJYZWVK&amp;VAR:QUERY=RkZfRUJJVERBX09QRVIoUVRSLDQvMS8yMDEwLDYvMzAvMjAxMCwsLFVTRCk=&amp;WINDOW=FIRST_POPUP&amp;HEIGH","T=450&amp;WIDTH=450&amp;START_MAXIMIZED=FALSE&amp;VAR:CALENDAR=US&amp;VAR:SYMBOL=AA&amp;VAR:INDEX=0"}</definedName>
    <definedName name="_995__FDSAUDITLINK__" localSheetId="1"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5__FDSAUDITLINK__" hidden="1">{"fdsup://directions/FAT Viewer?action=UPDATE&amp;creator=factset&amp;DYN_ARGS=TRUE&amp;DOC_NAME=FAT:FQL_AUDITING_CLIENT_TEMPLATE.FAT&amp;display_string=Audit&amp;VAR:KEY=TOHINERQTW&amp;VAR:QUERY=RkZfRUJJVERBX09QRVIoUVRSLDQvMS8yMDA5LDYvMzAvMjAwOSwsLFVTRCk=&amp;WINDOW=FIRST_POPUP&amp;HEIGH","T=450&amp;WIDTH=450&amp;START_MAXIMIZED=FALSE&amp;VAR:CALENDAR=US&amp;VAR:SYMBOL=A&amp;VAR:INDEX=0"}</definedName>
    <definedName name="_996__FDSAUDITLINK__" localSheetId="1"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6__FDSAUDITLINK__" hidden="1">{"fdsup://directions/FAT Viewer?action=UPDATE&amp;creator=factset&amp;DYN_ARGS=TRUE&amp;DOC_NAME=FAT:FQL_AUDITING_CLIENT_TEMPLATE.FAT&amp;display_string=Audit&amp;VAR:KEY=FSXOPCZWFG&amp;VAR:QUERY=RkZfRUJJVERBX09QRVIoUVRSLDQvMS8yMDEwLDYvMzAvMjAxMCwsLFVTRCk=&amp;WINDOW=FIRST_POPUP&amp;HEIGH","T=450&amp;WIDTH=450&amp;START_MAXIMIZED=FALSE&amp;VAR:CALENDAR=US&amp;VAR:SYMBOL=A&amp;VAR:INDEX=0"}</definedName>
    <definedName name="_997__FDSAUDITLINK__" localSheetId="1" hidden="1">{"fdsup://Directions/FactSet Auditing Viewer?action=AUDIT_VALUE&amp;DB=129&amp;ID1=98956P10&amp;VALUEID=01001&amp;SDATE=200902&amp;PERIODTYPE=QTR_STD&amp;window=popup_no_bar&amp;width=385&amp;height=120&amp;START_MAXIMIZED=FALSE&amp;creator=factset&amp;display_string=Audit"}</definedName>
    <definedName name="_997__FDSAUDITLINK__" hidden="1">{"fdsup://Directions/FactSet Auditing Viewer?action=AUDIT_VALUE&amp;DB=129&amp;ID1=98956P10&amp;VALUEID=01001&amp;SDATE=200902&amp;PERIODTYPE=QTR_STD&amp;window=popup_no_bar&amp;width=385&amp;height=120&amp;START_MAXIMIZED=FALSE&amp;creator=factset&amp;display_string=Audit"}</definedName>
    <definedName name="_998__FDSAUDITLINK__" localSheetId="1" hidden="1">{"fdsup://Directions/FactSet Auditing Viewer?action=AUDIT_VALUE&amp;DB=129&amp;ID1=98956P10&amp;VALUEID=01001&amp;SDATE=201002&amp;PERIODTYPE=QTR_STD&amp;window=popup_no_bar&amp;width=385&amp;height=120&amp;START_MAXIMIZED=FALSE&amp;creator=factset&amp;display_string=Audit"}</definedName>
    <definedName name="_998__FDSAUDITLINK__" hidden="1">{"fdsup://Directions/FactSet Auditing Viewer?action=AUDIT_VALUE&amp;DB=129&amp;ID1=98956P10&amp;VALUEID=01001&amp;SDATE=201002&amp;PERIODTYPE=QTR_STD&amp;window=popup_no_bar&amp;width=385&amp;height=120&amp;START_MAXIMIZED=FALSE&amp;creator=factset&amp;display_string=Audit"}</definedName>
    <definedName name="_999__FDSAUDITLINK__" localSheetId="1" hidden="1">{"fdsup://Directions/FactSet Auditing Viewer?action=AUDIT_VALUE&amp;DB=129&amp;ID1=98849810&amp;VALUEID=01001&amp;SDATE=200902&amp;PERIODTYPE=QTR_STD&amp;window=popup_no_bar&amp;width=385&amp;height=120&amp;START_MAXIMIZED=FALSE&amp;creator=factset&amp;display_string=Audit"}</definedName>
    <definedName name="_999__FDSAUDITLINK__" hidden="1">{"fdsup://Directions/FactSet Auditing Viewer?action=AUDIT_VALUE&amp;DB=129&amp;ID1=98849810&amp;VALUEID=01001&amp;SDATE=200902&amp;PERIODTYPE=QTR_STD&amp;window=popup_no_bar&amp;width=385&amp;height=120&amp;START_MAXIMIZED=FALSE&amp;creator=factset&amp;display_string=Audit"}</definedName>
    <definedName name="_bdm.049E2CBFDD4A4E91A14B912D61DD0B2A.edm" hidden="1">'[2]qtr-inputs'!$A:$IV</definedName>
    <definedName name="_bdm.2146E1E080234E2AA3383C2E53531D68.edm" localSheetId="6" hidden="1">'Bear DCF'!$1:$1048576</definedName>
    <definedName name="_bdm.2146E1E080234E2AA3383C2E53531D68.edm" localSheetId="8" hidden="1">'Bull DCF'!$1:$1048576</definedName>
    <definedName name="_bdm.2146E1E080234E2AA3383C2E53531D68.edm" hidden="1">'Base DCF'!$1:$1048576</definedName>
    <definedName name="_bdm.24B1A62954CE4D60B0673BD6644CEB56.edm" hidden="1" xml:space="preserve">          '[2]ann-inputs'!$A:$IV</definedName>
    <definedName name="_bdm.2F8D95C718FB4B27978535A5BA0C3188.edm" hidden="1" xml:space="preserve">          '[2]ann-inputs'!$A:$IV</definedName>
    <definedName name="_bdm.4341313FFC5D45D68510BCA0D46F0E5B.edm" hidden="1" xml:space="preserve">          '[2]ann-inputs'!$A:$IV</definedName>
    <definedName name="_bdm.6F8C3BFC0DD74C47AF5DDBB0E192C245.edm" localSheetId="7" hidden="1">'Base DCF'!$I$5:$DB$38</definedName>
    <definedName name="_bdm.6F8C3BFC0DD74C47AF5DDBB0E192C245.edm" localSheetId="6" hidden="1">'Bear DCF'!$I$7:$DB$40</definedName>
    <definedName name="_bdm.6F8C3BFC0DD74C47AF5DDBB0E192C245.edm" localSheetId="8" hidden="1">'Bull DCF'!$I$7:$DB$40</definedName>
    <definedName name="_bdm.74C852B6F9A049409699312ACDFDAEDD.edm" hidden="1">'[2]ann-inputs'!$A:$IV</definedName>
    <definedName name="_bdm.8F45BD6E3B9245E4B1B835584FDF8083.edm" hidden="1" xml:space="preserve">          '[2]ann-inputs'!$A:$IV</definedName>
    <definedName name="_bdm.905C6884778144A5AD741BA372603FB8.edm" hidden="1" xml:space="preserve">          '[2]ann-inputs'!$A:$IV</definedName>
    <definedName name="_bdm.912C6EB121B14932BAA3027FA5D14096.edm" hidden="1" xml:space="preserve">          '[2]ann-inputs'!$A:$IV</definedName>
    <definedName name="_bdm.94FF65D1B5F54CD6A0A4A5E4765458CF.edm" hidden="1">'[2]RR table'!$A:$IV</definedName>
    <definedName name="_bdm.A3FAB734259F4F5AA64A52BAB3A59B5C.edm" hidden="1" xml:space="preserve">          '[2]ann-inputs'!$A:$IV</definedName>
    <definedName name="_bdm.A56EA7AC900D4D5FB90A98F7E86786E8.edm" hidden="1">[3]shipping!$A:$IV</definedName>
    <definedName name="_bdm.B04197FB604941A487B937FAECA7A36F.edm" hidden="1">[3]merchandise!$A:$IV</definedName>
    <definedName name="_bdm.B1B6CF4859974317AC1265E73C3DC65D.edm" hidden="1" xml:space="preserve">          '[2]ann-inputs'!$A:$IV</definedName>
    <definedName name="_bdm.C7F26909EF634DF38064D379AF966948.edm" localSheetId="7" hidden="1">'Base DCF'!$I$5:$DA$38</definedName>
    <definedName name="_bdm.C7F26909EF634DF38064D379AF966948.edm" localSheetId="6" hidden="1">'Bear DCF'!$I$7:$DA$40</definedName>
    <definedName name="_bdm.C7F26909EF634DF38064D379AF966948.edm" localSheetId="8" hidden="1">'Bull DCF'!$I$7:$DA$40</definedName>
    <definedName name="_bdm.D121589B8CF44498A35F95CF8B9ADDD2.edm" hidden="1" xml:space="preserve">          '[2]ann-inputs'!$A:$IV</definedName>
    <definedName name="_bdm.D41DB48A81DB4FE7B9EADA7F079B8122.edm" hidden="1" xml:space="preserve">          '[2]ann-inputs'!$A:$IV</definedName>
    <definedName name="_bdm.D838B78D46764002A4CA2279DB0FAF39.edm" hidden="1" xml:space="preserve">          '[2]ann-inputs'!$A:$IV</definedName>
    <definedName name="_bdm.F656D77493F249AB891FEFF84074FCD5.edm" hidden="1" xml:space="preserve">          '[2]ann-inputs'!$A:$IV</definedName>
    <definedName name="_bdm.FC1C2ABCAFEA4915AABFE7528AFB6FB7.edm" hidden="1" xml:space="preserve">          '[2]ann-inputs'!$A:$IV</definedName>
    <definedName name="_Order1" hidden="1">255</definedName>
    <definedName name="_Order1_1" hidden="1">255</definedName>
    <definedName name="_Order2" hidden="1">0</definedName>
    <definedName name="_Regression_Int" hidden="1">1</definedName>
    <definedName name="AB"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AB" hidden="1">{TRUE,TRUE,-1.25,-15.5,456.75,279.75,FALSE,FALSE,TRUE,TRUE,0,1,21,1,127,6,3,4,TRUE,TRUE,3,TRUE,1,TRUE,100,"Swvu.profits.","ACwvu.profits.",1,FALSE,FALSE,0.511811023622047,0.511811023622047,0.511811023622047,0.511811023622047,1,"","",FALSE,FALSE,FALSE,FALSE,1,#N/A,1,1,#DIV/0!,FALSE,"Rwvu.profits.",#N/A,FALSE,FALSE}</definedName>
    <definedName name="AdditionalInstructions">IndexInformation!$B$42</definedName>
    <definedName name="Address" localSheetId="0">ImportantDisclosures!$A$2:$A$2</definedName>
    <definedName name="adsf"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adsf" hidden="1">{TRUE,TRUE,-1.25,-15.5,456.75,279.75,FALSE,FALSE,TRUE,TRUE,0,1,21,1,127,6,3,4,TRUE,TRUE,3,TRUE,1,TRUE,100,"Swvu.profits.","ACwvu.profits.",1,FALSE,FALSE,0.511811023622047,0.511811023622047,0.511811023622047,0.511811023622047,1,"","",FALSE,FALSE,FALSE,FALSE,1,#N/A,1,1,#DIV/0!,FALSE,"Rwvu.profits.",#N/A,FALSE,FALSE}</definedName>
    <definedName name="ANA" localSheetId="11">ModPubIndex!$A$7</definedName>
    <definedName name="anscount" hidden="1">1</definedName>
    <definedName name="asdf"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asdf" hidden="1">{TRUE,TRUE,-1.25,-15.5,456.75,279.75,FALSE,FALSE,TRUE,TRUE,0,1,8,1,4,6,3,4,TRUE,TRUE,3,TRUE,1,TRUE,100,"Swvu.turnover.","ACwvu.turnover.",1,FALSE,FALSE,0.511811023622047,0.511811023622047,0.511811023622047,0.511811023622047,1,"","",FALSE,FALSE,FALSE,FALSE,1,#N/A,1,1,#DIV/0!,FALSE,"Rwvu.turnover.",#N/A,FALSE,FALSE}</definedName>
    <definedName name="Authors" localSheetId="0">ImportantDisclosures!$A$7</definedName>
    <definedName name="Authors" localSheetId="10">IndexInformation!$B$18</definedName>
    <definedName name="BRO" localSheetId="11">ModPubIndex!$A$1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b_sChart16EBA7BA_opts" hidden="1">"1, 1, 1, False, 2, True, False, , 0, False, True, 1, 2"</definedName>
    <definedName name="cb_sChart1AC0211C_opts" hidden="1">"1, 1, 1, False, 2, False, False, , 0, False, False, 2, 2"</definedName>
    <definedName name="cb_sChart1AC021B3_opts" hidden="1">"1, 1, 1, False, 2, False, False, , 0, False, False, 2, 2"</definedName>
    <definedName name="cb_sChart1AC02226_opts" hidden="1">"1, 1, 1, False, 2, False, False, , 0, False, False, 2, 2"</definedName>
    <definedName name="cb_sChart1AC02446_opts" hidden="1">"1, 1, 1, False, 2, True, False, , 0, False, True, 2, 2"</definedName>
    <definedName name="cb_sChart1AC02765_opts" hidden="1">"1, 1, 1, False, 2, True, False, , 0, False, True, 2, 2"</definedName>
    <definedName name="cb_sChart1AC027D9_opts" hidden="1">"1, 1, 1, False, 2, True, False, , 0, False, True, 2, 2"</definedName>
    <definedName name="CopyrightStamp">ImportantDisclosures!$A$27</definedName>
    <definedName name="COU" localSheetId="11">ModPubIndex!$A$5</definedName>
    <definedName name="CQEnd" localSheetId="10">IndexInformation!$B$31</definedName>
    <definedName name="Currency" localSheetId="10">IndexInformation!$B$24</definedName>
    <definedName name="CurrentStockPrice" localSheetId="10">IndexInformation!$B$23</definedName>
    <definedName name="CurrQtrEPS" localSheetId="10">IndexInformation!$B$29</definedName>
    <definedName name="CurrYearEPS" localSheetId="10">IndexInformation!$B$11</definedName>
    <definedName name="CurrYearTotalRevenue" localSheetId="10">IndexInformation!$B$10</definedName>
    <definedName name="CurrYearTotalRevenueActual" localSheetId="10">IndexInformation!$B$32</definedName>
    <definedName name="CUSIP" localSheetId="10">IndexInformation!$B$20</definedName>
    <definedName name="CYEnd" localSheetId="10">IndexInformation!$B$30</definedName>
    <definedName name="Date" localSheetId="0">ImportantDisclosures!$A$8</definedName>
    <definedName name="Deleted" localSheetId="10">IndexInformation!$B$27</definedName>
    <definedName name="Description" localSheetId="10">IndexInformation!$B$7</definedName>
    <definedName name="Discipline" localSheetId="10">IndexInformation!$B$3</definedName>
    <definedName name="DISCIPLINE" localSheetId="11">ModPubIndex!$A$12</definedName>
    <definedName name="DisclosuresText">ImportantDisclosures!$A$22</definedName>
    <definedName name="Distribution" localSheetId="10">IndexInformation!$B$26</definedName>
    <definedName name="DistTable" localSheetId="0">ImportantDisclosures!#REF!</definedName>
    <definedName name="DistTablePreamble" localSheetId="0">ImportantDisclosures!#REF!</definedName>
    <definedName name="DOCDAT" localSheetId="11">ModPubIndex!$A$2</definedName>
    <definedName name="DOCTIME" localSheetId="11">ModPubIndex!$A$3</definedName>
    <definedName name="DocType" localSheetId="10">IndexInformation!$B$5</definedName>
    <definedName name="EMAIL_ALERT" localSheetId="11">ModPubIndex!$A$10</definedName>
    <definedName name="EmailAlert" localSheetId="10">IndexInformation!$B$28</definedName>
    <definedName name="EquityAdjustments">0</definedName>
    <definedName name="EquityEmployeeStockOwnershipPlan">0</definedName>
    <definedName name="EquityPaidInCapital">0</definedName>
    <definedName name="EquityTreasuryStock">0</definedName>
    <definedName name="fair_value" localSheetId="6">'Bear DCF'!$L$38</definedName>
    <definedName name="fair_value" localSheetId="8">'Bull DCF'!$L$38</definedName>
    <definedName name="fair_value" localSheetId="1">[4]DCF!$L$40</definedName>
    <definedName name="fair_value">'Base DCF'!$L$36</definedName>
    <definedName name="FiveYearGrowthRate" localSheetId="10">IndexInformation!$B$16</definedName>
    <definedName name="FollowingYearEPS" localSheetId="10">IndexInformation!$B$15</definedName>
    <definedName name="FollowingYearTotalRevenue" localSheetId="10">IndexInformation!$B$14</definedName>
    <definedName name="FollowingYearTotalRevenueActual" localSheetId="10">IndexInformation!$B$34</definedName>
    <definedName name="HL" localSheetId="11">ModPubIndex!$A$8</definedName>
    <definedName name="HTML_CodePage" hidden="1">1252</definedName>
    <definedName name="HTML_Control" localSheetId="1" hidden="1">{"'Segment'!$A$1:$J$45"}</definedName>
    <definedName name="HTML_Control" hidden="1">{"'Segment'!$A$1:$J$45"}</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"J:\carpente\Releases\Q2-00\segment2Q-00.htm"</definedName>
    <definedName name="HTML_Title" hidden="1">"Segment and Supplemental Information"</definedName>
    <definedName name="IncomeEPSFullyDiluted">0</definedName>
    <definedName name="IncomeEPSPrimary">0</definedName>
    <definedName name="IncomeEPSRegular">0</definedName>
    <definedName name="IND" localSheetId="11">ModPubIndex!$A$9</definedName>
    <definedName name="Industry" localSheetId="0">ImportantDisclosures!$A$12</definedName>
    <definedName name="IndustryId">IndexInformation!$B$40</definedName>
    <definedName name="IndustryRating" localSheetId="0">ImportantDisclosures!$A$13</definedName>
    <definedName name="Investments" localSheetId="6">BS_LongTermInvestments</definedName>
    <definedName name="Investments" localSheetId="8">BS_LongTermInvestments</definedName>
    <definedName name="Investments" localSheetId="1">BS_LongTermInvestments</definedName>
    <definedName name="Investments">BS_LongTermInvestments</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1"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PAYOUT_RATIO" hidden="1">"c3492"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FRANCHISE_STORES_1" hidden="1">"c2895"</definedName>
    <definedName name="IQ_RETAIL_ACQUIRED_OWNED_STORES" hidden="1">"c2903"</definedName>
    <definedName name="IQ_RETAIL_ACQUIRED_OWNED_STORES_1"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39358.4284837963</definedName>
    <definedName name="IQ_REVISION_DATE__1" hidden="1">39358.4284837963</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jen"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jen" hidden="1">{TRUE,TRUE,-1.25,-15.5,456.75,279.75,FALSE,FALSE,TRUE,TRUE,0,1,8,1,4,6,3,4,TRUE,TRUE,3,TRUE,1,TRUE,100,"Swvu.turnover.","ACwvu.turnover.",1,FALSE,FALSE,0.511811023622047,0.511811023622047,0.511811023622047,0.511811023622047,1,"","",FALSE,FALSE,FALSE,FALSE,1,#N/A,1,1,#DIV/0!,FALSE,"Rwvu.turnover.",#N/A,FALSE,FALSE}</definedName>
    <definedName name="KeepVersions" localSheetId="10">IndexInformation!$B$8</definedName>
    <definedName name="LanguageCode">IndexInformation!$B$38</definedName>
    <definedName name="LastCell" localSheetId="0">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'Base DCF'!$I$5:$DG$46</definedName>
    <definedName name="Linking_2">Model!$I$583:$DA$632</definedName>
    <definedName name="Linking_3">Model!$I$641:$DA$700</definedName>
    <definedName name="Linking_Range_18" localSheetId="6">'Bear DCF'!$I$7:$DB$40</definedName>
    <definedName name="Linking_Range_18" localSheetId="8">'Bull DCF'!$I$7:$DB$40</definedName>
    <definedName name="Linking_Range_18">'Base DCF'!$I$5:$DB$38</definedName>
    <definedName name="Linking_Range_58">Model!$I$7:$DH$164</definedName>
    <definedName name="Linking_Range_59">Model!$I$583:$CY$632</definedName>
    <definedName name="Linking_Range_60">Model!$I$641:$CY$700</definedName>
    <definedName name="Linking_Range_61" localSheetId="6">'Bear DCF'!$I$7:$DG$50</definedName>
    <definedName name="Linking_Range_61" localSheetId="8">'Bull DCF'!$I$7:$DG$53</definedName>
    <definedName name="Linking_Range_61">'Base DCF'!$I$5:$DG$40</definedName>
    <definedName name="Linking_Range_62">'MS v Con'!$B$38:$D$56</definedName>
    <definedName name="Linking_Range_63">'Bull DCF'!$I$7:$DG$53</definedName>
    <definedName name="Linking_Range_64">'Bear DCF'!$I$7:$DG$50</definedName>
    <definedName name="Linking_Range_65">Model!$I$7:$DH$156</definedName>
    <definedName name="Linking_Range_66">Model!$I$641:$CY$698</definedName>
    <definedName name="Linking_Range_67">'MS v Con'!$B$10:$AA$26</definedName>
    <definedName name="Linking_Range_9" localSheetId="6">'Bear DCF'!$I$7:$DA$40</definedName>
    <definedName name="Linking_Range_9" localSheetId="8">'Bull DCF'!$I$7:$DA$40</definedName>
    <definedName name="Linking_Range_9">'Base DCF'!$I$5:$DA$38</definedName>
    <definedName name="Linking_Text_3" localSheetId="6">'Bear DCF'!$CS$15</definedName>
    <definedName name="Linking_Text_3" localSheetId="8">'Bull DCF'!$CS$15</definedName>
    <definedName name="Linking_Text_3">'Base DCF'!$CS$13</definedName>
    <definedName name="MacroVersion" localSheetId="10">IndexInformation!$B$1</definedName>
    <definedName name="ModelPrice" localSheetId="0">ImportantDisclosures!$A$14</definedName>
    <definedName name="Multiplier" localSheetId="10">IndexInformation!$B$35</definedName>
    <definedName name="NextYearEPS" localSheetId="10">IndexInformation!$B$13</definedName>
    <definedName name="NextYearTotalRevenue" localSheetId="10">IndexInformation!$B$12</definedName>
    <definedName name="NextYearTotalRevenueActual" localSheetId="10">IndexInformation!$B$33</definedName>
    <definedName name="Normalized_Income_Statement">"IS_Annual"</definedName>
    <definedName name="ObjectType">IndexInformation!$B$37</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11">ModPubIndex!$A$11</definedName>
    <definedName name="PathName" localSheetId="10">IndexInformation!$B$25</definedName>
    <definedName name="_xlnm.Print_Area" localSheetId="7">'Base DCF'!$I$5:$DB$38</definedName>
    <definedName name="_xlnm.Print_Area">#REF!</definedName>
    <definedName name="PRODUCT" localSheetId="11">ModPubIndex!$A$6</definedName>
    <definedName name="ProjectName" localSheetId="1">{"Client Name or Project Name"}</definedName>
    <definedName name="ProjectName">{"Client Name or Project Name"}</definedName>
    <definedName name="PSYM" localSheetId="11">ModPubIndex!$A$4</definedName>
    <definedName name="PUB_UserID" hidden="1">"MAYERX"</definedName>
    <definedName name="PublishDate" localSheetId="10">IndexInformation!$B$2</definedName>
    <definedName name="Rating" localSheetId="10">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10">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10">IndexInformation!$B$21</definedName>
    <definedName name="SECSettlement" localSheetId="0">ImportantDisclosures!#REF!</definedName>
    <definedName name="SEDOL" localSheetId="10">IndexInformation!$B$22</definedName>
    <definedName name="sencount" hidden="1">1</definedName>
    <definedName name="seniorRate">"SrRate"</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urceDefined" localSheetId="0">ImportantDisclosures!$A$19</definedName>
    <definedName name="SrRate">"SrRating"</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0">ImportantDisclosures!$A$11</definedName>
    <definedName name="SubjectCode" localSheetId="10">IndexInformation!$B$6</definedName>
    <definedName name="SubmitterUserId">IndexInformation!$B$39</definedName>
    <definedName name="SUPPRESSED" localSheetId="11">ModPubIndex!$A$13</definedName>
    <definedName name="t">'Base DCF'!$L$36</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0">IndexInformation!$B$19</definedName>
    <definedName name="UpdateReason" localSheetId="10">IndexInformation!$B$17</definedName>
    <definedName name="USRegDisclosures" localSheetId="0">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wvu.cash." localSheetId="1" hidden="1">{TRUE,TRUE,-1.25,-15.5,456.75,279.75,FALSE,FALSE,TRUE,TRUE,0,1,18,1,199,6,3,4,TRUE,TRUE,3,TRUE,1,TRUE,100,"Swvu.cash.","ACwvu.cash.",1,FALSE,FALSE,0.511811023622047,0.511811023622047,0.511811023622047,0.511811023622047,1,"","",FALSE,FALSE,FALSE,FALSE,1,#N/A,1,1,#DIV/0!,FALSE,"Rwvu.cash.",#N/A,FALSE,FALSE}</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localSheetId="1" hidden="1">{TRUE,TRUE,-1.25,-15.5,456.75,279.75,FALSE,FALSE,TRUE,TRUE,0,1,8,1,4,6,3,4,TRUE,TRUE,3,TRUE,1,TRUE,100,"Swvu.turnover.","ACwvu.turnover.",1,FALSE,FALSE,0.511811023622047,0.511811023622047,0.511811023622047,0.511811023622047,1,"","",FALSE,FALSE,FALSE,FALSE,1,#N/A,1,1,#DIV/0!,FALSE,"Rwvu.turnover.",#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xysz" localSheetId="1" hidden="1">{TRUE,TRUE,-1.25,-15.5,456.75,279.75,FALSE,FALSE,TRUE,TRUE,0,1,21,1,127,6,3,4,TRUE,TRUE,3,TRUE,1,TRUE,100,"Swvu.profits.","ACwvu.profits.",1,FALSE,FALSE,0.511811023622047,0.511811023622047,0.511811023622047,0.511811023622047,1,"","",FALSE,FALSE,FALSE,FALSE,1,#N/A,1,1,#DIV/0!,FALSE,"Rwvu.profits.",#N/A,FALSE,FALSE}</definedName>
    <definedName name="xysz" hidden="1">{TRUE,TRUE,-1.25,-15.5,456.75,279.75,FALSE,FALSE,TRUE,TRUE,0,1,21,1,127,6,3,4,TRUE,TRUE,3,TRUE,1,TRUE,100,"Swvu.profits.","ACwvu.profits.",1,FALSE,FALSE,0.511811023622047,0.511811023622047,0.511811023622047,0.511811023622047,1,"","",FALSE,FALSE,FALSE,FALSE,1,#N/A,1,1,#DIV/0!,FALSE,"Rwvu.profits.",#N/A,FALSE,FALSE}</definedName>
  </definedNames>
  <calcPr calcId="145621"/>
</workbook>
</file>

<file path=xl/calcChain.xml><?xml version="1.0" encoding="utf-8"?>
<calcChain xmlns="http://schemas.openxmlformats.org/spreadsheetml/2006/main">
  <c r="L42" i="26" l="1"/>
  <c r="L42" i="27"/>
  <c r="L45" i="16"/>
  <c r="E45" i="19"/>
  <c r="D45" i="19"/>
  <c r="E44" i="19"/>
  <c r="D44" i="19"/>
  <c r="E43" i="19"/>
  <c r="D43" i="19"/>
  <c r="E42" i="19"/>
  <c r="D42" i="19"/>
  <c r="E41" i="19"/>
  <c r="D41" i="19"/>
  <c r="E40" i="19"/>
  <c r="D40" i="19"/>
  <c r="R6" i="19"/>
  <c r="R10" i="19" s="1"/>
  <c r="M6" i="19"/>
  <c r="M10" i="19" s="1"/>
  <c r="H6" i="19"/>
  <c r="H10" i="19" s="1"/>
  <c r="C6" i="19"/>
  <c r="C10" i="19" s="1"/>
  <c r="S5" i="19"/>
  <c r="T5" i="19" s="1"/>
  <c r="N5" i="19"/>
  <c r="O5" i="19" s="1"/>
  <c r="J5" i="19"/>
  <c r="J6" i="19" s="1"/>
  <c r="J10" i="19" s="1"/>
  <c r="I5" i="19"/>
  <c r="I6" i="19" s="1"/>
  <c r="I10" i="19" s="1"/>
  <c r="D5" i="19"/>
  <c r="E5" i="19" s="1"/>
  <c r="I21" i="19"/>
  <c r="I23" i="19"/>
  <c r="I24" i="19"/>
  <c r="I26" i="19"/>
  <c r="H21" i="19"/>
  <c r="H23" i="19"/>
  <c r="H24" i="19"/>
  <c r="H26" i="19"/>
  <c r="J21" i="19"/>
  <c r="J23" i="19"/>
  <c r="J24" i="19"/>
  <c r="J26" i="19"/>
  <c r="C21" i="19"/>
  <c r="C24" i="19"/>
  <c r="C26" i="19"/>
  <c r="R21" i="19"/>
  <c r="R23" i="19"/>
  <c r="R24" i="19"/>
  <c r="R26" i="19"/>
  <c r="M21" i="19"/>
  <c r="M23" i="19"/>
  <c r="M24" i="19"/>
  <c r="M26" i="19"/>
  <c r="M22" i="19" l="1"/>
  <c r="R22" i="19"/>
  <c r="C22" i="19"/>
  <c r="C25" i="19" s="1"/>
  <c r="J22" i="19"/>
  <c r="J25" i="19" s="1"/>
  <c r="H22" i="19"/>
  <c r="H25" i="19" s="1"/>
  <c r="I22" i="19"/>
  <c r="I25" i="19" s="1"/>
  <c r="M19" i="19"/>
  <c r="M28" i="19" s="1"/>
  <c r="U5" i="19"/>
  <c r="U6" i="19" s="1"/>
  <c r="U10" i="19" s="1"/>
  <c r="T6" i="19"/>
  <c r="T10" i="19" s="1"/>
  <c r="R19" i="19"/>
  <c r="R28" i="19" s="1"/>
  <c r="C19" i="19"/>
  <c r="C28" i="19" s="1"/>
  <c r="J19" i="19"/>
  <c r="J28" i="19" s="1"/>
  <c r="H19" i="19"/>
  <c r="H28" i="19" s="1"/>
  <c r="P5" i="19"/>
  <c r="P6" i="19" s="1"/>
  <c r="P10" i="19" s="1"/>
  <c r="O6" i="19"/>
  <c r="O10" i="19" s="1"/>
  <c r="E6" i="19"/>
  <c r="E10" i="19" s="1"/>
  <c r="F5" i="19"/>
  <c r="I19" i="19"/>
  <c r="I28" i="19" s="1"/>
  <c r="D6" i="19"/>
  <c r="D10" i="19" s="1"/>
  <c r="N6" i="19"/>
  <c r="N10" i="19" s="1"/>
  <c r="S6" i="19"/>
  <c r="S10" i="19" s="1"/>
  <c r="K5" i="19"/>
  <c r="K6" i="19" s="1"/>
  <c r="K10" i="19" s="1"/>
  <c r="CV551" i="5"/>
  <c r="U21" i="19"/>
  <c r="U23" i="19"/>
  <c r="U24" i="19"/>
  <c r="U26" i="19"/>
  <c r="E21" i="19"/>
  <c r="E24" i="19"/>
  <c r="E26" i="19"/>
  <c r="D21" i="19"/>
  <c r="D24" i="19"/>
  <c r="D26" i="19"/>
  <c r="K21" i="19"/>
  <c r="K23" i="19"/>
  <c r="K24" i="19"/>
  <c r="K26" i="19"/>
  <c r="T21" i="19"/>
  <c r="T23" i="19"/>
  <c r="T24" i="19"/>
  <c r="T26" i="19"/>
  <c r="N21" i="19"/>
  <c r="N23" i="19"/>
  <c r="N24" i="19"/>
  <c r="N26" i="19"/>
  <c r="P21" i="19"/>
  <c r="P23" i="19"/>
  <c r="P24" i="19"/>
  <c r="P26" i="19"/>
  <c r="S21" i="19"/>
  <c r="S23" i="19"/>
  <c r="S24" i="19"/>
  <c r="S26" i="19"/>
  <c r="O21" i="19"/>
  <c r="O23" i="19"/>
  <c r="O24" i="19"/>
  <c r="O26" i="19"/>
  <c r="M25" i="19" l="1"/>
  <c r="O22" i="19"/>
  <c r="S22" i="19"/>
  <c r="P22" i="19"/>
  <c r="N22" i="19"/>
  <c r="T22" i="19"/>
  <c r="K22" i="19"/>
  <c r="D22" i="19"/>
  <c r="E22" i="19"/>
  <c r="U22" i="19"/>
  <c r="O19" i="19"/>
  <c r="O28" i="19" s="1"/>
  <c r="S19" i="19"/>
  <c r="S28" i="19" s="1"/>
  <c r="P19" i="19"/>
  <c r="P28" i="19" s="1"/>
  <c r="N19" i="19"/>
  <c r="N28" i="19" s="1"/>
  <c r="F6" i="19"/>
  <c r="F10" i="19" s="1"/>
  <c r="W5" i="19"/>
  <c r="T19" i="19"/>
  <c r="T28" i="19" s="1"/>
  <c r="R25" i="19"/>
  <c r="K19" i="19"/>
  <c r="K28" i="19" s="1"/>
  <c r="D19" i="19"/>
  <c r="D28" i="19" s="1"/>
  <c r="E19" i="19"/>
  <c r="E28" i="19" s="1"/>
  <c r="U19" i="19"/>
  <c r="U28" i="19" s="1"/>
  <c r="F21" i="19"/>
  <c r="F24" i="19"/>
  <c r="F26" i="19"/>
  <c r="Y22" i="19" l="1"/>
  <c r="X22" i="19"/>
  <c r="Z22" i="19"/>
  <c r="N25" i="19"/>
  <c r="K25" i="19"/>
  <c r="U25" i="19"/>
  <c r="S25" i="19"/>
  <c r="F22" i="19"/>
  <c r="E25" i="19"/>
  <c r="W6" i="19"/>
  <c r="X5" i="19"/>
  <c r="D25" i="19"/>
  <c r="T25" i="19"/>
  <c r="P25" i="19"/>
  <c r="O25" i="19"/>
  <c r="F19" i="19"/>
  <c r="F28" i="19" s="1"/>
  <c r="T41" i="19" l="1"/>
  <c r="J41" i="19"/>
  <c r="O41" i="19"/>
  <c r="X6" i="19"/>
  <c r="X10" i="19" s="1"/>
  <c r="Y5" i="19"/>
  <c r="F25" i="19"/>
  <c r="X21" i="19"/>
  <c r="X24" i="19"/>
  <c r="X26" i="19"/>
  <c r="J45" i="19" l="1"/>
  <c r="J43" i="19"/>
  <c r="X25" i="19"/>
  <c r="J44" i="19" s="1"/>
  <c r="J40" i="19"/>
  <c r="X23" i="19"/>
  <c r="X19" i="19"/>
  <c r="X28" i="19" s="1"/>
  <c r="Z5" i="19"/>
  <c r="Y6" i="19"/>
  <c r="Y10" i="19" s="1"/>
  <c r="CC94" i="7"/>
  <c r="Y21" i="19"/>
  <c r="Y24" i="19"/>
  <c r="Y26" i="19"/>
  <c r="O45" i="19" l="1"/>
  <c r="O43" i="19"/>
  <c r="Y25" i="19"/>
  <c r="O44" i="19" s="1"/>
  <c r="O40" i="19"/>
  <c r="Y23" i="19"/>
  <c r="Y19" i="19"/>
  <c r="Y28" i="19" s="1"/>
  <c r="AA5" i="19"/>
  <c r="Z6" i="19"/>
  <c r="Z10" i="19" s="1"/>
  <c r="J42" i="19"/>
  <c r="BT361" i="5"/>
  <c r="Z21" i="19"/>
  <c r="Z24" i="19"/>
  <c r="Z26" i="19"/>
  <c r="T45" i="19" l="1"/>
  <c r="T43" i="19"/>
  <c r="Z25" i="19"/>
  <c r="T44" i="19" s="1"/>
  <c r="T40" i="19"/>
  <c r="Z23" i="19"/>
  <c r="O42" i="19"/>
  <c r="Z19" i="19"/>
  <c r="Z28" i="19" s="1"/>
  <c r="AA6" i="19"/>
  <c r="AA10" i="19" s="1"/>
  <c r="AB5" i="19"/>
  <c r="AB6" i="19" s="1"/>
  <c r="AB10" i="19" s="1"/>
  <c r="BX171" i="6"/>
  <c r="BX186" i="6"/>
  <c r="AB21" i="19"/>
  <c r="AB23" i="19"/>
  <c r="AB24" i="19"/>
  <c r="AB26" i="19"/>
  <c r="AA21" i="19"/>
  <c r="AA23" i="19"/>
  <c r="AA24" i="19"/>
  <c r="AA26" i="19"/>
  <c r="AA22" i="19" l="1"/>
  <c r="AB22" i="19"/>
  <c r="AA19" i="19"/>
  <c r="AA28" i="19" s="1"/>
  <c r="T42" i="19"/>
  <c r="AB19" i="19"/>
  <c r="AB28" i="19" s="1"/>
  <c r="CX11" i="6"/>
  <c r="AA25" i="19" l="1"/>
  <c r="AB25" i="19"/>
  <c r="CX496" i="5"/>
  <c r="CX495" i="5"/>
  <c r="CZ1337" i="18" l="1"/>
  <c r="CY1337" i="18"/>
  <c r="CX1337" i="18"/>
  <c r="CW1337" i="18"/>
  <c r="CV1337" i="18"/>
  <c r="CU1337" i="18"/>
  <c r="CT1337" i="18"/>
  <c r="CS1337" i="18"/>
  <c r="CR1337" i="18"/>
  <c r="CQ1337" i="18"/>
  <c r="CP1337" i="18"/>
  <c r="CO1337" i="18"/>
  <c r="CN1337" i="18"/>
  <c r="CM1337" i="18"/>
  <c r="CL1337" i="18"/>
  <c r="CK1337" i="18"/>
  <c r="CJ1337" i="18"/>
  <c r="CI1337" i="18"/>
  <c r="CH1337" i="18"/>
  <c r="CG1337" i="18"/>
  <c r="CF1337" i="18"/>
  <c r="CE1337" i="18"/>
  <c r="CD1337" i="18"/>
  <c r="CC1337" i="18"/>
  <c r="CB1337" i="18"/>
  <c r="CA1337" i="18"/>
  <c r="BZ1337" i="18"/>
  <c r="BY1337" i="18"/>
  <c r="BX1337" i="18"/>
  <c r="BW1337" i="18"/>
  <c r="BV1337" i="18"/>
  <c r="BU1337" i="18"/>
  <c r="BT1337" i="18"/>
  <c r="BS1337" i="18"/>
  <c r="BR1337" i="18"/>
  <c r="BQ1337" i="18"/>
  <c r="BP1337" i="18"/>
  <c r="BO1337" i="18"/>
  <c r="BN1337" i="18"/>
  <c r="BM1337" i="18"/>
  <c r="BL1337" i="18"/>
  <c r="BK1337" i="18"/>
  <c r="BJ1337" i="18"/>
  <c r="BI1337" i="18"/>
  <c r="BH1337" i="18"/>
  <c r="BG1337" i="18"/>
  <c r="BF1337" i="18"/>
  <c r="BE1337" i="18"/>
  <c r="BD1337" i="18"/>
  <c r="BC1337" i="18"/>
  <c r="BB1337" i="18"/>
  <c r="BA1337" i="18"/>
  <c r="AZ1337" i="18"/>
  <c r="AY1337" i="18"/>
  <c r="AX1337" i="18"/>
  <c r="AW1337" i="18"/>
  <c r="AV1337" i="18"/>
  <c r="AU1337" i="18"/>
  <c r="AT1337" i="18"/>
  <c r="AS1337" i="18"/>
  <c r="AR1337" i="18"/>
  <c r="AQ1337" i="18"/>
  <c r="AP1337" i="18"/>
  <c r="AO1337" i="18"/>
  <c r="AN1337" i="18"/>
  <c r="AM1337" i="18"/>
  <c r="AL1337" i="18"/>
  <c r="AK1337" i="18"/>
  <c r="AJ1337" i="18"/>
  <c r="AI1337" i="18"/>
  <c r="AH1337" i="18"/>
  <c r="AG1337" i="18"/>
  <c r="AF1337" i="18"/>
  <c r="AE1337" i="18"/>
  <c r="AD1337" i="18"/>
  <c r="AC1337" i="18"/>
  <c r="AB1337" i="18"/>
  <c r="AA1337" i="18"/>
  <c r="Z1337" i="18"/>
  <c r="Y1337" i="18"/>
  <c r="X1337" i="18"/>
  <c r="W1337" i="18"/>
  <c r="V1337" i="18"/>
  <c r="U1337" i="18"/>
  <c r="T1337" i="18"/>
  <c r="S1337" i="18"/>
  <c r="R1337" i="18"/>
  <c r="Q1337" i="18"/>
  <c r="P1337" i="18"/>
  <c r="O1337" i="18"/>
  <c r="N1337" i="18"/>
  <c r="M1337" i="18"/>
  <c r="L1337" i="18"/>
  <c r="K1337" i="18"/>
  <c r="J1337" i="18"/>
  <c r="I1337" i="18"/>
  <c r="H1337" i="18"/>
  <c r="G1337" i="18"/>
  <c r="F1337" i="18"/>
  <c r="E1337" i="18"/>
  <c r="D1337" i="18"/>
  <c r="C1337" i="18"/>
  <c r="B1337" i="18"/>
  <c r="A1337" i="18"/>
  <c r="CY1336" i="18"/>
  <c r="CM1336" i="18"/>
  <c r="CL1336" i="18"/>
  <c r="CK1336" i="18"/>
  <c r="CJ1336" i="18"/>
  <c r="CI1336" i="18"/>
  <c r="CH1336" i="18"/>
  <c r="CG1336" i="18"/>
  <c r="CF1336" i="18"/>
  <c r="CE1336" i="18"/>
  <c r="CD1336" i="18"/>
  <c r="CC1336" i="18"/>
  <c r="CB1336" i="18"/>
  <c r="CA1336" i="18"/>
  <c r="BZ1336" i="18"/>
  <c r="BY1336" i="18"/>
  <c r="BH1336" i="18"/>
  <c r="BG1336" i="18"/>
  <c r="BF1336" i="18"/>
  <c r="BE1336" i="18"/>
  <c r="BD1336" i="18"/>
  <c r="BC1336" i="18"/>
  <c r="BB1336" i="18"/>
  <c r="BA1336" i="18"/>
  <c r="AZ1336" i="18"/>
  <c r="AY1336" i="18"/>
  <c r="AX1336" i="18"/>
  <c r="AW1336" i="18"/>
  <c r="AV1336" i="18"/>
  <c r="AU1336" i="18"/>
  <c r="AT1336" i="18"/>
  <c r="AS1336" i="18"/>
  <c r="AR1336" i="18"/>
  <c r="AQ1336" i="18"/>
  <c r="AP1336" i="18"/>
  <c r="AO1336" i="18"/>
  <c r="AN1336" i="18"/>
  <c r="AM1336" i="18"/>
  <c r="AL1336" i="18"/>
  <c r="AK1336" i="18"/>
  <c r="AJ1336" i="18"/>
  <c r="AI1336" i="18"/>
  <c r="AH1336" i="18"/>
  <c r="AG1336" i="18"/>
  <c r="AF1336" i="18"/>
  <c r="AE1336" i="18"/>
  <c r="AD1336" i="18"/>
  <c r="AC1336" i="18"/>
  <c r="AB1336" i="18"/>
  <c r="AA1336" i="18"/>
  <c r="Z1336" i="18"/>
  <c r="Y1336" i="18"/>
  <c r="X1336" i="18"/>
  <c r="W1336" i="18"/>
  <c r="V1336" i="18"/>
  <c r="U1336" i="18"/>
  <c r="T1336" i="18"/>
  <c r="S1336" i="18"/>
  <c r="R1336" i="18"/>
  <c r="Q1336" i="18"/>
  <c r="P1336" i="18"/>
  <c r="O1336" i="18"/>
  <c r="N1336" i="18"/>
  <c r="M1336" i="18"/>
  <c r="L1336" i="18"/>
  <c r="K1336" i="18"/>
  <c r="J1336" i="18"/>
  <c r="I1336" i="18"/>
  <c r="H1336" i="18"/>
  <c r="G1336" i="18"/>
  <c r="F1336" i="18"/>
  <c r="E1336" i="18"/>
  <c r="D1336" i="18"/>
  <c r="C1336" i="18"/>
  <c r="B1336" i="18"/>
  <c r="A1336" i="18"/>
  <c r="CZ1335" i="18"/>
  <c r="CY1335" i="18"/>
  <c r="CM1335" i="18"/>
  <c r="CL1335" i="18"/>
  <c r="CK1335" i="18"/>
  <c r="CJ1335" i="18"/>
  <c r="CI1335" i="18"/>
  <c r="CH1335" i="18"/>
  <c r="CG1335" i="18"/>
  <c r="CF1335" i="18"/>
  <c r="CE1335" i="18"/>
  <c r="CD1335" i="18"/>
  <c r="CC1335" i="18"/>
  <c r="CB1335" i="18"/>
  <c r="CA1335" i="18"/>
  <c r="BZ1335" i="18"/>
  <c r="BY1335" i="18"/>
  <c r="BX1335" i="18"/>
  <c r="BW1335" i="18"/>
  <c r="BV1335" i="18"/>
  <c r="BU1335" i="18"/>
  <c r="BH1335" i="18"/>
  <c r="BG1335" i="18"/>
  <c r="BF1335" i="18"/>
  <c r="BE1335" i="18"/>
  <c r="BD1335" i="18"/>
  <c r="BC1335" i="18"/>
  <c r="BB1335" i="18"/>
  <c r="BA1335" i="18"/>
  <c r="AZ1335" i="18"/>
  <c r="AY1335" i="18"/>
  <c r="AX1335" i="18"/>
  <c r="AW1335" i="18"/>
  <c r="AV1335" i="18"/>
  <c r="AU1335" i="18"/>
  <c r="AT1335" i="18"/>
  <c r="AS1335" i="18"/>
  <c r="AR1335" i="18"/>
  <c r="AQ1335" i="18"/>
  <c r="AP1335" i="18"/>
  <c r="AO1335" i="18"/>
  <c r="AN1335" i="18"/>
  <c r="AM1335" i="18"/>
  <c r="AL1335" i="18"/>
  <c r="AK1335" i="18"/>
  <c r="AJ1335" i="18"/>
  <c r="AI1335" i="18"/>
  <c r="AH1335" i="18"/>
  <c r="AG1335" i="18"/>
  <c r="AF1335" i="18"/>
  <c r="AE1335" i="18"/>
  <c r="AD1335" i="18"/>
  <c r="AC1335" i="18"/>
  <c r="AB1335" i="18"/>
  <c r="AA1335" i="18"/>
  <c r="Z1335" i="18"/>
  <c r="Y1335" i="18"/>
  <c r="X1335" i="18"/>
  <c r="W1335" i="18"/>
  <c r="V1335" i="18"/>
  <c r="U1335" i="18"/>
  <c r="T1335" i="18"/>
  <c r="S1335" i="18"/>
  <c r="R1335" i="18"/>
  <c r="Q1335" i="18"/>
  <c r="P1335" i="18"/>
  <c r="O1335" i="18"/>
  <c r="N1335" i="18"/>
  <c r="M1335" i="18"/>
  <c r="L1335" i="18"/>
  <c r="K1335" i="18"/>
  <c r="J1335" i="18"/>
  <c r="I1335" i="18"/>
  <c r="H1335" i="18"/>
  <c r="G1335" i="18"/>
  <c r="F1335" i="18"/>
  <c r="E1335" i="18"/>
  <c r="D1335" i="18"/>
  <c r="C1335" i="18"/>
  <c r="B1335" i="18"/>
  <c r="A1335" i="18"/>
  <c r="CZ1334" i="18"/>
  <c r="CY1334" i="18"/>
  <c r="CM1334" i="18"/>
  <c r="CL1334" i="18"/>
  <c r="CK1334" i="18"/>
  <c r="CJ1334" i="18"/>
  <c r="CI1334" i="18"/>
  <c r="CH1334" i="18"/>
  <c r="CG1334" i="18"/>
  <c r="CF1334" i="18"/>
  <c r="CE1334" i="18"/>
  <c r="CD1334" i="18"/>
  <c r="CC1334" i="18"/>
  <c r="CB1334" i="18"/>
  <c r="CA1334" i="18"/>
  <c r="BZ1334" i="18"/>
  <c r="BY1334" i="18"/>
  <c r="BX1334" i="18"/>
  <c r="BW1334" i="18"/>
  <c r="BV1334" i="18"/>
  <c r="BU1334" i="18"/>
  <c r="BH1334" i="18"/>
  <c r="BG1334" i="18"/>
  <c r="BF1334" i="18"/>
  <c r="BE1334" i="18"/>
  <c r="BD1334" i="18"/>
  <c r="BC1334" i="18"/>
  <c r="BB1334" i="18"/>
  <c r="BA1334" i="18"/>
  <c r="AZ1334" i="18"/>
  <c r="AY1334" i="18"/>
  <c r="AX1334" i="18"/>
  <c r="AW1334" i="18"/>
  <c r="AV1334" i="18"/>
  <c r="AU1334" i="18"/>
  <c r="AT1334" i="18"/>
  <c r="AS1334" i="18"/>
  <c r="AR1334" i="18"/>
  <c r="AQ1334" i="18"/>
  <c r="AP1334" i="18"/>
  <c r="AO1334" i="18"/>
  <c r="AN1334" i="18"/>
  <c r="AM1334" i="18"/>
  <c r="AL1334" i="18"/>
  <c r="AK1334" i="18"/>
  <c r="AJ1334" i="18"/>
  <c r="AI1334" i="18"/>
  <c r="AH1334" i="18"/>
  <c r="AG1334" i="18"/>
  <c r="AF1334" i="18"/>
  <c r="AE1334" i="18"/>
  <c r="AD1334" i="18"/>
  <c r="AC1334" i="18"/>
  <c r="AB1334" i="18"/>
  <c r="AA1334" i="18"/>
  <c r="Z1334" i="18"/>
  <c r="Y1334" i="18"/>
  <c r="X1334" i="18"/>
  <c r="W1334" i="18"/>
  <c r="V1334" i="18"/>
  <c r="U1334" i="18"/>
  <c r="T1334" i="18"/>
  <c r="S1334" i="18"/>
  <c r="R1334" i="18"/>
  <c r="Q1334" i="18"/>
  <c r="P1334" i="18"/>
  <c r="O1334" i="18"/>
  <c r="N1334" i="18"/>
  <c r="M1334" i="18"/>
  <c r="L1334" i="18"/>
  <c r="K1334" i="18"/>
  <c r="J1334" i="18"/>
  <c r="I1334" i="18"/>
  <c r="H1334" i="18"/>
  <c r="G1334" i="18"/>
  <c r="F1334" i="18"/>
  <c r="E1334" i="18"/>
  <c r="D1334" i="18"/>
  <c r="C1334" i="18"/>
  <c r="B1334" i="18"/>
  <c r="A1334" i="18"/>
  <c r="CZ1333" i="18"/>
  <c r="CY1333" i="18"/>
  <c r="CM1333" i="18"/>
  <c r="CL1333" i="18"/>
  <c r="CK1333" i="18"/>
  <c r="CJ1333" i="18"/>
  <c r="CI1333" i="18"/>
  <c r="CH1333" i="18"/>
  <c r="CG1333" i="18"/>
  <c r="CF1333" i="18"/>
  <c r="CE1333" i="18"/>
  <c r="CD1333" i="18"/>
  <c r="CC1333" i="18"/>
  <c r="CB1333" i="18"/>
  <c r="CA1333" i="18"/>
  <c r="BZ1333" i="18"/>
  <c r="BY1333" i="18"/>
  <c r="BH1333" i="18"/>
  <c r="BG1333" i="18"/>
  <c r="BF1333" i="18"/>
  <c r="BE1333" i="18"/>
  <c r="BD1333" i="18"/>
  <c r="BC1333" i="18"/>
  <c r="BB1333" i="18"/>
  <c r="BA1333" i="18"/>
  <c r="AZ1333" i="18"/>
  <c r="AY1333" i="18"/>
  <c r="AX1333" i="18"/>
  <c r="AW1333" i="18"/>
  <c r="AV1333" i="18"/>
  <c r="AU1333" i="18"/>
  <c r="AT1333" i="18"/>
  <c r="AS1333" i="18"/>
  <c r="AR1333" i="18"/>
  <c r="AQ1333" i="18"/>
  <c r="AP1333" i="18"/>
  <c r="AO1333" i="18"/>
  <c r="AN1333" i="18"/>
  <c r="AM1333" i="18"/>
  <c r="AL1333" i="18"/>
  <c r="AK1333" i="18"/>
  <c r="AJ1333" i="18"/>
  <c r="AI1333" i="18"/>
  <c r="AH1333" i="18"/>
  <c r="AG1333" i="18"/>
  <c r="AF1333" i="18"/>
  <c r="AE1333" i="18"/>
  <c r="AD1333" i="18"/>
  <c r="AC1333" i="18"/>
  <c r="AB1333" i="18"/>
  <c r="AA1333" i="18"/>
  <c r="Z1333" i="18"/>
  <c r="Y1333" i="18"/>
  <c r="X1333" i="18"/>
  <c r="W1333" i="18"/>
  <c r="V1333" i="18"/>
  <c r="U1333" i="18"/>
  <c r="T1333" i="18"/>
  <c r="S1333" i="18"/>
  <c r="R1333" i="18"/>
  <c r="Q1333" i="18"/>
  <c r="P1333" i="18"/>
  <c r="O1333" i="18"/>
  <c r="N1333" i="18"/>
  <c r="M1333" i="18"/>
  <c r="L1333" i="18"/>
  <c r="K1333" i="18"/>
  <c r="J1333" i="18"/>
  <c r="I1333" i="18"/>
  <c r="H1333" i="18"/>
  <c r="G1333" i="18"/>
  <c r="F1333" i="18"/>
  <c r="E1333" i="18"/>
  <c r="D1333" i="18"/>
  <c r="C1333" i="18"/>
  <c r="B1333" i="18"/>
  <c r="A1333" i="18"/>
  <c r="CZ1332" i="18"/>
  <c r="CY1332" i="18"/>
  <c r="CX1332" i="18"/>
  <c r="CW1332" i="18"/>
  <c r="CV1332" i="18"/>
  <c r="CU1332" i="18"/>
  <c r="CT1332" i="18"/>
  <c r="CS1332" i="18"/>
  <c r="CR1332" i="18"/>
  <c r="CQ1332" i="18"/>
  <c r="CP1332" i="18"/>
  <c r="CO1332" i="18"/>
  <c r="CN1332" i="18"/>
  <c r="CM1332" i="18"/>
  <c r="CL1332" i="18"/>
  <c r="CK1332" i="18"/>
  <c r="CJ1332" i="18"/>
  <c r="CI1332" i="18"/>
  <c r="CH1332" i="18"/>
  <c r="CG1332" i="18"/>
  <c r="CF1332" i="18"/>
  <c r="CE1332" i="18"/>
  <c r="CD1332" i="18"/>
  <c r="CC1332" i="18"/>
  <c r="CB1332" i="18"/>
  <c r="CA1332" i="18"/>
  <c r="BZ1332" i="18"/>
  <c r="BY1332" i="18"/>
  <c r="BX1332" i="18"/>
  <c r="BW1332" i="18"/>
  <c r="BV1332" i="18"/>
  <c r="BU1332" i="18"/>
  <c r="BT1332" i="18"/>
  <c r="BS1332" i="18"/>
  <c r="BR1332" i="18"/>
  <c r="BQ1332" i="18"/>
  <c r="BP1332" i="18"/>
  <c r="BO1332" i="18"/>
  <c r="BN1332" i="18"/>
  <c r="BM1332" i="18"/>
  <c r="BL1332" i="18"/>
  <c r="BK1332" i="18"/>
  <c r="BJ1332" i="18"/>
  <c r="BI1332" i="18"/>
  <c r="BH1332" i="18"/>
  <c r="BG1332" i="18"/>
  <c r="BF1332" i="18"/>
  <c r="BE1332" i="18"/>
  <c r="BD1332" i="18"/>
  <c r="BC1332" i="18"/>
  <c r="BB1332" i="18"/>
  <c r="BA1332" i="18"/>
  <c r="AZ1332" i="18"/>
  <c r="AY1332" i="18"/>
  <c r="AX1332" i="18"/>
  <c r="AW1332" i="18"/>
  <c r="AV1332" i="18"/>
  <c r="AU1332" i="18"/>
  <c r="AT1332" i="18"/>
  <c r="AS1332" i="18"/>
  <c r="AR1332" i="18"/>
  <c r="AQ1332" i="18"/>
  <c r="AP1332" i="18"/>
  <c r="AO1332" i="18"/>
  <c r="AN1332" i="18"/>
  <c r="AM1332" i="18"/>
  <c r="AL1332" i="18"/>
  <c r="AK1332" i="18"/>
  <c r="AJ1332" i="18"/>
  <c r="AI1332" i="18"/>
  <c r="AH1332" i="18"/>
  <c r="AG1332" i="18"/>
  <c r="AF1332" i="18"/>
  <c r="AE1332" i="18"/>
  <c r="AD1332" i="18"/>
  <c r="AC1332" i="18"/>
  <c r="AB1332" i="18"/>
  <c r="AA1332" i="18"/>
  <c r="Z1332" i="18"/>
  <c r="Y1332" i="18"/>
  <c r="X1332" i="18"/>
  <c r="W1332" i="18"/>
  <c r="V1332" i="18"/>
  <c r="U1332" i="18"/>
  <c r="T1332" i="18"/>
  <c r="S1332" i="18"/>
  <c r="R1332" i="18"/>
  <c r="Q1332" i="18"/>
  <c r="P1332" i="18"/>
  <c r="O1332" i="18"/>
  <c r="N1332" i="18"/>
  <c r="M1332" i="18"/>
  <c r="L1332" i="18"/>
  <c r="K1332" i="18"/>
  <c r="J1332" i="18"/>
  <c r="I1332" i="18"/>
  <c r="H1332" i="18"/>
  <c r="G1332" i="18"/>
  <c r="F1332" i="18"/>
  <c r="E1332" i="18"/>
  <c r="D1332" i="18"/>
  <c r="C1332" i="18"/>
  <c r="B1332" i="18"/>
  <c r="A1332" i="18"/>
  <c r="CI1331" i="18"/>
  <c r="CH1331" i="18"/>
  <c r="CG1331" i="18"/>
  <c r="CF1331" i="18"/>
  <c r="CE1331" i="18"/>
  <c r="CD1331" i="18"/>
  <c r="CC1331" i="18"/>
  <c r="CB1331" i="18"/>
  <c r="CA1331" i="18"/>
  <c r="BZ1331" i="18"/>
  <c r="BY1331" i="18"/>
  <c r="AR1331" i="18"/>
  <c r="AQ1331" i="18"/>
  <c r="AP1331" i="18"/>
  <c r="AO1331" i="18"/>
  <c r="AN1331" i="18"/>
  <c r="AM1331" i="18"/>
  <c r="AL1331" i="18"/>
  <c r="AK1331" i="18"/>
  <c r="AJ1331" i="18"/>
  <c r="AI1331" i="18"/>
  <c r="AH1331" i="18"/>
  <c r="AG1331" i="18"/>
  <c r="AF1331" i="18"/>
  <c r="AE1331" i="18"/>
  <c r="AD1331" i="18"/>
  <c r="AC1331" i="18"/>
  <c r="AB1331" i="18"/>
  <c r="AA1331" i="18"/>
  <c r="Z1331" i="18"/>
  <c r="Y1331" i="18"/>
  <c r="X1331" i="18"/>
  <c r="W1331" i="18"/>
  <c r="V1331" i="18"/>
  <c r="U1331" i="18"/>
  <c r="T1331" i="18"/>
  <c r="S1331" i="18"/>
  <c r="R1331" i="18"/>
  <c r="Q1331" i="18"/>
  <c r="P1331" i="18"/>
  <c r="O1331" i="18"/>
  <c r="N1331" i="18"/>
  <c r="M1331" i="18"/>
  <c r="L1331" i="18"/>
  <c r="K1331" i="18"/>
  <c r="J1331" i="18"/>
  <c r="I1331" i="18"/>
  <c r="H1331" i="18"/>
  <c r="G1331" i="18"/>
  <c r="F1331" i="18"/>
  <c r="E1331" i="18"/>
  <c r="D1331" i="18"/>
  <c r="C1331" i="18"/>
  <c r="B1331" i="18"/>
  <c r="A1331" i="18"/>
  <c r="CZ1330" i="18"/>
  <c r="CY1330" i="18"/>
  <c r="CX1330" i="18"/>
  <c r="CW1330" i="18"/>
  <c r="CV1330" i="18"/>
  <c r="CU1330" i="18"/>
  <c r="CT1330" i="18"/>
  <c r="CS1330" i="18"/>
  <c r="CR1330" i="18"/>
  <c r="CQ1330" i="18"/>
  <c r="CP1330" i="18"/>
  <c r="CO1330" i="18"/>
  <c r="CN1330" i="18"/>
  <c r="CM1330" i="18"/>
  <c r="CL1330" i="18"/>
  <c r="CK1330" i="18"/>
  <c r="CJ1330" i="18"/>
  <c r="CI1330" i="18"/>
  <c r="CH1330" i="18"/>
  <c r="CG1330" i="18"/>
  <c r="CF1330" i="18"/>
  <c r="CE1330" i="18"/>
  <c r="CD1330" i="18"/>
  <c r="CC1330" i="18"/>
  <c r="CB1330" i="18"/>
  <c r="CA1330" i="18"/>
  <c r="BZ1330" i="18"/>
  <c r="BY1330" i="18"/>
  <c r="BX1330" i="18"/>
  <c r="BW1330" i="18"/>
  <c r="BV1330" i="18"/>
  <c r="BT1330" i="18"/>
  <c r="BS1330" i="18"/>
  <c r="BR1330" i="18"/>
  <c r="BQ1330" i="18"/>
  <c r="BP1330" i="18"/>
  <c r="BO1330" i="18"/>
  <c r="BN1330" i="18"/>
  <c r="BM1330" i="18"/>
  <c r="BL1330" i="18"/>
  <c r="BK1330" i="18"/>
  <c r="BJ1330" i="18"/>
  <c r="BI1330" i="18"/>
  <c r="BH1330" i="18"/>
  <c r="BG1330" i="18"/>
  <c r="BF1330" i="18"/>
  <c r="BE1330" i="18"/>
  <c r="BD1330" i="18"/>
  <c r="BC1330" i="18"/>
  <c r="BB1330" i="18"/>
  <c r="BA1330" i="18"/>
  <c r="AZ1330" i="18"/>
  <c r="AY1330" i="18"/>
  <c r="AX1330" i="18"/>
  <c r="AW1330" i="18"/>
  <c r="AV1330" i="18"/>
  <c r="AU1330" i="18"/>
  <c r="AT1330" i="18"/>
  <c r="AS1330" i="18"/>
  <c r="AR1330" i="18"/>
  <c r="AQ1330" i="18"/>
  <c r="AP1330" i="18"/>
  <c r="AO1330" i="18"/>
  <c r="AN1330" i="18"/>
  <c r="AM1330" i="18"/>
  <c r="AL1330" i="18"/>
  <c r="AK1330" i="18"/>
  <c r="AJ1330" i="18"/>
  <c r="AI1330" i="18"/>
  <c r="AH1330" i="18"/>
  <c r="AG1330" i="18"/>
  <c r="AF1330" i="18"/>
  <c r="AE1330" i="18"/>
  <c r="AD1330" i="18"/>
  <c r="AC1330" i="18"/>
  <c r="AB1330" i="18"/>
  <c r="AA1330" i="18"/>
  <c r="Z1330" i="18"/>
  <c r="Y1330" i="18"/>
  <c r="X1330" i="18"/>
  <c r="W1330" i="18"/>
  <c r="V1330" i="18"/>
  <c r="U1330" i="18"/>
  <c r="T1330" i="18"/>
  <c r="S1330" i="18"/>
  <c r="R1330" i="18"/>
  <c r="Q1330" i="18"/>
  <c r="P1330" i="18"/>
  <c r="O1330" i="18"/>
  <c r="N1330" i="18"/>
  <c r="M1330" i="18"/>
  <c r="L1330" i="18"/>
  <c r="K1330" i="18"/>
  <c r="J1330" i="18"/>
  <c r="I1330" i="18"/>
  <c r="H1330" i="18"/>
  <c r="G1330" i="18"/>
  <c r="F1330" i="18"/>
  <c r="E1330" i="18"/>
  <c r="D1330" i="18"/>
  <c r="C1330" i="18"/>
  <c r="B1330" i="18"/>
  <c r="A1330" i="18"/>
  <c r="CZ1329" i="18"/>
  <c r="CY1329" i="18"/>
  <c r="CN1329" i="18"/>
  <c r="CM1329" i="18"/>
  <c r="CL1329" i="18"/>
  <c r="CK1329" i="18"/>
  <c r="CJ1329" i="18"/>
  <c r="CI1329" i="18"/>
  <c r="CH1329" i="18"/>
  <c r="CG1329" i="18"/>
  <c r="CF1329" i="18"/>
  <c r="CE1329" i="18"/>
  <c r="CD1329" i="18"/>
  <c r="CC1329" i="18"/>
  <c r="CB1329" i="18"/>
  <c r="CA1329" i="18"/>
  <c r="BZ1329" i="18"/>
  <c r="BY1329" i="18"/>
  <c r="BL1329" i="18"/>
  <c r="BK1329" i="18"/>
  <c r="BJ1329" i="18"/>
  <c r="BI1329" i="18"/>
  <c r="BH1329" i="18"/>
  <c r="BG1329" i="18"/>
  <c r="BF1329" i="18"/>
  <c r="BE1329" i="18"/>
  <c r="BD1329" i="18"/>
  <c r="BC1329" i="18"/>
  <c r="BB1329" i="18"/>
  <c r="BA1329" i="18"/>
  <c r="AZ1329" i="18"/>
  <c r="AY1329" i="18"/>
  <c r="AX1329" i="18"/>
  <c r="AW1329" i="18"/>
  <c r="AV1329" i="18"/>
  <c r="AU1329" i="18"/>
  <c r="AT1329" i="18"/>
  <c r="AS1329" i="18"/>
  <c r="AR1329" i="18"/>
  <c r="AQ1329" i="18"/>
  <c r="AP1329" i="18"/>
  <c r="AO1329" i="18"/>
  <c r="AN1329" i="18"/>
  <c r="AM1329" i="18"/>
  <c r="AL1329" i="18"/>
  <c r="AK1329" i="18"/>
  <c r="AJ1329" i="18"/>
  <c r="AI1329" i="18"/>
  <c r="AH1329" i="18"/>
  <c r="AG1329" i="18"/>
  <c r="AF1329" i="18"/>
  <c r="AE1329" i="18"/>
  <c r="AD1329" i="18"/>
  <c r="AC1329" i="18"/>
  <c r="AB1329" i="18"/>
  <c r="AA1329" i="18"/>
  <c r="Z1329" i="18"/>
  <c r="Y1329" i="18"/>
  <c r="X1329" i="18"/>
  <c r="W1329" i="18"/>
  <c r="V1329" i="18"/>
  <c r="U1329" i="18"/>
  <c r="T1329" i="18"/>
  <c r="S1329" i="18"/>
  <c r="R1329" i="18"/>
  <c r="Q1329" i="18"/>
  <c r="P1329" i="18"/>
  <c r="O1329" i="18"/>
  <c r="N1329" i="18"/>
  <c r="M1329" i="18"/>
  <c r="L1329" i="18"/>
  <c r="K1329" i="18"/>
  <c r="J1329" i="18"/>
  <c r="I1329" i="18"/>
  <c r="H1329" i="18"/>
  <c r="G1329" i="18"/>
  <c r="F1329" i="18"/>
  <c r="E1329" i="18"/>
  <c r="D1329" i="18"/>
  <c r="C1329" i="18"/>
  <c r="B1329" i="18"/>
  <c r="A1329" i="18"/>
  <c r="CY1328" i="18"/>
  <c r="CM1328" i="18"/>
  <c r="CL1328" i="18"/>
  <c r="CK1328" i="18"/>
  <c r="CJ1328" i="18"/>
  <c r="CI1328" i="18"/>
  <c r="CH1328" i="18"/>
  <c r="CG1328" i="18"/>
  <c r="CF1328" i="18"/>
  <c r="CE1328" i="18"/>
  <c r="CD1328" i="18"/>
  <c r="CC1328" i="18"/>
  <c r="CB1328" i="18"/>
  <c r="CA1328" i="18"/>
  <c r="BZ1328" i="18"/>
  <c r="BY1328" i="18"/>
  <c r="BH1328" i="18"/>
  <c r="BG1328" i="18"/>
  <c r="BF1328" i="18"/>
  <c r="BE1328" i="18"/>
  <c r="BD1328" i="18"/>
  <c r="BC1328" i="18"/>
  <c r="BB1328" i="18"/>
  <c r="BA1328" i="18"/>
  <c r="AZ1328" i="18"/>
  <c r="AY1328" i="18"/>
  <c r="AX1328" i="18"/>
  <c r="AW1328" i="18"/>
  <c r="AV1328" i="18"/>
  <c r="AU1328" i="18"/>
  <c r="AT1328" i="18"/>
  <c r="AS1328" i="18"/>
  <c r="AR1328" i="18"/>
  <c r="AQ1328" i="18"/>
  <c r="AP1328" i="18"/>
  <c r="AO1328" i="18"/>
  <c r="AN1328" i="18"/>
  <c r="AM1328" i="18"/>
  <c r="AL1328" i="18"/>
  <c r="AK1328" i="18"/>
  <c r="AJ1328" i="18"/>
  <c r="AI1328" i="18"/>
  <c r="AH1328" i="18"/>
  <c r="AG1328" i="18"/>
  <c r="AF1328" i="18"/>
  <c r="AE1328" i="18"/>
  <c r="AD1328" i="18"/>
  <c r="AC1328" i="18"/>
  <c r="AB1328" i="18"/>
  <c r="AA1328" i="18"/>
  <c r="Z1328" i="18"/>
  <c r="Y1328" i="18"/>
  <c r="X1328" i="18"/>
  <c r="W1328" i="18"/>
  <c r="V1328" i="18"/>
  <c r="U1328" i="18"/>
  <c r="T1328" i="18"/>
  <c r="S1328" i="18"/>
  <c r="R1328" i="18"/>
  <c r="Q1328" i="18"/>
  <c r="P1328" i="18"/>
  <c r="O1328" i="18"/>
  <c r="N1328" i="18"/>
  <c r="M1328" i="18"/>
  <c r="L1328" i="18"/>
  <c r="K1328" i="18"/>
  <c r="J1328" i="18"/>
  <c r="I1328" i="18"/>
  <c r="H1328" i="18"/>
  <c r="G1328" i="18"/>
  <c r="F1328" i="18"/>
  <c r="E1328" i="18"/>
  <c r="D1328" i="18"/>
  <c r="C1328" i="18"/>
  <c r="B1328" i="18"/>
  <c r="A1328" i="18"/>
  <c r="CZ1327" i="18"/>
  <c r="CY1327" i="18"/>
  <c r="CX1327" i="18"/>
  <c r="CW1327" i="18"/>
  <c r="CV1327" i="18"/>
  <c r="CU1327" i="18"/>
  <c r="CT1327" i="18"/>
  <c r="CS1327" i="18"/>
  <c r="CR1327" i="18"/>
  <c r="CQ1327" i="18"/>
  <c r="CP1327" i="18"/>
  <c r="CO1327" i="18"/>
  <c r="CN1327" i="18"/>
  <c r="CM1327" i="18"/>
  <c r="CL1327" i="18"/>
  <c r="CK1327" i="18"/>
  <c r="CJ1327" i="18"/>
  <c r="CI1327" i="18"/>
  <c r="CH1327" i="18"/>
  <c r="CG1327" i="18"/>
  <c r="CF1327" i="18"/>
  <c r="CE1327" i="18"/>
  <c r="CD1327" i="18"/>
  <c r="CC1327" i="18"/>
  <c r="CB1327" i="18"/>
  <c r="CA1327" i="18"/>
  <c r="BZ1327" i="18"/>
  <c r="BY1327" i="18"/>
  <c r="AR1327" i="18"/>
  <c r="AQ1327" i="18"/>
  <c r="AP1327" i="18"/>
  <c r="AO1327" i="18"/>
  <c r="AN1327" i="18"/>
  <c r="AM1327" i="18"/>
  <c r="AL1327" i="18"/>
  <c r="AK1327" i="18"/>
  <c r="AJ1327" i="18"/>
  <c r="AI1327" i="18"/>
  <c r="AH1327" i="18"/>
  <c r="AG1327" i="18"/>
  <c r="AF1327" i="18"/>
  <c r="AE1327" i="18"/>
  <c r="AD1327" i="18"/>
  <c r="AC1327" i="18"/>
  <c r="AB1327" i="18"/>
  <c r="AA1327" i="18"/>
  <c r="Z1327" i="18"/>
  <c r="Y1327" i="18"/>
  <c r="X1327" i="18"/>
  <c r="W1327" i="18"/>
  <c r="V1327" i="18"/>
  <c r="U1327" i="18"/>
  <c r="T1327" i="18"/>
  <c r="S1327" i="18"/>
  <c r="R1327" i="18"/>
  <c r="Q1327" i="18"/>
  <c r="P1327" i="18"/>
  <c r="O1327" i="18"/>
  <c r="N1327" i="18"/>
  <c r="M1327" i="18"/>
  <c r="L1327" i="18"/>
  <c r="K1327" i="18"/>
  <c r="J1327" i="18"/>
  <c r="I1327" i="18"/>
  <c r="H1327" i="18"/>
  <c r="G1327" i="18"/>
  <c r="F1327" i="18"/>
  <c r="E1327" i="18"/>
  <c r="D1327" i="18"/>
  <c r="C1327" i="18"/>
  <c r="B1327" i="18"/>
  <c r="A1327" i="18"/>
  <c r="CZ1326" i="18"/>
  <c r="CY1326" i="18"/>
  <c r="CI1326" i="18"/>
  <c r="CH1326" i="18"/>
  <c r="CG1326" i="18"/>
  <c r="CF1326" i="18"/>
  <c r="CE1326" i="18"/>
  <c r="CD1326" i="18"/>
  <c r="CC1326" i="18"/>
  <c r="CB1326" i="18"/>
  <c r="CA1326" i="18"/>
  <c r="BZ1326" i="18"/>
  <c r="BY1326" i="18"/>
  <c r="AR1326" i="18"/>
  <c r="AQ1326" i="18"/>
  <c r="AP1326" i="18"/>
  <c r="AO1326" i="18"/>
  <c r="AN1326" i="18"/>
  <c r="AM1326" i="18"/>
  <c r="AL1326" i="18"/>
  <c r="AK1326" i="18"/>
  <c r="AJ1326" i="18"/>
  <c r="AI1326" i="18"/>
  <c r="AH1326" i="18"/>
  <c r="AG1326" i="18"/>
  <c r="AF1326" i="18"/>
  <c r="AE1326" i="18"/>
  <c r="AD1326" i="18"/>
  <c r="AC1326" i="18"/>
  <c r="AB1326" i="18"/>
  <c r="AA1326" i="18"/>
  <c r="Z1326" i="18"/>
  <c r="Y1326" i="18"/>
  <c r="X1326" i="18"/>
  <c r="W1326" i="18"/>
  <c r="V1326" i="18"/>
  <c r="U1326" i="18"/>
  <c r="T1326" i="18"/>
  <c r="S1326" i="18"/>
  <c r="R1326" i="18"/>
  <c r="Q1326" i="18"/>
  <c r="P1326" i="18"/>
  <c r="O1326" i="18"/>
  <c r="N1326" i="18"/>
  <c r="M1326" i="18"/>
  <c r="L1326" i="18"/>
  <c r="K1326" i="18"/>
  <c r="J1326" i="18"/>
  <c r="I1326" i="18"/>
  <c r="H1326" i="18"/>
  <c r="G1326" i="18"/>
  <c r="F1326" i="18"/>
  <c r="E1326" i="18"/>
  <c r="D1326" i="18"/>
  <c r="C1326" i="18"/>
  <c r="B1326" i="18"/>
  <c r="A1326" i="18"/>
  <c r="CZ1325" i="18"/>
  <c r="CY1325" i="18"/>
  <c r="CI1325" i="18"/>
  <c r="CH1325" i="18"/>
  <c r="CG1325" i="18"/>
  <c r="CF1325" i="18"/>
  <c r="CE1325" i="18"/>
  <c r="CD1325" i="18"/>
  <c r="CC1325" i="18"/>
  <c r="CB1325" i="18"/>
  <c r="CA1325" i="18"/>
  <c r="BZ1325" i="18"/>
  <c r="BY1325" i="18"/>
  <c r="AR1325" i="18"/>
  <c r="AQ1325" i="18"/>
  <c r="AP1325" i="18"/>
  <c r="AO1325" i="18"/>
  <c r="AN1325" i="18"/>
  <c r="AM1325" i="18"/>
  <c r="AL1325" i="18"/>
  <c r="AK1325" i="18"/>
  <c r="AJ1325" i="18"/>
  <c r="AI1325" i="18"/>
  <c r="AH1325" i="18"/>
  <c r="AG1325" i="18"/>
  <c r="AF1325" i="18"/>
  <c r="AE1325" i="18"/>
  <c r="AD1325" i="18"/>
  <c r="AC1325" i="18"/>
  <c r="AB1325" i="18"/>
  <c r="AA1325" i="18"/>
  <c r="Z1325" i="18"/>
  <c r="Y1325" i="18"/>
  <c r="X1325" i="18"/>
  <c r="W1325" i="18"/>
  <c r="V1325" i="18"/>
  <c r="U1325" i="18"/>
  <c r="T1325" i="18"/>
  <c r="S1325" i="18"/>
  <c r="R1325" i="18"/>
  <c r="Q1325" i="18"/>
  <c r="P1325" i="18"/>
  <c r="O1325" i="18"/>
  <c r="N1325" i="18"/>
  <c r="M1325" i="18"/>
  <c r="L1325" i="18"/>
  <c r="K1325" i="18"/>
  <c r="J1325" i="18"/>
  <c r="I1325" i="18"/>
  <c r="H1325" i="18"/>
  <c r="G1325" i="18"/>
  <c r="F1325" i="18"/>
  <c r="E1325" i="18"/>
  <c r="D1325" i="18"/>
  <c r="C1325" i="18"/>
  <c r="B1325" i="18"/>
  <c r="A1325" i="18"/>
  <c r="CZ1324" i="18"/>
  <c r="CY1324" i="18"/>
  <c r="CI1324" i="18"/>
  <c r="CH1324" i="18"/>
  <c r="CG1324" i="18"/>
  <c r="CF1324" i="18"/>
  <c r="CE1324" i="18"/>
  <c r="CD1324" i="18"/>
  <c r="CC1324" i="18"/>
  <c r="CB1324" i="18"/>
  <c r="CA1324" i="18"/>
  <c r="BZ1324" i="18"/>
  <c r="BY1324" i="18"/>
  <c r="AR1324" i="18"/>
  <c r="AQ1324" i="18"/>
  <c r="AP1324" i="18"/>
  <c r="AO1324" i="18"/>
  <c r="AN1324" i="18"/>
  <c r="AM1324" i="18"/>
  <c r="AL1324" i="18"/>
  <c r="AK1324" i="18"/>
  <c r="AJ1324" i="18"/>
  <c r="AI1324" i="18"/>
  <c r="AH1324" i="18"/>
  <c r="AG1324" i="18"/>
  <c r="AF1324" i="18"/>
  <c r="AE1324" i="18"/>
  <c r="AD1324" i="18"/>
  <c r="AC1324" i="18"/>
  <c r="AB1324" i="18"/>
  <c r="AA1324" i="18"/>
  <c r="Z1324" i="18"/>
  <c r="Y1324" i="18"/>
  <c r="X1324" i="18"/>
  <c r="W1324" i="18"/>
  <c r="V1324" i="18"/>
  <c r="U1324" i="18"/>
  <c r="T1324" i="18"/>
  <c r="S1324" i="18"/>
  <c r="R1324" i="18"/>
  <c r="Q1324" i="18"/>
  <c r="P1324" i="18"/>
  <c r="O1324" i="18"/>
  <c r="N1324" i="18"/>
  <c r="M1324" i="18"/>
  <c r="L1324" i="18"/>
  <c r="K1324" i="18"/>
  <c r="J1324" i="18"/>
  <c r="I1324" i="18"/>
  <c r="H1324" i="18"/>
  <c r="G1324" i="18"/>
  <c r="F1324" i="18"/>
  <c r="E1324" i="18"/>
  <c r="D1324" i="18"/>
  <c r="C1324" i="18"/>
  <c r="B1324" i="18"/>
  <c r="A1324" i="18"/>
  <c r="CZ1323" i="18"/>
  <c r="CY1323" i="18"/>
  <c r="CI1323" i="18"/>
  <c r="CH1323" i="18"/>
  <c r="CG1323" i="18"/>
  <c r="CF1323" i="18"/>
  <c r="CE1323" i="18"/>
  <c r="CD1323" i="18"/>
  <c r="CC1323" i="18"/>
  <c r="CB1323" i="18"/>
  <c r="CA1323" i="18"/>
  <c r="BZ1323" i="18"/>
  <c r="BY1323" i="18"/>
  <c r="AR1323" i="18"/>
  <c r="AQ1323" i="18"/>
  <c r="AP1323" i="18"/>
  <c r="AO1323" i="18"/>
  <c r="AN1323" i="18"/>
  <c r="AM1323" i="18"/>
  <c r="AL1323" i="18"/>
  <c r="AK1323" i="18"/>
  <c r="AJ1323" i="18"/>
  <c r="AI1323" i="18"/>
  <c r="AH1323" i="18"/>
  <c r="AG1323" i="18"/>
  <c r="AF1323" i="18"/>
  <c r="AE1323" i="18"/>
  <c r="AD1323" i="18"/>
  <c r="AC1323" i="18"/>
  <c r="AB1323" i="18"/>
  <c r="AA1323" i="18"/>
  <c r="Z1323" i="18"/>
  <c r="Y1323" i="18"/>
  <c r="X1323" i="18"/>
  <c r="W1323" i="18"/>
  <c r="V1323" i="18"/>
  <c r="U1323" i="18"/>
  <c r="T1323" i="18"/>
  <c r="S1323" i="18"/>
  <c r="R1323" i="18"/>
  <c r="Q1323" i="18"/>
  <c r="P1323" i="18"/>
  <c r="O1323" i="18"/>
  <c r="N1323" i="18"/>
  <c r="M1323" i="18"/>
  <c r="L1323" i="18"/>
  <c r="K1323" i="18"/>
  <c r="J1323" i="18"/>
  <c r="I1323" i="18"/>
  <c r="H1323" i="18"/>
  <c r="G1323" i="18"/>
  <c r="F1323" i="18"/>
  <c r="E1323" i="18"/>
  <c r="D1323" i="18"/>
  <c r="C1323" i="18"/>
  <c r="B1323" i="18"/>
  <c r="A1323" i="18"/>
  <c r="CZ1322" i="18"/>
  <c r="CY1322" i="18"/>
  <c r="CI1322" i="18"/>
  <c r="CH1322" i="18"/>
  <c r="CG1322" i="18"/>
  <c r="CF1322" i="18"/>
  <c r="CE1322" i="18"/>
  <c r="CD1322" i="18"/>
  <c r="CC1322" i="18"/>
  <c r="CB1322" i="18"/>
  <c r="CA1322" i="18"/>
  <c r="BZ1322" i="18"/>
  <c r="BY1322" i="18"/>
  <c r="AR1322" i="18"/>
  <c r="AQ1322" i="18"/>
  <c r="AP1322" i="18"/>
  <c r="AO1322" i="18"/>
  <c r="AN1322" i="18"/>
  <c r="AM1322" i="18"/>
  <c r="AL1322" i="18"/>
  <c r="AK1322" i="18"/>
  <c r="AJ1322" i="18"/>
  <c r="AI1322" i="18"/>
  <c r="AH1322" i="18"/>
  <c r="AG1322" i="18"/>
  <c r="AF1322" i="18"/>
  <c r="AE1322" i="18"/>
  <c r="AD1322" i="18"/>
  <c r="AC1322" i="18"/>
  <c r="AB1322" i="18"/>
  <c r="AA1322" i="18"/>
  <c r="Z1322" i="18"/>
  <c r="Y1322" i="18"/>
  <c r="X1322" i="18"/>
  <c r="W1322" i="18"/>
  <c r="V1322" i="18"/>
  <c r="U1322" i="18"/>
  <c r="T1322" i="18"/>
  <c r="S1322" i="18"/>
  <c r="R1322" i="18"/>
  <c r="Q1322" i="18"/>
  <c r="P1322" i="18"/>
  <c r="O1322" i="18"/>
  <c r="N1322" i="18"/>
  <c r="M1322" i="18"/>
  <c r="L1322" i="18"/>
  <c r="K1322" i="18"/>
  <c r="J1322" i="18"/>
  <c r="I1322" i="18"/>
  <c r="H1322" i="18"/>
  <c r="G1322" i="18"/>
  <c r="F1322" i="18"/>
  <c r="E1322" i="18"/>
  <c r="D1322" i="18"/>
  <c r="C1322" i="18"/>
  <c r="B1322" i="18"/>
  <c r="A1322" i="18"/>
  <c r="CI1321" i="18"/>
  <c r="CH1321" i="18"/>
  <c r="CG1321" i="18"/>
  <c r="CF1321" i="18"/>
  <c r="CE1321" i="18"/>
  <c r="CD1321" i="18"/>
  <c r="CC1321" i="18"/>
  <c r="CB1321" i="18"/>
  <c r="CA1321" i="18"/>
  <c r="BZ1321" i="18"/>
  <c r="BY1321" i="18"/>
  <c r="AR1321" i="18"/>
  <c r="AQ1321" i="18"/>
  <c r="AP1321" i="18"/>
  <c r="AO1321" i="18"/>
  <c r="AN1321" i="18"/>
  <c r="AM1321" i="18"/>
  <c r="AL1321" i="18"/>
  <c r="AK1321" i="18"/>
  <c r="AJ1321" i="18"/>
  <c r="AI1321" i="18"/>
  <c r="AH1321" i="18"/>
  <c r="AG1321" i="18"/>
  <c r="AF1321" i="18"/>
  <c r="AE1321" i="18"/>
  <c r="AD1321" i="18"/>
  <c r="AC1321" i="18"/>
  <c r="AB1321" i="18"/>
  <c r="AA1321" i="18"/>
  <c r="Z1321" i="18"/>
  <c r="Y1321" i="18"/>
  <c r="X1321" i="18"/>
  <c r="W1321" i="18"/>
  <c r="V1321" i="18"/>
  <c r="U1321" i="18"/>
  <c r="T1321" i="18"/>
  <c r="S1321" i="18"/>
  <c r="R1321" i="18"/>
  <c r="Q1321" i="18"/>
  <c r="P1321" i="18"/>
  <c r="O1321" i="18"/>
  <c r="N1321" i="18"/>
  <c r="M1321" i="18"/>
  <c r="L1321" i="18"/>
  <c r="K1321" i="18"/>
  <c r="J1321" i="18"/>
  <c r="I1321" i="18"/>
  <c r="H1321" i="18"/>
  <c r="G1321" i="18"/>
  <c r="F1321" i="18"/>
  <c r="E1321" i="18"/>
  <c r="D1321" i="18"/>
  <c r="C1321" i="18"/>
  <c r="B1321" i="18"/>
  <c r="A1321" i="18"/>
  <c r="CZ1320" i="18"/>
  <c r="CY1320" i="18"/>
  <c r="CX1320" i="18"/>
  <c r="CW1320" i="18"/>
  <c r="CV1320" i="18"/>
  <c r="CU1320" i="18"/>
  <c r="CT1320" i="18"/>
  <c r="CS1320" i="18"/>
  <c r="CR1320" i="18"/>
  <c r="CQ1320" i="18"/>
  <c r="CP1320" i="18"/>
  <c r="CO1320" i="18"/>
  <c r="CN1320" i="18"/>
  <c r="CM1320" i="18"/>
  <c r="CL1320" i="18"/>
  <c r="CK1320" i="18"/>
  <c r="CJ1320" i="18"/>
  <c r="CI1320" i="18"/>
  <c r="CH1320" i="18"/>
  <c r="CG1320" i="18"/>
  <c r="CF1320" i="18"/>
  <c r="CE1320" i="18"/>
  <c r="CD1320" i="18"/>
  <c r="CC1320" i="18"/>
  <c r="CB1320" i="18"/>
  <c r="CA1320" i="18"/>
  <c r="BZ1320" i="18"/>
  <c r="BY1320" i="18"/>
  <c r="BX1320" i="18"/>
  <c r="BW1320" i="18"/>
  <c r="BV1320" i="18"/>
  <c r="BU1320" i="18"/>
  <c r="BT1320" i="18"/>
  <c r="BS1320" i="18"/>
  <c r="BR1320" i="18"/>
  <c r="BQ1320" i="18"/>
  <c r="BP1320" i="18"/>
  <c r="BO1320" i="18"/>
  <c r="BN1320" i="18"/>
  <c r="BM1320" i="18"/>
  <c r="BL1320" i="18"/>
  <c r="BK1320" i="18"/>
  <c r="BJ1320" i="18"/>
  <c r="BI1320" i="18"/>
  <c r="BH1320" i="18"/>
  <c r="BG1320" i="18"/>
  <c r="BF1320" i="18"/>
  <c r="BE1320" i="18"/>
  <c r="BD1320" i="18"/>
  <c r="BC1320" i="18"/>
  <c r="BB1320" i="18"/>
  <c r="BA1320" i="18"/>
  <c r="AZ1320" i="18"/>
  <c r="AY1320" i="18"/>
  <c r="AX1320" i="18"/>
  <c r="AW1320" i="18"/>
  <c r="AV1320" i="18"/>
  <c r="AU1320" i="18"/>
  <c r="AT1320" i="18"/>
  <c r="AS1320" i="18"/>
  <c r="AR1320" i="18"/>
  <c r="AQ1320" i="18"/>
  <c r="AP1320" i="18"/>
  <c r="AO1320" i="18"/>
  <c r="AN1320" i="18"/>
  <c r="AM1320" i="18"/>
  <c r="AL1320" i="18"/>
  <c r="AK1320" i="18"/>
  <c r="AJ1320" i="18"/>
  <c r="AI1320" i="18"/>
  <c r="AH1320" i="18"/>
  <c r="AG1320" i="18"/>
  <c r="AF1320" i="18"/>
  <c r="AE1320" i="18"/>
  <c r="AD1320" i="18"/>
  <c r="AC1320" i="18"/>
  <c r="AB1320" i="18"/>
  <c r="AA1320" i="18"/>
  <c r="Z1320" i="18"/>
  <c r="Y1320" i="18"/>
  <c r="X1320" i="18"/>
  <c r="W1320" i="18"/>
  <c r="V1320" i="18"/>
  <c r="U1320" i="18"/>
  <c r="T1320" i="18"/>
  <c r="S1320" i="18"/>
  <c r="R1320" i="18"/>
  <c r="Q1320" i="18"/>
  <c r="P1320" i="18"/>
  <c r="O1320" i="18"/>
  <c r="N1320" i="18"/>
  <c r="M1320" i="18"/>
  <c r="L1320" i="18"/>
  <c r="K1320" i="18"/>
  <c r="J1320" i="18"/>
  <c r="I1320" i="18"/>
  <c r="H1320" i="18"/>
  <c r="G1320" i="18"/>
  <c r="F1320" i="18"/>
  <c r="E1320" i="18"/>
  <c r="D1320" i="18"/>
  <c r="C1320" i="18"/>
  <c r="B1320" i="18"/>
  <c r="A1320" i="18"/>
  <c r="CZ1319" i="18"/>
  <c r="CY1319" i="18"/>
  <c r="CX1319" i="18"/>
  <c r="CW1319" i="18"/>
  <c r="CV1319" i="18"/>
  <c r="CU1319" i="18"/>
  <c r="CT1319" i="18"/>
  <c r="CS1319" i="18"/>
  <c r="CR1319" i="18"/>
  <c r="CQ1319" i="18"/>
  <c r="CP1319" i="18"/>
  <c r="CO1319" i="18"/>
  <c r="CN1319" i="18"/>
  <c r="CM1319" i="18"/>
  <c r="CL1319" i="18"/>
  <c r="CK1319" i="18"/>
  <c r="CJ1319" i="18"/>
  <c r="CI1319" i="18"/>
  <c r="CH1319" i="18"/>
  <c r="CG1319" i="18"/>
  <c r="CF1319" i="18"/>
  <c r="CE1319" i="18"/>
  <c r="CD1319" i="18"/>
  <c r="CC1319" i="18"/>
  <c r="CB1319" i="18"/>
  <c r="CA1319" i="18"/>
  <c r="BZ1319" i="18"/>
  <c r="BY1319" i="18"/>
  <c r="AZ1319" i="18"/>
  <c r="AY1319" i="18"/>
  <c r="AX1319" i="18"/>
  <c r="AW1319" i="18"/>
  <c r="AV1319" i="18"/>
  <c r="AU1319" i="18"/>
  <c r="AT1319" i="18"/>
  <c r="AS1319" i="18"/>
  <c r="AR1319" i="18"/>
  <c r="AQ1319" i="18"/>
  <c r="AP1319" i="18"/>
  <c r="AO1319" i="18"/>
  <c r="AN1319" i="18"/>
  <c r="AM1319" i="18"/>
  <c r="AL1319" i="18"/>
  <c r="AK1319" i="18"/>
  <c r="AJ1319" i="18"/>
  <c r="AI1319" i="18"/>
  <c r="AH1319" i="18"/>
  <c r="AG1319" i="18"/>
  <c r="AF1319" i="18"/>
  <c r="AE1319" i="18"/>
  <c r="AD1319" i="18"/>
  <c r="AC1319" i="18"/>
  <c r="AB1319" i="18"/>
  <c r="AA1319" i="18"/>
  <c r="Z1319" i="18"/>
  <c r="Y1319" i="18"/>
  <c r="X1319" i="18"/>
  <c r="W1319" i="18"/>
  <c r="V1319" i="18"/>
  <c r="U1319" i="18"/>
  <c r="T1319" i="18"/>
  <c r="S1319" i="18"/>
  <c r="R1319" i="18"/>
  <c r="Q1319" i="18"/>
  <c r="P1319" i="18"/>
  <c r="O1319" i="18"/>
  <c r="N1319" i="18"/>
  <c r="M1319" i="18"/>
  <c r="L1319" i="18"/>
  <c r="K1319" i="18"/>
  <c r="J1319" i="18"/>
  <c r="I1319" i="18"/>
  <c r="H1319" i="18"/>
  <c r="G1319" i="18"/>
  <c r="F1319" i="18"/>
  <c r="E1319" i="18"/>
  <c r="D1319" i="18"/>
  <c r="C1319" i="18"/>
  <c r="B1319" i="18"/>
  <c r="A1319" i="18"/>
  <c r="CZ1318" i="18"/>
  <c r="CY1318" i="18"/>
  <c r="CX1318" i="18"/>
  <c r="CW1318" i="18"/>
  <c r="CV1318" i="18"/>
  <c r="CU1318" i="18"/>
  <c r="CT1318" i="18"/>
  <c r="CS1318" i="18"/>
  <c r="CR1318" i="18"/>
  <c r="CQ1318" i="18"/>
  <c r="CP1318" i="18"/>
  <c r="CO1318" i="18"/>
  <c r="CN1318" i="18"/>
  <c r="CM1318" i="18"/>
  <c r="CL1318" i="18"/>
  <c r="CK1318" i="18"/>
  <c r="CJ1318" i="18"/>
  <c r="CI1318" i="18"/>
  <c r="CH1318" i="18"/>
  <c r="CG1318" i="18"/>
  <c r="CF1318" i="18"/>
  <c r="CE1318" i="18"/>
  <c r="CD1318" i="18"/>
  <c r="CC1318" i="18"/>
  <c r="CB1318" i="18"/>
  <c r="CA1318" i="18"/>
  <c r="BZ1318" i="18"/>
  <c r="BY1318" i="18"/>
  <c r="BT1318" i="18"/>
  <c r="BS1318" i="18"/>
  <c r="BR1318" i="18"/>
  <c r="BQ1318" i="18"/>
  <c r="BP1318" i="18"/>
  <c r="BO1318" i="18"/>
  <c r="BN1318" i="18"/>
  <c r="BM1318" i="18"/>
  <c r="BL1318" i="18"/>
  <c r="BK1318" i="18"/>
  <c r="BJ1318" i="18"/>
  <c r="BI1318" i="18"/>
  <c r="AZ1318" i="18"/>
  <c r="AY1318" i="18"/>
  <c r="AX1318" i="18"/>
  <c r="AW1318" i="18"/>
  <c r="AV1318" i="18"/>
  <c r="AU1318" i="18"/>
  <c r="AT1318" i="18"/>
  <c r="AS1318" i="18"/>
  <c r="AR1318" i="18"/>
  <c r="AQ1318" i="18"/>
  <c r="AP1318" i="18"/>
  <c r="AO1318" i="18"/>
  <c r="AN1318" i="18"/>
  <c r="AM1318" i="18"/>
  <c r="AL1318" i="18"/>
  <c r="AK1318" i="18"/>
  <c r="AJ1318" i="18"/>
  <c r="AI1318" i="18"/>
  <c r="AH1318" i="18"/>
  <c r="AG1318" i="18"/>
  <c r="AF1318" i="18"/>
  <c r="AE1318" i="18"/>
  <c r="AD1318" i="18"/>
  <c r="AC1318" i="18"/>
  <c r="AB1318" i="18"/>
  <c r="AA1318" i="18"/>
  <c r="Z1318" i="18"/>
  <c r="Y1318" i="18"/>
  <c r="X1318" i="18"/>
  <c r="W1318" i="18"/>
  <c r="V1318" i="18"/>
  <c r="U1318" i="18"/>
  <c r="T1318" i="18"/>
  <c r="S1318" i="18"/>
  <c r="R1318" i="18"/>
  <c r="Q1318" i="18"/>
  <c r="P1318" i="18"/>
  <c r="O1318" i="18"/>
  <c r="N1318" i="18"/>
  <c r="M1318" i="18"/>
  <c r="L1318" i="18"/>
  <c r="K1318" i="18"/>
  <c r="J1318" i="18"/>
  <c r="I1318" i="18"/>
  <c r="H1318" i="18"/>
  <c r="G1318" i="18"/>
  <c r="F1318" i="18"/>
  <c r="E1318" i="18"/>
  <c r="D1318" i="18"/>
  <c r="C1318" i="18"/>
  <c r="B1318" i="18"/>
  <c r="A1318" i="18"/>
  <c r="CZ1317" i="18"/>
  <c r="CY1317" i="18"/>
  <c r="CX1317" i="18"/>
  <c r="CW1317" i="18"/>
  <c r="CV1317" i="18"/>
  <c r="CU1317" i="18"/>
  <c r="CT1317" i="18"/>
  <c r="CS1317" i="18"/>
  <c r="CR1317" i="18"/>
  <c r="CQ1317" i="18"/>
  <c r="CP1317" i="18"/>
  <c r="CO1317" i="18"/>
  <c r="CN1317" i="18"/>
  <c r="CM1317" i="18"/>
  <c r="CL1317" i="18"/>
  <c r="CK1317" i="18"/>
  <c r="CJ1317" i="18"/>
  <c r="CI1317" i="18"/>
  <c r="CH1317" i="18"/>
  <c r="CG1317" i="18"/>
  <c r="CF1317" i="18"/>
  <c r="CE1317" i="18"/>
  <c r="CD1317" i="18"/>
  <c r="CC1317" i="18"/>
  <c r="CB1317" i="18"/>
  <c r="CA1317" i="18"/>
  <c r="BZ1317" i="18"/>
  <c r="BY1317" i="18"/>
  <c r="AZ1317" i="18"/>
  <c r="AY1317" i="18"/>
  <c r="AX1317" i="18"/>
  <c r="AW1317" i="18"/>
  <c r="AV1317" i="18"/>
  <c r="AU1317" i="18"/>
  <c r="AT1317" i="18"/>
  <c r="AS1317" i="18"/>
  <c r="AR1317" i="18"/>
  <c r="AQ1317" i="18"/>
  <c r="AP1317" i="18"/>
  <c r="AO1317" i="18"/>
  <c r="AN1317" i="18"/>
  <c r="AM1317" i="18"/>
  <c r="AL1317" i="18"/>
  <c r="AK1317" i="18"/>
  <c r="AJ1317" i="18"/>
  <c r="AI1317" i="18"/>
  <c r="AH1317" i="18"/>
  <c r="AG1317" i="18"/>
  <c r="AF1317" i="18"/>
  <c r="AE1317" i="18"/>
  <c r="AD1317" i="18"/>
  <c r="AC1317" i="18"/>
  <c r="AB1317" i="18"/>
  <c r="AA1317" i="18"/>
  <c r="Z1317" i="18"/>
  <c r="Y1317" i="18"/>
  <c r="X1317" i="18"/>
  <c r="W1317" i="18"/>
  <c r="V1317" i="18"/>
  <c r="U1317" i="18"/>
  <c r="T1317" i="18"/>
  <c r="S1317" i="18"/>
  <c r="R1317" i="18"/>
  <c r="Q1317" i="18"/>
  <c r="P1317" i="18"/>
  <c r="O1317" i="18"/>
  <c r="N1317" i="18"/>
  <c r="M1317" i="18"/>
  <c r="L1317" i="18"/>
  <c r="K1317" i="18"/>
  <c r="J1317" i="18"/>
  <c r="I1317" i="18"/>
  <c r="H1317" i="18"/>
  <c r="G1317" i="18"/>
  <c r="F1317" i="18"/>
  <c r="E1317" i="18"/>
  <c r="D1317" i="18"/>
  <c r="C1317" i="18"/>
  <c r="B1317" i="18"/>
  <c r="A1317" i="18"/>
  <c r="CX1316" i="18"/>
  <c r="CW1316" i="18"/>
  <c r="CV1316" i="18"/>
  <c r="CU1316" i="18"/>
  <c r="CT1316" i="18"/>
  <c r="CS1316" i="18"/>
  <c r="CR1316" i="18"/>
  <c r="CP1316" i="18"/>
  <c r="CM1316" i="18"/>
  <c r="CL1316" i="18"/>
  <c r="CK1316" i="18"/>
  <c r="CJ1316" i="18"/>
  <c r="CI1316" i="18"/>
  <c r="CH1316" i="18"/>
  <c r="CG1316" i="18"/>
  <c r="CF1316" i="18"/>
  <c r="CE1316" i="18"/>
  <c r="CD1316" i="18"/>
  <c r="CC1316" i="18"/>
  <c r="CB1316" i="18"/>
  <c r="CA1316" i="18"/>
  <c r="BZ1316" i="18"/>
  <c r="BY1316" i="18"/>
  <c r="BT1316" i="18"/>
  <c r="BS1316" i="18"/>
  <c r="BR1316" i="18"/>
  <c r="BQ1316" i="18"/>
  <c r="BO1316" i="18"/>
  <c r="BN1316" i="18"/>
  <c r="BM1316" i="18"/>
  <c r="BK1316" i="18"/>
  <c r="BJ1316" i="18"/>
  <c r="BI1316" i="18"/>
  <c r="BH1316" i="18"/>
  <c r="BG1316" i="18"/>
  <c r="BF1316" i="18"/>
  <c r="BE1316" i="18"/>
  <c r="BD1316" i="18"/>
  <c r="BC1316" i="18"/>
  <c r="BB1316" i="18"/>
  <c r="BA1316" i="18"/>
  <c r="AZ1316" i="18"/>
  <c r="AY1316" i="18"/>
  <c r="AX1316" i="18"/>
  <c r="AW1316" i="18"/>
  <c r="AV1316" i="18"/>
  <c r="AU1316" i="18"/>
  <c r="AT1316" i="18"/>
  <c r="AS1316" i="18"/>
  <c r="AR1316" i="18"/>
  <c r="AQ1316" i="18"/>
  <c r="AP1316" i="18"/>
  <c r="AO1316" i="18"/>
  <c r="AN1316" i="18"/>
  <c r="AM1316" i="18"/>
  <c r="AL1316" i="18"/>
  <c r="AK1316" i="18"/>
  <c r="AJ1316" i="18"/>
  <c r="AI1316" i="18"/>
  <c r="AH1316" i="18"/>
  <c r="AG1316" i="18"/>
  <c r="AF1316" i="18"/>
  <c r="AE1316" i="18"/>
  <c r="AD1316" i="18"/>
  <c r="AC1316" i="18"/>
  <c r="AB1316" i="18"/>
  <c r="AA1316" i="18"/>
  <c r="Z1316" i="18"/>
  <c r="Y1316" i="18"/>
  <c r="X1316" i="18"/>
  <c r="W1316" i="18"/>
  <c r="V1316" i="18"/>
  <c r="U1316" i="18"/>
  <c r="T1316" i="18"/>
  <c r="S1316" i="18"/>
  <c r="R1316" i="18"/>
  <c r="Q1316" i="18"/>
  <c r="P1316" i="18"/>
  <c r="O1316" i="18"/>
  <c r="N1316" i="18"/>
  <c r="M1316" i="18"/>
  <c r="L1316" i="18"/>
  <c r="K1316" i="18"/>
  <c r="J1316" i="18"/>
  <c r="I1316" i="18"/>
  <c r="H1316" i="18"/>
  <c r="G1316" i="18"/>
  <c r="F1316" i="18"/>
  <c r="E1316" i="18"/>
  <c r="D1316" i="18"/>
  <c r="C1316" i="18"/>
  <c r="B1316" i="18"/>
  <c r="A1316" i="18"/>
  <c r="CX1315" i="18"/>
  <c r="CW1315" i="18"/>
  <c r="CV1315" i="18"/>
  <c r="CU1315" i="18"/>
  <c r="CT1315" i="18"/>
  <c r="CS1315" i="18"/>
  <c r="CR1315" i="18"/>
  <c r="CQ1315" i="18"/>
  <c r="CP1315" i="18"/>
  <c r="CO1315" i="18"/>
  <c r="CN1315" i="18"/>
  <c r="CM1315" i="18"/>
  <c r="CL1315" i="18"/>
  <c r="CK1315" i="18"/>
  <c r="CJ1315" i="18"/>
  <c r="CI1315" i="18"/>
  <c r="CH1315" i="18"/>
  <c r="CG1315" i="18"/>
  <c r="CF1315" i="18"/>
  <c r="CE1315" i="18"/>
  <c r="CD1315" i="18"/>
  <c r="CC1315" i="18"/>
  <c r="CB1315" i="18"/>
  <c r="CA1315" i="18"/>
  <c r="BZ1315" i="18"/>
  <c r="BY1315" i="18"/>
  <c r="BH1315" i="18"/>
  <c r="BG1315" i="18"/>
  <c r="BF1315" i="18"/>
  <c r="BE1315" i="18"/>
  <c r="BD1315" i="18"/>
  <c r="BC1315" i="18"/>
  <c r="BB1315" i="18"/>
  <c r="BA1315" i="18"/>
  <c r="AZ1315" i="18"/>
  <c r="AY1315" i="18"/>
  <c r="AX1315" i="18"/>
  <c r="AW1315" i="18"/>
  <c r="AV1315" i="18"/>
  <c r="AU1315" i="18"/>
  <c r="AT1315" i="18"/>
  <c r="AS1315" i="18"/>
  <c r="AR1315" i="18"/>
  <c r="AQ1315" i="18"/>
  <c r="AP1315" i="18"/>
  <c r="AO1315" i="18"/>
  <c r="AN1315" i="18"/>
  <c r="AM1315" i="18"/>
  <c r="AL1315" i="18"/>
  <c r="AK1315" i="18"/>
  <c r="AJ1315" i="18"/>
  <c r="AI1315" i="18"/>
  <c r="AH1315" i="18"/>
  <c r="AG1315" i="18"/>
  <c r="AF1315" i="18"/>
  <c r="AE1315" i="18"/>
  <c r="AD1315" i="18"/>
  <c r="AC1315" i="18"/>
  <c r="AB1315" i="18"/>
  <c r="AA1315" i="18"/>
  <c r="Z1315" i="18"/>
  <c r="Y1315" i="18"/>
  <c r="X1315" i="18"/>
  <c r="W1315" i="18"/>
  <c r="V1315" i="18"/>
  <c r="U1315" i="18"/>
  <c r="T1315" i="18"/>
  <c r="S1315" i="18"/>
  <c r="R1315" i="18"/>
  <c r="Q1315" i="18"/>
  <c r="P1315" i="18"/>
  <c r="O1315" i="18"/>
  <c r="N1315" i="18"/>
  <c r="M1315" i="18"/>
  <c r="L1315" i="18"/>
  <c r="K1315" i="18"/>
  <c r="J1315" i="18"/>
  <c r="I1315" i="18"/>
  <c r="H1315" i="18"/>
  <c r="G1315" i="18"/>
  <c r="F1315" i="18"/>
  <c r="E1315" i="18"/>
  <c r="D1315" i="18"/>
  <c r="C1315" i="18"/>
  <c r="B1315" i="18"/>
  <c r="A1315" i="18"/>
  <c r="CX1314" i="18"/>
  <c r="CW1314" i="18"/>
  <c r="CV1314" i="18"/>
  <c r="CU1314" i="18"/>
  <c r="CT1314" i="18"/>
  <c r="CS1314" i="18"/>
  <c r="CR1314" i="18"/>
  <c r="CQ1314" i="18"/>
  <c r="CP1314" i="18"/>
  <c r="CO1314" i="18"/>
  <c r="CN1314" i="18"/>
  <c r="CM1314" i="18"/>
  <c r="CL1314" i="18"/>
  <c r="CK1314" i="18"/>
  <c r="CJ1314" i="18"/>
  <c r="CI1314" i="18"/>
  <c r="CH1314" i="18"/>
  <c r="CG1314" i="18"/>
  <c r="CF1314" i="18"/>
  <c r="CE1314" i="18"/>
  <c r="CD1314" i="18"/>
  <c r="CC1314" i="18"/>
  <c r="CB1314" i="18"/>
  <c r="CA1314" i="18"/>
  <c r="BZ1314" i="18"/>
  <c r="BY1314" i="18"/>
  <c r="BX1314" i="18"/>
  <c r="BW1314" i="18"/>
  <c r="BV1314" i="18"/>
  <c r="BT1314" i="18"/>
  <c r="BS1314" i="18"/>
  <c r="BR1314" i="18"/>
  <c r="BO1314" i="18"/>
  <c r="BN1314" i="18"/>
  <c r="BK1314" i="18"/>
  <c r="BJ1314" i="18"/>
  <c r="BI1314" i="18"/>
  <c r="BH1314" i="18"/>
  <c r="BG1314" i="18"/>
  <c r="BF1314" i="18"/>
  <c r="BE1314" i="18"/>
  <c r="BD1314" i="18"/>
  <c r="BC1314" i="18"/>
  <c r="BB1314" i="18"/>
  <c r="BA1314" i="18"/>
  <c r="AZ1314" i="18"/>
  <c r="AY1314" i="18"/>
  <c r="AX1314" i="18"/>
  <c r="AW1314" i="18"/>
  <c r="AV1314" i="18"/>
  <c r="AU1314" i="18"/>
  <c r="AT1314" i="18"/>
  <c r="AS1314" i="18"/>
  <c r="AR1314" i="18"/>
  <c r="AQ1314" i="18"/>
  <c r="AP1314" i="18"/>
  <c r="AO1314" i="18"/>
  <c r="AN1314" i="18"/>
  <c r="AM1314" i="18"/>
  <c r="AL1314" i="18"/>
  <c r="AK1314" i="18"/>
  <c r="AJ1314" i="18"/>
  <c r="AI1314" i="18"/>
  <c r="AH1314" i="18"/>
  <c r="AG1314" i="18"/>
  <c r="AF1314" i="18"/>
  <c r="AE1314" i="18"/>
  <c r="AD1314" i="18"/>
  <c r="AC1314" i="18"/>
  <c r="AB1314" i="18"/>
  <c r="AA1314" i="18"/>
  <c r="Z1314" i="18"/>
  <c r="Y1314" i="18"/>
  <c r="X1314" i="18"/>
  <c r="W1314" i="18"/>
  <c r="V1314" i="18"/>
  <c r="U1314" i="18"/>
  <c r="T1314" i="18"/>
  <c r="S1314" i="18"/>
  <c r="R1314" i="18"/>
  <c r="Q1314" i="18"/>
  <c r="P1314" i="18"/>
  <c r="O1314" i="18"/>
  <c r="N1314" i="18"/>
  <c r="M1314" i="18"/>
  <c r="L1314" i="18"/>
  <c r="K1314" i="18"/>
  <c r="J1314" i="18"/>
  <c r="I1314" i="18"/>
  <c r="H1314" i="18"/>
  <c r="G1314" i="18"/>
  <c r="F1314" i="18"/>
  <c r="E1314" i="18"/>
  <c r="D1314" i="18"/>
  <c r="C1314" i="18"/>
  <c r="B1314" i="18"/>
  <c r="A1314" i="18"/>
  <c r="CX1313" i="18"/>
  <c r="CW1313" i="18"/>
  <c r="CV1313" i="18"/>
  <c r="CU1313" i="18"/>
  <c r="CT1313" i="18"/>
  <c r="CS1313" i="18"/>
  <c r="CR1313" i="18"/>
  <c r="CQ1313" i="18"/>
  <c r="CP1313" i="18"/>
  <c r="CO1313" i="18"/>
  <c r="CN1313" i="18"/>
  <c r="CM1313" i="18"/>
  <c r="CL1313" i="18"/>
  <c r="CK1313" i="18"/>
  <c r="CJ1313" i="18"/>
  <c r="CI1313" i="18"/>
  <c r="CH1313" i="18"/>
  <c r="CG1313" i="18"/>
  <c r="CF1313" i="18"/>
  <c r="CE1313" i="18"/>
  <c r="CD1313" i="18"/>
  <c r="CC1313" i="18"/>
  <c r="CB1313" i="18"/>
  <c r="CA1313" i="18"/>
  <c r="BZ1313" i="18"/>
  <c r="BY1313" i="18"/>
  <c r="BT1313" i="18"/>
  <c r="BS1313" i="18"/>
  <c r="BR1313" i="18"/>
  <c r="BO1313" i="18"/>
  <c r="BN1313" i="18"/>
  <c r="BK1313" i="18"/>
  <c r="BJ1313" i="18"/>
  <c r="BI1313" i="18"/>
  <c r="BH1313" i="18"/>
  <c r="BG1313" i="18"/>
  <c r="BF1313" i="18"/>
  <c r="BE1313" i="18"/>
  <c r="BD1313" i="18"/>
  <c r="BC1313" i="18"/>
  <c r="BB1313" i="18"/>
  <c r="BA1313" i="18"/>
  <c r="AZ1313" i="18"/>
  <c r="AY1313" i="18"/>
  <c r="AX1313" i="18"/>
  <c r="AW1313" i="18"/>
  <c r="AV1313" i="18"/>
  <c r="AU1313" i="18"/>
  <c r="AT1313" i="18"/>
  <c r="AS1313" i="18"/>
  <c r="AR1313" i="18"/>
  <c r="AQ1313" i="18"/>
  <c r="AP1313" i="18"/>
  <c r="AO1313" i="18"/>
  <c r="AN1313" i="18"/>
  <c r="AM1313" i="18"/>
  <c r="AL1313" i="18"/>
  <c r="AK1313" i="18"/>
  <c r="AJ1313" i="18"/>
  <c r="AI1313" i="18"/>
  <c r="AH1313" i="18"/>
  <c r="AG1313" i="18"/>
  <c r="AF1313" i="18"/>
  <c r="AE1313" i="18"/>
  <c r="AD1313" i="18"/>
  <c r="AC1313" i="18"/>
  <c r="AB1313" i="18"/>
  <c r="AA1313" i="18"/>
  <c r="Z1313" i="18"/>
  <c r="Y1313" i="18"/>
  <c r="X1313" i="18"/>
  <c r="W1313" i="18"/>
  <c r="V1313" i="18"/>
  <c r="U1313" i="18"/>
  <c r="T1313" i="18"/>
  <c r="S1313" i="18"/>
  <c r="R1313" i="18"/>
  <c r="Q1313" i="18"/>
  <c r="P1313" i="18"/>
  <c r="O1313" i="18"/>
  <c r="N1313" i="18"/>
  <c r="M1313" i="18"/>
  <c r="L1313" i="18"/>
  <c r="K1313" i="18"/>
  <c r="J1313" i="18"/>
  <c r="I1313" i="18"/>
  <c r="H1313" i="18"/>
  <c r="G1313" i="18"/>
  <c r="F1313" i="18"/>
  <c r="E1313" i="18"/>
  <c r="D1313" i="18"/>
  <c r="C1313" i="18"/>
  <c r="B1313" i="18"/>
  <c r="A1313" i="18"/>
  <c r="CX1312" i="18"/>
  <c r="CW1312" i="18"/>
  <c r="CV1312" i="18"/>
  <c r="CU1312" i="18"/>
  <c r="CT1312" i="18"/>
  <c r="CS1312" i="18"/>
  <c r="CR1312" i="18"/>
  <c r="CM1312" i="18"/>
  <c r="CL1312" i="18"/>
  <c r="CK1312" i="18"/>
  <c r="CJ1312" i="18"/>
  <c r="CI1312" i="18"/>
  <c r="CH1312" i="18"/>
  <c r="CG1312" i="18"/>
  <c r="CF1312" i="18"/>
  <c r="CE1312" i="18"/>
  <c r="CD1312" i="18"/>
  <c r="CC1312" i="18"/>
  <c r="CB1312" i="18"/>
  <c r="CA1312" i="18"/>
  <c r="BZ1312" i="18"/>
  <c r="BY1312" i="18"/>
  <c r="BS1312" i="18"/>
  <c r="BR1312" i="18"/>
  <c r="BQ1312" i="18"/>
  <c r="BO1312" i="18"/>
  <c r="BN1312" i="18"/>
  <c r="BM1312" i="18"/>
  <c r="BK1312" i="18"/>
  <c r="BJ1312" i="18"/>
  <c r="BI1312" i="18"/>
  <c r="BH1312" i="18"/>
  <c r="BG1312" i="18"/>
  <c r="BF1312" i="18"/>
  <c r="BE1312" i="18"/>
  <c r="BD1312" i="18"/>
  <c r="BC1312" i="18"/>
  <c r="BB1312" i="18"/>
  <c r="BA1312" i="18"/>
  <c r="AZ1312" i="18"/>
  <c r="AY1312" i="18"/>
  <c r="AX1312" i="18"/>
  <c r="AW1312" i="18"/>
  <c r="AV1312" i="18"/>
  <c r="AU1312" i="18"/>
  <c r="AT1312" i="18"/>
  <c r="AS1312" i="18"/>
  <c r="AR1312" i="18"/>
  <c r="AQ1312" i="18"/>
  <c r="AP1312" i="18"/>
  <c r="AO1312" i="18"/>
  <c r="AN1312" i="18"/>
  <c r="AM1312" i="18"/>
  <c r="AL1312" i="18"/>
  <c r="AK1312" i="18"/>
  <c r="AJ1312" i="18"/>
  <c r="AI1312" i="18"/>
  <c r="AH1312" i="18"/>
  <c r="AG1312" i="18"/>
  <c r="AF1312" i="18"/>
  <c r="AE1312" i="18"/>
  <c r="AD1312" i="18"/>
  <c r="AC1312" i="18"/>
  <c r="AB1312" i="18"/>
  <c r="AA1312" i="18"/>
  <c r="Z1312" i="18"/>
  <c r="Y1312" i="18"/>
  <c r="X1312" i="18"/>
  <c r="W1312" i="18"/>
  <c r="V1312" i="18"/>
  <c r="U1312" i="18"/>
  <c r="T1312" i="18"/>
  <c r="S1312" i="18"/>
  <c r="R1312" i="18"/>
  <c r="Q1312" i="18"/>
  <c r="P1312" i="18"/>
  <c r="O1312" i="18"/>
  <c r="N1312" i="18"/>
  <c r="M1312" i="18"/>
  <c r="L1312" i="18"/>
  <c r="K1312" i="18"/>
  <c r="J1312" i="18"/>
  <c r="I1312" i="18"/>
  <c r="H1312" i="18"/>
  <c r="G1312" i="18"/>
  <c r="F1312" i="18"/>
  <c r="E1312" i="18"/>
  <c r="D1312" i="18"/>
  <c r="C1312" i="18"/>
  <c r="B1312" i="18"/>
  <c r="A1312" i="18"/>
  <c r="CX1311" i="18"/>
  <c r="CW1311" i="18"/>
  <c r="CV1311" i="18"/>
  <c r="CU1311" i="18"/>
  <c r="CT1311" i="18"/>
  <c r="CS1311" i="18"/>
  <c r="CR1311" i="18"/>
  <c r="CM1311" i="18"/>
  <c r="CL1311" i="18"/>
  <c r="CK1311" i="18"/>
  <c r="CJ1311" i="18"/>
  <c r="CI1311" i="18"/>
  <c r="CH1311" i="18"/>
  <c r="CG1311" i="18"/>
  <c r="CF1311" i="18"/>
  <c r="CE1311" i="18"/>
  <c r="CD1311" i="18"/>
  <c r="CC1311" i="18"/>
  <c r="CB1311" i="18"/>
  <c r="CA1311" i="18"/>
  <c r="BZ1311" i="18"/>
  <c r="BY1311" i="18"/>
  <c r="BS1311" i="18"/>
  <c r="BR1311" i="18"/>
  <c r="BQ1311" i="18"/>
  <c r="BP1311" i="18"/>
  <c r="BO1311" i="18"/>
  <c r="BN1311" i="18"/>
  <c r="BM1311" i="18"/>
  <c r="BK1311" i="18"/>
  <c r="BJ1311" i="18"/>
  <c r="BI1311" i="18"/>
  <c r="BH1311" i="18"/>
  <c r="BG1311" i="18"/>
  <c r="BF1311" i="18"/>
  <c r="BE1311" i="18"/>
  <c r="BD1311" i="18"/>
  <c r="BC1311" i="18"/>
  <c r="BB1311" i="18"/>
  <c r="BA1311" i="18"/>
  <c r="AZ1311" i="18"/>
  <c r="AY1311" i="18"/>
  <c r="AX1311" i="18"/>
  <c r="AW1311" i="18"/>
  <c r="AV1311" i="18"/>
  <c r="AU1311" i="18"/>
  <c r="AT1311" i="18"/>
  <c r="AS1311" i="18"/>
  <c r="AR1311" i="18"/>
  <c r="AQ1311" i="18"/>
  <c r="AP1311" i="18"/>
  <c r="AO1311" i="18"/>
  <c r="AN1311" i="18"/>
  <c r="AM1311" i="18"/>
  <c r="AL1311" i="18"/>
  <c r="AK1311" i="18"/>
  <c r="AJ1311" i="18"/>
  <c r="AI1311" i="18"/>
  <c r="AH1311" i="18"/>
  <c r="AG1311" i="18"/>
  <c r="AF1311" i="18"/>
  <c r="AE1311" i="18"/>
  <c r="AD1311" i="18"/>
  <c r="AC1311" i="18"/>
  <c r="AB1311" i="18"/>
  <c r="AA1311" i="18"/>
  <c r="Z1311" i="18"/>
  <c r="Y1311" i="18"/>
  <c r="X1311" i="18"/>
  <c r="W1311" i="18"/>
  <c r="V1311" i="18"/>
  <c r="U1311" i="18"/>
  <c r="T1311" i="18"/>
  <c r="S1311" i="18"/>
  <c r="R1311" i="18"/>
  <c r="Q1311" i="18"/>
  <c r="P1311" i="18"/>
  <c r="O1311" i="18"/>
  <c r="N1311" i="18"/>
  <c r="M1311" i="18"/>
  <c r="L1311" i="18"/>
  <c r="K1311" i="18"/>
  <c r="J1311" i="18"/>
  <c r="I1311" i="18"/>
  <c r="H1311" i="18"/>
  <c r="G1311" i="18"/>
  <c r="F1311" i="18"/>
  <c r="E1311" i="18"/>
  <c r="D1311" i="18"/>
  <c r="C1311" i="18"/>
  <c r="B1311" i="18"/>
  <c r="A1311" i="18"/>
  <c r="CX1310" i="18"/>
  <c r="CW1310" i="18"/>
  <c r="CV1310" i="18"/>
  <c r="CU1310" i="18"/>
  <c r="CT1310" i="18"/>
  <c r="CS1310" i="18"/>
  <c r="CR1310" i="18"/>
  <c r="CP1310" i="18"/>
  <c r="CM1310" i="18"/>
  <c r="CL1310" i="18"/>
  <c r="CK1310" i="18"/>
  <c r="CJ1310" i="18"/>
  <c r="CI1310" i="18"/>
  <c r="CH1310" i="18"/>
  <c r="CG1310" i="18"/>
  <c r="CF1310" i="18"/>
  <c r="CE1310" i="18"/>
  <c r="CD1310" i="18"/>
  <c r="CC1310" i="18"/>
  <c r="CB1310" i="18"/>
  <c r="CA1310" i="18"/>
  <c r="BZ1310" i="18"/>
  <c r="BY1310" i="18"/>
  <c r="BT1310" i="18"/>
  <c r="BS1310" i="18"/>
  <c r="BR1310" i="18"/>
  <c r="BQ1310" i="18"/>
  <c r="BP1310" i="18"/>
  <c r="BO1310" i="18"/>
  <c r="BN1310" i="18"/>
  <c r="BM1310" i="18"/>
  <c r="BK1310" i="18"/>
  <c r="BJ1310" i="18"/>
  <c r="BI1310" i="18"/>
  <c r="BH1310" i="18"/>
  <c r="BG1310" i="18"/>
  <c r="BF1310" i="18"/>
  <c r="BE1310" i="18"/>
  <c r="BD1310" i="18"/>
  <c r="BC1310" i="18"/>
  <c r="BB1310" i="18"/>
  <c r="BA1310" i="18"/>
  <c r="AZ1310" i="18"/>
  <c r="AY1310" i="18"/>
  <c r="AX1310" i="18"/>
  <c r="AW1310" i="18"/>
  <c r="AV1310" i="18"/>
  <c r="AU1310" i="18"/>
  <c r="AT1310" i="18"/>
  <c r="AS1310" i="18"/>
  <c r="AR1310" i="18"/>
  <c r="AQ1310" i="18"/>
  <c r="AP1310" i="18"/>
  <c r="AO1310" i="18"/>
  <c r="AN1310" i="18"/>
  <c r="AM1310" i="18"/>
  <c r="AL1310" i="18"/>
  <c r="AK1310" i="18"/>
  <c r="AJ1310" i="18"/>
  <c r="AI1310" i="18"/>
  <c r="AH1310" i="18"/>
  <c r="AG1310" i="18"/>
  <c r="AF1310" i="18"/>
  <c r="AE1310" i="18"/>
  <c r="AD1310" i="18"/>
  <c r="AC1310" i="18"/>
  <c r="AB1310" i="18"/>
  <c r="AA1310" i="18"/>
  <c r="Z1310" i="18"/>
  <c r="Y1310" i="18"/>
  <c r="X1310" i="18"/>
  <c r="W1310" i="18"/>
  <c r="V1310" i="18"/>
  <c r="U1310" i="18"/>
  <c r="T1310" i="18"/>
  <c r="S1310" i="18"/>
  <c r="R1310" i="18"/>
  <c r="Q1310" i="18"/>
  <c r="P1310" i="18"/>
  <c r="O1310" i="18"/>
  <c r="N1310" i="18"/>
  <c r="M1310" i="18"/>
  <c r="L1310" i="18"/>
  <c r="K1310" i="18"/>
  <c r="J1310" i="18"/>
  <c r="I1310" i="18"/>
  <c r="H1310" i="18"/>
  <c r="G1310" i="18"/>
  <c r="F1310" i="18"/>
  <c r="E1310" i="18"/>
  <c r="D1310" i="18"/>
  <c r="C1310" i="18"/>
  <c r="B1310" i="18"/>
  <c r="A1310" i="18"/>
  <c r="CX1309" i="18"/>
  <c r="CW1309" i="18"/>
  <c r="CV1309" i="18"/>
  <c r="CU1309" i="18"/>
  <c r="CT1309" i="18"/>
  <c r="CS1309" i="18"/>
  <c r="CR1309" i="18"/>
  <c r="CQ1309" i="18"/>
  <c r="CP1309" i="18"/>
  <c r="CO1309" i="18"/>
  <c r="CN1309" i="18"/>
  <c r="CM1309" i="18"/>
  <c r="CL1309" i="18"/>
  <c r="CK1309" i="18"/>
  <c r="CJ1309" i="18"/>
  <c r="CI1309" i="18"/>
  <c r="CH1309" i="18"/>
  <c r="CG1309" i="18"/>
  <c r="CF1309" i="18"/>
  <c r="CE1309" i="18"/>
  <c r="CD1309" i="18"/>
  <c r="CC1309" i="18"/>
  <c r="CB1309" i="18"/>
  <c r="CA1309" i="18"/>
  <c r="BZ1309" i="18"/>
  <c r="BY1309" i="18"/>
  <c r="BX1309" i="18"/>
  <c r="BW1309" i="18"/>
  <c r="BV1309" i="18"/>
  <c r="BU1309" i="18"/>
  <c r="BT1309" i="18"/>
  <c r="BS1309" i="18"/>
  <c r="BR1309" i="18"/>
  <c r="BQ1309" i="18"/>
  <c r="BP1309" i="18"/>
  <c r="BO1309" i="18"/>
  <c r="BN1309" i="18"/>
  <c r="BM1309" i="18"/>
  <c r="BL1309" i="18"/>
  <c r="BK1309" i="18"/>
  <c r="BJ1309" i="18"/>
  <c r="BI1309" i="18"/>
  <c r="BH1309" i="18"/>
  <c r="BG1309" i="18"/>
  <c r="BF1309" i="18"/>
  <c r="BE1309" i="18"/>
  <c r="BD1309" i="18"/>
  <c r="BC1309" i="18"/>
  <c r="BB1309" i="18"/>
  <c r="BA1309" i="18"/>
  <c r="AZ1309" i="18"/>
  <c r="AY1309" i="18"/>
  <c r="AX1309" i="18"/>
  <c r="AW1309" i="18"/>
  <c r="AV1309" i="18"/>
  <c r="AU1309" i="18"/>
  <c r="AT1309" i="18"/>
  <c r="AS1309" i="18"/>
  <c r="AR1309" i="18"/>
  <c r="AQ1309" i="18"/>
  <c r="AP1309" i="18"/>
  <c r="AO1309" i="18"/>
  <c r="AN1309" i="18"/>
  <c r="AM1309" i="18"/>
  <c r="AL1309" i="18"/>
  <c r="AK1309" i="18"/>
  <c r="AJ1309" i="18"/>
  <c r="AI1309" i="18"/>
  <c r="AH1309" i="18"/>
  <c r="AG1309" i="18"/>
  <c r="AF1309" i="18"/>
  <c r="AE1309" i="18"/>
  <c r="AD1309" i="18"/>
  <c r="AC1309" i="18"/>
  <c r="AB1309" i="18"/>
  <c r="AA1309" i="18"/>
  <c r="Z1309" i="18"/>
  <c r="Y1309" i="18"/>
  <c r="X1309" i="18"/>
  <c r="W1309" i="18"/>
  <c r="V1309" i="18"/>
  <c r="U1309" i="18"/>
  <c r="T1309" i="18"/>
  <c r="S1309" i="18"/>
  <c r="R1309" i="18"/>
  <c r="Q1309" i="18"/>
  <c r="P1309" i="18"/>
  <c r="O1309" i="18"/>
  <c r="N1309" i="18"/>
  <c r="M1309" i="18"/>
  <c r="L1309" i="18"/>
  <c r="K1309" i="18"/>
  <c r="J1309" i="18"/>
  <c r="I1309" i="18"/>
  <c r="H1309" i="18"/>
  <c r="G1309" i="18"/>
  <c r="F1309" i="18"/>
  <c r="E1309" i="18"/>
  <c r="D1309" i="18"/>
  <c r="C1309" i="18"/>
  <c r="B1309" i="18"/>
  <c r="A1309" i="18"/>
  <c r="CX1308" i="18"/>
  <c r="CW1308" i="18"/>
  <c r="CV1308" i="18"/>
  <c r="CU1308" i="18"/>
  <c r="CT1308" i="18"/>
  <c r="CS1308" i="18"/>
  <c r="CR1308" i="18"/>
  <c r="CM1308" i="18"/>
  <c r="CL1308" i="18"/>
  <c r="CK1308" i="18"/>
  <c r="CJ1308" i="18"/>
  <c r="CI1308" i="18"/>
  <c r="CH1308" i="18"/>
  <c r="CG1308" i="18"/>
  <c r="CF1308" i="18"/>
  <c r="CE1308" i="18"/>
  <c r="CD1308" i="18"/>
  <c r="CC1308" i="18"/>
  <c r="CB1308" i="18"/>
  <c r="CA1308" i="18"/>
  <c r="BZ1308" i="18"/>
  <c r="BY1308" i="18"/>
  <c r="BT1308" i="18"/>
  <c r="BS1308" i="18"/>
  <c r="BR1308" i="18"/>
  <c r="BO1308" i="18"/>
  <c r="BN1308" i="18"/>
  <c r="BK1308" i="18"/>
  <c r="BJ1308" i="18"/>
  <c r="BI1308" i="18"/>
  <c r="BH1308" i="18"/>
  <c r="BG1308" i="18"/>
  <c r="BF1308" i="18"/>
  <c r="BE1308" i="18"/>
  <c r="BD1308" i="18"/>
  <c r="BC1308" i="18"/>
  <c r="BB1308" i="18"/>
  <c r="BA1308" i="18"/>
  <c r="AZ1308" i="18"/>
  <c r="AY1308" i="18"/>
  <c r="AX1308" i="18"/>
  <c r="AW1308" i="18"/>
  <c r="AV1308" i="18"/>
  <c r="AU1308" i="18"/>
  <c r="AT1308" i="18"/>
  <c r="AS1308" i="18"/>
  <c r="AR1308" i="18"/>
  <c r="AQ1308" i="18"/>
  <c r="AP1308" i="18"/>
  <c r="AO1308" i="18"/>
  <c r="AN1308" i="18"/>
  <c r="AM1308" i="18"/>
  <c r="AL1308" i="18"/>
  <c r="AK1308" i="18"/>
  <c r="AJ1308" i="18"/>
  <c r="AI1308" i="18"/>
  <c r="AH1308" i="18"/>
  <c r="AG1308" i="18"/>
  <c r="AF1308" i="18"/>
  <c r="AE1308" i="18"/>
  <c r="AD1308" i="18"/>
  <c r="AC1308" i="18"/>
  <c r="AB1308" i="18"/>
  <c r="AA1308" i="18"/>
  <c r="Z1308" i="18"/>
  <c r="Y1308" i="18"/>
  <c r="X1308" i="18"/>
  <c r="W1308" i="18"/>
  <c r="V1308" i="18"/>
  <c r="U1308" i="18"/>
  <c r="T1308" i="18"/>
  <c r="S1308" i="18"/>
  <c r="R1308" i="18"/>
  <c r="Q1308" i="18"/>
  <c r="P1308" i="18"/>
  <c r="O1308" i="18"/>
  <c r="N1308" i="18"/>
  <c r="M1308" i="18"/>
  <c r="L1308" i="18"/>
  <c r="K1308" i="18"/>
  <c r="J1308" i="18"/>
  <c r="I1308" i="18"/>
  <c r="H1308" i="18"/>
  <c r="G1308" i="18"/>
  <c r="F1308" i="18"/>
  <c r="E1308" i="18"/>
  <c r="D1308" i="18"/>
  <c r="C1308" i="18"/>
  <c r="B1308" i="18"/>
  <c r="A1308" i="18"/>
  <c r="CX1307" i="18"/>
  <c r="CW1307" i="18"/>
  <c r="CV1307" i="18"/>
  <c r="CU1307" i="18"/>
  <c r="CT1307" i="18"/>
  <c r="CS1307" i="18"/>
  <c r="CR1307" i="18"/>
  <c r="CM1307" i="18"/>
  <c r="CL1307" i="18"/>
  <c r="CK1307" i="18"/>
  <c r="CJ1307" i="18"/>
  <c r="CI1307" i="18"/>
  <c r="CH1307" i="18"/>
  <c r="CG1307" i="18"/>
  <c r="CF1307" i="18"/>
  <c r="CE1307" i="18"/>
  <c r="CD1307" i="18"/>
  <c r="CC1307" i="18"/>
  <c r="CB1307" i="18"/>
  <c r="CA1307" i="18"/>
  <c r="BZ1307" i="18"/>
  <c r="BY1307" i="18"/>
  <c r="BS1307" i="18"/>
  <c r="BR1307" i="18"/>
  <c r="BQ1307" i="18"/>
  <c r="BO1307" i="18"/>
  <c r="BN1307" i="18"/>
  <c r="BM1307" i="18"/>
  <c r="BK1307" i="18"/>
  <c r="BJ1307" i="18"/>
  <c r="BI1307" i="18"/>
  <c r="BH1307" i="18"/>
  <c r="BG1307" i="18"/>
  <c r="BF1307" i="18"/>
  <c r="BE1307" i="18"/>
  <c r="BD1307" i="18"/>
  <c r="BC1307" i="18"/>
  <c r="BB1307" i="18"/>
  <c r="BA1307" i="18"/>
  <c r="AZ1307" i="18"/>
  <c r="AY1307" i="18"/>
  <c r="AX1307" i="18"/>
  <c r="AW1307" i="18"/>
  <c r="AV1307" i="18"/>
  <c r="AU1307" i="18"/>
  <c r="AT1307" i="18"/>
  <c r="AS1307" i="18"/>
  <c r="AR1307" i="18"/>
  <c r="AQ1307" i="18"/>
  <c r="AP1307" i="18"/>
  <c r="AO1307" i="18"/>
  <c r="AN1307" i="18"/>
  <c r="AM1307" i="18"/>
  <c r="AL1307" i="18"/>
  <c r="AK1307" i="18"/>
  <c r="AJ1307" i="18"/>
  <c r="AI1307" i="18"/>
  <c r="AH1307" i="18"/>
  <c r="AG1307" i="18"/>
  <c r="AF1307" i="18"/>
  <c r="AE1307" i="18"/>
  <c r="AD1307" i="18"/>
  <c r="AC1307" i="18"/>
  <c r="AB1307" i="18"/>
  <c r="AA1307" i="18"/>
  <c r="Z1307" i="18"/>
  <c r="Y1307" i="18"/>
  <c r="X1307" i="18"/>
  <c r="W1307" i="18"/>
  <c r="V1307" i="18"/>
  <c r="U1307" i="18"/>
  <c r="T1307" i="18"/>
  <c r="S1307" i="18"/>
  <c r="R1307" i="18"/>
  <c r="Q1307" i="18"/>
  <c r="P1307" i="18"/>
  <c r="O1307" i="18"/>
  <c r="N1307" i="18"/>
  <c r="M1307" i="18"/>
  <c r="L1307" i="18"/>
  <c r="K1307" i="18"/>
  <c r="J1307" i="18"/>
  <c r="I1307" i="18"/>
  <c r="H1307" i="18"/>
  <c r="G1307" i="18"/>
  <c r="F1307" i="18"/>
  <c r="E1307" i="18"/>
  <c r="D1307" i="18"/>
  <c r="C1307" i="18"/>
  <c r="B1307" i="18"/>
  <c r="A1307" i="18"/>
  <c r="CX1306" i="18"/>
  <c r="CW1306" i="18"/>
  <c r="CV1306" i="18"/>
  <c r="CU1306" i="18"/>
  <c r="CT1306" i="18"/>
  <c r="CS1306" i="18"/>
  <c r="CR1306" i="18"/>
  <c r="CP1306" i="18"/>
  <c r="CM1306" i="18"/>
  <c r="CL1306" i="18"/>
  <c r="CK1306" i="18"/>
  <c r="CJ1306" i="18"/>
  <c r="CI1306" i="18"/>
  <c r="CH1306" i="18"/>
  <c r="CG1306" i="18"/>
  <c r="CF1306" i="18"/>
  <c r="CE1306" i="18"/>
  <c r="CD1306" i="18"/>
  <c r="CC1306" i="18"/>
  <c r="CB1306" i="18"/>
  <c r="CA1306" i="18"/>
  <c r="BZ1306" i="18"/>
  <c r="BY1306" i="18"/>
  <c r="BT1306" i="18"/>
  <c r="BS1306" i="18"/>
  <c r="BR1306" i="18"/>
  <c r="BQ1306" i="18"/>
  <c r="BO1306" i="18"/>
  <c r="BN1306" i="18"/>
  <c r="BM1306" i="18"/>
  <c r="BK1306" i="18"/>
  <c r="BJ1306" i="18"/>
  <c r="BI1306" i="18"/>
  <c r="BH1306" i="18"/>
  <c r="BG1306" i="18"/>
  <c r="BF1306" i="18"/>
  <c r="BE1306" i="18"/>
  <c r="BD1306" i="18"/>
  <c r="BC1306" i="18"/>
  <c r="BB1306" i="18"/>
  <c r="BA1306" i="18"/>
  <c r="AZ1306" i="18"/>
  <c r="AY1306" i="18"/>
  <c r="AX1306" i="18"/>
  <c r="AW1306" i="18"/>
  <c r="AV1306" i="18"/>
  <c r="AU1306" i="18"/>
  <c r="AT1306" i="18"/>
  <c r="AS1306" i="18"/>
  <c r="AR1306" i="18"/>
  <c r="AQ1306" i="18"/>
  <c r="AP1306" i="18"/>
  <c r="AO1306" i="18"/>
  <c r="AN1306" i="18"/>
  <c r="AM1306" i="18"/>
  <c r="AL1306" i="18"/>
  <c r="AK1306" i="18"/>
  <c r="AJ1306" i="18"/>
  <c r="AI1306" i="18"/>
  <c r="AH1306" i="18"/>
  <c r="AG1306" i="18"/>
  <c r="AF1306" i="18"/>
  <c r="AE1306" i="18"/>
  <c r="AD1306" i="18"/>
  <c r="AC1306" i="18"/>
  <c r="AB1306" i="18"/>
  <c r="AA1306" i="18"/>
  <c r="Z1306" i="18"/>
  <c r="Y1306" i="18"/>
  <c r="X1306" i="18"/>
  <c r="W1306" i="18"/>
  <c r="V1306" i="18"/>
  <c r="U1306" i="18"/>
  <c r="T1306" i="18"/>
  <c r="S1306" i="18"/>
  <c r="R1306" i="18"/>
  <c r="Q1306" i="18"/>
  <c r="P1306" i="18"/>
  <c r="O1306" i="18"/>
  <c r="N1306" i="18"/>
  <c r="M1306" i="18"/>
  <c r="L1306" i="18"/>
  <c r="K1306" i="18"/>
  <c r="J1306" i="18"/>
  <c r="I1306" i="18"/>
  <c r="H1306" i="18"/>
  <c r="G1306" i="18"/>
  <c r="F1306" i="18"/>
  <c r="E1306" i="18"/>
  <c r="D1306" i="18"/>
  <c r="C1306" i="18"/>
  <c r="B1306" i="18"/>
  <c r="A1306" i="18"/>
  <c r="CX1305" i="18"/>
  <c r="CW1305" i="18"/>
  <c r="CV1305" i="18"/>
  <c r="CU1305" i="18"/>
  <c r="CT1305" i="18"/>
  <c r="CS1305" i="18"/>
  <c r="CR1305" i="18"/>
  <c r="CQ1305" i="18"/>
  <c r="CP1305" i="18"/>
  <c r="CO1305" i="18"/>
  <c r="CN1305" i="18"/>
  <c r="CM1305" i="18"/>
  <c r="CL1305" i="18"/>
  <c r="CK1305" i="18"/>
  <c r="CJ1305" i="18"/>
  <c r="CI1305" i="18"/>
  <c r="CH1305" i="18"/>
  <c r="CG1305" i="18"/>
  <c r="CF1305" i="18"/>
  <c r="CE1305" i="18"/>
  <c r="CD1305" i="18"/>
  <c r="CC1305" i="18"/>
  <c r="CB1305" i="18"/>
  <c r="CA1305" i="18"/>
  <c r="BZ1305" i="18"/>
  <c r="BY1305" i="18"/>
  <c r="BX1305" i="18"/>
  <c r="BW1305" i="18"/>
  <c r="BV1305" i="18"/>
  <c r="BU1305" i="18"/>
  <c r="BT1305" i="18"/>
  <c r="BS1305" i="18"/>
  <c r="BR1305" i="18"/>
  <c r="BQ1305" i="18"/>
  <c r="BP1305" i="18"/>
  <c r="BO1305" i="18"/>
  <c r="BN1305" i="18"/>
  <c r="BM1305" i="18"/>
  <c r="BL1305" i="18"/>
  <c r="BK1305" i="18"/>
  <c r="BJ1305" i="18"/>
  <c r="BI1305" i="18"/>
  <c r="BH1305" i="18"/>
  <c r="BG1305" i="18"/>
  <c r="BF1305" i="18"/>
  <c r="BE1305" i="18"/>
  <c r="BD1305" i="18"/>
  <c r="BC1305" i="18"/>
  <c r="BB1305" i="18"/>
  <c r="BA1305" i="18"/>
  <c r="AZ1305" i="18"/>
  <c r="AY1305" i="18"/>
  <c r="AX1305" i="18"/>
  <c r="AW1305" i="18"/>
  <c r="AV1305" i="18"/>
  <c r="AU1305" i="18"/>
  <c r="AT1305" i="18"/>
  <c r="AS1305" i="18"/>
  <c r="AR1305" i="18"/>
  <c r="AQ1305" i="18"/>
  <c r="AP1305" i="18"/>
  <c r="AO1305" i="18"/>
  <c r="AN1305" i="18"/>
  <c r="AM1305" i="18"/>
  <c r="AL1305" i="18"/>
  <c r="AK1305" i="18"/>
  <c r="AJ1305" i="18"/>
  <c r="AI1305" i="18"/>
  <c r="AH1305" i="18"/>
  <c r="AG1305" i="18"/>
  <c r="AF1305" i="18"/>
  <c r="AE1305" i="18"/>
  <c r="AD1305" i="18"/>
  <c r="AC1305" i="18"/>
  <c r="AB1305" i="18"/>
  <c r="AA1305" i="18"/>
  <c r="Z1305" i="18"/>
  <c r="Y1305" i="18"/>
  <c r="X1305" i="18"/>
  <c r="W1305" i="18"/>
  <c r="V1305" i="18"/>
  <c r="U1305" i="18"/>
  <c r="T1305" i="18"/>
  <c r="S1305" i="18"/>
  <c r="R1305" i="18"/>
  <c r="Q1305" i="18"/>
  <c r="P1305" i="18"/>
  <c r="O1305" i="18"/>
  <c r="N1305" i="18"/>
  <c r="M1305" i="18"/>
  <c r="L1305" i="18"/>
  <c r="K1305" i="18"/>
  <c r="J1305" i="18"/>
  <c r="I1305" i="18"/>
  <c r="H1305" i="18"/>
  <c r="G1305" i="18"/>
  <c r="F1305" i="18"/>
  <c r="E1305" i="18"/>
  <c r="D1305" i="18"/>
  <c r="C1305" i="18"/>
  <c r="B1305" i="18"/>
  <c r="A1305" i="18"/>
  <c r="CF1304" i="18"/>
  <c r="CE1304" i="18"/>
  <c r="CD1304" i="18"/>
  <c r="CC1304" i="18"/>
  <c r="CB1304" i="18"/>
  <c r="CA1304" i="18"/>
  <c r="BZ1304" i="18"/>
  <c r="BY1304" i="18"/>
  <c r="AB1304" i="18"/>
  <c r="AA1304" i="18"/>
  <c r="Z1304" i="18"/>
  <c r="Y1304" i="18"/>
  <c r="X1304" i="18"/>
  <c r="W1304" i="18"/>
  <c r="V1304" i="18"/>
  <c r="U1304" i="18"/>
  <c r="T1304" i="18"/>
  <c r="S1304" i="18"/>
  <c r="R1304" i="18"/>
  <c r="Q1304" i="18"/>
  <c r="P1304" i="18"/>
  <c r="O1304" i="18"/>
  <c r="N1304" i="18"/>
  <c r="M1304" i="18"/>
  <c r="L1304" i="18"/>
  <c r="K1304" i="18"/>
  <c r="J1304" i="18"/>
  <c r="I1304" i="18"/>
  <c r="H1304" i="18"/>
  <c r="G1304" i="18"/>
  <c r="F1304" i="18"/>
  <c r="E1304" i="18"/>
  <c r="D1304" i="18"/>
  <c r="C1304" i="18"/>
  <c r="B1304" i="18"/>
  <c r="A1304" i="18"/>
  <c r="CE1303" i="18"/>
  <c r="CD1303" i="18"/>
  <c r="CC1303" i="18"/>
  <c r="CB1303" i="18"/>
  <c r="CA1303" i="18"/>
  <c r="BZ1303" i="18"/>
  <c r="BY1303" i="18"/>
  <c r="AB1303" i="18"/>
  <c r="AA1303" i="18"/>
  <c r="Z1303" i="18"/>
  <c r="Y1303" i="18"/>
  <c r="X1303" i="18"/>
  <c r="W1303" i="18"/>
  <c r="V1303" i="18"/>
  <c r="U1303" i="18"/>
  <c r="T1303" i="18"/>
  <c r="S1303" i="18"/>
  <c r="R1303" i="18"/>
  <c r="Q1303" i="18"/>
  <c r="P1303" i="18"/>
  <c r="O1303" i="18"/>
  <c r="N1303" i="18"/>
  <c r="M1303" i="18"/>
  <c r="L1303" i="18"/>
  <c r="K1303" i="18"/>
  <c r="J1303" i="18"/>
  <c r="I1303" i="18"/>
  <c r="H1303" i="18"/>
  <c r="G1303" i="18"/>
  <c r="F1303" i="18"/>
  <c r="E1303" i="18"/>
  <c r="D1303" i="18"/>
  <c r="C1303" i="18"/>
  <c r="B1303" i="18"/>
  <c r="A1303" i="18"/>
  <c r="CD1302" i="18"/>
  <c r="CC1302" i="18"/>
  <c r="CB1302" i="18"/>
  <c r="CA1302" i="18"/>
  <c r="BZ1302" i="18"/>
  <c r="BY1302" i="18"/>
  <c r="X1302" i="18"/>
  <c r="W1302" i="18"/>
  <c r="V1302" i="18"/>
  <c r="U1302" i="18"/>
  <c r="T1302" i="18"/>
  <c r="S1302" i="18"/>
  <c r="R1302" i="18"/>
  <c r="Q1302" i="18"/>
  <c r="P1302" i="18"/>
  <c r="O1302" i="18"/>
  <c r="N1302" i="18"/>
  <c r="M1302" i="18"/>
  <c r="L1302" i="18"/>
  <c r="K1302" i="18"/>
  <c r="J1302" i="18"/>
  <c r="I1302" i="18"/>
  <c r="H1302" i="18"/>
  <c r="G1302" i="18"/>
  <c r="F1302" i="18"/>
  <c r="E1302" i="18"/>
  <c r="D1302" i="18"/>
  <c r="C1302" i="18"/>
  <c r="B1302" i="18"/>
  <c r="A1302" i="18"/>
  <c r="CX1301" i="18"/>
  <c r="CW1301" i="18"/>
  <c r="CV1301" i="18"/>
  <c r="CU1301" i="18"/>
  <c r="CT1301" i="18"/>
  <c r="CS1301" i="18"/>
  <c r="CR1301" i="18"/>
  <c r="CQ1301" i="18"/>
  <c r="CP1301" i="18"/>
  <c r="CO1301" i="18"/>
  <c r="CN1301" i="18"/>
  <c r="CM1301" i="18"/>
  <c r="CL1301" i="18"/>
  <c r="CK1301" i="18"/>
  <c r="CJ1301" i="18"/>
  <c r="CI1301" i="18"/>
  <c r="CH1301" i="18"/>
  <c r="CG1301" i="18"/>
  <c r="CF1301" i="18"/>
  <c r="CE1301" i="18"/>
  <c r="CD1301" i="18"/>
  <c r="CC1301" i="18"/>
  <c r="CB1301" i="18"/>
  <c r="CA1301" i="18"/>
  <c r="BZ1301" i="18"/>
  <c r="BY1301" i="18"/>
  <c r="BX1301" i="18"/>
  <c r="BW1301" i="18"/>
  <c r="BV1301" i="18"/>
  <c r="BU1301" i="18"/>
  <c r="BT1301" i="18"/>
  <c r="BS1301" i="18"/>
  <c r="BR1301" i="18"/>
  <c r="BQ1301" i="18"/>
  <c r="BP1301" i="18"/>
  <c r="BO1301" i="18"/>
  <c r="BN1301" i="18"/>
  <c r="BM1301" i="18"/>
  <c r="BL1301" i="18"/>
  <c r="BK1301" i="18"/>
  <c r="BJ1301" i="18"/>
  <c r="BI1301" i="18"/>
  <c r="BH1301" i="18"/>
  <c r="BG1301" i="18"/>
  <c r="BF1301" i="18"/>
  <c r="BE1301" i="18"/>
  <c r="BD1301" i="18"/>
  <c r="BC1301" i="18"/>
  <c r="BB1301" i="18"/>
  <c r="BA1301" i="18"/>
  <c r="AZ1301" i="18"/>
  <c r="AY1301" i="18"/>
  <c r="AX1301" i="18"/>
  <c r="AW1301" i="18"/>
  <c r="AV1301" i="18"/>
  <c r="AU1301" i="18"/>
  <c r="AT1301" i="18"/>
  <c r="AS1301" i="18"/>
  <c r="AR1301" i="18"/>
  <c r="AQ1301" i="18"/>
  <c r="AP1301" i="18"/>
  <c r="AO1301" i="18"/>
  <c r="AN1301" i="18"/>
  <c r="AM1301" i="18"/>
  <c r="AL1301" i="18"/>
  <c r="AK1301" i="18"/>
  <c r="AJ1301" i="18"/>
  <c r="AI1301" i="18"/>
  <c r="AH1301" i="18"/>
  <c r="AG1301" i="18"/>
  <c r="AF1301" i="18"/>
  <c r="AE1301" i="18"/>
  <c r="AD1301" i="18"/>
  <c r="AC1301" i="18"/>
  <c r="AB1301" i="18"/>
  <c r="AA1301" i="18"/>
  <c r="Z1301" i="18"/>
  <c r="Y1301" i="18"/>
  <c r="X1301" i="18"/>
  <c r="W1301" i="18"/>
  <c r="V1301" i="18"/>
  <c r="U1301" i="18"/>
  <c r="T1301" i="18"/>
  <c r="S1301" i="18"/>
  <c r="R1301" i="18"/>
  <c r="Q1301" i="18"/>
  <c r="P1301" i="18"/>
  <c r="O1301" i="18"/>
  <c r="N1301" i="18"/>
  <c r="M1301" i="18"/>
  <c r="L1301" i="18"/>
  <c r="K1301" i="18"/>
  <c r="J1301" i="18"/>
  <c r="I1301" i="18"/>
  <c r="H1301" i="18"/>
  <c r="G1301" i="18"/>
  <c r="F1301" i="18"/>
  <c r="E1301" i="18"/>
  <c r="D1301" i="18"/>
  <c r="C1301" i="18"/>
  <c r="B1301" i="18"/>
  <c r="A1301" i="18"/>
  <c r="CX1300" i="18"/>
  <c r="CW1300" i="18"/>
  <c r="CV1300" i="18"/>
  <c r="CU1300" i="18"/>
  <c r="CT1300" i="18"/>
  <c r="CS1300" i="18"/>
  <c r="CR1300" i="18"/>
  <c r="CM1300" i="18"/>
  <c r="CL1300" i="18"/>
  <c r="CK1300" i="18"/>
  <c r="CJ1300" i="18"/>
  <c r="CI1300" i="18"/>
  <c r="CH1300" i="18"/>
  <c r="CG1300" i="18"/>
  <c r="CF1300" i="18"/>
  <c r="CE1300" i="18"/>
  <c r="CD1300" i="18"/>
  <c r="CC1300" i="18"/>
  <c r="CB1300" i="18"/>
  <c r="CA1300" i="18"/>
  <c r="BZ1300" i="18"/>
  <c r="BY1300" i="18"/>
  <c r="BT1300" i="18"/>
  <c r="BS1300" i="18"/>
  <c r="BR1300" i="18"/>
  <c r="BO1300" i="18"/>
  <c r="BN1300" i="18"/>
  <c r="BK1300" i="18"/>
  <c r="BJ1300" i="18"/>
  <c r="BI1300" i="18"/>
  <c r="BH1300" i="18"/>
  <c r="BG1300" i="18"/>
  <c r="BF1300" i="18"/>
  <c r="BE1300" i="18"/>
  <c r="BD1300" i="18"/>
  <c r="BC1300" i="18"/>
  <c r="BB1300" i="18"/>
  <c r="BA1300" i="18"/>
  <c r="AZ1300" i="18"/>
  <c r="AY1300" i="18"/>
  <c r="AX1300" i="18"/>
  <c r="AW1300" i="18"/>
  <c r="AV1300" i="18"/>
  <c r="AU1300" i="18"/>
  <c r="AT1300" i="18"/>
  <c r="AS1300" i="18"/>
  <c r="AR1300" i="18"/>
  <c r="AQ1300" i="18"/>
  <c r="AP1300" i="18"/>
  <c r="AO1300" i="18"/>
  <c r="AN1300" i="18"/>
  <c r="AM1300" i="18"/>
  <c r="AL1300" i="18"/>
  <c r="AK1300" i="18"/>
  <c r="AJ1300" i="18"/>
  <c r="AI1300" i="18"/>
  <c r="AH1300" i="18"/>
  <c r="AG1300" i="18"/>
  <c r="AF1300" i="18"/>
  <c r="AE1300" i="18"/>
  <c r="AD1300" i="18"/>
  <c r="AC1300" i="18"/>
  <c r="AB1300" i="18"/>
  <c r="AA1300" i="18"/>
  <c r="Z1300" i="18"/>
  <c r="Y1300" i="18"/>
  <c r="X1300" i="18"/>
  <c r="W1300" i="18"/>
  <c r="V1300" i="18"/>
  <c r="U1300" i="18"/>
  <c r="T1300" i="18"/>
  <c r="S1300" i="18"/>
  <c r="R1300" i="18"/>
  <c r="Q1300" i="18"/>
  <c r="P1300" i="18"/>
  <c r="O1300" i="18"/>
  <c r="N1300" i="18"/>
  <c r="M1300" i="18"/>
  <c r="L1300" i="18"/>
  <c r="K1300" i="18"/>
  <c r="J1300" i="18"/>
  <c r="I1300" i="18"/>
  <c r="H1300" i="18"/>
  <c r="G1300" i="18"/>
  <c r="F1300" i="18"/>
  <c r="E1300" i="18"/>
  <c r="D1300" i="18"/>
  <c r="C1300" i="18"/>
  <c r="B1300" i="18"/>
  <c r="A1300" i="18"/>
  <c r="CX1299" i="18"/>
  <c r="CW1299" i="18"/>
  <c r="CV1299" i="18"/>
  <c r="CU1299" i="18"/>
  <c r="CT1299" i="18"/>
  <c r="CS1299" i="18"/>
  <c r="CR1299" i="18"/>
  <c r="CQ1299" i="18"/>
  <c r="CP1299" i="18"/>
  <c r="CO1299" i="18"/>
  <c r="CN1299" i="18"/>
  <c r="CM1299" i="18"/>
  <c r="CL1299" i="18"/>
  <c r="CK1299" i="18"/>
  <c r="CJ1299" i="18"/>
  <c r="CI1299" i="18"/>
  <c r="CH1299" i="18"/>
  <c r="CG1299" i="18"/>
  <c r="CF1299" i="18"/>
  <c r="CE1299" i="18"/>
  <c r="CD1299" i="18"/>
  <c r="CC1299" i="18"/>
  <c r="CB1299" i="18"/>
  <c r="CA1299" i="18"/>
  <c r="BZ1299" i="18"/>
  <c r="BY1299" i="18"/>
  <c r="BX1299" i="18"/>
  <c r="BW1299" i="18"/>
  <c r="BV1299" i="18"/>
  <c r="BT1299" i="18"/>
  <c r="BS1299" i="18"/>
  <c r="BR1299" i="18"/>
  <c r="BQ1299" i="18"/>
  <c r="BO1299" i="18"/>
  <c r="BN1299" i="18"/>
  <c r="BK1299" i="18"/>
  <c r="BJ1299" i="18"/>
  <c r="BI1299" i="18"/>
  <c r="BH1299" i="18"/>
  <c r="BG1299" i="18"/>
  <c r="BF1299" i="18"/>
  <c r="BE1299" i="18"/>
  <c r="BD1299" i="18"/>
  <c r="BC1299" i="18"/>
  <c r="BB1299" i="18"/>
  <c r="BA1299" i="18"/>
  <c r="AZ1299" i="18"/>
  <c r="AY1299" i="18"/>
  <c r="AX1299" i="18"/>
  <c r="AW1299" i="18"/>
  <c r="AV1299" i="18"/>
  <c r="AU1299" i="18"/>
  <c r="AT1299" i="18"/>
  <c r="AS1299" i="18"/>
  <c r="AR1299" i="18"/>
  <c r="AQ1299" i="18"/>
  <c r="AP1299" i="18"/>
  <c r="AO1299" i="18"/>
  <c r="AN1299" i="18"/>
  <c r="AM1299" i="18"/>
  <c r="AL1299" i="18"/>
  <c r="AK1299" i="18"/>
  <c r="AJ1299" i="18"/>
  <c r="AI1299" i="18"/>
  <c r="AH1299" i="18"/>
  <c r="AG1299" i="18"/>
  <c r="AF1299" i="18"/>
  <c r="AE1299" i="18"/>
  <c r="AD1299" i="18"/>
  <c r="AC1299" i="18"/>
  <c r="AB1299" i="18"/>
  <c r="AA1299" i="18"/>
  <c r="Z1299" i="18"/>
  <c r="Y1299" i="18"/>
  <c r="X1299" i="18"/>
  <c r="W1299" i="18"/>
  <c r="V1299" i="18"/>
  <c r="U1299" i="18"/>
  <c r="T1299" i="18"/>
  <c r="S1299" i="18"/>
  <c r="R1299" i="18"/>
  <c r="Q1299" i="18"/>
  <c r="P1299" i="18"/>
  <c r="O1299" i="18"/>
  <c r="N1299" i="18"/>
  <c r="M1299" i="18"/>
  <c r="L1299" i="18"/>
  <c r="K1299" i="18"/>
  <c r="J1299" i="18"/>
  <c r="I1299" i="18"/>
  <c r="H1299" i="18"/>
  <c r="G1299" i="18"/>
  <c r="F1299" i="18"/>
  <c r="E1299" i="18"/>
  <c r="D1299" i="18"/>
  <c r="C1299" i="18"/>
  <c r="B1299" i="18"/>
  <c r="A1299" i="18"/>
  <c r="CM1298" i="18"/>
  <c r="CL1298" i="18"/>
  <c r="CK1298" i="18"/>
  <c r="CJ1298" i="18"/>
  <c r="CI1298" i="18"/>
  <c r="CH1298" i="18"/>
  <c r="CG1298" i="18"/>
  <c r="CF1298" i="18"/>
  <c r="CE1298" i="18"/>
  <c r="CD1298" i="18"/>
  <c r="CC1298" i="18"/>
  <c r="CB1298" i="18"/>
  <c r="CA1298" i="18"/>
  <c r="BZ1298" i="18"/>
  <c r="BY1298" i="18"/>
  <c r="BS1298" i="18"/>
  <c r="BR1298" i="18"/>
  <c r="BQ1298" i="18"/>
  <c r="BP1298" i="18"/>
  <c r="BO1298" i="18"/>
  <c r="BN1298" i="18"/>
  <c r="BM1298" i="18"/>
  <c r="BK1298" i="18"/>
  <c r="BJ1298" i="18"/>
  <c r="BI1298" i="18"/>
  <c r="BH1298" i="18"/>
  <c r="BG1298" i="18"/>
  <c r="BF1298" i="18"/>
  <c r="BE1298" i="18"/>
  <c r="BD1298" i="18"/>
  <c r="BC1298" i="18"/>
  <c r="BB1298" i="18"/>
  <c r="BA1298" i="18"/>
  <c r="AZ1298" i="18"/>
  <c r="AY1298" i="18"/>
  <c r="AX1298" i="18"/>
  <c r="AW1298" i="18"/>
  <c r="AV1298" i="18"/>
  <c r="AU1298" i="18"/>
  <c r="AT1298" i="18"/>
  <c r="AS1298" i="18"/>
  <c r="AR1298" i="18"/>
  <c r="AQ1298" i="18"/>
  <c r="AP1298" i="18"/>
  <c r="AO1298" i="18"/>
  <c r="AN1298" i="18"/>
  <c r="AM1298" i="18"/>
  <c r="AL1298" i="18"/>
  <c r="AK1298" i="18"/>
  <c r="AJ1298" i="18"/>
  <c r="AI1298" i="18"/>
  <c r="AH1298" i="18"/>
  <c r="AG1298" i="18"/>
  <c r="AF1298" i="18"/>
  <c r="AE1298" i="18"/>
  <c r="AD1298" i="18"/>
  <c r="AC1298" i="18"/>
  <c r="AB1298" i="18"/>
  <c r="AA1298" i="18"/>
  <c r="Z1298" i="18"/>
  <c r="Y1298" i="18"/>
  <c r="X1298" i="18"/>
  <c r="W1298" i="18"/>
  <c r="V1298" i="18"/>
  <c r="U1298" i="18"/>
  <c r="T1298" i="18"/>
  <c r="S1298" i="18"/>
  <c r="R1298" i="18"/>
  <c r="Q1298" i="18"/>
  <c r="P1298" i="18"/>
  <c r="O1298" i="18"/>
  <c r="N1298" i="18"/>
  <c r="M1298" i="18"/>
  <c r="L1298" i="18"/>
  <c r="K1298" i="18"/>
  <c r="J1298" i="18"/>
  <c r="I1298" i="18"/>
  <c r="H1298" i="18"/>
  <c r="G1298" i="18"/>
  <c r="F1298" i="18"/>
  <c r="E1298" i="18"/>
  <c r="D1298" i="18"/>
  <c r="C1298" i="18"/>
  <c r="B1298" i="18"/>
  <c r="A1298" i="18"/>
  <c r="CP1297" i="18"/>
  <c r="CM1297" i="18"/>
  <c r="CL1297" i="18"/>
  <c r="CK1297" i="18"/>
  <c r="CJ1297" i="18"/>
  <c r="CI1297" i="18"/>
  <c r="CH1297" i="18"/>
  <c r="CG1297" i="18"/>
  <c r="CF1297" i="18"/>
  <c r="CE1297" i="18"/>
  <c r="CD1297" i="18"/>
  <c r="CC1297" i="18"/>
  <c r="CB1297" i="18"/>
  <c r="CA1297" i="18"/>
  <c r="BZ1297" i="18"/>
  <c r="BY1297" i="18"/>
  <c r="BT1297" i="18"/>
  <c r="BS1297" i="18"/>
  <c r="BR1297" i="18"/>
  <c r="BQ1297" i="18"/>
  <c r="BP1297" i="18"/>
  <c r="BO1297" i="18"/>
  <c r="BN1297" i="18"/>
  <c r="BM1297" i="18"/>
  <c r="BK1297" i="18"/>
  <c r="BJ1297" i="18"/>
  <c r="BI1297" i="18"/>
  <c r="BH1297" i="18"/>
  <c r="BG1297" i="18"/>
  <c r="BF1297" i="18"/>
  <c r="BE1297" i="18"/>
  <c r="BD1297" i="18"/>
  <c r="BC1297" i="18"/>
  <c r="BB1297" i="18"/>
  <c r="BA1297" i="18"/>
  <c r="AZ1297" i="18"/>
  <c r="AY1297" i="18"/>
  <c r="AX1297" i="18"/>
  <c r="AW1297" i="18"/>
  <c r="AV1297" i="18"/>
  <c r="AU1297" i="18"/>
  <c r="AT1297" i="18"/>
  <c r="AS1297" i="18"/>
  <c r="AR1297" i="18"/>
  <c r="AQ1297" i="18"/>
  <c r="AP1297" i="18"/>
  <c r="AO1297" i="18"/>
  <c r="AN1297" i="18"/>
  <c r="AM1297" i="18"/>
  <c r="AL1297" i="18"/>
  <c r="AK1297" i="18"/>
  <c r="AJ1297" i="18"/>
  <c r="AI1297" i="18"/>
  <c r="AH1297" i="18"/>
  <c r="AG1297" i="18"/>
  <c r="AF1297" i="18"/>
  <c r="AE1297" i="18"/>
  <c r="AD1297" i="18"/>
  <c r="AC1297" i="18"/>
  <c r="AB1297" i="18"/>
  <c r="AA1297" i="18"/>
  <c r="Z1297" i="18"/>
  <c r="Y1297" i="18"/>
  <c r="X1297" i="18"/>
  <c r="W1297" i="18"/>
  <c r="V1297" i="18"/>
  <c r="U1297" i="18"/>
  <c r="T1297" i="18"/>
  <c r="S1297" i="18"/>
  <c r="R1297" i="18"/>
  <c r="Q1297" i="18"/>
  <c r="P1297" i="18"/>
  <c r="O1297" i="18"/>
  <c r="N1297" i="18"/>
  <c r="M1297" i="18"/>
  <c r="L1297" i="18"/>
  <c r="K1297" i="18"/>
  <c r="J1297" i="18"/>
  <c r="I1297" i="18"/>
  <c r="H1297" i="18"/>
  <c r="G1297" i="18"/>
  <c r="F1297" i="18"/>
  <c r="E1297" i="18"/>
  <c r="D1297" i="18"/>
  <c r="C1297" i="18"/>
  <c r="B1297" i="18"/>
  <c r="A1297" i="18"/>
  <c r="CX1296" i="18"/>
  <c r="CW1296" i="18"/>
  <c r="CV1296" i="18"/>
  <c r="CU1296" i="18"/>
  <c r="CT1296" i="18"/>
  <c r="CS1296" i="18"/>
  <c r="CR1296" i="18"/>
  <c r="CQ1296" i="18"/>
  <c r="CP1296" i="18"/>
  <c r="CO1296" i="18"/>
  <c r="CN1296" i="18"/>
  <c r="CM1296" i="18"/>
  <c r="CL1296" i="18"/>
  <c r="CK1296" i="18"/>
  <c r="CJ1296" i="18"/>
  <c r="CI1296" i="18"/>
  <c r="CH1296" i="18"/>
  <c r="CG1296" i="18"/>
  <c r="CF1296" i="18"/>
  <c r="CE1296" i="18"/>
  <c r="CD1296" i="18"/>
  <c r="CC1296" i="18"/>
  <c r="CB1296" i="18"/>
  <c r="CA1296" i="18"/>
  <c r="BZ1296" i="18"/>
  <c r="BY1296" i="18"/>
  <c r="BX1296" i="18"/>
  <c r="BW1296" i="18"/>
  <c r="BV1296" i="18"/>
  <c r="BU1296" i="18"/>
  <c r="BT1296" i="18"/>
  <c r="BS1296" i="18"/>
  <c r="BR1296" i="18"/>
  <c r="BQ1296" i="18"/>
  <c r="BP1296" i="18"/>
  <c r="BO1296" i="18"/>
  <c r="BN1296" i="18"/>
  <c r="BM1296" i="18"/>
  <c r="BL1296" i="18"/>
  <c r="BK1296" i="18"/>
  <c r="BJ1296" i="18"/>
  <c r="BI1296" i="18"/>
  <c r="BH1296" i="18"/>
  <c r="BG1296" i="18"/>
  <c r="BF1296" i="18"/>
  <c r="BE1296" i="18"/>
  <c r="BD1296" i="18"/>
  <c r="BC1296" i="18"/>
  <c r="BB1296" i="18"/>
  <c r="BA1296" i="18"/>
  <c r="AZ1296" i="18"/>
  <c r="AY1296" i="18"/>
  <c r="AX1296" i="18"/>
  <c r="AW1296" i="18"/>
  <c r="AV1296" i="18"/>
  <c r="AU1296" i="18"/>
  <c r="AT1296" i="18"/>
  <c r="AS1296" i="18"/>
  <c r="AR1296" i="18"/>
  <c r="AQ1296" i="18"/>
  <c r="AP1296" i="18"/>
  <c r="AO1296" i="18"/>
  <c r="AN1296" i="18"/>
  <c r="AM1296" i="18"/>
  <c r="AL1296" i="18"/>
  <c r="AK1296" i="18"/>
  <c r="AJ1296" i="18"/>
  <c r="AI1296" i="18"/>
  <c r="AH1296" i="18"/>
  <c r="AG1296" i="18"/>
  <c r="AF1296" i="18"/>
  <c r="AE1296" i="18"/>
  <c r="AD1296" i="18"/>
  <c r="AC1296" i="18"/>
  <c r="AB1296" i="18"/>
  <c r="AA1296" i="18"/>
  <c r="Z1296" i="18"/>
  <c r="Y1296" i="18"/>
  <c r="X1296" i="18"/>
  <c r="W1296" i="18"/>
  <c r="V1296" i="18"/>
  <c r="U1296" i="18"/>
  <c r="T1296" i="18"/>
  <c r="S1296" i="18"/>
  <c r="R1296" i="18"/>
  <c r="Q1296" i="18"/>
  <c r="P1296" i="18"/>
  <c r="O1296" i="18"/>
  <c r="N1296" i="18"/>
  <c r="M1296" i="18"/>
  <c r="L1296" i="18"/>
  <c r="K1296" i="18"/>
  <c r="J1296" i="18"/>
  <c r="I1296" i="18"/>
  <c r="H1296" i="18"/>
  <c r="G1296" i="18"/>
  <c r="F1296" i="18"/>
  <c r="E1296" i="18"/>
  <c r="D1296" i="18"/>
  <c r="C1296" i="18"/>
  <c r="B1296" i="18"/>
  <c r="A1296" i="18"/>
  <c r="CX1295" i="18"/>
  <c r="CW1295" i="18"/>
  <c r="CV1295" i="18"/>
  <c r="CU1295" i="18"/>
  <c r="CT1295" i="18"/>
  <c r="CS1295" i="18"/>
  <c r="CR1295" i="18"/>
  <c r="CQ1295" i="18"/>
  <c r="CP1295" i="18"/>
  <c r="CO1295" i="18"/>
  <c r="CN1295" i="18"/>
  <c r="CM1295" i="18"/>
  <c r="CL1295" i="18"/>
  <c r="CK1295" i="18"/>
  <c r="CJ1295" i="18"/>
  <c r="CI1295" i="18"/>
  <c r="CH1295" i="18"/>
  <c r="CG1295" i="18"/>
  <c r="CF1295" i="18"/>
  <c r="CE1295" i="18"/>
  <c r="CD1295" i="18"/>
  <c r="CC1295" i="18"/>
  <c r="CB1295" i="18"/>
  <c r="CA1295" i="18"/>
  <c r="BZ1295" i="18"/>
  <c r="BY1295" i="18"/>
  <c r="BX1295" i="18"/>
  <c r="BW1295" i="18"/>
  <c r="BV1295" i="18"/>
  <c r="BU1295" i="18"/>
  <c r="BT1295" i="18"/>
  <c r="BS1295" i="18"/>
  <c r="BR1295" i="18"/>
  <c r="BQ1295" i="18"/>
  <c r="BP1295" i="18"/>
  <c r="BO1295" i="18"/>
  <c r="BN1295" i="18"/>
  <c r="BM1295" i="18"/>
  <c r="BL1295" i="18"/>
  <c r="BK1295" i="18"/>
  <c r="BJ1295" i="18"/>
  <c r="BI1295" i="18"/>
  <c r="BH1295" i="18"/>
  <c r="BG1295" i="18"/>
  <c r="BF1295" i="18"/>
  <c r="BE1295" i="18"/>
  <c r="BD1295" i="18"/>
  <c r="BC1295" i="18"/>
  <c r="BB1295" i="18"/>
  <c r="BA1295" i="18"/>
  <c r="AZ1295" i="18"/>
  <c r="AY1295" i="18"/>
  <c r="AX1295" i="18"/>
  <c r="AW1295" i="18"/>
  <c r="AV1295" i="18"/>
  <c r="AU1295" i="18"/>
  <c r="AT1295" i="18"/>
  <c r="AS1295" i="18"/>
  <c r="AR1295" i="18"/>
  <c r="AQ1295" i="18"/>
  <c r="AP1295" i="18"/>
  <c r="AO1295" i="18"/>
  <c r="AN1295" i="18"/>
  <c r="AM1295" i="18"/>
  <c r="AL1295" i="18"/>
  <c r="AK1295" i="18"/>
  <c r="AJ1295" i="18"/>
  <c r="AI1295" i="18"/>
  <c r="AH1295" i="18"/>
  <c r="AG1295" i="18"/>
  <c r="AF1295" i="18"/>
  <c r="AE1295" i="18"/>
  <c r="AD1295" i="18"/>
  <c r="AC1295" i="18"/>
  <c r="AB1295" i="18"/>
  <c r="AA1295" i="18"/>
  <c r="Z1295" i="18"/>
  <c r="Y1295" i="18"/>
  <c r="X1295" i="18"/>
  <c r="W1295" i="18"/>
  <c r="V1295" i="18"/>
  <c r="U1295" i="18"/>
  <c r="T1295" i="18"/>
  <c r="S1295" i="18"/>
  <c r="R1295" i="18"/>
  <c r="Q1295" i="18"/>
  <c r="P1295" i="18"/>
  <c r="O1295" i="18"/>
  <c r="N1295" i="18"/>
  <c r="M1295" i="18"/>
  <c r="L1295" i="18"/>
  <c r="K1295" i="18"/>
  <c r="J1295" i="18"/>
  <c r="I1295" i="18"/>
  <c r="H1295" i="18"/>
  <c r="G1295" i="18"/>
  <c r="F1295" i="18"/>
  <c r="E1295" i="18"/>
  <c r="D1295" i="18"/>
  <c r="C1295" i="18"/>
  <c r="B1295" i="18"/>
  <c r="A1295" i="18"/>
  <c r="CH1294" i="18"/>
  <c r="CG1294" i="18"/>
  <c r="CF1294" i="18"/>
  <c r="CE1294" i="18"/>
  <c r="CD1294" i="18"/>
  <c r="CC1294" i="18"/>
  <c r="CB1294" i="18"/>
  <c r="CA1294" i="18"/>
  <c r="BZ1294" i="18"/>
  <c r="BY1294" i="18"/>
  <c r="AQ1294" i="18"/>
  <c r="AP1294" i="18"/>
  <c r="AO1294" i="18"/>
  <c r="AN1294" i="18"/>
  <c r="AM1294" i="18"/>
  <c r="AL1294" i="18"/>
  <c r="AK1294" i="18"/>
  <c r="AJ1294" i="18"/>
  <c r="AI1294" i="18"/>
  <c r="AH1294" i="18"/>
  <c r="AG1294" i="18"/>
  <c r="AF1294" i="18"/>
  <c r="AE1294" i="18"/>
  <c r="AD1294" i="18"/>
  <c r="AC1294" i="18"/>
  <c r="AB1294" i="18"/>
  <c r="AA1294" i="18"/>
  <c r="Z1294" i="18"/>
  <c r="Y1294" i="18"/>
  <c r="X1294" i="18"/>
  <c r="W1294" i="18"/>
  <c r="V1294" i="18"/>
  <c r="U1294" i="18"/>
  <c r="T1294" i="18"/>
  <c r="S1294" i="18"/>
  <c r="R1294" i="18"/>
  <c r="Q1294" i="18"/>
  <c r="P1294" i="18"/>
  <c r="O1294" i="18"/>
  <c r="N1294" i="18"/>
  <c r="M1294" i="18"/>
  <c r="L1294" i="18"/>
  <c r="K1294" i="18"/>
  <c r="J1294" i="18"/>
  <c r="I1294" i="18"/>
  <c r="H1294" i="18"/>
  <c r="G1294" i="18"/>
  <c r="F1294" i="18"/>
  <c r="E1294" i="18"/>
  <c r="D1294" i="18"/>
  <c r="C1294" i="18"/>
  <c r="B1294" i="18"/>
  <c r="A1294" i="18"/>
  <c r="CH1293" i="18"/>
  <c r="CG1293" i="18"/>
  <c r="CF1293" i="18"/>
  <c r="CE1293" i="18"/>
  <c r="CD1293" i="18"/>
  <c r="CC1293" i="18"/>
  <c r="CB1293" i="18"/>
  <c r="CA1293" i="18"/>
  <c r="BZ1293" i="18"/>
  <c r="BY1293" i="18"/>
  <c r="AQ1293" i="18"/>
  <c r="AP1293" i="18"/>
  <c r="AO1293" i="18"/>
  <c r="AN1293" i="18"/>
  <c r="AM1293" i="18"/>
  <c r="AL1293" i="18"/>
  <c r="AK1293" i="18"/>
  <c r="AJ1293" i="18"/>
  <c r="AI1293" i="18"/>
  <c r="AH1293" i="18"/>
  <c r="AG1293" i="18"/>
  <c r="AF1293" i="18"/>
  <c r="AE1293" i="18"/>
  <c r="AD1293" i="18"/>
  <c r="AC1293" i="18"/>
  <c r="AB1293" i="18"/>
  <c r="AA1293" i="18"/>
  <c r="Z1293" i="18"/>
  <c r="Y1293" i="18"/>
  <c r="X1293" i="18"/>
  <c r="W1293" i="18"/>
  <c r="V1293" i="18"/>
  <c r="U1293" i="18"/>
  <c r="T1293" i="18"/>
  <c r="S1293" i="18"/>
  <c r="R1293" i="18"/>
  <c r="Q1293" i="18"/>
  <c r="P1293" i="18"/>
  <c r="O1293" i="18"/>
  <c r="N1293" i="18"/>
  <c r="M1293" i="18"/>
  <c r="L1293" i="18"/>
  <c r="K1293" i="18"/>
  <c r="J1293" i="18"/>
  <c r="I1293" i="18"/>
  <c r="H1293" i="18"/>
  <c r="G1293" i="18"/>
  <c r="F1293" i="18"/>
  <c r="E1293" i="18"/>
  <c r="D1293" i="18"/>
  <c r="C1293" i="18"/>
  <c r="B1293" i="18"/>
  <c r="A1293" i="18"/>
  <c r="CX1292" i="18"/>
  <c r="CW1292" i="18"/>
  <c r="CV1292" i="18"/>
  <c r="CU1292" i="18"/>
  <c r="CT1292" i="18"/>
  <c r="CS1292" i="18"/>
  <c r="CR1292" i="18"/>
  <c r="CQ1292" i="18"/>
  <c r="CP1292" i="18"/>
  <c r="CO1292" i="18"/>
  <c r="CN1292" i="18"/>
  <c r="CM1292" i="18"/>
  <c r="CL1292" i="18"/>
  <c r="CK1292" i="18"/>
  <c r="CJ1292" i="18"/>
  <c r="CI1292" i="18"/>
  <c r="CH1292" i="18"/>
  <c r="CG1292" i="18"/>
  <c r="CF1292" i="18"/>
  <c r="CE1292" i="18"/>
  <c r="CD1292" i="18"/>
  <c r="CC1292" i="18"/>
  <c r="CB1292" i="18"/>
  <c r="CA1292" i="18"/>
  <c r="BZ1292" i="18"/>
  <c r="BY1292" i="18"/>
  <c r="BX1292" i="18"/>
  <c r="BW1292" i="18"/>
  <c r="BV1292" i="18"/>
  <c r="BU1292" i="18"/>
  <c r="BT1292" i="18"/>
  <c r="BS1292" i="18"/>
  <c r="BR1292" i="18"/>
  <c r="BQ1292" i="18"/>
  <c r="BP1292" i="18"/>
  <c r="BO1292" i="18"/>
  <c r="BN1292" i="18"/>
  <c r="BM1292" i="18"/>
  <c r="BL1292" i="18"/>
  <c r="BK1292" i="18"/>
  <c r="BJ1292" i="18"/>
  <c r="BI1292" i="18"/>
  <c r="BH1292" i="18"/>
  <c r="BG1292" i="18"/>
  <c r="BF1292" i="18"/>
  <c r="BE1292" i="18"/>
  <c r="BD1292" i="18"/>
  <c r="BC1292" i="18"/>
  <c r="BB1292" i="18"/>
  <c r="BA1292" i="18"/>
  <c r="AZ1292" i="18"/>
  <c r="AY1292" i="18"/>
  <c r="AX1292" i="18"/>
  <c r="AW1292" i="18"/>
  <c r="AV1292" i="18"/>
  <c r="AU1292" i="18"/>
  <c r="AT1292" i="18"/>
  <c r="AS1292" i="18"/>
  <c r="AR1292" i="18"/>
  <c r="AQ1292" i="18"/>
  <c r="AP1292" i="18"/>
  <c r="AO1292" i="18"/>
  <c r="AN1292" i="18"/>
  <c r="AM1292" i="18"/>
  <c r="AL1292" i="18"/>
  <c r="AK1292" i="18"/>
  <c r="AJ1292" i="18"/>
  <c r="AI1292" i="18"/>
  <c r="AH1292" i="18"/>
  <c r="AG1292" i="18"/>
  <c r="AF1292" i="18"/>
  <c r="AE1292" i="18"/>
  <c r="AD1292" i="18"/>
  <c r="AC1292" i="18"/>
  <c r="AB1292" i="18"/>
  <c r="AA1292" i="18"/>
  <c r="Z1292" i="18"/>
  <c r="Y1292" i="18"/>
  <c r="X1292" i="18"/>
  <c r="W1292" i="18"/>
  <c r="V1292" i="18"/>
  <c r="U1292" i="18"/>
  <c r="T1292" i="18"/>
  <c r="S1292" i="18"/>
  <c r="R1292" i="18"/>
  <c r="Q1292" i="18"/>
  <c r="P1292" i="18"/>
  <c r="O1292" i="18"/>
  <c r="N1292" i="18"/>
  <c r="M1292" i="18"/>
  <c r="L1292" i="18"/>
  <c r="K1292" i="18"/>
  <c r="J1292" i="18"/>
  <c r="I1292" i="18"/>
  <c r="H1292" i="18"/>
  <c r="G1292" i="18"/>
  <c r="F1292" i="18"/>
  <c r="E1292" i="18"/>
  <c r="D1292" i="18"/>
  <c r="C1292" i="18"/>
  <c r="B1292" i="18"/>
  <c r="A1292" i="18"/>
  <c r="CH1291" i="18"/>
  <c r="CG1291" i="18"/>
  <c r="CF1291" i="18"/>
  <c r="CE1291" i="18"/>
  <c r="CD1291" i="18"/>
  <c r="CC1291" i="18"/>
  <c r="CB1291" i="18"/>
  <c r="CA1291" i="18"/>
  <c r="BZ1291" i="18"/>
  <c r="BY1291" i="18"/>
  <c r="AQ1291" i="18"/>
  <c r="AP1291" i="18"/>
  <c r="AO1291" i="18"/>
  <c r="AN1291" i="18"/>
  <c r="AM1291" i="18"/>
  <c r="AL1291" i="18"/>
  <c r="AK1291" i="18"/>
  <c r="AJ1291" i="18"/>
  <c r="AI1291" i="18"/>
  <c r="AH1291" i="18"/>
  <c r="AG1291" i="18"/>
  <c r="AF1291" i="18"/>
  <c r="AE1291" i="18"/>
  <c r="AD1291" i="18"/>
  <c r="AC1291" i="18"/>
  <c r="AB1291" i="18"/>
  <c r="AA1291" i="18"/>
  <c r="Z1291" i="18"/>
  <c r="Y1291" i="18"/>
  <c r="X1291" i="18"/>
  <c r="W1291" i="18"/>
  <c r="V1291" i="18"/>
  <c r="U1291" i="18"/>
  <c r="T1291" i="18"/>
  <c r="S1291" i="18"/>
  <c r="R1291" i="18"/>
  <c r="Q1291" i="18"/>
  <c r="P1291" i="18"/>
  <c r="O1291" i="18"/>
  <c r="N1291" i="18"/>
  <c r="M1291" i="18"/>
  <c r="L1291" i="18"/>
  <c r="K1291" i="18"/>
  <c r="J1291" i="18"/>
  <c r="I1291" i="18"/>
  <c r="H1291" i="18"/>
  <c r="G1291" i="18"/>
  <c r="F1291" i="18"/>
  <c r="E1291" i="18"/>
  <c r="D1291" i="18"/>
  <c r="C1291" i="18"/>
  <c r="B1291" i="18"/>
  <c r="A1291" i="18"/>
  <c r="CH1290" i="18"/>
  <c r="CG1290" i="18"/>
  <c r="CF1290" i="18"/>
  <c r="CE1290" i="18"/>
  <c r="CD1290" i="18"/>
  <c r="CC1290" i="18"/>
  <c r="CB1290" i="18"/>
  <c r="CA1290" i="18"/>
  <c r="BZ1290" i="18"/>
  <c r="BY1290" i="18"/>
  <c r="AQ1290" i="18"/>
  <c r="AP1290" i="18"/>
  <c r="AO1290" i="18"/>
  <c r="AN1290" i="18"/>
  <c r="AM1290" i="18"/>
  <c r="AL1290" i="18"/>
  <c r="AK1290" i="18"/>
  <c r="AJ1290" i="18"/>
  <c r="AI1290" i="18"/>
  <c r="AH1290" i="18"/>
  <c r="AG1290" i="18"/>
  <c r="AF1290" i="18"/>
  <c r="AE1290" i="18"/>
  <c r="AD1290" i="18"/>
  <c r="AC1290" i="18"/>
  <c r="AB1290" i="18"/>
  <c r="AA1290" i="18"/>
  <c r="Z1290" i="18"/>
  <c r="Y1290" i="18"/>
  <c r="X1290" i="18"/>
  <c r="W1290" i="18"/>
  <c r="V1290" i="18"/>
  <c r="U1290" i="18"/>
  <c r="T1290" i="18"/>
  <c r="S1290" i="18"/>
  <c r="R1290" i="18"/>
  <c r="Q1290" i="18"/>
  <c r="P1290" i="18"/>
  <c r="O1290" i="18"/>
  <c r="N1290" i="18"/>
  <c r="M1290" i="18"/>
  <c r="L1290" i="18"/>
  <c r="K1290" i="18"/>
  <c r="J1290" i="18"/>
  <c r="I1290" i="18"/>
  <c r="H1290" i="18"/>
  <c r="G1290" i="18"/>
  <c r="F1290" i="18"/>
  <c r="E1290" i="18"/>
  <c r="D1290" i="18"/>
  <c r="C1290" i="18"/>
  <c r="B1290" i="18"/>
  <c r="A1290" i="18"/>
  <c r="CX1289" i="18"/>
  <c r="CW1289" i="18"/>
  <c r="CV1289" i="18"/>
  <c r="CU1289" i="18"/>
  <c r="CT1289" i="18"/>
  <c r="CS1289" i="18"/>
  <c r="CR1289" i="18"/>
  <c r="CQ1289" i="18"/>
  <c r="CP1289" i="18"/>
  <c r="CO1289" i="18"/>
  <c r="CN1289" i="18"/>
  <c r="CM1289" i="18"/>
  <c r="CL1289" i="18"/>
  <c r="CK1289" i="18"/>
  <c r="CJ1289" i="18"/>
  <c r="CI1289" i="18"/>
  <c r="CH1289" i="18"/>
  <c r="CG1289" i="18"/>
  <c r="CF1289" i="18"/>
  <c r="CE1289" i="18"/>
  <c r="CD1289" i="18"/>
  <c r="CC1289" i="18"/>
  <c r="CB1289" i="18"/>
  <c r="CA1289" i="18"/>
  <c r="BZ1289" i="18"/>
  <c r="BY1289" i="18"/>
  <c r="BX1289" i="18"/>
  <c r="BW1289" i="18"/>
  <c r="BV1289" i="18"/>
  <c r="BU1289" i="18"/>
  <c r="BT1289" i="18"/>
  <c r="BS1289" i="18"/>
  <c r="BR1289" i="18"/>
  <c r="BQ1289" i="18"/>
  <c r="BP1289" i="18"/>
  <c r="BO1289" i="18"/>
  <c r="BN1289" i="18"/>
  <c r="BM1289" i="18"/>
  <c r="BL1289" i="18"/>
  <c r="BK1289" i="18"/>
  <c r="BJ1289" i="18"/>
  <c r="BI1289" i="18"/>
  <c r="BH1289" i="18"/>
  <c r="BG1289" i="18"/>
  <c r="BF1289" i="18"/>
  <c r="BE1289" i="18"/>
  <c r="BD1289" i="18"/>
  <c r="BC1289" i="18"/>
  <c r="BB1289" i="18"/>
  <c r="BA1289" i="18"/>
  <c r="AZ1289" i="18"/>
  <c r="AY1289" i="18"/>
  <c r="AX1289" i="18"/>
  <c r="AW1289" i="18"/>
  <c r="AV1289" i="18"/>
  <c r="AU1289" i="18"/>
  <c r="AT1289" i="18"/>
  <c r="AS1289" i="18"/>
  <c r="AR1289" i="18"/>
  <c r="AQ1289" i="18"/>
  <c r="AP1289" i="18"/>
  <c r="AO1289" i="18"/>
  <c r="AN1289" i="18"/>
  <c r="AM1289" i="18"/>
  <c r="AL1289" i="18"/>
  <c r="AK1289" i="18"/>
  <c r="AJ1289" i="18"/>
  <c r="AI1289" i="18"/>
  <c r="AH1289" i="18"/>
  <c r="AG1289" i="18"/>
  <c r="AF1289" i="18"/>
  <c r="AE1289" i="18"/>
  <c r="AD1289" i="18"/>
  <c r="AC1289" i="18"/>
  <c r="AB1289" i="18"/>
  <c r="AA1289" i="18"/>
  <c r="Z1289" i="18"/>
  <c r="Y1289" i="18"/>
  <c r="X1289" i="18"/>
  <c r="W1289" i="18"/>
  <c r="V1289" i="18"/>
  <c r="U1289" i="18"/>
  <c r="T1289" i="18"/>
  <c r="S1289" i="18"/>
  <c r="R1289" i="18"/>
  <c r="Q1289" i="18"/>
  <c r="P1289" i="18"/>
  <c r="O1289" i="18"/>
  <c r="N1289" i="18"/>
  <c r="M1289" i="18"/>
  <c r="L1289" i="18"/>
  <c r="K1289" i="18"/>
  <c r="J1289" i="18"/>
  <c r="I1289" i="18"/>
  <c r="H1289" i="18"/>
  <c r="G1289" i="18"/>
  <c r="F1289" i="18"/>
  <c r="E1289" i="18"/>
  <c r="D1289" i="18"/>
  <c r="C1289" i="18"/>
  <c r="B1289" i="18"/>
  <c r="A1289" i="18"/>
  <c r="CX1288" i="18"/>
  <c r="CW1288" i="18"/>
  <c r="CV1288" i="18"/>
  <c r="CU1288" i="18"/>
  <c r="CT1288" i="18"/>
  <c r="CS1288" i="18"/>
  <c r="CR1288" i="18"/>
  <c r="CQ1288" i="18"/>
  <c r="CP1288" i="18"/>
  <c r="CO1288" i="18"/>
  <c r="CN1288" i="18"/>
  <c r="CM1288" i="18"/>
  <c r="CL1288" i="18"/>
  <c r="CK1288" i="18"/>
  <c r="CJ1288" i="18"/>
  <c r="CI1288" i="18"/>
  <c r="CH1288" i="18"/>
  <c r="CG1288" i="18"/>
  <c r="CF1288" i="18"/>
  <c r="CE1288" i="18"/>
  <c r="CD1288" i="18"/>
  <c r="CC1288" i="18"/>
  <c r="CB1288" i="18"/>
  <c r="CA1288" i="18"/>
  <c r="BZ1288" i="18"/>
  <c r="BY1288" i="18"/>
  <c r="AQ1288" i="18"/>
  <c r="AP1288" i="18"/>
  <c r="AO1288" i="18"/>
  <c r="AN1288" i="18"/>
  <c r="AM1288" i="18"/>
  <c r="AL1288" i="18"/>
  <c r="AK1288" i="18"/>
  <c r="AJ1288" i="18"/>
  <c r="AI1288" i="18"/>
  <c r="AH1288" i="18"/>
  <c r="AG1288" i="18"/>
  <c r="AF1288" i="18"/>
  <c r="AE1288" i="18"/>
  <c r="AD1288" i="18"/>
  <c r="AC1288" i="18"/>
  <c r="AB1288" i="18"/>
  <c r="AA1288" i="18"/>
  <c r="Z1288" i="18"/>
  <c r="Y1288" i="18"/>
  <c r="X1288" i="18"/>
  <c r="W1288" i="18"/>
  <c r="V1288" i="18"/>
  <c r="U1288" i="18"/>
  <c r="T1288" i="18"/>
  <c r="S1288" i="18"/>
  <c r="R1288" i="18"/>
  <c r="Q1288" i="18"/>
  <c r="P1288" i="18"/>
  <c r="O1288" i="18"/>
  <c r="N1288" i="18"/>
  <c r="M1288" i="18"/>
  <c r="L1288" i="18"/>
  <c r="K1288" i="18"/>
  <c r="J1288" i="18"/>
  <c r="I1288" i="18"/>
  <c r="H1288" i="18"/>
  <c r="G1288" i="18"/>
  <c r="F1288" i="18"/>
  <c r="E1288" i="18"/>
  <c r="D1288" i="18"/>
  <c r="C1288" i="18"/>
  <c r="B1288" i="18"/>
  <c r="A1288" i="18"/>
  <c r="CH1287" i="18"/>
  <c r="CG1287" i="18"/>
  <c r="CF1287" i="18"/>
  <c r="CE1287" i="18"/>
  <c r="CD1287" i="18"/>
  <c r="CC1287" i="18"/>
  <c r="CB1287" i="18"/>
  <c r="CA1287" i="18"/>
  <c r="BZ1287" i="18"/>
  <c r="BY1287" i="18"/>
  <c r="AQ1287" i="18"/>
  <c r="AP1287" i="18"/>
  <c r="AO1287" i="18"/>
  <c r="AN1287" i="18"/>
  <c r="AM1287" i="18"/>
  <c r="AL1287" i="18"/>
  <c r="AK1287" i="18"/>
  <c r="AJ1287" i="18"/>
  <c r="AI1287" i="18"/>
  <c r="AH1287" i="18"/>
  <c r="AG1287" i="18"/>
  <c r="AF1287" i="18"/>
  <c r="AE1287" i="18"/>
  <c r="AD1287" i="18"/>
  <c r="AC1287" i="18"/>
  <c r="AB1287" i="18"/>
  <c r="AA1287" i="18"/>
  <c r="Z1287" i="18"/>
  <c r="Y1287" i="18"/>
  <c r="X1287" i="18"/>
  <c r="W1287" i="18"/>
  <c r="V1287" i="18"/>
  <c r="U1287" i="18"/>
  <c r="T1287" i="18"/>
  <c r="S1287" i="18"/>
  <c r="R1287" i="18"/>
  <c r="Q1287" i="18"/>
  <c r="P1287" i="18"/>
  <c r="O1287" i="18"/>
  <c r="N1287" i="18"/>
  <c r="M1287" i="18"/>
  <c r="L1287" i="18"/>
  <c r="K1287" i="18"/>
  <c r="J1287" i="18"/>
  <c r="I1287" i="18"/>
  <c r="H1287" i="18"/>
  <c r="G1287" i="18"/>
  <c r="F1287" i="18"/>
  <c r="E1287" i="18"/>
  <c r="D1287" i="18"/>
  <c r="C1287" i="18"/>
  <c r="B1287" i="18"/>
  <c r="A1287" i="18"/>
  <c r="CH1286" i="18"/>
  <c r="CG1286" i="18"/>
  <c r="CF1286" i="18"/>
  <c r="CE1286" i="18"/>
  <c r="CD1286" i="18"/>
  <c r="CC1286" i="18"/>
  <c r="CB1286" i="18"/>
  <c r="CA1286" i="18"/>
  <c r="BZ1286" i="18"/>
  <c r="BY1286" i="18"/>
  <c r="AQ1286" i="18"/>
  <c r="AP1286" i="18"/>
  <c r="AO1286" i="18"/>
  <c r="AN1286" i="18"/>
  <c r="AM1286" i="18"/>
  <c r="AL1286" i="18"/>
  <c r="AK1286" i="18"/>
  <c r="AJ1286" i="18"/>
  <c r="AI1286" i="18"/>
  <c r="AH1286" i="18"/>
  <c r="AG1286" i="18"/>
  <c r="AF1286" i="18"/>
  <c r="AE1286" i="18"/>
  <c r="AD1286" i="18"/>
  <c r="AC1286" i="18"/>
  <c r="AB1286" i="18"/>
  <c r="AA1286" i="18"/>
  <c r="Z1286" i="18"/>
  <c r="Y1286" i="18"/>
  <c r="X1286" i="18"/>
  <c r="W1286" i="18"/>
  <c r="V1286" i="18"/>
  <c r="U1286" i="18"/>
  <c r="T1286" i="18"/>
  <c r="S1286" i="18"/>
  <c r="R1286" i="18"/>
  <c r="Q1286" i="18"/>
  <c r="P1286" i="18"/>
  <c r="O1286" i="18"/>
  <c r="N1286" i="18"/>
  <c r="M1286" i="18"/>
  <c r="L1286" i="18"/>
  <c r="K1286" i="18"/>
  <c r="J1286" i="18"/>
  <c r="I1286" i="18"/>
  <c r="H1286" i="18"/>
  <c r="G1286" i="18"/>
  <c r="F1286" i="18"/>
  <c r="E1286" i="18"/>
  <c r="D1286" i="18"/>
  <c r="C1286" i="18"/>
  <c r="B1286" i="18"/>
  <c r="A1286" i="18"/>
  <c r="CX1285" i="18"/>
  <c r="CW1285" i="18"/>
  <c r="CV1285" i="18"/>
  <c r="CU1285" i="18"/>
  <c r="CT1285" i="18"/>
  <c r="CS1285" i="18"/>
  <c r="CR1285" i="18"/>
  <c r="CQ1285" i="18"/>
  <c r="CP1285" i="18"/>
  <c r="CO1285" i="18"/>
  <c r="CN1285" i="18"/>
  <c r="CM1285" i="18"/>
  <c r="CL1285" i="18"/>
  <c r="CK1285" i="18"/>
  <c r="CJ1285" i="18"/>
  <c r="CI1285" i="18"/>
  <c r="CH1285" i="18"/>
  <c r="CG1285" i="18"/>
  <c r="CF1285" i="18"/>
  <c r="CE1285" i="18"/>
  <c r="CD1285" i="18"/>
  <c r="CC1285" i="18"/>
  <c r="CB1285" i="18"/>
  <c r="CA1285" i="18"/>
  <c r="BZ1285" i="18"/>
  <c r="BY1285" i="18"/>
  <c r="BX1285" i="18"/>
  <c r="BW1285" i="18"/>
  <c r="BV1285" i="18"/>
  <c r="BU1285" i="18"/>
  <c r="BT1285" i="18"/>
  <c r="BS1285" i="18"/>
  <c r="BR1285" i="18"/>
  <c r="BQ1285" i="18"/>
  <c r="BP1285" i="18"/>
  <c r="BO1285" i="18"/>
  <c r="BN1285" i="18"/>
  <c r="BM1285" i="18"/>
  <c r="BL1285" i="18"/>
  <c r="BK1285" i="18"/>
  <c r="BJ1285" i="18"/>
  <c r="BI1285" i="18"/>
  <c r="BH1285" i="18"/>
  <c r="BG1285" i="18"/>
  <c r="BF1285" i="18"/>
  <c r="BE1285" i="18"/>
  <c r="BD1285" i="18"/>
  <c r="BC1285" i="18"/>
  <c r="BB1285" i="18"/>
  <c r="BA1285" i="18"/>
  <c r="AZ1285" i="18"/>
  <c r="AY1285" i="18"/>
  <c r="AX1285" i="18"/>
  <c r="AW1285" i="18"/>
  <c r="AV1285" i="18"/>
  <c r="AU1285" i="18"/>
  <c r="AT1285" i="18"/>
  <c r="AS1285" i="18"/>
  <c r="AR1285" i="18"/>
  <c r="AQ1285" i="18"/>
  <c r="AP1285" i="18"/>
  <c r="AO1285" i="18"/>
  <c r="AN1285" i="18"/>
  <c r="AM1285" i="18"/>
  <c r="AL1285" i="18"/>
  <c r="AK1285" i="18"/>
  <c r="AJ1285" i="18"/>
  <c r="AI1285" i="18"/>
  <c r="AH1285" i="18"/>
  <c r="AG1285" i="18"/>
  <c r="AF1285" i="18"/>
  <c r="AE1285" i="18"/>
  <c r="AD1285" i="18"/>
  <c r="AC1285" i="18"/>
  <c r="AB1285" i="18"/>
  <c r="AA1285" i="18"/>
  <c r="Z1285" i="18"/>
  <c r="Y1285" i="18"/>
  <c r="X1285" i="18"/>
  <c r="W1285" i="18"/>
  <c r="V1285" i="18"/>
  <c r="U1285" i="18"/>
  <c r="T1285" i="18"/>
  <c r="S1285" i="18"/>
  <c r="R1285" i="18"/>
  <c r="Q1285" i="18"/>
  <c r="P1285" i="18"/>
  <c r="O1285" i="18"/>
  <c r="N1285" i="18"/>
  <c r="M1285" i="18"/>
  <c r="L1285" i="18"/>
  <c r="K1285" i="18"/>
  <c r="J1285" i="18"/>
  <c r="I1285" i="18"/>
  <c r="H1285" i="18"/>
  <c r="G1285" i="18"/>
  <c r="F1285" i="18"/>
  <c r="E1285" i="18"/>
  <c r="D1285" i="18"/>
  <c r="C1285" i="18"/>
  <c r="B1285" i="18"/>
  <c r="A1285" i="18"/>
  <c r="CH1284" i="18"/>
  <c r="CG1284" i="18"/>
  <c r="CF1284" i="18"/>
  <c r="CE1284" i="18"/>
  <c r="CD1284" i="18"/>
  <c r="CC1284" i="18"/>
  <c r="CB1284" i="18"/>
  <c r="CA1284" i="18"/>
  <c r="BZ1284" i="18"/>
  <c r="BY1284" i="18"/>
  <c r="AQ1284" i="18"/>
  <c r="AP1284" i="18"/>
  <c r="AO1284" i="18"/>
  <c r="AN1284" i="18"/>
  <c r="AM1284" i="18"/>
  <c r="AL1284" i="18"/>
  <c r="AK1284" i="18"/>
  <c r="AJ1284" i="18"/>
  <c r="AI1284" i="18"/>
  <c r="AH1284" i="18"/>
  <c r="AG1284" i="18"/>
  <c r="AF1284" i="18"/>
  <c r="AE1284" i="18"/>
  <c r="AD1284" i="18"/>
  <c r="AC1284" i="18"/>
  <c r="AB1284" i="18"/>
  <c r="AA1284" i="18"/>
  <c r="Z1284" i="18"/>
  <c r="Y1284" i="18"/>
  <c r="X1284" i="18"/>
  <c r="W1284" i="18"/>
  <c r="V1284" i="18"/>
  <c r="U1284" i="18"/>
  <c r="T1284" i="18"/>
  <c r="S1284" i="18"/>
  <c r="R1284" i="18"/>
  <c r="Q1284" i="18"/>
  <c r="P1284" i="18"/>
  <c r="O1284" i="18"/>
  <c r="N1284" i="18"/>
  <c r="M1284" i="18"/>
  <c r="L1284" i="18"/>
  <c r="K1284" i="18"/>
  <c r="J1284" i="18"/>
  <c r="I1284" i="18"/>
  <c r="H1284" i="18"/>
  <c r="G1284" i="18"/>
  <c r="F1284" i="18"/>
  <c r="E1284" i="18"/>
  <c r="D1284" i="18"/>
  <c r="C1284" i="18"/>
  <c r="B1284" i="18"/>
  <c r="A1284" i="18"/>
  <c r="CH1283" i="18"/>
  <c r="CG1283" i="18"/>
  <c r="CF1283" i="18"/>
  <c r="CE1283" i="18"/>
  <c r="CD1283" i="18"/>
  <c r="CC1283" i="18"/>
  <c r="CB1283" i="18"/>
  <c r="CA1283" i="18"/>
  <c r="BZ1283" i="18"/>
  <c r="BY1283" i="18"/>
  <c r="AQ1283" i="18"/>
  <c r="AP1283" i="18"/>
  <c r="AO1283" i="18"/>
  <c r="AN1283" i="18"/>
  <c r="AM1283" i="18"/>
  <c r="AL1283" i="18"/>
  <c r="AK1283" i="18"/>
  <c r="AJ1283" i="18"/>
  <c r="AI1283" i="18"/>
  <c r="AH1283" i="18"/>
  <c r="AG1283" i="18"/>
  <c r="AF1283" i="18"/>
  <c r="AE1283" i="18"/>
  <c r="AD1283" i="18"/>
  <c r="AC1283" i="18"/>
  <c r="AB1283" i="18"/>
  <c r="AA1283" i="18"/>
  <c r="Z1283" i="18"/>
  <c r="Y1283" i="18"/>
  <c r="X1283" i="18"/>
  <c r="W1283" i="18"/>
  <c r="V1283" i="18"/>
  <c r="U1283" i="18"/>
  <c r="T1283" i="18"/>
  <c r="S1283" i="18"/>
  <c r="R1283" i="18"/>
  <c r="Q1283" i="18"/>
  <c r="P1283" i="18"/>
  <c r="O1283" i="18"/>
  <c r="N1283" i="18"/>
  <c r="M1283" i="18"/>
  <c r="L1283" i="18"/>
  <c r="K1283" i="18"/>
  <c r="J1283" i="18"/>
  <c r="I1283" i="18"/>
  <c r="H1283" i="18"/>
  <c r="G1283" i="18"/>
  <c r="F1283" i="18"/>
  <c r="E1283" i="18"/>
  <c r="D1283" i="18"/>
  <c r="C1283" i="18"/>
  <c r="B1283" i="18"/>
  <c r="A1283" i="18"/>
  <c r="CH1282" i="18"/>
  <c r="CG1282" i="18"/>
  <c r="CF1282" i="18"/>
  <c r="CE1282" i="18"/>
  <c r="CD1282" i="18"/>
  <c r="CC1282" i="18"/>
  <c r="CB1282" i="18"/>
  <c r="CA1282" i="18"/>
  <c r="BZ1282" i="18"/>
  <c r="BY1282" i="18"/>
  <c r="AQ1282" i="18"/>
  <c r="AP1282" i="18"/>
  <c r="AO1282" i="18"/>
  <c r="AN1282" i="18"/>
  <c r="AM1282" i="18"/>
  <c r="AL1282" i="18"/>
  <c r="AK1282" i="18"/>
  <c r="AJ1282" i="18"/>
  <c r="AI1282" i="18"/>
  <c r="AH1282" i="18"/>
  <c r="AG1282" i="18"/>
  <c r="AF1282" i="18"/>
  <c r="AE1282" i="18"/>
  <c r="AD1282" i="18"/>
  <c r="AC1282" i="18"/>
  <c r="AB1282" i="18"/>
  <c r="AA1282" i="18"/>
  <c r="Z1282" i="18"/>
  <c r="Y1282" i="18"/>
  <c r="X1282" i="18"/>
  <c r="W1282" i="18"/>
  <c r="V1282" i="18"/>
  <c r="U1282" i="18"/>
  <c r="T1282" i="18"/>
  <c r="S1282" i="18"/>
  <c r="R1282" i="18"/>
  <c r="Q1282" i="18"/>
  <c r="P1282" i="18"/>
  <c r="O1282" i="18"/>
  <c r="N1282" i="18"/>
  <c r="M1282" i="18"/>
  <c r="L1282" i="18"/>
  <c r="K1282" i="18"/>
  <c r="J1282" i="18"/>
  <c r="I1282" i="18"/>
  <c r="H1282" i="18"/>
  <c r="G1282" i="18"/>
  <c r="F1282" i="18"/>
  <c r="E1282" i="18"/>
  <c r="D1282" i="18"/>
  <c r="C1282" i="18"/>
  <c r="B1282" i="18"/>
  <c r="A1282" i="18"/>
  <c r="CH1281" i="18"/>
  <c r="CG1281" i="18"/>
  <c r="CF1281" i="18"/>
  <c r="CE1281" i="18"/>
  <c r="CD1281" i="18"/>
  <c r="CC1281" i="18"/>
  <c r="CB1281" i="18"/>
  <c r="CA1281" i="18"/>
  <c r="BZ1281" i="18"/>
  <c r="BY1281" i="18"/>
  <c r="AQ1281" i="18"/>
  <c r="AP1281" i="18"/>
  <c r="AO1281" i="18"/>
  <c r="AN1281" i="18"/>
  <c r="AM1281" i="18"/>
  <c r="AL1281" i="18"/>
  <c r="AK1281" i="18"/>
  <c r="AJ1281" i="18"/>
  <c r="AI1281" i="18"/>
  <c r="AH1281" i="18"/>
  <c r="AG1281" i="18"/>
  <c r="AF1281" i="18"/>
  <c r="AE1281" i="18"/>
  <c r="AD1281" i="18"/>
  <c r="AC1281" i="18"/>
  <c r="AB1281" i="18"/>
  <c r="AA1281" i="18"/>
  <c r="Z1281" i="18"/>
  <c r="Y1281" i="18"/>
  <c r="X1281" i="18"/>
  <c r="W1281" i="18"/>
  <c r="V1281" i="18"/>
  <c r="U1281" i="18"/>
  <c r="T1281" i="18"/>
  <c r="S1281" i="18"/>
  <c r="R1281" i="18"/>
  <c r="Q1281" i="18"/>
  <c r="P1281" i="18"/>
  <c r="O1281" i="18"/>
  <c r="N1281" i="18"/>
  <c r="M1281" i="18"/>
  <c r="L1281" i="18"/>
  <c r="K1281" i="18"/>
  <c r="J1281" i="18"/>
  <c r="I1281" i="18"/>
  <c r="H1281" i="18"/>
  <c r="G1281" i="18"/>
  <c r="F1281" i="18"/>
  <c r="E1281" i="18"/>
  <c r="D1281" i="18"/>
  <c r="C1281" i="18"/>
  <c r="B1281" i="18"/>
  <c r="A1281" i="18"/>
  <c r="CH1280" i="18"/>
  <c r="CG1280" i="18"/>
  <c r="CF1280" i="18"/>
  <c r="CE1280" i="18"/>
  <c r="CD1280" i="18"/>
  <c r="CC1280" i="18"/>
  <c r="CB1280" i="18"/>
  <c r="CA1280" i="18"/>
  <c r="BZ1280" i="18"/>
  <c r="BY1280" i="18"/>
  <c r="AQ1280" i="18"/>
  <c r="AP1280" i="18"/>
  <c r="AO1280" i="18"/>
  <c r="AN1280" i="18"/>
  <c r="AM1280" i="18"/>
  <c r="AL1280" i="18"/>
  <c r="AK1280" i="18"/>
  <c r="AJ1280" i="18"/>
  <c r="AI1280" i="18"/>
  <c r="AH1280" i="18"/>
  <c r="AG1280" i="18"/>
  <c r="AF1280" i="18"/>
  <c r="AE1280" i="18"/>
  <c r="AD1280" i="18"/>
  <c r="AC1280" i="18"/>
  <c r="AB1280" i="18"/>
  <c r="AA1280" i="18"/>
  <c r="Z1280" i="18"/>
  <c r="Y1280" i="18"/>
  <c r="X1280" i="18"/>
  <c r="W1280" i="18"/>
  <c r="V1280" i="18"/>
  <c r="U1280" i="18"/>
  <c r="T1280" i="18"/>
  <c r="S1280" i="18"/>
  <c r="R1280" i="18"/>
  <c r="Q1280" i="18"/>
  <c r="P1280" i="18"/>
  <c r="O1280" i="18"/>
  <c r="N1280" i="18"/>
  <c r="M1280" i="18"/>
  <c r="L1280" i="18"/>
  <c r="K1280" i="18"/>
  <c r="J1280" i="18"/>
  <c r="I1280" i="18"/>
  <c r="H1280" i="18"/>
  <c r="G1280" i="18"/>
  <c r="F1280" i="18"/>
  <c r="E1280" i="18"/>
  <c r="D1280" i="18"/>
  <c r="C1280" i="18"/>
  <c r="B1280" i="18"/>
  <c r="A1280" i="18"/>
  <c r="CH1279" i="18"/>
  <c r="CG1279" i="18"/>
  <c r="CF1279" i="18"/>
  <c r="CE1279" i="18"/>
  <c r="CD1279" i="18"/>
  <c r="CC1279" i="18"/>
  <c r="CB1279" i="18"/>
  <c r="CA1279" i="18"/>
  <c r="BZ1279" i="18"/>
  <c r="BY1279" i="18"/>
  <c r="AQ1279" i="18"/>
  <c r="AP1279" i="18"/>
  <c r="AO1279" i="18"/>
  <c r="AN1279" i="18"/>
  <c r="AM1279" i="18"/>
  <c r="AL1279" i="18"/>
  <c r="AK1279" i="18"/>
  <c r="AJ1279" i="18"/>
  <c r="AI1279" i="18"/>
  <c r="AH1279" i="18"/>
  <c r="AG1279" i="18"/>
  <c r="AF1279" i="18"/>
  <c r="AE1279" i="18"/>
  <c r="AD1279" i="18"/>
  <c r="AC1279" i="18"/>
  <c r="AB1279" i="18"/>
  <c r="AA1279" i="18"/>
  <c r="Z1279" i="18"/>
  <c r="Y1279" i="18"/>
  <c r="X1279" i="18"/>
  <c r="W1279" i="18"/>
  <c r="V1279" i="18"/>
  <c r="U1279" i="18"/>
  <c r="T1279" i="18"/>
  <c r="S1279" i="18"/>
  <c r="R1279" i="18"/>
  <c r="Q1279" i="18"/>
  <c r="P1279" i="18"/>
  <c r="O1279" i="18"/>
  <c r="N1279" i="18"/>
  <c r="M1279" i="18"/>
  <c r="L1279" i="18"/>
  <c r="K1279" i="18"/>
  <c r="J1279" i="18"/>
  <c r="I1279" i="18"/>
  <c r="H1279" i="18"/>
  <c r="G1279" i="18"/>
  <c r="F1279" i="18"/>
  <c r="E1279" i="18"/>
  <c r="D1279" i="18"/>
  <c r="C1279" i="18"/>
  <c r="B1279" i="18"/>
  <c r="A1279" i="18"/>
  <c r="CX1278" i="18"/>
  <c r="CW1278" i="18"/>
  <c r="CV1278" i="18"/>
  <c r="CU1278" i="18"/>
  <c r="CT1278" i="18"/>
  <c r="CS1278" i="18"/>
  <c r="CR1278" i="18"/>
  <c r="CQ1278" i="18"/>
  <c r="CP1278" i="18"/>
  <c r="CO1278" i="18"/>
  <c r="CN1278" i="18"/>
  <c r="CM1278" i="18"/>
  <c r="CL1278" i="18"/>
  <c r="CK1278" i="18"/>
  <c r="CJ1278" i="18"/>
  <c r="CI1278" i="18"/>
  <c r="CH1278" i="18"/>
  <c r="CG1278" i="18"/>
  <c r="CF1278" i="18"/>
  <c r="CE1278" i="18"/>
  <c r="CD1278" i="18"/>
  <c r="CC1278" i="18"/>
  <c r="CB1278" i="18"/>
  <c r="CA1278" i="18"/>
  <c r="BZ1278" i="18"/>
  <c r="BY1278" i="18"/>
  <c r="BX1278" i="18"/>
  <c r="BW1278" i="18"/>
  <c r="BV1278" i="18"/>
  <c r="BU1278" i="18"/>
  <c r="BT1278" i="18"/>
  <c r="BS1278" i="18"/>
  <c r="BR1278" i="18"/>
  <c r="BQ1278" i="18"/>
  <c r="BP1278" i="18"/>
  <c r="BO1278" i="18"/>
  <c r="BN1278" i="18"/>
  <c r="BM1278" i="18"/>
  <c r="BL1278" i="18"/>
  <c r="BK1278" i="18"/>
  <c r="BJ1278" i="18"/>
  <c r="BI1278" i="18"/>
  <c r="BH1278" i="18"/>
  <c r="BG1278" i="18"/>
  <c r="BF1278" i="18"/>
  <c r="BE1278" i="18"/>
  <c r="BD1278" i="18"/>
  <c r="BC1278" i="18"/>
  <c r="BB1278" i="18"/>
  <c r="BA1278" i="18"/>
  <c r="AZ1278" i="18"/>
  <c r="AY1278" i="18"/>
  <c r="AX1278" i="18"/>
  <c r="AW1278" i="18"/>
  <c r="AV1278" i="18"/>
  <c r="AU1278" i="18"/>
  <c r="AT1278" i="18"/>
  <c r="AS1278" i="18"/>
  <c r="AR1278" i="18"/>
  <c r="AQ1278" i="18"/>
  <c r="AP1278" i="18"/>
  <c r="AO1278" i="18"/>
  <c r="AN1278" i="18"/>
  <c r="AM1278" i="18"/>
  <c r="AL1278" i="18"/>
  <c r="AK1278" i="18"/>
  <c r="AJ1278" i="18"/>
  <c r="AI1278" i="18"/>
  <c r="AH1278" i="18"/>
  <c r="AG1278" i="18"/>
  <c r="AF1278" i="18"/>
  <c r="AE1278" i="18"/>
  <c r="AD1278" i="18"/>
  <c r="AC1278" i="18"/>
  <c r="AB1278" i="18"/>
  <c r="AA1278" i="18"/>
  <c r="Z1278" i="18"/>
  <c r="Y1278" i="18"/>
  <c r="X1278" i="18"/>
  <c r="W1278" i="18"/>
  <c r="V1278" i="18"/>
  <c r="U1278" i="18"/>
  <c r="T1278" i="18"/>
  <c r="S1278" i="18"/>
  <c r="R1278" i="18"/>
  <c r="Q1278" i="18"/>
  <c r="P1278" i="18"/>
  <c r="O1278" i="18"/>
  <c r="N1278" i="18"/>
  <c r="M1278" i="18"/>
  <c r="L1278" i="18"/>
  <c r="K1278" i="18"/>
  <c r="J1278" i="18"/>
  <c r="I1278" i="18"/>
  <c r="H1278" i="18"/>
  <c r="G1278" i="18"/>
  <c r="F1278" i="18"/>
  <c r="E1278" i="18"/>
  <c r="D1278" i="18"/>
  <c r="C1278" i="18"/>
  <c r="B1278" i="18"/>
  <c r="A1278" i="18"/>
  <c r="CX1277" i="18"/>
  <c r="CW1277" i="18"/>
  <c r="CV1277" i="18"/>
  <c r="CU1277" i="18"/>
  <c r="CT1277" i="18"/>
  <c r="CS1277" i="18"/>
  <c r="CR1277" i="18"/>
  <c r="CQ1277" i="18"/>
  <c r="CP1277" i="18"/>
  <c r="CO1277" i="18"/>
  <c r="CN1277" i="18"/>
  <c r="CM1277" i="18"/>
  <c r="CL1277" i="18"/>
  <c r="CK1277" i="18"/>
  <c r="CJ1277" i="18"/>
  <c r="CI1277" i="18"/>
  <c r="CH1277" i="18"/>
  <c r="CG1277" i="18"/>
  <c r="CF1277" i="18"/>
  <c r="CE1277" i="18"/>
  <c r="CD1277" i="18"/>
  <c r="CC1277" i="18"/>
  <c r="CB1277" i="18"/>
  <c r="CA1277" i="18"/>
  <c r="BZ1277" i="18"/>
  <c r="BY1277" i="18"/>
  <c r="AQ1277" i="18"/>
  <c r="AP1277" i="18"/>
  <c r="AO1277" i="18"/>
  <c r="AN1277" i="18"/>
  <c r="AM1277" i="18"/>
  <c r="AL1277" i="18"/>
  <c r="AK1277" i="18"/>
  <c r="AJ1277" i="18"/>
  <c r="AI1277" i="18"/>
  <c r="AH1277" i="18"/>
  <c r="AG1277" i="18"/>
  <c r="AF1277" i="18"/>
  <c r="AE1277" i="18"/>
  <c r="AD1277" i="18"/>
  <c r="AC1277" i="18"/>
  <c r="AB1277" i="18"/>
  <c r="AA1277" i="18"/>
  <c r="Z1277" i="18"/>
  <c r="Y1277" i="18"/>
  <c r="X1277" i="18"/>
  <c r="W1277" i="18"/>
  <c r="V1277" i="18"/>
  <c r="U1277" i="18"/>
  <c r="T1277" i="18"/>
  <c r="S1277" i="18"/>
  <c r="R1277" i="18"/>
  <c r="Q1277" i="18"/>
  <c r="P1277" i="18"/>
  <c r="O1277" i="18"/>
  <c r="N1277" i="18"/>
  <c r="M1277" i="18"/>
  <c r="L1277" i="18"/>
  <c r="K1277" i="18"/>
  <c r="J1277" i="18"/>
  <c r="I1277" i="18"/>
  <c r="H1277" i="18"/>
  <c r="G1277" i="18"/>
  <c r="F1277" i="18"/>
  <c r="E1277" i="18"/>
  <c r="D1277" i="18"/>
  <c r="C1277" i="18"/>
  <c r="B1277" i="18"/>
  <c r="A1277" i="18"/>
  <c r="CH1276" i="18"/>
  <c r="CG1276" i="18"/>
  <c r="CF1276" i="18"/>
  <c r="CE1276" i="18"/>
  <c r="CD1276" i="18"/>
  <c r="CC1276" i="18"/>
  <c r="CB1276" i="18"/>
  <c r="CA1276" i="18"/>
  <c r="BZ1276" i="18"/>
  <c r="BY1276" i="18"/>
  <c r="AQ1276" i="18"/>
  <c r="AP1276" i="18"/>
  <c r="AO1276" i="18"/>
  <c r="AN1276" i="18"/>
  <c r="AM1276" i="18"/>
  <c r="AL1276" i="18"/>
  <c r="AK1276" i="18"/>
  <c r="AJ1276" i="18"/>
  <c r="AI1276" i="18"/>
  <c r="AH1276" i="18"/>
  <c r="AG1276" i="18"/>
  <c r="AF1276" i="18"/>
  <c r="AE1276" i="18"/>
  <c r="AD1276" i="18"/>
  <c r="AC1276" i="18"/>
  <c r="AB1276" i="18"/>
  <c r="AA1276" i="18"/>
  <c r="Z1276" i="18"/>
  <c r="Y1276" i="18"/>
  <c r="X1276" i="18"/>
  <c r="W1276" i="18"/>
  <c r="V1276" i="18"/>
  <c r="U1276" i="18"/>
  <c r="T1276" i="18"/>
  <c r="S1276" i="18"/>
  <c r="R1276" i="18"/>
  <c r="Q1276" i="18"/>
  <c r="P1276" i="18"/>
  <c r="O1276" i="18"/>
  <c r="N1276" i="18"/>
  <c r="M1276" i="18"/>
  <c r="L1276" i="18"/>
  <c r="K1276" i="18"/>
  <c r="J1276" i="18"/>
  <c r="I1276" i="18"/>
  <c r="H1276" i="18"/>
  <c r="G1276" i="18"/>
  <c r="F1276" i="18"/>
  <c r="E1276" i="18"/>
  <c r="D1276" i="18"/>
  <c r="C1276" i="18"/>
  <c r="B1276" i="18"/>
  <c r="A1276" i="18"/>
  <c r="CH1275" i="18"/>
  <c r="CG1275" i="18"/>
  <c r="CF1275" i="18"/>
  <c r="CE1275" i="18"/>
  <c r="CD1275" i="18"/>
  <c r="CC1275" i="18"/>
  <c r="CB1275" i="18"/>
  <c r="CA1275" i="18"/>
  <c r="BZ1275" i="18"/>
  <c r="BY1275" i="18"/>
  <c r="AQ1275" i="18"/>
  <c r="AP1275" i="18"/>
  <c r="AO1275" i="18"/>
  <c r="AN1275" i="18"/>
  <c r="AM1275" i="18"/>
  <c r="AL1275" i="18"/>
  <c r="AK1275" i="18"/>
  <c r="AJ1275" i="18"/>
  <c r="AI1275" i="18"/>
  <c r="AH1275" i="18"/>
  <c r="AG1275" i="18"/>
  <c r="AF1275" i="18"/>
  <c r="AE1275" i="18"/>
  <c r="AD1275" i="18"/>
  <c r="AC1275" i="18"/>
  <c r="AB1275" i="18"/>
  <c r="AA1275" i="18"/>
  <c r="Z1275" i="18"/>
  <c r="Y1275" i="18"/>
  <c r="X1275" i="18"/>
  <c r="W1275" i="18"/>
  <c r="V1275" i="18"/>
  <c r="U1275" i="18"/>
  <c r="T1275" i="18"/>
  <c r="S1275" i="18"/>
  <c r="R1275" i="18"/>
  <c r="Q1275" i="18"/>
  <c r="P1275" i="18"/>
  <c r="O1275" i="18"/>
  <c r="N1275" i="18"/>
  <c r="M1275" i="18"/>
  <c r="L1275" i="18"/>
  <c r="K1275" i="18"/>
  <c r="J1275" i="18"/>
  <c r="I1275" i="18"/>
  <c r="H1275" i="18"/>
  <c r="G1275" i="18"/>
  <c r="F1275" i="18"/>
  <c r="E1275" i="18"/>
  <c r="D1275" i="18"/>
  <c r="C1275" i="18"/>
  <c r="B1275" i="18"/>
  <c r="A1275" i="18"/>
  <c r="CX1274" i="18"/>
  <c r="CW1274" i="18"/>
  <c r="CV1274" i="18"/>
  <c r="CU1274" i="18"/>
  <c r="CT1274" i="18"/>
  <c r="CS1274" i="18"/>
  <c r="CR1274" i="18"/>
  <c r="CQ1274" i="18"/>
  <c r="CP1274" i="18"/>
  <c r="CO1274" i="18"/>
  <c r="CN1274" i="18"/>
  <c r="CM1274" i="18"/>
  <c r="CL1274" i="18"/>
  <c r="CK1274" i="18"/>
  <c r="CJ1274" i="18"/>
  <c r="CI1274" i="18"/>
  <c r="CH1274" i="18"/>
  <c r="CG1274" i="18"/>
  <c r="CF1274" i="18"/>
  <c r="CE1274" i="18"/>
  <c r="CD1274" i="18"/>
  <c r="CC1274" i="18"/>
  <c r="CB1274" i="18"/>
  <c r="CA1274" i="18"/>
  <c r="BZ1274" i="18"/>
  <c r="BY1274" i="18"/>
  <c r="BX1274" i="18"/>
  <c r="BW1274" i="18"/>
  <c r="BV1274" i="18"/>
  <c r="BU1274" i="18"/>
  <c r="BT1274" i="18"/>
  <c r="BS1274" i="18"/>
  <c r="BR1274" i="18"/>
  <c r="BQ1274" i="18"/>
  <c r="BP1274" i="18"/>
  <c r="BO1274" i="18"/>
  <c r="BN1274" i="18"/>
  <c r="BM1274" i="18"/>
  <c r="BL1274" i="18"/>
  <c r="BK1274" i="18"/>
  <c r="BJ1274" i="18"/>
  <c r="BI1274" i="18"/>
  <c r="BH1274" i="18"/>
  <c r="BG1274" i="18"/>
  <c r="BF1274" i="18"/>
  <c r="BE1274" i="18"/>
  <c r="BD1274" i="18"/>
  <c r="BC1274" i="18"/>
  <c r="BB1274" i="18"/>
  <c r="BA1274" i="18"/>
  <c r="AZ1274" i="18"/>
  <c r="AY1274" i="18"/>
  <c r="AX1274" i="18"/>
  <c r="AW1274" i="18"/>
  <c r="AV1274" i="18"/>
  <c r="AU1274" i="18"/>
  <c r="AT1274" i="18"/>
  <c r="AS1274" i="18"/>
  <c r="AR1274" i="18"/>
  <c r="AQ1274" i="18"/>
  <c r="AP1274" i="18"/>
  <c r="AO1274" i="18"/>
  <c r="AN1274" i="18"/>
  <c r="AM1274" i="18"/>
  <c r="AL1274" i="18"/>
  <c r="AK1274" i="18"/>
  <c r="AJ1274" i="18"/>
  <c r="AI1274" i="18"/>
  <c r="AH1274" i="18"/>
  <c r="AG1274" i="18"/>
  <c r="AF1274" i="18"/>
  <c r="AE1274" i="18"/>
  <c r="AD1274" i="18"/>
  <c r="AC1274" i="18"/>
  <c r="AB1274" i="18"/>
  <c r="AA1274" i="18"/>
  <c r="Z1274" i="18"/>
  <c r="Y1274" i="18"/>
  <c r="X1274" i="18"/>
  <c r="W1274" i="18"/>
  <c r="V1274" i="18"/>
  <c r="U1274" i="18"/>
  <c r="T1274" i="18"/>
  <c r="S1274" i="18"/>
  <c r="R1274" i="18"/>
  <c r="Q1274" i="18"/>
  <c r="P1274" i="18"/>
  <c r="O1274" i="18"/>
  <c r="N1274" i="18"/>
  <c r="M1274" i="18"/>
  <c r="L1274" i="18"/>
  <c r="K1274" i="18"/>
  <c r="J1274" i="18"/>
  <c r="I1274" i="18"/>
  <c r="H1274" i="18"/>
  <c r="G1274" i="18"/>
  <c r="F1274" i="18"/>
  <c r="E1274" i="18"/>
  <c r="D1274" i="18"/>
  <c r="C1274" i="18"/>
  <c r="B1274" i="18"/>
  <c r="A1274" i="18"/>
  <c r="CX1273" i="18"/>
  <c r="CW1273" i="18"/>
  <c r="CV1273" i="18"/>
  <c r="CU1273" i="18"/>
  <c r="CT1273" i="18"/>
  <c r="CS1273" i="18"/>
  <c r="CR1273" i="18"/>
  <c r="CQ1273" i="18"/>
  <c r="CP1273" i="18"/>
  <c r="CO1273" i="18"/>
  <c r="CN1273" i="18"/>
  <c r="CM1273" i="18"/>
  <c r="CL1273" i="18"/>
  <c r="CK1273" i="18"/>
  <c r="CJ1273" i="18"/>
  <c r="CI1273" i="18"/>
  <c r="CH1273" i="18"/>
  <c r="CG1273" i="18"/>
  <c r="CF1273" i="18"/>
  <c r="CE1273" i="18"/>
  <c r="CD1273" i="18"/>
  <c r="CC1273" i="18"/>
  <c r="CB1273" i="18"/>
  <c r="CA1273" i="18"/>
  <c r="BZ1273" i="18"/>
  <c r="BY1273" i="18"/>
  <c r="AQ1273" i="18"/>
  <c r="AP1273" i="18"/>
  <c r="AO1273" i="18"/>
  <c r="AN1273" i="18"/>
  <c r="AM1273" i="18"/>
  <c r="AL1273" i="18"/>
  <c r="AK1273" i="18"/>
  <c r="AJ1273" i="18"/>
  <c r="AI1273" i="18"/>
  <c r="AH1273" i="18"/>
  <c r="AG1273" i="18"/>
  <c r="AF1273" i="18"/>
  <c r="AE1273" i="18"/>
  <c r="AD1273" i="18"/>
  <c r="AC1273" i="18"/>
  <c r="AB1273" i="18"/>
  <c r="AA1273" i="18"/>
  <c r="Z1273" i="18"/>
  <c r="Y1273" i="18"/>
  <c r="X1273" i="18"/>
  <c r="W1273" i="18"/>
  <c r="V1273" i="18"/>
  <c r="U1273" i="18"/>
  <c r="T1273" i="18"/>
  <c r="S1273" i="18"/>
  <c r="R1273" i="18"/>
  <c r="Q1273" i="18"/>
  <c r="P1273" i="18"/>
  <c r="O1273" i="18"/>
  <c r="N1273" i="18"/>
  <c r="M1273" i="18"/>
  <c r="L1273" i="18"/>
  <c r="K1273" i="18"/>
  <c r="J1273" i="18"/>
  <c r="I1273" i="18"/>
  <c r="H1273" i="18"/>
  <c r="G1273" i="18"/>
  <c r="F1273" i="18"/>
  <c r="E1273" i="18"/>
  <c r="D1273" i="18"/>
  <c r="C1273" i="18"/>
  <c r="B1273" i="18"/>
  <c r="A1273" i="18"/>
  <c r="CH1272" i="18"/>
  <c r="CG1272" i="18"/>
  <c r="CF1272" i="18"/>
  <c r="CE1272" i="18"/>
  <c r="CD1272" i="18"/>
  <c r="CC1272" i="18"/>
  <c r="CB1272" i="18"/>
  <c r="CA1272" i="18"/>
  <c r="BZ1272" i="18"/>
  <c r="BY1272" i="18"/>
  <c r="AQ1272" i="18"/>
  <c r="AP1272" i="18"/>
  <c r="AO1272" i="18"/>
  <c r="AN1272" i="18"/>
  <c r="AM1272" i="18"/>
  <c r="AL1272" i="18"/>
  <c r="AK1272" i="18"/>
  <c r="AJ1272" i="18"/>
  <c r="AI1272" i="18"/>
  <c r="AH1272" i="18"/>
  <c r="AG1272" i="18"/>
  <c r="AF1272" i="18"/>
  <c r="AE1272" i="18"/>
  <c r="AD1272" i="18"/>
  <c r="AC1272" i="18"/>
  <c r="AB1272" i="18"/>
  <c r="AA1272" i="18"/>
  <c r="Z1272" i="18"/>
  <c r="Y1272" i="18"/>
  <c r="X1272" i="18"/>
  <c r="W1272" i="18"/>
  <c r="V1272" i="18"/>
  <c r="U1272" i="18"/>
  <c r="T1272" i="18"/>
  <c r="S1272" i="18"/>
  <c r="R1272" i="18"/>
  <c r="Q1272" i="18"/>
  <c r="P1272" i="18"/>
  <c r="O1272" i="18"/>
  <c r="N1272" i="18"/>
  <c r="M1272" i="18"/>
  <c r="L1272" i="18"/>
  <c r="K1272" i="18"/>
  <c r="J1272" i="18"/>
  <c r="I1272" i="18"/>
  <c r="H1272" i="18"/>
  <c r="G1272" i="18"/>
  <c r="F1272" i="18"/>
  <c r="E1272" i="18"/>
  <c r="D1272" i="18"/>
  <c r="C1272" i="18"/>
  <c r="B1272" i="18"/>
  <c r="A1272" i="18"/>
  <c r="CH1271" i="18"/>
  <c r="CG1271" i="18"/>
  <c r="CF1271" i="18"/>
  <c r="CE1271" i="18"/>
  <c r="CD1271" i="18"/>
  <c r="CC1271" i="18"/>
  <c r="CB1271" i="18"/>
  <c r="CA1271" i="18"/>
  <c r="BZ1271" i="18"/>
  <c r="BY1271" i="18"/>
  <c r="AQ1271" i="18"/>
  <c r="AP1271" i="18"/>
  <c r="AO1271" i="18"/>
  <c r="AN1271" i="18"/>
  <c r="AM1271" i="18"/>
  <c r="AL1271" i="18"/>
  <c r="AK1271" i="18"/>
  <c r="AJ1271" i="18"/>
  <c r="AI1271" i="18"/>
  <c r="AH1271" i="18"/>
  <c r="AG1271" i="18"/>
  <c r="AF1271" i="18"/>
  <c r="AE1271" i="18"/>
  <c r="AD1271" i="18"/>
  <c r="AC1271" i="18"/>
  <c r="AB1271" i="18"/>
  <c r="AA1271" i="18"/>
  <c r="Z1271" i="18"/>
  <c r="Y1271" i="18"/>
  <c r="X1271" i="18"/>
  <c r="W1271" i="18"/>
  <c r="V1271" i="18"/>
  <c r="U1271" i="18"/>
  <c r="T1271" i="18"/>
  <c r="S1271" i="18"/>
  <c r="R1271" i="18"/>
  <c r="Q1271" i="18"/>
  <c r="P1271" i="18"/>
  <c r="O1271" i="18"/>
  <c r="N1271" i="18"/>
  <c r="M1271" i="18"/>
  <c r="L1271" i="18"/>
  <c r="K1271" i="18"/>
  <c r="J1271" i="18"/>
  <c r="I1271" i="18"/>
  <c r="H1271" i="18"/>
  <c r="G1271" i="18"/>
  <c r="F1271" i="18"/>
  <c r="E1271" i="18"/>
  <c r="D1271" i="18"/>
  <c r="C1271" i="18"/>
  <c r="B1271" i="18"/>
  <c r="A1271" i="18"/>
  <c r="CX1270" i="18"/>
  <c r="CW1270" i="18"/>
  <c r="CV1270" i="18"/>
  <c r="CU1270" i="18"/>
  <c r="CT1270" i="18"/>
  <c r="CS1270" i="18"/>
  <c r="CR1270" i="18"/>
  <c r="CQ1270" i="18"/>
  <c r="CP1270" i="18"/>
  <c r="CO1270" i="18"/>
  <c r="CN1270" i="18"/>
  <c r="CM1270" i="18"/>
  <c r="CL1270" i="18"/>
  <c r="CK1270" i="18"/>
  <c r="CJ1270" i="18"/>
  <c r="CI1270" i="18"/>
  <c r="CH1270" i="18"/>
  <c r="CG1270" i="18"/>
  <c r="CF1270" i="18"/>
  <c r="CE1270" i="18"/>
  <c r="CD1270" i="18"/>
  <c r="CC1270" i="18"/>
  <c r="CB1270" i="18"/>
  <c r="CA1270" i="18"/>
  <c r="BZ1270" i="18"/>
  <c r="BY1270" i="18"/>
  <c r="BX1270" i="18"/>
  <c r="BW1270" i="18"/>
  <c r="BV1270" i="18"/>
  <c r="BU1270" i="18"/>
  <c r="BT1270" i="18"/>
  <c r="BS1270" i="18"/>
  <c r="BR1270" i="18"/>
  <c r="BQ1270" i="18"/>
  <c r="BP1270" i="18"/>
  <c r="BO1270" i="18"/>
  <c r="BN1270" i="18"/>
  <c r="BM1270" i="18"/>
  <c r="BL1270" i="18"/>
  <c r="BK1270" i="18"/>
  <c r="BJ1270" i="18"/>
  <c r="BI1270" i="18"/>
  <c r="BH1270" i="18"/>
  <c r="BG1270" i="18"/>
  <c r="BF1270" i="18"/>
  <c r="BE1270" i="18"/>
  <c r="BD1270" i="18"/>
  <c r="BC1270" i="18"/>
  <c r="BB1270" i="18"/>
  <c r="BA1270" i="18"/>
  <c r="AZ1270" i="18"/>
  <c r="AY1270" i="18"/>
  <c r="AX1270" i="18"/>
  <c r="AW1270" i="18"/>
  <c r="AV1270" i="18"/>
  <c r="AU1270" i="18"/>
  <c r="AT1270" i="18"/>
  <c r="AS1270" i="18"/>
  <c r="AR1270" i="18"/>
  <c r="AQ1270" i="18"/>
  <c r="AP1270" i="18"/>
  <c r="AO1270" i="18"/>
  <c r="AN1270" i="18"/>
  <c r="AM1270" i="18"/>
  <c r="AL1270" i="18"/>
  <c r="AK1270" i="18"/>
  <c r="AJ1270" i="18"/>
  <c r="AI1270" i="18"/>
  <c r="AH1270" i="18"/>
  <c r="AG1270" i="18"/>
  <c r="AF1270" i="18"/>
  <c r="AE1270" i="18"/>
  <c r="AD1270" i="18"/>
  <c r="AC1270" i="18"/>
  <c r="AB1270" i="18"/>
  <c r="AA1270" i="18"/>
  <c r="Z1270" i="18"/>
  <c r="Y1270" i="18"/>
  <c r="X1270" i="18"/>
  <c r="W1270" i="18"/>
  <c r="V1270" i="18"/>
  <c r="U1270" i="18"/>
  <c r="T1270" i="18"/>
  <c r="S1270" i="18"/>
  <c r="R1270" i="18"/>
  <c r="Q1270" i="18"/>
  <c r="P1270" i="18"/>
  <c r="O1270" i="18"/>
  <c r="N1270" i="18"/>
  <c r="M1270" i="18"/>
  <c r="L1270" i="18"/>
  <c r="K1270" i="18"/>
  <c r="J1270" i="18"/>
  <c r="I1270" i="18"/>
  <c r="H1270" i="18"/>
  <c r="G1270" i="18"/>
  <c r="F1270" i="18"/>
  <c r="E1270" i="18"/>
  <c r="D1270" i="18"/>
  <c r="C1270" i="18"/>
  <c r="B1270" i="18"/>
  <c r="A1270" i="18"/>
  <c r="CX1269" i="18"/>
  <c r="CW1269" i="18"/>
  <c r="CV1269" i="18"/>
  <c r="CU1269" i="18"/>
  <c r="CT1269" i="18"/>
  <c r="CS1269" i="18"/>
  <c r="CR1269" i="18"/>
  <c r="CQ1269" i="18"/>
  <c r="CP1269" i="18"/>
  <c r="CO1269" i="18"/>
  <c r="CN1269" i="18"/>
  <c r="CM1269" i="18"/>
  <c r="CL1269" i="18"/>
  <c r="CK1269" i="18"/>
  <c r="CJ1269" i="18"/>
  <c r="CI1269" i="18"/>
  <c r="CH1269" i="18"/>
  <c r="CG1269" i="18"/>
  <c r="CF1269" i="18"/>
  <c r="CE1269" i="18"/>
  <c r="CD1269" i="18"/>
  <c r="CC1269" i="18"/>
  <c r="CB1269" i="18"/>
  <c r="CA1269" i="18"/>
  <c r="BZ1269" i="18"/>
  <c r="BY1269" i="18"/>
  <c r="BX1269" i="18"/>
  <c r="BW1269" i="18"/>
  <c r="BV1269" i="18"/>
  <c r="BU1269" i="18"/>
  <c r="BT1269" i="18"/>
  <c r="BS1269" i="18"/>
  <c r="BR1269" i="18"/>
  <c r="BQ1269" i="18"/>
  <c r="BP1269" i="18"/>
  <c r="BO1269" i="18"/>
  <c r="BN1269" i="18"/>
  <c r="BM1269" i="18"/>
  <c r="BL1269" i="18"/>
  <c r="BK1269" i="18"/>
  <c r="BJ1269" i="18"/>
  <c r="BI1269" i="18"/>
  <c r="BH1269" i="18"/>
  <c r="BG1269" i="18"/>
  <c r="BF1269" i="18"/>
  <c r="BE1269" i="18"/>
  <c r="BD1269" i="18"/>
  <c r="BC1269" i="18"/>
  <c r="BB1269" i="18"/>
  <c r="BA1269" i="18"/>
  <c r="AZ1269" i="18"/>
  <c r="AY1269" i="18"/>
  <c r="AX1269" i="18"/>
  <c r="AW1269" i="18"/>
  <c r="AV1269" i="18"/>
  <c r="AU1269" i="18"/>
  <c r="AT1269" i="18"/>
  <c r="AS1269" i="18"/>
  <c r="AR1269" i="18"/>
  <c r="AQ1269" i="18"/>
  <c r="AP1269" i="18"/>
  <c r="AO1269" i="18"/>
  <c r="AN1269" i="18"/>
  <c r="AM1269" i="18"/>
  <c r="AL1269" i="18"/>
  <c r="AK1269" i="18"/>
  <c r="AJ1269" i="18"/>
  <c r="AI1269" i="18"/>
  <c r="AH1269" i="18"/>
  <c r="AG1269" i="18"/>
  <c r="AF1269" i="18"/>
  <c r="AE1269" i="18"/>
  <c r="AD1269" i="18"/>
  <c r="AC1269" i="18"/>
  <c r="AB1269" i="18"/>
  <c r="AA1269" i="18"/>
  <c r="Z1269" i="18"/>
  <c r="Y1269" i="18"/>
  <c r="X1269" i="18"/>
  <c r="W1269" i="18"/>
  <c r="V1269" i="18"/>
  <c r="U1269" i="18"/>
  <c r="T1269" i="18"/>
  <c r="S1269" i="18"/>
  <c r="R1269" i="18"/>
  <c r="Q1269" i="18"/>
  <c r="P1269" i="18"/>
  <c r="O1269" i="18"/>
  <c r="N1269" i="18"/>
  <c r="M1269" i="18"/>
  <c r="L1269" i="18"/>
  <c r="K1269" i="18"/>
  <c r="J1269" i="18"/>
  <c r="I1269" i="18"/>
  <c r="H1269" i="18"/>
  <c r="G1269" i="18"/>
  <c r="F1269" i="18"/>
  <c r="E1269" i="18"/>
  <c r="D1269" i="18"/>
  <c r="C1269" i="18"/>
  <c r="B1269" i="18"/>
  <c r="A1269" i="18"/>
  <c r="CH1268" i="18"/>
  <c r="CG1268" i="18"/>
  <c r="CF1268" i="18"/>
  <c r="CE1268" i="18"/>
  <c r="CD1268" i="18"/>
  <c r="CC1268" i="18"/>
  <c r="CB1268" i="18"/>
  <c r="CA1268" i="18"/>
  <c r="BZ1268" i="18"/>
  <c r="BY1268" i="18"/>
  <c r="AQ1268" i="18"/>
  <c r="AP1268" i="18"/>
  <c r="AO1268" i="18"/>
  <c r="AN1268" i="18"/>
  <c r="AM1268" i="18"/>
  <c r="AL1268" i="18"/>
  <c r="AK1268" i="18"/>
  <c r="AJ1268" i="18"/>
  <c r="AI1268" i="18"/>
  <c r="AH1268" i="18"/>
  <c r="AG1268" i="18"/>
  <c r="AF1268" i="18"/>
  <c r="AE1268" i="18"/>
  <c r="AD1268" i="18"/>
  <c r="AC1268" i="18"/>
  <c r="AB1268" i="18"/>
  <c r="AA1268" i="18"/>
  <c r="Z1268" i="18"/>
  <c r="Y1268" i="18"/>
  <c r="X1268" i="18"/>
  <c r="W1268" i="18"/>
  <c r="V1268" i="18"/>
  <c r="U1268" i="18"/>
  <c r="T1268" i="18"/>
  <c r="S1268" i="18"/>
  <c r="R1268" i="18"/>
  <c r="Q1268" i="18"/>
  <c r="P1268" i="18"/>
  <c r="O1268" i="18"/>
  <c r="N1268" i="18"/>
  <c r="M1268" i="18"/>
  <c r="L1268" i="18"/>
  <c r="K1268" i="18"/>
  <c r="J1268" i="18"/>
  <c r="I1268" i="18"/>
  <c r="H1268" i="18"/>
  <c r="G1268" i="18"/>
  <c r="F1268" i="18"/>
  <c r="E1268" i="18"/>
  <c r="D1268" i="18"/>
  <c r="C1268" i="18"/>
  <c r="B1268" i="18"/>
  <c r="A1268" i="18"/>
  <c r="CH1267" i="18"/>
  <c r="CG1267" i="18"/>
  <c r="CF1267" i="18"/>
  <c r="CE1267" i="18"/>
  <c r="CD1267" i="18"/>
  <c r="CC1267" i="18"/>
  <c r="CB1267" i="18"/>
  <c r="CA1267" i="18"/>
  <c r="BZ1267" i="18"/>
  <c r="BY1267" i="18"/>
  <c r="AQ1267" i="18"/>
  <c r="AP1267" i="18"/>
  <c r="AO1267" i="18"/>
  <c r="AN1267" i="18"/>
  <c r="AM1267" i="18"/>
  <c r="AL1267" i="18"/>
  <c r="AK1267" i="18"/>
  <c r="AJ1267" i="18"/>
  <c r="AI1267" i="18"/>
  <c r="AH1267" i="18"/>
  <c r="AG1267" i="18"/>
  <c r="AF1267" i="18"/>
  <c r="AE1267" i="18"/>
  <c r="AD1267" i="18"/>
  <c r="AC1267" i="18"/>
  <c r="AB1267" i="18"/>
  <c r="AA1267" i="18"/>
  <c r="Z1267" i="18"/>
  <c r="Y1267" i="18"/>
  <c r="X1267" i="18"/>
  <c r="W1267" i="18"/>
  <c r="V1267" i="18"/>
  <c r="U1267" i="18"/>
  <c r="T1267" i="18"/>
  <c r="S1267" i="18"/>
  <c r="R1267" i="18"/>
  <c r="Q1267" i="18"/>
  <c r="P1267" i="18"/>
  <c r="O1267" i="18"/>
  <c r="N1267" i="18"/>
  <c r="M1267" i="18"/>
  <c r="L1267" i="18"/>
  <c r="K1267" i="18"/>
  <c r="J1267" i="18"/>
  <c r="I1267" i="18"/>
  <c r="H1267" i="18"/>
  <c r="G1267" i="18"/>
  <c r="F1267" i="18"/>
  <c r="E1267" i="18"/>
  <c r="D1267" i="18"/>
  <c r="C1267" i="18"/>
  <c r="B1267" i="18"/>
  <c r="A1267" i="18"/>
  <c r="CX1266" i="18"/>
  <c r="CW1266" i="18"/>
  <c r="CV1266" i="18"/>
  <c r="CU1266" i="18"/>
  <c r="CT1266" i="18"/>
  <c r="CS1266" i="18"/>
  <c r="CR1266" i="18"/>
  <c r="CQ1266" i="18"/>
  <c r="CP1266" i="18"/>
  <c r="CO1266" i="18"/>
  <c r="CN1266" i="18"/>
  <c r="CM1266" i="18"/>
  <c r="CL1266" i="18"/>
  <c r="CK1266" i="18"/>
  <c r="CJ1266" i="18"/>
  <c r="CI1266" i="18"/>
  <c r="CH1266" i="18"/>
  <c r="CG1266" i="18"/>
  <c r="CF1266" i="18"/>
  <c r="CE1266" i="18"/>
  <c r="CD1266" i="18"/>
  <c r="CC1266" i="18"/>
  <c r="CB1266" i="18"/>
  <c r="CA1266" i="18"/>
  <c r="BZ1266" i="18"/>
  <c r="BY1266" i="18"/>
  <c r="BX1266" i="18"/>
  <c r="BW1266" i="18"/>
  <c r="BV1266" i="18"/>
  <c r="BU1266" i="18"/>
  <c r="BT1266" i="18"/>
  <c r="BS1266" i="18"/>
  <c r="BR1266" i="18"/>
  <c r="BQ1266" i="18"/>
  <c r="BP1266" i="18"/>
  <c r="BO1266" i="18"/>
  <c r="BN1266" i="18"/>
  <c r="BM1266" i="18"/>
  <c r="BL1266" i="18"/>
  <c r="BK1266" i="18"/>
  <c r="BJ1266" i="18"/>
  <c r="BI1266" i="18"/>
  <c r="BH1266" i="18"/>
  <c r="BG1266" i="18"/>
  <c r="BF1266" i="18"/>
  <c r="BE1266" i="18"/>
  <c r="BD1266" i="18"/>
  <c r="BC1266" i="18"/>
  <c r="BB1266" i="18"/>
  <c r="BA1266" i="18"/>
  <c r="AZ1266" i="18"/>
  <c r="AY1266" i="18"/>
  <c r="AX1266" i="18"/>
  <c r="AW1266" i="18"/>
  <c r="AV1266" i="18"/>
  <c r="AU1266" i="18"/>
  <c r="AT1266" i="18"/>
  <c r="AS1266" i="18"/>
  <c r="AR1266" i="18"/>
  <c r="AQ1266" i="18"/>
  <c r="AP1266" i="18"/>
  <c r="AO1266" i="18"/>
  <c r="AN1266" i="18"/>
  <c r="AM1266" i="18"/>
  <c r="AL1266" i="18"/>
  <c r="AK1266" i="18"/>
  <c r="AJ1266" i="18"/>
  <c r="AI1266" i="18"/>
  <c r="AH1266" i="18"/>
  <c r="AG1266" i="18"/>
  <c r="AF1266" i="18"/>
  <c r="AE1266" i="18"/>
  <c r="AD1266" i="18"/>
  <c r="AC1266" i="18"/>
  <c r="AB1266" i="18"/>
  <c r="AA1266" i="18"/>
  <c r="Z1266" i="18"/>
  <c r="Y1266" i="18"/>
  <c r="X1266" i="18"/>
  <c r="W1266" i="18"/>
  <c r="V1266" i="18"/>
  <c r="U1266" i="18"/>
  <c r="T1266" i="18"/>
  <c r="S1266" i="18"/>
  <c r="R1266" i="18"/>
  <c r="Q1266" i="18"/>
  <c r="P1266" i="18"/>
  <c r="O1266" i="18"/>
  <c r="N1266" i="18"/>
  <c r="M1266" i="18"/>
  <c r="L1266" i="18"/>
  <c r="K1266" i="18"/>
  <c r="J1266" i="18"/>
  <c r="I1266" i="18"/>
  <c r="H1266" i="18"/>
  <c r="G1266" i="18"/>
  <c r="F1266" i="18"/>
  <c r="E1266" i="18"/>
  <c r="D1266" i="18"/>
  <c r="C1266" i="18"/>
  <c r="B1266" i="18"/>
  <c r="A1266" i="18"/>
  <c r="CH1265" i="18"/>
  <c r="CG1265" i="18"/>
  <c r="CF1265" i="18"/>
  <c r="CE1265" i="18"/>
  <c r="CD1265" i="18"/>
  <c r="CC1265" i="18"/>
  <c r="CB1265" i="18"/>
  <c r="CA1265" i="18"/>
  <c r="BZ1265" i="18"/>
  <c r="BY1265" i="18"/>
  <c r="AQ1265" i="18"/>
  <c r="AP1265" i="18"/>
  <c r="AO1265" i="18"/>
  <c r="AN1265" i="18"/>
  <c r="AM1265" i="18"/>
  <c r="AL1265" i="18"/>
  <c r="AK1265" i="18"/>
  <c r="AJ1265" i="18"/>
  <c r="AI1265" i="18"/>
  <c r="AH1265" i="18"/>
  <c r="AG1265" i="18"/>
  <c r="AF1265" i="18"/>
  <c r="AE1265" i="18"/>
  <c r="AD1265" i="18"/>
  <c r="AC1265" i="18"/>
  <c r="AB1265" i="18"/>
  <c r="AA1265" i="18"/>
  <c r="Z1265" i="18"/>
  <c r="Y1265" i="18"/>
  <c r="X1265" i="18"/>
  <c r="W1265" i="18"/>
  <c r="V1265" i="18"/>
  <c r="U1265" i="18"/>
  <c r="T1265" i="18"/>
  <c r="S1265" i="18"/>
  <c r="R1265" i="18"/>
  <c r="Q1265" i="18"/>
  <c r="P1265" i="18"/>
  <c r="O1265" i="18"/>
  <c r="N1265" i="18"/>
  <c r="M1265" i="18"/>
  <c r="L1265" i="18"/>
  <c r="K1265" i="18"/>
  <c r="J1265" i="18"/>
  <c r="I1265" i="18"/>
  <c r="H1265" i="18"/>
  <c r="G1265" i="18"/>
  <c r="F1265" i="18"/>
  <c r="E1265" i="18"/>
  <c r="D1265" i="18"/>
  <c r="C1265" i="18"/>
  <c r="B1265" i="18"/>
  <c r="A1265" i="18"/>
  <c r="CH1264" i="18"/>
  <c r="CG1264" i="18"/>
  <c r="CF1264" i="18"/>
  <c r="CE1264" i="18"/>
  <c r="CD1264" i="18"/>
  <c r="CC1264" i="18"/>
  <c r="CB1264" i="18"/>
  <c r="CA1264" i="18"/>
  <c r="BZ1264" i="18"/>
  <c r="BY1264" i="18"/>
  <c r="AQ1264" i="18"/>
  <c r="AP1264" i="18"/>
  <c r="AO1264" i="18"/>
  <c r="AN1264" i="18"/>
  <c r="AM1264" i="18"/>
  <c r="AL1264" i="18"/>
  <c r="AK1264" i="18"/>
  <c r="AJ1264" i="18"/>
  <c r="AI1264" i="18"/>
  <c r="AH1264" i="18"/>
  <c r="AG1264" i="18"/>
  <c r="AF1264" i="18"/>
  <c r="AE1264" i="18"/>
  <c r="AD1264" i="18"/>
  <c r="AC1264" i="18"/>
  <c r="AB1264" i="18"/>
  <c r="AA1264" i="18"/>
  <c r="Z1264" i="18"/>
  <c r="Y1264" i="18"/>
  <c r="X1264" i="18"/>
  <c r="W1264" i="18"/>
  <c r="V1264" i="18"/>
  <c r="U1264" i="18"/>
  <c r="T1264" i="18"/>
  <c r="S1264" i="18"/>
  <c r="R1264" i="18"/>
  <c r="Q1264" i="18"/>
  <c r="P1264" i="18"/>
  <c r="O1264" i="18"/>
  <c r="N1264" i="18"/>
  <c r="M1264" i="18"/>
  <c r="L1264" i="18"/>
  <c r="K1264" i="18"/>
  <c r="J1264" i="18"/>
  <c r="I1264" i="18"/>
  <c r="H1264" i="18"/>
  <c r="G1264" i="18"/>
  <c r="F1264" i="18"/>
  <c r="E1264" i="18"/>
  <c r="D1264" i="18"/>
  <c r="C1264" i="18"/>
  <c r="B1264" i="18"/>
  <c r="A1264" i="18"/>
  <c r="CX1263" i="18"/>
  <c r="CW1263" i="18"/>
  <c r="CV1263" i="18"/>
  <c r="CU1263" i="18"/>
  <c r="CT1263" i="18"/>
  <c r="CS1263" i="18"/>
  <c r="CR1263" i="18"/>
  <c r="CQ1263" i="18"/>
  <c r="CP1263" i="18"/>
  <c r="CO1263" i="18"/>
  <c r="CN1263" i="18"/>
  <c r="CM1263" i="18"/>
  <c r="CL1263" i="18"/>
  <c r="CK1263" i="18"/>
  <c r="CJ1263" i="18"/>
  <c r="CI1263" i="18"/>
  <c r="CH1263" i="18"/>
  <c r="CG1263" i="18"/>
  <c r="CF1263" i="18"/>
  <c r="CE1263" i="18"/>
  <c r="CD1263" i="18"/>
  <c r="CC1263" i="18"/>
  <c r="CB1263" i="18"/>
  <c r="CA1263" i="18"/>
  <c r="BZ1263" i="18"/>
  <c r="BY1263" i="18"/>
  <c r="BX1263" i="18"/>
  <c r="BW1263" i="18"/>
  <c r="BV1263" i="18"/>
  <c r="BU1263" i="18"/>
  <c r="BT1263" i="18"/>
  <c r="BS1263" i="18"/>
  <c r="BR1263" i="18"/>
  <c r="BQ1263" i="18"/>
  <c r="BP1263" i="18"/>
  <c r="BO1263" i="18"/>
  <c r="BN1263" i="18"/>
  <c r="BM1263" i="18"/>
  <c r="BL1263" i="18"/>
  <c r="BK1263" i="18"/>
  <c r="BJ1263" i="18"/>
  <c r="BI1263" i="18"/>
  <c r="BH1263" i="18"/>
  <c r="BG1263" i="18"/>
  <c r="BF1263" i="18"/>
  <c r="BE1263" i="18"/>
  <c r="BD1263" i="18"/>
  <c r="BC1263" i="18"/>
  <c r="BB1263" i="18"/>
  <c r="BA1263" i="18"/>
  <c r="AZ1263" i="18"/>
  <c r="AY1263" i="18"/>
  <c r="AX1263" i="18"/>
  <c r="AW1263" i="18"/>
  <c r="AV1263" i="18"/>
  <c r="AU1263" i="18"/>
  <c r="AT1263" i="18"/>
  <c r="AS1263" i="18"/>
  <c r="AR1263" i="18"/>
  <c r="AQ1263" i="18"/>
  <c r="AP1263" i="18"/>
  <c r="AO1263" i="18"/>
  <c r="AN1263" i="18"/>
  <c r="AM1263" i="18"/>
  <c r="AL1263" i="18"/>
  <c r="AK1263" i="18"/>
  <c r="AJ1263" i="18"/>
  <c r="AI1263" i="18"/>
  <c r="AH1263" i="18"/>
  <c r="AG1263" i="18"/>
  <c r="AF1263" i="18"/>
  <c r="AE1263" i="18"/>
  <c r="AD1263" i="18"/>
  <c r="AC1263" i="18"/>
  <c r="AB1263" i="18"/>
  <c r="AA1263" i="18"/>
  <c r="Z1263" i="18"/>
  <c r="Y1263" i="18"/>
  <c r="X1263" i="18"/>
  <c r="W1263" i="18"/>
  <c r="V1263" i="18"/>
  <c r="U1263" i="18"/>
  <c r="T1263" i="18"/>
  <c r="S1263" i="18"/>
  <c r="R1263" i="18"/>
  <c r="Q1263" i="18"/>
  <c r="P1263" i="18"/>
  <c r="O1263" i="18"/>
  <c r="N1263" i="18"/>
  <c r="M1263" i="18"/>
  <c r="L1263" i="18"/>
  <c r="K1263" i="18"/>
  <c r="J1263" i="18"/>
  <c r="I1263" i="18"/>
  <c r="H1263" i="18"/>
  <c r="G1263" i="18"/>
  <c r="F1263" i="18"/>
  <c r="E1263" i="18"/>
  <c r="D1263" i="18"/>
  <c r="C1263" i="18"/>
  <c r="B1263" i="18"/>
  <c r="A1263" i="18"/>
  <c r="CH1262" i="18"/>
  <c r="CG1262" i="18"/>
  <c r="CF1262" i="18"/>
  <c r="CE1262" i="18"/>
  <c r="CD1262" i="18"/>
  <c r="CC1262" i="18"/>
  <c r="CB1262" i="18"/>
  <c r="CA1262" i="18"/>
  <c r="BZ1262" i="18"/>
  <c r="BY1262" i="18"/>
  <c r="AQ1262" i="18"/>
  <c r="AP1262" i="18"/>
  <c r="AO1262" i="18"/>
  <c r="AN1262" i="18"/>
  <c r="AM1262" i="18"/>
  <c r="AL1262" i="18"/>
  <c r="AK1262" i="18"/>
  <c r="AJ1262" i="18"/>
  <c r="AI1262" i="18"/>
  <c r="AH1262" i="18"/>
  <c r="AG1262" i="18"/>
  <c r="AF1262" i="18"/>
  <c r="AE1262" i="18"/>
  <c r="AD1262" i="18"/>
  <c r="AC1262" i="18"/>
  <c r="AB1262" i="18"/>
  <c r="AA1262" i="18"/>
  <c r="Z1262" i="18"/>
  <c r="Y1262" i="18"/>
  <c r="X1262" i="18"/>
  <c r="W1262" i="18"/>
  <c r="V1262" i="18"/>
  <c r="U1262" i="18"/>
  <c r="T1262" i="18"/>
  <c r="S1262" i="18"/>
  <c r="R1262" i="18"/>
  <c r="Q1262" i="18"/>
  <c r="P1262" i="18"/>
  <c r="O1262" i="18"/>
  <c r="N1262" i="18"/>
  <c r="M1262" i="18"/>
  <c r="L1262" i="18"/>
  <c r="K1262" i="18"/>
  <c r="J1262" i="18"/>
  <c r="I1262" i="18"/>
  <c r="H1262" i="18"/>
  <c r="G1262" i="18"/>
  <c r="F1262" i="18"/>
  <c r="E1262" i="18"/>
  <c r="D1262" i="18"/>
  <c r="C1262" i="18"/>
  <c r="B1262" i="18"/>
  <c r="A1262" i="18"/>
  <c r="CH1261" i="18"/>
  <c r="CG1261" i="18"/>
  <c r="CF1261" i="18"/>
  <c r="CE1261" i="18"/>
  <c r="CD1261" i="18"/>
  <c r="CC1261" i="18"/>
  <c r="CB1261" i="18"/>
  <c r="CA1261" i="18"/>
  <c r="BZ1261" i="18"/>
  <c r="BY1261" i="18"/>
  <c r="AQ1261" i="18"/>
  <c r="AP1261" i="18"/>
  <c r="AO1261" i="18"/>
  <c r="AN1261" i="18"/>
  <c r="AM1261" i="18"/>
  <c r="AL1261" i="18"/>
  <c r="AK1261" i="18"/>
  <c r="AJ1261" i="18"/>
  <c r="AI1261" i="18"/>
  <c r="AH1261" i="18"/>
  <c r="AG1261" i="18"/>
  <c r="AF1261" i="18"/>
  <c r="AE1261" i="18"/>
  <c r="AD1261" i="18"/>
  <c r="AC1261" i="18"/>
  <c r="AB1261" i="18"/>
  <c r="AA1261" i="18"/>
  <c r="Z1261" i="18"/>
  <c r="Y1261" i="18"/>
  <c r="X1261" i="18"/>
  <c r="W1261" i="18"/>
  <c r="V1261" i="18"/>
  <c r="U1261" i="18"/>
  <c r="T1261" i="18"/>
  <c r="S1261" i="18"/>
  <c r="R1261" i="18"/>
  <c r="Q1261" i="18"/>
  <c r="P1261" i="18"/>
  <c r="O1261" i="18"/>
  <c r="N1261" i="18"/>
  <c r="M1261" i="18"/>
  <c r="L1261" i="18"/>
  <c r="K1261" i="18"/>
  <c r="J1261" i="18"/>
  <c r="I1261" i="18"/>
  <c r="H1261" i="18"/>
  <c r="G1261" i="18"/>
  <c r="F1261" i="18"/>
  <c r="E1261" i="18"/>
  <c r="D1261" i="18"/>
  <c r="C1261" i="18"/>
  <c r="B1261" i="18"/>
  <c r="A1261" i="18"/>
  <c r="CH1260" i="18"/>
  <c r="CG1260" i="18"/>
  <c r="CF1260" i="18"/>
  <c r="CE1260" i="18"/>
  <c r="CD1260" i="18"/>
  <c r="CC1260" i="18"/>
  <c r="CB1260" i="18"/>
  <c r="CA1260" i="18"/>
  <c r="BZ1260" i="18"/>
  <c r="BY1260" i="18"/>
  <c r="AQ1260" i="18"/>
  <c r="AP1260" i="18"/>
  <c r="AO1260" i="18"/>
  <c r="AN1260" i="18"/>
  <c r="AM1260" i="18"/>
  <c r="AL1260" i="18"/>
  <c r="AK1260" i="18"/>
  <c r="AJ1260" i="18"/>
  <c r="AI1260" i="18"/>
  <c r="AH1260" i="18"/>
  <c r="AG1260" i="18"/>
  <c r="AF1260" i="18"/>
  <c r="AE1260" i="18"/>
  <c r="AD1260" i="18"/>
  <c r="AC1260" i="18"/>
  <c r="AB1260" i="18"/>
  <c r="AA1260" i="18"/>
  <c r="Z1260" i="18"/>
  <c r="Y1260" i="18"/>
  <c r="X1260" i="18"/>
  <c r="W1260" i="18"/>
  <c r="V1260" i="18"/>
  <c r="U1260" i="18"/>
  <c r="T1260" i="18"/>
  <c r="S1260" i="18"/>
  <c r="R1260" i="18"/>
  <c r="Q1260" i="18"/>
  <c r="P1260" i="18"/>
  <c r="O1260" i="18"/>
  <c r="N1260" i="18"/>
  <c r="M1260" i="18"/>
  <c r="L1260" i="18"/>
  <c r="K1260" i="18"/>
  <c r="J1260" i="18"/>
  <c r="I1260" i="18"/>
  <c r="H1260" i="18"/>
  <c r="G1260" i="18"/>
  <c r="F1260" i="18"/>
  <c r="E1260" i="18"/>
  <c r="D1260" i="18"/>
  <c r="C1260" i="18"/>
  <c r="B1260" i="18"/>
  <c r="A1260" i="18"/>
  <c r="CH1259" i="18"/>
  <c r="CG1259" i="18"/>
  <c r="CF1259" i="18"/>
  <c r="CE1259" i="18"/>
  <c r="CD1259" i="18"/>
  <c r="CC1259" i="18"/>
  <c r="CB1259" i="18"/>
  <c r="CA1259" i="18"/>
  <c r="BZ1259" i="18"/>
  <c r="BY1259" i="18"/>
  <c r="AQ1259" i="18"/>
  <c r="AP1259" i="18"/>
  <c r="AO1259" i="18"/>
  <c r="AN1259" i="18"/>
  <c r="AM1259" i="18"/>
  <c r="AL1259" i="18"/>
  <c r="AK1259" i="18"/>
  <c r="AJ1259" i="18"/>
  <c r="AI1259" i="18"/>
  <c r="AH1259" i="18"/>
  <c r="AG1259" i="18"/>
  <c r="AF1259" i="18"/>
  <c r="AE1259" i="18"/>
  <c r="AD1259" i="18"/>
  <c r="AC1259" i="18"/>
  <c r="AB1259" i="18"/>
  <c r="AA1259" i="18"/>
  <c r="Z1259" i="18"/>
  <c r="Y1259" i="18"/>
  <c r="X1259" i="18"/>
  <c r="W1259" i="18"/>
  <c r="V1259" i="18"/>
  <c r="U1259" i="18"/>
  <c r="T1259" i="18"/>
  <c r="S1259" i="18"/>
  <c r="R1259" i="18"/>
  <c r="Q1259" i="18"/>
  <c r="P1259" i="18"/>
  <c r="O1259" i="18"/>
  <c r="N1259" i="18"/>
  <c r="M1259" i="18"/>
  <c r="L1259" i="18"/>
  <c r="K1259" i="18"/>
  <c r="J1259" i="18"/>
  <c r="I1259" i="18"/>
  <c r="H1259" i="18"/>
  <c r="G1259" i="18"/>
  <c r="F1259" i="18"/>
  <c r="E1259" i="18"/>
  <c r="D1259" i="18"/>
  <c r="C1259" i="18"/>
  <c r="B1259" i="18"/>
  <c r="A1259" i="18"/>
  <c r="CX1258" i="18"/>
  <c r="CW1258" i="18"/>
  <c r="CV1258" i="18"/>
  <c r="CU1258" i="18"/>
  <c r="CT1258" i="18"/>
  <c r="CS1258" i="18"/>
  <c r="CR1258" i="18"/>
  <c r="CQ1258" i="18"/>
  <c r="CP1258" i="18"/>
  <c r="CO1258" i="18"/>
  <c r="CN1258" i="18"/>
  <c r="CM1258" i="18"/>
  <c r="CL1258" i="18"/>
  <c r="CK1258" i="18"/>
  <c r="CJ1258" i="18"/>
  <c r="CI1258" i="18"/>
  <c r="CH1258" i="18"/>
  <c r="CG1258" i="18"/>
  <c r="CF1258" i="18"/>
  <c r="CE1258" i="18"/>
  <c r="CD1258" i="18"/>
  <c r="CC1258" i="18"/>
  <c r="CB1258" i="18"/>
  <c r="CA1258" i="18"/>
  <c r="BZ1258" i="18"/>
  <c r="BY1258" i="18"/>
  <c r="BX1258" i="18"/>
  <c r="BW1258" i="18"/>
  <c r="BV1258" i="18"/>
  <c r="BU1258" i="18"/>
  <c r="BT1258" i="18"/>
  <c r="BS1258" i="18"/>
  <c r="BR1258" i="18"/>
  <c r="BQ1258" i="18"/>
  <c r="BP1258" i="18"/>
  <c r="BO1258" i="18"/>
  <c r="BN1258" i="18"/>
  <c r="BM1258" i="18"/>
  <c r="BL1258" i="18"/>
  <c r="BK1258" i="18"/>
  <c r="BJ1258" i="18"/>
  <c r="BI1258" i="18"/>
  <c r="BH1258" i="18"/>
  <c r="BG1258" i="18"/>
  <c r="BF1258" i="18"/>
  <c r="BE1258" i="18"/>
  <c r="BD1258" i="18"/>
  <c r="BC1258" i="18"/>
  <c r="BB1258" i="18"/>
  <c r="BA1258" i="18"/>
  <c r="AZ1258" i="18"/>
  <c r="AY1258" i="18"/>
  <c r="AX1258" i="18"/>
  <c r="AW1258" i="18"/>
  <c r="AV1258" i="18"/>
  <c r="AU1258" i="18"/>
  <c r="AT1258" i="18"/>
  <c r="AS1258" i="18"/>
  <c r="AR1258" i="18"/>
  <c r="AQ1258" i="18"/>
  <c r="AP1258" i="18"/>
  <c r="AO1258" i="18"/>
  <c r="AN1258" i="18"/>
  <c r="AM1258" i="18"/>
  <c r="AL1258" i="18"/>
  <c r="AK1258" i="18"/>
  <c r="AJ1258" i="18"/>
  <c r="AI1258" i="18"/>
  <c r="AH1258" i="18"/>
  <c r="AG1258" i="18"/>
  <c r="AF1258" i="18"/>
  <c r="AE1258" i="18"/>
  <c r="AD1258" i="18"/>
  <c r="AC1258" i="18"/>
  <c r="AB1258" i="18"/>
  <c r="AA1258" i="18"/>
  <c r="Z1258" i="18"/>
  <c r="Y1258" i="18"/>
  <c r="X1258" i="18"/>
  <c r="W1258" i="18"/>
  <c r="V1258" i="18"/>
  <c r="U1258" i="18"/>
  <c r="T1258" i="18"/>
  <c r="S1258" i="18"/>
  <c r="R1258" i="18"/>
  <c r="Q1258" i="18"/>
  <c r="P1258" i="18"/>
  <c r="O1258" i="18"/>
  <c r="N1258" i="18"/>
  <c r="M1258" i="18"/>
  <c r="L1258" i="18"/>
  <c r="K1258" i="18"/>
  <c r="J1258" i="18"/>
  <c r="I1258" i="18"/>
  <c r="H1258" i="18"/>
  <c r="G1258" i="18"/>
  <c r="F1258" i="18"/>
  <c r="E1258" i="18"/>
  <c r="D1258" i="18"/>
  <c r="C1258" i="18"/>
  <c r="B1258" i="18"/>
  <c r="A1258" i="18"/>
  <c r="CX1251" i="18"/>
  <c r="CW1251" i="18"/>
  <c r="CV1251" i="18"/>
  <c r="CU1251" i="18"/>
  <c r="CT1251" i="18"/>
  <c r="CS1251" i="18"/>
  <c r="CR1251" i="18"/>
  <c r="CQ1251" i="18"/>
  <c r="CP1251" i="18"/>
  <c r="CO1251" i="18"/>
  <c r="CN1251" i="18"/>
  <c r="CM1251" i="18"/>
  <c r="CL1251" i="18"/>
  <c r="CK1251" i="18"/>
  <c r="CJ1251" i="18"/>
  <c r="CI1251" i="18"/>
  <c r="CH1251" i="18"/>
  <c r="CG1251" i="18"/>
  <c r="CF1251" i="18"/>
  <c r="CE1251" i="18"/>
  <c r="CD1251" i="18"/>
  <c r="CC1251" i="18"/>
  <c r="CB1251" i="18"/>
  <c r="CA1251" i="18"/>
  <c r="BZ1251" i="18"/>
  <c r="BY1251" i="18"/>
  <c r="BX1251" i="18"/>
  <c r="BW1251" i="18"/>
  <c r="BV1251" i="18"/>
  <c r="BU1251" i="18"/>
  <c r="BT1251" i="18"/>
  <c r="BS1251" i="18"/>
  <c r="BR1251" i="18"/>
  <c r="BQ1251" i="18"/>
  <c r="BP1251" i="18"/>
  <c r="BO1251" i="18"/>
  <c r="BN1251" i="18"/>
  <c r="BM1251" i="18"/>
  <c r="BL1251" i="18"/>
  <c r="BK1251" i="18"/>
  <c r="BJ1251" i="18"/>
  <c r="BI1251" i="18"/>
  <c r="BH1251" i="18"/>
  <c r="BG1251" i="18"/>
  <c r="BF1251" i="18"/>
  <c r="BE1251" i="18"/>
  <c r="BD1251" i="18"/>
  <c r="BC1251" i="18"/>
  <c r="BB1251" i="18"/>
  <c r="BA1251" i="18"/>
  <c r="AZ1251" i="18"/>
  <c r="AY1251" i="18"/>
  <c r="AX1251" i="18"/>
  <c r="AW1251" i="18"/>
  <c r="AV1251" i="18"/>
  <c r="AU1251" i="18"/>
  <c r="AT1251" i="18"/>
  <c r="AS1251" i="18"/>
  <c r="AR1251" i="18"/>
  <c r="AQ1251" i="18"/>
  <c r="AP1251" i="18"/>
  <c r="AO1251" i="18"/>
  <c r="AN1251" i="18"/>
  <c r="AM1251" i="18"/>
  <c r="AL1251" i="18"/>
  <c r="AK1251" i="18"/>
  <c r="AJ1251" i="18"/>
  <c r="AI1251" i="18"/>
  <c r="AH1251" i="18"/>
  <c r="AG1251" i="18"/>
  <c r="AF1251" i="18"/>
  <c r="AE1251" i="18"/>
  <c r="AD1251" i="18"/>
  <c r="AC1251" i="18"/>
  <c r="AB1251" i="18"/>
  <c r="AA1251" i="18"/>
  <c r="Z1251" i="18"/>
  <c r="Y1251" i="18"/>
  <c r="X1251" i="18"/>
  <c r="W1251" i="18"/>
  <c r="V1251" i="18"/>
  <c r="U1251" i="18"/>
  <c r="T1251" i="18"/>
  <c r="S1251" i="18"/>
  <c r="R1251" i="18"/>
  <c r="Q1251" i="18"/>
  <c r="P1251" i="18"/>
  <c r="O1251" i="18"/>
  <c r="N1251" i="18"/>
  <c r="M1251" i="18"/>
  <c r="L1251" i="18"/>
  <c r="K1251" i="18"/>
  <c r="J1251" i="18"/>
  <c r="I1251" i="18"/>
  <c r="H1251" i="18"/>
  <c r="G1251" i="18"/>
  <c r="F1251" i="18"/>
  <c r="E1251" i="18"/>
  <c r="D1251" i="18"/>
  <c r="C1251" i="18"/>
  <c r="B1251" i="18"/>
  <c r="A1251" i="18"/>
  <c r="CF1250" i="18"/>
  <c r="CE1250" i="18"/>
  <c r="CD1250" i="18"/>
  <c r="CC1250" i="18"/>
  <c r="CB1250" i="18"/>
  <c r="CA1250" i="18"/>
  <c r="BZ1250" i="18"/>
  <c r="BY1250" i="18"/>
  <c r="AB1250" i="18"/>
  <c r="AA1250" i="18"/>
  <c r="Z1250" i="18"/>
  <c r="Y1250" i="18"/>
  <c r="X1250" i="18"/>
  <c r="W1250" i="18"/>
  <c r="V1250" i="18"/>
  <c r="U1250" i="18"/>
  <c r="T1250" i="18"/>
  <c r="S1250" i="18"/>
  <c r="R1250" i="18"/>
  <c r="Q1250" i="18"/>
  <c r="P1250" i="18"/>
  <c r="O1250" i="18"/>
  <c r="N1250" i="18"/>
  <c r="M1250" i="18"/>
  <c r="L1250" i="18"/>
  <c r="K1250" i="18"/>
  <c r="J1250" i="18"/>
  <c r="I1250" i="18"/>
  <c r="H1250" i="18"/>
  <c r="G1250" i="18"/>
  <c r="F1250" i="18"/>
  <c r="E1250" i="18"/>
  <c r="D1250" i="18"/>
  <c r="C1250" i="18"/>
  <c r="B1250" i="18"/>
  <c r="A1250" i="18"/>
  <c r="CP1249" i="18"/>
  <c r="CO1249" i="18"/>
  <c r="CN1249" i="18"/>
  <c r="CM1249" i="18"/>
  <c r="CL1249" i="18"/>
  <c r="CK1249" i="18"/>
  <c r="CJ1249" i="18"/>
  <c r="CI1249" i="18"/>
  <c r="CH1249" i="18"/>
  <c r="CG1249" i="18"/>
  <c r="CF1249" i="18"/>
  <c r="CE1249" i="18"/>
  <c r="CD1249" i="18"/>
  <c r="CC1249" i="18"/>
  <c r="CB1249" i="18"/>
  <c r="CA1249" i="18"/>
  <c r="BZ1249" i="18"/>
  <c r="BY1249" i="18"/>
  <c r="AQ1249" i="18"/>
  <c r="AP1249" i="18"/>
  <c r="AO1249" i="18"/>
  <c r="AN1249" i="18"/>
  <c r="AM1249" i="18"/>
  <c r="AL1249" i="18"/>
  <c r="AK1249" i="18"/>
  <c r="AJ1249" i="18"/>
  <c r="AI1249" i="18"/>
  <c r="AH1249" i="18"/>
  <c r="AG1249" i="18"/>
  <c r="AF1249" i="18"/>
  <c r="AE1249" i="18"/>
  <c r="AD1249" i="18"/>
  <c r="AC1249" i="18"/>
  <c r="AB1249" i="18"/>
  <c r="AA1249" i="18"/>
  <c r="Z1249" i="18"/>
  <c r="Y1249" i="18"/>
  <c r="X1249" i="18"/>
  <c r="W1249" i="18"/>
  <c r="V1249" i="18"/>
  <c r="U1249" i="18"/>
  <c r="T1249" i="18"/>
  <c r="S1249" i="18"/>
  <c r="R1249" i="18"/>
  <c r="Q1249" i="18"/>
  <c r="P1249" i="18"/>
  <c r="O1249" i="18"/>
  <c r="N1249" i="18"/>
  <c r="M1249" i="18"/>
  <c r="L1249" i="18"/>
  <c r="K1249" i="18"/>
  <c r="J1249" i="18"/>
  <c r="I1249" i="18"/>
  <c r="H1249" i="18"/>
  <c r="G1249" i="18"/>
  <c r="F1249" i="18"/>
  <c r="E1249" i="18"/>
  <c r="D1249" i="18"/>
  <c r="C1249" i="18"/>
  <c r="B1249" i="18"/>
  <c r="A1249" i="18"/>
  <c r="CE1248" i="18"/>
  <c r="CD1248" i="18"/>
  <c r="CC1248" i="18"/>
  <c r="CB1248" i="18"/>
  <c r="CA1248" i="18"/>
  <c r="BZ1248" i="18"/>
  <c r="BY1248" i="18"/>
  <c r="AB1248" i="18"/>
  <c r="AA1248" i="18"/>
  <c r="Z1248" i="18"/>
  <c r="Y1248" i="18"/>
  <c r="X1248" i="18"/>
  <c r="W1248" i="18"/>
  <c r="V1248" i="18"/>
  <c r="U1248" i="18"/>
  <c r="T1248" i="18"/>
  <c r="S1248" i="18"/>
  <c r="R1248" i="18"/>
  <c r="Q1248" i="18"/>
  <c r="P1248" i="18"/>
  <c r="O1248" i="18"/>
  <c r="N1248" i="18"/>
  <c r="M1248" i="18"/>
  <c r="L1248" i="18"/>
  <c r="K1248" i="18"/>
  <c r="J1248" i="18"/>
  <c r="I1248" i="18"/>
  <c r="H1248" i="18"/>
  <c r="G1248" i="18"/>
  <c r="F1248" i="18"/>
  <c r="E1248" i="18"/>
  <c r="D1248" i="18"/>
  <c r="C1248" i="18"/>
  <c r="B1248" i="18"/>
  <c r="A1248" i="18"/>
  <c r="CD1247" i="18"/>
  <c r="CC1247" i="18"/>
  <c r="CB1247" i="18"/>
  <c r="CA1247" i="18"/>
  <c r="BZ1247" i="18"/>
  <c r="BY1247" i="18"/>
  <c r="X1247" i="18"/>
  <c r="W1247" i="18"/>
  <c r="V1247" i="18"/>
  <c r="U1247" i="18"/>
  <c r="T1247" i="18"/>
  <c r="S1247" i="18"/>
  <c r="R1247" i="18"/>
  <c r="Q1247" i="18"/>
  <c r="P1247" i="18"/>
  <c r="O1247" i="18"/>
  <c r="N1247" i="18"/>
  <c r="M1247" i="18"/>
  <c r="L1247" i="18"/>
  <c r="K1247" i="18"/>
  <c r="J1247" i="18"/>
  <c r="I1247" i="18"/>
  <c r="H1247" i="18"/>
  <c r="G1247" i="18"/>
  <c r="F1247" i="18"/>
  <c r="E1247" i="18"/>
  <c r="D1247" i="18"/>
  <c r="C1247" i="18"/>
  <c r="B1247" i="18"/>
  <c r="A1247" i="18"/>
  <c r="CH1246" i="18"/>
  <c r="CG1246" i="18"/>
  <c r="CF1246" i="18"/>
  <c r="CE1246" i="18"/>
  <c r="CD1246" i="18"/>
  <c r="CC1246" i="18"/>
  <c r="CB1246" i="18"/>
  <c r="CA1246" i="18"/>
  <c r="BZ1246" i="18"/>
  <c r="BY1246" i="18"/>
  <c r="AQ1246" i="18"/>
  <c r="AP1246" i="18"/>
  <c r="AO1246" i="18"/>
  <c r="AN1246" i="18"/>
  <c r="AM1246" i="18"/>
  <c r="AL1246" i="18"/>
  <c r="AK1246" i="18"/>
  <c r="AJ1246" i="18"/>
  <c r="AI1246" i="18"/>
  <c r="AH1246" i="18"/>
  <c r="AG1246" i="18"/>
  <c r="AF1246" i="18"/>
  <c r="AE1246" i="18"/>
  <c r="AD1246" i="18"/>
  <c r="AC1246" i="18"/>
  <c r="AB1246" i="18"/>
  <c r="AA1246" i="18"/>
  <c r="Z1246" i="18"/>
  <c r="Y1246" i="18"/>
  <c r="X1246" i="18"/>
  <c r="W1246" i="18"/>
  <c r="V1246" i="18"/>
  <c r="U1246" i="18"/>
  <c r="T1246" i="18"/>
  <c r="S1246" i="18"/>
  <c r="R1246" i="18"/>
  <c r="Q1246" i="18"/>
  <c r="P1246" i="18"/>
  <c r="O1246" i="18"/>
  <c r="N1246" i="18"/>
  <c r="M1246" i="18"/>
  <c r="L1246" i="18"/>
  <c r="K1246" i="18"/>
  <c r="J1246" i="18"/>
  <c r="I1246" i="18"/>
  <c r="H1246" i="18"/>
  <c r="G1246" i="18"/>
  <c r="F1246" i="18"/>
  <c r="E1246" i="18"/>
  <c r="D1246" i="18"/>
  <c r="C1246" i="18"/>
  <c r="B1246" i="18"/>
  <c r="A1246" i="18"/>
  <c r="CH1245" i="18"/>
  <c r="CG1245" i="18"/>
  <c r="CF1245" i="18"/>
  <c r="CE1245" i="18"/>
  <c r="CD1245" i="18"/>
  <c r="CC1245" i="18"/>
  <c r="CB1245" i="18"/>
  <c r="CA1245" i="18"/>
  <c r="BZ1245" i="18"/>
  <c r="BY1245" i="18"/>
  <c r="BT1245" i="18"/>
  <c r="BS1245" i="18"/>
  <c r="BR1245" i="18"/>
  <c r="BQ1245" i="18"/>
  <c r="BP1245" i="18"/>
  <c r="BO1245" i="18"/>
  <c r="BN1245" i="18"/>
  <c r="BM1245" i="18"/>
  <c r="AQ1245" i="18"/>
  <c r="AP1245" i="18"/>
  <c r="AO1245" i="18"/>
  <c r="AN1245" i="18"/>
  <c r="AM1245" i="18"/>
  <c r="AL1245" i="18"/>
  <c r="AK1245" i="18"/>
  <c r="AJ1245" i="18"/>
  <c r="AI1245" i="18"/>
  <c r="AH1245" i="18"/>
  <c r="AG1245" i="18"/>
  <c r="AF1245" i="18"/>
  <c r="AE1245" i="18"/>
  <c r="AD1245" i="18"/>
  <c r="AC1245" i="18"/>
  <c r="AB1245" i="18"/>
  <c r="AA1245" i="18"/>
  <c r="Z1245" i="18"/>
  <c r="Y1245" i="18"/>
  <c r="X1245" i="18"/>
  <c r="W1245" i="18"/>
  <c r="V1245" i="18"/>
  <c r="U1245" i="18"/>
  <c r="T1245" i="18"/>
  <c r="S1245" i="18"/>
  <c r="R1245" i="18"/>
  <c r="Q1245" i="18"/>
  <c r="P1245" i="18"/>
  <c r="O1245" i="18"/>
  <c r="N1245" i="18"/>
  <c r="M1245" i="18"/>
  <c r="L1245" i="18"/>
  <c r="K1245" i="18"/>
  <c r="J1245" i="18"/>
  <c r="I1245" i="18"/>
  <c r="H1245" i="18"/>
  <c r="G1245" i="18"/>
  <c r="F1245" i="18"/>
  <c r="E1245" i="18"/>
  <c r="D1245" i="18"/>
  <c r="C1245" i="18"/>
  <c r="B1245" i="18"/>
  <c r="A1245" i="18"/>
  <c r="CH1244" i="18"/>
  <c r="CG1244" i="18"/>
  <c r="CF1244" i="18"/>
  <c r="CE1244" i="18"/>
  <c r="CD1244" i="18"/>
  <c r="CC1244" i="18"/>
  <c r="CB1244" i="18"/>
  <c r="CA1244" i="18"/>
  <c r="BZ1244" i="18"/>
  <c r="BY1244" i="18"/>
  <c r="AQ1244" i="18"/>
  <c r="AP1244" i="18"/>
  <c r="AO1244" i="18"/>
  <c r="AN1244" i="18"/>
  <c r="AM1244" i="18"/>
  <c r="AL1244" i="18"/>
  <c r="AK1244" i="18"/>
  <c r="AJ1244" i="18"/>
  <c r="AI1244" i="18"/>
  <c r="AH1244" i="18"/>
  <c r="AG1244" i="18"/>
  <c r="AF1244" i="18"/>
  <c r="AE1244" i="18"/>
  <c r="AD1244" i="18"/>
  <c r="AC1244" i="18"/>
  <c r="AB1244" i="18"/>
  <c r="AA1244" i="18"/>
  <c r="Z1244" i="18"/>
  <c r="Y1244" i="18"/>
  <c r="X1244" i="18"/>
  <c r="W1244" i="18"/>
  <c r="V1244" i="18"/>
  <c r="U1244" i="18"/>
  <c r="T1244" i="18"/>
  <c r="S1244" i="18"/>
  <c r="R1244" i="18"/>
  <c r="Q1244" i="18"/>
  <c r="P1244" i="18"/>
  <c r="O1244" i="18"/>
  <c r="N1244" i="18"/>
  <c r="M1244" i="18"/>
  <c r="L1244" i="18"/>
  <c r="K1244" i="18"/>
  <c r="J1244" i="18"/>
  <c r="I1244" i="18"/>
  <c r="H1244" i="18"/>
  <c r="G1244" i="18"/>
  <c r="F1244" i="18"/>
  <c r="E1244" i="18"/>
  <c r="D1244" i="18"/>
  <c r="C1244" i="18"/>
  <c r="B1244" i="18"/>
  <c r="A1244" i="18"/>
  <c r="CT1243" i="18"/>
  <c r="CI1243" i="18"/>
  <c r="CH1243" i="18"/>
  <c r="CG1243" i="18"/>
  <c r="CF1243" i="18"/>
  <c r="CE1243" i="18"/>
  <c r="CD1243" i="18"/>
  <c r="CC1243" i="18"/>
  <c r="CB1243" i="18"/>
  <c r="CA1243" i="18"/>
  <c r="BZ1243" i="18"/>
  <c r="BY1243" i="18"/>
  <c r="BT1243" i="18"/>
  <c r="BS1243" i="18"/>
  <c r="BR1243" i="18"/>
  <c r="BQ1243" i="18"/>
  <c r="BP1243" i="18"/>
  <c r="BO1243" i="18"/>
  <c r="BN1243" i="18"/>
  <c r="BM1243" i="18"/>
  <c r="BL1243" i="18"/>
  <c r="BK1243" i="18"/>
  <c r="BJ1243" i="18"/>
  <c r="BI1243" i="18"/>
  <c r="BH1243" i="18"/>
  <c r="BG1243" i="18"/>
  <c r="BF1243" i="18"/>
  <c r="BE1243" i="18"/>
  <c r="BD1243" i="18"/>
  <c r="BC1243" i="18"/>
  <c r="BB1243" i="18"/>
  <c r="BA1243" i="18"/>
  <c r="AZ1243" i="18"/>
  <c r="AY1243" i="18"/>
  <c r="AX1243" i="18"/>
  <c r="AW1243" i="18"/>
  <c r="AV1243" i="18"/>
  <c r="AU1243" i="18"/>
  <c r="AT1243" i="18"/>
  <c r="AS1243" i="18"/>
  <c r="AR1243" i="18"/>
  <c r="AQ1243" i="18"/>
  <c r="AP1243" i="18"/>
  <c r="AO1243" i="18"/>
  <c r="AN1243" i="18"/>
  <c r="AM1243" i="18"/>
  <c r="AL1243" i="18"/>
  <c r="AK1243" i="18"/>
  <c r="AJ1243" i="18"/>
  <c r="AI1243" i="18"/>
  <c r="AH1243" i="18"/>
  <c r="AG1243" i="18"/>
  <c r="AF1243" i="18"/>
  <c r="AE1243" i="18"/>
  <c r="AD1243" i="18"/>
  <c r="AC1243" i="18"/>
  <c r="AB1243" i="18"/>
  <c r="AA1243" i="18"/>
  <c r="Z1243" i="18"/>
  <c r="Y1243" i="18"/>
  <c r="X1243" i="18"/>
  <c r="W1243" i="18"/>
  <c r="V1243" i="18"/>
  <c r="U1243" i="18"/>
  <c r="T1243" i="18"/>
  <c r="S1243" i="18"/>
  <c r="R1243" i="18"/>
  <c r="Q1243" i="18"/>
  <c r="P1243" i="18"/>
  <c r="O1243" i="18"/>
  <c r="N1243" i="18"/>
  <c r="M1243" i="18"/>
  <c r="L1243" i="18"/>
  <c r="K1243" i="18"/>
  <c r="J1243" i="18"/>
  <c r="I1243" i="18"/>
  <c r="H1243" i="18"/>
  <c r="G1243" i="18"/>
  <c r="F1243" i="18"/>
  <c r="E1243" i="18"/>
  <c r="D1243" i="18"/>
  <c r="C1243" i="18"/>
  <c r="B1243" i="18"/>
  <c r="A1243" i="18"/>
  <c r="D1242" i="18"/>
  <c r="C1242" i="18"/>
  <c r="B1242" i="18"/>
  <c r="D1241" i="18"/>
  <c r="C1241" i="18"/>
  <c r="B1241" i="18"/>
  <c r="D1240" i="18"/>
  <c r="C1240" i="18"/>
  <c r="B1240" i="18"/>
  <c r="E1239" i="18"/>
  <c r="D1239" i="18"/>
  <c r="C1239" i="18"/>
  <c r="B1239" i="18"/>
  <c r="DA1238" i="18"/>
  <c r="CZ1238" i="18"/>
  <c r="CY1238" i="18"/>
  <c r="CX1238" i="18"/>
  <c r="CW1238" i="18"/>
  <c r="CV1238" i="18"/>
  <c r="CU1238" i="18"/>
  <c r="CT1238" i="18"/>
  <c r="CS1238" i="18"/>
  <c r="CR1238" i="18"/>
  <c r="CQ1238" i="18"/>
  <c r="CP1238" i="18"/>
  <c r="CO1238" i="18"/>
  <c r="CN1238" i="18"/>
  <c r="CM1238" i="18"/>
  <c r="CL1238" i="18"/>
  <c r="CK1238" i="18"/>
  <c r="CJ1238" i="18"/>
  <c r="CI1238" i="18"/>
  <c r="CH1238" i="18"/>
  <c r="CG1238" i="18"/>
  <c r="CF1238" i="18"/>
  <c r="CE1238" i="18"/>
  <c r="CD1238" i="18"/>
  <c r="CC1238" i="18"/>
  <c r="CB1238" i="18"/>
  <c r="CA1238" i="18"/>
  <c r="BZ1238" i="18"/>
  <c r="BY1238" i="18"/>
  <c r="BX1238" i="18"/>
  <c r="BW1238" i="18"/>
  <c r="BV1238" i="18"/>
  <c r="BU1238" i="18"/>
  <c r="BT1238" i="18"/>
  <c r="BS1238" i="18"/>
  <c r="BR1238" i="18"/>
  <c r="BQ1238" i="18"/>
  <c r="BP1238" i="18"/>
  <c r="BO1238" i="18"/>
  <c r="BN1238" i="18"/>
  <c r="BM1238" i="18"/>
  <c r="BL1238" i="18"/>
  <c r="BK1238" i="18"/>
  <c r="BJ1238" i="18"/>
  <c r="BI1238" i="18"/>
  <c r="BH1238" i="18"/>
  <c r="BG1238" i="18"/>
  <c r="BF1238" i="18"/>
  <c r="BE1238" i="18"/>
  <c r="BD1238" i="18"/>
  <c r="BC1238" i="18"/>
  <c r="BB1238" i="18"/>
  <c r="BA1238" i="18"/>
  <c r="AZ1238" i="18"/>
  <c r="AY1238" i="18"/>
  <c r="AX1238" i="18"/>
  <c r="AW1238" i="18"/>
  <c r="AV1238" i="18"/>
  <c r="AU1238" i="18"/>
  <c r="AT1238" i="18"/>
  <c r="AS1238" i="18"/>
  <c r="AR1238" i="18"/>
  <c r="AQ1238" i="18"/>
  <c r="AP1238" i="18"/>
  <c r="AO1238" i="18"/>
  <c r="AN1238" i="18"/>
  <c r="AM1238" i="18"/>
  <c r="AL1238" i="18"/>
  <c r="AK1238" i="18"/>
  <c r="AJ1238" i="18"/>
  <c r="AI1238" i="18"/>
  <c r="AH1238" i="18"/>
  <c r="AG1238" i="18"/>
  <c r="AF1238" i="18"/>
  <c r="AE1238" i="18"/>
  <c r="AD1238" i="18"/>
  <c r="AC1238" i="18"/>
  <c r="AB1238" i="18"/>
  <c r="AA1238" i="18"/>
  <c r="Z1238" i="18"/>
  <c r="Y1238" i="18"/>
  <c r="X1238" i="18"/>
  <c r="W1238" i="18"/>
  <c r="V1238" i="18"/>
  <c r="U1238" i="18"/>
  <c r="T1238" i="18"/>
  <c r="S1238" i="18"/>
  <c r="R1238" i="18"/>
  <c r="Q1238" i="18"/>
  <c r="P1238" i="18"/>
  <c r="O1238" i="18"/>
  <c r="N1238" i="18"/>
  <c r="M1238" i="18"/>
  <c r="L1238" i="18"/>
  <c r="K1238" i="18"/>
  <c r="J1238" i="18"/>
  <c r="I1238" i="18"/>
  <c r="H1238" i="18"/>
  <c r="G1238" i="18"/>
  <c r="F1238" i="18"/>
  <c r="D1238" i="18"/>
  <c r="C1238" i="18"/>
  <c r="B1238" i="18"/>
  <c r="A1238" i="18"/>
  <c r="DA1237" i="18"/>
  <c r="CZ1237" i="18"/>
  <c r="CY1237" i="18"/>
  <c r="CX1237" i="18"/>
  <c r="CW1237" i="18"/>
  <c r="CV1237" i="18"/>
  <c r="CU1237" i="18"/>
  <c r="CT1237" i="18"/>
  <c r="CS1237" i="18"/>
  <c r="CR1237" i="18"/>
  <c r="CQ1237" i="18"/>
  <c r="CP1237" i="18"/>
  <c r="CO1237" i="18"/>
  <c r="CN1237" i="18"/>
  <c r="CM1237" i="18"/>
  <c r="CL1237" i="18"/>
  <c r="CK1237" i="18"/>
  <c r="CJ1237" i="18"/>
  <c r="CI1237" i="18"/>
  <c r="CH1237" i="18"/>
  <c r="CG1237" i="18"/>
  <c r="CF1237" i="18"/>
  <c r="CE1237" i="18"/>
  <c r="CD1237" i="18"/>
  <c r="CC1237" i="18"/>
  <c r="CB1237" i="18"/>
  <c r="CA1237" i="18"/>
  <c r="BZ1237" i="18"/>
  <c r="BY1237" i="18"/>
  <c r="BX1237" i="18"/>
  <c r="BW1237" i="18"/>
  <c r="BV1237" i="18"/>
  <c r="BU1237" i="18"/>
  <c r="BT1237" i="18"/>
  <c r="BS1237" i="18"/>
  <c r="BR1237" i="18"/>
  <c r="BQ1237" i="18"/>
  <c r="BP1237" i="18"/>
  <c r="BO1237" i="18"/>
  <c r="BN1237" i="18"/>
  <c r="BM1237" i="18"/>
  <c r="BL1237" i="18"/>
  <c r="BK1237" i="18"/>
  <c r="BJ1237" i="18"/>
  <c r="BI1237" i="18"/>
  <c r="BH1237" i="18"/>
  <c r="BG1237" i="18"/>
  <c r="BF1237" i="18"/>
  <c r="BE1237" i="18"/>
  <c r="BD1237" i="18"/>
  <c r="BC1237" i="18"/>
  <c r="BB1237" i="18"/>
  <c r="BA1237" i="18"/>
  <c r="AZ1237" i="18"/>
  <c r="AY1237" i="18"/>
  <c r="AX1237" i="18"/>
  <c r="AW1237" i="18"/>
  <c r="AV1237" i="18"/>
  <c r="AU1237" i="18"/>
  <c r="AT1237" i="18"/>
  <c r="AS1237" i="18"/>
  <c r="AR1237" i="18"/>
  <c r="AQ1237" i="18"/>
  <c r="AP1237" i="18"/>
  <c r="AO1237" i="18"/>
  <c r="AN1237" i="18"/>
  <c r="AM1237" i="18"/>
  <c r="AL1237" i="18"/>
  <c r="AK1237" i="18"/>
  <c r="AJ1237" i="18"/>
  <c r="AI1237" i="18"/>
  <c r="AH1237" i="18"/>
  <c r="AG1237" i="18"/>
  <c r="AF1237" i="18"/>
  <c r="AE1237" i="18"/>
  <c r="AD1237" i="18"/>
  <c r="AC1237" i="18"/>
  <c r="AB1237" i="18"/>
  <c r="AA1237" i="18"/>
  <c r="Z1237" i="18"/>
  <c r="Y1237" i="18"/>
  <c r="X1237" i="18"/>
  <c r="W1237" i="18"/>
  <c r="V1237" i="18"/>
  <c r="U1237" i="18"/>
  <c r="T1237" i="18"/>
  <c r="S1237" i="18"/>
  <c r="R1237" i="18"/>
  <c r="Q1237" i="18"/>
  <c r="P1237" i="18"/>
  <c r="O1237" i="18"/>
  <c r="N1237" i="18"/>
  <c r="M1237" i="18"/>
  <c r="L1237" i="18"/>
  <c r="K1237" i="18"/>
  <c r="J1237" i="18"/>
  <c r="I1237" i="18"/>
  <c r="H1237" i="18"/>
  <c r="G1237" i="18"/>
  <c r="F1237" i="18"/>
  <c r="E1237" i="18"/>
  <c r="D1237" i="18"/>
  <c r="C1237" i="18"/>
  <c r="B1237" i="18"/>
  <c r="A1237" i="18"/>
  <c r="CK1236" i="18"/>
  <c r="CJ1236" i="18"/>
  <c r="CI1236" i="18"/>
  <c r="CH1236" i="18"/>
  <c r="CG1236" i="18"/>
  <c r="CF1236" i="18"/>
  <c r="CE1236" i="18"/>
  <c r="CD1236" i="18"/>
  <c r="CC1236" i="18"/>
  <c r="CB1236" i="18"/>
  <c r="CA1236" i="18"/>
  <c r="BZ1236" i="18"/>
  <c r="BY1236" i="18"/>
  <c r="BX1236" i="18"/>
  <c r="BW1236" i="18"/>
  <c r="BV1236" i="18"/>
  <c r="BU1236" i="18"/>
  <c r="BT1236" i="18"/>
  <c r="BS1236" i="18"/>
  <c r="BR1236" i="18"/>
  <c r="BQ1236" i="18"/>
  <c r="BP1236" i="18"/>
  <c r="BO1236" i="18"/>
  <c r="BN1236" i="18"/>
  <c r="BM1236" i="18"/>
  <c r="BL1236" i="18"/>
  <c r="BK1236" i="18"/>
  <c r="BJ1236" i="18"/>
  <c r="BI1236" i="18"/>
  <c r="BH1236" i="18"/>
  <c r="BG1236" i="18"/>
  <c r="BF1236" i="18"/>
  <c r="BE1236" i="18"/>
  <c r="BD1236" i="18"/>
  <c r="BC1236" i="18"/>
  <c r="BB1236" i="18"/>
  <c r="BA1236" i="18"/>
  <c r="AZ1236" i="18"/>
  <c r="AY1236" i="18"/>
  <c r="AX1236" i="18"/>
  <c r="AW1236" i="18"/>
  <c r="AV1236" i="18"/>
  <c r="AU1236" i="18"/>
  <c r="AT1236" i="18"/>
  <c r="AS1236" i="18"/>
  <c r="AR1236" i="18"/>
  <c r="AQ1236" i="18"/>
  <c r="AP1236" i="18"/>
  <c r="AO1236" i="18"/>
  <c r="AN1236" i="18"/>
  <c r="AM1236" i="18"/>
  <c r="AL1236" i="18"/>
  <c r="AK1236" i="18"/>
  <c r="AJ1236" i="18"/>
  <c r="AI1236" i="18"/>
  <c r="AH1236" i="18"/>
  <c r="AG1236" i="18"/>
  <c r="AF1236" i="18"/>
  <c r="AE1236" i="18"/>
  <c r="AD1236" i="18"/>
  <c r="AC1236" i="18"/>
  <c r="AB1236" i="18"/>
  <c r="AA1236" i="18"/>
  <c r="Z1236" i="18"/>
  <c r="Y1236" i="18"/>
  <c r="X1236" i="18"/>
  <c r="W1236" i="18"/>
  <c r="V1236" i="18"/>
  <c r="U1236" i="18"/>
  <c r="T1236" i="18"/>
  <c r="S1236" i="18"/>
  <c r="R1236" i="18"/>
  <c r="Q1236" i="18"/>
  <c r="P1236" i="18"/>
  <c r="O1236" i="18"/>
  <c r="N1236" i="18"/>
  <c r="M1236" i="18"/>
  <c r="L1236" i="18"/>
  <c r="K1236" i="18"/>
  <c r="J1236" i="18"/>
  <c r="I1236" i="18"/>
  <c r="H1236" i="18"/>
  <c r="G1236" i="18"/>
  <c r="F1236" i="18"/>
  <c r="E1236" i="18"/>
  <c r="D1236" i="18"/>
  <c r="C1236" i="18"/>
  <c r="B1236" i="18"/>
  <c r="A1236" i="18"/>
  <c r="A1235" i="18"/>
  <c r="A1234" i="18"/>
  <c r="A1233" i="18"/>
  <c r="A1232" i="18"/>
  <c r="A1231" i="18"/>
  <c r="A1230" i="18"/>
  <c r="A1229" i="18"/>
  <c r="A1228" i="18"/>
  <c r="A1227" i="18"/>
  <c r="A1226" i="18"/>
  <c r="A1225" i="18"/>
  <c r="A1224" i="18"/>
  <c r="A1223" i="18"/>
  <c r="CK1235" i="18"/>
  <c r="CJ1235" i="18"/>
  <c r="CI1235" i="18"/>
  <c r="CH1235" i="18"/>
  <c r="CG1235" i="18"/>
  <c r="CF1235" i="18"/>
  <c r="CE1235" i="18"/>
  <c r="CD1235" i="18"/>
  <c r="CC1235" i="18"/>
  <c r="CB1235" i="18"/>
  <c r="CA1235" i="18"/>
  <c r="BZ1235" i="18"/>
  <c r="BY1235" i="18"/>
  <c r="BX1235" i="18"/>
  <c r="BW1235" i="18"/>
  <c r="BV1235" i="18"/>
  <c r="BU1235" i="18"/>
  <c r="BT1235" i="18"/>
  <c r="BS1235" i="18"/>
  <c r="BR1235" i="18"/>
  <c r="BQ1235" i="18"/>
  <c r="BP1235" i="18"/>
  <c r="BO1235" i="18"/>
  <c r="BN1235" i="18"/>
  <c r="BM1235" i="18"/>
  <c r="BL1235" i="18"/>
  <c r="BK1235" i="18"/>
  <c r="BJ1235" i="18"/>
  <c r="BI1235" i="18"/>
  <c r="BH1235" i="18"/>
  <c r="BG1235" i="18"/>
  <c r="BF1235" i="18"/>
  <c r="BE1235" i="18"/>
  <c r="BD1235" i="18"/>
  <c r="BC1235" i="18"/>
  <c r="BB1235" i="18"/>
  <c r="BA1235" i="18"/>
  <c r="AZ1235" i="18"/>
  <c r="AY1235" i="18"/>
  <c r="AX1235" i="18"/>
  <c r="AW1235" i="18"/>
  <c r="AV1235" i="18"/>
  <c r="AU1235" i="18"/>
  <c r="AT1235" i="18"/>
  <c r="AS1235" i="18"/>
  <c r="AR1235" i="18"/>
  <c r="AQ1235" i="18"/>
  <c r="AP1235" i="18"/>
  <c r="AO1235" i="18"/>
  <c r="AN1235" i="18"/>
  <c r="AM1235" i="18"/>
  <c r="AL1235" i="18"/>
  <c r="AK1235" i="18"/>
  <c r="AJ1235" i="18"/>
  <c r="AI1235" i="18"/>
  <c r="AH1235" i="18"/>
  <c r="AG1235" i="18"/>
  <c r="AF1235" i="18"/>
  <c r="AE1235" i="18"/>
  <c r="AD1235" i="18"/>
  <c r="AC1235" i="18"/>
  <c r="AB1235" i="18"/>
  <c r="AA1235" i="18"/>
  <c r="Z1235" i="18"/>
  <c r="Y1235" i="18"/>
  <c r="X1235" i="18"/>
  <c r="W1235" i="18"/>
  <c r="V1235" i="18"/>
  <c r="U1235" i="18"/>
  <c r="T1235" i="18"/>
  <c r="S1235" i="18"/>
  <c r="R1235" i="18"/>
  <c r="Q1235" i="18"/>
  <c r="P1235" i="18"/>
  <c r="O1235" i="18"/>
  <c r="N1235" i="18"/>
  <c r="M1235" i="18"/>
  <c r="L1235" i="18"/>
  <c r="K1235" i="18"/>
  <c r="J1235" i="18"/>
  <c r="I1235" i="18"/>
  <c r="H1235" i="18"/>
  <c r="G1235" i="18"/>
  <c r="F1235" i="18"/>
  <c r="CK1234" i="18"/>
  <c r="CJ1234" i="18"/>
  <c r="CI1234" i="18"/>
  <c r="CH1234" i="18"/>
  <c r="CG1234" i="18"/>
  <c r="CF1234" i="18"/>
  <c r="CE1234" i="18"/>
  <c r="CD1234" i="18"/>
  <c r="CC1234" i="18"/>
  <c r="CB1234" i="18"/>
  <c r="CA1234" i="18"/>
  <c r="BZ1234" i="18"/>
  <c r="BY1234" i="18"/>
  <c r="BX1234" i="18"/>
  <c r="BW1234" i="18"/>
  <c r="BV1234" i="18"/>
  <c r="BU1234" i="18"/>
  <c r="BT1234" i="18"/>
  <c r="BS1234" i="18"/>
  <c r="BR1234" i="18"/>
  <c r="BQ1234" i="18"/>
  <c r="BP1234" i="18"/>
  <c r="BO1234" i="18"/>
  <c r="BN1234" i="18"/>
  <c r="BM1234" i="18"/>
  <c r="BL1234" i="18"/>
  <c r="BK1234" i="18"/>
  <c r="BJ1234" i="18"/>
  <c r="BI1234" i="18"/>
  <c r="BH1234" i="18"/>
  <c r="BG1234" i="18"/>
  <c r="BF1234" i="18"/>
  <c r="BE1234" i="18"/>
  <c r="BD1234" i="18"/>
  <c r="BC1234" i="18"/>
  <c r="BB1234" i="18"/>
  <c r="BA1234" i="18"/>
  <c r="AZ1234" i="18"/>
  <c r="AY1234" i="18"/>
  <c r="AX1234" i="18"/>
  <c r="AW1234" i="18"/>
  <c r="AV1234" i="18"/>
  <c r="AU1234" i="18"/>
  <c r="AT1234" i="18"/>
  <c r="AS1234" i="18"/>
  <c r="AR1234" i="18"/>
  <c r="AQ1234" i="18"/>
  <c r="AP1234" i="18"/>
  <c r="AO1234" i="18"/>
  <c r="AN1234" i="18"/>
  <c r="AM1234" i="18"/>
  <c r="AL1234" i="18"/>
  <c r="AK1234" i="18"/>
  <c r="AJ1234" i="18"/>
  <c r="AI1234" i="18"/>
  <c r="AH1234" i="18"/>
  <c r="AG1234" i="18"/>
  <c r="AF1234" i="18"/>
  <c r="AE1234" i="18"/>
  <c r="AD1234" i="18"/>
  <c r="AC1234" i="18"/>
  <c r="AB1234" i="18"/>
  <c r="AA1234" i="18"/>
  <c r="Z1234" i="18"/>
  <c r="Y1234" i="18"/>
  <c r="X1234" i="18"/>
  <c r="W1234" i="18"/>
  <c r="V1234" i="18"/>
  <c r="U1234" i="18"/>
  <c r="T1234" i="18"/>
  <c r="S1234" i="18"/>
  <c r="R1234" i="18"/>
  <c r="Q1234" i="18"/>
  <c r="P1234" i="18"/>
  <c r="O1234" i="18"/>
  <c r="N1234" i="18"/>
  <c r="M1234" i="18"/>
  <c r="L1234" i="18"/>
  <c r="K1234" i="18"/>
  <c r="J1234" i="18"/>
  <c r="I1234" i="18"/>
  <c r="H1234" i="18"/>
  <c r="G1234" i="18"/>
  <c r="F1234" i="18"/>
  <c r="CK1233" i="18"/>
  <c r="CJ1233" i="18"/>
  <c r="CI1233" i="18"/>
  <c r="CH1233" i="18"/>
  <c r="CG1233" i="18"/>
  <c r="CF1233" i="18"/>
  <c r="CE1233" i="18"/>
  <c r="CD1233" i="18"/>
  <c r="CC1233" i="18"/>
  <c r="CB1233" i="18"/>
  <c r="CA1233" i="18"/>
  <c r="BZ1233" i="18"/>
  <c r="BY1233" i="18"/>
  <c r="BX1233" i="18"/>
  <c r="BW1233" i="18"/>
  <c r="BV1233" i="18"/>
  <c r="BU1233" i="18"/>
  <c r="BT1233" i="18"/>
  <c r="BS1233" i="18"/>
  <c r="BR1233" i="18"/>
  <c r="BQ1233" i="18"/>
  <c r="BP1233" i="18"/>
  <c r="BO1233" i="18"/>
  <c r="BN1233" i="18"/>
  <c r="BM1233" i="18"/>
  <c r="BL1233" i="18"/>
  <c r="BK1233" i="18"/>
  <c r="BJ1233" i="18"/>
  <c r="BI1233" i="18"/>
  <c r="BH1233" i="18"/>
  <c r="BG1233" i="18"/>
  <c r="BF1233" i="18"/>
  <c r="BE1233" i="18"/>
  <c r="BD1233" i="18"/>
  <c r="BC1233" i="18"/>
  <c r="BB1233" i="18"/>
  <c r="BA1233" i="18"/>
  <c r="AZ1233" i="18"/>
  <c r="AY1233" i="18"/>
  <c r="AX1233" i="18"/>
  <c r="AW1233" i="18"/>
  <c r="AV1233" i="18"/>
  <c r="AU1233" i="18"/>
  <c r="AT1233" i="18"/>
  <c r="AS1233" i="18"/>
  <c r="AR1233" i="18"/>
  <c r="AQ1233" i="18"/>
  <c r="AP1233" i="18"/>
  <c r="AO1233" i="18"/>
  <c r="AN1233" i="18"/>
  <c r="AM1233" i="18"/>
  <c r="AL1233" i="18"/>
  <c r="AK1233" i="18"/>
  <c r="AJ1233" i="18"/>
  <c r="AI1233" i="18"/>
  <c r="AH1233" i="18"/>
  <c r="AG1233" i="18"/>
  <c r="AF1233" i="18"/>
  <c r="AE1233" i="18"/>
  <c r="AD1233" i="18"/>
  <c r="AC1233" i="18"/>
  <c r="AB1233" i="18"/>
  <c r="AA1233" i="18"/>
  <c r="Z1233" i="18"/>
  <c r="Y1233" i="18"/>
  <c r="X1233" i="18"/>
  <c r="W1233" i="18"/>
  <c r="V1233" i="18"/>
  <c r="U1233" i="18"/>
  <c r="T1233" i="18"/>
  <c r="S1233" i="18"/>
  <c r="R1233" i="18"/>
  <c r="Q1233" i="18"/>
  <c r="P1233" i="18"/>
  <c r="O1233" i="18"/>
  <c r="N1233" i="18"/>
  <c r="M1233" i="18"/>
  <c r="L1233" i="18"/>
  <c r="K1233" i="18"/>
  <c r="J1233" i="18"/>
  <c r="I1233" i="18"/>
  <c r="H1233" i="18"/>
  <c r="G1233" i="18"/>
  <c r="F1233" i="18"/>
  <c r="CK1232" i="18"/>
  <c r="CJ1232" i="18"/>
  <c r="CI1232" i="18"/>
  <c r="CH1232" i="18"/>
  <c r="CG1232" i="18"/>
  <c r="CF1232" i="18"/>
  <c r="CE1232" i="18"/>
  <c r="CD1232" i="18"/>
  <c r="CC1232" i="18"/>
  <c r="CB1232" i="18"/>
  <c r="CA1232" i="18"/>
  <c r="BZ1232" i="18"/>
  <c r="BY1232" i="18"/>
  <c r="BX1232" i="18"/>
  <c r="BW1232" i="18"/>
  <c r="BV1232" i="18"/>
  <c r="BU1232" i="18"/>
  <c r="BT1232" i="18"/>
  <c r="BS1232" i="18"/>
  <c r="BR1232" i="18"/>
  <c r="BQ1232" i="18"/>
  <c r="BP1232" i="18"/>
  <c r="BO1232" i="18"/>
  <c r="BN1232" i="18"/>
  <c r="BM1232" i="18"/>
  <c r="BL1232" i="18"/>
  <c r="BK1232" i="18"/>
  <c r="BJ1232" i="18"/>
  <c r="BI1232" i="18"/>
  <c r="BH1232" i="18"/>
  <c r="BG1232" i="18"/>
  <c r="BF1232" i="18"/>
  <c r="BE1232" i="18"/>
  <c r="BD1232" i="18"/>
  <c r="BC1232" i="18"/>
  <c r="BB1232" i="18"/>
  <c r="BA1232" i="18"/>
  <c r="AZ1232" i="18"/>
  <c r="AY1232" i="18"/>
  <c r="AX1232" i="18"/>
  <c r="AW1232" i="18"/>
  <c r="AV1232" i="18"/>
  <c r="AU1232" i="18"/>
  <c r="AT1232" i="18"/>
  <c r="AS1232" i="18"/>
  <c r="AR1232" i="18"/>
  <c r="AQ1232" i="18"/>
  <c r="AP1232" i="18"/>
  <c r="AO1232" i="18"/>
  <c r="AN1232" i="18"/>
  <c r="AM1232" i="18"/>
  <c r="AL1232" i="18"/>
  <c r="AK1232" i="18"/>
  <c r="AJ1232" i="18"/>
  <c r="AI1232" i="18"/>
  <c r="AH1232" i="18"/>
  <c r="AG1232" i="18"/>
  <c r="AF1232" i="18"/>
  <c r="AE1232" i="18"/>
  <c r="AD1232" i="18"/>
  <c r="AC1232" i="18"/>
  <c r="AB1232" i="18"/>
  <c r="AA1232" i="18"/>
  <c r="Z1232" i="18"/>
  <c r="Y1232" i="18"/>
  <c r="X1232" i="18"/>
  <c r="W1232" i="18"/>
  <c r="V1232" i="18"/>
  <c r="U1232" i="18"/>
  <c r="T1232" i="18"/>
  <c r="S1232" i="18"/>
  <c r="R1232" i="18"/>
  <c r="Q1232" i="18"/>
  <c r="P1232" i="18"/>
  <c r="O1232" i="18"/>
  <c r="N1232" i="18"/>
  <c r="M1232" i="18"/>
  <c r="L1232" i="18"/>
  <c r="K1232" i="18"/>
  <c r="J1232" i="18"/>
  <c r="I1232" i="18"/>
  <c r="H1232" i="18"/>
  <c r="G1232" i="18"/>
  <c r="F1232" i="18"/>
  <c r="CK1231" i="18"/>
  <c r="CJ1231" i="18"/>
  <c r="CI1231" i="18"/>
  <c r="CH1231" i="18"/>
  <c r="CG1231" i="18"/>
  <c r="CF1231" i="18"/>
  <c r="CE1231" i="18"/>
  <c r="CD1231" i="18"/>
  <c r="CC1231" i="18"/>
  <c r="CB1231" i="18"/>
  <c r="CA1231" i="18"/>
  <c r="BZ1231" i="18"/>
  <c r="BY1231" i="18"/>
  <c r="BX1231" i="18"/>
  <c r="BW1231" i="18"/>
  <c r="BV1231" i="18"/>
  <c r="BU1231" i="18"/>
  <c r="BT1231" i="18"/>
  <c r="BS1231" i="18"/>
  <c r="BR1231" i="18"/>
  <c r="BQ1231" i="18"/>
  <c r="BP1231" i="18"/>
  <c r="BO1231" i="18"/>
  <c r="BN1231" i="18"/>
  <c r="BM1231" i="18"/>
  <c r="BL1231" i="18"/>
  <c r="BK1231" i="18"/>
  <c r="BJ1231" i="18"/>
  <c r="BI1231" i="18"/>
  <c r="BH1231" i="18"/>
  <c r="BG1231" i="18"/>
  <c r="BF1231" i="18"/>
  <c r="BE1231" i="18"/>
  <c r="BD1231" i="18"/>
  <c r="BC1231" i="18"/>
  <c r="BB1231" i="18"/>
  <c r="BA1231" i="18"/>
  <c r="AZ1231" i="18"/>
  <c r="AY1231" i="18"/>
  <c r="AX1231" i="18"/>
  <c r="AW1231" i="18"/>
  <c r="AV1231" i="18"/>
  <c r="AU1231" i="18"/>
  <c r="AT1231" i="18"/>
  <c r="AS1231" i="18"/>
  <c r="AR1231" i="18"/>
  <c r="AQ1231" i="18"/>
  <c r="AP1231" i="18"/>
  <c r="AO1231" i="18"/>
  <c r="AN1231" i="18"/>
  <c r="AM1231" i="18"/>
  <c r="AL1231" i="18"/>
  <c r="AK1231" i="18"/>
  <c r="AJ1231" i="18"/>
  <c r="AI1231" i="18"/>
  <c r="AH1231" i="18"/>
  <c r="AG1231" i="18"/>
  <c r="AF1231" i="18"/>
  <c r="AE1231" i="18"/>
  <c r="AD1231" i="18"/>
  <c r="AC1231" i="18"/>
  <c r="AB1231" i="18"/>
  <c r="AA1231" i="18"/>
  <c r="Z1231" i="18"/>
  <c r="Y1231" i="18"/>
  <c r="X1231" i="18"/>
  <c r="W1231" i="18"/>
  <c r="V1231" i="18"/>
  <c r="U1231" i="18"/>
  <c r="T1231" i="18"/>
  <c r="S1231" i="18"/>
  <c r="R1231" i="18"/>
  <c r="Q1231" i="18"/>
  <c r="P1231" i="18"/>
  <c r="O1231" i="18"/>
  <c r="N1231" i="18"/>
  <c r="M1231" i="18"/>
  <c r="L1231" i="18"/>
  <c r="K1231" i="18"/>
  <c r="J1231" i="18"/>
  <c r="I1231" i="18"/>
  <c r="H1231" i="18"/>
  <c r="G1231" i="18"/>
  <c r="F1231" i="18"/>
  <c r="CK1230" i="18"/>
  <c r="CJ1230" i="18"/>
  <c r="CI1230" i="18"/>
  <c r="CH1230" i="18"/>
  <c r="CG1230" i="18"/>
  <c r="CF1230" i="18"/>
  <c r="CE1230" i="18"/>
  <c r="CD1230" i="18"/>
  <c r="CC1230" i="18"/>
  <c r="CB1230" i="18"/>
  <c r="CA1230" i="18"/>
  <c r="BZ1230" i="18"/>
  <c r="BY1230" i="18"/>
  <c r="BX1230" i="18"/>
  <c r="BW1230" i="18"/>
  <c r="BV1230" i="18"/>
  <c r="BU1230" i="18"/>
  <c r="BT1230" i="18"/>
  <c r="BS1230" i="18"/>
  <c r="BR1230" i="18"/>
  <c r="BQ1230" i="18"/>
  <c r="BP1230" i="18"/>
  <c r="BO1230" i="18"/>
  <c r="BN1230" i="18"/>
  <c r="BM1230" i="18"/>
  <c r="BL1230" i="18"/>
  <c r="BK1230" i="18"/>
  <c r="BJ1230" i="18"/>
  <c r="BI1230" i="18"/>
  <c r="BH1230" i="18"/>
  <c r="BG1230" i="18"/>
  <c r="BF1230" i="18"/>
  <c r="BE1230" i="18"/>
  <c r="BD1230" i="18"/>
  <c r="BC1230" i="18"/>
  <c r="BB1230" i="18"/>
  <c r="BA1230" i="18"/>
  <c r="AZ1230" i="18"/>
  <c r="AY1230" i="18"/>
  <c r="AX1230" i="18"/>
  <c r="AW1230" i="18"/>
  <c r="AV1230" i="18"/>
  <c r="AU1230" i="18"/>
  <c r="AT1230" i="18"/>
  <c r="AS1230" i="18"/>
  <c r="AR1230" i="18"/>
  <c r="AQ1230" i="18"/>
  <c r="AP1230" i="18"/>
  <c r="AO1230" i="18"/>
  <c r="AN1230" i="18"/>
  <c r="AM1230" i="18"/>
  <c r="AL1230" i="18"/>
  <c r="AK1230" i="18"/>
  <c r="AJ1230" i="18"/>
  <c r="AI1230" i="18"/>
  <c r="AH1230" i="18"/>
  <c r="AG1230" i="18"/>
  <c r="AF1230" i="18"/>
  <c r="AE1230" i="18"/>
  <c r="AD1230" i="18"/>
  <c r="AC1230" i="18"/>
  <c r="AB1230" i="18"/>
  <c r="AA1230" i="18"/>
  <c r="Z1230" i="18"/>
  <c r="Y1230" i="18"/>
  <c r="X1230" i="18"/>
  <c r="W1230" i="18"/>
  <c r="V1230" i="18"/>
  <c r="U1230" i="18"/>
  <c r="T1230" i="18"/>
  <c r="S1230" i="18"/>
  <c r="R1230" i="18"/>
  <c r="Q1230" i="18"/>
  <c r="P1230" i="18"/>
  <c r="O1230" i="18"/>
  <c r="N1230" i="18"/>
  <c r="M1230" i="18"/>
  <c r="L1230" i="18"/>
  <c r="K1230" i="18"/>
  <c r="J1230" i="18"/>
  <c r="I1230" i="18"/>
  <c r="H1230" i="18"/>
  <c r="G1230" i="18"/>
  <c r="F1230" i="18"/>
  <c r="CK1229" i="18"/>
  <c r="CJ1229" i="18"/>
  <c r="CI1229" i="18"/>
  <c r="CH1229" i="18"/>
  <c r="CG1229" i="18"/>
  <c r="CF1229" i="18"/>
  <c r="CE1229" i="18"/>
  <c r="CD1229" i="18"/>
  <c r="CC1229" i="18"/>
  <c r="CB1229" i="18"/>
  <c r="CA1229" i="18"/>
  <c r="BZ1229" i="18"/>
  <c r="BY1229" i="18"/>
  <c r="BX1229" i="18"/>
  <c r="BW1229" i="18"/>
  <c r="BV1229" i="18"/>
  <c r="BU1229" i="18"/>
  <c r="BT1229" i="18"/>
  <c r="BS1229" i="18"/>
  <c r="BR1229" i="18"/>
  <c r="BQ1229" i="18"/>
  <c r="BP1229" i="18"/>
  <c r="BO1229" i="18"/>
  <c r="BN1229" i="18"/>
  <c r="BM1229" i="18"/>
  <c r="BL1229" i="18"/>
  <c r="BK1229" i="18"/>
  <c r="BJ1229" i="18"/>
  <c r="BI1229" i="18"/>
  <c r="BH1229" i="18"/>
  <c r="BG1229" i="18"/>
  <c r="BF1229" i="18"/>
  <c r="BE1229" i="18"/>
  <c r="BD1229" i="18"/>
  <c r="BC1229" i="18"/>
  <c r="BB1229" i="18"/>
  <c r="BA1229" i="18"/>
  <c r="AZ1229" i="18"/>
  <c r="AY1229" i="18"/>
  <c r="AX1229" i="18"/>
  <c r="AW1229" i="18"/>
  <c r="AV1229" i="18"/>
  <c r="AU1229" i="18"/>
  <c r="AT1229" i="18"/>
  <c r="AS1229" i="18"/>
  <c r="AR1229" i="18"/>
  <c r="AQ1229" i="18"/>
  <c r="AP1229" i="18"/>
  <c r="AO1229" i="18"/>
  <c r="AN1229" i="18"/>
  <c r="AM1229" i="18"/>
  <c r="AL1229" i="18"/>
  <c r="AK1229" i="18"/>
  <c r="AJ1229" i="18"/>
  <c r="AI1229" i="18"/>
  <c r="AH1229" i="18"/>
  <c r="AG1229" i="18"/>
  <c r="AF1229" i="18"/>
  <c r="AE1229" i="18"/>
  <c r="AD1229" i="18"/>
  <c r="AC1229" i="18"/>
  <c r="AB1229" i="18"/>
  <c r="AA1229" i="18"/>
  <c r="Z1229" i="18"/>
  <c r="Y1229" i="18"/>
  <c r="X1229" i="18"/>
  <c r="W1229" i="18"/>
  <c r="V1229" i="18"/>
  <c r="U1229" i="18"/>
  <c r="T1229" i="18"/>
  <c r="S1229" i="18"/>
  <c r="R1229" i="18"/>
  <c r="Q1229" i="18"/>
  <c r="P1229" i="18"/>
  <c r="O1229" i="18"/>
  <c r="N1229" i="18"/>
  <c r="M1229" i="18"/>
  <c r="L1229" i="18"/>
  <c r="K1229" i="18"/>
  <c r="J1229" i="18"/>
  <c r="I1229" i="18"/>
  <c r="H1229" i="18"/>
  <c r="G1229" i="18"/>
  <c r="F1229" i="18"/>
  <c r="CK1228" i="18"/>
  <c r="CJ1228" i="18"/>
  <c r="CI1228" i="18"/>
  <c r="CH1228" i="18"/>
  <c r="CG1228" i="18"/>
  <c r="CF1228" i="18"/>
  <c r="CE1228" i="18"/>
  <c r="CD1228" i="18"/>
  <c r="CC1228" i="18"/>
  <c r="CB1228" i="18"/>
  <c r="CA1228" i="18"/>
  <c r="BZ1228" i="18"/>
  <c r="BY1228" i="18"/>
  <c r="BX1228" i="18"/>
  <c r="BW1228" i="18"/>
  <c r="BV1228" i="18"/>
  <c r="BU1228" i="18"/>
  <c r="BT1228" i="18"/>
  <c r="BS1228" i="18"/>
  <c r="BR1228" i="18"/>
  <c r="BQ1228" i="18"/>
  <c r="BP1228" i="18"/>
  <c r="BO1228" i="18"/>
  <c r="BN1228" i="18"/>
  <c r="BM1228" i="18"/>
  <c r="BL1228" i="18"/>
  <c r="BK1228" i="18"/>
  <c r="BJ1228" i="18"/>
  <c r="BI1228" i="18"/>
  <c r="BH1228" i="18"/>
  <c r="BG1228" i="18"/>
  <c r="BF1228" i="18"/>
  <c r="BE1228" i="18"/>
  <c r="BD1228" i="18"/>
  <c r="BC1228" i="18"/>
  <c r="BB1228" i="18"/>
  <c r="BA1228" i="18"/>
  <c r="AZ1228" i="18"/>
  <c r="AY1228" i="18"/>
  <c r="AX1228" i="18"/>
  <c r="AW1228" i="18"/>
  <c r="AV1228" i="18"/>
  <c r="AU1228" i="18"/>
  <c r="AT1228" i="18"/>
  <c r="AS1228" i="18"/>
  <c r="AR1228" i="18"/>
  <c r="AQ1228" i="18"/>
  <c r="AP1228" i="18"/>
  <c r="AO1228" i="18"/>
  <c r="AN1228" i="18"/>
  <c r="AM1228" i="18"/>
  <c r="AL1228" i="18"/>
  <c r="AK1228" i="18"/>
  <c r="AJ1228" i="18"/>
  <c r="AI1228" i="18"/>
  <c r="AH1228" i="18"/>
  <c r="AG1228" i="18"/>
  <c r="AF1228" i="18"/>
  <c r="AE1228" i="18"/>
  <c r="AD1228" i="18"/>
  <c r="AC1228" i="18"/>
  <c r="AB1228" i="18"/>
  <c r="AA1228" i="18"/>
  <c r="Z1228" i="18"/>
  <c r="Y1228" i="18"/>
  <c r="X1228" i="18"/>
  <c r="W1228" i="18"/>
  <c r="V1228" i="18"/>
  <c r="U1228" i="18"/>
  <c r="T1228" i="18"/>
  <c r="S1228" i="18"/>
  <c r="R1228" i="18"/>
  <c r="Q1228" i="18"/>
  <c r="P1228" i="18"/>
  <c r="O1228" i="18"/>
  <c r="N1228" i="18"/>
  <c r="M1228" i="18"/>
  <c r="L1228" i="18"/>
  <c r="K1228" i="18"/>
  <c r="J1228" i="18"/>
  <c r="I1228" i="18"/>
  <c r="H1228" i="18"/>
  <c r="G1228" i="18"/>
  <c r="F1228" i="18"/>
  <c r="CK1227" i="18"/>
  <c r="CJ1227" i="18"/>
  <c r="CI1227" i="18"/>
  <c r="CH1227" i="18"/>
  <c r="CG1227" i="18"/>
  <c r="CF1227" i="18"/>
  <c r="CE1227" i="18"/>
  <c r="CD1227" i="18"/>
  <c r="CC1227" i="18"/>
  <c r="CB1227" i="18"/>
  <c r="CA1227" i="18"/>
  <c r="BZ1227" i="18"/>
  <c r="BY1227" i="18"/>
  <c r="BX1227" i="18"/>
  <c r="BW1227" i="18"/>
  <c r="BV1227" i="18"/>
  <c r="BU1227" i="18"/>
  <c r="BT1227" i="18"/>
  <c r="BS1227" i="18"/>
  <c r="BR1227" i="18"/>
  <c r="BQ1227" i="18"/>
  <c r="BP1227" i="18"/>
  <c r="BO1227" i="18"/>
  <c r="BN1227" i="18"/>
  <c r="BM1227" i="18"/>
  <c r="BL1227" i="18"/>
  <c r="BK1227" i="18"/>
  <c r="BJ1227" i="18"/>
  <c r="BI1227" i="18"/>
  <c r="BH1227" i="18"/>
  <c r="BG1227" i="18"/>
  <c r="BF1227" i="18"/>
  <c r="BE1227" i="18"/>
  <c r="BD1227" i="18"/>
  <c r="BC1227" i="18"/>
  <c r="BB1227" i="18"/>
  <c r="BA1227" i="18"/>
  <c r="AZ1227" i="18"/>
  <c r="AY1227" i="18"/>
  <c r="AX1227" i="18"/>
  <c r="AW1227" i="18"/>
  <c r="AV1227" i="18"/>
  <c r="AU1227" i="18"/>
  <c r="AT1227" i="18"/>
  <c r="AS1227" i="18"/>
  <c r="AR1227" i="18"/>
  <c r="AQ1227" i="18"/>
  <c r="AP1227" i="18"/>
  <c r="AO1227" i="18"/>
  <c r="AN1227" i="18"/>
  <c r="AM1227" i="18"/>
  <c r="AL1227" i="18"/>
  <c r="AK1227" i="18"/>
  <c r="AJ1227" i="18"/>
  <c r="AI1227" i="18"/>
  <c r="AH1227" i="18"/>
  <c r="AG1227" i="18"/>
  <c r="AF1227" i="18"/>
  <c r="AE1227" i="18"/>
  <c r="AD1227" i="18"/>
  <c r="AC1227" i="18"/>
  <c r="AB1227" i="18"/>
  <c r="AA1227" i="18"/>
  <c r="Z1227" i="18"/>
  <c r="Y1227" i="18"/>
  <c r="X1227" i="18"/>
  <c r="W1227" i="18"/>
  <c r="V1227" i="18"/>
  <c r="U1227" i="18"/>
  <c r="T1227" i="18"/>
  <c r="S1227" i="18"/>
  <c r="R1227" i="18"/>
  <c r="Q1227" i="18"/>
  <c r="P1227" i="18"/>
  <c r="O1227" i="18"/>
  <c r="N1227" i="18"/>
  <c r="M1227" i="18"/>
  <c r="L1227" i="18"/>
  <c r="K1227" i="18"/>
  <c r="J1227" i="18"/>
  <c r="I1227" i="18"/>
  <c r="H1227" i="18"/>
  <c r="G1227" i="18"/>
  <c r="F1227" i="18"/>
  <c r="CK1226" i="18"/>
  <c r="CJ1226" i="18"/>
  <c r="CI1226" i="18"/>
  <c r="CH1226" i="18"/>
  <c r="CG1226" i="18"/>
  <c r="CF1226" i="18"/>
  <c r="CE1226" i="18"/>
  <c r="CD1226" i="18"/>
  <c r="CC1226" i="18"/>
  <c r="CB1226" i="18"/>
  <c r="CA1226" i="18"/>
  <c r="BZ1226" i="18"/>
  <c r="BY1226" i="18"/>
  <c r="BX1226" i="18"/>
  <c r="BW1226" i="18"/>
  <c r="BV1226" i="18"/>
  <c r="BU1226" i="18"/>
  <c r="BT1226" i="18"/>
  <c r="BS1226" i="18"/>
  <c r="BR1226" i="18"/>
  <c r="BQ1226" i="18"/>
  <c r="BP1226" i="18"/>
  <c r="BO1226" i="18"/>
  <c r="BN1226" i="18"/>
  <c r="BM1226" i="18"/>
  <c r="BL1226" i="18"/>
  <c r="BK1226" i="18"/>
  <c r="BJ1226" i="18"/>
  <c r="BI1226" i="18"/>
  <c r="BH1226" i="18"/>
  <c r="BG1226" i="18"/>
  <c r="BF1226" i="18"/>
  <c r="BE1226" i="18"/>
  <c r="BD1226" i="18"/>
  <c r="BC1226" i="18"/>
  <c r="BB1226" i="18"/>
  <c r="BA1226" i="18"/>
  <c r="AZ1226" i="18"/>
  <c r="AY1226" i="18"/>
  <c r="AX1226" i="18"/>
  <c r="AW1226" i="18"/>
  <c r="AV1226" i="18"/>
  <c r="AU1226" i="18"/>
  <c r="AT1226" i="18"/>
  <c r="AS1226" i="18"/>
  <c r="AR1226" i="18"/>
  <c r="AQ1226" i="18"/>
  <c r="AP1226" i="18"/>
  <c r="AO1226" i="18"/>
  <c r="AN1226" i="18"/>
  <c r="AM1226" i="18"/>
  <c r="AL1226" i="18"/>
  <c r="AK1226" i="18"/>
  <c r="AJ1226" i="18"/>
  <c r="AI1226" i="18"/>
  <c r="AH1226" i="18"/>
  <c r="AG1226" i="18"/>
  <c r="AF1226" i="18"/>
  <c r="AE1226" i="18"/>
  <c r="AD1226" i="18"/>
  <c r="AC1226" i="18"/>
  <c r="AB1226" i="18"/>
  <c r="AA1226" i="18"/>
  <c r="Z1226" i="18"/>
  <c r="Y1226" i="18"/>
  <c r="X1226" i="18"/>
  <c r="W1226" i="18"/>
  <c r="V1226" i="18"/>
  <c r="U1226" i="18"/>
  <c r="T1226" i="18"/>
  <c r="S1226" i="18"/>
  <c r="R1226" i="18"/>
  <c r="Q1226" i="18"/>
  <c r="P1226" i="18"/>
  <c r="O1226" i="18"/>
  <c r="N1226" i="18"/>
  <c r="M1226" i="18"/>
  <c r="L1226" i="18"/>
  <c r="K1226" i="18"/>
  <c r="J1226" i="18"/>
  <c r="I1226" i="18"/>
  <c r="H1226" i="18"/>
  <c r="G1226" i="18"/>
  <c r="F1226" i="18"/>
  <c r="D1234" i="18"/>
  <c r="C1234" i="18"/>
  <c r="B1234" i="18"/>
  <c r="D1233" i="18"/>
  <c r="C1233" i="18"/>
  <c r="B1233" i="18"/>
  <c r="D1232" i="18"/>
  <c r="C1232" i="18"/>
  <c r="B1232" i="18"/>
  <c r="D1231" i="18"/>
  <c r="C1231" i="18"/>
  <c r="B1231" i="18"/>
  <c r="E1230" i="18"/>
  <c r="D1230" i="18"/>
  <c r="C1230" i="18"/>
  <c r="B1230" i="18"/>
  <c r="D1229" i="18"/>
  <c r="C1229" i="18"/>
  <c r="B1229" i="18"/>
  <c r="D1228" i="18"/>
  <c r="C1228" i="18"/>
  <c r="B1228" i="18"/>
  <c r="D1227" i="18"/>
  <c r="C1227" i="18"/>
  <c r="B1227" i="18"/>
  <c r="E1226" i="18"/>
  <c r="D1226" i="18"/>
  <c r="C1226" i="18"/>
  <c r="B1226" i="18"/>
  <c r="DA1236" i="18"/>
  <c r="CZ1236" i="18"/>
  <c r="CY1236" i="18"/>
  <c r="CX1236" i="18"/>
  <c r="CW1236" i="18"/>
  <c r="CV1236" i="18"/>
  <c r="CU1236" i="18"/>
  <c r="CT1236" i="18"/>
  <c r="CS1236" i="18"/>
  <c r="CR1236" i="18"/>
  <c r="CQ1236" i="18"/>
  <c r="CP1236" i="18"/>
  <c r="DA1235" i="18"/>
  <c r="CZ1235" i="18"/>
  <c r="CY1235" i="18"/>
  <c r="CX1235" i="18"/>
  <c r="CW1235" i="18"/>
  <c r="CV1235" i="18"/>
  <c r="CU1235" i="18"/>
  <c r="CT1235" i="18"/>
  <c r="CS1235" i="18"/>
  <c r="CR1235" i="18"/>
  <c r="CQ1235" i="18"/>
  <c r="CP1235" i="18"/>
  <c r="DA1234" i="18"/>
  <c r="CZ1234" i="18"/>
  <c r="CY1234" i="18"/>
  <c r="CX1234" i="18"/>
  <c r="CW1234" i="18"/>
  <c r="CV1234" i="18"/>
  <c r="CU1234" i="18"/>
  <c r="CT1234" i="18"/>
  <c r="CS1234" i="18"/>
  <c r="CR1234" i="18"/>
  <c r="CQ1234" i="18"/>
  <c r="CP1234" i="18"/>
  <c r="DA1233" i="18"/>
  <c r="CZ1233" i="18"/>
  <c r="CY1233" i="18"/>
  <c r="CX1233" i="18"/>
  <c r="CW1233" i="18"/>
  <c r="CV1233" i="18"/>
  <c r="CU1233" i="18"/>
  <c r="CT1233" i="18"/>
  <c r="CS1233" i="18"/>
  <c r="CR1233" i="18"/>
  <c r="CQ1233" i="18"/>
  <c r="DA1232" i="18"/>
  <c r="CZ1232" i="18"/>
  <c r="CY1232" i="18"/>
  <c r="CX1232" i="18"/>
  <c r="CW1232" i="18"/>
  <c r="CV1232" i="18"/>
  <c r="CU1232" i="18"/>
  <c r="CT1232" i="18"/>
  <c r="CS1232" i="18"/>
  <c r="CR1232" i="18"/>
  <c r="CQ1232" i="18"/>
  <c r="CP1232" i="18"/>
  <c r="DA1231" i="18"/>
  <c r="CZ1231" i="18"/>
  <c r="CY1231" i="18"/>
  <c r="CX1231" i="18"/>
  <c r="CW1231" i="18"/>
  <c r="CV1231" i="18"/>
  <c r="CU1231" i="18"/>
  <c r="CT1231" i="18"/>
  <c r="CS1231" i="18"/>
  <c r="CR1231" i="18"/>
  <c r="CQ1231" i="18"/>
  <c r="CP1231" i="18"/>
  <c r="DA1230" i="18"/>
  <c r="CZ1230" i="18"/>
  <c r="CY1230" i="18"/>
  <c r="CX1230" i="18"/>
  <c r="CW1230" i="18"/>
  <c r="CV1230" i="18"/>
  <c r="CU1230" i="18"/>
  <c r="CT1230" i="18"/>
  <c r="CS1230" i="18"/>
  <c r="CR1230" i="18"/>
  <c r="CQ1230" i="18"/>
  <c r="CP1230" i="18"/>
  <c r="DA1229" i="18"/>
  <c r="CZ1229" i="18"/>
  <c r="CY1229" i="18"/>
  <c r="CX1229" i="18"/>
  <c r="CW1229" i="18"/>
  <c r="CV1229" i="18"/>
  <c r="CU1229" i="18"/>
  <c r="CT1229" i="18"/>
  <c r="CS1229" i="18"/>
  <c r="CR1229" i="18"/>
  <c r="CQ1229" i="18"/>
  <c r="CP1229" i="18"/>
  <c r="DA1228" i="18"/>
  <c r="CZ1228" i="18"/>
  <c r="CY1228" i="18"/>
  <c r="CX1228" i="18"/>
  <c r="CW1228" i="18"/>
  <c r="CV1228" i="18"/>
  <c r="CU1228" i="18"/>
  <c r="CT1228" i="18"/>
  <c r="CS1228" i="18"/>
  <c r="CR1228" i="18"/>
  <c r="CQ1228" i="18"/>
  <c r="CP1228" i="18"/>
  <c r="DA1227" i="18"/>
  <c r="CZ1227" i="18"/>
  <c r="CY1227" i="18"/>
  <c r="CX1227" i="18"/>
  <c r="CW1227" i="18"/>
  <c r="CV1227" i="18"/>
  <c r="CU1227" i="18"/>
  <c r="CT1227" i="18"/>
  <c r="CS1227" i="18"/>
  <c r="CR1227" i="18"/>
  <c r="CQ1227" i="18"/>
  <c r="DA1226" i="18"/>
  <c r="CZ1226" i="18"/>
  <c r="CY1226" i="18"/>
  <c r="CX1226" i="18"/>
  <c r="CW1226" i="18"/>
  <c r="CV1226" i="18"/>
  <c r="CU1226" i="18"/>
  <c r="CT1226" i="18"/>
  <c r="CS1226" i="18"/>
  <c r="CR1226" i="18"/>
  <c r="CQ1226" i="18"/>
  <c r="CP1226" i="18"/>
  <c r="DA1225" i="18"/>
  <c r="CZ1225" i="18"/>
  <c r="CY1225" i="18"/>
  <c r="CX1225" i="18"/>
  <c r="CW1225" i="18"/>
  <c r="CV1225" i="18"/>
  <c r="CU1225" i="18"/>
  <c r="CT1225" i="18"/>
  <c r="CS1225" i="18"/>
  <c r="CR1225" i="18"/>
  <c r="CQ1225" i="18"/>
  <c r="CP1225" i="18"/>
  <c r="DA1224" i="18"/>
  <c r="DA1223" i="18"/>
  <c r="CO1225" i="18"/>
  <c r="CN1225" i="18"/>
  <c r="CM1225" i="18"/>
  <c r="CL1225" i="18"/>
  <c r="CK1225" i="18"/>
  <c r="CJ1225" i="18"/>
  <c r="CI1225" i="18"/>
  <c r="CH1225" i="18"/>
  <c r="CG1225" i="18"/>
  <c r="CF1225" i="18"/>
  <c r="CE1225" i="18"/>
  <c r="CD1225" i="18"/>
  <c r="CC1225" i="18"/>
  <c r="CB1225" i="18"/>
  <c r="CA1225" i="18"/>
  <c r="BZ1225" i="18"/>
  <c r="BY1225" i="18"/>
  <c r="BX1225" i="18"/>
  <c r="BW1225" i="18"/>
  <c r="BV1225" i="18"/>
  <c r="BU1225" i="18"/>
  <c r="BT1225" i="18"/>
  <c r="BS1225" i="18"/>
  <c r="BR1225" i="18"/>
  <c r="BQ1225" i="18"/>
  <c r="BP1225" i="18"/>
  <c r="BO1225" i="18"/>
  <c r="BN1225" i="18"/>
  <c r="BM1225" i="18"/>
  <c r="BL1225" i="18"/>
  <c r="BK1225" i="18"/>
  <c r="BJ1225" i="18"/>
  <c r="BI1225" i="18"/>
  <c r="BH1225" i="18"/>
  <c r="BG1225" i="18"/>
  <c r="BF1225" i="18"/>
  <c r="BE1225" i="18"/>
  <c r="BD1225" i="18"/>
  <c r="BC1225" i="18"/>
  <c r="BB1225" i="18"/>
  <c r="BA1225" i="18"/>
  <c r="AZ1225" i="18"/>
  <c r="AY1225" i="18"/>
  <c r="AX1225" i="18"/>
  <c r="AW1225" i="18"/>
  <c r="AV1225" i="18"/>
  <c r="AU1225" i="18"/>
  <c r="AT1225" i="18"/>
  <c r="AS1225" i="18"/>
  <c r="AR1225" i="18"/>
  <c r="AQ1225" i="18"/>
  <c r="AP1225" i="18"/>
  <c r="AO1225" i="18"/>
  <c r="AN1225" i="18"/>
  <c r="AM1225" i="18"/>
  <c r="AL1225" i="18"/>
  <c r="AK1225" i="18"/>
  <c r="AJ1225" i="18"/>
  <c r="AI1225" i="18"/>
  <c r="AH1225" i="18"/>
  <c r="AG1225" i="18"/>
  <c r="AF1225" i="18"/>
  <c r="AE1225" i="18"/>
  <c r="AD1225" i="18"/>
  <c r="AC1225" i="18"/>
  <c r="AB1225" i="18"/>
  <c r="AA1225" i="18"/>
  <c r="Z1225" i="18"/>
  <c r="Y1225" i="18"/>
  <c r="X1225" i="18"/>
  <c r="W1225" i="18"/>
  <c r="V1225" i="18"/>
  <c r="U1225" i="18"/>
  <c r="T1225" i="18"/>
  <c r="S1225" i="18"/>
  <c r="R1225" i="18"/>
  <c r="Q1225" i="18"/>
  <c r="P1225" i="18"/>
  <c r="O1225" i="18"/>
  <c r="N1225" i="18"/>
  <c r="M1225" i="18"/>
  <c r="L1225" i="18"/>
  <c r="K1225" i="18"/>
  <c r="J1225" i="18"/>
  <c r="I1225" i="18"/>
  <c r="H1225" i="18"/>
  <c r="G1225" i="18"/>
  <c r="F1225" i="18"/>
  <c r="E1225" i="18"/>
  <c r="D1225" i="18"/>
  <c r="C1225" i="18"/>
  <c r="B1225" i="18"/>
  <c r="CJ1224" i="18"/>
  <c r="CI1224" i="18"/>
  <c r="CH1224" i="18"/>
  <c r="CG1224" i="18"/>
  <c r="CF1224" i="18"/>
  <c r="CE1224" i="18"/>
  <c r="CD1224" i="18"/>
  <c r="CC1224" i="18"/>
  <c r="CB1224" i="18"/>
  <c r="CA1224" i="18"/>
  <c r="BZ1224" i="18"/>
  <c r="BY1224" i="18"/>
  <c r="BX1224" i="18"/>
  <c r="BW1224" i="18"/>
  <c r="BV1224" i="18"/>
  <c r="BU1224" i="18"/>
  <c r="BT1224" i="18"/>
  <c r="BS1224" i="18"/>
  <c r="BR1224" i="18"/>
  <c r="BQ1224" i="18"/>
  <c r="BP1224" i="18"/>
  <c r="BO1224" i="18"/>
  <c r="BN1224" i="18"/>
  <c r="BM1224" i="18"/>
  <c r="BL1224" i="18"/>
  <c r="BK1224" i="18"/>
  <c r="BJ1224" i="18"/>
  <c r="BI1224" i="18"/>
  <c r="BH1224" i="18"/>
  <c r="BG1224" i="18"/>
  <c r="BF1224" i="18"/>
  <c r="BE1224" i="18"/>
  <c r="BD1224" i="18"/>
  <c r="BC1224" i="18"/>
  <c r="BB1224" i="18"/>
  <c r="BA1224" i="18"/>
  <c r="AZ1224" i="18"/>
  <c r="AY1224" i="18"/>
  <c r="AX1224" i="18"/>
  <c r="AW1224" i="18"/>
  <c r="AV1224" i="18"/>
  <c r="AU1224" i="18"/>
  <c r="AT1224" i="18"/>
  <c r="AS1224" i="18"/>
  <c r="AR1224" i="18"/>
  <c r="AQ1224" i="18"/>
  <c r="AP1224" i="18"/>
  <c r="AO1224" i="18"/>
  <c r="AN1224" i="18"/>
  <c r="AM1224" i="18"/>
  <c r="AL1224" i="18"/>
  <c r="AK1224" i="18"/>
  <c r="AJ1224" i="18"/>
  <c r="AI1224" i="18"/>
  <c r="AH1224" i="18"/>
  <c r="AG1224" i="18"/>
  <c r="AF1224" i="18"/>
  <c r="AE1224" i="18"/>
  <c r="AD1224" i="18"/>
  <c r="AC1224" i="18"/>
  <c r="AB1224" i="18"/>
  <c r="AA1224" i="18"/>
  <c r="Z1224" i="18"/>
  <c r="Y1224" i="18"/>
  <c r="X1224" i="18"/>
  <c r="W1224" i="18"/>
  <c r="V1224" i="18"/>
  <c r="U1224" i="18"/>
  <c r="T1224" i="18"/>
  <c r="S1224" i="18"/>
  <c r="R1224" i="18"/>
  <c r="Q1224" i="18"/>
  <c r="P1224" i="18"/>
  <c r="O1224" i="18"/>
  <c r="N1224" i="18"/>
  <c r="M1224" i="18"/>
  <c r="L1224" i="18"/>
  <c r="K1224" i="18"/>
  <c r="J1224" i="18"/>
  <c r="I1224" i="18"/>
  <c r="H1224" i="18"/>
  <c r="G1224" i="18"/>
  <c r="F1224" i="18"/>
  <c r="E1224" i="18"/>
  <c r="D1224" i="18"/>
  <c r="C1224" i="18"/>
  <c r="B1224" i="18"/>
  <c r="CJ1223" i="18"/>
  <c r="CI1223" i="18"/>
  <c r="CH1223" i="18"/>
  <c r="CG1223" i="18"/>
  <c r="CF1223" i="18"/>
  <c r="CE1223" i="18"/>
  <c r="CD1223" i="18"/>
  <c r="CC1223" i="18"/>
  <c r="CB1223" i="18"/>
  <c r="CA1223" i="18"/>
  <c r="BZ1223" i="18"/>
  <c r="BY1223" i="18"/>
  <c r="BX1223" i="18"/>
  <c r="BW1223" i="18"/>
  <c r="BV1223" i="18"/>
  <c r="BU1223" i="18"/>
  <c r="BT1223" i="18"/>
  <c r="BS1223" i="18"/>
  <c r="BR1223" i="18"/>
  <c r="BQ1223" i="18"/>
  <c r="BP1223" i="18"/>
  <c r="BO1223" i="18"/>
  <c r="BN1223" i="18"/>
  <c r="BM1223" i="18"/>
  <c r="BL1223" i="18"/>
  <c r="BK1223" i="18"/>
  <c r="BJ1223" i="18"/>
  <c r="BI1223" i="18"/>
  <c r="BH1223" i="18"/>
  <c r="BG1223" i="18"/>
  <c r="BF1223" i="18"/>
  <c r="BE1223" i="18"/>
  <c r="BD1223" i="18"/>
  <c r="BC1223" i="18"/>
  <c r="BB1223" i="18"/>
  <c r="BA1223" i="18"/>
  <c r="AZ1223" i="18"/>
  <c r="AY1223" i="18"/>
  <c r="AX1223" i="18"/>
  <c r="AW1223" i="18"/>
  <c r="AV1223" i="18"/>
  <c r="AU1223" i="18"/>
  <c r="AT1223" i="18"/>
  <c r="AS1223" i="18"/>
  <c r="AR1223" i="18"/>
  <c r="AQ1223" i="18"/>
  <c r="AP1223" i="18"/>
  <c r="AO1223" i="18"/>
  <c r="AN1223" i="18"/>
  <c r="AM1223" i="18"/>
  <c r="AL1223" i="18"/>
  <c r="AK1223" i="18"/>
  <c r="AJ1223" i="18"/>
  <c r="AI1223" i="18"/>
  <c r="AH1223" i="18"/>
  <c r="AG1223" i="18"/>
  <c r="AF1223" i="18"/>
  <c r="AE1223" i="18"/>
  <c r="AD1223" i="18"/>
  <c r="AC1223" i="18"/>
  <c r="AB1223" i="18"/>
  <c r="AA1223" i="18"/>
  <c r="Z1223" i="18"/>
  <c r="Y1223" i="18"/>
  <c r="X1223" i="18"/>
  <c r="W1223" i="18"/>
  <c r="V1223" i="18"/>
  <c r="U1223" i="18"/>
  <c r="T1223" i="18"/>
  <c r="S1223" i="18"/>
  <c r="R1223" i="18"/>
  <c r="Q1223" i="18"/>
  <c r="P1223" i="18"/>
  <c r="O1223" i="18"/>
  <c r="N1223" i="18"/>
  <c r="M1223" i="18"/>
  <c r="L1223" i="18"/>
  <c r="K1223" i="18"/>
  <c r="J1223" i="18"/>
  <c r="I1223" i="18"/>
  <c r="H1223" i="18"/>
  <c r="G1223" i="18"/>
  <c r="F1223" i="18"/>
  <c r="E1223" i="18"/>
  <c r="D1223" i="18"/>
  <c r="C1223" i="18"/>
  <c r="B1223" i="18"/>
  <c r="DA1221" i="18"/>
  <c r="CZ1221" i="18"/>
  <c r="CY1221" i="18"/>
  <c r="CX1221" i="18"/>
  <c r="CW1221" i="18"/>
  <c r="CV1221" i="18"/>
  <c r="CU1221" i="18"/>
  <c r="CT1221" i="18"/>
  <c r="CS1221" i="18"/>
  <c r="CR1221" i="18"/>
  <c r="CQ1221" i="18"/>
  <c r="CP1221" i="18"/>
  <c r="CO1221" i="18"/>
  <c r="CN1221" i="18"/>
  <c r="CM1221" i="18"/>
  <c r="CL1221" i="18"/>
  <c r="CK1221" i="18"/>
  <c r="CJ1221" i="18"/>
  <c r="CI1221" i="18"/>
  <c r="CH1221" i="18"/>
  <c r="CG1221" i="18"/>
  <c r="CF1221" i="18"/>
  <c r="CE1221" i="18"/>
  <c r="CD1221" i="18"/>
  <c r="CC1221" i="18"/>
  <c r="CB1221" i="18"/>
  <c r="CA1221" i="18"/>
  <c r="BZ1221" i="18"/>
  <c r="BY1221" i="18"/>
  <c r="BX1221" i="18"/>
  <c r="BW1221" i="18"/>
  <c r="BV1221" i="18"/>
  <c r="BU1221" i="18"/>
  <c r="BT1221" i="18"/>
  <c r="BS1221" i="18"/>
  <c r="BR1221" i="18"/>
  <c r="BQ1221" i="18"/>
  <c r="BP1221" i="18"/>
  <c r="BO1221" i="18"/>
  <c r="BN1221" i="18"/>
  <c r="BM1221" i="18"/>
  <c r="BL1221" i="18"/>
  <c r="BK1221" i="18"/>
  <c r="BJ1221" i="18"/>
  <c r="BI1221" i="18"/>
  <c r="BH1221" i="18"/>
  <c r="BG1221" i="18"/>
  <c r="BF1221" i="18"/>
  <c r="BE1221" i="18"/>
  <c r="BD1221" i="18"/>
  <c r="BC1221" i="18"/>
  <c r="BB1221" i="18"/>
  <c r="BA1221" i="18"/>
  <c r="AZ1221" i="18"/>
  <c r="AY1221" i="18"/>
  <c r="AX1221" i="18"/>
  <c r="AW1221" i="18"/>
  <c r="AV1221" i="18"/>
  <c r="AU1221" i="18"/>
  <c r="AT1221" i="18"/>
  <c r="AS1221" i="18"/>
  <c r="AR1221" i="18"/>
  <c r="AQ1221" i="18"/>
  <c r="AP1221" i="18"/>
  <c r="AO1221" i="18"/>
  <c r="AN1221" i="18"/>
  <c r="AM1221" i="18"/>
  <c r="AL1221" i="18"/>
  <c r="AK1221" i="18"/>
  <c r="AJ1221" i="18"/>
  <c r="AI1221" i="18"/>
  <c r="AH1221" i="18"/>
  <c r="AG1221" i="18"/>
  <c r="AF1221" i="18"/>
  <c r="AE1221" i="18"/>
  <c r="AD1221" i="18"/>
  <c r="AC1221" i="18"/>
  <c r="AB1221" i="18"/>
  <c r="AA1221" i="18"/>
  <c r="Z1221" i="18"/>
  <c r="Y1221" i="18"/>
  <c r="X1221" i="18"/>
  <c r="W1221" i="18"/>
  <c r="V1221" i="18"/>
  <c r="U1221" i="18"/>
  <c r="T1221" i="18"/>
  <c r="S1221" i="18"/>
  <c r="R1221" i="18"/>
  <c r="Q1221" i="18"/>
  <c r="P1221" i="18"/>
  <c r="O1221" i="18"/>
  <c r="N1221" i="18"/>
  <c r="M1221" i="18"/>
  <c r="L1221" i="18"/>
  <c r="K1221" i="18"/>
  <c r="J1221" i="18"/>
  <c r="I1221" i="18"/>
  <c r="H1221" i="18"/>
  <c r="G1221" i="18"/>
  <c r="F1221" i="18"/>
  <c r="E1221" i="18"/>
  <c r="D1221" i="18"/>
  <c r="C1221" i="18"/>
  <c r="B1221" i="18"/>
  <c r="A1221" i="18"/>
  <c r="DA1220" i="18"/>
  <c r="CZ1220" i="18"/>
  <c r="CR1220" i="18"/>
  <c r="CQ1220" i="18"/>
  <c r="CP1220" i="18"/>
  <c r="CO1220" i="18"/>
  <c r="CN1220" i="18"/>
  <c r="CM1220" i="18"/>
  <c r="CL1220" i="18"/>
  <c r="CK1220" i="18"/>
  <c r="CJ1220" i="18"/>
  <c r="CI1220" i="18"/>
  <c r="CH1220" i="18"/>
  <c r="CG1220" i="18"/>
  <c r="CF1220" i="18"/>
  <c r="CE1220" i="18"/>
  <c r="CD1220" i="18"/>
  <c r="CC1220" i="18"/>
  <c r="CB1220" i="18"/>
  <c r="CA1220" i="18"/>
  <c r="BZ1220" i="18"/>
  <c r="BY1220" i="18"/>
  <c r="BX1220" i="18"/>
  <c r="BW1220" i="18"/>
  <c r="BV1220" i="18"/>
  <c r="BU1220" i="18"/>
  <c r="BT1220" i="18"/>
  <c r="BS1220" i="18"/>
  <c r="BR1220" i="18"/>
  <c r="BQ1220" i="18"/>
  <c r="BP1220" i="18"/>
  <c r="BO1220" i="18"/>
  <c r="BN1220" i="18"/>
  <c r="BM1220" i="18"/>
  <c r="BL1220" i="18"/>
  <c r="BK1220" i="18"/>
  <c r="BJ1220" i="18"/>
  <c r="BI1220" i="18"/>
  <c r="BH1220" i="18"/>
  <c r="BG1220" i="18"/>
  <c r="BF1220" i="18"/>
  <c r="BE1220" i="18"/>
  <c r="BD1220" i="18"/>
  <c r="BC1220" i="18"/>
  <c r="BB1220" i="18"/>
  <c r="BA1220" i="18"/>
  <c r="AZ1220" i="18"/>
  <c r="AY1220" i="18"/>
  <c r="AX1220" i="18"/>
  <c r="AW1220" i="18"/>
  <c r="AV1220" i="18"/>
  <c r="AU1220" i="18"/>
  <c r="AT1220" i="18"/>
  <c r="AS1220" i="18"/>
  <c r="AR1220" i="18"/>
  <c r="AQ1220" i="18"/>
  <c r="AP1220" i="18"/>
  <c r="AO1220" i="18"/>
  <c r="AN1220" i="18"/>
  <c r="AM1220" i="18"/>
  <c r="AL1220" i="18"/>
  <c r="AK1220" i="18"/>
  <c r="AJ1220" i="18"/>
  <c r="AI1220" i="18"/>
  <c r="AH1220" i="18"/>
  <c r="AG1220" i="18"/>
  <c r="AF1220" i="18"/>
  <c r="AE1220" i="18"/>
  <c r="AD1220" i="18"/>
  <c r="AC1220" i="18"/>
  <c r="AB1220" i="18"/>
  <c r="AA1220" i="18"/>
  <c r="Z1220" i="18"/>
  <c r="Y1220" i="18"/>
  <c r="X1220" i="18"/>
  <c r="W1220" i="18"/>
  <c r="V1220" i="18"/>
  <c r="U1220" i="18"/>
  <c r="T1220" i="18"/>
  <c r="S1220" i="18"/>
  <c r="R1220" i="18"/>
  <c r="Q1220" i="18"/>
  <c r="P1220" i="18"/>
  <c r="O1220" i="18"/>
  <c r="N1220" i="18"/>
  <c r="M1220" i="18"/>
  <c r="L1220" i="18"/>
  <c r="K1220" i="18"/>
  <c r="J1220" i="18"/>
  <c r="I1220" i="18"/>
  <c r="H1220" i="18"/>
  <c r="G1220" i="18"/>
  <c r="F1220" i="18"/>
  <c r="E1220" i="18"/>
  <c r="D1220" i="18"/>
  <c r="C1220" i="18"/>
  <c r="B1220" i="18"/>
  <c r="A1220" i="18"/>
  <c r="DA1219" i="18"/>
  <c r="CZ1219" i="18"/>
  <c r="CY1219" i="18"/>
  <c r="CX1219" i="18"/>
  <c r="CW1219" i="18"/>
  <c r="CV1219" i="18"/>
  <c r="CU1219" i="18"/>
  <c r="CT1219" i="18"/>
  <c r="CS1219" i="18"/>
  <c r="CR1219" i="18"/>
  <c r="CQ1219" i="18"/>
  <c r="CP1219" i="18"/>
  <c r="CO1219" i="18"/>
  <c r="CN1219" i="18"/>
  <c r="CM1219" i="18"/>
  <c r="CL1219" i="18"/>
  <c r="CK1219" i="18"/>
  <c r="CJ1219" i="18"/>
  <c r="CI1219" i="18"/>
  <c r="CH1219" i="18"/>
  <c r="CG1219" i="18"/>
  <c r="CF1219" i="18"/>
  <c r="CE1219" i="18"/>
  <c r="CD1219" i="18"/>
  <c r="CC1219" i="18"/>
  <c r="CB1219" i="18"/>
  <c r="CA1219" i="18"/>
  <c r="BZ1219" i="18"/>
  <c r="BY1219" i="18"/>
  <c r="BX1219" i="18"/>
  <c r="BW1219" i="18"/>
  <c r="BV1219" i="18"/>
  <c r="BU1219" i="18"/>
  <c r="BT1219" i="18"/>
  <c r="BS1219" i="18"/>
  <c r="BR1219" i="18"/>
  <c r="BQ1219" i="18"/>
  <c r="BP1219" i="18"/>
  <c r="BO1219" i="18"/>
  <c r="BN1219" i="18"/>
  <c r="BM1219" i="18"/>
  <c r="BL1219" i="18"/>
  <c r="BK1219" i="18"/>
  <c r="BJ1219" i="18"/>
  <c r="BI1219" i="18"/>
  <c r="BH1219" i="18"/>
  <c r="BG1219" i="18"/>
  <c r="BF1219" i="18"/>
  <c r="BE1219" i="18"/>
  <c r="BD1219" i="18"/>
  <c r="BC1219" i="18"/>
  <c r="BB1219" i="18"/>
  <c r="BA1219" i="18"/>
  <c r="AZ1219" i="18"/>
  <c r="AY1219" i="18"/>
  <c r="AX1219" i="18"/>
  <c r="AW1219" i="18"/>
  <c r="AV1219" i="18"/>
  <c r="AU1219" i="18"/>
  <c r="AT1219" i="18"/>
  <c r="AS1219" i="18"/>
  <c r="AR1219" i="18"/>
  <c r="AQ1219" i="18"/>
  <c r="AP1219" i="18"/>
  <c r="AO1219" i="18"/>
  <c r="AN1219" i="18"/>
  <c r="AM1219" i="18"/>
  <c r="AL1219" i="18"/>
  <c r="AK1219" i="18"/>
  <c r="AJ1219" i="18"/>
  <c r="AI1219" i="18"/>
  <c r="AH1219" i="18"/>
  <c r="AG1219" i="18"/>
  <c r="AF1219" i="18"/>
  <c r="AE1219" i="18"/>
  <c r="AD1219" i="18"/>
  <c r="AC1219" i="18"/>
  <c r="AB1219" i="18"/>
  <c r="AA1219" i="18"/>
  <c r="Z1219" i="18"/>
  <c r="Y1219" i="18"/>
  <c r="X1219" i="18"/>
  <c r="W1219" i="18"/>
  <c r="V1219" i="18"/>
  <c r="U1219" i="18"/>
  <c r="T1219" i="18"/>
  <c r="S1219" i="18"/>
  <c r="R1219" i="18"/>
  <c r="Q1219" i="18"/>
  <c r="P1219" i="18"/>
  <c r="O1219" i="18"/>
  <c r="N1219" i="18"/>
  <c r="M1219" i="18"/>
  <c r="L1219" i="18"/>
  <c r="K1219" i="18"/>
  <c r="J1219" i="18"/>
  <c r="I1219" i="18"/>
  <c r="H1219" i="18"/>
  <c r="G1219" i="18"/>
  <c r="F1219" i="18"/>
  <c r="E1219" i="18"/>
  <c r="D1219" i="18"/>
  <c r="C1219" i="18"/>
  <c r="B1219" i="18"/>
  <c r="A1219" i="18"/>
  <c r="DA1218" i="18"/>
  <c r="CZ1218" i="18"/>
  <c r="CY1218" i="18"/>
  <c r="CX1218" i="18"/>
  <c r="CW1218" i="18"/>
  <c r="CV1218" i="18"/>
  <c r="CU1218" i="18"/>
  <c r="CT1218" i="18"/>
  <c r="CS1218" i="18"/>
  <c r="CR1218" i="18"/>
  <c r="CQ1218" i="18"/>
  <c r="CP1218" i="18"/>
  <c r="CO1218" i="18"/>
  <c r="CN1218" i="18"/>
  <c r="CM1218" i="18"/>
  <c r="CL1218" i="18"/>
  <c r="CK1218" i="18"/>
  <c r="CJ1218" i="18"/>
  <c r="CI1218" i="18"/>
  <c r="CH1218" i="18"/>
  <c r="CG1218" i="18"/>
  <c r="CF1218" i="18"/>
  <c r="CE1218" i="18"/>
  <c r="CD1218" i="18"/>
  <c r="CC1218" i="18"/>
  <c r="CB1218" i="18"/>
  <c r="CA1218" i="18"/>
  <c r="BZ1218" i="18"/>
  <c r="BY1218" i="18"/>
  <c r="BX1218" i="18"/>
  <c r="BW1218" i="18"/>
  <c r="BV1218" i="18"/>
  <c r="BU1218" i="18"/>
  <c r="BT1218" i="18"/>
  <c r="BS1218" i="18"/>
  <c r="BR1218" i="18"/>
  <c r="BQ1218" i="18"/>
  <c r="BP1218" i="18"/>
  <c r="BO1218" i="18"/>
  <c r="BN1218" i="18"/>
  <c r="BM1218" i="18"/>
  <c r="BL1218" i="18"/>
  <c r="BK1218" i="18"/>
  <c r="BJ1218" i="18"/>
  <c r="BI1218" i="18"/>
  <c r="BH1218" i="18"/>
  <c r="BG1218" i="18"/>
  <c r="BF1218" i="18"/>
  <c r="BE1218" i="18"/>
  <c r="BD1218" i="18"/>
  <c r="BC1218" i="18"/>
  <c r="BB1218" i="18"/>
  <c r="BA1218" i="18"/>
  <c r="AZ1218" i="18"/>
  <c r="AY1218" i="18"/>
  <c r="AX1218" i="18"/>
  <c r="AW1218" i="18"/>
  <c r="AV1218" i="18"/>
  <c r="AU1218" i="18"/>
  <c r="AT1218" i="18"/>
  <c r="AS1218" i="18"/>
  <c r="AR1218" i="18"/>
  <c r="AQ1218" i="18"/>
  <c r="AP1218" i="18"/>
  <c r="AO1218" i="18"/>
  <c r="AN1218" i="18"/>
  <c r="AM1218" i="18"/>
  <c r="AL1218" i="18"/>
  <c r="AK1218" i="18"/>
  <c r="AJ1218" i="18"/>
  <c r="AI1218" i="18"/>
  <c r="AH1218" i="18"/>
  <c r="AG1218" i="18"/>
  <c r="AF1218" i="18"/>
  <c r="AE1218" i="18"/>
  <c r="AD1218" i="18"/>
  <c r="AC1218" i="18"/>
  <c r="AB1218" i="18"/>
  <c r="AA1218" i="18"/>
  <c r="Z1218" i="18"/>
  <c r="Y1218" i="18"/>
  <c r="X1218" i="18"/>
  <c r="W1218" i="18"/>
  <c r="V1218" i="18"/>
  <c r="U1218" i="18"/>
  <c r="T1218" i="18"/>
  <c r="S1218" i="18"/>
  <c r="R1218" i="18"/>
  <c r="Q1218" i="18"/>
  <c r="P1218" i="18"/>
  <c r="O1218" i="18"/>
  <c r="N1218" i="18"/>
  <c r="M1218" i="18"/>
  <c r="L1218" i="18"/>
  <c r="K1218" i="18"/>
  <c r="J1218" i="18"/>
  <c r="I1218" i="18"/>
  <c r="H1218" i="18"/>
  <c r="G1218" i="18"/>
  <c r="F1218" i="18"/>
  <c r="E1218" i="18"/>
  <c r="D1218" i="18"/>
  <c r="C1218" i="18"/>
  <c r="B1218" i="18"/>
  <c r="A1218" i="18"/>
  <c r="DA1217" i="18"/>
  <c r="CZ1217" i="18"/>
  <c r="CY1217" i="18"/>
  <c r="CX1217" i="18"/>
  <c r="CW1217" i="18"/>
  <c r="CV1217" i="18"/>
  <c r="CU1217" i="18"/>
  <c r="CT1217" i="18"/>
  <c r="CS1217" i="18"/>
  <c r="CR1217" i="18"/>
  <c r="CQ1217" i="18"/>
  <c r="CP1217" i="18"/>
  <c r="CO1217" i="18"/>
  <c r="CN1217" i="18"/>
  <c r="CM1217" i="18"/>
  <c r="CL1217" i="18"/>
  <c r="CK1217" i="18"/>
  <c r="CJ1217" i="18"/>
  <c r="CI1217" i="18"/>
  <c r="CH1217" i="18"/>
  <c r="CG1217" i="18"/>
  <c r="CF1217" i="18"/>
  <c r="CE1217" i="18"/>
  <c r="CD1217" i="18"/>
  <c r="CC1217" i="18"/>
  <c r="CB1217" i="18"/>
  <c r="CA1217" i="18"/>
  <c r="BZ1217" i="18"/>
  <c r="BY1217" i="18"/>
  <c r="BX1217" i="18"/>
  <c r="BW1217" i="18"/>
  <c r="BV1217" i="18"/>
  <c r="BU1217" i="18"/>
  <c r="BT1217" i="18"/>
  <c r="BS1217" i="18"/>
  <c r="BR1217" i="18"/>
  <c r="BQ1217" i="18"/>
  <c r="BP1217" i="18"/>
  <c r="BO1217" i="18"/>
  <c r="BN1217" i="18"/>
  <c r="BM1217" i="18"/>
  <c r="BL1217" i="18"/>
  <c r="BK1217" i="18"/>
  <c r="BJ1217" i="18"/>
  <c r="BI1217" i="18"/>
  <c r="BH1217" i="18"/>
  <c r="BG1217" i="18"/>
  <c r="BF1217" i="18"/>
  <c r="BE1217" i="18"/>
  <c r="BD1217" i="18"/>
  <c r="BC1217" i="18"/>
  <c r="BB1217" i="18"/>
  <c r="BA1217" i="18"/>
  <c r="AZ1217" i="18"/>
  <c r="AY1217" i="18"/>
  <c r="AX1217" i="18"/>
  <c r="AW1217" i="18"/>
  <c r="AV1217" i="18"/>
  <c r="AU1217" i="18"/>
  <c r="AT1217" i="18"/>
  <c r="AS1217" i="18"/>
  <c r="AR1217" i="18"/>
  <c r="AQ1217" i="18"/>
  <c r="AP1217" i="18"/>
  <c r="AO1217" i="18"/>
  <c r="AN1217" i="18"/>
  <c r="AM1217" i="18"/>
  <c r="AL1217" i="18"/>
  <c r="AK1217" i="18"/>
  <c r="AJ1217" i="18"/>
  <c r="AI1217" i="18"/>
  <c r="AH1217" i="18"/>
  <c r="AG1217" i="18"/>
  <c r="AF1217" i="18"/>
  <c r="AE1217" i="18"/>
  <c r="AD1217" i="18"/>
  <c r="AC1217" i="18"/>
  <c r="AB1217" i="18"/>
  <c r="AA1217" i="18"/>
  <c r="Z1217" i="18"/>
  <c r="Y1217" i="18"/>
  <c r="X1217" i="18"/>
  <c r="W1217" i="18"/>
  <c r="V1217" i="18"/>
  <c r="U1217" i="18"/>
  <c r="T1217" i="18"/>
  <c r="S1217" i="18"/>
  <c r="R1217" i="18"/>
  <c r="Q1217" i="18"/>
  <c r="P1217" i="18"/>
  <c r="O1217" i="18"/>
  <c r="N1217" i="18"/>
  <c r="M1217" i="18"/>
  <c r="L1217" i="18"/>
  <c r="K1217" i="18"/>
  <c r="J1217" i="18"/>
  <c r="I1217" i="18"/>
  <c r="H1217" i="18"/>
  <c r="G1217" i="18"/>
  <c r="F1217" i="18"/>
  <c r="E1217" i="18"/>
  <c r="D1217" i="18"/>
  <c r="C1217" i="18"/>
  <c r="B1217" i="18"/>
  <c r="A1217" i="18"/>
  <c r="DA1216" i="18"/>
  <c r="CJ1216" i="18"/>
  <c r="CI1216" i="18"/>
  <c r="CH1216" i="18"/>
  <c r="CG1216" i="18"/>
  <c r="CF1216" i="18"/>
  <c r="CE1216" i="18"/>
  <c r="CD1216" i="18"/>
  <c r="CC1216" i="18"/>
  <c r="CB1216" i="18"/>
  <c r="CA1216" i="18"/>
  <c r="BZ1216" i="18"/>
  <c r="BY1216" i="18"/>
  <c r="BX1216" i="18"/>
  <c r="BW1216" i="18"/>
  <c r="BV1216" i="18"/>
  <c r="BU1216" i="18"/>
  <c r="BT1216" i="18"/>
  <c r="BS1216" i="18"/>
  <c r="BR1216" i="18"/>
  <c r="BQ1216" i="18"/>
  <c r="BP1216" i="18"/>
  <c r="BO1216" i="18"/>
  <c r="BN1216" i="18"/>
  <c r="BM1216" i="18"/>
  <c r="BL1216" i="18"/>
  <c r="BK1216" i="18"/>
  <c r="BJ1216" i="18"/>
  <c r="BI1216" i="18"/>
  <c r="BH1216" i="18"/>
  <c r="BG1216" i="18"/>
  <c r="BF1216" i="18"/>
  <c r="BE1216" i="18"/>
  <c r="BD1216" i="18"/>
  <c r="BC1216" i="18"/>
  <c r="BB1216" i="18"/>
  <c r="BA1216" i="18"/>
  <c r="AZ1216" i="18"/>
  <c r="AY1216" i="18"/>
  <c r="AX1216" i="18"/>
  <c r="AW1216" i="18"/>
  <c r="AV1216" i="18"/>
  <c r="AU1216" i="18"/>
  <c r="AT1216" i="18"/>
  <c r="AS1216" i="18"/>
  <c r="AR1216" i="18"/>
  <c r="AQ1216" i="18"/>
  <c r="AP1216" i="18"/>
  <c r="AO1216" i="18"/>
  <c r="AN1216" i="18"/>
  <c r="AM1216" i="18"/>
  <c r="AL1216" i="18"/>
  <c r="AK1216" i="18"/>
  <c r="AJ1216" i="18"/>
  <c r="AI1216" i="18"/>
  <c r="AH1216" i="18"/>
  <c r="AG1216" i="18"/>
  <c r="AF1216" i="18"/>
  <c r="AE1216" i="18"/>
  <c r="AD1216" i="18"/>
  <c r="AC1216" i="18"/>
  <c r="AB1216" i="18"/>
  <c r="AA1216" i="18"/>
  <c r="Z1216" i="18"/>
  <c r="Y1216" i="18"/>
  <c r="X1216" i="18"/>
  <c r="W1216" i="18"/>
  <c r="V1216" i="18"/>
  <c r="U1216" i="18"/>
  <c r="T1216" i="18"/>
  <c r="S1216" i="18"/>
  <c r="R1216" i="18"/>
  <c r="Q1216" i="18"/>
  <c r="P1216" i="18"/>
  <c r="O1216" i="18"/>
  <c r="N1216" i="18"/>
  <c r="M1216" i="18"/>
  <c r="L1216" i="18"/>
  <c r="K1216" i="18"/>
  <c r="J1216" i="18"/>
  <c r="I1216" i="18"/>
  <c r="H1216" i="18"/>
  <c r="G1216" i="18"/>
  <c r="F1216" i="18"/>
  <c r="E1216" i="18"/>
  <c r="D1216" i="18"/>
  <c r="C1216" i="18"/>
  <c r="B1216" i="18"/>
  <c r="A1216" i="18"/>
  <c r="DA1214" i="18"/>
  <c r="CJ1214" i="18"/>
  <c r="CI1214" i="18"/>
  <c r="CH1214" i="18"/>
  <c r="CG1214" i="18"/>
  <c r="CF1214" i="18"/>
  <c r="CE1214" i="18"/>
  <c r="CD1214" i="18"/>
  <c r="CC1214" i="18"/>
  <c r="CB1214" i="18"/>
  <c r="CA1214" i="18"/>
  <c r="BZ1214" i="18"/>
  <c r="BY1214" i="18"/>
  <c r="BX1214" i="18"/>
  <c r="BW1214" i="18"/>
  <c r="BV1214" i="18"/>
  <c r="BU1214" i="18"/>
  <c r="BT1214" i="18"/>
  <c r="BS1214" i="18"/>
  <c r="BR1214" i="18"/>
  <c r="BQ1214" i="18"/>
  <c r="BP1214" i="18"/>
  <c r="BO1214" i="18"/>
  <c r="BN1214" i="18"/>
  <c r="BM1214" i="18"/>
  <c r="BL1214" i="18"/>
  <c r="BK1214" i="18"/>
  <c r="BJ1214" i="18"/>
  <c r="BI1214" i="18"/>
  <c r="BH1214" i="18"/>
  <c r="BG1214" i="18"/>
  <c r="BF1214" i="18"/>
  <c r="BE1214" i="18"/>
  <c r="BD1214" i="18"/>
  <c r="BC1214" i="18"/>
  <c r="BB1214" i="18"/>
  <c r="BA1214" i="18"/>
  <c r="AZ1214" i="18"/>
  <c r="AY1214" i="18"/>
  <c r="AX1214" i="18"/>
  <c r="AW1214" i="18"/>
  <c r="AV1214" i="18"/>
  <c r="AU1214" i="18"/>
  <c r="AT1214" i="18"/>
  <c r="AS1214" i="18"/>
  <c r="AR1214" i="18"/>
  <c r="AQ1214" i="18"/>
  <c r="AP1214" i="18"/>
  <c r="AO1214" i="18"/>
  <c r="AN1214" i="18"/>
  <c r="AM1214" i="18"/>
  <c r="AL1214" i="18"/>
  <c r="AK1214" i="18"/>
  <c r="AJ1214" i="18"/>
  <c r="AI1214" i="18"/>
  <c r="AH1214" i="18"/>
  <c r="AG1214" i="18"/>
  <c r="AF1214" i="18"/>
  <c r="AE1214" i="18"/>
  <c r="AD1214" i="18"/>
  <c r="AC1214" i="18"/>
  <c r="AB1214" i="18"/>
  <c r="AA1214" i="18"/>
  <c r="Z1214" i="18"/>
  <c r="Y1214" i="18"/>
  <c r="X1214" i="18"/>
  <c r="W1214" i="18"/>
  <c r="V1214" i="18"/>
  <c r="U1214" i="18"/>
  <c r="T1214" i="18"/>
  <c r="S1214" i="18"/>
  <c r="R1214" i="18"/>
  <c r="Q1214" i="18"/>
  <c r="P1214" i="18"/>
  <c r="O1214" i="18"/>
  <c r="N1214" i="18"/>
  <c r="M1214" i="18"/>
  <c r="L1214" i="18"/>
  <c r="K1214" i="18"/>
  <c r="J1214" i="18"/>
  <c r="I1214" i="18"/>
  <c r="H1214" i="18"/>
  <c r="G1214" i="18"/>
  <c r="F1214" i="18"/>
  <c r="E1214" i="18"/>
  <c r="D1214" i="18"/>
  <c r="C1214" i="18"/>
  <c r="B1214" i="18"/>
  <c r="A1214" i="18"/>
  <c r="DA1213" i="18"/>
  <c r="CZ1213" i="18"/>
  <c r="CJ1213" i="18"/>
  <c r="CI1213" i="18"/>
  <c r="CH1213" i="18"/>
  <c r="CG1213" i="18"/>
  <c r="CF1213" i="18"/>
  <c r="CE1213" i="18"/>
  <c r="CD1213" i="18"/>
  <c r="CC1213" i="18"/>
  <c r="CB1213" i="18"/>
  <c r="CA1213" i="18"/>
  <c r="BZ1213" i="18"/>
  <c r="BY1213" i="18"/>
  <c r="BX1213" i="18"/>
  <c r="BW1213" i="18"/>
  <c r="BV1213" i="18"/>
  <c r="BU1213" i="18"/>
  <c r="BT1213" i="18"/>
  <c r="BS1213" i="18"/>
  <c r="BR1213" i="18"/>
  <c r="BQ1213" i="18"/>
  <c r="BP1213" i="18"/>
  <c r="BO1213" i="18"/>
  <c r="BN1213" i="18"/>
  <c r="BM1213" i="18"/>
  <c r="BL1213" i="18"/>
  <c r="BK1213" i="18"/>
  <c r="BJ1213" i="18"/>
  <c r="BI1213" i="18"/>
  <c r="BH1213" i="18"/>
  <c r="BG1213" i="18"/>
  <c r="BF1213" i="18"/>
  <c r="BE1213" i="18"/>
  <c r="BD1213" i="18"/>
  <c r="BC1213" i="18"/>
  <c r="BB1213" i="18"/>
  <c r="BA1213" i="18"/>
  <c r="AZ1213" i="18"/>
  <c r="AY1213" i="18"/>
  <c r="AX1213" i="18"/>
  <c r="AW1213" i="18"/>
  <c r="AV1213" i="18"/>
  <c r="AU1213" i="18"/>
  <c r="AT1213" i="18"/>
  <c r="AS1213" i="18"/>
  <c r="AR1213" i="18"/>
  <c r="AQ1213" i="18"/>
  <c r="AP1213" i="18"/>
  <c r="AO1213" i="18"/>
  <c r="AN1213" i="18"/>
  <c r="AM1213" i="18"/>
  <c r="AL1213" i="18"/>
  <c r="AK1213" i="18"/>
  <c r="AJ1213" i="18"/>
  <c r="AI1213" i="18"/>
  <c r="AH1213" i="18"/>
  <c r="AG1213" i="18"/>
  <c r="AF1213" i="18"/>
  <c r="AE1213" i="18"/>
  <c r="AD1213" i="18"/>
  <c r="AC1213" i="18"/>
  <c r="AB1213" i="18"/>
  <c r="AA1213" i="18"/>
  <c r="Z1213" i="18"/>
  <c r="Y1213" i="18"/>
  <c r="X1213" i="18"/>
  <c r="W1213" i="18"/>
  <c r="V1213" i="18"/>
  <c r="U1213" i="18"/>
  <c r="T1213" i="18"/>
  <c r="S1213" i="18"/>
  <c r="R1213" i="18"/>
  <c r="Q1213" i="18"/>
  <c r="P1213" i="18"/>
  <c r="O1213" i="18"/>
  <c r="N1213" i="18"/>
  <c r="M1213" i="18"/>
  <c r="L1213" i="18"/>
  <c r="K1213" i="18"/>
  <c r="J1213" i="18"/>
  <c r="I1213" i="18"/>
  <c r="H1213" i="18"/>
  <c r="G1213" i="18"/>
  <c r="F1213" i="18"/>
  <c r="E1213" i="18"/>
  <c r="D1213" i="18"/>
  <c r="C1213" i="18"/>
  <c r="B1213" i="18"/>
  <c r="A1213" i="18"/>
  <c r="DA1212" i="18"/>
  <c r="CZ1212" i="18"/>
  <c r="CQ1212" i="18"/>
  <c r="CP1212" i="18"/>
  <c r="CO1212" i="18"/>
  <c r="CN1212" i="18"/>
  <c r="CM1212" i="18"/>
  <c r="CL1212" i="18"/>
  <c r="CK1212" i="18"/>
  <c r="CJ1212" i="18"/>
  <c r="CI1212" i="18"/>
  <c r="CH1212" i="18"/>
  <c r="CG1212" i="18"/>
  <c r="CF1212" i="18"/>
  <c r="CE1212" i="18"/>
  <c r="CD1212" i="18"/>
  <c r="CC1212" i="18"/>
  <c r="CB1212" i="18"/>
  <c r="CA1212" i="18"/>
  <c r="BZ1212" i="18"/>
  <c r="BY1212" i="18"/>
  <c r="BX1212" i="18"/>
  <c r="BW1212" i="18"/>
  <c r="BV1212" i="18"/>
  <c r="BU1212" i="18"/>
  <c r="BT1212" i="18"/>
  <c r="BS1212" i="18"/>
  <c r="BR1212" i="18"/>
  <c r="BQ1212" i="18"/>
  <c r="BP1212" i="18"/>
  <c r="BO1212" i="18"/>
  <c r="BN1212" i="18"/>
  <c r="BM1212" i="18"/>
  <c r="BL1212" i="18"/>
  <c r="BK1212" i="18"/>
  <c r="BJ1212" i="18"/>
  <c r="BI1212" i="18"/>
  <c r="BH1212" i="18"/>
  <c r="BG1212" i="18"/>
  <c r="BF1212" i="18"/>
  <c r="BE1212" i="18"/>
  <c r="BD1212" i="18"/>
  <c r="BC1212" i="18"/>
  <c r="BB1212" i="18"/>
  <c r="BA1212" i="18"/>
  <c r="AZ1212" i="18"/>
  <c r="AY1212" i="18"/>
  <c r="AX1212" i="18"/>
  <c r="AW1212" i="18"/>
  <c r="AV1212" i="18"/>
  <c r="AU1212" i="18"/>
  <c r="AT1212" i="18"/>
  <c r="AS1212" i="18"/>
  <c r="AR1212" i="18"/>
  <c r="AQ1212" i="18"/>
  <c r="AP1212" i="18"/>
  <c r="AO1212" i="18"/>
  <c r="AN1212" i="18"/>
  <c r="AM1212" i="18"/>
  <c r="AL1212" i="18"/>
  <c r="AK1212" i="18"/>
  <c r="AJ1212" i="18"/>
  <c r="AI1212" i="18"/>
  <c r="AH1212" i="18"/>
  <c r="AG1212" i="18"/>
  <c r="AF1212" i="18"/>
  <c r="AE1212" i="18"/>
  <c r="AD1212" i="18"/>
  <c r="AC1212" i="18"/>
  <c r="AB1212" i="18"/>
  <c r="AA1212" i="18"/>
  <c r="Z1212" i="18"/>
  <c r="Y1212" i="18"/>
  <c r="X1212" i="18"/>
  <c r="W1212" i="18"/>
  <c r="V1212" i="18"/>
  <c r="U1212" i="18"/>
  <c r="T1212" i="18"/>
  <c r="S1212" i="18"/>
  <c r="R1212" i="18"/>
  <c r="Q1212" i="18"/>
  <c r="P1212" i="18"/>
  <c r="O1212" i="18"/>
  <c r="N1212" i="18"/>
  <c r="M1212" i="18"/>
  <c r="L1212" i="18"/>
  <c r="K1212" i="18"/>
  <c r="J1212" i="18"/>
  <c r="I1212" i="18"/>
  <c r="H1212" i="18"/>
  <c r="G1212" i="18"/>
  <c r="F1212" i="18"/>
  <c r="E1212" i="18"/>
  <c r="D1212" i="18"/>
  <c r="C1212" i="18"/>
  <c r="B1212" i="18"/>
  <c r="A1212" i="18"/>
  <c r="DA1211" i="18"/>
  <c r="CZ1211" i="18"/>
  <c r="CQ1211" i="18"/>
  <c r="CP1211" i="18"/>
  <c r="CO1211" i="18"/>
  <c r="CN1211" i="18"/>
  <c r="CM1211" i="18"/>
  <c r="CL1211" i="18"/>
  <c r="CK1211" i="18"/>
  <c r="CJ1211" i="18"/>
  <c r="CI1211" i="18"/>
  <c r="CH1211" i="18"/>
  <c r="CG1211" i="18"/>
  <c r="CF1211" i="18"/>
  <c r="CE1211" i="18"/>
  <c r="CD1211" i="18"/>
  <c r="CC1211" i="18"/>
  <c r="CB1211" i="18"/>
  <c r="CA1211" i="18"/>
  <c r="BZ1211" i="18"/>
  <c r="BY1211" i="18"/>
  <c r="BX1211" i="18"/>
  <c r="BW1211" i="18"/>
  <c r="BV1211" i="18"/>
  <c r="BU1211" i="18"/>
  <c r="BT1211" i="18"/>
  <c r="BS1211" i="18"/>
  <c r="BR1211" i="18"/>
  <c r="BQ1211" i="18"/>
  <c r="BP1211" i="18"/>
  <c r="BO1211" i="18"/>
  <c r="BN1211" i="18"/>
  <c r="BM1211" i="18"/>
  <c r="BL1211" i="18"/>
  <c r="BK1211" i="18"/>
  <c r="BJ1211" i="18"/>
  <c r="BI1211" i="18"/>
  <c r="BH1211" i="18"/>
  <c r="BG1211" i="18"/>
  <c r="BF1211" i="18"/>
  <c r="BE1211" i="18"/>
  <c r="BD1211" i="18"/>
  <c r="BC1211" i="18"/>
  <c r="BB1211" i="18"/>
  <c r="BA1211" i="18"/>
  <c r="AZ1211" i="18"/>
  <c r="AY1211" i="18"/>
  <c r="AX1211" i="18"/>
  <c r="AW1211" i="18"/>
  <c r="AV1211" i="18"/>
  <c r="AU1211" i="18"/>
  <c r="AT1211" i="18"/>
  <c r="AS1211" i="18"/>
  <c r="AR1211" i="18"/>
  <c r="AQ1211" i="18"/>
  <c r="AP1211" i="18"/>
  <c r="AO1211" i="18"/>
  <c r="AN1211" i="18"/>
  <c r="AM1211" i="18"/>
  <c r="AL1211" i="18"/>
  <c r="AK1211" i="18"/>
  <c r="AJ1211" i="18"/>
  <c r="AI1211" i="18"/>
  <c r="AH1211" i="18"/>
  <c r="AG1211" i="18"/>
  <c r="AF1211" i="18"/>
  <c r="AE1211" i="18"/>
  <c r="AD1211" i="18"/>
  <c r="AC1211" i="18"/>
  <c r="AB1211" i="18"/>
  <c r="AA1211" i="18"/>
  <c r="Z1211" i="18"/>
  <c r="Y1211" i="18"/>
  <c r="X1211" i="18"/>
  <c r="W1211" i="18"/>
  <c r="V1211" i="18"/>
  <c r="U1211" i="18"/>
  <c r="T1211" i="18"/>
  <c r="S1211" i="18"/>
  <c r="R1211" i="18"/>
  <c r="Q1211" i="18"/>
  <c r="P1211" i="18"/>
  <c r="O1211" i="18"/>
  <c r="N1211" i="18"/>
  <c r="M1211" i="18"/>
  <c r="L1211" i="18"/>
  <c r="K1211" i="18"/>
  <c r="J1211" i="18"/>
  <c r="I1211" i="18"/>
  <c r="H1211" i="18"/>
  <c r="G1211" i="18"/>
  <c r="F1211" i="18"/>
  <c r="E1211" i="18"/>
  <c r="D1211" i="18"/>
  <c r="C1211" i="18"/>
  <c r="B1211" i="18"/>
  <c r="A1211" i="18"/>
  <c r="DA1210" i="18"/>
  <c r="CZ1210" i="18"/>
  <c r="CP1210" i="18"/>
  <c r="CO1210" i="18"/>
  <c r="CN1210" i="18"/>
  <c r="CM1210" i="18"/>
  <c r="CL1210" i="18"/>
  <c r="CK1210" i="18"/>
  <c r="CJ1210" i="18"/>
  <c r="CI1210" i="18"/>
  <c r="CH1210" i="18"/>
  <c r="CG1210" i="18"/>
  <c r="CF1210" i="18"/>
  <c r="CE1210" i="18"/>
  <c r="CD1210" i="18"/>
  <c r="CC1210" i="18"/>
  <c r="CB1210" i="18"/>
  <c r="CA1210" i="18"/>
  <c r="BZ1210" i="18"/>
  <c r="BY1210" i="18"/>
  <c r="BX1210" i="18"/>
  <c r="BW1210" i="18"/>
  <c r="BV1210" i="18"/>
  <c r="BU1210" i="18"/>
  <c r="BT1210" i="18"/>
  <c r="BS1210" i="18"/>
  <c r="BR1210" i="18"/>
  <c r="BQ1210" i="18"/>
  <c r="BP1210" i="18"/>
  <c r="BO1210" i="18"/>
  <c r="BN1210" i="18"/>
  <c r="BM1210" i="18"/>
  <c r="BL1210" i="18"/>
  <c r="BK1210" i="18"/>
  <c r="BJ1210" i="18"/>
  <c r="BI1210" i="18"/>
  <c r="BH1210" i="18"/>
  <c r="BG1210" i="18"/>
  <c r="BF1210" i="18"/>
  <c r="BE1210" i="18"/>
  <c r="BD1210" i="18"/>
  <c r="BC1210" i="18"/>
  <c r="BB1210" i="18"/>
  <c r="BA1210" i="18"/>
  <c r="AZ1210" i="18"/>
  <c r="AY1210" i="18"/>
  <c r="AX1210" i="18"/>
  <c r="AW1210" i="18"/>
  <c r="AV1210" i="18"/>
  <c r="AU1210" i="18"/>
  <c r="AT1210" i="18"/>
  <c r="AS1210" i="18"/>
  <c r="AR1210" i="18"/>
  <c r="AQ1210" i="18"/>
  <c r="AP1210" i="18"/>
  <c r="AO1210" i="18"/>
  <c r="AN1210" i="18"/>
  <c r="AM1210" i="18"/>
  <c r="AL1210" i="18"/>
  <c r="AK1210" i="18"/>
  <c r="AJ1210" i="18"/>
  <c r="AI1210" i="18"/>
  <c r="AH1210" i="18"/>
  <c r="AG1210" i="18"/>
  <c r="AF1210" i="18"/>
  <c r="AE1210" i="18"/>
  <c r="AD1210" i="18"/>
  <c r="AC1210" i="18"/>
  <c r="AB1210" i="18"/>
  <c r="AA1210" i="18"/>
  <c r="Z1210" i="18"/>
  <c r="Y1210" i="18"/>
  <c r="X1210" i="18"/>
  <c r="W1210" i="18"/>
  <c r="V1210" i="18"/>
  <c r="U1210" i="18"/>
  <c r="T1210" i="18"/>
  <c r="S1210" i="18"/>
  <c r="R1210" i="18"/>
  <c r="Q1210" i="18"/>
  <c r="P1210" i="18"/>
  <c r="O1210" i="18"/>
  <c r="N1210" i="18"/>
  <c r="M1210" i="18"/>
  <c r="L1210" i="18"/>
  <c r="K1210" i="18"/>
  <c r="J1210" i="18"/>
  <c r="I1210" i="18"/>
  <c r="H1210" i="18"/>
  <c r="G1210" i="18"/>
  <c r="F1210" i="18"/>
  <c r="E1210" i="18"/>
  <c r="D1210" i="18"/>
  <c r="C1210" i="18"/>
  <c r="B1210" i="18"/>
  <c r="A1210" i="18"/>
  <c r="DA1209" i="18"/>
  <c r="CJ1209" i="18"/>
  <c r="CI1209" i="18"/>
  <c r="CH1209" i="18"/>
  <c r="CG1209" i="18"/>
  <c r="CF1209" i="18"/>
  <c r="CE1209" i="18"/>
  <c r="CD1209" i="18"/>
  <c r="CC1209" i="18"/>
  <c r="CB1209" i="18"/>
  <c r="CA1209" i="18"/>
  <c r="BZ1209" i="18"/>
  <c r="BY1209" i="18"/>
  <c r="BX1209" i="18"/>
  <c r="BW1209" i="18"/>
  <c r="BV1209" i="18"/>
  <c r="BU1209" i="18"/>
  <c r="BT1209" i="18"/>
  <c r="BS1209" i="18"/>
  <c r="BR1209" i="18"/>
  <c r="BQ1209" i="18"/>
  <c r="BP1209" i="18"/>
  <c r="BO1209" i="18"/>
  <c r="BN1209" i="18"/>
  <c r="BM1209" i="18"/>
  <c r="BL1209" i="18"/>
  <c r="BK1209" i="18"/>
  <c r="BJ1209" i="18"/>
  <c r="BI1209" i="18"/>
  <c r="BH1209" i="18"/>
  <c r="BG1209" i="18"/>
  <c r="BF1209" i="18"/>
  <c r="BE1209" i="18"/>
  <c r="BD1209" i="18"/>
  <c r="BC1209" i="18"/>
  <c r="BB1209" i="18"/>
  <c r="BA1209" i="18"/>
  <c r="AZ1209" i="18"/>
  <c r="AY1209" i="18"/>
  <c r="AX1209" i="18"/>
  <c r="AW1209" i="18"/>
  <c r="AV1209" i="18"/>
  <c r="AU1209" i="18"/>
  <c r="AT1209" i="18"/>
  <c r="AS1209" i="18"/>
  <c r="AR1209" i="18"/>
  <c r="AQ1209" i="18"/>
  <c r="AP1209" i="18"/>
  <c r="AO1209" i="18"/>
  <c r="AN1209" i="18"/>
  <c r="AM1209" i="18"/>
  <c r="AL1209" i="18"/>
  <c r="AK1209" i="18"/>
  <c r="AJ1209" i="18"/>
  <c r="AI1209" i="18"/>
  <c r="AH1209" i="18"/>
  <c r="AG1209" i="18"/>
  <c r="AF1209" i="18"/>
  <c r="AE1209" i="18"/>
  <c r="AD1209" i="18"/>
  <c r="AC1209" i="18"/>
  <c r="AB1209" i="18"/>
  <c r="AA1209" i="18"/>
  <c r="Z1209" i="18"/>
  <c r="Y1209" i="18"/>
  <c r="X1209" i="18"/>
  <c r="W1209" i="18"/>
  <c r="V1209" i="18"/>
  <c r="U1209" i="18"/>
  <c r="T1209" i="18"/>
  <c r="S1209" i="18"/>
  <c r="R1209" i="18"/>
  <c r="Q1209" i="18"/>
  <c r="P1209" i="18"/>
  <c r="O1209" i="18"/>
  <c r="N1209" i="18"/>
  <c r="M1209" i="18"/>
  <c r="L1209" i="18"/>
  <c r="K1209" i="18"/>
  <c r="J1209" i="18"/>
  <c r="I1209" i="18"/>
  <c r="H1209" i="18"/>
  <c r="G1209" i="18"/>
  <c r="F1209" i="18"/>
  <c r="E1209" i="18"/>
  <c r="D1209" i="18"/>
  <c r="C1209" i="18"/>
  <c r="B1209" i="18"/>
  <c r="A1209" i="18"/>
  <c r="DA1208" i="18"/>
  <c r="CZ1208" i="18"/>
  <c r="CY1208" i="18"/>
  <c r="CX1208" i="18"/>
  <c r="CW1208" i="18"/>
  <c r="CV1208" i="18"/>
  <c r="CU1208" i="18"/>
  <c r="CT1208" i="18"/>
  <c r="CS1208" i="18"/>
  <c r="CR1208" i="18"/>
  <c r="CQ1208" i="18"/>
  <c r="CP1208" i="18"/>
  <c r="CO1208" i="18"/>
  <c r="CN1208" i="18"/>
  <c r="CM1208" i="18"/>
  <c r="CL1208" i="18"/>
  <c r="CK1208" i="18"/>
  <c r="CJ1208" i="18"/>
  <c r="CI1208" i="18"/>
  <c r="CH1208" i="18"/>
  <c r="CG1208" i="18"/>
  <c r="CF1208" i="18"/>
  <c r="CE1208" i="18"/>
  <c r="CD1208" i="18"/>
  <c r="CC1208" i="18"/>
  <c r="CB1208" i="18"/>
  <c r="CA1208" i="18"/>
  <c r="BZ1208" i="18"/>
  <c r="BY1208" i="18"/>
  <c r="BX1208" i="18"/>
  <c r="BW1208" i="18"/>
  <c r="BV1208" i="18"/>
  <c r="BU1208" i="18"/>
  <c r="BT1208" i="18"/>
  <c r="BS1208" i="18"/>
  <c r="BR1208" i="18"/>
  <c r="BQ1208" i="18"/>
  <c r="BP1208" i="18"/>
  <c r="BO1208" i="18"/>
  <c r="BN1208" i="18"/>
  <c r="BM1208" i="18"/>
  <c r="BL1208" i="18"/>
  <c r="BK1208" i="18"/>
  <c r="BJ1208" i="18"/>
  <c r="BI1208" i="18"/>
  <c r="BH1208" i="18"/>
  <c r="BG1208" i="18"/>
  <c r="BF1208" i="18"/>
  <c r="BE1208" i="18"/>
  <c r="BD1208" i="18"/>
  <c r="BC1208" i="18"/>
  <c r="BB1208" i="18"/>
  <c r="BA1208" i="18"/>
  <c r="AZ1208" i="18"/>
  <c r="AY1208" i="18"/>
  <c r="AX1208" i="18"/>
  <c r="AW1208" i="18"/>
  <c r="AV1208" i="18"/>
  <c r="AU1208" i="18"/>
  <c r="AT1208" i="18"/>
  <c r="AS1208" i="18"/>
  <c r="AR1208" i="18"/>
  <c r="AQ1208" i="18"/>
  <c r="AP1208" i="18"/>
  <c r="AO1208" i="18"/>
  <c r="AN1208" i="18"/>
  <c r="AM1208" i="18"/>
  <c r="AL1208" i="18"/>
  <c r="AK1208" i="18"/>
  <c r="AJ1208" i="18"/>
  <c r="AI1208" i="18"/>
  <c r="AH1208" i="18"/>
  <c r="AG1208" i="18"/>
  <c r="AF1208" i="18"/>
  <c r="AE1208" i="18"/>
  <c r="AD1208" i="18"/>
  <c r="AC1208" i="18"/>
  <c r="AB1208" i="18"/>
  <c r="AA1208" i="18"/>
  <c r="Z1208" i="18"/>
  <c r="Y1208" i="18"/>
  <c r="X1208" i="18"/>
  <c r="W1208" i="18"/>
  <c r="V1208" i="18"/>
  <c r="U1208" i="18"/>
  <c r="T1208" i="18"/>
  <c r="S1208" i="18"/>
  <c r="R1208" i="18"/>
  <c r="Q1208" i="18"/>
  <c r="P1208" i="18"/>
  <c r="O1208" i="18"/>
  <c r="N1208" i="18"/>
  <c r="M1208" i="18"/>
  <c r="L1208" i="18"/>
  <c r="K1208" i="18"/>
  <c r="J1208" i="18"/>
  <c r="I1208" i="18"/>
  <c r="H1208" i="18"/>
  <c r="G1208" i="18"/>
  <c r="F1208" i="18"/>
  <c r="E1208" i="18"/>
  <c r="D1208" i="18"/>
  <c r="C1208" i="18"/>
  <c r="B1208" i="18"/>
  <c r="A1208" i="18"/>
  <c r="DA1207" i="18"/>
  <c r="CJ1207" i="18"/>
  <c r="CI1207" i="18"/>
  <c r="CH1207" i="18"/>
  <c r="CG1207" i="18"/>
  <c r="CF1207" i="18"/>
  <c r="CE1207" i="18"/>
  <c r="CD1207" i="18"/>
  <c r="CC1207" i="18"/>
  <c r="CB1207" i="18"/>
  <c r="CA1207" i="18"/>
  <c r="BZ1207" i="18"/>
  <c r="BY1207" i="18"/>
  <c r="BX1207" i="18"/>
  <c r="BW1207" i="18"/>
  <c r="BV1207" i="18"/>
  <c r="BU1207" i="18"/>
  <c r="BT1207" i="18"/>
  <c r="BS1207" i="18"/>
  <c r="BR1207" i="18"/>
  <c r="BQ1207" i="18"/>
  <c r="BP1207" i="18"/>
  <c r="BO1207" i="18"/>
  <c r="BN1207" i="18"/>
  <c r="BM1207" i="18"/>
  <c r="BL1207" i="18"/>
  <c r="BK1207" i="18"/>
  <c r="BJ1207" i="18"/>
  <c r="BI1207" i="18"/>
  <c r="BH1207" i="18"/>
  <c r="BG1207" i="18"/>
  <c r="BF1207" i="18"/>
  <c r="BE1207" i="18"/>
  <c r="BD1207" i="18"/>
  <c r="BC1207" i="18"/>
  <c r="BB1207" i="18"/>
  <c r="BA1207" i="18"/>
  <c r="AZ1207" i="18"/>
  <c r="AY1207" i="18"/>
  <c r="AX1207" i="18"/>
  <c r="AW1207" i="18"/>
  <c r="AV1207" i="18"/>
  <c r="AU1207" i="18"/>
  <c r="AT1207" i="18"/>
  <c r="AS1207" i="18"/>
  <c r="AR1207" i="18"/>
  <c r="AQ1207" i="18"/>
  <c r="AP1207" i="18"/>
  <c r="AO1207" i="18"/>
  <c r="AN1207" i="18"/>
  <c r="AM1207" i="18"/>
  <c r="AL1207" i="18"/>
  <c r="AK1207" i="18"/>
  <c r="AJ1207" i="18"/>
  <c r="AI1207" i="18"/>
  <c r="AH1207" i="18"/>
  <c r="AG1207" i="18"/>
  <c r="AF1207" i="18"/>
  <c r="AE1207" i="18"/>
  <c r="AD1207" i="18"/>
  <c r="AC1207" i="18"/>
  <c r="AB1207" i="18"/>
  <c r="AA1207" i="18"/>
  <c r="Z1207" i="18"/>
  <c r="Y1207" i="18"/>
  <c r="X1207" i="18"/>
  <c r="W1207" i="18"/>
  <c r="V1207" i="18"/>
  <c r="U1207" i="18"/>
  <c r="T1207" i="18"/>
  <c r="S1207" i="18"/>
  <c r="R1207" i="18"/>
  <c r="Q1207" i="18"/>
  <c r="P1207" i="18"/>
  <c r="O1207" i="18"/>
  <c r="N1207" i="18"/>
  <c r="M1207" i="18"/>
  <c r="L1207" i="18"/>
  <c r="K1207" i="18"/>
  <c r="J1207" i="18"/>
  <c r="I1207" i="18"/>
  <c r="H1207" i="18"/>
  <c r="G1207" i="18"/>
  <c r="F1207" i="18"/>
  <c r="E1207" i="18"/>
  <c r="D1207" i="18"/>
  <c r="C1207" i="18"/>
  <c r="B1207" i="18"/>
  <c r="A1207" i="18"/>
  <c r="DA1206" i="18"/>
  <c r="CJ1206" i="18"/>
  <c r="CI1206" i="18"/>
  <c r="CH1206" i="18"/>
  <c r="CG1206" i="18"/>
  <c r="CF1206" i="18"/>
  <c r="CE1206" i="18"/>
  <c r="CD1206" i="18"/>
  <c r="CC1206" i="18"/>
  <c r="CB1206" i="18"/>
  <c r="CA1206" i="18"/>
  <c r="BZ1206" i="18"/>
  <c r="BY1206" i="18"/>
  <c r="BX1206" i="18"/>
  <c r="BW1206" i="18"/>
  <c r="BV1206" i="18"/>
  <c r="BU1206" i="18"/>
  <c r="BT1206" i="18"/>
  <c r="BS1206" i="18"/>
  <c r="BR1206" i="18"/>
  <c r="BQ1206" i="18"/>
  <c r="BP1206" i="18"/>
  <c r="BO1206" i="18"/>
  <c r="BN1206" i="18"/>
  <c r="BM1206" i="18"/>
  <c r="BL1206" i="18"/>
  <c r="BK1206" i="18"/>
  <c r="BJ1206" i="18"/>
  <c r="BI1206" i="18"/>
  <c r="BH1206" i="18"/>
  <c r="BG1206" i="18"/>
  <c r="BF1206" i="18"/>
  <c r="BE1206" i="18"/>
  <c r="BD1206" i="18"/>
  <c r="BC1206" i="18"/>
  <c r="BB1206" i="18"/>
  <c r="BA1206" i="18"/>
  <c r="AZ1206" i="18"/>
  <c r="AY1206" i="18"/>
  <c r="AX1206" i="18"/>
  <c r="AW1206" i="18"/>
  <c r="AV1206" i="18"/>
  <c r="AU1206" i="18"/>
  <c r="AT1206" i="18"/>
  <c r="AS1206" i="18"/>
  <c r="AR1206" i="18"/>
  <c r="AQ1206" i="18"/>
  <c r="AP1206" i="18"/>
  <c r="AO1206" i="18"/>
  <c r="AN1206" i="18"/>
  <c r="AM1206" i="18"/>
  <c r="AL1206" i="18"/>
  <c r="AK1206" i="18"/>
  <c r="AJ1206" i="18"/>
  <c r="AI1206" i="18"/>
  <c r="AH1206" i="18"/>
  <c r="AG1206" i="18"/>
  <c r="AF1206" i="18"/>
  <c r="AE1206" i="18"/>
  <c r="AD1206" i="18"/>
  <c r="AC1206" i="18"/>
  <c r="AB1206" i="18"/>
  <c r="AA1206" i="18"/>
  <c r="Z1206" i="18"/>
  <c r="Y1206" i="18"/>
  <c r="X1206" i="18"/>
  <c r="W1206" i="18"/>
  <c r="V1206" i="18"/>
  <c r="U1206" i="18"/>
  <c r="T1206" i="18"/>
  <c r="S1206" i="18"/>
  <c r="R1206" i="18"/>
  <c r="Q1206" i="18"/>
  <c r="P1206" i="18"/>
  <c r="O1206" i="18"/>
  <c r="N1206" i="18"/>
  <c r="M1206" i="18"/>
  <c r="L1206" i="18"/>
  <c r="K1206" i="18"/>
  <c r="J1206" i="18"/>
  <c r="I1206" i="18"/>
  <c r="H1206" i="18"/>
  <c r="G1206" i="18"/>
  <c r="F1206" i="18"/>
  <c r="E1206" i="18"/>
  <c r="D1206" i="18"/>
  <c r="C1206" i="18"/>
  <c r="B1206" i="18"/>
  <c r="A1206" i="18"/>
  <c r="DA1205" i="18"/>
  <c r="CZ1205" i="18"/>
  <c r="CY1205" i="18"/>
  <c r="CX1205" i="18"/>
  <c r="CW1205" i="18"/>
  <c r="CV1205" i="18"/>
  <c r="CU1205" i="18"/>
  <c r="CT1205" i="18"/>
  <c r="CS1205" i="18"/>
  <c r="CR1205" i="18"/>
  <c r="CQ1205" i="18"/>
  <c r="CP1205" i="18"/>
  <c r="CO1205" i="18"/>
  <c r="CN1205" i="18"/>
  <c r="CM1205" i="18"/>
  <c r="CL1205" i="18"/>
  <c r="CK1205" i="18"/>
  <c r="CJ1205" i="18"/>
  <c r="CI1205" i="18"/>
  <c r="CH1205" i="18"/>
  <c r="CG1205" i="18"/>
  <c r="CF1205" i="18"/>
  <c r="CE1205" i="18"/>
  <c r="CD1205" i="18"/>
  <c r="CC1205" i="18"/>
  <c r="CB1205" i="18"/>
  <c r="CA1205" i="18"/>
  <c r="BZ1205" i="18"/>
  <c r="BY1205" i="18"/>
  <c r="BX1205" i="18"/>
  <c r="BW1205" i="18"/>
  <c r="BV1205" i="18"/>
  <c r="BU1205" i="18"/>
  <c r="BT1205" i="18"/>
  <c r="BS1205" i="18"/>
  <c r="BR1205" i="18"/>
  <c r="BQ1205" i="18"/>
  <c r="BP1205" i="18"/>
  <c r="BO1205" i="18"/>
  <c r="BN1205" i="18"/>
  <c r="BM1205" i="18"/>
  <c r="BL1205" i="18"/>
  <c r="BK1205" i="18"/>
  <c r="BJ1205" i="18"/>
  <c r="BI1205" i="18"/>
  <c r="BH1205" i="18"/>
  <c r="BG1205" i="18"/>
  <c r="BF1205" i="18"/>
  <c r="BE1205" i="18"/>
  <c r="BD1205" i="18"/>
  <c r="BC1205" i="18"/>
  <c r="BB1205" i="18"/>
  <c r="BA1205" i="18"/>
  <c r="AZ1205" i="18"/>
  <c r="AY1205" i="18"/>
  <c r="AX1205" i="18"/>
  <c r="AW1205" i="18"/>
  <c r="AV1205" i="18"/>
  <c r="AU1205" i="18"/>
  <c r="AT1205" i="18"/>
  <c r="AS1205" i="18"/>
  <c r="AR1205" i="18"/>
  <c r="AQ1205" i="18"/>
  <c r="AP1205" i="18"/>
  <c r="AO1205" i="18"/>
  <c r="AN1205" i="18"/>
  <c r="AM1205" i="18"/>
  <c r="AL1205" i="18"/>
  <c r="AK1205" i="18"/>
  <c r="AJ1205" i="18"/>
  <c r="AI1205" i="18"/>
  <c r="AH1205" i="18"/>
  <c r="AG1205" i="18"/>
  <c r="AF1205" i="18"/>
  <c r="AE1205" i="18"/>
  <c r="AD1205" i="18"/>
  <c r="AC1205" i="18"/>
  <c r="AB1205" i="18"/>
  <c r="AA1205" i="18"/>
  <c r="Z1205" i="18"/>
  <c r="Y1205" i="18"/>
  <c r="X1205" i="18"/>
  <c r="W1205" i="18"/>
  <c r="V1205" i="18"/>
  <c r="U1205" i="18"/>
  <c r="T1205" i="18"/>
  <c r="S1205" i="18"/>
  <c r="R1205" i="18"/>
  <c r="Q1205" i="18"/>
  <c r="P1205" i="18"/>
  <c r="O1205" i="18"/>
  <c r="N1205" i="18"/>
  <c r="M1205" i="18"/>
  <c r="L1205" i="18"/>
  <c r="K1205" i="18"/>
  <c r="J1205" i="18"/>
  <c r="I1205" i="18"/>
  <c r="H1205" i="18"/>
  <c r="G1205" i="18"/>
  <c r="F1205" i="18"/>
  <c r="E1205" i="18"/>
  <c r="D1205" i="18"/>
  <c r="C1205" i="18"/>
  <c r="B1205" i="18"/>
  <c r="A1205" i="18"/>
  <c r="DA1204" i="18"/>
  <c r="CZ1204" i="18"/>
  <c r="CY1204" i="18"/>
  <c r="CX1204" i="18"/>
  <c r="CW1204" i="18"/>
  <c r="CV1204" i="18"/>
  <c r="CU1204" i="18"/>
  <c r="CT1204" i="18"/>
  <c r="CS1204" i="18"/>
  <c r="CR1204" i="18"/>
  <c r="CQ1204" i="18"/>
  <c r="CP1204" i="18"/>
  <c r="CO1204" i="18"/>
  <c r="CN1204" i="18"/>
  <c r="CM1204" i="18"/>
  <c r="CL1204" i="18"/>
  <c r="CK1204" i="18"/>
  <c r="CJ1204" i="18"/>
  <c r="CI1204" i="18"/>
  <c r="CH1204" i="18"/>
  <c r="CG1204" i="18"/>
  <c r="CF1204" i="18"/>
  <c r="CE1204" i="18"/>
  <c r="CD1204" i="18"/>
  <c r="CC1204" i="18"/>
  <c r="CB1204" i="18"/>
  <c r="CA1204" i="18"/>
  <c r="BZ1204" i="18"/>
  <c r="BY1204" i="18"/>
  <c r="BX1204" i="18"/>
  <c r="BW1204" i="18"/>
  <c r="BV1204" i="18"/>
  <c r="BU1204" i="18"/>
  <c r="BT1204" i="18"/>
  <c r="BS1204" i="18"/>
  <c r="BR1204" i="18"/>
  <c r="BQ1204" i="18"/>
  <c r="BP1204" i="18"/>
  <c r="BO1204" i="18"/>
  <c r="BN1204" i="18"/>
  <c r="BM1204" i="18"/>
  <c r="BL1204" i="18"/>
  <c r="BK1204" i="18"/>
  <c r="BJ1204" i="18"/>
  <c r="BI1204" i="18"/>
  <c r="BH1204" i="18"/>
  <c r="BG1204" i="18"/>
  <c r="BF1204" i="18"/>
  <c r="BE1204" i="18"/>
  <c r="BD1204" i="18"/>
  <c r="BC1204" i="18"/>
  <c r="BB1204" i="18"/>
  <c r="BA1204" i="18"/>
  <c r="AZ1204" i="18"/>
  <c r="AY1204" i="18"/>
  <c r="AX1204" i="18"/>
  <c r="AW1204" i="18"/>
  <c r="AV1204" i="18"/>
  <c r="AU1204" i="18"/>
  <c r="AT1204" i="18"/>
  <c r="AS1204" i="18"/>
  <c r="AR1204" i="18"/>
  <c r="AQ1204" i="18"/>
  <c r="AP1204" i="18"/>
  <c r="AO1204" i="18"/>
  <c r="AN1204" i="18"/>
  <c r="AM1204" i="18"/>
  <c r="AL1204" i="18"/>
  <c r="AK1204" i="18"/>
  <c r="AJ1204" i="18"/>
  <c r="AI1204" i="18"/>
  <c r="AH1204" i="18"/>
  <c r="AG1204" i="18"/>
  <c r="AF1204" i="18"/>
  <c r="AE1204" i="18"/>
  <c r="AD1204" i="18"/>
  <c r="AC1204" i="18"/>
  <c r="AB1204" i="18"/>
  <c r="AA1204" i="18"/>
  <c r="Z1204" i="18"/>
  <c r="Y1204" i="18"/>
  <c r="X1204" i="18"/>
  <c r="W1204" i="18"/>
  <c r="V1204" i="18"/>
  <c r="U1204" i="18"/>
  <c r="T1204" i="18"/>
  <c r="S1204" i="18"/>
  <c r="R1204" i="18"/>
  <c r="Q1204" i="18"/>
  <c r="P1204" i="18"/>
  <c r="O1204" i="18"/>
  <c r="N1204" i="18"/>
  <c r="M1204" i="18"/>
  <c r="L1204" i="18"/>
  <c r="K1204" i="18"/>
  <c r="J1204" i="18"/>
  <c r="I1204" i="18"/>
  <c r="H1204" i="18"/>
  <c r="G1204" i="18"/>
  <c r="F1204" i="18"/>
  <c r="E1204" i="18"/>
  <c r="D1204" i="18"/>
  <c r="C1204" i="18"/>
  <c r="B1204" i="18"/>
  <c r="A1204" i="18"/>
  <c r="DA1203" i="18"/>
  <c r="CZ1203" i="18"/>
  <c r="CY1203" i="18"/>
  <c r="CX1203" i="18"/>
  <c r="CW1203" i="18"/>
  <c r="CV1203" i="18"/>
  <c r="CU1203" i="18"/>
  <c r="CT1203" i="18"/>
  <c r="CS1203" i="18"/>
  <c r="CR1203" i="18"/>
  <c r="CQ1203" i="18"/>
  <c r="CP1203" i="18"/>
  <c r="CO1203" i="18"/>
  <c r="CN1203" i="18"/>
  <c r="CM1203" i="18"/>
  <c r="CL1203" i="18"/>
  <c r="CK1203" i="18"/>
  <c r="CJ1203" i="18"/>
  <c r="CI1203" i="18"/>
  <c r="CH1203" i="18"/>
  <c r="CG1203" i="18"/>
  <c r="CF1203" i="18"/>
  <c r="CE1203" i="18"/>
  <c r="CD1203" i="18"/>
  <c r="CC1203" i="18"/>
  <c r="CB1203" i="18"/>
  <c r="CA1203" i="18"/>
  <c r="BZ1203" i="18"/>
  <c r="BY1203" i="18"/>
  <c r="BX1203" i="18"/>
  <c r="BW1203" i="18"/>
  <c r="BV1203" i="18"/>
  <c r="BU1203" i="18"/>
  <c r="BT1203" i="18"/>
  <c r="BS1203" i="18"/>
  <c r="BR1203" i="18"/>
  <c r="BQ1203" i="18"/>
  <c r="BP1203" i="18"/>
  <c r="BO1203" i="18"/>
  <c r="BN1203" i="18"/>
  <c r="BM1203" i="18"/>
  <c r="BL1203" i="18"/>
  <c r="BK1203" i="18"/>
  <c r="BJ1203" i="18"/>
  <c r="BI1203" i="18"/>
  <c r="BH1203" i="18"/>
  <c r="BG1203" i="18"/>
  <c r="BF1203" i="18"/>
  <c r="BE1203" i="18"/>
  <c r="BD1203" i="18"/>
  <c r="BC1203" i="18"/>
  <c r="BB1203" i="18"/>
  <c r="BA1203" i="18"/>
  <c r="AZ1203" i="18"/>
  <c r="AY1203" i="18"/>
  <c r="AX1203" i="18"/>
  <c r="AW1203" i="18"/>
  <c r="AV1203" i="18"/>
  <c r="AU1203" i="18"/>
  <c r="AT1203" i="18"/>
  <c r="AS1203" i="18"/>
  <c r="AR1203" i="18"/>
  <c r="AQ1203" i="18"/>
  <c r="AP1203" i="18"/>
  <c r="AO1203" i="18"/>
  <c r="AN1203" i="18"/>
  <c r="AM1203" i="18"/>
  <c r="AL1203" i="18"/>
  <c r="AK1203" i="18"/>
  <c r="AJ1203" i="18"/>
  <c r="AI1203" i="18"/>
  <c r="AH1203" i="18"/>
  <c r="AG1203" i="18"/>
  <c r="AF1203" i="18"/>
  <c r="AE1203" i="18"/>
  <c r="AD1203" i="18"/>
  <c r="AC1203" i="18"/>
  <c r="AB1203" i="18"/>
  <c r="AA1203" i="18"/>
  <c r="Z1203" i="18"/>
  <c r="Y1203" i="18"/>
  <c r="X1203" i="18"/>
  <c r="W1203" i="18"/>
  <c r="V1203" i="18"/>
  <c r="U1203" i="18"/>
  <c r="T1203" i="18"/>
  <c r="S1203" i="18"/>
  <c r="R1203" i="18"/>
  <c r="Q1203" i="18"/>
  <c r="P1203" i="18"/>
  <c r="O1203" i="18"/>
  <c r="N1203" i="18"/>
  <c r="M1203" i="18"/>
  <c r="L1203" i="18"/>
  <c r="K1203" i="18"/>
  <c r="J1203" i="18"/>
  <c r="I1203" i="18"/>
  <c r="H1203" i="18"/>
  <c r="G1203" i="18"/>
  <c r="F1203" i="18"/>
  <c r="E1203" i="18"/>
  <c r="D1203" i="18"/>
  <c r="C1203" i="18"/>
  <c r="B1203" i="18"/>
  <c r="A1203" i="18"/>
  <c r="DA1202" i="18"/>
  <c r="CZ1202" i="18"/>
  <c r="CY1202" i="18"/>
  <c r="CX1202" i="18"/>
  <c r="CW1202" i="18"/>
  <c r="CV1202" i="18"/>
  <c r="CU1202" i="18"/>
  <c r="CT1202" i="18"/>
  <c r="CS1202" i="18"/>
  <c r="CR1202" i="18"/>
  <c r="CQ1202" i="18"/>
  <c r="CP1202" i="18"/>
  <c r="CO1202" i="18"/>
  <c r="CN1202" i="18"/>
  <c r="CM1202" i="18"/>
  <c r="CL1202" i="18"/>
  <c r="CK1202" i="18"/>
  <c r="CJ1202" i="18"/>
  <c r="CI1202" i="18"/>
  <c r="CH1202" i="18"/>
  <c r="CG1202" i="18"/>
  <c r="CF1202" i="18"/>
  <c r="CE1202" i="18"/>
  <c r="CD1202" i="18"/>
  <c r="CC1202" i="18"/>
  <c r="CB1202" i="18"/>
  <c r="CA1202" i="18"/>
  <c r="BZ1202" i="18"/>
  <c r="BY1202" i="18"/>
  <c r="BX1202" i="18"/>
  <c r="BW1202" i="18"/>
  <c r="BV1202" i="18"/>
  <c r="BU1202" i="18"/>
  <c r="BT1202" i="18"/>
  <c r="BS1202" i="18"/>
  <c r="BR1202" i="18"/>
  <c r="BQ1202" i="18"/>
  <c r="BP1202" i="18"/>
  <c r="BO1202" i="18"/>
  <c r="BN1202" i="18"/>
  <c r="BM1202" i="18"/>
  <c r="BL1202" i="18"/>
  <c r="BK1202" i="18"/>
  <c r="BJ1202" i="18"/>
  <c r="BI1202" i="18"/>
  <c r="BH1202" i="18"/>
  <c r="BG1202" i="18"/>
  <c r="BF1202" i="18"/>
  <c r="BE1202" i="18"/>
  <c r="BD1202" i="18"/>
  <c r="BC1202" i="18"/>
  <c r="BB1202" i="18"/>
  <c r="BA1202" i="18"/>
  <c r="AZ1202" i="18"/>
  <c r="AY1202" i="18"/>
  <c r="AX1202" i="18"/>
  <c r="AW1202" i="18"/>
  <c r="AV1202" i="18"/>
  <c r="AU1202" i="18"/>
  <c r="AT1202" i="18"/>
  <c r="AS1202" i="18"/>
  <c r="AR1202" i="18"/>
  <c r="AQ1202" i="18"/>
  <c r="AP1202" i="18"/>
  <c r="AO1202" i="18"/>
  <c r="AN1202" i="18"/>
  <c r="AM1202" i="18"/>
  <c r="AL1202" i="18"/>
  <c r="AK1202" i="18"/>
  <c r="AJ1202" i="18"/>
  <c r="AI1202" i="18"/>
  <c r="AH1202" i="18"/>
  <c r="AG1202" i="18"/>
  <c r="AF1202" i="18"/>
  <c r="AE1202" i="18"/>
  <c r="AD1202" i="18"/>
  <c r="AC1202" i="18"/>
  <c r="AB1202" i="18"/>
  <c r="AA1202" i="18"/>
  <c r="Z1202" i="18"/>
  <c r="Y1202" i="18"/>
  <c r="X1202" i="18"/>
  <c r="W1202" i="18"/>
  <c r="V1202" i="18"/>
  <c r="U1202" i="18"/>
  <c r="T1202" i="18"/>
  <c r="S1202" i="18"/>
  <c r="R1202" i="18"/>
  <c r="Q1202" i="18"/>
  <c r="P1202" i="18"/>
  <c r="O1202" i="18"/>
  <c r="N1202" i="18"/>
  <c r="M1202" i="18"/>
  <c r="L1202" i="18"/>
  <c r="K1202" i="18"/>
  <c r="J1202" i="18"/>
  <c r="I1202" i="18"/>
  <c r="H1202" i="18"/>
  <c r="G1202" i="18"/>
  <c r="F1202" i="18"/>
  <c r="E1202" i="18"/>
  <c r="D1202" i="18"/>
  <c r="C1202" i="18"/>
  <c r="B1202" i="18"/>
  <c r="A1202" i="18"/>
  <c r="DA1201" i="18"/>
  <c r="CZ1201" i="18"/>
  <c r="CY1201" i="18"/>
  <c r="CX1201" i="18"/>
  <c r="CW1201" i="18"/>
  <c r="CV1201" i="18"/>
  <c r="CU1201" i="18"/>
  <c r="CT1201" i="18"/>
  <c r="CS1201" i="18"/>
  <c r="CR1201" i="18"/>
  <c r="CQ1201" i="18"/>
  <c r="CP1201" i="18"/>
  <c r="CO1201" i="18"/>
  <c r="CN1201" i="18"/>
  <c r="CM1201" i="18"/>
  <c r="CL1201" i="18"/>
  <c r="CK1201" i="18"/>
  <c r="CJ1201" i="18"/>
  <c r="CI1201" i="18"/>
  <c r="CH1201" i="18"/>
  <c r="CG1201" i="18"/>
  <c r="CF1201" i="18"/>
  <c r="CE1201" i="18"/>
  <c r="CD1201" i="18"/>
  <c r="CC1201" i="18"/>
  <c r="CB1201" i="18"/>
  <c r="CA1201" i="18"/>
  <c r="BZ1201" i="18"/>
  <c r="BY1201" i="18"/>
  <c r="BX1201" i="18"/>
  <c r="BW1201" i="18"/>
  <c r="BV1201" i="18"/>
  <c r="BU1201" i="18"/>
  <c r="BT1201" i="18"/>
  <c r="BS1201" i="18"/>
  <c r="BR1201" i="18"/>
  <c r="BQ1201" i="18"/>
  <c r="BP1201" i="18"/>
  <c r="BO1201" i="18"/>
  <c r="BN1201" i="18"/>
  <c r="BM1201" i="18"/>
  <c r="BL1201" i="18"/>
  <c r="BK1201" i="18"/>
  <c r="BJ1201" i="18"/>
  <c r="BI1201" i="18"/>
  <c r="BH1201" i="18"/>
  <c r="BG1201" i="18"/>
  <c r="BF1201" i="18"/>
  <c r="BE1201" i="18"/>
  <c r="BD1201" i="18"/>
  <c r="BC1201" i="18"/>
  <c r="BB1201" i="18"/>
  <c r="BA1201" i="18"/>
  <c r="AZ1201" i="18"/>
  <c r="AY1201" i="18"/>
  <c r="AX1201" i="18"/>
  <c r="AW1201" i="18"/>
  <c r="AV1201" i="18"/>
  <c r="AU1201" i="18"/>
  <c r="AT1201" i="18"/>
  <c r="AS1201" i="18"/>
  <c r="AR1201" i="18"/>
  <c r="AQ1201" i="18"/>
  <c r="AP1201" i="18"/>
  <c r="AO1201" i="18"/>
  <c r="AN1201" i="18"/>
  <c r="AM1201" i="18"/>
  <c r="AL1201" i="18"/>
  <c r="AK1201" i="18"/>
  <c r="AJ1201" i="18"/>
  <c r="AI1201" i="18"/>
  <c r="AH1201" i="18"/>
  <c r="AG1201" i="18"/>
  <c r="AF1201" i="18"/>
  <c r="AE1201" i="18"/>
  <c r="AD1201" i="18"/>
  <c r="AC1201" i="18"/>
  <c r="AB1201" i="18"/>
  <c r="AA1201" i="18"/>
  <c r="Z1201" i="18"/>
  <c r="Y1201" i="18"/>
  <c r="X1201" i="18"/>
  <c r="W1201" i="18"/>
  <c r="V1201" i="18"/>
  <c r="U1201" i="18"/>
  <c r="T1201" i="18"/>
  <c r="S1201" i="18"/>
  <c r="R1201" i="18"/>
  <c r="Q1201" i="18"/>
  <c r="P1201" i="18"/>
  <c r="O1201" i="18"/>
  <c r="N1201" i="18"/>
  <c r="M1201" i="18"/>
  <c r="L1201" i="18"/>
  <c r="K1201" i="18"/>
  <c r="J1201" i="18"/>
  <c r="I1201" i="18"/>
  <c r="H1201" i="18"/>
  <c r="G1201" i="18"/>
  <c r="F1201" i="18"/>
  <c r="E1201" i="18"/>
  <c r="D1201" i="18"/>
  <c r="C1201" i="18"/>
  <c r="B1201" i="18"/>
  <c r="A1201" i="18"/>
  <c r="DA1200" i="18"/>
  <c r="CZ1200" i="18"/>
  <c r="CY1200" i="18"/>
  <c r="CX1200" i="18"/>
  <c r="CW1200" i="18"/>
  <c r="CV1200" i="18"/>
  <c r="CU1200" i="18"/>
  <c r="CT1200" i="18"/>
  <c r="CS1200" i="18"/>
  <c r="CR1200" i="18"/>
  <c r="CQ1200" i="18"/>
  <c r="CP1200" i="18"/>
  <c r="CO1200" i="18"/>
  <c r="CN1200" i="18"/>
  <c r="CM1200" i="18"/>
  <c r="CL1200" i="18"/>
  <c r="CK1200" i="18"/>
  <c r="CJ1200" i="18"/>
  <c r="CI1200" i="18"/>
  <c r="CH1200" i="18"/>
  <c r="CG1200" i="18"/>
  <c r="CF1200" i="18"/>
  <c r="CE1200" i="18"/>
  <c r="CD1200" i="18"/>
  <c r="CC1200" i="18"/>
  <c r="CB1200" i="18"/>
  <c r="CA1200" i="18"/>
  <c r="BZ1200" i="18"/>
  <c r="BY1200" i="18"/>
  <c r="BX1200" i="18"/>
  <c r="BW1200" i="18"/>
  <c r="BV1200" i="18"/>
  <c r="BU1200" i="18"/>
  <c r="BT1200" i="18"/>
  <c r="BS1200" i="18"/>
  <c r="BR1200" i="18"/>
  <c r="BQ1200" i="18"/>
  <c r="BP1200" i="18"/>
  <c r="BO1200" i="18"/>
  <c r="BN1200" i="18"/>
  <c r="BM1200" i="18"/>
  <c r="BL1200" i="18"/>
  <c r="BK1200" i="18"/>
  <c r="BJ1200" i="18"/>
  <c r="BI1200" i="18"/>
  <c r="BH1200" i="18"/>
  <c r="BG1200" i="18"/>
  <c r="BF1200" i="18"/>
  <c r="BE1200" i="18"/>
  <c r="BD1200" i="18"/>
  <c r="BC1200" i="18"/>
  <c r="BB1200" i="18"/>
  <c r="BA1200" i="18"/>
  <c r="AZ1200" i="18"/>
  <c r="AY1200" i="18"/>
  <c r="AX1200" i="18"/>
  <c r="AW1200" i="18"/>
  <c r="AV1200" i="18"/>
  <c r="AU1200" i="18"/>
  <c r="AT1200" i="18"/>
  <c r="AS1200" i="18"/>
  <c r="AR1200" i="18"/>
  <c r="AQ1200" i="18"/>
  <c r="AP1200" i="18"/>
  <c r="AO1200" i="18"/>
  <c r="AN1200" i="18"/>
  <c r="AM1200" i="18"/>
  <c r="AL1200" i="18"/>
  <c r="AK1200" i="18"/>
  <c r="AJ1200" i="18"/>
  <c r="AI1200" i="18"/>
  <c r="AH1200" i="18"/>
  <c r="AG1200" i="18"/>
  <c r="AF1200" i="18"/>
  <c r="AE1200" i="18"/>
  <c r="AD1200" i="18"/>
  <c r="AC1200" i="18"/>
  <c r="AB1200" i="18"/>
  <c r="AA1200" i="18"/>
  <c r="Z1200" i="18"/>
  <c r="Y1200" i="18"/>
  <c r="X1200" i="18"/>
  <c r="W1200" i="18"/>
  <c r="V1200" i="18"/>
  <c r="U1200" i="18"/>
  <c r="T1200" i="18"/>
  <c r="S1200" i="18"/>
  <c r="R1200" i="18"/>
  <c r="Q1200" i="18"/>
  <c r="P1200" i="18"/>
  <c r="O1200" i="18"/>
  <c r="N1200" i="18"/>
  <c r="M1200" i="18"/>
  <c r="L1200" i="18"/>
  <c r="K1200" i="18"/>
  <c r="J1200" i="18"/>
  <c r="I1200" i="18"/>
  <c r="H1200" i="18"/>
  <c r="G1200" i="18"/>
  <c r="F1200" i="18"/>
  <c r="E1200" i="18"/>
  <c r="D1200" i="18"/>
  <c r="C1200" i="18"/>
  <c r="B1200" i="18"/>
  <c r="A1200" i="18"/>
  <c r="DA1197" i="18"/>
  <c r="CZ1197" i="18"/>
  <c r="CY1197" i="18"/>
  <c r="CX1197" i="18"/>
  <c r="CW1197" i="18"/>
  <c r="CV1197" i="18"/>
  <c r="CU1197" i="18"/>
  <c r="CT1197" i="18"/>
  <c r="CS1197" i="18"/>
  <c r="CR1197" i="18"/>
  <c r="CQ1197" i="18"/>
  <c r="CP1197" i="18"/>
  <c r="CO1197" i="18"/>
  <c r="CN1197" i="18"/>
  <c r="CM1197" i="18"/>
  <c r="CL1197" i="18"/>
  <c r="CK1197" i="18"/>
  <c r="CJ1197" i="18"/>
  <c r="CI1197" i="18"/>
  <c r="CH1197" i="18"/>
  <c r="CG1197" i="18"/>
  <c r="CF1197" i="18"/>
  <c r="CE1197" i="18"/>
  <c r="CD1197" i="18"/>
  <c r="CC1197" i="18"/>
  <c r="CB1197" i="18"/>
  <c r="CA1197" i="18"/>
  <c r="BZ1197" i="18"/>
  <c r="BY1197" i="18"/>
  <c r="BX1197" i="18"/>
  <c r="BW1197" i="18"/>
  <c r="BV1197" i="18"/>
  <c r="BU1197" i="18"/>
  <c r="BT1197" i="18"/>
  <c r="BS1197" i="18"/>
  <c r="BR1197" i="18"/>
  <c r="BQ1197" i="18"/>
  <c r="BP1197" i="18"/>
  <c r="BO1197" i="18"/>
  <c r="BN1197" i="18"/>
  <c r="BM1197" i="18"/>
  <c r="BL1197" i="18"/>
  <c r="BK1197" i="18"/>
  <c r="BJ1197" i="18"/>
  <c r="BI1197" i="18"/>
  <c r="BH1197" i="18"/>
  <c r="BG1197" i="18"/>
  <c r="BF1197" i="18"/>
  <c r="BE1197" i="18"/>
  <c r="BD1197" i="18"/>
  <c r="BC1197" i="18"/>
  <c r="BB1197" i="18"/>
  <c r="BA1197" i="18"/>
  <c r="AZ1197" i="18"/>
  <c r="AY1197" i="18"/>
  <c r="AX1197" i="18"/>
  <c r="AW1197" i="18"/>
  <c r="AV1197" i="18"/>
  <c r="AU1197" i="18"/>
  <c r="AT1197" i="18"/>
  <c r="AS1197" i="18"/>
  <c r="AR1197" i="18"/>
  <c r="AQ1197" i="18"/>
  <c r="AP1197" i="18"/>
  <c r="AO1197" i="18"/>
  <c r="AN1197" i="18"/>
  <c r="AM1197" i="18"/>
  <c r="AL1197" i="18"/>
  <c r="AK1197" i="18"/>
  <c r="AJ1197" i="18"/>
  <c r="AI1197" i="18"/>
  <c r="AH1197" i="18"/>
  <c r="AG1197" i="18"/>
  <c r="AF1197" i="18"/>
  <c r="AE1197" i="18"/>
  <c r="AD1197" i="18"/>
  <c r="AC1197" i="18"/>
  <c r="AB1197" i="18"/>
  <c r="AA1197" i="18"/>
  <c r="Z1197" i="18"/>
  <c r="Y1197" i="18"/>
  <c r="X1197" i="18"/>
  <c r="W1197" i="18"/>
  <c r="V1197" i="18"/>
  <c r="U1197" i="18"/>
  <c r="T1197" i="18"/>
  <c r="S1197" i="18"/>
  <c r="R1197" i="18"/>
  <c r="Q1197" i="18"/>
  <c r="P1197" i="18"/>
  <c r="O1197" i="18"/>
  <c r="N1197" i="18"/>
  <c r="M1197" i="18"/>
  <c r="L1197" i="18"/>
  <c r="K1197" i="18"/>
  <c r="J1197" i="18"/>
  <c r="I1197" i="18"/>
  <c r="H1197" i="18"/>
  <c r="G1197" i="18"/>
  <c r="F1197" i="18"/>
  <c r="E1197" i="18"/>
  <c r="D1197" i="18"/>
  <c r="C1197" i="18"/>
  <c r="B1197" i="18"/>
  <c r="A1197" i="18"/>
  <c r="DA1196" i="18"/>
  <c r="CZ1196" i="18"/>
  <c r="CY1196" i="18"/>
  <c r="CX1196" i="18"/>
  <c r="CW1196" i="18"/>
  <c r="CV1196" i="18"/>
  <c r="CU1196" i="18"/>
  <c r="CT1196" i="18"/>
  <c r="CS1196" i="18"/>
  <c r="CR1196" i="18"/>
  <c r="CQ1196" i="18"/>
  <c r="CP1196" i="18"/>
  <c r="CO1196" i="18"/>
  <c r="CN1196" i="18"/>
  <c r="CM1196" i="18"/>
  <c r="CL1196" i="18"/>
  <c r="CK1196" i="18"/>
  <c r="CJ1196" i="18"/>
  <c r="CI1196" i="18"/>
  <c r="CH1196" i="18"/>
  <c r="CG1196" i="18"/>
  <c r="CF1196" i="18"/>
  <c r="CE1196" i="18"/>
  <c r="CD1196" i="18"/>
  <c r="CC1196" i="18"/>
  <c r="CB1196" i="18"/>
  <c r="CA1196" i="18"/>
  <c r="BZ1196" i="18"/>
  <c r="BY1196" i="18"/>
  <c r="BX1196" i="18"/>
  <c r="BW1196" i="18"/>
  <c r="BV1196" i="18"/>
  <c r="BU1196" i="18"/>
  <c r="BT1196" i="18"/>
  <c r="BS1196" i="18"/>
  <c r="BR1196" i="18"/>
  <c r="BQ1196" i="18"/>
  <c r="BP1196" i="18"/>
  <c r="BO1196" i="18"/>
  <c r="BN1196" i="18"/>
  <c r="BM1196" i="18"/>
  <c r="BL1196" i="18"/>
  <c r="BK1196" i="18"/>
  <c r="BJ1196" i="18"/>
  <c r="BI1196" i="18"/>
  <c r="BH1196" i="18"/>
  <c r="BG1196" i="18"/>
  <c r="BF1196" i="18"/>
  <c r="BE1196" i="18"/>
  <c r="BD1196" i="18"/>
  <c r="BC1196" i="18"/>
  <c r="BB1196" i="18"/>
  <c r="BA1196" i="18"/>
  <c r="AZ1196" i="18"/>
  <c r="AY1196" i="18"/>
  <c r="AX1196" i="18"/>
  <c r="AW1196" i="18"/>
  <c r="AV1196" i="18"/>
  <c r="AU1196" i="18"/>
  <c r="AT1196" i="18"/>
  <c r="AS1196" i="18"/>
  <c r="AR1196" i="18"/>
  <c r="AQ1196" i="18"/>
  <c r="AP1196" i="18"/>
  <c r="AO1196" i="18"/>
  <c r="AN1196" i="18"/>
  <c r="AM1196" i="18"/>
  <c r="AL1196" i="18"/>
  <c r="AK1196" i="18"/>
  <c r="AJ1196" i="18"/>
  <c r="AI1196" i="18"/>
  <c r="AH1196" i="18"/>
  <c r="AG1196" i="18"/>
  <c r="AF1196" i="18"/>
  <c r="AE1196" i="18"/>
  <c r="AD1196" i="18"/>
  <c r="AC1196" i="18"/>
  <c r="AB1196" i="18"/>
  <c r="AA1196" i="18"/>
  <c r="Z1196" i="18"/>
  <c r="Y1196" i="18"/>
  <c r="X1196" i="18"/>
  <c r="W1196" i="18"/>
  <c r="V1196" i="18"/>
  <c r="U1196" i="18"/>
  <c r="T1196" i="18"/>
  <c r="S1196" i="18"/>
  <c r="R1196" i="18"/>
  <c r="Q1196" i="18"/>
  <c r="P1196" i="18"/>
  <c r="O1196" i="18"/>
  <c r="N1196" i="18"/>
  <c r="M1196" i="18"/>
  <c r="L1196" i="18"/>
  <c r="K1196" i="18"/>
  <c r="J1196" i="18"/>
  <c r="I1196" i="18"/>
  <c r="H1196" i="18"/>
  <c r="G1196" i="18"/>
  <c r="F1196" i="18"/>
  <c r="D1196" i="18"/>
  <c r="C1196" i="18"/>
  <c r="B1196" i="18"/>
  <c r="A1196" i="18"/>
  <c r="CU1049" i="18"/>
  <c r="CT1049" i="18"/>
  <c r="CS1049" i="18"/>
  <c r="CR1049" i="18"/>
  <c r="CQ1049" i="18"/>
  <c r="CP1049" i="18"/>
  <c r="CO1049" i="18"/>
  <c r="CN1049" i="18"/>
  <c r="CM1049" i="18"/>
  <c r="CL1049" i="18"/>
  <c r="CK1049" i="18"/>
  <c r="CJ1049" i="18"/>
  <c r="CI1049" i="18"/>
  <c r="CH1049" i="18"/>
  <c r="CG1049" i="18"/>
  <c r="CF1049" i="18"/>
  <c r="CE1049" i="18"/>
  <c r="CD1049" i="18"/>
  <c r="CC1049" i="18"/>
  <c r="CB1049" i="18"/>
  <c r="CA1049" i="18"/>
  <c r="BZ1049" i="18"/>
  <c r="BY1049" i="18"/>
  <c r="BX1049" i="18"/>
  <c r="BW1049" i="18"/>
  <c r="BV1049" i="18"/>
  <c r="BU1049" i="18"/>
  <c r="BT1049" i="18"/>
  <c r="BS1049" i="18"/>
  <c r="BR1049" i="18"/>
  <c r="BQ1049" i="18"/>
  <c r="BP1049" i="18"/>
  <c r="BO1049" i="18"/>
  <c r="BN1049" i="18"/>
  <c r="BM1049" i="18"/>
  <c r="BL1049" i="18"/>
  <c r="BK1049" i="18"/>
  <c r="BJ1049" i="18"/>
  <c r="BI1049" i="18"/>
  <c r="BH1049" i="18"/>
  <c r="BG1049" i="18"/>
  <c r="BF1049" i="18"/>
  <c r="BE1049" i="18"/>
  <c r="BD1049" i="18"/>
  <c r="BC1049" i="18"/>
  <c r="BB1049" i="18"/>
  <c r="BA1049" i="18"/>
  <c r="AZ1049" i="18"/>
  <c r="AY1049" i="18"/>
  <c r="AX1049" i="18"/>
  <c r="AW1049" i="18"/>
  <c r="AV1049" i="18"/>
  <c r="AU1049" i="18"/>
  <c r="AT1049" i="18"/>
  <c r="AS1049" i="18"/>
  <c r="AR1049" i="18"/>
  <c r="AQ1049" i="18"/>
  <c r="AP1049" i="18"/>
  <c r="AO1049" i="18"/>
  <c r="AN1049" i="18"/>
  <c r="AM1049" i="18"/>
  <c r="AL1049" i="18"/>
  <c r="AK1049" i="18"/>
  <c r="AJ1049" i="18"/>
  <c r="AI1049" i="18"/>
  <c r="AH1049" i="18"/>
  <c r="AG1049" i="18"/>
  <c r="AF1049" i="18"/>
  <c r="AE1049" i="18"/>
  <c r="AD1049" i="18"/>
  <c r="AC1049" i="18"/>
  <c r="AB1049" i="18"/>
  <c r="AA1049" i="18"/>
  <c r="Z1049" i="18"/>
  <c r="Y1049" i="18"/>
  <c r="X1049" i="18"/>
  <c r="W1049" i="18"/>
  <c r="V1049" i="18"/>
  <c r="U1049" i="18"/>
  <c r="T1049" i="18"/>
  <c r="S1049" i="18"/>
  <c r="R1049" i="18"/>
  <c r="Q1049" i="18"/>
  <c r="P1049" i="18"/>
  <c r="O1049" i="18"/>
  <c r="N1049" i="18"/>
  <c r="M1049" i="18"/>
  <c r="L1049" i="18"/>
  <c r="K1049" i="18"/>
  <c r="J1049" i="18"/>
  <c r="I1049" i="18"/>
  <c r="H1049" i="18"/>
  <c r="G1049" i="18"/>
  <c r="F1049" i="18"/>
  <c r="E1049" i="18"/>
  <c r="D1049" i="18"/>
  <c r="C1049" i="18"/>
  <c r="B1049" i="18"/>
  <c r="A1049" i="18"/>
  <c r="CU1048" i="18"/>
  <c r="CT1048" i="18"/>
  <c r="CS1048" i="18"/>
  <c r="CR1048" i="18"/>
  <c r="CH1048" i="18"/>
  <c r="CG1048" i="18"/>
  <c r="CF1048" i="18"/>
  <c r="CE1048" i="18"/>
  <c r="CD1048" i="18"/>
  <c r="CC1048" i="18"/>
  <c r="CB1048" i="18"/>
  <c r="CA1048" i="18"/>
  <c r="BZ1048" i="18"/>
  <c r="BY1048" i="18"/>
  <c r="AQ1048" i="18"/>
  <c r="AP1048" i="18"/>
  <c r="AO1048" i="18"/>
  <c r="AN1048" i="18"/>
  <c r="AM1048" i="18"/>
  <c r="AL1048" i="18"/>
  <c r="AK1048" i="18"/>
  <c r="AJ1048" i="18"/>
  <c r="AI1048" i="18"/>
  <c r="AH1048" i="18"/>
  <c r="AG1048" i="18"/>
  <c r="AF1048" i="18"/>
  <c r="AE1048" i="18"/>
  <c r="AD1048" i="18"/>
  <c r="AC1048" i="18"/>
  <c r="AB1048" i="18"/>
  <c r="AA1048" i="18"/>
  <c r="Z1048" i="18"/>
  <c r="Y1048" i="18"/>
  <c r="X1048" i="18"/>
  <c r="W1048" i="18"/>
  <c r="V1048" i="18"/>
  <c r="U1048" i="18"/>
  <c r="T1048" i="18"/>
  <c r="S1048" i="18"/>
  <c r="R1048" i="18"/>
  <c r="Q1048" i="18"/>
  <c r="P1048" i="18"/>
  <c r="O1048" i="18"/>
  <c r="N1048" i="18"/>
  <c r="M1048" i="18"/>
  <c r="L1048" i="18"/>
  <c r="K1048" i="18"/>
  <c r="J1048" i="18"/>
  <c r="I1048" i="18"/>
  <c r="H1048" i="18"/>
  <c r="G1048" i="18"/>
  <c r="F1048" i="18"/>
  <c r="E1048" i="18"/>
  <c r="D1048" i="18"/>
  <c r="C1048" i="18"/>
  <c r="B1048" i="18"/>
  <c r="A1048" i="18"/>
  <c r="CU1047" i="18"/>
  <c r="CU1046" i="18"/>
  <c r="CU1045" i="18"/>
  <c r="CU1044" i="18"/>
  <c r="CU1043" i="18"/>
  <c r="CU1042" i="18"/>
  <c r="CU1041" i="18"/>
  <c r="CU1040" i="18"/>
  <c r="CU1039" i="18"/>
  <c r="CU1038" i="18"/>
  <c r="CU1037" i="18"/>
  <c r="CU1036" i="18"/>
  <c r="CS1047" i="18"/>
  <c r="CR1047" i="18"/>
  <c r="CH1047" i="18"/>
  <c r="CG1047" i="18"/>
  <c r="CF1047" i="18"/>
  <c r="CE1047" i="18"/>
  <c r="CD1047" i="18"/>
  <c r="CC1047" i="18"/>
  <c r="CB1047" i="18"/>
  <c r="CA1047" i="18"/>
  <c r="BZ1047" i="18"/>
  <c r="BY1047" i="18"/>
  <c r="AQ1047" i="18"/>
  <c r="AP1047" i="18"/>
  <c r="AO1047" i="18"/>
  <c r="AN1047" i="18"/>
  <c r="AM1047" i="18"/>
  <c r="AL1047" i="18"/>
  <c r="AK1047" i="18"/>
  <c r="AJ1047" i="18"/>
  <c r="AI1047" i="18"/>
  <c r="AH1047" i="18"/>
  <c r="AG1047" i="18"/>
  <c r="AF1047" i="18"/>
  <c r="AE1047" i="18"/>
  <c r="AD1047" i="18"/>
  <c r="AC1047" i="18"/>
  <c r="AB1047" i="18"/>
  <c r="AA1047" i="18"/>
  <c r="Z1047" i="18"/>
  <c r="Y1047" i="18"/>
  <c r="X1047" i="18"/>
  <c r="W1047" i="18"/>
  <c r="V1047" i="18"/>
  <c r="U1047" i="18"/>
  <c r="T1047" i="18"/>
  <c r="S1047" i="18"/>
  <c r="R1047" i="18"/>
  <c r="Q1047" i="18"/>
  <c r="P1047" i="18"/>
  <c r="O1047" i="18"/>
  <c r="N1047" i="18"/>
  <c r="M1047" i="18"/>
  <c r="L1047" i="18"/>
  <c r="K1047" i="18"/>
  <c r="J1047" i="18"/>
  <c r="I1047" i="18"/>
  <c r="H1047" i="18"/>
  <c r="G1047" i="18"/>
  <c r="F1047" i="18"/>
  <c r="E1047" i="18"/>
  <c r="D1047" i="18"/>
  <c r="C1047" i="18"/>
  <c r="B1047" i="18"/>
  <c r="A1047" i="18"/>
  <c r="CT1046" i="18"/>
  <c r="CH1046" i="18"/>
  <c r="CG1046" i="18"/>
  <c r="CF1046" i="18"/>
  <c r="CE1046" i="18"/>
  <c r="CD1046" i="18"/>
  <c r="CC1046" i="18"/>
  <c r="CB1046" i="18"/>
  <c r="CA1046" i="18"/>
  <c r="BZ1046" i="18"/>
  <c r="BY1046" i="18"/>
  <c r="AQ1046" i="18"/>
  <c r="AP1046" i="18"/>
  <c r="AO1046" i="18"/>
  <c r="AN1046" i="18"/>
  <c r="AM1046" i="18"/>
  <c r="AL1046" i="18"/>
  <c r="AK1046" i="18"/>
  <c r="AJ1046" i="18"/>
  <c r="AI1046" i="18"/>
  <c r="AH1046" i="18"/>
  <c r="AG1046" i="18"/>
  <c r="AF1046" i="18"/>
  <c r="AE1046" i="18"/>
  <c r="AD1046" i="18"/>
  <c r="AC1046" i="18"/>
  <c r="AB1046" i="18"/>
  <c r="AA1046" i="18"/>
  <c r="Z1046" i="18"/>
  <c r="Y1046" i="18"/>
  <c r="X1046" i="18"/>
  <c r="W1046" i="18"/>
  <c r="V1046" i="18"/>
  <c r="U1046" i="18"/>
  <c r="T1046" i="18"/>
  <c r="S1046" i="18"/>
  <c r="R1046" i="18"/>
  <c r="Q1046" i="18"/>
  <c r="P1046" i="18"/>
  <c r="O1046" i="18"/>
  <c r="N1046" i="18"/>
  <c r="M1046" i="18"/>
  <c r="L1046" i="18"/>
  <c r="K1046" i="18"/>
  <c r="J1046" i="18"/>
  <c r="I1046" i="18"/>
  <c r="H1046" i="18"/>
  <c r="G1046" i="18"/>
  <c r="F1046" i="18"/>
  <c r="E1046" i="18"/>
  <c r="D1046" i="18"/>
  <c r="C1046" i="18"/>
  <c r="B1046" i="18"/>
  <c r="A1046" i="18"/>
  <c r="CT1045" i="18"/>
  <c r="CS1045" i="18"/>
  <c r="CR1045" i="18"/>
  <c r="CH1045" i="18"/>
  <c r="CG1045" i="18"/>
  <c r="CF1045" i="18"/>
  <c r="CE1045" i="18"/>
  <c r="CD1045" i="18"/>
  <c r="CC1045" i="18"/>
  <c r="CB1045" i="18"/>
  <c r="CA1045" i="18"/>
  <c r="BZ1045" i="18"/>
  <c r="BY1045" i="18"/>
  <c r="AQ1045" i="18"/>
  <c r="AP1045" i="18"/>
  <c r="AO1045" i="18"/>
  <c r="AN1045" i="18"/>
  <c r="AM1045" i="18"/>
  <c r="AL1045" i="18"/>
  <c r="AK1045" i="18"/>
  <c r="AJ1045" i="18"/>
  <c r="AI1045" i="18"/>
  <c r="AH1045" i="18"/>
  <c r="AG1045" i="18"/>
  <c r="AF1045" i="18"/>
  <c r="AE1045" i="18"/>
  <c r="AD1045" i="18"/>
  <c r="AC1045" i="18"/>
  <c r="AB1045" i="18"/>
  <c r="AA1045" i="18"/>
  <c r="Z1045" i="18"/>
  <c r="Y1045" i="18"/>
  <c r="X1045" i="18"/>
  <c r="W1045" i="18"/>
  <c r="V1045" i="18"/>
  <c r="U1045" i="18"/>
  <c r="T1045" i="18"/>
  <c r="S1045" i="18"/>
  <c r="R1045" i="18"/>
  <c r="Q1045" i="18"/>
  <c r="P1045" i="18"/>
  <c r="O1045" i="18"/>
  <c r="N1045" i="18"/>
  <c r="M1045" i="18"/>
  <c r="L1045" i="18"/>
  <c r="K1045" i="18"/>
  <c r="J1045" i="18"/>
  <c r="I1045" i="18"/>
  <c r="H1045" i="18"/>
  <c r="G1045" i="18"/>
  <c r="F1045" i="18"/>
  <c r="E1045" i="18"/>
  <c r="D1045" i="18"/>
  <c r="C1045" i="18"/>
  <c r="B1045" i="18"/>
  <c r="A1045" i="18"/>
  <c r="CT1044" i="18"/>
  <c r="CS1044" i="18"/>
  <c r="CR1044" i="18"/>
  <c r="CH1044" i="18"/>
  <c r="CG1044" i="18"/>
  <c r="CF1044" i="18"/>
  <c r="CE1044" i="18"/>
  <c r="CD1044" i="18"/>
  <c r="CC1044" i="18"/>
  <c r="CB1044" i="18"/>
  <c r="CA1044" i="18"/>
  <c r="BZ1044" i="18"/>
  <c r="BY1044" i="18"/>
  <c r="AQ1044" i="18"/>
  <c r="AP1044" i="18"/>
  <c r="AO1044" i="18"/>
  <c r="AN1044" i="18"/>
  <c r="AM1044" i="18"/>
  <c r="AL1044" i="18"/>
  <c r="AK1044" i="18"/>
  <c r="AJ1044" i="18"/>
  <c r="AI1044" i="18"/>
  <c r="AH1044" i="18"/>
  <c r="AG1044" i="18"/>
  <c r="AF1044" i="18"/>
  <c r="AE1044" i="18"/>
  <c r="AD1044" i="18"/>
  <c r="AC1044" i="18"/>
  <c r="AB1044" i="18"/>
  <c r="AA1044" i="18"/>
  <c r="Z1044" i="18"/>
  <c r="Y1044" i="18"/>
  <c r="X1044" i="18"/>
  <c r="W1044" i="18"/>
  <c r="V1044" i="18"/>
  <c r="U1044" i="18"/>
  <c r="T1044" i="18"/>
  <c r="S1044" i="18"/>
  <c r="R1044" i="18"/>
  <c r="Q1044" i="18"/>
  <c r="P1044" i="18"/>
  <c r="O1044" i="18"/>
  <c r="N1044" i="18"/>
  <c r="M1044" i="18"/>
  <c r="L1044" i="18"/>
  <c r="K1044" i="18"/>
  <c r="J1044" i="18"/>
  <c r="I1044" i="18"/>
  <c r="H1044" i="18"/>
  <c r="G1044" i="18"/>
  <c r="F1044" i="18"/>
  <c r="E1044" i="18"/>
  <c r="D1044" i="18"/>
  <c r="C1044" i="18"/>
  <c r="B1044" i="18"/>
  <c r="A1044" i="18"/>
  <c r="AB1043" i="18"/>
  <c r="AA1043" i="18"/>
  <c r="Z1043" i="18"/>
  <c r="Y1043" i="18"/>
  <c r="X1043" i="18"/>
  <c r="W1043" i="18"/>
  <c r="V1043" i="18"/>
  <c r="U1043" i="18"/>
  <c r="T1043" i="18"/>
  <c r="S1043" i="18"/>
  <c r="R1043" i="18"/>
  <c r="Q1043" i="18"/>
  <c r="P1043" i="18"/>
  <c r="O1043" i="18"/>
  <c r="N1043" i="18"/>
  <c r="M1043" i="18"/>
  <c r="L1043" i="18"/>
  <c r="K1043" i="18"/>
  <c r="J1043" i="18"/>
  <c r="I1043" i="18"/>
  <c r="H1043" i="18"/>
  <c r="G1043" i="18"/>
  <c r="F1043" i="18"/>
  <c r="E1043" i="18"/>
  <c r="D1043" i="18"/>
  <c r="C1043" i="18"/>
  <c r="B1043" i="18"/>
  <c r="A1043" i="18"/>
  <c r="CT1043" i="18"/>
  <c r="CS1043" i="18"/>
  <c r="CR1043" i="18"/>
  <c r="CH1043" i="18"/>
  <c r="CG1043" i="18"/>
  <c r="CF1043" i="18"/>
  <c r="CE1043" i="18"/>
  <c r="CD1043" i="18"/>
  <c r="CC1043" i="18"/>
  <c r="CB1043" i="18"/>
  <c r="CA1043" i="18"/>
  <c r="BZ1043" i="18"/>
  <c r="BY1043" i="18"/>
  <c r="AQ1043" i="18"/>
  <c r="AP1043" i="18"/>
  <c r="AO1043" i="18"/>
  <c r="AN1043" i="18"/>
  <c r="AM1043" i="18"/>
  <c r="AL1043" i="18"/>
  <c r="AK1043" i="18"/>
  <c r="CT1042" i="18"/>
  <c r="CS1042" i="18"/>
  <c r="CR1042" i="18"/>
  <c r="CI1042" i="18"/>
  <c r="CH1042" i="18"/>
  <c r="CG1042" i="18"/>
  <c r="CF1042" i="18"/>
  <c r="CE1042" i="18"/>
  <c r="CD1042" i="18"/>
  <c r="CC1042" i="18"/>
  <c r="CB1042" i="18"/>
  <c r="CA1042" i="18"/>
  <c r="BZ1042" i="18"/>
  <c r="BY1042" i="18"/>
  <c r="AR1042" i="18"/>
  <c r="AQ1042" i="18"/>
  <c r="AP1042" i="18"/>
  <c r="AO1042" i="18"/>
  <c r="AN1042" i="18"/>
  <c r="AM1042" i="18"/>
  <c r="AL1042" i="18"/>
  <c r="AK1042" i="18"/>
  <c r="CT1041" i="18"/>
  <c r="CS1041" i="18"/>
  <c r="CR1041" i="18"/>
  <c r="CI1041" i="18"/>
  <c r="CH1041" i="18"/>
  <c r="CG1041" i="18"/>
  <c r="CF1041" i="18"/>
  <c r="CE1041" i="18"/>
  <c r="CD1041" i="18"/>
  <c r="CC1041" i="18"/>
  <c r="CB1041" i="18"/>
  <c r="CA1041" i="18"/>
  <c r="BZ1041" i="18"/>
  <c r="BY1041" i="18"/>
  <c r="AR1041" i="18"/>
  <c r="AQ1041" i="18"/>
  <c r="AP1041" i="18"/>
  <c r="AO1041" i="18"/>
  <c r="AN1041" i="18"/>
  <c r="AM1041" i="18"/>
  <c r="AL1041" i="18"/>
  <c r="AK1041" i="18"/>
  <c r="CT1040" i="18"/>
  <c r="CS1040" i="18"/>
  <c r="CR1040" i="18"/>
  <c r="CQ1040" i="18"/>
  <c r="CP1040" i="18"/>
  <c r="CO1040" i="18"/>
  <c r="CN1040" i="18"/>
  <c r="CM1040" i="18"/>
  <c r="CL1040" i="18"/>
  <c r="CK1040" i="18"/>
  <c r="CJ1040" i="18"/>
  <c r="CI1040" i="18"/>
  <c r="CH1040" i="18"/>
  <c r="CG1040" i="18"/>
  <c r="CF1040" i="18"/>
  <c r="CE1040" i="18"/>
  <c r="CD1040" i="18"/>
  <c r="CC1040" i="18"/>
  <c r="CB1040" i="18"/>
  <c r="CA1040" i="18"/>
  <c r="BZ1040" i="18"/>
  <c r="BY1040" i="18"/>
  <c r="BX1040" i="18"/>
  <c r="BW1040" i="18"/>
  <c r="BV1040" i="18"/>
  <c r="BU1040" i="18"/>
  <c r="BT1040" i="18"/>
  <c r="BS1040" i="18"/>
  <c r="BR1040" i="18"/>
  <c r="BQ1040" i="18"/>
  <c r="BP1040" i="18"/>
  <c r="BO1040" i="18"/>
  <c r="BN1040" i="18"/>
  <c r="BM1040" i="18"/>
  <c r="BL1040" i="18"/>
  <c r="BK1040" i="18"/>
  <c r="BJ1040" i="18"/>
  <c r="BI1040" i="18"/>
  <c r="BH1040" i="18"/>
  <c r="BG1040" i="18"/>
  <c r="BF1040" i="18"/>
  <c r="BE1040" i="18"/>
  <c r="BD1040" i="18"/>
  <c r="BC1040" i="18"/>
  <c r="BB1040" i="18"/>
  <c r="BA1040" i="18"/>
  <c r="AZ1040" i="18"/>
  <c r="AY1040" i="18"/>
  <c r="AX1040" i="18"/>
  <c r="AW1040" i="18"/>
  <c r="AV1040" i="18"/>
  <c r="AU1040" i="18"/>
  <c r="AT1040" i="18"/>
  <c r="AS1040" i="18"/>
  <c r="AR1040" i="18"/>
  <c r="AQ1040" i="18"/>
  <c r="AP1040" i="18"/>
  <c r="AO1040" i="18"/>
  <c r="AN1040" i="18"/>
  <c r="AM1040" i="18"/>
  <c r="AL1040" i="18"/>
  <c r="AK1040" i="18"/>
  <c r="CT1039" i="18"/>
  <c r="CS1039" i="18"/>
  <c r="CR1039" i="18"/>
  <c r="CH1039" i="18"/>
  <c r="CG1039" i="18"/>
  <c r="CF1039" i="18"/>
  <c r="CE1039" i="18"/>
  <c r="CD1039" i="18"/>
  <c r="CC1039" i="18"/>
  <c r="CB1039" i="18"/>
  <c r="CA1039" i="18"/>
  <c r="BZ1039" i="18"/>
  <c r="BY1039" i="18"/>
  <c r="AQ1039" i="18"/>
  <c r="AP1039" i="18"/>
  <c r="AO1039" i="18"/>
  <c r="AN1039" i="18"/>
  <c r="AM1039" i="18"/>
  <c r="AL1039" i="18"/>
  <c r="AK1039" i="18"/>
  <c r="CT1038" i="18"/>
  <c r="CS1038" i="18"/>
  <c r="CR1038" i="18"/>
  <c r="CH1038" i="18"/>
  <c r="CG1038" i="18"/>
  <c r="CF1038" i="18"/>
  <c r="CE1038" i="18"/>
  <c r="CD1038" i="18"/>
  <c r="CC1038" i="18"/>
  <c r="CB1038" i="18"/>
  <c r="CA1038" i="18"/>
  <c r="BZ1038" i="18"/>
  <c r="BY1038" i="18"/>
  <c r="AQ1038" i="18"/>
  <c r="AP1038" i="18"/>
  <c r="AO1038" i="18"/>
  <c r="AN1038" i="18"/>
  <c r="AM1038" i="18"/>
  <c r="AL1038" i="18"/>
  <c r="AK1038" i="18"/>
  <c r="CT1037" i="18"/>
  <c r="CS1037" i="18"/>
  <c r="CR1037" i="18"/>
  <c r="CH1037" i="18"/>
  <c r="CG1037" i="18"/>
  <c r="CF1037" i="18"/>
  <c r="CE1037" i="18"/>
  <c r="CD1037" i="18"/>
  <c r="CC1037" i="18"/>
  <c r="CB1037" i="18"/>
  <c r="CA1037" i="18"/>
  <c r="BZ1037" i="18"/>
  <c r="BY1037" i="18"/>
  <c r="AQ1037" i="18"/>
  <c r="AP1037" i="18"/>
  <c r="AO1037" i="18"/>
  <c r="AN1037" i="18"/>
  <c r="AM1037" i="18"/>
  <c r="AL1037" i="18"/>
  <c r="AK1037" i="18"/>
  <c r="CT1036" i="18"/>
  <c r="CS1036" i="18"/>
  <c r="CR1036" i="18"/>
  <c r="CI1036" i="18"/>
  <c r="CH1036" i="18"/>
  <c r="CG1036" i="18"/>
  <c r="CF1036" i="18"/>
  <c r="CE1036" i="18"/>
  <c r="CD1036" i="18"/>
  <c r="CC1036" i="18"/>
  <c r="CB1036" i="18"/>
  <c r="CA1036" i="18"/>
  <c r="BZ1036" i="18"/>
  <c r="BY1036" i="18"/>
  <c r="AR1036" i="18"/>
  <c r="AQ1036" i="18"/>
  <c r="AP1036" i="18"/>
  <c r="AO1036" i="18"/>
  <c r="AN1036" i="18"/>
  <c r="AM1036" i="18"/>
  <c r="AL1036" i="18"/>
  <c r="AK1036" i="18"/>
  <c r="AJ1042" i="18"/>
  <c r="AI1042" i="18"/>
  <c r="AH1042" i="18"/>
  <c r="AG1042" i="18"/>
  <c r="AF1042" i="18"/>
  <c r="AE1042" i="18"/>
  <c r="AD1042" i="18"/>
  <c r="AC1042" i="18"/>
  <c r="AB1042" i="18"/>
  <c r="AA1042" i="18"/>
  <c r="Z1042" i="18"/>
  <c r="Y1042" i="18"/>
  <c r="X1042" i="18"/>
  <c r="W1042" i="18"/>
  <c r="V1042" i="18"/>
  <c r="U1042" i="18"/>
  <c r="T1042" i="18"/>
  <c r="S1042" i="18"/>
  <c r="R1042" i="18"/>
  <c r="Q1042" i="18"/>
  <c r="P1042" i="18"/>
  <c r="O1042" i="18"/>
  <c r="N1042" i="18"/>
  <c r="M1042" i="18"/>
  <c r="L1042" i="18"/>
  <c r="K1042" i="18"/>
  <c r="J1042" i="18"/>
  <c r="I1042" i="18"/>
  <c r="H1042" i="18"/>
  <c r="G1042" i="18"/>
  <c r="F1042" i="18"/>
  <c r="E1042" i="18"/>
  <c r="D1042" i="18"/>
  <c r="C1042" i="18"/>
  <c r="B1042" i="18"/>
  <c r="A1042" i="18"/>
  <c r="AJ1041" i="18"/>
  <c r="AI1041" i="18"/>
  <c r="AH1041" i="18"/>
  <c r="AG1041" i="18"/>
  <c r="AF1041" i="18"/>
  <c r="AE1041" i="18"/>
  <c r="AD1041" i="18"/>
  <c r="AC1041" i="18"/>
  <c r="AB1041" i="18"/>
  <c r="AA1041" i="18"/>
  <c r="Z1041" i="18"/>
  <c r="Y1041" i="18"/>
  <c r="X1041" i="18"/>
  <c r="W1041" i="18"/>
  <c r="V1041" i="18"/>
  <c r="U1041" i="18"/>
  <c r="T1041" i="18"/>
  <c r="S1041" i="18"/>
  <c r="R1041" i="18"/>
  <c r="Q1041" i="18"/>
  <c r="P1041" i="18"/>
  <c r="O1041" i="18"/>
  <c r="N1041" i="18"/>
  <c r="M1041" i="18"/>
  <c r="L1041" i="18"/>
  <c r="K1041" i="18"/>
  <c r="J1041" i="18"/>
  <c r="I1041" i="18"/>
  <c r="H1041" i="18"/>
  <c r="G1041" i="18"/>
  <c r="F1041" i="18"/>
  <c r="E1041" i="18"/>
  <c r="D1041" i="18"/>
  <c r="C1041" i="18"/>
  <c r="B1041" i="18"/>
  <c r="A1041" i="18"/>
  <c r="AJ1040" i="18"/>
  <c r="AI1040" i="18"/>
  <c r="AH1040" i="18"/>
  <c r="AG1040" i="18"/>
  <c r="AF1040" i="18"/>
  <c r="AE1040" i="18"/>
  <c r="AD1040" i="18"/>
  <c r="AC1040" i="18"/>
  <c r="AB1040" i="18"/>
  <c r="AA1040" i="18"/>
  <c r="Z1040" i="18"/>
  <c r="Y1040" i="18"/>
  <c r="X1040" i="18"/>
  <c r="W1040" i="18"/>
  <c r="V1040" i="18"/>
  <c r="U1040" i="18"/>
  <c r="T1040" i="18"/>
  <c r="S1040" i="18"/>
  <c r="R1040" i="18"/>
  <c r="Q1040" i="18"/>
  <c r="P1040" i="18"/>
  <c r="O1040" i="18"/>
  <c r="N1040" i="18"/>
  <c r="M1040" i="18"/>
  <c r="L1040" i="18"/>
  <c r="K1040" i="18"/>
  <c r="J1040" i="18"/>
  <c r="I1040" i="18"/>
  <c r="H1040" i="18"/>
  <c r="G1040" i="18"/>
  <c r="F1040" i="18"/>
  <c r="E1040" i="18"/>
  <c r="D1040" i="18"/>
  <c r="C1040" i="18"/>
  <c r="B1040" i="18"/>
  <c r="A1040" i="18"/>
  <c r="AJ1039" i="18"/>
  <c r="AI1039" i="18"/>
  <c r="AH1039" i="18"/>
  <c r="AG1039" i="18"/>
  <c r="AF1039" i="18"/>
  <c r="AE1039" i="18"/>
  <c r="AD1039" i="18"/>
  <c r="AC1039" i="18"/>
  <c r="AB1039" i="18"/>
  <c r="AA1039" i="18"/>
  <c r="Z1039" i="18"/>
  <c r="Y1039" i="18"/>
  <c r="X1039" i="18"/>
  <c r="W1039" i="18"/>
  <c r="V1039" i="18"/>
  <c r="U1039" i="18"/>
  <c r="T1039" i="18"/>
  <c r="S1039" i="18"/>
  <c r="R1039" i="18"/>
  <c r="Q1039" i="18"/>
  <c r="P1039" i="18"/>
  <c r="O1039" i="18"/>
  <c r="N1039" i="18"/>
  <c r="M1039" i="18"/>
  <c r="L1039" i="18"/>
  <c r="K1039" i="18"/>
  <c r="J1039" i="18"/>
  <c r="I1039" i="18"/>
  <c r="H1039" i="18"/>
  <c r="G1039" i="18"/>
  <c r="F1039" i="18"/>
  <c r="E1039" i="18"/>
  <c r="D1039" i="18"/>
  <c r="C1039" i="18"/>
  <c r="B1039" i="18"/>
  <c r="A1039" i="18"/>
  <c r="AJ1038" i="18"/>
  <c r="AI1038" i="18"/>
  <c r="AH1038" i="18"/>
  <c r="AG1038" i="18"/>
  <c r="AF1038" i="18"/>
  <c r="AE1038" i="18"/>
  <c r="AD1038" i="18"/>
  <c r="AC1038" i="18"/>
  <c r="AB1038" i="18"/>
  <c r="AA1038" i="18"/>
  <c r="Z1038" i="18"/>
  <c r="Y1038" i="18"/>
  <c r="X1038" i="18"/>
  <c r="W1038" i="18"/>
  <c r="V1038" i="18"/>
  <c r="U1038" i="18"/>
  <c r="T1038" i="18"/>
  <c r="S1038" i="18"/>
  <c r="R1038" i="18"/>
  <c r="Q1038" i="18"/>
  <c r="P1038" i="18"/>
  <c r="O1038" i="18"/>
  <c r="N1038" i="18"/>
  <c r="M1038" i="18"/>
  <c r="L1038" i="18"/>
  <c r="K1038" i="18"/>
  <c r="J1038" i="18"/>
  <c r="I1038" i="18"/>
  <c r="H1038" i="18"/>
  <c r="G1038" i="18"/>
  <c r="F1038" i="18"/>
  <c r="E1038" i="18"/>
  <c r="D1038" i="18"/>
  <c r="C1038" i="18"/>
  <c r="B1038" i="18"/>
  <c r="A1038" i="18"/>
  <c r="AJ1037" i="18"/>
  <c r="AI1037" i="18"/>
  <c r="AH1037" i="18"/>
  <c r="AG1037" i="18"/>
  <c r="AF1037" i="18"/>
  <c r="AE1037" i="18"/>
  <c r="AD1037" i="18"/>
  <c r="AC1037" i="18"/>
  <c r="AB1037" i="18"/>
  <c r="AA1037" i="18"/>
  <c r="Z1037" i="18"/>
  <c r="Y1037" i="18"/>
  <c r="X1037" i="18"/>
  <c r="W1037" i="18"/>
  <c r="V1037" i="18"/>
  <c r="U1037" i="18"/>
  <c r="T1037" i="18"/>
  <c r="S1037" i="18"/>
  <c r="R1037" i="18"/>
  <c r="Q1037" i="18"/>
  <c r="P1037" i="18"/>
  <c r="O1037" i="18"/>
  <c r="N1037" i="18"/>
  <c r="M1037" i="18"/>
  <c r="L1037" i="18"/>
  <c r="K1037" i="18"/>
  <c r="J1037" i="18"/>
  <c r="I1037" i="18"/>
  <c r="H1037" i="18"/>
  <c r="G1037" i="18"/>
  <c r="F1037" i="18"/>
  <c r="E1037" i="18"/>
  <c r="D1037" i="18"/>
  <c r="C1037" i="18"/>
  <c r="B1037" i="18"/>
  <c r="A1037" i="18"/>
  <c r="AJ1036" i="18"/>
  <c r="AI1036" i="18"/>
  <c r="AH1036" i="18"/>
  <c r="AG1036" i="18"/>
  <c r="AF1036" i="18"/>
  <c r="AE1036" i="18"/>
  <c r="AD1036" i="18"/>
  <c r="AC1036" i="18"/>
  <c r="AB1036" i="18"/>
  <c r="AA1036" i="18"/>
  <c r="Z1036" i="18"/>
  <c r="Y1036" i="18"/>
  <c r="X1036" i="18"/>
  <c r="W1036" i="18"/>
  <c r="V1036" i="18"/>
  <c r="U1036" i="18"/>
  <c r="T1036" i="18"/>
  <c r="S1036" i="18"/>
  <c r="R1036" i="18"/>
  <c r="Q1036" i="18"/>
  <c r="P1036" i="18"/>
  <c r="O1036" i="18"/>
  <c r="N1036" i="18"/>
  <c r="M1036" i="18"/>
  <c r="L1036" i="18"/>
  <c r="K1036" i="18"/>
  <c r="J1036" i="18"/>
  <c r="I1036" i="18"/>
  <c r="H1036" i="18"/>
  <c r="G1036" i="18"/>
  <c r="F1036" i="18"/>
  <c r="E1036" i="18"/>
  <c r="D1036" i="18"/>
  <c r="C1036" i="18"/>
  <c r="B1036" i="18"/>
  <c r="A1036" i="18"/>
  <c r="X941" i="18"/>
  <c r="W941" i="18"/>
  <c r="V941" i="18"/>
  <c r="U941" i="18"/>
  <c r="T941" i="18"/>
  <c r="S941" i="18"/>
  <c r="P941" i="18"/>
  <c r="X939" i="18"/>
  <c r="W939" i="18"/>
  <c r="V939" i="18"/>
  <c r="U939" i="18"/>
  <c r="T939" i="18"/>
  <c r="S939" i="18"/>
  <c r="P939" i="18"/>
  <c r="X937" i="18"/>
  <c r="W937" i="18"/>
  <c r="V937" i="18"/>
  <c r="U937" i="18"/>
  <c r="T937" i="18"/>
  <c r="S937" i="18"/>
  <c r="P937" i="18"/>
  <c r="J934" i="18"/>
  <c r="I934" i="18"/>
  <c r="H934" i="18"/>
  <c r="G934" i="18"/>
  <c r="F934" i="18"/>
  <c r="E934" i="18"/>
  <c r="D934" i="18"/>
  <c r="C934" i="18"/>
  <c r="B934" i="18"/>
  <c r="A934" i="18"/>
  <c r="D933" i="18"/>
  <c r="C933" i="18"/>
  <c r="B933" i="18"/>
  <c r="A933" i="18"/>
  <c r="G933" i="18"/>
  <c r="F933" i="18"/>
  <c r="G932" i="18"/>
  <c r="F932" i="18"/>
  <c r="E932" i="18"/>
  <c r="D932" i="18"/>
  <c r="C932" i="18"/>
  <c r="B932" i="18"/>
  <c r="A932" i="18"/>
  <c r="J933" i="18"/>
  <c r="I933" i="18"/>
  <c r="J932" i="18"/>
  <c r="I932" i="18"/>
  <c r="J931" i="18"/>
  <c r="I931" i="18"/>
  <c r="H931" i="18"/>
  <c r="G931" i="18"/>
  <c r="F931" i="18"/>
  <c r="E931" i="18"/>
  <c r="D931" i="18"/>
  <c r="C931" i="18"/>
  <c r="B931" i="18"/>
  <c r="A931" i="18"/>
  <c r="X936" i="18"/>
  <c r="W936" i="18"/>
  <c r="V936" i="18"/>
  <c r="U936" i="18"/>
  <c r="T936" i="18"/>
  <c r="S936" i="18"/>
  <c r="P936" i="18"/>
  <c r="X935" i="18"/>
  <c r="W935" i="18"/>
  <c r="V935" i="18"/>
  <c r="U935" i="18"/>
  <c r="T935" i="18"/>
  <c r="S935" i="18"/>
  <c r="P935" i="18"/>
  <c r="X934" i="18"/>
  <c r="W934" i="18"/>
  <c r="V934" i="18"/>
  <c r="U934" i="18"/>
  <c r="T934" i="18"/>
  <c r="S934" i="18"/>
  <c r="R934" i="18"/>
  <c r="Q934" i="18"/>
  <c r="P934" i="18"/>
  <c r="X933" i="18"/>
  <c r="W933" i="18"/>
  <c r="V933" i="18"/>
  <c r="U933" i="18"/>
  <c r="T933" i="18"/>
  <c r="S933" i="18"/>
  <c r="R933" i="18"/>
  <c r="Q933" i="18"/>
  <c r="P933" i="18"/>
  <c r="X932" i="18"/>
  <c r="W932" i="18"/>
  <c r="V932" i="18"/>
  <c r="U932" i="18"/>
  <c r="T932" i="18"/>
  <c r="S932" i="18"/>
  <c r="R932" i="18"/>
  <c r="Q932" i="18"/>
  <c r="P932" i="18"/>
  <c r="X931" i="18"/>
  <c r="W931" i="18"/>
  <c r="V931" i="18"/>
  <c r="U931" i="18"/>
  <c r="T931" i="18"/>
  <c r="S931" i="18"/>
  <c r="R931" i="18"/>
  <c r="Q931" i="18"/>
  <c r="P931" i="18"/>
  <c r="X930" i="18"/>
  <c r="O930" i="18"/>
  <c r="J930" i="18"/>
  <c r="H930" i="18"/>
  <c r="G930" i="18"/>
  <c r="B930" i="18"/>
  <c r="A930" i="18"/>
  <c r="X928" i="18"/>
  <c r="O928" i="18"/>
  <c r="J928" i="18"/>
  <c r="H928" i="18"/>
  <c r="G928" i="18"/>
  <c r="B928" i="18"/>
  <c r="A928" i="18"/>
  <c r="X926" i="18"/>
  <c r="O926" i="18"/>
  <c r="J926" i="18"/>
  <c r="H926" i="18"/>
  <c r="G926" i="18"/>
  <c r="B926" i="18"/>
  <c r="A926" i="18"/>
  <c r="X925" i="18"/>
  <c r="O925" i="18"/>
  <c r="J925" i="18"/>
  <c r="H925" i="18"/>
  <c r="G925" i="18"/>
  <c r="B925" i="18"/>
  <c r="A925" i="18"/>
  <c r="X924" i="18"/>
  <c r="O924" i="18"/>
  <c r="J924" i="18"/>
  <c r="H924" i="18"/>
  <c r="G924" i="18"/>
  <c r="B924" i="18"/>
  <c r="A924" i="18"/>
  <c r="X923" i="18"/>
  <c r="W923" i="18"/>
  <c r="V923" i="18"/>
  <c r="U923" i="18"/>
  <c r="T923" i="18"/>
  <c r="S923" i="18"/>
  <c r="R923" i="18"/>
  <c r="Q923" i="18"/>
  <c r="P923" i="18"/>
  <c r="O923" i="18"/>
  <c r="N923" i="18"/>
  <c r="M923" i="18"/>
  <c r="L923" i="18"/>
  <c r="K923" i="18"/>
  <c r="J923" i="18"/>
  <c r="I923" i="18"/>
  <c r="H923" i="18"/>
  <c r="G923" i="18"/>
  <c r="F923" i="18"/>
  <c r="E923" i="18"/>
  <c r="D923" i="18"/>
  <c r="C923" i="18"/>
  <c r="B923" i="18"/>
  <c r="A923" i="18"/>
  <c r="X922" i="18"/>
  <c r="W922" i="18"/>
  <c r="V922" i="18"/>
  <c r="U922" i="18"/>
  <c r="T922" i="18"/>
  <c r="S922" i="18"/>
  <c r="R922" i="18"/>
  <c r="Q922" i="18"/>
  <c r="P922" i="18"/>
  <c r="O922" i="18"/>
  <c r="N922" i="18"/>
  <c r="M922" i="18"/>
  <c r="L922" i="18"/>
  <c r="K922" i="18"/>
  <c r="J922" i="18"/>
  <c r="I922" i="18"/>
  <c r="H922" i="18"/>
  <c r="G922" i="18"/>
  <c r="F922" i="18"/>
  <c r="E922" i="18"/>
  <c r="D922" i="18"/>
  <c r="C922" i="18"/>
  <c r="B922" i="18"/>
  <c r="A922" i="18"/>
  <c r="X921" i="18"/>
  <c r="W921" i="18"/>
  <c r="V921" i="18"/>
  <c r="U921" i="18"/>
  <c r="T921" i="18"/>
  <c r="S921" i="18"/>
  <c r="R921" i="18"/>
  <c r="Q921" i="18"/>
  <c r="P921" i="18"/>
  <c r="O921" i="18"/>
  <c r="N921" i="18"/>
  <c r="M921" i="18"/>
  <c r="L921" i="18"/>
  <c r="K921" i="18"/>
  <c r="J921" i="18"/>
  <c r="I921" i="18"/>
  <c r="H921" i="18"/>
  <c r="G921" i="18"/>
  <c r="F921" i="18"/>
  <c r="E921" i="18"/>
  <c r="D921" i="18"/>
  <c r="C921" i="18"/>
  <c r="B921" i="18"/>
  <c r="A921" i="18"/>
  <c r="X920" i="18"/>
  <c r="O920" i="18"/>
  <c r="J920" i="18"/>
  <c r="H920" i="18"/>
  <c r="G920" i="18"/>
  <c r="B920" i="18"/>
  <c r="A920" i="18"/>
  <c r="X918" i="18"/>
  <c r="O918" i="18"/>
  <c r="J918" i="18"/>
  <c r="H918" i="18"/>
  <c r="G918" i="18"/>
  <c r="B918" i="18"/>
  <c r="A918" i="18"/>
  <c r="X916" i="18"/>
  <c r="O916" i="18"/>
  <c r="J916" i="18"/>
  <c r="H916" i="18"/>
  <c r="G916" i="18"/>
  <c r="F916" i="18"/>
  <c r="E916" i="18"/>
  <c r="D916" i="18"/>
  <c r="C916" i="18"/>
  <c r="B916" i="18"/>
  <c r="A916" i="18"/>
  <c r="X915" i="18"/>
  <c r="O915" i="18"/>
  <c r="J915" i="18"/>
  <c r="H915" i="18"/>
  <c r="G915" i="18"/>
  <c r="B915" i="18"/>
  <c r="A915" i="18"/>
  <c r="X914" i="18"/>
  <c r="O914" i="18"/>
  <c r="J914" i="18"/>
  <c r="H914" i="18"/>
  <c r="G914" i="18"/>
  <c r="B914" i="18"/>
  <c r="A914" i="18"/>
  <c r="X913" i="18"/>
  <c r="W913" i="18"/>
  <c r="V913" i="18"/>
  <c r="U913" i="18"/>
  <c r="T913" i="18"/>
  <c r="S913" i="18"/>
  <c r="R913" i="18"/>
  <c r="Q913" i="18"/>
  <c r="P913" i="18"/>
  <c r="O913" i="18"/>
  <c r="N913" i="18"/>
  <c r="M913" i="18"/>
  <c r="L913" i="18"/>
  <c r="K913" i="18"/>
  <c r="J913" i="18"/>
  <c r="I913" i="18"/>
  <c r="H913" i="18"/>
  <c r="G913" i="18"/>
  <c r="F913" i="18"/>
  <c r="E913" i="18"/>
  <c r="D913" i="18"/>
  <c r="C913" i="18"/>
  <c r="B913" i="18"/>
  <c r="A913" i="18"/>
  <c r="X912" i="18"/>
  <c r="W912" i="18"/>
  <c r="V912" i="18"/>
  <c r="U912" i="18"/>
  <c r="T912" i="18"/>
  <c r="S912" i="18"/>
  <c r="R912" i="18"/>
  <c r="Q912" i="18"/>
  <c r="P912" i="18"/>
  <c r="O912" i="18"/>
  <c r="N912" i="18"/>
  <c r="M912" i="18"/>
  <c r="L912" i="18"/>
  <c r="K912" i="18"/>
  <c r="J912" i="18"/>
  <c r="I912" i="18"/>
  <c r="H912" i="18"/>
  <c r="G912" i="18"/>
  <c r="F912" i="18"/>
  <c r="E912" i="18"/>
  <c r="D912" i="18"/>
  <c r="C912" i="18"/>
  <c r="B912" i="18"/>
  <c r="A912" i="18"/>
  <c r="X911" i="18"/>
  <c r="W911" i="18"/>
  <c r="V911" i="18"/>
  <c r="U911" i="18"/>
  <c r="T911" i="18"/>
  <c r="S911" i="18"/>
  <c r="R911" i="18"/>
  <c r="Q911" i="18"/>
  <c r="P911" i="18"/>
  <c r="O911" i="18"/>
  <c r="N911" i="18"/>
  <c r="M911" i="18"/>
  <c r="L911" i="18"/>
  <c r="K911" i="18"/>
  <c r="J911" i="18"/>
  <c r="I911" i="18"/>
  <c r="H911" i="18"/>
  <c r="G911" i="18"/>
  <c r="F911" i="18"/>
  <c r="E911" i="18"/>
  <c r="D911" i="18"/>
  <c r="C911" i="18"/>
  <c r="B911" i="18"/>
  <c r="A911" i="18"/>
  <c r="X910" i="18"/>
  <c r="O910" i="18"/>
  <c r="J910" i="18"/>
  <c r="H910" i="18"/>
  <c r="G910" i="18"/>
  <c r="B910" i="18"/>
  <c r="A910" i="18"/>
  <c r="X908" i="18"/>
  <c r="O908" i="18"/>
  <c r="J908" i="18"/>
  <c r="H908" i="18"/>
  <c r="G908" i="18"/>
  <c r="B908" i="18"/>
  <c r="A908" i="18"/>
  <c r="X906" i="18"/>
  <c r="O906" i="18"/>
  <c r="J906" i="18"/>
  <c r="H906" i="18"/>
  <c r="G906" i="18"/>
  <c r="B906" i="18"/>
  <c r="A906" i="18"/>
  <c r="X905" i="18"/>
  <c r="O905" i="18"/>
  <c r="J905" i="18"/>
  <c r="H905" i="18"/>
  <c r="G905" i="18"/>
  <c r="B905" i="18"/>
  <c r="A905" i="18"/>
  <c r="X904" i="18"/>
  <c r="O904" i="18"/>
  <c r="J904" i="18"/>
  <c r="H904" i="18"/>
  <c r="G904" i="18"/>
  <c r="B904" i="18"/>
  <c r="A904" i="18"/>
  <c r="X903" i="18"/>
  <c r="W903" i="18"/>
  <c r="V903" i="18"/>
  <c r="U903" i="18"/>
  <c r="T903" i="18"/>
  <c r="S903" i="18"/>
  <c r="R903" i="18"/>
  <c r="Q903" i="18"/>
  <c r="P903" i="18"/>
  <c r="O903" i="18"/>
  <c r="N903" i="18"/>
  <c r="M903" i="18"/>
  <c r="L903" i="18"/>
  <c r="K903" i="18"/>
  <c r="J903" i="18"/>
  <c r="I903" i="18"/>
  <c r="H903" i="18"/>
  <c r="G903" i="18"/>
  <c r="F903" i="18"/>
  <c r="E903" i="18"/>
  <c r="D903" i="18"/>
  <c r="C903" i="18"/>
  <c r="B903" i="18"/>
  <c r="A903" i="18"/>
  <c r="X902" i="18"/>
  <c r="W902" i="18"/>
  <c r="V902" i="18"/>
  <c r="U902" i="18"/>
  <c r="T902" i="18"/>
  <c r="S902" i="18"/>
  <c r="R902" i="18"/>
  <c r="Q902" i="18"/>
  <c r="P902" i="18"/>
  <c r="O902" i="18"/>
  <c r="N902" i="18"/>
  <c r="M902" i="18"/>
  <c r="L902" i="18"/>
  <c r="K902" i="18"/>
  <c r="J902" i="18"/>
  <c r="I902" i="18"/>
  <c r="H902" i="18"/>
  <c r="G902" i="18"/>
  <c r="F902" i="18"/>
  <c r="E902" i="18"/>
  <c r="D902" i="18"/>
  <c r="C902" i="18"/>
  <c r="B902" i="18"/>
  <c r="A902" i="18"/>
  <c r="J901" i="18"/>
  <c r="I901" i="18"/>
  <c r="H901" i="18"/>
  <c r="G901" i="18"/>
  <c r="F901" i="18"/>
  <c r="E901" i="18"/>
  <c r="D901" i="18"/>
  <c r="C901" i="18"/>
  <c r="B901" i="18"/>
  <c r="A901" i="18"/>
  <c r="J900" i="18"/>
  <c r="I900" i="18"/>
  <c r="H900" i="18"/>
  <c r="G900" i="18"/>
  <c r="F900" i="18"/>
  <c r="E900" i="18"/>
  <c r="D900" i="18"/>
  <c r="C900" i="18"/>
  <c r="B900" i="18"/>
  <c r="A900" i="18"/>
  <c r="J899" i="18"/>
  <c r="I899" i="18"/>
  <c r="H899" i="18"/>
  <c r="G899" i="18"/>
  <c r="F899" i="18"/>
  <c r="E899" i="18"/>
  <c r="D899" i="18"/>
  <c r="C899" i="18"/>
  <c r="B899" i="18"/>
  <c r="A899" i="18"/>
  <c r="J898" i="18"/>
  <c r="I898" i="18"/>
  <c r="H898" i="18"/>
  <c r="G898" i="18"/>
  <c r="F898" i="18"/>
  <c r="E898" i="18"/>
  <c r="D898" i="18"/>
  <c r="C898" i="18"/>
  <c r="B898" i="18"/>
  <c r="A898" i="18"/>
  <c r="J897" i="18"/>
  <c r="I897" i="18"/>
  <c r="H897" i="18"/>
  <c r="G897" i="18"/>
  <c r="F897" i="18"/>
  <c r="E897" i="18"/>
  <c r="D897" i="18"/>
  <c r="C897" i="18"/>
  <c r="B897" i="18"/>
  <c r="A897" i="18"/>
  <c r="X901" i="18"/>
  <c r="W901" i="18"/>
  <c r="V901" i="18"/>
  <c r="U901" i="18"/>
  <c r="T901" i="18"/>
  <c r="S901" i="18"/>
  <c r="R901" i="18"/>
  <c r="Q901" i="18"/>
  <c r="P901" i="18"/>
  <c r="X900" i="18"/>
  <c r="W900" i="18"/>
  <c r="V900" i="18"/>
  <c r="U900" i="18"/>
  <c r="T900" i="18"/>
  <c r="S900" i="18"/>
  <c r="R900" i="18"/>
  <c r="Q900" i="18"/>
  <c r="P900" i="18"/>
  <c r="X899" i="18"/>
  <c r="W899" i="18"/>
  <c r="V899" i="18"/>
  <c r="U899" i="18"/>
  <c r="T899" i="18"/>
  <c r="S899" i="18"/>
  <c r="R899" i="18"/>
  <c r="Q899" i="18"/>
  <c r="P899" i="18"/>
  <c r="X898" i="18"/>
  <c r="W898" i="18"/>
  <c r="V898" i="18"/>
  <c r="U898" i="18"/>
  <c r="T898" i="18"/>
  <c r="S898" i="18"/>
  <c r="R898" i="18"/>
  <c r="Q898" i="18"/>
  <c r="P898" i="18"/>
  <c r="X897" i="18"/>
  <c r="W897" i="18"/>
  <c r="V897" i="18"/>
  <c r="U897" i="18"/>
  <c r="T897" i="18"/>
  <c r="S897" i="18"/>
  <c r="R897" i="18"/>
  <c r="Q897" i="18"/>
  <c r="P897" i="18"/>
  <c r="A896" i="18"/>
  <c r="A895" i="18"/>
  <c r="A894" i="18"/>
  <c r="A893" i="18"/>
  <c r="A892" i="18"/>
  <c r="A891" i="18"/>
  <c r="A890" i="18"/>
  <c r="A889" i="18"/>
  <c r="A888" i="18"/>
  <c r="A887" i="18"/>
  <c r="A886" i="18"/>
  <c r="A885" i="18"/>
  <c r="A884" i="18"/>
  <c r="A883" i="18"/>
  <c r="A882" i="18"/>
  <c r="A881" i="18"/>
  <c r="A880" i="18"/>
  <c r="A879" i="18"/>
  <c r="A878" i="18"/>
  <c r="A877" i="18"/>
  <c r="A876" i="18"/>
  <c r="A875" i="18"/>
  <c r="A874" i="18"/>
  <c r="A873" i="18"/>
  <c r="A872" i="18"/>
  <c r="A871" i="18"/>
  <c r="A870" i="18"/>
  <c r="A869" i="18"/>
  <c r="A868" i="18"/>
  <c r="A867" i="18"/>
  <c r="A866" i="18"/>
  <c r="A865" i="18"/>
  <c r="A864" i="18"/>
  <c r="A863" i="18"/>
  <c r="A862" i="18"/>
  <c r="A861" i="18"/>
  <c r="A860" i="18"/>
  <c r="A859" i="18"/>
  <c r="A858" i="18"/>
  <c r="A857" i="18"/>
  <c r="A856" i="18"/>
  <c r="B895" i="18"/>
  <c r="B894" i="18"/>
  <c r="B893" i="18"/>
  <c r="B892" i="18"/>
  <c r="B891" i="18"/>
  <c r="B890" i="18"/>
  <c r="B889" i="18"/>
  <c r="B888" i="18"/>
  <c r="B887" i="18"/>
  <c r="B886" i="18"/>
  <c r="B885" i="18"/>
  <c r="B884" i="18"/>
  <c r="B883" i="18"/>
  <c r="B882" i="18"/>
  <c r="B881" i="18"/>
  <c r="B880" i="18"/>
  <c r="B879" i="18"/>
  <c r="B878" i="18"/>
  <c r="B877" i="18"/>
  <c r="B876" i="18"/>
  <c r="B875" i="18"/>
  <c r="B874" i="18"/>
  <c r="B873" i="18"/>
  <c r="B872" i="18"/>
  <c r="B871" i="18"/>
  <c r="B870" i="18"/>
  <c r="B869" i="18"/>
  <c r="B868" i="18"/>
  <c r="B867" i="18"/>
  <c r="B866" i="18"/>
  <c r="B865" i="18"/>
  <c r="B864" i="18"/>
  <c r="B863" i="18"/>
  <c r="B862" i="18"/>
  <c r="B861" i="18"/>
  <c r="B860" i="18"/>
  <c r="B859" i="18"/>
  <c r="B858" i="18"/>
  <c r="B857" i="18"/>
  <c r="B856" i="18"/>
  <c r="T896" i="18"/>
  <c r="S896" i="18"/>
  <c r="R896" i="18"/>
  <c r="Q896" i="18"/>
  <c r="P896" i="18"/>
  <c r="T895" i="18"/>
  <c r="S895" i="18"/>
  <c r="R895" i="18"/>
  <c r="Q895" i="18"/>
  <c r="P895" i="18"/>
  <c r="T894" i="18"/>
  <c r="S894" i="18"/>
  <c r="R894" i="18"/>
  <c r="Q894" i="18"/>
  <c r="P894" i="18"/>
  <c r="J896" i="18"/>
  <c r="I896" i="18"/>
  <c r="H896" i="18"/>
  <c r="G896" i="18"/>
  <c r="F896" i="18"/>
  <c r="E896" i="18"/>
  <c r="D896" i="18"/>
  <c r="C896" i="18"/>
  <c r="J895" i="18"/>
  <c r="I895" i="18"/>
  <c r="H895" i="18"/>
  <c r="G895" i="18"/>
  <c r="F895" i="18"/>
  <c r="E895" i="18"/>
  <c r="D895" i="18"/>
  <c r="C895" i="18"/>
  <c r="J894" i="18"/>
  <c r="I894" i="18"/>
  <c r="H894" i="18"/>
  <c r="G894" i="18"/>
  <c r="F894" i="18"/>
  <c r="E894" i="18"/>
  <c r="D894" i="18"/>
  <c r="C894" i="18"/>
  <c r="CH893" i="18"/>
  <c r="CG893" i="18"/>
  <c r="CF893" i="18"/>
  <c r="CE893" i="18"/>
  <c r="CD893" i="18"/>
  <c r="CC893" i="18"/>
  <c r="CB893" i="18"/>
  <c r="CA893" i="18"/>
  <c r="BZ893" i="18"/>
  <c r="BY893" i="18"/>
  <c r="AQ893" i="18"/>
  <c r="AP893" i="18"/>
  <c r="AO893" i="18"/>
  <c r="AN893" i="18"/>
  <c r="AM893" i="18"/>
  <c r="AL893" i="18"/>
  <c r="AK893" i="18"/>
  <c r="AJ893" i="18"/>
  <c r="AI893" i="18"/>
  <c r="AH893" i="18"/>
  <c r="AG893" i="18"/>
  <c r="AF893" i="18"/>
  <c r="AE893" i="18"/>
  <c r="AD893" i="18"/>
  <c r="AC893" i="18"/>
  <c r="AB893" i="18"/>
  <c r="AA893" i="18"/>
  <c r="Z893" i="18"/>
  <c r="Y893" i="18"/>
  <c r="X893" i="18"/>
  <c r="W893" i="18"/>
  <c r="V893" i="18"/>
  <c r="U893" i="18"/>
  <c r="T893" i="18"/>
  <c r="S893" i="18"/>
  <c r="R893" i="18"/>
  <c r="Q893" i="18"/>
  <c r="P893" i="18"/>
  <c r="O893" i="18"/>
  <c r="N893" i="18"/>
  <c r="M893" i="18"/>
  <c r="L893" i="18"/>
  <c r="K893" i="18"/>
  <c r="J893" i="18"/>
  <c r="I893" i="18"/>
  <c r="H893" i="18"/>
  <c r="G893" i="18"/>
  <c r="F893" i="18"/>
  <c r="E893" i="18"/>
  <c r="D893" i="18"/>
  <c r="C893" i="18"/>
  <c r="CH892" i="18"/>
  <c r="CG892" i="18"/>
  <c r="CF892" i="18"/>
  <c r="CE892" i="18"/>
  <c r="CD892" i="18"/>
  <c r="CC892" i="18"/>
  <c r="CB892" i="18"/>
  <c r="CA892" i="18"/>
  <c r="BZ892" i="18"/>
  <c r="BY892" i="18"/>
  <c r="AQ892" i="18"/>
  <c r="AP892" i="18"/>
  <c r="AO892" i="18"/>
  <c r="AN892" i="18"/>
  <c r="AM892" i="18"/>
  <c r="AL892" i="18"/>
  <c r="AK892" i="18"/>
  <c r="AJ892" i="18"/>
  <c r="AI892" i="18"/>
  <c r="AH892" i="18"/>
  <c r="AG892" i="18"/>
  <c r="AF892" i="18"/>
  <c r="AE892" i="18"/>
  <c r="AD892" i="18"/>
  <c r="AC892" i="18"/>
  <c r="AB892" i="18"/>
  <c r="AA892" i="18"/>
  <c r="Z892" i="18"/>
  <c r="Y892" i="18"/>
  <c r="X892" i="18"/>
  <c r="W892" i="18"/>
  <c r="V892" i="18"/>
  <c r="U892" i="18"/>
  <c r="T892" i="18"/>
  <c r="S892" i="18"/>
  <c r="R892" i="18"/>
  <c r="Q892" i="18"/>
  <c r="P892" i="18"/>
  <c r="O892" i="18"/>
  <c r="N892" i="18"/>
  <c r="M892" i="18"/>
  <c r="L892" i="18"/>
  <c r="K892" i="18"/>
  <c r="J892" i="18"/>
  <c r="I892" i="18"/>
  <c r="H892" i="18"/>
  <c r="G892" i="18"/>
  <c r="F892" i="18"/>
  <c r="E892" i="18"/>
  <c r="D892" i="18"/>
  <c r="C892" i="18"/>
  <c r="CX891" i="18"/>
  <c r="CW891" i="18"/>
  <c r="CV891" i="18"/>
  <c r="CU891" i="18"/>
  <c r="CT891" i="18"/>
  <c r="CS891" i="18"/>
  <c r="CR891" i="18"/>
  <c r="CQ891" i="18"/>
  <c r="CP891" i="18"/>
  <c r="CO891" i="18"/>
  <c r="CN891" i="18"/>
  <c r="CM891" i="18"/>
  <c r="CL891" i="18"/>
  <c r="CK891" i="18"/>
  <c r="CJ891" i="18"/>
  <c r="CI891" i="18"/>
  <c r="CH891" i="18"/>
  <c r="CG891" i="18"/>
  <c r="CF891" i="18"/>
  <c r="CE891" i="18"/>
  <c r="CD891" i="18"/>
  <c r="CC891" i="18"/>
  <c r="CB891" i="18"/>
  <c r="CA891" i="18"/>
  <c r="BZ891" i="18"/>
  <c r="BY891" i="18"/>
  <c r="BX891" i="18"/>
  <c r="BW891" i="18"/>
  <c r="BV891" i="18"/>
  <c r="BU891" i="18"/>
  <c r="BT891" i="18"/>
  <c r="BS891" i="18"/>
  <c r="BR891" i="18"/>
  <c r="BQ891" i="18"/>
  <c r="BP891" i="18"/>
  <c r="BO891" i="18"/>
  <c r="BN891" i="18"/>
  <c r="BM891" i="18"/>
  <c r="BL891" i="18"/>
  <c r="BK891" i="18"/>
  <c r="BJ891" i="18"/>
  <c r="BI891" i="18"/>
  <c r="BH891" i="18"/>
  <c r="BG891" i="18"/>
  <c r="BF891" i="18"/>
  <c r="BE891" i="18"/>
  <c r="BD891" i="18"/>
  <c r="BC891" i="18"/>
  <c r="BB891" i="18"/>
  <c r="BA891" i="18"/>
  <c r="AZ891" i="18"/>
  <c r="AY891" i="18"/>
  <c r="AX891" i="18"/>
  <c r="AW891" i="18"/>
  <c r="AV891" i="18"/>
  <c r="AU891" i="18"/>
  <c r="AT891" i="18"/>
  <c r="AS891" i="18"/>
  <c r="AR891" i="18"/>
  <c r="AQ891" i="18"/>
  <c r="AP891" i="18"/>
  <c r="AO891" i="18"/>
  <c r="AN891" i="18"/>
  <c r="AM891" i="18"/>
  <c r="AL891" i="18"/>
  <c r="AK891" i="18"/>
  <c r="AJ891" i="18"/>
  <c r="AI891" i="18"/>
  <c r="AH891" i="18"/>
  <c r="AG891" i="18"/>
  <c r="AF891" i="18"/>
  <c r="AE891" i="18"/>
  <c r="AD891" i="18"/>
  <c r="AC891" i="18"/>
  <c r="AB891" i="18"/>
  <c r="AA891" i="18"/>
  <c r="Z891" i="18"/>
  <c r="Y891" i="18"/>
  <c r="X891" i="18"/>
  <c r="W891" i="18"/>
  <c r="V891" i="18"/>
  <c r="U891" i="18"/>
  <c r="T891" i="18"/>
  <c r="S891" i="18"/>
  <c r="R891" i="18"/>
  <c r="Q891" i="18"/>
  <c r="P891" i="18"/>
  <c r="O891" i="18"/>
  <c r="N891" i="18"/>
  <c r="M891" i="18"/>
  <c r="L891" i="18"/>
  <c r="K891" i="18"/>
  <c r="J891" i="18"/>
  <c r="I891" i="18"/>
  <c r="H891" i="18"/>
  <c r="G891" i="18"/>
  <c r="F891" i="18"/>
  <c r="E891" i="18"/>
  <c r="D891" i="18"/>
  <c r="C891" i="18"/>
  <c r="CX890" i="18"/>
  <c r="CW890" i="18"/>
  <c r="CV890" i="18"/>
  <c r="CU890" i="18"/>
  <c r="CT890" i="18"/>
  <c r="CS890" i="18"/>
  <c r="CR890" i="18"/>
  <c r="CQ890" i="18"/>
  <c r="CP890" i="18"/>
  <c r="CO890" i="18"/>
  <c r="CN890" i="18"/>
  <c r="CM890" i="18"/>
  <c r="CL890" i="18"/>
  <c r="CK890" i="18"/>
  <c r="CJ890" i="18"/>
  <c r="CI890" i="18"/>
  <c r="CH890" i="18"/>
  <c r="CG890" i="18"/>
  <c r="CF890" i="18"/>
  <c r="CE890" i="18"/>
  <c r="CD890" i="18"/>
  <c r="CC890" i="18"/>
  <c r="CB890" i="18"/>
  <c r="CA890" i="18"/>
  <c r="BZ890" i="18"/>
  <c r="BY890" i="18"/>
  <c r="BX890" i="18"/>
  <c r="BW890" i="18"/>
  <c r="BV890" i="18"/>
  <c r="BU890" i="18"/>
  <c r="BT890" i="18"/>
  <c r="BS890" i="18"/>
  <c r="BR890" i="18"/>
  <c r="BQ890" i="18"/>
  <c r="BP890" i="18"/>
  <c r="BO890" i="18"/>
  <c r="BN890" i="18"/>
  <c r="BM890" i="18"/>
  <c r="BL890" i="18"/>
  <c r="BK890" i="18"/>
  <c r="BJ890" i="18"/>
  <c r="BI890" i="18"/>
  <c r="BH890" i="18"/>
  <c r="BG890" i="18"/>
  <c r="BF890" i="18"/>
  <c r="BE890" i="18"/>
  <c r="BD890" i="18"/>
  <c r="BC890" i="18"/>
  <c r="BB890" i="18"/>
  <c r="BA890" i="18"/>
  <c r="AZ890" i="18"/>
  <c r="AY890" i="18"/>
  <c r="AX890" i="18"/>
  <c r="AW890" i="18"/>
  <c r="AV890" i="18"/>
  <c r="AU890" i="18"/>
  <c r="AT890" i="18"/>
  <c r="AS890" i="18"/>
  <c r="AR890" i="18"/>
  <c r="AQ890" i="18"/>
  <c r="AP890" i="18"/>
  <c r="AO890" i="18"/>
  <c r="AN890" i="18"/>
  <c r="AM890" i="18"/>
  <c r="AL890" i="18"/>
  <c r="AK890" i="18"/>
  <c r="AJ890" i="18"/>
  <c r="AI890" i="18"/>
  <c r="AH890" i="18"/>
  <c r="AG890" i="18"/>
  <c r="AF890" i="18"/>
  <c r="AE890" i="18"/>
  <c r="AD890" i="18"/>
  <c r="AC890" i="18"/>
  <c r="AB890" i="18"/>
  <c r="AA890" i="18"/>
  <c r="Z890" i="18"/>
  <c r="Y890" i="18"/>
  <c r="X890" i="18"/>
  <c r="W890" i="18"/>
  <c r="V890" i="18"/>
  <c r="U890" i="18"/>
  <c r="T890" i="18"/>
  <c r="S890" i="18"/>
  <c r="R890" i="18"/>
  <c r="Q890" i="18"/>
  <c r="P890" i="18"/>
  <c r="O890" i="18"/>
  <c r="N890" i="18"/>
  <c r="M890" i="18"/>
  <c r="L890" i="18"/>
  <c r="K890" i="18"/>
  <c r="J890" i="18"/>
  <c r="I890" i="18"/>
  <c r="H890" i="18"/>
  <c r="G890" i="18"/>
  <c r="F890" i="18"/>
  <c r="E890" i="18"/>
  <c r="D890" i="18"/>
  <c r="C890" i="18"/>
  <c r="CX889" i="18"/>
  <c r="CW889" i="18"/>
  <c r="CV889" i="18"/>
  <c r="CU889" i="18"/>
  <c r="CT889" i="18"/>
  <c r="CS889" i="18"/>
  <c r="CR889" i="18"/>
  <c r="CQ889" i="18"/>
  <c r="CP889" i="18"/>
  <c r="CO889" i="18"/>
  <c r="CN889" i="18"/>
  <c r="CM889" i="18"/>
  <c r="CL889" i="18"/>
  <c r="CK889" i="18"/>
  <c r="CJ889" i="18"/>
  <c r="CI889" i="18"/>
  <c r="CH889" i="18"/>
  <c r="CG889" i="18"/>
  <c r="CF889" i="18"/>
  <c r="CE889" i="18"/>
  <c r="CD889" i="18"/>
  <c r="CC889" i="18"/>
  <c r="CB889" i="18"/>
  <c r="CA889" i="18"/>
  <c r="BZ889" i="18"/>
  <c r="BY889" i="18"/>
  <c r="BX889" i="18"/>
  <c r="BW889" i="18"/>
  <c r="BV889" i="18"/>
  <c r="BU889" i="18"/>
  <c r="BT889" i="18"/>
  <c r="BS889" i="18"/>
  <c r="BR889" i="18"/>
  <c r="BQ889" i="18"/>
  <c r="BP889" i="18"/>
  <c r="BO889" i="18"/>
  <c r="BN889" i="18"/>
  <c r="BM889" i="18"/>
  <c r="BL889" i="18"/>
  <c r="BK889" i="18"/>
  <c r="BJ889" i="18"/>
  <c r="BI889" i="18"/>
  <c r="BH889" i="18"/>
  <c r="BG889" i="18"/>
  <c r="BF889" i="18"/>
  <c r="BE889" i="18"/>
  <c r="BD889" i="18"/>
  <c r="BC889" i="18"/>
  <c r="BB889" i="18"/>
  <c r="BA889" i="18"/>
  <c r="AZ889" i="18"/>
  <c r="AY889" i="18"/>
  <c r="AX889" i="18"/>
  <c r="AW889" i="18"/>
  <c r="AV889" i="18"/>
  <c r="AU889" i="18"/>
  <c r="AT889" i="18"/>
  <c r="AS889" i="18"/>
  <c r="AR889" i="18"/>
  <c r="AQ889" i="18"/>
  <c r="AP889" i="18"/>
  <c r="AO889" i="18"/>
  <c r="AN889" i="18"/>
  <c r="AM889" i="18"/>
  <c r="AL889" i="18"/>
  <c r="AK889" i="18"/>
  <c r="AJ889" i="18"/>
  <c r="AI889" i="18"/>
  <c r="AH889" i="18"/>
  <c r="AG889" i="18"/>
  <c r="AF889" i="18"/>
  <c r="AE889" i="18"/>
  <c r="AD889" i="18"/>
  <c r="AC889" i="18"/>
  <c r="AB889" i="18"/>
  <c r="AA889" i="18"/>
  <c r="Z889" i="18"/>
  <c r="Y889" i="18"/>
  <c r="X889" i="18"/>
  <c r="W889" i="18"/>
  <c r="V889" i="18"/>
  <c r="U889" i="18"/>
  <c r="T889" i="18"/>
  <c r="S889" i="18"/>
  <c r="R889" i="18"/>
  <c r="Q889" i="18"/>
  <c r="P889" i="18"/>
  <c r="O889" i="18"/>
  <c r="N889" i="18"/>
  <c r="M889" i="18"/>
  <c r="L889" i="18"/>
  <c r="K889" i="18"/>
  <c r="J889" i="18"/>
  <c r="I889" i="18"/>
  <c r="H889" i="18"/>
  <c r="G889" i="18"/>
  <c r="F889" i="18"/>
  <c r="E889" i="18"/>
  <c r="D889" i="18"/>
  <c r="C889" i="18"/>
  <c r="CH888" i="18"/>
  <c r="CG888" i="18"/>
  <c r="CF888" i="18"/>
  <c r="CE888" i="18"/>
  <c r="CD888" i="18"/>
  <c r="CC888" i="18"/>
  <c r="CB888" i="18"/>
  <c r="CA888" i="18"/>
  <c r="BZ888" i="18"/>
  <c r="BY888" i="18"/>
  <c r="AQ888" i="18"/>
  <c r="AP888" i="18"/>
  <c r="AO888" i="18"/>
  <c r="AN888" i="18"/>
  <c r="AM888" i="18"/>
  <c r="AL888" i="18"/>
  <c r="AK888" i="18"/>
  <c r="AJ888" i="18"/>
  <c r="AI888" i="18"/>
  <c r="AH888" i="18"/>
  <c r="AG888" i="18"/>
  <c r="AF888" i="18"/>
  <c r="AE888" i="18"/>
  <c r="AD888" i="18"/>
  <c r="AC888" i="18"/>
  <c r="AB888" i="18"/>
  <c r="AA888" i="18"/>
  <c r="Z888" i="18"/>
  <c r="Y888" i="18"/>
  <c r="X888" i="18"/>
  <c r="W888" i="18"/>
  <c r="V888" i="18"/>
  <c r="U888" i="18"/>
  <c r="T888" i="18"/>
  <c r="S888" i="18"/>
  <c r="R888" i="18"/>
  <c r="Q888" i="18"/>
  <c r="P888" i="18"/>
  <c r="O888" i="18"/>
  <c r="N888" i="18"/>
  <c r="M888" i="18"/>
  <c r="L888" i="18"/>
  <c r="K888" i="18"/>
  <c r="J888" i="18"/>
  <c r="I888" i="18"/>
  <c r="H888" i="18"/>
  <c r="G888" i="18"/>
  <c r="F888" i="18"/>
  <c r="E888" i="18"/>
  <c r="D888" i="18"/>
  <c r="C888" i="18"/>
  <c r="CH887" i="18"/>
  <c r="CG887" i="18"/>
  <c r="CF887" i="18"/>
  <c r="CE887" i="18"/>
  <c r="CD887" i="18"/>
  <c r="CC887" i="18"/>
  <c r="CB887" i="18"/>
  <c r="CA887" i="18"/>
  <c r="BZ887" i="18"/>
  <c r="BY887" i="18"/>
  <c r="AQ887" i="18"/>
  <c r="AP887" i="18"/>
  <c r="AO887" i="18"/>
  <c r="AN887" i="18"/>
  <c r="AM887" i="18"/>
  <c r="AL887" i="18"/>
  <c r="AK887" i="18"/>
  <c r="AJ887" i="18"/>
  <c r="AI887" i="18"/>
  <c r="AH887" i="18"/>
  <c r="AG887" i="18"/>
  <c r="AF887" i="18"/>
  <c r="AE887" i="18"/>
  <c r="AD887" i="18"/>
  <c r="AC887" i="18"/>
  <c r="AB887" i="18"/>
  <c r="AA887" i="18"/>
  <c r="Z887" i="18"/>
  <c r="Y887" i="18"/>
  <c r="X887" i="18"/>
  <c r="W887" i="18"/>
  <c r="V887" i="18"/>
  <c r="U887" i="18"/>
  <c r="T887" i="18"/>
  <c r="S887" i="18"/>
  <c r="R887" i="18"/>
  <c r="Q887" i="18"/>
  <c r="P887" i="18"/>
  <c r="O887" i="18"/>
  <c r="N887" i="18"/>
  <c r="M887" i="18"/>
  <c r="L887" i="18"/>
  <c r="K887" i="18"/>
  <c r="J887" i="18"/>
  <c r="I887" i="18"/>
  <c r="H887" i="18"/>
  <c r="G887" i="18"/>
  <c r="F887" i="18"/>
  <c r="E887" i="18"/>
  <c r="D887" i="18"/>
  <c r="C887" i="18"/>
  <c r="CX886" i="18"/>
  <c r="CW886" i="18"/>
  <c r="CV886" i="18"/>
  <c r="CU886" i="18"/>
  <c r="CT886" i="18"/>
  <c r="CS886" i="18"/>
  <c r="CR886" i="18"/>
  <c r="CQ886" i="18"/>
  <c r="CP886" i="18"/>
  <c r="CO886" i="18"/>
  <c r="CN886" i="18"/>
  <c r="CM886" i="18"/>
  <c r="CL886" i="18"/>
  <c r="CK886" i="18"/>
  <c r="CJ886" i="18"/>
  <c r="CI886" i="18"/>
  <c r="CH886" i="18"/>
  <c r="CG886" i="18"/>
  <c r="CF886" i="18"/>
  <c r="CE886" i="18"/>
  <c r="CD886" i="18"/>
  <c r="CC886" i="18"/>
  <c r="CB886" i="18"/>
  <c r="CA886" i="18"/>
  <c r="BZ886" i="18"/>
  <c r="BY886" i="18"/>
  <c r="BX886" i="18"/>
  <c r="BW886" i="18"/>
  <c r="BV886" i="18"/>
  <c r="BU886" i="18"/>
  <c r="BT886" i="18"/>
  <c r="BS886" i="18"/>
  <c r="BR886" i="18"/>
  <c r="BQ886" i="18"/>
  <c r="BP886" i="18"/>
  <c r="BO886" i="18"/>
  <c r="BN886" i="18"/>
  <c r="BM886" i="18"/>
  <c r="BL886" i="18"/>
  <c r="BK886" i="18"/>
  <c r="BJ886" i="18"/>
  <c r="BI886" i="18"/>
  <c r="BH886" i="18"/>
  <c r="BG886" i="18"/>
  <c r="BF886" i="18"/>
  <c r="BE886" i="18"/>
  <c r="BD886" i="18"/>
  <c r="BC886" i="18"/>
  <c r="BB886" i="18"/>
  <c r="BA886" i="18"/>
  <c r="AZ886" i="18"/>
  <c r="AY886" i="18"/>
  <c r="AX886" i="18"/>
  <c r="AW886" i="18"/>
  <c r="AV886" i="18"/>
  <c r="AU886" i="18"/>
  <c r="AT886" i="18"/>
  <c r="AS886" i="18"/>
  <c r="AR886" i="18"/>
  <c r="AQ886" i="18"/>
  <c r="AP886" i="18"/>
  <c r="AO886" i="18"/>
  <c r="AN886" i="18"/>
  <c r="AM886" i="18"/>
  <c r="AL886" i="18"/>
  <c r="AK886" i="18"/>
  <c r="AJ886" i="18"/>
  <c r="AI886" i="18"/>
  <c r="AH886" i="18"/>
  <c r="AG886" i="18"/>
  <c r="AF886" i="18"/>
  <c r="AE886" i="18"/>
  <c r="AD886" i="18"/>
  <c r="AC886" i="18"/>
  <c r="AB886" i="18"/>
  <c r="AA886" i="18"/>
  <c r="Z886" i="18"/>
  <c r="Y886" i="18"/>
  <c r="X886" i="18"/>
  <c r="W886" i="18"/>
  <c r="V886" i="18"/>
  <c r="U886" i="18"/>
  <c r="T886" i="18"/>
  <c r="S886" i="18"/>
  <c r="R886" i="18"/>
  <c r="Q886" i="18"/>
  <c r="P886" i="18"/>
  <c r="O886" i="18"/>
  <c r="N886" i="18"/>
  <c r="M886" i="18"/>
  <c r="L886" i="18"/>
  <c r="K886" i="18"/>
  <c r="J886" i="18"/>
  <c r="I886" i="18"/>
  <c r="H886" i="18"/>
  <c r="G886" i="18"/>
  <c r="F886" i="18"/>
  <c r="E886" i="18"/>
  <c r="D886" i="18"/>
  <c r="C886" i="18"/>
  <c r="CX885" i="18"/>
  <c r="CW885" i="18"/>
  <c r="CV885" i="18"/>
  <c r="CU885" i="18"/>
  <c r="CT885" i="18"/>
  <c r="CS885" i="18"/>
  <c r="CR885" i="18"/>
  <c r="CQ885" i="18"/>
  <c r="CP885" i="18"/>
  <c r="CO885" i="18"/>
  <c r="CN885" i="18"/>
  <c r="CM885" i="18"/>
  <c r="CL885" i="18"/>
  <c r="CK885" i="18"/>
  <c r="CJ885" i="18"/>
  <c r="CI885" i="18"/>
  <c r="CH885" i="18"/>
  <c r="CG885" i="18"/>
  <c r="CF885" i="18"/>
  <c r="CE885" i="18"/>
  <c r="CD885" i="18"/>
  <c r="CC885" i="18"/>
  <c r="CB885" i="18"/>
  <c r="CA885" i="18"/>
  <c r="BZ885" i="18"/>
  <c r="BY885" i="18"/>
  <c r="BX885" i="18"/>
  <c r="BW885" i="18"/>
  <c r="BV885" i="18"/>
  <c r="BU885" i="18"/>
  <c r="BT885" i="18"/>
  <c r="BS885" i="18"/>
  <c r="BR885" i="18"/>
  <c r="BQ885" i="18"/>
  <c r="BP885" i="18"/>
  <c r="BO885" i="18"/>
  <c r="BN885" i="18"/>
  <c r="BM885" i="18"/>
  <c r="BL885" i="18"/>
  <c r="BK885" i="18"/>
  <c r="BJ885" i="18"/>
  <c r="BI885" i="18"/>
  <c r="BH885" i="18"/>
  <c r="BG885" i="18"/>
  <c r="BF885" i="18"/>
  <c r="BE885" i="18"/>
  <c r="BD885" i="18"/>
  <c r="BC885" i="18"/>
  <c r="BB885" i="18"/>
  <c r="BA885" i="18"/>
  <c r="AZ885" i="18"/>
  <c r="AY885" i="18"/>
  <c r="AX885" i="18"/>
  <c r="AW885" i="18"/>
  <c r="AV885" i="18"/>
  <c r="AU885" i="18"/>
  <c r="AT885" i="18"/>
  <c r="AS885" i="18"/>
  <c r="AR885" i="18"/>
  <c r="AQ885" i="18"/>
  <c r="AP885" i="18"/>
  <c r="AO885" i="18"/>
  <c r="AN885" i="18"/>
  <c r="AM885" i="18"/>
  <c r="AL885" i="18"/>
  <c r="AK885" i="18"/>
  <c r="AJ885" i="18"/>
  <c r="AI885" i="18"/>
  <c r="AH885" i="18"/>
  <c r="AG885" i="18"/>
  <c r="AF885" i="18"/>
  <c r="AE885" i="18"/>
  <c r="AD885" i="18"/>
  <c r="AC885" i="18"/>
  <c r="AB885" i="18"/>
  <c r="AA885" i="18"/>
  <c r="Z885" i="18"/>
  <c r="Y885" i="18"/>
  <c r="X885" i="18"/>
  <c r="W885" i="18"/>
  <c r="V885" i="18"/>
  <c r="U885" i="18"/>
  <c r="T885" i="18"/>
  <c r="S885" i="18"/>
  <c r="R885" i="18"/>
  <c r="Q885" i="18"/>
  <c r="P885" i="18"/>
  <c r="O885" i="18"/>
  <c r="N885" i="18"/>
  <c r="M885" i="18"/>
  <c r="L885" i="18"/>
  <c r="K885" i="18"/>
  <c r="J885" i="18"/>
  <c r="I885" i="18"/>
  <c r="H885" i="18"/>
  <c r="G885" i="18"/>
  <c r="F885" i="18"/>
  <c r="E885" i="18"/>
  <c r="D885" i="18"/>
  <c r="C885" i="18"/>
  <c r="CX884" i="18"/>
  <c r="CW884" i="18"/>
  <c r="CV884" i="18"/>
  <c r="CU884" i="18"/>
  <c r="CT884" i="18"/>
  <c r="CS884" i="18"/>
  <c r="CR884" i="18"/>
  <c r="CQ884" i="18"/>
  <c r="CP884" i="18"/>
  <c r="CO884" i="18"/>
  <c r="CN884" i="18"/>
  <c r="CM884" i="18"/>
  <c r="CL884" i="18"/>
  <c r="CK884" i="18"/>
  <c r="CJ884" i="18"/>
  <c r="CI884" i="18"/>
  <c r="CH884" i="18"/>
  <c r="CG884" i="18"/>
  <c r="CF884" i="18"/>
  <c r="CE884" i="18"/>
  <c r="CD884" i="18"/>
  <c r="CC884" i="18"/>
  <c r="CB884" i="18"/>
  <c r="CA884" i="18"/>
  <c r="BZ884" i="18"/>
  <c r="BY884" i="18"/>
  <c r="BX884" i="18"/>
  <c r="BW884" i="18"/>
  <c r="BV884" i="18"/>
  <c r="BU884" i="18"/>
  <c r="BT884" i="18"/>
  <c r="BS884" i="18"/>
  <c r="BR884" i="18"/>
  <c r="BQ884" i="18"/>
  <c r="BP884" i="18"/>
  <c r="BO884" i="18"/>
  <c r="BN884" i="18"/>
  <c r="BM884" i="18"/>
  <c r="BL884" i="18"/>
  <c r="BK884" i="18"/>
  <c r="BJ884" i="18"/>
  <c r="BI884" i="18"/>
  <c r="BH884" i="18"/>
  <c r="BG884" i="18"/>
  <c r="BF884" i="18"/>
  <c r="BE884" i="18"/>
  <c r="BD884" i="18"/>
  <c r="BC884" i="18"/>
  <c r="BB884" i="18"/>
  <c r="BA884" i="18"/>
  <c r="AZ884" i="18"/>
  <c r="AY884" i="18"/>
  <c r="AX884" i="18"/>
  <c r="AW884" i="18"/>
  <c r="AV884" i="18"/>
  <c r="AU884" i="18"/>
  <c r="AT884" i="18"/>
  <c r="AS884" i="18"/>
  <c r="AR884" i="18"/>
  <c r="AQ884" i="18"/>
  <c r="AP884" i="18"/>
  <c r="AO884" i="18"/>
  <c r="AN884" i="18"/>
  <c r="AM884" i="18"/>
  <c r="AL884" i="18"/>
  <c r="AK884" i="18"/>
  <c r="AJ884" i="18"/>
  <c r="AI884" i="18"/>
  <c r="AH884" i="18"/>
  <c r="AG884" i="18"/>
  <c r="AF884" i="18"/>
  <c r="AE884" i="18"/>
  <c r="AD884" i="18"/>
  <c r="AC884" i="18"/>
  <c r="AB884" i="18"/>
  <c r="AA884" i="18"/>
  <c r="Z884" i="18"/>
  <c r="Y884" i="18"/>
  <c r="X884" i="18"/>
  <c r="W884" i="18"/>
  <c r="V884" i="18"/>
  <c r="U884" i="18"/>
  <c r="T884" i="18"/>
  <c r="S884" i="18"/>
  <c r="R884" i="18"/>
  <c r="Q884" i="18"/>
  <c r="P884" i="18"/>
  <c r="O884" i="18"/>
  <c r="N884" i="18"/>
  <c r="M884" i="18"/>
  <c r="L884" i="18"/>
  <c r="K884" i="18"/>
  <c r="J884" i="18"/>
  <c r="I884" i="18"/>
  <c r="H884" i="18"/>
  <c r="G884" i="18"/>
  <c r="F884" i="18"/>
  <c r="E884" i="18"/>
  <c r="D884" i="18"/>
  <c r="C884" i="18"/>
  <c r="CX883" i="18"/>
  <c r="CW883" i="18"/>
  <c r="CV883" i="18"/>
  <c r="CU883" i="18"/>
  <c r="CT883" i="18"/>
  <c r="CS883" i="18"/>
  <c r="CR883" i="18"/>
  <c r="CQ883" i="18"/>
  <c r="CP883" i="18"/>
  <c r="CO883" i="18"/>
  <c r="CN883" i="18"/>
  <c r="CM883" i="18"/>
  <c r="CL883" i="18"/>
  <c r="CK883" i="18"/>
  <c r="CJ883" i="18"/>
  <c r="CI883" i="18"/>
  <c r="CH883" i="18"/>
  <c r="CG883" i="18"/>
  <c r="CF883" i="18"/>
  <c r="CE883" i="18"/>
  <c r="CD883" i="18"/>
  <c r="CC883" i="18"/>
  <c r="CB883" i="18"/>
  <c r="CA883" i="18"/>
  <c r="BZ883" i="18"/>
  <c r="BY883" i="18"/>
  <c r="BX883" i="18"/>
  <c r="BW883" i="18"/>
  <c r="BV883" i="18"/>
  <c r="BU883" i="18"/>
  <c r="BT883" i="18"/>
  <c r="BS883" i="18"/>
  <c r="BR883" i="18"/>
  <c r="BQ883" i="18"/>
  <c r="BP883" i="18"/>
  <c r="BO883" i="18"/>
  <c r="BN883" i="18"/>
  <c r="BM883" i="18"/>
  <c r="BL883" i="18"/>
  <c r="BK883" i="18"/>
  <c r="BJ883" i="18"/>
  <c r="BI883" i="18"/>
  <c r="BH883" i="18"/>
  <c r="BG883" i="18"/>
  <c r="BF883" i="18"/>
  <c r="BE883" i="18"/>
  <c r="BD883" i="18"/>
  <c r="BC883" i="18"/>
  <c r="BB883" i="18"/>
  <c r="BA883" i="18"/>
  <c r="AZ883" i="18"/>
  <c r="AY883" i="18"/>
  <c r="AX883" i="18"/>
  <c r="AW883" i="18"/>
  <c r="AV883" i="18"/>
  <c r="AU883" i="18"/>
  <c r="AT883" i="18"/>
  <c r="AS883" i="18"/>
  <c r="AR883" i="18"/>
  <c r="AQ883" i="18"/>
  <c r="AP883" i="18"/>
  <c r="AO883" i="18"/>
  <c r="AN883" i="18"/>
  <c r="AM883" i="18"/>
  <c r="AL883" i="18"/>
  <c r="AK883" i="18"/>
  <c r="AJ883" i="18"/>
  <c r="AI883" i="18"/>
  <c r="AH883" i="18"/>
  <c r="AG883" i="18"/>
  <c r="AF883" i="18"/>
  <c r="AE883" i="18"/>
  <c r="AD883" i="18"/>
  <c r="AC883" i="18"/>
  <c r="AB883" i="18"/>
  <c r="AA883" i="18"/>
  <c r="Z883" i="18"/>
  <c r="Y883" i="18"/>
  <c r="X883" i="18"/>
  <c r="W883" i="18"/>
  <c r="V883" i="18"/>
  <c r="U883" i="18"/>
  <c r="T883" i="18"/>
  <c r="S883" i="18"/>
  <c r="R883" i="18"/>
  <c r="Q883" i="18"/>
  <c r="P883" i="18"/>
  <c r="O883" i="18"/>
  <c r="N883" i="18"/>
  <c r="M883" i="18"/>
  <c r="L883" i="18"/>
  <c r="K883" i="18"/>
  <c r="J883" i="18"/>
  <c r="I883" i="18"/>
  <c r="H883" i="18"/>
  <c r="G883" i="18"/>
  <c r="F883" i="18"/>
  <c r="E883" i="18"/>
  <c r="D883" i="18"/>
  <c r="C883" i="18"/>
  <c r="CX882" i="18"/>
  <c r="CW882" i="18"/>
  <c r="CV882" i="18"/>
  <c r="CU882" i="18"/>
  <c r="CT882" i="18"/>
  <c r="CS882" i="18"/>
  <c r="CR882" i="18"/>
  <c r="CQ882" i="18"/>
  <c r="CP882" i="18"/>
  <c r="CO882" i="18"/>
  <c r="CN882" i="18"/>
  <c r="CM882" i="18"/>
  <c r="CL882" i="18"/>
  <c r="CK882" i="18"/>
  <c r="CJ882" i="18"/>
  <c r="CI882" i="18"/>
  <c r="CH882" i="18"/>
  <c r="CG882" i="18"/>
  <c r="CF882" i="18"/>
  <c r="CE882" i="18"/>
  <c r="CD882" i="18"/>
  <c r="CC882" i="18"/>
  <c r="CB882" i="18"/>
  <c r="CA882" i="18"/>
  <c r="BZ882" i="18"/>
  <c r="BY882" i="18"/>
  <c r="AQ882" i="18"/>
  <c r="AP882" i="18"/>
  <c r="AO882" i="18"/>
  <c r="AN882" i="18"/>
  <c r="AM882" i="18"/>
  <c r="AL882" i="18"/>
  <c r="AK882" i="18"/>
  <c r="AJ882" i="18"/>
  <c r="AI882" i="18"/>
  <c r="AH882" i="18"/>
  <c r="AG882" i="18"/>
  <c r="AF882" i="18"/>
  <c r="AE882" i="18"/>
  <c r="AD882" i="18"/>
  <c r="AC882" i="18"/>
  <c r="AB882" i="18"/>
  <c r="AA882" i="18"/>
  <c r="Z882" i="18"/>
  <c r="Y882" i="18"/>
  <c r="X882" i="18"/>
  <c r="W882" i="18"/>
  <c r="V882" i="18"/>
  <c r="U882" i="18"/>
  <c r="T882" i="18"/>
  <c r="S882" i="18"/>
  <c r="R882" i="18"/>
  <c r="Q882" i="18"/>
  <c r="P882" i="18"/>
  <c r="O882" i="18"/>
  <c r="N882" i="18"/>
  <c r="M882" i="18"/>
  <c r="L882" i="18"/>
  <c r="K882" i="18"/>
  <c r="J882" i="18"/>
  <c r="I882" i="18"/>
  <c r="H882" i="18"/>
  <c r="G882" i="18"/>
  <c r="F882" i="18"/>
  <c r="E882" i="18"/>
  <c r="D882" i="18"/>
  <c r="C882" i="18"/>
  <c r="CH881" i="18"/>
  <c r="CG881" i="18"/>
  <c r="CF881" i="18"/>
  <c r="CE881" i="18"/>
  <c r="CD881" i="18"/>
  <c r="CC881" i="18"/>
  <c r="CB881" i="18"/>
  <c r="CA881" i="18"/>
  <c r="BZ881" i="18"/>
  <c r="BY881" i="18"/>
  <c r="AQ881" i="18"/>
  <c r="AP881" i="18"/>
  <c r="AO881" i="18"/>
  <c r="AN881" i="18"/>
  <c r="AM881" i="18"/>
  <c r="AL881" i="18"/>
  <c r="AK881" i="18"/>
  <c r="AJ881" i="18"/>
  <c r="AI881" i="18"/>
  <c r="AH881" i="18"/>
  <c r="AG881" i="18"/>
  <c r="AF881" i="18"/>
  <c r="AE881" i="18"/>
  <c r="AD881" i="18"/>
  <c r="AC881" i="18"/>
  <c r="AB881" i="18"/>
  <c r="AA881" i="18"/>
  <c r="Z881" i="18"/>
  <c r="Y881" i="18"/>
  <c r="X881" i="18"/>
  <c r="W881" i="18"/>
  <c r="V881" i="18"/>
  <c r="U881" i="18"/>
  <c r="T881" i="18"/>
  <c r="S881" i="18"/>
  <c r="R881" i="18"/>
  <c r="Q881" i="18"/>
  <c r="P881" i="18"/>
  <c r="O881" i="18"/>
  <c r="N881" i="18"/>
  <c r="M881" i="18"/>
  <c r="L881" i="18"/>
  <c r="K881" i="18"/>
  <c r="J881" i="18"/>
  <c r="I881" i="18"/>
  <c r="H881" i="18"/>
  <c r="G881" i="18"/>
  <c r="F881" i="18"/>
  <c r="E881" i="18"/>
  <c r="D881" i="18"/>
  <c r="C881" i="18"/>
  <c r="CH880" i="18"/>
  <c r="CG880" i="18"/>
  <c r="CF880" i="18"/>
  <c r="CE880" i="18"/>
  <c r="CD880" i="18"/>
  <c r="CC880" i="18"/>
  <c r="CB880" i="18"/>
  <c r="CA880" i="18"/>
  <c r="BZ880" i="18"/>
  <c r="BY880" i="18"/>
  <c r="BX880" i="18"/>
  <c r="BW880" i="18"/>
  <c r="BV880" i="18"/>
  <c r="BU880" i="18"/>
  <c r="AQ880" i="18"/>
  <c r="AP880" i="18"/>
  <c r="AO880" i="18"/>
  <c r="AN880" i="18"/>
  <c r="AM880" i="18"/>
  <c r="AL880" i="18"/>
  <c r="AK880" i="18"/>
  <c r="AJ880" i="18"/>
  <c r="AI880" i="18"/>
  <c r="AH880" i="18"/>
  <c r="AG880" i="18"/>
  <c r="AF880" i="18"/>
  <c r="AE880" i="18"/>
  <c r="AD880" i="18"/>
  <c r="AC880" i="18"/>
  <c r="AB880" i="18"/>
  <c r="AA880" i="18"/>
  <c r="Z880" i="18"/>
  <c r="Y880" i="18"/>
  <c r="X880" i="18"/>
  <c r="W880" i="18"/>
  <c r="V880" i="18"/>
  <c r="U880" i="18"/>
  <c r="T880" i="18"/>
  <c r="S880" i="18"/>
  <c r="R880" i="18"/>
  <c r="Q880" i="18"/>
  <c r="P880" i="18"/>
  <c r="O880" i="18"/>
  <c r="N880" i="18"/>
  <c r="M880" i="18"/>
  <c r="L880" i="18"/>
  <c r="K880" i="18"/>
  <c r="J880" i="18"/>
  <c r="I880" i="18"/>
  <c r="H880" i="18"/>
  <c r="G880" i="18"/>
  <c r="F880" i="18"/>
  <c r="E880" i="18"/>
  <c r="D880" i="18"/>
  <c r="C880" i="18"/>
  <c r="CH879" i="18"/>
  <c r="CG879" i="18"/>
  <c r="CF879" i="18"/>
  <c r="CE879" i="18"/>
  <c r="CD879" i="18"/>
  <c r="CC879" i="18"/>
  <c r="CB879" i="18"/>
  <c r="CA879" i="18"/>
  <c r="BZ879" i="18"/>
  <c r="BY879" i="18"/>
  <c r="AQ879" i="18"/>
  <c r="AP879" i="18"/>
  <c r="AO879" i="18"/>
  <c r="AN879" i="18"/>
  <c r="AM879" i="18"/>
  <c r="AL879" i="18"/>
  <c r="AK879" i="18"/>
  <c r="AJ879" i="18"/>
  <c r="AI879" i="18"/>
  <c r="AH879" i="18"/>
  <c r="AG879" i="18"/>
  <c r="AF879" i="18"/>
  <c r="AE879" i="18"/>
  <c r="AD879" i="18"/>
  <c r="AC879" i="18"/>
  <c r="AB879" i="18"/>
  <c r="AA879" i="18"/>
  <c r="Z879" i="18"/>
  <c r="Y879" i="18"/>
  <c r="X879" i="18"/>
  <c r="W879" i="18"/>
  <c r="V879" i="18"/>
  <c r="U879" i="18"/>
  <c r="T879" i="18"/>
  <c r="S879" i="18"/>
  <c r="R879" i="18"/>
  <c r="Q879" i="18"/>
  <c r="P879" i="18"/>
  <c r="O879" i="18"/>
  <c r="N879" i="18"/>
  <c r="M879" i="18"/>
  <c r="L879" i="18"/>
  <c r="K879" i="18"/>
  <c r="J879" i="18"/>
  <c r="I879" i="18"/>
  <c r="H879" i="18"/>
  <c r="G879" i="18"/>
  <c r="F879" i="18"/>
  <c r="E879" i="18"/>
  <c r="D879" i="18"/>
  <c r="C879" i="18"/>
  <c r="CH878" i="18"/>
  <c r="CG878" i="18"/>
  <c r="CF878" i="18"/>
  <c r="CE878" i="18"/>
  <c r="CD878" i="18"/>
  <c r="CC878" i="18"/>
  <c r="CB878" i="18"/>
  <c r="CA878" i="18"/>
  <c r="BZ878" i="18"/>
  <c r="BY878" i="18"/>
  <c r="BT878" i="18"/>
  <c r="BS878" i="18"/>
  <c r="BR878" i="18"/>
  <c r="BQ878" i="18"/>
  <c r="BP878" i="18"/>
  <c r="BO878" i="18"/>
  <c r="BN878" i="18"/>
  <c r="BM878" i="18"/>
  <c r="BL878" i="18"/>
  <c r="BK878" i="18"/>
  <c r="BJ878" i="18"/>
  <c r="BI878" i="18"/>
  <c r="BH878" i="18"/>
  <c r="BG878" i="18"/>
  <c r="BF878" i="18"/>
  <c r="BE878" i="18"/>
  <c r="BD878" i="18"/>
  <c r="BC878" i="18"/>
  <c r="BB878" i="18"/>
  <c r="BA878" i="18"/>
  <c r="AZ878" i="18"/>
  <c r="AY878" i="18"/>
  <c r="AX878" i="18"/>
  <c r="AW878" i="18"/>
  <c r="AV878" i="18"/>
  <c r="AU878" i="18"/>
  <c r="AT878" i="18"/>
  <c r="AS878" i="18"/>
  <c r="AR878" i="18"/>
  <c r="AQ878" i="18"/>
  <c r="AP878" i="18"/>
  <c r="AO878" i="18"/>
  <c r="AN878" i="18"/>
  <c r="AM878" i="18"/>
  <c r="AL878" i="18"/>
  <c r="AK878" i="18"/>
  <c r="AJ878" i="18"/>
  <c r="AI878" i="18"/>
  <c r="AH878" i="18"/>
  <c r="AG878" i="18"/>
  <c r="AF878" i="18"/>
  <c r="AE878" i="18"/>
  <c r="AD878" i="18"/>
  <c r="AC878" i="18"/>
  <c r="AB878" i="18"/>
  <c r="AA878" i="18"/>
  <c r="Z878" i="18"/>
  <c r="Y878" i="18"/>
  <c r="X878" i="18"/>
  <c r="W878" i="18"/>
  <c r="V878" i="18"/>
  <c r="U878" i="18"/>
  <c r="T878" i="18"/>
  <c r="S878" i="18"/>
  <c r="R878" i="18"/>
  <c r="Q878" i="18"/>
  <c r="P878" i="18"/>
  <c r="O878" i="18"/>
  <c r="N878" i="18"/>
  <c r="M878" i="18"/>
  <c r="L878" i="18"/>
  <c r="K878" i="18"/>
  <c r="J878" i="18"/>
  <c r="I878" i="18"/>
  <c r="H878" i="18"/>
  <c r="G878" i="18"/>
  <c r="F878" i="18"/>
  <c r="E878" i="18"/>
  <c r="D878" i="18"/>
  <c r="C878" i="18"/>
  <c r="CX877" i="18"/>
  <c r="CW877" i="18"/>
  <c r="CV877" i="18"/>
  <c r="CU877" i="18"/>
  <c r="CT877" i="18"/>
  <c r="CS877" i="18"/>
  <c r="CR877" i="18"/>
  <c r="CQ877" i="18"/>
  <c r="CP877" i="18"/>
  <c r="CO877" i="18"/>
  <c r="CN877" i="18"/>
  <c r="CM877" i="18"/>
  <c r="CL877" i="18"/>
  <c r="CK877" i="18"/>
  <c r="CJ877" i="18"/>
  <c r="CI877" i="18"/>
  <c r="CH877" i="18"/>
  <c r="CG877" i="18"/>
  <c r="CF877" i="18"/>
  <c r="CE877" i="18"/>
  <c r="CD877" i="18"/>
  <c r="CC877" i="18"/>
  <c r="CB877" i="18"/>
  <c r="CA877" i="18"/>
  <c r="BZ877" i="18"/>
  <c r="BY877" i="18"/>
  <c r="BX877" i="18"/>
  <c r="BW877" i="18"/>
  <c r="BV877" i="18"/>
  <c r="BU877" i="18"/>
  <c r="BT877" i="18"/>
  <c r="BS877" i="18"/>
  <c r="BR877" i="18"/>
  <c r="BQ877" i="18"/>
  <c r="BP877" i="18"/>
  <c r="BO877" i="18"/>
  <c r="BN877" i="18"/>
  <c r="BM877" i="18"/>
  <c r="BL877" i="18"/>
  <c r="BK877" i="18"/>
  <c r="BJ877" i="18"/>
  <c r="BI877" i="18"/>
  <c r="BH877" i="18"/>
  <c r="BG877" i="18"/>
  <c r="BF877" i="18"/>
  <c r="BE877" i="18"/>
  <c r="BD877" i="18"/>
  <c r="BC877" i="18"/>
  <c r="BB877" i="18"/>
  <c r="BA877" i="18"/>
  <c r="AZ877" i="18"/>
  <c r="AY877" i="18"/>
  <c r="AX877" i="18"/>
  <c r="AW877" i="18"/>
  <c r="AV877" i="18"/>
  <c r="AU877" i="18"/>
  <c r="AT877" i="18"/>
  <c r="AS877" i="18"/>
  <c r="AR877" i="18"/>
  <c r="AQ877" i="18"/>
  <c r="AP877" i="18"/>
  <c r="AO877" i="18"/>
  <c r="AN877" i="18"/>
  <c r="AM877" i="18"/>
  <c r="AL877" i="18"/>
  <c r="AK877" i="18"/>
  <c r="AJ877" i="18"/>
  <c r="AI877" i="18"/>
  <c r="AH877" i="18"/>
  <c r="AG877" i="18"/>
  <c r="AF877" i="18"/>
  <c r="AE877" i="18"/>
  <c r="AD877" i="18"/>
  <c r="AC877" i="18"/>
  <c r="AB877" i="18"/>
  <c r="AA877" i="18"/>
  <c r="Z877" i="18"/>
  <c r="Y877" i="18"/>
  <c r="X877" i="18"/>
  <c r="W877" i="18"/>
  <c r="V877" i="18"/>
  <c r="U877" i="18"/>
  <c r="T877" i="18"/>
  <c r="S877" i="18"/>
  <c r="R877" i="18"/>
  <c r="Q877" i="18"/>
  <c r="P877" i="18"/>
  <c r="O877" i="18"/>
  <c r="N877" i="18"/>
  <c r="M877" i="18"/>
  <c r="L877" i="18"/>
  <c r="K877" i="18"/>
  <c r="J877" i="18"/>
  <c r="I877" i="18"/>
  <c r="H877" i="18"/>
  <c r="G877" i="18"/>
  <c r="F877" i="18"/>
  <c r="E877" i="18"/>
  <c r="D877" i="18"/>
  <c r="C877" i="18"/>
  <c r="CX876" i="18"/>
  <c r="CW876" i="18"/>
  <c r="CV876" i="18"/>
  <c r="CU876" i="18"/>
  <c r="CT876" i="18"/>
  <c r="CS876" i="18"/>
  <c r="CR876" i="18"/>
  <c r="CQ876" i="18"/>
  <c r="CP876" i="18"/>
  <c r="CO876" i="18"/>
  <c r="CN876" i="18"/>
  <c r="CM876" i="18"/>
  <c r="CL876" i="18"/>
  <c r="CK876" i="18"/>
  <c r="CJ876" i="18"/>
  <c r="CI876" i="18"/>
  <c r="CH876" i="18"/>
  <c r="CG876" i="18"/>
  <c r="CF876" i="18"/>
  <c r="CE876" i="18"/>
  <c r="CD876" i="18"/>
  <c r="CC876" i="18"/>
  <c r="CB876" i="18"/>
  <c r="CA876" i="18"/>
  <c r="BZ876" i="18"/>
  <c r="BY876" i="18"/>
  <c r="BX876" i="18"/>
  <c r="BW876" i="18"/>
  <c r="BV876" i="18"/>
  <c r="BU876" i="18"/>
  <c r="BT876" i="18"/>
  <c r="BS876" i="18"/>
  <c r="BR876" i="18"/>
  <c r="BQ876" i="18"/>
  <c r="BP876" i="18"/>
  <c r="BO876" i="18"/>
  <c r="BN876" i="18"/>
  <c r="BM876" i="18"/>
  <c r="BL876" i="18"/>
  <c r="BK876" i="18"/>
  <c r="BJ876" i="18"/>
  <c r="BI876" i="18"/>
  <c r="BH876" i="18"/>
  <c r="BG876" i="18"/>
  <c r="BF876" i="18"/>
  <c r="BE876" i="18"/>
  <c r="BD876" i="18"/>
  <c r="BC876" i="18"/>
  <c r="BB876" i="18"/>
  <c r="BA876" i="18"/>
  <c r="AZ876" i="18"/>
  <c r="AY876" i="18"/>
  <c r="AX876" i="18"/>
  <c r="AW876" i="18"/>
  <c r="AV876" i="18"/>
  <c r="AU876" i="18"/>
  <c r="AT876" i="18"/>
  <c r="AS876" i="18"/>
  <c r="AR876" i="18"/>
  <c r="AQ876" i="18"/>
  <c r="AP876" i="18"/>
  <c r="AO876" i="18"/>
  <c r="AN876" i="18"/>
  <c r="AM876" i="18"/>
  <c r="AL876" i="18"/>
  <c r="AK876" i="18"/>
  <c r="AJ876" i="18"/>
  <c r="AI876" i="18"/>
  <c r="AH876" i="18"/>
  <c r="AG876" i="18"/>
  <c r="AF876" i="18"/>
  <c r="AE876" i="18"/>
  <c r="AD876" i="18"/>
  <c r="AC876" i="18"/>
  <c r="AB876" i="18"/>
  <c r="AA876" i="18"/>
  <c r="Z876" i="18"/>
  <c r="Y876" i="18"/>
  <c r="X876" i="18"/>
  <c r="W876" i="18"/>
  <c r="V876" i="18"/>
  <c r="U876" i="18"/>
  <c r="T876" i="18"/>
  <c r="S876" i="18"/>
  <c r="R876" i="18"/>
  <c r="Q876" i="18"/>
  <c r="P876" i="18"/>
  <c r="O876" i="18"/>
  <c r="N876" i="18"/>
  <c r="M876" i="18"/>
  <c r="L876" i="18"/>
  <c r="K876" i="18"/>
  <c r="J876" i="18"/>
  <c r="I876" i="18"/>
  <c r="H876" i="18"/>
  <c r="G876" i="18"/>
  <c r="F876" i="18"/>
  <c r="E876" i="18"/>
  <c r="D876" i="18"/>
  <c r="C876" i="18"/>
  <c r="CX875" i="18"/>
  <c r="CW875" i="18"/>
  <c r="CV875" i="18"/>
  <c r="CU875" i="18"/>
  <c r="CT875" i="18"/>
  <c r="CS875" i="18"/>
  <c r="CR875" i="18"/>
  <c r="CQ875" i="18"/>
  <c r="CP875" i="18"/>
  <c r="CO875" i="18"/>
  <c r="CN875" i="18"/>
  <c r="CM875" i="18"/>
  <c r="CL875" i="18"/>
  <c r="CK875" i="18"/>
  <c r="CJ875" i="18"/>
  <c r="CI875" i="18"/>
  <c r="CH875" i="18"/>
  <c r="CG875" i="18"/>
  <c r="CF875" i="18"/>
  <c r="CE875" i="18"/>
  <c r="CD875" i="18"/>
  <c r="CC875" i="18"/>
  <c r="CB875" i="18"/>
  <c r="CA875" i="18"/>
  <c r="BZ875" i="18"/>
  <c r="BY875" i="18"/>
  <c r="BX875" i="18"/>
  <c r="BW875" i="18"/>
  <c r="BV875" i="18"/>
  <c r="BU875" i="18"/>
  <c r="BT875" i="18"/>
  <c r="BS875" i="18"/>
  <c r="BR875" i="18"/>
  <c r="BQ875" i="18"/>
  <c r="BP875" i="18"/>
  <c r="BO875" i="18"/>
  <c r="BN875" i="18"/>
  <c r="BM875" i="18"/>
  <c r="BL875" i="18"/>
  <c r="BK875" i="18"/>
  <c r="BJ875" i="18"/>
  <c r="BI875" i="18"/>
  <c r="BH875" i="18"/>
  <c r="BG875" i="18"/>
  <c r="BF875" i="18"/>
  <c r="BE875" i="18"/>
  <c r="BD875" i="18"/>
  <c r="BC875" i="18"/>
  <c r="BB875" i="18"/>
  <c r="BA875" i="18"/>
  <c r="AZ875" i="18"/>
  <c r="AY875" i="18"/>
  <c r="AX875" i="18"/>
  <c r="AW875" i="18"/>
  <c r="AV875" i="18"/>
  <c r="AU875" i="18"/>
  <c r="AT875" i="18"/>
  <c r="AS875" i="18"/>
  <c r="AR875" i="18"/>
  <c r="AQ875" i="18"/>
  <c r="AP875" i="18"/>
  <c r="AO875" i="18"/>
  <c r="AN875" i="18"/>
  <c r="AM875" i="18"/>
  <c r="AL875" i="18"/>
  <c r="AK875" i="18"/>
  <c r="AJ875" i="18"/>
  <c r="AI875" i="18"/>
  <c r="AH875" i="18"/>
  <c r="AG875" i="18"/>
  <c r="AF875" i="18"/>
  <c r="AE875" i="18"/>
  <c r="AD875" i="18"/>
  <c r="AC875" i="18"/>
  <c r="AB875" i="18"/>
  <c r="AA875" i="18"/>
  <c r="Z875" i="18"/>
  <c r="Y875" i="18"/>
  <c r="X875" i="18"/>
  <c r="W875" i="18"/>
  <c r="V875" i="18"/>
  <c r="U875" i="18"/>
  <c r="T875" i="18"/>
  <c r="S875" i="18"/>
  <c r="R875" i="18"/>
  <c r="Q875" i="18"/>
  <c r="P875" i="18"/>
  <c r="O875" i="18"/>
  <c r="N875" i="18"/>
  <c r="M875" i="18"/>
  <c r="L875" i="18"/>
  <c r="K875" i="18"/>
  <c r="J875" i="18"/>
  <c r="I875" i="18"/>
  <c r="H875" i="18"/>
  <c r="G875" i="18"/>
  <c r="F875" i="18"/>
  <c r="E875" i="18"/>
  <c r="D875" i="18"/>
  <c r="C875" i="18"/>
  <c r="CX874" i="18"/>
  <c r="CW874" i="18"/>
  <c r="CV874" i="18"/>
  <c r="CU874" i="18"/>
  <c r="CT874" i="18"/>
  <c r="CS874" i="18"/>
  <c r="CR874" i="18"/>
  <c r="CQ874" i="18"/>
  <c r="CP874" i="18"/>
  <c r="CO874" i="18"/>
  <c r="CN874" i="18"/>
  <c r="CM874" i="18"/>
  <c r="CL874" i="18"/>
  <c r="CK874" i="18"/>
  <c r="CJ874" i="18"/>
  <c r="CI874" i="18"/>
  <c r="CH874" i="18"/>
  <c r="CG874" i="18"/>
  <c r="CF874" i="18"/>
  <c r="CE874" i="18"/>
  <c r="CD874" i="18"/>
  <c r="CC874" i="18"/>
  <c r="CB874" i="18"/>
  <c r="CA874" i="18"/>
  <c r="BZ874" i="18"/>
  <c r="BY874" i="18"/>
  <c r="BX874" i="18"/>
  <c r="BW874" i="18"/>
  <c r="BV874" i="18"/>
  <c r="BU874" i="18"/>
  <c r="BT874" i="18"/>
  <c r="BS874" i="18"/>
  <c r="BR874" i="18"/>
  <c r="BQ874" i="18"/>
  <c r="BP874" i="18"/>
  <c r="BO874" i="18"/>
  <c r="BN874" i="18"/>
  <c r="BM874" i="18"/>
  <c r="BL874" i="18"/>
  <c r="BK874" i="18"/>
  <c r="BJ874" i="18"/>
  <c r="BI874" i="18"/>
  <c r="BH874" i="18"/>
  <c r="BG874" i="18"/>
  <c r="BF874" i="18"/>
  <c r="BE874" i="18"/>
  <c r="BD874" i="18"/>
  <c r="BC874" i="18"/>
  <c r="BB874" i="18"/>
  <c r="BA874" i="18"/>
  <c r="AZ874" i="18"/>
  <c r="AY874" i="18"/>
  <c r="AX874" i="18"/>
  <c r="AW874" i="18"/>
  <c r="AV874" i="18"/>
  <c r="AU874" i="18"/>
  <c r="AT874" i="18"/>
  <c r="AS874" i="18"/>
  <c r="AR874" i="18"/>
  <c r="AQ874" i="18"/>
  <c r="AP874" i="18"/>
  <c r="AO874" i="18"/>
  <c r="AN874" i="18"/>
  <c r="AM874" i="18"/>
  <c r="AL874" i="18"/>
  <c r="AK874" i="18"/>
  <c r="AJ874" i="18"/>
  <c r="AI874" i="18"/>
  <c r="AH874" i="18"/>
  <c r="AG874" i="18"/>
  <c r="AF874" i="18"/>
  <c r="AE874" i="18"/>
  <c r="AD874" i="18"/>
  <c r="AC874" i="18"/>
  <c r="AB874" i="18"/>
  <c r="AA874" i="18"/>
  <c r="Z874" i="18"/>
  <c r="Y874" i="18"/>
  <c r="X874" i="18"/>
  <c r="W874" i="18"/>
  <c r="V874" i="18"/>
  <c r="U874" i="18"/>
  <c r="T874" i="18"/>
  <c r="S874" i="18"/>
  <c r="R874" i="18"/>
  <c r="Q874" i="18"/>
  <c r="P874" i="18"/>
  <c r="O874" i="18"/>
  <c r="N874" i="18"/>
  <c r="M874" i="18"/>
  <c r="L874" i="18"/>
  <c r="K874" i="18"/>
  <c r="J874" i="18"/>
  <c r="I874" i="18"/>
  <c r="H874" i="18"/>
  <c r="G874" i="18"/>
  <c r="F874" i="18"/>
  <c r="E874" i="18"/>
  <c r="D874" i="18"/>
  <c r="C874" i="18"/>
  <c r="CX873" i="18"/>
  <c r="CW873" i="18"/>
  <c r="CV873" i="18"/>
  <c r="CU873" i="18"/>
  <c r="CT873" i="18"/>
  <c r="CS873" i="18"/>
  <c r="CR873" i="18"/>
  <c r="CQ873" i="18"/>
  <c r="CP873" i="18"/>
  <c r="CO873" i="18"/>
  <c r="CN873" i="18"/>
  <c r="CM873" i="18"/>
  <c r="CL873" i="18"/>
  <c r="CK873" i="18"/>
  <c r="CJ873" i="18"/>
  <c r="CI873" i="18"/>
  <c r="CH873" i="18"/>
  <c r="CG873" i="18"/>
  <c r="CF873" i="18"/>
  <c r="CE873" i="18"/>
  <c r="CD873" i="18"/>
  <c r="CC873" i="18"/>
  <c r="CB873" i="18"/>
  <c r="CA873" i="18"/>
  <c r="BZ873" i="18"/>
  <c r="BY873" i="18"/>
  <c r="BX873" i="18"/>
  <c r="BW873" i="18"/>
  <c r="BV873" i="18"/>
  <c r="BU873" i="18"/>
  <c r="BT873" i="18"/>
  <c r="BS873" i="18"/>
  <c r="BR873" i="18"/>
  <c r="BQ873" i="18"/>
  <c r="BP873" i="18"/>
  <c r="BO873" i="18"/>
  <c r="BN873" i="18"/>
  <c r="BM873" i="18"/>
  <c r="BL873" i="18"/>
  <c r="BK873" i="18"/>
  <c r="BJ873" i="18"/>
  <c r="BI873" i="18"/>
  <c r="BH873" i="18"/>
  <c r="BG873" i="18"/>
  <c r="BF873" i="18"/>
  <c r="BE873" i="18"/>
  <c r="BD873" i="18"/>
  <c r="BC873" i="18"/>
  <c r="BB873" i="18"/>
  <c r="BA873" i="18"/>
  <c r="AZ873" i="18"/>
  <c r="AY873" i="18"/>
  <c r="AX873" i="18"/>
  <c r="AW873" i="18"/>
  <c r="AV873" i="18"/>
  <c r="AU873" i="18"/>
  <c r="AT873" i="18"/>
  <c r="AS873" i="18"/>
  <c r="AR873" i="18"/>
  <c r="AQ873" i="18"/>
  <c r="AP873" i="18"/>
  <c r="AO873" i="18"/>
  <c r="AN873" i="18"/>
  <c r="AM873" i="18"/>
  <c r="AL873" i="18"/>
  <c r="AK873" i="18"/>
  <c r="AJ873" i="18"/>
  <c r="AI873" i="18"/>
  <c r="AH873" i="18"/>
  <c r="AG873" i="18"/>
  <c r="AF873" i="18"/>
  <c r="AE873" i="18"/>
  <c r="AD873" i="18"/>
  <c r="AC873" i="18"/>
  <c r="AB873" i="18"/>
  <c r="AA873" i="18"/>
  <c r="Z873" i="18"/>
  <c r="Y873" i="18"/>
  <c r="X873" i="18"/>
  <c r="W873" i="18"/>
  <c r="V873" i="18"/>
  <c r="U873" i="18"/>
  <c r="T873" i="18"/>
  <c r="S873" i="18"/>
  <c r="R873" i="18"/>
  <c r="Q873" i="18"/>
  <c r="P873" i="18"/>
  <c r="O873" i="18"/>
  <c r="N873" i="18"/>
  <c r="M873" i="18"/>
  <c r="L873" i="18"/>
  <c r="K873" i="18"/>
  <c r="J873" i="18"/>
  <c r="I873" i="18"/>
  <c r="H873" i="18"/>
  <c r="G873" i="18"/>
  <c r="F873" i="18"/>
  <c r="E873" i="18"/>
  <c r="D873" i="18"/>
  <c r="C873" i="18"/>
  <c r="CX872" i="18"/>
  <c r="CW872" i="18"/>
  <c r="CV872" i="18"/>
  <c r="CU872" i="18"/>
  <c r="CT872" i="18"/>
  <c r="CS872" i="18"/>
  <c r="CR872" i="18"/>
  <c r="CQ872" i="18"/>
  <c r="CP872" i="18"/>
  <c r="CO872" i="18"/>
  <c r="CN872" i="18"/>
  <c r="CM872" i="18"/>
  <c r="CL872" i="18"/>
  <c r="CK872" i="18"/>
  <c r="CJ872" i="18"/>
  <c r="CI872" i="18"/>
  <c r="CH872" i="18"/>
  <c r="CG872" i="18"/>
  <c r="CF872" i="18"/>
  <c r="CE872" i="18"/>
  <c r="CD872" i="18"/>
  <c r="CC872" i="18"/>
  <c r="CB872" i="18"/>
  <c r="CA872" i="18"/>
  <c r="BZ872" i="18"/>
  <c r="BY872" i="18"/>
  <c r="BX872" i="18"/>
  <c r="BW872" i="18"/>
  <c r="BV872" i="18"/>
  <c r="BU872" i="18"/>
  <c r="BT872" i="18"/>
  <c r="BS872" i="18"/>
  <c r="BR872" i="18"/>
  <c r="BQ872" i="18"/>
  <c r="BP872" i="18"/>
  <c r="BO872" i="18"/>
  <c r="BN872" i="18"/>
  <c r="BM872" i="18"/>
  <c r="BL872" i="18"/>
  <c r="BK872" i="18"/>
  <c r="BJ872" i="18"/>
  <c r="BI872" i="18"/>
  <c r="BH872" i="18"/>
  <c r="BG872" i="18"/>
  <c r="BF872" i="18"/>
  <c r="BE872" i="18"/>
  <c r="BD872" i="18"/>
  <c r="BC872" i="18"/>
  <c r="BB872" i="18"/>
  <c r="BA872" i="18"/>
  <c r="AZ872" i="18"/>
  <c r="AY872" i="18"/>
  <c r="AX872" i="18"/>
  <c r="AW872" i="18"/>
  <c r="AV872" i="18"/>
  <c r="AU872" i="18"/>
  <c r="AT872" i="18"/>
  <c r="AS872" i="18"/>
  <c r="AR872" i="18"/>
  <c r="AQ872" i="18"/>
  <c r="AP872" i="18"/>
  <c r="AO872" i="18"/>
  <c r="AN872" i="18"/>
  <c r="AM872" i="18"/>
  <c r="AL872" i="18"/>
  <c r="AK872" i="18"/>
  <c r="AJ872" i="18"/>
  <c r="AI872" i="18"/>
  <c r="AH872" i="18"/>
  <c r="AG872" i="18"/>
  <c r="AF872" i="18"/>
  <c r="AE872" i="18"/>
  <c r="AD872" i="18"/>
  <c r="AC872" i="18"/>
  <c r="AB872" i="18"/>
  <c r="AA872" i="18"/>
  <c r="Z872" i="18"/>
  <c r="Y872" i="18"/>
  <c r="X872" i="18"/>
  <c r="W872" i="18"/>
  <c r="V872" i="18"/>
  <c r="U872" i="18"/>
  <c r="T872" i="18"/>
  <c r="S872" i="18"/>
  <c r="R872" i="18"/>
  <c r="Q872" i="18"/>
  <c r="P872" i="18"/>
  <c r="O872" i="18"/>
  <c r="N872" i="18"/>
  <c r="M872" i="18"/>
  <c r="L872" i="18"/>
  <c r="K872" i="18"/>
  <c r="J872" i="18"/>
  <c r="I872" i="18"/>
  <c r="H872" i="18"/>
  <c r="G872" i="18"/>
  <c r="F872" i="18"/>
  <c r="E872" i="18"/>
  <c r="D872" i="18"/>
  <c r="C872" i="18"/>
  <c r="CH871" i="18"/>
  <c r="CG871" i="18"/>
  <c r="CF871" i="18"/>
  <c r="CE871" i="18"/>
  <c r="CD871" i="18"/>
  <c r="CC871" i="18"/>
  <c r="CB871" i="18"/>
  <c r="CA871" i="18"/>
  <c r="BZ871" i="18"/>
  <c r="BY871" i="18"/>
  <c r="AR871" i="18"/>
  <c r="AQ871" i="18"/>
  <c r="AP871" i="18"/>
  <c r="AO871" i="18"/>
  <c r="AN871" i="18"/>
  <c r="AM871" i="18"/>
  <c r="AL871" i="18"/>
  <c r="AK871" i="18"/>
  <c r="AJ871" i="18"/>
  <c r="AI871" i="18"/>
  <c r="AH871" i="18"/>
  <c r="AG871" i="18"/>
  <c r="AF871" i="18"/>
  <c r="AE871" i="18"/>
  <c r="AD871" i="18"/>
  <c r="AC871" i="18"/>
  <c r="AB871" i="18"/>
  <c r="AA871" i="18"/>
  <c r="Z871" i="18"/>
  <c r="Y871" i="18"/>
  <c r="X871" i="18"/>
  <c r="W871" i="18"/>
  <c r="V871" i="18"/>
  <c r="U871" i="18"/>
  <c r="T871" i="18"/>
  <c r="S871" i="18"/>
  <c r="R871" i="18"/>
  <c r="Q871" i="18"/>
  <c r="P871" i="18"/>
  <c r="O871" i="18"/>
  <c r="N871" i="18"/>
  <c r="M871" i="18"/>
  <c r="L871" i="18"/>
  <c r="K871" i="18"/>
  <c r="J871" i="18"/>
  <c r="I871" i="18"/>
  <c r="H871" i="18"/>
  <c r="G871" i="18"/>
  <c r="F871" i="18"/>
  <c r="E871" i="18"/>
  <c r="D871" i="18"/>
  <c r="C871" i="18"/>
  <c r="CH870" i="18"/>
  <c r="CG870" i="18"/>
  <c r="CF870" i="18"/>
  <c r="CE870" i="18"/>
  <c r="CD870" i="18"/>
  <c r="CC870" i="18"/>
  <c r="CB870" i="18"/>
  <c r="CA870" i="18"/>
  <c r="BZ870" i="18"/>
  <c r="BY870" i="18"/>
  <c r="AQ870" i="18"/>
  <c r="AP870" i="18"/>
  <c r="AO870" i="18"/>
  <c r="AN870" i="18"/>
  <c r="AM870" i="18"/>
  <c r="AL870" i="18"/>
  <c r="AK870" i="18"/>
  <c r="AJ870" i="18"/>
  <c r="AI870" i="18"/>
  <c r="AH870" i="18"/>
  <c r="AG870" i="18"/>
  <c r="AF870" i="18"/>
  <c r="AE870" i="18"/>
  <c r="AD870" i="18"/>
  <c r="AC870" i="18"/>
  <c r="AB870" i="18"/>
  <c r="AA870" i="18"/>
  <c r="Z870" i="18"/>
  <c r="Y870" i="18"/>
  <c r="X870" i="18"/>
  <c r="W870" i="18"/>
  <c r="V870" i="18"/>
  <c r="U870" i="18"/>
  <c r="T870" i="18"/>
  <c r="S870" i="18"/>
  <c r="R870" i="18"/>
  <c r="Q870" i="18"/>
  <c r="P870" i="18"/>
  <c r="O870" i="18"/>
  <c r="N870" i="18"/>
  <c r="M870" i="18"/>
  <c r="L870" i="18"/>
  <c r="K870" i="18"/>
  <c r="J870" i="18"/>
  <c r="I870" i="18"/>
  <c r="H870" i="18"/>
  <c r="G870" i="18"/>
  <c r="F870" i="18"/>
  <c r="E870" i="18"/>
  <c r="D870" i="18"/>
  <c r="C870" i="18"/>
  <c r="CH869" i="18"/>
  <c r="CG869" i="18"/>
  <c r="CF869" i="18"/>
  <c r="CE869" i="18"/>
  <c r="CD869" i="18"/>
  <c r="CC869" i="18"/>
  <c r="CB869" i="18"/>
  <c r="CA869" i="18"/>
  <c r="BZ869" i="18"/>
  <c r="BY869" i="18"/>
  <c r="AQ869" i="18"/>
  <c r="AP869" i="18"/>
  <c r="AO869" i="18"/>
  <c r="AN869" i="18"/>
  <c r="AM869" i="18"/>
  <c r="AL869" i="18"/>
  <c r="AK869" i="18"/>
  <c r="AJ869" i="18"/>
  <c r="AI869" i="18"/>
  <c r="AH869" i="18"/>
  <c r="AG869" i="18"/>
  <c r="AF869" i="18"/>
  <c r="AE869" i="18"/>
  <c r="AD869" i="18"/>
  <c r="AC869" i="18"/>
  <c r="AB869" i="18"/>
  <c r="AA869" i="18"/>
  <c r="Z869" i="18"/>
  <c r="Y869" i="18"/>
  <c r="X869" i="18"/>
  <c r="W869" i="18"/>
  <c r="V869" i="18"/>
  <c r="U869" i="18"/>
  <c r="T869" i="18"/>
  <c r="S869" i="18"/>
  <c r="R869" i="18"/>
  <c r="Q869" i="18"/>
  <c r="P869" i="18"/>
  <c r="O869" i="18"/>
  <c r="N869" i="18"/>
  <c r="M869" i="18"/>
  <c r="L869" i="18"/>
  <c r="K869" i="18"/>
  <c r="J869" i="18"/>
  <c r="I869" i="18"/>
  <c r="H869" i="18"/>
  <c r="G869" i="18"/>
  <c r="F869" i="18"/>
  <c r="E869" i="18"/>
  <c r="D869" i="18"/>
  <c r="C869" i="18"/>
  <c r="CX868" i="18"/>
  <c r="CW868" i="18"/>
  <c r="CV868" i="18"/>
  <c r="CU868" i="18"/>
  <c r="CT868" i="18"/>
  <c r="CS868" i="18"/>
  <c r="CR868" i="18"/>
  <c r="CQ868" i="18"/>
  <c r="CP868" i="18"/>
  <c r="CO868" i="18"/>
  <c r="CN868" i="18"/>
  <c r="CM868" i="18"/>
  <c r="CL868" i="18"/>
  <c r="CK868" i="18"/>
  <c r="CJ868" i="18"/>
  <c r="CI868" i="18"/>
  <c r="CH868" i="18"/>
  <c r="CG868" i="18"/>
  <c r="CF868" i="18"/>
  <c r="CE868" i="18"/>
  <c r="CD868" i="18"/>
  <c r="CC868" i="18"/>
  <c r="CB868" i="18"/>
  <c r="CA868" i="18"/>
  <c r="BZ868" i="18"/>
  <c r="BY868" i="18"/>
  <c r="BX868" i="18"/>
  <c r="BW868" i="18"/>
  <c r="BV868" i="18"/>
  <c r="BU868" i="18"/>
  <c r="BT868" i="18"/>
  <c r="BS868" i="18"/>
  <c r="BR868" i="18"/>
  <c r="BQ868" i="18"/>
  <c r="BP868" i="18"/>
  <c r="BO868" i="18"/>
  <c r="BN868" i="18"/>
  <c r="BM868" i="18"/>
  <c r="BL868" i="18"/>
  <c r="BK868" i="18"/>
  <c r="BJ868" i="18"/>
  <c r="BI868" i="18"/>
  <c r="BH868" i="18"/>
  <c r="BG868" i="18"/>
  <c r="BF868" i="18"/>
  <c r="BE868" i="18"/>
  <c r="BD868" i="18"/>
  <c r="BC868" i="18"/>
  <c r="BB868" i="18"/>
  <c r="BA868" i="18"/>
  <c r="AZ868" i="18"/>
  <c r="AY868" i="18"/>
  <c r="AX868" i="18"/>
  <c r="AW868" i="18"/>
  <c r="AV868" i="18"/>
  <c r="AU868" i="18"/>
  <c r="AT868" i="18"/>
  <c r="AS868" i="18"/>
  <c r="AR868" i="18"/>
  <c r="AQ868" i="18"/>
  <c r="AP868" i="18"/>
  <c r="AO868" i="18"/>
  <c r="AN868" i="18"/>
  <c r="AM868" i="18"/>
  <c r="AL868" i="18"/>
  <c r="AK868" i="18"/>
  <c r="AJ868" i="18"/>
  <c r="AI868" i="18"/>
  <c r="AH868" i="18"/>
  <c r="AG868" i="18"/>
  <c r="AF868" i="18"/>
  <c r="AE868" i="18"/>
  <c r="AD868" i="18"/>
  <c r="AC868" i="18"/>
  <c r="AB868" i="18"/>
  <c r="AA868" i="18"/>
  <c r="Z868" i="18"/>
  <c r="Y868" i="18"/>
  <c r="X868" i="18"/>
  <c r="W868" i="18"/>
  <c r="V868" i="18"/>
  <c r="U868" i="18"/>
  <c r="T868" i="18"/>
  <c r="S868" i="18"/>
  <c r="R868" i="18"/>
  <c r="Q868" i="18"/>
  <c r="P868" i="18"/>
  <c r="O868" i="18"/>
  <c r="N868" i="18"/>
  <c r="M868" i="18"/>
  <c r="L868" i="18"/>
  <c r="K868" i="18"/>
  <c r="J868" i="18"/>
  <c r="I868" i="18"/>
  <c r="H868" i="18"/>
  <c r="G868" i="18"/>
  <c r="F868" i="18"/>
  <c r="E868" i="18"/>
  <c r="D868" i="18"/>
  <c r="C868" i="18"/>
  <c r="CH867" i="18"/>
  <c r="CG867" i="18"/>
  <c r="CF867" i="18"/>
  <c r="CE867" i="18"/>
  <c r="CD867" i="18"/>
  <c r="CC867" i="18"/>
  <c r="CB867" i="18"/>
  <c r="CA867" i="18"/>
  <c r="BZ867" i="18"/>
  <c r="BY867" i="18"/>
  <c r="BX867" i="18"/>
  <c r="BW867" i="18"/>
  <c r="BV867" i="18"/>
  <c r="BU867" i="18"/>
  <c r="BT867" i="18"/>
  <c r="BS867" i="18"/>
  <c r="BR867" i="18"/>
  <c r="BQ867" i="18"/>
  <c r="BP867" i="18"/>
  <c r="BO867" i="18"/>
  <c r="BN867" i="18"/>
  <c r="BM867" i="18"/>
  <c r="BL867" i="18"/>
  <c r="BK867" i="18"/>
  <c r="BJ867" i="18"/>
  <c r="BI867" i="18"/>
  <c r="BH867" i="18"/>
  <c r="BG867" i="18"/>
  <c r="BF867" i="18"/>
  <c r="BE867" i="18"/>
  <c r="BD867" i="18"/>
  <c r="BC867" i="18"/>
  <c r="BB867" i="18"/>
  <c r="BA867" i="18"/>
  <c r="AZ867" i="18"/>
  <c r="AY867" i="18"/>
  <c r="AX867" i="18"/>
  <c r="AW867" i="18"/>
  <c r="AV867" i="18"/>
  <c r="AU867" i="18"/>
  <c r="AT867" i="18"/>
  <c r="AS867" i="18"/>
  <c r="AR867" i="18"/>
  <c r="AQ867" i="18"/>
  <c r="AP867" i="18"/>
  <c r="AO867" i="18"/>
  <c r="AN867" i="18"/>
  <c r="AM867" i="18"/>
  <c r="AL867" i="18"/>
  <c r="AK867" i="18"/>
  <c r="AJ867" i="18"/>
  <c r="AI867" i="18"/>
  <c r="AH867" i="18"/>
  <c r="AG867" i="18"/>
  <c r="AF867" i="18"/>
  <c r="AE867" i="18"/>
  <c r="AD867" i="18"/>
  <c r="AC867" i="18"/>
  <c r="AB867" i="18"/>
  <c r="AA867" i="18"/>
  <c r="Z867" i="18"/>
  <c r="Y867" i="18"/>
  <c r="X867" i="18"/>
  <c r="W867" i="18"/>
  <c r="V867" i="18"/>
  <c r="U867" i="18"/>
  <c r="T867" i="18"/>
  <c r="S867" i="18"/>
  <c r="R867" i="18"/>
  <c r="Q867" i="18"/>
  <c r="P867" i="18"/>
  <c r="O867" i="18"/>
  <c r="N867" i="18"/>
  <c r="M867" i="18"/>
  <c r="L867" i="18"/>
  <c r="K867" i="18"/>
  <c r="J867" i="18"/>
  <c r="I867" i="18"/>
  <c r="H867" i="18"/>
  <c r="G867" i="18"/>
  <c r="F867" i="18"/>
  <c r="E867" i="18"/>
  <c r="D867" i="18"/>
  <c r="C867" i="18"/>
  <c r="CH866" i="18"/>
  <c r="CG866" i="18"/>
  <c r="CF866" i="18"/>
  <c r="CE866" i="18"/>
  <c r="CD866" i="18"/>
  <c r="CC866" i="18"/>
  <c r="CB866" i="18"/>
  <c r="CA866" i="18"/>
  <c r="BZ866" i="18"/>
  <c r="BY866" i="18"/>
  <c r="BX866" i="18"/>
  <c r="BW866" i="18"/>
  <c r="BV866" i="18"/>
  <c r="BU866" i="18"/>
  <c r="BT866" i="18"/>
  <c r="BS866" i="18"/>
  <c r="BR866" i="18"/>
  <c r="BQ866" i="18"/>
  <c r="BP866" i="18"/>
  <c r="BO866" i="18"/>
  <c r="BN866" i="18"/>
  <c r="BM866" i="18"/>
  <c r="BL866" i="18"/>
  <c r="BK866" i="18"/>
  <c r="BJ866" i="18"/>
  <c r="BI866" i="18"/>
  <c r="BH866" i="18"/>
  <c r="BG866" i="18"/>
  <c r="BF866" i="18"/>
  <c r="BE866" i="18"/>
  <c r="BD866" i="18"/>
  <c r="BC866" i="18"/>
  <c r="BB866" i="18"/>
  <c r="BA866" i="18"/>
  <c r="AZ866" i="18"/>
  <c r="AY866" i="18"/>
  <c r="AX866" i="18"/>
  <c r="AW866" i="18"/>
  <c r="AV866" i="18"/>
  <c r="AU866" i="18"/>
  <c r="AT866" i="18"/>
  <c r="AS866" i="18"/>
  <c r="AR866" i="18"/>
  <c r="AQ866" i="18"/>
  <c r="AP866" i="18"/>
  <c r="AO866" i="18"/>
  <c r="AN866" i="18"/>
  <c r="AM866" i="18"/>
  <c r="AL866" i="18"/>
  <c r="AK866" i="18"/>
  <c r="AJ866" i="18"/>
  <c r="AI866" i="18"/>
  <c r="AH866" i="18"/>
  <c r="AG866" i="18"/>
  <c r="AF866" i="18"/>
  <c r="AE866" i="18"/>
  <c r="AD866" i="18"/>
  <c r="AC866" i="18"/>
  <c r="AB866" i="18"/>
  <c r="AA866" i="18"/>
  <c r="Z866" i="18"/>
  <c r="Y866" i="18"/>
  <c r="X866" i="18"/>
  <c r="W866" i="18"/>
  <c r="V866" i="18"/>
  <c r="U866" i="18"/>
  <c r="T866" i="18"/>
  <c r="S866" i="18"/>
  <c r="R866" i="18"/>
  <c r="Q866" i="18"/>
  <c r="P866" i="18"/>
  <c r="O866" i="18"/>
  <c r="N866" i="18"/>
  <c r="M866" i="18"/>
  <c r="L866" i="18"/>
  <c r="K866" i="18"/>
  <c r="J866" i="18"/>
  <c r="I866" i="18"/>
  <c r="H866" i="18"/>
  <c r="G866" i="18"/>
  <c r="F866" i="18"/>
  <c r="E866" i="18"/>
  <c r="D866" i="18"/>
  <c r="C866" i="18"/>
  <c r="CH865" i="18"/>
  <c r="CG865" i="18"/>
  <c r="CF865" i="18"/>
  <c r="CE865" i="18"/>
  <c r="CD865" i="18"/>
  <c r="CC865" i="18"/>
  <c r="CB865" i="18"/>
  <c r="CA865" i="18"/>
  <c r="BZ865" i="18"/>
  <c r="BY865" i="18"/>
  <c r="BX865" i="18"/>
  <c r="BW865" i="18"/>
  <c r="BV865" i="18"/>
  <c r="BU865" i="18"/>
  <c r="BT865" i="18"/>
  <c r="BS865" i="18"/>
  <c r="BR865" i="18"/>
  <c r="BQ865" i="18"/>
  <c r="BP865" i="18"/>
  <c r="BO865" i="18"/>
  <c r="BN865" i="18"/>
  <c r="BM865" i="18"/>
  <c r="BL865" i="18"/>
  <c r="BK865" i="18"/>
  <c r="BJ865" i="18"/>
  <c r="BI865" i="18"/>
  <c r="BH865" i="18"/>
  <c r="BG865" i="18"/>
  <c r="BF865" i="18"/>
  <c r="BE865" i="18"/>
  <c r="BD865" i="18"/>
  <c r="BC865" i="18"/>
  <c r="BB865" i="18"/>
  <c r="BA865" i="18"/>
  <c r="AZ865" i="18"/>
  <c r="AY865" i="18"/>
  <c r="AX865" i="18"/>
  <c r="AW865" i="18"/>
  <c r="AV865" i="18"/>
  <c r="AU865" i="18"/>
  <c r="AT865" i="18"/>
  <c r="AS865" i="18"/>
  <c r="AR865" i="18"/>
  <c r="AQ865" i="18"/>
  <c r="AP865" i="18"/>
  <c r="AO865" i="18"/>
  <c r="AN865" i="18"/>
  <c r="AM865" i="18"/>
  <c r="AL865" i="18"/>
  <c r="AK865" i="18"/>
  <c r="AJ865" i="18"/>
  <c r="AI865" i="18"/>
  <c r="AH865" i="18"/>
  <c r="AG865" i="18"/>
  <c r="AF865" i="18"/>
  <c r="AE865" i="18"/>
  <c r="AD865" i="18"/>
  <c r="AC865" i="18"/>
  <c r="AB865" i="18"/>
  <c r="AA865" i="18"/>
  <c r="Z865" i="18"/>
  <c r="Y865" i="18"/>
  <c r="X865" i="18"/>
  <c r="W865" i="18"/>
  <c r="V865" i="18"/>
  <c r="U865" i="18"/>
  <c r="T865" i="18"/>
  <c r="S865" i="18"/>
  <c r="R865" i="18"/>
  <c r="Q865" i="18"/>
  <c r="P865" i="18"/>
  <c r="O865" i="18"/>
  <c r="N865" i="18"/>
  <c r="M865" i="18"/>
  <c r="L865" i="18"/>
  <c r="K865" i="18"/>
  <c r="J865" i="18"/>
  <c r="I865" i="18"/>
  <c r="H865" i="18"/>
  <c r="G865" i="18"/>
  <c r="F865" i="18"/>
  <c r="E865" i="18"/>
  <c r="D865" i="18"/>
  <c r="C865" i="18"/>
  <c r="CH864" i="18"/>
  <c r="CG864" i="18"/>
  <c r="CF864" i="18"/>
  <c r="CE864" i="18"/>
  <c r="CD864" i="18"/>
  <c r="CC864" i="18"/>
  <c r="CB864" i="18"/>
  <c r="CA864" i="18"/>
  <c r="BZ864" i="18"/>
  <c r="BY864" i="18"/>
  <c r="BX864" i="18"/>
  <c r="BW864" i="18"/>
  <c r="BV864" i="18"/>
  <c r="BU864" i="18"/>
  <c r="BT864" i="18"/>
  <c r="BS864" i="18"/>
  <c r="BR864" i="18"/>
  <c r="BQ864" i="18"/>
  <c r="BP864" i="18"/>
  <c r="BO864" i="18"/>
  <c r="BN864" i="18"/>
  <c r="BM864" i="18"/>
  <c r="BL864" i="18"/>
  <c r="BK864" i="18"/>
  <c r="BJ864" i="18"/>
  <c r="BI864" i="18"/>
  <c r="BH864" i="18"/>
  <c r="BG864" i="18"/>
  <c r="BF864" i="18"/>
  <c r="BE864" i="18"/>
  <c r="BD864" i="18"/>
  <c r="BC864" i="18"/>
  <c r="BB864" i="18"/>
  <c r="BA864" i="18"/>
  <c r="AZ864" i="18"/>
  <c r="AY864" i="18"/>
  <c r="AX864" i="18"/>
  <c r="AW864" i="18"/>
  <c r="AV864" i="18"/>
  <c r="AU864" i="18"/>
  <c r="AT864" i="18"/>
  <c r="AS864" i="18"/>
  <c r="AR864" i="18"/>
  <c r="AQ864" i="18"/>
  <c r="AP864" i="18"/>
  <c r="AO864" i="18"/>
  <c r="AN864" i="18"/>
  <c r="AM864" i="18"/>
  <c r="AL864" i="18"/>
  <c r="AK864" i="18"/>
  <c r="AJ864" i="18"/>
  <c r="AI864" i="18"/>
  <c r="AH864" i="18"/>
  <c r="AG864" i="18"/>
  <c r="AF864" i="18"/>
  <c r="AE864" i="18"/>
  <c r="AD864" i="18"/>
  <c r="AC864" i="18"/>
  <c r="AB864" i="18"/>
  <c r="AA864" i="18"/>
  <c r="Z864" i="18"/>
  <c r="Y864" i="18"/>
  <c r="X864" i="18"/>
  <c r="W864" i="18"/>
  <c r="V864" i="18"/>
  <c r="U864" i="18"/>
  <c r="T864" i="18"/>
  <c r="S864" i="18"/>
  <c r="R864" i="18"/>
  <c r="Q864" i="18"/>
  <c r="P864" i="18"/>
  <c r="O864" i="18"/>
  <c r="N864" i="18"/>
  <c r="M864" i="18"/>
  <c r="L864" i="18"/>
  <c r="K864" i="18"/>
  <c r="J864" i="18"/>
  <c r="I864" i="18"/>
  <c r="H864" i="18"/>
  <c r="G864" i="18"/>
  <c r="F864" i="18"/>
  <c r="E864" i="18"/>
  <c r="D864" i="18"/>
  <c r="C864" i="18"/>
  <c r="CX863" i="18"/>
  <c r="CW863" i="18"/>
  <c r="CV863" i="18"/>
  <c r="CU863" i="18"/>
  <c r="CT863" i="18"/>
  <c r="CS863" i="18"/>
  <c r="CR863" i="18"/>
  <c r="CQ863" i="18"/>
  <c r="CP863" i="18"/>
  <c r="CO863" i="18"/>
  <c r="CN863" i="18"/>
  <c r="CM863" i="18"/>
  <c r="CL863" i="18"/>
  <c r="CK863" i="18"/>
  <c r="CJ863" i="18"/>
  <c r="CI863" i="18"/>
  <c r="CH863" i="18"/>
  <c r="CG863" i="18"/>
  <c r="CF863" i="18"/>
  <c r="CE863" i="18"/>
  <c r="CD863" i="18"/>
  <c r="CC863" i="18"/>
  <c r="CB863" i="18"/>
  <c r="CA863" i="18"/>
  <c r="BZ863" i="18"/>
  <c r="BY863" i="18"/>
  <c r="BX863" i="18"/>
  <c r="BW863" i="18"/>
  <c r="BV863" i="18"/>
  <c r="BU863" i="18"/>
  <c r="BT863" i="18"/>
  <c r="BS863" i="18"/>
  <c r="BR863" i="18"/>
  <c r="BQ863" i="18"/>
  <c r="BP863" i="18"/>
  <c r="BO863" i="18"/>
  <c r="BN863" i="18"/>
  <c r="BM863" i="18"/>
  <c r="BL863" i="18"/>
  <c r="BK863" i="18"/>
  <c r="BJ863" i="18"/>
  <c r="BI863" i="18"/>
  <c r="BH863" i="18"/>
  <c r="BG863" i="18"/>
  <c r="BF863" i="18"/>
  <c r="BE863" i="18"/>
  <c r="BD863" i="18"/>
  <c r="BC863" i="18"/>
  <c r="BB863" i="18"/>
  <c r="BA863" i="18"/>
  <c r="AZ863" i="18"/>
  <c r="AY863" i="18"/>
  <c r="AX863" i="18"/>
  <c r="AW863" i="18"/>
  <c r="AV863" i="18"/>
  <c r="AU863" i="18"/>
  <c r="AT863" i="18"/>
  <c r="AS863" i="18"/>
  <c r="AR863" i="18"/>
  <c r="AQ863" i="18"/>
  <c r="AP863" i="18"/>
  <c r="AO863" i="18"/>
  <c r="AN863" i="18"/>
  <c r="AM863" i="18"/>
  <c r="AL863" i="18"/>
  <c r="AK863" i="18"/>
  <c r="AJ863" i="18"/>
  <c r="AI863" i="18"/>
  <c r="AH863" i="18"/>
  <c r="AG863" i="18"/>
  <c r="AF863" i="18"/>
  <c r="AE863" i="18"/>
  <c r="AD863" i="18"/>
  <c r="AC863" i="18"/>
  <c r="AB863" i="18"/>
  <c r="AA863" i="18"/>
  <c r="Z863" i="18"/>
  <c r="Y863" i="18"/>
  <c r="X863" i="18"/>
  <c r="W863" i="18"/>
  <c r="V863" i="18"/>
  <c r="U863" i="18"/>
  <c r="T863" i="18"/>
  <c r="S863" i="18"/>
  <c r="R863" i="18"/>
  <c r="Q863" i="18"/>
  <c r="P863" i="18"/>
  <c r="O863" i="18"/>
  <c r="N863" i="18"/>
  <c r="M863" i="18"/>
  <c r="L863" i="18"/>
  <c r="K863" i="18"/>
  <c r="J863" i="18"/>
  <c r="I863" i="18"/>
  <c r="H863" i="18"/>
  <c r="G863" i="18"/>
  <c r="F863" i="18"/>
  <c r="E863" i="18"/>
  <c r="D863" i="18"/>
  <c r="C863" i="18"/>
  <c r="CH862" i="18"/>
  <c r="CG862" i="18"/>
  <c r="CF862" i="18"/>
  <c r="CE862" i="18"/>
  <c r="CD862" i="18"/>
  <c r="CC862" i="18"/>
  <c r="CB862" i="18"/>
  <c r="CA862" i="18"/>
  <c r="BZ862" i="18"/>
  <c r="BY862" i="18"/>
  <c r="AQ862" i="18"/>
  <c r="AP862" i="18"/>
  <c r="AO862" i="18"/>
  <c r="AN862" i="18"/>
  <c r="AM862" i="18"/>
  <c r="AL862" i="18"/>
  <c r="AK862" i="18"/>
  <c r="AJ862" i="18"/>
  <c r="AI862" i="18"/>
  <c r="AH862" i="18"/>
  <c r="AG862" i="18"/>
  <c r="AF862" i="18"/>
  <c r="AE862" i="18"/>
  <c r="AD862" i="18"/>
  <c r="AC862" i="18"/>
  <c r="AB862" i="18"/>
  <c r="AA862" i="18"/>
  <c r="Z862" i="18"/>
  <c r="Y862" i="18"/>
  <c r="X862" i="18"/>
  <c r="W862" i="18"/>
  <c r="V862" i="18"/>
  <c r="U862" i="18"/>
  <c r="T862" i="18"/>
  <c r="S862" i="18"/>
  <c r="R862" i="18"/>
  <c r="Q862" i="18"/>
  <c r="P862" i="18"/>
  <c r="O862" i="18"/>
  <c r="N862" i="18"/>
  <c r="M862" i="18"/>
  <c r="L862" i="18"/>
  <c r="K862" i="18"/>
  <c r="J862" i="18"/>
  <c r="I862" i="18"/>
  <c r="H862" i="18"/>
  <c r="G862" i="18"/>
  <c r="F862" i="18"/>
  <c r="E862" i="18"/>
  <c r="D862" i="18"/>
  <c r="C862" i="18"/>
  <c r="CH861" i="18"/>
  <c r="CG861" i="18"/>
  <c r="CF861" i="18"/>
  <c r="CE861" i="18"/>
  <c r="CD861" i="18"/>
  <c r="CC861" i="18"/>
  <c r="CB861" i="18"/>
  <c r="CA861" i="18"/>
  <c r="BZ861" i="18"/>
  <c r="BY861" i="18"/>
  <c r="AQ861" i="18"/>
  <c r="AP861" i="18"/>
  <c r="AO861" i="18"/>
  <c r="AN861" i="18"/>
  <c r="AM861" i="18"/>
  <c r="AL861" i="18"/>
  <c r="AK861" i="18"/>
  <c r="AJ861" i="18"/>
  <c r="AI861" i="18"/>
  <c r="AH861" i="18"/>
  <c r="AG861" i="18"/>
  <c r="AF861" i="18"/>
  <c r="AE861" i="18"/>
  <c r="AD861" i="18"/>
  <c r="AC861" i="18"/>
  <c r="AB861" i="18"/>
  <c r="AA861" i="18"/>
  <c r="Z861" i="18"/>
  <c r="Y861" i="18"/>
  <c r="X861" i="18"/>
  <c r="W861" i="18"/>
  <c r="V861" i="18"/>
  <c r="U861" i="18"/>
  <c r="T861" i="18"/>
  <c r="S861" i="18"/>
  <c r="R861" i="18"/>
  <c r="Q861" i="18"/>
  <c r="P861" i="18"/>
  <c r="O861" i="18"/>
  <c r="N861" i="18"/>
  <c r="M861" i="18"/>
  <c r="L861" i="18"/>
  <c r="K861" i="18"/>
  <c r="J861" i="18"/>
  <c r="I861" i="18"/>
  <c r="H861" i="18"/>
  <c r="G861" i="18"/>
  <c r="F861" i="18"/>
  <c r="E861" i="18"/>
  <c r="D861" i="18"/>
  <c r="C861" i="18"/>
  <c r="CH860" i="18"/>
  <c r="CG860" i="18"/>
  <c r="CF860" i="18"/>
  <c r="CE860" i="18"/>
  <c r="CD860" i="18"/>
  <c r="CC860" i="18"/>
  <c r="CB860" i="18"/>
  <c r="CA860" i="18"/>
  <c r="BZ860" i="18"/>
  <c r="BY860" i="18"/>
  <c r="AQ860" i="18"/>
  <c r="AP860" i="18"/>
  <c r="AO860" i="18"/>
  <c r="AN860" i="18"/>
  <c r="AM860" i="18"/>
  <c r="AL860" i="18"/>
  <c r="AK860" i="18"/>
  <c r="AJ860" i="18"/>
  <c r="AI860" i="18"/>
  <c r="AH860" i="18"/>
  <c r="AG860" i="18"/>
  <c r="AF860" i="18"/>
  <c r="AE860" i="18"/>
  <c r="AD860" i="18"/>
  <c r="AC860" i="18"/>
  <c r="AB860" i="18"/>
  <c r="AA860" i="18"/>
  <c r="Z860" i="18"/>
  <c r="Y860" i="18"/>
  <c r="X860" i="18"/>
  <c r="W860" i="18"/>
  <c r="V860" i="18"/>
  <c r="U860" i="18"/>
  <c r="T860" i="18"/>
  <c r="S860" i="18"/>
  <c r="R860" i="18"/>
  <c r="Q860" i="18"/>
  <c r="P860" i="18"/>
  <c r="O860" i="18"/>
  <c r="N860" i="18"/>
  <c r="M860" i="18"/>
  <c r="L860" i="18"/>
  <c r="K860" i="18"/>
  <c r="J860" i="18"/>
  <c r="I860" i="18"/>
  <c r="H860" i="18"/>
  <c r="G860" i="18"/>
  <c r="F860" i="18"/>
  <c r="E860" i="18"/>
  <c r="D860" i="18"/>
  <c r="C860" i="18"/>
  <c r="CH859" i="18"/>
  <c r="CG859" i="18"/>
  <c r="CF859" i="18"/>
  <c r="CE859" i="18"/>
  <c r="CD859" i="18"/>
  <c r="CC859" i="18"/>
  <c r="CB859" i="18"/>
  <c r="CA859" i="18"/>
  <c r="BZ859" i="18"/>
  <c r="BY859" i="18"/>
  <c r="BX859" i="18"/>
  <c r="BW859" i="18"/>
  <c r="BV859" i="18"/>
  <c r="BU859" i="18"/>
  <c r="AQ859" i="18"/>
  <c r="AP859" i="18"/>
  <c r="AO859" i="18"/>
  <c r="AN859" i="18"/>
  <c r="AM859" i="18"/>
  <c r="AL859" i="18"/>
  <c r="AK859" i="18"/>
  <c r="AJ859" i="18"/>
  <c r="AI859" i="18"/>
  <c r="AH859" i="18"/>
  <c r="AG859" i="18"/>
  <c r="AF859" i="18"/>
  <c r="AE859" i="18"/>
  <c r="AD859" i="18"/>
  <c r="AC859" i="18"/>
  <c r="AB859" i="18"/>
  <c r="AA859" i="18"/>
  <c r="Z859" i="18"/>
  <c r="Y859" i="18"/>
  <c r="X859" i="18"/>
  <c r="W859" i="18"/>
  <c r="V859" i="18"/>
  <c r="U859" i="18"/>
  <c r="T859" i="18"/>
  <c r="S859" i="18"/>
  <c r="R859" i="18"/>
  <c r="Q859" i="18"/>
  <c r="P859" i="18"/>
  <c r="O859" i="18"/>
  <c r="N859" i="18"/>
  <c r="M859" i="18"/>
  <c r="L859" i="18"/>
  <c r="K859" i="18"/>
  <c r="J859" i="18"/>
  <c r="I859" i="18"/>
  <c r="H859" i="18"/>
  <c r="G859" i="18"/>
  <c r="F859" i="18"/>
  <c r="E859" i="18"/>
  <c r="D859" i="18"/>
  <c r="C859" i="18"/>
  <c r="CH858" i="18"/>
  <c r="CG858" i="18"/>
  <c r="CF858" i="18"/>
  <c r="CE858" i="18"/>
  <c r="CD858" i="18"/>
  <c r="CC858" i="18"/>
  <c r="CB858" i="18"/>
  <c r="CA858" i="18"/>
  <c r="BZ858" i="18"/>
  <c r="BY858" i="18"/>
  <c r="BT858" i="18"/>
  <c r="BS858" i="18"/>
  <c r="BR858" i="18"/>
  <c r="BQ858" i="18"/>
  <c r="BP858" i="18"/>
  <c r="BO858" i="18"/>
  <c r="BN858" i="18"/>
  <c r="BM858" i="18"/>
  <c r="BL858" i="18"/>
  <c r="BK858" i="18"/>
  <c r="BJ858" i="18"/>
  <c r="BI858" i="18"/>
  <c r="BH858" i="18"/>
  <c r="BG858" i="18"/>
  <c r="BF858" i="18"/>
  <c r="BE858" i="18"/>
  <c r="BD858" i="18"/>
  <c r="BC858" i="18"/>
  <c r="BB858" i="18"/>
  <c r="BA858" i="18"/>
  <c r="AZ858" i="18"/>
  <c r="AY858" i="18"/>
  <c r="AX858" i="18"/>
  <c r="AW858" i="18"/>
  <c r="AV858" i="18"/>
  <c r="AU858" i="18"/>
  <c r="AT858" i="18"/>
  <c r="AS858" i="18"/>
  <c r="AR858" i="18"/>
  <c r="AQ858" i="18"/>
  <c r="AP858" i="18"/>
  <c r="AO858" i="18"/>
  <c r="AN858" i="18"/>
  <c r="AM858" i="18"/>
  <c r="AL858" i="18"/>
  <c r="AK858" i="18"/>
  <c r="AJ858" i="18"/>
  <c r="AI858" i="18"/>
  <c r="AH858" i="18"/>
  <c r="AG858" i="18"/>
  <c r="AF858" i="18"/>
  <c r="AE858" i="18"/>
  <c r="AD858" i="18"/>
  <c r="AC858" i="18"/>
  <c r="AB858" i="18"/>
  <c r="AA858" i="18"/>
  <c r="Z858" i="18"/>
  <c r="Y858" i="18"/>
  <c r="X858" i="18"/>
  <c r="W858" i="18"/>
  <c r="V858" i="18"/>
  <c r="U858" i="18"/>
  <c r="T858" i="18"/>
  <c r="S858" i="18"/>
  <c r="R858" i="18"/>
  <c r="Q858" i="18"/>
  <c r="P858" i="18"/>
  <c r="O858" i="18"/>
  <c r="N858" i="18"/>
  <c r="M858" i="18"/>
  <c r="L858" i="18"/>
  <c r="K858" i="18"/>
  <c r="J858" i="18"/>
  <c r="I858" i="18"/>
  <c r="H858" i="18"/>
  <c r="G858" i="18"/>
  <c r="F858" i="18"/>
  <c r="E858" i="18"/>
  <c r="D858" i="18"/>
  <c r="C858" i="18"/>
  <c r="CX857" i="18"/>
  <c r="CW857" i="18"/>
  <c r="CV857" i="18"/>
  <c r="CU857" i="18"/>
  <c r="CT857" i="18"/>
  <c r="CS857" i="18"/>
  <c r="CR857" i="18"/>
  <c r="CQ857" i="18"/>
  <c r="CP857" i="18"/>
  <c r="CO857" i="18"/>
  <c r="CN857" i="18"/>
  <c r="CM857" i="18"/>
  <c r="CL857" i="18"/>
  <c r="CK857" i="18"/>
  <c r="CJ857" i="18"/>
  <c r="CI857" i="18"/>
  <c r="CH857" i="18"/>
  <c r="CG857" i="18"/>
  <c r="CF857" i="18"/>
  <c r="CE857" i="18"/>
  <c r="CD857" i="18"/>
  <c r="CC857" i="18"/>
  <c r="CB857" i="18"/>
  <c r="CA857" i="18"/>
  <c r="BZ857" i="18"/>
  <c r="BY857" i="18"/>
  <c r="BX857" i="18"/>
  <c r="BW857" i="18"/>
  <c r="BV857" i="18"/>
  <c r="BU857" i="18"/>
  <c r="BT857" i="18"/>
  <c r="BS857" i="18"/>
  <c r="BR857" i="18"/>
  <c r="BQ857" i="18"/>
  <c r="BP857" i="18"/>
  <c r="BO857" i="18"/>
  <c r="BN857" i="18"/>
  <c r="BM857" i="18"/>
  <c r="BL857" i="18"/>
  <c r="BK857" i="18"/>
  <c r="BJ857" i="18"/>
  <c r="BI857" i="18"/>
  <c r="BH857" i="18"/>
  <c r="BG857" i="18"/>
  <c r="BF857" i="18"/>
  <c r="BE857" i="18"/>
  <c r="BD857" i="18"/>
  <c r="BC857" i="18"/>
  <c r="BB857" i="18"/>
  <c r="BA857" i="18"/>
  <c r="AZ857" i="18"/>
  <c r="AY857" i="18"/>
  <c r="AX857" i="18"/>
  <c r="AW857" i="18"/>
  <c r="AV857" i="18"/>
  <c r="AU857" i="18"/>
  <c r="AT857" i="18"/>
  <c r="AS857" i="18"/>
  <c r="AR857" i="18"/>
  <c r="AQ857" i="18"/>
  <c r="AP857" i="18"/>
  <c r="AO857" i="18"/>
  <c r="AN857" i="18"/>
  <c r="AM857" i="18"/>
  <c r="AL857" i="18"/>
  <c r="AK857" i="18"/>
  <c r="AJ857" i="18"/>
  <c r="AI857" i="18"/>
  <c r="AH857" i="18"/>
  <c r="AG857" i="18"/>
  <c r="AF857" i="18"/>
  <c r="AE857" i="18"/>
  <c r="AD857" i="18"/>
  <c r="AC857" i="18"/>
  <c r="AB857" i="18"/>
  <c r="AA857" i="18"/>
  <c r="Z857" i="18"/>
  <c r="Y857" i="18"/>
  <c r="X857" i="18"/>
  <c r="W857" i="18"/>
  <c r="V857" i="18"/>
  <c r="U857" i="18"/>
  <c r="T857" i="18"/>
  <c r="S857" i="18"/>
  <c r="R857" i="18"/>
  <c r="Q857" i="18"/>
  <c r="P857" i="18"/>
  <c r="O857" i="18"/>
  <c r="N857" i="18"/>
  <c r="M857" i="18"/>
  <c r="L857" i="18"/>
  <c r="K857" i="18"/>
  <c r="J857" i="18"/>
  <c r="I857" i="18"/>
  <c r="H857" i="18"/>
  <c r="G857" i="18"/>
  <c r="F857" i="18"/>
  <c r="E857" i="18"/>
  <c r="D857" i="18"/>
  <c r="C857" i="18"/>
  <c r="CX856" i="18"/>
  <c r="CW856" i="18"/>
  <c r="CV856" i="18"/>
  <c r="CU856" i="18"/>
  <c r="CT856" i="18"/>
  <c r="CS856" i="18"/>
  <c r="CR856" i="18"/>
  <c r="CQ856" i="18"/>
  <c r="CP856" i="18"/>
  <c r="CO856" i="18"/>
  <c r="CN856" i="18"/>
  <c r="CM856" i="18"/>
  <c r="CL856" i="18"/>
  <c r="CK856" i="18"/>
  <c r="CJ856" i="18"/>
  <c r="CI856" i="18"/>
  <c r="CH856" i="18"/>
  <c r="CG856" i="18"/>
  <c r="CF856" i="18"/>
  <c r="CE856" i="18"/>
  <c r="CD856" i="18"/>
  <c r="CC856" i="18"/>
  <c r="CB856" i="18"/>
  <c r="CA856" i="18"/>
  <c r="BZ856" i="18"/>
  <c r="BY856" i="18"/>
  <c r="BX856" i="18"/>
  <c r="BW856" i="18"/>
  <c r="BV856" i="18"/>
  <c r="BU856" i="18"/>
  <c r="BT856" i="18"/>
  <c r="BS856" i="18"/>
  <c r="BR856" i="18"/>
  <c r="BQ856" i="18"/>
  <c r="BP856" i="18"/>
  <c r="BO856" i="18"/>
  <c r="BN856" i="18"/>
  <c r="BM856" i="18"/>
  <c r="BL856" i="18"/>
  <c r="BK856" i="18"/>
  <c r="BJ856" i="18"/>
  <c r="BI856" i="18"/>
  <c r="BH856" i="18"/>
  <c r="BG856" i="18"/>
  <c r="BF856" i="18"/>
  <c r="BE856" i="18"/>
  <c r="BD856" i="18"/>
  <c r="BC856" i="18"/>
  <c r="BB856" i="18"/>
  <c r="BA856" i="18"/>
  <c r="AZ856" i="18"/>
  <c r="AY856" i="18"/>
  <c r="AX856" i="18"/>
  <c r="AW856" i="18"/>
  <c r="AV856" i="18"/>
  <c r="AU856" i="18"/>
  <c r="AT856" i="18"/>
  <c r="AS856" i="18"/>
  <c r="AR856" i="18"/>
  <c r="AQ856" i="18"/>
  <c r="AP856" i="18"/>
  <c r="AO856" i="18"/>
  <c r="AN856" i="18"/>
  <c r="AM856" i="18"/>
  <c r="AL856" i="18"/>
  <c r="AK856" i="18"/>
  <c r="AJ856" i="18"/>
  <c r="AI856" i="18"/>
  <c r="AH856" i="18"/>
  <c r="AG856" i="18"/>
  <c r="AF856" i="18"/>
  <c r="AE856" i="18"/>
  <c r="AD856" i="18"/>
  <c r="AC856" i="18"/>
  <c r="AB856" i="18"/>
  <c r="AA856" i="18"/>
  <c r="Z856" i="18"/>
  <c r="Y856" i="18"/>
  <c r="X856" i="18"/>
  <c r="W856" i="18"/>
  <c r="V856" i="18"/>
  <c r="U856" i="18"/>
  <c r="T856" i="18"/>
  <c r="S856" i="18"/>
  <c r="R856" i="18"/>
  <c r="Q856" i="18"/>
  <c r="P856" i="18"/>
  <c r="O856" i="18"/>
  <c r="N856" i="18"/>
  <c r="M856" i="18"/>
  <c r="L856" i="18"/>
  <c r="K856" i="18"/>
  <c r="J856" i="18"/>
  <c r="I856" i="18"/>
  <c r="H856" i="18"/>
  <c r="G856" i="18"/>
  <c r="F856" i="18"/>
  <c r="E856" i="18"/>
  <c r="D856" i="18"/>
  <c r="C856" i="18"/>
  <c r="CX854" i="18"/>
  <c r="CW854" i="18"/>
  <c r="CV854" i="18"/>
  <c r="CU854" i="18"/>
  <c r="CT854" i="18"/>
  <c r="CS854" i="18"/>
  <c r="CR854" i="18"/>
  <c r="CQ854" i="18"/>
  <c r="CP854" i="18"/>
  <c r="CO854" i="18"/>
  <c r="CN854" i="18"/>
  <c r="CM854" i="18"/>
  <c r="CL854" i="18"/>
  <c r="CK854" i="18"/>
  <c r="CJ854" i="18"/>
  <c r="CI854" i="18"/>
  <c r="CH854" i="18"/>
  <c r="CG854" i="18"/>
  <c r="CF854" i="18"/>
  <c r="CE854" i="18"/>
  <c r="CD854" i="18"/>
  <c r="CC854" i="18"/>
  <c r="CB854" i="18"/>
  <c r="CA854" i="18"/>
  <c r="BZ854" i="18"/>
  <c r="BY854" i="18"/>
  <c r="BX854" i="18"/>
  <c r="BW854" i="18"/>
  <c r="BV854" i="18"/>
  <c r="BU854" i="18"/>
  <c r="BT854" i="18"/>
  <c r="BS854" i="18"/>
  <c r="BR854" i="18"/>
  <c r="BQ854" i="18"/>
  <c r="BP854" i="18"/>
  <c r="BO854" i="18"/>
  <c r="BN854" i="18"/>
  <c r="BM854" i="18"/>
  <c r="BL854" i="18"/>
  <c r="BK854" i="18"/>
  <c r="BJ854" i="18"/>
  <c r="BI854" i="18"/>
  <c r="BH854" i="18"/>
  <c r="BG854" i="18"/>
  <c r="BF854" i="18"/>
  <c r="BE854" i="18"/>
  <c r="BD854" i="18"/>
  <c r="BC854" i="18"/>
  <c r="BB854" i="18"/>
  <c r="BA854" i="18"/>
  <c r="AZ854" i="18"/>
  <c r="AY854" i="18"/>
  <c r="AX854" i="18"/>
  <c r="AW854" i="18"/>
  <c r="AV854" i="18"/>
  <c r="AU854" i="18"/>
  <c r="AT854" i="18"/>
  <c r="AS854" i="18"/>
  <c r="AR854" i="18"/>
  <c r="AQ854" i="18"/>
  <c r="AP854" i="18"/>
  <c r="AO854" i="18"/>
  <c r="AN854" i="18"/>
  <c r="AM854" i="18"/>
  <c r="AL854" i="18"/>
  <c r="AK854" i="18"/>
  <c r="AJ854" i="18"/>
  <c r="AI854" i="18"/>
  <c r="AH854" i="18"/>
  <c r="AG854" i="18"/>
  <c r="AF854" i="18"/>
  <c r="AE854" i="18"/>
  <c r="AD854" i="18"/>
  <c r="AC854" i="18"/>
  <c r="AB854" i="18"/>
  <c r="AA854" i="18"/>
  <c r="Z854" i="18"/>
  <c r="Y854" i="18"/>
  <c r="X854" i="18"/>
  <c r="W854" i="18"/>
  <c r="V854" i="18"/>
  <c r="U854" i="18"/>
  <c r="T854" i="18"/>
  <c r="S854" i="18"/>
  <c r="R854" i="18"/>
  <c r="Q854" i="18"/>
  <c r="P854" i="18"/>
  <c r="O854" i="18"/>
  <c r="N854" i="18"/>
  <c r="M854" i="18"/>
  <c r="L854" i="18"/>
  <c r="K854" i="18"/>
  <c r="J854" i="18"/>
  <c r="I854" i="18"/>
  <c r="H854" i="18"/>
  <c r="G854" i="18"/>
  <c r="F854" i="18"/>
  <c r="E854" i="18"/>
  <c r="D854" i="18"/>
  <c r="C854" i="18"/>
  <c r="B854" i="18"/>
  <c r="A854" i="18"/>
  <c r="CX853" i="18"/>
  <c r="CW853" i="18"/>
  <c r="CV853" i="18"/>
  <c r="CU853" i="18"/>
  <c r="CT853" i="18"/>
  <c r="CH853" i="18"/>
  <c r="CG853" i="18"/>
  <c r="CF853" i="18"/>
  <c r="CE853" i="18"/>
  <c r="CD853" i="18"/>
  <c r="CC853" i="18"/>
  <c r="CB853" i="18"/>
  <c r="CA853" i="18"/>
  <c r="BZ853" i="18"/>
  <c r="BY853" i="18"/>
  <c r="BX853" i="18"/>
  <c r="BW853" i="18"/>
  <c r="BV853" i="18"/>
  <c r="BU853" i="18"/>
  <c r="BT853" i="18"/>
  <c r="BS853" i="18"/>
  <c r="BR853" i="18"/>
  <c r="BQ853" i="18"/>
  <c r="BP853" i="18"/>
  <c r="BO853" i="18"/>
  <c r="BN853" i="18"/>
  <c r="BM853" i="18"/>
  <c r="BL853" i="18"/>
  <c r="BK853" i="18"/>
  <c r="BJ853" i="18"/>
  <c r="BI853" i="18"/>
  <c r="BH853" i="18"/>
  <c r="BG853" i="18"/>
  <c r="BF853" i="18"/>
  <c r="BE853" i="18"/>
  <c r="BD853" i="18"/>
  <c r="BC853" i="18"/>
  <c r="BB853" i="18"/>
  <c r="BA853" i="18"/>
  <c r="AZ853" i="18"/>
  <c r="AY853" i="18"/>
  <c r="AX853" i="18"/>
  <c r="AW853" i="18"/>
  <c r="AV853" i="18"/>
  <c r="AU853" i="18"/>
  <c r="AT853" i="18"/>
  <c r="AS853" i="18"/>
  <c r="AR853" i="18"/>
  <c r="AQ853" i="18"/>
  <c r="AP853" i="18"/>
  <c r="AO853" i="18"/>
  <c r="AN853" i="18"/>
  <c r="AM853" i="18"/>
  <c r="AL853" i="18"/>
  <c r="AK853" i="18"/>
  <c r="AJ853" i="18"/>
  <c r="AI853" i="18"/>
  <c r="AH853" i="18"/>
  <c r="AG853" i="18"/>
  <c r="AF853" i="18"/>
  <c r="AE853" i="18"/>
  <c r="AD853" i="18"/>
  <c r="AC853" i="18"/>
  <c r="AB853" i="18"/>
  <c r="AA853" i="18"/>
  <c r="Z853" i="18"/>
  <c r="Y853" i="18"/>
  <c r="X853" i="18"/>
  <c r="W853" i="18"/>
  <c r="V853" i="18"/>
  <c r="U853" i="18"/>
  <c r="T853" i="18"/>
  <c r="S853" i="18"/>
  <c r="R853" i="18"/>
  <c r="Q853" i="18"/>
  <c r="P853" i="18"/>
  <c r="O853" i="18"/>
  <c r="N853" i="18"/>
  <c r="M853" i="18"/>
  <c r="L853" i="18"/>
  <c r="K853" i="18"/>
  <c r="J853" i="18"/>
  <c r="I853" i="18"/>
  <c r="H853" i="18"/>
  <c r="G853" i="18"/>
  <c r="F853" i="18"/>
  <c r="E853" i="18"/>
  <c r="D853" i="18"/>
  <c r="C853" i="18"/>
  <c r="B853" i="18"/>
  <c r="A853" i="18"/>
  <c r="CX852" i="18"/>
  <c r="CW852" i="18"/>
  <c r="CV852" i="18"/>
  <c r="CU852" i="18"/>
  <c r="CT852" i="18"/>
  <c r="CH852" i="18"/>
  <c r="CG852" i="18"/>
  <c r="CF852" i="18"/>
  <c r="CE852" i="18"/>
  <c r="CD852" i="18"/>
  <c r="CC852" i="18"/>
  <c r="CB852" i="18"/>
  <c r="CA852" i="18"/>
  <c r="BZ852" i="18"/>
  <c r="BY852" i="18"/>
  <c r="BX852" i="18"/>
  <c r="BW852" i="18"/>
  <c r="BV852" i="18"/>
  <c r="BU852" i="18"/>
  <c r="BT852" i="18"/>
  <c r="BS852" i="18"/>
  <c r="BR852" i="18"/>
  <c r="BQ852" i="18"/>
  <c r="BP852" i="18"/>
  <c r="BO852" i="18"/>
  <c r="BN852" i="18"/>
  <c r="BM852" i="18"/>
  <c r="BL852" i="18"/>
  <c r="BK852" i="18"/>
  <c r="BJ852" i="18"/>
  <c r="BI852" i="18"/>
  <c r="BH852" i="18"/>
  <c r="BG852" i="18"/>
  <c r="BF852" i="18"/>
  <c r="BE852" i="18"/>
  <c r="BD852" i="18"/>
  <c r="BC852" i="18"/>
  <c r="BB852" i="18"/>
  <c r="BA852" i="18"/>
  <c r="AZ852" i="18"/>
  <c r="AY852" i="18"/>
  <c r="AX852" i="18"/>
  <c r="AW852" i="18"/>
  <c r="AV852" i="18"/>
  <c r="AU852" i="18"/>
  <c r="AT852" i="18"/>
  <c r="AS852" i="18"/>
  <c r="AR852" i="18"/>
  <c r="AQ852" i="18"/>
  <c r="AP852" i="18"/>
  <c r="AO852" i="18"/>
  <c r="AN852" i="18"/>
  <c r="AM852" i="18"/>
  <c r="AL852" i="18"/>
  <c r="AK852" i="18"/>
  <c r="AJ852" i="18"/>
  <c r="AI852" i="18"/>
  <c r="AH852" i="18"/>
  <c r="AG852" i="18"/>
  <c r="AF852" i="18"/>
  <c r="AE852" i="18"/>
  <c r="AD852" i="18"/>
  <c r="AC852" i="18"/>
  <c r="AB852" i="18"/>
  <c r="AA852" i="18"/>
  <c r="Z852" i="18"/>
  <c r="Y852" i="18"/>
  <c r="X852" i="18"/>
  <c r="W852" i="18"/>
  <c r="V852" i="18"/>
  <c r="U852" i="18"/>
  <c r="T852" i="18"/>
  <c r="S852" i="18"/>
  <c r="R852" i="18"/>
  <c r="Q852" i="18"/>
  <c r="P852" i="18"/>
  <c r="O852" i="18"/>
  <c r="N852" i="18"/>
  <c r="M852" i="18"/>
  <c r="L852" i="18"/>
  <c r="K852" i="18"/>
  <c r="J852" i="18"/>
  <c r="I852" i="18"/>
  <c r="H852" i="18"/>
  <c r="G852" i="18"/>
  <c r="F852" i="18"/>
  <c r="E852" i="18"/>
  <c r="D852" i="18"/>
  <c r="C852" i="18"/>
  <c r="B852" i="18"/>
  <c r="A852" i="18"/>
  <c r="CX851" i="18"/>
  <c r="CW851" i="18"/>
  <c r="CV851" i="18"/>
  <c r="CU851" i="18"/>
  <c r="CT851" i="18"/>
  <c r="CG851" i="18"/>
  <c r="CF851" i="18"/>
  <c r="CE851" i="18"/>
  <c r="CD851" i="18"/>
  <c r="CC851" i="18"/>
  <c r="CB851" i="18"/>
  <c r="CA851" i="18"/>
  <c r="BZ851" i="18"/>
  <c r="BY851" i="18"/>
  <c r="BX851" i="18"/>
  <c r="BW851" i="18"/>
  <c r="BV851" i="18"/>
  <c r="BU851" i="18"/>
  <c r="BT851" i="18"/>
  <c r="BS851" i="18"/>
  <c r="BR851" i="18"/>
  <c r="BQ851" i="18"/>
  <c r="BP851" i="18"/>
  <c r="BO851" i="18"/>
  <c r="BN851" i="18"/>
  <c r="BM851" i="18"/>
  <c r="BL851" i="18"/>
  <c r="BK851" i="18"/>
  <c r="BJ851" i="18"/>
  <c r="BI851" i="18"/>
  <c r="BH851" i="18"/>
  <c r="BG851" i="18"/>
  <c r="BF851" i="18"/>
  <c r="BE851" i="18"/>
  <c r="BD851" i="18"/>
  <c r="BC851" i="18"/>
  <c r="BB851" i="18"/>
  <c r="BA851" i="18"/>
  <c r="AR851" i="18"/>
  <c r="AQ851" i="18"/>
  <c r="AP851" i="18"/>
  <c r="AO851" i="18"/>
  <c r="AN851" i="18"/>
  <c r="AM851" i="18"/>
  <c r="AL851" i="18"/>
  <c r="AK851" i="18"/>
  <c r="AJ851" i="18"/>
  <c r="AI851" i="18"/>
  <c r="AH851" i="18"/>
  <c r="AG851" i="18"/>
  <c r="AF851" i="18"/>
  <c r="AE851" i="18"/>
  <c r="AD851" i="18"/>
  <c r="AC851" i="18"/>
  <c r="AB851" i="18"/>
  <c r="AA851" i="18"/>
  <c r="Z851" i="18"/>
  <c r="Y851" i="18"/>
  <c r="X851" i="18"/>
  <c r="W851" i="18"/>
  <c r="V851" i="18"/>
  <c r="U851" i="18"/>
  <c r="T851" i="18"/>
  <c r="S851" i="18"/>
  <c r="R851" i="18"/>
  <c r="Q851" i="18"/>
  <c r="P851" i="18"/>
  <c r="O851" i="18"/>
  <c r="N851" i="18"/>
  <c r="M851" i="18"/>
  <c r="L851" i="18"/>
  <c r="K851" i="18"/>
  <c r="J851" i="18"/>
  <c r="I851" i="18"/>
  <c r="H851" i="18"/>
  <c r="G851" i="18"/>
  <c r="F851" i="18"/>
  <c r="E851" i="18"/>
  <c r="D851" i="18"/>
  <c r="C851" i="18"/>
  <c r="B851" i="18"/>
  <c r="A851" i="18"/>
  <c r="CX850" i="18"/>
  <c r="CW850" i="18"/>
  <c r="CV850" i="18"/>
  <c r="CU850" i="18"/>
  <c r="CT850" i="18"/>
  <c r="CG850" i="18"/>
  <c r="CF850" i="18"/>
  <c r="CE850" i="18"/>
  <c r="CD850" i="18"/>
  <c r="CC850" i="18"/>
  <c r="CB850" i="18"/>
  <c r="CA850" i="18"/>
  <c r="BZ850" i="18"/>
  <c r="BY850" i="18"/>
  <c r="BX850" i="18"/>
  <c r="BW850" i="18"/>
  <c r="BV850" i="18"/>
  <c r="BU850" i="18"/>
  <c r="BT850" i="18"/>
  <c r="BS850" i="18"/>
  <c r="BR850" i="18"/>
  <c r="BQ850" i="18"/>
  <c r="BP850" i="18"/>
  <c r="BO850" i="18"/>
  <c r="BN850" i="18"/>
  <c r="BM850" i="18"/>
  <c r="BL850" i="18"/>
  <c r="BK850" i="18"/>
  <c r="BJ850" i="18"/>
  <c r="BI850" i="18"/>
  <c r="BH850" i="18"/>
  <c r="BG850" i="18"/>
  <c r="BF850" i="18"/>
  <c r="BE850" i="18"/>
  <c r="BD850" i="18"/>
  <c r="BC850" i="18"/>
  <c r="BB850" i="18"/>
  <c r="BA850" i="18"/>
  <c r="AR850" i="18"/>
  <c r="AQ850" i="18"/>
  <c r="AP850" i="18"/>
  <c r="AO850" i="18"/>
  <c r="AN850" i="18"/>
  <c r="AM850" i="18"/>
  <c r="AL850" i="18"/>
  <c r="AK850" i="18"/>
  <c r="AJ850" i="18"/>
  <c r="AI850" i="18"/>
  <c r="AH850" i="18"/>
  <c r="AG850" i="18"/>
  <c r="AF850" i="18"/>
  <c r="AE850" i="18"/>
  <c r="AD850" i="18"/>
  <c r="AC850" i="18"/>
  <c r="AB850" i="18"/>
  <c r="AA850" i="18"/>
  <c r="Z850" i="18"/>
  <c r="Y850" i="18"/>
  <c r="X850" i="18"/>
  <c r="W850" i="18"/>
  <c r="V850" i="18"/>
  <c r="U850" i="18"/>
  <c r="T850" i="18"/>
  <c r="S850" i="18"/>
  <c r="R850" i="18"/>
  <c r="Q850" i="18"/>
  <c r="P850" i="18"/>
  <c r="O850" i="18"/>
  <c r="N850" i="18"/>
  <c r="M850" i="18"/>
  <c r="L850" i="18"/>
  <c r="K850" i="18"/>
  <c r="J850" i="18"/>
  <c r="I850" i="18"/>
  <c r="H850" i="18"/>
  <c r="G850" i="18"/>
  <c r="F850" i="18"/>
  <c r="E850" i="18"/>
  <c r="D850" i="18"/>
  <c r="C850" i="18"/>
  <c r="B850" i="18"/>
  <c r="A850" i="18"/>
  <c r="CX849" i="18"/>
  <c r="CW849" i="18"/>
  <c r="CV849" i="18"/>
  <c r="CU849" i="18"/>
  <c r="CT849" i="18"/>
  <c r="CD849" i="18"/>
  <c r="CC849" i="18"/>
  <c r="CB849" i="18"/>
  <c r="CA849" i="18"/>
  <c r="BZ849" i="18"/>
  <c r="BY849" i="18"/>
  <c r="BX849" i="18"/>
  <c r="BW849" i="18"/>
  <c r="BV849" i="18"/>
  <c r="BU849" i="18"/>
  <c r="BT849" i="18"/>
  <c r="BS849" i="18"/>
  <c r="BR849" i="18"/>
  <c r="BQ849" i="18"/>
  <c r="BP849" i="18"/>
  <c r="BO849" i="18"/>
  <c r="BN849" i="18"/>
  <c r="BM849" i="18"/>
  <c r="BL849" i="18"/>
  <c r="BK849" i="18"/>
  <c r="BJ849" i="18"/>
  <c r="BI849" i="18"/>
  <c r="BH849" i="18"/>
  <c r="BG849" i="18"/>
  <c r="BF849" i="18"/>
  <c r="BE849" i="18"/>
  <c r="AR849" i="18"/>
  <c r="AQ849" i="18"/>
  <c r="AP849" i="18"/>
  <c r="AO849" i="18"/>
  <c r="AN849" i="18"/>
  <c r="AM849" i="18"/>
  <c r="AL849" i="18"/>
  <c r="AK849" i="18"/>
  <c r="AJ849" i="18"/>
  <c r="AI849" i="18"/>
  <c r="AH849" i="18"/>
  <c r="AG849" i="18"/>
  <c r="AF849" i="18"/>
  <c r="AE849" i="18"/>
  <c r="AD849" i="18"/>
  <c r="AC849" i="18"/>
  <c r="AB849" i="18"/>
  <c r="AA849" i="18"/>
  <c r="Z849" i="18"/>
  <c r="Y849" i="18"/>
  <c r="X849" i="18"/>
  <c r="W849" i="18"/>
  <c r="V849" i="18"/>
  <c r="U849" i="18"/>
  <c r="T849" i="18"/>
  <c r="S849" i="18"/>
  <c r="R849" i="18"/>
  <c r="Q849" i="18"/>
  <c r="P849" i="18"/>
  <c r="O849" i="18"/>
  <c r="N849" i="18"/>
  <c r="M849" i="18"/>
  <c r="L849" i="18"/>
  <c r="K849" i="18"/>
  <c r="J849" i="18"/>
  <c r="I849" i="18"/>
  <c r="H849" i="18"/>
  <c r="G849" i="18"/>
  <c r="F849" i="18"/>
  <c r="E849" i="18"/>
  <c r="D849" i="18"/>
  <c r="C849" i="18"/>
  <c r="B849" i="18"/>
  <c r="A849" i="18"/>
  <c r="CX848" i="18"/>
  <c r="CW848" i="18"/>
  <c r="CV848" i="18"/>
  <c r="CU848" i="18"/>
  <c r="CT848" i="18"/>
  <c r="CS848" i="18"/>
  <c r="CR848" i="18"/>
  <c r="CQ848" i="18"/>
  <c r="CP848" i="18"/>
  <c r="CO848" i="18"/>
  <c r="CN848" i="18"/>
  <c r="CM848" i="18"/>
  <c r="CL848" i="18"/>
  <c r="CK848" i="18"/>
  <c r="CJ848" i="18"/>
  <c r="CI848" i="18"/>
  <c r="CH848" i="18"/>
  <c r="CG848" i="18"/>
  <c r="CF848" i="18"/>
  <c r="CE848" i="18"/>
  <c r="CD848" i="18"/>
  <c r="CC848" i="18"/>
  <c r="CB848" i="18"/>
  <c r="CA848" i="18"/>
  <c r="BZ848" i="18"/>
  <c r="BY848" i="18"/>
  <c r="BX848" i="18"/>
  <c r="BW848" i="18"/>
  <c r="BV848" i="18"/>
  <c r="BU848" i="18"/>
  <c r="BT848" i="18"/>
  <c r="BS848" i="18"/>
  <c r="BR848" i="18"/>
  <c r="BQ848" i="18"/>
  <c r="BP848" i="18"/>
  <c r="BO848" i="18"/>
  <c r="BN848" i="18"/>
  <c r="BM848" i="18"/>
  <c r="BL848" i="18"/>
  <c r="BK848" i="18"/>
  <c r="BJ848" i="18"/>
  <c r="BI848" i="18"/>
  <c r="BH848" i="18"/>
  <c r="BG848" i="18"/>
  <c r="BF848" i="18"/>
  <c r="BE848" i="18"/>
  <c r="BD848" i="18"/>
  <c r="BC848" i="18"/>
  <c r="BB848" i="18"/>
  <c r="BA848" i="18"/>
  <c r="AZ848" i="18"/>
  <c r="AY848" i="18"/>
  <c r="AX848" i="18"/>
  <c r="AW848" i="18"/>
  <c r="AV848" i="18"/>
  <c r="AU848" i="18"/>
  <c r="AT848" i="18"/>
  <c r="AS848" i="18"/>
  <c r="AR848" i="18"/>
  <c r="AQ848" i="18"/>
  <c r="AP848" i="18"/>
  <c r="AO848" i="18"/>
  <c r="AN848" i="18"/>
  <c r="AM848" i="18"/>
  <c r="AL848" i="18"/>
  <c r="AK848" i="18"/>
  <c r="AJ848" i="18"/>
  <c r="AI848" i="18"/>
  <c r="AH848" i="18"/>
  <c r="AG848" i="18"/>
  <c r="AF848" i="18"/>
  <c r="AE848" i="18"/>
  <c r="AD848" i="18"/>
  <c r="AC848" i="18"/>
  <c r="AB848" i="18"/>
  <c r="AA848" i="18"/>
  <c r="Z848" i="18"/>
  <c r="Y848" i="18"/>
  <c r="X848" i="18"/>
  <c r="W848" i="18"/>
  <c r="V848" i="18"/>
  <c r="U848" i="18"/>
  <c r="T848" i="18"/>
  <c r="S848" i="18"/>
  <c r="R848" i="18"/>
  <c r="Q848" i="18"/>
  <c r="P848" i="18"/>
  <c r="O848" i="18"/>
  <c r="N848" i="18"/>
  <c r="M848" i="18"/>
  <c r="L848" i="18"/>
  <c r="K848" i="18"/>
  <c r="J848" i="18"/>
  <c r="I848" i="18"/>
  <c r="H848" i="18"/>
  <c r="G848" i="18"/>
  <c r="F848" i="18"/>
  <c r="E848" i="18"/>
  <c r="D848" i="18"/>
  <c r="C848" i="18"/>
  <c r="B848" i="18"/>
  <c r="A848" i="18"/>
  <c r="CX847" i="18"/>
  <c r="CW847" i="18"/>
  <c r="CV847" i="18"/>
  <c r="CU847" i="18"/>
  <c r="CT847" i="18"/>
  <c r="CS847" i="18"/>
  <c r="CR847" i="18"/>
  <c r="CQ847" i="18"/>
  <c r="CP847" i="18"/>
  <c r="CO847" i="18"/>
  <c r="CN847" i="18"/>
  <c r="CM847" i="18"/>
  <c r="CL847" i="18"/>
  <c r="CK847" i="18"/>
  <c r="CJ847" i="18"/>
  <c r="CI847" i="18"/>
  <c r="CH847" i="18"/>
  <c r="CG847" i="18"/>
  <c r="CF847" i="18"/>
  <c r="CE847" i="18"/>
  <c r="CD847" i="18"/>
  <c r="CC847" i="18"/>
  <c r="CB847" i="18"/>
  <c r="CA847" i="18"/>
  <c r="BZ847" i="18"/>
  <c r="BY847" i="18"/>
  <c r="BX847" i="18"/>
  <c r="BW847" i="18"/>
  <c r="BV847" i="18"/>
  <c r="BU847" i="18"/>
  <c r="BT847" i="18"/>
  <c r="BS847" i="18"/>
  <c r="BR847" i="18"/>
  <c r="BQ847" i="18"/>
  <c r="BP847" i="18"/>
  <c r="BO847" i="18"/>
  <c r="BN847" i="18"/>
  <c r="BM847" i="18"/>
  <c r="BL847" i="18"/>
  <c r="BK847" i="18"/>
  <c r="BJ847" i="18"/>
  <c r="BI847" i="18"/>
  <c r="BH847" i="18"/>
  <c r="BG847" i="18"/>
  <c r="BF847" i="18"/>
  <c r="BE847" i="18"/>
  <c r="BD847" i="18"/>
  <c r="BC847" i="18"/>
  <c r="BB847" i="18"/>
  <c r="BA847" i="18"/>
  <c r="AZ847" i="18"/>
  <c r="AY847" i="18"/>
  <c r="AX847" i="18"/>
  <c r="AW847" i="18"/>
  <c r="AV847" i="18"/>
  <c r="AU847" i="18"/>
  <c r="AT847" i="18"/>
  <c r="AS847" i="18"/>
  <c r="AR847" i="18"/>
  <c r="AQ847" i="18"/>
  <c r="AP847" i="18"/>
  <c r="AO847" i="18"/>
  <c r="AN847" i="18"/>
  <c r="AM847" i="18"/>
  <c r="AL847" i="18"/>
  <c r="AK847" i="18"/>
  <c r="AJ847" i="18"/>
  <c r="AI847" i="18"/>
  <c r="AH847" i="18"/>
  <c r="AG847" i="18"/>
  <c r="AF847" i="18"/>
  <c r="AE847" i="18"/>
  <c r="AD847" i="18"/>
  <c r="AC847" i="18"/>
  <c r="AB847" i="18"/>
  <c r="AA847" i="18"/>
  <c r="Z847" i="18"/>
  <c r="Y847" i="18"/>
  <c r="X847" i="18"/>
  <c r="W847" i="18"/>
  <c r="V847" i="18"/>
  <c r="U847" i="18"/>
  <c r="T847" i="18"/>
  <c r="S847" i="18"/>
  <c r="R847" i="18"/>
  <c r="Q847" i="18"/>
  <c r="P847" i="18"/>
  <c r="O847" i="18"/>
  <c r="N847" i="18"/>
  <c r="M847" i="18"/>
  <c r="L847" i="18"/>
  <c r="K847" i="18"/>
  <c r="J847" i="18"/>
  <c r="I847" i="18"/>
  <c r="H847" i="18"/>
  <c r="G847" i="18"/>
  <c r="F847" i="18"/>
  <c r="E847" i="18"/>
  <c r="D847" i="18"/>
  <c r="C847" i="18"/>
  <c r="B847" i="18"/>
  <c r="A847" i="18"/>
  <c r="CX844" i="18"/>
  <c r="CW844" i="18"/>
  <c r="CV844" i="18"/>
  <c r="CU844" i="18"/>
  <c r="CT844" i="18"/>
  <c r="CH844" i="18"/>
  <c r="CG844" i="18"/>
  <c r="CF844" i="18"/>
  <c r="CE844" i="18"/>
  <c r="CD844" i="18"/>
  <c r="CC844" i="18"/>
  <c r="CB844" i="18"/>
  <c r="CA844" i="18"/>
  <c r="BZ844" i="18"/>
  <c r="BY844" i="18"/>
  <c r="BX844" i="18"/>
  <c r="BW844" i="18"/>
  <c r="BV844" i="18"/>
  <c r="BU844" i="18"/>
  <c r="BT844" i="18"/>
  <c r="BS844" i="18"/>
  <c r="BR844" i="18"/>
  <c r="BQ844" i="18"/>
  <c r="BP844" i="18"/>
  <c r="BO844" i="18"/>
  <c r="BN844" i="18"/>
  <c r="BM844" i="18"/>
  <c r="BL844" i="18"/>
  <c r="BK844" i="18"/>
  <c r="BJ844" i="18"/>
  <c r="BI844" i="18"/>
  <c r="BH844" i="18"/>
  <c r="BG844" i="18"/>
  <c r="BF844" i="18"/>
  <c r="BE844" i="18"/>
  <c r="BD844" i="18"/>
  <c r="BC844" i="18"/>
  <c r="BB844" i="18"/>
  <c r="BA844" i="18"/>
  <c r="AZ844" i="18"/>
  <c r="AY844" i="18"/>
  <c r="AX844" i="18"/>
  <c r="AW844" i="18"/>
  <c r="AV844" i="18"/>
  <c r="AU844" i="18"/>
  <c r="AT844" i="18"/>
  <c r="AS844" i="18"/>
  <c r="AR844" i="18"/>
  <c r="AQ844" i="18"/>
  <c r="AP844" i="18"/>
  <c r="AO844" i="18"/>
  <c r="AN844" i="18"/>
  <c r="AM844" i="18"/>
  <c r="AL844" i="18"/>
  <c r="AK844" i="18"/>
  <c r="AJ844" i="18"/>
  <c r="AI844" i="18"/>
  <c r="AH844" i="18"/>
  <c r="AG844" i="18"/>
  <c r="AF844" i="18"/>
  <c r="AE844" i="18"/>
  <c r="AD844" i="18"/>
  <c r="AC844" i="18"/>
  <c r="AB844" i="18"/>
  <c r="AA844" i="18"/>
  <c r="Z844" i="18"/>
  <c r="Y844" i="18"/>
  <c r="X844" i="18"/>
  <c r="W844" i="18"/>
  <c r="V844" i="18"/>
  <c r="U844" i="18"/>
  <c r="T844" i="18"/>
  <c r="S844" i="18"/>
  <c r="R844" i="18"/>
  <c r="Q844" i="18"/>
  <c r="P844" i="18"/>
  <c r="O844" i="18"/>
  <c r="N844" i="18"/>
  <c r="M844" i="18"/>
  <c r="L844" i="18"/>
  <c r="K844" i="18"/>
  <c r="J844" i="18"/>
  <c r="I844" i="18"/>
  <c r="H844" i="18"/>
  <c r="G844" i="18"/>
  <c r="F844" i="18"/>
  <c r="E844" i="18"/>
  <c r="D844" i="18"/>
  <c r="C844" i="18"/>
  <c r="B844" i="18"/>
  <c r="A844" i="18"/>
  <c r="CX843" i="18"/>
  <c r="CW843" i="18"/>
  <c r="CV843" i="18"/>
  <c r="CU843" i="18"/>
  <c r="CT843" i="18"/>
  <c r="CH843" i="18"/>
  <c r="CG843" i="18"/>
  <c r="CF843" i="18"/>
  <c r="CE843" i="18"/>
  <c r="CD843" i="18"/>
  <c r="CC843" i="18"/>
  <c r="CB843" i="18"/>
  <c r="CA843" i="18"/>
  <c r="BZ843" i="18"/>
  <c r="BY843" i="18"/>
  <c r="BX843" i="18"/>
  <c r="BW843" i="18"/>
  <c r="BV843" i="18"/>
  <c r="BU843" i="18"/>
  <c r="BT843" i="18"/>
  <c r="BS843" i="18"/>
  <c r="BR843" i="18"/>
  <c r="BQ843" i="18"/>
  <c r="BP843" i="18"/>
  <c r="BO843" i="18"/>
  <c r="BN843" i="18"/>
  <c r="BM843" i="18"/>
  <c r="BL843" i="18"/>
  <c r="BK843" i="18"/>
  <c r="BJ843" i="18"/>
  <c r="BI843" i="18"/>
  <c r="BH843" i="18"/>
  <c r="BG843" i="18"/>
  <c r="BF843" i="18"/>
  <c r="BE843" i="18"/>
  <c r="BD843" i="18"/>
  <c r="BC843" i="18"/>
  <c r="BB843" i="18"/>
  <c r="BA843" i="18"/>
  <c r="AZ843" i="18"/>
  <c r="AY843" i="18"/>
  <c r="AX843" i="18"/>
  <c r="AW843" i="18"/>
  <c r="AV843" i="18"/>
  <c r="AU843" i="18"/>
  <c r="AT843" i="18"/>
  <c r="AS843" i="18"/>
  <c r="AR843" i="18"/>
  <c r="AQ843" i="18"/>
  <c r="AP843" i="18"/>
  <c r="AO843" i="18"/>
  <c r="AN843" i="18"/>
  <c r="AM843" i="18"/>
  <c r="AL843" i="18"/>
  <c r="AK843" i="18"/>
  <c r="AJ843" i="18"/>
  <c r="AI843" i="18"/>
  <c r="AH843" i="18"/>
  <c r="AG843" i="18"/>
  <c r="AF843" i="18"/>
  <c r="AE843" i="18"/>
  <c r="AD843" i="18"/>
  <c r="AC843" i="18"/>
  <c r="AB843" i="18"/>
  <c r="AA843" i="18"/>
  <c r="Z843" i="18"/>
  <c r="Y843" i="18"/>
  <c r="X843" i="18"/>
  <c r="W843" i="18"/>
  <c r="V843" i="18"/>
  <c r="U843" i="18"/>
  <c r="T843" i="18"/>
  <c r="S843" i="18"/>
  <c r="R843" i="18"/>
  <c r="Q843" i="18"/>
  <c r="P843" i="18"/>
  <c r="O843" i="18"/>
  <c r="N843" i="18"/>
  <c r="M843" i="18"/>
  <c r="L843" i="18"/>
  <c r="K843" i="18"/>
  <c r="J843" i="18"/>
  <c r="I843" i="18"/>
  <c r="H843" i="18"/>
  <c r="G843" i="18"/>
  <c r="F843" i="18"/>
  <c r="E843" i="18"/>
  <c r="D843" i="18"/>
  <c r="C843" i="18"/>
  <c r="B843" i="18"/>
  <c r="A843" i="18"/>
  <c r="CX842" i="18"/>
  <c r="CW842" i="18"/>
  <c r="CV842" i="18"/>
  <c r="CU842" i="18"/>
  <c r="CT842" i="18"/>
  <c r="CH842" i="18"/>
  <c r="CG842" i="18"/>
  <c r="CF842" i="18"/>
  <c r="CE842" i="18"/>
  <c r="CD842" i="18"/>
  <c r="CC842" i="18"/>
  <c r="CB842" i="18"/>
  <c r="CA842" i="18"/>
  <c r="BZ842" i="18"/>
  <c r="BY842" i="18"/>
  <c r="BX842" i="18"/>
  <c r="BW842" i="18"/>
  <c r="BV842" i="18"/>
  <c r="BU842" i="18"/>
  <c r="BT842" i="18"/>
  <c r="BS842" i="18"/>
  <c r="BR842" i="18"/>
  <c r="BQ842" i="18"/>
  <c r="BP842" i="18"/>
  <c r="BO842" i="18"/>
  <c r="BN842" i="18"/>
  <c r="BM842" i="18"/>
  <c r="BL842" i="18"/>
  <c r="BK842" i="18"/>
  <c r="BJ842" i="18"/>
  <c r="BI842" i="18"/>
  <c r="BH842" i="18"/>
  <c r="BG842" i="18"/>
  <c r="BF842" i="18"/>
  <c r="BE842" i="18"/>
  <c r="BD842" i="18"/>
  <c r="BC842" i="18"/>
  <c r="BB842" i="18"/>
  <c r="BA842" i="18"/>
  <c r="AZ842" i="18"/>
  <c r="AY842" i="18"/>
  <c r="AX842" i="18"/>
  <c r="AW842" i="18"/>
  <c r="AV842" i="18"/>
  <c r="AU842" i="18"/>
  <c r="AT842" i="18"/>
  <c r="AS842" i="18"/>
  <c r="AR842" i="18"/>
  <c r="AQ842" i="18"/>
  <c r="AP842" i="18"/>
  <c r="AO842" i="18"/>
  <c r="AN842" i="18"/>
  <c r="AM842" i="18"/>
  <c r="AL842" i="18"/>
  <c r="AK842" i="18"/>
  <c r="AJ842" i="18"/>
  <c r="AI842" i="18"/>
  <c r="AH842" i="18"/>
  <c r="AG842" i="18"/>
  <c r="AF842" i="18"/>
  <c r="AE842" i="18"/>
  <c r="AD842" i="18"/>
  <c r="AC842" i="18"/>
  <c r="AB842" i="18"/>
  <c r="AA842" i="18"/>
  <c r="Z842" i="18"/>
  <c r="Y842" i="18"/>
  <c r="X842" i="18"/>
  <c r="W842" i="18"/>
  <c r="V842" i="18"/>
  <c r="U842" i="18"/>
  <c r="T842" i="18"/>
  <c r="S842" i="18"/>
  <c r="R842" i="18"/>
  <c r="Q842" i="18"/>
  <c r="P842" i="18"/>
  <c r="O842" i="18"/>
  <c r="N842" i="18"/>
  <c r="M842" i="18"/>
  <c r="L842" i="18"/>
  <c r="K842" i="18"/>
  <c r="J842" i="18"/>
  <c r="I842" i="18"/>
  <c r="H842" i="18"/>
  <c r="G842" i="18"/>
  <c r="F842" i="18"/>
  <c r="E842" i="18"/>
  <c r="D842" i="18"/>
  <c r="C842" i="18"/>
  <c r="B842" i="18"/>
  <c r="A842" i="18"/>
  <c r="CX841" i="18"/>
  <c r="CW841" i="18"/>
  <c r="CV841" i="18"/>
  <c r="CU841" i="18"/>
  <c r="CT841" i="18"/>
  <c r="CH841" i="18"/>
  <c r="CG841" i="18"/>
  <c r="CF841" i="18"/>
  <c r="CE841" i="18"/>
  <c r="CD841" i="18"/>
  <c r="CC841" i="18"/>
  <c r="CB841" i="18"/>
  <c r="CA841" i="18"/>
  <c r="BZ841" i="18"/>
  <c r="BY841" i="18"/>
  <c r="BX841" i="18"/>
  <c r="BW841" i="18"/>
  <c r="BV841" i="18"/>
  <c r="BU841" i="18"/>
  <c r="BT841" i="18"/>
  <c r="BS841" i="18"/>
  <c r="BR841" i="18"/>
  <c r="BQ841" i="18"/>
  <c r="BP841" i="18"/>
  <c r="BO841" i="18"/>
  <c r="BN841" i="18"/>
  <c r="BM841" i="18"/>
  <c r="BL841" i="18"/>
  <c r="BK841" i="18"/>
  <c r="BJ841" i="18"/>
  <c r="BI841" i="18"/>
  <c r="BH841" i="18"/>
  <c r="BG841" i="18"/>
  <c r="BF841" i="18"/>
  <c r="BE841" i="18"/>
  <c r="BD841" i="18"/>
  <c r="BC841" i="18"/>
  <c r="BB841" i="18"/>
  <c r="BA841" i="18"/>
  <c r="AZ841" i="18"/>
  <c r="AY841" i="18"/>
  <c r="AX841" i="18"/>
  <c r="AW841" i="18"/>
  <c r="AV841" i="18"/>
  <c r="AU841" i="18"/>
  <c r="AT841" i="18"/>
  <c r="AS841" i="18"/>
  <c r="AR841" i="18"/>
  <c r="AQ841" i="18"/>
  <c r="AP841" i="18"/>
  <c r="AO841" i="18"/>
  <c r="AN841" i="18"/>
  <c r="AM841" i="18"/>
  <c r="AL841" i="18"/>
  <c r="AK841" i="18"/>
  <c r="AJ841" i="18"/>
  <c r="AI841" i="18"/>
  <c r="AH841" i="18"/>
  <c r="AG841" i="18"/>
  <c r="AF841" i="18"/>
  <c r="AE841" i="18"/>
  <c r="AD841" i="18"/>
  <c r="AC841" i="18"/>
  <c r="AB841" i="18"/>
  <c r="AA841" i="18"/>
  <c r="Z841" i="18"/>
  <c r="Y841" i="18"/>
  <c r="X841" i="18"/>
  <c r="W841" i="18"/>
  <c r="V841" i="18"/>
  <c r="U841" i="18"/>
  <c r="T841" i="18"/>
  <c r="S841" i="18"/>
  <c r="R841" i="18"/>
  <c r="Q841" i="18"/>
  <c r="P841" i="18"/>
  <c r="O841" i="18"/>
  <c r="N841" i="18"/>
  <c r="M841" i="18"/>
  <c r="L841" i="18"/>
  <c r="K841" i="18"/>
  <c r="J841" i="18"/>
  <c r="I841" i="18"/>
  <c r="H841" i="18"/>
  <c r="G841" i="18"/>
  <c r="F841" i="18"/>
  <c r="E841" i="18"/>
  <c r="D841" i="18"/>
  <c r="C841" i="18"/>
  <c r="B841" i="18"/>
  <c r="A841" i="18"/>
  <c r="CX840" i="18"/>
  <c r="CW840" i="18"/>
  <c r="CV840" i="18"/>
  <c r="CU840" i="18"/>
  <c r="CT840" i="18"/>
  <c r="CH840" i="18"/>
  <c r="CG840" i="18"/>
  <c r="CF840" i="18"/>
  <c r="CE840" i="18"/>
  <c r="CD840" i="18"/>
  <c r="CC840" i="18"/>
  <c r="CB840" i="18"/>
  <c r="CA840" i="18"/>
  <c r="BZ840" i="18"/>
  <c r="BY840" i="18"/>
  <c r="BX840" i="18"/>
  <c r="BW840" i="18"/>
  <c r="BV840" i="18"/>
  <c r="BU840" i="18"/>
  <c r="BT840" i="18"/>
  <c r="BS840" i="18"/>
  <c r="BR840" i="18"/>
  <c r="BQ840" i="18"/>
  <c r="BP840" i="18"/>
  <c r="BO840" i="18"/>
  <c r="BN840" i="18"/>
  <c r="BM840" i="18"/>
  <c r="BL840" i="18"/>
  <c r="BK840" i="18"/>
  <c r="BJ840" i="18"/>
  <c r="BI840" i="18"/>
  <c r="BH840" i="18"/>
  <c r="BG840" i="18"/>
  <c r="BF840" i="18"/>
  <c r="BE840" i="18"/>
  <c r="BD840" i="18"/>
  <c r="BC840" i="18"/>
  <c r="BB840" i="18"/>
  <c r="BA840" i="18"/>
  <c r="AZ840" i="18"/>
  <c r="AY840" i="18"/>
  <c r="AX840" i="18"/>
  <c r="AW840" i="18"/>
  <c r="AV840" i="18"/>
  <c r="AU840" i="18"/>
  <c r="AT840" i="18"/>
  <c r="AS840" i="18"/>
  <c r="AR840" i="18"/>
  <c r="AQ840" i="18"/>
  <c r="AP840" i="18"/>
  <c r="AO840" i="18"/>
  <c r="AN840" i="18"/>
  <c r="AM840" i="18"/>
  <c r="AL840" i="18"/>
  <c r="AK840" i="18"/>
  <c r="AJ840" i="18"/>
  <c r="AI840" i="18"/>
  <c r="AH840" i="18"/>
  <c r="AG840" i="18"/>
  <c r="AF840" i="18"/>
  <c r="AE840" i="18"/>
  <c r="AD840" i="18"/>
  <c r="AC840" i="18"/>
  <c r="AB840" i="18"/>
  <c r="AA840" i="18"/>
  <c r="Z840" i="18"/>
  <c r="Y840" i="18"/>
  <c r="X840" i="18"/>
  <c r="W840" i="18"/>
  <c r="V840" i="18"/>
  <c r="U840" i="18"/>
  <c r="T840" i="18"/>
  <c r="S840" i="18"/>
  <c r="R840" i="18"/>
  <c r="Q840" i="18"/>
  <c r="P840" i="18"/>
  <c r="O840" i="18"/>
  <c r="N840" i="18"/>
  <c r="M840" i="18"/>
  <c r="L840" i="18"/>
  <c r="K840" i="18"/>
  <c r="J840" i="18"/>
  <c r="I840" i="18"/>
  <c r="H840" i="18"/>
  <c r="G840" i="18"/>
  <c r="F840" i="18"/>
  <c r="E840" i="18"/>
  <c r="D840" i="18"/>
  <c r="C840" i="18"/>
  <c r="B840" i="18"/>
  <c r="A840" i="18"/>
  <c r="CX839" i="18"/>
  <c r="CW839" i="18"/>
  <c r="CV839" i="18"/>
  <c r="CU839" i="18"/>
  <c r="CT839" i="18"/>
  <c r="CS839" i="18"/>
  <c r="CR839" i="18"/>
  <c r="CQ839" i="18"/>
  <c r="CP839" i="18"/>
  <c r="CO839" i="18"/>
  <c r="CN839" i="18"/>
  <c r="CM839" i="18"/>
  <c r="CL839" i="18"/>
  <c r="CK839" i="18"/>
  <c r="CJ839" i="18"/>
  <c r="CI839" i="18"/>
  <c r="CH839" i="18"/>
  <c r="CG839" i="18"/>
  <c r="CF839" i="18"/>
  <c r="CE839" i="18"/>
  <c r="CD839" i="18"/>
  <c r="CC839" i="18"/>
  <c r="CB839" i="18"/>
  <c r="CA839" i="18"/>
  <c r="BZ839" i="18"/>
  <c r="BY839" i="18"/>
  <c r="BX839" i="18"/>
  <c r="BW839" i="18"/>
  <c r="BV839" i="18"/>
  <c r="BU839" i="18"/>
  <c r="BT839" i="18"/>
  <c r="BS839" i="18"/>
  <c r="BR839" i="18"/>
  <c r="BQ839" i="18"/>
  <c r="BP839" i="18"/>
  <c r="BO839" i="18"/>
  <c r="BN839" i="18"/>
  <c r="BM839" i="18"/>
  <c r="BL839" i="18"/>
  <c r="BK839" i="18"/>
  <c r="BJ839" i="18"/>
  <c r="BI839" i="18"/>
  <c r="BH839" i="18"/>
  <c r="BG839" i="18"/>
  <c r="BF839" i="18"/>
  <c r="BE839" i="18"/>
  <c r="BD839" i="18"/>
  <c r="BC839" i="18"/>
  <c r="BB839" i="18"/>
  <c r="BA839" i="18"/>
  <c r="AZ839" i="18"/>
  <c r="AY839" i="18"/>
  <c r="AX839" i="18"/>
  <c r="AW839" i="18"/>
  <c r="AV839" i="18"/>
  <c r="AU839" i="18"/>
  <c r="AT839" i="18"/>
  <c r="AS839" i="18"/>
  <c r="AR839" i="18"/>
  <c r="AQ839" i="18"/>
  <c r="AP839" i="18"/>
  <c r="AO839" i="18"/>
  <c r="AN839" i="18"/>
  <c r="AM839" i="18"/>
  <c r="AL839" i="18"/>
  <c r="AK839" i="18"/>
  <c r="AJ839" i="18"/>
  <c r="AI839" i="18"/>
  <c r="AH839" i="18"/>
  <c r="AG839" i="18"/>
  <c r="AF839" i="18"/>
  <c r="AE839" i="18"/>
  <c r="AD839" i="18"/>
  <c r="AC839" i="18"/>
  <c r="AB839" i="18"/>
  <c r="AA839" i="18"/>
  <c r="Z839" i="18"/>
  <c r="Y839" i="18"/>
  <c r="X839" i="18"/>
  <c r="W839" i="18"/>
  <c r="V839" i="18"/>
  <c r="U839" i="18"/>
  <c r="T839" i="18"/>
  <c r="S839" i="18"/>
  <c r="R839" i="18"/>
  <c r="Q839" i="18"/>
  <c r="P839" i="18"/>
  <c r="O839" i="18"/>
  <c r="N839" i="18"/>
  <c r="M839" i="18"/>
  <c r="L839" i="18"/>
  <c r="K839" i="18"/>
  <c r="J839" i="18"/>
  <c r="I839" i="18"/>
  <c r="H839" i="18"/>
  <c r="G839" i="18"/>
  <c r="F839" i="18"/>
  <c r="E839" i="18"/>
  <c r="D839" i="18"/>
  <c r="C839" i="18"/>
  <c r="B839" i="18"/>
  <c r="A839" i="18"/>
  <c r="CX838" i="18"/>
  <c r="CW838" i="18"/>
  <c r="CV838" i="18"/>
  <c r="CU838" i="18"/>
  <c r="CT838" i="18"/>
  <c r="CH838" i="18"/>
  <c r="CG838" i="18"/>
  <c r="CF838" i="18"/>
  <c r="CE838" i="18"/>
  <c r="CD838" i="18"/>
  <c r="CC838" i="18"/>
  <c r="CB838" i="18"/>
  <c r="CA838" i="18"/>
  <c r="BZ838" i="18"/>
  <c r="BY838" i="18"/>
  <c r="BX838" i="18"/>
  <c r="BW838" i="18"/>
  <c r="BV838" i="18"/>
  <c r="BU838" i="18"/>
  <c r="BT838" i="18"/>
  <c r="BS838" i="18"/>
  <c r="BR838" i="18"/>
  <c r="BQ838" i="18"/>
  <c r="BP838" i="18"/>
  <c r="BO838" i="18"/>
  <c r="BN838" i="18"/>
  <c r="BM838" i="18"/>
  <c r="BL838" i="18"/>
  <c r="BK838" i="18"/>
  <c r="BJ838" i="18"/>
  <c r="BI838" i="18"/>
  <c r="BH838" i="18"/>
  <c r="BG838" i="18"/>
  <c r="BF838" i="18"/>
  <c r="BE838" i="18"/>
  <c r="BD838" i="18"/>
  <c r="BC838" i="18"/>
  <c r="BB838" i="18"/>
  <c r="BA838" i="18"/>
  <c r="AZ838" i="18"/>
  <c r="AY838" i="18"/>
  <c r="AX838" i="18"/>
  <c r="AW838" i="18"/>
  <c r="AV838" i="18"/>
  <c r="AU838" i="18"/>
  <c r="AT838" i="18"/>
  <c r="AS838" i="18"/>
  <c r="AR838" i="18"/>
  <c r="AQ838" i="18"/>
  <c r="AP838" i="18"/>
  <c r="AO838" i="18"/>
  <c r="AN838" i="18"/>
  <c r="AM838" i="18"/>
  <c r="AL838" i="18"/>
  <c r="AK838" i="18"/>
  <c r="AJ838" i="18"/>
  <c r="AI838" i="18"/>
  <c r="AH838" i="18"/>
  <c r="AG838" i="18"/>
  <c r="AF838" i="18"/>
  <c r="AE838" i="18"/>
  <c r="AD838" i="18"/>
  <c r="AC838" i="18"/>
  <c r="AB838" i="18"/>
  <c r="AA838" i="18"/>
  <c r="Z838" i="18"/>
  <c r="Y838" i="18"/>
  <c r="X838" i="18"/>
  <c r="W838" i="18"/>
  <c r="V838" i="18"/>
  <c r="U838" i="18"/>
  <c r="T838" i="18"/>
  <c r="S838" i="18"/>
  <c r="R838" i="18"/>
  <c r="Q838" i="18"/>
  <c r="P838" i="18"/>
  <c r="O838" i="18"/>
  <c r="N838" i="18"/>
  <c r="M838" i="18"/>
  <c r="L838" i="18"/>
  <c r="K838" i="18"/>
  <c r="J838" i="18"/>
  <c r="I838" i="18"/>
  <c r="H838" i="18"/>
  <c r="G838" i="18"/>
  <c r="F838" i="18"/>
  <c r="E838" i="18"/>
  <c r="D838" i="18"/>
  <c r="C838" i="18"/>
  <c r="B838" i="18"/>
  <c r="A838" i="18"/>
  <c r="CX837" i="18"/>
  <c r="CW837" i="18"/>
  <c r="CV837" i="18"/>
  <c r="CU837" i="18"/>
  <c r="CT837" i="18"/>
  <c r="CS837" i="18"/>
  <c r="CR837" i="18"/>
  <c r="CQ837" i="18"/>
  <c r="CP837" i="18"/>
  <c r="CO837" i="18"/>
  <c r="CN837" i="18"/>
  <c r="CM837" i="18"/>
  <c r="CL837" i="18"/>
  <c r="CK837" i="18"/>
  <c r="CJ837" i="18"/>
  <c r="CI837" i="18"/>
  <c r="CH837" i="18"/>
  <c r="CG837" i="18"/>
  <c r="CF837" i="18"/>
  <c r="CE837" i="18"/>
  <c r="CD837" i="18"/>
  <c r="CC837" i="18"/>
  <c r="CB837" i="18"/>
  <c r="CA837" i="18"/>
  <c r="BZ837" i="18"/>
  <c r="BY837" i="18"/>
  <c r="BX837" i="18"/>
  <c r="BW837" i="18"/>
  <c r="BV837" i="18"/>
  <c r="BU837" i="18"/>
  <c r="BT837" i="18"/>
  <c r="BS837" i="18"/>
  <c r="BR837" i="18"/>
  <c r="BQ837" i="18"/>
  <c r="BP837" i="18"/>
  <c r="BO837" i="18"/>
  <c r="BN837" i="18"/>
  <c r="BM837" i="18"/>
  <c r="BL837" i="18"/>
  <c r="BK837" i="18"/>
  <c r="BJ837" i="18"/>
  <c r="BI837" i="18"/>
  <c r="BH837" i="18"/>
  <c r="BG837" i="18"/>
  <c r="BF837" i="18"/>
  <c r="BE837" i="18"/>
  <c r="BD837" i="18"/>
  <c r="BC837" i="18"/>
  <c r="BB837" i="18"/>
  <c r="BA837" i="18"/>
  <c r="AZ837" i="18"/>
  <c r="AY837" i="18"/>
  <c r="AX837" i="18"/>
  <c r="AW837" i="18"/>
  <c r="AV837" i="18"/>
  <c r="AU837" i="18"/>
  <c r="AT837" i="18"/>
  <c r="AS837" i="18"/>
  <c r="AR837" i="18"/>
  <c r="AQ837" i="18"/>
  <c r="AP837" i="18"/>
  <c r="AO837" i="18"/>
  <c r="AN837" i="18"/>
  <c r="AM837" i="18"/>
  <c r="AL837" i="18"/>
  <c r="AK837" i="18"/>
  <c r="AJ837" i="18"/>
  <c r="AI837" i="18"/>
  <c r="AH837" i="18"/>
  <c r="AG837" i="18"/>
  <c r="AF837" i="18"/>
  <c r="AE837" i="18"/>
  <c r="AD837" i="18"/>
  <c r="AC837" i="18"/>
  <c r="AB837" i="18"/>
  <c r="AA837" i="18"/>
  <c r="Z837" i="18"/>
  <c r="Y837" i="18"/>
  <c r="X837" i="18"/>
  <c r="W837" i="18"/>
  <c r="V837" i="18"/>
  <c r="U837" i="18"/>
  <c r="T837" i="18"/>
  <c r="S837" i="18"/>
  <c r="R837" i="18"/>
  <c r="Q837" i="18"/>
  <c r="P837" i="18"/>
  <c r="O837" i="18"/>
  <c r="N837" i="18"/>
  <c r="M837" i="18"/>
  <c r="L837" i="18"/>
  <c r="K837" i="18"/>
  <c r="J837" i="18"/>
  <c r="I837" i="18"/>
  <c r="H837" i="18"/>
  <c r="G837" i="18"/>
  <c r="F837" i="18"/>
  <c r="E837" i="18"/>
  <c r="D837" i="18"/>
  <c r="C837" i="18"/>
  <c r="B837" i="18"/>
  <c r="A837" i="18"/>
  <c r="CX822" i="18"/>
  <c r="CW822" i="18"/>
  <c r="CV822" i="18"/>
  <c r="CU822" i="18"/>
  <c r="CT822" i="18"/>
  <c r="CS822" i="18"/>
  <c r="CR822" i="18"/>
  <c r="CQ822" i="18"/>
  <c r="CP822" i="18"/>
  <c r="CO822" i="18"/>
  <c r="CN822" i="18"/>
  <c r="CM822" i="18"/>
  <c r="CL822" i="18"/>
  <c r="CK822" i="18"/>
  <c r="CJ822" i="18"/>
  <c r="CI822" i="18"/>
  <c r="CH822" i="18"/>
  <c r="CG822" i="18"/>
  <c r="CF822" i="18"/>
  <c r="CE822" i="18"/>
  <c r="CD822" i="18"/>
  <c r="CC822" i="18"/>
  <c r="CB822" i="18"/>
  <c r="CA822" i="18"/>
  <c r="BZ822" i="18"/>
  <c r="BY822" i="18"/>
  <c r="BX822" i="18"/>
  <c r="BW822" i="18"/>
  <c r="BV822" i="18"/>
  <c r="BU822" i="18"/>
  <c r="BT822" i="18"/>
  <c r="BS822" i="18"/>
  <c r="BR822" i="18"/>
  <c r="BQ822" i="18"/>
  <c r="BP822" i="18"/>
  <c r="BO822" i="18"/>
  <c r="BN822" i="18"/>
  <c r="BM822" i="18"/>
  <c r="BL822" i="18"/>
  <c r="BK822" i="18"/>
  <c r="BJ822" i="18"/>
  <c r="BI822" i="18"/>
  <c r="BH822" i="18"/>
  <c r="BG822" i="18"/>
  <c r="BF822" i="18"/>
  <c r="BE822" i="18"/>
  <c r="BD822" i="18"/>
  <c r="BC822" i="18"/>
  <c r="BB822" i="18"/>
  <c r="BA822" i="18"/>
  <c r="AZ822" i="18"/>
  <c r="AY822" i="18"/>
  <c r="AX822" i="18"/>
  <c r="AW822" i="18"/>
  <c r="AV822" i="18"/>
  <c r="AU822" i="18"/>
  <c r="AT822" i="18"/>
  <c r="AS822" i="18"/>
  <c r="AR822" i="18"/>
  <c r="AQ822" i="18"/>
  <c r="AP822" i="18"/>
  <c r="AO822" i="18"/>
  <c r="AN822" i="18"/>
  <c r="AM822" i="18"/>
  <c r="AL822" i="18"/>
  <c r="AK822" i="18"/>
  <c r="AJ822" i="18"/>
  <c r="AI822" i="18"/>
  <c r="AH822" i="18"/>
  <c r="AG822" i="18"/>
  <c r="AF822" i="18"/>
  <c r="AE822" i="18"/>
  <c r="AD822" i="18"/>
  <c r="AC822" i="18"/>
  <c r="AB822" i="18"/>
  <c r="AA822" i="18"/>
  <c r="Z822" i="18"/>
  <c r="Y822" i="18"/>
  <c r="X822" i="18"/>
  <c r="W822" i="18"/>
  <c r="V822" i="18"/>
  <c r="U822" i="18"/>
  <c r="T822" i="18"/>
  <c r="S822" i="18"/>
  <c r="R822" i="18"/>
  <c r="Q822" i="18"/>
  <c r="P822" i="18"/>
  <c r="O822" i="18"/>
  <c r="N822" i="18"/>
  <c r="M822" i="18"/>
  <c r="L822" i="18"/>
  <c r="K822" i="18"/>
  <c r="J822" i="18"/>
  <c r="I822" i="18"/>
  <c r="H822" i="18"/>
  <c r="G822" i="18"/>
  <c r="F822" i="18"/>
  <c r="E822" i="18"/>
  <c r="D822" i="18"/>
  <c r="C822" i="18"/>
  <c r="B822" i="18"/>
  <c r="A822" i="18"/>
  <c r="CX821" i="18"/>
  <c r="CW821" i="18"/>
  <c r="CV821" i="18"/>
  <c r="CU821" i="18"/>
  <c r="CT821" i="18"/>
  <c r="CI821" i="18"/>
  <c r="CH821" i="18"/>
  <c r="CG821" i="18"/>
  <c r="CF821" i="18"/>
  <c r="CE821" i="18"/>
  <c r="CD821" i="18"/>
  <c r="CC821" i="18"/>
  <c r="CB821" i="18"/>
  <c r="CA821" i="18"/>
  <c r="BZ821" i="18"/>
  <c r="BY821" i="18"/>
  <c r="BX821" i="18"/>
  <c r="BW821" i="18"/>
  <c r="BV821" i="18"/>
  <c r="BU821" i="18"/>
  <c r="BT821" i="18"/>
  <c r="BS821" i="18"/>
  <c r="BR821" i="18"/>
  <c r="BQ821" i="18"/>
  <c r="BP821" i="18"/>
  <c r="BO821" i="18"/>
  <c r="BN821" i="18"/>
  <c r="BM821" i="18"/>
  <c r="BL821" i="18"/>
  <c r="BK821" i="18"/>
  <c r="BJ821" i="18"/>
  <c r="BI821" i="18"/>
  <c r="BH821" i="18"/>
  <c r="BG821" i="18"/>
  <c r="BF821" i="18"/>
  <c r="BE821" i="18"/>
  <c r="BD821" i="18"/>
  <c r="BC821" i="18"/>
  <c r="BB821" i="18"/>
  <c r="BA821" i="18"/>
  <c r="AZ821" i="18"/>
  <c r="AY821" i="18"/>
  <c r="AX821" i="18"/>
  <c r="AW821" i="18"/>
  <c r="AV821" i="18"/>
  <c r="AU821" i="18"/>
  <c r="AT821" i="18"/>
  <c r="AS821" i="18"/>
  <c r="AR821" i="18"/>
  <c r="AQ821" i="18"/>
  <c r="AP821" i="18"/>
  <c r="AO821" i="18"/>
  <c r="AN821" i="18"/>
  <c r="AM821" i="18"/>
  <c r="AL821" i="18"/>
  <c r="AK821" i="18"/>
  <c r="AJ821" i="18"/>
  <c r="AI821" i="18"/>
  <c r="AH821" i="18"/>
  <c r="AG821" i="18"/>
  <c r="AF821" i="18"/>
  <c r="AE821" i="18"/>
  <c r="AD821" i="18"/>
  <c r="AC821" i="18"/>
  <c r="AB821" i="18"/>
  <c r="AA821" i="18"/>
  <c r="Z821" i="18"/>
  <c r="Y821" i="18"/>
  <c r="X821" i="18"/>
  <c r="W821" i="18"/>
  <c r="V821" i="18"/>
  <c r="U821" i="18"/>
  <c r="T821" i="18"/>
  <c r="S821" i="18"/>
  <c r="R821" i="18"/>
  <c r="Q821" i="18"/>
  <c r="P821" i="18"/>
  <c r="O821" i="18"/>
  <c r="N821" i="18"/>
  <c r="M821" i="18"/>
  <c r="L821" i="18"/>
  <c r="K821" i="18"/>
  <c r="J821" i="18"/>
  <c r="I821" i="18"/>
  <c r="H821" i="18"/>
  <c r="G821" i="18"/>
  <c r="F821" i="18"/>
  <c r="E821" i="18"/>
  <c r="D821" i="18"/>
  <c r="C821" i="18"/>
  <c r="B821" i="18"/>
  <c r="A821" i="18"/>
  <c r="CX820" i="18"/>
  <c r="CW820" i="18"/>
  <c r="CV820" i="18"/>
  <c r="CU820" i="18"/>
  <c r="CT820" i="18"/>
  <c r="CS820" i="18"/>
  <c r="CR820" i="18"/>
  <c r="CQ820" i="18"/>
  <c r="CP820" i="18"/>
  <c r="CO820" i="18"/>
  <c r="CN820" i="18"/>
  <c r="CM820" i="18"/>
  <c r="CL820" i="18"/>
  <c r="CK820" i="18"/>
  <c r="CI820" i="18"/>
  <c r="CH820" i="18"/>
  <c r="CG820" i="18"/>
  <c r="CF820" i="18"/>
  <c r="CE820" i="18"/>
  <c r="CD820" i="18"/>
  <c r="CC820" i="18"/>
  <c r="CB820" i="18"/>
  <c r="CA820" i="18"/>
  <c r="BZ820" i="18"/>
  <c r="BY820" i="18"/>
  <c r="BX820" i="18"/>
  <c r="BW820" i="18"/>
  <c r="BV820" i="18"/>
  <c r="BU820" i="18"/>
  <c r="BT820" i="18"/>
  <c r="BS820" i="18"/>
  <c r="BR820" i="18"/>
  <c r="BQ820" i="18"/>
  <c r="BP820" i="18"/>
  <c r="BO820" i="18"/>
  <c r="BN820" i="18"/>
  <c r="BM820" i="18"/>
  <c r="BL820" i="18"/>
  <c r="BK820" i="18"/>
  <c r="BJ820" i="18"/>
  <c r="BI820" i="18"/>
  <c r="BH820" i="18"/>
  <c r="BG820" i="18"/>
  <c r="BF820" i="18"/>
  <c r="BE820" i="18"/>
  <c r="AV820" i="18"/>
  <c r="AU820" i="18"/>
  <c r="AT820" i="18"/>
  <c r="AS820" i="18"/>
  <c r="AR820" i="18"/>
  <c r="AQ820" i="18"/>
  <c r="AP820" i="18"/>
  <c r="AO820" i="18"/>
  <c r="AN820" i="18"/>
  <c r="AM820" i="18"/>
  <c r="AL820" i="18"/>
  <c r="AK820" i="18"/>
  <c r="AJ820" i="18"/>
  <c r="AI820" i="18"/>
  <c r="AH820" i="18"/>
  <c r="AG820" i="18"/>
  <c r="AF820" i="18"/>
  <c r="AE820" i="18"/>
  <c r="AD820" i="18"/>
  <c r="AC820" i="18"/>
  <c r="AB820" i="18"/>
  <c r="AA820" i="18"/>
  <c r="Z820" i="18"/>
  <c r="Y820" i="18"/>
  <c r="X820" i="18"/>
  <c r="W820" i="18"/>
  <c r="V820" i="18"/>
  <c r="U820" i="18"/>
  <c r="T820" i="18"/>
  <c r="S820" i="18"/>
  <c r="R820" i="18"/>
  <c r="Q820" i="18"/>
  <c r="P820" i="18"/>
  <c r="O820" i="18"/>
  <c r="N820" i="18"/>
  <c r="M820" i="18"/>
  <c r="L820" i="18"/>
  <c r="K820" i="18"/>
  <c r="J820" i="18"/>
  <c r="I820" i="18"/>
  <c r="H820" i="18"/>
  <c r="G820" i="18"/>
  <c r="F820" i="18"/>
  <c r="E820" i="18"/>
  <c r="D820" i="18"/>
  <c r="C820" i="18"/>
  <c r="B820" i="18"/>
  <c r="A820" i="18"/>
  <c r="CX819" i="18"/>
  <c r="CW819" i="18"/>
  <c r="CV819" i="18"/>
  <c r="CU819" i="18"/>
  <c r="CT819" i="18"/>
  <c r="CI819" i="18"/>
  <c r="CH819" i="18"/>
  <c r="CG819" i="18"/>
  <c r="CF819" i="18"/>
  <c r="CE819" i="18"/>
  <c r="CD819" i="18"/>
  <c r="CC819" i="18"/>
  <c r="CB819" i="18"/>
  <c r="CA819" i="18"/>
  <c r="BZ819" i="18"/>
  <c r="BY819" i="18"/>
  <c r="BX819" i="18"/>
  <c r="BW819" i="18"/>
  <c r="BV819" i="18"/>
  <c r="BU819" i="18"/>
  <c r="BT819" i="18"/>
  <c r="BS819" i="18"/>
  <c r="BR819" i="18"/>
  <c r="BQ819" i="18"/>
  <c r="BP819" i="18"/>
  <c r="BO819" i="18"/>
  <c r="BN819" i="18"/>
  <c r="BM819" i="18"/>
  <c r="BL819" i="18"/>
  <c r="BK819" i="18"/>
  <c r="BJ819" i="18"/>
  <c r="BI819" i="18"/>
  <c r="BH819" i="18"/>
  <c r="BG819" i="18"/>
  <c r="BF819" i="18"/>
  <c r="BE819" i="18"/>
  <c r="BA819" i="18"/>
  <c r="AZ819" i="18"/>
  <c r="AY819" i="18"/>
  <c r="AX819" i="18"/>
  <c r="AW819" i="18"/>
  <c r="AV819" i="18"/>
  <c r="AU819" i="18"/>
  <c r="AT819" i="18"/>
  <c r="AS819" i="18"/>
  <c r="AR819" i="18"/>
  <c r="AQ819" i="18"/>
  <c r="AP819" i="18"/>
  <c r="AO819" i="18"/>
  <c r="AN819" i="18"/>
  <c r="AM819" i="18"/>
  <c r="AL819" i="18"/>
  <c r="AK819" i="18"/>
  <c r="AJ819" i="18"/>
  <c r="AI819" i="18"/>
  <c r="AH819" i="18"/>
  <c r="AG819" i="18"/>
  <c r="AF819" i="18"/>
  <c r="AE819" i="18"/>
  <c r="AD819" i="18"/>
  <c r="AC819" i="18"/>
  <c r="AB819" i="18"/>
  <c r="AA819" i="18"/>
  <c r="Z819" i="18"/>
  <c r="Y819" i="18"/>
  <c r="X819" i="18"/>
  <c r="W819" i="18"/>
  <c r="V819" i="18"/>
  <c r="U819" i="18"/>
  <c r="T819" i="18"/>
  <c r="S819" i="18"/>
  <c r="R819" i="18"/>
  <c r="Q819" i="18"/>
  <c r="P819" i="18"/>
  <c r="O819" i="18"/>
  <c r="N819" i="18"/>
  <c r="M819" i="18"/>
  <c r="L819" i="18"/>
  <c r="K819" i="18"/>
  <c r="J819" i="18"/>
  <c r="I819" i="18"/>
  <c r="H819" i="18"/>
  <c r="G819" i="18"/>
  <c r="F819" i="18"/>
  <c r="E819" i="18"/>
  <c r="D819" i="18"/>
  <c r="C819" i="18"/>
  <c r="B819" i="18"/>
  <c r="A819" i="18"/>
  <c r="CX818" i="18"/>
  <c r="CW818" i="18"/>
  <c r="CV818" i="18"/>
  <c r="CU818" i="18"/>
  <c r="CT818" i="18"/>
  <c r="CI818" i="18"/>
  <c r="CH818" i="18"/>
  <c r="CG818" i="18"/>
  <c r="CF818" i="18"/>
  <c r="CE818" i="18"/>
  <c r="CD818" i="18"/>
  <c r="CC818" i="18"/>
  <c r="CB818" i="18"/>
  <c r="CA818" i="18"/>
  <c r="BZ818" i="18"/>
  <c r="BY818" i="18"/>
  <c r="BX818" i="18"/>
  <c r="BW818" i="18"/>
  <c r="BV818" i="18"/>
  <c r="BU818" i="18"/>
  <c r="BT818" i="18"/>
  <c r="BS818" i="18"/>
  <c r="BR818" i="18"/>
  <c r="BQ818" i="18"/>
  <c r="BP818" i="18"/>
  <c r="BO818" i="18"/>
  <c r="BN818" i="18"/>
  <c r="BM818" i="18"/>
  <c r="BL818" i="18"/>
  <c r="BK818" i="18"/>
  <c r="BJ818" i="18"/>
  <c r="BI818" i="18"/>
  <c r="BH818" i="18"/>
  <c r="BG818" i="18"/>
  <c r="BF818" i="18"/>
  <c r="BE818" i="18"/>
  <c r="BC818" i="18"/>
  <c r="BB818" i="18"/>
  <c r="BA818" i="18"/>
  <c r="AV818" i="18"/>
  <c r="AU818" i="18"/>
  <c r="AT818" i="18"/>
  <c r="AS818" i="18"/>
  <c r="AR818" i="18"/>
  <c r="AQ818" i="18"/>
  <c r="AP818" i="18"/>
  <c r="AO818" i="18"/>
  <c r="AN818" i="18"/>
  <c r="AM818" i="18"/>
  <c r="AL818" i="18"/>
  <c r="AK818" i="18"/>
  <c r="AJ818" i="18"/>
  <c r="AI818" i="18"/>
  <c r="AH818" i="18"/>
  <c r="AG818" i="18"/>
  <c r="AF818" i="18"/>
  <c r="AE818" i="18"/>
  <c r="AD818" i="18"/>
  <c r="AC818" i="18"/>
  <c r="AB818" i="18"/>
  <c r="AA818" i="18"/>
  <c r="Z818" i="18"/>
  <c r="Y818" i="18"/>
  <c r="X818" i="18"/>
  <c r="W818" i="18"/>
  <c r="V818" i="18"/>
  <c r="U818" i="18"/>
  <c r="T818" i="18"/>
  <c r="S818" i="18"/>
  <c r="R818" i="18"/>
  <c r="Q818" i="18"/>
  <c r="P818" i="18"/>
  <c r="O818" i="18"/>
  <c r="N818" i="18"/>
  <c r="M818" i="18"/>
  <c r="L818" i="18"/>
  <c r="K818" i="18"/>
  <c r="J818" i="18"/>
  <c r="I818" i="18"/>
  <c r="H818" i="18"/>
  <c r="G818" i="18"/>
  <c r="F818" i="18"/>
  <c r="E818" i="18"/>
  <c r="D818" i="18"/>
  <c r="C818" i="18"/>
  <c r="B818" i="18"/>
  <c r="A818" i="18"/>
  <c r="CX817" i="18"/>
  <c r="CW817" i="18"/>
  <c r="CV817" i="18"/>
  <c r="CU817" i="18"/>
  <c r="CT817" i="18"/>
  <c r="CI817" i="18"/>
  <c r="CH817" i="18"/>
  <c r="CG817" i="18"/>
  <c r="CF817" i="18"/>
  <c r="CE817" i="18"/>
  <c r="CD817" i="18"/>
  <c r="CC817" i="18"/>
  <c r="CB817" i="18"/>
  <c r="CA817" i="18"/>
  <c r="BZ817" i="18"/>
  <c r="BY817" i="18"/>
  <c r="BX817" i="18"/>
  <c r="BW817" i="18"/>
  <c r="BV817" i="18"/>
  <c r="BU817" i="18"/>
  <c r="BT817" i="18"/>
  <c r="BS817" i="18"/>
  <c r="BR817" i="18"/>
  <c r="BQ817" i="18"/>
  <c r="BP817" i="18"/>
  <c r="BO817" i="18"/>
  <c r="BN817" i="18"/>
  <c r="BM817" i="18"/>
  <c r="BL817" i="18"/>
  <c r="BK817" i="18"/>
  <c r="BJ817" i="18"/>
  <c r="BI817" i="18"/>
  <c r="BH817" i="18"/>
  <c r="BG817" i="18"/>
  <c r="BF817" i="18"/>
  <c r="BE817" i="18"/>
  <c r="BC817" i="18"/>
  <c r="BB817" i="18"/>
  <c r="BA817" i="18"/>
  <c r="AV817" i="18"/>
  <c r="AU817" i="18"/>
  <c r="AT817" i="18"/>
  <c r="AS817" i="18"/>
  <c r="AR817" i="18"/>
  <c r="AQ817" i="18"/>
  <c r="AP817" i="18"/>
  <c r="AO817" i="18"/>
  <c r="AN817" i="18"/>
  <c r="AM817" i="18"/>
  <c r="AL817" i="18"/>
  <c r="AK817" i="18"/>
  <c r="AJ817" i="18"/>
  <c r="AI817" i="18"/>
  <c r="AH817" i="18"/>
  <c r="AG817" i="18"/>
  <c r="AF817" i="18"/>
  <c r="AE817" i="18"/>
  <c r="AD817" i="18"/>
  <c r="AC817" i="18"/>
  <c r="AB817" i="18"/>
  <c r="AA817" i="18"/>
  <c r="Z817" i="18"/>
  <c r="Y817" i="18"/>
  <c r="X817" i="18"/>
  <c r="W817" i="18"/>
  <c r="V817" i="18"/>
  <c r="U817" i="18"/>
  <c r="T817" i="18"/>
  <c r="S817" i="18"/>
  <c r="R817" i="18"/>
  <c r="Q817" i="18"/>
  <c r="P817" i="18"/>
  <c r="O817" i="18"/>
  <c r="N817" i="18"/>
  <c r="M817" i="18"/>
  <c r="L817" i="18"/>
  <c r="K817" i="18"/>
  <c r="J817" i="18"/>
  <c r="I817" i="18"/>
  <c r="H817" i="18"/>
  <c r="G817" i="18"/>
  <c r="F817" i="18"/>
  <c r="E817" i="18"/>
  <c r="D817" i="18"/>
  <c r="C817" i="18"/>
  <c r="B817" i="18"/>
  <c r="A817" i="18"/>
  <c r="CX816" i="18"/>
  <c r="CW816" i="18"/>
  <c r="CV816" i="18"/>
  <c r="CU816" i="18"/>
  <c r="CT816" i="18"/>
  <c r="CS816" i="18"/>
  <c r="CR816" i="18"/>
  <c r="CQ816" i="18"/>
  <c r="CP816" i="18"/>
  <c r="CO816" i="18"/>
  <c r="CN816" i="18"/>
  <c r="CM816" i="18"/>
  <c r="CL816" i="18"/>
  <c r="CK816" i="18"/>
  <c r="CJ816" i="18"/>
  <c r="CI816" i="18"/>
  <c r="CH816" i="18"/>
  <c r="CG816" i="18"/>
  <c r="CF816" i="18"/>
  <c r="CE816" i="18"/>
  <c r="CD816" i="18"/>
  <c r="CC816" i="18"/>
  <c r="CB816" i="18"/>
  <c r="CA816" i="18"/>
  <c r="BZ816" i="18"/>
  <c r="BY816" i="18"/>
  <c r="BX816" i="18"/>
  <c r="BW816" i="18"/>
  <c r="BV816" i="18"/>
  <c r="BU816" i="18"/>
  <c r="BT816" i="18"/>
  <c r="BS816" i="18"/>
  <c r="BR816" i="18"/>
  <c r="BQ816" i="18"/>
  <c r="BP816" i="18"/>
  <c r="BO816" i="18"/>
  <c r="BN816" i="18"/>
  <c r="BM816" i="18"/>
  <c r="BL816" i="18"/>
  <c r="BK816" i="18"/>
  <c r="BJ816" i="18"/>
  <c r="BI816" i="18"/>
  <c r="BH816" i="18"/>
  <c r="BG816" i="18"/>
  <c r="BF816" i="18"/>
  <c r="BE816" i="18"/>
  <c r="BD816" i="18"/>
  <c r="BC816" i="18"/>
  <c r="BB816" i="18"/>
  <c r="BA816" i="18"/>
  <c r="AZ816" i="18"/>
  <c r="AY816" i="18"/>
  <c r="AX816" i="18"/>
  <c r="AW816" i="18"/>
  <c r="AV816" i="18"/>
  <c r="AU816" i="18"/>
  <c r="AT816" i="18"/>
  <c r="AS816" i="18"/>
  <c r="AR816" i="18"/>
  <c r="AQ816" i="18"/>
  <c r="AP816" i="18"/>
  <c r="AO816" i="18"/>
  <c r="AN816" i="18"/>
  <c r="AM816" i="18"/>
  <c r="AL816" i="18"/>
  <c r="AK816" i="18"/>
  <c r="AJ816" i="18"/>
  <c r="AI816" i="18"/>
  <c r="AH816" i="18"/>
  <c r="AG816" i="18"/>
  <c r="AF816" i="18"/>
  <c r="AE816" i="18"/>
  <c r="AD816" i="18"/>
  <c r="AC816" i="18"/>
  <c r="AB816" i="18"/>
  <c r="AA816" i="18"/>
  <c r="Z816" i="18"/>
  <c r="Y816" i="18"/>
  <c r="X816" i="18"/>
  <c r="W816" i="18"/>
  <c r="V816" i="18"/>
  <c r="U816" i="18"/>
  <c r="T816" i="18"/>
  <c r="S816" i="18"/>
  <c r="R816" i="18"/>
  <c r="Q816" i="18"/>
  <c r="P816" i="18"/>
  <c r="O816" i="18"/>
  <c r="N816" i="18"/>
  <c r="M816" i="18"/>
  <c r="L816" i="18"/>
  <c r="K816" i="18"/>
  <c r="J816" i="18"/>
  <c r="I816" i="18"/>
  <c r="H816" i="18"/>
  <c r="G816" i="18"/>
  <c r="F816" i="18"/>
  <c r="E816" i="18"/>
  <c r="D816" i="18"/>
  <c r="C816" i="18"/>
  <c r="B816" i="18"/>
  <c r="A816" i="18"/>
  <c r="CX815" i="18"/>
  <c r="CW815" i="18"/>
  <c r="CV815" i="18"/>
  <c r="CU815" i="18"/>
  <c r="CT815" i="18"/>
  <c r="CS815" i="18"/>
  <c r="CR815" i="18"/>
  <c r="CQ815" i="18"/>
  <c r="CP815" i="18"/>
  <c r="CO815" i="18"/>
  <c r="CN815" i="18"/>
  <c r="CM815" i="18"/>
  <c r="CL815" i="18"/>
  <c r="CK815" i="18"/>
  <c r="CI815" i="18"/>
  <c r="CH815" i="18"/>
  <c r="CG815" i="18"/>
  <c r="CF815" i="18"/>
  <c r="CE815" i="18"/>
  <c r="CD815" i="18"/>
  <c r="CC815" i="18"/>
  <c r="CB815" i="18"/>
  <c r="CA815" i="18"/>
  <c r="BZ815" i="18"/>
  <c r="BY815" i="18"/>
  <c r="BX815" i="18"/>
  <c r="BW815" i="18"/>
  <c r="BV815" i="18"/>
  <c r="BU815" i="18"/>
  <c r="BT815" i="18"/>
  <c r="BS815" i="18"/>
  <c r="BR815" i="18"/>
  <c r="BQ815" i="18"/>
  <c r="BP815" i="18"/>
  <c r="BO815" i="18"/>
  <c r="BN815" i="18"/>
  <c r="BM815" i="18"/>
  <c r="BL815" i="18"/>
  <c r="BK815" i="18"/>
  <c r="BJ815" i="18"/>
  <c r="BI815" i="18"/>
  <c r="BH815" i="18"/>
  <c r="BG815" i="18"/>
  <c r="BF815" i="18"/>
  <c r="BE815" i="18"/>
  <c r="BC815" i="18"/>
  <c r="BB815" i="18"/>
  <c r="BA815" i="18"/>
  <c r="AY815" i="18"/>
  <c r="AX815" i="18"/>
  <c r="AW815" i="18"/>
  <c r="AV815" i="18"/>
  <c r="AU815" i="18"/>
  <c r="AT815" i="18"/>
  <c r="AS815" i="18"/>
  <c r="AR815" i="18"/>
  <c r="AQ815" i="18"/>
  <c r="AP815" i="18"/>
  <c r="AO815" i="18"/>
  <c r="AN815" i="18"/>
  <c r="AM815" i="18"/>
  <c r="AL815" i="18"/>
  <c r="AK815" i="18"/>
  <c r="AJ815" i="18"/>
  <c r="AI815" i="18"/>
  <c r="AH815" i="18"/>
  <c r="AG815" i="18"/>
  <c r="AF815" i="18"/>
  <c r="AE815" i="18"/>
  <c r="AD815" i="18"/>
  <c r="AC815" i="18"/>
  <c r="AB815" i="18"/>
  <c r="AA815" i="18"/>
  <c r="Z815" i="18"/>
  <c r="Y815" i="18"/>
  <c r="X815" i="18"/>
  <c r="W815" i="18"/>
  <c r="V815" i="18"/>
  <c r="U815" i="18"/>
  <c r="T815" i="18"/>
  <c r="S815" i="18"/>
  <c r="R815" i="18"/>
  <c r="Q815" i="18"/>
  <c r="P815" i="18"/>
  <c r="O815" i="18"/>
  <c r="N815" i="18"/>
  <c r="M815" i="18"/>
  <c r="L815" i="18"/>
  <c r="K815" i="18"/>
  <c r="J815" i="18"/>
  <c r="I815" i="18"/>
  <c r="H815" i="18"/>
  <c r="G815" i="18"/>
  <c r="F815" i="18"/>
  <c r="E815" i="18"/>
  <c r="D815" i="18"/>
  <c r="C815" i="18"/>
  <c r="B815" i="18"/>
  <c r="A815" i="18"/>
  <c r="CX814" i="18"/>
  <c r="CW814" i="18"/>
  <c r="CV814" i="18"/>
  <c r="CU814" i="18"/>
  <c r="CT814" i="18"/>
  <c r="CS814" i="18"/>
  <c r="CR814" i="18"/>
  <c r="CQ814" i="18"/>
  <c r="CP814" i="18"/>
  <c r="CO814" i="18"/>
  <c r="CN814" i="18"/>
  <c r="CM814" i="18"/>
  <c r="CL814" i="18"/>
  <c r="CK814" i="18"/>
  <c r="CJ814" i="18"/>
  <c r="CI814" i="18"/>
  <c r="CH814" i="18"/>
  <c r="CG814" i="18"/>
  <c r="CF814" i="18"/>
  <c r="CE814" i="18"/>
  <c r="CD814" i="18"/>
  <c r="CC814" i="18"/>
  <c r="CB814" i="18"/>
  <c r="CA814" i="18"/>
  <c r="BZ814" i="18"/>
  <c r="BY814" i="18"/>
  <c r="BX814" i="18"/>
  <c r="BW814" i="18"/>
  <c r="BV814" i="18"/>
  <c r="BU814" i="18"/>
  <c r="BT814" i="18"/>
  <c r="BS814" i="18"/>
  <c r="BR814" i="18"/>
  <c r="BQ814" i="18"/>
  <c r="BP814" i="18"/>
  <c r="BO814" i="18"/>
  <c r="BN814" i="18"/>
  <c r="BM814" i="18"/>
  <c r="BL814" i="18"/>
  <c r="BK814" i="18"/>
  <c r="BJ814" i="18"/>
  <c r="BI814" i="18"/>
  <c r="BH814" i="18"/>
  <c r="BG814" i="18"/>
  <c r="BF814" i="18"/>
  <c r="BE814" i="18"/>
  <c r="BD814" i="18"/>
  <c r="BC814" i="18"/>
  <c r="BB814" i="18"/>
  <c r="BA814" i="18"/>
  <c r="AZ814" i="18"/>
  <c r="AY814" i="18"/>
  <c r="AX814" i="18"/>
  <c r="AW814" i="18"/>
  <c r="AV814" i="18"/>
  <c r="AU814" i="18"/>
  <c r="AT814" i="18"/>
  <c r="AS814" i="18"/>
  <c r="AR814" i="18"/>
  <c r="AQ814" i="18"/>
  <c r="AP814" i="18"/>
  <c r="AO814" i="18"/>
  <c r="AN814" i="18"/>
  <c r="AM814" i="18"/>
  <c r="AL814" i="18"/>
  <c r="AK814" i="18"/>
  <c r="AJ814" i="18"/>
  <c r="AI814" i="18"/>
  <c r="AH814" i="18"/>
  <c r="AG814" i="18"/>
  <c r="AF814" i="18"/>
  <c r="AE814" i="18"/>
  <c r="AD814" i="18"/>
  <c r="AC814" i="18"/>
  <c r="AB814" i="18"/>
  <c r="AA814" i="18"/>
  <c r="Z814" i="18"/>
  <c r="Y814" i="18"/>
  <c r="X814" i="18"/>
  <c r="W814" i="18"/>
  <c r="V814" i="18"/>
  <c r="U814" i="18"/>
  <c r="T814" i="18"/>
  <c r="S814" i="18"/>
  <c r="R814" i="18"/>
  <c r="Q814" i="18"/>
  <c r="P814" i="18"/>
  <c r="O814" i="18"/>
  <c r="N814" i="18"/>
  <c r="M814" i="18"/>
  <c r="L814" i="18"/>
  <c r="K814" i="18"/>
  <c r="J814" i="18"/>
  <c r="I814" i="18"/>
  <c r="H814" i="18"/>
  <c r="G814" i="18"/>
  <c r="F814" i="18"/>
  <c r="E814" i="18"/>
  <c r="D814" i="18"/>
  <c r="C814" i="18"/>
  <c r="B814" i="18"/>
  <c r="A814" i="18"/>
  <c r="CX813" i="18"/>
  <c r="CW813" i="18"/>
  <c r="CV813" i="18"/>
  <c r="CU813" i="18"/>
  <c r="CT813" i="18"/>
  <c r="CX812" i="18"/>
  <c r="CW812" i="18"/>
  <c r="CV812" i="18"/>
  <c r="CU812" i="18"/>
  <c r="CT812" i="18"/>
  <c r="CJ812" i="18"/>
  <c r="CI812" i="18"/>
  <c r="CH812" i="18"/>
  <c r="CX811" i="18"/>
  <c r="CW811" i="18"/>
  <c r="CV811" i="18"/>
  <c r="CU811" i="18"/>
  <c r="CT811" i="18"/>
  <c r="CX810" i="18"/>
  <c r="CW810" i="18"/>
  <c r="CV810" i="18"/>
  <c r="CU810" i="18"/>
  <c r="CT810" i="18"/>
  <c r="CX809" i="18"/>
  <c r="CW809" i="18"/>
  <c r="CV809" i="18"/>
  <c r="CU809" i="18"/>
  <c r="CT809" i="18"/>
  <c r="CX808" i="18"/>
  <c r="CW808" i="18"/>
  <c r="CV808" i="18"/>
  <c r="CU808" i="18"/>
  <c r="CT808" i="18"/>
  <c r="CX807" i="18"/>
  <c r="CW807" i="18"/>
  <c r="CV807" i="18"/>
  <c r="CU807" i="18"/>
  <c r="CT807" i="18"/>
  <c r="CX806" i="18"/>
  <c r="CW806" i="18"/>
  <c r="CV806" i="18"/>
  <c r="CU806" i="18"/>
  <c r="CT806" i="18"/>
  <c r="CS806" i="18"/>
  <c r="CR806" i="18"/>
  <c r="CQ806" i="18"/>
  <c r="CP806" i="18"/>
  <c r="CO806" i="18"/>
  <c r="CN806" i="18"/>
  <c r="CM806" i="18"/>
  <c r="CL806" i="18"/>
  <c r="CK806" i="18"/>
  <c r="CJ806" i="18"/>
  <c r="CI806" i="18"/>
  <c r="CH806" i="18"/>
  <c r="CX805" i="18"/>
  <c r="CW805" i="18"/>
  <c r="CV805" i="18"/>
  <c r="CU805" i="18"/>
  <c r="CT805" i="18"/>
  <c r="CX804" i="18"/>
  <c r="CW804" i="18"/>
  <c r="CV804" i="18"/>
  <c r="CU804" i="18"/>
  <c r="CT804" i="18"/>
  <c r="CS804" i="18"/>
  <c r="CR804" i="18"/>
  <c r="CQ804" i="18"/>
  <c r="CP804" i="18"/>
  <c r="CO804" i="18"/>
  <c r="CN804" i="18"/>
  <c r="CM804" i="18"/>
  <c r="CL804" i="18"/>
  <c r="CK804" i="18"/>
  <c r="CJ804" i="18"/>
  <c r="CI804" i="18"/>
  <c r="CH804" i="18"/>
  <c r="CX803" i="18"/>
  <c r="CW803" i="18"/>
  <c r="CV803" i="18"/>
  <c r="CU803" i="18"/>
  <c r="CT803" i="18"/>
  <c r="CS803" i="18"/>
  <c r="CR803" i="18"/>
  <c r="CQ803" i="18"/>
  <c r="CP803" i="18"/>
  <c r="CO803" i="18"/>
  <c r="CN803" i="18"/>
  <c r="CM803" i="18"/>
  <c r="CL803" i="18"/>
  <c r="CK803" i="18"/>
  <c r="CJ803" i="18"/>
  <c r="CI803" i="18"/>
  <c r="CH803" i="18"/>
  <c r="CG811" i="18"/>
  <c r="CF811" i="18"/>
  <c r="CE811" i="18"/>
  <c r="CD811" i="18"/>
  <c r="CC811" i="18"/>
  <c r="CB811" i="18"/>
  <c r="CA811" i="18"/>
  <c r="BZ811" i="18"/>
  <c r="BY811" i="18"/>
  <c r="BX811" i="18"/>
  <c r="BW811" i="18"/>
  <c r="BV811" i="18"/>
  <c r="BU811" i="18"/>
  <c r="BT811" i="18"/>
  <c r="BS811" i="18"/>
  <c r="BR811" i="18"/>
  <c r="BQ811" i="18"/>
  <c r="BP811" i="18"/>
  <c r="BO811" i="18"/>
  <c r="BN811" i="18"/>
  <c r="BM811" i="18"/>
  <c r="BL811" i="18"/>
  <c r="BK811" i="18"/>
  <c r="BJ811" i="18"/>
  <c r="BI811" i="18"/>
  <c r="BH811" i="18"/>
  <c r="BG811" i="18"/>
  <c r="BF811" i="18"/>
  <c r="BE811" i="18"/>
  <c r="AZ811" i="18"/>
  <c r="AY811" i="18"/>
  <c r="AX811" i="18"/>
  <c r="AW811" i="18"/>
  <c r="AV811" i="18"/>
  <c r="AU811" i="18"/>
  <c r="AT811" i="18"/>
  <c r="AS811" i="18"/>
  <c r="AR811" i="18"/>
  <c r="AQ811" i="18"/>
  <c r="AP811" i="18"/>
  <c r="AO811" i="18"/>
  <c r="AN811" i="18"/>
  <c r="AM811" i="18"/>
  <c r="AL811" i="18"/>
  <c r="AK811" i="18"/>
  <c r="AJ811" i="18"/>
  <c r="AI811" i="18"/>
  <c r="AH811" i="18"/>
  <c r="AG811" i="18"/>
  <c r="AF811" i="18"/>
  <c r="AE811" i="18"/>
  <c r="AD811" i="18"/>
  <c r="AC811" i="18"/>
  <c r="AB811" i="18"/>
  <c r="AA811" i="18"/>
  <c r="Z811" i="18"/>
  <c r="Y811" i="18"/>
  <c r="X811" i="18"/>
  <c r="W811" i="18"/>
  <c r="V811" i="18"/>
  <c r="U811" i="18"/>
  <c r="T811" i="18"/>
  <c r="S811" i="18"/>
  <c r="R811" i="18"/>
  <c r="Q811" i="18"/>
  <c r="P811" i="18"/>
  <c r="O811" i="18"/>
  <c r="N811" i="18"/>
  <c r="M811" i="18"/>
  <c r="L811" i="18"/>
  <c r="K811" i="18"/>
  <c r="J811" i="18"/>
  <c r="I811" i="18"/>
  <c r="H811" i="18"/>
  <c r="G811" i="18"/>
  <c r="F811" i="18"/>
  <c r="E811" i="18"/>
  <c r="D811" i="18"/>
  <c r="C811" i="18"/>
  <c r="B811" i="18"/>
  <c r="A811" i="18"/>
  <c r="CG810" i="18"/>
  <c r="CF810" i="18"/>
  <c r="CE810" i="18"/>
  <c r="CD810" i="18"/>
  <c r="CC810" i="18"/>
  <c r="CB810" i="18"/>
  <c r="CA810" i="18"/>
  <c r="BZ810" i="18"/>
  <c r="BY810" i="18"/>
  <c r="BX810" i="18"/>
  <c r="BW810" i="18"/>
  <c r="BV810" i="18"/>
  <c r="BU810" i="18"/>
  <c r="BT810" i="18"/>
  <c r="BS810" i="18"/>
  <c r="BR810" i="18"/>
  <c r="BQ810" i="18"/>
  <c r="BP810" i="18"/>
  <c r="BO810" i="18"/>
  <c r="BN810" i="18"/>
  <c r="BM810" i="18"/>
  <c r="BL810" i="18"/>
  <c r="BK810" i="18"/>
  <c r="BJ810" i="18"/>
  <c r="BI810" i="18"/>
  <c r="BH810" i="18"/>
  <c r="BG810" i="18"/>
  <c r="BF810" i="18"/>
  <c r="BE810" i="18"/>
  <c r="AR810" i="18"/>
  <c r="AQ810" i="18"/>
  <c r="AP810" i="18"/>
  <c r="AO810" i="18"/>
  <c r="AN810" i="18"/>
  <c r="AM810" i="18"/>
  <c r="AL810" i="18"/>
  <c r="AK810" i="18"/>
  <c r="AJ810" i="18"/>
  <c r="AI810" i="18"/>
  <c r="AH810" i="18"/>
  <c r="AG810" i="18"/>
  <c r="AF810" i="18"/>
  <c r="AE810" i="18"/>
  <c r="AD810" i="18"/>
  <c r="AC810" i="18"/>
  <c r="AB810" i="18"/>
  <c r="AA810" i="18"/>
  <c r="Z810" i="18"/>
  <c r="Y810" i="18"/>
  <c r="X810" i="18"/>
  <c r="W810" i="18"/>
  <c r="V810" i="18"/>
  <c r="U810" i="18"/>
  <c r="T810" i="18"/>
  <c r="S810" i="18"/>
  <c r="R810" i="18"/>
  <c r="Q810" i="18"/>
  <c r="P810" i="18"/>
  <c r="O810" i="18"/>
  <c r="N810" i="18"/>
  <c r="M810" i="18"/>
  <c r="L810" i="18"/>
  <c r="K810" i="18"/>
  <c r="J810" i="18"/>
  <c r="I810" i="18"/>
  <c r="H810" i="18"/>
  <c r="G810" i="18"/>
  <c r="F810" i="18"/>
  <c r="E810" i="18"/>
  <c r="D810" i="18"/>
  <c r="C810" i="18"/>
  <c r="B810" i="18"/>
  <c r="A810" i="18"/>
  <c r="CG809" i="18"/>
  <c r="CF809" i="18"/>
  <c r="CE809" i="18"/>
  <c r="CD809" i="18"/>
  <c r="CC809" i="18"/>
  <c r="CB809" i="18"/>
  <c r="CA809" i="18"/>
  <c r="BZ809" i="18"/>
  <c r="BY809" i="18"/>
  <c r="BX809" i="18"/>
  <c r="BW809" i="18"/>
  <c r="BV809" i="18"/>
  <c r="BU809" i="18"/>
  <c r="BT809" i="18"/>
  <c r="BS809" i="18"/>
  <c r="BR809" i="18"/>
  <c r="BQ809" i="18"/>
  <c r="BP809" i="18"/>
  <c r="BO809" i="18"/>
  <c r="BN809" i="18"/>
  <c r="BM809" i="18"/>
  <c r="BL809" i="18"/>
  <c r="BK809" i="18"/>
  <c r="BJ809" i="18"/>
  <c r="BI809" i="18"/>
  <c r="BH809" i="18"/>
  <c r="BG809" i="18"/>
  <c r="BF809" i="18"/>
  <c r="BA809" i="18"/>
  <c r="AZ809" i="18"/>
  <c r="AY809" i="18"/>
  <c r="AX809" i="18"/>
  <c r="AW809" i="18"/>
  <c r="AV809" i="18"/>
  <c r="AU809" i="18"/>
  <c r="AT809" i="18"/>
  <c r="AS809" i="18"/>
  <c r="AR809" i="18"/>
  <c r="AQ809" i="18"/>
  <c r="AP809" i="18"/>
  <c r="AO809" i="18"/>
  <c r="AN809" i="18"/>
  <c r="AM809" i="18"/>
  <c r="AL809" i="18"/>
  <c r="AK809" i="18"/>
  <c r="AJ809" i="18"/>
  <c r="AI809" i="18"/>
  <c r="AH809" i="18"/>
  <c r="AG809" i="18"/>
  <c r="AF809" i="18"/>
  <c r="AE809" i="18"/>
  <c r="AD809" i="18"/>
  <c r="AC809" i="18"/>
  <c r="AB809" i="18"/>
  <c r="AA809" i="18"/>
  <c r="Z809" i="18"/>
  <c r="Y809" i="18"/>
  <c r="X809" i="18"/>
  <c r="W809" i="18"/>
  <c r="V809" i="18"/>
  <c r="U809" i="18"/>
  <c r="T809" i="18"/>
  <c r="S809" i="18"/>
  <c r="R809" i="18"/>
  <c r="Q809" i="18"/>
  <c r="P809" i="18"/>
  <c r="O809" i="18"/>
  <c r="N809" i="18"/>
  <c r="M809" i="18"/>
  <c r="L809" i="18"/>
  <c r="K809" i="18"/>
  <c r="J809" i="18"/>
  <c r="I809" i="18"/>
  <c r="H809" i="18"/>
  <c r="G809" i="18"/>
  <c r="F809" i="18"/>
  <c r="E809" i="18"/>
  <c r="D809" i="18"/>
  <c r="C809" i="18"/>
  <c r="B809" i="18"/>
  <c r="A809" i="18"/>
  <c r="CG808" i="18"/>
  <c r="CF808" i="18"/>
  <c r="CE808" i="18"/>
  <c r="CD808" i="18"/>
  <c r="CC808" i="18"/>
  <c r="CB808" i="18"/>
  <c r="CA808" i="18"/>
  <c r="BZ808" i="18"/>
  <c r="BY808" i="18"/>
  <c r="BX808" i="18"/>
  <c r="BW808" i="18"/>
  <c r="BV808" i="18"/>
  <c r="BU808" i="18"/>
  <c r="BT808" i="18"/>
  <c r="BS808" i="18"/>
  <c r="BR808" i="18"/>
  <c r="BQ808" i="18"/>
  <c r="BP808" i="18"/>
  <c r="BO808" i="18"/>
  <c r="BN808" i="18"/>
  <c r="BM808" i="18"/>
  <c r="BL808" i="18"/>
  <c r="BK808" i="18"/>
  <c r="BJ808" i="18"/>
  <c r="BI808" i="18"/>
  <c r="BH808" i="18"/>
  <c r="BG808" i="18"/>
  <c r="BF808" i="18"/>
  <c r="AR808" i="18"/>
  <c r="AQ808" i="18"/>
  <c r="AP808" i="18"/>
  <c r="AO808" i="18"/>
  <c r="AN808" i="18"/>
  <c r="AM808" i="18"/>
  <c r="AL808" i="18"/>
  <c r="AK808" i="18"/>
  <c r="AJ808" i="18"/>
  <c r="AI808" i="18"/>
  <c r="AH808" i="18"/>
  <c r="AG808" i="18"/>
  <c r="AF808" i="18"/>
  <c r="AE808" i="18"/>
  <c r="AD808" i="18"/>
  <c r="AC808" i="18"/>
  <c r="AB808" i="18"/>
  <c r="AA808" i="18"/>
  <c r="Z808" i="18"/>
  <c r="Y808" i="18"/>
  <c r="X808" i="18"/>
  <c r="W808" i="18"/>
  <c r="V808" i="18"/>
  <c r="U808" i="18"/>
  <c r="T808" i="18"/>
  <c r="S808" i="18"/>
  <c r="R808" i="18"/>
  <c r="Q808" i="18"/>
  <c r="P808" i="18"/>
  <c r="O808" i="18"/>
  <c r="N808" i="18"/>
  <c r="M808" i="18"/>
  <c r="L808" i="18"/>
  <c r="K808" i="18"/>
  <c r="J808" i="18"/>
  <c r="I808" i="18"/>
  <c r="H808" i="18"/>
  <c r="G808" i="18"/>
  <c r="F808" i="18"/>
  <c r="E808" i="18"/>
  <c r="D808" i="18"/>
  <c r="C808" i="18"/>
  <c r="B808" i="18"/>
  <c r="A808" i="18"/>
  <c r="CG807" i="18"/>
  <c r="CF807" i="18"/>
  <c r="CE807" i="18"/>
  <c r="CD807" i="18"/>
  <c r="CC807" i="18"/>
  <c r="CB807" i="18"/>
  <c r="CA807" i="18"/>
  <c r="BZ807" i="18"/>
  <c r="BY807" i="18"/>
  <c r="BX807" i="18"/>
  <c r="BW807" i="18"/>
  <c r="BV807" i="18"/>
  <c r="BU807" i="18"/>
  <c r="BT807" i="18"/>
  <c r="BS807" i="18"/>
  <c r="BR807" i="18"/>
  <c r="BQ807" i="18"/>
  <c r="BP807" i="18"/>
  <c r="BO807" i="18"/>
  <c r="BN807" i="18"/>
  <c r="BM807" i="18"/>
  <c r="BL807" i="18"/>
  <c r="BK807" i="18"/>
  <c r="BJ807" i="18"/>
  <c r="BI807" i="18"/>
  <c r="BH807" i="18"/>
  <c r="BG807" i="18"/>
  <c r="BF807" i="18"/>
  <c r="AR807" i="18"/>
  <c r="AQ807" i="18"/>
  <c r="AP807" i="18"/>
  <c r="AO807" i="18"/>
  <c r="AN807" i="18"/>
  <c r="AM807" i="18"/>
  <c r="AL807" i="18"/>
  <c r="AK807" i="18"/>
  <c r="AJ807" i="18"/>
  <c r="AI807" i="18"/>
  <c r="AH807" i="18"/>
  <c r="AG807" i="18"/>
  <c r="AF807" i="18"/>
  <c r="AE807" i="18"/>
  <c r="AD807" i="18"/>
  <c r="AC807" i="18"/>
  <c r="AB807" i="18"/>
  <c r="AA807" i="18"/>
  <c r="Z807" i="18"/>
  <c r="Y807" i="18"/>
  <c r="X807" i="18"/>
  <c r="W807" i="18"/>
  <c r="V807" i="18"/>
  <c r="U807" i="18"/>
  <c r="T807" i="18"/>
  <c r="S807" i="18"/>
  <c r="R807" i="18"/>
  <c r="Q807" i="18"/>
  <c r="P807" i="18"/>
  <c r="O807" i="18"/>
  <c r="N807" i="18"/>
  <c r="M807" i="18"/>
  <c r="L807" i="18"/>
  <c r="K807" i="18"/>
  <c r="J807" i="18"/>
  <c r="I807" i="18"/>
  <c r="H807" i="18"/>
  <c r="G807" i="18"/>
  <c r="F807" i="18"/>
  <c r="E807" i="18"/>
  <c r="D807" i="18"/>
  <c r="C807" i="18"/>
  <c r="B807" i="18"/>
  <c r="A807" i="18"/>
  <c r="CG806" i="18"/>
  <c r="CF806" i="18"/>
  <c r="CE806" i="18"/>
  <c r="CD806" i="18"/>
  <c r="CC806" i="18"/>
  <c r="CB806" i="18"/>
  <c r="CA806" i="18"/>
  <c r="BZ806" i="18"/>
  <c r="BY806" i="18"/>
  <c r="BX806" i="18"/>
  <c r="BW806" i="18"/>
  <c r="BV806" i="18"/>
  <c r="BU806" i="18"/>
  <c r="BT806" i="18"/>
  <c r="BS806" i="18"/>
  <c r="BR806" i="18"/>
  <c r="BQ806" i="18"/>
  <c r="BP806" i="18"/>
  <c r="BO806" i="18"/>
  <c r="BN806" i="18"/>
  <c r="BM806" i="18"/>
  <c r="BL806" i="18"/>
  <c r="BK806" i="18"/>
  <c r="BJ806" i="18"/>
  <c r="BI806" i="18"/>
  <c r="BH806" i="18"/>
  <c r="BG806" i="18"/>
  <c r="BF806" i="18"/>
  <c r="BD806" i="18"/>
  <c r="BC806" i="18"/>
  <c r="BB806" i="18"/>
  <c r="BA806" i="18"/>
  <c r="AZ806" i="18"/>
  <c r="AY806" i="18"/>
  <c r="AX806" i="18"/>
  <c r="AW806" i="18"/>
  <c r="AV806" i="18"/>
  <c r="AU806" i="18"/>
  <c r="AT806" i="18"/>
  <c r="AS806" i="18"/>
  <c r="AR806" i="18"/>
  <c r="AQ806" i="18"/>
  <c r="AP806" i="18"/>
  <c r="AO806" i="18"/>
  <c r="AN806" i="18"/>
  <c r="AM806" i="18"/>
  <c r="AL806" i="18"/>
  <c r="AK806" i="18"/>
  <c r="AJ806" i="18"/>
  <c r="AI806" i="18"/>
  <c r="AH806" i="18"/>
  <c r="AG806" i="18"/>
  <c r="AF806" i="18"/>
  <c r="AE806" i="18"/>
  <c r="AD806" i="18"/>
  <c r="AC806" i="18"/>
  <c r="AB806" i="18"/>
  <c r="AA806" i="18"/>
  <c r="Z806" i="18"/>
  <c r="Y806" i="18"/>
  <c r="X806" i="18"/>
  <c r="W806" i="18"/>
  <c r="V806" i="18"/>
  <c r="U806" i="18"/>
  <c r="T806" i="18"/>
  <c r="S806" i="18"/>
  <c r="R806" i="18"/>
  <c r="Q806" i="18"/>
  <c r="P806" i="18"/>
  <c r="O806" i="18"/>
  <c r="N806" i="18"/>
  <c r="M806" i="18"/>
  <c r="L806" i="18"/>
  <c r="K806" i="18"/>
  <c r="J806" i="18"/>
  <c r="I806" i="18"/>
  <c r="H806" i="18"/>
  <c r="G806" i="18"/>
  <c r="F806" i="18"/>
  <c r="E806" i="18"/>
  <c r="D806" i="18"/>
  <c r="C806" i="18"/>
  <c r="B806" i="18"/>
  <c r="A806" i="18"/>
  <c r="CE805" i="18"/>
  <c r="CD805" i="18"/>
  <c r="CC805" i="18"/>
  <c r="CB805" i="18"/>
  <c r="CA805" i="18"/>
  <c r="BZ805" i="18"/>
  <c r="BY805" i="18"/>
  <c r="BX805" i="18"/>
  <c r="BW805" i="18"/>
  <c r="BV805" i="18"/>
  <c r="BU805" i="18"/>
  <c r="BT805" i="18"/>
  <c r="BS805" i="18"/>
  <c r="BR805" i="18"/>
  <c r="BQ805" i="18"/>
  <c r="BP805" i="18"/>
  <c r="BO805" i="18"/>
  <c r="BN805" i="18"/>
  <c r="BM805" i="18"/>
  <c r="BL805" i="18"/>
  <c r="BK805" i="18"/>
  <c r="BJ805" i="18"/>
  <c r="BI805" i="18"/>
  <c r="BH805" i="18"/>
  <c r="BG805" i="18"/>
  <c r="BF805" i="18"/>
  <c r="BE805" i="18"/>
  <c r="AR805" i="18"/>
  <c r="AQ805" i="18"/>
  <c r="AP805" i="18"/>
  <c r="AO805" i="18"/>
  <c r="AN805" i="18"/>
  <c r="AM805" i="18"/>
  <c r="AL805" i="18"/>
  <c r="AK805" i="18"/>
  <c r="AJ805" i="18"/>
  <c r="AI805" i="18"/>
  <c r="AH805" i="18"/>
  <c r="AG805" i="18"/>
  <c r="AF805" i="18"/>
  <c r="AE805" i="18"/>
  <c r="AD805" i="18"/>
  <c r="AC805" i="18"/>
  <c r="AB805" i="18"/>
  <c r="AA805" i="18"/>
  <c r="Z805" i="18"/>
  <c r="Y805" i="18"/>
  <c r="X805" i="18"/>
  <c r="W805" i="18"/>
  <c r="V805" i="18"/>
  <c r="U805" i="18"/>
  <c r="T805" i="18"/>
  <c r="S805" i="18"/>
  <c r="R805" i="18"/>
  <c r="Q805" i="18"/>
  <c r="P805" i="18"/>
  <c r="O805" i="18"/>
  <c r="N805" i="18"/>
  <c r="M805" i="18"/>
  <c r="L805" i="18"/>
  <c r="K805" i="18"/>
  <c r="J805" i="18"/>
  <c r="I805" i="18"/>
  <c r="H805" i="18"/>
  <c r="G805" i="18"/>
  <c r="F805" i="18"/>
  <c r="E805" i="18"/>
  <c r="D805" i="18"/>
  <c r="C805" i="18"/>
  <c r="B805" i="18"/>
  <c r="A805" i="18"/>
  <c r="CG804" i="18"/>
  <c r="CF804" i="18"/>
  <c r="CE804" i="18"/>
  <c r="CD804" i="18"/>
  <c r="CC804" i="18"/>
  <c r="CB804" i="18"/>
  <c r="CA804" i="18"/>
  <c r="BZ804" i="18"/>
  <c r="BY804" i="18"/>
  <c r="BX804" i="18"/>
  <c r="BW804" i="18"/>
  <c r="BV804" i="18"/>
  <c r="BU804" i="18"/>
  <c r="BT804" i="18"/>
  <c r="BS804" i="18"/>
  <c r="BR804" i="18"/>
  <c r="BQ804" i="18"/>
  <c r="BP804" i="18"/>
  <c r="BO804" i="18"/>
  <c r="BN804" i="18"/>
  <c r="BM804" i="18"/>
  <c r="BL804" i="18"/>
  <c r="BK804" i="18"/>
  <c r="BJ804" i="18"/>
  <c r="BI804" i="18"/>
  <c r="BH804" i="18"/>
  <c r="BG804" i="18"/>
  <c r="BF804" i="18"/>
  <c r="BE804" i="18"/>
  <c r="BD804" i="18"/>
  <c r="BC804" i="18"/>
  <c r="BB804" i="18"/>
  <c r="BA804" i="18"/>
  <c r="AZ804" i="18"/>
  <c r="AY804" i="18"/>
  <c r="AX804" i="18"/>
  <c r="AW804" i="18"/>
  <c r="AV804" i="18"/>
  <c r="AU804" i="18"/>
  <c r="AT804" i="18"/>
  <c r="AS804" i="18"/>
  <c r="AR804" i="18"/>
  <c r="AQ804" i="18"/>
  <c r="AP804" i="18"/>
  <c r="AO804" i="18"/>
  <c r="AN804" i="18"/>
  <c r="AM804" i="18"/>
  <c r="AL804" i="18"/>
  <c r="AK804" i="18"/>
  <c r="AJ804" i="18"/>
  <c r="AI804" i="18"/>
  <c r="AH804" i="18"/>
  <c r="AG804" i="18"/>
  <c r="AF804" i="18"/>
  <c r="AE804" i="18"/>
  <c r="AD804" i="18"/>
  <c r="AC804" i="18"/>
  <c r="AB804" i="18"/>
  <c r="AA804" i="18"/>
  <c r="Z804" i="18"/>
  <c r="Y804" i="18"/>
  <c r="X804" i="18"/>
  <c r="W804" i="18"/>
  <c r="V804" i="18"/>
  <c r="U804" i="18"/>
  <c r="T804" i="18"/>
  <c r="S804" i="18"/>
  <c r="R804" i="18"/>
  <c r="Q804" i="18"/>
  <c r="P804" i="18"/>
  <c r="O804" i="18"/>
  <c r="N804" i="18"/>
  <c r="M804" i="18"/>
  <c r="L804" i="18"/>
  <c r="K804" i="18"/>
  <c r="J804" i="18"/>
  <c r="I804" i="18"/>
  <c r="H804" i="18"/>
  <c r="G804" i="18"/>
  <c r="F804" i="18"/>
  <c r="E804" i="18"/>
  <c r="D804" i="18"/>
  <c r="C804" i="18"/>
  <c r="B804" i="18"/>
  <c r="A804" i="18"/>
  <c r="CG803" i="18"/>
  <c r="CF803" i="18"/>
  <c r="CE803" i="18"/>
  <c r="CD803" i="18"/>
  <c r="CC803" i="18"/>
  <c r="CB803" i="18"/>
  <c r="CA803" i="18"/>
  <c r="BZ803" i="18"/>
  <c r="BY803" i="18"/>
  <c r="BX803" i="18"/>
  <c r="BW803" i="18"/>
  <c r="BV803" i="18"/>
  <c r="BU803" i="18"/>
  <c r="BT803" i="18"/>
  <c r="BS803" i="18"/>
  <c r="BR803" i="18"/>
  <c r="BQ803" i="18"/>
  <c r="BP803" i="18"/>
  <c r="BO803" i="18"/>
  <c r="BN803" i="18"/>
  <c r="BM803" i="18"/>
  <c r="BL803" i="18"/>
  <c r="BK803" i="18"/>
  <c r="BJ803" i="18"/>
  <c r="BI803" i="18"/>
  <c r="BH803" i="18"/>
  <c r="BG803" i="18"/>
  <c r="BF803" i="18"/>
  <c r="BE803" i="18"/>
  <c r="BD803" i="18"/>
  <c r="BC803" i="18"/>
  <c r="BB803" i="18"/>
  <c r="BA803" i="18"/>
  <c r="AZ803" i="18"/>
  <c r="AY803" i="18"/>
  <c r="AX803" i="18"/>
  <c r="AW803" i="18"/>
  <c r="AV803" i="18"/>
  <c r="AU803" i="18"/>
  <c r="AT803" i="18"/>
  <c r="AS803" i="18"/>
  <c r="AR803" i="18"/>
  <c r="AQ803" i="18"/>
  <c r="AP803" i="18"/>
  <c r="AO803" i="18"/>
  <c r="AN803" i="18"/>
  <c r="AM803" i="18"/>
  <c r="AL803" i="18"/>
  <c r="AK803" i="18"/>
  <c r="AJ803" i="18"/>
  <c r="AI803" i="18"/>
  <c r="AH803" i="18"/>
  <c r="AG803" i="18"/>
  <c r="AF803" i="18"/>
  <c r="AE803" i="18"/>
  <c r="AD803" i="18"/>
  <c r="AC803" i="18"/>
  <c r="AB803" i="18"/>
  <c r="AA803" i="18"/>
  <c r="Z803" i="18"/>
  <c r="Y803" i="18"/>
  <c r="X803" i="18"/>
  <c r="W803" i="18"/>
  <c r="V803" i="18"/>
  <c r="U803" i="18"/>
  <c r="T803" i="18"/>
  <c r="S803" i="18"/>
  <c r="R803" i="18"/>
  <c r="Q803" i="18"/>
  <c r="P803" i="18"/>
  <c r="O803" i="18"/>
  <c r="N803" i="18"/>
  <c r="M803" i="18"/>
  <c r="L803" i="18"/>
  <c r="K803" i="18"/>
  <c r="J803" i="18"/>
  <c r="I803" i="18"/>
  <c r="H803" i="18"/>
  <c r="G803" i="18"/>
  <c r="F803" i="18"/>
  <c r="E803" i="18"/>
  <c r="D803" i="18"/>
  <c r="C803" i="18"/>
  <c r="B803" i="18"/>
  <c r="A803" i="18"/>
  <c r="CP802" i="18"/>
  <c r="CO802" i="18"/>
  <c r="CN802" i="18"/>
  <c r="CM802" i="18"/>
  <c r="CL802" i="18"/>
  <c r="CK802" i="18"/>
  <c r="CJ802" i="18"/>
  <c r="CI802" i="18"/>
  <c r="CH802" i="18"/>
  <c r="CG802" i="18"/>
  <c r="CF802" i="18"/>
  <c r="CE802" i="18"/>
  <c r="CD802" i="18"/>
  <c r="CC802" i="18"/>
  <c r="CB802" i="18"/>
  <c r="CA802" i="18"/>
  <c r="BZ802" i="18"/>
  <c r="BY802" i="18"/>
  <c r="BX802" i="18"/>
  <c r="BW802" i="18"/>
  <c r="BV802" i="18"/>
  <c r="BU802" i="18"/>
  <c r="BT802" i="18"/>
  <c r="BS802" i="18"/>
  <c r="BR802" i="18"/>
  <c r="BQ802" i="18"/>
  <c r="BP802" i="18"/>
  <c r="BO802" i="18"/>
  <c r="BN802" i="18"/>
  <c r="BM802" i="18"/>
  <c r="BL802" i="18"/>
  <c r="BK802" i="18"/>
  <c r="BJ802" i="18"/>
  <c r="BI802" i="18"/>
  <c r="BH802" i="18"/>
  <c r="BG802" i="18"/>
  <c r="BF802" i="18"/>
  <c r="BE802" i="18"/>
  <c r="BD802" i="18"/>
  <c r="BC802" i="18"/>
  <c r="BB802" i="18"/>
  <c r="BA802" i="18"/>
  <c r="AZ802" i="18"/>
  <c r="AY802" i="18"/>
  <c r="AX802" i="18"/>
  <c r="AW802" i="18"/>
  <c r="AV802" i="18"/>
  <c r="AU802" i="18"/>
  <c r="AT802" i="18"/>
  <c r="AS802" i="18"/>
  <c r="AR802" i="18"/>
  <c r="AQ802" i="18"/>
  <c r="AP802" i="18"/>
  <c r="AO802" i="18"/>
  <c r="AN802" i="18"/>
  <c r="AM802" i="18"/>
  <c r="AL802" i="18"/>
  <c r="AK802" i="18"/>
  <c r="AJ802" i="18"/>
  <c r="AI802" i="18"/>
  <c r="AH802" i="18"/>
  <c r="AG802" i="18"/>
  <c r="AF802" i="18"/>
  <c r="AE802" i="18"/>
  <c r="AD802" i="18"/>
  <c r="AC802" i="18"/>
  <c r="AB802" i="18"/>
  <c r="AA802" i="18"/>
  <c r="Z802" i="18"/>
  <c r="Y802" i="18"/>
  <c r="X802" i="18"/>
  <c r="W802" i="18"/>
  <c r="V802" i="18"/>
  <c r="U802" i="18"/>
  <c r="T802" i="18"/>
  <c r="S802" i="18"/>
  <c r="R802" i="18"/>
  <c r="Q802" i="18"/>
  <c r="P802" i="18"/>
  <c r="O802" i="18"/>
  <c r="N802" i="18"/>
  <c r="M802" i="18"/>
  <c r="L802" i="18"/>
  <c r="K802" i="18"/>
  <c r="J802" i="18"/>
  <c r="I802" i="18"/>
  <c r="H802" i="18"/>
  <c r="G802" i="18"/>
  <c r="F802" i="18"/>
  <c r="E802" i="18"/>
  <c r="D802" i="18"/>
  <c r="C802" i="18"/>
  <c r="B802" i="18"/>
  <c r="A802" i="18"/>
  <c r="CX801" i="18"/>
  <c r="CW801" i="18"/>
  <c r="CV801" i="18"/>
  <c r="CU801" i="18"/>
  <c r="CT801" i="18"/>
  <c r="CS801" i="18"/>
  <c r="CR801" i="18"/>
  <c r="CQ801" i="18"/>
  <c r="CP801" i="18"/>
  <c r="CO801" i="18"/>
  <c r="CN801" i="18"/>
  <c r="CM801" i="18"/>
  <c r="CL801" i="18"/>
  <c r="CK801" i="18"/>
  <c r="CJ801" i="18"/>
  <c r="CI801" i="18"/>
  <c r="CH801" i="18"/>
  <c r="CG801" i="18"/>
  <c r="CF801" i="18"/>
  <c r="CE801" i="18"/>
  <c r="CD801" i="18"/>
  <c r="CC801" i="18"/>
  <c r="CB801" i="18"/>
  <c r="CA801" i="18"/>
  <c r="BZ801" i="18"/>
  <c r="BY801" i="18"/>
  <c r="BX801" i="18"/>
  <c r="BW801" i="18"/>
  <c r="BV801" i="18"/>
  <c r="BU801" i="18"/>
  <c r="BT801" i="18"/>
  <c r="BS801" i="18"/>
  <c r="BR801" i="18"/>
  <c r="BQ801" i="18"/>
  <c r="BP801" i="18"/>
  <c r="BO801" i="18"/>
  <c r="BN801" i="18"/>
  <c r="BM801" i="18"/>
  <c r="BL801" i="18"/>
  <c r="BK801" i="18"/>
  <c r="BJ801" i="18"/>
  <c r="BI801" i="18"/>
  <c r="BH801" i="18"/>
  <c r="BG801" i="18"/>
  <c r="BF801" i="18"/>
  <c r="BE801" i="18"/>
  <c r="BD801" i="18"/>
  <c r="BC801" i="18"/>
  <c r="BB801" i="18"/>
  <c r="BA801" i="18"/>
  <c r="AZ801" i="18"/>
  <c r="AY801" i="18"/>
  <c r="AX801" i="18"/>
  <c r="AW801" i="18"/>
  <c r="AV801" i="18"/>
  <c r="AU801" i="18"/>
  <c r="AT801" i="18"/>
  <c r="AS801" i="18"/>
  <c r="AR801" i="18"/>
  <c r="AQ801" i="18"/>
  <c r="AP801" i="18"/>
  <c r="AO801" i="18"/>
  <c r="AN801" i="18"/>
  <c r="AM801" i="18"/>
  <c r="AL801" i="18"/>
  <c r="AK801" i="18"/>
  <c r="AJ801" i="18"/>
  <c r="AI801" i="18"/>
  <c r="AH801" i="18"/>
  <c r="AG801" i="18"/>
  <c r="AF801" i="18"/>
  <c r="AE801" i="18"/>
  <c r="AD801" i="18"/>
  <c r="AC801" i="18"/>
  <c r="AB801" i="18"/>
  <c r="AA801" i="18"/>
  <c r="Z801" i="18"/>
  <c r="Y801" i="18"/>
  <c r="X801" i="18"/>
  <c r="W801" i="18"/>
  <c r="V801" i="18"/>
  <c r="U801" i="18"/>
  <c r="T801" i="18"/>
  <c r="S801" i="18"/>
  <c r="R801" i="18"/>
  <c r="Q801" i="18"/>
  <c r="P801" i="18"/>
  <c r="O801" i="18"/>
  <c r="N801" i="18"/>
  <c r="M801" i="18"/>
  <c r="L801" i="18"/>
  <c r="K801" i="18"/>
  <c r="J801" i="18"/>
  <c r="I801" i="18"/>
  <c r="H801" i="18"/>
  <c r="G801" i="18"/>
  <c r="F801" i="18"/>
  <c r="E801" i="18"/>
  <c r="D801" i="18"/>
  <c r="C801" i="18"/>
  <c r="B801" i="18"/>
  <c r="A801" i="18"/>
  <c r="CX800" i="18"/>
  <c r="CW800" i="18"/>
  <c r="CV800" i="18"/>
  <c r="CU800" i="18"/>
  <c r="CT800" i="18"/>
  <c r="CS800" i="18"/>
  <c r="CR800" i="18"/>
  <c r="CQ800" i="18"/>
  <c r="CP800" i="18"/>
  <c r="CO800" i="18"/>
  <c r="CN800" i="18"/>
  <c r="CM800" i="18"/>
  <c r="CL800" i="18"/>
  <c r="CK800" i="18"/>
  <c r="CJ800" i="18"/>
  <c r="CI800" i="18"/>
  <c r="CH800" i="18"/>
  <c r="CG800" i="18"/>
  <c r="CF800" i="18"/>
  <c r="CE800" i="18"/>
  <c r="CD800" i="18"/>
  <c r="CC800" i="18"/>
  <c r="CB800" i="18"/>
  <c r="CA800" i="18"/>
  <c r="BZ800" i="18"/>
  <c r="BY800" i="18"/>
  <c r="BX800" i="18"/>
  <c r="BW800" i="18"/>
  <c r="BV800" i="18"/>
  <c r="BU800" i="18"/>
  <c r="BT800" i="18"/>
  <c r="BS800" i="18"/>
  <c r="BR800" i="18"/>
  <c r="BQ800" i="18"/>
  <c r="BP800" i="18"/>
  <c r="BO800" i="18"/>
  <c r="BN800" i="18"/>
  <c r="BM800" i="18"/>
  <c r="BL800" i="18"/>
  <c r="BK800" i="18"/>
  <c r="BJ800" i="18"/>
  <c r="BI800" i="18"/>
  <c r="BH800" i="18"/>
  <c r="BG800" i="18"/>
  <c r="BF800" i="18"/>
  <c r="BE800" i="18"/>
  <c r="BD800" i="18"/>
  <c r="BC800" i="18"/>
  <c r="BB800" i="18"/>
  <c r="BA800" i="18"/>
  <c r="AZ800" i="18"/>
  <c r="AY800" i="18"/>
  <c r="AX800" i="18"/>
  <c r="AW800" i="18"/>
  <c r="AV800" i="18"/>
  <c r="AU800" i="18"/>
  <c r="AT800" i="18"/>
  <c r="AS800" i="18"/>
  <c r="AR800" i="18"/>
  <c r="AQ800" i="18"/>
  <c r="AP800" i="18"/>
  <c r="AO800" i="18"/>
  <c r="AN800" i="18"/>
  <c r="AM800" i="18"/>
  <c r="AL800" i="18"/>
  <c r="AK800" i="18"/>
  <c r="AJ800" i="18"/>
  <c r="AI800" i="18"/>
  <c r="AH800" i="18"/>
  <c r="AG800" i="18"/>
  <c r="AF800" i="18"/>
  <c r="AE800" i="18"/>
  <c r="AD800" i="18"/>
  <c r="AC800" i="18"/>
  <c r="AB800" i="18"/>
  <c r="AA800" i="18"/>
  <c r="Z800" i="18"/>
  <c r="Y800" i="18"/>
  <c r="X800" i="18"/>
  <c r="W800" i="18"/>
  <c r="V800" i="18"/>
  <c r="U800" i="18"/>
  <c r="T800" i="18"/>
  <c r="S800" i="18"/>
  <c r="R800" i="18"/>
  <c r="Q800" i="18"/>
  <c r="P800" i="18"/>
  <c r="O800" i="18"/>
  <c r="N800" i="18"/>
  <c r="M800" i="18"/>
  <c r="L800" i="18"/>
  <c r="K800" i="18"/>
  <c r="J800" i="18"/>
  <c r="I800" i="18"/>
  <c r="H800" i="18"/>
  <c r="G800" i="18"/>
  <c r="F800" i="18"/>
  <c r="E800" i="18"/>
  <c r="D800" i="18"/>
  <c r="C800" i="18"/>
  <c r="B800" i="18"/>
  <c r="A800" i="18"/>
  <c r="CX799" i="18"/>
  <c r="CW799" i="18"/>
  <c r="CV799" i="18"/>
  <c r="CU799" i="18"/>
  <c r="CT799" i="18"/>
  <c r="CS799" i="18"/>
  <c r="CR799" i="18"/>
  <c r="CQ799" i="18"/>
  <c r="CP799" i="18"/>
  <c r="CO799" i="18"/>
  <c r="CN799" i="18"/>
  <c r="CM799" i="18"/>
  <c r="CL799" i="18"/>
  <c r="CK799" i="18"/>
  <c r="CJ799" i="18"/>
  <c r="CI799" i="18"/>
  <c r="CH799" i="18"/>
  <c r="CG799" i="18"/>
  <c r="CF799" i="18"/>
  <c r="CE799" i="18"/>
  <c r="CD799" i="18"/>
  <c r="CC799" i="18"/>
  <c r="CB799" i="18"/>
  <c r="CA799" i="18"/>
  <c r="BZ799" i="18"/>
  <c r="BY799" i="18"/>
  <c r="BX799" i="18"/>
  <c r="BW799" i="18"/>
  <c r="BV799" i="18"/>
  <c r="BU799" i="18"/>
  <c r="BT799" i="18"/>
  <c r="BS799" i="18"/>
  <c r="BR799" i="18"/>
  <c r="BQ799" i="18"/>
  <c r="BP799" i="18"/>
  <c r="BO799" i="18"/>
  <c r="BN799" i="18"/>
  <c r="BM799" i="18"/>
  <c r="BL799" i="18"/>
  <c r="BK799" i="18"/>
  <c r="BJ799" i="18"/>
  <c r="BI799" i="18"/>
  <c r="BH799" i="18"/>
  <c r="BG799" i="18"/>
  <c r="BF799" i="18"/>
  <c r="BE799" i="18"/>
  <c r="BD799" i="18"/>
  <c r="BC799" i="18"/>
  <c r="BB799" i="18"/>
  <c r="BA799" i="18"/>
  <c r="AZ799" i="18"/>
  <c r="AY799" i="18"/>
  <c r="AX799" i="18"/>
  <c r="AW799" i="18"/>
  <c r="AV799" i="18"/>
  <c r="AU799" i="18"/>
  <c r="AT799" i="18"/>
  <c r="AS799" i="18"/>
  <c r="AR799" i="18"/>
  <c r="AQ799" i="18"/>
  <c r="AP799" i="18"/>
  <c r="AO799" i="18"/>
  <c r="AN799" i="18"/>
  <c r="AM799" i="18"/>
  <c r="AL799" i="18"/>
  <c r="AK799" i="18"/>
  <c r="AJ799" i="18"/>
  <c r="AI799" i="18"/>
  <c r="AH799" i="18"/>
  <c r="AG799" i="18"/>
  <c r="AF799" i="18"/>
  <c r="AE799" i="18"/>
  <c r="AD799" i="18"/>
  <c r="AC799" i="18"/>
  <c r="AB799" i="18"/>
  <c r="AA799" i="18"/>
  <c r="Z799" i="18"/>
  <c r="Y799" i="18"/>
  <c r="X799" i="18"/>
  <c r="W799" i="18"/>
  <c r="V799" i="18"/>
  <c r="U799" i="18"/>
  <c r="T799" i="18"/>
  <c r="S799" i="18"/>
  <c r="R799" i="18"/>
  <c r="Q799" i="18"/>
  <c r="P799" i="18"/>
  <c r="O799" i="18"/>
  <c r="N799" i="18"/>
  <c r="M799" i="18"/>
  <c r="L799" i="18"/>
  <c r="K799" i="18"/>
  <c r="J799" i="18"/>
  <c r="I799" i="18"/>
  <c r="H799" i="18"/>
  <c r="G799" i="18"/>
  <c r="F799" i="18"/>
  <c r="E799" i="18"/>
  <c r="D799" i="18"/>
  <c r="C799" i="18"/>
  <c r="B799" i="18"/>
  <c r="A799" i="18"/>
  <c r="CD798" i="18"/>
  <c r="CC798" i="18"/>
  <c r="CB798" i="18"/>
  <c r="CA798" i="18"/>
  <c r="BZ798" i="18"/>
  <c r="BY798" i="18"/>
  <c r="BX798" i="18"/>
  <c r="BW798" i="18"/>
  <c r="BV798" i="18"/>
  <c r="BU798" i="18"/>
  <c r="BT798" i="18"/>
  <c r="BS798" i="18"/>
  <c r="BR798" i="18"/>
  <c r="BQ798" i="18"/>
  <c r="BP798" i="18"/>
  <c r="BO798" i="18"/>
  <c r="BN798" i="18"/>
  <c r="BM798" i="18"/>
  <c r="BL798" i="18"/>
  <c r="BK798" i="18"/>
  <c r="BJ798" i="18"/>
  <c r="BI798" i="18"/>
  <c r="BH798" i="18"/>
  <c r="BG798" i="18"/>
  <c r="BF798" i="18"/>
  <c r="BE798" i="18"/>
  <c r="BD798" i="18"/>
  <c r="BC798" i="18"/>
  <c r="BB798" i="18"/>
  <c r="BA798" i="18"/>
  <c r="AZ798" i="18"/>
  <c r="AY798" i="18"/>
  <c r="AX798" i="18"/>
  <c r="AW798" i="18"/>
  <c r="AV798" i="18"/>
  <c r="AU798" i="18"/>
  <c r="AT798" i="18"/>
  <c r="AS798" i="18"/>
  <c r="AR798" i="18"/>
  <c r="AQ798" i="18"/>
  <c r="AP798" i="18"/>
  <c r="AO798" i="18"/>
  <c r="AN798" i="18"/>
  <c r="AM798" i="18"/>
  <c r="AL798" i="18"/>
  <c r="AK798" i="18"/>
  <c r="AJ798" i="18"/>
  <c r="AI798" i="18"/>
  <c r="AH798" i="18"/>
  <c r="AG798" i="18"/>
  <c r="AF798" i="18"/>
  <c r="AE798" i="18"/>
  <c r="AD798" i="18"/>
  <c r="AC798" i="18"/>
  <c r="AB798" i="18"/>
  <c r="AA798" i="18"/>
  <c r="Z798" i="18"/>
  <c r="Y798" i="18"/>
  <c r="X798" i="18"/>
  <c r="W798" i="18"/>
  <c r="V798" i="18"/>
  <c r="U798" i="18"/>
  <c r="T798" i="18"/>
  <c r="S798" i="18"/>
  <c r="R798" i="18"/>
  <c r="Q798" i="18"/>
  <c r="P798" i="18"/>
  <c r="O798" i="18"/>
  <c r="N798" i="18"/>
  <c r="M798" i="18"/>
  <c r="L798" i="18"/>
  <c r="K798" i="18"/>
  <c r="J798" i="18"/>
  <c r="I798" i="18"/>
  <c r="H798" i="18"/>
  <c r="G798" i="18"/>
  <c r="F798" i="18"/>
  <c r="E798" i="18"/>
  <c r="D798" i="18"/>
  <c r="C798" i="18"/>
  <c r="B798" i="18"/>
  <c r="A798" i="18"/>
  <c r="CX798" i="18"/>
  <c r="CW798" i="18"/>
  <c r="CV798" i="18"/>
  <c r="CU798" i="18"/>
  <c r="CT798" i="18"/>
  <c r="CS798" i="18"/>
  <c r="CR798" i="18"/>
  <c r="CQ798" i="18"/>
  <c r="CP798" i="18"/>
  <c r="CX797" i="18"/>
  <c r="CW797" i="18"/>
  <c r="CV797" i="18"/>
  <c r="CU797" i="18"/>
  <c r="CT797" i="18"/>
  <c r="CS797" i="18"/>
  <c r="CR797" i="18"/>
  <c r="CX796" i="18"/>
  <c r="CW796" i="18"/>
  <c r="CV796" i="18"/>
  <c r="CU796" i="18"/>
  <c r="CT796" i="18"/>
  <c r="CS796" i="18"/>
  <c r="CR796" i="18"/>
  <c r="CH797" i="18"/>
  <c r="CG797" i="18"/>
  <c r="CF797" i="18"/>
  <c r="CE797" i="18"/>
  <c r="CD797" i="18"/>
  <c r="CC797" i="18"/>
  <c r="CB797" i="18"/>
  <c r="CA797" i="18"/>
  <c r="BZ797" i="18"/>
  <c r="BY797" i="18"/>
  <c r="BX797" i="18"/>
  <c r="BW797" i="18"/>
  <c r="BV797" i="18"/>
  <c r="BU797" i="18"/>
  <c r="BT797" i="18"/>
  <c r="BS797" i="18"/>
  <c r="BR797" i="18"/>
  <c r="BQ797" i="18"/>
  <c r="BP797" i="18"/>
  <c r="BO797" i="18"/>
  <c r="BN797" i="18"/>
  <c r="BM797" i="18"/>
  <c r="BL797" i="18"/>
  <c r="BK797" i="18"/>
  <c r="BJ797" i="18"/>
  <c r="BI797" i="18"/>
  <c r="BH797" i="18"/>
  <c r="BG797" i="18"/>
  <c r="BF797" i="18"/>
  <c r="BE797" i="18"/>
  <c r="BD797" i="18"/>
  <c r="BC797" i="18"/>
  <c r="BB797" i="18"/>
  <c r="BA797" i="18"/>
  <c r="AZ797" i="18"/>
  <c r="AY797" i="18"/>
  <c r="AX797" i="18"/>
  <c r="AW797" i="18"/>
  <c r="AV797" i="18"/>
  <c r="AU797" i="18"/>
  <c r="AT797" i="18"/>
  <c r="AS797" i="18"/>
  <c r="AR797" i="18"/>
  <c r="AQ797" i="18"/>
  <c r="AP797" i="18"/>
  <c r="AO797" i="18"/>
  <c r="AN797" i="18"/>
  <c r="AM797" i="18"/>
  <c r="AL797" i="18"/>
  <c r="AK797" i="18"/>
  <c r="AJ797" i="18"/>
  <c r="AI797" i="18"/>
  <c r="AH797" i="18"/>
  <c r="AG797" i="18"/>
  <c r="AF797" i="18"/>
  <c r="AE797" i="18"/>
  <c r="AD797" i="18"/>
  <c r="AC797" i="18"/>
  <c r="AB797" i="18"/>
  <c r="AA797" i="18"/>
  <c r="Z797" i="18"/>
  <c r="Y797" i="18"/>
  <c r="X797" i="18"/>
  <c r="W797" i="18"/>
  <c r="V797" i="18"/>
  <c r="U797" i="18"/>
  <c r="T797" i="18"/>
  <c r="S797" i="18"/>
  <c r="R797" i="18"/>
  <c r="Q797" i="18"/>
  <c r="P797" i="18"/>
  <c r="O797" i="18"/>
  <c r="N797" i="18"/>
  <c r="M797" i="18"/>
  <c r="L797" i="18"/>
  <c r="K797" i="18"/>
  <c r="J797" i="18"/>
  <c r="I797" i="18"/>
  <c r="H797" i="18"/>
  <c r="G797" i="18"/>
  <c r="F797" i="18"/>
  <c r="E797" i="18"/>
  <c r="D797" i="18"/>
  <c r="C797" i="18"/>
  <c r="B797" i="18"/>
  <c r="A797" i="18"/>
  <c r="CH796" i="18"/>
  <c r="CG796" i="18"/>
  <c r="CF796" i="18"/>
  <c r="CE796" i="18"/>
  <c r="CD796" i="18"/>
  <c r="CC796" i="18"/>
  <c r="CB796" i="18"/>
  <c r="CA796" i="18"/>
  <c r="BZ796" i="18"/>
  <c r="BY796" i="18"/>
  <c r="BX796" i="18"/>
  <c r="BW796" i="18"/>
  <c r="BV796" i="18"/>
  <c r="BU796" i="18"/>
  <c r="BT796" i="18"/>
  <c r="BS796" i="18"/>
  <c r="BR796" i="18"/>
  <c r="BQ796" i="18"/>
  <c r="BP796" i="18"/>
  <c r="BO796" i="18"/>
  <c r="BN796" i="18"/>
  <c r="BM796" i="18"/>
  <c r="BL796" i="18"/>
  <c r="BK796" i="18"/>
  <c r="BJ796" i="18"/>
  <c r="BI796" i="18"/>
  <c r="BH796" i="18"/>
  <c r="BG796" i="18"/>
  <c r="BF796" i="18"/>
  <c r="BE796" i="18"/>
  <c r="BD796" i="18"/>
  <c r="BC796" i="18"/>
  <c r="BB796" i="18"/>
  <c r="BA796" i="18"/>
  <c r="AZ796" i="18"/>
  <c r="AY796" i="18"/>
  <c r="AX796" i="18"/>
  <c r="AW796" i="18"/>
  <c r="AV796" i="18"/>
  <c r="AU796" i="18"/>
  <c r="AT796" i="18"/>
  <c r="AS796" i="18"/>
  <c r="AR796" i="18"/>
  <c r="AQ796" i="18"/>
  <c r="AP796" i="18"/>
  <c r="AO796" i="18"/>
  <c r="AN796" i="18"/>
  <c r="AM796" i="18"/>
  <c r="AL796" i="18"/>
  <c r="AK796" i="18"/>
  <c r="AJ796" i="18"/>
  <c r="AI796" i="18"/>
  <c r="AH796" i="18"/>
  <c r="AG796" i="18"/>
  <c r="AF796" i="18"/>
  <c r="AE796" i="18"/>
  <c r="AD796" i="18"/>
  <c r="AC796" i="18"/>
  <c r="AB796" i="18"/>
  <c r="AA796" i="18"/>
  <c r="Z796" i="18"/>
  <c r="Y796" i="18"/>
  <c r="X796" i="18"/>
  <c r="W796" i="18"/>
  <c r="V796" i="18"/>
  <c r="U796" i="18"/>
  <c r="T796" i="18"/>
  <c r="S796" i="18"/>
  <c r="R796" i="18"/>
  <c r="Q796" i="18"/>
  <c r="P796" i="18"/>
  <c r="O796" i="18"/>
  <c r="N796" i="18"/>
  <c r="M796" i="18"/>
  <c r="L796" i="18"/>
  <c r="K796" i="18"/>
  <c r="J796" i="18"/>
  <c r="I796" i="18"/>
  <c r="H796" i="18"/>
  <c r="G796" i="18"/>
  <c r="F796" i="18"/>
  <c r="E796" i="18"/>
  <c r="D796" i="18"/>
  <c r="C796" i="18"/>
  <c r="B796" i="18"/>
  <c r="A796" i="18"/>
  <c r="CX795" i="18"/>
  <c r="CW795" i="18"/>
  <c r="CV795" i="18"/>
  <c r="CU795" i="18"/>
  <c r="CT795" i="18"/>
  <c r="CS795" i="18"/>
  <c r="CR795" i="18"/>
  <c r="CH795" i="18"/>
  <c r="CG795" i="18"/>
  <c r="CF795" i="18"/>
  <c r="CE795" i="18"/>
  <c r="CD795" i="18"/>
  <c r="CC795" i="18"/>
  <c r="CB795" i="18"/>
  <c r="CA795" i="18"/>
  <c r="BZ795" i="18"/>
  <c r="BY795" i="18"/>
  <c r="BX795" i="18"/>
  <c r="BW795" i="18"/>
  <c r="BV795" i="18"/>
  <c r="BU795" i="18"/>
  <c r="BT795" i="18"/>
  <c r="BS795" i="18"/>
  <c r="BR795" i="18"/>
  <c r="BQ795" i="18"/>
  <c r="BP795" i="18"/>
  <c r="BO795" i="18"/>
  <c r="BN795" i="18"/>
  <c r="BM795" i="18"/>
  <c r="BL795" i="18"/>
  <c r="BK795" i="18"/>
  <c r="BJ795" i="18"/>
  <c r="BI795" i="18"/>
  <c r="BH795" i="18"/>
  <c r="BG795" i="18"/>
  <c r="BF795" i="18"/>
  <c r="BE795" i="18"/>
  <c r="BD795" i="18"/>
  <c r="BC795" i="18"/>
  <c r="BB795" i="18"/>
  <c r="BA795" i="18"/>
  <c r="AZ795" i="18"/>
  <c r="AY795" i="18"/>
  <c r="AX795" i="18"/>
  <c r="AW795" i="18"/>
  <c r="AV795" i="18"/>
  <c r="AU795" i="18"/>
  <c r="AT795" i="18"/>
  <c r="AS795" i="18"/>
  <c r="AR795" i="18"/>
  <c r="AQ795" i="18"/>
  <c r="AP795" i="18"/>
  <c r="AO795" i="18"/>
  <c r="AN795" i="18"/>
  <c r="AM795" i="18"/>
  <c r="AL795" i="18"/>
  <c r="AK795" i="18"/>
  <c r="AJ795" i="18"/>
  <c r="AI795" i="18"/>
  <c r="AH795" i="18"/>
  <c r="AG795" i="18"/>
  <c r="AF795" i="18"/>
  <c r="AE795" i="18"/>
  <c r="AD795" i="18"/>
  <c r="AC795" i="18"/>
  <c r="AB795" i="18"/>
  <c r="AA795" i="18"/>
  <c r="Z795" i="18"/>
  <c r="Y795" i="18"/>
  <c r="X795" i="18"/>
  <c r="W795" i="18"/>
  <c r="V795" i="18"/>
  <c r="U795" i="18"/>
  <c r="T795" i="18"/>
  <c r="S795" i="18"/>
  <c r="R795" i="18"/>
  <c r="Q795" i="18"/>
  <c r="P795" i="18"/>
  <c r="O795" i="18"/>
  <c r="N795" i="18"/>
  <c r="M795" i="18"/>
  <c r="L795" i="18"/>
  <c r="K795" i="18"/>
  <c r="J795" i="18"/>
  <c r="I795" i="18"/>
  <c r="H795" i="18"/>
  <c r="G795" i="18"/>
  <c r="F795" i="18"/>
  <c r="E795" i="18"/>
  <c r="D795" i="18"/>
  <c r="C795" i="18"/>
  <c r="B795" i="18"/>
  <c r="A795" i="18"/>
  <c r="CX794" i="18"/>
  <c r="CW794" i="18"/>
  <c r="CV794" i="18"/>
  <c r="CU794" i="18"/>
  <c r="CT794" i="18"/>
  <c r="CS794" i="18"/>
  <c r="CR794" i="18"/>
  <c r="CN794" i="18"/>
  <c r="CM794" i="18"/>
  <c r="CL794" i="18"/>
  <c r="CK794" i="18"/>
  <c r="CJ794" i="18"/>
  <c r="CI794" i="18"/>
  <c r="CH794" i="18"/>
  <c r="CG794" i="18"/>
  <c r="CF794" i="18"/>
  <c r="CE794" i="18"/>
  <c r="CD794" i="18"/>
  <c r="CC794" i="18"/>
  <c r="CB794" i="18"/>
  <c r="CA794" i="18"/>
  <c r="BZ794" i="18"/>
  <c r="BY794" i="18"/>
  <c r="BX794" i="18"/>
  <c r="BW794" i="18"/>
  <c r="BV794" i="18"/>
  <c r="BU794" i="18"/>
  <c r="BT794" i="18"/>
  <c r="BS794" i="18"/>
  <c r="BR794" i="18"/>
  <c r="BQ794" i="18"/>
  <c r="BP794" i="18"/>
  <c r="BO794" i="18"/>
  <c r="BN794" i="18"/>
  <c r="BM794" i="18"/>
  <c r="BL794" i="18"/>
  <c r="BK794" i="18"/>
  <c r="BJ794" i="18"/>
  <c r="BI794" i="18"/>
  <c r="BH794" i="18"/>
  <c r="BG794" i="18"/>
  <c r="BF794" i="18"/>
  <c r="BE794" i="18"/>
  <c r="BD794" i="18"/>
  <c r="BC794" i="18"/>
  <c r="BB794" i="18"/>
  <c r="BA794" i="18"/>
  <c r="AZ794" i="18"/>
  <c r="AY794" i="18"/>
  <c r="AX794" i="18"/>
  <c r="AW794" i="18"/>
  <c r="AV794" i="18"/>
  <c r="AU794" i="18"/>
  <c r="AT794" i="18"/>
  <c r="AS794" i="18"/>
  <c r="AR794" i="18"/>
  <c r="AQ794" i="18"/>
  <c r="AP794" i="18"/>
  <c r="AO794" i="18"/>
  <c r="AN794" i="18"/>
  <c r="AM794" i="18"/>
  <c r="AL794" i="18"/>
  <c r="AK794" i="18"/>
  <c r="AJ794" i="18"/>
  <c r="AI794" i="18"/>
  <c r="AH794" i="18"/>
  <c r="AG794" i="18"/>
  <c r="AF794" i="18"/>
  <c r="AE794" i="18"/>
  <c r="AD794" i="18"/>
  <c r="AC794" i="18"/>
  <c r="AB794" i="18"/>
  <c r="AA794" i="18"/>
  <c r="Z794" i="18"/>
  <c r="Y794" i="18"/>
  <c r="X794" i="18"/>
  <c r="W794" i="18"/>
  <c r="V794" i="18"/>
  <c r="U794" i="18"/>
  <c r="T794" i="18"/>
  <c r="S794" i="18"/>
  <c r="R794" i="18"/>
  <c r="Q794" i="18"/>
  <c r="P794" i="18"/>
  <c r="O794" i="18"/>
  <c r="N794" i="18"/>
  <c r="M794" i="18"/>
  <c r="L794" i="18"/>
  <c r="K794" i="18"/>
  <c r="J794" i="18"/>
  <c r="I794" i="18"/>
  <c r="H794" i="18"/>
  <c r="G794" i="18"/>
  <c r="F794" i="18"/>
  <c r="E794" i="18"/>
  <c r="D794" i="18"/>
  <c r="C794" i="18"/>
  <c r="B794" i="18"/>
  <c r="A794" i="18"/>
  <c r="CX793" i="18"/>
  <c r="CW793" i="18"/>
  <c r="CV793" i="18"/>
  <c r="CU793" i="18"/>
  <c r="CT793" i="18"/>
  <c r="CS793" i="18"/>
  <c r="CR793" i="18"/>
  <c r="CQ793" i="18"/>
  <c r="CP793" i="18"/>
  <c r="CO793" i="18"/>
  <c r="CN793" i="18"/>
  <c r="CM793" i="18"/>
  <c r="CL793" i="18"/>
  <c r="CK793" i="18"/>
  <c r="CJ793" i="18"/>
  <c r="CI793" i="18"/>
  <c r="CH793" i="18"/>
  <c r="CG793" i="18"/>
  <c r="CF793" i="18"/>
  <c r="CE793" i="18"/>
  <c r="CD793" i="18"/>
  <c r="CC793" i="18"/>
  <c r="CB793" i="18"/>
  <c r="CA793" i="18"/>
  <c r="BZ793" i="18"/>
  <c r="BY793" i="18"/>
  <c r="BX793" i="18"/>
  <c r="BW793" i="18"/>
  <c r="BV793" i="18"/>
  <c r="BU793" i="18"/>
  <c r="BT793" i="18"/>
  <c r="BS793" i="18"/>
  <c r="BR793" i="18"/>
  <c r="BQ793" i="18"/>
  <c r="BP793" i="18"/>
  <c r="BO793" i="18"/>
  <c r="BN793" i="18"/>
  <c r="BM793" i="18"/>
  <c r="BL793" i="18"/>
  <c r="BK793" i="18"/>
  <c r="BJ793" i="18"/>
  <c r="BI793" i="18"/>
  <c r="BH793" i="18"/>
  <c r="BG793" i="18"/>
  <c r="BF793" i="18"/>
  <c r="BE793" i="18"/>
  <c r="BD793" i="18"/>
  <c r="BC793" i="18"/>
  <c r="BB793" i="18"/>
  <c r="BA793" i="18"/>
  <c r="AZ793" i="18"/>
  <c r="AY793" i="18"/>
  <c r="AX793" i="18"/>
  <c r="AW793" i="18"/>
  <c r="AV793" i="18"/>
  <c r="AU793" i="18"/>
  <c r="AT793" i="18"/>
  <c r="AS793" i="18"/>
  <c r="AR793" i="18"/>
  <c r="AQ793" i="18"/>
  <c r="AP793" i="18"/>
  <c r="AO793" i="18"/>
  <c r="AN793" i="18"/>
  <c r="AM793" i="18"/>
  <c r="AL793" i="18"/>
  <c r="AK793" i="18"/>
  <c r="AJ793" i="18"/>
  <c r="AI793" i="18"/>
  <c r="AH793" i="18"/>
  <c r="AG793" i="18"/>
  <c r="AF793" i="18"/>
  <c r="AE793" i="18"/>
  <c r="AD793" i="18"/>
  <c r="AC793" i="18"/>
  <c r="AB793" i="18"/>
  <c r="AA793" i="18"/>
  <c r="Z793" i="18"/>
  <c r="Y793" i="18"/>
  <c r="X793" i="18"/>
  <c r="W793" i="18"/>
  <c r="V793" i="18"/>
  <c r="U793" i="18"/>
  <c r="T793" i="18"/>
  <c r="S793" i="18"/>
  <c r="R793" i="18"/>
  <c r="Q793" i="18"/>
  <c r="P793" i="18"/>
  <c r="O793" i="18"/>
  <c r="N793" i="18"/>
  <c r="M793" i="18"/>
  <c r="L793" i="18"/>
  <c r="K793" i="18"/>
  <c r="J793" i="18"/>
  <c r="I793" i="18"/>
  <c r="H793" i="18"/>
  <c r="G793" i="18"/>
  <c r="F793" i="18"/>
  <c r="E793" i="18"/>
  <c r="D793" i="18"/>
  <c r="C793" i="18"/>
  <c r="B793" i="18"/>
  <c r="A793" i="18"/>
  <c r="CX792" i="18"/>
  <c r="CW792" i="18"/>
  <c r="CV792" i="18"/>
  <c r="CU792" i="18"/>
  <c r="CT792" i="18"/>
  <c r="CS792" i="18"/>
  <c r="CR792" i="18"/>
  <c r="CQ792" i="18"/>
  <c r="CP792" i="18"/>
  <c r="CO792" i="18"/>
  <c r="CN792" i="18"/>
  <c r="CM792" i="18"/>
  <c r="CL792" i="18"/>
  <c r="CK792" i="18"/>
  <c r="CJ792" i="18"/>
  <c r="CI792" i="18"/>
  <c r="CH792" i="18"/>
  <c r="CG792" i="18"/>
  <c r="CF792" i="18"/>
  <c r="CE792" i="18"/>
  <c r="CD792" i="18"/>
  <c r="CC792" i="18"/>
  <c r="CB792" i="18"/>
  <c r="CA792" i="18"/>
  <c r="BZ792" i="18"/>
  <c r="BY792" i="18"/>
  <c r="BX792" i="18"/>
  <c r="BW792" i="18"/>
  <c r="BV792" i="18"/>
  <c r="BU792" i="18"/>
  <c r="BT792" i="18"/>
  <c r="BS792" i="18"/>
  <c r="BR792" i="18"/>
  <c r="BQ792" i="18"/>
  <c r="BP792" i="18"/>
  <c r="BO792" i="18"/>
  <c r="BN792" i="18"/>
  <c r="BM792" i="18"/>
  <c r="BL792" i="18"/>
  <c r="BK792" i="18"/>
  <c r="BJ792" i="18"/>
  <c r="BI792" i="18"/>
  <c r="BH792" i="18"/>
  <c r="BG792" i="18"/>
  <c r="BF792" i="18"/>
  <c r="BE792" i="18"/>
  <c r="BD792" i="18"/>
  <c r="BC792" i="18"/>
  <c r="BB792" i="18"/>
  <c r="BA792" i="18"/>
  <c r="AZ792" i="18"/>
  <c r="AY792" i="18"/>
  <c r="AX792" i="18"/>
  <c r="AW792" i="18"/>
  <c r="AV792" i="18"/>
  <c r="AU792" i="18"/>
  <c r="AT792" i="18"/>
  <c r="AS792" i="18"/>
  <c r="AR792" i="18"/>
  <c r="AQ792" i="18"/>
  <c r="AP792" i="18"/>
  <c r="AO792" i="18"/>
  <c r="AN792" i="18"/>
  <c r="AM792" i="18"/>
  <c r="AL792" i="18"/>
  <c r="AK792" i="18"/>
  <c r="AJ792" i="18"/>
  <c r="AI792" i="18"/>
  <c r="AH792" i="18"/>
  <c r="AG792" i="18"/>
  <c r="AF792" i="18"/>
  <c r="AE792" i="18"/>
  <c r="AD792" i="18"/>
  <c r="AC792" i="18"/>
  <c r="AB792" i="18"/>
  <c r="AA792" i="18"/>
  <c r="Z792" i="18"/>
  <c r="Y792" i="18"/>
  <c r="X792" i="18"/>
  <c r="W792" i="18"/>
  <c r="V792" i="18"/>
  <c r="U792" i="18"/>
  <c r="T792" i="18"/>
  <c r="S792" i="18"/>
  <c r="R792" i="18"/>
  <c r="Q792" i="18"/>
  <c r="P792" i="18"/>
  <c r="O792" i="18"/>
  <c r="N792" i="18"/>
  <c r="M792" i="18"/>
  <c r="L792" i="18"/>
  <c r="K792" i="18"/>
  <c r="J792" i="18"/>
  <c r="I792" i="18"/>
  <c r="H792" i="18"/>
  <c r="G792" i="18"/>
  <c r="F792" i="18"/>
  <c r="E792" i="18"/>
  <c r="D792" i="18"/>
  <c r="C792" i="18"/>
  <c r="B792" i="18"/>
  <c r="A792" i="18"/>
  <c r="CX791" i="18"/>
  <c r="CW791" i="18"/>
  <c r="CV791" i="18"/>
  <c r="CU791" i="18"/>
  <c r="CT791" i="18"/>
  <c r="CS791" i="18"/>
  <c r="CR791" i="18"/>
  <c r="CI791" i="18"/>
  <c r="CH791" i="18"/>
  <c r="CG791" i="18"/>
  <c r="CF791" i="18"/>
  <c r="CE791" i="18"/>
  <c r="CD791" i="18"/>
  <c r="CC791" i="18"/>
  <c r="CB791" i="18"/>
  <c r="CA791" i="18"/>
  <c r="BZ791" i="18"/>
  <c r="BY791" i="18"/>
  <c r="BX791" i="18"/>
  <c r="BW791" i="18"/>
  <c r="BV791" i="18"/>
  <c r="BU791" i="18"/>
  <c r="BT791" i="18"/>
  <c r="BS791" i="18"/>
  <c r="BR791" i="18"/>
  <c r="BQ791" i="18"/>
  <c r="BP791" i="18"/>
  <c r="BO791" i="18"/>
  <c r="BN791" i="18"/>
  <c r="BM791" i="18"/>
  <c r="BL791" i="18"/>
  <c r="BK791" i="18"/>
  <c r="BJ791" i="18"/>
  <c r="BI791" i="18"/>
  <c r="BH791" i="18"/>
  <c r="BG791" i="18"/>
  <c r="BF791" i="18"/>
  <c r="BE791" i="18"/>
  <c r="BD791" i="18"/>
  <c r="BC791" i="18"/>
  <c r="BB791" i="18"/>
  <c r="BA791" i="18"/>
  <c r="AZ791" i="18"/>
  <c r="AY791" i="18"/>
  <c r="AX791" i="18"/>
  <c r="AW791" i="18"/>
  <c r="AV791" i="18"/>
  <c r="AU791" i="18"/>
  <c r="AT791" i="18"/>
  <c r="AS791" i="18"/>
  <c r="AR791" i="18"/>
  <c r="AQ791" i="18"/>
  <c r="AP791" i="18"/>
  <c r="AO791" i="18"/>
  <c r="AN791" i="18"/>
  <c r="AM791" i="18"/>
  <c r="AL791" i="18"/>
  <c r="AK791" i="18"/>
  <c r="AJ791" i="18"/>
  <c r="AI791" i="18"/>
  <c r="AH791" i="18"/>
  <c r="AG791" i="18"/>
  <c r="AF791" i="18"/>
  <c r="AE791" i="18"/>
  <c r="AD791" i="18"/>
  <c r="AC791" i="18"/>
  <c r="AB791" i="18"/>
  <c r="AA791" i="18"/>
  <c r="Z791" i="18"/>
  <c r="Y791" i="18"/>
  <c r="X791" i="18"/>
  <c r="W791" i="18"/>
  <c r="V791" i="18"/>
  <c r="U791" i="18"/>
  <c r="T791" i="18"/>
  <c r="S791" i="18"/>
  <c r="R791" i="18"/>
  <c r="Q791" i="18"/>
  <c r="P791" i="18"/>
  <c r="O791" i="18"/>
  <c r="N791" i="18"/>
  <c r="M791" i="18"/>
  <c r="L791" i="18"/>
  <c r="K791" i="18"/>
  <c r="J791" i="18"/>
  <c r="I791" i="18"/>
  <c r="H791" i="18"/>
  <c r="G791" i="18"/>
  <c r="F791" i="18"/>
  <c r="E791" i="18"/>
  <c r="D791" i="18"/>
  <c r="C791" i="18"/>
  <c r="B791" i="18"/>
  <c r="A791" i="18"/>
  <c r="CX790" i="18"/>
  <c r="CW790" i="18"/>
  <c r="CV790" i="18"/>
  <c r="CU790" i="18"/>
  <c r="CT790" i="18"/>
  <c r="CS790" i="18"/>
  <c r="CR790" i="18"/>
  <c r="CQ790" i="18"/>
  <c r="CP790" i="18"/>
  <c r="CO790" i="18"/>
  <c r="CN790" i="18"/>
  <c r="CM790" i="18"/>
  <c r="CL790" i="18"/>
  <c r="CK790" i="18"/>
  <c r="CJ790" i="18"/>
  <c r="CI790" i="18"/>
  <c r="CH790" i="18"/>
  <c r="CG790" i="18"/>
  <c r="CF790" i="18"/>
  <c r="CE790" i="18"/>
  <c r="CD790" i="18"/>
  <c r="CC790" i="18"/>
  <c r="CB790" i="18"/>
  <c r="CA790" i="18"/>
  <c r="BZ790" i="18"/>
  <c r="BY790" i="18"/>
  <c r="BX790" i="18"/>
  <c r="BW790" i="18"/>
  <c r="BV790" i="18"/>
  <c r="BU790" i="18"/>
  <c r="BT790" i="18"/>
  <c r="BS790" i="18"/>
  <c r="BR790" i="18"/>
  <c r="BQ790" i="18"/>
  <c r="BP790" i="18"/>
  <c r="BO790" i="18"/>
  <c r="BN790" i="18"/>
  <c r="BM790" i="18"/>
  <c r="BL790" i="18"/>
  <c r="BK790" i="18"/>
  <c r="BJ790" i="18"/>
  <c r="BI790" i="18"/>
  <c r="BH790" i="18"/>
  <c r="BG790" i="18"/>
  <c r="BF790" i="18"/>
  <c r="BE790" i="18"/>
  <c r="BD790" i="18"/>
  <c r="BC790" i="18"/>
  <c r="BB790" i="18"/>
  <c r="BA790" i="18"/>
  <c r="AZ790" i="18"/>
  <c r="AY790" i="18"/>
  <c r="AX790" i="18"/>
  <c r="AW790" i="18"/>
  <c r="AV790" i="18"/>
  <c r="AU790" i="18"/>
  <c r="AT790" i="18"/>
  <c r="AS790" i="18"/>
  <c r="AR790" i="18"/>
  <c r="AQ790" i="18"/>
  <c r="AP790" i="18"/>
  <c r="AO790" i="18"/>
  <c r="AN790" i="18"/>
  <c r="AM790" i="18"/>
  <c r="AL790" i="18"/>
  <c r="AK790" i="18"/>
  <c r="AJ790" i="18"/>
  <c r="AI790" i="18"/>
  <c r="AH790" i="18"/>
  <c r="AG790" i="18"/>
  <c r="AF790" i="18"/>
  <c r="AE790" i="18"/>
  <c r="AD790" i="18"/>
  <c r="AC790" i="18"/>
  <c r="AB790" i="18"/>
  <c r="AA790" i="18"/>
  <c r="Z790" i="18"/>
  <c r="Y790" i="18"/>
  <c r="X790" i="18"/>
  <c r="W790" i="18"/>
  <c r="V790" i="18"/>
  <c r="U790" i="18"/>
  <c r="T790" i="18"/>
  <c r="S790" i="18"/>
  <c r="R790" i="18"/>
  <c r="Q790" i="18"/>
  <c r="P790" i="18"/>
  <c r="O790" i="18"/>
  <c r="N790" i="18"/>
  <c r="M790" i="18"/>
  <c r="L790" i="18"/>
  <c r="K790" i="18"/>
  <c r="J790" i="18"/>
  <c r="I790" i="18"/>
  <c r="H790" i="18"/>
  <c r="G790" i="18"/>
  <c r="F790" i="18"/>
  <c r="E790" i="18"/>
  <c r="D790" i="18"/>
  <c r="C790" i="18"/>
  <c r="B790" i="18"/>
  <c r="A790" i="18"/>
  <c r="CX789" i="18"/>
  <c r="CW789" i="18"/>
  <c r="CV789" i="18"/>
  <c r="CU789" i="18"/>
  <c r="CT789" i="18"/>
  <c r="CS789" i="18"/>
  <c r="CR789" i="18"/>
  <c r="CQ789" i="18"/>
  <c r="CP789" i="18"/>
  <c r="CO789" i="18"/>
  <c r="CN789" i="18"/>
  <c r="CM789" i="18"/>
  <c r="CL789" i="18"/>
  <c r="CK789" i="18"/>
  <c r="CJ789" i="18"/>
  <c r="CI789" i="18"/>
  <c r="CH789" i="18"/>
  <c r="CG789" i="18"/>
  <c r="CF789" i="18"/>
  <c r="CE789" i="18"/>
  <c r="CD789" i="18"/>
  <c r="CC789" i="18"/>
  <c r="CB789" i="18"/>
  <c r="CA789" i="18"/>
  <c r="BZ789" i="18"/>
  <c r="BY789" i="18"/>
  <c r="BX789" i="18"/>
  <c r="BW789" i="18"/>
  <c r="BV789" i="18"/>
  <c r="BU789" i="18"/>
  <c r="BT789" i="18"/>
  <c r="BS789" i="18"/>
  <c r="BR789" i="18"/>
  <c r="BQ789" i="18"/>
  <c r="BP789" i="18"/>
  <c r="BO789" i="18"/>
  <c r="BN789" i="18"/>
  <c r="BM789" i="18"/>
  <c r="BL789" i="18"/>
  <c r="BK789" i="18"/>
  <c r="BJ789" i="18"/>
  <c r="BI789" i="18"/>
  <c r="BH789" i="18"/>
  <c r="BG789" i="18"/>
  <c r="BF789" i="18"/>
  <c r="BE789" i="18"/>
  <c r="BD789" i="18"/>
  <c r="BC789" i="18"/>
  <c r="BB789" i="18"/>
  <c r="BA789" i="18"/>
  <c r="AZ789" i="18"/>
  <c r="AY789" i="18"/>
  <c r="AX789" i="18"/>
  <c r="AW789" i="18"/>
  <c r="AV789" i="18"/>
  <c r="AU789" i="18"/>
  <c r="AT789" i="18"/>
  <c r="AS789" i="18"/>
  <c r="AR789" i="18"/>
  <c r="AQ789" i="18"/>
  <c r="AP789" i="18"/>
  <c r="AO789" i="18"/>
  <c r="AN789" i="18"/>
  <c r="AM789" i="18"/>
  <c r="AL789" i="18"/>
  <c r="AK789" i="18"/>
  <c r="AJ789" i="18"/>
  <c r="AI789" i="18"/>
  <c r="AH789" i="18"/>
  <c r="AG789" i="18"/>
  <c r="AF789" i="18"/>
  <c r="AE789" i="18"/>
  <c r="AD789" i="18"/>
  <c r="AC789" i="18"/>
  <c r="AB789" i="18"/>
  <c r="AA789" i="18"/>
  <c r="Z789" i="18"/>
  <c r="Y789" i="18"/>
  <c r="X789" i="18"/>
  <c r="W789" i="18"/>
  <c r="V789" i="18"/>
  <c r="U789" i="18"/>
  <c r="T789" i="18"/>
  <c r="S789" i="18"/>
  <c r="R789" i="18"/>
  <c r="Q789" i="18"/>
  <c r="P789" i="18"/>
  <c r="O789" i="18"/>
  <c r="N789" i="18"/>
  <c r="M789" i="18"/>
  <c r="L789" i="18"/>
  <c r="K789" i="18"/>
  <c r="J789" i="18"/>
  <c r="I789" i="18"/>
  <c r="H789" i="18"/>
  <c r="G789" i="18"/>
  <c r="F789" i="18"/>
  <c r="E789" i="18"/>
  <c r="D789" i="18"/>
  <c r="C789" i="18"/>
  <c r="B789" i="18"/>
  <c r="A789" i="18"/>
  <c r="CX788" i="18"/>
  <c r="CW788" i="18"/>
  <c r="CV788" i="18"/>
  <c r="CU788" i="18"/>
  <c r="CT788" i="18"/>
  <c r="CS788" i="18"/>
  <c r="CR788" i="18"/>
  <c r="CH788" i="18"/>
  <c r="CG788" i="18"/>
  <c r="CF788" i="18"/>
  <c r="CE788" i="18"/>
  <c r="CD788" i="18"/>
  <c r="CC788" i="18"/>
  <c r="CB788" i="18"/>
  <c r="CA788" i="18"/>
  <c r="BZ788" i="18"/>
  <c r="BY788" i="18"/>
  <c r="BX788" i="18"/>
  <c r="BW788" i="18"/>
  <c r="BV788" i="18"/>
  <c r="BU788" i="18"/>
  <c r="BT788" i="18"/>
  <c r="BS788" i="18"/>
  <c r="BR788" i="18"/>
  <c r="BQ788" i="18"/>
  <c r="BP788" i="18"/>
  <c r="BO788" i="18"/>
  <c r="BN788" i="18"/>
  <c r="BM788" i="18"/>
  <c r="BL788" i="18"/>
  <c r="BK788" i="18"/>
  <c r="BJ788" i="18"/>
  <c r="BI788" i="18"/>
  <c r="BH788" i="18"/>
  <c r="BG788" i="18"/>
  <c r="BF788" i="18"/>
  <c r="BE788" i="18"/>
  <c r="BD788" i="18"/>
  <c r="BC788" i="18"/>
  <c r="BB788" i="18"/>
  <c r="BA788" i="18"/>
  <c r="AZ788" i="18"/>
  <c r="AY788" i="18"/>
  <c r="AX788" i="18"/>
  <c r="AW788" i="18"/>
  <c r="AV788" i="18"/>
  <c r="AU788" i="18"/>
  <c r="AT788" i="18"/>
  <c r="AS788" i="18"/>
  <c r="AR788" i="18"/>
  <c r="AQ788" i="18"/>
  <c r="AP788" i="18"/>
  <c r="AO788" i="18"/>
  <c r="AN788" i="18"/>
  <c r="AM788" i="18"/>
  <c r="AL788" i="18"/>
  <c r="AK788" i="18"/>
  <c r="AJ788" i="18"/>
  <c r="AI788" i="18"/>
  <c r="AH788" i="18"/>
  <c r="AG788" i="18"/>
  <c r="AF788" i="18"/>
  <c r="AE788" i="18"/>
  <c r="AD788" i="18"/>
  <c r="AC788" i="18"/>
  <c r="AB788" i="18"/>
  <c r="AA788" i="18"/>
  <c r="Z788" i="18"/>
  <c r="Y788" i="18"/>
  <c r="X788" i="18"/>
  <c r="W788" i="18"/>
  <c r="V788" i="18"/>
  <c r="U788" i="18"/>
  <c r="T788" i="18"/>
  <c r="S788" i="18"/>
  <c r="R788" i="18"/>
  <c r="Q788" i="18"/>
  <c r="P788" i="18"/>
  <c r="O788" i="18"/>
  <c r="N788" i="18"/>
  <c r="M788" i="18"/>
  <c r="L788" i="18"/>
  <c r="K788" i="18"/>
  <c r="J788" i="18"/>
  <c r="I788" i="18"/>
  <c r="H788" i="18"/>
  <c r="G788" i="18"/>
  <c r="F788" i="18"/>
  <c r="E788" i="18"/>
  <c r="D788" i="18"/>
  <c r="C788" i="18"/>
  <c r="B788" i="18"/>
  <c r="A788" i="18"/>
  <c r="CX787" i="18"/>
  <c r="CW787" i="18"/>
  <c r="CV787" i="18"/>
  <c r="CU787" i="18"/>
  <c r="CT787" i="18"/>
  <c r="CS787" i="18"/>
  <c r="CR787" i="18"/>
  <c r="CQ787" i="18"/>
  <c r="CP787" i="18"/>
  <c r="CO787" i="18"/>
  <c r="CN787" i="18"/>
  <c r="CM787" i="18"/>
  <c r="CL787" i="18"/>
  <c r="CK787" i="18"/>
  <c r="CJ787" i="18"/>
  <c r="CI787" i="18"/>
  <c r="CH787" i="18"/>
  <c r="CG787" i="18"/>
  <c r="CF787" i="18"/>
  <c r="CE787" i="18"/>
  <c r="CD787" i="18"/>
  <c r="CC787" i="18"/>
  <c r="CB787" i="18"/>
  <c r="CA787" i="18"/>
  <c r="BZ787" i="18"/>
  <c r="BY787" i="18"/>
  <c r="BX787" i="18"/>
  <c r="BW787" i="18"/>
  <c r="BV787" i="18"/>
  <c r="BU787" i="18"/>
  <c r="BT787" i="18"/>
  <c r="BS787" i="18"/>
  <c r="BR787" i="18"/>
  <c r="BQ787" i="18"/>
  <c r="BP787" i="18"/>
  <c r="BO787" i="18"/>
  <c r="BN787" i="18"/>
  <c r="BM787" i="18"/>
  <c r="BL787" i="18"/>
  <c r="BK787" i="18"/>
  <c r="BJ787" i="18"/>
  <c r="BI787" i="18"/>
  <c r="BH787" i="18"/>
  <c r="BG787" i="18"/>
  <c r="BF787" i="18"/>
  <c r="BE787" i="18"/>
  <c r="BD787" i="18"/>
  <c r="BC787" i="18"/>
  <c r="BB787" i="18"/>
  <c r="BA787" i="18"/>
  <c r="AZ787" i="18"/>
  <c r="AY787" i="18"/>
  <c r="AX787" i="18"/>
  <c r="AW787" i="18"/>
  <c r="AV787" i="18"/>
  <c r="AU787" i="18"/>
  <c r="AT787" i="18"/>
  <c r="AS787" i="18"/>
  <c r="AR787" i="18"/>
  <c r="AQ787" i="18"/>
  <c r="AP787" i="18"/>
  <c r="AO787" i="18"/>
  <c r="AN787" i="18"/>
  <c r="AM787" i="18"/>
  <c r="AL787" i="18"/>
  <c r="AK787" i="18"/>
  <c r="AJ787" i="18"/>
  <c r="AI787" i="18"/>
  <c r="AH787" i="18"/>
  <c r="AG787" i="18"/>
  <c r="AF787" i="18"/>
  <c r="AE787" i="18"/>
  <c r="AD787" i="18"/>
  <c r="AC787" i="18"/>
  <c r="AB787" i="18"/>
  <c r="AA787" i="18"/>
  <c r="Z787" i="18"/>
  <c r="Y787" i="18"/>
  <c r="X787" i="18"/>
  <c r="W787" i="18"/>
  <c r="V787" i="18"/>
  <c r="U787" i="18"/>
  <c r="T787" i="18"/>
  <c r="S787" i="18"/>
  <c r="R787" i="18"/>
  <c r="Q787" i="18"/>
  <c r="P787" i="18"/>
  <c r="O787" i="18"/>
  <c r="N787" i="18"/>
  <c r="M787" i="18"/>
  <c r="L787" i="18"/>
  <c r="K787" i="18"/>
  <c r="J787" i="18"/>
  <c r="I787" i="18"/>
  <c r="H787" i="18"/>
  <c r="G787" i="18"/>
  <c r="F787" i="18"/>
  <c r="E787" i="18"/>
  <c r="D787" i="18"/>
  <c r="C787" i="18"/>
  <c r="B787" i="18"/>
  <c r="A787" i="18"/>
  <c r="CX786" i="18"/>
  <c r="CW786" i="18"/>
  <c r="CV786" i="18"/>
  <c r="CU786" i="18"/>
  <c r="CT786" i="18"/>
  <c r="CS786" i="18"/>
  <c r="CR786" i="18"/>
  <c r="CQ786" i="18"/>
  <c r="CP786" i="18"/>
  <c r="CO786" i="18"/>
  <c r="CN786" i="18"/>
  <c r="CM786" i="18"/>
  <c r="CL786" i="18"/>
  <c r="CK786" i="18"/>
  <c r="CJ786" i="18"/>
  <c r="CI786" i="18"/>
  <c r="CH786" i="18"/>
  <c r="CG786" i="18"/>
  <c r="CF786" i="18"/>
  <c r="CE786" i="18"/>
  <c r="CD786" i="18"/>
  <c r="CC786" i="18"/>
  <c r="CB786" i="18"/>
  <c r="CA786" i="18"/>
  <c r="BZ786" i="18"/>
  <c r="BY786" i="18"/>
  <c r="BX786" i="18"/>
  <c r="BW786" i="18"/>
  <c r="BV786" i="18"/>
  <c r="BU786" i="18"/>
  <c r="BT786" i="18"/>
  <c r="BS786" i="18"/>
  <c r="BR786" i="18"/>
  <c r="BQ786" i="18"/>
  <c r="BP786" i="18"/>
  <c r="BO786" i="18"/>
  <c r="BN786" i="18"/>
  <c r="BM786" i="18"/>
  <c r="BL786" i="18"/>
  <c r="BK786" i="18"/>
  <c r="BJ786" i="18"/>
  <c r="BI786" i="18"/>
  <c r="BH786" i="18"/>
  <c r="BG786" i="18"/>
  <c r="BF786" i="18"/>
  <c r="BE786" i="18"/>
  <c r="BD786" i="18"/>
  <c r="BC786" i="18"/>
  <c r="BB786" i="18"/>
  <c r="BA786" i="18"/>
  <c r="AZ786" i="18"/>
  <c r="AY786" i="18"/>
  <c r="AX786" i="18"/>
  <c r="AW786" i="18"/>
  <c r="AV786" i="18"/>
  <c r="AU786" i="18"/>
  <c r="AT786" i="18"/>
  <c r="AS786" i="18"/>
  <c r="AR786" i="18"/>
  <c r="AQ786" i="18"/>
  <c r="AP786" i="18"/>
  <c r="AO786" i="18"/>
  <c r="AN786" i="18"/>
  <c r="AM786" i="18"/>
  <c r="AL786" i="18"/>
  <c r="AK786" i="18"/>
  <c r="AJ786" i="18"/>
  <c r="AI786" i="18"/>
  <c r="AH786" i="18"/>
  <c r="AG786" i="18"/>
  <c r="AF786" i="18"/>
  <c r="AE786" i="18"/>
  <c r="AD786" i="18"/>
  <c r="AC786" i="18"/>
  <c r="AB786" i="18"/>
  <c r="AA786" i="18"/>
  <c r="Z786" i="18"/>
  <c r="Y786" i="18"/>
  <c r="X786" i="18"/>
  <c r="W786" i="18"/>
  <c r="V786" i="18"/>
  <c r="U786" i="18"/>
  <c r="T786" i="18"/>
  <c r="S786" i="18"/>
  <c r="R786" i="18"/>
  <c r="Q786" i="18"/>
  <c r="P786" i="18"/>
  <c r="O786" i="18"/>
  <c r="N786" i="18"/>
  <c r="M786" i="18"/>
  <c r="L786" i="18"/>
  <c r="K786" i="18"/>
  <c r="J786" i="18"/>
  <c r="I786" i="18"/>
  <c r="H786" i="18"/>
  <c r="G786" i="18"/>
  <c r="F786" i="18"/>
  <c r="E786" i="18"/>
  <c r="D786" i="18"/>
  <c r="C786" i="18"/>
  <c r="B786" i="18"/>
  <c r="A786" i="18"/>
  <c r="CX785" i="18"/>
  <c r="CW785" i="18"/>
  <c r="CV785" i="18"/>
  <c r="CU785" i="18"/>
  <c r="CT785" i="18"/>
  <c r="CS785" i="18"/>
  <c r="CR785" i="18"/>
  <c r="CI785" i="18"/>
  <c r="CH785" i="18"/>
  <c r="CG785" i="18"/>
  <c r="CF785" i="18"/>
  <c r="CE785" i="18"/>
  <c r="CD785" i="18"/>
  <c r="CC785" i="18"/>
  <c r="CB785" i="18"/>
  <c r="CA785" i="18"/>
  <c r="BZ785" i="18"/>
  <c r="BY785" i="18"/>
  <c r="BX785" i="18"/>
  <c r="BW785" i="18"/>
  <c r="BV785" i="18"/>
  <c r="BU785" i="18"/>
  <c r="BT785" i="18"/>
  <c r="BS785" i="18"/>
  <c r="BR785" i="18"/>
  <c r="BQ785" i="18"/>
  <c r="BP785" i="18"/>
  <c r="BO785" i="18"/>
  <c r="BN785" i="18"/>
  <c r="BM785" i="18"/>
  <c r="BL785" i="18"/>
  <c r="BK785" i="18"/>
  <c r="BJ785" i="18"/>
  <c r="BI785" i="18"/>
  <c r="BH785" i="18"/>
  <c r="BG785" i="18"/>
  <c r="BF785" i="18"/>
  <c r="BE785" i="18"/>
  <c r="BD785" i="18"/>
  <c r="BC785" i="18"/>
  <c r="BB785" i="18"/>
  <c r="BA785" i="18"/>
  <c r="AZ785" i="18"/>
  <c r="AY785" i="18"/>
  <c r="AX785" i="18"/>
  <c r="AW785" i="18"/>
  <c r="AV785" i="18"/>
  <c r="AU785" i="18"/>
  <c r="AT785" i="18"/>
  <c r="AS785" i="18"/>
  <c r="AR785" i="18"/>
  <c r="AQ785" i="18"/>
  <c r="AP785" i="18"/>
  <c r="AO785" i="18"/>
  <c r="AN785" i="18"/>
  <c r="AM785" i="18"/>
  <c r="AL785" i="18"/>
  <c r="AK785" i="18"/>
  <c r="AJ785" i="18"/>
  <c r="AI785" i="18"/>
  <c r="AH785" i="18"/>
  <c r="AG785" i="18"/>
  <c r="AF785" i="18"/>
  <c r="AE785" i="18"/>
  <c r="AD785" i="18"/>
  <c r="AC785" i="18"/>
  <c r="AB785" i="18"/>
  <c r="AA785" i="18"/>
  <c r="Z785" i="18"/>
  <c r="Y785" i="18"/>
  <c r="X785" i="18"/>
  <c r="W785" i="18"/>
  <c r="V785" i="18"/>
  <c r="U785" i="18"/>
  <c r="T785" i="18"/>
  <c r="S785" i="18"/>
  <c r="R785" i="18"/>
  <c r="Q785" i="18"/>
  <c r="P785" i="18"/>
  <c r="O785" i="18"/>
  <c r="N785" i="18"/>
  <c r="M785" i="18"/>
  <c r="L785" i="18"/>
  <c r="K785" i="18"/>
  <c r="J785" i="18"/>
  <c r="I785" i="18"/>
  <c r="H785" i="18"/>
  <c r="G785" i="18"/>
  <c r="F785" i="18"/>
  <c r="E785" i="18"/>
  <c r="D785" i="18"/>
  <c r="C785" i="18"/>
  <c r="B785" i="18"/>
  <c r="A785" i="18"/>
  <c r="CX784" i="18"/>
  <c r="CW784" i="18"/>
  <c r="CV784" i="18"/>
  <c r="CU784" i="18"/>
  <c r="CT784" i="18"/>
  <c r="CS784" i="18"/>
  <c r="CR784" i="18"/>
  <c r="CQ784" i="18"/>
  <c r="CP784" i="18"/>
  <c r="CO784" i="18"/>
  <c r="CN784" i="18"/>
  <c r="CM784" i="18"/>
  <c r="CL784" i="18"/>
  <c r="CK784" i="18"/>
  <c r="CJ784" i="18"/>
  <c r="CI784" i="18"/>
  <c r="CH784" i="18"/>
  <c r="CG784" i="18"/>
  <c r="CF784" i="18"/>
  <c r="CE784" i="18"/>
  <c r="CD784" i="18"/>
  <c r="CC784" i="18"/>
  <c r="CB784" i="18"/>
  <c r="CA784" i="18"/>
  <c r="BZ784" i="18"/>
  <c r="BY784" i="18"/>
  <c r="BX784" i="18"/>
  <c r="BW784" i="18"/>
  <c r="BV784" i="18"/>
  <c r="BU784" i="18"/>
  <c r="BT784" i="18"/>
  <c r="BS784" i="18"/>
  <c r="BR784" i="18"/>
  <c r="BQ784" i="18"/>
  <c r="BP784" i="18"/>
  <c r="BO784" i="18"/>
  <c r="BN784" i="18"/>
  <c r="BM784" i="18"/>
  <c r="BL784" i="18"/>
  <c r="BK784" i="18"/>
  <c r="BJ784" i="18"/>
  <c r="BI784" i="18"/>
  <c r="BH784" i="18"/>
  <c r="BG784" i="18"/>
  <c r="BF784" i="18"/>
  <c r="BE784" i="18"/>
  <c r="BD784" i="18"/>
  <c r="BC784" i="18"/>
  <c r="BB784" i="18"/>
  <c r="BA784" i="18"/>
  <c r="AZ784" i="18"/>
  <c r="AY784" i="18"/>
  <c r="AX784" i="18"/>
  <c r="AW784" i="18"/>
  <c r="AV784" i="18"/>
  <c r="AU784" i="18"/>
  <c r="AT784" i="18"/>
  <c r="AS784" i="18"/>
  <c r="AR784" i="18"/>
  <c r="AQ784" i="18"/>
  <c r="AP784" i="18"/>
  <c r="AO784" i="18"/>
  <c r="AN784" i="18"/>
  <c r="AM784" i="18"/>
  <c r="AL784" i="18"/>
  <c r="AK784" i="18"/>
  <c r="AJ784" i="18"/>
  <c r="AI784" i="18"/>
  <c r="AH784" i="18"/>
  <c r="AG784" i="18"/>
  <c r="AF784" i="18"/>
  <c r="AE784" i="18"/>
  <c r="AD784" i="18"/>
  <c r="AC784" i="18"/>
  <c r="AB784" i="18"/>
  <c r="AA784" i="18"/>
  <c r="Z784" i="18"/>
  <c r="Y784" i="18"/>
  <c r="X784" i="18"/>
  <c r="W784" i="18"/>
  <c r="V784" i="18"/>
  <c r="U784" i="18"/>
  <c r="T784" i="18"/>
  <c r="S784" i="18"/>
  <c r="R784" i="18"/>
  <c r="Q784" i="18"/>
  <c r="P784" i="18"/>
  <c r="O784" i="18"/>
  <c r="N784" i="18"/>
  <c r="M784" i="18"/>
  <c r="L784" i="18"/>
  <c r="K784" i="18"/>
  <c r="J784" i="18"/>
  <c r="I784" i="18"/>
  <c r="H784" i="18"/>
  <c r="G784" i="18"/>
  <c r="F784" i="18"/>
  <c r="E784" i="18"/>
  <c r="D784" i="18"/>
  <c r="C784" i="18"/>
  <c r="B784" i="18"/>
  <c r="A784" i="18"/>
  <c r="CX783" i="18"/>
  <c r="CW783" i="18"/>
  <c r="CV783" i="18"/>
  <c r="CU783" i="18"/>
  <c r="CT783" i="18"/>
  <c r="CS783" i="18"/>
  <c r="CR783" i="18"/>
  <c r="CQ783" i="18"/>
  <c r="CP783" i="18"/>
  <c r="CO783" i="18"/>
  <c r="CN783" i="18"/>
  <c r="CM783" i="18"/>
  <c r="CL783" i="18"/>
  <c r="CK783" i="18"/>
  <c r="CJ783" i="18"/>
  <c r="CI783" i="18"/>
  <c r="CH783" i="18"/>
  <c r="CG783" i="18"/>
  <c r="CF783" i="18"/>
  <c r="CE783" i="18"/>
  <c r="CD783" i="18"/>
  <c r="CC783" i="18"/>
  <c r="CB783" i="18"/>
  <c r="CA783" i="18"/>
  <c r="BZ783" i="18"/>
  <c r="BY783" i="18"/>
  <c r="BX783" i="18"/>
  <c r="BW783" i="18"/>
  <c r="BV783" i="18"/>
  <c r="BU783" i="18"/>
  <c r="BT783" i="18"/>
  <c r="BS783" i="18"/>
  <c r="BR783" i="18"/>
  <c r="BQ783" i="18"/>
  <c r="BP783" i="18"/>
  <c r="BO783" i="18"/>
  <c r="BN783" i="18"/>
  <c r="BM783" i="18"/>
  <c r="BL783" i="18"/>
  <c r="BK783" i="18"/>
  <c r="BJ783" i="18"/>
  <c r="BI783" i="18"/>
  <c r="BH783" i="18"/>
  <c r="BG783" i="18"/>
  <c r="BF783" i="18"/>
  <c r="BE783" i="18"/>
  <c r="BD783" i="18"/>
  <c r="BC783" i="18"/>
  <c r="BB783" i="18"/>
  <c r="BA783" i="18"/>
  <c r="AZ783" i="18"/>
  <c r="AY783" i="18"/>
  <c r="AX783" i="18"/>
  <c r="AW783" i="18"/>
  <c r="AV783" i="18"/>
  <c r="AU783" i="18"/>
  <c r="AT783" i="18"/>
  <c r="AS783" i="18"/>
  <c r="AR783" i="18"/>
  <c r="AQ783" i="18"/>
  <c r="AP783" i="18"/>
  <c r="AO783" i="18"/>
  <c r="AN783" i="18"/>
  <c r="AM783" i="18"/>
  <c r="AL783" i="18"/>
  <c r="AK783" i="18"/>
  <c r="AJ783" i="18"/>
  <c r="AI783" i="18"/>
  <c r="AH783" i="18"/>
  <c r="AG783" i="18"/>
  <c r="AF783" i="18"/>
  <c r="AE783" i="18"/>
  <c r="AD783" i="18"/>
  <c r="AC783" i="18"/>
  <c r="AB783" i="18"/>
  <c r="AA783" i="18"/>
  <c r="Z783" i="18"/>
  <c r="Y783" i="18"/>
  <c r="X783" i="18"/>
  <c r="W783" i="18"/>
  <c r="V783" i="18"/>
  <c r="U783" i="18"/>
  <c r="T783" i="18"/>
  <c r="S783" i="18"/>
  <c r="R783" i="18"/>
  <c r="Q783" i="18"/>
  <c r="P783" i="18"/>
  <c r="O783" i="18"/>
  <c r="N783" i="18"/>
  <c r="M783" i="18"/>
  <c r="L783" i="18"/>
  <c r="K783" i="18"/>
  <c r="J783" i="18"/>
  <c r="I783" i="18"/>
  <c r="H783" i="18"/>
  <c r="G783" i="18"/>
  <c r="F783" i="18"/>
  <c r="E783" i="18"/>
  <c r="D783" i="18"/>
  <c r="C783" i="18"/>
  <c r="B783" i="18"/>
  <c r="A783" i="18"/>
  <c r="CX782" i="18"/>
  <c r="CW782" i="18"/>
  <c r="CV782" i="18"/>
  <c r="CU782" i="18"/>
  <c r="CT782" i="18"/>
  <c r="CS782" i="18"/>
  <c r="CR782" i="18"/>
  <c r="CH782" i="18"/>
  <c r="CG782" i="18"/>
  <c r="CF782" i="18"/>
  <c r="CE782" i="18"/>
  <c r="CD782" i="18"/>
  <c r="CC782" i="18"/>
  <c r="CB782" i="18"/>
  <c r="CA782" i="18"/>
  <c r="BZ782" i="18"/>
  <c r="BY782" i="18"/>
  <c r="BX782" i="18"/>
  <c r="BW782" i="18"/>
  <c r="BV782" i="18"/>
  <c r="BU782" i="18"/>
  <c r="BT782" i="18"/>
  <c r="BS782" i="18"/>
  <c r="BR782" i="18"/>
  <c r="BQ782" i="18"/>
  <c r="BP782" i="18"/>
  <c r="BO782" i="18"/>
  <c r="BN782" i="18"/>
  <c r="BM782" i="18"/>
  <c r="BL782" i="18"/>
  <c r="BK782" i="18"/>
  <c r="BJ782" i="18"/>
  <c r="BI782" i="18"/>
  <c r="BH782" i="18"/>
  <c r="BG782" i="18"/>
  <c r="BF782" i="18"/>
  <c r="BE782" i="18"/>
  <c r="BD782" i="18"/>
  <c r="BC782" i="18"/>
  <c r="BB782" i="18"/>
  <c r="BA782" i="18"/>
  <c r="AZ782" i="18"/>
  <c r="AY782" i="18"/>
  <c r="AX782" i="18"/>
  <c r="AW782" i="18"/>
  <c r="AV782" i="18"/>
  <c r="AU782" i="18"/>
  <c r="AT782" i="18"/>
  <c r="AS782" i="18"/>
  <c r="AR782" i="18"/>
  <c r="AQ782" i="18"/>
  <c r="AP782" i="18"/>
  <c r="AO782" i="18"/>
  <c r="AN782" i="18"/>
  <c r="AM782" i="18"/>
  <c r="AL782" i="18"/>
  <c r="AK782" i="18"/>
  <c r="AJ782" i="18"/>
  <c r="AI782" i="18"/>
  <c r="AH782" i="18"/>
  <c r="AG782" i="18"/>
  <c r="AF782" i="18"/>
  <c r="AE782" i="18"/>
  <c r="AD782" i="18"/>
  <c r="AC782" i="18"/>
  <c r="AB782" i="18"/>
  <c r="AA782" i="18"/>
  <c r="Z782" i="18"/>
  <c r="Y782" i="18"/>
  <c r="X782" i="18"/>
  <c r="W782" i="18"/>
  <c r="V782" i="18"/>
  <c r="U782" i="18"/>
  <c r="T782" i="18"/>
  <c r="S782" i="18"/>
  <c r="R782" i="18"/>
  <c r="Q782" i="18"/>
  <c r="P782" i="18"/>
  <c r="O782" i="18"/>
  <c r="N782" i="18"/>
  <c r="M782" i="18"/>
  <c r="L782" i="18"/>
  <c r="K782" i="18"/>
  <c r="J782" i="18"/>
  <c r="I782" i="18"/>
  <c r="H782" i="18"/>
  <c r="G782" i="18"/>
  <c r="F782" i="18"/>
  <c r="E782" i="18"/>
  <c r="D782" i="18"/>
  <c r="C782" i="18"/>
  <c r="B782" i="18"/>
  <c r="A782" i="18"/>
  <c r="CX781" i="18"/>
  <c r="CW781" i="18"/>
  <c r="CV781" i="18"/>
  <c r="CU781" i="18"/>
  <c r="CT781" i="18"/>
  <c r="CS781" i="18"/>
  <c r="CR781" i="18"/>
  <c r="CJ781" i="18"/>
  <c r="CH781" i="18"/>
  <c r="CG781" i="18"/>
  <c r="CF781" i="18"/>
  <c r="CE781" i="18"/>
  <c r="CD781" i="18"/>
  <c r="CC781" i="18"/>
  <c r="CB781" i="18"/>
  <c r="CA781" i="18"/>
  <c r="BZ781" i="18"/>
  <c r="BY781" i="18"/>
  <c r="BX781" i="18"/>
  <c r="BW781" i="18"/>
  <c r="BV781" i="18"/>
  <c r="BU781" i="18"/>
  <c r="BT781" i="18"/>
  <c r="BS781" i="18"/>
  <c r="BR781" i="18"/>
  <c r="BQ781" i="18"/>
  <c r="BP781" i="18"/>
  <c r="BO781" i="18"/>
  <c r="BN781" i="18"/>
  <c r="BM781" i="18"/>
  <c r="BL781" i="18"/>
  <c r="BK781" i="18"/>
  <c r="BJ781" i="18"/>
  <c r="BI781" i="18"/>
  <c r="BH781" i="18"/>
  <c r="BG781" i="18"/>
  <c r="BF781" i="18"/>
  <c r="BE781" i="18"/>
  <c r="BD781" i="18"/>
  <c r="BC781" i="18"/>
  <c r="BB781" i="18"/>
  <c r="BA781" i="18"/>
  <c r="AZ781" i="18"/>
  <c r="AY781" i="18"/>
  <c r="AX781" i="18"/>
  <c r="AW781" i="18"/>
  <c r="AV781" i="18"/>
  <c r="AU781" i="18"/>
  <c r="AT781" i="18"/>
  <c r="AS781" i="18"/>
  <c r="AR781" i="18"/>
  <c r="AQ781" i="18"/>
  <c r="AP781" i="18"/>
  <c r="AO781" i="18"/>
  <c r="AN781" i="18"/>
  <c r="AM781" i="18"/>
  <c r="AL781" i="18"/>
  <c r="AK781" i="18"/>
  <c r="AJ781" i="18"/>
  <c r="AI781" i="18"/>
  <c r="AH781" i="18"/>
  <c r="AG781" i="18"/>
  <c r="AF781" i="18"/>
  <c r="AE781" i="18"/>
  <c r="AD781" i="18"/>
  <c r="AC781" i="18"/>
  <c r="AB781" i="18"/>
  <c r="AA781" i="18"/>
  <c r="Z781" i="18"/>
  <c r="Y781" i="18"/>
  <c r="X781" i="18"/>
  <c r="W781" i="18"/>
  <c r="V781" i="18"/>
  <c r="U781" i="18"/>
  <c r="T781" i="18"/>
  <c r="S781" i="18"/>
  <c r="R781" i="18"/>
  <c r="Q781" i="18"/>
  <c r="P781" i="18"/>
  <c r="O781" i="18"/>
  <c r="N781" i="18"/>
  <c r="M781" i="18"/>
  <c r="L781" i="18"/>
  <c r="K781" i="18"/>
  <c r="J781" i="18"/>
  <c r="I781" i="18"/>
  <c r="H781" i="18"/>
  <c r="G781" i="18"/>
  <c r="F781" i="18"/>
  <c r="E781" i="18"/>
  <c r="D781" i="18"/>
  <c r="C781" i="18"/>
  <c r="B781" i="18"/>
  <c r="A781" i="18"/>
  <c r="CO780" i="18"/>
  <c r="CN780" i="18"/>
  <c r="CM780" i="18"/>
  <c r="CL780" i="18"/>
  <c r="CK780" i="18"/>
  <c r="CJ780" i="18"/>
  <c r="CI780" i="18"/>
  <c r="CH780" i="18"/>
  <c r="CG780" i="18"/>
  <c r="CF780" i="18"/>
  <c r="CE780" i="18"/>
  <c r="CD780" i="18"/>
  <c r="CC780" i="18"/>
  <c r="CB780" i="18"/>
  <c r="CA780" i="18"/>
  <c r="BZ780" i="18"/>
  <c r="BY780" i="18"/>
  <c r="BX780" i="18"/>
  <c r="BW780" i="18"/>
  <c r="BV780" i="18"/>
  <c r="BU780" i="18"/>
  <c r="BT780" i="18"/>
  <c r="BS780" i="18"/>
  <c r="BR780" i="18"/>
  <c r="BQ780" i="18"/>
  <c r="BP780" i="18"/>
  <c r="BO780" i="18"/>
  <c r="BN780" i="18"/>
  <c r="BM780" i="18"/>
  <c r="BL780" i="18"/>
  <c r="BK780" i="18"/>
  <c r="BJ780" i="18"/>
  <c r="BI780" i="18"/>
  <c r="BH780" i="18"/>
  <c r="BG780" i="18"/>
  <c r="BF780" i="18"/>
  <c r="BE780" i="18"/>
  <c r="BD780" i="18"/>
  <c r="BC780" i="18"/>
  <c r="BB780" i="18"/>
  <c r="BA780" i="18"/>
  <c r="AZ780" i="18"/>
  <c r="AY780" i="18"/>
  <c r="AX780" i="18"/>
  <c r="AW780" i="18"/>
  <c r="AV780" i="18"/>
  <c r="AU780" i="18"/>
  <c r="AT780" i="18"/>
  <c r="AS780" i="18"/>
  <c r="AR780" i="18"/>
  <c r="AQ780" i="18"/>
  <c r="AP780" i="18"/>
  <c r="AO780" i="18"/>
  <c r="AN780" i="18"/>
  <c r="AM780" i="18"/>
  <c r="AL780" i="18"/>
  <c r="AK780" i="18"/>
  <c r="AJ780" i="18"/>
  <c r="AI780" i="18"/>
  <c r="AH780" i="18"/>
  <c r="AG780" i="18"/>
  <c r="AF780" i="18"/>
  <c r="AE780" i="18"/>
  <c r="AD780" i="18"/>
  <c r="AC780" i="18"/>
  <c r="AB780" i="18"/>
  <c r="AA780" i="18"/>
  <c r="Z780" i="18"/>
  <c r="Y780" i="18"/>
  <c r="X780" i="18"/>
  <c r="W780" i="18"/>
  <c r="V780" i="18"/>
  <c r="U780" i="18"/>
  <c r="T780" i="18"/>
  <c r="S780" i="18"/>
  <c r="R780" i="18"/>
  <c r="Q780" i="18"/>
  <c r="P780" i="18"/>
  <c r="O780" i="18"/>
  <c r="N780" i="18"/>
  <c r="M780" i="18"/>
  <c r="L780" i="18"/>
  <c r="K780" i="18"/>
  <c r="J780" i="18"/>
  <c r="I780" i="18"/>
  <c r="H780" i="18"/>
  <c r="G780" i="18"/>
  <c r="F780" i="18"/>
  <c r="E780" i="18"/>
  <c r="D780" i="18"/>
  <c r="C780" i="18"/>
  <c r="B780" i="18"/>
  <c r="A780" i="18"/>
  <c r="CH779" i="18"/>
  <c r="CG779" i="18"/>
  <c r="CF779" i="18"/>
  <c r="CE779" i="18"/>
  <c r="CD779" i="18"/>
  <c r="CC779" i="18"/>
  <c r="CB779" i="18"/>
  <c r="CA779" i="18"/>
  <c r="BZ779" i="18"/>
  <c r="BY779" i="18"/>
  <c r="BX779" i="18"/>
  <c r="BW779" i="18"/>
  <c r="BV779" i="18"/>
  <c r="BU779" i="18"/>
  <c r="BT779" i="18"/>
  <c r="BS779" i="18"/>
  <c r="BR779" i="18"/>
  <c r="BQ779" i="18"/>
  <c r="BP779" i="18"/>
  <c r="BO779" i="18"/>
  <c r="BN779" i="18"/>
  <c r="BM779" i="18"/>
  <c r="BL779" i="18"/>
  <c r="BK779" i="18"/>
  <c r="BJ779" i="18"/>
  <c r="BI779" i="18"/>
  <c r="BH779" i="18"/>
  <c r="BG779" i="18"/>
  <c r="BF779" i="18"/>
  <c r="BE779" i="18"/>
  <c r="BD779" i="18"/>
  <c r="BC779" i="18"/>
  <c r="BB779" i="18"/>
  <c r="BA779" i="18"/>
  <c r="AZ779" i="18"/>
  <c r="AY779" i="18"/>
  <c r="AX779" i="18"/>
  <c r="AW779" i="18"/>
  <c r="AV779" i="18"/>
  <c r="AU779" i="18"/>
  <c r="AT779" i="18"/>
  <c r="AS779" i="18"/>
  <c r="AR779" i="18"/>
  <c r="AQ779" i="18"/>
  <c r="AP779" i="18"/>
  <c r="AO779" i="18"/>
  <c r="AN779" i="18"/>
  <c r="AM779" i="18"/>
  <c r="AL779" i="18"/>
  <c r="AK779" i="18"/>
  <c r="AJ779" i="18"/>
  <c r="AI779" i="18"/>
  <c r="AH779" i="18"/>
  <c r="AG779" i="18"/>
  <c r="AF779" i="18"/>
  <c r="AE779" i="18"/>
  <c r="AD779" i="18"/>
  <c r="AC779" i="18"/>
  <c r="AB779" i="18"/>
  <c r="AA779" i="18"/>
  <c r="Z779" i="18"/>
  <c r="Y779" i="18"/>
  <c r="X779" i="18"/>
  <c r="W779" i="18"/>
  <c r="V779" i="18"/>
  <c r="U779" i="18"/>
  <c r="T779" i="18"/>
  <c r="S779" i="18"/>
  <c r="R779" i="18"/>
  <c r="Q779" i="18"/>
  <c r="P779" i="18"/>
  <c r="O779" i="18"/>
  <c r="N779" i="18"/>
  <c r="M779" i="18"/>
  <c r="L779" i="18"/>
  <c r="K779" i="18"/>
  <c r="J779" i="18"/>
  <c r="I779" i="18"/>
  <c r="H779" i="18"/>
  <c r="G779" i="18"/>
  <c r="F779" i="18"/>
  <c r="E779" i="18"/>
  <c r="D779" i="18"/>
  <c r="C779" i="18"/>
  <c r="B779" i="18"/>
  <c r="A779" i="18"/>
  <c r="CH778" i="18"/>
  <c r="CG778" i="18"/>
  <c r="CF778" i="18"/>
  <c r="CE778" i="18"/>
  <c r="CD778" i="18"/>
  <c r="CC778" i="18"/>
  <c r="CB778" i="18"/>
  <c r="CA778" i="18"/>
  <c r="BZ778" i="18"/>
  <c r="BY778" i="18"/>
  <c r="BX778" i="18"/>
  <c r="BW778" i="18"/>
  <c r="BV778" i="18"/>
  <c r="BU778" i="18"/>
  <c r="BT778" i="18"/>
  <c r="BS778" i="18"/>
  <c r="BR778" i="18"/>
  <c r="BQ778" i="18"/>
  <c r="BP778" i="18"/>
  <c r="BO778" i="18"/>
  <c r="BN778" i="18"/>
  <c r="BM778" i="18"/>
  <c r="BL778" i="18"/>
  <c r="BK778" i="18"/>
  <c r="BJ778" i="18"/>
  <c r="BI778" i="18"/>
  <c r="BH778" i="18"/>
  <c r="BG778" i="18"/>
  <c r="BF778" i="18"/>
  <c r="BE778" i="18"/>
  <c r="BD778" i="18"/>
  <c r="BC778" i="18"/>
  <c r="BB778" i="18"/>
  <c r="BA778" i="18"/>
  <c r="AZ778" i="18"/>
  <c r="AY778" i="18"/>
  <c r="AX778" i="18"/>
  <c r="AW778" i="18"/>
  <c r="AV778" i="18"/>
  <c r="AU778" i="18"/>
  <c r="AT778" i="18"/>
  <c r="AS778" i="18"/>
  <c r="AR778" i="18"/>
  <c r="AQ778" i="18"/>
  <c r="AP778" i="18"/>
  <c r="AO778" i="18"/>
  <c r="AN778" i="18"/>
  <c r="AM778" i="18"/>
  <c r="AL778" i="18"/>
  <c r="AK778" i="18"/>
  <c r="AJ778" i="18"/>
  <c r="AI778" i="18"/>
  <c r="AH778" i="18"/>
  <c r="AG778" i="18"/>
  <c r="AF778" i="18"/>
  <c r="AE778" i="18"/>
  <c r="AD778" i="18"/>
  <c r="AC778" i="18"/>
  <c r="AB778" i="18"/>
  <c r="AA778" i="18"/>
  <c r="Z778" i="18"/>
  <c r="Y778" i="18"/>
  <c r="X778" i="18"/>
  <c r="W778" i="18"/>
  <c r="V778" i="18"/>
  <c r="U778" i="18"/>
  <c r="T778" i="18"/>
  <c r="S778" i="18"/>
  <c r="R778" i="18"/>
  <c r="Q778" i="18"/>
  <c r="P778" i="18"/>
  <c r="O778" i="18"/>
  <c r="N778" i="18"/>
  <c r="M778" i="18"/>
  <c r="L778" i="18"/>
  <c r="K778" i="18"/>
  <c r="J778" i="18"/>
  <c r="I778" i="18"/>
  <c r="H778" i="18"/>
  <c r="G778" i="18"/>
  <c r="F778" i="18"/>
  <c r="E778" i="18"/>
  <c r="D778" i="18"/>
  <c r="C778" i="18"/>
  <c r="B778" i="18"/>
  <c r="A778" i="18"/>
  <c r="CH777" i="18"/>
  <c r="CG777" i="18"/>
  <c r="CF777" i="18"/>
  <c r="CE777" i="18"/>
  <c r="CD777" i="18"/>
  <c r="CC777" i="18"/>
  <c r="CB777" i="18"/>
  <c r="CA777" i="18"/>
  <c r="BZ777" i="18"/>
  <c r="BY777" i="18"/>
  <c r="BX777" i="18"/>
  <c r="BW777" i="18"/>
  <c r="BV777" i="18"/>
  <c r="BU777" i="18"/>
  <c r="BT777" i="18"/>
  <c r="BS777" i="18"/>
  <c r="BR777" i="18"/>
  <c r="BQ777" i="18"/>
  <c r="BP777" i="18"/>
  <c r="BO777" i="18"/>
  <c r="BN777" i="18"/>
  <c r="BM777" i="18"/>
  <c r="BL777" i="18"/>
  <c r="BK777" i="18"/>
  <c r="BJ777" i="18"/>
  <c r="BI777" i="18"/>
  <c r="BH777" i="18"/>
  <c r="BG777" i="18"/>
  <c r="BF777" i="18"/>
  <c r="BE777" i="18"/>
  <c r="BD777" i="18"/>
  <c r="BC777" i="18"/>
  <c r="BB777" i="18"/>
  <c r="BA777" i="18"/>
  <c r="AZ777" i="18"/>
  <c r="AY777" i="18"/>
  <c r="AX777" i="18"/>
  <c r="AW777" i="18"/>
  <c r="AV777" i="18"/>
  <c r="AU777" i="18"/>
  <c r="AT777" i="18"/>
  <c r="AS777" i="18"/>
  <c r="AR777" i="18"/>
  <c r="AQ777" i="18"/>
  <c r="AP777" i="18"/>
  <c r="AO777" i="18"/>
  <c r="AN777" i="18"/>
  <c r="AM777" i="18"/>
  <c r="AL777" i="18"/>
  <c r="AK777" i="18"/>
  <c r="AJ777" i="18"/>
  <c r="AI777" i="18"/>
  <c r="AH777" i="18"/>
  <c r="AG777" i="18"/>
  <c r="AF777" i="18"/>
  <c r="AE777" i="18"/>
  <c r="AD777" i="18"/>
  <c r="AC777" i="18"/>
  <c r="AB777" i="18"/>
  <c r="AA777" i="18"/>
  <c r="Z777" i="18"/>
  <c r="Y777" i="18"/>
  <c r="X777" i="18"/>
  <c r="W777" i="18"/>
  <c r="V777" i="18"/>
  <c r="U777" i="18"/>
  <c r="T777" i="18"/>
  <c r="S777" i="18"/>
  <c r="R777" i="18"/>
  <c r="Q777" i="18"/>
  <c r="P777" i="18"/>
  <c r="O777" i="18"/>
  <c r="N777" i="18"/>
  <c r="M777" i="18"/>
  <c r="L777" i="18"/>
  <c r="K777" i="18"/>
  <c r="J777" i="18"/>
  <c r="I777" i="18"/>
  <c r="H777" i="18"/>
  <c r="G777" i="18"/>
  <c r="F777" i="18"/>
  <c r="E777" i="18"/>
  <c r="D777" i="18"/>
  <c r="C777" i="18"/>
  <c r="B777" i="18"/>
  <c r="A777" i="18"/>
  <c r="CH776" i="18"/>
  <c r="CG776" i="18"/>
  <c r="CF776" i="18"/>
  <c r="CE776" i="18"/>
  <c r="CD776" i="18"/>
  <c r="CC776" i="18"/>
  <c r="CB776" i="18"/>
  <c r="CA776" i="18"/>
  <c r="BZ776" i="18"/>
  <c r="BY776" i="18"/>
  <c r="BX776" i="18"/>
  <c r="BW776" i="18"/>
  <c r="BV776" i="18"/>
  <c r="BU776" i="18"/>
  <c r="BT776" i="18"/>
  <c r="BS776" i="18"/>
  <c r="BR776" i="18"/>
  <c r="BQ776" i="18"/>
  <c r="BP776" i="18"/>
  <c r="BO776" i="18"/>
  <c r="BN776" i="18"/>
  <c r="BM776" i="18"/>
  <c r="BL776" i="18"/>
  <c r="BK776" i="18"/>
  <c r="BJ776" i="18"/>
  <c r="BI776" i="18"/>
  <c r="BH776" i="18"/>
  <c r="BG776" i="18"/>
  <c r="BF776" i="18"/>
  <c r="BE776" i="18"/>
  <c r="BD776" i="18"/>
  <c r="BC776" i="18"/>
  <c r="BB776" i="18"/>
  <c r="BA776" i="18"/>
  <c r="AZ776" i="18"/>
  <c r="AY776" i="18"/>
  <c r="AX776" i="18"/>
  <c r="AW776" i="18"/>
  <c r="AV776" i="18"/>
  <c r="AU776" i="18"/>
  <c r="AT776" i="18"/>
  <c r="AS776" i="18"/>
  <c r="AR776" i="18"/>
  <c r="AQ776" i="18"/>
  <c r="AP776" i="18"/>
  <c r="AO776" i="18"/>
  <c r="AN776" i="18"/>
  <c r="AM776" i="18"/>
  <c r="AL776" i="18"/>
  <c r="AK776" i="18"/>
  <c r="AJ776" i="18"/>
  <c r="AI776" i="18"/>
  <c r="AH776" i="18"/>
  <c r="AG776" i="18"/>
  <c r="AF776" i="18"/>
  <c r="AE776" i="18"/>
  <c r="AD776" i="18"/>
  <c r="AC776" i="18"/>
  <c r="AB776" i="18"/>
  <c r="AA776" i="18"/>
  <c r="Z776" i="18"/>
  <c r="Y776" i="18"/>
  <c r="X776" i="18"/>
  <c r="W776" i="18"/>
  <c r="V776" i="18"/>
  <c r="U776" i="18"/>
  <c r="T776" i="18"/>
  <c r="S776" i="18"/>
  <c r="R776" i="18"/>
  <c r="Q776" i="18"/>
  <c r="P776" i="18"/>
  <c r="O776" i="18"/>
  <c r="N776" i="18"/>
  <c r="M776" i="18"/>
  <c r="L776" i="18"/>
  <c r="K776" i="18"/>
  <c r="J776" i="18"/>
  <c r="I776" i="18"/>
  <c r="H776" i="18"/>
  <c r="G776" i="18"/>
  <c r="F776" i="18"/>
  <c r="E776" i="18"/>
  <c r="D776" i="18"/>
  <c r="C776" i="18"/>
  <c r="B776" i="18"/>
  <c r="A776" i="18"/>
  <c r="CP776" i="18"/>
  <c r="CO776" i="18"/>
  <c r="CN776" i="18"/>
  <c r="CM776" i="18"/>
  <c r="CP775" i="18"/>
  <c r="CO775" i="18"/>
  <c r="CN775" i="18"/>
  <c r="CM775" i="18"/>
  <c r="CP771" i="18"/>
  <c r="CO771" i="18"/>
  <c r="CN771" i="18"/>
  <c r="CM771" i="18"/>
  <c r="CP770" i="18"/>
  <c r="CO770" i="18"/>
  <c r="CN770" i="18"/>
  <c r="CM770" i="18"/>
  <c r="CP768" i="18"/>
  <c r="CO768" i="18"/>
  <c r="CN768" i="18"/>
  <c r="CM768" i="18"/>
  <c r="CL775" i="18"/>
  <c r="CK775" i="18"/>
  <c r="CJ775" i="18"/>
  <c r="CI775" i="18"/>
  <c r="CH775" i="18"/>
  <c r="CG775" i="18"/>
  <c r="CF775" i="18"/>
  <c r="CE775" i="18"/>
  <c r="CD775" i="18"/>
  <c r="CC775" i="18"/>
  <c r="CB775" i="18"/>
  <c r="CA775" i="18"/>
  <c r="BZ775" i="18"/>
  <c r="BY775" i="18"/>
  <c r="BX775" i="18"/>
  <c r="BW775" i="18"/>
  <c r="BV775" i="18"/>
  <c r="BU775" i="18"/>
  <c r="BT775" i="18"/>
  <c r="BS775" i="18"/>
  <c r="BR775" i="18"/>
  <c r="BQ775" i="18"/>
  <c r="BP775" i="18"/>
  <c r="BO775" i="18"/>
  <c r="BN775" i="18"/>
  <c r="BM775" i="18"/>
  <c r="BL775" i="18"/>
  <c r="BK775" i="18"/>
  <c r="BJ775" i="18"/>
  <c r="BI775" i="18"/>
  <c r="BH775" i="18"/>
  <c r="BG775" i="18"/>
  <c r="BF775" i="18"/>
  <c r="BE775" i="18"/>
  <c r="BD775" i="18"/>
  <c r="BC775" i="18"/>
  <c r="BB775" i="18"/>
  <c r="BA775" i="18"/>
  <c r="AZ775" i="18"/>
  <c r="AY775" i="18"/>
  <c r="AX775" i="18"/>
  <c r="AW775" i="18"/>
  <c r="AV775" i="18"/>
  <c r="AU775" i="18"/>
  <c r="AT775" i="18"/>
  <c r="AS775" i="18"/>
  <c r="AR775" i="18"/>
  <c r="AQ775" i="18"/>
  <c r="AP775" i="18"/>
  <c r="AO775" i="18"/>
  <c r="AN775" i="18"/>
  <c r="AM775" i="18"/>
  <c r="AL775" i="18"/>
  <c r="AK775" i="18"/>
  <c r="AJ775" i="18"/>
  <c r="AI775" i="18"/>
  <c r="AH775" i="18"/>
  <c r="AG775" i="18"/>
  <c r="AF775" i="18"/>
  <c r="AE775" i="18"/>
  <c r="AD775" i="18"/>
  <c r="AC775" i="18"/>
  <c r="AB775" i="18"/>
  <c r="AA775" i="18"/>
  <c r="Z775" i="18"/>
  <c r="Y775" i="18"/>
  <c r="X775" i="18"/>
  <c r="W775" i="18"/>
  <c r="V775" i="18"/>
  <c r="U775" i="18"/>
  <c r="T775" i="18"/>
  <c r="S775" i="18"/>
  <c r="R775" i="18"/>
  <c r="Q775" i="18"/>
  <c r="P775" i="18"/>
  <c r="O775" i="18"/>
  <c r="N775" i="18"/>
  <c r="M775" i="18"/>
  <c r="L775" i="18"/>
  <c r="K775" i="18"/>
  <c r="J775" i="18"/>
  <c r="I775" i="18"/>
  <c r="H775" i="18"/>
  <c r="G775" i="18"/>
  <c r="F775" i="18"/>
  <c r="E775" i="18"/>
  <c r="D775" i="18"/>
  <c r="C775" i="18"/>
  <c r="B775" i="18"/>
  <c r="A775" i="18"/>
  <c r="CJ774" i="18"/>
  <c r="CI774" i="18"/>
  <c r="CH774" i="18"/>
  <c r="CG774" i="18"/>
  <c r="CF774" i="18"/>
  <c r="CE774" i="18"/>
  <c r="CD774" i="18"/>
  <c r="CC774" i="18"/>
  <c r="CB774" i="18"/>
  <c r="CA774" i="18"/>
  <c r="BZ774" i="18"/>
  <c r="BY774" i="18"/>
  <c r="BX774" i="18"/>
  <c r="BW774" i="18"/>
  <c r="BV774" i="18"/>
  <c r="BU774" i="18"/>
  <c r="BT774" i="18"/>
  <c r="BS774" i="18"/>
  <c r="BR774" i="18"/>
  <c r="BQ774" i="18"/>
  <c r="BP774" i="18"/>
  <c r="BO774" i="18"/>
  <c r="BN774" i="18"/>
  <c r="BM774" i="18"/>
  <c r="BL774" i="18"/>
  <c r="BK774" i="18"/>
  <c r="BJ774" i="18"/>
  <c r="BI774" i="18"/>
  <c r="BH774" i="18"/>
  <c r="BG774" i="18"/>
  <c r="BF774" i="18"/>
  <c r="BE774" i="18"/>
  <c r="BD774" i="18"/>
  <c r="BC774" i="18"/>
  <c r="BB774" i="18"/>
  <c r="BA774" i="18"/>
  <c r="AZ774" i="18"/>
  <c r="AY774" i="18"/>
  <c r="AX774" i="18"/>
  <c r="AW774" i="18"/>
  <c r="AV774" i="18"/>
  <c r="AU774" i="18"/>
  <c r="AT774" i="18"/>
  <c r="AS774" i="18"/>
  <c r="AR774" i="18"/>
  <c r="AQ774" i="18"/>
  <c r="AP774" i="18"/>
  <c r="AO774" i="18"/>
  <c r="AN774" i="18"/>
  <c r="AM774" i="18"/>
  <c r="AL774" i="18"/>
  <c r="AK774" i="18"/>
  <c r="AJ774" i="18"/>
  <c r="AI774" i="18"/>
  <c r="AH774" i="18"/>
  <c r="AG774" i="18"/>
  <c r="AF774" i="18"/>
  <c r="AE774" i="18"/>
  <c r="AD774" i="18"/>
  <c r="AC774" i="18"/>
  <c r="AB774" i="18"/>
  <c r="AA774" i="18"/>
  <c r="Z774" i="18"/>
  <c r="Y774" i="18"/>
  <c r="X774" i="18"/>
  <c r="W774" i="18"/>
  <c r="V774" i="18"/>
  <c r="U774" i="18"/>
  <c r="T774" i="18"/>
  <c r="S774" i="18"/>
  <c r="R774" i="18"/>
  <c r="Q774" i="18"/>
  <c r="P774" i="18"/>
  <c r="O774" i="18"/>
  <c r="N774" i="18"/>
  <c r="M774" i="18"/>
  <c r="L774" i="18"/>
  <c r="K774" i="18"/>
  <c r="J774" i="18"/>
  <c r="I774" i="18"/>
  <c r="H774" i="18"/>
  <c r="G774" i="18"/>
  <c r="F774" i="18"/>
  <c r="E774" i="18"/>
  <c r="D774" i="18"/>
  <c r="C774" i="18"/>
  <c r="B774" i="18"/>
  <c r="A774" i="18"/>
  <c r="CH773" i="18"/>
  <c r="CG773" i="18"/>
  <c r="CF773" i="18"/>
  <c r="CE773" i="18"/>
  <c r="CD773" i="18"/>
  <c r="CC773" i="18"/>
  <c r="CB773" i="18"/>
  <c r="CA773" i="18"/>
  <c r="BZ773" i="18"/>
  <c r="BY773" i="18"/>
  <c r="BX773" i="18"/>
  <c r="BW773" i="18"/>
  <c r="BV773" i="18"/>
  <c r="BU773" i="18"/>
  <c r="BT773" i="18"/>
  <c r="BS773" i="18"/>
  <c r="BR773" i="18"/>
  <c r="BQ773" i="18"/>
  <c r="BP773" i="18"/>
  <c r="BO773" i="18"/>
  <c r="BN773" i="18"/>
  <c r="BM773" i="18"/>
  <c r="BL773" i="18"/>
  <c r="BK773" i="18"/>
  <c r="BJ773" i="18"/>
  <c r="BI773" i="18"/>
  <c r="BH773" i="18"/>
  <c r="BG773" i="18"/>
  <c r="BF773" i="18"/>
  <c r="BE773" i="18"/>
  <c r="BD773" i="18"/>
  <c r="BC773" i="18"/>
  <c r="BB773" i="18"/>
  <c r="BA773" i="18"/>
  <c r="AZ773" i="18"/>
  <c r="AY773" i="18"/>
  <c r="AX773" i="18"/>
  <c r="AW773" i="18"/>
  <c r="AV773" i="18"/>
  <c r="AU773" i="18"/>
  <c r="AT773" i="18"/>
  <c r="AS773" i="18"/>
  <c r="AR773" i="18"/>
  <c r="AQ773" i="18"/>
  <c r="AP773" i="18"/>
  <c r="AO773" i="18"/>
  <c r="AN773" i="18"/>
  <c r="AM773" i="18"/>
  <c r="AL773" i="18"/>
  <c r="AK773" i="18"/>
  <c r="AJ773" i="18"/>
  <c r="AI773" i="18"/>
  <c r="AH773" i="18"/>
  <c r="AG773" i="18"/>
  <c r="AF773" i="18"/>
  <c r="AE773" i="18"/>
  <c r="AD773" i="18"/>
  <c r="AC773" i="18"/>
  <c r="AB773" i="18"/>
  <c r="AA773" i="18"/>
  <c r="Z773" i="18"/>
  <c r="Y773" i="18"/>
  <c r="X773" i="18"/>
  <c r="W773" i="18"/>
  <c r="V773" i="18"/>
  <c r="U773" i="18"/>
  <c r="T773" i="18"/>
  <c r="S773" i="18"/>
  <c r="R773" i="18"/>
  <c r="Q773" i="18"/>
  <c r="P773" i="18"/>
  <c r="O773" i="18"/>
  <c r="N773" i="18"/>
  <c r="M773" i="18"/>
  <c r="L773" i="18"/>
  <c r="K773" i="18"/>
  <c r="J773" i="18"/>
  <c r="I773" i="18"/>
  <c r="H773" i="18"/>
  <c r="G773" i="18"/>
  <c r="F773" i="18"/>
  <c r="E773" i="18"/>
  <c r="D773" i="18"/>
  <c r="C773" i="18"/>
  <c r="B773" i="18"/>
  <c r="A773" i="18"/>
  <c r="CI772" i="18"/>
  <c r="CH772" i="18"/>
  <c r="CG772" i="18"/>
  <c r="CF772" i="18"/>
  <c r="CE772" i="18"/>
  <c r="CD772" i="18"/>
  <c r="CC772" i="18"/>
  <c r="CB772" i="18"/>
  <c r="CA772" i="18"/>
  <c r="BZ772" i="18"/>
  <c r="BY772" i="18"/>
  <c r="BX772" i="18"/>
  <c r="BW772" i="18"/>
  <c r="BV772" i="18"/>
  <c r="BU772" i="18"/>
  <c r="BT772" i="18"/>
  <c r="BS772" i="18"/>
  <c r="BR772" i="18"/>
  <c r="BQ772" i="18"/>
  <c r="BP772" i="18"/>
  <c r="BO772" i="18"/>
  <c r="BN772" i="18"/>
  <c r="BM772" i="18"/>
  <c r="BL772" i="18"/>
  <c r="BK772" i="18"/>
  <c r="BJ772" i="18"/>
  <c r="BI772" i="18"/>
  <c r="BH772" i="18"/>
  <c r="BG772" i="18"/>
  <c r="BF772" i="18"/>
  <c r="BE772" i="18"/>
  <c r="BD772" i="18"/>
  <c r="BC772" i="18"/>
  <c r="BB772" i="18"/>
  <c r="BA772" i="18"/>
  <c r="AZ772" i="18"/>
  <c r="AY772" i="18"/>
  <c r="AX772" i="18"/>
  <c r="AW772" i="18"/>
  <c r="AV772" i="18"/>
  <c r="AU772" i="18"/>
  <c r="AT772" i="18"/>
  <c r="AS772" i="18"/>
  <c r="AR772" i="18"/>
  <c r="AQ772" i="18"/>
  <c r="AP772" i="18"/>
  <c r="AO772" i="18"/>
  <c r="AN772" i="18"/>
  <c r="AM772" i="18"/>
  <c r="AL772" i="18"/>
  <c r="AK772" i="18"/>
  <c r="AJ772" i="18"/>
  <c r="AI772" i="18"/>
  <c r="AH772" i="18"/>
  <c r="AG772" i="18"/>
  <c r="AF772" i="18"/>
  <c r="AE772" i="18"/>
  <c r="AD772" i="18"/>
  <c r="AC772" i="18"/>
  <c r="AB772" i="18"/>
  <c r="AA772" i="18"/>
  <c r="Z772" i="18"/>
  <c r="Y772" i="18"/>
  <c r="X772" i="18"/>
  <c r="W772" i="18"/>
  <c r="V772" i="18"/>
  <c r="U772" i="18"/>
  <c r="T772" i="18"/>
  <c r="S772" i="18"/>
  <c r="R772" i="18"/>
  <c r="Q772" i="18"/>
  <c r="P772" i="18"/>
  <c r="O772" i="18"/>
  <c r="N772" i="18"/>
  <c r="M772" i="18"/>
  <c r="L772" i="18"/>
  <c r="K772" i="18"/>
  <c r="J772" i="18"/>
  <c r="I772" i="18"/>
  <c r="H772" i="18"/>
  <c r="G772" i="18"/>
  <c r="F772" i="18"/>
  <c r="E772" i="18"/>
  <c r="D772" i="18"/>
  <c r="C772" i="18"/>
  <c r="B772" i="18"/>
  <c r="A772" i="18"/>
  <c r="CL771" i="18"/>
  <c r="CK771" i="18"/>
  <c r="CJ771" i="18"/>
  <c r="CI771" i="18"/>
  <c r="CH771" i="18"/>
  <c r="CG771" i="18"/>
  <c r="CF771" i="18"/>
  <c r="CE771" i="18"/>
  <c r="CD771" i="18"/>
  <c r="CC771" i="18"/>
  <c r="CB771" i="18"/>
  <c r="CA771" i="18"/>
  <c r="BZ771" i="18"/>
  <c r="BY771" i="18"/>
  <c r="BX771" i="18"/>
  <c r="BW771" i="18"/>
  <c r="BV771" i="18"/>
  <c r="BU771" i="18"/>
  <c r="BT771" i="18"/>
  <c r="BS771" i="18"/>
  <c r="BR771" i="18"/>
  <c r="BQ771" i="18"/>
  <c r="BP771" i="18"/>
  <c r="BO771" i="18"/>
  <c r="BN771" i="18"/>
  <c r="BM771" i="18"/>
  <c r="BL771" i="18"/>
  <c r="BK771" i="18"/>
  <c r="BJ771" i="18"/>
  <c r="BI771" i="18"/>
  <c r="BH771" i="18"/>
  <c r="BG771" i="18"/>
  <c r="BF771" i="18"/>
  <c r="BE771" i="18"/>
  <c r="BD771" i="18"/>
  <c r="BC771" i="18"/>
  <c r="BB771" i="18"/>
  <c r="BA771" i="18"/>
  <c r="AZ771" i="18"/>
  <c r="AY771" i="18"/>
  <c r="AX771" i="18"/>
  <c r="AW771" i="18"/>
  <c r="AV771" i="18"/>
  <c r="AU771" i="18"/>
  <c r="AT771" i="18"/>
  <c r="AS771" i="18"/>
  <c r="AR771" i="18"/>
  <c r="AQ771" i="18"/>
  <c r="AP771" i="18"/>
  <c r="AN771" i="18"/>
  <c r="AM771" i="18"/>
  <c r="AL771" i="18"/>
  <c r="AK771" i="18"/>
  <c r="AJ771" i="18"/>
  <c r="AI771" i="18"/>
  <c r="AH771" i="18"/>
  <c r="AG771" i="18"/>
  <c r="AF771" i="18"/>
  <c r="AE771" i="18"/>
  <c r="AD771" i="18"/>
  <c r="AC771" i="18"/>
  <c r="AB771" i="18"/>
  <c r="AA771" i="18"/>
  <c r="Z771" i="18"/>
  <c r="Y771" i="18"/>
  <c r="X771" i="18"/>
  <c r="W771" i="18"/>
  <c r="V771" i="18"/>
  <c r="U771" i="18"/>
  <c r="T771" i="18"/>
  <c r="S771" i="18"/>
  <c r="R771" i="18"/>
  <c r="Q771" i="18"/>
  <c r="P771" i="18"/>
  <c r="O771" i="18"/>
  <c r="N771" i="18"/>
  <c r="M771" i="18"/>
  <c r="L771" i="18"/>
  <c r="K771" i="18"/>
  <c r="J771" i="18"/>
  <c r="I771" i="18"/>
  <c r="H771" i="18"/>
  <c r="G771" i="18"/>
  <c r="F771" i="18"/>
  <c r="E771" i="18"/>
  <c r="D771" i="18"/>
  <c r="C771" i="18"/>
  <c r="B771" i="18"/>
  <c r="A771" i="18"/>
  <c r="CL770" i="18"/>
  <c r="CK770" i="18"/>
  <c r="CJ770" i="18"/>
  <c r="CI770" i="18"/>
  <c r="CH770" i="18"/>
  <c r="CG770" i="18"/>
  <c r="CF770" i="18"/>
  <c r="CE770" i="18"/>
  <c r="CD770" i="18"/>
  <c r="CC770" i="18"/>
  <c r="CB770" i="18"/>
  <c r="CA770" i="18"/>
  <c r="BZ770" i="18"/>
  <c r="BY770" i="18"/>
  <c r="BX770" i="18"/>
  <c r="BW770" i="18"/>
  <c r="BV770" i="18"/>
  <c r="BU770" i="18"/>
  <c r="BT770" i="18"/>
  <c r="BS770" i="18"/>
  <c r="BR770" i="18"/>
  <c r="BQ770" i="18"/>
  <c r="BP770" i="18"/>
  <c r="BO770" i="18"/>
  <c r="BN770" i="18"/>
  <c r="BM770" i="18"/>
  <c r="BL770" i="18"/>
  <c r="BK770" i="18"/>
  <c r="BJ770" i="18"/>
  <c r="BI770" i="18"/>
  <c r="BH770" i="18"/>
  <c r="BG770" i="18"/>
  <c r="BF770" i="18"/>
  <c r="BE770" i="18"/>
  <c r="BD770" i="18"/>
  <c r="BC770" i="18"/>
  <c r="BB770" i="18"/>
  <c r="BA770" i="18"/>
  <c r="AZ770" i="18"/>
  <c r="AY770" i="18"/>
  <c r="AX770" i="18"/>
  <c r="AW770" i="18"/>
  <c r="AV770" i="18"/>
  <c r="AU770" i="18"/>
  <c r="AT770" i="18"/>
  <c r="AS770" i="18"/>
  <c r="AR770" i="18"/>
  <c r="AQ770" i="18"/>
  <c r="AP770" i="18"/>
  <c r="AO770" i="18"/>
  <c r="AN770" i="18"/>
  <c r="AM770" i="18"/>
  <c r="AL770" i="18"/>
  <c r="AK770" i="18"/>
  <c r="AJ770" i="18"/>
  <c r="AI770" i="18"/>
  <c r="AH770" i="18"/>
  <c r="AG770" i="18"/>
  <c r="AF770" i="18"/>
  <c r="AE770" i="18"/>
  <c r="AD770" i="18"/>
  <c r="AC770" i="18"/>
  <c r="AB770" i="18"/>
  <c r="AA770" i="18"/>
  <c r="Z770" i="18"/>
  <c r="Y770" i="18"/>
  <c r="X770" i="18"/>
  <c r="W770" i="18"/>
  <c r="V770" i="18"/>
  <c r="U770" i="18"/>
  <c r="T770" i="18"/>
  <c r="S770" i="18"/>
  <c r="R770" i="18"/>
  <c r="Q770" i="18"/>
  <c r="P770" i="18"/>
  <c r="O770" i="18"/>
  <c r="N770" i="18"/>
  <c r="M770" i="18"/>
  <c r="L770" i="18"/>
  <c r="K770" i="18"/>
  <c r="J770" i="18"/>
  <c r="I770" i="18"/>
  <c r="H770" i="18"/>
  <c r="G770" i="18"/>
  <c r="F770" i="18"/>
  <c r="E770" i="18"/>
  <c r="D770" i="18"/>
  <c r="C770" i="18"/>
  <c r="B770" i="18"/>
  <c r="A770" i="18"/>
  <c r="CH769" i="18"/>
  <c r="CG769" i="18"/>
  <c r="CF769" i="18"/>
  <c r="CE769" i="18"/>
  <c r="CD769" i="18"/>
  <c r="CC769" i="18"/>
  <c r="CB769" i="18"/>
  <c r="CA769" i="18"/>
  <c r="BZ769" i="18"/>
  <c r="BY769" i="18"/>
  <c r="BX769" i="18"/>
  <c r="BW769" i="18"/>
  <c r="BV769" i="18"/>
  <c r="BU769" i="18"/>
  <c r="BT769" i="18"/>
  <c r="BS769" i="18"/>
  <c r="BR769" i="18"/>
  <c r="BQ769" i="18"/>
  <c r="BP769" i="18"/>
  <c r="BO769" i="18"/>
  <c r="BN769" i="18"/>
  <c r="BM769" i="18"/>
  <c r="BL769" i="18"/>
  <c r="BK769" i="18"/>
  <c r="BJ769" i="18"/>
  <c r="BI769" i="18"/>
  <c r="BH769" i="18"/>
  <c r="BG769" i="18"/>
  <c r="BF769" i="18"/>
  <c r="BE769" i="18"/>
  <c r="BD769" i="18"/>
  <c r="BC769" i="18"/>
  <c r="BB769" i="18"/>
  <c r="BA769" i="18"/>
  <c r="AZ769" i="18"/>
  <c r="AY769" i="18"/>
  <c r="AX769" i="18"/>
  <c r="AW769" i="18"/>
  <c r="AV769" i="18"/>
  <c r="AU769" i="18"/>
  <c r="AT769" i="18"/>
  <c r="AS769" i="18"/>
  <c r="AR769" i="18"/>
  <c r="AQ769" i="18"/>
  <c r="AP769" i="18"/>
  <c r="AO769" i="18"/>
  <c r="AN769" i="18"/>
  <c r="AM769" i="18"/>
  <c r="AL769" i="18"/>
  <c r="AK769" i="18"/>
  <c r="AJ769" i="18"/>
  <c r="AI769" i="18"/>
  <c r="AH769" i="18"/>
  <c r="AG769" i="18"/>
  <c r="AF769" i="18"/>
  <c r="AE769" i="18"/>
  <c r="AD769" i="18"/>
  <c r="AC769" i="18"/>
  <c r="AB769" i="18"/>
  <c r="AA769" i="18"/>
  <c r="Z769" i="18"/>
  <c r="Y769" i="18"/>
  <c r="X769" i="18"/>
  <c r="W769" i="18"/>
  <c r="V769" i="18"/>
  <c r="U769" i="18"/>
  <c r="T769" i="18"/>
  <c r="S769" i="18"/>
  <c r="R769" i="18"/>
  <c r="Q769" i="18"/>
  <c r="P769" i="18"/>
  <c r="O769" i="18"/>
  <c r="N769" i="18"/>
  <c r="M769" i="18"/>
  <c r="L769" i="18"/>
  <c r="K769" i="18"/>
  <c r="J769" i="18"/>
  <c r="I769" i="18"/>
  <c r="H769" i="18"/>
  <c r="G769" i="18"/>
  <c r="F769" i="18"/>
  <c r="E769" i="18"/>
  <c r="D769" i="18"/>
  <c r="C769" i="18"/>
  <c r="B769" i="18"/>
  <c r="A769" i="18"/>
  <c r="CL768" i="18"/>
  <c r="CK768" i="18"/>
  <c r="CJ768" i="18"/>
  <c r="CI768" i="18"/>
  <c r="CH768" i="18"/>
  <c r="CG768" i="18"/>
  <c r="CF768" i="18"/>
  <c r="CE768" i="18"/>
  <c r="CD768" i="18"/>
  <c r="CC768" i="18"/>
  <c r="CB768" i="18"/>
  <c r="CA768" i="18"/>
  <c r="BZ768" i="18"/>
  <c r="BY768" i="18"/>
  <c r="BX768" i="18"/>
  <c r="BW768" i="18"/>
  <c r="BV768" i="18"/>
  <c r="BU768" i="18"/>
  <c r="BT768" i="18"/>
  <c r="BS768" i="18"/>
  <c r="BR768" i="18"/>
  <c r="BQ768" i="18"/>
  <c r="BP768" i="18"/>
  <c r="BO768" i="18"/>
  <c r="BN768" i="18"/>
  <c r="BM768" i="18"/>
  <c r="BL768" i="18"/>
  <c r="BK768" i="18"/>
  <c r="BJ768" i="18"/>
  <c r="BI768" i="18"/>
  <c r="BH768" i="18"/>
  <c r="BG768" i="18"/>
  <c r="BF768" i="18"/>
  <c r="BE768" i="18"/>
  <c r="BD768" i="18"/>
  <c r="BC768" i="18"/>
  <c r="BB768" i="18"/>
  <c r="BA768" i="18"/>
  <c r="AZ768" i="18"/>
  <c r="AY768" i="18"/>
  <c r="AX768" i="18"/>
  <c r="AW768" i="18"/>
  <c r="AV768" i="18"/>
  <c r="AU768" i="18"/>
  <c r="AT768" i="18"/>
  <c r="AS768" i="18"/>
  <c r="AR768" i="18"/>
  <c r="AQ768" i="18"/>
  <c r="AP768" i="18"/>
  <c r="AO768" i="18"/>
  <c r="AN768" i="18"/>
  <c r="AM768" i="18"/>
  <c r="AL768" i="18"/>
  <c r="AK768" i="18"/>
  <c r="AJ768" i="18"/>
  <c r="AI768" i="18"/>
  <c r="AH768" i="18"/>
  <c r="AG768" i="18"/>
  <c r="AF768" i="18"/>
  <c r="AE768" i="18"/>
  <c r="AD768" i="18"/>
  <c r="AC768" i="18"/>
  <c r="AB768" i="18"/>
  <c r="AA768" i="18"/>
  <c r="Z768" i="18"/>
  <c r="Y768" i="18"/>
  <c r="X768" i="18"/>
  <c r="W768" i="18"/>
  <c r="V768" i="18"/>
  <c r="U768" i="18"/>
  <c r="T768" i="18"/>
  <c r="S768" i="18"/>
  <c r="R768" i="18"/>
  <c r="Q768" i="18"/>
  <c r="P768" i="18"/>
  <c r="O768" i="18"/>
  <c r="N768" i="18"/>
  <c r="M768" i="18"/>
  <c r="L768" i="18"/>
  <c r="K768" i="18"/>
  <c r="J768" i="18"/>
  <c r="I768" i="18"/>
  <c r="H768" i="18"/>
  <c r="G768" i="18"/>
  <c r="F768" i="18"/>
  <c r="E768" i="18"/>
  <c r="D768" i="18"/>
  <c r="C768" i="18"/>
  <c r="B768" i="18"/>
  <c r="A768" i="18"/>
  <c r="CM767" i="18"/>
  <c r="CL767" i="18"/>
  <c r="CK767" i="18"/>
  <c r="CJ767" i="18"/>
  <c r="CI767" i="18"/>
  <c r="CH767" i="18"/>
  <c r="CG767" i="18"/>
  <c r="CF767" i="18"/>
  <c r="CE767" i="18"/>
  <c r="CD767" i="18"/>
  <c r="CC767" i="18"/>
  <c r="CB767" i="18"/>
  <c r="CA767" i="18"/>
  <c r="BZ767" i="18"/>
  <c r="BY767" i="18"/>
  <c r="BX767" i="18"/>
  <c r="BW767" i="18"/>
  <c r="BV767" i="18"/>
  <c r="BU767" i="18"/>
  <c r="BT767" i="18"/>
  <c r="BS767" i="18"/>
  <c r="BR767" i="18"/>
  <c r="BQ767" i="18"/>
  <c r="BP767" i="18"/>
  <c r="BO767" i="18"/>
  <c r="BN767" i="18"/>
  <c r="BM767" i="18"/>
  <c r="BL767" i="18"/>
  <c r="BK767" i="18"/>
  <c r="BJ767" i="18"/>
  <c r="BI767" i="18"/>
  <c r="BH767" i="18"/>
  <c r="BG767" i="18"/>
  <c r="BF767" i="18"/>
  <c r="BE767" i="18"/>
  <c r="BD767" i="18"/>
  <c r="BC767" i="18"/>
  <c r="BB767" i="18"/>
  <c r="BA767" i="18"/>
  <c r="AZ767" i="18"/>
  <c r="AY767" i="18"/>
  <c r="AX767" i="18"/>
  <c r="AW767" i="18"/>
  <c r="AV767" i="18"/>
  <c r="AU767" i="18"/>
  <c r="AT767" i="18"/>
  <c r="AS767" i="18"/>
  <c r="AR767" i="18"/>
  <c r="AQ767" i="18"/>
  <c r="AP767" i="18"/>
  <c r="AO767" i="18"/>
  <c r="AN767" i="18"/>
  <c r="AM767" i="18"/>
  <c r="AL767" i="18"/>
  <c r="AK767" i="18"/>
  <c r="AJ767" i="18"/>
  <c r="AI767" i="18"/>
  <c r="AH767" i="18"/>
  <c r="AG767" i="18"/>
  <c r="AF767" i="18"/>
  <c r="AE767" i="18"/>
  <c r="AD767" i="18"/>
  <c r="AC767" i="18"/>
  <c r="AB767" i="18"/>
  <c r="AA767" i="18"/>
  <c r="Z767" i="18"/>
  <c r="Y767" i="18"/>
  <c r="X767" i="18"/>
  <c r="W767" i="18"/>
  <c r="V767" i="18"/>
  <c r="U767" i="18"/>
  <c r="T767" i="18"/>
  <c r="S767" i="18"/>
  <c r="R767" i="18"/>
  <c r="Q767" i="18"/>
  <c r="P767" i="18"/>
  <c r="O767" i="18"/>
  <c r="N767" i="18"/>
  <c r="M767" i="18"/>
  <c r="L767" i="18"/>
  <c r="K767" i="18"/>
  <c r="J767" i="18"/>
  <c r="I767" i="18"/>
  <c r="H767" i="18"/>
  <c r="G767" i="18"/>
  <c r="F767" i="18"/>
  <c r="E767" i="18"/>
  <c r="D767" i="18"/>
  <c r="C767" i="18"/>
  <c r="B767" i="18"/>
  <c r="A767" i="18"/>
  <c r="CH766" i="18"/>
  <c r="CG766" i="18"/>
  <c r="CF766" i="18"/>
  <c r="CE766" i="18"/>
  <c r="CD766" i="18"/>
  <c r="CC766" i="18"/>
  <c r="CB766" i="18"/>
  <c r="CA766" i="18"/>
  <c r="BZ766" i="18"/>
  <c r="BY766" i="18"/>
  <c r="BX766" i="18"/>
  <c r="BW766" i="18"/>
  <c r="BV766" i="18"/>
  <c r="BU766" i="18"/>
  <c r="BT766" i="18"/>
  <c r="BS766" i="18"/>
  <c r="BR766" i="18"/>
  <c r="BQ766" i="18"/>
  <c r="BP766" i="18"/>
  <c r="BO766" i="18"/>
  <c r="BN766" i="18"/>
  <c r="BM766" i="18"/>
  <c r="BL766" i="18"/>
  <c r="BK766" i="18"/>
  <c r="BJ766" i="18"/>
  <c r="BI766" i="18"/>
  <c r="BH766" i="18"/>
  <c r="BG766" i="18"/>
  <c r="BF766" i="18"/>
  <c r="BE766" i="18"/>
  <c r="BD766" i="18"/>
  <c r="BC766" i="18"/>
  <c r="BB766" i="18"/>
  <c r="BA766" i="18"/>
  <c r="AZ766" i="18"/>
  <c r="AY766" i="18"/>
  <c r="AX766" i="18"/>
  <c r="AW766" i="18"/>
  <c r="AV766" i="18"/>
  <c r="AU766" i="18"/>
  <c r="AT766" i="18"/>
  <c r="AS766" i="18"/>
  <c r="AR766" i="18"/>
  <c r="AQ766" i="18"/>
  <c r="AP766" i="18"/>
  <c r="AO766" i="18"/>
  <c r="AN766" i="18"/>
  <c r="AM766" i="18"/>
  <c r="AL766" i="18"/>
  <c r="AK766" i="18"/>
  <c r="AJ766" i="18"/>
  <c r="AI766" i="18"/>
  <c r="AH766" i="18"/>
  <c r="AG766" i="18"/>
  <c r="AF766" i="18"/>
  <c r="AE766" i="18"/>
  <c r="AD766" i="18"/>
  <c r="AC766" i="18"/>
  <c r="AB766" i="18"/>
  <c r="AA766" i="18"/>
  <c r="Z766" i="18"/>
  <c r="Y766" i="18"/>
  <c r="X766" i="18"/>
  <c r="W766" i="18"/>
  <c r="V766" i="18"/>
  <c r="U766" i="18"/>
  <c r="T766" i="18"/>
  <c r="S766" i="18"/>
  <c r="R766" i="18"/>
  <c r="Q766" i="18"/>
  <c r="P766" i="18"/>
  <c r="O766" i="18"/>
  <c r="N766" i="18"/>
  <c r="M766" i="18"/>
  <c r="L766" i="18"/>
  <c r="K766" i="18"/>
  <c r="J766" i="18"/>
  <c r="I766" i="18"/>
  <c r="H766" i="18"/>
  <c r="G766" i="18"/>
  <c r="F766" i="18"/>
  <c r="E766" i="18"/>
  <c r="D766" i="18"/>
  <c r="C766" i="18"/>
  <c r="B766" i="18"/>
  <c r="A766" i="18"/>
  <c r="CI765" i="18"/>
  <c r="CH765" i="18"/>
  <c r="CG765" i="18"/>
  <c r="CF765" i="18"/>
  <c r="CE765" i="18"/>
  <c r="CD765" i="18"/>
  <c r="CC765" i="18"/>
  <c r="CB765" i="18"/>
  <c r="CA765" i="18"/>
  <c r="BZ765" i="18"/>
  <c r="BY765" i="18"/>
  <c r="BX765" i="18"/>
  <c r="BW765" i="18"/>
  <c r="BV765" i="18"/>
  <c r="BU765" i="18"/>
  <c r="BT765" i="18"/>
  <c r="BS765" i="18"/>
  <c r="BR765" i="18"/>
  <c r="BQ765" i="18"/>
  <c r="BP765" i="18"/>
  <c r="BO765" i="18"/>
  <c r="BN765" i="18"/>
  <c r="BM765" i="18"/>
  <c r="BL765" i="18"/>
  <c r="BK765" i="18"/>
  <c r="BJ765" i="18"/>
  <c r="BI765" i="18"/>
  <c r="BH765" i="18"/>
  <c r="BG765" i="18"/>
  <c r="BF765" i="18"/>
  <c r="BE765" i="18"/>
  <c r="BD765" i="18"/>
  <c r="BC765" i="18"/>
  <c r="BB765" i="18"/>
  <c r="BA765" i="18"/>
  <c r="AZ765" i="18"/>
  <c r="AY765" i="18"/>
  <c r="AX765" i="18"/>
  <c r="AW765" i="18"/>
  <c r="AV765" i="18"/>
  <c r="AU765" i="18"/>
  <c r="AT765" i="18"/>
  <c r="AS765" i="18"/>
  <c r="AR765" i="18"/>
  <c r="AQ765" i="18"/>
  <c r="AP765" i="18"/>
  <c r="AO765" i="18"/>
  <c r="AN765" i="18"/>
  <c r="AM765" i="18"/>
  <c r="AL765" i="18"/>
  <c r="AK765" i="18"/>
  <c r="AJ765" i="18"/>
  <c r="AI765" i="18"/>
  <c r="AH765" i="18"/>
  <c r="AG765" i="18"/>
  <c r="AF765" i="18"/>
  <c r="AE765" i="18"/>
  <c r="AD765" i="18"/>
  <c r="AC765" i="18"/>
  <c r="AB765" i="18"/>
  <c r="AA765" i="18"/>
  <c r="Z765" i="18"/>
  <c r="Y765" i="18"/>
  <c r="X765" i="18"/>
  <c r="W765" i="18"/>
  <c r="V765" i="18"/>
  <c r="U765" i="18"/>
  <c r="T765" i="18"/>
  <c r="S765" i="18"/>
  <c r="R765" i="18"/>
  <c r="Q765" i="18"/>
  <c r="P765" i="18"/>
  <c r="O765" i="18"/>
  <c r="N765" i="18"/>
  <c r="M765" i="18"/>
  <c r="L765" i="18"/>
  <c r="K765" i="18"/>
  <c r="J765" i="18"/>
  <c r="I765" i="18"/>
  <c r="H765" i="18"/>
  <c r="G765" i="18"/>
  <c r="F765" i="18"/>
  <c r="E765" i="18"/>
  <c r="D765" i="18"/>
  <c r="C765" i="18"/>
  <c r="B765" i="18"/>
  <c r="A765" i="18"/>
  <c r="CI764" i="18"/>
  <c r="CH764" i="18"/>
  <c r="CG764" i="18"/>
  <c r="CF764" i="18"/>
  <c r="CE764" i="18"/>
  <c r="CD764" i="18"/>
  <c r="CC764" i="18"/>
  <c r="CB764" i="18"/>
  <c r="CA764" i="18"/>
  <c r="BZ764" i="18"/>
  <c r="BY764" i="18"/>
  <c r="BX764" i="18"/>
  <c r="BW764" i="18"/>
  <c r="BV764" i="18"/>
  <c r="BU764" i="18"/>
  <c r="BT764" i="18"/>
  <c r="BS764" i="18"/>
  <c r="BR764" i="18"/>
  <c r="BQ764" i="18"/>
  <c r="BP764" i="18"/>
  <c r="BO764" i="18"/>
  <c r="BN764" i="18"/>
  <c r="BM764" i="18"/>
  <c r="BL764" i="18"/>
  <c r="BK764" i="18"/>
  <c r="BJ764" i="18"/>
  <c r="BI764" i="18"/>
  <c r="BH764" i="18"/>
  <c r="BG764" i="18"/>
  <c r="BF764" i="18"/>
  <c r="BE764" i="18"/>
  <c r="BD764" i="18"/>
  <c r="BC764" i="18"/>
  <c r="BB764" i="18"/>
  <c r="BA764" i="18"/>
  <c r="AZ764" i="18"/>
  <c r="AY764" i="18"/>
  <c r="AX764" i="18"/>
  <c r="AW764" i="18"/>
  <c r="AV764" i="18"/>
  <c r="AU764" i="18"/>
  <c r="AT764" i="18"/>
  <c r="AS764" i="18"/>
  <c r="AR764" i="18"/>
  <c r="AQ764" i="18"/>
  <c r="AP764" i="18"/>
  <c r="AO764" i="18"/>
  <c r="AN764" i="18"/>
  <c r="AM764" i="18"/>
  <c r="AL764" i="18"/>
  <c r="AK764" i="18"/>
  <c r="AJ764" i="18"/>
  <c r="AI764" i="18"/>
  <c r="AH764" i="18"/>
  <c r="AG764" i="18"/>
  <c r="AF764" i="18"/>
  <c r="AE764" i="18"/>
  <c r="AD764" i="18"/>
  <c r="AC764" i="18"/>
  <c r="AB764" i="18"/>
  <c r="AA764" i="18"/>
  <c r="Z764" i="18"/>
  <c r="Y764" i="18"/>
  <c r="X764" i="18"/>
  <c r="W764" i="18"/>
  <c r="V764" i="18"/>
  <c r="U764" i="18"/>
  <c r="T764" i="18"/>
  <c r="S764" i="18"/>
  <c r="R764" i="18"/>
  <c r="Q764" i="18"/>
  <c r="P764" i="18"/>
  <c r="O764" i="18"/>
  <c r="N764" i="18"/>
  <c r="M764" i="18"/>
  <c r="L764" i="18"/>
  <c r="K764" i="18"/>
  <c r="J764" i="18"/>
  <c r="I764" i="18"/>
  <c r="H764" i="18"/>
  <c r="G764" i="18"/>
  <c r="F764" i="18"/>
  <c r="E764" i="18"/>
  <c r="D764" i="18"/>
  <c r="C764" i="18"/>
  <c r="B764" i="18"/>
  <c r="A764" i="18"/>
  <c r="CI763" i="18"/>
  <c r="CH763" i="18"/>
  <c r="CG763" i="18"/>
  <c r="CF763" i="18"/>
  <c r="CE763" i="18"/>
  <c r="CD763" i="18"/>
  <c r="CC763" i="18"/>
  <c r="CB763" i="18"/>
  <c r="CA763" i="18"/>
  <c r="BZ763" i="18"/>
  <c r="BY763" i="18"/>
  <c r="BX763" i="18"/>
  <c r="BW763" i="18"/>
  <c r="BV763" i="18"/>
  <c r="BU763" i="18"/>
  <c r="BT763" i="18"/>
  <c r="BS763" i="18"/>
  <c r="BR763" i="18"/>
  <c r="BQ763" i="18"/>
  <c r="BP763" i="18"/>
  <c r="BO763" i="18"/>
  <c r="BN763" i="18"/>
  <c r="BM763" i="18"/>
  <c r="BL763" i="18"/>
  <c r="BK763" i="18"/>
  <c r="BJ763" i="18"/>
  <c r="BI763" i="18"/>
  <c r="BH763" i="18"/>
  <c r="BG763" i="18"/>
  <c r="BF763" i="18"/>
  <c r="BE763" i="18"/>
  <c r="BD763" i="18"/>
  <c r="BC763" i="18"/>
  <c r="BB763" i="18"/>
  <c r="BA763" i="18"/>
  <c r="AZ763" i="18"/>
  <c r="AY763" i="18"/>
  <c r="AX763" i="18"/>
  <c r="AW763" i="18"/>
  <c r="AV763" i="18"/>
  <c r="AU763" i="18"/>
  <c r="AT763" i="18"/>
  <c r="AS763" i="18"/>
  <c r="AR763" i="18"/>
  <c r="AQ763" i="18"/>
  <c r="AP763" i="18"/>
  <c r="AO763" i="18"/>
  <c r="AN763" i="18"/>
  <c r="AM763" i="18"/>
  <c r="AL763" i="18"/>
  <c r="AK763" i="18"/>
  <c r="AJ763" i="18"/>
  <c r="AI763" i="18"/>
  <c r="AH763" i="18"/>
  <c r="AG763" i="18"/>
  <c r="AF763" i="18"/>
  <c r="AE763" i="18"/>
  <c r="AD763" i="18"/>
  <c r="AC763" i="18"/>
  <c r="AB763" i="18"/>
  <c r="AA763" i="18"/>
  <c r="Z763" i="18"/>
  <c r="Y763" i="18"/>
  <c r="X763" i="18"/>
  <c r="W763" i="18"/>
  <c r="V763" i="18"/>
  <c r="U763" i="18"/>
  <c r="T763" i="18"/>
  <c r="S763" i="18"/>
  <c r="R763" i="18"/>
  <c r="Q763" i="18"/>
  <c r="P763" i="18"/>
  <c r="O763" i="18"/>
  <c r="N763" i="18"/>
  <c r="M763" i="18"/>
  <c r="L763" i="18"/>
  <c r="K763" i="18"/>
  <c r="J763" i="18"/>
  <c r="I763" i="18"/>
  <c r="H763" i="18"/>
  <c r="G763" i="18"/>
  <c r="F763" i="18"/>
  <c r="E763" i="18"/>
  <c r="D763" i="18"/>
  <c r="C763" i="18"/>
  <c r="B763" i="18"/>
  <c r="A763" i="18"/>
  <c r="CN762" i="18"/>
  <c r="CM762" i="18"/>
  <c r="CL762" i="18"/>
  <c r="CK762" i="18"/>
  <c r="CJ762" i="18"/>
  <c r="CI762" i="18"/>
  <c r="CH762" i="18"/>
  <c r="CG762" i="18"/>
  <c r="CF762" i="18"/>
  <c r="CE762" i="18"/>
  <c r="CD762" i="18"/>
  <c r="CC762" i="18"/>
  <c r="CB762" i="18"/>
  <c r="CA762" i="18"/>
  <c r="BZ762" i="18"/>
  <c r="BY762" i="18"/>
  <c r="BX762" i="18"/>
  <c r="BW762" i="18"/>
  <c r="BV762" i="18"/>
  <c r="BU762" i="18"/>
  <c r="BT762" i="18"/>
  <c r="BS762" i="18"/>
  <c r="BR762" i="18"/>
  <c r="BQ762" i="18"/>
  <c r="BP762" i="18"/>
  <c r="BO762" i="18"/>
  <c r="BN762" i="18"/>
  <c r="BM762" i="18"/>
  <c r="BL762" i="18"/>
  <c r="BK762" i="18"/>
  <c r="BJ762" i="18"/>
  <c r="BI762" i="18"/>
  <c r="BH762" i="18"/>
  <c r="BG762" i="18"/>
  <c r="BF762" i="18"/>
  <c r="BE762" i="18"/>
  <c r="BD762" i="18"/>
  <c r="BC762" i="18"/>
  <c r="BB762" i="18"/>
  <c r="BA762" i="18"/>
  <c r="AZ762" i="18"/>
  <c r="AY762" i="18"/>
  <c r="AX762" i="18"/>
  <c r="AW762" i="18"/>
  <c r="AV762" i="18"/>
  <c r="AU762" i="18"/>
  <c r="AT762" i="18"/>
  <c r="AS762" i="18"/>
  <c r="AR762" i="18"/>
  <c r="AQ762" i="18"/>
  <c r="AP762" i="18"/>
  <c r="AO762" i="18"/>
  <c r="AN762" i="18"/>
  <c r="AM762" i="18"/>
  <c r="AL762" i="18"/>
  <c r="AK762" i="18"/>
  <c r="AJ762" i="18"/>
  <c r="AI762" i="18"/>
  <c r="AH762" i="18"/>
  <c r="AG762" i="18"/>
  <c r="AF762" i="18"/>
  <c r="AE762" i="18"/>
  <c r="AD762" i="18"/>
  <c r="AC762" i="18"/>
  <c r="AB762" i="18"/>
  <c r="AA762" i="18"/>
  <c r="Z762" i="18"/>
  <c r="Y762" i="18"/>
  <c r="X762" i="18"/>
  <c r="W762" i="18"/>
  <c r="V762" i="18"/>
  <c r="U762" i="18"/>
  <c r="T762" i="18"/>
  <c r="S762" i="18"/>
  <c r="R762" i="18"/>
  <c r="Q762" i="18"/>
  <c r="P762" i="18"/>
  <c r="O762" i="18"/>
  <c r="N762" i="18"/>
  <c r="M762" i="18"/>
  <c r="L762" i="18"/>
  <c r="K762" i="18"/>
  <c r="J762" i="18"/>
  <c r="I762" i="18"/>
  <c r="H762" i="18"/>
  <c r="G762" i="18"/>
  <c r="F762" i="18"/>
  <c r="E762" i="18"/>
  <c r="D762" i="18"/>
  <c r="C762" i="18"/>
  <c r="B762" i="18"/>
  <c r="A762" i="18"/>
  <c r="CN761" i="18"/>
  <c r="CM761" i="18"/>
  <c r="CL761" i="18"/>
  <c r="CK761" i="18"/>
  <c r="CJ761" i="18"/>
  <c r="CI761" i="18"/>
  <c r="CH761" i="18"/>
  <c r="CG761" i="18"/>
  <c r="CF761" i="18"/>
  <c r="CE761" i="18"/>
  <c r="CD761" i="18"/>
  <c r="CC761" i="18"/>
  <c r="CB761" i="18"/>
  <c r="CA761" i="18"/>
  <c r="BZ761" i="18"/>
  <c r="BY761" i="18"/>
  <c r="BX761" i="18"/>
  <c r="BW761" i="18"/>
  <c r="BV761" i="18"/>
  <c r="BU761" i="18"/>
  <c r="BT761" i="18"/>
  <c r="BS761" i="18"/>
  <c r="BR761" i="18"/>
  <c r="BQ761" i="18"/>
  <c r="BP761" i="18"/>
  <c r="BO761" i="18"/>
  <c r="BN761" i="18"/>
  <c r="BM761" i="18"/>
  <c r="BL761" i="18"/>
  <c r="BK761" i="18"/>
  <c r="BJ761" i="18"/>
  <c r="BI761" i="18"/>
  <c r="BH761" i="18"/>
  <c r="BG761" i="18"/>
  <c r="BF761" i="18"/>
  <c r="BE761" i="18"/>
  <c r="BD761" i="18"/>
  <c r="BC761" i="18"/>
  <c r="BB761" i="18"/>
  <c r="BA761" i="18"/>
  <c r="AZ761" i="18"/>
  <c r="AY761" i="18"/>
  <c r="AX761" i="18"/>
  <c r="AW761" i="18"/>
  <c r="AV761" i="18"/>
  <c r="AU761" i="18"/>
  <c r="AT761" i="18"/>
  <c r="AS761" i="18"/>
  <c r="AR761" i="18"/>
  <c r="AQ761" i="18"/>
  <c r="AP761" i="18"/>
  <c r="AO761" i="18"/>
  <c r="AN761" i="18"/>
  <c r="AM761" i="18"/>
  <c r="AL761" i="18"/>
  <c r="AK761" i="18"/>
  <c r="AJ761" i="18"/>
  <c r="AI761" i="18"/>
  <c r="AH761" i="18"/>
  <c r="AG761" i="18"/>
  <c r="AF761" i="18"/>
  <c r="AE761" i="18"/>
  <c r="AD761" i="18"/>
  <c r="AC761" i="18"/>
  <c r="AB761" i="18"/>
  <c r="AA761" i="18"/>
  <c r="Z761" i="18"/>
  <c r="Y761" i="18"/>
  <c r="X761" i="18"/>
  <c r="W761" i="18"/>
  <c r="V761" i="18"/>
  <c r="U761" i="18"/>
  <c r="T761" i="18"/>
  <c r="S761" i="18"/>
  <c r="R761" i="18"/>
  <c r="Q761" i="18"/>
  <c r="P761" i="18"/>
  <c r="O761" i="18"/>
  <c r="N761" i="18"/>
  <c r="M761" i="18"/>
  <c r="L761" i="18"/>
  <c r="K761" i="18"/>
  <c r="J761" i="18"/>
  <c r="I761" i="18"/>
  <c r="H761" i="18"/>
  <c r="G761" i="18"/>
  <c r="F761" i="18"/>
  <c r="E761" i="18"/>
  <c r="D761" i="18"/>
  <c r="C761" i="18"/>
  <c r="B761" i="18"/>
  <c r="A761" i="18"/>
  <c r="CN760" i="18"/>
  <c r="CM760" i="18"/>
  <c r="CL760" i="18"/>
  <c r="CK760" i="18"/>
  <c r="CJ760" i="18"/>
  <c r="CI760" i="18"/>
  <c r="CH760" i="18"/>
  <c r="CG760" i="18"/>
  <c r="CF760" i="18"/>
  <c r="CE760" i="18"/>
  <c r="CD760" i="18"/>
  <c r="CC760" i="18"/>
  <c r="CB760" i="18"/>
  <c r="CA760" i="18"/>
  <c r="BZ760" i="18"/>
  <c r="BY760" i="18"/>
  <c r="BX760" i="18"/>
  <c r="BW760" i="18"/>
  <c r="BV760" i="18"/>
  <c r="BU760" i="18"/>
  <c r="BT760" i="18"/>
  <c r="BS760" i="18"/>
  <c r="BR760" i="18"/>
  <c r="BQ760" i="18"/>
  <c r="BP760" i="18"/>
  <c r="BO760" i="18"/>
  <c r="BN760" i="18"/>
  <c r="BM760" i="18"/>
  <c r="BL760" i="18"/>
  <c r="BK760" i="18"/>
  <c r="BJ760" i="18"/>
  <c r="BI760" i="18"/>
  <c r="BH760" i="18"/>
  <c r="BG760" i="18"/>
  <c r="BF760" i="18"/>
  <c r="BE760" i="18"/>
  <c r="BD760" i="18"/>
  <c r="BC760" i="18"/>
  <c r="BB760" i="18"/>
  <c r="BA760" i="18"/>
  <c r="AZ760" i="18"/>
  <c r="AY760" i="18"/>
  <c r="AX760" i="18"/>
  <c r="AW760" i="18"/>
  <c r="AV760" i="18"/>
  <c r="AU760" i="18"/>
  <c r="AT760" i="18"/>
  <c r="AS760" i="18"/>
  <c r="AR760" i="18"/>
  <c r="AQ760" i="18"/>
  <c r="AP760" i="18"/>
  <c r="AO760" i="18"/>
  <c r="AN760" i="18"/>
  <c r="AM760" i="18"/>
  <c r="AL760" i="18"/>
  <c r="AK760" i="18"/>
  <c r="AJ760" i="18"/>
  <c r="AI760" i="18"/>
  <c r="AH760" i="18"/>
  <c r="AG760" i="18"/>
  <c r="AF760" i="18"/>
  <c r="AE760" i="18"/>
  <c r="AD760" i="18"/>
  <c r="AC760" i="18"/>
  <c r="AB760" i="18"/>
  <c r="AA760" i="18"/>
  <c r="Z760" i="18"/>
  <c r="Y760" i="18"/>
  <c r="X760" i="18"/>
  <c r="W760" i="18"/>
  <c r="V760" i="18"/>
  <c r="U760" i="18"/>
  <c r="T760" i="18"/>
  <c r="S760" i="18"/>
  <c r="R760" i="18"/>
  <c r="Q760" i="18"/>
  <c r="P760" i="18"/>
  <c r="O760" i="18"/>
  <c r="N760" i="18"/>
  <c r="M760" i="18"/>
  <c r="L760" i="18"/>
  <c r="K760" i="18"/>
  <c r="J760" i="18"/>
  <c r="I760" i="18"/>
  <c r="H760" i="18"/>
  <c r="G760" i="18"/>
  <c r="F760" i="18"/>
  <c r="E760" i="18"/>
  <c r="D760" i="18"/>
  <c r="C760" i="18"/>
  <c r="B760" i="18"/>
  <c r="A760" i="18"/>
  <c r="CN759" i="18"/>
  <c r="CM759" i="18"/>
  <c r="CL759" i="18"/>
  <c r="CK759" i="18"/>
  <c r="CJ759" i="18"/>
  <c r="CI759" i="18"/>
  <c r="CH759" i="18"/>
  <c r="CG759" i="18"/>
  <c r="CF759" i="18"/>
  <c r="CE759" i="18"/>
  <c r="CD759" i="18"/>
  <c r="CC759" i="18"/>
  <c r="CB759" i="18"/>
  <c r="CA759" i="18"/>
  <c r="BZ759" i="18"/>
  <c r="BY759" i="18"/>
  <c r="BX759" i="18"/>
  <c r="BW759" i="18"/>
  <c r="BV759" i="18"/>
  <c r="BU759" i="18"/>
  <c r="BT759" i="18"/>
  <c r="BS759" i="18"/>
  <c r="BR759" i="18"/>
  <c r="BQ759" i="18"/>
  <c r="BP759" i="18"/>
  <c r="BO759" i="18"/>
  <c r="BN759" i="18"/>
  <c r="BM759" i="18"/>
  <c r="BL759" i="18"/>
  <c r="BK759" i="18"/>
  <c r="BJ759" i="18"/>
  <c r="BI759" i="18"/>
  <c r="BH759" i="18"/>
  <c r="BG759" i="18"/>
  <c r="BF759" i="18"/>
  <c r="BE759" i="18"/>
  <c r="BD759" i="18"/>
  <c r="BC759" i="18"/>
  <c r="BB759" i="18"/>
  <c r="BA759" i="18"/>
  <c r="AZ759" i="18"/>
  <c r="AY759" i="18"/>
  <c r="AX759" i="18"/>
  <c r="AW759" i="18"/>
  <c r="AV759" i="18"/>
  <c r="AU759" i="18"/>
  <c r="AT759" i="18"/>
  <c r="AS759" i="18"/>
  <c r="AR759" i="18"/>
  <c r="AQ759" i="18"/>
  <c r="AP759" i="18"/>
  <c r="AO759" i="18"/>
  <c r="AN759" i="18"/>
  <c r="AM759" i="18"/>
  <c r="AL759" i="18"/>
  <c r="AK759" i="18"/>
  <c r="AJ759" i="18"/>
  <c r="AI759" i="18"/>
  <c r="AH759" i="18"/>
  <c r="AG759" i="18"/>
  <c r="AF759" i="18"/>
  <c r="AE759" i="18"/>
  <c r="AD759" i="18"/>
  <c r="AC759" i="18"/>
  <c r="AB759" i="18"/>
  <c r="AA759" i="18"/>
  <c r="Z759" i="18"/>
  <c r="Y759" i="18"/>
  <c r="X759" i="18"/>
  <c r="W759" i="18"/>
  <c r="V759" i="18"/>
  <c r="U759" i="18"/>
  <c r="T759" i="18"/>
  <c r="S759" i="18"/>
  <c r="R759" i="18"/>
  <c r="Q759" i="18"/>
  <c r="P759" i="18"/>
  <c r="O759" i="18"/>
  <c r="N759" i="18"/>
  <c r="M759" i="18"/>
  <c r="L759" i="18"/>
  <c r="K759" i="18"/>
  <c r="J759" i="18"/>
  <c r="I759" i="18"/>
  <c r="H759" i="18"/>
  <c r="G759" i="18"/>
  <c r="F759" i="18"/>
  <c r="E759" i="18"/>
  <c r="D759" i="18"/>
  <c r="C759" i="18"/>
  <c r="B759" i="18"/>
  <c r="A759" i="18"/>
  <c r="CN758" i="18"/>
  <c r="CM758" i="18"/>
  <c r="CL758" i="18"/>
  <c r="CK758" i="18"/>
  <c r="CJ758" i="18"/>
  <c r="CI758" i="18"/>
  <c r="CH758" i="18"/>
  <c r="CG758" i="18"/>
  <c r="CF758" i="18"/>
  <c r="CE758" i="18"/>
  <c r="CD758" i="18"/>
  <c r="CC758" i="18"/>
  <c r="CB758" i="18"/>
  <c r="CA758" i="18"/>
  <c r="BZ758" i="18"/>
  <c r="BY758" i="18"/>
  <c r="BX758" i="18"/>
  <c r="BW758" i="18"/>
  <c r="BV758" i="18"/>
  <c r="BU758" i="18"/>
  <c r="BT758" i="18"/>
  <c r="BS758" i="18"/>
  <c r="BR758" i="18"/>
  <c r="BQ758" i="18"/>
  <c r="BP758" i="18"/>
  <c r="BO758" i="18"/>
  <c r="BN758" i="18"/>
  <c r="BM758" i="18"/>
  <c r="BL758" i="18"/>
  <c r="BK758" i="18"/>
  <c r="BJ758" i="18"/>
  <c r="BI758" i="18"/>
  <c r="BH758" i="18"/>
  <c r="BG758" i="18"/>
  <c r="BF758" i="18"/>
  <c r="BE758" i="18"/>
  <c r="BD758" i="18"/>
  <c r="BC758" i="18"/>
  <c r="BB758" i="18"/>
  <c r="BA758" i="18"/>
  <c r="AZ758" i="18"/>
  <c r="AY758" i="18"/>
  <c r="AX758" i="18"/>
  <c r="AW758" i="18"/>
  <c r="AV758" i="18"/>
  <c r="AU758" i="18"/>
  <c r="AT758" i="18"/>
  <c r="AS758" i="18"/>
  <c r="AR758" i="18"/>
  <c r="AQ758" i="18"/>
  <c r="AP758" i="18"/>
  <c r="AO758" i="18"/>
  <c r="AN758" i="18"/>
  <c r="AM758" i="18"/>
  <c r="AL758" i="18"/>
  <c r="AK758" i="18"/>
  <c r="AJ758" i="18"/>
  <c r="AI758" i="18"/>
  <c r="AH758" i="18"/>
  <c r="AG758" i="18"/>
  <c r="AF758" i="18"/>
  <c r="AE758" i="18"/>
  <c r="AD758" i="18"/>
  <c r="AC758" i="18"/>
  <c r="AB758" i="18"/>
  <c r="AA758" i="18"/>
  <c r="Z758" i="18"/>
  <c r="Y758" i="18"/>
  <c r="X758" i="18"/>
  <c r="W758" i="18"/>
  <c r="V758" i="18"/>
  <c r="U758" i="18"/>
  <c r="T758" i="18"/>
  <c r="S758" i="18"/>
  <c r="R758" i="18"/>
  <c r="Q758" i="18"/>
  <c r="P758" i="18"/>
  <c r="O758" i="18"/>
  <c r="N758" i="18"/>
  <c r="M758" i="18"/>
  <c r="L758" i="18"/>
  <c r="K758" i="18"/>
  <c r="J758" i="18"/>
  <c r="I758" i="18"/>
  <c r="H758" i="18"/>
  <c r="G758" i="18"/>
  <c r="F758" i="18"/>
  <c r="E758" i="18"/>
  <c r="D758" i="18"/>
  <c r="C758" i="18"/>
  <c r="B758" i="18"/>
  <c r="A758" i="18"/>
  <c r="CN757" i="18"/>
  <c r="CM757" i="18"/>
  <c r="CL757" i="18"/>
  <c r="CK757" i="18"/>
  <c r="CJ757" i="18"/>
  <c r="CI757" i="18"/>
  <c r="CH757" i="18"/>
  <c r="CG757" i="18"/>
  <c r="CF757" i="18"/>
  <c r="CE757" i="18"/>
  <c r="CD757" i="18"/>
  <c r="CC757" i="18"/>
  <c r="CB757" i="18"/>
  <c r="CA757" i="18"/>
  <c r="BZ757" i="18"/>
  <c r="BY757" i="18"/>
  <c r="BX757" i="18"/>
  <c r="BW757" i="18"/>
  <c r="BV757" i="18"/>
  <c r="BU757" i="18"/>
  <c r="BT757" i="18"/>
  <c r="BS757" i="18"/>
  <c r="BR757" i="18"/>
  <c r="BQ757" i="18"/>
  <c r="BP757" i="18"/>
  <c r="BO757" i="18"/>
  <c r="BN757" i="18"/>
  <c r="BM757" i="18"/>
  <c r="BL757" i="18"/>
  <c r="BK757" i="18"/>
  <c r="BJ757" i="18"/>
  <c r="BI757" i="18"/>
  <c r="BH757" i="18"/>
  <c r="BG757" i="18"/>
  <c r="BF757" i="18"/>
  <c r="BE757" i="18"/>
  <c r="BD757" i="18"/>
  <c r="BC757" i="18"/>
  <c r="BB757" i="18"/>
  <c r="BA757" i="18"/>
  <c r="AZ757" i="18"/>
  <c r="AY757" i="18"/>
  <c r="AX757" i="18"/>
  <c r="AW757" i="18"/>
  <c r="AV757" i="18"/>
  <c r="AU757" i="18"/>
  <c r="AT757" i="18"/>
  <c r="AS757" i="18"/>
  <c r="AR757" i="18"/>
  <c r="AQ757" i="18"/>
  <c r="AP757" i="18"/>
  <c r="AO757" i="18"/>
  <c r="AN757" i="18"/>
  <c r="AM757" i="18"/>
  <c r="AL757" i="18"/>
  <c r="AK757" i="18"/>
  <c r="AJ757" i="18"/>
  <c r="AI757" i="18"/>
  <c r="AH757" i="18"/>
  <c r="AG757" i="18"/>
  <c r="AF757" i="18"/>
  <c r="AE757" i="18"/>
  <c r="AD757" i="18"/>
  <c r="AC757" i="18"/>
  <c r="AB757" i="18"/>
  <c r="AA757" i="18"/>
  <c r="Z757" i="18"/>
  <c r="Y757" i="18"/>
  <c r="X757" i="18"/>
  <c r="W757" i="18"/>
  <c r="V757" i="18"/>
  <c r="U757" i="18"/>
  <c r="T757" i="18"/>
  <c r="S757" i="18"/>
  <c r="R757" i="18"/>
  <c r="Q757" i="18"/>
  <c r="P757" i="18"/>
  <c r="O757" i="18"/>
  <c r="N757" i="18"/>
  <c r="M757" i="18"/>
  <c r="L757" i="18"/>
  <c r="K757" i="18"/>
  <c r="J757" i="18"/>
  <c r="I757" i="18"/>
  <c r="H757" i="18"/>
  <c r="G757" i="18"/>
  <c r="F757" i="18"/>
  <c r="E757" i="18"/>
  <c r="D757" i="18"/>
  <c r="C757" i="18"/>
  <c r="B757" i="18"/>
  <c r="A757" i="18"/>
  <c r="CN756" i="18"/>
  <c r="CM756" i="18"/>
  <c r="CL756" i="18"/>
  <c r="CK756" i="18"/>
  <c r="CJ756" i="18"/>
  <c r="CI756" i="18"/>
  <c r="CH756" i="18"/>
  <c r="CG756" i="18"/>
  <c r="CF756" i="18"/>
  <c r="CE756" i="18"/>
  <c r="CD756" i="18"/>
  <c r="CC756" i="18"/>
  <c r="CB756" i="18"/>
  <c r="CA756" i="18"/>
  <c r="BZ756" i="18"/>
  <c r="BY756" i="18"/>
  <c r="BX756" i="18"/>
  <c r="BW756" i="18"/>
  <c r="BV756" i="18"/>
  <c r="BU756" i="18"/>
  <c r="BT756" i="18"/>
  <c r="BS756" i="18"/>
  <c r="BR756" i="18"/>
  <c r="BQ756" i="18"/>
  <c r="BP756" i="18"/>
  <c r="BO756" i="18"/>
  <c r="BN756" i="18"/>
  <c r="BM756" i="18"/>
  <c r="BL756" i="18"/>
  <c r="BK756" i="18"/>
  <c r="BJ756" i="18"/>
  <c r="BI756" i="18"/>
  <c r="BH756" i="18"/>
  <c r="BG756" i="18"/>
  <c r="BF756" i="18"/>
  <c r="BE756" i="18"/>
  <c r="BD756" i="18"/>
  <c r="BC756" i="18"/>
  <c r="BB756" i="18"/>
  <c r="BA756" i="18"/>
  <c r="AZ756" i="18"/>
  <c r="AY756" i="18"/>
  <c r="AX756" i="18"/>
  <c r="AW756" i="18"/>
  <c r="AV756" i="18"/>
  <c r="AU756" i="18"/>
  <c r="AT756" i="18"/>
  <c r="AS756" i="18"/>
  <c r="AR756" i="18"/>
  <c r="AQ756" i="18"/>
  <c r="AP756" i="18"/>
  <c r="AO756" i="18"/>
  <c r="AN756" i="18"/>
  <c r="AM756" i="18"/>
  <c r="AL756" i="18"/>
  <c r="AK756" i="18"/>
  <c r="AJ756" i="18"/>
  <c r="AI756" i="18"/>
  <c r="AH756" i="18"/>
  <c r="AG756" i="18"/>
  <c r="AF756" i="18"/>
  <c r="AE756" i="18"/>
  <c r="AD756" i="18"/>
  <c r="AC756" i="18"/>
  <c r="AB756" i="18"/>
  <c r="AA756" i="18"/>
  <c r="Z756" i="18"/>
  <c r="Y756" i="18"/>
  <c r="X756" i="18"/>
  <c r="W756" i="18"/>
  <c r="V756" i="18"/>
  <c r="U756" i="18"/>
  <c r="T756" i="18"/>
  <c r="S756" i="18"/>
  <c r="R756" i="18"/>
  <c r="Q756" i="18"/>
  <c r="P756" i="18"/>
  <c r="O756" i="18"/>
  <c r="N756" i="18"/>
  <c r="M756" i="18"/>
  <c r="L756" i="18"/>
  <c r="K756" i="18"/>
  <c r="J756" i="18"/>
  <c r="I756" i="18"/>
  <c r="H756" i="18"/>
  <c r="G756" i="18"/>
  <c r="F756" i="18"/>
  <c r="E756" i="18"/>
  <c r="D756" i="18"/>
  <c r="C756" i="18"/>
  <c r="B756" i="18"/>
  <c r="A756" i="18"/>
  <c r="CN755" i="18"/>
  <c r="CM755" i="18"/>
  <c r="CL755" i="18"/>
  <c r="CK755" i="18"/>
  <c r="CJ755" i="18"/>
  <c r="CI755" i="18"/>
  <c r="CH755" i="18"/>
  <c r="CG755" i="18"/>
  <c r="CF755" i="18"/>
  <c r="CE755" i="18"/>
  <c r="CD755" i="18"/>
  <c r="CC755" i="18"/>
  <c r="CB755" i="18"/>
  <c r="CA755" i="18"/>
  <c r="BZ755" i="18"/>
  <c r="BY755" i="18"/>
  <c r="BX755" i="18"/>
  <c r="BW755" i="18"/>
  <c r="BV755" i="18"/>
  <c r="BU755" i="18"/>
  <c r="BT755" i="18"/>
  <c r="BS755" i="18"/>
  <c r="BR755" i="18"/>
  <c r="BQ755" i="18"/>
  <c r="BP755" i="18"/>
  <c r="BO755" i="18"/>
  <c r="BN755" i="18"/>
  <c r="BM755" i="18"/>
  <c r="BL755" i="18"/>
  <c r="BK755" i="18"/>
  <c r="BJ755" i="18"/>
  <c r="BI755" i="18"/>
  <c r="BH755" i="18"/>
  <c r="BG755" i="18"/>
  <c r="BF755" i="18"/>
  <c r="BE755" i="18"/>
  <c r="BD755" i="18"/>
  <c r="BC755" i="18"/>
  <c r="BB755" i="18"/>
  <c r="BA755" i="18"/>
  <c r="AZ755" i="18"/>
  <c r="AY755" i="18"/>
  <c r="AX755" i="18"/>
  <c r="AW755" i="18"/>
  <c r="AV755" i="18"/>
  <c r="AU755" i="18"/>
  <c r="AT755" i="18"/>
  <c r="AS755" i="18"/>
  <c r="AR755" i="18"/>
  <c r="AQ755" i="18"/>
  <c r="AP755" i="18"/>
  <c r="AO755" i="18"/>
  <c r="AN755" i="18"/>
  <c r="AM755" i="18"/>
  <c r="AL755" i="18"/>
  <c r="AK755" i="18"/>
  <c r="AJ755" i="18"/>
  <c r="AI755" i="18"/>
  <c r="AH755" i="18"/>
  <c r="AG755" i="18"/>
  <c r="AF755" i="18"/>
  <c r="AE755" i="18"/>
  <c r="AD755" i="18"/>
  <c r="AC755" i="18"/>
  <c r="AB755" i="18"/>
  <c r="AA755" i="18"/>
  <c r="Z755" i="18"/>
  <c r="Y755" i="18"/>
  <c r="X755" i="18"/>
  <c r="W755" i="18"/>
  <c r="V755" i="18"/>
  <c r="U755" i="18"/>
  <c r="T755" i="18"/>
  <c r="S755" i="18"/>
  <c r="R755" i="18"/>
  <c r="Q755" i="18"/>
  <c r="P755" i="18"/>
  <c r="O755" i="18"/>
  <c r="N755" i="18"/>
  <c r="M755" i="18"/>
  <c r="L755" i="18"/>
  <c r="K755" i="18"/>
  <c r="J755" i="18"/>
  <c r="I755" i="18"/>
  <c r="H755" i="18"/>
  <c r="G755" i="18"/>
  <c r="F755" i="18"/>
  <c r="E755" i="18"/>
  <c r="D755" i="18"/>
  <c r="C755" i="18"/>
  <c r="B755" i="18"/>
  <c r="A755" i="18"/>
  <c r="CN754" i="18"/>
  <c r="CM754" i="18"/>
  <c r="CL754" i="18"/>
  <c r="CK754" i="18"/>
  <c r="CJ754" i="18"/>
  <c r="CI754" i="18"/>
  <c r="CH754" i="18"/>
  <c r="CG754" i="18"/>
  <c r="CF754" i="18"/>
  <c r="CE754" i="18"/>
  <c r="CD754" i="18"/>
  <c r="CC754" i="18"/>
  <c r="CB754" i="18"/>
  <c r="CA754" i="18"/>
  <c r="BZ754" i="18"/>
  <c r="BY754" i="18"/>
  <c r="BX754" i="18"/>
  <c r="BW754" i="18"/>
  <c r="BV754" i="18"/>
  <c r="BU754" i="18"/>
  <c r="BT754" i="18"/>
  <c r="BS754" i="18"/>
  <c r="BR754" i="18"/>
  <c r="BQ754" i="18"/>
  <c r="BP754" i="18"/>
  <c r="BO754" i="18"/>
  <c r="BN754" i="18"/>
  <c r="BM754" i="18"/>
  <c r="BL754" i="18"/>
  <c r="BK754" i="18"/>
  <c r="BJ754" i="18"/>
  <c r="BI754" i="18"/>
  <c r="BH754" i="18"/>
  <c r="BG754" i="18"/>
  <c r="BF754" i="18"/>
  <c r="BE754" i="18"/>
  <c r="BD754" i="18"/>
  <c r="BC754" i="18"/>
  <c r="BB754" i="18"/>
  <c r="BA754" i="18"/>
  <c r="AZ754" i="18"/>
  <c r="AY754" i="18"/>
  <c r="AX754" i="18"/>
  <c r="AW754" i="18"/>
  <c r="AV754" i="18"/>
  <c r="AU754" i="18"/>
  <c r="AT754" i="18"/>
  <c r="AS754" i="18"/>
  <c r="AR754" i="18"/>
  <c r="AQ754" i="18"/>
  <c r="AP754" i="18"/>
  <c r="AO754" i="18"/>
  <c r="AN754" i="18"/>
  <c r="AM754" i="18"/>
  <c r="AL754" i="18"/>
  <c r="AK754" i="18"/>
  <c r="AJ754" i="18"/>
  <c r="AI754" i="18"/>
  <c r="AH754" i="18"/>
  <c r="AG754" i="18"/>
  <c r="AF754" i="18"/>
  <c r="AE754" i="18"/>
  <c r="AD754" i="18"/>
  <c r="AC754" i="18"/>
  <c r="AB754" i="18"/>
  <c r="AA754" i="18"/>
  <c r="Z754" i="18"/>
  <c r="Y754" i="18"/>
  <c r="X754" i="18"/>
  <c r="W754" i="18"/>
  <c r="V754" i="18"/>
  <c r="U754" i="18"/>
  <c r="T754" i="18"/>
  <c r="S754" i="18"/>
  <c r="R754" i="18"/>
  <c r="Q754" i="18"/>
  <c r="P754" i="18"/>
  <c r="O754" i="18"/>
  <c r="N754" i="18"/>
  <c r="M754" i="18"/>
  <c r="L754" i="18"/>
  <c r="K754" i="18"/>
  <c r="J754" i="18"/>
  <c r="I754" i="18"/>
  <c r="H754" i="18"/>
  <c r="G754" i="18"/>
  <c r="F754" i="18"/>
  <c r="E754" i="18"/>
  <c r="D754" i="18"/>
  <c r="C754" i="18"/>
  <c r="B754" i="18"/>
  <c r="A754" i="18"/>
  <c r="BF753" i="18"/>
  <c r="BE753" i="18"/>
  <c r="BD753" i="18"/>
  <c r="BC753" i="18"/>
  <c r="BB753" i="18"/>
  <c r="BA753" i="18"/>
  <c r="AZ753" i="18"/>
  <c r="AY753" i="18"/>
  <c r="AX753" i="18"/>
  <c r="AW753" i="18"/>
  <c r="AV753" i="18"/>
  <c r="AU753" i="18"/>
  <c r="AT753" i="18"/>
  <c r="AS753" i="18"/>
  <c r="AR753" i="18"/>
  <c r="AQ753" i="18"/>
  <c r="AP753" i="18"/>
  <c r="AO753" i="18"/>
  <c r="AN753" i="18"/>
  <c r="AM753" i="18"/>
  <c r="AL753" i="18"/>
  <c r="AK753" i="18"/>
  <c r="AJ753" i="18"/>
  <c r="AI753" i="18"/>
  <c r="AH753" i="18"/>
  <c r="AG753" i="18"/>
  <c r="AF753" i="18"/>
  <c r="AE753" i="18"/>
  <c r="AD753" i="18"/>
  <c r="AC753" i="18"/>
  <c r="AB753" i="18"/>
  <c r="AA753" i="18"/>
  <c r="Z753" i="18"/>
  <c r="Y753" i="18"/>
  <c r="X753" i="18"/>
  <c r="W753" i="18"/>
  <c r="V753" i="18"/>
  <c r="U753" i="18"/>
  <c r="T753" i="18"/>
  <c r="S753" i="18"/>
  <c r="R753" i="18"/>
  <c r="Q753" i="18"/>
  <c r="P753" i="18"/>
  <c r="O753" i="18"/>
  <c r="N753" i="18"/>
  <c r="M753" i="18"/>
  <c r="L753" i="18"/>
  <c r="K753" i="18"/>
  <c r="J753" i="18"/>
  <c r="I753" i="18"/>
  <c r="H753" i="18"/>
  <c r="G753" i="18"/>
  <c r="F753" i="18"/>
  <c r="E753" i="18"/>
  <c r="D753" i="18"/>
  <c r="C753" i="18"/>
  <c r="B753" i="18"/>
  <c r="A753" i="18"/>
  <c r="CN753" i="18"/>
  <c r="CM753" i="18"/>
  <c r="CL753" i="18"/>
  <c r="CK753" i="18"/>
  <c r="CJ753" i="18"/>
  <c r="CI753" i="18"/>
  <c r="CH753" i="18"/>
  <c r="CG753" i="18"/>
  <c r="CF753" i="18"/>
  <c r="CE753" i="18"/>
  <c r="CD753" i="18"/>
  <c r="CC753" i="18"/>
  <c r="CB753" i="18"/>
  <c r="CA753" i="18"/>
  <c r="BZ753" i="18"/>
  <c r="BY753" i="18"/>
  <c r="BX753" i="18"/>
  <c r="BW753" i="18"/>
  <c r="BV753" i="18"/>
  <c r="BU753" i="18"/>
  <c r="BT753" i="18"/>
  <c r="BS753" i="18"/>
  <c r="BR753" i="18"/>
  <c r="BQ753" i="18"/>
  <c r="BP753" i="18"/>
  <c r="BO753" i="18"/>
  <c r="BN753" i="18"/>
  <c r="BM753" i="18"/>
  <c r="BL753" i="18"/>
  <c r="BK753" i="18"/>
  <c r="BJ753" i="18"/>
  <c r="BI753" i="18"/>
  <c r="BH753" i="18"/>
  <c r="CN752" i="18"/>
  <c r="CM752" i="18"/>
  <c r="CL752" i="18"/>
  <c r="CK752" i="18"/>
  <c r="CJ752" i="18"/>
  <c r="CI752" i="18"/>
  <c r="CH752" i="18"/>
  <c r="CG752" i="18"/>
  <c r="CF752" i="18"/>
  <c r="CE752" i="18"/>
  <c r="CD752" i="18"/>
  <c r="CC752" i="18"/>
  <c r="CB752" i="18"/>
  <c r="CA752" i="18"/>
  <c r="BZ752" i="18"/>
  <c r="BY752" i="18"/>
  <c r="BX752" i="18"/>
  <c r="BW752" i="18"/>
  <c r="BV752" i="18"/>
  <c r="BU752" i="18"/>
  <c r="BT752" i="18"/>
  <c r="BS752" i="18"/>
  <c r="BR752" i="18"/>
  <c r="BQ752" i="18"/>
  <c r="BP752" i="18"/>
  <c r="BO752" i="18"/>
  <c r="BN752" i="18"/>
  <c r="BM752" i="18"/>
  <c r="BL752" i="18"/>
  <c r="BK752" i="18"/>
  <c r="BJ752" i="18"/>
  <c r="BI752" i="18"/>
  <c r="BH752" i="18"/>
  <c r="CN751" i="18"/>
  <c r="CM751" i="18"/>
  <c r="CL751" i="18"/>
  <c r="CK751" i="18"/>
  <c r="CJ751" i="18"/>
  <c r="CI751" i="18"/>
  <c r="CH751" i="18"/>
  <c r="CG751" i="18"/>
  <c r="CF751" i="18"/>
  <c r="CE751" i="18"/>
  <c r="CD751" i="18"/>
  <c r="CC751" i="18"/>
  <c r="CB751" i="18"/>
  <c r="CA751" i="18"/>
  <c r="BZ751" i="18"/>
  <c r="BY751" i="18"/>
  <c r="BX751" i="18"/>
  <c r="BW751" i="18"/>
  <c r="BV751" i="18"/>
  <c r="BU751" i="18"/>
  <c r="BT751" i="18"/>
  <c r="BS751" i="18"/>
  <c r="BR751" i="18"/>
  <c r="BQ751" i="18"/>
  <c r="BP751" i="18"/>
  <c r="BO751" i="18"/>
  <c r="BN751" i="18"/>
  <c r="BM751" i="18"/>
  <c r="BL751" i="18"/>
  <c r="BK751" i="18"/>
  <c r="BJ751" i="18"/>
  <c r="BI751" i="18"/>
  <c r="BH751" i="18"/>
  <c r="CN750" i="18"/>
  <c r="CM750" i="18"/>
  <c r="CL750" i="18"/>
  <c r="CK750" i="18"/>
  <c r="CJ750" i="18"/>
  <c r="CI750" i="18"/>
  <c r="CH750" i="18"/>
  <c r="CG750" i="18"/>
  <c r="CF750" i="18"/>
  <c r="CE750" i="18"/>
  <c r="CD750" i="18"/>
  <c r="CC750" i="18"/>
  <c r="CB750" i="18"/>
  <c r="CA750" i="18"/>
  <c r="BZ750" i="18"/>
  <c r="BY750" i="18"/>
  <c r="BX750" i="18"/>
  <c r="BW750" i="18"/>
  <c r="BV750" i="18"/>
  <c r="BU750" i="18"/>
  <c r="BT750" i="18"/>
  <c r="BS750" i="18"/>
  <c r="BR750" i="18"/>
  <c r="BQ750" i="18"/>
  <c r="BP750" i="18"/>
  <c r="BO750" i="18"/>
  <c r="BN750" i="18"/>
  <c r="BM750" i="18"/>
  <c r="BL750" i="18"/>
  <c r="BK750" i="18"/>
  <c r="BJ750" i="18"/>
  <c r="BI750" i="18"/>
  <c r="BH750" i="18"/>
  <c r="CN749" i="18"/>
  <c r="CM749" i="18"/>
  <c r="CL749" i="18"/>
  <c r="CK749" i="18"/>
  <c r="CJ749" i="18"/>
  <c r="CI749" i="18"/>
  <c r="CH749" i="18"/>
  <c r="CG749" i="18"/>
  <c r="CF749" i="18"/>
  <c r="CE749" i="18"/>
  <c r="CD749" i="18"/>
  <c r="CC749" i="18"/>
  <c r="CB749" i="18"/>
  <c r="CA749" i="18"/>
  <c r="BZ749" i="18"/>
  <c r="BY749" i="18"/>
  <c r="BX749" i="18"/>
  <c r="BW749" i="18"/>
  <c r="BV749" i="18"/>
  <c r="BU749" i="18"/>
  <c r="BT749" i="18"/>
  <c r="BS749" i="18"/>
  <c r="BR749" i="18"/>
  <c r="BQ749" i="18"/>
  <c r="BP749" i="18"/>
  <c r="BO749" i="18"/>
  <c r="BN749" i="18"/>
  <c r="BM749" i="18"/>
  <c r="BL749" i="18"/>
  <c r="BK749" i="18"/>
  <c r="BJ749" i="18"/>
  <c r="BI749" i="18"/>
  <c r="BH749" i="18"/>
  <c r="BG752" i="18"/>
  <c r="BF752" i="18"/>
  <c r="BE752" i="18"/>
  <c r="BD752" i="18"/>
  <c r="BC752" i="18"/>
  <c r="BB752" i="18"/>
  <c r="BA752" i="18"/>
  <c r="AZ752" i="18"/>
  <c r="AY752" i="18"/>
  <c r="AX752" i="18"/>
  <c r="AW752" i="18"/>
  <c r="AV752" i="18"/>
  <c r="AU752" i="18"/>
  <c r="AT752" i="18"/>
  <c r="AS752" i="18"/>
  <c r="AR752" i="18"/>
  <c r="AQ752" i="18"/>
  <c r="AP752" i="18"/>
  <c r="AO752" i="18"/>
  <c r="AN752" i="18"/>
  <c r="AM752" i="18"/>
  <c r="AL752" i="18"/>
  <c r="AK752" i="18"/>
  <c r="AJ752" i="18"/>
  <c r="AI752" i="18"/>
  <c r="AH752" i="18"/>
  <c r="AG752" i="18"/>
  <c r="AF752" i="18"/>
  <c r="AE752" i="18"/>
  <c r="AD752" i="18"/>
  <c r="AC752" i="18"/>
  <c r="AB752" i="18"/>
  <c r="AA752" i="18"/>
  <c r="Z752" i="18"/>
  <c r="Y752" i="18"/>
  <c r="X752" i="18"/>
  <c r="W752" i="18"/>
  <c r="V752" i="18"/>
  <c r="U752" i="18"/>
  <c r="T752" i="18"/>
  <c r="S752" i="18"/>
  <c r="R752" i="18"/>
  <c r="Q752" i="18"/>
  <c r="P752" i="18"/>
  <c r="O752" i="18"/>
  <c r="N752" i="18"/>
  <c r="M752" i="18"/>
  <c r="L752" i="18"/>
  <c r="K752" i="18"/>
  <c r="J752" i="18"/>
  <c r="I752" i="18"/>
  <c r="H752" i="18"/>
  <c r="G752" i="18"/>
  <c r="F752" i="18"/>
  <c r="E752" i="18"/>
  <c r="D752" i="18"/>
  <c r="C752" i="18"/>
  <c r="B752" i="18"/>
  <c r="A752" i="18"/>
  <c r="BG751" i="18"/>
  <c r="BF751" i="18"/>
  <c r="BE751" i="18"/>
  <c r="BD751" i="18"/>
  <c r="BC751" i="18"/>
  <c r="BB751" i="18"/>
  <c r="BA751" i="18"/>
  <c r="AZ751" i="18"/>
  <c r="AY751" i="18"/>
  <c r="AX751" i="18"/>
  <c r="AW751" i="18"/>
  <c r="AV751" i="18"/>
  <c r="AU751" i="18"/>
  <c r="AT751" i="18"/>
  <c r="AS751" i="18"/>
  <c r="AR751" i="18"/>
  <c r="AQ751" i="18"/>
  <c r="AP751" i="18"/>
  <c r="AO751" i="18"/>
  <c r="AN751" i="18"/>
  <c r="AM751" i="18"/>
  <c r="AL751" i="18"/>
  <c r="AK751" i="18"/>
  <c r="AJ751" i="18"/>
  <c r="AI751" i="18"/>
  <c r="AH751" i="18"/>
  <c r="AG751" i="18"/>
  <c r="AF751" i="18"/>
  <c r="AE751" i="18"/>
  <c r="AD751" i="18"/>
  <c r="AC751" i="18"/>
  <c r="AB751" i="18"/>
  <c r="AA751" i="18"/>
  <c r="Z751" i="18"/>
  <c r="Y751" i="18"/>
  <c r="X751" i="18"/>
  <c r="W751" i="18"/>
  <c r="V751" i="18"/>
  <c r="U751" i="18"/>
  <c r="T751" i="18"/>
  <c r="S751" i="18"/>
  <c r="R751" i="18"/>
  <c r="Q751" i="18"/>
  <c r="P751" i="18"/>
  <c r="O751" i="18"/>
  <c r="N751" i="18"/>
  <c r="M751" i="18"/>
  <c r="L751" i="18"/>
  <c r="K751" i="18"/>
  <c r="J751" i="18"/>
  <c r="I751" i="18"/>
  <c r="H751" i="18"/>
  <c r="G751" i="18"/>
  <c r="F751" i="18"/>
  <c r="E751" i="18"/>
  <c r="D751" i="18"/>
  <c r="C751" i="18"/>
  <c r="B751" i="18"/>
  <c r="A751" i="18"/>
  <c r="BG750" i="18"/>
  <c r="BF750" i="18"/>
  <c r="BE750" i="18"/>
  <c r="BD750" i="18"/>
  <c r="BC750" i="18"/>
  <c r="BB750" i="18"/>
  <c r="BA750" i="18"/>
  <c r="AZ750" i="18"/>
  <c r="AY750" i="18"/>
  <c r="AX750" i="18"/>
  <c r="AW750" i="18"/>
  <c r="AV750" i="18"/>
  <c r="AU750" i="18"/>
  <c r="AT750" i="18"/>
  <c r="AS750" i="18"/>
  <c r="AR750" i="18"/>
  <c r="AQ750" i="18"/>
  <c r="AP750" i="18"/>
  <c r="AO750" i="18"/>
  <c r="AN750" i="18"/>
  <c r="AM750" i="18"/>
  <c r="AL750" i="18"/>
  <c r="AK750" i="18"/>
  <c r="AJ750" i="18"/>
  <c r="AI750" i="18"/>
  <c r="AH750" i="18"/>
  <c r="AG750" i="18"/>
  <c r="AF750" i="18"/>
  <c r="AE750" i="18"/>
  <c r="AD750" i="18"/>
  <c r="AC750" i="18"/>
  <c r="AB750" i="18"/>
  <c r="AA750" i="18"/>
  <c r="Z750" i="18"/>
  <c r="Y750" i="18"/>
  <c r="X750" i="18"/>
  <c r="W750" i="18"/>
  <c r="V750" i="18"/>
  <c r="U750" i="18"/>
  <c r="T750" i="18"/>
  <c r="S750" i="18"/>
  <c r="R750" i="18"/>
  <c r="Q750" i="18"/>
  <c r="P750" i="18"/>
  <c r="O750" i="18"/>
  <c r="N750" i="18"/>
  <c r="M750" i="18"/>
  <c r="L750" i="18"/>
  <c r="K750" i="18"/>
  <c r="J750" i="18"/>
  <c r="I750" i="18"/>
  <c r="H750" i="18"/>
  <c r="G750" i="18"/>
  <c r="F750" i="18"/>
  <c r="E750" i="18"/>
  <c r="D750" i="18"/>
  <c r="C750" i="18"/>
  <c r="B750" i="18"/>
  <c r="A750" i="18"/>
  <c r="BG749" i="18"/>
  <c r="BF749" i="18"/>
  <c r="BE749" i="18"/>
  <c r="BD749" i="18"/>
  <c r="BC749" i="18"/>
  <c r="BB749" i="18"/>
  <c r="BA749" i="18"/>
  <c r="AZ749" i="18"/>
  <c r="AY749" i="18"/>
  <c r="AX749" i="18"/>
  <c r="AW749" i="18"/>
  <c r="AV749" i="18"/>
  <c r="AU749" i="18"/>
  <c r="AT749" i="18"/>
  <c r="AS749" i="18"/>
  <c r="AR749" i="18"/>
  <c r="AQ749" i="18"/>
  <c r="AP749" i="18"/>
  <c r="AO749" i="18"/>
  <c r="AN749" i="18"/>
  <c r="AM749" i="18"/>
  <c r="AL749" i="18"/>
  <c r="AK749" i="18"/>
  <c r="AJ749" i="18"/>
  <c r="AI749" i="18"/>
  <c r="AH749" i="18"/>
  <c r="AG749" i="18"/>
  <c r="AF749" i="18"/>
  <c r="AE749" i="18"/>
  <c r="AD749" i="18"/>
  <c r="AC749" i="18"/>
  <c r="AB749" i="18"/>
  <c r="AA749" i="18"/>
  <c r="Z749" i="18"/>
  <c r="Y749" i="18"/>
  <c r="X749" i="18"/>
  <c r="W749" i="18"/>
  <c r="V749" i="18"/>
  <c r="U749" i="18"/>
  <c r="T749" i="18"/>
  <c r="S749" i="18"/>
  <c r="R749" i="18"/>
  <c r="Q749" i="18"/>
  <c r="P749" i="18"/>
  <c r="O749" i="18"/>
  <c r="N749" i="18"/>
  <c r="M749" i="18"/>
  <c r="L749" i="18"/>
  <c r="K749" i="18"/>
  <c r="J749" i="18"/>
  <c r="I749" i="18"/>
  <c r="H749" i="18"/>
  <c r="G749" i="18"/>
  <c r="F749" i="18"/>
  <c r="E749" i="18"/>
  <c r="D749" i="18"/>
  <c r="C749" i="18"/>
  <c r="B749" i="18"/>
  <c r="A749" i="18"/>
  <c r="BM748" i="18"/>
  <c r="BL748" i="18"/>
  <c r="BK748" i="18"/>
  <c r="BJ748" i="18"/>
  <c r="BI748" i="18"/>
  <c r="BH748" i="18"/>
  <c r="BG748" i="18"/>
  <c r="BF748" i="18"/>
  <c r="BE748" i="18"/>
  <c r="BD748" i="18"/>
  <c r="BC748" i="18"/>
  <c r="BB748" i="18"/>
  <c r="BA748" i="18"/>
  <c r="AZ748" i="18"/>
  <c r="AY748" i="18"/>
  <c r="AX748" i="18"/>
  <c r="AW748" i="18"/>
  <c r="AV748" i="18"/>
  <c r="AU748" i="18"/>
  <c r="AT748" i="18"/>
  <c r="AS748" i="18"/>
  <c r="AR748" i="18"/>
  <c r="AQ748" i="18"/>
  <c r="AP748" i="18"/>
  <c r="AO748" i="18"/>
  <c r="AN748" i="18"/>
  <c r="AM748" i="18"/>
  <c r="AL748" i="18"/>
  <c r="AK748" i="18"/>
  <c r="AJ748" i="18"/>
  <c r="AI748" i="18"/>
  <c r="AH748" i="18"/>
  <c r="AG748" i="18"/>
  <c r="AF748" i="18"/>
  <c r="AE748" i="18"/>
  <c r="AD748" i="18"/>
  <c r="AC748" i="18"/>
  <c r="AB748" i="18"/>
  <c r="AA748" i="18"/>
  <c r="Z748" i="18"/>
  <c r="Y748" i="18"/>
  <c r="X748" i="18"/>
  <c r="W748" i="18"/>
  <c r="V748" i="18"/>
  <c r="U748" i="18"/>
  <c r="T748" i="18"/>
  <c r="S748" i="18"/>
  <c r="R748" i="18"/>
  <c r="Q748" i="18"/>
  <c r="P748" i="18"/>
  <c r="O748" i="18"/>
  <c r="N748" i="18"/>
  <c r="M748" i="18"/>
  <c r="L748" i="18"/>
  <c r="K748" i="18"/>
  <c r="J748" i="18"/>
  <c r="I748" i="18"/>
  <c r="H748" i="18"/>
  <c r="G748" i="18"/>
  <c r="F748" i="18"/>
  <c r="E748" i="18"/>
  <c r="D748" i="18"/>
  <c r="C748" i="18"/>
  <c r="B748" i="18"/>
  <c r="A748" i="18"/>
  <c r="BP747" i="18"/>
  <c r="BO747" i="18"/>
  <c r="BN747" i="18"/>
  <c r="BM747" i="18"/>
  <c r="BL747" i="18"/>
  <c r="BK747" i="18"/>
  <c r="BJ747" i="18"/>
  <c r="BI747" i="18"/>
  <c r="BH747" i="18"/>
  <c r="BG747" i="18"/>
  <c r="BF747" i="18"/>
  <c r="BE747" i="18"/>
  <c r="BD747" i="18"/>
  <c r="BC747" i="18"/>
  <c r="BB747" i="18"/>
  <c r="BA747" i="18"/>
  <c r="AZ747" i="18"/>
  <c r="AY747" i="18"/>
  <c r="AX747" i="18"/>
  <c r="AW747" i="18"/>
  <c r="AV747" i="18"/>
  <c r="AU747" i="18"/>
  <c r="AT747" i="18"/>
  <c r="AS747" i="18"/>
  <c r="AR747" i="18"/>
  <c r="AQ747" i="18"/>
  <c r="AP747" i="18"/>
  <c r="AO747" i="18"/>
  <c r="AN747" i="18"/>
  <c r="AM747" i="18"/>
  <c r="AL747" i="18"/>
  <c r="AK747" i="18"/>
  <c r="AJ747" i="18"/>
  <c r="AI747" i="18"/>
  <c r="AH747" i="18"/>
  <c r="AG747" i="18"/>
  <c r="AF747" i="18"/>
  <c r="AE747" i="18"/>
  <c r="AD747" i="18"/>
  <c r="AC747" i="18"/>
  <c r="AB747" i="18"/>
  <c r="AA747" i="18"/>
  <c r="Z747" i="18"/>
  <c r="Y747" i="18"/>
  <c r="X747" i="18"/>
  <c r="W747" i="18"/>
  <c r="V747" i="18"/>
  <c r="U747" i="18"/>
  <c r="T747" i="18"/>
  <c r="S747" i="18"/>
  <c r="R747" i="18"/>
  <c r="Q747" i="18"/>
  <c r="P747" i="18"/>
  <c r="O747" i="18"/>
  <c r="N747" i="18"/>
  <c r="M747" i="18"/>
  <c r="L747" i="18"/>
  <c r="K747" i="18"/>
  <c r="J747" i="18"/>
  <c r="I747" i="18"/>
  <c r="H747" i="18"/>
  <c r="G747" i="18"/>
  <c r="F747" i="18"/>
  <c r="E747" i="18"/>
  <c r="D747" i="18"/>
  <c r="C747" i="18"/>
  <c r="B747" i="18"/>
  <c r="A747" i="18"/>
  <c r="BP746" i="18"/>
  <c r="BO746" i="18"/>
  <c r="BN746" i="18"/>
  <c r="BM746" i="18"/>
  <c r="BL746" i="18"/>
  <c r="BK746" i="18"/>
  <c r="BJ746" i="18"/>
  <c r="BI746" i="18"/>
  <c r="BH746" i="18"/>
  <c r="BG746" i="18"/>
  <c r="BF746" i="18"/>
  <c r="BE746" i="18"/>
  <c r="BD746" i="18"/>
  <c r="BC746" i="18"/>
  <c r="BB746" i="18"/>
  <c r="BA746" i="18"/>
  <c r="AZ746" i="18"/>
  <c r="AY746" i="18"/>
  <c r="AX746" i="18"/>
  <c r="AW746" i="18"/>
  <c r="AV746" i="18"/>
  <c r="AU746" i="18"/>
  <c r="AT746" i="18"/>
  <c r="AS746" i="18"/>
  <c r="AR746" i="18"/>
  <c r="AQ746" i="18"/>
  <c r="AP746" i="18"/>
  <c r="AO746" i="18"/>
  <c r="AN746" i="18"/>
  <c r="AM746" i="18"/>
  <c r="AL746" i="18"/>
  <c r="AK746" i="18"/>
  <c r="AJ746" i="18"/>
  <c r="AI746" i="18"/>
  <c r="AH746" i="18"/>
  <c r="AG746" i="18"/>
  <c r="AF746" i="18"/>
  <c r="AE746" i="18"/>
  <c r="AD746" i="18"/>
  <c r="AC746" i="18"/>
  <c r="AB746" i="18"/>
  <c r="AA746" i="18"/>
  <c r="Z746" i="18"/>
  <c r="Y746" i="18"/>
  <c r="X746" i="18"/>
  <c r="W746" i="18"/>
  <c r="V746" i="18"/>
  <c r="U746" i="18"/>
  <c r="T746" i="18"/>
  <c r="S746" i="18"/>
  <c r="R746" i="18"/>
  <c r="Q746" i="18"/>
  <c r="P746" i="18"/>
  <c r="O746" i="18"/>
  <c r="N746" i="18"/>
  <c r="M746" i="18"/>
  <c r="L746" i="18"/>
  <c r="K746" i="18"/>
  <c r="J746" i="18"/>
  <c r="I746" i="18"/>
  <c r="H746" i="18"/>
  <c r="G746" i="18"/>
  <c r="F746" i="18"/>
  <c r="E746" i="18"/>
  <c r="D746" i="18"/>
  <c r="C746" i="18"/>
  <c r="B746" i="18"/>
  <c r="A746" i="18"/>
  <c r="BP745" i="18"/>
  <c r="BO745" i="18"/>
  <c r="BN745" i="18"/>
  <c r="BM745" i="18"/>
  <c r="BL745" i="18"/>
  <c r="BK745" i="18"/>
  <c r="BJ745" i="18"/>
  <c r="BI745" i="18"/>
  <c r="BH745" i="18"/>
  <c r="BG745" i="18"/>
  <c r="BF745" i="18"/>
  <c r="BE745" i="18"/>
  <c r="BD745" i="18"/>
  <c r="BC745" i="18"/>
  <c r="BB745" i="18"/>
  <c r="BA745" i="18"/>
  <c r="AZ745" i="18"/>
  <c r="AY745" i="18"/>
  <c r="AX745" i="18"/>
  <c r="AW745" i="18"/>
  <c r="AV745" i="18"/>
  <c r="AU745" i="18"/>
  <c r="AT745" i="18"/>
  <c r="AS745" i="18"/>
  <c r="AR745" i="18"/>
  <c r="AQ745" i="18"/>
  <c r="AP745" i="18"/>
  <c r="AO745" i="18"/>
  <c r="AN745" i="18"/>
  <c r="AM745" i="18"/>
  <c r="AL745" i="18"/>
  <c r="AK745" i="18"/>
  <c r="AJ745" i="18"/>
  <c r="AI745" i="18"/>
  <c r="AH745" i="18"/>
  <c r="AG745" i="18"/>
  <c r="AF745" i="18"/>
  <c r="AE745" i="18"/>
  <c r="AD745" i="18"/>
  <c r="AC745" i="18"/>
  <c r="AB745" i="18"/>
  <c r="AA745" i="18"/>
  <c r="Z745" i="18"/>
  <c r="Y745" i="18"/>
  <c r="X745" i="18"/>
  <c r="W745" i="18"/>
  <c r="V745" i="18"/>
  <c r="U745" i="18"/>
  <c r="T745" i="18"/>
  <c r="S745" i="18"/>
  <c r="R745" i="18"/>
  <c r="Q745" i="18"/>
  <c r="P745" i="18"/>
  <c r="O745" i="18"/>
  <c r="N745" i="18"/>
  <c r="M745" i="18"/>
  <c r="L745" i="18"/>
  <c r="K745" i="18"/>
  <c r="J745" i="18"/>
  <c r="I745" i="18"/>
  <c r="H745" i="18"/>
  <c r="G745" i="18"/>
  <c r="F745" i="18"/>
  <c r="E745" i="18"/>
  <c r="D745" i="18"/>
  <c r="C745" i="18"/>
  <c r="B745" i="18"/>
  <c r="A745" i="18"/>
  <c r="BA744" i="18"/>
  <c r="AZ744" i="18"/>
  <c r="AY744" i="18"/>
  <c r="AX744" i="18"/>
  <c r="AW744" i="18"/>
  <c r="AV744" i="18"/>
  <c r="AU744" i="18"/>
  <c r="AT744" i="18"/>
  <c r="AS744" i="18"/>
  <c r="AR744" i="18"/>
  <c r="AQ744" i="18"/>
  <c r="AP744" i="18"/>
  <c r="AO744" i="18"/>
  <c r="AN744" i="18"/>
  <c r="AM744" i="18"/>
  <c r="AL744" i="18"/>
  <c r="AK744" i="18"/>
  <c r="AJ744" i="18"/>
  <c r="AI744" i="18"/>
  <c r="AH744" i="18"/>
  <c r="AG744" i="18"/>
  <c r="AF744" i="18"/>
  <c r="AE744" i="18"/>
  <c r="AD744" i="18"/>
  <c r="AC744" i="18"/>
  <c r="AB744" i="18"/>
  <c r="AA744" i="18"/>
  <c r="Z744" i="18"/>
  <c r="Y744" i="18"/>
  <c r="X744" i="18"/>
  <c r="W744" i="18"/>
  <c r="V744" i="18"/>
  <c r="U744" i="18"/>
  <c r="T744" i="18"/>
  <c r="S744" i="18"/>
  <c r="R744" i="18"/>
  <c r="Q744" i="18"/>
  <c r="P744" i="18"/>
  <c r="O744" i="18"/>
  <c r="N744" i="18"/>
  <c r="M744" i="18"/>
  <c r="L744" i="18"/>
  <c r="K744" i="18"/>
  <c r="J744" i="18"/>
  <c r="I744" i="18"/>
  <c r="H744" i="18"/>
  <c r="G744" i="18"/>
  <c r="F744" i="18"/>
  <c r="E744" i="18"/>
  <c r="D744" i="18"/>
  <c r="C744" i="18"/>
  <c r="B744" i="18"/>
  <c r="A744" i="18"/>
  <c r="CX780" i="18"/>
  <c r="CW780" i="18"/>
  <c r="CV780" i="18"/>
  <c r="CU780" i="18"/>
  <c r="CT780" i="18"/>
  <c r="CS780" i="18"/>
  <c r="CR780" i="18"/>
  <c r="CQ780" i="18"/>
  <c r="CX779" i="18"/>
  <c r="CW779" i="18"/>
  <c r="CV779" i="18"/>
  <c r="CU779" i="18"/>
  <c r="CT779" i="18"/>
  <c r="CS779" i="18"/>
  <c r="CR779" i="18"/>
  <c r="CX778" i="18"/>
  <c r="CW778" i="18"/>
  <c r="CV778" i="18"/>
  <c r="CU778" i="18"/>
  <c r="CT778" i="18"/>
  <c r="CS778" i="18"/>
  <c r="CR778" i="18"/>
  <c r="CX777" i="18"/>
  <c r="CW777" i="18"/>
  <c r="CV777" i="18"/>
  <c r="CU777" i="18"/>
  <c r="CT777" i="18"/>
  <c r="CS777" i="18"/>
  <c r="CR777" i="18"/>
  <c r="CX776" i="18"/>
  <c r="CW776" i="18"/>
  <c r="CV776" i="18"/>
  <c r="CU776" i="18"/>
  <c r="CT776" i="18"/>
  <c r="CS776" i="18"/>
  <c r="CR776" i="18"/>
  <c r="CQ776" i="18"/>
  <c r="CX775" i="18"/>
  <c r="CW775" i="18"/>
  <c r="CV775" i="18"/>
  <c r="CU775" i="18"/>
  <c r="CT775" i="18"/>
  <c r="CS775" i="18"/>
  <c r="CR775" i="18"/>
  <c r="CQ775" i="18"/>
  <c r="CX774" i="18"/>
  <c r="CW774" i="18"/>
  <c r="CV774" i="18"/>
  <c r="CU774" i="18"/>
  <c r="CT774" i="18"/>
  <c r="CX773" i="18"/>
  <c r="CW773" i="18"/>
  <c r="CV773" i="18"/>
  <c r="CU773" i="18"/>
  <c r="CT773" i="18"/>
  <c r="CX772" i="18"/>
  <c r="CW772" i="18"/>
  <c r="CV772" i="18"/>
  <c r="CU772" i="18"/>
  <c r="CT772" i="18"/>
  <c r="CX771" i="18"/>
  <c r="CW771" i="18"/>
  <c r="CV771" i="18"/>
  <c r="CU771" i="18"/>
  <c r="CT771" i="18"/>
  <c r="CS771" i="18"/>
  <c r="CR771" i="18"/>
  <c r="CQ771" i="18"/>
  <c r="CX770" i="18"/>
  <c r="CW770" i="18"/>
  <c r="CV770" i="18"/>
  <c r="CU770" i="18"/>
  <c r="CT770" i="18"/>
  <c r="CS770" i="18"/>
  <c r="CR770" i="18"/>
  <c r="CQ770" i="18"/>
  <c r="CX769" i="18"/>
  <c r="CW769" i="18"/>
  <c r="CV769" i="18"/>
  <c r="CU769" i="18"/>
  <c r="CT769" i="18"/>
  <c r="CX768" i="18"/>
  <c r="CW768" i="18"/>
  <c r="CV768" i="18"/>
  <c r="CU768" i="18"/>
  <c r="CT768" i="18"/>
  <c r="CS768" i="18"/>
  <c r="CR768" i="18"/>
  <c r="CQ768" i="18"/>
  <c r="CX767" i="18"/>
  <c r="CW767" i="18"/>
  <c r="CV767" i="18"/>
  <c r="CU767" i="18"/>
  <c r="CT767" i="18"/>
  <c r="CS767" i="18"/>
  <c r="CR767" i="18"/>
  <c r="CQ767" i="18"/>
  <c r="CX766" i="18"/>
  <c r="CW766" i="18"/>
  <c r="CV766" i="18"/>
  <c r="CU766" i="18"/>
  <c r="CT766" i="18"/>
  <c r="CX765" i="18"/>
  <c r="CW765" i="18"/>
  <c r="CV765" i="18"/>
  <c r="CU765" i="18"/>
  <c r="CT765" i="18"/>
  <c r="CX764" i="18"/>
  <c r="CW764" i="18"/>
  <c r="CV764" i="18"/>
  <c r="CU764" i="18"/>
  <c r="CT764" i="18"/>
  <c r="CX763" i="18"/>
  <c r="CW763" i="18"/>
  <c r="CV763" i="18"/>
  <c r="CU763" i="18"/>
  <c r="CT763" i="18"/>
  <c r="CX762" i="18"/>
  <c r="CW762" i="18"/>
  <c r="CV762" i="18"/>
  <c r="CU762" i="18"/>
  <c r="CT762" i="18"/>
  <c r="CS762" i="18"/>
  <c r="CR762" i="18"/>
  <c r="CQ762" i="18"/>
  <c r="CX761" i="18"/>
  <c r="CW761" i="18"/>
  <c r="CV761" i="18"/>
  <c r="CU761" i="18"/>
  <c r="CT761" i="18"/>
  <c r="CS761" i="18"/>
  <c r="CR761" i="18"/>
  <c r="CQ761" i="18"/>
  <c r="CX760" i="18"/>
  <c r="CW760" i="18"/>
  <c r="CV760" i="18"/>
  <c r="CU760" i="18"/>
  <c r="CT760" i="18"/>
  <c r="CS760" i="18"/>
  <c r="CR760" i="18"/>
  <c r="CQ760" i="18"/>
  <c r="CX759" i="18"/>
  <c r="CW759" i="18"/>
  <c r="CV759" i="18"/>
  <c r="CU759" i="18"/>
  <c r="CT759" i="18"/>
  <c r="CS759" i="18"/>
  <c r="CR759" i="18"/>
  <c r="CQ759" i="18"/>
  <c r="CX758" i="18"/>
  <c r="CW758" i="18"/>
  <c r="CV758" i="18"/>
  <c r="CU758" i="18"/>
  <c r="CT758" i="18"/>
  <c r="CS758" i="18"/>
  <c r="CR758" i="18"/>
  <c r="CQ758" i="18"/>
  <c r="CX757" i="18"/>
  <c r="CW757" i="18"/>
  <c r="CV757" i="18"/>
  <c r="CU757" i="18"/>
  <c r="CT757" i="18"/>
  <c r="CS757" i="18"/>
  <c r="CR757" i="18"/>
  <c r="CQ757" i="18"/>
  <c r="CX756" i="18"/>
  <c r="CW756" i="18"/>
  <c r="CV756" i="18"/>
  <c r="CU756" i="18"/>
  <c r="CT756" i="18"/>
  <c r="CS756" i="18"/>
  <c r="CR756" i="18"/>
  <c r="CQ756" i="18"/>
  <c r="CX755" i="18"/>
  <c r="CW755" i="18"/>
  <c r="CV755" i="18"/>
  <c r="CU755" i="18"/>
  <c r="CT755" i="18"/>
  <c r="CS755" i="18"/>
  <c r="CR755" i="18"/>
  <c r="CQ755" i="18"/>
  <c r="CX754" i="18"/>
  <c r="CW754" i="18"/>
  <c r="CV754" i="18"/>
  <c r="CU754" i="18"/>
  <c r="CT754" i="18"/>
  <c r="CS754" i="18"/>
  <c r="CR754" i="18"/>
  <c r="CQ754" i="18"/>
  <c r="CX753" i="18"/>
  <c r="CW753" i="18"/>
  <c r="CV753" i="18"/>
  <c r="CU753" i="18"/>
  <c r="CT753" i="18"/>
  <c r="CS753" i="18"/>
  <c r="CR753" i="18"/>
  <c r="CQ753" i="18"/>
  <c r="CX752" i="18"/>
  <c r="CW752" i="18"/>
  <c r="CV752" i="18"/>
  <c r="CU752" i="18"/>
  <c r="CT752" i="18"/>
  <c r="CS752" i="18"/>
  <c r="CR752" i="18"/>
  <c r="CQ752" i="18"/>
  <c r="CX751" i="18"/>
  <c r="CW751" i="18"/>
  <c r="CV751" i="18"/>
  <c r="CU751" i="18"/>
  <c r="CT751" i="18"/>
  <c r="CS751" i="18"/>
  <c r="CR751" i="18"/>
  <c r="CQ751" i="18"/>
  <c r="CX750" i="18"/>
  <c r="CW750" i="18"/>
  <c r="CV750" i="18"/>
  <c r="CU750" i="18"/>
  <c r="CT750" i="18"/>
  <c r="CS750" i="18"/>
  <c r="CR750" i="18"/>
  <c r="CQ750" i="18"/>
  <c r="CX749" i="18"/>
  <c r="CW749" i="18"/>
  <c r="CV749" i="18"/>
  <c r="CU749" i="18"/>
  <c r="CT749" i="18"/>
  <c r="CS749" i="18"/>
  <c r="CR749" i="18"/>
  <c r="CQ749" i="18"/>
  <c r="CX748" i="18"/>
  <c r="CW748" i="18"/>
  <c r="CV748" i="18"/>
  <c r="CU748" i="18"/>
  <c r="CT748" i="18"/>
  <c r="CS748" i="18"/>
  <c r="CR748" i="18"/>
  <c r="CQ748" i="18"/>
  <c r="CX747" i="18"/>
  <c r="CW747" i="18"/>
  <c r="CV747" i="18"/>
  <c r="CU747" i="18"/>
  <c r="CT747" i="18"/>
  <c r="CS747" i="18"/>
  <c r="CR747" i="18"/>
  <c r="CQ747" i="18"/>
  <c r="CX746" i="18"/>
  <c r="CW746" i="18"/>
  <c r="CV746" i="18"/>
  <c r="CU746" i="18"/>
  <c r="CT746" i="18"/>
  <c r="CS746" i="18"/>
  <c r="CR746" i="18"/>
  <c r="CQ746" i="18"/>
  <c r="CX745" i="18"/>
  <c r="CW745" i="18"/>
  <c r="CV745" i="18"/>
  <c r="CU745" i="18"/>
  <c r="CT745" i="18"/>
  <c r="CS745" i="18"/>
  <c r="CR745" i="18"/>
  <c r="CQ745" i="18"/>
  <c r="CX744" i="18"/>
  <c r="CW744" i="18"/>
  <c r="CV744" i="18"/>
  <c r="CU744" i="18"/>
  <c r="CT744" i="18"/>
  <c r="CS744" i="18"/>
  <c r="CR744" i="18"/>
  <c r="CQ744" i="18"/>
  <c r="CX743" i="18"/>
  <c r="CW743" i="18"/>
  <c r="CV743" i="18"/>
  <c r="CU743" i="18"/>
  <c r="CT743" i="18"/>
  <c r="CS743" i="18"/>
  <c r="CR743" i="18"/>
  <c r="CQ743" i="18"/>
  <c r="CX742" i="18"/>
  <c r="CW742" i="18"/>
  <c r="CV742" i="18"/>
  <c r="CU742" i="18"/>
  <c r="CT742" i="18"/>
  <c r="CS742" i="18"/>
  <c r="CR742" i="18"/>
  <c r="CQ742" i="18"/>
  <c r="CX741" i="18"/>
  <c r="CW741" i="18"/>
  <c r="CV741" i="18"/>
  <c r="CU741" i="18"/>
  <c r="CT741" i="18"/>
  <c r="CS741" i="18"/>
  <c r="CR741" i="18"/>
  <c r="CQ741" i="18"/>
  <c r="CX740" i="18"/>
  <c r="CW740" i="18"/>
  <c r="CV740" i="18"/>
  <c r="CU740" i="18"/>
  <c r="CT740" i="18"/>
  <c r="CS740" i="18"/>
  <c r="CR740" i="18"/>
  <c r="CQ740" i="18"/>
  <c r="CX739" i="18"/>
  <c r="CW739" i="18"/>
  <c r="CV739" i="18"/>
  <c r="CU739" i="18"/>
  <c r="CT739" i="18"/>
  <c r="CS739" i="18"/>
  <c r="CR739" i="18"/>
  <c r="CQ739" i="18"/>
  <c r="CX738" i="18"/>
  <c r="CW738" i="18"/>
  <c r="CV738" i="18"/>
  <c r="CU738" i="18"/>
  <c r="CT738" i="18"/>
  <c r="CS738" i="18"/>
  <c r="CR738" i="18"/>
  <c r="CQ738" i="18"/>
  <c r="CX737" i="18"/>
  <c r="CW737" i="18"/>
  <c r="CV737" i="18"/>
  <c r="CU737" i="18"/>
  <c r="CT737" i="18"/>
  <c r="CS737" i="18"/>
  <c r="CR737" i="18"/>
  <c r="CX736" i="18"/>
  <c r="CW736" i="18"/>
  <c r="CV736" i="18"/>
  <c r="CU736" i="18"/>
  <c r="CT736" i="18"/>
  <c r="CS736" i="18"/>
  <c r="CR736" i="18"/>
  <c r="CX735" i="18"/>
  <c r="CW735" i="18"/>
  <c r="CV735" i="18"/>
  <c r="CU735" i="18"/>
  <c r="CT735" i="18"/>
  <c r="CS735" i="18"/>
  <c r="CR735" i="18"/>
  <c r="CX734" i="18"/>
  <c r="CW734" i="18"/>
  <c r="CV734" i="18"/>
  <c r="CU734" i="18"/>
  <c r="CT734" i="18"/>
  <c r="CS734" i="18"/>
  <c r="CR734" i="18"/>
  <c r="CX733" i="18"/>
  <c r="CW733" i="18"/>
  <c r="CV733" i="18"/>
  <c r="CU733" i="18"/>
  <c r="CT733" i="18"/>
  <c r="CS733" i="18"/>
  <c r="CR733" i="18"/>
  <c r="CQ733" i="18"/>
  <c r="CX732" i="18"/>
  <c r="CW732" i="18"/>
  <c r="CV732" i="18"/>
  <c r="CU732" i="18"/>
  <c r="CT732" i="18"/>
  <c r="CS732" i="18"/>
  <c r="CR732" i="18"/>
  <c r="CX731" i="18"/>
  <c r="CW731" i="18"/>
  <c r="CV731" i="18"/>
  <c r="CU731" i="18"/>
  <c r="CT731" i="18"/>
  <c r="CS731" i="18"/>
  <c r="CR731" i="18"/>
  <c r="CQ731" i="18"/>
  <c r="CX727" i="18"/>
  <c r="CW727" i="18"/>
  <c r="CV727" i="18"/>
  <c r="CU727" i="18"/>
  <c r="CT727" i="18"/>
  <c r="CS727" i="18"/>
  <c r="CR727" i="18"/>
  <c r="CQ727" i="18"/>
  <c r="CX726" i="18"/>
  <c r="CW726" i="18"/>
  <c r="CV726" i="18"/>
  <c r="CU726" i="18"/>
  <c r="CT726" i="18"/>
  <c r="CS726" i="18"/>
  <c r="CR726" i="18"/>
  <c r="CX725" i="18"/>
  <c r="CW725" i="18"/>
  <c r="CV725" i="18"/>
  <c r="CU725" i="18"/>
  <c r="CT725" i="18"/>
  <c r="CS725" i="18"/>
  <c r="CR725" i="18"/>
  <c r="CQ725" i="18"/>
  <c r="CP767" i="18"/>
  <c r="CO767" i="18"/>
  <c r="CP762" i="18"/>
  <c r="CO762" i="18"/>
  <c r="CP761" i="18"/>
  <c r="CO761" i="18"/>
  <c r="CP760" i="18"/>
  <c r="CO760" i="18"/>
  <c r="CP759" i="18"/>
  <c r="CO759" i="18"/>
  <c r="CP758" i="18"/>
  <c r="CO758" i="18"/>
  <c r="CP757" i="18"/>
  <c r="CO757" i="18"/>
  <c r="CP756" i="18"/>
  <c r="CO756" i="18"/>
  <c r="CP755" i="18"/>
  <c r="CO755" i="18"/>
  <c r="CP754" i="18"/>
  <c r="CO754" i="18"/>
  <c r="CP753" i="18"/>
  <c r="CO753" i="18"/>
  <c r="CP752" i="18"/>
  <c r="CO752" i="18"/>
  <c r="CP751" i="18"/>
  <c r="CO751" i="18"/>
  <c r="CP750" i="18"/>
  <c r="CO750" i="18"/>
  <c r="CP749" i="18"/>
  <c r="CO749" i="18"/>
  <c r="CP748" i="18"/>
  <c r="CO748" i="18"/>
  <c r="CP747" i="18"/>
  <c r="CO747" i="18"/>
  <c r="CP746" i="18"/>
  <c r="CO746" i="18"/>
  <c r="CP745" i="18"/>
  <c r="CO745" i="18"/>
  <c r="CP744" i="18"/>
  <c r="CO744" i="18"/>
  <c r="CP743" i="18"/>
  <c r="CO743" i="18"/>
  <c r="CP742" i="18"/>
  <c r="CO742" i="18"/>
  <c r="CP741" i="18"/>
  <c r="CO741" i="18"/>
  <c r="CP740" i="18"/>
  <c r="CO740" i="18"/>
  <c r="CP739" i="18"/>
  <c r="CO739" i="18"/>
  <c r="CP738" i="18"/>
  <c r="CO738" i="18"/>
  <c r="CP733" i="18"/>
  <c r="CO733" i="18"/>
  <c r="CP732" i="18"/>
  <c r="CP731" i="18"/>
  <c r="CO731" i="18"/>
  <c r="CP727" i="18"/>
  <c r="CO727" i="18"/>
  <c r="CP725" i="18"/>
  <c r="CO725" i="18"/>
  <c r="CP723" i="18"/>
  <c r="CN748" i="18"/>
  <c r="CM748" i="18"/>
  <c r="CL748" i="18"/>
  <c r="CK748" i="18"/>
  <c r="CJ748" i="18"/>
  <c r="CI748" i="18"/>
  <c r="CH748" i="18"/>
  <c r="CG748" i="18"/>
  <c r="CF748" i="18"/>
  <c r="CE748" i="18"/>
  <c r="CD748" i="18"/>
  <c r="CC748" i="18"/>
  <c r="CB748" i="18"/>
  <c r="CA748" i="18"/>
  <c r="BZ748" i="18"/>
  <c r="BY748" i="18"/>
  <c r="BX748" i="18"/>
  <c r="BW748" i="18"/>
  <c r="BV748" i="18"/>
  <c r="BU748" i="18"/>
  <c r="BT748" i="18"/>
  <c r="BS748" i="18"/>
  <c r="BR748" i="18"/>
  <c r="BQ748" i="18"/>
  <c r="CN747" i="18"/>
  <c r="CM747" i="18"/>
  <c r="CL747" i="18"/>
  <c r="CK747" i="18"/>
  <c r="CJ747" i="18"/>
  <c r="CI747" i="18"/>
  <c r="CH747" i="18"/>
  <c r="CG747" i="18"/>
  <c r="CF747" i="18"/>
  <c r="CE747" i="18"/>
  <c r="CD747" i="18"/>
  <c r="CC747" i="18"/>
  <c r="CB747" i="18"/>
  <c r="CA747" i="18"/>
  <c r="BZ747" i="18"/>
  <c r="BY747" i="18"/>
  <c r="BX747" i="18"/>
  <c r="BW747" i="18"/>
  <c r="BV747" i="18"/>
  <c r="BU747" i="18"/>
  <c r="BT747" i="18"/>
  <c r="BS747" i="18"/>
  <c r="BR747" i="18"/>
  <c r="BQ747" i="18"/>
  <c r="CN746" i="18"/>
  <c r="CM746" i="18"/>
  <c r="CL746" i="18"/>
  <c r="CK746" i="18"/>
  <c r="CJ746" i="18"/>
  <c r="CI746" i="18"/>
  <c r="CH746" i="18"/>
  <c r="CG746" i="18"/>
  <c r="CF746" i="18"/>
  <c r="CE746" i="18"/>
  <c r="CD746" i="18"/>
  <c r="CC746" i="18"/>
  <c r="CB746" i="18"/>
  <c r="CA746" i="18"/>
  <c r="BZ746" i="18"/>
  <c r="BY746" i="18"/>
  <c r="BX746" i="18"/>
  <c r="BW746" i="18"/>
  <c r="BV746" i="18"/>
  <c r="BU746" i="18"/>
  <c r="BT746" i="18"/>
  <c r="BS746" i="18"/>
  <c r="BR746" i="18"/>
  <c r="BQ746" i="18"/>
  <c r="CN745" i="18"/>
  <c r="CM745" i="18"/>
  <c r="CL745" i="18"/>
  <c r="CK745" i="18"/>
  <c r="CJ745" i="18"/>
  <c r="CI745" i="18"/>
  <c r="CH745" i="18"/>
  <c r="CG745" i="18"/>
  <c r="CF745" i="18"/>
  <c r="CE745" i="18"/>
  <c r="CD745" i="18"/>
  <c r="CC745" i="18"/>
  <c r="CB745" i="18"/>
  <c r="CA745" i="18"/>
  <c r="BZ745" i="18"/>
  <c r="BY745" i="18"/>
  <c r="BX745" i="18"/>
  <c r="BW745" i="18"/>
  <c r="BV745" i="18"/>
  <c r="BU745" i="18"/>
  <c r="BT745" i="18"/>
  <c r="BS745" i="18"/>
  <c r="BR745" i="18"/>
  <c r="BQ745" i="18"/>
  <c r="CN744" i="18"/>
  <c r="CM744" i="18"/>
  <c r="CL744" i="18"/>
  <c r="CK744" i="18"/>
  <c r="CJ744" i="18"/>
  <c r="CI744" i="18"/>
  <c r="CH744" i="18"/>
  <c r="CG744" i="18"/>
  <c r="CF744" i="18"/>
  <c r="CE744" i="18"/>
  <c r="CD744" i="18"/>
  <c r="CC744" i="18"/>
  <c r="CB744" i="18"/>
  <c r="CA744" i="18"/>
  <c r="BZ744" i="18"/>
  <c r="BY744" i="18"/>
  <c r="BX744" i="18"/>
  <c r="BW744" i="18"/>
  <c r="BV744" i="18"/>
  <c r="BU744" i="18"/>
  <c r="BT744" i="18"/>
  <c r="BS744" i="18"/>
  <c r="BR744" i="18"/>
  <c r="BQ744" i="18"/>
  <c r="CN743" i="18"/>
  <c r="CM743" i="18"/>
  <c r="CL743" i="18"/>
  <c r="CK743" i="18"/>
  <c r="CJ743" i="18"/>
  <c r="CI743" i="18"/>
  <c r="CH743" i="18"/>
  <c r="CG743" i="18"/>
  <c r="CF743" i="18"/>
  <c r="CE743" i="18"/>
  <c r="CD743" i="18"/>
  <c r="CC743" i="18"/>
  <c r="CB743" i="18"/>
  <c r="CA743" i="18"/>
  <c r="BZ743" i="18"/>
  <c r="BY743" i="18"/>
  <c r="BX743" i="18"/>
  <c r="BW743" i="18"/>
  <c r="BV743" i="18"/>
  <c r="BU743" i="18"/>
  <c r="BT743" i="18"/>
  <c r="BS743" i="18"/>
  <c r="BR743" i="18"/>
  <c r="BQ743" i="18"/>
  <c r="CN742" i="18"/>
  <c r="CM742" i="18"/>
  <c r="CL742" i="18"/>
  <c r="CK742" i="18"/>
  <c r="CJ742" i="18"/>
  <c r="CI742" i="18"/>
  <c r="CH742" i="18"/>
  <c r="CG742" i="18"/>
  <c r="CF742" i="18"/>
  <c r="CE742" i="18"/>
  <c r="CD742" i="18"/>
  <c r="CC742" i="18"/>
  <c r="CB742" i="18"/>
  <c r="CA742" i="18"/>
  <c r="BZ742" i="18"/>
  <c r="BY742" i="18"/>
  <c r="BX742" i="18"/>
  <c r="BW742" i="18"/>
  <c r="BV742" i="18"/>
  <c r="BU742" i="18"/>
  <c r="BT742" i="18"/>
  <c r="BS742" i="18"/>
  <c r="BR742" i="18"/>
  <c r="BQ742" i="18"/>
  <c r="CN741" i="18"/>
  <c r="CM741" i="18"/>
  <c r="CL741" i="18"/>
  <c r="CK741" i="18"/>
  <c r="CJ741" i="18"/>
  <c r="CI741" i="18"/>
  <c r="CH741" i="18"/>
  <c r="CG741" i="18"/>
  <c r="CF741" i="18"/>
  <c r="CE741" i="18"/>
  <c r="CD741" i="18"/>
  <c r="CC741" i="18"/>
  <c r="CB741" i="18"/>
  <c r="CA741" i="18"/>
  <c r="BZ741" i="18"/>
  <c r="BY741" i="18"/>
  <c r="BX741" i="18"/>
  <c r="BW741" i="18"/>
  <c r="BV741" i="18"/>
  <c r="BU741" i="18"/>
  <c r="BT741" i="18"/>
  <c r="BS741" i="18"/>
  <c r="BR741" i="18"/>
  <c r="BQ741" i="18"/>
  <c r="CN740" i="18"/>
  <c r="CM740" i="18"/>
  <c r="CL740" i="18"/>
  <c r="CK740" i="18"/>
  <c r="CJ740" i="18"/>
  <c r="CI740" i="18"/>
  <c r="CH740" i="18"/>
  <c r="CG740" i="18"/>
  <c r="CF740" i="18"/>
  <c r="CE740" i="18"/>
  <c r="CD740" i="18"/>
  <c r="CC740" i="18"/>
  <c r="CB740" i="18"/>
  <c r="CA740" i="18"/>
  <c r="BZ740" i="18"/>
  <c r="BY740" i="18"/>
  <c r="BX740" i="18"/>
  <c r="BW740" i="18"/>
  <c r="BV740" i="18"/>
  <c r="BU740" i="18"/>
  <c r="BT740" i="18"/>
  <c r="BS740" i="18"/>
  <c r="BR740" i="18"/>
  <c r="BQ740" i="18"/>
  <c r="CN739" i="18"/>
  <c r="CM739" i="18"/>
  <c r="CL739" i="18"/>
  <c r="CK739" i="18"/>
  <c r="CJ739" i="18"/>
  <c r="CI739" i="18"/>
  <c r="CH739" i="18"/>
  <c r="CG739" i="18"/>
  <c r="CF739" i="18"/>
  <c r="CE739" i="18"/>
  <c r="CD739" i="18"/>
  <c r="CC739" i="18"/>
  <c r="CB739" i="18"/>
  <c r="CA739" i="18"/>
  <c r="BZ739" i="18"/>
  <c r="BY739" i="18"/>
  <c r="BX739" i="18"/>
  <c r="BW739" i="18"/>
  <c r="BV739" i="18"/>
  <c r="BU739" i="18"/>
  <c r="BT739" i="18"/>
  <c r="BS739" i="18"/>
  <c r="BR739" i="18"/>
  <c r="BQ739" i="18"/>
  <c r="CN738" i="18"/>
  <c r="CM738" i="18"/>
  <c r="CL738" i="18"/>
  <c r="CK738" i="18"/>
  <c r="CJ738" i="18"/>
  <c r="CI738" i="18"/>
  <c r="CH738" i="18"/>
  <c r="CG738" i="18"/>
  <c r="CF738" i="18"/>
  <c r="CE738" i="18"/>
  <c r="CD738" i="18"/>
  <c r="CC738" i="18"/>
  <c r="CB738" i="18"/>
  <c r="CA738" i="18"/>
  <c r="BZ738" i="18"/>
  <c r="BY738" i="18"/>
  <c r="BX738" i="18"/>
  <c r="BW738" i="18"/>
  <c r="BV738" i="18"/>
  <c r="BU738" i="18"/>
  <c r="BT738" i="18"/>
  <c r="BS738" i="18"/>
  <c r="BR738" i="18"/>
  <c r="BQ738" i="18"/>
  <c r="CJ737" i="18"/>
  <c r="CI737" i="18"/>
  <c r="CH737" i="18"/>
  <c r="CG737" i="18"/>
  <c r="CF737" i="18"/>
  <c r="CE737" i="18"/>
  <c r="CD737" i="18"/>
  <c r="CC737" i="18"/>
  <c r="CB737" i="18"/>
  <c r="CA737" i="18"/>
  <c r="BZ737" i="18"/>
  <c r="BY737" i="18"/>
  <c r="BX737" i="18"/>
  <c r="BW737" i="18"/>
  <c r="BV737" i="18"/>
  <c r="BU737" i="18"/>
  <c r="BT737" i="18"/>
  <c r="BS737" i="18"/>
  <c r="BR737" i="18"/>
  <c r="BQ737" i="18"/>
  <c r="CJ736" i="18"/>
  <c r="CI736" i="18"/>
  <c r="CH736" i="18"/>
  <c r="CG736" i="18"/>
  <c r="CF736" i="18"/>
  <c r="CE736" i="18"/>
  <c r="CD736" i="18"/>
  <c r="CC736" i="18"/>
  <c r="CB736" i="18"/>
  <c r="CA736" i="18"/>
  <c r="BZ736" i="18"/>
  <c r="BY736" i="18"/>
  <c r="BX736" i="18"/>
  <c r="BW736" i="18"/>
  <c r="BV736" i="18"/>
  <c r="BU736" i="18"/>
  <c r="BT736" i="18"/>
  <c r="BS736" i="18"/>
  <c r="BR736" i="18"/>
  <c r="BQ736" i="18"/>
  <c r="CJ735" i="18"/>
  <c r="CI735" i="18"/>
  <c r="CH735" i="18"/>
  <c r="CG735" i="18"/>
  <c r="CF735" i="18"/>
  <c r="CE735" i="18"/>
  <c r="CD735" i="18"/>
  <c r="CC735" i="18"/>
  <c r="CB735" i="18"/>
  <c r="CA735" i="18"/>
  <c r="BZ735" i="18"/>
  <c r="BY735" i="18"/>
  <c r="BX735" i="18"/>
  <c r="BW735" i="18"/>
  <c r="BV735" i="18"/>
  <c r="BU735" i="18"/>
  <c r="BT735" i="18"/>
  <c r="BS735" i="18"/>
  <c r="BR735" i="18"/>
  <c r="BQ735" i="18"/>
  <c r="CM734" i="18"/>
  <c r="CL734" i="18"/>
  <c r="CK734" i="18"/>
  <c r="CJ734" i="18"/>
  <c r="CI734" i="18"/>
  <c r="CH734" i="18"/>
  <c r="CG734" i="18"/>
  <c r="CF734" i="18"/>
  <c r="CE734" i="18"/>
  <c r="CD734" i="18"/>
  <c r="CC734" i="18"/>
  <c r="CB734" i="18"/>
  <c r="CA734" i="18"/>
  <c r="BZ734" i="18"/>
  <c r="BY734" i="18"/>
  <c r="BS734" i="18"/>
  <c r="BR734" i="18"/>
  <c r="BQ734" i="18"/>
  <c r="CN733" i="18"/>
  <c r="CM733" i="18"/>
  <c r="CL733" i="18"/>
  <c r="CK733" i="18"/>
  <c r="CJ733" i="18"/>
  <c r="CI733" i="18"/>
  <c r="CH733" i="18"/>
  <c r="CG733" i="18"/>
  <c r="CF733" i="18"/>
  <c r="CE733" i="18"/>
  <c r="CD733" i="18"/>
  <c r="CC733" i="18"/>
  <c r="CB733" i="18"/>
  <c r="CA733" i="18"/>
  <c r="BZ733" i="18"/>
  <c r="BY733" i="18"/>
  <c r="BT733" i="18"/>
  <c r="BS733" i="18"/>
  <c r="BR733" i="18"/>
  <c r="CM732" i="18"/>
  <c r="CL732" i="18"/>
  <c r="CK732" i="18"/>
  <c r="CJ732" i="18"/>
  <c r="CI732" i="18"/>
  <c r="CH732" i="18"/>
  <c r="CG732" i="18"/>
  <c r="CF732" i="18"/>
  <c r="CE732" i="18"/>
  <c r="CD732" i="18"/>
  <c r="CC732" i="18"/>
  <c r="CB732" i="18"/>
  <c r="CA732" i="18"/>
  <c r="BZ732" i="18"/>
  <c r="BY732" i="18"/>
  <c r="BT732" i="18"/>
  <c r="BS732" i="18"/>
  <c r="BR732" i="18"/>
  <c r="BQ732" i="18"/>
  <c r="CN731" i="18"/>
  <c r="CM731" i="18"/>
  <c r="CL731" i="18"/>
  <c r="CK731" i="18"/>
  <c r="CJ731" i="18"/>
  <c r="CI731" i="18"/>
  <c r="CH731" i="18"/>
  <c r="CG731" i="18"/>
  <c r="CF731" i="18"/>
  <c r="CE731" i="18"/>
  <c r="CD731" i="18"/>
  <c r="CC731" i="18"/>
  <c r="CB731" i="18"/>
  <c r="CA731" i="18"/>
  <c r="BZ731" i="18"/>
  <c r="BY731" i="18"/>
  <c r="BX731" i="18"/>
  <c r="BW731" i="18"/>
  <c r="BV731" i="18"/>
  <c r="BU731" i="18"/>
  <c r="BT731" i="18"/>
  <c r="BS731" i="18"/>
  <c r="BR731" i="18"/>
  <c r="BQ731" i="18"/>
  <c r="CF730" i="18"/>
  <c r="CE730" i="18"/>
  <c r="CD730" i="18"/>
  <c r="CC730" i="18"/>
  <c r="CB730" i="18"/>
  <c r="CA730" i="18"/>
  <c r="BZ730" i="18"/>
  <c r="BY730" i="18"/>
  <c r="CE729" i="18"/>
  <c r="CD729" i="18"/>
  <c r="CC729" i="18"/>
  <c r="CB729" i="18"/>
  <c r="CA729" i="18"/>
  <c r="BZ729" i="18"/>
  <c r="BY729" i="18"/>
  <c r="CD728" i="18"/>
  <c r="CC728" i="18"/>
  <c r="CB728" i="18"/>
  <c r="CA728" i="18"/>
  <c r="BZ728" i="18"/>
  <c r="BY728" i="18"/>
  <c r="CN727" i="18"/>
  <c r="CM727" i="18"/>
  <c r="CL727" i="18"/>
  <c r="CK727" i="18"/>
  <c r="CJ727" i="18"/>
  <c r="CI727" i="18"/>
  <c r="CH727" i="18"/>
  <c r="CG727" i="18"/>
  <c r="CF727" i="18"/>
  <c r="CE727" i="18"/>
  <c r="CD727" i="18"/>
  <c r="CC727" i="18"/>
  <c r="CB727" i="18"/>
  <c r="CA727" i="18"/>
  <c r="BZ727" i="18"/>
  <c r="BY727" i="18"/>
  <c r="BX727" i="18"/>
  <c r="BW727" i="18"/>
  <c r="BV727" i="18"/>
  <c r="BU727" i="18"/>
  <c r="BT727" i="18"/>
  <c r="BS727" i="18"/>
  <c r="BR727" i="18"/>
  <c r="BQ727" i="18"/>
  <c r="CM726" i="18"/>
  <c r="CL726" i="18"/>
  <c r="CK726" i="18"/>
  <c r="CJ726" i="18"/>
  <c r="CI726" i="18"/>
  <c r="CH726" i="18"/>
  <c r="CG726" i="18"/>
  <c r="CF726" i="18"/>
  <c r="CE726" i="18"/>
  <c r="CD726" i="18"/>
  <c r="CC726" i="18"/>
  <c r="CB726" i="18"/>
  <c r="CA726" i="18"/>
  <c r="BZ726" i="18"/>
  <c r="BY726" i="18"/>
  <c r="BT726" i="18"/>
  <c r="BS726" i="18"/>
  <c r="BR726" i="18"/>
  <c r="CN725" i="18"/>
  <c r="CM725" i="18"/>
  <c r="CL725" i="18"/>
  <c r="CK725" i="18"/>
  <c r="CJ725" i="18"/>
  <c r="CI725" i="18"/>
  <c r="CH725" i="18"/>
  <c r="CG725" i="18"/>
  <c r="CF725" i="18"/>
  <c r="CE725" i="18"/>
  <c r="CD725" i="18"/>
  <c r="CC725" i="18"/>
  <c r="CB725" i="18"/>
  <c r="CA725" i="18"/>
  <c r="BZ725" i="18"/>
  <c r="BY725" i="18"/>
  <c r="BX725" i="18"/>
  <c r="BW725" i="18"/>
  <c r="BV725" i="18"/>
  <c r="BT725" i="18"/>
  <c r="BS725" i="18"/>
  <c r="BR725" i="18"/>
  <c r="CM724" i="18"/>
  <c r="CL724" i="18"/>
  <c r="CK724" i="18"/>
  <c r="CJ724" i="18"/>
  <c r="CI724" i="18"/>
  <c r="CH724" i="18"/>
  <c r="CG724" i="18"/>
  <c r="CF724" i="18"/>
  <c r="CE724" i="18"/>
  <c r="CD724" i="18"/>
  <c r="CC724" i="18"/>
  <c r="CB724" i="18"/>
  <c r="CA724" i="18"/>
  <c r="BZ724" i="18"/>
  <c r="BY724" i="18"/>
  <c r="BS724" i="18"/>
  <c r="BR724" i="18"/>
  <c r="BQ724" i="18"/>
  <c r="CM723" i="18"/>
  <c r="CL723" i="18"/>
  <c r="CK723" i="18"/>
  <c r="CJ723" i="18"/>
  <c r="CI723" i="18"/>
  <c r="CH723" i="18"/>
  <c r="CG723" i="18"/>
  <c r="CF723" i="18"/>
  <c r="CE723" i="18"/>
  <c r="CD723" i="18"/>
  <c r="CC723" i="18"/>
  <c r="CB723" i="18"/>
  <c r="CA723" i="18"/>
  <c r="BZ723" i="18"/>
  <c r="BY723" i="18"/>
  <c r="BT723" i="18"/>
  <c r="BS723" i="18"/>
  <c r="BR723" i="18"/>
  <c r="BQ723" i="18"/>
  <c r="BP744" i="18"/>
  <c r="BO744" i="18"/>
  <c r="BN744" i="18"/>
  <c r="BM744" i="18"/>
  <c r="BL744" i="18"/>
  <c r="BK744" i="18"/>
  <c r="BJ744" i="18"/>
  <c r="BI744" i="18"/>
  <c r="BH744" i="18"/>
  <c r="BG744" i="18"/>
  <c r="BF744" i="18"/>
  <c r="BE744" i="18"/>
  <c r="BD744" i="18"/>
  <c r="BC744" i="18"/>
  <c r="BP743" i="18"/>
  <c r="BO743" i="18"/>
  <c r="BN743" i="18"/>
  <c r="BM743" i="18"/>
  <c r="BL743" i="18"/>
  <c r="BK743" i="18"/>
  <c r="BJ743" i="18"/>
  <c r="BI743" i="18"/>
  <c r="BH743" i="18"/>
  <c r="BG743" i="18"/>
  <c r="BF743" i="18"/>
  <c r="BE743" i="18"/>
  <c r="BD743" i="18"/>
  <c r="BC743" i="18"/>
  <c r="BP742" i="18"/>
  <c r="BO742" i="18"/>
  <c r="BN742" i="18"/>
  <c r="BM742" i="18"/>
  <c r="BL742" i="18"/>
  <c r="BK742" i="18"/>
  <c r="BJ742" i="18"/>
  <c r="BI742" i="18"/>
  <c r="BH742" i="18"/>
  <c r="BG742" i="18"/>
  <c r="BF742" i="18"/>
  <c r="BE742" i="18"/>
  <c r="BD742" i="18"/>
  <c r="BC742" i="18"/>
  <c r="BP741" i="18"/>
  <c r="BO741" i="18"/>
  <c r="BN741" i="18"/>
  <c r="BM741" i="18"/>
  <c r="BL741" i="18"/>
  <c r="BK741" i="18"/>
  <c r="BJ741" i="18"/>
  <c r="BI741" i="18"/>
  <c r="BH741" i="18"/>
  <c r="BG741" i="18"/>
  <c r="BF741" i="18"/>
  <c r="BE741" i="18"/>
  <c r="BD741" i="18"/>
  <c r="BC741" i="18"/>
  <c r="BP740" i="18"/>
  <c r="BO740" i="18"/>
  <c r="BN740" i="18"/>
  <c r="BM740" i="18"/>
  <c r="BL740" i="18"/>
  <c r="BK740" i="18"/>
  <c r="BJ740" i="18"/>
  <c r="BI740" i="18"/>
  <c r="BH740" i="18"/>
  <c r="BG740" i="18"/>
  <c r="BF740" i="18"/>
  <c r="BE740" i="18"/>
  <c r="BD740" i="18"/>
  <c r="BC740" i="18"/>
  <c r="BP739" i="18"/>
  <c r="BO739" i="18"/>
  <c r="BN739" i="18"/>
  <c r="BM739" i="18"/>
  <c r="BL739" i="18"/>
  <c r="BK739" i="18"/>
  <c r="BJ739" i="18"/>
  <c r="BI739" i="18"/>
  <c r="BH739" i="18"/>
  <c r="BG739" i="18"/>
  <c r="BF739" i="18"/>
  <c r="BE739" i="18"/>
  <c r="BD739" i="18"/>
  <c r="BC739" i="18"/>
  <c r="BP738" i="18"/>
  <c r="BO738" i="18"/>
  <c r="BN738" i="18"/>
  <c r="BM738" i="18"/>
  <c r="BL738" i="18"/>
  <c r="BK738" i="18"/>
  <c r="BJ738" i="18"/>
  <c r="BI738" i="18"/>
  <c r="BH738" i="18"/>
  <c r="BG738" i="18"/>
  <c r="BF738" i="18"/>
  <c r="BE738" i="18"/>
  <c r="BD738" i="18"/>
  <c r="BC738" i="18"/>
  <c r="BP737" i="18"/>
  <c r="BO737" i="18"/>
  <c r="BN737" i="18"/>
  <c r="BM737" i="18"/>
  <c r="BL737" i="18"/>
  <c r="BK737" i="18"/>
  <c r="BJ737" i="18"/>
  <c r="BI737" i="18"/>
  <c r="BH737" i="18"/>
  <c r="BG737" i="18"/>
  <c r="BF737" i="18"/>
  <c r="BE737" i="18"/>
  <c r="BD737" i="18"/>
  <c r="BC737" i="18"/>
  <c r="BP736" i="18"/>
  <c r="BO736" i="18"/>
  <c r="BN736" i="18"/>
  <c r="BM736" i="18"/>
  <c r="BL736" i="18"/>
  <c r="BK736" i="18"/>
  <c r="BJ736" i="18"/>
  <c r="BI736" i="18"/>
  <c r="BH736" i="18"/>
  <c r="BG736" i="18"/>
  <c r="BF736" i="18"/>
  <c r="BE736" i="18"/>
  <c r="BD736" i="18"/>
  <c r="BC736" i="18"/>
  <c r="BP735" i="18"/>
  <c r="BO735" i="18"/>
  <c r="BN735" i="18"/>
  <c r="BM735" i="18"/>
  <c r="BL735" i="18"/>
  <c r="BK735" i="18"/>
  <c r="BJ735" i="18"/>
  <c r="BI735" i="18"/>
  <c r="BH735" i="18"/>
  <c r="BG735" i="18"/>
  <c r="BF735" i="18"/>
  <c r="BE735" i="18"/>
  <c r="BD735" i="18"/>
  <c r="BC735" i="18"/>
  <c r="BP734" i="18"/>
  <c r="BO734" i="18"/>
  <c r="BN734" i="18"/>
  <c r="BM734" i="18"/>
  <c r="BK734" i="18"/>
  <c r="BJ734" i="18"/>
  <c r="BI734" i="18"/>
  <c r="BH734" i="18"/>
  <c r="BG734" i="18"/>
  <c r="BF734" i="18"/>
  <c r="BE734" i="18"/>
  <c r="BD734" i="18"/>
  <c r="BC734" i="18"/>
  <c r="BO733" i="18"/>
  <c r="BN733" i="18"/>
  <c r="BK733" i="18"/>
  <c r="BJ733" i="18"/>
  <c r="BI733" i="18"/>
  <c r="BH733" i="18"/>
  <c r="BG733" i="18"/>
  <c r="BF733" i="18"/>
  <c r="BE733" i="18"/>
  <c r="BD733" i="18"/>
  <c r="BC733" i="18"/>
  <c r="BP732" i="18"/>
  <c r="BO732" i="18"/>
  <c r="BN732" i="18"/>
  <c r="BM732" i="18"/>
  <c r="BK732" i="18"/>
  <c r="BJ732" i="18"/>
  <c r="BI732" i="18"/>
  <c r="BH732" i="18"/>
  <c r="BG732" i="18"/>
  <c r="BF732" i="18"/>
  <c r="BE732" i="18"/>
  <c r="BD732" i="18"/>
  <c r="BC732" i="18"/>
  <c r="BP731" i="18"/>
  <c r="BO731" i="18"/>
  <c r="BN731" i="18"/>
  <c r="BM731" i="18"/>
  <c r="BL731" i="18"/>
  <c r="BK731" i="18"/>
  <c r="BJ731" i="18"/>
  <c r="BI731" i="18"/>
  <c r="BH731" i="18"/>
  <c r="BG731" i="18"/>
  <c r="BF731" i="18"/>
  <c r="BE731" i="18"/>
  <c r="BD731" i="18"/>
  <c r="BC731" i="18"/>
  <c r="BP727" i="18"/>
  <c r="BO727" i="18"/>
  <c r="BN727" i="18"/>
  <c r="BM727" i="18"/>
  <c r="BL727" i="18"/>
  <c r="BK727" i="18"/>
  <c r="BJ727" i="18"/>
  <c r="BI727" i="18"/>
  <c r="BH727" i="18"/>
  <c r="BG727" i="18"/>
  <c r="BF727" i="18"/>
  <c r="BE727" i="18"/>
  <c r="BD727" i="18"/>
  <c r="BC727" i="18"/>
  <c r="BO726" i="18"/>
  <c r="BN726" i="18"/>
  <c r="BK726" i="18"/>
  <c r="BJ726" i="18"/>
  <c r="BI726" i="18"/>
  <c r="BH726" i="18"/>
  <c r="BG726" i="18"/>
  <c r="BF726" i="18"/>
  <c r="BE726" i="18"/>
  <c r="BD726" i="18"/>
  <c r="BC726" i="18"/>
  <c r="BO725" i="18"/>
  <c r="BN725" i="18"/>
  <c r="BK725" i="18"/>
  <c r="BJ725" i="18"/>
  <c r="BI725" i="18"/>
  <c r="BH725" i="18"/>
  <c r="BG725" i="18"/>
  <c r="BF725" i="18"/>
  <c r="BE725" i="18"/>
  <c r="BD725" i="18"/>
  <c r="BC725" i="18"/>
  <c r="BP724" i="18"/>
  <c r="BO724" i="18"/>
  <c r="BN724" i="18"/>
  <c r="BM724" i="18"/>
  <c r="BK724" i="18"/>
  <c r="BJ724" i="18"/>
  <c r="BI724" i="18"/>
  <c r="BH724" i="18"/>
  <c r="BG724" i="18"/>
  <c r="BF724" i="18"/>
  <c r="BE724" i="18"/>
  <c r="BD724" i="18"/>
  <c r="BC724" i="18"/>
  <c r="BP723" i="18"/>
  <c r="BO723" i="18"/>
  <c r="BN723" i="18"/>
  <c r="BM723" i="18"/>
  <c r="BK723" i="18"/>
  <c r="BJ723" i="18"/>
  <c r="BI723" i="18"/>
  <c r="BH723" i="18"/>
  <c r="BG723" i="18"/>
  <c r="BF723" i="18"/>
  <c r="BE723" i="18"/>
  <c r="BD723" i="18"/>
  <c r="BC723" i="18"/>
  <c r="BB743" i="18"/>
  <c r="BA743" i="18"/>
  <c r="AZ743" i="18"/>
  <c r="AY743" i="18"/>
  <c r="AX743" i="18"/>
  <c r="AW743" i="18"/>
  <c r="AV743" i="18"/>
  <c r="AU743" i="18"/>
  <c r="AT743" i="18"/>
  <c r="AS743" i="18"/>
  <c r="AR743" i="18"/>
  <c r="AQ743" i="18"/>
  <c r="AP743" i="18"/>
  <c r="AO743" i="18"/>
  <c r="AN743" i="18"/>
  <c r="AM743" i="18"/>
  <c r="AL743" i="18"/>
  <c r="AK743" i="18"/>
  <c r="AJ743" i="18"/>
  <c r="AI743" i="18"/>
  <c r="AH743" i="18"/>
  <c r="AG743" i="18"/>
  <c r="AF743" i="18"/>
  <c r="AE743" i="18"/>
  <c r="AD743" i="18"/>
  <c r="AC743" i="18"/>
  <c r="AB743" i="18"/>
  <c r="AA743" i="18"/>
  <c r="Z743" i="18"/>
  <c r="Y743" i="18"/>
  <c r="X743" i="18"/>
  <c r="W743" i="18"/>
  <c r="V743" i="18"/>
  <c r="U743" i="18"/>
  <c r="T743" i="18"/>
  <c r="S743" i="18"/>
  <c r="R743" i="18"/>
  <c r="Q743" i="18"/>
  <c r="P743" i="18"/>
  <c r="O743" i="18"/>
  <c r="N743" i="18"/>
  <c r="M743" i="18"/>
  <c r="L743" i="18"/>
  <c r="K743" i="18"/>
  <c r="J743" i="18"/>
  <c r="I743" i="18"/>
  <c r="H743" i="18"/>
  <c r="G743" i="18"/>
  <c r="F743" i="18"/>
  <c r="E743" i="18"/>
  <c r="D743" i="18"/>
  <c r="C743" i="18"/>
  <c r="B743" i="18"/>
  <c r="A743" i="18"/>
  <c r="BB742" i="18"/>
  <c r="BA742" i="18"/>
  <c r="AZ742" i="18"/>
  <c r="AY742" i="18"/>
  <c r="AX742" i="18"/>
  <c r="AW742" i="18"/>
  <c r="AV742" i="18"/>
  <c r="AU742" i="18"/>
  <c r="AT742" i="18"/>
  <c r="AS742" i="18"/>
  <c r="AR742" i="18"/>
  <c r="AQ742" i="18"/>
  <c r="AP742" i="18"/>
  <c r="AO742" i="18"/>
  <c r="AN742" i="18"/>
  <c r="AM742" i="18"/>
  <c r="AL742" i="18"/>
  <c r="AK742" i="18"/>
  <c r="AJ742" i="18"/>
  <c r="AI742" i="18"/>
  <c r="AH742" i="18"/>
  <c r="AG742" i="18"/>
  <c r="AF742" i="18"/>
  <c r="AE742" i="18"/>
  <c r="AD742" i="18"/>
  <c r="AC742" i="18"/>
  <c r="AB742" i="18"/>
  <c r="AA742" i="18"/>
  <c r="Z742" i="18"/>
  <c r="Y742" i="18"/>
  <c r="X742" i="18"/>
  <c r="W742" i="18"/>
  <c r="V742" i="18"/>
  <c r="U742" i="18"/>
  <c r="T742" i="18"/>
  <c r="S742" i="18"/>
  <c r="R742" i="18"/>
  <c r="Q742" i="18"/>
  <c r="P742" i="18"/>
  <c r="O742" i="18"/>
  <c r="N742" i="18"/>
  <c r="M742" i="18"/>
  <c r="L742" i="18"/>
  <c r="K742" i="18"/>
  <c r="J742" i="18"/>
  <c r="I742" i="18"/>
  <c r="H742" i="18"/>
  <c r="G742" i="18"/>
  <c r="F742" i="18"/>
  <c r="E742" i="18"/>
  <c r="D742" i="18"/>
  <c r="C742" i="18"/>
  <c r="B742" i="18"/>
  <c r="A742" i="18"/>
  <c r="BB741" i="18"/>
  <c r="BA741" i="18"/>
  <c r="AZ741" i="18"/>
  <c r="AY741" i="18"/>
  <c r="AX741" i="18"/>
  <c r="AW741" i="18"/>
  <c r="AV741" i="18"/>
  <c r="AU741" i="18"/>
  <c r="AT741" i="18"/>
  <c r="AS741" i="18"/>
  <c r="AR741" i="18"/>
  <c r="AQ741" i="18"/>
  <c r="AP741" i="18"/>
  <c r="AO741" i="18"/>
  <c r="AN741" i="18"/>
  <c r="AM741" i="18"/>
  <c r="AL741" i="18"/>
  <c r="AK741" i="18"/>
  <c r="AJ741" i="18"/>
  <c r="AI741" i="18"/>
  <c r="AH741" i="18"/>
  <c r="AG741" i="18"/>
  <c r="AF741" i="18"/>
  <c r="AE741" i="18"/>
  <c r="AD741" i="18"/>
  <c r="AC741" i="18"/>
  <c r="AB741" i="18"/>
  <c r="AA741" i="18"/>
  <c r="Z741" i="18"/>
  <c r="Y741" i="18"/>
  <c r="X741" i="18"/>
  <c r="W741" i="18"/>
  <c r="V741" i="18"/>
  <c r="U741" i="18"/>
  <c r="T741" i="18"/>
  <c r="S741" i="18"/>
  <c r="R741" i="18"/>
  <c r="Q741" i="18"/>
  <c r="P741" i="18"/>
  <c r="O741" i="18"/>
  <c r="N741" i="18"/>
  <c r="M741" i="18"/>
  <c r="L741" i="18"/>
  <c r="K741" i="18"/>
  <c r="J741" i="18"/>
  <c r="I741" i="18"/>
  <c r="H741" i="18"/>
  <c r="G741" i="18"/>
  <c r="F741" i="18"/>
  <c r="E741" i="18"/>
  <c r="D741" i="18"/>
  <c r="C741" i="18"/>
  <c r="B741" i="18"/>
  <c r="A741" i="18"/>
  <c r="BB740" i="18"/>
  <c r="BA740" i="18"/>
  <c r="AZ740" i="18"/>
  <c r="AY740" i="18"/>
  <c r="AX740" i="18"/>
  <c r="AW740" i="18"/>
  <c r="AV740" i="18"/>
  <c r="AU740" i="18"/>
  <c r="AT740" i="18"/>
  <c r="AS740" i="18"/>
  <c r="AR740" i="18"/>
  <c r="AQ740" i="18"/>
  <c r="AP740" i="18"/>
  <c r="AO740" i="18"/>
  <c r="AN740" i="18"/>
  <c r="AM740" i="18"/>
  <c r="AL740" i="18"/>
  <c r="AK740" i="18"/>
  <c r="AJ740" i="18"/>
  <c r="AI740" i="18"/>
  <c r="AH740" i="18"/>
  <c r="AG740" i="18"/>
  <c r="AF740" i="18"/>
  <c r="AE740" i="18"/>
  <c r="AD740" i="18"/>
  <c r="AC740" i="18"/>
  <c r="AB740" i="18"/>
  <c r="AA740" i="18"/>
  <c r="Z740" i="18"/>
  <c r="Y740" i="18"/>
  <c r="X740" i="18"/>
  <c r="W740" i="18"/>
  <c r="V740" i="18"/>
  <c r="U740" i="18"/>
  <c r="T740" i="18"/>
  <c r="S740" i="18"/>
  <c r="R740" i="18"/>
  <c r="Q740" i="18"/>
  <c r="P740" i="18"/>
  <c r="O740" i="18"/>
  <c r="N740" i="18"/>
  <c r="M740" i="18"/>
  <c r="L740" i="18"/>
  <c r="K740" i="18"/>
  <c r="J740" i="18"/>
  <c r="I740" i="18"/>
  <c r="H740" i="18"/>
  <c r="G740" i="18"/>
  <c r="F740" i="18"/>
  <c r="E740" i="18"/>
  <c r="D740" i="18"/>
  <c r="C740" i="18"/>
  <c r="B740" i="18"/>
  <c r="A740" i="18"/>
  <c r="BB739" i="18"/>
  <c r="BA739" i="18"/>
  <c r="AZ739" i="18"/>
  <c r="AY739" i="18"/>
  <c r="AX739" i="18"/>
  <c r="AW739" i="18"/>
  <c r="AV739" i="18"/>
  <c r="AU739" i="18"/>
  <c r="AT739" i="18"/>
  <c r="AS739" i="18"/>
  <c r="AR739" i="18"/>
  <c r="AQ739" i="18"/>
  <c r="AP739" i="18"/>
  <c r="AO739" i="18"/>
  <c r="AN739" i="18"/>
  <c r="AM739" i="18"/>
  <c r="AL739" i="18"/>
  <c r="AK739" i="18"/>
  <c r="AJ739" i="18"/>
  <c r="AI739" i="18"/>
  <c r="AH739" i="18"/>
  <c r="AG739" i="18"/>
  <c r="AF739" i="18"/>
  <c r="AE739" i="18"/>
  <c r="AD739" i="18"/>
  <c r="AC739" i="18"/>
  <c r="AB739" i="18"/>
  <c r="AA739" i="18"/>
  <c r="Z739" i="18"/>
  <c r="Y739" i="18"/>
  <c r="X739" i="18"/>
  <c r="W739" i="18"/>
  <c r="V739" i="18"/>
  <c r="U739" i="18"/>
  <c r="T739" i="18"/>
  <c r="S739" i="18"/>
  <c r="R739" i="18"/>
  <c r="Q739" i="18"/>
  <c r="P739" i="18"/>
  <c r="O739" i="18"/>
  <c r="N739" i="18"/>
  <c r="M739" i="18"/>
  <c r="L739" i="18"/>
  <c r="K739" i="18"/>
  <c r="J739" i="18"/>
  <c r="I739" i="18"/>
  <c r="H739" i="18"/>
  <c r="G739" i="18"/>
  <c r="F739" i="18"/>
  <c r="E739" i="18"/>
  <c r="D739" i="18"/>
  <c r="C739" i="18"/>
  <c r="B739" i="18"/>
  <c r="A739" i="18"/>
  <c r="BB738" i="18"/>
  <c r="BA738" i="18"/>
  <c r="AZ738" i="18"/>
  <c r="AY738" i="18"/>
  <c r="AX738" i="18"/>
  <c r="AW738" i="18"/>
  <c r="AV738" i="18"/>
  <c r="AU738" i="18"/>
  <c r="AT738" i="18"/>
  <c r="AS738" i="18"/>
  <c r="AR738" i="18"/>
  <c r="AQ738" i="18"/>
  <c r="AP738" i="18"/>
  <c r="AO738" i="18"/>
  <c r="AN738" i="18"/>
  <c r="AM738" i="18"/>
  <c r="AL738" i="18"/>
  <c r="AK738" i="18"/>
  <c r="AJ738" i="18"/>
  <c r="AI738" i="18"/>
  <c r="AH738" i="18"/>
  <c r="AG738" i="18"/>
  <c r="AF738" i="18"/>
  <c r="AE738" i="18"/>
  <c r="AD738" i="18"/>
  <c r="AC738" i="18"/>
  <c r="AB738" i="18"/>
  <c r="AA738" i="18"/>
  <c r="Z738" i="18"/>
  <c r="Y738" i="18"/>
  <c r="X738" i="18"/>
  <c r="W738" i="18"/>
  <c r="V738" i="18"/>
  <c r="U738" i="18"/>
  <c r="T738" i="18"/>
  <c r="S738" i="18"/>
  <c r="R738" i="18"/>
  <c r="Q738" i="18"/>
  <c r="P738" i="18"/>
  <c r="O738" i="18"/>
  <c r="N738" i="18"/>
  <c r="M738" i="18"/>
  <c r="L738" i="18"/>
  <c r="K738" i="18"/>
  <c r="J738" i="18"/>
  <c r="I738" i="18"/>
  <c r="H738" i="18"/>
  <c r="G738" i="18"/>
  <c r="F738" i="18"/>
  <c r="E738" i="18"/>
  <c r="D738" i="18"/>
  <c r="C738" i="18"/>
  <c r="B738" i="18"/>
  <c r="A738" i="18"/>
  <c r="BB737" i="18"/>
  <c r="BA737" i="18"/>
  <c r="AZ737" i="18"/>
  <c r="AY737" i="18"/>
  <c r="AX737" i="18"/>
  <c r="AW737" i="18"/>
  <c r="AV737" i="18"/>
  <c r="AU737" i="18"/>
  <c r="AT737" i="18"/>
  <c r="AS737" i="18"/>
  <c r="AR737" i="18"/>
  <c r="AQ737" i="18"/>
  <c r="AP737" i="18"/>
  <c r="AO737" i="18"/>
  <c r="AN737" i="18"/>
  <c r="AM737" i="18"/>
  <c r="AL737" i="18"/>
  <c r="AK737" i="18"/>
  <c r="AJ737" i="18"/>
  <c r="AI737" i="18"/>
  <c r="AH737" i="18"/>
  <c r="AG737" i="18"/>
  <c r="AF737" i="18"/>
  <c r="AE737" i="18"/>
  <c r="AD737" i="18"/>
  <c r="AC737" i="18"/>
  <c r="AB737" i="18"/>
  <c r="AA737" i="18"/>
  <c r="Z737" i="18"/>
  <c r="Y737" i="18"/>
  <c r="X737" i="18"/>
  <c r="W737" i="18"/>
  <c r="V737" i="18"/>
  <c r="U737" i="18"/>
  <c r="T737" i="18"/>
  <c r="S737" i="18"/>
  <c r="R737" i="18"/>
  <c r="Q737" i="18"/>
  <c r="P737" i="18"/>
  <c r="O737" i="18"/>
  <c r="N737" i="18"/>
  <c r="M737" i="18"/>
  <c r="L737" i="18"/>
  <c r="K737" i="18"/>
  <c r="J737" i="18"/>
  <c r="I737" i="18"/>
  <c r="H737" i="18"/>
  <c r="G737" i="18"/>
  <c r="F737" i="18"/>
  <c r="E737" i="18"/>
  <c r="D737" i="18"/>
  <c r="C737" i="18"/>
  <c r="B737" i="18"/>
  <c r="A737" i="18"/>
  <c r="BB736" i="18"/>
  <c r="BA736" i="18"/>
  <c r="AZ736" i="18"/>
  <c r="AY736" i="18"/>
  <c r="AX736" i="18"/>
  <c r="AW736" i="18"/>
  <c r="AV736" i="18"/>
  <c r="AU736" i="18"/>
  <c r="AT736" i="18"/>
  <c r="AS736" i="18"/>
  <c r="AR736" i="18"/>
  <c r="AQ736" i="18"/>
  <c r="AP736" i="18"/>
  <c r="AO736" i="18"/>
  <c r="AN736" i="18"/>
  <c r="AM736" i="18"/>
  <c r="AL736" i="18"/>
  <c r="AK736" i="18"/>
  <c r="AJ736" i="18"/>
  <c r="AI736" i="18"/>
  <c r="AH736" i="18"/>
  <c r="AG736" i="18"/>
  <c r="AF736" i="18"/>
  <c r="AE736" i="18"/>
  <c r="AD736" i="18"/>
  <c r="AC736" i="18"/>
  <c r="AB736" i="18"/>
  <c r="AA736" i="18"/>
  <c r="Z736" i="18"/>
  <c r="Y736" i="18"/>
  <c r="X736" i="18"/>
  <c r="W736" i="18"/>
  <c r="V736" i="18"/>
  <c r="U736" i="18"/>
  <c r="T736" i="18"/>
  <c r="S736" i="18"/>
  <c r="R736" i="18"/>
  <c r="Q736" i="18"/>
  <c r="P736" i="18"/>
  <c r="O736" i="18"/>
  <c r="N736" i="18"/>
  <c r="M736" i="18"/>
  <c r="L736" i="18"/>
  <c r="K736" i="18"/>
  <c r="J736" i="18"/>
  <c r="I736" i="18"/>
  <c r="H736" i="18"/>
  <c r="G736" i="18"/>
  <c r="F736" i="18"/>
  <c r="E736" i="18"/>
  <c r="D736" i="18"/>
  <c r="C736" i="18"/>
  <c r="B736" i="18"/>
  <c r="A736" i="18"/>
  <c r="BB735" i="18"/>
  <c r="BA735" i="18"/>
  <c r="AZ735" i="18"/>
  <c r="AY735" i="18"/>
  <c r="AX735" i="18"/>
  <c r="AW735" i="18"/>
  <c r="AV735" i="18"/>
  <c r="AU735" i="18"/>
  <c r="AT735" i="18"/>
  <c r="AS735" i="18"/>
  <c r="AR735" i="18"/>
  <c r="AQ735" i="18"/>
  <c r="AP735" i="18"/>
  <c r="AO735" i="18"/>
  <c r="AN735" i="18"/>
  <c r="AM735" i="18"/>
  <c r="AL735" i="18"/>
  <c r="AK735" i="18"/>
  <c r="AJ735" i="18"/>
  <c r="AI735" i="18"/>
  <c r="AH735" i="18"/>
  <c r="AG735" i="18"/>
  <c r="AF735" i="18"/>
  <c r="AE735" i="18"/>
  <c r="AD735" i="18"/>
  <c r="AC735" i="18"/>
  <c r="AB735" i="18"/>
  <c r="AA735" i="18"/>
  <c r="Z735" i="18"/>
  <c r="Y735" i="18"/>
  <c r="X735" i="18"/>
  <c r="W735" i="18"/>
  <c r="V735" i="18"/>
  <c r="U735" i="18"/>
  <c r="T735" i="18"/>
  <c r="S735" i="18"/>
  <c r="R735" i="18"/>
  <c r="Q735" i="18"/>
  <c r="P735" i="18"/>
  <c r="O735" i="18"/>
  <c r="N735" i="18"/>
  <c r="M735" i="18"/>
  <c r="L735" i="18"/>
  <c r="K735" i="18"/>
  <c r="J735" i="18"/>
  <c r="I735" i="18"/>
  <c r="H735" i="18"/>
  <c r="G735" i="18"/>
  <c r="F735" i="18"/>
  <c r="E735" i="18"/>
  <c r="D735" i="18"/>
  <c r="C735" i="18"/>
  <c r="B735" i="18"/>
  <c r="A735" i="18"/>
  <c r="BB734" i="18"/>
  <c r="BA734" i="18"/>
  <c r="AZ734" i="18"/>
  <c r="AY734" i="18"/>
  <c r="AX734" i="18"/>
  <c r="AW734" i="18"/>
  <c r="AV734" i="18"/>
  <c r="AU734" i="18"/>
  <c r="AT734" i="18"/>
  <c r="AS734" i="18"/>
  <c r="AR734" i="18"/>
  <c r="AQ734" i="18"/>
  <c r="AP734" i="18"/>
  <c r="AO734" i="18"/>
  <c r="AN734" i="18"/>
  <c r="AM734" i="18"/>
  <c r="AL734" i="18"/>
  <c r="AK734" i="18"/>
  <c r="AJ734" i="18"/>
  <c r="AI734" i="18"/>
  <c r="AH734" i="18"/>
  <c r="AG734" i="18"/>
  <c r="AF734" i="18"/>
  <c r="AE734" i="18"/>
  <c r="AD734" i="18"/>
  <c r="AC734" i="18"/>
  <c r="AB734" i="18"/>
  <c r="AA734" i="18"/>
  <c r="Z734" i="18"/>
  <c r="Y734" i="18"/>
  <c r="X734" i="18"/>
  <c r="W734" i="18"/>
  <c r="V734" i="18"/>
  <c r="U734" i="18"/>
  <c r="T734" i="18"/>
  <c r="S734" i="18"/>
  <c r="R734" i="18"/>
  <c r="Q734" i="18"/>
  <c r="P734" i="18"/>
  <c r="O734" i="18"/>
  <c r="N734" i="18"/>
  <c r="M734" i="18"/>
  <c r="L734" i="18"/>
  <c r="K734" i="18"/>
  <c r="J734" i="18"/>
  <c r="I734" i="18"/>
  <c r="H734" i="18"/>
  <c r="G734" i="18"/>
  <c r="F734" i="18"/>
  <c r="E734" i="18"/>
  <c r="D734" i="18"/>
  <c r="C734" i="18"/>
  <c r="B734" i="18"/>
  <c r="A734" i="18"/>
  <c r="BB733" i="18"/>
  <c r="BA733" i="18"/>
  <c r="AZ733" i="18"/>
  <c r="AY733" i="18"/>
  <c r="AX733" i="18"/>
  <c r="AW733" i="18"/>
  <c r="AV733" i="18"/>
  <c r="AU733" i="18"/>
  <c r="AT733" i="18"/>
  <c r="AS733" i="18"/>
  <c r="AR733" i="18"/>
  <c r="AQ733" i="18"/>
  <c r="AP733" i="18"/>
  <c r="AO733" i="18"/>
  <c r="AN733" i="18"/>
  <c r="AM733" i="18"/>
  <c r="AL733" i="18"/>
  <c r="AK733" i="18"/>
  <c r="AJ733" i="18"/>
  <c r="AI733" i="18"/>
  <c r="AH733" i="18"/>
  <c r="AG733" i="18"/>
  <c r="AF733" i="18"/>
  <c r="AE733" i="18"/>
  <c r="AD733" i="18"/>
  <c r="AC733" i="18"/>
  <c r="AB733" i="18"/>
  <c r="AA733" i="18"/>
  <c r="Z733" i="18"/>
  <c r="Y733" i="18"/>
  <c r="X733" i="18"/>
  <c r="W733" i="18"/>
  <c r="V733" i="18"/>
  <c r="U733" i="18"/>
  <c r="T733" i="18"/>
  <c r="S733" i="18"/>
  <c r="R733" i="18"/>
  <c r="Q733" i="18"/>
  <c r="P733" i="18"/>
  <c r="O733" i="18"/>
  <c r="N733" i="18"/>
  <c r="M733" i="18"/>
  <c r="L733" i="18"/>
  <c r="K733" i="18"/>
  <c r="J733" i="18"/>
  <c r="I733" i="18"/>
  <c r="H733" i="18"/>
  <c r="G733" i="18"/>
  <c r="F733" i="18"/>
  <c r="E733" i="18"/>
  <c r="D733" i="18"/>
  <c r="C733" i="18"/>
  <c r="B733" i="18"/>
  <c r="A733" i="18"/>
  <c r="BB732" i="18"/>
  <c r="BA732" i="18"/>
  <c r="AZ732" i="18"/>
  <c r="AY732" i="18"/>
  <c r="AX732" i="18"/>
  <c r="AW732" i="18"/>
  <c r="AV732" i="18"/>
  <c r="AU732" i="18"/>
  <c r="AT732" i="18"/>
  <c r="AS732" i="18"/>
  <c r="AR732" i="18"/>
  <c r="AQ732" i="18"/>
  <c r="AP732" i="18"/>
  <c r="AO732" i="18"/>
  <c r="AN732" i="18"/>
  <c r="AM732" i="18"/>
  <c r="AL732" i="18"/>
  <c r="AK732" i="18"/>
  <c r="AJ732" i="18"/>
  <c r="AI732" i="18"/>
  <c r="AH732" i="18"/>
  <c r="AG732" i="18"/>
  <c r="AF732" i="18"/>
  <c r="AE732" i="18"/>
  <c r="AD732" i="18"/>
  <c r="AC732" i="18"/>
  <c r="AB732" i="18"/>
  <c r="AA732" i="18"/>
  <c r="Z732" i="18"/>
  <c r="Y732" i="18"/>
  <c r="X732" i="18"/>
  <c r="W732" i="18"/>
  <c r="V732" i="18"/>
  <c r="U732" i="18"/>
  <c r="T732" i="18"/>
  <c r="S732" i="18"/>
  <c r="R732" i="18"/>
  <c r="Q732" i="18"/>
  <c r="P732" i="18"/>
  <c r="O732" i="18"/>
  <c r="N732" i="18"/>
  <c r="M732" i="18"/>
  <c r="L732" i="18"/>
  <c r="K732" i="18"/>
  <c r="J732" i="18"/>
  <c r="I732" i="18"/>
  <c r="H732" i="18"/>
  <c r="G732" i="18"/>
  <c r="F732" i="18"/>
  <c r="E732" i="18"/>
  <c r="D732" i="18"/>
  <c r="C732" i="18"/>
  <c r="B732" i="18"/>
  <c r="A732" i="18"/>
  <c r="BB731" i="18"/>
  <c r="BA731" i="18"/>
  <c r="AZ731" i="18"/>
  <c r="AY731" i="18"/>
  <c r="AX731" i="18"/>
  <c r="AW731" i="18"/>
  <c r="AV731" i="18"/>
  <c r="AU731" i="18"/>
  <c r="AT731" i="18"/>
  <c r="AS731" i="18"/>
  <c r="AR731" i="18"/>
  <c r="AQ731" i="18"/>
  <c r="AP731" i="18"/>
  <c r="AO731" i="18"/>
  <c r="AN731" i="18"/>
  <c r="AM731" i="18"/>
  <c r="AL731" i="18"/>
  <c r="AK731" i="18"/>
  <c r="AJ731" i="18"/>
  <c r="AI731" i="18"/>
  <c r="AH731" i="18"/>
  <c r="AG731" i="18"/>
  <c r="AF731" i="18"/>
  <c r="AE731" i="18"/>
  <c r="AD731" i="18"/>
  <c r="AC731" i="18"/>
  <c r="AB731" i="18"/>
  <c r="AA731" i="18"/>
  <c r="Z731" i="18"/>
  <c r="Y731" i="18"/>
  <c r="X731" i="18"/>
  <c r="W731" i="18"/>
  <c r="V731" i="18"/>
  <c r="U731" i="18"/>
  <c r="T731" i="18"/>
  <c r="S731" i="18"/>
  <c r="R731" i="18"/>
  <c r="Q731" i="18"/>
  <c r="P731" i="18"/>
  <c r="O731" i="18"/>
  <c r="N731" i="18"/>
  <c r="M731" i="18"/>
  <c r="L731" i="18"/>
  <c r="K731" i="18"/>
  <c r="J731" i="18"/>
  <c r="I731" i="18"/>
  <c r="H731" i="18"/>
  <c r="G731" i="18"/>
  <c r="F731" i="18"/>
  <c r="E731" i="18"/>
  <c r="D731" i="18"/>
  <c r="C731" i="18"/>
  <c r="B731" i="18"/>
  <c r="A731" i="18"/>
  <c r="AB730" i="18"/>
  <c r="AA730" i="18"/>
  <c r="Z730" i="18"/>
  <c r="Y730" i="18"/>
  <c r="X730" i="18"/>
  <c r="W730" i="18"/>
  <c r="V730" i="18"/>
  <c r="U730" i="18"/>
  <c r="T730" i="18"/>
  <c r="S730" i="18"/>
  <c r="R730" i="18"/>
  <c r="Q730" i="18"/>
  <c r="P730" i="18"/>
  <c r="O730" i="18"/>
  <c r="N730" i="18"/>
  <c r="M730" i="18"/>
  <c r="L730" i="18"/>
  <c r="K730" i="18"/>
  <c r="J730" i="18"/>
  <c r="I730" i="18"/>
  <c r="H730" i="18"/>
  <c r="G730" i="18"/>
  <c r="F730" i="18"/>
  <c r="E730" i="18"/>
  <c r="D730" i="18"/>
  <c r="C730" i="18"/>
  <c r="B730" i="18"/>
  <c r="A730" i="18"/>
  <c r="AB729" i="18"/>
  <c r="AA729" i="18"/>
  <c r="Z729" i="18"/>
  <c r="Y729" i="18"/>
  <c r="X729" i="18"/>
  <c r="W729" i="18"/>
  <c r="V729" i="18"/>
  <c r="U729" i="18"/>
  <c r="T729" i="18"/>
  <c r="S729" i="18"/>
  <c r="R729" i="18"/>
  <c r="Q729" i="18"/>
  <c r="P729" i="18"/>
  <c r="O729" i="18"/>
  <c r="N729" i="18"/>
  <c r="M729" i="18"/>
  <c r="L729" i="18"/>
  <c r="K729" i="18"/>
  <c r="J729" i="18"/>
  <c r="I729" i="18"/>
  <c r="H729" i="18"/>
  <c r="G729" i="18"/>
  <c r="F729" i="18"/>
  <c r="E729" i="18"/>
  <c r="D729" i="18"/>
  <c r="C729" i="18"/>
  <c r="B729" i="18"/>
  <c r="A729" i="18"/>
  <c r="X728" i="18"/>
  <c r="W728" i="18"/>
  <c r="V728" i="18"/>
  <c r="U728" i="18"/>
  <c r="T728" i="18"/>
  <c r="S728" i="18"/>
  <c r="R728" i="18"/>
  <c r="Q728" i="18"/>
  <c r="P728" i="18"/>
  <c r="O728" i="18"/>
  <c r="N728" i="18"/>
  <c r="M728" i="18"/>
  <c r="L728" i="18"/>
  <c r="K728" i="18"/>
  <c r="J728" i="18"/>
  <c r="I728" i="18"/>
  <c r="H728" i="18"/>
  <c r="G728" i="18"/>
  <c r="F728" i="18"/>
  <c r="E728" i="18"/>
  <c r="D728" i="18"/>
  <c r="C728" i="18"/>
  <c r="B728" i="18"/>
  <c r="A728" i="18"/>
  <c r="BB727" i="18"/>
  <c r="BA727" i="18"/>
  <c r="AZ727" i="18"/>
  <c r="AY727" i="18"/>
  <c r="AX727" i="18"/>
  <c r="AW727" i="18"/>
  <c r="AV727" i="18"/>
  <c r="AU727" i="18"/>
  <c r="AT727" i="18"/>
  <c r="AS727" i="18"/>
  <c r="AR727" i="18"/>
  <c r="AQ727" i="18"/>
  <c r="AP727" i="18"/>
  <c r="AO727" i="18"/>
  <c r="AN727" i="18"/>
  <c r="AM727" i="18"/>
  <c r="AL727" i="18"/>
  <c r="AK727" i="18"/>
  <c r="AJ727" i="18"/>
  <c r="AI727" i="18"/>
  <c r="AH727" i="18"/>
  <c r="AG727" i="18"/>
  <c r="AF727" i="18"/>
  <c r="AE727" i="18"/>
  <c r="AD727" i="18"/>
  <c r="AC727" i="18"/>
  <c r="AB727" i="18"/>
  <c r="AA727" i="18"/>
  <c r="Z727" i="18"/>
  <c r="Y727" i="18"/>
  <c r="X727" i="18"/>
  <c r="W727" i="18"/>
  <c r="V727" i="18"/>
  <c r="U727" i="18"/>
  <c r="T727" i="18"/>
  <c r="S727" i="18"/>
  <c r="R727" i="18"/>
  <c r="Q727" i="18"/>
  <c r="P727" i="18"/>
  <c r="O727" i="18"/>
  <c r="N727" i="18"/>
  <c r="M727" i="18"/>
  <c r="L727" i="18"/>
  <c r="K727" i="18"/>
  <c r="J727" i="18"/>
  <c r="I727" i="18"/>
  <c r="H727" i="18"/>
  <c r="G727" i="18"/>
  <c r="F727" i="18"/>
  <c r="E727" i="18"/>
  <c r="D727" i="18"/>
  <c r="C727" i="18"/>
  <c r="B727" i="18"/>
  <c r="A727" i="18"/>
  <c r="BB726" i="18"/>
  <c r="BA726" i="18"/>
  <c r="AZ726" i="18"/>
  <c r="AY726" i="18"/>
  <c r="AX726" i="18"/>
  <c r="AW726" i="18"/>
  <c r="AV726" i="18"/>
  <c r="AU726" i="18"/>
  <c r="AT726" i="18"/>
  <c r="AS726" i="18"/>
  <c r="AR726" i="18"/>
  <c r="AQ726" i="18"/>
  <c r="AP726" i="18"/>
  <c r="AO726" i="18"/>
  <c r="AN726" i="18"/>
  <c r="AM726" i="18"/>
  <c r="AL726" i="18"/>
  <c r="AK726" i="18"/>
  <c r="AJ726" i="18"/>
  <c r="AI726" i="18"/>
  <c r="AH726" i="18"/>
  <c r="AG726" i="18"/>
  <c r="AF726" i="18"/>
  <c r="AE726" i="18"/>
  <c r="AD726" i="18"/>
  <c r="AC726" i="18"/>
  <c r="AB726" i="18"/>
  <c r="AA726" i="18"/>
  <c r="Z726" i="18"/>
  <c r="Y726" i="18"/>
  <c r="X726" i="18"/>
  <c r="W726" i="18"/>
  <c r="V726" i="18"/>
  <c r="U726" i="18"/>
  <c r="T726" i="18"/>
  <c r="S726" i="18"/>
  <c r="R726" i="18"/>
  <c r="Q726" i="18"/>
  <c r="P726" i="18"/>
  <c r="O726" i="18"/>
  <c r="N726" i="18"/>
  <c r="M726" i="18"/>
  <c r="L726" i="18"/>
  <c r="K726" i="18"/>
  <c r="J726" i="18"/>
  <c r="I726" i="18"/>
  <c r="H726" i="18"/>
  <c r="G726" i="18"/>
  <c r="F726" i="18"/>
  <c r="E726" i="18"/>
  <c r="D726" i="18"/>
  <c r="C726" i="18"/>
  <c r="B726" i="18"/>
  <c r="A726" i="18"/>
  <c r="BB725" i="18"/>
  <c r="BA725" i="18"/>
  <c r="AZ725" i="18"/>
  <c r="AY725" i="18"/>
  <c r="AX725" i="18"/>
  <c r="AW725" i="18"/>
  <c r="AV725" i="18"/>
  <c r="AU725" i="18"/>
  <c r="AT725" i="18"/>
  <c r="AS725" i="18"/>
  <c r="AR725" i="18"/>
  <c r="AQ725" i="18"/>
  <c r="AP725" i="18"/>
  <c r="AO725" i="18"/>
  <c r="AN725" i="18"/>
  <c r="AM725" i="18"/>
  <c r="AL725" i="18"/>
  <c r="AK725" i="18"/>
  <c r="AJ725" i="18"/>
  <c r="AI725" i="18"/>
  <c r="AH725" i="18"/>
  <c r="AG725" i="18"/>
  <c r="AF725" i="18"/>
  <c r="AE725" i="18"/>
  <c r="AD725" i="18"/>
  <c r="AC725" i="18"/>
  <c r="AB725" i="18"/>
  <c r="AA725" i="18"/>
  <c r="Z725" i="18"/>
  <c r="Y725" i="18"/>
  <c r="X725" i="18"/>
  <c r="W725" i="18"/>
  <c r="V725" i="18"/>
  <c r="U725" i="18"/>
  <c r="T725" i="18"/>
  <c r="S725" i="18"/>
  <c r="R725" i="18"/>
  <c r="Q725" i="18"/>
  <c r="P725" i="18"/>
  <c r="O725" i="18"/>
  <c r="N725" i="18"/>
  <c r="M725" i="18"/>
  <c r="L725" i="18"/>
  <c r="K725" i="18"/>
  <c r="J725" i="18"/>
  <c r="I725" i="18"/>
  <c r="H725" i="18"/>
  <c r="G725" i="18"/>
  <c r="F725" i="18"/>
  <c r="E725" i="18"/>
  <c r="D725" i="18"/>
  <c r="C725" i="18"/>
  <c r="B725" i="18"/>
  <c r="A725" i="18"/>
  <c r="BB724" i="18"/>
  <c r="BA724" i="18"/>
  <c r="AZ724" i="18"/>
  <c r="AY724" i="18"/>
  <c r="AX724" i="18"/>
  <c r="AW724" i="18"/>
  <c r="AV724" i="18"/>
  <c r="AU724" i="18"/>
  <c r="AT724" i="18"/>
  <c r="AS724" i="18"/>
  <c r="AR724" i="18"/>
  <c r="AQ724" i="18"/>
  <c r="AP724" i="18"/>
  <c r="AO724" i="18"/>
  <c r="AN724" i="18"/>
  <c r="AM724" i="18"/>
  <c r="AL724" i="18"/>
  <c r="AK724" i="18"/>
  <c r="AJ724" i="18"/>
  <c r="AI724" i="18"/>
  <c r="AH724" i="18"/>
  <c r="AG724" i="18"/>
  <c r="AF724" i="18"/>
  <c r="AE724" i="18"/>
  <c r="AD724" i="18"/>
  <c r="AC724" i="18"/>
  <c r="AB724" i="18"/>
  <c r="AA724" i="18"/>
  <c r="Z724" i="18"/>
  <c r="Y724" i="18"/>
  <c r="X724" i="18"/>
  <c r="W724" i="18"/>
  <c r="V724" i="18"/>
  <c r="U724" i="18"/>
  <c r="T724" i="18"/>
  <c r="S724" i="18"/>
  <c r="R724" i="18"/>
  <c r="Q724" i="18"/>
  <c r="P724" i="18"/>
  <c r="O724" i="18"/>
  <c r="N724" i="18"/>
  <c r="M724" i="18"/>
  <c r="L724" i="18"/>
  <c r="K724" i="18"/>
  <c r="J724" i="18"/>
  <c r="I724" i="18"/>
  <c r="H724" i="18"/>
  <c r="G724" i="18"/>
  <c r="F724" i="18"/>
  <c r="E724" i="18"/>
  <c r="D724" i="18"/>
  <c r="C724" i="18"/>
  <c r="B724" i="18"/>
  <c r="A724" i="18"/>
  <c r="BB723" i="18"/>
  <c r="BA723" i="18"/>
  <c r="AZ723" i="18"/>
  <c r="AY723" i="18"/>
  <c r="AX723" i="18"/>
  <c r="AW723" i="18"/>
  <c r="AV723" i="18"/>
  <c r="AU723" i="18"/>
  <c r="AT723" i="18"/>
  <c r="AS723" i="18"/>
  <c r="AR723" i="18"/>
  <c r="AQ723" i="18"/>
  <c r="AP723" i="18"/>
  <c r="AO723" i="18"/>
  <c r="AN723" i="18"/>
  <c r="AM723" i="18"/>
  <c r="AL723" i="18"/>
  <c r="AK723" i="18"/>
  <c r="AJ723" i="18"/>
  <c r="AI723" i="18"/>
  <c r="AH723" i="18"/>
  <c r="AG723" i="18"/>
  <c r="AF723" i="18"/>
  <c r="AE723" i="18"/>
  <c r="AD723" i="18"/>
  <c r="AC723" i="18"/>
  <c r="AB723" i="18"/>
  <c r="AA723" i="18"/>
  <c r="Z723" i="18"/>
  <c r="Y723" i="18"/>
  <c r="X723" i="18"/>
  <c r="W723" i="18"/>
  <c r="V723" i="18"/>
  <c r="U723" i="18"/>
  <c r="T723" i="18"/>
  <c r="S723" i="18"/>
  <c r="R723" i="18"/>
  <c r="Q723" i="18"/>
  <c r="P723" i="18"/>
  <c r="O723" i="18"/>
  <c r="N723" i="18"/>
  <c r="M723" i="18"/>
  <c r="L723" i="18"/>
  <c r="K723" i="18"/>
  <c r="J723" i="18"/>
  <c r="I723" i="18"/>
  <c r="H723" i="18"/>
  <c r="G723" i="18"/>
  <c r="F723" i="18"/>
  <c r="E723" i="18"/>
  <c r="D723" i="18"/>
  <c r="C723" i="18"/>
  <c r="B723" i="18"/>
  <c r="A723" i="18"/>
  <c r="CX719" i="18"/>
  <c r="CW719" i="18"/>
  <c r="CV719" i="18"/>
  <c r="CU719" i="18"/>
  <c r="CT719" i="18"/>
  <c r="CS719" i="18"/>
  <c r="CR719" i="18"/>
  <c r="CQ719" i="18"/>
  <c r="CP719" i="18"/>
  <c r="CO719" i="18"/>
  <c r="CN719" i="18"/>
  <c r="CM719" i="18"/>
  <c r="CL719" i="18"/>
  <c r="CK719" i="18"/>
  <c r="CJ719" i="18"/>
  <c r="CI719" i="18"/>
  <c r="CH719" i="18"/>
  <c r="CG719" i="18"/>
  <c r="CF719" i="18"/>
  <c r="CE719" i="18"/>
  <c r="CD719" i="18"/>
  <c r="CC719" i="18"/>
  <c r="CB719" i="18"/>
  <c r="CA719" i="18"/>
  <c r="BZ719" i="18"/>
  <c r="BY719" i="18"/>
  <c r="BX719" i="18"/>
  <c r="BW719" i="18"/>
  <c r="BV719" i="18"/>
  <c r="BU719" i="18"/>
  <c r="BT719" i="18"/>
  <c r="BS719" i="18"/>
  <c r="BR719" i="18"/>
  <c r="BQ719" i="18"/>
  <c r="BP719" i="18"/>
  <c r="BO719" i="18"/>
  <c r="BN719" i="18"/>
  <c r="BM719" i="18"/>
  <c r="BL719" i="18"/>
  <c r="BK719" i="18"/>
  <c r="BJ719" i="18"/>
  <c r="BI719" i="18"/>
  <c r="BH719" i="18"/>
  <c r="BG719" i="18"/>
  <c r="BF719" i="18"/>
  <c r="BE719" i="18"/>
  <c r="BD719" i="18"/>
  <c r="BC719" i="18"/>
  <c r="BB719" i="18"/>
  <c r="BA719" i="18"/>
  <c r="AZ719" i="18"/>
  <c r="AY719" i="18"/>
  <c r="AX719" i="18"/>
  <c r="AW719" i="18"/>
  <c r="AV719" i="18"/>
  <c r="AU719" i="18"/>
  <c r="AT719" i="18"/>
  <c r="AS719" i="18"/>
  <c r="AR719" i="18"/>
  <c r="AQ719" i="18"/>
  <c r="AP719" i="18"/>
  <c r="AO719" i="18"/>
  <c r="AN719" i="18"/>
  <c r="AM719" i="18"/>
  <c r="AL719" i="18"/>
  <c r="AK719" i="18"/>
  <c r="AJ719" i="18"/>
  <c r="AI719" i="18"/>
  <c r="AH719" i="18"/>
  <c r="AG719" i="18"/>
  <c r="AF719" i="18"/>
  <c r="AE719" i="18"/>
  <c r="AD719" i="18"/>
  <c r="AC719" i="18"/>
  <c r="AB719" i="18"/>
  <c r="AA719" i="18"/>
  <c r="Z719" i="18"/>
  <c r="Y719" i="18"/>
  <c r="X719" i="18"/>
  <c r="W719" i="18"/>
  <c r="V719" i="18"/>
  <c r="U719" i="18"/>
  <c r="T719" i="18"/>
  <c r="S719" i="18"/>
  <c r="R719" i="18"/>
  <c r="Q719" i="18"/>
  <c r="P719" i="18"/>
  <c r="O719" i="18"/>
  <c r="N719" i="18"/>
  <c r="M719" i="18"/>
  <c r="L719" i="18"/>
  <c r="K719" i="18"/>
  <c r="J719" i="18"/>
  <c r="I719" i="18"/>
  <c r="H719" i="18"/>
  <c r="G719" i="18"/>
  <c r="F719" i="18"/>
  <c r="E719" i="18"/>
  <c r="D719" i="18"/>
  <c r="C719" i="18"/>
  <c r="B719" i="18"/>
  <c r="A719" i="18"/>
  <c r="CE718" i="18"/>
  <c r="CD718" i="18"/>
  <c r="CC718" i="18"/>
  <c r="CB718" i="18"/>
  <c r="CA718" i="18"/>
  <c r="BZ718" i="18"/>
  <c r="BY718" i="18"/>
  <c r="AB718" i="18"/>
  <c r="AA718" i="18"/>
  <c r="Z718" i="18"/>
  <c r="Y718" i="18"/>
  <c r="X718" i="18"/>
  <c r="W718" i="18"/>
  <c r="V718" i="18"/>
  <c r="U718" i="18"/>
  <c r="T718" i="18"/>
  <c r="S718" i="18"/>
  <c r="R718" i="18"/>
  <c r="Q718" i="18"/>
  <c r="P718" i="18"/>
  <c r="O718" i="18"/>
  <c r="N718" i="18"/>
  <c r="M718" i="18"/>
  <c r="L718" i="18"/>
  <c r="K718" i="18"/>
  <c r="J718" i="18"/>
  <c r="I718" i="18"/>
  <c r="H718" i="18"/>
  <c r="G718" i="18"/>
  <c r="F718" i="18"/>
  <c r="E718" i="18"/>
  <c r="D718" i="18"/>
  <c r="C718" i="18"/>
  <c r="B718" i="18"/>
  <c r="A718" i="18"/>
  <c r="CE717" i="18"/>
  <c r="CD717" i="18"/>
  <c r="CC717" i="18"/>
  <c r="CB717" i="18"/>
  <c r="CA717" i="18"/>
  <c r="BZ717" i="18"/>
  <c r="BY717" i="18"/>
  <c r="AB717" i="18"/>
  <c r="AA717" i="18"/>
  <c r="Z717" i="18"/>
  <c r="Y717" i="18"/>
  <c r="X717" i="18"/>
  <c r="W717" i="18"/>
  <c r="V717" i="18"/>
  <c r="U717" i="18"/>
  <c r="T717" i="18"/>
  <c r="S717" i="18"/>
  <c r="R717" i="18"/>
  <c r="Q717" i="18"/>
  <c r="P717" i="18"/>
  <c r="O717" i="18"/>
  <c r="N717" i="18"/>
  <c r="M717" i="18"/>
  <c r="L717" i="18"/>
  <c r="K717" i="18"/>
  <c r="J717" i="18"/>
  <c r="I717" i="18"/>
  <c r="H717" i="18"/>
  <c r="G717" i="18"/>
  <c r="F717" i="18"/>
  <c r="E717" i="18"/>
  <c r="D717" i="18"/>
  <c r="C717" i="18"/>
  <c r="B717" i="18"/>
  <c r="A717" i="18"/>
  <c r="CH716" i="18"/>
  <c r="CG716" i="18"/>
  <c r="CF716" i="18"/>
  <c r="CE716" i="18"/>
  <c r="CD716" i="18"/>
  <c r="CC716" i="18"/>
  <c r="CB716" i="18"/>
  <c r="CA716" i="18"/>
  <c r="BZ716" i="18"/>
  <c r="BY716" i="18"/>
  <c r="AQ716" i="18"/>
  <c r="AP716" i="18"/>
  <c r="AO716" i="18"/>
  <c r="AN716" i="18"/>
  <c r="AM716" i="18"/>
  <c r="AL716" i="18"/>
  <c r="AK716" i="18"/>
  <c r="AJ716" i="18"/>
  <c r="AI716" i="18"/>
  <c r="AH716" i="18"/>
  <c r="AG716" i="18"/>
  <c r="AF716" i="18"/>
  <c r="AE716" i="18"/>
  <c r="AD716" i="18"/>
  <c r="AC716" i="18"/>
  <c r="AB716" i="18"/>
  <c r="AA716" i="18"/>
  <c r="Z716" i="18"/>
  <c r="Y716" i="18"/>
  <c r="X716" i="18"/>
  <c r="W716" i="18"/>
  <c r="V716" i="18"/>
  <c r="U716" i="18"/>
  <c r="T716" i="18"/>
  <c r="S716" i="18"/>
  <c r="R716" i="18"/>
  <c r="Q716" i="18"/>
  <c r="P716" i="18"/>
  <c r="O716" i="18"/>
  <c r="N716" i="18"/>
  <c r="M716" i="18"/>
  <c r="L716" i="18"/>
  <c r="K716" i="18"/>
  <c r="J716" i="18"/>
  <c r="I716" i="18"/>
  <c r="H716" i="18"/>
  <c r="G716" i="18"/>
  <c r="F716" i="18"/>
  <c r="E716" i="18"/>
  <c r="D716" i="18"/>
  <c r="C716" i="18"/>
  <c r="B716" i="18"/>
  <c r="A716" i="18"/>
  <c r="CE715" i="18"/>
  <c r="CD715" i="18"/>
  <c r="CC715" i="18"/>
  <c r="CB715" i="18"/>
  <c r="CA715" i="18"/>
  <c r="BZ715" i="18"/>
  <c r="BY715" i="18"/>
  <c r="AB715" i="18"/>
  <c r="AA715" i="18"/>
  <c r="Z715" i="18"/>
  <c r="Y715" i="18"/>
  <c r="X715" i="18"/>
  <c r="W715" i="18"/>
  <c r="V715" i="18"/>
  <c r="U715" i="18"/>
  <c r="T715" i="18"/>
  <c r="S715" i="18"/>
  <c r="R715" i="18"/>
  <c r="Q715" i="18"/>
  <c r="P715" i="18"/>
  <c r="O715" i="18"/>
  <c r="N715" i="18"/>
  <c r="M715" i="18"/>
  <c r="L715" i="18"/>
  <c r="K715" i="18"/>
  <c r="J715" i="18"/>
  <c r="I715" i="18"/>
  <c r="H715" i="18"/>
  <c r="G715" i="18"/>
  <c r="F715" i="18"/>
  <c r="E715" i="18"/>
  <c r="D715" i="18"/>
  <c r="C715" i="18"/>
  <c r="B715" i="18"/>
  <c r="A715" i="18"/>
  <c r="CX714" i="18"/>
  <c r="CW714" i="18"/>
  <c r="CV714" i="18"/>
  <c r="CU714" i="18"/>
  <c r="CT714" i="18"/>
  <c r="CS714" i="18"/>
  <c r="CR714" i="18"/>
  <c r="CQ714" i="18"/>
  <c r="CP714" i="18"/>
  <c r="CO714" i="18"/>
  <c r="CN714" i="18"/>
  <c r="CM714" i="18"/>
  <c r="CL714" i="18"/>
  <c r="CK714" i="18"/>
  <c r="CJ714" i="18"/>
  <c r="CI714" i="18"/>
  <c r="CH714" i="18"/>
  <c r="CG714" i="18"/>
  <c r="CF714" i="18"/>
  <c r="CE714" i="18"/>
  <c r="CD714" i="18"/>
  <c r="CC714" i="18"/>
  <c r="CB714" i="18"/>
  <c r="CA714" i="18"/>
  <c r="BZ714" i="18"/>
  <c r="BY714" i="18"/>
  <c r="BX714" i="18"/>
  <c r="BW714" i="18"/>
  <c r="BV714" i="18"/>
  <c r="BU714" i="18"/>
  <c r="BT714" i="18"/>
  <c r="BS714" i="18"/>
  <c r="BR714" i="18"/>
  <c r="BQ714" i="18"/>
  <c r="BP714" i="18"/>
  <c r="BO714" i="18"/>
  <c r="BN714" i="18"/>
  <c r="BM714" i="18"/>
  <c r="BL714" i="18"/>
  <c r="BK714" i="18"/>
  <c r="BJ714" i="18"/>
  <c r="BI714" i="18"/>
  <c r="BH714" i="18"/>
  <c r="BG714" i="18"/>
  <c r="BF714" i="18"/>
  <c r="BE714" i="18"/>
  <c r="BD714" i="18"/>
  <c r="BC714" i="18"/>
  <c r="BB714" i="18"/>
  <c r="BA714" i="18"/>
  <c r="AZ714" i="18"/>
  <c r="AY714" i="18"/>
  <c r="AX714" i="18"/>
  <c r="AW714" i="18"/>
  <c r="AV714" i="18"/>
  <c r="AU714" i="18"/>
  <c r="AT714" i="18"/>
  <c r="AS714" i="18"/>
  <c r="AR714" i="18"/>
  <c r="AQ714" i="18"/>
  <c r="AP714" i="18"/>
  <c r="AO714" i="18"/>
  <c r="AN714" i="18"/>
  <c r="AM714" i="18"/>
  <c r="AL714" i="18"/>
  <c r="AK714" i="18"/>
  <c r="AJ714" i="18"/>
  <c r="AI714" i="18"/>
  <c r="AH714" i="18"/>
  <c r="AG714" i="18"/>
  <c r="AF714" i="18"/>
  <c r="AE714" i="18"/>
  <c r="AD714" i="18"/>
  <c r="AC714" i="18"/>
  <c r="AB714" i="18"/>
  <c r="AA714" i="18"/>
  <c r="Z714" i="18"/>
  <c r="Y714" i="18"/>
  <c r="X714" i="18"/>
  <c r="W714" i="18"/>
  <c r="V714" i="18"/>
  <c r="U714" i="18"/>
  <c r="T714" i="18"/>
  <c r="S714" i="18"/>
  <c r="R714" i="18"/>
  <c r="Q714" i="18"/>
  <c r="P714" i="18"/>
  <c r="O714" i="18"/>
  <c r="N714" i="18"/>
  <c r="M714" i="18"/>
  <c r="L714" i="18"/>
  <c r="K714" i="18"/>
  <c r="J714" i="18"/>
  <c r="I714" i="18"/>
  <c r="H714" i="18"/>
  <c r="G714" i="18"/>
  <c r="F714" i="18"/>
  <c r="E714" i="18"/>
  <c r="D714" i="18"/>
  <c r="C714" i="18"/>
  <c r="B714" i="18"/>
  <c r="A714" i="18"/>
  <c r="CX713" i="18"/>
  <c r="CW713" i="18"/>
  <c r="CV713" i="18"/>
  <c r="CU713" i="18"/>
  <c r="CT713" i="18"/>
  <c r="CS713" i="18"/>
  <c r="CR713" i="18"/>
  <c r="CQ713" i="18"/>
  <c r="CP713" i="18"/>
  <c r="CO713" i="18"/>
  <c r="CN713" i="18"/>
  <c r="CM713" i="18"/>
  <c r="CL713" i="18"/>
  <c r="CK713" i="18"/>
  <c r="CJ713" i="18"/>
  <c r="CI713" i="18"/>
  <c r="CH713" i="18"/>
  <c r="CG713" i="18"/>
  <c r="CF713" i="18"/>
  <c r="CE713" i="18"/>
  <c r="CD713" i="18"/>
  <c r="CC713" i="18"/>
  <c r="CB713" i="18"/>
  <c r="CA713" i="18"/>
  <c r="BZ713" i="18"/>
  <c r="BY713" i="18"/>
  <c r="BX713" i="18"/>
  <c r="BW713" i="18"/>
  <c r="BV713" i="18"/>
  <c r="BU713" i="18"/>
  <c r="BT713" i="18"/>
  <c r="BS713" i="18"/>
  <c r="BR713" i="18"/>
  <c r="BQ713" i="18"/>
  <c r="BP713" i="18"/>
  <c r="BO713" i="18"/>
  <c r="BN713" i="18"/>
  <c r="BM713" i="18"/>
  <c r="BL713" i="18"/>
  <c r="BK713" i="18"/>
  <c r="BJ713" i="18"/>
  <c r="BI713" i="18"/>
  <c r="BH713" i="18"/>
  <c r="BG713" i="18"/>
  <c r="BF713" i="18"/>
  <c r="BE713" i="18"/>
  <c r="BD713" i="18"/>
  <c r="BC713" i="18"/>
  <c r="BB713" i="18"/>
  <c r="BA713" i="18"/>
  <c r="AZ713" i="18"/>
  <c r="AY713" i="18"/>
  <c r="AX713" i="18"/>
  <c r="AW713" i="18"/>
  <c r="AV713" i="18"/>
  <c r="AU713" i="18"/>
  <c r="AT713" i="18"/>
  <c r="AS713" i="18"/>
  <c r="AR713" i="18"/>
  <c r="AQ713" i="18"/>
  <c r="AP713" i="18"/>
  <c r="AO713" i="18"/>
  <c r="AN713" i="18"/>
  <c r="AM713" i="18"/>
  <c r="AL713" i="18"/>
  <c r="AK713" i="18"/>
  <c r="AJ713" i="18"/>
  <c r="AI713" i="18"/>
  <c r="AH713" i="18"/>
  <c r="AG713" i="18"/>
  <c r="AF713" i="18"/>
  <c r="AE713" i="18"/>
  <c r="AD713" i="18"/>
  <c r="AC713" i="18"/>
  <c r="AB713" i="18"/>
  <c r="AA713" i="18"/>
  <c r="Z713" i="18"/>
  <c r="Y713" i="18"/>
  <c r="X713" i="18"/>
  <c r="W713" i="18"/>
  <c r="V713" i="18"/>
  <c r="U713" i="18"/>
  <c r="T713" i="18"/>
  <c r="S713" i="18"/>
  <c r="R713" i="18"/>
  <c r="Q713" i="18"/>
  <c r="P713" i="18"/>
  <c r="O713" i="18"/>
  <c r="N713" i="18"/>
  <c r="M713" i="18"/>
  <c r="L713" i="18"/>
  <c r="K713" i="18"/>
  <c r="J713" i="18"/>
  <c r="I713" i="18"/>
  <c r="H713" i="18"/>
  <c r="G713" i="18"/>
  <c r="F713" i="18"/>
  <c r="E713" i="18"/>
  <c r="D713" i="18"/>
  <c r="C713" i="18"/>
  <c r="B713" i="18"/>
  <c r="A713" i="18"/>
  <c r="CE712" i="18"/>
  <c r="CD712" i="18"/>
  <c r="CC712" i="18"/>
  <c r="CB712" i="18"/>
  <c r="CA712" i="18"/>
  <c r="BZ712" i="18"/>
  <c r="BY712" i="18"/>
  <c r="AB712" i="18"/>
  <c r="AA712" i="18"/>
  <c r="Z712" i="18"/>
  <c r="Y712" i="18"/>
  <c r="X712" i="18"/>
  <c r="W712" i="18"/>
  <c r="V712" i="18"/>
  <c r="U712" i="18"/>
  <c r="T712" i="18"/>
  <c r="S712" i="18"/>
  <c r="R712" i="18"/>
  <c r="Q712" i="18"/>
  <c r="P712" i="18"/>
  <c r="O712" i="18"/>
  <c r="N712" i="18"/>
  <c r="M712" i="18"/>
  <c r="L712" i="18"/>
  <c r="K712" i="18"/>
  <c r="J712" i="18"/>
  <c r="I712" i="18"/>
  <c r="H712" i="18"/>
  <c r="G712" i="18"/>
  <c r="F712" i="18"/>
  <c r="E712" i="18"/>
  <c r="D712" i="18"/>
  <c r="C712" i="18"/>
  <c r="B712" i="18"/>
  <c r="A712" i="18"/>
  <c r="CE711" i="18"/>
  <c r="CD711" i="18"/>
  <c r="CC711" i="18"/>
  <c r="CB711" i="18"/>
  <c r="CA711" i="18"/>
  <c r="BZ711" i="18"/>
  <c r="BY711" i="18"/>
  <c r="AB711" i="18"/>
  <c r="AA711" i="18"/>
  <c r="Z711" i="18"/>
  <c r="Y711" i="18"/>
  <c r="X711" i="18"/>
  <c r="W711" i="18"/>
  <c r="V711" i="18"/>
  <c r="U711" i="18"/>
  <c r="T711" i="18"/>
  <c r="S711" i="18"/>
  <c r="R711" i="18"/>
  <c r="Q711" i="18"/>
  <c r="P711" i="18"/>
  <c r="O711" i="18"/>
  <c r="N711" i="18"/>
  <c r="M711" i="18"/>
  <c r="L711" i="18"/>
  <c r="K711" i="18"/>
  <c r="J711" i="18"/>
  <c r="I711" i="18"/>
  <c r="H711" i="18"/>
  <c r="G711" i="18"/>
  <c r="F711" i="18"/>
  <c r="E711" i="18"/>
  <c r="D711" i="18"/>
  <c r="C711" i="18"/>
  <c r="B711" i="18"/>
  <c r="A711" i="18"/>
  <c r="CX710" i="18"/>
  <c r="CW710" i="18"/>
  <c r="CV710" i="18"/>
  <c r="CU710" i="18"/>
  <c r="CT710" i="18"/>
  <c r="CS710" i="18"/>
  <c r="CR710" i="18"/>
  <c r="CQ710" i="18"/>
  <c r="CP710" i="18"/>
  <c r="CO710" i="18"/>
  <c r="CN710" i="18"/>
  <c r="CM710" i="18"/>
  <c r="CL710" i="18"/>
  <c r="CK710" i="18"/>
  <c r="CJ710" i="18"/>
  <c r="CI710" i="18"/>
  <c r="CH710" i="18"/>
  <c r="CG710" i="18"/>
  <c r="CF710" i="18"/>
  <c r="CE710" i="18"/>
  <c r="CD710" i="18"/>
  <c r="CC710" i="18"/>
  <c r="CB710" i="18"/>
  <c r="CA710" i="18"/>
  <c r="BZ710" i="18"/>
  <c r="BY710" i="18"/>
  <c r="BX710" i="18"/>
  <c r="BW710" i="18"/>
  <c r="BV710" i="18"/>
  <c r="BU710" i="18"/>
  <c r="BT710" i="18"/>
  <c r="BS710" i="18"/>
  <c r="BR710" i="18"/>
  <c r="BQ710" i="18"/>
  <c r="BP710" i="18"/>
  <c r="BO710" i="18"/>
  <c r="BN710" i="18"/>
  <c r="BM710" i="18"/>
  <c r="BL710" i="18"/>
  <c r="BK710" i="18"/>
  <c r="BJ710" i="18"/>
  <c r="BI710" i="18"/>
  <c r="BH710" i="18"/>
  <c r="BG710" i="18"/>
  <c r="BF710" i="18"/>
  <c r="BE710" i="18"/>
  <c r="BD710" i="18"/>
  <c r="BC710" i="18"/>
  <c r="BB710" i="18"/>
  <c r="BA710" i="18"/>
  <c r="AZ710" i="18"/>
  <c r="AY710" i="18"/>
  <c r="AX710" i="18"/>
  <c r="AW710" i="18"/>
  <c r="AV710" i="18"/>
  <c r="AU710" i="18"/>
  <c r="AT710" i="18"/>
  <c r="AS710" i="18"/>
  <c r="AR710" i="18"/>
  <c r="AQ710" i="18"/>
  <c r="AP710" i="18"/>
  <c r="AO710" i="18"/>
  <c r="AN710" i="18"/>
  <c r="AM710" i="18"/>
  <c r="AL710" i="18"/>
  <c r="AK710" i="18"/>
  <c r="AJ710" i="18"/>
  <c r="AI710" i="18"/>
  <c r="AH710" i="18"/>
  <c r="AG710" i="18"/>
  <c r="AF710" i="18"/>
  <c r="AE710" i="18"/>
  <c r="AD710" i="18"/>
  <c r="AC710" i="18"/>
  <c r="AB710" i="18"/>
  <c r="AA710" i="18"/>
  <c r="Z710" i="18"/>
  <c r="Y710" i="18"/>
  <c r="X710" i="18"/>
  <c r="W710" i="18"/>
  <c r="V710" i="18"/>
  <c r="U710" i="18"/>
  <c r="T710" i="18"/>
  <c r="S710" i="18"/>
  <c r="R710" i="18"/>
  <c r="Q710" i="18"/>
  <c r="P710" i="18"/>
  <c r="O710" i="18"/>
  <c r="N710" i="18"/>
  <c r="M710" i="18"/>
  <c r="L710" i="18"/>
  <c r="K710" i="18"/>
  <c r="J710" i="18"/>
  <c r="I710" i="18"/>
  <c r="H710" i="18"/>
  <c r="G710" i="18"/>
  <c r="F710" i="18"/>
  <c r="E710" i="18"/>
  <c r="D710" i="18"/>
  <c r="C710" i="18"/>
  <c r="B710" i="18"/>
  <c r="A710" i="18"/>
  <c r="CX709" i="18"/>
  <c r="CW709" i="18"/>
  <c r="CV709" i="18"/>
  <c r="CU709" i="18"/>
  <c r="CT709" i="18"/>
  <c r="CS709" i="18"/>
  <c r="CG709" i="18"/>
  <c r="CF709" i="18"/>
  <c r="CE709" i="18"/>
  <c r="CD709" i="18"/>
  <c r="CC709" i="18"/>
  <c r="CB709" i="18"/>
  <c r="CA709" i="18"/>
  <c r="BZ709" i="18"/>
  <c r="BY709" i="18"/>
  <c r="BT709" i="18"/>
  <c r="BS709" i="18"/>
  <c r="BR709" i="18"/>
  <c r="BQ709" i="18"/>
  <c r="BP709" i="18"/>
  <c r="BO709" i="18"/>
  <c r="BN709" i="18"/>
  <c r="BM709" i="18"/>
  <c r="BL709" i="18"/>
  <c r="BK709" i="18"/>
  <c r="BJ709" i="18"/>
  <c r="BI709" i="18"/>
  <c r="BH709" i="18"/>
  <c r="BG709" i="18"/>
  <c r="BF709" i="18"/>
  <c r="BE709" i="18"/>
  <c r="BD709" i="18"/>
  <c r="BC709" i="18"/>
  <c r="BB709" i="18"/>
  <c r="BA709" i="18"/>
  <c r="AZ709" i="18"/>
  <c r="AY709" i="18"/>
  <c r="AX709" i="18"/>
  <c r="AW709" i="18"/>
  <c r="AV709" i="18"/>
  <c r="AU709" i="18"/>
  <c r="AT709" i="18"/>
  <c r="AS709" i="18"/>
  <c r="AR709" i="18"/>
  <c r="AQ709" i="18"/>
  <c r="AP709" i="18"/>
  <c r="AO709" i="18"/>
  <c r="AN709" i="18"/>
  <c r="AM709" i="18"/>
  <c r="AL709" i="18"/>
  <c r="AK709" i="18"/>
  <c r="AJ709" i="18"/>
  <c r="AI709" i="18"/>
  <c r="AH709" i="18"/>
  <c r="AG709" i="18"/>
  <c r="AF709" i="18"/>
  <c r="AE709" i="18"/>
  <c r="AD709" i="18"/>
  <c r="AC709" i="18"/>
  <c r="AB709" i="18"/>
  <c r="AA709" i="18"/>
  <c r="Z709" i="18"/>
  <c r="Y709" i="18"/>
  <c r="X709" i="18"/>
  <c r="W709" i="18"/>
  <c r="V709" i="18"/>
  <c r="U709" i="18"/>
  <c r="T709" i="18"/>
  <c r="S709" i="18"/>
  <c r="R709" i="18"/>
  <c r="Q709" i="18"/>
  <c r="P709" i="18"/>
  <c r="O709" i="18"/>
  <c r="N709" i="18"/>
  <c r="M709" i="18"/>
  <c r="L709" i="18"/>
  <c r="K709" i="18"/>
  <c r="J709" i="18"/>
  <c r="I709" i="18"/>
  <c r="H709" i="18"/>
  <c r="G709" i="18"/>
  <c r="F709" i="18"/>
  <c r="E709" i="18"/>
  <c r="D709" i="18"/>
  <c r="C709" i="18"/>
  <c r="B709" i="18"/>
  <c r="A709" i="18"/>
  <c r="CX708" i="18"/>
  <c r="CW708" i="18"/>
  <c r="CV708" i="18"/>
  <c r="CU708" i="18"/>
  <c r="CT708" i="18"/>
  <c r="CS708" i="18"/>
  <c r="CR708" i="18"/>
  <c r="CF708" i="18"/>
  <c r="CE708" i="18"/>
  <c r="CD708" i="18"/>
  <c r="CC708" i="18"/>
  <c r="CB708" i="18"/>
  <c r="CA708" i="18"/>
  <c r="BZ708" i="18"/>
  <c r="BY708" i="18"/>
  <c r="BX708" i="18"/>
  <c r="BW708" i="18"/>
  <c r="BV708" i="18"/>
  <c r="BU708" i="18"/>
  <c r="BT708" i="18"/>
  <c r="BS708" i="18"/>
  <c r="BR708" i="18"/>
  <c r="BQ708" i="18"/>
  <c r="BP708" i="18"/>
  <c r="BO708" i="18"/>
  <c r="BN708" i="18"/>
  <c r="BM708" i="18"/>
  <c r="BL708" i="18"/>
  <c r="BK708" i="18"/>
  <c r="BJ708" i="18"/>
  <c r="BI708" i="18"/>
  <c r="BH708" i="18"/>
  <c r="BG708" i="18"/>
  <c r="BF708" i="18"/>
  <c r="BE708" i="18"/>
  <c r="BD708" i="18"/>
  <c r="BC708" i="18"/>
  <c r="BB708" i="18"/>
  <c r="BA708" i="18"/>
  <c r="AZ708" i="18"/>
  <c r="AY708" i="18"/>
  <c r="AX708" i="18"/>
  <c r="AW708" i="18"/>
  <c r="AV708" i="18"/>
  <c r="AU708" i="18"/>
  <c r="AT708" i="18"/>
  <c r="AS708" i="18"/>
  <c r="AR708" i="18"/>
  <c r="AQ708" i="18"/>
  <c r="AP708" i="18"/>
  <c r="AO708" i="18"/>
  <c r="AN708" i="18"/>
  <c r="AM708" i="18"/>
  <c r="AL708" i="18"/>
  <c r="AK708" i="18"/>
  <c r="AJ708" i="18"/>
  <c r="AI708" i="18"/>
  <c r="AH708" i="18"/>
  <c r="AG708" i="18"/>
  <c r="AF708" i="18"/>
  <c r="AE708" i="18"/>
  <c r="AD708" i="18"/>
  <c r="AC708" i="18"/>
  <c r="AB708" i="18"/>
  <c r="AA708" i="18"/>
  <c r="Z708" i="18"/>
  <c r="Y708" i="18"/>
  <c r="X708" i="18"/>
  <c r="W708" i="18"/>
  <c r="V708" i="18"/>
  <c r="U708" i="18"/>
  <c r="T708" i="18"/>
  <c r="S708" i="18"/>
  <c r="R708" i="18"/>
  <c r="Q708" i="18"/>
  <c r="P708" i="18"/>
  <c r="O708" i="18"/>
  <c r="N708" i="18"/>
  <c r="M708" i="18"/>
  <c r="L708" i="18"/>
  <c r="K708" i="18"/>
  <c r="J708" i="18"/>
  <c r="I708" i="18"/>
  <c r="H708" i="18"/>
  <c r="G708" i="18"/>
  <c r="F708" i="18"/>
  <c r="E708" i="18"/>
  <c r="D708" i="18"/>
  <c r="C708" i="18"/>
  <c r="B708" i="18"/>
  <c r="A708" i="18"/>
  <c r="CD707" i="18"/>
  <c r="CC707" i="18"/>
  <c r="CB707" i="18"/>
  <c r="CA707" i="18"/>
  <c r="BZ707" i="18"/>
  <c r="BY707" i="18"/>
  <c r="X707" i="18"/>
  <c r="W707" i="18"/>
  <c r="V707" i="18"/>
  <c r="U707" i="18"/>
  <c r="T707" i="18"/>
  <c r="S707" i="18"/>
  <c r="R707" i="18"/>
  <c r="Q707" i="18"/>
  <c r="P707" i="18"/>
  <c r="O707" i="18"/>
  <c r="N707" i="18"/>
  <c r="M707" i="18"/>
  <c r="L707" i="18"/>
  <c r="K707" i="18"/>
  <c r="J707" i="18"/>
  <c r="I707" i="18"/>
  <c r="H707" i="18"/>
  <c r="G707" i="18"/>
  <c r="F707" i="18"/>
  <c r="E707" i="18"/>
  <c r="D707" i="18"/>
  <c r="C707" i="18"/>
  <c r="B707" i="18"/>
  <c r="A707" i="18"/>
  <c r="CX706" i="18"/>
  <c r="CW706" i="18"/>
  <c r="CV706" i="18"/>
  <c r="CU706" i="18"/>
  <c r="CT706" i="18"/>
  <c r="CS706" i="18"/>
  <c r="CR706" i="18"/>
  <c r="CQ706" i="18"/>
  <c r="CP706" i="18"/>
  <c r="CO706" i="18"/>
  <c r="CN706" i="18"/>
  <c r="CM706" i="18"/>
  <c r="CL706" i="18"/>
  <c r="CK706" i="18"/>
  <c r="CJ706" i="18"/>
  <c r="CI706" i="18"/>
  <c r="CH706" i="18"/>
  <c r="CG706" i="18"/>
  <c r="CF706" i="18"/>
  <c r="CE706" i="18"/>
  <c r="CD706" i="18"/>
  <c r="CC706" i="18"/>
  <c r="CB706" i="18"/>
  <c r="CA706" i="18"/>
  <c r="BZ706" i="18"/>
  <c r="BY706" i="18"/>
  <c r="BX706" i="18"/>
  <c r="BW706" i="18"/>
  <c r="BV706" i="18"/>
  <c r="BU706" i="18"/>
  <c r="BT706" i="18"/>
  <c r="BS706" i="18"/>
  <c r="BR706" i="18"/>
  <c r="BQ706" i="18"/>
  <c r="BP706" i="18"/>
  <c r="BO706" i="18"/>
  <c r="BN706" i="18"/>
  <c r="BM706" i="18"/>
  <c r="BL706" i="18"/>
  <c r="BK706" i="18"/>
  <c r="BJ706" i="18"/>
  <c r="BI706" i="18"/>
  <c r="BH706" i="18"/>
  <c r="BG706" i="18"/>
  <c r="BF706" i="18"/>
  <c r="BE706" i="18"/>
  <c r="BD706" i="18"/>
  <c r="BC706" i="18"/>
  <c r="BB706" i="18"/>
  <c r="BA706" i="18"/>
  <c r="AZ706" i="18"/>
  <c r="AY706" i="18"/>
  <c r="AX706" i="18"/>
  <c r="AW706" i="18"/>
  <c r="AV706" i="18"/>
  <c r="AU706" i="18"/>
  <c r="AT706" i="18"/>
  <c r="AS706" i="18"/>
  <c r="AR706" i="18"/>
  <c r="AQ706" i="18"/>
  <c r="AP706" i="18"/>
  <c r="AO706" i="18"/>
  <c r="AN706" i="18"/>
  <c r="AM706" i="18"/>
  <c r="AL706" i="18"/>
  <c r="AK706" i="18"/>
  <c r="AJ706" i="18"/>
  <c r="AI706" i="18"/>
  <c r="AH706" i="18"/>
  <c r="AG706" i="18"/>
  <c r="AF706" i="18"/>
  <c r="AE706" i="18"/>
  <c r="AD706" i="18"/>
  <c r="AC706" i="18"/>
  <c r="AB706" i="18"/>
  <c r="AA706" i="18"/>
  <c r="Z706" i="18"/>
  <c r="Y706" i="18"/>
  <c r="X706" i="18"/>
  <c r="W706" i="18"/>
  <c r="V706" i="18"/>
  <c r="U706" i="18"/>
  <c r="T706" i="18"/>
  <c r="S706" i="18"/>
  <c r="R706" i="18"/>
  <c r="Q706" i="18"/>
  <c r="P706" i="18"/>
  <c r="O706" i="18"/>
  <c r="N706" i="18"/>
  <c r="M706" i="18"/>
  <c r="L706" i="18"/>
  <c r="K706" i="18"/>
  <c r="J706" i="18"/>
  <c r="I706" i="18"/>
  <c r="H706" i="18"/>
  <c r="G706" i="18"/>
  <c r="F706" i="18"/>
  <c r="E706" i="18"/>
  <c r="D706" i="18"/>
  <c r="C706" i="18"/>
  <c r="B706" i="18"/>
  <c r="A706" i="18"/>
  <c r="CE705" i="18"/>
  <c r="CD705" i="18"/>
  <c r="CC705" i="18"/>
  <c r="CB705" i="18"/>
  <c r="CA705" i="18"/>
  <c r="BZ705" i="18"/>
  <c r="BY705" i="18"/>
  <c r="AB705" i="18"/>
  <c r="AA705" i="18"/>
  <c r="Z705" i="18"/>
  <c r="Y705" i="18"/>
  <c r="X705" i="18"/>
  <c r="W705" i="18"/>
  <c r="V705" i="18"/>
  <c r="U705" i="18"/>
  <c r="T705" i="18"/>
  <c r="S705" i="18"/>
  <c r="R705" i="18"/>
  <c r="Q705" i="18"/>
  <c r="P705" i="18"/>
  <c r="O705" i="18"/>
  <c r="N705" i="18"/>
  <c r="M705" i="18"/>
  <c r="L705" i="18"/>
  <c r="K705" i="18"/>
  <c r="J705" i="18"/>
  <c r="I705" i="18"/>
  <c r="H705" i="18"/>
  <c r="G705" i="18"/>
  <c r="F705" i="18"/>
  <c r="E705" i="18"/>
  <c r="D705" i="18"/>
  <c r="C705" i="18"/>
  <c r="B705" i="18"/>
  <c r="A705" i="18"/>
  <c r="CE704" i="18"/>
  <c r="CD704" i="18"/>
  <c r="CC704" i="18"/>
  <c r="CB704" i="18"/>
  <c r="CA704" i="18"/>
  <c r="BZ704" i="18"/>
  <c r="BY704" i="18"/>
  <c r="AB704" i="18"/>
  <c r="AA704" i="18"/>
  <c r="Z704" i="18"/>
  <c r="Y704" i="18"/>
  <c r="X704" i="18"/>
  <c r="W704" i="18"/>
  <c r="V704" i="18"/>
  <c r="U704" i="18"/>
  <c r="T704" i="18"/>
  <c r="S704" i="18"/>
  <c r="R704" i="18"/>
  <c r="Q704" i="18"/>
  <c r="P704" i="18"/>
  <c r="O704" i="18"/>
  <c r="N704" i="18"/>
  <c r="M704" i="18"/>
  <c r="L704" i="18"/>
  <c r="K704" i="18"/>
  <c r="J704" i="18"/>
  <c r="I704" i="18"/>
  <c r="H704" i="18"/>
  <c r="G704" i="18"/>
  <c r="F704" i="18"/>
  <c r="E704" i="18"/>
  <c r="D704" i="18"/>
  <c r="C704" i="18"/>
  <c r="B704" i="18"/>
  <c r="A704" i="18"/>
  <c r="CE703" i="18"/>
  <c r="CD703" i="18"/>
  <c r="CC703" i="18"/>
  <c r="CB703" i="18"/>
  <c r="CA703" i="18"/>
  <c r="BZ703" i="18"/>
  <c r="BY703" i="18"/>
  <c r="AB703" i="18"/>
  <c r="AA703" i="18"/>
  <c r="Z703" i="18"/>
  <c r="Y703" i="18"/>
  <c r="X703" i="18"/>
  <c r="W703" i="18"/>
  <c r="V703" i="18"/>
  <c r="U703" i="18"/>
  <c r="T703" i="18"/>
  <c r="S703" i="18"/>
  <c r="R703" i="18"/>
  <c r="Q703" i="18"/>
  <c r="P703" i="18"/>
  <c r="O703" i="18"/>
  <c r="N703" i="18"/>
  <c r="M703" i="18"/>
  <c r="L703" i="18"/>
  <c r="K703" i="18"/>
  <c r="J703" i="18"/>
  <c r="I703" i="18"/>
  <c r="H703" i="18"/>
  <c r="G703" i="18"/>
  <c r="F703" i="18"/>
  <c r="E703" i="18"/>
  <c r="D703" i="18"/>
  <c r="C703" i="18"/>
  <c r="B703" i="18"/>
  <c r="A703" i="18"/>
  <c r="CX702" i="18"/>
  <c r="CW702" i="18"/>
  <c r="CV702" i="18"/>
  <c r="CU702" i="18"/>
  <c r="CT702" i="18"/>
  <c r="CS702" i="18"/>
  <c r="CR702" i="18"/>
  <c r="CQ702" i="18"/>
  <c r="CP702" i="18"/>
  <c r="CO702" i="18"/>
  <c r="CN702" i="18"/>
  <c r="CM702" i="18"/>
  <c r="CL702" i="18"/>
  <c r="CK702" i="18"/>
  <c r="CJ702" i="18"/>
  <c r="CI702" i="18"/>
  <c r="CH702" i="18"/>
  <c r="CG702" i="18"/>
  <c r="CF702" i="18"/>
  <c r="CE702" i="18"/>
  <c r="CD702" i="18"/>
  <c r="CC702" i="18"/>
  <c r="CB702" i="18"/>
  <c r="CA702" i="18"/>
  <c r="BZ702" i="18"/>
  <c r="BY702" i="18"/>
  <c r="BX702" i="18"/>
  <c r="BW702" i="18"/>
  <c r="BV702" i="18"/>
  <c r="BU702" i="18"/>
  <c r="BT702" i="18"/>
  <c r="BS702" i="18"/>
  <c r="BR702" i="18"/>
  <c r="BQ702" i="18"/>
  <c r="BP702" i="18"/>
  <c r="BO702" i="18"/>
  <c r="BN702" i="18"/>
  <c r="BM702" i="18"/>
  <c r="BL702" i="18"/>
  <c r="BK702" i="18"/>
  <c r="BJ702" i="18"/>
  <c r="BI702" i="18"/>
  <c r="BH702" i="18"/>
  <c r="BG702" i="18"/>
  <c r="BF702" i="18"/>
  <c r="BE702" i="18"/>
  <c r="BD702" i="18"/>
  <c r="BC702" i="18"/>
  <c r="BB702" i="18"/>
  <c r="BA702" i="18"/>
  <c r="AZ702" i="18"/>
  <c r="AY702" i="18"/>
  <c r="AX702" i="18"/>
  <c r="AW702" i="18"/>
  <c r="AV702" i="18"/>
  <c r="AU702" i="18"/>
  <c r="AT702" i="18"/>
  <c r="AS702" i="18"/>
  <c r="AR702" i="18"/>
  <c r="AQ702" i="18"/>
  <c r="AP702" i="18"/>
  <c r="AO702" i="18"/>
  <c r="AN702" i="18"/>
  <c r="AM702" i="18"/>
  <c r="AL702" i="18"/>
  <c r="AK702" i="18"/>
  <c r="AJ702" i="18"/>
  <c r="AI702" i="18"/>
  <c r="AH702" i="18"/>
  <c r="AG702" i="18"/>
  <c r="AF702" i="18"/>
  <c r="AE702" i="18"/>
  <c r="AD702" i="18"/>
  <c r="AC702" i="18"/>
  <c r="AB702" i="18"/>
  <c r="AA702" i="18"/>
  <c r="Z702" i="18"/>
  <c r="Y702" i="18"/>
  <c r="X702" i="18"/>
  <c r="W702" i="18"/>
  <c r="V702" i="18"/>
  <c r="U702" i="18"/>
  <c r="T702" i="18"/>
  <c r="S702" i="18"/>
  <c r="R702" i="18"/>
  <c r="Q702" i="18"/>
  <c r="P702" i="18"/>
  <c r="O702" i="18"/>
  <c r="N702" i="18"/>
  <c r="M702" i="18"/>
  <c r="L702" i="18"/>
  <c r="K702" i="18"/>
  <c r="J702" i="18"/>
  <c r="I702" i="18"/>
  <c r="H702" i="18"/>
  <c r="G702" i="18"/>
  <c r="F702" i="18"/>
  <c r="E702" i="18"/>
  <c r="D702" i="18"/>
  <c r="C702" i="18"/>
  <c r="B702" i="18"/>
  <c r="A702" i="18"/>
  <c r="CX701" i="18"/>
  <c r="CW701" i="18"/>
  <c r="CV701" i="18"/>
  <c r="CU701" i="18"/>
  <c r="CT701" i="18"/>
  <c r="CS701" i="18"/>
  <c r="CG701" i="18"/>
  <c r="CF701" i="18"/>
  <c r="CE701" i="18"/>
  <c r="CD701" i="18"/>
  <c r="CC701" i="18"/>
  <c r="CB701" i="18"/>
  <c r="CA701" i="18"/>
  <c r="BZ701" i="18"/>
  <c r="BY701" i="18"/>
  <c r="BX701" i="18"/>
  <c r="BW701" i="18"/>
  <c r="BU701" i="18"/>
  <c r="BT701" i="18"/>
  <c r="BS701" i="18"/>
  <c r="BR701" i="18"/>
  <c r="BQ701" i="18"/>
  <c r="BP701" i="18"/>
  <c r="BO701" i="18"/>
  <c r="BN701" i="18"/>
  <c r="BM701" i="18"/>
  <c r="BL701" i="18"/>
  <c r="BK701" i="18"/>
  <c r="BJ701" i="18"/>
  <c r="BI701" i="18"/>
  <c r="BH701" i="18"/>
  <c r="BG701" i="18"/>
  <c r="BF701" i="18"/>
  <c r="BE701" i="18"/>
  <c r="BD701" i="18"/>
  <c r="BC701" i="18"/>
  <c r="BB701" i="18"/>
  <c r="BA701" i="18"/>
  <c r="AZ701" i="18"/>
  <c r="AY701" i="18"/>
  <c r="AX701" i="18"/>
  <c r="AW701" i="18"/>
  <c r="AV701" i="18"/>
  <c r="AU701" i="18"/>
  <c r="AT701" i="18"/>
  <c r="AS701" i="18"/>
  <c r="AR701" i="18"/>
  <c r="AQ701" i="18"/>
  <c r="AP701" i="18"/>
  <c r="AO701" i="18"/>
  <c r="AN701" i="18"/>
  <c r="AM701" i="18"/>
  <c r="AL701" i="18"/>
  <c r="AK701" i="18"/>
  <c r="AJ701" i="18"/>
  <c r="AI701" i="18"/>
  <c r="AH701" i="18"/>
  <c r="AG701" i="18"/>
  <c r="AF701" i="18"/>
  <c r="AE701" i="18"/>
  <c r="AD701" i="18"/>
  <c r="AC701" i="18"/>
  <c r="AB701" i="18"/>
  <c r="AA701" i="18"/>
  <c r="Z701" i="18"/>
  <c r="Y701" i="18"/>
  <c r="X701" i="18"/>
  <c r="W701" i="18"/>
  <c r="V701" i="18"/>
  <c r="U701" i="18"/>
  <c r="T701" i="18"/>
  <c r="S701" i="18"/>
  <c r="R701" i="18"/>
  <c r="Q701" i="18"/>
  <c r="P701" i="18"/>
  <c r="O701" i="18"/>
  <c r="N701" i="18"/>
  <c r="M701" i="18"/>
  <c r="L701" i="18"/>
  <c r="K701" i="18"/>
  <c r="J701" i="18"/>
  <c r="I701" i="18"/>
  <c r="H701" i="18"/>
  <c r="G701" i="18"/>
  <c r="F701" i="18"/>
  <c r="E701" i="18"/>
  <c r="D701" i="18"/>
  <c r="C701" i="18"/>
  <c r="B701" i="18"/>
  <c r="A701" i="18"/>
  <c r="CX700" i="18"/>
  <c r="CW700" i="18"/>
  <c r="CV700" i="18"/>
  <c r="CU700" i="18"/>
  <c r="CT700" i="18"/>
  <c r="CS700" i="18"/>
  <c r="CR700" i="18"/>
  <c r="CE700" i="18"/>
  <c r="CD700" i="18"/>
  <c r="CC700" i="18"/>
  <c r="CB700" i="18"/>
  <c r="CA700" i="18"/>
  <c r="BZ700" i="18"/>
  <c r="BY700" i="18"/>
  <c r="BX700" i="18"/>
  <c r="BW700" i="18"/>
  <c r="BU700" i="18"/>
  <c r="BT700" i="18"/>
  <c r="BS700" i="18"/>
  <c r="BR700" i="18"/>
  <c r="BQ700" i="18"/>
  <c r="BP700" i="18"/>
  <c r="BO700" i="18"/>
  <c r="BN700" i="18"/>
  <c r="BM700" i="18"/>
  <c r="BL700" i="18"/>
  <c r="BK700" i="18"/>
  <c r="BJ700" i="18"/>
  <c r="BI700" i="18"/>
  <c r="BH700" i="18"/>
  <c r="BG700" i="18"/>
  <c r="BF700" i="18"/>
  <c r="BE700" i="18"/>
  <c r="BD700" i="18"/>
  <c r="BC700" i="18"/>
  <c r="BB700" i="18"/>
  <c r="BA700" i="18"/>
  <c r="AZ700" i="18"/>
  <c r="AY700" i="18"/>
  <c r="AX700" i="18"/>
  <c r="AW700" i="18"/>
  <c r="AV700" i="18"/>
  <c r="AU700" i="18"/>
  <c r="AT700" i="18"/>
  <c r="AS700" i="18"/>
  <c r="AR700" i="18"/>
  <c r="AQ700" i="18"/>
  <c r="AP700" i="18"/>
  <c r="AO700" i="18"/>
  <c r="AN700" i="18"/>
  <c r="AM700" i="18"/>
  <c r="AL700" i="18"/>
  <c r="AK700" i="18"/>
  <c r="AJ700" i="18"/>
  <c r="AI700" i="18"/>
  <c r="AH700" i="18"/>
  <c r="AG700" i="18"/>
  <c r="AF700" i="18"/>
  <c r="AE700" i="18"/>
  <c r="AD700" i="18"/>
  <c r="AC700" i="18"/>
  <c r="AB700" i="18"/>
  <c r="AA700" i="18"/>
  <c r="Z700" i="18"/>
  <c r="Y700" i="18"/>
  <c r="X700" i="18"/>
  <c r="W700" i="18"/>
  <c r="V700" i="18"/>
  <c r="U700" i="18"/>
  <c r="T700" i="18"/>
  <c r="S700" i="18"/>
  <c r="R700" i="18"/>
  <c r="Q700" i="18"/>
  <c r="P700" i="18"/>
  <c r="O700" i="18"/>
  <c r="N700" i="18"/>
  <c r="M700" i="18"/>
  <c r="L700" i="18"/>
  <c r="K700" i="18"/>
  <c r="J700" i="18"/>
  <c r="I700" i="18"/>
  <c r="H700" i="18"/>
  <c r="G700" i="18"/>
  <c r="F700" i="18"/>
  <c r="E700" i="18"/>
  <c r="D700" i="18"/>
  <c r="C700" i="18"/>
  <c r="B700" i="18"/>
  <c r="A700" i="18"/>
  <c r="CD699" i="18"/>
  <c r="CC699" i="18"/>
  <c r="CB699" i="18"/>
  <c r="CA699" i="18"/>
  <c r="BZ699" i="18"/>
  <c r="BY699" i="18"/>
  <c r="BX699" i="18"/>
  <c r="BW699" i="18"/>
  <c r="BU699" i="18"/>
  <c r="BT699" i="18"/>
  <c r="BS699" i="18"/>
  <c r="BR699" i="18"/>
  <c r="BQ699" i="18"/>
  <c r="BP699" i="18"/>
  <c r="BO699" i="18"/>
  <c r="BN699" i="18"/>
  <c r="BM699" i="18"/>
  <c r="BL699" i="18"/>
  <c r="BK699" i="18"/>
  <c r="BJ699" i="18"/>
  <c r="BI699" i="18"/>
  <c r="BH699" i="18"/>
  <c r="BG699" i="18"/>
  <c r="BF699" i="18"/>
  <c r="BE699" i="18"/>
  <c r="BD699" i="18"/>
  <c r="BC699" i="18"/>
  <c r="BB699" i="18"/>
  <c r="BA699" i="18"/>
  <c r="AZ699" i="18"/>
  <c r="AY699" i="18"/>
  <c r="AX699" i="18"/>
  <c r="AW699" i="18"/>
  <c r="AV699" i="18"/>
  <c r="AU699" i="18"/>
  <c r="AT699" i="18"/>
  <c r="AS699" i="18"/>
  <c r="AR699" i="18"/>
  <c r="AQ699" i="18"/>
  <c r="AP699" i="18"/>
  <c r="AO699" i="18"/>
  <c r="AN699" i="18"/>
  <c r="AM699" i="18"/>
  <c r="AL699" i="18"/>
  <c r="AK699" i="18"/>
  <c r="AJ699" i="18"/>
  <c r="AI699" i="18"/>
  <c r="AH699" i="18"/>
  <c r="AG699" i="18"/>
  <c r="AF699" i="18"/>
  <c r="AE699" i="18"/>
  <c r="AD699" i="18"/>
  <c r="AC699" i="18"/>
  <c r="AB699" i="18"/>
  <c r="AA699" i="18"/>
  <c r="Z699" i="18"/>
  <c r="Y699" i="18"/>
  <c r="X699" i="18"/>
  <c r="W699" i="18"/>
  <c r="V699" i="18"/>
  <c r="U699" i="18"/>
  <c r="T699" i="18"/>
  <c r="S699" i="18"/>
  <c r="R699" i="18"/>
  <c r="Q699" i="18"/>
  <c r="P699" i="18"/>
  <c r="O699" i="18"/>
  <c r="N699" i="18"/>
  <c r="M699" i="18"/>
  <c r="L699" i="18"/>
  <c r="K699" i="18"/>
  <c r="J699" i="18"/>
  <c r="I699" i="18"/>
  <c r="H699" i="18"/>
  <c r="G699" i="18"/>
  <c r="F699" i="18"/>
  <c r="E699" i="18"/>
  <c r="D699" i="18"/>
  <c r="C699" i="18"/>
  <c r="B699" i="18"/>
  <c r="A699" i="18"/>
  <c r="CX698" i="18"/>
  <c r="CW698" i="18"/>
  <c r="CV698" i="18"/>
  <c r="CU698" i="18"/>
  <c r="CT698" i="18"/>
  <c r="CS698" i="18"/>
  <c r="CR698" i="18"/>
  <c r="CQ698" i="18"/>
  <c r="CP698" i="18"/>
  <c r="CO698" i="18"/>
  <c r="CN698" i="18"/>
  <c r="CM698" i="18"/>
  <c r="CL698" i="18"/>
  <c r="CK698" i="18"/>
  <c r="CJ698" i="18"/>
  <c r="CI698" i="18"/>
  <c r="CH698" i="18"/>
  <c r="CG698" i="18"/>
  <c r="CF698" i="18"/>
  <c r="CE698" i="18"/>
  <c r="CD698" i="18"/>
  <c r="CC698" i="18"/>
  <c r="CB698" i="18"/>
  <c r="CA698" i="18"/>
  <c r="BZ698" i="18"/>
  <c r="BY698" i="18"/>
  <c r="BX698" i="18"/>
  <c r="BW698" i="18"/>
  <c r="BV698" i="18"/>
  <c r="BU698" i="18"/>
  <c r="BT698" i="18"/>
  <c r="BS698" i="18"/>
  <c r="BR698" i="18"/>
  <c r="BQ698" i="18"/>
  <c r="BP698" i="18"/>
  <c r="BO698" i="18"/>
  <c r="BN698" i="18"/>
  <c r="BM698" i="18"/>
  <c r="BL698" i="18"/>
  <c r="BK698" i="18"/>
  <c r="BJ698" i="18"/>
  <c r="BI698" i="18"/>
  <c r="BH698" i="18"/>
  <c r="BG698" i="18"/>
  <c r="BF698" i="18"/>
  <c r="BE698" i="18"/>
  <c r="BD698" i="18"/>
  <c r="BC698" i="18"/>
  <c r="BB698" i="18"/>
  <c r="BA698" i="18"/>
  <c r="AZ698" i="18"/>
  <c r="AY698" i="18"/>
  <c r="AX698" i="18"/>
  <c r="AW698" i="18"/>
  <c r="AV698" i="18"/>
  <c r="AU698" i="18"/>
  <c r="AT698" i="18"/>
  <c r="AS698" i="18"/>
  <c r="AR698" i="18"/>
  <c r="AQ698" i="18"/>
  <c r="AP698" i="18"/>
  <c r="AO698" i="18"/>
  <c r="AN698" i="18"/>
  <c r="AM698" i="18"/>
  <c r="AL698" i="18"/>
  <c r="AK698" i="18"/>
  <c r="AJ698" i="18"/>
  <c r="AI698" i="18"/>
  <c r="AH698" i="18"/>
  <c r="AG698" i="18"/>
  <c r="AF698" i="18"/>
  <c r="AE698" i="18"/>
  <c r="AD698" i="18"/>
  <c r="AC698" i="18"/>
  <c r="AB698" i="18"/>
  <c r="AA698" i="18"/>
  <c r="Z698" i="18"/>
  <c r="Y698" i="18"/>
  <c r="X698" i="18"/>
  <c r="W698" i="18"/>
  <c r="V698" i="18"/>
  <c r="U698" i="18"/>
  <c r="T698" i="18"/>
  <c r="S698" i="18"/>
  <c r="R698" i="18"/>
  <c r="Q698" i="18"/>
  <c r="P698" i="18"/>
  <c r="O698" i="18"/>
  <c r="N698" i="18"/>
  <c r="M698" i="18"/>
  <c r="L698" i="18"/>
  <c r="K698" i="18"/>
  <c r="J698" i="18"/>
  <c r="I698" i="18"/>
  <c r="H698" i="18"/>
  <c r="G698" i="18"/>
  <c r="F698" i="18"/>
  <c r="E698" i="18"/>
  <c r="D698" i="18"/>
  <c r="C698" i="18"/>
  <c r="B698" i="18"/>
  <c r="A698" i="18"/>
  <c r="CX697" i="18"/>
  <c r="CW697" i="18"/>
  <c r="CV697" i="18"/>
  <c r="CU697" i="18"/>
  <c r="CT697" i="18"/>
  <c r="CS697" i="18"/>
  <c r="CR697" i="18"/>
  <c r="CQ697" i="18"/>
  <c r="CP697" i="18"/>
  <c r="CO697" i="18"/>
  <c r="CN697" i="18"/>
  <c r="CM697" i="18"/>
  <c r="CL697" i="18"/>
  <c r="CK697" i="18"/>
  <c r="CJ697" i="18"/>
  <c r="CI697" i="18"/>
  <c r="CH697" i="18"/>
  <c r="CG697" i="18"/>
  <c r="CF697" i="18"/>
  <c r="CE697" i="18"/>
  <c r="CD697" i="18"/>
  <c r="CC697" i="18"/>
  <c r="CB697" i="18"/>
  <c r="CA697" i="18"/>
  <c r="BZ697" i="18"/>
  <c r="BY697" i="18"/>
  <c r="BX697" i="18"/>
  <c r="BW697" i="18"/>
  <c r="BV697" i="18"/>
  <c r="BU697" i="18"/>
  <c r="BT697" i="18"/>
  <c r="BS697" i="18"/>
  <c r="BR697" i="18"/>
  <c r="BQ697" i="18"/>
  <c r="BP697" i="18"/>
  <c r="BO697" i="18"/>
  <c r="BN697" i="18"/>
  <c r="BM697" i="18"/>
  <c r="BL697" i="18"/>
  <c r="BK697" i="18"/>
  <c r="BJ697" i="18"/>
  <c r="BI697" i="18"/>
  <c r="BH697" i="18"/>
  <c r="BG697" i="18"/>
  <c r="BF697" i="18"/>
  <c r="BE697" i="18"/>
  <c r="BD697" i="18"/>
  <c r="BC697" i="18"/>
  <c r="BB697" i="18"/>
  <c r="BA697" i="18"/>
  <c r="AZ697" i="18"/>
  <c r="AY697" i="18"/>
  <c r="AX697" i="18"/>
  <c r="AW697" i="18"/>
  <c r="AV697" i="18"/>
  <c r="AU697" i="18"/>
  <c r="AT697" i="18"/>
  <c r="AS697" i="18"/>
  <c r="AR697" i="18"/>
  <c r="AQ697" i="18"/>
  <c r="AP697" i="18"/>
  <c r="AO697" i="18"/>
  <c r="AN697" i="18"/>
  <c r="AM697" i="18"/>
  <c r="AL697" i="18"/>
  <c r="AK697" i="18"/>
  <c r="AJ697" i="18"/>
  <c r="AI697" i="18"/>
  <c r="AH697" i="18"/>
  <c r="AG697" i="18"/>
  <c r="AF697" i="18"/>
  <c r="AE697" i="18"/>
  <c r="AD697" i="18"/>
  <c r="AC697" i="18"/>
  <c r="AB697" i="18"/>
  <c r="AA697" i="18"/>
  <c r="Z697" i="18"/>
  <c r="Y697" i="18"/>
  <c r="X697" i="18"/>
  <c r="W697" i="18"/>
  <c r="V697" i="18"/>
  <c r="U697" i="18"/>
  <c r="T697" i="18"/>
  <c r="S697" i="18"/>
  <c r="R697" i="18"/>
  <c r="Q697" i="18"/>
  <c r="P697" i="18"/>
  <c r="O697" i="18"/>
  <c r="N697" i="18"/>
  <c r="M697" i="18"/>
  <c r="L697" i="18"/>
  <c r="K697" i="18"/>
  <c r="J697" i="18"/>
  <c r="I697" i="18"/>
  <c r="H697" i="18"/>
  <c r="G697" i="18"/>
  <c r="F697" i="18"/>
  <c r="E697" i="18"/>
  <c r="D697" i="18"/>
  <c r="C697" i="18"/>
  <c r="B697" i="18"/>
  <c r="A697" i="18"/>
  <c r="CH695" i="18"/>
  <c r="CF695" i="18"/>
  <c r="CD695" i="18"/>
  <c r="CC695" i="18"/>
  <c r="CB695" i="18"/>
  <c r="CA695" i="18"/>
  <c r="BZ695" i="18"/>
  <c r="BY695" i="18"/>
  <c r="AQ695" i="18"/>
  <c r="AP695" i="18"/>
  <c r="AO695" i="18"/>
  <c r="AN695" i="18"/>
  <c r="AM695" i="18"/>
  <c r="AL695" i="18"/>
  <c r="AK695" i="18"/>
  <c r="AJ695" i="18"/>
  <c r="AI695" i="18"/>
  <c r="AH695" i="18"/>
  <c r="AG695" i="18"/>
  <c r="AF695" i="18"/>
  <c r="AE695" i="18"/>
  <c r="AD695" i="18"/>
  <c r="AC695" i="18"/>
  <c r="AB695" i="18"/>
  <c r="AA695" i="18"/>
  <c r="Z695" i="18"/>
  <c r="Y695" i="18"/>
  <c r="X695" i="18"/>
  <c r="W695" i="18"/>
  <c r="V695" i="18"/>
  <c r="U695" i="18"/>
  <c r="T695" i="18"/>
  <c r="S695" i="18"/>
  <c r="R695" i="18"/>
  <c r="Q695" i="18"/>
  <c r="P695" i="18"/>
  <c r="O695" i="18"/>
  <c r="N695" i="18"/>
  <c r="M695" i="18"/>
  <c r="L695" i="18"/>
  <c r="K695" i="18"/>
  <c r="J695" i="18"/>
  <c r="I695" i="18"/>
  <c r="H695" i="18"/>
  <c r="G695" i="18"/>
  <c r="F695" i="18"/>
  <c r="E695" i="18"/>
  <c r="D695" i="18"/>
  <c r="C695" i="18"/>
  <c r="B695" i="18"/>
  <c r="A695" i="18"/>
  <c r="CD694" i="18"/>
  <c r="CC694" i="18"/>
  <c r="CB694" i="18"/>
  <c r="CA694" i="18"/>
  <c r="BZ694" i="18"/>
  <c r="BY694" i="18"/>
  <c r="AB694" i="18"/>
  <c r="AA694" i="18"/>
  <c r="Z694" i="18"/>
  <c r="Y694" i="18"/>
  <c r="X694" i="18"/>
  <c r="W694" i="18"/>
  <c r="V694" i="18"/>
  <c r="U694" i="18"/>
  <c r="T694" i="18"/>
  <c r="S694" i="18"/>
  <c r="R694" i="18"/>
  <c r="Q694" i="18"/>
  <c r="P694" i="18"/>
  <c r="O694" i="18"/>
  <c r="N694" i="18"/>
  <c r="M694" i="18"/>
  <c r="L694" i="18"/>
  <c r="K694" i="18"/>
  <c r="J694" i="18"/>
  <c r="I694" i="18"/>
  <c r="H694" i="18"/>
  <c r="G694" i="18"/>
  <c r="F694" i="18"/>
  <c r="E694" i="18"/>
  <c r="D694" i="18"/>
  <c r="C694" i="18"/>
  <c r="B694" i="18"/>
  <c r="A694" i="18"/>
  <c r="CD693" i="18"/>
  <c r="CC693" i="18"/>
  <c r="CB693" i="18"/>
  <c r="CA693" i="18"/>
  <c r="BZ693" i="18"/>
  <c r="BY693" i="18"/>
  <c r="AB693" i="18"/>
  <c r="AA693" i="18"/>
  <c r="Z693" i="18"/>
  <c r="Y693" i="18"/>
  <c r="X693" i="18"/>
  <c r="W693" i="18"/>
  <c r="V693" i="18"/>
  <c r="U693" i="18"/>
  <c r="T693" i="18"/>
  <c r="S693" i="18"/>
  <c r="R693" i="18"/>
  <c r="Q693" i="18"/>
  <c r="P693" i="18"/>
  <c r="O693" i="18"/>
  <c r="N693" i="18"/>
  <c r="M693" i="18"/>
  <c r="L693" i="18"/>
  <c r="K693" i="18"/>
  <c r="J693" i="18"/>
  <c r="I693" i="18"/>
  <c r="H693" i="18"/>
  <c r="G693" i="18"/>
  <c r="F693" i="18"/>
  <c r="E693" i="18"/>
  <c r="D693" i="18"/>
  <c r="C693" i="18"/>
  <c r="B693" i="18"/>
  <c r="A693" i="18"/>
  <c r="CX692" i="18"/>
  <c r="CW692" i="18"/>
  <c r="CV692" i="18"/>
  <c r="CU692" i="18"/>
  <c r="CT692" i="18"/>
  <c r="CS692" i="18"/>
  <c r="CR692" i="18"/>
  <c r="CQ692" i="18"/>
  <c r="CP692" i="18"/>
  <c r="CO692" i="18"/>
  <c r="CN692" i="18"/>
  <c r="CM692" i="18"/>
  <c r="CL692" i="18"/>
  <c r="CK692" i="18"/>
  <c r="CJ692" i="18"/>
  <c r="CI692" i="18"/>
  <c r="CH692" i="18"/>
  <c r="CG692" i="18"/>
  <c r="CF692" i="18"/>
  <c r="CE692" i="18"/>
  <c r="CD692" i="18"/>
  <c r="CC692" i="18"/>
  <c r="CB692" i="18"/>
  <c r="CA692" i="18"/>
  <c r="BZ692" i="18"/>
  <c r="BY692" i="18"/>
  <c r="BX692" i="18"/>
  <c r="BW692" i="18"/>
  <c r="BV692" i="18"/>
  <c r="BU692" i="18"/>
  <c r="BT692" i="18"/>
  <c r="BS692" i="18"/>
  <c r="BR692" i="18"/>
  <c r="BQ692" i="18"/>
  <c r="BP692" i="18"/>
  <c r="BO692" i="18"/>
  <c r="BN692" i="18"/>
  <c r="BM692" i="18"/>
  <c r="BL692" i="18"/>
  <c r="BK692" i="18"/>
  <c r="BJ692" i="18"/>
  <c r="BI692" i="18"/>
  <c r="BH692" i="18"/>
  <c r="BG692" i="18"/>
  <c r="BF692" i="18"/>
  <c r="BE692" i="18"/>
  <c r="BD692" i="18"/>
  <c r="BC692" i="18"/>
  <c r="BB692" i="18"/>
  <c r="BA692" i="18"/>
  <c r="AZ692" i="18"/>
  <c r="AY692" i="18"/>
  <c r="AX692" i="18"/>
  <c r="AW692" i="18"/>
  <c r="AV692" i="18"/>
  <c r="AU692" i="18"/>
  <c r="AT692" i="18"/>
  <c r="AS692" i="18"/>
  <c r="AR692" i="18"/>
  <c r="AQ692" i="18"/>
  <c r="AP692" i="18"/>
  <c r="AO692" i="18"/>
  <c r="AN692" i="18"/>
  <c r="AM692" i="18"/>
  <c r="AL692" i="18"/>
  <c r="AK692" i="18"/>
  <c r="AJ692" i="18"/>
  <c r="AI692" i="18"/>
  <c r="AH692" i="18"/>
  <c r="AG692" i="18"/>
  <c r="AF692" i="18"/>
  <c r="AE692" i="18"/>
  <c r="AD692" i="18"/>
  <c r="AC692" i="18"/>
  <c r="AB692" i="18"/>
  <c r="AA692" i="18"/>
  <c r="Z692" i="18"/>
  <c r="Y692" i="18"/>
  <c r="X692" i="18"/>
  <c r="W692" i="18"/>
  <c r="V692" i="18"/>
  <c r="U692" i="18"/>
  <c r="T692" i="18"/>
  <c r="S692" i="18"/>
  <c r="R692" i="18"/>
  <c r="Q692" i="18"/>
  <c r="P692" i="18"/>
  <c r="O692" i="18"/>
  <c r="N692" i="18"/>
  <c r="M692" i="18"/>
  <c r="L692" i="18"/>
  <c r="K692" i="18"/>
  <c r="J692" i="18"/>
  <c r="I692" i="18"/>
  <c r="H692" i="18"/>
  <c r="G692" i="18"/>
  <c r="F692" i="18"/>
  <c r="E692" i="18"/>
  <c r="D692" i="18"/>
  <c r="C692" i="18"/>
  <c r="B692" i="18"/>
  <c r="A692" i="18"/>
  <c r="CX689" i="18"/>
  <c r="CW689" i="18"/>
  <c r="CV689" i="18"/>
  <c r="CU689" i="18"/>
  <c r="CT689" i="18"/>
  <c r="CS689" i="18"/>
  <c r="CR689" i="18"/>
  <c r="CQ689" i="18"/>
  <c r="CP689" i="18"/>
  <c r="CO689" i="18"/>
  <c r="CN689" i="18"/>
  <c r="CM689" i="18"/>
  <c r="CL689" i="18"/>
  <c r="CK689" i="18"/>
  <c r="CJ689" i="18"/>
  <c r="CI689" i="18"/>
  <c r="CH689" i="18"/>
  <c r="CG689" i="18"/>
  <c r="CF689" i="18"/>
  <c r="CE689" i="18"/>
  <c r="CD689" i="18"/>
  <c r="CC689" i="18"/>
  <c r="CB689" i="18"/>
  <c r="CA689" i="18"/>
  <c r="BZ689" i="18"/>
  <c r="BY689" i="18"/>
  <c r="AN689" i="18"/>
  <c r="AM689" i="18"/>
  <c r="AL689" i="18"/>
  <c r="AK689" i="18"/>
  <c r="AJ689" i="18"/>
  <c r="AI689" i="18"/>
  <c r="AH689" i="18"/>
  <c r="AG689" i="18"/>
  <c r="AF689" i="18"/>
  <c r="AE689" i="18"/>
  <c r="AD689" i="18"/>
  <c r="AC689" i="18"/>
  <c r="AB689" i="18"/>
  <c r="AA689" i="18"/>
  <c r="Z689" i="18"/>
  <c r="Y689" i="18"/>
  <c r="X689" i="18"/>
  <c r="W689" i="18"/>
  <c r="V689" i="18"/>
  <c r="U689" i="18"/>
  <c r="T689" i="18"/>
  <c r="S689" i="18"/>
  <c r="R689" i="18"/>
  <c r="Q689" i="18"/>
  <c r="P689" i="18"/>
  <c r="O689" i="18"/>
  <c r="N689" i="18"/>
  <c r="M689" i="18"/>
  <c r="L689" i="18"/>
  <c r="K689" i="18"/>
  <c r="J689" i="18"/>
  <c r="I689" i="18"/>
  <c r="H689" i="18"/>
  <c r="G689" i="18"/>
  <c r="F689" i="18"/>
  <c r="E689" i="18"/>
  <c r="D689" i="18"/>
  <c r="C689" i="18"/>
  <c r="B689" i="18"/>
  <c r="A689" i="18"/>
  <c r="CX686" i="18"/>
  <c r="CW686" i="18"/>
  <c r="CV686" i="18"/>
  <c r="CU686" i="18"/>
  <c r="CT686" i="18"/>
  <c r="CS686" i="18"/>
  <c r="CR686" i="18"/>
  <c r="CQ686" i="18"/>
  <c r="CP686" i="18"/>
  <c r="CO686" i="18"/>
  <c r="CN686" i="18"/>
  <c r="CM686" i="18"/>
  <c r="CL686" i="18"/>
  <c r="CK686" i="18"/>
  <c r="CJ686" i="18"/>
  <c r="CI686" i="18"/>
  <c r="CH686" i="18"/>
  <c r="CG686" i="18"/>
  <c r="CF686" i="18"/>
  <c r="CE686" i="18"/>
  <c r="CD686" i="18"/>
  <c r="CC686" i="18"/>
  <c r="CB686" i="18"/>
  <c r="CA686" i="18"/>
  <c r="BZ686" i="18"/>
  <c r="BY686" i="18"/>
  <c r="BX686" i="18"/>
  <c r="BW686" i="18"/>
  <c r="BV686" i="18"/>
  <c r="BU686" i="18"/>
  <c r="BT686" i="18"/>
  <c r="BS686" i="18"/>
  <c r="BR686" i="18"/>
  <c r="BQ686" i="18"/>
  <c r="BP686" i="18"/>
  <c r="BO686" i="18"/>
  <c r="BN686" i="18"/>
  <c r="BM686" i="18"/>
  <c r="BL686" i="18"/>
  <c r="BK686" i="18"/>
  <c r="BJ686" i="18"/>
  <c r="BI686" i="18"/>
  <c r="BH686" i="18"/>
  <c r="BG686" i="18"/>
  <c r="BF686" i="18"/>
  <c r="BE686" i="18"/>
  <c r="BD686" i="18"/>
  <c r="BC686" i="18"/>
  <c r="BB686" i="18"/>
  <c r="BA686" i="18"/>
  <c r="AZ686" i="18"/>
  <c r="AY686" i="18"/>
  <c r="AX686" i="18"/>
  <c r="AW686" i="18"/>
  <c r="AV686" i="18"/>
  <c r="AU686" i="18"/>
  <c r="AT686" i="18"/>
  <c r="AS686" i="18"/>
  <c r="AR686" i="18"/>
  <c r="AQ686" i="18"/>
  <c r="AP686" i="18"/>
  <c r="AO686" i="18"/>
  <c r="AN686" i="18"/>
  <c r="AM686" i="18"/>
  <c r="AL686" i="18"/>
  <c r="AK686" i="18"/>
  <c r="AJ686" i="18"/>
  <c r="AI686" i="18"/>
  <c r="AH686" i="18"/>
  <c r="AG686" i="18"/>
  <c r="AF686" i="18"/>
  <c r="AE686" i="18"/>
  <c r="AD686" i="18"/>
  <c r="AC686" i="18"/>
  <c r="AB686" i="18"/>
  <c r="AA686" i="18"/>
  <c r="Z686" i="18"/>
  <c r="Y686" i="18"/>
  <c r="X686" i="18"/>
  <c r="W686" i="18"/>
  <c r="V686" i="18"/>
  <c r="U686" i="18"/>
  <c r="T686" i="18"/>
  <c r="S686" i="18"/>
  <c r="R686" i="18"/>
  <c r="Q686" i="18"/>
  <c r="P686" i="18"/>
  <c r="O686" i="18"/>
  <c r="N686" i="18"/>
  <c r="M686" i="18"/>
  <c r="L686" i="18"/>
  <c r="K686" i="18"/>
  <c r="J686" i="18"/>
  <c r="I686" i="18"/>
  <c r="H686" i="18"/>
  <c r="G686" i="18"/>
  <c r="F686" i="18"/>
  <c r="E686" i="18"/>
  <c r="D686" i="18"/>
  <c r="C686" i="18"/>
  <c r="B686" i="18"/>
  <c r="A686" i="18"/>
  <c r="CH685" i="18"/>
  <c r="CG685" i="18"/>
  <c r="CF685" i="18"/>
  <c r="CE685" i="18"/>
  <c r="CD685" i="18"/>
  <c r="CC685" i="18"/>
  <c r="CB685" i="18"/>
  <c r="CA685" i="18"/>
  <c r="BZ685" i="18"/>
  <c r="BY685" i="18"/>
  <c r="AQ685" i="18"/>
  <c r="AP685" i="18"/>
  <c r="AO685" i="18"/>
  <c r="AN685" i="18"/>
  <c r="AM685" i="18"/>
  <c r="AL685" i="18"/>
  <c r="AK685" i="18"/>
  <c r="AJ685" i="18"/>
  <c r="AI685" i="18"/>
  <c r="AH685" i="18"/>
  <c r="AG685" i="18"/>
  <c r="AF685" i="18"/>
  <c r="AE685" i="18"/>
  <c r="AD685" i="18"/>
  <c r="AC685" i="18"/>
  <c r="AB685" i="18"/>
  <c r="AA685" i="18"/>
  <c r="Z685" i="18"/>
  <c r="Y685" i="18"/>
  <c r="X685" i="18"/>
  <c r="W685" i="18"/>
  <c r="V685" i="18"/>
  <c r="U685" i="18"/>
  <c r="T685" i="18"/>
  <c r="S685" i="18"/>
  <c r="R685" i="18"/>
  <c r="Q685" i="18"/>
  <c r="P685" i="18"/>
  <c r="O685" i="18"/>
  <c r="N685" i="18"/>
  <c r="M685" i="18"/>
  <c r="L685" i="18"/>
  <c r="K685" i="18"/>
  <c r="J685" i="18"/>
  <c r="I685" i="18"/>
  <c r="H685" i="18"/>
  <c r="G685" i="18"/>
  <c r="F685" i="18"/>
  <c r="E685" i="18"/>
  <c r="D685" i="18"/>
  <c r="C685" i="18"/>
  <c r="B685" i="18"/>
  <c r="A685" i="18"/>
  <c r="CF684" i="18"/>
  <c r="CE684" i="18"/>
  <c r="CD684" i="18"/>
  <c r="CC684" i="18"/>
  <c r="CB684" i="18"/>
  <c r="CA684" i="18"/>
  <c r="BZ684" i="18"/>
  <c r="BY684" i="18"/>
  <c r="AQ684" i="18"/>
  <c r="AP684" i="18"/>
  <c r="AO684" i="18"/>
  <c r="AN684" i="18"/>
  <c r="AM684" i="18"/>
  <c r="AL684" i="18"/>
  <c r="AK684" i="18"/>
  <c r="AJ684" i="18"/>
  <c r="AI684" i="18"/>
  <c r="AH684" i="18"/>
  <c r="AG684" i="18"/>
  <c r="AF684" i="18"/>
  <c r="AE684" i="18"/>
  <c r="AD684" i="18"/>
  <c r="AC684" i="18"/>
  <c r="AB684" i="18"/>
  <c r="AA684" i="18"/>
  <c r="Z684" i="18"/>
  <c r="Y684" i="18"/>
  <c r="X684" i="18"/>
  <c r="W684" i="18"/>
  <c r="V684" i="18"/>
  <c r="U684" i="18"/>
  <c r="T684" i="18"/>
  <c r="S684" i="18"/>
  <c r="R684" i="18"/>
  <c r="Q684" i="18"/>
  <c r="P684" i="18"/>
  <c r="O684" i="18"/>
  <c r="N684" i="18"/>
  <c r="M684" i="18"/>
  <c r="L684" i="18"/>
  <c r="K684" i="18"/>
  <c r="J684" i="18"/>
  <c r="I684" i="18"/>
  <c r="H684" i="18"/>
  <c r="G684" i="18"/>
  <c r="F684" i="18"/>
  <c r="E684" i="18"/>
  <c r="D684" i="18"/>
  <c r="C684" i="18"/>
  <c r="B684" i="18"/>
  <c r="A684" i="18"/>
  <c r="CX683" i="18"/>
  <c r="CW683" i="18"/>
  <c r="CV683" i="18"/>
  <c r="CU683" i="18"/>
  <c r="CT683" i="18"/>
  <c r="CS683" i="18"/>
  <c r="CF683" i="18"/>
  <c r="CE683" i="18"/>
  <c r="CD683" i="18"/>
  <c r="CC683" i="18"/>
  <c r="CB683" i="18"/>
  <c r="CA683" i="18"/>
  <c r="BZ683" i="18"/>
  <c r="BY683" i="18"/>
  <c r="BX683" i="18"/>
  <c r="BW683" i="18"/>
  <c r="BV683" i="18"/>
  <c r="BU683" i="18"/>
  <c r="BT683" i="18"/>
  <c r="BS683" i="18"/>
  <c r="BR683" i="18"/>
  <c r="BQ683" i="18"/>
  <c r="BP683" i="18"/>
  <c r="BO683" i="18"/>
  <c r="BN683" i="18"/>
  <c r="BM683" i="18"/>
  <c r="BL683" i="18"/>
  <c r="BK683" i="18"/>
  <c r="BJ683" i="18"/>
  <c r="BI683" i="18"/>
  <c r="BH683" i="18"/>
  <c r="BG683" i="18"/>
  <c r="BF683" i="18"/>
  <c r="BE683" i="18"/>
  <c r="BD683" i="18"/>
  <c r="BC683" i="18"/>
  <c r="BB683" i="18"/>
  <c r="BA683" i="18"/>
  <c r="AF683" i="18"/>
  <c r="AE683" i="18"/>
  <c r="AD683" i="18"/>
  <c r="AC683" i="18"/>
  <c r="AB683" i="18"/>
  <c r="AA683" i="18"/>
  <c r="Z683" i="18"/>
  <c r="Y683" i="18"/>
  <c r="X683" i="18"/>
  <c r="W683" i="18"/>
  <c r="V683" i="18"/>
  <c r="U683" i="18"/>
  <c r="T683" i="18"/>
  <c r="S683" i="18"/>
  <c r="R683" i="18"/>
  <c r="Q683" i="18"/>
  <c r="P683" i="18"/>
  <c r="O683" i="18"/>
  <c r="N683" i="18"/>
  <c r="M683" i="18"/>
  <c r="L683" i="18"/>
  <c r="K683" i="18"/>
  <c r="J683" i="18"/>
  <c r="I683" i="18"/>
  <c r="H683" i="18"/>
  <c r="G683" i="18"/>
  <c r="F683" i="18"/>
  <c r="E683" i="18"/>
  <c r="D683" i="18"/>
  <c r="C683" i="18"/>
  <c r="B683" i="18"/>
  <c r="A683" i="18"/>
  <c r="CX682" i="18"/>
  <c r="CW682" i="18"/>
  <c r="CV682" i="18"/>
  <c r="CU682" i="18"/>
  <c r="CT682" i="18"/>
  <c r="CS682" i="18"/>
  <c r="CR682" i="18"/>
  <c r="CQ682" i="18"/>
  <c r="CP682" i="18"/>
  <c r="CO682" i="18"/>
  <c r="CN682" i="18"/>
  <c r="CM682" i="18"/>
  <c r="CL682" i="18"/>
  <c r="CK682" i="18"/>
  <c r="CJ682" i="18"/>
  <c r="CI682" i="18"/>
  <c r="CH682" i="18"/>
  <c r="CG682" i="18"/>
  <c r="CF682" i="18"/>
  <c r="CE682" i="18"/>
  <c r="CD682" i="18"/>
  <c r="CC682" i="18"/>
  <c r="CB682" i="18"/>
  <c r="CA682" i="18"/>
  <c r="BZ682" i="18"/>
  <c r="BY682" i="18"/>
  <c r="BX682" i="18"/>
  <c r="BW682" i="18"/>
  <c r="BV682" i="18"/>
  <c r="BU682" i="18"/>
  <c r="BT682" i="18"/>
  <c r="BS682" i="18"/>
  <c r="BR682" i="18"/>
  <c r="BQ682" i="18"/>
  <c r="BP682" i="18"/>
  <c r="BO682" i="18"/>
  <c r="BN682" i="18"/>
  <c r="BM682" i="18"/>
  <c r="BL682" i="18"/>
  <c r="BK682" i="18"/>
  <c r="BJ682" i="18"/>
  <c r="BI682" i="18"/>
  <c r="BH682" i="18"/>
  <c r="BG682" i="18"/>
  <c r="BF682" i="18"/>
  <c r="BE682" i="18"/>
  <c r="BD682" i="18"/>
  <c r="BC682" i="18"/>
  <c r="BB682" i="18"/>
  <c r="BA682" i="18"/>
  <c r="AZ682" i="18"/>
  <c r="AY682" i="18"/>
  <c r="AX682" i="18"/>
  <c r="AW682" i="18"/>
  <c r="AV682" i="18"/>
  <c r="AU682" i="18"/>
  <c r="AT682" i="18"/>
  <c r="AS682" i="18"/>
  <c r="AR682" i="18"/>
  <c r="AQ682" i="18"/>
  <c r="AP682" i="18"/>
  <c r="AO682" i="18"/>
  <c r="AN682" i="18"/>
  <c r="AM682" i="18"/>
  <c r="AL682" i="18"/>
  <c r="AK682" i="18"/>
  <c r="AJ682" i="18"/>
  <c r="AI682" i="18"/>
  <c r="AH682" i="18"/>
  <c r="AG682" i="18"/>
  <c r="AF682" i="18"/>
  <c r="AE682" i="18"/>
  <c r="AD682" i="18"/>
  <c r="AC682" i="18"/>
  <c r="AB682" i="18"/>
  <c r="AA682" i="18"/>
  <c r="Z682" i="18"/>
  <c r="Y682" i="18"/>
  <c r="X682" i="18"/>
  <c r="W682" i="18"/>
  <c r="V682" i="18"/>
  <c r="U682" i="18"/>
  <c r="T682" i="18"/>
  <c r="S682" i="18"/>
  <c r="R682" i="18"/>
  <c r="Q682" i="18"/>
  <c r="P682" i="18"/>
  <c r="O682" i="18"/>
  <c r="N682" i="18"/>
  <c r="M682" i="18"/>
  <c r="L682" i="18"/>
  <c r="K682" i="18"/>
  <c r="J682" i="18"/>
  <c r="I682" i="18"/>
  <c r="H682" i="18"/>
  <c r="G682" i="18"/>
  <c r="F682" i="18"/>
  <c r="E682" i="18"/>
  <c r="D682" i="18"/>
  <c r="C682" i="18"/>
  <c r="B682" i="18"/>
  <c r="A682" i="18"/>
  <c r="CX680" i="18"/>
  <c r="CW680" i="18"/>
  <c r="CV680" i="18"/>
  <c r="CU680" i="18"/>
  <c r="CT680" i="18"/>
  <c r="CS680" i="18"/>
  <c r="CR680" i="18"/>
  <c r="CQ680" i="18"/>
  <c r="CP680" i="18"/>
  <c r="CO680" i="18"/>
  <c r="CN680" i="18"/>
  <c r="CM680" i="18"/>
  <c r="CL680" i="18"/>
  <c r="CK680" i="18"/>
  <c r="CJ680" i="18"/>
  <c r="CI680" i="18"/>
  <c r="CH680" i="18"/>
  <c r="CG680" i="18"/>
  <c r="CF680" i="18"/>
  <c r="CE680" i="18"/>
  <c r="CD680" i="18"/>
  <c r="CC680" i="18"/>
  <c r="CB680" i="18"/>
  <c r="CA680" i="18"/>
  <c r="BZ680" i="18"/>
  <c r="BY680" i="18"/>
  <c r="BX680" i="18"/>
  <c r="BW680" i="18"/>
  <c r="BV680" i="18"/>
  <c r="BU680" i="18"/>
  <c r="BT680" i="18"/>
  <c r="BS680" i="18"/>
  <c r="BR680" i="18"/>
  <c r="BQ680" i="18"/>
  <c r="BP680" i="18"/>
  <c r="BO680" i="18"/>
  <c r="BN680" i="18"/>
  <c r="BM680" i="18"/>
  <c r="BL680" i="18"/>
  <c r="BK680" i="18"/>
  <c r="BJ680" i="18"/>
  <c r="BI680" i="18"/>
  <c r="BH680" i="18"/>
  <c r="BG680" i="18"/>
  <c r="BF680" i="18"/>
  <c r="BE680" i="18"/>
  <c r="BD680" i="18"/>
  <c r="BC680" i="18"/>
  <c r="BB680" i="18"/>
  <c r="BA680" i="18"/>
  <c r="AZ680" i="18"/>
  <c r="AY680" i="18"/>
  <c r="AX680" i="18"/>
  <c r="AW680" i="18"/>
  <c r="AV680" i="18"/>
  <c r="AU680" i="18"/>
  <c r="AT680" i="18"/>
  <c r="AS680" i="18"/>
  <c r="AR680" i="18"/>
  <c r="AQ680" i="18"/>
  <c r="AP680" i="18"/>
  <c r="AO680" i="18"/>
  <c r="AN680" i="18"/>
  <c r="AM680" i="18"/>
  <c r="AL680" i="18"/>
  <c r="AK680" i="18"/>
  <c r="AJ680" i="18"/>
  <c r="AI680" i="18"/>
  <c r="AH680" i="18"/>
  <c r="AG680" i="18"/>
  <c r="AF680" i="18"/>
  <c r="AE680" i="18"/>
  <c r="AD680" i="18"/>
  <c r="AC680" i="18"/>
  <c r="AB680" i="18"/>
  <c r="AA680" i="18"/>
  <c r="Z680" i="18"/>
  <c r="Y680" i="18"/>
  <c r="X680" i="18"/>
  <c r="W680" i="18"/>
  <c r="V680" i="18"/>
  <c r="U680" i="18"/>
  <c r="T680" i="18"/>
  <c r="S680" i="18"/>
  <c r="R680" i="18"/>
  <c r="Q680" i="18"/>
  <c r="P680" i="18"/>
  <c r="O680" i="18"/>
  <c r="N680" i="18"/>
  <c r="M680" i="18"/>
  <c r="L680" i="18"/>
  <c r="K680" i="18"/>
  <c r="J680" i="18"/>
  <c r="I680" i="18"/>
  <c r="H680" i="18"/>
  <c r="G680" i="18"/>
  <c r="F680" i="18"/>
  <c r="E680" i="18"/>
  <c r="D680" i="18"/>
  <c r="C680" i="18"/>
  <c r="B680" i="18"/>
  <c r="A680" i="18"/>
  <c r="CX679" i="18"/>
  <c r="CW679" i="18"/>
  <c r="CV679" i="18"/>
  <c r="CU679" i="18"/>
  <c r="CT679" i="18"/>
  <c r="CS679" i="18"/>
  <c r="CR679" i="18"/>
  <c r="CQ679" i="18"/>
  <c r="CP679" i="18"/>
  <c r="CO679" i="18"/>
  <c r="CN679" i="18"/>
  <c r="CM679" i="18"/>
  <c r="CL679" i="18"/>
  <c r="CK679" i="18"/>
  <c r="CJ679" i="18"/>
  <c r="CI679" i="18"/>
  <c r="CH679" i="18"/>
  <c r="CG679" i="18"/>
  <c r="CF679" i="18"/>
  <c r="CE679" i="18"/>
  <c r="CD679" i="18"/>
  <c r="CC679" i="18"/>
  <c r="CB679" i="18"/>
  <c r="CA679" i="18"/>
  <c r="BZ679" i="18"/>
  <c r="BY679" i="18"/>
  <c r="BX679" i="18"/>
  <c r="BW679" i="18"/>
  <c r="BV679" i="18"/>
  <c r="BU679" i="18"/>
  <c r="BT679" i="18"/>
  <c r="BS679" i="18"/>
  <c r="BR679" i="18"/>
  <c r="BQ679" i="18"/>
  <c r="BP679" i="18"/>
  <c r="BO679" i="18"/>
  <c r="BN679" i="18"/>
  <c r="BM679" i="18"/>
  <c r="BL679" i="18"/>
  <c r="BK679" i="18"/>
  <c r="BJ679" i="18"/>
  <c r="BI679" i="18"/>
  <c r="BH679" i="18"/>
  <c r="BG679" i="18"/>
  <c r="BF679" i="18"/>
  <c r="BE679" i="18"/>
  <c r="BD679" i="18"/>
  <c r="BC679" i="18"/>
  <c r="BB679" i="18"/>
  <c r="BA679" i="18"/>
  <c r="AZ679" i="18"/>
  <c r="AY679" i="18"/>
  <c r="AX679" i="18"/>
  <c r="AW679" i="18"/>
  <c r="AV679" i="18"/>
  <c r="AU679" i="18"/>
  <c r="AT679" i="18"/>
  <c r="AS679" i="18"/>
  <c r="AR679" i="18"/>
  <c r="AQ679" i="18"/>
  <c r="AP679" i="18"/>
  <c r="AO679" i="18"/>
  <c r="AN679" i="18"/>
  <c r="AM679" i="18"/>
  <c r="AL679" i="18"/>
  <c r="AK679" i="18"/>
  <c r="AJ679" i="18"/>
  <c r="AI679" i="18"/>
  <c r="AH679" i="18"/>
  <c r="AG679" i="18"/>
  <c r="AF679" i="18"/>
  <c r="AE679" i="18"/>
  <c r="AD679" i="18"/>
  <c r="AC679" i="18"/>
  <c r="AB679" i="18"/>
  <c r="AA679" i="18"/>
  <c r="Z679" i="18"/>
  <c r="Y679" i="18"/>
  <c r="X679" i="18"/>
  <c r="W679" i="18"/>
  <c r="V679" i="18"/>
  <c r="U679" i="18"/>
  <c r="T679" i="18"/>
  <c r="S679" i="18"/>
  <c r="R679" i="18"/>
  <c r="Q679" i="18"/>
  <c r="P679" i="18"/>
  <c r="O679" i="18"/>
  <c r="N679" i="18"/>
  <c r="M679" i="18"/>
  <c r="L679" i="18"/>
  <c r="K679" i="18"/>
  <c r="J679" i="18"/>
  <c r="I679" i="18"/>
  <c r="H679" i="18"/>
  <c r="G679" i="18"/>
  <c r="F679" i="18"/>
  <c r="E679" i="18"/>
  <c r="D679" i="18"/>
  <c r="C679" i="18"/>
  <c r="B679" i="18"/>
  <c r="A679" i="18"/>
  <c r="CX678" i="18"/>
  <c r="CW678" i="18"/>
  <c r="CV678" i="18"/>
  <c r="CU678" i="18"/>
  <c r="CT678" i="18"/>
  <c r="CS678" i="18"/>
  <c r="CR678" i="18"/>
  <c r="CQ678" i="18"/>
  <c r="CP678" i="18"/>
  <c r="CO678" i="18"/>
  <c r="CN678" i="18"/>
  <c r="CM678" i="18"/>
  <c r="CL678" i="18"/>
  <c r="CK678" i="18"/>
  <c r="CJ678" i="18"/>
  <c r="CI678" i="18"/>
  <c r="CH678" i="18"/>
  <c r="CG678" i="18"/>
  <c r="CF678" i="18"/>
  <c r="CE678" i="18"/>
  <c r="CD678" i="18"/>
  <c r="CC678" i="18"/>
  <c r="CB678" i="18"/>
  <c r="CA678" i="18"/>
  <c r="BZ678" i="18"/>
  <c r="BY678" i="18"/>
  <c r="BX678" i="18"/>
  <c r="BW678" i="18"/>
  <c r="BV678" i="18"/>
  <c r="BU678" i="18"/>
  <c r="BT678" i="18"/>
  <c r="BS678" i="18"/>
  <c r="BR678" i="18"/>
  <c r="BQ678" i="18"/>
  <c r="BP678" i="18"/>
  <c r="BO678" i="18"/>
  <c r="BN678" i="18"/>
  <c r="BM678" i="18"/>
  <c r="BL678" i="18"/>
  <c r="BK678" i="18"/>
  <c r="BJ678" i="18"/>
  <c r="BI678" i="18"/>
  <c r="BH678" i="18"/>
  <c r="BG678" i="18"/>
  <c r="BF678" i="18"/>
  <c r="BE678" i="18"/>
  <c r="BD678" i="18"/>
  <c r="BC678" i="18"/>
  <c r="BB678" i="18"/>
  <c r="BA678" i="18"/>
  <c r="AZ678" i="18"/>
  <c r="AY678" i="18"/>
  <c r="AX678" i="18"/>
  <c r="AW678" i="18"/>
  <c r="AV678" i="18"/>
  <c r="AU678" i="18"/>
  <c r="AT678" i="18"/>
  <c r="AS678" i="18"/>
  <c r="AR678" i="18"/>
  <c r="AQ678" i="18"/>
  <c r="AP678" i="18"/>
  <c r="AO678" i="18"/>
  <c r="AN678" i="18"/>
  <c r="AM678" i="18"/>
  <c r="AL678" i="18"/>
  <c r="AK678" i="18"/>
  <c r="AJ678" i="18"/>
  <c r="AI678" i="18"/>
  <c r="AH678" i="18"/>
  <c r="AG678" i="18"/>
  <c r="AF678" i="18"/>
  <c r="AE678" i="18"/>
  <c r="AD678" i="18"/>
  <c r="AC678" i="18"/>
  <c r="AB678" i="18"/>
  <c r="AA678" i="18"/>
  <c r="Z678" i="18"/>
  <c r="Y678" i="18"/>
  <c r="X678" i="18"/>
  <c r="W678" i="18"/>
  <c r="V678" i="18"/>
  <c r="U678" i="18"/>
  <c r="T678" i="18"/>
  <c r="S678" i="18"/>
  <c r="R678" i="18"/>
  <c r="Q678" i="18"/>
  <c r="P678" i="18"/>
  <c r="O678" i="18"/>
  <c r="N678" i="18"/>
  <c r="M678" i="18"/>
  <c r="L678" i="18"/>
  <c r="K678" i="18"/>
  <c r="J678" i="18"/>
  <c r="I678" i="18"/>
  <c r="H678" i="18"/>
  <c r="G678" i="18"/>
  <c r="F678" i="18"/>
  <c r="E678" i="18"/>
  <c r="D678" i="18"/>
  <c r="C678" i="18"/>
  <c r="B678" i="18"/>
  <c r="A678" i="18"/>
  <c r="CX677" i="18"/>
  <c r="CW677" i="18"/>
  <c r="CV677" i="18"/>
  <c r="CU677" i="18"/>
  <c r="CT677" i="18"/>
  <c r="CS677" i="18"/>
  <c r="CR677" i="18"/>
  <c r="CQ677" i="18"/>
  <c r="CP677" i="18"/>
  <c r="CO677" i="18"/>
  <c r="CN677" i="18"/>
  <c r="CM677" i="18"/>
  <c r="CL677" i="18"/>
  <c r="CK677" i="18"/>
  <c r="CJ677" i="18"/>
  <c r="CI677" i="18"/>
  <c r="CH677" i="18"/>
  <c r="CG677" i="18"/>
  <c r="CF677" i="18"/>
  <c r="CE677" i="18"/>
  <c r="CD677" i="18"/>
  <c r="CC677" i="18"/>
  <c r="CB677" i="18"/>
  <c r="CA677" i="18"/>
  <c r="BZ677" i="18"/>
  <c r="BY677" i="18"/>
  <c r="BX677" i="18"/>
  <c r="BW677" i="18"/>
  <c r="BV677" i="18"/>
  <c r="BU677" i="18"/>
  <c r="BT677" i="18"/>
  <c r="BS677" i="18"/>
  <c r="BR677" i="18"/>
  <c r="BQ677" i="18"/>
  <c r="BP677" i="18"/>
  <c r="BO677" i="18"/>
  <c r="BN677" i="18"/>
  <c r="BM677" i="18"/>
  <c r="BL677" i="18"/>
  <c r="BK677" i="18"/>
  <c r="BJ677" i="18"/>
  <c r="BI677" i="18"/>
  <c r="BH677" i="18"/>
  <c r="BG677" i="18"/>
  <c r="BF677" i="18"/>
  <c r="BE677" i="18"/>
  <c r="BD677" i="18"/>
  <c r="BC677" i="18"/>
  <c r="BB677" i="18"/>
  <c r="BA677" i="18"/>
  <c r="AZ677" i="18"/>
  <c r="AY677" i="18"/>
  <c r="AX677" i="18"/>
  <c r="AW677" i="18"/>
  <c r="AV677" i="18"/>
  <c r="AU677" i="18"/>
  <c r="AT677" i="18"/>
  <c r="AS677" i="18"/>
  <c r="AR677" i="18"/>
  <c r="AQ677" i="18"/>
  <c r="AP677" i="18"/>
  <c r="AO677" i="18"/>
  <c r="AN677" i="18"/>
  <c r="AM677" i="18"/>
  <c r="AL677" i="18"/>
  <c r="AK677" i="18"/>
  <c r="AJ677" i="18"/>
  <c r="AI677" i="18"/>
  <c r="AH677" i="18"/>
  <c r="AG677" i="18"/>
  <c r="AF677" i="18"/>
  <c r="AE677" i="18"/>
  <c r="AD677" i="18"/>
  <c r="AC677" i="18"/>
  <c r="AB677" i="18"/>
  <c r="AA677" i="18"/>
  <c r="Z677" i="18"/>
  <c r="Y677" i="18"/>
  <c r="X677" i="18"/>
  <c r="W677" i="18"/>
  <c r="V677" i="18"/>
  <c r="U677" i="18"/>
  <c r="T677" i="18"/>
  <c r="S677" i="18"/>
  <c r="R677" i="18"/>
  <c r="Q677" i="18"/>
  <c r="P677" i="18"/>
  <c r="O677" i="18"/>
  <c r="N677" i="18"/>
  <c r="M677" i="18"/>
  <c r="L677" i="18"/>
  <c r="K677" i="18"/>
  <c r="J677" i="18"/>
  <c r="I677" i="18"/>
  <c r="H677" i="18"/>
  <c r="G677" i="18"/>
  <c r="F677" i="18"/>
  <c r="E677" i="18"/>
  <c r="D677" i="18"/>
  <c r="C677" i="18"/>
  <c r="B677" i="18"/>
  <c r="A677" i="18"/>
  <c r="CX674" i="18"/>
  <c r="CW674" i="18"/>
  <c r="CV674" i="18"/>
  <c r="CU674" i="18"/>
  <c r="CT674" i="18"/>
  <c r="CS674" i="18"/>
  <c r="CR674" i="18"/>
  <c r="CQ674" i="18"/>
  <c r="CP674" i="18"/>
  <c r="CO674" i="18"/>
  <c r="CN674" i="18"/>
  <c r="CM674" i="18"/>
  <c r="CL674" i="18"/>
  <c r="CK674" i="18"/>
  <c r="CJ674" i="18"/>
  <c r="CI674" i="18"/>
  <c r="CH674" i="18"/>
  <c r="CG674" i="18"/>
  <c r="CF674" i="18"/>
  <c r="CE674" i="18"/>
  <c r="CD674" i="18"/>
  <c r="CC674" i="18"/>
  <c r="CB674" i="18"/>
  <c r="CA674" i="18"/>
  <c r="BZ674" i="18"/>
  <c r="BY674" i="18"/>
  <c r="AQ674" i="18"/>
  <c r="AP674" i="18"/>
  <c r="AO674" i="18"/>
  <c r="AN674" i="18"/>
  <c r="AM674" i="18"/>
  <c r="AL674" i="18"/>
  <c r="AK674" i="18"/>
  <c r="AJ674" i="18"/>
  <c r="AI674" i="18"/>
  <c r="AH674" i="18"/>
  <c r="AG674" i="18"/>
  <c r="AF674" i="18"/>
  <c r="AE674" i="18"/>
  <c r="AD674" i="18"/>
  <c r="AC674" i="18"/>
  <c r="AB674" i="18"/>
  <c r="AA674" i="18"/>
  <c r="Z674" i="18"/>
  <c r="Y674" i="18"/>
  <c r="X674" i="18"/>
  <c r="W674" i="18"/>
  <c r="V674" i="18"/>
  <c r="U674" i="18"/>
  <c r="T674" i="18"/>
  <c r="S674" i="18"/>
  <c r="R674" i="18"/>
  <c r="Q674" i="18"/>
  <c r="P674" i="18"/>
  <c r="O674" i="18"/>
  <c r="N674" i="18"/>
  <c r="M674" i="18"/>
  <c r="L674" i="18"/>
  <c r="K674" i="18"/>
  <c r="J674" i="18"/>
  <c r="I674" i="18"/>
  <c r="H674" i="18"/>
  <c r="G674" i="18"/>
  <c r="F674" i="18"/>
  <c r="E674" i="18"/>
  <c r="D674" i="18"/>
  <c r="C674" i="18"/>
  <c r="B674" i="18"/>
  <c r="A674" i="18"/>
  <c r="CX673" i="18"/>
  <c r="CW673" i="18"/>
  <c r="CV673" i="18"/>
  <c r="CU673" i="18"/>
  <c r="CT673" i="18"/>
  <c r="CS673" i="18"/>
  <c r="CR673" i="18"/>
  <c r="CQ673" i="18"/>
  <c r="CP673" i="18"/>
  <c r="CO673" i="18"/>
  <c r="CN673" i="18"/>
  <c r="CM673" i="18"/>
  <c r="CL673" i="18"/>
  <c r="CK673" i="18"/>
  <c r="CJ673" i="18"/>
  <c r="CI673" i="18"/>
  <c r="CH673" i="18"/>
  <c r="CG673" i="18"/>
  <c r="CF673" i="18"/>
  <c r="CE673" i="18"/>
  <c r="CD673" i="18"/>
  <c r="CC673" i="18"/>
  <c r="CB673" i="18"/>
  <c r="CA673" i="18"/>
  <c r="BZ673" i="18"/>
  <c r="BY673" i="18"/>
  <c r="AQ673" i="18"/>
  <c r="AP673" i="18"/>
  <c r="AO673" i="18"/>
  <c r="AN673" i="18"/>
  <c r="AM673" i="18"/>
  <c r="AL673" i="18"/>
  <c r="AK673" i="18"/>
  <c r="AJ673" i="18"/>
  <c r="AI673" i="18"/>
  <c r="AH673" i="18"/>
  <c r="AG673" i="18"/>
  <c r="AF673" i="18"/>
  <c r="AE673" i="18"/>
  <c r="AD673" i="18"/>
  <c r="AC673" i="18"/>
  <c r="AB673" i="18"/>
  <c r="AA673" i="18"/>
  <c r="Z673" i="18"/>
  <c r="Y673" i="18"/>
  <c r="X673" i="18"/>
  <c r="W673" i="18"/>
  <c r="V673" i="18"/>
  <c r="U673" i="18"/>
  <c r="T673" i="18"/>
  <c r="S673" i="18"/>
  <c r="R673" i="18"/>
  <c r="Q673" i="18"/>
  <c r="P673" i="18"/>
  <c r="O673" i="18"/>
  <c r="N673" i="18"/>
  <c r="M673" i="18"/>
  <c r="L673" i="18"/>
  <c r="K673" i="18"/>
  <c r="J673" i="18"/>
  <c r="I673" i="18"/>
  <c r="H673" i="18"/>
  <c r="G673" i="18"/>
  <c r="F673" i="18"/>
  <c r="E673" i="18"/>
  <c r="D673" i="18"/>
  <c r="C673" i="18"/>
  <c r="B673" i="18"/>
  <c r="A673" i="18"/>
  <c r="CH672" i="18"/>
  <c r="CG672" i="18"/>
  <c r="CF672" i="18"/>
  <c r="CE672" i="18"/>
  <c r="CD672" i="18"/>
  <c r="CC672" i="18"/>
  <c r="CB672" i="18"/>
  <c r="CA672" i="18"/>
  <c r="BZ672" i="18"/>
  <c r="BY672" i="18"/>
  <c r="AQ672" i="18"/>
  <c r="AP672" i="18"/>
  <c r="AO672" i="18"/>
  <c r="AN672" i="18"/>
  <c r="AM672" i="18"/>
  <c r="AL672" i="18"/>
  <c r="AK672" i="18"/>
  <c r="AJ672" i="18"/>
  <c r="AI672" i="18"/>
  <c r="AH672" i="18"/>
  <c r="AG672" i="18"/>
  <c r="AF672" i="18"/>
  <c r="AE672" i="18"/>
  <c r="AD672" i="18"/>
  <c r="AC672" i="18"/>
  <c r="AB672" i="18"/>
  <c r="AA672" i="18"/>
  <c r="Z672" i="18"/>
  <c r="Y672" i="18"/>
  <c r="X672" i="18"/>
  <c r="W672" i="18"/>
  <c r="V672" i="18"/>
  <c r="U672" i="18"/>
  <c r="T672" i="18"/>
  <c r="S672" i="18"/>
  <c r="R672" i="18"/>
  <c r="Q672" i="18"/>
  <c r="P672" i="18"/>
  <c r="O672" i="18"/>
  <c r="N672" i="18"/>
  <c r="M672" i="18"/>
  <c r="L672" i="18"/>
  <c r="K672" i="18"/>
  <c r="J672" i="18"/>
  <c r="I672" i="18"/>
  <c r="H672" i="18"/>
  <c r="G672" i="18"/>
  <c r="F672" i="18"/>
  <c r="E672" i="18"/>
  <c r="D672" i="18"/>
  <c r="C672" i="18"/>
  <c r="B672" i="18"/>
  <c r="A672" i="18"/>
  <c r="CH671" i="18"/>
  <c r="CG671" i="18"/>
  <c r="CF671" i="18"/>
  <c r="CE671" i="18"/>
  <c r="CD671" i="18"/>
  <c r="CC671" i="18"/>
  <c r="CB671" i="18"/>
  <c r="CA671" i="18"/>
  <c r="BZ671" i="18"/>
  <c r="BY671" i="18"/>
  <c r="AQ671" i="18"/>
  <c r="AP671" i="18"/>
  <c r="AO671" i="18"/>
  <c r="AN671" i="18"/>
  <c r="AM671" i="18"/>
  <c r="AL671" i="18"/>
  <c r="AK671" i="18"/>
  <c r="AJ671" i="18"/>
  <c r="AI671" i="18"/>
  <c r="AH671" i="18"/>
  <c r="AG671" i="18"/>
  <c r="AF671" i="18"/>
  <c r="AE671" i="18"/>
  <c r="AD671" i="18"/>
  <c r="AC671" i="18"/>
  <c r="AB671" i="18"/>
  <c r="AA671" i="18"/>
  <c r="Z671" i="18"/>
  <c r="Y671" i="18"/>
  <c r="X671" i="18"/>
  <c r="W671" i="18"/>
  <c r="V671" i="18"/>
  <c r="U671" i="18"/>
  <c r="T671" i="18"/>
  <c r="S671" i="18"/>
  <c r="R671" i="18"/>
  <c r="Q671" i="18"/>
  <c r="P671" i="18"/>
  <c r="O671" i="18"/>
  <c r="N671" i="18"/>
  <c r="M671" i="18"/>
  <c r="L671" i="18"/>
  <c r="K671" i="18"/>
  <c r="J671" i="18"/>
  <c r="I671" i="18"/>
  <c r="H671" i="18"/>
  <c r="G671" i="18"/>
  <c r="F671" i="18"/>
  <c r="E671" i="18"/>
  <c r="D671" i="18"/>
  <c r="C671" i="18"/>
  <c r="B671" i="18"/>
  <c r="A671" i="18"/>
  <c r="CX669" i="18"/>
  <c r="CW669" i="18"/>
  <c r="CV669" i="18"/>
  <c r="CU669" i="18"/>
  <c r="CT669" i="18"/>
  <c r="CS669" i="18"/>
  <c r="CR669" i="18"/>
  <c r="CQ669" i="18"/>
  <c r="CP669" i="18"/>
  <c r="CO669" i="18"/>
  <c r="CN669" i="18"/>
  <c r="CM669" i="18"/>
  <c r="CL669" i="18"/>
  <c r="CK669" i="18"/>
  <c r="CJ669" i="18"/>
  <c r="CI669" i="18"/>
  <c r="CH669" i="18"/>
  <c r="CG669" i="18"/>
  <c r="CF669" i="18"/>
  <c r="CE669" i="18"/>
  <c r="CD669" i="18"/>
  <c r="CC669" i="18"/>
  <c r="CB669" i="18"/>
  <c r="CA669" i="18"/>
  <c r="BZ669" i="18"/>
  <c r="BY669" i="18"/>
  <c r="BX669" i="18"/>
  <c r="BW669" i="18"/>
  <c r="BV669" i="18"/>
  <c r="BU669" i="18"/>
  <c r="BT669" i="18"/>
  <c r="BS669" i="18"/>
  <c r="BR669" i="18"/>
  <c r="BQ669" i="18"/>
  <c r="BP669" i="18"/>
  <c r="BO669" i="18"/>
  <c r="BN669" i="18"/>
  <c r="BM669" i="18"/>
  <c r="BL669" i="18"/>
  <c r="BK669" i="18"/>
  <c r="BJ669" i="18"/>
  <c r="BI669" i="18"/>
  <c r="BH669" i="18"/>
  <c r="BG669" i="18"/>
  <c r="BF669" i="18"/>
  <c r="BE669" i="18"/>
  <c r="BD669" i="18"/>
  <c r="BC669" i="18"/>
  <c r="BB669" i="18"/>
  <c r="BA669" i="18"/>
  <c r="AZ669" i="18"/>
  <c r="AY669" i="18"/>
  <c r="AX669" i="18"/>
  <c r="AW669" i="18"/>
  <c r="AV669" i="18"/>
  <c r="AU669" i="18"/>
  <c r="AT669" i="18"/>
  <c r="AS669" i="18"/>
  <c r="AR669" i="18"/>
  <c r="AQ669" i="18"/>
  <c r="AP669" i="18"/>
  <c r="AO669" i="18"/>
  <c r="AN669" i="18"/>
  <c r="AM669" i="18"/>
  <c r="AL669" i="18"/>
  <c r="AK669" i="18"/>
  <c r="AJ669" i="18"/>
  <c r="AI669" i="18"/>
  <c r="AH669" i="18"/>
  <c r="AG669" i="18"/>
  <c r="AF669" i="18"/>
  <c r="AE669" i="18"/>
  <c r="AD669" i="18"/>
  <c r="AC669" i="18"/>
  <c r="AB669" i="18"/>
  <c r="AA669" i="18"/>
  <c r="Z669" i="18"/>
  <c r="Y669" i="18"/>
  <c r="X669" i="18"/>
  <c r="W669" i="18"/>
  <c r="V669" i="18"/>
  <c r="U669" i="18"/>
  <c r="T669" i="18"/>
  <c r="S669" i="18"/>
  <c r="R669" i="18"/>
  <c r="Q669" i="18"/>
  <c r="P669" i="18"/>
  <c r="O669" i="18"/>
  <c r="N669" i="18"/>
  <c r="M669" i="18"/>
  <c r="L669" i="18"/>
  <c r="K669" i="18"/>
  <c r="J669" i="18"/>
  <c r="I669" i="18"/>
  <c r="H669" i="18"/>
  <c r="G669" i="18"/>
  <c r="F669" i="18"/>
  <c r="E669" i="18"/>
  <c r="D669" i="18"/>
  <c r="C669" i="18"/>
  <c r="B669" i="18"/>
  <c r="A669" i="18"/>
  <c r="CH668" i="18"/>
  <c r="CG668" i="18"/>
  <c r="CF668" i="18"/>
  <c r="CE668" i="18"/>
  <c r="CD668" i="18"/>
  <c r="CC668" i="18"/>
  <c r="CB668" i="18"/>
  <c r="CA668" i="18"/>
  <c r="BZ668" i="18"/>
  <c r="BY668" i="18"/>
  <c r="AQ668" i="18"/>
  <c r="AP668" i="18"/>
  <c r="AO668" i="18"/>
  <c r="AN668" i="18"/>
  <c r="AM668" i="18"/>
  <c r="AL668" i="18"/>
  <c r="AK668" i="18"/>
  <c r="AJ668" i="18"/>
  <c r="AI668" i="18"/>
  <c r="AH668" i="18"/>
  <c r="AG668" i="18"/>
  <c r="AF668" i="18"/>
  <c r="AE668" i="18"/>
  <c r="AD668" i="18"/>
  <c r="AC668" i="18"/>
  <c r="AB668" i="18"/>
  <c r="AA668" i="18"/>
  <c r="Z668" i="18"/>
  <c r="Y668" i="18"/>
  <c r="X668" i="18"/>
  <c r="W668" i="18"/>
  <c r="V668" i="18"/>
  <c r="U668" i="18"/>
  <c r="T668" i="18"/>
  <c r="S668" i="18"/>
  <c r="R668" i="18"/>
  <c r="Q668" i="18"/>
  <c r="P668" i="18"/>
  <c r="O668" i="18"/>
  <c r="N668" i="18"/>
  <c r="M668" i="18"/>
  <c r="L668" i="18"/>
  <c r="K668" i="18"/>
  <c r="J668" i="18"/>
  <c r="I668" i="18"/>
  <c r="H668" i="18"/>
  <c r="G668" i="18"/>
  <c r="F668" i="18"/>
  <c r="E668" i="18"/>
  <c r="D668" i="18"/>
  <c r="C668" i="18"/>
  <c r="B668" i="18"/>
  <c r="A668" i="18"/>
  <c r="CF667" i="18"/>
  <c r="CE667" i="18"/>
  <c r="CD667" i="18"/>
  <c r="CC667" i="18"/>
  <c r="CB667" i="18"/>
  <c r="CA667" i="18"/>
  <c r="BZ667" i="18"/>
  <c r="BY667" i="18"/>
  <c r="AB667" i="18"/>
  <c r="AA667" i="18"/>
  <c r="Z667" i="18"/>
  <c r="Y667" i="18"/>
  <c r="X667" i="18"/>
  <c r="W667" i="18"/>
  <c r="V667" i="18"/>
  <c r="U667" i="18"/>
  <c r="T667" i="18"/>
  <c r="S667" i="18"/>
  <c r="R667" i="18"/>
  <c r="Q667" i="18"/>
  <c r="P667" i="18"/>
  <c r="O667" i="18"/>
  <c r="N667" i="18"/>
  <c r="M667" i="18"/>
  <c r="L667" i="18"/>
  <c r="K667" i="18"/>
  <c r="J667" i="18"/>
  <c r="I667" i="18"/>
  <c r="H667" i="18"/>
  <c r="G667" i="18"/>
  <c r="F667" i="18"/>
  <c r="E667" i="18"/>
  <c r="D667" i="18"/>
  <c r="C667" i="18"/>
  <c r="B667" i="18"/>
  <c r="A667" i="18"/>
  <c r="CF666" i="18"/>
  <c r="CE666" i="18"/>
  <c r="CD666" i="18"/>
  <c r="CC666" i="18"/>
  <c r="CB666" i="18"/>
  <c r="CA666" i="18"/>
  <c r="BZ666" i="18"/>
  <c r="BY666" i="18"/>
  <c r="AB666" i="18"/>
  <c r="AA666" i="18"/>
  <c r="Z666" i="18"/>
  <c r="Y666" i="18"/>
  <c r="X666" i="18"/>
  <c r="W666" i="18"/>
  <c r="V666" i="18"/>
  <c r="U666" i="18"/>
  <c r="T666" i="18"/>
  <c r="S666" i="18"/>
  <c r="R666" i="18"/>
  <c r="Q666" i="18"/>
  <c r="P666" i="18"/>
  <c r="O666" i="18"/>
  <c r="N666" i="18"/>
  <c r="M666" i="18"/>
  <c r="L666" i="18"/>
  <c r="K666" i="18"/>
  <c r="J666" i="18"/>
  <c r="I666" i="18"/>
  <c r="H666" i="18"/>
  <c r="G666" i="18"/>
  <c r="F666" i="18"/>
  <c r="E666" i="18"/>
  <c r="D666" i="18"/>
  <c r="C666" i="18"/>
  <c r="B666" i="18"/>
  <c r="A666" i="18"/>
  <c r="CX665" i="18"/>
  <c r="CW665" i="18"/>
  <c r="CV665" i="18"/>
  <c r="CU665" i="18"/>
  <c r="CT665" i="18"/>
  <c r="CS665" i="18"/>
  <c r="CR665" i="18"/>
  <c r="CQ665" i="18"/>
  <c r="CP665" i="18"/>
  <c r="CO665" i="18"/>
  <c r="CN665" i="18"/>
  <c r="CM665" i="18"/>
  <c r="CL665" i="18"/>
  <c r="CK665" i="18"/>
  <c r="CJ665" i="18"/>
  <c r="CI665" i="18"/>
  <c r="CH665" i="18"/>
  <c r="CG665" i="18"/>
  <c r="CF665" i="18"/>
  <c r="CE665" i="18"/>
  <c r="CD665" i="18"/>
  <c r="CC665" i="18"/>
  <c r="CB665" i="18"/>
  <c r="CA665" i="18"/>
  <c r="BZ665" i="18"/>
  <c r="BY665" i="18"/>
  <c r="BV665" i="18"/>
  <c r="BU665" i="18"/>
  <c r="BT665" i="18"/>
  <c r="BS665" i="18"/>
  <c r="BR665" i="18"/>
  <c r="BQ665" i="18"/>
  <c r="BP665" i="18"/>
  <c r="BO665" i="18"/>
  <c r="BN665" i="18"/>
  <c r="BM665" i="18"/>
  <c r="BL665" i="18"/>
  <c r="BK665" i="18"/>
  <c r="BJ665" i="18"/>
  <c r="BI665" i="18"/>
  <c r="BH665" i="18"/>
  <c r="BG665" i="18"/>
  <c r="BF665" i="18"/>
  <c r="BE665" i="18"/>
  <c r="BD665" i="18"/>
  <c r="BC665" i="18"/>
  <c r="BB665" i="18"/>
  <c r="BA665" i="18"/>
  <c r="AZ665" i="18"/>
  <c r="AY665" i="18"/>
  <c r="AX665" i="18"/>
  <c r="AW665" i="18"/>
  <c r="AV665" i="18"/>
  <c r="AU665" i="18"/>
  <c r="AT665" i="18"/>
  <c r="AS665" i="18"/>
  <c r="AR665" i="18"/>
  <c r="AQ665" i="18"/>
  <c r="AP665" i="18"/>
  <c r="AO665" i="18"/>
  <c r="AN665" i="18"/>
  <c r="AM665" i="18"/>
  <c r="AL665" i="18"/>
  <c r="AK665" i="18"/>
  <c r="AJ665" i="18"/>
  <c r="AI665" i="18"/>
  <c r="AH665" i="18"/>
  <c r="AG665" i="18"/>
  <c r="AF665" i="18"/>
  <c r="AE665" i="18"/>
  <c r="AD665" i="18"/>
  <c r="AC665" i="18"/>
  <c r="AB665" i="18"/>
  <c r="AA665" i="18"/>
  <c r="Z665" i="18"/>
  <c r="Y665" i="18"/>
  <c r="X665" i="18"/>
  <c r="W665" i="18"/>
  <c r="V665" i="18"/>
  <c r="U665" i="18"/>
  <c r="T665" i="18"/>
  <c r="S665" i="18"/>
  <c r="R665" i="18"/>
  <c r="Q665" i="18"/>
  <c r="P665" i="18"/>
  <c r="O665" i="18"/>
  <c r="N665" i="18"/>
  <c r="M665" i="18"/>
  <c r="L665" i="18"/>
  <c r="K665" i="18"/>
  <c r="J665" i="18"/>
  <c r="I665" i="18"/>
  <c r="H665" i="18"/>
  <c r="G665" i="18"/>
  <c r="F665" i="18"/>
  <c r="E665" i="18"/>
  <c r="D665" i="18"/>
  <c r="C665" i="18"/>
  <c r="B665" i="18"/>
  <c r="A665" i="18"/>
  <c r="BJ664" i="18"/>
  <c r="BI664" i="18"/>
  <c r="BH664" i="18"/>
  <c r="BG664" i="18"/>
  <c r="BF664" i="18"/>
  <c r="BE664" i="18"/>
  <c r="BD664" i="18"/>
  <c r="BC664" i="18"/>
  <c r="BB664" i="18"/>
  <c r="BA664" i="18"/>
  <c r="AZ664" i="18"/>
  <c r="AY664" i="18"/>
  <c r="AX664" i="18"/>
  <c r="AW664" i="18"/>
  <c r="AV664" i="18"/>
  <c r="AU664" i="18"/>
  <c r="AT664" i="18"/>
  <c r="AS664" i="18"/>
  <c r="AR664" i="18"/>
  <c r="AQ664" i="18"/>
  <c r="AP664" i="18"/>
  <c r="AO664" i="18"/>
  <c r="AN664" i="18"/>
  <c r="AM664" i="18"/>
  <c r="AL664" i="18"/>
  <c r="AK664" i="18"/>
  <c r="AJ664" i="18"/>
  <c r="AI664" i="18"/>
  <c r="AH664" i="18"/>
  <c r="AG664" i="18"/>
  <c r="AF664" i="18"/>
  <c r="AE664" i="18"/>
  <c r="AD664" i="18"/>
  <c r="AC664" i="18"/>
  <c r="AB664" i="18"/>
  <c r="AA664" i="18"/>
  <c r="Z664" i="18"/>
  <c r="Y664" i="18"/>
  <c r="X664" i="18"/>
  <c r="W664" i="18"/>
  <c r="V664" i="18"/>
  <c r="U664" i="18"/>
  <c r="T664" i="18"/>
  <c r="S664" i="18"/>
  <c r="R664" i="18"/>
  <c r="Q664" i="18"/>
  <c r="P664" i="18"/>
  <c r="O664" i="18"/>
  <c r="N664" i="18"/>
  <c r="M664" i="18"/>
  <c r="L664" i="18"/>
  <c r="K664" i="18"/>
  <c r="J664" i="18"/>
  <c r="I664" i="18"/>
  <c r="H664" i="18"/>
  <c r="G664" i="18"/>
  <c r="F664" i="18"/>
  <c r="E664" i="18"/>
  <c r="D664" i="18"/>
  <c r="C664" i="18"/>
  <c r="B664" i="18"/>
  <c r="A664" i="18"/>
  <c r="CX664" i="18"/>
  <c r="CW664" i="18"/>
  <c r="CV664" i="18"/>
  <c r="CU664" i="18"/>
  <c r="CT664" i="18"/>
  <c r="CS664" i="18"/>
  <c r="CR664" i="18"/>
  <c r="CQ664" i="18"/>
  <c r="CP664" i="18"/>
  <c r="CO664" i="18"/>
  <c r="CN664" i="18"/>
  <c r="CM664" i="18"/>
  <c r="CL664" i="18"/>
  <c r="CK664" i="18"/>
  <c r="CJ664" i="18"/>
  <c r="CI664" i="18"/>
  <c r="CH664" i="18"/>
  <c r="CG664" i="18"/>
  <c r="CF664" i="18"/>
  <c r="CE664" i="18"/>
  <c r="CD664" i="18"/>
  <c r="CC664" i="18"/>
  <c r="CB664" i="18"/>
  <c r="CA664" i="18"/>
  <c r="BZ664" i="18"/>
  <c r="BY664" i="18"/>
  <c r="BX664" i="18"/>
  <c r="BW664" i="18"/>
  <c r="BV664" i="18"/>
  <c r="BU664" i="18"/>
  <c r="BT664" i="18"/>
  <c r="BS664" i="18"/>
  <c r="BR664" i="18"/>
  <c r="BQ664" i="18"/>
  <c r="BP664" i="18"/>
  <c r="BO664" i="18"/>
  <c r="BN664" i="18"/>
  <c r="BM664" i="18"/>
  <c r="BL664" i="18"/>
  <c r="CH663" i="18"/>
  <c r="CG663" i="18"/>
  <c r="CF663" i="18"/>
  <c r="CE663" i="18"/>
  <c r="CD663" i="18"/>
  <c r="CC663" i="18"/>
  <c r="CB663" i="18"/>
  <c r="CA663" i="18"/>
  <c r="BZ663" i="18"/>
  <c r="BY663" i="18"/>
  <c r="CH662" i="18"/>
  <c r="CG662" i="18"/>
  <c r="CF662" i="18"/>
  <c r="CE662" i="18"/>
  <c r="CD662" i="18"/>
  <c r="CC662" i="18"/>
  <c r="CB662" i="18"/>
  <c r="CA662" i="18"/>
  <c r="BZ662" i="18"/>
  <c r="BY662" i="18"/>
  <c r="CE661" i="18"/>
  <c r="CD661" i="18"/>
  <c r="CC661" i="18"/>
  <c r="CB661" i="18"/>
  <c r="CA661" i="18"/>
  <c r="BZ661" i="18"/>
  <c r="BY661" i="18"/>
  <c r="BX661" i="18"/>
  <c r="BW661" i="18"/>
  <c r="BV661" i="18"/>
  <c r="BU661" i="18"/>
  <c r="CX660" i="18"/>
  <c r="CW660" i="18"/>
  <c r="CV660" i="18"/>
  <c r="CU660" i="18"/>
  <c r="CT660" i="18"/>
  <c r="CS660" i="18"/>
  <c r="CR660" i="18"/>
  <c r="CE660" i="18"/>
  <c r="CD660" i="18"/>
  <c r="CC660" i="18"/>
  <c r="CB660" i="18"/>
  <c r="CA660" i="18"/>
  <c r="BZ660" i="18"/>
  <c r="BY660" i="18"/>
  <c r="BX660" i="18"/>
  <c r="BW660" i="18"/>
  <c r="BV660" i="18"/>
  <c r="BU660" i="18"/>
  <c r="BT660" i="18"/>
  <c r="BS660" i="18"/>
  <c r="BR660" i="18"/>
  <c r="BQ660" i="18"/>
  <c r="BP660" i="18"/>
  <c r="BO660" i="18"/>
  <c r="BN660" i="18"/>
  <c r="BM660" i="18"/>
  <c r="BL660" i="18"/>
  <c r="AQ663" i="18"/>
  <c r="AP663" i="18"/>
  <c r="AO663" i="18"/>
  <c r="AN663" i="18"/>
  <c r="AM663" i="18"/>
  <c r="AL663" i="18"/>
  <c r="AK663" i="18"/>
  <c r="AJ663" i="18"/>
  <c r="AI663" i="18"/>
  <c r="AH663" i="18"/>
  <c r="AG663" i="18"/>
  <c r="AF663" i="18"/>
  <c r="AE663" i="18"/>
  <c r="AD663" i="18"/>
  <c r="AC663" i="18"/>
  <c r="AB663" i="18"/>
  <c r="AA663" i="18"/>
  <c r="Z663" i="18"/>
  <c r="Y663" i="18"/>
  <c r="X663" i="18"/>
  <c r="W663" i="18"/>
  <c r="V663" i="18"/>
  <c r="U663" i="18"/>
  <c r="T663" i="18"/>
  <c r="S663" i="18"/>
  <c r="R663" i="18"/>
  <c r="Q663" i="18"/>
  <c r="P663" i="18"/>
  <c r="O663" i="18"/>
  <c r="N663" i="18"/>
  <c r="M663" i="18"/>
  <c r="L663" i="18"/>
  <c r="K663" i="18"/>
  <c r="J663" i="18"/>
  <c r="I663" i="18"/>
  <c r="H663" i="18"/>
  <c r="G663" i="18"/>
  <c r="F663" i="18"/>
  <c r="E663" i="18"/>
  <c r="D663" i="18"/>
  <c r="C663" i="18"/>
  <c r="B663" i="18"/>
  <c r="A663" i="18"/>
  <c r="AQ662" i="18"/>
  <c r="AP662" i="18"/>
  <c r="AO662" i="18"/>
  <c r="AN662" i="18"/>
  <c r="AM662" i="18"/>
  <c r="AL662" i="18"/>
  <c r="AK662" i="18"/>
  <c r="AJ662" i="18"/>
  <c r="AI662" i="18"/>
  <c r="AH662" i="18"/>
  <c r="AG662" i="18"/>
  <c r="AF662" i="18"/>
  <c r="AE662" i="18"/>
  <c r="AD662" i="18"/>
  <c r="AC662" i="18"/>
  <c r="AB662" i="18"/>
  <c r="AA662" i="18"/>
  <c r="Z662" i="18"/>
  <c r="Y662" i="18"/>
  <c r="X662" i="18"/>
  <c r="W662" i="18"/>
  <c r="V662" i="18"/>
  <c r="U662" i="18"/>
  <c r="T662" i="18"/>
  <c r="S662" i="18"/>
  <c r="R662" i="18"/>
  <c r="Q662" i="18"/>
  <c r="P662" i="18"/>
  <c r="O662" i="18"/>
  <c r="N662" i="18"/>
  <c r="M662" i="18"/>
  <c r="L662" i="18"/>
  <c r="K662" i="18"/>
  <c r="J662" i="18"/>
  <c r="I662" i="18"/>
  <c r="H662" i="18"/>
  <c r="G662" i="18"/>
  <c r="F662" i="18"/>
  <c r="E662" i="18"/>
  <c r="D662" i="18"/>
  <c r="C662" i="18"/>
  <c r="B662" i="18"/>
  <c r="A662" i="18"/>
  <c r="AQ661" i="18"/>
  <c r="AP661" i="18"/>
  <c r="AO661" i="18"/>
  <c r="AN661" i="18"/>
  <c r="AM661" i="18"/>
  <c r="AL661" i="18"/>
  <c r="AK661" i="18"/>
  <c r="AJ661" i="18"/>
  <c r="AI661" i="18"/>
  <c r="AH661" i="18"/>
  <c r="AG661" i="18"/>
  <c r="AF661" i="18"/>
  <c r="AE661" i="18"/>
  <c r="AD661" i="18"/>
  <c r="AC661" i="18"/>
  <c r="AB661" i="18"/>
  <c r="AA661" i="18"/>
  <c r="Z661" i="18"/>
  <c r="Y661" i="18"/>
  <c r="X661" i="18"/>
  <c r="W661" i="18"/>
  <c r="V661" i="18"/>
  <c r="U661" i="18"/>
  <c r="T661" i="18"/>
  <c r="S661" i="18"/>
  <c r="R661" i="18"/>
  <c r="Q661" i="18"/>
  <c r="P661" i="18"/>
  <c r="O661" i="18"/>
  <c r="N661" i="18"/>
  <c r="M661" i="18"/>
  <c r="L661" i="18"/>
  <c r="K661" i="18"/>
  <c r="J661" i="18"/>
  <c r="I661" i="18"/>
  <c r="H661" i="18"/>
  <c r="G661" i="18"/>
  <c r="F661" i="18"/>
  <c r="E661" i="18"/>
  <c r="D661" i="18"/>
  <c r="C661" i="18"/>
  <c r="B661" i="18"/>
  <c r="A661" i="18"/>
  <c r="BK660" i="18"/>
  <c r="BJ660" i="18"/>
  <c r="BI660" i="18"/>
  <c r="BH660" i="18"/>
  <c r="BG660" i="18"/>
  <c r="BF660" i="18"/>
  <c r="BE660" i="18"/>
  <c r="BD660" i="18"/>
  <c r="BC660" i="18"/>
  <c r="BB660" i="18"/>
  <c r="BA660" i="18"/>
  <c r="AZ660" i="18"/>
  <c r="AY660" i="18"/>
  <c r="AX660" i="18"/>
  <c r="AW660" i="18"/>
  <c r="AB660" i="18"/>
  <c r="AA660" i="18"/>
  <c r="Z660" i="18"/>
  <c r="Y660" i="18"/>
  <c r="X660" i="18"/>
  <c r="W660" i="18"/>
  <c r="V660" i="18"/>
  <c r="U660" i="18"/>
  <c r="T660" i="18"/>
  <c r="S660" i="18"/>
  <c r="R660" i="18"/>
  <c r="Q660" i="18"/>
  <c r="P660" i="18"/>
  <c r="O660" i="18"/>
  <c r="N660" i="18"/>
  <c r="M660" i="18"/>
  <c r="L660" i="18"/>
  <c r="K660" i="18"/>
  <c r="J660" i="18"/>
  <c r="I660" i="18"/>
  <c r="H660" i="18"/>
  <c r="G660" i="18"/>
  <c r="F660" i="18"/>
  <c r="E660" i="18"/>
  <c r="D660" i="18"/>
  <c r="C660" i="18"/>
  <c r="B660" i="18"/>
  <c r="A660" i="18"/>
  <c r="BQ659" i="18"/>
  <c r="BO659" i="18"/>
  <c r="BN659" i="18"/>
  <c r="BM659" i="18"/>
  <c r="BL659" i="18"/>
  <c r="BJ659" i="18"/>
  <c r="BI659" i="18"/>
  <c r="BH659" i="18"/>
  <c r="BG659" i="18"/>
  <c r="BF659" i="18"/>
  <c r="BE659" i="18"/>
  <c r="BD659" i="18"/>
  <c r="BC659" i="18"/>
  <c r="BB659" i="18"/>
  <c r="BA659" i="18"/>
  <c r="AZ659" i="18"/>
  <c r="AY659" i="18"/>
  <c r="AX659" i="18"/>
  <c r="AW659" i="18"/>
  <c r="AV659" i="18"/>
  <c r="AU659" i="18"/>
  <c r="AT659" i="18"/>
  <c r="AS659" i="18"/>
  <c r="AR659" i="18"/>
  <c r="AQ659" i="18"/>
  <c r="AP659" i="18"/>
  <c r="AO659" i="18"/>
  <c r="AN659" i="18"/>
  <c r="AM659" i="18"/>
  <c r="AL659" i="18"/>
  <c r="AK659" i="18"/>
  <c r="AJ659" i="18"/>
  <c r="AI659" i="18"/>
  <c r="AH659" i="18"/>
  <c r="AG659" i="18"/>
  <c r="AF659" i="18"/>
  <c r="AE659" i="18"/>
  <c r="AD659" i="18"/>
  <c r="AC659" i="18"/>
  <c r="AB659" i="18"/>
  <c r="AA659" i="18"/>
  <c r="Z659" i="18"/>
  <c r="Y659" i="18"/>
  <c r="X659" i="18"/>
  <c r="W659" i="18"/>
  <c r="V659" i="18"/>
  <c r="U659" i="18"/>
  <c r="T659" i="18"/>
  <c r="S659" i="18"/>
  <c r="R659" i="18"/>
  <c r="Q659" i="18"/>
  <c r="P659" i="18"/>
  <c r="O659" i="18"/>
  <c r="N659" i="18"/>
  <c r="M659" i="18"/>
  <c r="L659" i="18"/>
  <c r="K659" i="18"/>
  <c r="J659" i="18"/>
  <c r="I659" i="18"/>
  <c r="H659" i="18"/>
  <c r="G659" i="18"/>
  <c r="F659" i="18"/>
  <c r="E659" i="18"/>
  <c r="D659" i="18"/>
  <c r="C659" i="18"/>
  <c r="B659" i="18"/>
  <c r="A659" i="18"/>
  <c r="CX659" i="18"/>
  <c r="CW659" i="18"/>
  <c r="CV659" i="18"/>
  <c r="CU659" i="18"/>
  <c r="CT659" i="18"/>
  <c r="CS659" i="18"/>
  <c r="CR659" i="18"/>
  <c r="CQ659" i="18"/>
  <c r="CP659" i="18"/>
  <c r="CO659" i="18"/>
  <c r="CN659" i="18"/>
  <c r="CM659" i="18"/>
  <c r="CL659" i="18"/>
  <c r="CK659" i="18"/>
  <c r="CJ659" i="18"/>
  <c r="CI659" i="18"/>
  <c r="CH659" i="18"/>
  <c r="CG659" i="18"/>
  <c r="CF659" i="18"/>
  <c r="CE659" i="18"/>
  <c r="CD659" i="18"/>
  <c r="CC659" i="18"/>
  <c r="CB659" i="18"/>
  <c r="CA659" i="18"/>
  <c r="BZ659" i="18"/>
  <c r="BY659" i="18"/>
  <c r="BX659" i="18"/>
  <c r="CX658" i="18"/>
  <c r="CW658" i="18"/>
  <c r="CV658" i="18"/>
  <c r="CU658" i="18"/>
  <c r="CT658" i="18"/>
  <c r="CS658" i="18"/>
  <c r="CR658" i="18"/>
  <c r="CQ658" i="18"/>
  <c r="CP658" i="18"/>
  <c r="CO658" i="18"/>
  <c r="CN658" i="18"/>
  <c r="CM658" i="18"/>
  <c r="CL658" i="18"/>
  <c r="CK658" i="18"/>
  <c r="CJ658" i="18"/>
  <c r="CI658" i="18"/>
  <c r="CH658" i="18"/>
  <c r="CG658" i="18"/>
  <c r="CF658" i="18"/>
  <c r="CE658" i="18"/>
  <c r="CD658" i="18"/>
  <c r="CC658" i="18"/>
  <c r="CB658" i="18"/>
  <c r="CA658" i="18"/>
  <c r="BZ658" i="18"/>
  <c r="BY658" i="18"/>
  <c r="BV659" i="18"/>
  <c r="BU659" i="18"/>
  <c r="BT659" i="18"/>
  <c r="AQ658" i="18"/>
  <c r="AP658" i="18"/>
  <c r="AO658" i="18"/>
  <c r="AN658" i="18"/>
  <c r="AM658" i="18"/>
  <c r="AL658" i="18"/>
  <c r="AK658" i="18"/>
  <c r="AJ658" i="18"/>
  <c r="AI658" i="18"/>
  <c r="AH658" i="18"/>
  <c r="AG658" i="18"/>
  <c r="AF658" i="18"/>
  <c r="AE658" i="18"/>
  <c r="AD658" i="18"/>
  <c r="AC658" i="18"/>
  <c r="AB658" i="18"/>
  <c r="AA658" i="18"/>
  <c r="Z658" i="18"/>
  <c r="Y658" i="18"/>
  <c r="X658" i="18"/>
  <c r="W658" i="18"/>
  <c r="V658" i="18"/>
  <c r="U658" i="18"/>
  <c r="T658" i="18"/>
  <c r="S658" i="18"/>
  <c r="R658" i="18"/>
  <c r="Q658" i="18"/>
  <c r="P658" i="18"/>
  <c r="O658" i="18"/>
  <c r="N658" i="18"/>
  <c r="M658" i="18"/>
  <c r="L658" i="18"/>
  <c r="K658" i="18"/>
  <c r="J658" i="18"/>
  <c r="I658" i="18"/>
  <c r="H658" i="18"/>
  <c r="G658" i="18"/>
  <c r="F658" i="18"/>
  <c r="E658" i="18"/>
  <c r="D658" i="18"/>
  <c r="C658" i="18"/>
  <c r="B658" i="18"/>
  <c r="A658" i="18"/>
  <c r="CH656" i="18"/>
  <c r="CG656" i="18"/>
  <c r="CF656" i="18"/>
  <c r="CE656" i="18"/>
  <c r="CD656" i="18"/>
  <c r="CC656" i="18"/>
  <c r="CB656" i="18"/>
  <c r="CA656" i="18"/>
  <c r="BZ656" i="18"/>
  <c r="BY656" i="18"/>
  <c r="AQ656" i="18"/>
  <c r="AP656" i="18"/>
  <c r="AO656" i="18"/>
  <c r="AN656" i="18"/>
  <c r="AM656" i="18"/>
  <c r="AL656" i="18"/>
  <c r="AK656" i="18"/>
  <c r="AJ656" i="18"/>
  <c r="AI656" i="18"/>
  <c r="AH656" i="18"/>
  <c r="AG656" i="18"/>
  <c r="AF656" i="18"/>
  <c r="AE656" i="18"/>
  <c r="AD656" i="18"/>
  <c r="AC656" i="18"/>
  <c r="AB656" i="18"/>
  <c r="AA656" i="18"/>
  <c r="Z656" i="18"/>
  <c r="Y656" i="18"/>
  <c r="X656" i="18"/>
  <c r="W656" i="18"/>
  <c r="V656" i="18"/>
  <c r="U656" i="18"/>
  <c r="T656" i="18"/>
  <c r="S656" i="18"/>
  <c r="R656" i="18"/>
  <c r="Q656" i="18"/>
  <c r="P656" i="18"/>
  <c r="O656" i="18"/>
  <c r="N656" i="18"/>
  <c r="M656" i="18"/>
  <c r="L656" i="18"/>
  <c r="K656" i="18"/>
  <c r="J656" i="18"/>
  <c r="I656" i="18"/>
  <c r="H656" i="18"/>
  <c r="G656" i="18"/>
  <c r="F656" i="18"/>
  <c r="E656" i="18"/>
  <c r="D656" i="18"/>
  <c r="C656" i="18"/>
  <c r="B656" i="18"/>
  <c r="A656" i="18"/>
  <c r="CH655" i="18"/>
  <c r="CG655" i="18"/>
  <c r="CF655" i="18"/>
  <c r="CE655" i="18"/>
  <c r="CD655" i="18"/>
  <c r="CC655" i="18"/>
  <c r="CB655" i="18"/>
  <c r="CA655" i="18"/>
  <c r="BZ655" i="18"/>
  <c r="BY655" i="18"/>
  <c r="BT655" i="18"/>
  <c r="BS655" i="18"/>
  <c r="BR655" i="18"/>
  <c r="BQ655" i="18"/>
  <c r="BP655" i="18"/>
  <c r="BO655" i="18"/>
  <c r="BN655" i="18"/>
  <c r="BM655" i="18"/>
  <c r="BL655" i="18"/>
  <c r="BK655" i="18"/>
  <c r="BJ655" i="18"/>
  <c r="BI655" i="18"/>
  <c r="BH655" i="18"/>
  <c r="BG655" i="18"/>
  <c r="BF655" i="18"/>
  <c r="BE655" i="18"/>
  <c r="BD655" i="18"/>
  <c r="BC655" i="18"/>
  <c r="BB655" i="18"/>
  <c r="BA655" i="18"/>
  <c r="AZ655" i="18"/>
  <c r="AY655" i="18"/>
  <c r="AX655" i="18"/>
  <c r="AW655" i="18"/>
  <c r="AV655" i="18"/>
  <c r="AU655" i="18"/>
  <c r="AT655" i="18"/>
  <c r="AS655" i="18"/>
  <c r="AR655" i="18"/>
  <c r="AQ655" i="18"/>
  <c r="AP655" i="18"/>
  <c r="AO655" i="18"/>
  <c r="AN655" i="18"/>
  <c r="AM655" i="18"/>
  <c r="AL655" i="18"/>
  <c r="AK655" i="18"/>
  <c r="AJ655" i="18"/>
  <c r="AI655" i="18"/>
  <c r="AH655" i="18"/>
  <c r="AG655" i="18"/>
  <c r="AF655" i="18"/>
  <c r="AE655" i="18"/>
  <c r="AD655" i="18"/>
  <c r="AC655" i="18"/>
  <c r="AB655" i="18"/>
  <c r="AA655" i="18"/>
  <c r="Z655" i="18"/>
  <c r="Y655" i="18"/>
  <c r="X655" i="18"/>
  <c r="W655" i="18"/>
  <c r="V655" i="18"/>
  <c r="U655" i="18"/>
  <c r="T655" i="18"/>
  <c r="S655" i="18"/>
  <c r="R655" i="18"/>
  <c r="Q655" i="18"/>
  <c r="P655" i="18"/>
  <c r="O655" i="18"/>
  <c r="N655" i="18"/>
  <c r="M655" i="18"/>
  <c r="L655" i="18"/>
  <c r="K655" i="18"/>
  <c r="J655" i="18"/>
  <c r="I655" i="18"/>
  <c r="H655" i="18"/>
  <c r="G655" i="18"/>
  <c r="F655" i="18"/>
  <c r="E655" i="18"/>
  <c r="D655" i="18"/>
  <c r="C655" i="18"/>
  <c r="B655" i="18"/>
  <c r="A655" i="18"/>
  <c r="CD654" i="18"/>
  <c r="CC654" i="18"/>
  <c r="CB654" i="18"/>
  <c r="CA654" i="18"/>
  <c r="BZ654" i="18"/>
  <c r="BY654" i="18"/>
  <c r="X654" i="18"/>
  <c r="W654" i="18"/>
  <c r="V654" i="18"/>
  <c r="U654" i="18"/>
  <c r="T654" i="18"/>
  <c r="S654" i="18"/>
  <c r="R654" i="18"/>
  <c r="Q654" i="18"/>
  <c r="P654" i="18"/>
  <c r="O654" i="18"/>
  <c r="N654" i="18"/>
  <c r="M654" i="18"/>
  <c r="L654" i="18"/>
  <c r="K654" i="18"/>
  <c r="J654" i="18"/>
  <c r="I654" i="18"/>
  <c r="H654" i="18"/>
  <c r="G654" i="18"/>
  <c r="F654" i="18"/>
  <c r="E654" i="18"/>
  <c r="D654" i="18"/>
  <c r="C654" i="18"/>
  <c r="B654" i="18"/>
  <c r="A654" i="18"/>
  <c r="CD653" i="18"/>
  <c r="CC653" i="18"/>
  <c r="CB653" i="18"/>
  <c r="CA653" i="18"/>
  <c r="BZ653" i="18"/>
  <c r="BY653" i="18"/>
  <c r="AB653" i="18"/>
  <c r="AA653" i="18"/>
  <c r="Z653" i="18"/>
  <c r="Y653" i="18"/>
  <c r="X653" i="18"/>
  <c r="W653" i="18"/>
  <c r="V653" i="18"/>
  <c r="U653" i="18"/>
  <c r="T653" i="18"/>
  <c r="S653" i="18"/>
  <c r="R653" i="18"/>
  <c r="Q653" i="18"/>
  <c r="P653" i="18"/>
  <c r="O653" i="18"/>
  <c r="N653" i="18"/>
  <c r="M653" i="18"/>
  <c r="L653" i="18"/>
  <c r="K653" i="18"/>
  <c r="J653" i="18"/>
  <c r="I653" i="18"/>
  <c r="H653" i="18"/>
  <c r="G653" i="18"/>
  <c r="F653" i="18"/>
  <c r="E653" i="18"/>
  <c r="D653" i="18"/>
  <c r="C653" i="18"/>
  <c r="B653" i="18"/>
  <c r="A653" i="18"/>
  <c r="CX652" i="18"/>
  <c r="CW652" i="18"/>
  <c r="CV652" i="18"/>
  <c r="CU652" i="18"/>
  <c r="CT652" i="18"/>
  <c r="CS652" i="18"/>
  <c r="CR652" i="18"/>
  <c r="CQ652" i="18"/>
  <c r="CP652" i="18"/>
  <c r="CO652" i="18"/>
  <c r="CN652" i="18"/>
  <c r="CM652" i="18"/>
  <c r="CL652" i="18"/>
  <c r="CK652" i="18"/>
  <c r="CJ652" i="18"/>
  <c r="CI652" i="18"/>
  <c r="CH652" i="18"/>
  <c r="CG652" i="18"/>
  <c r="CF652" i="18"/>
  <c r="CE652" i="18"/>
  <c r="CD652" i="18"/>
  <c r="CC652" i="18"/>
  <c r="CB652" i="18"/>
  <c r="CA652" i="18"/>
  <c r="BZ652" i="18"/>
  <c r="BY652" i="18"/>
  <c r="BX652" i="18"/>
  <c r="BW652" i="18"/>
  <c r="BV652" i="18"/>
  <c r="BU652" i="18"/>
  <c r="BT652" i="18"/>
  <c r="BS652" i="18"/>
  <c r="BR652" i="18"/>
  <c r="BQ652" i="18"/>
  <c r="BP652" i="18"/>
  <c r="BO652" i="18"/>
  <c r="BN652" i="18"/>
  <c r="BM652" i="18"/>
  <c r="BL652" i="18"/>
  <c r="BK652" i="18"/>
  <c r="BJ652" i="18"/>
  <c r="BI652" i="18"/>
  <c r="BH652" i="18"/>
  <c r="BG652" i="18"/>
  <c r="BF652" i="18"/>
  <c r="BE652" i="18"/>
  <c r="BD652" i="18"/>
  <c r="BC652" i="18"/>
  <c r="BB652" i="18"/>
  <c r="BA652" i="18"/>
  <c r="AZ652" i="18"/>
  <c r="AY652" i="18"/>
  <c r="AX652" i="18"/>
  <c r="AW652" i="18"/>
  <c r="AV652" i="18"/>
  <c r="AU652" i="18"/>
  <c r="AT652" i="18"/>
  <c r="AS652" i="18"/>
  <c r="AR652" i="18"/>
  <c r="AQ652" i="18"/>
  <c r="AP652" i="18"/>
  <c r="AO652" i="18"/>
  <c r="AN652" i="18"/>
  <c r="AM652" i="18"/>
  <c r="AL652" i="18"/>
  <c r="AK652" i="18"/>
  <c r="AJ652" i="18"/>
  <c r="AI652" i="18"/>
  <c r="AH652" i="18"/>
  <c r="AG652" i="18"/>
  <c r="AF652" i="18"/>
  <c r="AE652" i="18"/>
  <c r="AD652" i="18"/>
  <c r="AC652" i="18"/>
  <c r="AB652" i="18"/>
  <c r="AA652" i="18"/>
  <c r="Z652" i="18"/>
  <c r="Y652" i="18"/>
  <c r="X652" i="18"/>
  <c r="W652" i="18"/>
  <c r="V652" i="18"/>
  <c r="U652" i="18"/>
  <c r="T652" i="18"/>
  <c r="S652" i="18"/>
  <c r="R652" i="18"/>
  <c r="Q652" i="18"/>
  <c r="P652" i="18"/>
  <c r="O652" i="18"/>
  <c r="N652" i="18"/>
  <c r="M652" i="18"/>
  <c r="L652" i="18"/>
  <c r="K652" i="18"/>
  <c r="J652" i="18"/>
  <c r="I652" i="18"/>
  <c r="H652" i="18"/>
  <c r="G652" i="18"/>
  <c r="F652" i="18"/>
  <c r="E652" i="18"/>
  <c r="D652" i="18"/>
  <c r="C652" i="18"/>
  <c r="B652" i="18"/>
  <c r="A652" i="18"/>
  <c r="CX650" i="18"/>
  <c r="CW650" i="18"/>
  <c r="CV650" i="18"/>
  <c r="CU650" i="18"/>
  <c r="CT650" i="18"/>
  <c r="CS650" i="18"/>
  <c r="CR650" i="18"/>
  <c r="CQ650" i="18"/>
  <c r="CP650" i="18"/>
  <c r="CO650" i="18"/>
  <c r="CN650" i="18"/>
  <c r="CM650" i="18"/>
  <c r="CL650" i="18"/>
  <c r="CK650" i="18"/>
  <c r="CJ650" i="18"/>
  <c r="CI650" i="18"/>
  <c r="CH650" i="18"/>
  <c r="CG650" i="18"/>
  <c r="CF650" i="18"/>
  <c r="CE650" i="18"/>
  <c r="CD650" i="18"/>
  <c r="CC650" i="18"/>
  <c r="CB650" i="18"/>
  <c r="CA650" i="18"/>
  <c r="BZ650" i="18"/>
  <c r="BY650" i="18"/>
  <c r="BX650" i="18"/>
  <c r="BW650" i="18"/>
  <c r="BV650" i="18"/>
  <c r="BU650" i="18"/>
  <c r="BT650" i="18"/>
  <c r="BS650" i="18"/>
  <c r="BR650" i="18"/>
  <c r="BQ650" i="18"/>
  <c r="BP650" i="18"/>
  <c r="BO650" i="18"/>
  <c r="BN650" i="18"/>
  <c r="BM650" i="18"/>
  <c r="BL650" i="18"/>
  <c r="BK650" i="18"/>
  <c r="BJ650" i="18"/>
  <c r="BI650" i="18"/>
  <c r="BH650" i="18"/>
  <c r="BG650" i="18"/>
  <c r="BF650" i="18"/>
  <c r="BE650" i="18"/>
  <c r="BD650" i="18"/>
  <c r="BC650" i="18"/>
  <c r="BB650" i="18"/>
  <c r="BA650" i="18"/>
  <c r="AZ650" i="18"/>
  <c r="AY650" i="18"/>
  <c r="AX650" i="18"/>
  <c r="AW650" i="18"/>
  <c r="AV650" i="18"/>
  <c r="AU650" i="18"/>
  <c r="AT650" i="18"/>
  <c r="AS650" i="18"/>
  <c r="AR650" i="18"/>
  <c r="AQ650" i="18"/>
  <c r="AP650" i="18"/>
  <c r="AO650" i="18"/>
  <c r="AN650" i="18"/>
  <c r="AM650" i="18"/>
  <c r="AL650" i="18"/>
  <c r="AK650" i="18"/>
  <c r="AJ650" i="18"/>
  <c r="AI650" i="18"/>
  <c r="AH650" i="18"/>
  <c r="AG650" i="18"/>
  <c r="AF650" i="18"/>
  <c r="AE650" i="18"/>
  <c r="AD650" i="18"/>
  <c r="AC650" i="18"/>
  <c r="AB650" i="18"/>
  <c r="AA650" i="18"/>
  <c r="Z650" i="18"/>
  <c r="Y650" i="18"/>
  <c r="X650" i="18"/>
  <c r="W650" i="18"/>
  <c r="V650" i="18"/>
  <c r="U650" i="18"/>
  <c r="T650" i="18"/>
  <c r="S650" i="18"/>
  <c r="R650" i="18"/>
  <c r="Q650" i="18"/>
  <c r="P650" i="18"/>
  <c r="O650" i="18"/>
  <c r="N650" i="18"/>
  <c r="M650" i="18"/>
  <c r="L650" i="18"/>
  <c r="K650" i="18"/>
  <c r="J650" i="18"/>
  <c r="I650" i="18"/>
  <c r="H650" i="18"/>
  <c r="G650" i="18"/>
  <c r="F650" i="18"/>
  <c r="E650" i="18"/>
  <c r="D650" i="18"/>
  <c r="C650" i="18"/>
  <c r="B650" i="18"/>
  <c r="CX648" i="18"/>
  <c r="CW648" i="18"/>
  <c r="CV648" i="18"/>
  <c r="CU648" i="18"/>
  <c r="CT648" i="18"/>
  <c r="CS648" i="18"/>
  <c r="CR648" i="18"/>
  <c r="CQ648" i="18"/>
  <c r="CP648" i="18"/>
  <c r="CO648" i="18"/>
  <c r="CN648" i="18"/>
  <c r="CM648" i="18"/>
  <c r="CL648" i="18"/>
  <c r="CK648" i="18"/>
  <c r="CJ648" i="18"/>
  <c r="CI648" i="18"/>
  <c r="CH648" i="18"/>
  <c r="CG648" i="18"/>
  <c r="CF648" i="18"/>
  <c r="CE648" i="18"/>
  <c r="CD648" i="18"/>
  <c r="CC648" i="18"/>
  <c r="CB648" i="18"/>
  <c r="CA648" i="18"/>
  <c r="BZ648" i="18"/>
  <c r="BY648" i="18"/>
  <c r="BX648" i="18"/>
  <c r="BW648" i="18"/>
  <c r="BV648" i="18"/>
  <c r="BU648" i="18"/>
  <c r="BT648" i="18"/>
  <c r="BS648" i="18"/>
  <c r="BR648" i="18"/>
  <c r="BQ648" i="18"/>
  <c r="BP648" i="18"/>
  <c r="BO648" i="18"/>
  <c r="BN648" i="18"/>
  <c r="BM648" i="18"/>
  <c r="BL648" i="18"/>
  <c r="BK648" i="18"/>
  <c r="BJ648" i="18"/>
  <c r="BI648" i="18"/>
  <c r="BH648" i="18"/>
  <c r="BG648" i="18"/>
  <c r="BF648" i="18"/>
  <c r="BE648" i="18"/>
  <c r="BD648" i="18"/>
  <c r="BC648" i="18"/>
  <c r="BB648" i="18"/>
  <c r="BA648" i="18"/>
  <c r="AZ648" i="18"/>
  <c r="AY648" i="18"/>
  <c r="AX648" i="18"/>
  <c r="AW648" i="18"/>
  <c r="AV648" i="18"/>
  <c r="AU648" i="18"/>
  <c r="AT648" i="18"/>
  <c r="AS648" i="18"/>
  <c r="AR648" i="18"/>
  <c r="AQ648" i="18"/>
  <c r="AP648" i="18"/>
  <c r="AO648" i="18"/>
  <c r="AN648" i="18"/>
  <c r="AM648" i="18"/>
  <c r="AL648" i="18"/>
  <c r="AK648" i="18"/>
  <c r="AJ648" i="18"/>
  <c r="AI648" i="18"/>
  <c r="AH648" i="18"/>
  <c r="AG648" i="18"/>
  <c r="AF648" i="18"/>
  <c r="AE648" i="18"/>
  <c r="AD648" i="18"/>
  <c r="AC648" i="18"/>
  <c r="AB648" i="18"/>
  <c r="AA648" i="18"/>
  <c r="Z648" i="18"/>
  <c r="Y648" i="18"/>
  <c r="X648" i="18"/>
  <c r="W648" i="18"/>
  <c r="V648" i="18"/>
  <c r="U648" i="18"/>
  <c r="T648" i="18"/>
  <c r="S648" i="18"/>
  <c r="R648" i="18"/>
  <c r="Q648" i="18"/>
  <c r="P648" i="18"/>
  <c r="O648" i="18"/>
  <c r="N648" i="18"/>
  <c r="M648" i="18"/>
  <c r="L648" i="18"/>
  <c r="K648" i="18"/>
  <c r="J648" i="18"/>
  <c r="I648" i="18"/>
  <c r="H648" i="18"/>
  <c r="G648" i="18"/>
  <c r="F648" i="18"/>
  <c r="E648" i="18"/>
  <c r="D648" i="18"/>
  <c r="C648" i="18"/>
  <c r="B648" i="18"/>
  <c r="A648" i="18"/>
  <c r="CH647" i="18"/>
  <c r="CG647" i="18"/>
  <c r="CF647" i="18"/>
  <c r="CE647" i="18"/>
  <c r="CD647" i="18"/>
  <c r="CC647" i="18"/>
  <c r="CB647" i="18"/>
  <c r="CA647" i="18"/>
  <c r="BZ647" i="18"/>
  <c r="BY647" i="18"/>
  <c r="AQ647" i="18"/>
  <c r="AP647" i="18"/>
  <c r="AO647" i="18"/>
  <c r="AN647" i="18"/>
  <c r="AM647" i="18"/>
  <c r="AL647" i="18"/>
  <c r="AK647" i="18"/>
  <c r="AJ647" i="18"/>
  <c r="AI647" i="18"/>
  <c r="AH647" i="18"/>
  <c r="AG647" i="18"/>
  <c r="AF647" i="18"/>
  <c r="AE647" i="18"/>
  <c r="AD647" i="18"/>
  <c r="AC647" i="18"/>
  <c r="AB647" i="18"/>
  <c r="AA647" i="18"/>
  <c r="Z647" i="18"/>
  <c r="Y647" i="18"/>
  <c r="X647" i="18"/>
  <c r="W647" i="18"/>
  <c r="V647" i="18"/>
  <c r="U647" i="18"/>
  <c r="T647" i="18"/>
  <c r="S647" i="18"/>
  <c r="R647" i="18"/>
  <c r="Q647" i="18"/>
  <c r="P647" i="18"/>
  <c r="O647" i="18"/>
  <c r="N647" i="18"/>
  <c r="M647" i="18"/>
  <c r="L647" i="18"/>
  <c r="K647" i="18"/>
  <c r="J647" i="18"/>
  <c r="I647" i="18"/>
  <c r="H647" i="18"/>
  <c r="G647" i="18"/>
  <c r="F647" i="18"/>
  <c r="E647" i="18"/>
  <c r="D647" i="18"/>
  <c r="C647" i="18"/>
  <c r="B647" i="18"/>
  <c r="A647" i="18"/>
  <c r="CX646" i="18"/>
  <c r="CW646" i="18"/>
  <c r="CV646" i="18"/>
  <c r="CU646" i="18"/>
  <c r="CT646" i="18"/>
  <c r="CS646" i="18"/>
  <c r="CR646" i="18"/>
  <c r="CQ646" i="18"/>
  <c r="CP646" i="18"/>
  <c r="CO646" i="18"/>
  <c r="CN646" i="18"/>
  <c r="CM646" i="18"/>
  <c r="CL646" i="18"/>
  <c r="CK646" i="18"/>
  <c r="CJ646" i="18"/>
  <c r="CI646" i="18"/>
  <c r="CH646" i="18"/>
  <c r="CG646" i="18"/>
  <c r="CF646" i="18"/>
  <c r="CE646" i="18"/>
  <c r="CD646" i="18"/>
  <c r="CC646" i="18"/>
  <c r="CB646" i="18"/>
  <c r="CA646" i="18"/>
  <c r="BZ646" i="18"/>
  <c r="BY646" i="18"/>
  <c r="AQ646" i="18"/>
  <c r="AP646" i="18"/>
  <c r="AO646" i="18"/>
  <c r="AN646" i="18"/>
  <c r="AM646" i="18"/>
  <c r="AL646" i="18"/>
  <c r="AK646" i="18"/>
  <c r="AJ646" i="18"/>
  <c r="AI646" i="18"/>
  <c r="AH646" i="18"/>
  <c r="AG646" i="18"/>
  <c r="AF646" i="18"/>
  <c r="AE646" i="18"/>
  <c r="AD646" i="18"/>
  <c r="AC646" i="18"/>
  <c r="AB646" i="18"/>
  <c r="AA646" i="18"/>
  <c r="Z646" i="18"/>
  <c r="Y646" i="18"/>
  <c r="X646" i="18"/>
  <c r="W646" i="18"/>
  <c r="V646" i="18"/>
  <c r="U646" i="18"/>
  <c r="T646" i="18"/>
  <c r="S646" i="18"/>
  <c r="R646" i="18"/>
  <c r="Q646" i="18"/>
  <c r="P646" i="18"/>
  <c r="O646" i="18"/>
  <c r="N646" i="18"/>
  <c r="M646" i="18"/>
  <c r="L646" i="18"/>
  <c r="K646" i="18"/>
  <c r="J646" i="18"/>
  <c r="I646" i="18"/>
  <c r="H646" i="18"/>
  <c r="G646" i="18"/>
  <c r="F646" i="18"/>
  <c r="E646" i="18"/>
  <c r="D646" i="18"/>
  <c r="C646" i="18"/>
  <c r="B646" i="18"/>
  <c r="A646" i="18"/>
  <c r="CH645" i="18"/>
  <c r="CG645" i="18"/>
  <c r="CF645" i="18"/>
  <c r="CE645" i="18"/>
  <c r="CD645" i="18"/>
  <c r="CC645" i="18"/>
  <c r="CB645" i="18"/>
  <c r="CA645" i="18"/>
  <c r="BZ645" i="18"/>
  <c r="BY645" i="18"/>
  <c r="AQ645" i="18"/>
  <c r="AP645" i="18"/>
  <c r="AO645" i="18"/>
  <c r="AN645" i="18"/>
  <c r="AM645" i="18"/>
  <c r="AL645" i="18"/>
  <c r="AK645" i="18"/>
  <c r="AJ645" i="18"/>
  <c r="AI645" i="18"/>
  <c r="AH645" i="18"/>
  <c r="AG645" i="18"/>
  <c r="AF645" i="18"/>
  <c r="AE645" i="18"/>
  <c r="AD645" i="18"/>
  <c r="AC645" i="18"/>
  <c r="AB645" i="18"/>
  <c r="AA645" i="18"/>
  <c r="Z645" i="18"/>
  <c r="Y645" i="18"/>
  <c r="X645" i="18"/>
  <c r="W645" i="18"/>
  <c r="V645" i="18"/>
  <c r="U645" i="18"/>
  <c r="T645" i="18"/>
  <c r="S645" i="18"/>
  <c r="R645" i="18"/>
  <c r="Q645" i="18"/>
  <c r="P645" i="18"/>
  <c r="O645" i="18"/>
  <c r="N645" i="18"/>
  <c r="M645" i="18"/>
  <c r="L645" i="18"/>
  <c r="K645" i="18"/>
  <c r="J645" i="18"/>
  <c r="I645" i="18"/>
  <c r="H645" i="18"/>
  <c r="G645" i="18"/>
  <c r="F645" i="18"/>
  <c r="E645" i="18"/>
  <c r="D645" i="18"/>
  <c r="C645" i="18"/>
  <c r="B645" i="18"/>
  <c r="A645" i="18"/>
  <c r="CH644" i="18"/>
  <c r="CG644" i="18"/>
  <c r="CF644" i="18"/>
  <c r="CE644" i="18"/>
  <c r="CD644" i="18"/>
  <c r="CC644" i="18"/>
  <c r="CB644" i="18"/>
  <c r="CA644" i="18"/>
  <c r="BZ644" i="18"/>
  <c r="BY644" i="18"/>
  <c r="AQ644" i="18"/>
  <c r="AP644" i="18"/>
  <c r="AO644" i="18"/>
  <c r="AN644" i="18"/>
  <c r="AM644" i="18"/>
  <c r="AL644" i="18"/>
  <c r="AK644" i="18"/>
  <c r="AJ644" i="18"/>
  <c r="AI644" i="18"/>
  <c r="AH644" i="18"/>
  <c r="AG644" i="18"/>
  <c r="AF644" i="18"/>
  <c r="AE644" i="18"/>
  <c r="AD644" i="18"/>
  <c r="AC644" i="18"/>
  <c r="AB644" i="18"/>
  <c r="AA644" i="18"/>
  <c r="Z644" i="18"/>
  <c r="Y644" i="18"/>
  <c r="X644" i="18"/>
  <c r="W644" i="18"/>
  <c r="V644" i="18"/>
  <c r="U644" i="18"/>
  <c r="T644" i="18"/>
  <c r="S644" i="18"/>
  <c r="R644" i="18"/>
  <c r="Q644" i="18"/>
  <c r="P644" i="18"/>
  <c r="O644" i="18"/>
  <c r="N644" i="18"/>
  <c r="M644" i="18"/>
  <c r="L644" i="18"/>
  <c r="K644" i="18"/>
  <c r="J644" i="18"/>
  <c r="I644" i="18"/>
  <c r="H644" i="18"/>
  <c r="G644" i="18"/>
  <c r="F644" i="18"/>
  <c r="E644" i="18"/>
  <c r="D644" i="18"/>
  <c r="C644" i="18"/>
  <c r="B644" i="18"/>
  <c r="A644" i="18"/>
  <c r="CH643" i="18"/>
  <c r="CG643" i="18"/>
  <c r="CF643" i="18"/>
  <c r="CE643" i="18"/>
  <c r="CD643" i="18"/>
  <c r="CC643" i="18"/>
  <c r="CB643" i="18"/>
  <c r="CA643" i="18"/>
  <c r="BZ643" i="18"/>
  <c r="BY643" i="18"/>
  <c r="BT643" i="18"/>
  <c r="BS643" i="18"/>
  <c r="BR643" i="18"/>
  <c r="BQ643" i="18"/>
  <c r="BP643" i="18"/>
  <c r="BO643" i="18"/>
  <c r="BN643" i="18"/>
  <c r="BM643" i="18"/>
  <c r="BL643" i="18"/>
  <c r="BK643" i="18"/>
  <c r="BJ643" i="18"/>
  <c r="BI643" i="18"/>
  <c r="BH643" i="18"/>
  <c r="BG643" i="18"/>
  <c r="BF643" i="18"/>
  <c r="BE643" i="18"/>
  <c r="BD643" i="18"/>
  <c r="BC643" i="18"/>
  <c r="BB643" i="18"/>
  <c r="BA643" i="18"/>
  <c r="AZ643" i="18"/>
  <c r="AY643" i="18"/>
  <c r="AX643" i="18"/>
  <c r="AW643" i="18"/>
  <c r="AV643" i="18"/>
  <c r="AU643" i="18"/>
  <c r="AT643" i="18"/>
  <c r="AS643" i="18"/>
  <c r="AR643" i="18"/>
  <c r="AQ643" i="18"/>
  <c r="AP643" i="18"/>
  <c r="AO643" i="18"/>
  <c r="AN643" i="18"/>
  <c r="AM643" i="18"/>
  <c r="AL643" i="18"/>
  <c r="AK643" i="18"/>
  <c r="AJ643" i="18"/>
  <c r="AI643" i="18"/>
  <c r="AH643" i="18"/>
  <c r="AG643" i="18"/>
  <c r="AF643" i="18"/>
  <c r="AE643" i="18"/>
  <c r="AD643" i="18"/>
  <c r="AC643" i="18"/>
  <c r="AB643" i="18"/>
  <c r="AA643" i="18"/>
  <c r="Z643" i="18"/>
  <c r="Y643" i="18"/>
  <c r="X643" i="18"/>
  <c r="W643" i="18"/>
  <c r="V643" i="18"/>
  <c r="U643" i="18"/>
  <c r="T643" i="18"/>
  <c r="S643" i="18"/>
  <c r="R643" i="18"/>
  <c r="Q643" i="18"/>
  <c r="P643" i="18"/>
  <c r="O643" i="18"/>
  <c r="N643" i="18"/>
  <c r="M643" i="18"/>
  <c r="L643" i="18"/>
  <c r="K643" i="18"/>
  <c r="J643" i="18"/>
  <c r="I643" i="18"/>
  <c r="H643" i="18"/>
  <c r="G643" i="18"/>
  <c r="F643" i="18"/>
  <c r="E643" i="18"/>
  <c r="D643" i="18"/>
  <c r="C643" i="18"/>
  <c r="B643" i="18"/>
  <c r="A643" i="18"/>
  <c r="CX642" i="18"/>
  <c r="CW642" i="18"/>
  <c r="CV642" i="18"/>
  <c r="CU642" i="18"/>
  <c r="CT642" i="18"/>
  <c r="CS642" i="18"/>
  <c r="CR642" i="18"/>
  <c r="CQ642" i="18"/>
  <c r="CP642" i="18"/>
  <c r="CO642" i="18"/>
  <c r="CN642" i="18"/>
  <c r="CM642" i="18"/>
  <c r="CL642" i="18"/>
  <c r="CK642" i="18"/>
  <c r="CJ642" i="18"/>
  <c r="CI642" i="18"/>
  <c r="CH642" i="18"/>
  <c r="CG642" i="18"/>
  <c r="CF642" i="18"/>
  <c r="CE642" i="18"/>
  <c r="CD642" i="18"/>
  <c r="CC642" i="18"/>
  <c r="CB642" i="18"/>
  <c r="CA642" i="18"/>
  <c r="BZ642" i="18"/>
  <c r="BY642" i="18"/>
  <c r="BX642" i="18"/>
  <c r="BW642" i="18"/>
  <c r="BV642" i="18"/>
  <c r="BU642" i="18"/>
  <c r="BT642" i="18"/>
  <c r="BS642" i="18"/>
  <c r="BR642" i="18"/>
  <c r="BQ642" i="18"/>
  <c r="BP642" i="18"/>
  <c r="BO642" i="18"/>
  <c r="BN642" i="18"/>
  <c r="BM642" i="18"/>
  <c r="BL642" i="18"/>
  <c r="BK642" i="18"/>
  <c r="BJ642" i="18"/>
  <c r="BI642" i="18"/>
  <c r="BH642" i="18"/>
  <c r="BG642" i="18"/>
  <c r="BF642" i="18"/>
  <c r="BE642" i="18"/>
  <c r="BD642" i="18"/>
  <c r="BC642" i="18"/>
  <c r="BB642" i="18"/>
  <c r="BA642" i="18"/>
  <c r="AZ642" i="18"/>
  <c r="AY642" i="18"/>
  <c r="AX642" i="18"/>
  <c r="AW642" i="18"/>
  <c r="AV642" i="18"/>
  <c r="AU642" i="18"/>
  <c r="AT642" i="18"/>
  <c r="AS642" i="18"/>
  <c r="AR642" i="18"/>
  <c r="AQ642" i="18"/>
  <c r="AP642" i="18"/>
  <c r="AO642" i="18"/>
  <c r="AN642" i="18"/>
  <c r="AM642" i="18"/>
  <c r="AL642" i="18"/>
  <c r="AK642" i="18"/>
  <c r="AJ642" i="18"/>
  <c r="AI642" i="18"/>
  <c r="AH642" i="18"/>
  <c r="AG642" i="18"/>
  <c r="AF642" i="18"/>
  <c r="AE642" i="18"/>
  <c r="AD642" i="18"/>
  <c r="AC642" i="18"/>
  <c r="AB642" i="18"/>
  <c r="AA642" i="18"/>
  <c r="Z642" i="18"/>
  <c r="Y642" i="18"/>
  <c r="X642" i="18"/>
  <c r="W642" i="18"/>
  <c r="V642" i="18"/>
  <c r="U642" i="18"/>
  <c r="T642" i="18"/>
  <c r="S642" i="18"/>
  <c r="R642" i="18"/>
  <c r="Q642" i="18"/>
  <c r="P642" i="18"/>
  <c r="O642" i="18"/>
  <c r="N642" i="18"/>
  <c r="M642" i="18"/>
  <c r="L642" i="18"/>
  <c r="K642" i="18"/>
  <c r="J642" i="18"/>
  <c r="I642" i="18"/>
  <c r="H642" i="18"/>
  <c r="G642" i="18"/>
  <c r="F642" i="18"/>
  <c r="E642" i="18"/>
  <c r="D642" i="18"/>
  <c r="C642" i="18"/>
  <c r="B642" i="18"/>
  <c r="A642" i="18"/>
  <c r="CX641" i="18"/>
  <c r="CW641" i="18"/>
  <c r="CV641" i="18"/>
  <c r="CU641" i="18"/>
  <c r="CT641" i="18"/>
  <c r="CS641" i="18"/>
  <c r="CR641" i="18"/>
  <c r="CQ641" i="18"/>
  <c r="CP641" i="18"/>
  <c r="CO641" i="18"/>
  <c r="CN641" i="18"/>
  <c r="CM641" i="18"/>
  <c r="CL641" i="18"/>
  <c r="CK641" i="18"/>
  <c r="CJ641" i="18"/>
  <c r="CI641" i="18"/>
  <c r="CH641" i="18"/>
  <c r="CG641" i="18"/>
  <c r="CF641" i="18"/>
  <c r="CE641" i="18"/>
  <c r="CD641" i="18"/>
  <c r="CC641" i="18"/>
  <c r="CB641" i="18"/>
  <c r="CA641" i="18"/>
  <c r="BZ641" i="18"/>
  <c r="BY641" i="18"/>
  <c r="AQ641" i="18"/>
  <c r="AP641" i="18"/>
  <c r="AO641" i="18"/>
  <c r="AN641" i="18"/>
  <c r="AM641" i="18"/>
  <c r="AL641" i="18"/>
  <c r="AK641" i="18"/>
  <c r="AJ641" i="18"/>
  <c r="AI641" i="18"/>
  <c r="AH641" i="18"/>
  <c r="AG641" i="18"/>
  <c r="AF641" i="18"/>
  <c r="AE641" i="18"/>
  <c r="AD641" i="18"/>
  <c r="AC641" i="18"/>
  <c r="AB641" i="18"/>
  <c r="AA641" i="18"/>
  <c r="Z641" i="18"/>
  <c r="Y641" i="18"/>
  <c r="X641" i="18"/>
  <c r="W641" i="18"/>
  <c r="V641" i="18"/>
  <c r="U641" i="18"/>
  <c r="T641" i="18"/>
  <c r="S641" i="18"/>
  <c r="R641" i="18"/>
  <c r="Q641" i="18"/>
  <c r="P641" i="18"/>
  <c r="O641" i="18"/>
  <c r="N641" i="18"/>
  <c r="M641" i="18"/>
  <c r="L641" i="18"/>
  <c r="K641" i="18"/>
  <c r="J641" i="18"/>
  <c r="I641" i="18"/>
  <c r="H641" i="18"/>
  <c r="G641" i="18"/>
  <c r="F641" i="18"/>
  <c r="E641" i="18"/>
  <c r="D641" i="18"/>
  <c r="C641" i="18"/>
  <c r="B641" i="18"/>
  <c r="A641" i="18"/>
  <c r="CH640" i="18"/>
  <c r="CG640" i="18"/>
  <c r="CF640" i="18"/>
  <c r="CE640" i="18"/>
  <c r="CD640" i="18"/>
  <c r="CC640" i="18"/>
  <c r="CB640" i="18"/>
  <c r="CA640" i="18"/>
  <c r="BZ640" i="18"/>
  <c r="BY640" i="18"/>
  <c r="AQ640" i="18"/>
  <c r="AP640" i="18"/>
  <c r="AO640" i="18"/>
  <c r="AN640" i="18"/>
  <c r="AM640" i="18"/>
  <c r="AL640" i="18"/>
  <c r="AK640" i="18"/>
  <c r="AJ640" i="18"/>
  <c r="AI640" i="18"/>
  <c r="AH640" i="18"/>
  <c r="AG640" i="18"/>
  <c r="AF640" i="18"/>
  <c r="AE640" i="18"/>
  <c r="AD640" i="18"/>
  <c r="AC640" i="18"/>
  <c r="AB640" i="18"/>
  <c r="AA640" i="18"/>
  <c r="Z640" i="18"/>
  <c r="Y640" i="18"/>
  <c r="X640" i="18"/>
  <c r="W640" i="18"/>
  <c r="V640" i="18"/>
  <c r="U640" i="18"/>
  <c r="T640" i="18"/>
  <c r="S640" i="18"/>
  <c r="R640" i="18"/>
  <c r="Q640" i="18"/>
  <c r="P640" i="18"/>
  <c r="O640" i="18"/>
  <c r="N640" i="18"/>
  <c r="M640" i="18"/>
  <c r="L640" i="18"/>
  <c r="K640" i="18"/>
  <c r="J640" i="18"/>
  <c r="I640" i="18"/>
  <c r="H640" i="18"/>
  <c r="G640" i="18"/>
  <c r="F640" i="18"/>
  <c r="E640" i="18"/>
  <c r="D640" i="18"/>
  <c r="C640" i="18"/>
  <c r="B640" i="18"/>
  <c r="A640" i="18"/>
  <c r="CH639" i="18"/>
  <c r="CG639" i="18"/>
  <c r="CF639" i="18"/>
  <c r="CE639" i="18"/>
  <c r="CD639" i="18"/>
  <c r="CC639" i="18"/>
  <c r="CB639" i="18"/>
  <c r="CA639" i="18"/>
  <c r="BZ639" i="18"/>
  <c r="BY639" i="18"/>
  <c r="AQ639" i="18"/>
  <c r="AP639" i="18"/>
  <c r="AO639" i="18"/>
  <c r="AN639" i="18"/>
  <c r="AM639" i="18"/>
  <c r="AL639" i="18"/>
  <c r="AK639" i="18"/>
  <c r="AJ639" i="18"/>
  <c r="AI639" i="18"/>
  <c r="AH639" i="18"/>
  <c r="AG639" i="18"/>
  <c r="AF639" i="18"/>
  <c r="AE639" i="18"/>
  <c r="AD639" i="18"/>
  <c r="AC639" i="18"/>
  <c r="AB639" i="18"/>
  <c r="AA639" i="18"/>
  <c r="Z639" i="18"/>
  <c r="Y639" i="18"/>
  <c r="X639" i="18"/>
  <c r="W639" i="18"/>
  <c r="V639" i="18"/>
  <c r="U639" i="18"/>
  <c r="T639" i="18"/>
  <c r="S639" i="18"/>
  <c r="R639" i="18"/>
  <c r="Q639" i="18"/>
  <c r="P639" i="18"/>
  <c r="O639" i="18"/>
  <c r="N639" i="18"/>
  <c r="M639" i="18"/>
  <c r="L639" i="18"/>
  <c r="K639" i="18"/>
  <c r="J639" i="18"/>
  <c r="I639" i="18"/>
  <c r="H639" i="18"/>
  <c r="G639" i="18"/>
  <c r="F639" i="18"/>
  <c r="E639" i="18"/>
  <c r="D639" i="18"/>
  <c r="C639" i="18"/>
  <c r="B639" i="18"/>
  <c r="A639" i="18"/>
  <c r="CH638" i="18"/>
  <c r="CG638" i="18"/>
  <c r="CF638" i="18"/>
  <c r="CE638" i="18"/>
  <c r="CD638" i="18"/>
  <c r="CC638" i="18"/>
  <c r="CB638" i="18"/>
  <c r="CA638" i="18"/>
  <c r="BZ638" i="18"/>
  <c r="BY638" i="18"/>
  <c r="AQ638" i="18"/>
  <c r="AP638" i="18"/>
  <c r="AO638" i="18"/>
  <c r="AN638" i="18"/>
  <c r="AM638" i="18"/>
  <c r="AL638" i="18"/>
  <c r="AK638" i="18"/>
  <c r="AJ638" i="18"/>
  <c r="AI638" i="18"/>
  <c r="AH638" i="18"/>
  <c r="AG638" i="18"/>
  <c r="AF638" i="18"/>
  <c r="AE638" i="18"/>
  <c r="AD638" i="18"/>
  <c r="AC638" i="18"/>
  <c r="AB638" i="18"/>
  <c r="AA638" i="18"/>
  <c r="Z638" i="18"/>
  <c r="Y638" i="18"/>
  <c r="X638" i="18"/>
  <c r="W638" i="18"/>
  <c r="V638" i="18"/>
  <c r="U638" i="18"/>
  <c r="T638" i="18"/>
  <c r="S638" i="18"/>
  <c r="R638" i="18"/>
  <c r="Q638" i="18"/>
  <c r="P638" i="18"/>
  <c r="O638" i="18"/>
  <c r="N638" i="18"/>
  <c r="M638" i="18"/>
  <c r="L638" i="18"/>
  <c r="K638" i="18"/>
  <c r="J638" i="18"/>
  <c r="I638" i="18"/>
  <c r="H638" i="18"/>
  <c r="G638" i="18"/>
  <c r="F638" i="18"/>
  <c r="E638" i="18"/>
  <c r="D638" i="18"/>
  <c r="C638" i="18"/>
  <c r="B638" i="18"/>
  <c r="A638" i="18"/>
  <c r="CH637" i="18"/>
  <c r="CG637" i="18"/>
  <c r="CF637" i="18"/>
  <c r="CE637" i="18"/>
  <c r="CD637" i="18"/>
  <c r="CC637" i="18"/>
  <c r="CB637" i="18"/>
  <c r="CA637" i="18"/>
  <c r="BZ637" i="18"/>
  <c r="BY637" i="18"/>
  <c r="BT637" i="18"/>
  <c r="BS637" i="18"/>
  <c r="BR637" i="18"/>
  <c r="BQ637" i="18"/>
  <c r="BP637" i="18"/>
  <c r="BO637" i="18"/>
  <c r="BN637" i="18"/>
  <c r="BM637" i="18"/>
  <c r="BL637" i="18"/>
  <c r="BK637" i="18"/>
  <c r="BJ637" i="18"/>
  <c r="BI637" i="18"/>
  <c r="BH637" i="18"/>
  <c r="BG637" i="18"/>
  <c r="BF637" i="18"/>
  <c r="BE637" i="18"/>
  <c r="BD637" i="18"/>
  <c r="BC637" i="18"/>
  <c r="BB637" i="18"/>
  <c r="BA637" i="18"/>
  <c r="AZ637" i="18"/>
  <c r="AY637" i="18"/>
  <c r="AX637" i="18"/>
  <c r="AW637" i="18"/>
  <c r="AV637" i="18"/>
  <c r="AU637" i="18"/>
  <c r="AT637" i="18"/>
  <c r="AS637" i="18"/>
  <c r="AR637" i="18"/>
  <c r="AQ637" i="18"/>
  <c r="AP637" i="18"/>
  <c r="AO637" i="18"/>
  <c r="AN637" i="18"/>
  <c r="AM637" i="18"/>
  <c r="AL637" i="18"/>
  <c r="AK637" i="18"/>
  <c r="AJ637" i="18"/>
  <c r="AI637" i="18"/>
  <c r="AH637" i="18"/>
  <c r="AG637" i="18"/>
  <c r="AF637" i="18"/>
  <c r="AE637" i="18"/>
  <c r="AD637" i="18"/>
  <c r="AC637" i="18"/>
  <c r="AB637" i="18"/>
  <c r="AA637" i="18"/>
  <c r="Z637" i="18"/>
  <c r="Y637" i="18"/>
  <c r="X637" i="18"/>
  <c r="W637" i="18"/>
  <c r="V637" i="18"/>
  <c r="U637" i="18"/>
  <c r="T637" i="18"/>
  <c r="S637" i="18"/>
  <c r="R637" i="18"/>
  <c r="Q637" i="18"/>
  <c r="P637" i="18"/>
  <c r="O637" i="18"/>
  <c r="N637" i="18"/>
  <c r="M637" i="18"/>
  <c r="L637" i="18"/>
  <c r="K637" i="18"/>
  <c r="J637" i="18"/>
  <c r="I637" i="18"/>
  <c r="H637" i="18"/>
  <c r="G637" i="18"/>
  <c r="F637" i="18"/>
  <c r="E637" i="18"/>
  <c r="D637" i="18"/>
  <c r="C637" i="18"/>
  <c r="B637" i="18"/>
  <c r="A637" i="18"/>
  <c r="CX635" i="18"/>
  <c r="CW635" i="18"/>
  <c r="CV635" i="18"/>
  <c r="CU635" i="18"/>
  <c r="CT635" i="18"/>
  <c r="CS635" i="18"/>
  <c r="CR635" i="18"/>
  <c r="CQ635" i="18"/>
  <c r="CP635" i="18"/>
  <c r="CO635" i="18"/>
  <c r="CN635" i="18"/>
  <c r="CM635" i="18"/>
  <c r="CL635" i="18"/>
  <c r="CK635" i="18"/>
  <c r="CJ635" i="18"/>
  <c r="CI635" i="18"/>
  <c r="CH635" i="18"/>
  <c r="CG635" i="18"/>
  <c r="CF635" i="18"/>
  <c r="CE635" i="18"/>
  <c r="CD635" i="18"/>
  <c r="CC635" i="18"/>
  <c r="CB635" i="18"/>
  <c r="CA635" i="18"/>
  <c r="BZ635" i="18"/>
  <c r="BY635" i="18"/>
  <c r="BX635" i="18"/>
  <c r="BW635" i="18"/>
  <c r="BV635" i="18"/>
  <c r="BU635" i="18"/>
  <c r="BT635" i="18"/>
  <c r="BS635" i="18"/>
  <c r="BR635" i="18"/>
  <c r="BQ635" i="18"/>
  <c r="BP635" i="18"/>
  <c r="BO635" i="18"/>
  <c r="BN635" i="18"/>
  <c r="BM635" i="18"/>
  <c r="BL635" i="18"/>
  <c r="BK635" i="18"/>
  <c r="BJ635" i="18"/>
  <c r="BI635" i="18"/>
  <c r="BH635" i="18"/>
  <c r="BG635" i="18"/>
  <c r="BF635" i="18"/>
  <c r="BE635" i="18"/>
  <c r="BD635" i="18"/>
  <c r="BC635" i="18"/>
  <c r="BB635" i="18"/>
  <c r="BA635" i="18"/>
  <c r="AZ635" i="18"/>
  <c r="AY635" i="18"/>
  <c r="AX635" i="18"/>
  <c r="AW635" i="18"/>
  <c r="AV635" i="18"/>
  <c r="AU635" i="18"/>
  <c r="AT635" i="18"/>
  <c r="AS635" i="18"/>
  <c r="AR635" i="18"/>
  <c r="AQ635" i="18"/>
  <c r="AP635" i="18"/>
  <c r="AO635" i="18"/>
  <c r="AN635" i="18"/>
  <c r="AM635" i="18"/>
  <c r="AL635" i="18"/>
  <c r="AK635" i="18"/>
  <c r="AJ635" i="18"/>
  <c r="AI635" i="18"/>
  <c r="AH635" i="18"/>
  <c r="AG635" i="18"/>
  <c r="AF635" i="18"/>
  <c r="AE635" i="18"/>
  <c r="AD635" i="18"/>
  <c r="AC635" i="18"/>
  <c r="AB635" i="18"/>
  <c r="AA635" i="18"/>
  <c r="Z635" i="18"/>
  <c r="Y635" i="18"/>
  <c r="X635" i="18"/>
  <c r="W635" i="18"/>
  <c r="V635" i="18"/>
  <c r="U635" i="18"/>
  <c r="T635" i="18"/>
  <c r="S635" i="18"/>
  <c r="R635" i="18"/>
  <c r="Q635" i="18"/>
  <c r="P635" i="18"/>
  <c r="O635" i="18"/>
  <c r="N635" i="18"/>
  <c r="M635" i="18"/>
  <c r="L635" i="18"/>
  <c r="K635" i="18"/>
  <c r="J635" i="18"/>
  <c r="I635" i="18"/>
  <c r="H635" i="18"/>
  <c r="G635" i="18"/>
  <c r="F635" i="18"/>
  <c r="E635" i="18"/>
  <c r="D635" i="18"/>
  <c r="C635" i="18"/>
  <c r="B635" i="18"/>
  <c r="A635" i="18"/>
  <c r="BU634" i="18"/>
  <c r="BU630" i="18"/>
  <c r="BQ634" i="18"/>
  <c r="BQ630" i="18"/>
  <c r="BM634" i="18"/>
  <c r="BL634" i="18"/>
  <c r="BK634" i="18"/>
  <c r="BJ634" i="18"/>
  <c r="BI634" i="18"/>
  <c r="BH634" i="18"/>
  <c r="BG634" i="18"/>
  <c r="BF634" i="18"/>
  <c r="BE634" i="18"/>
  <c r="BD634" i="18"/>
  <c r="BC634" i="18"/>
  <c r="BB634" i="18"/>
  <c r="BA634" i="18"/>
  <c r="AZ634" i="18"/>
  <c r="AY634" i="18"/>
  <c r="AX634" i="18"/>
  <c r="AW634" i="18"/>
  <c r="AV634" i="18"/>
  <c r="AU634" i="18"/>
  <c r="AT634" i="18"/>
  <c r="AS634" i="18"/>
  <c r="AR634" i="18"/>
  <c r="AQ634" i="18"/>
  <c r="AP634" i="18"/>
  <c r="AO634" i="18"/>
  <c r="AN634" i="18"/>
  <c r="AM634" i="18"/>
  <c r="AL634" i="18"/>
  <c r="AK634" i="18"/>
  <c r="AJ634" i="18"/>
  <c r="AI634" i="18"/>
  <c r="AH634" i="18"/>
  <c r="AG634" i="18"/>
  <c r="AF634" i="18"/>
  <c r="AE634" i="18"/>
  <c r="AD634" i="18"/>
  <c r="AC634" i="18"/>
  <c r="AB634" i="18"/>
  <c r="AA634" i="18"/>
  <c r="Z634" i="18"/>
  <c r="Y634" i="18"/>
  <c r="X634" i="18"/>
  <c r="W634" i="18"/>
  <c r="V634" i="18"/>
  <c r="U634" i="18"/>
  <c r="T634" i="18"/>
  <c r="S634" i="18"/>
  <c r="R634" i="18"/>
  <c r="Q634" i="18"/>
  <c r="P634" i="18"/>
  <c r="O634" i="18"/>
  <c r="N634" i="18"/>
  <c r="M634" i="18"/>
  <c r="L634" i="18"/>
  <c r="K634" i="18"/>
  <c r="J634" i="18"/>
  <c r="I634" i="18"/>
  <c r="H634" i="18"/>
  <c r="G634" i="18"/>
  <c r="F634" i="18"/>
  <c r="E634" i="18"/>
  <c r="D634" i="18"/>
  <c r="C634" i="18"/>
  <c r="B634" i="18"/>
  <c r="A634" i="18"/>
  <c r="BV630" i="18"/>
  <c r="CX634" i="18"/>
  <c r="CW634" i="18"/>
  <c r="CV634" i="18"/>
  <c r="CU634" i="18"/>
  <c r="CT634" i="18"/>
  <c r="CS634" i="18"/>
  <c r="CR634" i="18"/>
  <c r="CQ634" i="18"/>
  <c r="CP634" i="18"/>
  <c r="CO634" i="18"/>
  <c r="CM634" i="18"/>
  <c r="CL634" i="18"/>
  <c r="CK634" i="18"/>
  <c r="CJ634" i="18"/>
  <c r="CI634" i="18"/>
  <c r="CH634" i="18"/>
  <c r="CG634" i="18"/>
  <c r="CF634" i="18"/>
  <c r="CE634" i="18"/>
  <c r="CD634" i="18"/>
  <c r="CC634" i="18"/>
  <c r="CB634" i="18"/>
  <c r="CA634" i="18"/>
  <c r="BZ634" i="18"/>
  <c r="BY634" i="18"/>
  <c r="BX634" i="18"/>
  <c r="BW634" i="18"/>
  <c r="CH633" i="18"/>
  <c r="CG633" i="18"/>
  <c r="CF633" i="18"/>
  <c r="CE633" i="18"/>
  <c r="CD633" i="18"/>
  <c r="CC633" i="18"/>
  <c r="CB633" i="18"/>
  <c r="CA633" i="18"/>
  <c r="BZ633" i="18"/>
  <c r="BY633" i="18"/>
  <c r="CH632" i="18"/>
  <c r="CG632" i="18"/>
  <c r="CF632" i="18"/>
  <c r="CE632" i="18"/>
  <c r="CD632" i="18"/>
  <c r="CC632" i="18"/>
  <c r="CB632" i="18"/>
  <c r="CA632" i="18"/>
  <c r="BZ632" i="18"/>
  <c r="BY632" i="18"/>
  <c r="CH631" i="18"/>
  <c r="CG631" i="18"/>
  <c r="CF631" i="18"/>
  <c r="CE631" i="18"/>
  <c r="CD631" i="18"/>
  <c r="CC631" i="18"/>
  <c r="CB631" i="18"/>
  <c r="CA631" i="18"/>
  <c r="BZ631" i="18"/>
  <c r="BY631" i="18"/>
  <c r="CX630" i="18"/>
  <c r="CW630" i="18"/>
  <c r="CV630" i="18"/>
  <c r="CU630" i="18"/>
  <c r="CT630" i="18"/>
  <c r="CS630" i="18"/>
  <c r="CR630" i="18"/>
  <c r="CQ630" i="18"/>
  <c r="CP630" i="18"/>
  <c r="CO630" i="18"/>
  <c r="CN630" i="18"/>
  <c r="CM630" i="18"/>
  <c r="CL630" i="18"/>
  <c r="CK630" i="18"/>
  <c r="CJ630" i="18"/>
  <c r="CI630" i="18"/>
  <c r="CH630" i="18"/>
  <c r="CG630" i="18"/>
  <c r="CF630" i="18"/>
  <c r="CE630" i="18"/>
  <c r="CD630" i="18"/>
  <c r="CC630" i="18"/>
  <c r="CB630" i="18"/>
  <c r="CA630" i="18"/>
  <c r="BZ630" i="18"/>
  <c r="BY630" i="18"/>
  <c r="BX630" i="18"/>
  <c r="BW630" i="18"/>
  <c r="CH629" i="18"/>
  <c r="CG629" i="18"/>
  <c r="CF629" i="18"/>
  <c r="CE629" i="18"/>
  <c r="CD629" i="18"/>
  <c r="CC629" i="18"/>
  <c r="CB629" i="18"/>
  <c r="CA629" i="18"/>
  <c r="BZ629" i="18"/>
  <c r="BY629" i="18"/>
  <c r="BT630" i="18"/>
  <c r="BS630" i="18"/>
  <c r="BR630" i="18"/>
  <c r="AQ633" i="18"/>
  <c r="AP633" i="18"/>
  <c r="AO633" i="18"/>
  <c r="AN633" i="18"/>
  <c r="AM633" i="18"/>
  <c r="AL633" i="18"/>
  <c r="AK633" i="18"/>
  <c r="AJ633" i="18"/>
  <c r="AI633" i="18"/>
  <c r="AH633" i="18"/>
  <c r="AG633" i="18"/>
  <c r="AF633" i="18"/>
  <c r="AE633" i="18"/>
  <c r="AD633" i="18"/>
  <c r="AC633" i="18"/>
  <c r="AB633" i="18"/>
  <c r="AA633" i="18"/>
  <c r="Z633" i="18"/>
  <c r="Y633" i="18"/>
  <c r="X633" i="18"/>
  <c r="W633" i="18"/>
  <c r="V633" i="18"/>
  <c r="U633" i="18"/>
  <c r="T633" i="18"/>
  <c r="S633" i="18"/>
  <c r="R633" i="18"/>
  <c r="Q633" i="18"/>
  <c r="P633" i="18"/>
  <c r="O633" i="18"/>
  <c r="N633" i="18"/>
  <c r="M633" i="18"/>
  <c r="L633" i="18"/>
  <c r="K633" i="18"/>
  <c r="J633" i="18"/>
  <c r="I633" i="18"/>
  <c r="H633" i="18"/>
  <c r="G633" i="18"/>
  <c r="F633" i="18"/>
  <c r="E633" i="18"/>
  <c r="D633" i="18"/>
  <c r="C633" i="18"/>
  <c r="B633" i="18"/>
  <c r="A633" i="18"/>
  <c r="AQ632" i="18"/>
  <c r="AP632" i="18"/>
  <c r="AO632" i="18"/>
  <c r="AN632" i="18"/>
  <c r="AM632" i="18"/>
  <c r="AL632" i="18"/>
  <c r="AK632" i="18"/>
  <c r="AJ632" i="18"/>
  <c r="AI632" i="18"/>
  <c r="AH632" i="18"/>
  <c r="AG632" i="18"/>
  <c r="AF632" i="18"/>
  <c r="AE632" i="18"/>
  <c r="AD632" i="18"/>
  <c r="AC632" i="18"/>
  <c r="AB632" i="18"/>
  <c r="AA632" i="18"/>
  <c r="Z632" i="18"/>
  <c r="Y632" i="18"/>
  <c r="X632" i="18"/>
  <c r="W632" i="18"/>
  <c r="V632" i="18"/>
  <c r="U632" i="18"/>
  <c r="T632" i="18"/>
  <c r="S632" i="18"/>
  <c r="R632" i="18"/>
  <c r="Q632" i="18"/>
  <c r="P632" i="18"/>
  <c r="O632" i="18"/>
  <c r="N632" i="18"/>
  <c r="M632" i="18"/>
  <c r="L632" i="18"/>
  <c r="K632" i="18"/>
  <c r="J632" i="18"/>
  <c r="I632" i="18"/>
  <c r="H632" i="18"/>
  <c r="G632" i="18"/>
  <c r="F632" i="18"/>
  <c r="E632" i="18"/>
  <c r="D632" i="18"/>
  <c r="C632" i="18"/>
  <c r="B632" i="18"/>
  <c r="A632" i="18"/>
  <c r="AQ631" i="18"/>
  <c r="AP631" i="18"/>
  <c r="AO631" i="18"/>
  <c r="AN631" i="18"/>
  <c r="AM631" i="18"/>
  <c r="AL631" i="18"/>
  <c r="AK631" i="18"/>
  <c r="AJ631" i="18"/>
  <c r="AI631" i="18"/>
  <c r="AH631" i="18"/>
  <c r="AG631" i="18"/>
  <c r="AF631" i="18"/>
  <c r="AE631" i="18"/>
  <c r="AD631" i="18"/>
  <c r="AC631" i="18"/>
  <c r="AB631" i="18"/>
  <c r="AA631" i="18"/>
  <c r="Z631" i="18"/>
  <c r="Y631" i="18"/>
  <c r="X631" i="18"/>
  <c r="W631" i="18"/>
  <c r="V631" i="18"/>
  <c r="U631" i="18"/>
  <c r="T631" i="18"/>
  <c r="S631" i="18"/>
  <c r="R631" i="18"/>
  <c r="Q631" i="18"/>
  <c r="P631" i="18"/>
  <c r="O631" i="18"/>
  <c r="N631" i="18"/>
  <c r="M631" i="18"/>
  <c r="L631" i="18"/>
  <c r="K631" i="18"/>
  <c r="J631" i="18"/>
  <c r="I631" i="18"/>
  <c r="H631" i="18"/>
  <c r="G631" i="18"/>
  <c r="F631" i="18"/>
  <c r="E631" i="18"/>
  <c r="D631" i="18"/>
  <c r="C631" i="18"/>
  <c r="B631" i="18"/>
  <c r="A631" i="18"/>
  <c r="BP630" i="18"/>
  <c r="BO630" i="18"/>
  <c r="BN630" i="18"/>
  <c r="BM630" i="18"/>
  <c r="BL630" i="18"/>
  <c r="BK630" i="18"/>
  <c r="BJ630" i="18"/>
  <c r="BI630" i="18"/>
  <c r="BH630" i="18"/>
  <c r="BG630" i="18"/>
  <c r="BF630" i="18"/>
  <c r="BE630" i="18"/>
  <c r="BD630" i="18"/>
  <c r="BC630" i="18"/>
  <c r="BB630" i="18"/>
  <c r="BA630" i="18"/>
  <c r="AZ630" i="18"/>
  <c r="AY630" i="18"/>
  <c r="AX630" i="18"/>
  <c r="AW630" i="18"/>
  <c r="AV630" i="18"/>
  <c r="AU630" i="18"/>
  <c r="AT630" i="18"/>
  <c r="AS630" i="18"/>
  <c r="AR630" i="18"/>
  <c r="AQ630" i="18"/>
  <c r="AP630" i="18"/>
  <c r="AO630" i="18"/>
  <c r="AN630" i="18"/>
  <c r="AM630" i="18"/>
  <c r="AL630" i="18"/>
  <c r="AK630" i="18"/>
  <c r="AJ630" i="18"/>
  <c r="AI630" i="18"/>
  <c r="AH630" i="18"/>
  <c r="AG630" i="18"/>
  <c r="AF630" i="18"/>
  <c r="AE630" i="18"/>
  <c r="AD630" i="18"/>
  <c r="AC630" i="18"/>
  <c r="AB630" i="18"/>
  <c r="AA630" i="18"/>
  <c r="Z630" i="18"/>
  <c r="Y630" i="18"/>
  <c r="X630" i="18"/>
  <c r="W630" i="18"/>
  <c r="V630" i="18"/>
  <c r="U630" i="18"/>
  <c r="T630" i="18"/>
  <c r="S630" i="18"/>
  <c r="R630" i="18"/>
  <c r="Q630" i="18"/>
  <c r="P630" i="18"/>
  <c r="O630" i="18"/>
  <c r="N630" i="18"/>
  <c r="M630" i="18"/>
  <c r="L630" i="18"/>
  <c r="K630" i="18"/>
  <c r="J630" i="18"/>
  <c r="I630" i="18"/>
  <c r="H630" i="18"/>
  <c r="G630" i="18"/>
  <c r="F630" i="18"/>
  <c r="E630" i="18"/>
  <c r="D630" i="18"/>
  <c r="C630" i="18"/>
  <c r="B630" i="18"/>
  <c r="A630" i="18"/>
  <c r="AQ629" i="18"/>
  <c r="AP629" i="18"/>
  <c r="AO629" i="18"/>
  <c r="AN629" i="18"/>
  <c r="AM629" i="18"/>
  <c r="AL629" i="18"/>
  <c r="AK629" i="18"/>
  <c r="AJ629" i="18"/>
  <c r="AI629" i="18"/>
  <c r="AH629" i="18"/>
  <c r="AG629" i="18"/>
  <c r="AF629" i="18"/>
  <c r="AE629" i="18"/>
  <c r="AD629" i="18"/>
  <c r="AC629" i="18"/>
  <c r="AB629" i="18"/>
  <c r="AA629" i="18"/>
  <c r="Z629" i="18"/>
  <c r="Y629" i="18"/>
  <c r="X629" i="18"/>
  <c r="W629" i="18"/>
  <c r="V629" i="18"/>
  <c r="U629" i="18"/>
  <c r="T629" i="18"/>
  <c r="S629" i="18"/>
  <c r="R629" i="18"/>
  <c r="Q629" i="18"/>
  <c r="P629" i="18"/>
  <c r="O629" i="18"/>
  <c r="N629" i="18"/>
  <c r="M629" i="18"/>
  <c r="L629" i="18"/>
  <c r="K629" i="18"/>
  <c r="J629" i="18"/>
  <c r="I629" i="18"/>
  <c r="H629" i="18"/>
  <c r="G629" i="18"/>
  <c r="F629" i="18"/>
  <c r="E629" i="18"/>
  <c r="D629" i="18"/>
  <c r="C629" i="18"/>
  <c r="B629" i="18"/>
  <c r="A629" i="18"/>
  <c r="CH627" i="18"/>
  <c r="CG627" i="18"/>
  <c r="CF627" i="18"/>
  <c r="CE627" i="18"/>
  <c r="CD627" i="18"/>
  <c r="CC627" i="18"/>
  <c r="CB627" i="18"/>
  <c r="CA627" i="18"/>
  <c r="BZ627" i="18"/>
  <c r="BY627" i="18"/>
  <c r="AQ627" i="18"/>
  <c r="AP627" i="18"/>
  <c r="AO627" i="18"/>
  <c r="AN627" i="18"/>
  <c r="AM627" i="18"/>
  <c r="AL627" i="18"/>
  <c r="AK627" i="18"/>
  <c r="AJ627" i="18"/>
  <c r="AI627" i="18"/>
  <c r="AH627" i="18"/>
  <c r="AG627" i="18"/>
  <c r="AF627" i="18"/>
  <c r="AE627" i="18"/>
  <c r="AD627" i="18"/>
  <c r="AC627" i="18"/>
  <c r="AB627" i="18"/>
  <c r="AA627" i="18"/>
  <c r="Z627" i="18"/>
  <c r="Y627" i="18"/>
  <c r="X627" i="18"/>
  <c r="W627" i="18"/>
  <c r="V627" i="18"/>
  <c r="U627" i="18"/>
  <c r="T627" i="18"/>
  <c r="S627" i="18"/>
  <c r="R627" i="18"/>
  <c r="Q627" i="18"/>
  <c r="P627" i="18"/>
  <c r="O627" i="18"/>
  <c r="N627" i="18"/>
  <c r="M627" i="18"/>
  <c r="L627" i="18"/>
  <c r="K627" i="18"/>
  <c r="J627" i="18"/>
  <c r="I627" i="18"/>
  <c r="H627" i="18"/>
  <c r="G627" i="18"/>
  <c r="F627" i="18"/>
  <c r="E627" i="18"/>
  <c r="D627" i="18"/>
  <c r="C627" i="18"/>
  <c r="B627" i="18"/>
  <c r="A627" i="18"/>
  <c r="CH626" i="18"/>
  <c r="CG626" i="18"/>
  <c r="CF626" i="18"/>
  <c r="CE626" i="18"/>
  <c r="CD626" i="18"/>
  <c r="CC626" i="18"/>
  <c r="CB626" i="18"/>
  <c r="CA626" i="18"/>
  <c r="BZ626" i="18"/>
  <c r="BY626" i="18"/>
  <c r="BX626" i="18"/>
  <c r="BW626" i="18"/>
  <c r="BV626" i="18"/>
  <c r="BU626" i="18"/>
  <c r="BT626" i="18"/>
  <c r="BS626" i="18"/>
  <c r="BR626" i="18"/>
  <c r="BQ626" i="18"/>
  <c r="BP626" i="18"/>
  <c r="BO626" i="18"/>
  <c r="BN626" i="18"/>
  <c r="BM626" i="18"/>
  <c r="AQ626" i="18"/>
  <c r="AP626" i="18"/>
  <c r="AO626" i="18"/>
  <c r="AN626" i="18"/>
  <c r="AM626" i="18"/>
  <c r="AL626" i="18"/>
  <c r="AK626" i="18"/>
  <c r="AJ626" i="18"/>
  <c r="AI626" i="18"/>
  <c r="AH626" i="18"/>
  <c r="AG626" i="18"/>
  <c r="AF626" i="18"/>
  <c r="AE626" i="18"/>
  <c r="AD626" i="18"/>
  <c r="AC626" i="18"/>
  <c r="AB626" i="18"/>
  <c r="AA626" i="18"/>
  <c r="Z626" i="18"/>
  <c r="Y626" i="18"/>
  <c r="X626" i="18"/>
  <c r="W626" i="18"/>
  <c r="V626" i="18"/>
  <c r="U626" i="18"/>
  <c r="T626" i="18"/>
  <c r="S626" i="18"/>
  <c r="R626" i="18"/>
  <c r="Q626" i="18"/>
  <c r="P626" i="18"/>
  <c r="O626" i="18"/>
  <c r="N626" i="18"/>
  <c r="M626" i="18"/>
  <c r="L626" i="18"/>
  <c r="K626" i="18"/>
  <c r="J626" i="18"/>
  <c r="I626" i="18"/>
  <c r="H626" i="18"/>
  <c r="G626" i="18"/>
  <c r="F626" i="18"/>
  <c r="E626" i="18"/>
  <c r="D626" i="18"/>
  <c r="C626" i="18"/>
  <c r="B626" i="18"/>
  <c r="A626" i="18"/>
  <c r="CH625" i="18"/>
  <c r="CG625" i="18"/>
  <c r="CF625" i="18"/>
  <c r="CE625" i="18"/>
  <c r="CD625" i="18"/>
  <c r="CC625" i="18"/>
  <c r="CB625" i="18"/>
  <c r="CA625" i="18"/>
  <c r="BZ625" i="18"/>
  <c r="BY625" i="18"/>
  <c r="AQ625" i="18"/>
  <c r="AP625" i="18"/>
  <c r="AO625" i="18"/>
  <c r="AN625" i="18"/>
  <c r="AM625" i="18"/>
  <c r="AL625" i="18"/>
  <c r="AK625" i="18"/>
  <c r="AJ625" i="18"/>
  <c r="AI625" i="18"/>
  <c r="AH625" i="18"/>
  <c r="AG625" i="18"/>
  <c r="AF625" i="18"/>
  <c r="AE625" i="18"/>
  <c r="AD625" i="18"/>
  <c r="AC625" i="18"/>
  <c r="AB625" i="18"/>
  <c r="AA625" i="18"/>
  <c r="Z625" i="18"/>
  <c r="Y625" i="18"/>
  <c r="X625" i="18"/>
  <c r="W625" i="18"/>
  <c r="V625" i="18"/>
  <c r="U625" i="18"/>
  <c r="T625" i="18"/>
  <c r="S625" i="18"/>
  <c r="R625" i="18"/>
  <c r="Q625" i="18"/>
  <c r="P625" i="18"/>
  <c r="O625" i="18"/>
  <c r="N625" i="18"/>
  <c r="M625" i="18"/>
  <c r="L625" i="18"/>
  <c r="K625" i="18"/>
  <c r="J625" i="18"/>
  <c r="I625" i="18"/>
  <c r="H625" i="18"/>
  <c r="G625" i="18"/>
  <c r="F625" i="18"/>
  <c r="E625" i="18"/>
  <c r="D625" i="18"/>
  <c r="C625" i="18"/>
  <c r="B625" i="18"/>
  <c r="A625" i="18"/>
  <c r="CX624" i="18"/>
  <c r="CW624" i="18"/>
  <c r="CV624" i="18"/>
  <c r="CU624" i="18"/>
  <c r="CT624" i="18"/>
  <c r="CS624" i="18"/>
  <c r="CR624" i="18"/>
  <c r="CQ624" i="18"/>
  <c r="CP624" i="18"/>
  <c r="CO624" i="18"/>
  <c r="CN624" i="18"/>
  <c r="CM624" i="18"/>
  <c r="CL624" i="18"/>
  <c r="CK624" i="18"/>
  <c r="CJ624" i="18"/>
  <c r="CI624" i="18"/>
  <c r="CH624" i="18"/>
  <c r="CG624" i="18"/>
  <c r="CF624" i="18"/>
  <c r="CE624" i="18"/>
  <c r="CD624" i="18"/>
  <c r="CC624" i="18"/>
  <c r="CB624" i="18"/>
  <c r="CA624" i="18"/>
  <c r="BZ624" i="18"/>
  <c r="BY624" i="18"/>
  <c r="BX624" i="18"/>
  <c r="BW624" i="18"/>
  <c r="BV624" i="18"/>
  <c r="BU624" i="18"/>
  <c r="BT624" i="18"/>
  <c r="BS624" i="18"/>
  <c r="BR624" i="18"/>
  <c r="BQ624" i="18"/>
  <c r="BP624" i="18"/>
  <c r="BO624" i="18"/>
  <c r="BN624" i="18"/>
  <c r="BM624" i="18"/>
  <c r="BL624" i="18"/>
  <c r="BK624" i="18"/>
  <c r="BJ624" i="18"/>
  <c r="BI624" i="18"/>
  <c r="BH624" i="18"/>
  <c r="BG624" i="18"/>
  <c r="BF624" i="18"/>
  <c r="BE624" i="18"/>
  <c r="BD624" i="18"/>
  <c r="BC624" i="18"/>
  <c r="BB624" i="18"/>
  <c r="BA624" i="18"/>
  <c r="AZ624" i="18"/>
  <c r="AY624" i="18"/>
  <c r="AX624" i="18"/>
  <c r="AW624" i="18"/>
  <c r="AV624" i="18"/>
  <c r="AU624" i="18"/>
  <c r="AT624" i="18"/>
  <c r="AS624" i="18"/>
  <c r="AR624" i="18"/>
  <c r="AQ624" i="18"/>
  <c r="AP624" i="18"/>
  <c r="AO624" i="18"/>
  <c r="AN624" i="18"/>
  <c r="AM624" i="18"/>
  <c r="AL624" i="18"/>
  <c r="AK624" i="18"/>
  <c r="AJ624" i="18"/>
  <c r="AI624" i="18"/>
  <c r="AH624" i="18"/>
  <c r="AG624" i="18"/>
  <c r="AF624" i="18"/>
  <c r="AE624" i="18"/>
  <c r="AD624" i="18"/>
  <c r="AC624" i="18"/>
  <c r="AB624" i="18"/>
  <c r="AA624" i="18"/>
  <c r="Z624" i="18"/>
  <c r="Y624" i="18"/>
  <c r="X624" i="18"/>
  <c r="W624" i="18"/>
  <c r="V624" i="18"/>
  <c r="U624" i="18"/>
  <c r="T624" i="18"/>
  <c r="S624" i="18"/>
  <c r="R624" i="18"/>
  <c r="Q624" i="18"/>
  <c r="P624" i="18"/>
  <c r="O624" i="18"/>
  <c r="N624" i="18"/>
  <c r="M624" i="18"/>
  <c r="L624" i="18"/>
  <c r="K624" i="18"/>
  <c r="J624" i="18"/>
  <c r="I624" i="18"/>
  <c r="H624" i="18"/>
  <c r="G624" i="18"/>
  <c r="F624" i="18"/>
  <c r="E624" i="18"/>
  <c r="D624" i="18"/>
  <c r="C624" i="18"/>
  <c r="B624" i="18"/>
  <c r="A624" i="18"/>
  <c r="CH622" i="18"/>
  <c r="CG622" i="18"/>
  <c r="CF622" i="18"/>
  <c r="CE622" i="18"/>
  <c r="CD622" i="18"/>
  <c r="CC622" i="18"/>
  <c r="CB622" i="18"/>
  <c r="CA622" i="18"/>
  <c r="BZ622" i="18"/>
  <c r="BY622" i="18"/>
  <c r="AQ622" i="18"/>
  <c r="AP622" i="18"/>
  <c r="AO622" i="18"/>
  <c r="AN622" i="18"/>
  <c r="AM622" i="18"/>
  <c r="AL622" i="18"/>
  <c r="AK622" i="18"/>
  <c r="AJ622" i="18"/>
  <c r="AI622" i="18"/>
  <c r="AH622" i="18"/>
  <c r="AG622" i="18"/>
  <c r="AF622" i="18"/>
  <c r="AE622" i="18"/>
  <c r="AD622" i="18"/>
  <c r="AC622" i="18"/>
  <c r="AB622" i="18"/>
  <c r="AA622" i="18"/>
  <c r="Z622" i="18"/>
  <c r="Y622" i="18"/>
  <c r="X622" i="18"/>
  <c r="W622" i="18"/>
  <c r="V622" i="18"/>
  <c r="U622" i="18"/>
  <c r="T622" i="18"/>
  <c r="S622" i="18"/>
  <c r="R622" i="18"/>
  <c r="Q622" i="18"/>
  <c r="P622" i="18"/>
  <c r="O622" i="18"/>
  <c r="N622" i="18"/>
  <c r="M622" i="18"/>
  <c r="L622" i="18"/>
  <c r="K622" i="18"/>
  <c r="J622" i="18"/>
  <c r="I622" i="18"/>
  <c r="H622" i="18"/>
  <c r="G622" i="18"/>
  <c r="F622" i="18"/>
  <c r="E622" i="18"/>
  <c r="D622" i="18"/>
  <c r="C622" i="18"/>
  <c r="B622" i="18"/>
  <c r="A622" i="18"/>
  <c r="CH621" i="18"/>
  <c r="CG621" i="18"/>
  <c r="CF621" i="18"/>
  <c r="CE621" i="18"/>
  <c r="CD621" i="18"/>
  <c r="CC621" i="18"/>
  <c r="CB621" i="18"/>
  <c r="CA621" i="18"/>
  <c r="BZ621" i="18"/>
  <c r="BY621" i="18"/>
  <c r="AQ621" i="18"/>
  <c r="AP621" i="18"/>
  <c r="AO621" i="18"/>
  <c r="AN621" i="18"/>
  <c r="AM621" i="18"/>
  <c r="AL621" i="18"/>
  <c r="AK621" i="18"/>
  <c r="AJ621" i="18"/>
  <c r="AI621" i="18"/>
  <c r="AH621" i="18"/>
  <c r="AG621" i="18"/>
  <c r="AF621" i="18"/>
  <c r="AE621" i="18"/>
  <c r="AD621" i="18"/>
  <c r="AC621" i="18"/>
  <c r="AB621" i="18"/>
  <c r="AA621" i="18"/>
  <c r="Z621" i="18"/>
  <c r="Y621" i="18"/>
  <c r="X621" i="18"/>
  <c r="W621" i="18"/>
  <c r="V621" i="18"/>
  <c r="U621" i="18"/>
  <c r="T621" i="18"/>
  <c r="S621" i="18"/>
  <c r="R621" i="18"/>
  <c r="Q621" i="18"/>
  <c r="P621" i="18"/>
  <c r="O621" i="18"/>
  <c r="N621" i="18"/>
  <c r="M621" i="18"/>
  <c r="L621" i="18"/>
  <c r="K621" i="18"/>
  <c r="J621" i="18"/>
  <c r="I621" i="18"/>
  <c r="H621" i="18"/>
  <c r="G621" i="18"/>
  <c r="F621" i="18"/>
  <c r="E621" i="18"/>
  <c r="D621" i="18"/>
  <c r="C621" i="18"/>
  <c r="B621" i="18"/>
  <c r="A621" i="18"/>
  <c r="CX619" i="18"/>
  <c r="CW619" i="18"/>
  <c r="CV619" i="18"/>
  <c r="CU619" i="18"/>
  <c r="CT619" i="18"/>
  <c r="CH619" i="18"/>
  <c r="CG619" i="18"/>
  <c r="CF619" i="18"/>
  <c r="CE619" i="18"/>
  <c r="CD619" i="18"/>
  <c r="CC619" i="18"/>
  <c r="CB619" i="18"/>
  <c r="CA619" i="18"/>
  <c r="BZ619" i="18"/>
  <c r="BY619" i="18"/>
  <c r="BX619" i="18"/>
  <c r="BW619" i="18"/>
  <c r="BV619" i="18"/>
  <c r="BU619" i="18"/>
  <c r="BT619" i="18"/>
  <c r="BS619" i="18"/>
  <c r="BR619" i="18"/>
  <c r="BQ619" i="18"/>
  <c r="BP619" i="18"/>
  <c r="BO619" i="18"/>
  <c r="BN619" i="18"/>
  <c r="BM619" i="18"/>
  <c r="AQ619" i="18"/>
  <c r="AP619" i="18"/>
  <c r="AO619" i="18"/>
  <c r="AN619" i="18"/>
  <c r="AM619" i="18"/>
  <c r="AL619" i="18"/>
  <c r="AK619" i="18"/>
  <c r="AJ619" i="18"/>
  <c r="AI619" i="18"/>
  <c r="AH619" i="18"/>
  <c r="AG619" i="18"/>
  <c r="AF619" i="18"/>
  <c r="AE619" i="18"/>
  <c r="AD619" i="18"/>
  <c r="AC619" i="18"/>
  <c r="AB619" i="18"/>
  <c r="AA619" i="18"/>
  <c r="Z619" i="18"/>
  <c r="Y619" i="18"/>
  <c r="X619" i="18"/>
  <c r="W619" i="18"/>
  <c r="V619" i="18"/>
  <c r="U619" i="18"/>
  <c r="T619" i="18"/>
  <c r="S619" i="18"/>
  <c r="R619" i="18"/>
  <c r="Q619" i="18"/>
  <c r="P619" i="18"/>
  <c r="O619" i="18"/>
  <c r="N619" i="18"/>
  <c r="M619" i="18"/>
  <c r="L619" i="18"/>
  <c r="K619" i="18"/>
  <c r="J619" i="18"/>
  <c r="I619" i="18"/>
  <c r="H619" i="18"/>
  <c r="G619" i="18"/>
  <c r="F619" i="18"/>
  <c r="E619" i="18"/>
  <c r="D619" i="18"/>
  <c r="C619" i="18"/>
  <c r="B619" i="18"/>
  <c r="A619" i="18"/>
  <c r="CH618" i="18"/>
  <c r="CG618" i="18"/>
  <c r="CF618" i="18"/>
  <c r="CE618" i="18"/>
  <c r="CD618" i="18"/>
  <c r="CC618" i="18"/>
  <c r="CB618" i="18"/>
  <c r="CA618" i="18"/>
  <c r="BZ618" i="18"/>
  <c r="BY618" i="18"/>
  <c r="AQ618" i="18"/>
  <c r="AP618" i="18"/>
  <c r="AO618" i="18"/>
  <c r="AN618" i="18"/>
  <c r="AM618" i="18"/>
  <c r="AL618" i="18"/>
  <c r="AK618" i="18"/>
  <c r="AJ618" i="18"/>
  <c r="AI618" i="18"/>
  <c r="AH618" i="18"/>
  <c r="AG618" i="18"/>
  <c r="AF618" i="18"/>
  <c r="AE618" i="18"/>
  <c r="AD618" i="18"/>
  <c r="AC618" i="18"/>
  <c r="AB618" i="18"/>
  <c r="AA618" i="18"/>
  <c r="Z618" i="18"/>
  <c r="Y618" i="18"/>
  <c r="X618" i="18"/>
  <c r="W618" i="18"/>
  <c r="V618" i="18"/>
  <c r="U618" i="18"/>
  <c r="T618" i="18"/>
  <c r="S618" i="18"/>
  <c r="R618" i="18"/>
  <c r="Q618" i="18"/>
  <c r="P618" i="18"/>
  <c r="O618" i="18"/>
  <c r="N618" i="18"/>
  <c r="M618" i="18"/>
  <c r="L618" i="18"/>
  <c r="K618" i="18"/>
  <c r="J618" i="18"/>
  <c r="I618" i="18"/>
  <c r="H618" i="18"/>
  <c r="G618" i="18"/>
  <c r="F618" i="18"/>
  <c r="E618" i="18"/>
  <c r="D618" i="18"/>
  <c r="C618" i="18"/>
  <c r="B618" i="18"/>
  <c r="A618" i="18"/>
  <c r="CX617" i="18"/>
  <c r="CW617" i="18"/>
  <c r="CV617" i="18"/>
  <c r="CU617" i="18"/>
  <c r="CT617" i="18"/>
  <c r="CS617" i="18"/>
  <c r="CR617" i="18"/>
  <c r="CQ617" i="18"/>
  <c r="CP617" i="18"/>
  <c r="CO617" i="18"/>
  <c r="CN617" i="18"/>
  <c r="CM617" i="18"/>
  <c r="CL617" i="18"/>
  <c r="CK617" i="18"/>
  <c r="CJ617" i="18"/>
  <c r="CI617" i="18"/>
  <c r="CH617" i="18"/>
  <c r="CG617" i="18"/>
  <c r="CF617" i="18"/>
  <c r="CE617" i="18"/>
  <c r="CD617" i="18"/>
  <c r="CC617" i="18"/>
  <c r="CB617" i="18"/>
  <c r="CA617" i="18"/>
  <c r="BZ617" i="18"/>
  <c r="BY617" i="18"/>
  <c r="BX617" i="18"/>
  <c r="BW617" i="18"/>
  <c r="BV617" i="18"/>
  <c r="BU617" i="18"/>
  <c r="BT617" i="18"/>
  <c r="BS617" i="18"/>
  <c r="BR617" i="18"/>
  <c r="BQ617" i="18"/>
  <c r="BP617" i="18"/>
  <c r="BO617" i="18"/>
  <c r="BN617" i="18"/>
  <c r="BM617" i="18"/>
  <c r="BL617" i="18"/>
  <c r="BK617" i="18"/>
  <c r="BJ617" i="18"/>
  <c r="BI617" i="18"/>
  <c r="BH617" i="18"/>
  <c r="BG617" i="18"/>
  <c r="BF617" i="18"/>
  <c r="BE617" i="18"/>
  <c r="BD617" i="18"/>
  <c r="BC617" i="18"/>
  <c r="BB617" i="18"/>
  <c r="BA617" i="18"/>
  <c r="AZ617" i="18"/>
  <c r="AY617" i="18"/>
  <c r="AX617" i="18"/>
  <c r="AW617" i="18"/>
  <c r="AV617" i="18"/>
  <c r="AU617" i="18"/>
  <c r="AT617" i="18"/>
  <c r="AS617" i="18"/>
  <c r="AR617" i="18"/>
  <c r="AQ617" i="18"/>
  <c r="AP617" i="18"/>
  <c r="AO617" i="18"/>
  <c r="AN617" i="18"/>
  <c r="AM617" i="18"/>
  <c r="AL617" i="18"/>
  <c r="AK617" i="18"/>
  <c r="AJ617" i="18"/>
  <c r="AI617" i="18"/>
  <c r="AH617" i="18"/>
  <c r="AG617" i="18"/>
  <c r="AF617" i="18"/>
  <c r="AE617" i="18"/>
  <c r="AD617" i="18"/>
  <c r="AC617" i="18"/>
  <c r="AB617" i="18"/>
  <c r="AA617" i="18"/>
  <c r="Z617" i="18"/>
  <c r="Y617" i="18"/>
  <c r="X617" i="18"/>
  <c r="W617" i="18"/>
  <c r="V617" i="18"/>
  <c r="U617" i="18"/>
  <c r="T617" i="18"/>
  <c r="S617" i="18"/>
  <c r="R617" i="18"/>
  <c r="Q617" i="18"/>
  <c r="P617" i="18"/>
  <c r="O617" i="18"/>
  <c r="N617" i="18"/>
  <c r="M617" i="18"/>
  <c r="L617" i="18"/>
  <c r="K617" i="18"/>
  <c r="J617" i="18"/>
  <c r="I617" i="18"/>
  <c r="H617" i="18"/>
  <c r="G617" i="18"/>
  <c r="F617" i="18"/>
  <c r="E617" i="18"/>
  <c r="D617" i="18"/>
  <c r="C617" i="18"/>
  <c r="B617" i="18"/>
  <c r="A617" i="18"/>
  <c r="CX615" i="18"/>
  <c r="CW615" i="18"/>
  <c r="CV615" i="18"/>
  <c r="CU615" i="18"/>
  <c r="CT615" i="18"/>
  <c r="CS615" i="18"/>
  <c r="CR615" i="18"/>
  <c r="CQ615" i="18"/>
  <c r="CP615" i="18"/>
  <c r="CO615" i="18"/>
  <c r="CN615" i="18"/>
  <c r="CM615" i="18"/>
  <c r="CL615" i="18"/>
  <c r="CK615" i="18"/>
  <c r="CJ615" i="18"/>
  <c r="CI615" i="18"/>
  <c r="CH615" i="18"/>
  <c r="CG615" i="18"/>
  <c r="CF615" i="18"/>
  <c r="CE615" i="18"/>
  <c r="CD615" i="18"/>
  <c r="CC615" i="18"/>
  <c r="CB615" i="18"/>
  <c r="CA615" i="18"/>
  <c r="BZ615" i="18"/>
  <c r="BY615" i="18"/>
  <c r="BX615" i="18"/>
  <c r="BW615" i="18"/>
  <c r="BV615" i="18"/>
  <c r="BU615" i="18"/>
  <c r="BT615" i="18"/>
  <c r="BS615" i="18"/>
  <c r="BR615" i="18"/>
  <c r="BQ615" i="18"/>
  <c r="BP615" i="18"/>
  <c r="BO615" i="18"/>
  <c r="BN615" i="18"/>
  <c r="BM615" i="18"/>
  <c r="BL615" i="18"/>
  <c r="BK615" i="18"/>
  <c r="BJ615" i="18"/>
  <c r="BI615" i="18"/>
  <c r="BH615" i="18"/>
  <c r="BG615" i="18"/>
  <c r="BF615" i="18"/>
  <c r="BE615" i="18"/>
  <c r="BD615" i="18"/>
  <c r="BC615" i="18"/>
  <c r="BB615" i="18"/>
  <c r="BA615" i="18"/>
  <c r="AZ615" i="18"/>
  <c r="AY615" i="18"/>
  <c r="AX615" i="18"/>
  <c r="AW615" i="18"/>
  <c r="AV615" i="18"/>
  <c r="AU615" i="18"/>
  <c r="AT615" i="18"/>
  <c r="AS615" i="18"/>
  <c r="AR615" i="18"/>
  <c r="AQ615" i="18"/>
  <c r="AP615" i="18"/>
  <c r="AO615" i="18"/>
  <c r="AN615" i="18"/>
  <c r="AM615" i="18"/>
  <c r="AL615" i="18"/>
  <c r="AK615" i="18"/>
  <c r="AJ615" i="18"/>
  <c r="AI615" i="18"/>
  <c r="AH615" i="18"/>
  <c r="AG615" i="18"/>
  <c r="AF615" i="18"/>
  <c r="AE615" i="18"/>
  <c r="AD615" i="18"/>
  <c r="AC615" i="18"/>
  <c r="AB615" i="18"/>
  <c r="AA615" i="18"/>
  <c r="Z615" i="18"/>
  <c r="Y615" i="18"/>
  <c r="X615" i="18"/>
  <c r="W615" i="18"/>
  <c r="V615" i="18"/>
  <c r="U615" i="18"/>
  <c r="T615" i="18"/>
  <c r="S615" i="18"/>
  <c r="R615" i="18"/>
  <c r="Q615" i="18"/>
  <c r="P615" i="18"/>
  <c r="O615" i="18"/>
  <c r="N615" i="18"/>
  <c r="M615" i="18"/>
  <c r="L615" i="18"/>
  <c r="K615" i="18"/>
  <c r="J615" i="18"/>
  <c r="I615" i="18"/>
  <c r="H615" i="18"/>
  <c r="G615" i="18"/>
  <c r="F615" i="18"/>
  <c r="E615" i="18"/>
  <c r="D615" i="18"/>
  <c r="C615" i="18"/>
  <c r="B615" i="18"/>
  <c r="A615" i="18"/>
  <c r="CH614" i="18"/>
  <c r="CG614" i="18"/>
  <c r="CF614" i="18"/>
  <c r="CE614" i="18"/>
  <c r="CD614" i="18"/>
  <c r="CC614" i="18"/>
  <c r="CB614" i="18"/>
  <c r="CA614" i="18"/>
  <c r="BZ614" i="18"/>
  <c r="BY614" i="18"/>
  <c r="AQ614" i="18"/>
  <c r="AP614" i="18"/>
  <c r="AO614" i="18"/>
  <c r="AN614" i="18"/>
  <c r="AM614" i="18"/>
  <c r="AL614" i="18"/>
  <c r="AK614" i="18"/>
  <c r="AJ614" i="18"/>
  <c r="AI614" i="18"/>
  <c r="AH614" i="18"/>
  <c r="AG614" i="18"/>
  <c r="AF614" i="18"/>
  <c r="AE614" i="18"/>
  <c r="AD614" i="18"/>
  <c r="AC614" i="18"/>
  <c r="AB614" i="18"/>
  <c r="AA614" i="18"/>
  <c r="Z614" i="18"/>
  <c r="Y614" i="18"/>
  <c r="X614" i="18"/>
  <c r="W614" i="18"/>
  <c r="V614" i="18"/>
  <c r="U614" i="18"/>
  <c r="T614" i="18"/>
  <c r="S614" i="18"/>
  <c r="R614" i="18"/>
  <c r="Q614" i="18"/>
  <c r="P614" i="18"/>
  <c r="O614" i="18"/>
  <c r="N614" i="18"/>
  <c r="M614" i="18"/>
  <c r="L614" i="18"/>
  <c r="K614" i="18"/>
  <c r="J614" i="18"/>
  <c r="I614" i="18"/>
  <c r="H614" i="18"/>
  <c r="G614" i="18"/>
  <c r="F614" i="18"/>
  <c r="E614" i="18"/>
  <c r="D614" i="18"/>
  <c r="C614" i="18"/>
  <c r="B614" i="18"/>
  <c r="A614" i="18"/>
  <c r="CH613" i="18"/>
  <c r="CG613" i="18"/>
  <c r="CF613" i="18"/>
  <c r="CE613" i="18"/>
  <c r="CD613" i="18"/>
  <c r="CC613" i="18"/>
  <c r="CB613" i="18"/>
  <c r="CA613" i="18"/>
  <c r="BZ613" i="18"/>
  <c r="BY613" i="18"/>
  <c r="AQ613" i="18"/>
  <c r="AP613" i="18"/>
  <c r="AO613" i="18"/>
  <c r="AN613" i="18"/>
  <c r="AM613" i="18"/>
  <c r="AL613" i="18"/>
  <c r="AK613" i="18"/>
  <c r="AJ613" i="18"/>
  <c r="AI613" i="18"/>
  <c r="AH613" i="18"/>
  <c r="AG613" i="18"/>
  <c r="AF613" i="18"/>
  <c r="AE613" i="18"/>
  <c r="AD613" i="18"/>
  <c r="AC613" i="18"/>
  <c r="AB613" i="18"/>
  <c r="AA613" i="18"/>
  <c r="Z613" i="18"/>
  <c r="Y613" i="18"/>
  <c r="X613" i="18"/>
  <c r="W613" i="18"/>
  <c r="V613" i="18"/>
  <c r="U613" i="18"/>
  <c r="T613" i="18"/>
  <c r="S613" i="18"/>
  <c r="R613" i="18"/>
  <c r="Q613" i="18"/>
  <c r="P613" i="18"/>
  <c r="O613" i="18"/>
  <c r="N613" i="18"/>
  <c r="M613" i="18"/>
  <c r="L613" i="18"/>
  <c r="K613" i="18"/>
  <c r="J613" i="18"/>
  <c r="I613" i="18"/>
  <c r="H613" i="18"/>
  <c r="G613" i="18"/>
  <c r="F613" i="18"/>
  <c r="E613" i="18"/>
  <c r="D613" i="18"/>
  <c r="C613" i="18"/>
  <c r="B613" i="18"/>
  <c r="A613" i="18"/>
  <c r="CH612" i="18"/>
  <c r="CG612" i="18"/>
  <c r="CF612" i="18"/>
  <c r="CE612" i="18"/>
  <c r="CD612" i="18"/>
  <c r="CC612" i="18"/>
  <c r="CB612" i="18"/>
  <c r="CA612" i="18"/>
  <c r="BZ612" i="18"/>
  <c r="BY612" i="18"/>
  <c r="AQ612" i="18"/>
  <c r="AP612" i="18"/>
  <c r="AO612" i="18"/>
  <c r="AN612" i="18"/>
  <c r="AM612" i="18"/>
  <c r="AL612" i="18"/>
  <c r="AK612" i="18"/>
  <c r="AJ612" i="18"/>
  <c r="AI612" i="18"/>
  <c r="AH612" i="18"/>
  <c r="AG612" i="18"/>
  <c r="AF612" i="18"/>
  <c r="AE612" i="18"/>
  <c r="AD612" i="18"/>
  <c r="AC612" i="18"/>
  <c r="AB612" i="18"/>
  <c r="AA612" i="18"/>
  <c r="Z612" i="18"/>
  <c r="Y612" i="18"/>
  <c r="X612" i="18"/>
  <c r="W612" i="18"/>
  <c r="V612" i="18"/>
  <c r="U612" i="18"/>
  <c r="T612" i="18"/>
  <c r="S612" i="18"/>
  <c r="R612" i="18"/>
  <c r="Q612" i="18"/>
  <c r="P612" i="18"/>
  <c r="O612" i="18"/>
  <c r="N612" i="18"/>
  <c r="M612" i="18"/>
  <c r="L612" i="18"/>
  <c r="K612" i="18"/>
  <c r="J612" i="18"/>
  <c r="I612" i="18"/>
  <c r="H612" i="18"/>
  <c r="G612" i="18"/>
  <c r="F612" i="18"/>
  <c r="E612" i="18"/>
  <c r="D612" i="18"/>
  <c r="C612" i="18"/>
  <c r="B612" i="18"/>
  <c r="A612" i="18"/>
  <c r="CH611" i="18"/>
  <c r="CG611" i="18"/>
  <c r="CF611" i="18"/>
  <c r="CE611" i="18"/>
  <c r="CD611" i="18"/>
  <c r="CC611" i="18"/>
  <c r="CB611" i="18"/>
  <c r="CA611" i="18"/>
  <c r="BZ611" i="18"/>
  <c r="BY611" i="18"/>
  <c r="BL611" i="18"/>
  <c r="BK611" i="18"/>
  <c r="BJ611" i="18"/>
  <c r="BI611" i="18"/>
  <c r="BH611" i="18"/>
  <c r="BG611" i="18"/>
  <c r="BF611" i="18"/>
  <c r="BE611" i="18"/>
  <c r="BD611" i="18"/>
  <c r="BC611" i="18"/>
  <c r="BB611" i="18"/>
  <c r="BA611" i="18"/>
  <c r="AZ611" i="18"/>
  <c r="AY611" i="18"/>
  <c r="AX611" i="18"/>
  <c r="AW611" i="18"/>
  <c r="AV611" i="18"/>
  <c r="AU611" i="18"/>
  <c r="AT611" i="18"/>
  <c r="AS611" i="18"/>
  <c r="AR611" i="18"/>
  <c r="AQ611" i="18"/>
  <c r="AP611" i="18"/>
  <c r="AO611" i="18"/>
  <c r="AN611" i="18"/>
  <c r="AM611" i="18"/>
  <c r="AL611" i="18"/>
  <c r="AK611" i="18"/>
  <c r="AJ611" i="18"/>
  <c r="AI611" i="18"/>
  <c r="AH611" i="18"/>
  <c r="AG611" i="18"/>
  <c r="AF611" i="18"/>
  <c r="AE611" i="18"/>
  <c r="AD611" i="18"/>
  <c r="AC611" i="18"/>
  <c r="AB611" i="18"/>
  <c r="AA611" i="18"/>
  <c r="Z611" i="18"/>
  <c r="Y611" i="18"/>
  <c r="X611" i="18"/>
  <c r="W611" i="18"/>
  <c r="V611" i="18"/>
  <c r="U611" i="18"/>
  <c r="T611" i="18"/>
  <c r="S611" i="18"/>
  <c r="R611" i="18"/>
  <c r="Q611" i="18"/>
  <c r="P611" i="18"/>
  <c r="O611" i="18"/>
  <c r="N611" i="18"/>
  <c r="M611" i="18"/>
  <c r="L611" i="18"/>
  <c r="K611" i="18"/>
  <c r="J611" i="18"/>
  <c r="I611" i="18"/>
  <c r="H611" i="18"/>
  <c r="G611" i="18"/>
  <c r="F611" i="18"/>
  <c r="E611" i="18"/>
  <c r="D611" i="18"/>
  <c r="C611" i="18"/>
  <c r="B611" i="18"/>
  <c r="A611" i="18"/>
  <c r="CE610" i="18"/>
  <c r="CD610" i="18"/>
  <c r="CC610" i="18"/>
  <c r="CB610" i="18"/>
  <c r="CA610" i="18"/>
  <c r="BZ610" i="18"/>
  <c r="BY610" i="18"/>
  <c r="AB610" i="18"/>
  <c r="AA610" i="18"/>
  <c r="Z610" i="18"/>
  <c r="Y610" i="18"/>
  <c r="X610" i="18"/>
  <c r="W610" i="18"/>
  <c r="V610" i="18"/>
  <c r="U610" i="18"/>
  <c r="T610" i="18"/>
  <c r="S610" i="18"/>
  <c r="R610" i="18"/>
  <c r="Q610" i="18"/>
  <c r="P610" i="18"/>
  <c r="O610" i="18"/>
  <c r="N610" i="18"/>
  <c r="M610" i="18"/>
  <c r="L610" i="18"/>
  <c r="K610" i="18"/>
  <c r="J610" i="18"/>
  <c r="I610" i="18"/>
  <c r="H610" i="18"/>
  <c r="G610" i="18"/>
  <c r="F610" i="18"/>
  <c r="E610" i="18"/>
  <c r="D610" i="18"/>
  <c r="C610" i="18"/>
  <c r="B610" i="18"/>
  <c r="A610" i="18"/>
  <c r="CE609" i="18"/>
  <c r="CD609" i="18"/>
  <c r="CC609" i="18"/>
  <c r="CB609" i="18"/>
  <c r="CA609" i="18"/>
  <c r="BZ609" i="18"/>
  <c r="BY609" i="18"/>
  <c r="AB609" i="18"/>
  <c r="AA609" i="18"/>
  <c r="Z609" i="18"/>
  <c r="Y609" i="18"/>
  <c r="X609" i="18"/>
  <c r="W609" i="18"/>
  <c r="V609" i="18"/>
  <c r="U609" i="18"/>
  <c r="T609" i="18"/>
  <c r="S609" i="18"/>
  <c r="R609" i="18"/>
  <c r="Q609" i="18"/>
  <c r="P609" i="18"/>
  <c r="O609" i="18"/>
  <c r="N609" i="18"/>
  <c r="M609" i="18"/>
  <c r="L609" i="18"/>
  <c r="K609" i="18"/>
  <c r="J609" i="18"/>
  <c r="I609" i="18"/>
  <c r="H609" i="18"/>
  <c r="G609" i="18"/>
  <c r="F609" i="18"/>
  <c r="E609" i="18"/>
  <c r="D609" i="18"/>
  <c r="C609" i="18"/>
  <c r="B609" i="18"/>
  <c r="A609" i="18"/>
  <c r="CH608" i="18"/>
  <c r="CG608" i="18"/>
  <c r="CF608" i="18"/>
  <c r="CE608" i="18"/>
  <c r="CD608" i="18"/>
  <c r="CC608" i="18"/>
  <c r="CB608" i="18"/>
  <c r="CA608" i="18"/>
  <c r="BZ608" i="18"/>
  <c r="BY608" i="18"/>
  <c r="AQ608" i="18"/>
  <c r="AP608" i="18"/>
  <c r="AO608" i="18"/>
  <c r="AN608" i="18"/>
  <c r="AM608" i="18"/>
  <c r="AL608" i="18"/>
  <c r="AK608" i="18"/>
  <c r="AJ608" i="18"/>
  <c r="AI608" i="18"/>
  <c r="AH608" i="18"/>
  <c r="AG608" i="18"/>
  <c r="AF608" i="18"/>
  <c r="AE608" i="18"/>
  <c r="AD608" i="18"/>
  <c r="AC608" i="18"/>
  <c r="AB608" i="18"/>
  <c r="AA608" i="18"/>
  <c r="Z608" i="18"/>
  <c r="Y608" i="18"/>
  <c r="X608" i="18"/>
  <c r="W608" i="18"/>
  <c r="V608" i="18"/>
  <c r="U608" i="18"/>
  <c r="T608" i="18"/>
  <c r="S608" i="18"/>
  <c r="R608" i="18"/>
  <c r="Q608" i="18"/>
  <c r="P608" i="18"/>
  <c r="O608" i="18"/>
  <c r="N608" i="18"/>
  <c r="M608" i="18"/>
  <c r="L608" i="18"/>
  <c r="K608" i="18"/>
  <c r="J608" i="18"/>
  <c r="I608" i="18"/>
  <c r="H608" i="18"/>
  <c r="G608" i="18"/>
  <c r="F608" i="18"/>
  <c r="E608" i="18"/>
  <c r="D608" i="18"/>
  <c r="C608" i="18"/>
  <c r="B608" i="18"/>
  <c r="A608" i="18"/>
  <c r="CH607" i="18"/>
  <c r="CG607" i="18"/>
  <c r="CF607" i="18"/>
  <c r="CE607" i="18"/>
  <c r="CD607" i="18"/>
  <c r="CC607" i="18"/>
  <c r="CB607" i="18"/>
  <c r="CA607" i="18"/>
  <c r="BZ607" i="18"/>
  <c r="BY607" i="18"/>
  <c r="AQ607" i="18"/>
  <c r="AP607" i="18"/>
  <c r="AO607" i="18"/>
  <c r="AN607" i="18"/>
  <c r="AM607" i="18"/>
  <c r="AL607" i="18"/>
  <c r="AK607" i="18"/>
  <c r="AJ607" i="18"/>
  <c r="AI607" i="18"/>
  <c r="AH607" i="18"/>
  <c r="AG607" i="18"/>
  <c r="AF607" i="18"/>
  <c r="AE607" i="18"/>
  <c r="AD607" i="18"/>
  <c r="AC607" i="18"/>
  <c r="AB607" i="18"/>
  <c r="AA607" i="18"/>
  <c r="Z607" i="18"/>
  <c r="Y607" i="18"/>
  <c r="X607" i="18"/>
  <c r="W607" i="18"/>
  <c r="V607" i="18"/>
  <c r="U607" i="18"/>
  <c r="T607" i="18"/>
  <c r="S607" i="18"/>
  <c r="R607" i="18"/>
  <c r="Q607" i="18"/>
  <c r="P607" i="18"/>
  <c r="O607" i="18"/>
  <c r="N607" i="18"/>
  <c r="M607" i="18"/>
  <c r="L607" i="18"/>
  <c r="K607" i="18"/>
  <c r="J607" i="18"/>
  <c r="I607" i="18"/>
  <c r="H607" i="18"/>
  <c r="G607" i="18"/>
  <c r="F607" i="18"/>
  <c r="E607" i="18"/>
  <c r="D607" i="18"/>
  <c r="C607" i="18"/>
  <c r="B607" i="18"/>
  <c r="A607" i="18"/>
  <c r="CH606" i="18"/>
  <c r="CG606" i="18"/>
  <c r="CF606" i="18"/>
  <c r="CE606" i="18"/>
  <c r="CD606" i="18"/>
  <c r="CC606" i="18"/>
  <c r="CB606" i="18"/>
  <c r="CA606" i="18"/>
  <c r="BZ606" i="18"/>
  <c r="BY606" i="18"/>
  <c r="AQ606" i="18"/>
  <c r="AP606" i="18"/>
  <c r="AO606" i="18"/>
  <c r="AN606" i="18"/>
  <c r="AM606" i="18"/>
  <c r="AL606" i="18"/>
  <c r="AK606" i="18"/>
  <c r="AJ606" i="18"/>
  <c r="AI606" i="18"/>
  <c r="AH606" i="18"/>
  <c r="AG606" i="18"/>
  <c r="AF606" i="18"/>
  <c r="AE606" i="18"/>
  <c r="AD606" i="18"/>
  <c r="AC606" i="18"/>
  <c r="AB606" i="18"/>
  <c r="AA606" i="18"/>
  <c r="Z606" i="18"/>
  <c r="Y606" i="18"/>
  <c r="X606" i="18"/>
  <c r="W606" i="18"/>
  <c r="V606" i="18"/>
  <c r="U606" i="18"/>
  <c r="T606" i="18"/>
  <c r="S606" i="18"/>
  <c r="R606" i="18"/>
  <c r="Q606" i="18"/>
  <c r="P606" i="18"/>
  <c r="O606" i="18"/>
  <c r="N606" i="18"/>
  <c r="M606" i="18"/>
  <c r="L606" i="18"/>
  <c r="K606" i="18"/>
  <c r="J606" i="18"/>
  <c r="I606" i="18"/>
  <c r="H606" i="18"/>
  <c r="G606" i="18"/>
  <c r="F606" i="18"/>
  <c r="E606" i="18"/>
  <c r="D606" i="18"/>
  <c r="C606" i="18"/>
  <c r="B606" i="18"/>
  <c r="A606" i="18"/>
  <c r="CH605" i="18"/>
  <c r="CG605" i="18"/>
  <c r="CF605" i="18"/>
  <c r="CE605" i="18"/>
  <c r="CD605" i="18"/>
  <c r="CC605" i="18"/>
  <c r="CB605" i="18"/>
  <c r="CA605" i="18"/>
  <c r="BZ605" i="18"/>
  <c r="BY605" i="18"/>
  <c r="AQ605" i="18"/>
  <c r="AP605" i="18"/>
  <c r="AO605" i="18"/>
  <c r="AN605" i="18"/>
  <c r="AM605" i="18"/>
  <c r="AL605" i="18"/>
  <c r="AK605" i="18"/>
  <c r="AJ605" i="18"/>
  <c r="AI605" i="18"/>
  <c r="AH605" i="18"/>
  <c r="AG605" i="18"/>
  <c r="AF605" i="18"/>
  <c r="AE605" i="18"/>
  <c r="AD605" i="18"/>
  <c r="AC605" i="18"/>
  <c r="AB605" i="18"/>
  <c r="AA605" i="18"/>
  <c r="Z605" i="18"/>
  <c r="Y605" i="18"/>
  <c r="X605" i="18"/>
  <c r="W605" i="18"/>
  <c r="V605" i="18"/>
  <c r="U605" i="18"/>
  <c r="T605" i="18"/>
  <c r="S605" i="18"/>
  <c r="R605" i="18"/>
  <c r="Q605" i="18"/>
  <c r="P605" i="18"/>
  <c r="O605" i="18"/>
  <c r="N605" i="18"/>
  <c r="M605" i="18"/>
  <c r="L605" i="18"/>
  <c r="K605" i="18"/>
  <c r="J605" i="18"/>
  <c r="I605" i="18"/>
  <c r="H605" i="18"/>
  <c r="G605" i="18"/>
  <c r="F605" i="18"/>
  <c r="E605" i="18"/>
  <c r="D605" i="18"/>
  <c r="C605" i="18"/>
  <c r="B605" i="18"/>
  <c r="A605" i="18"/>
  <c r="CE604" i="18"/>
  <c r="CD604" i="18"/>
  <c r="CC604" i="18"/>
  <c r="CB604" i="18"/>
  <c r="CA604" i="18"/>
  <c r="BZ604" i="18"/>
  <c r="BY604" i="18"/>
  <c r="AB604" i="18"/>
  <c r="AA604" i="18"/>
  <c r="Z604" i="18"/>
  <c r="Y604" i="18"/>
  <c r="X604" i="18"/>
  <c r="W604" i="18"/>
  <c r="V604" i="18"/>
  <c r="U604" i="18"/>
  <c r="T604" i="18"/>
  <c r="S604" i="18"/>
  <c r="R604" i="18"/>
  <c r="Q604" i="18"/>
  <c r="P604" i="18"/>
  <c r="O604" i="18"/>
  <c r="N604" i="18"/>
  <c r="M604" i="18"/>
  <c r="L604" i="18"/>
  <c r="K604" i="18"/>
  <c r="J604" i="18"/>
  <c r="I604" i="18"/>
  <c r="H604" i="18"/>
  <c r="G604" i="18"/>
  <c r="F604" i="18"/>
  <c r="E604" i="18"/>
  <c r="D604" i="18"/>
  <c r="C604" i="18"/>
  <c r="B604" i="18"/>
  <c r="A604" i="18"/>
  <c r="CE603" i="18"/>
  <c r="CD603" i="18"/>
  <c r="CC603" i="18"/>
  <c r="CB603" i="18"/>
  <c r="CA603" i="18"/>
  <c r="BZ603" i="18"/>
  <c r="BY603" i="18"/>
  <c r="AB603" i="18"/>
  <c r="AA603" i="18"/>
  <c r="Z603" i="18"/>
  <c r="Y603" i="18"/>
  <c r="X603" i="18"/>
  <c r="W603" i="18"/>
  <c r="V603" i="18"/>
  <c r="U603" i="18"/>
  <c r="T603" i="18"/>
  <c r="S603" i="18"/>
  <c r="R603" i="18"/>
  <c r="Q603" i="18"/>
  <c r="P603" i="18"/>
  <c r="O603" i="18"/>
  <c r="N603" i="18"/>
  <c r="M603" i="18"/>
  <c r="L603" i="18"/>
  <c r="K603" i="18"/>
  <c r="J603" i="18"/>
  <c r="I603" i="18"/>
  <c r="H603" i="18"/>
  <c r="G603" i="18"/>
  <c r="F603" i="18"/>
  <c r="E603" i="18"/>
  <c r="D603" i="18"/>
  <c r="C603" i="18"/>
  <c r="B603" i="18"/>
  <c r="A603" i="18"/>
  <c r="CX600" i="18"/>
  <c r="CW600" i="18"/>
  <c r="CV600" i="18"/>
  <c r="CU600" i="18"/>
  <c r="CT600" i="18"/>
  <c r="CS600" i="18"/>
  <c r="CR600" i="18"/>
  <c r="CQ600" i="18"/>
  <c r="CP600" i="18"/>
  <c r="CO600" i="18"/>
  <c r="CN600" i="18"/>
  <c r="CM600" i="18"/>
  <c r="CL600" i="18"/>
  <c r="CK600" i="18"/>
  <c r="CJ600" i="18"/>
  <c r="CI600" i="18"/>
  <c r="CH600" i="18"/>
  <c r="CG600" i="18"/>
  <c r="CF600" i="18"/>
  <c r="CE600" i="18"/>
  <c r="CD600" i="18"/>
  <c r="CC600" i="18"/>
  <c r="CB600" i="18"/>
  <c r="CA600" i="18"/>
  <c r="BZ600" i="18"/>
  <c r="BY600" i="18"/>
  <c r="BX600" i="18"/>
  <c r="BW600" i="18"/>
  <c r="BV600" i="18"/>
  <c r="BU600" i="18"/>
  <c r="BT600" i="18"/>
  <c r="BS600" i="18"/>
  <c r="BR600" i="18"/>
  <c r="BQ600" i="18"/>
  <c r="BP600" i="18"/>
  <c r="BO600" i="18"/>
  <c r="BN600" i="18"/>
  <c r="BM600" i="18"/>
  <c r="BL600" i="18"/>
  <c r="BK600" i="18"/>
  <c r="BJ600" i="18"/>
  <c r="BI600" i="18"/>
  <c r="BH600" i="18"/>
  <c r="BG600" i="18"/>
  <c r="BF600" i="18"/>
  <c r="BE600" i="18"/>
  <c r="BD600" i="18"/>
  <c r="BC600" i="18"/>
  <c r="BB600" i="18"/>
  <c r="BA600" i="18"/>
  <c r="AZ600" i="18"/>
  <c r="AY600" i="18"/>
  <c r="AX600" i="18"/>
  <c r="AW600" i="18"/>
  <c r="AV600" i="18"/>
  <c r="AU600" i="18"/>
  <c r="AT600" i="18"/>
  <c r="AS600" i="18"/>
  <c r="AR600" i="18"/>
  <c r="AQ600" i="18"/>
  <c r="AP600" i="18"/>
  <c r="AO600" i="18"/>
  <c r="AN600" i="18"/>
  <c r="AM600" i="18"/>
  <c r="AL600" i="18"/>
  <c r="AK600" i="18"/>
  <c r="AJ600" i="18"/>
  <c r="AI600" i="18"/>
  <c r="AH600" i="18"/>
  <c r="AG600" i="18"/>
  <c r="AF600" i="18"/>
  <c r="AE600" i="18"/>
  <c r="AD600" i="18"/>
  <c r="AC600" i="18"/>
  <c r="AB600" i="18"/>
  <c r="AA600" i="18"/>
  <c r="Z600" i="18"/>
  <c r="Y600" i="18"/>
  <c r="X600" i="18"/>
  <c r="W600" i="18"/>
  <c r="V600" i="18"/>
  <c r="U600" i="18"/>
  <c r="T600" i="18"/>
  <c r="S600" i="18"/>
  <c r="R600" i="18"/>
  <c r="Q600" i="18"/>
  <c r="P600" i="18"/>
  <c r="O600" i="18"/>
  <c r="N600" i="18"/>
  <c r="M600" i="18"/>
  <c r="L600" i="18"/>
  <c r="K600" i="18"/>
  <c r="J600" i="18"/>
  <c r="I600" i="18"/>
  <c r="H600" i="18"/>
  <c r="G600" i="18"/>
  <c r="F600" i="18"/>
  <c r="E600" i="18"/>
  <c r="D600" i="18"/>
  <c r="C600" i="18"/>
  <c r="B600" i="18"/>
  <c r="A600" i="18"/>
  <c r="BF599" i="18"/>
  <c r="BE599" i="18"/>
  <c r="BD599" i="18"/>
  <c r="BC599" i="18"/>
  <c r="BB599" i="18"/>
  <c r="BA599" i="18"/>
  <c r="AZ599" i="18"/>
  <c r="AY599" i="18"/>
  <c r="AX599" i="18"/>
  <c r="AW599" i="18"/>
  <c r="AV599" i="18"/>
  <c r="AU599" i="18"/>
  <c r="AT599" i="18"/>
  <c r="AS599" i="18"/>
  <c r="AR599" i="18"/>
  <c r="AQ599" i="18"/>
  <c r="AP599" i="18"/>
  <c r="AO599" i="18"/>
  <c r="AN599" i="18"/>
  <c r="AM599" i="18"/>
  <c r="AL599" i="18"/>
  <c r="AK599" i="18"/>
  <c r="AJ599" i="18"/>
  <c r="AI599" i="18"/>
  <c r="AH599" i="18"/>
  <c r="AG599" i="18"/>
  <c r="AF599" i="18"/>
  <c r="AE599" i="18"/>
  <c r="AD599" i="18"/>
  <c r="AC599" i="18"/>
  <c r="AB599" i="18"/>
  <c r="AA599" i="18"/>
  <c r="Z599" i="18"/>
  <c r="Y599" i="18"/>
  <c r="X599" i="18"/>
  <c r="W599" i="18"/>
  <c r="V599" i="18"/>
  <c r="U599" i="18"/>
  <c r="T599" i="18"/>
  <c r="S599" i="18"/>
  <c r="R599" i="18"/>
  <c r="Q599" i="18"/>
  <c r="P599" i="18"/>
  <c r="O599" i="18"/>
  <c r="N599" i="18"/>
  <c r="M599" i="18"/>
  <c r="L599" i="18"/>
  <c r="K599" i="18"/>
  <c r="J599" i="18"/>
  <c r="I599" i="18"/>
  <c r="H599" i="18"/>
  <c r="G599" i="18"/>
  <c r="F599" i="18"/>
  <c r="E599" i="18"/>
  <c r="D599" i="18"/>
  <c r="C599" i="18"/>
  <c r="B599" i="18"/>
  <c r="A599" i="18"/>
  <c r="CX599" i="18"/>
  <c r="CW599" i="18"/>
  <c r="CV599" i="18"/>
  <c r="CU599" i="18"/>
  <c r="CT599" i="18"/>
  <c r="CS599" i="18"/>
  <c r="CR599" i="18"/>
  <c r="CQ599" i="18"/>
  <c r="CP599" i="18"/>
  <c r="CO599" i="18"/>
  <c r="CN599" i="18"/>
  <c r="CM599" i="18"/>
  <c r="CL599" i="18"/>
  <c r="CK599" i="18"/>
  <c r="CJ599" i="18"/>
  <c r="CI599" i="18"/>
  <c r="CH599" i="18"/>
  <c r="CG599" i="18"/>
  <c r="CF599" i="18"/>
  <c r="CE599" i="18"/>
  <c r="CD599" i="18"/>
  <c r="CC599" i="18"/>
  <c r="CB599" i="18"/>
  <c r="CA599" i="18"/>
  <c r="BZ599" i="18"/>
  <c r="BY599" i="18"/>
  <c r="BX599" i="18"/>
  <c r="BW599" i="18"/>
  <c r="BV599" i="18"/>
  <c r="BU599" i="18"/>
  <c r="BT599" i="18"/>
  <c r="BS599" i="18"/>
  <c r="BR599" i="18"/>
  <c r="BQ599" i="18"/>
  <c r="BP599" i="18"/>
  <c r="BO599" i="18"/>
  <c r="BN599" i="18"/>
  <c r="BM599" i="18"/>
  <c r="BL599" i="18"/>
  <c r="BK599" i="18"/>
  <c r="BJ599" i="18"/>
  <c r="BI599" i="18"/>
  <c r="BH599" i="18"/>
  <c r="CX598" i="18"/>
  <c r="CW598" i="18"/>
  <c r="CV598" i="18"/>
  <c r="CU598" i="18"/>
  <c r="CT598" i="18"/>
  <c r="CS598" i="18"/>
  <c r="CR598" i="18"/>
  <c r="CQ598" i="18"/>
  <c r="CP598" i="18"/>
  <c r="CO598" i="18"/>
  <c r="CN598" i="18"/>
  <c r="CM598" i="18"/>
  <c r="CL598" i="18"/>
  <c r="CK598" i="18"/>
  <c r="CJ598" i="18"/>
  <c r="CI598" i="18"/>
  <c r="CH598" i="18"/>
  <c r="CG598" i="18"/>
  <c r="CF598" i="18"/>
  <c r="CE598" i="18"/>
  <c r="CD598" i="18"/>
  <c r="CC598" i="18"/>
  <c r="CB598" i="18"/>
  <c r="CA598" i="18"/>
  <c r="BZ598" i="18"/>
  <c r="BY598" i="18"/>
  <c r="BX598" i="18"/>
  <c r="BW598" i="18"/>
  <c r="BV598" i="18"/>
  <c r="BU598" i="18"/>
  <c r="BT598" i="18"/>
  <c r="BS598" i="18"/>
  <c r="BR598" i="18"/>
  <c r="BQ598" i="18"/>
  <c r="BP598" i="18"/>
  <c r="BO598" i="18"/>
  <c r="BN598" i="18"/>
  <c r="BM598" i="18"/>
  <c r="BL598" i="18"/>
  <c r="BK598" i="18"/>
  <c r="BJ598" i="18"/>
  <c r="BI598" i="18"/>
  <c r="BH598" i="18"/>
  <c r="BG598" i="18"/>
  <c r="BF598" i="18"/>
  <c r="BE598" i="18"/>
  <c r="BD598" i="18"/>
  <c r="BC598" i="18"/>
  <c r="BB598" i="18"/>
  <c r="BA598" i="18"/>
  <c r="AZ598" i="18"/>
  <c r="AY598" i="18"/>
  <c r="AX598" i="18"/>
  <c r="AW598" i="18"/>
  <c r="AV598" i="18"/>
  <c r="AU598" i="18"/>
  <c r="AT598" i="18"/>
  <c r="AS598" i="18"/>
  <c r="AR598" i="18"/>
  <c r="AP598" i="18"/>
  <c r="AO598" i="18"/>
  <c r="AN598" i="18"/>
  <c r="AM598" i="18"/>
  <c r="AL598" i="18"/>
  <c r="AK598" i="18"/>
  <c r="AJ598" i="18"/>
  <c r="AI598" i="18"/>
  <c r="AH598" i="18"/>
  <c r="AG598" i="18"/>
  <c r="AF598" i="18"/>
  <c r="AE598" i="18"/>
  <c r="AD598" i="18"/>
  <c r="AC598" i="18"/>
  <c r="AB598" i="18"/>
  <c r="AA598" i="18"/>
  <c r="Z598" i="18"/>
  <c r="Y598" i="18"/>
  <c r="X598" i="18"/>
  <c r="W598" i="18"/>
  <c r="V598" i="18"/>
  <c r="U598" i="18"/>
  <c r="T598" i="18"/>
  <c r="S598" i="18"/>
  <c r="R598" i="18"/>
  <c r="Q598" i="18"/>
  <c r="P598" i="18"/>
  <c r="O598" i="18"/>
  <c r="N598" i="18"/>
  <c r="M598" i="18"/>
  <c r="L598" i="18"/>
  <c r="K598" i="18"/>
  <c r="J598" i="18"/>
  <c r="I598" i="18"/>
  <c r="H598" i="18"/>
  <c r="G598" i="18"/>
  <c r="F598" i="18"/>
  <c r="E598" i="18"/>
  <c r="D598" i="18"/>
  <c r="C598" i="18"/>
  <c r="B598" i="18"/>
  <c r="A598" i="18"/>
  <c r="BH597" i="18"/>
  <c r="BH596" i="18"/>
  <c r="BH595" i="18"/>
  <c r="BF597" i="18"/>
  <c r="BE597" i="18"/>
  <c r="BD597" i="18"/>
  <c r="BC597" i="18"/>
  <c r="BB597" i="18"/>
  <c r="BA597" i="18"/>
  <c r="AZ597" i="18"/>
  <c r="AY597" i="18"/>
  <c r="AX597" i="18"/>
  <c r="AW597" i="18"/>
  <c r="AV597" i="18"/>
  <c r="AU597" i="18"/>
  <c r="AT597" i="18"/>
  <c r="AS597" i="18"/>
  <c r="AR597" i="18"/>
  <c r="AQ597" i="18"/>
  <c r="AP597" i="18"/>
  <c r="AO597" i="18"/>
  <c r="AN597" i="18"/>
  <c r="AM597" i="18"/>
  <c r="AL597" i="18"/>
  <c r="AK597" i="18"/>
  <c r="AJ597" i="18"/>
  <c r="AI597" i="18"/>
  <c r="AH597" i="18"/>
  <c r="AG597" i="18"/>
  <c r="AF597" i="18"/>
  <c r="AE597" i="18"/>
  <c r="AD597" i="18"/>
  <c r="AC597" i="18"/>
  <c r="AB597" i="18"/>
  <c r="AA597" i="18"/>
  <c r="Z597" i="18"/>
  <c r="Y597" i="18"/>
  <c r="X597" i="18"/>
  <c r="W597" i="18"/>
  <c r="V597" i="18"/>
  <c r="U597" i="18"/>
  <c r="T597" i="18"/>
  <c r="S597" i="18"/>
  <c r="R597" i="18"/>
  <c r="Q597" i="18"/>
  <c r="P597" i="18"/>
  <c r="O597" i="18"/>
  <c r="N597" i="18"/>
  <c r="M597" i="18"/>
  <c r="L597" i="18"/>
  <c r="K597" i="18"/>
  <c r="J597" i="18"/>
  <c r="I597" i="18"/>
  <c r="H597" i="18"/>
  <c r="G597" i="18"/>
  <c r="F597" i="18"/>
  <c r="E597" i="18"/>
  <c r="D597" i="18"/>
  <c r="C597" i="18"/>
  <c r="B597" i="18"/>
  <c r="A597" i="18"/>
  <c r="BI596" i="18"/>
  <c r="BI595" i="18"/>
  <c r="CX597" i="18"/>
  <c r="CW597" i="18"/>
  <c r="CV597" i="18"/>
  <c r="CU597" i="18"/>
  <c r="CT597" i="18"/>
  <c r="CS597" i="18"/>
  <c r="CR597" i="18"/>
  <c r="CQ597" i="18"/>
  <c r="CP597" i="18"/>
  <c r="CO597" i="18"/>
  <c r="CN597" i="18"/>
  <c r="CM597" i="18"/>
  <c r="CI597" i="18"/>
  <c r="CH597" i="18"/>
  <c r="CG597" i="18"/>
  <c r="CF597" i="18"/>
  <c r="CE597" i="18"/>
  <c r="CD597" i="18"/>
  <c r="CC597" i="18"/>
  <c r="CB597" i="18"/>
  <c r="CA597" i="18"/>
  <c r="BZ597" i="18"/>
  <c r="BY597" i="18"/>
  <c r="BX597" i="18"/>
  <c r="BW597" i="18"/>
  <c r="BV597" i="18"/>
  <c r="BU597" i="18"/>
  <c r="BT597" i="18"/>
  <c r="BS597" i="18"/>
  <c r="BR597" i="18"/>
  <c r="BQ597" i="18"/>
  <c r="BP597" i="18"/>
  <c r="BO597" i="18"/>
  <c r="BN597" i="18"/>
  <c r="BM597" i="18"/>
  <c r="BL597" i="18"/>
  <c r="BK597" i="18"/>
  <c r="BJ597" i="18"/>
  <c r="CX596" i="18"/>
  <c r="CW596" i="18"/>
  <c r="CV596" i="18"/>
  <c r="CU596" i="18"/>
  <c r="CT596" i="18"/>
  <c r="CS596" i="18"/>
  <c r="CR596" i="18"/>
  <c r="CQ596" i="18"/>
  <c r="CP596" i="18"/>
  <c r="CO596" i="18"/>
  <c r="CN596" i="18"/>
  <c r="CM596" i="18"/>
  <c r="CL596" i="18"/>
  <c r="CK596" i="18"/>
  <c r="CJ596" i="18"/>
  <c r="CI596" i="18"/>
  <c r="CH596" i="18"/>
  <c r="CG596" i="18"/>
  <c r="CF596" i="18"/>
  <c r="CE596" i="18"/>
  <c r="CD596" i="18"/>
  <c r="CC596" i="18"/>
  <c r="CB596" i="18"/>
  <c r="CA596" i="18"/>
  <c r="BZ596" i="18"/>
  <c r="BY596" i="18"/>
  <c r="BX596" i="18"/>
  <c r="BW596" i="18"/>
  <c r="BV596" i="18"/>
  <c r="BU596" i="18"/>
  <c r="BT596" i="18"/>
  <c r="BS596" i="18"/>
  <c r="BR596" i="18"/>
  <c r="BQ596" i="18"/>
  <c r="BP596" i="18"/>
  <c r="BO596" i="18"/>
  <c r="BN596" i="18"/>
  <c r="BM596" i="18"/>
  <c r="BL596" i="18"/>
  <c r="BK596" i="18"/>
  <c r="BJ596" i="18"/>
  <c r="CX595" i="18"/>
  <c r="CW595" i="18"/>
  <c r="CV595" i="18"/>
  <c r="CU595" i="18"/>
  <c r="CT595" i="18"/>
  <c r="CS595" i="18"/>
  <c r="CR595" i="18"/>
  <c r="CQ595" i="18"/>
  <c r="CP595" i="18"/>
  <c r="CO595" i="18"/>
  <c r="CN595" i="18"/>
  <c r="CM595" i="18"/>
  <c r="CL595" i="18"/>
  <c r="CK595" i="18"/>
  <c r="CJ595" i="18"/>
  <c r="CI595" i="18"/>
  <c r="CH595" i="18"/>
  <c r="CG595" i="18"/>
  <c r="CF595" i="18"/>
  <c r="CE595" i="18"/>
  <c r="CD595" i="18"/>
  <c r="CC595" i="18"/>
  <c r="CB595" i="18"/>
  <c r="CA595" i="18"/>
  <c r="BZ595" i="18"/>
  <c r="BY595" i="18"/>
  <c r="BX595" i="18"/>
  <c r="BW595" i="18"/>
  <c r="BV595" i="18"/>
  <c r="BU595" i="18"/>
  <c r="BT595" i="18"/>
  <c r="BS595" i="18"/>
  <c r="BR595" i="18"/>
  <c r="BQ595" i="18"/>
  <c r="BP595" i="18"/>
  <c r="BO595" i="18"/>
  <c r="BN595" i="18"/>
  <c r="BM595" i="18"/>
  <c r="BL595" i="18"/>
  <c r="BK595" i="18"/>
  <c r="BJ595" i="18"/>
  <c r="BG596" i="18"/>
  <c r="BF596" i="18"/>
  <c r="BE596" i="18"/>
  <c r="BD596" i="18"/>
  <c r="BC596" i="18"/>
  <c r="BB596" i="18"/>
  <c r="BA596" i="18"/>
  <c r="AZ596" i="18"/>
  <c r="AY596" i="18"/>
  <c r="AX596" i="18"/>
  <c r="AW596" i="18"/>
  <c r="AV596" i="18"/>
  <c r="AU596" i="18"/>
  <c r="AT596" i="18"/>
  <c r="AS596" i="18"/>
  <c r="AR596" i="18"/>
  <c r="AQ596" i="18"/>
  <c r="AP596" i="18"/>
  <c r="AO596" i="18"/>
  <c r="AN596" i="18"/>
  <c r="AM596" i="18"/>
  <c r="AL596" i="18"/>
  <c r="AK596" i="18"/>
  <c r="AJ596" i="18"/>
  <c r="AI596" i="18"/>
  <c r="AH596" i="18"/>
  <c r="AG596" i="18"/>
  <c r="AF596" i="18"/>
  <c r="AE596" i="18"/>
  <c r="AD596" i="18"/>
  <c r="AC596" i="18"/>
  <c r="AB596" i="18"/>
  <c r="AA596" i="18"/>
  <c r="Z596" i="18"/>
  <c r="Y596" i="18"/>
  <c r="X596" i="18"/>
  <c r="W596" i="18"/>
  <c r="V596" i="18"/>
  <c r="U596" i="18"/>
  <c r="T596" i="18"/>
  <c r="S596" i="18"/>
  <c r="R596" i="18"/>
  <c r="Q596" i="18"/>
  <c r="P596" i="18"/>
  <c r="O596" i="18"/>
  <c r="N596" i="18"/>
  <c r="M596" i="18"/>
  <c r="L596" i="18"/>
  <c r="K596" i="18"/>
  <c r="J596" i="18"/>
  <c r="I596" i="18"/>
  <c r="H596" i="18"/>
  <c r="G596" i="18"/>
  <c r="F596" i="18"/>
  <c r="E596" i="18"/>
  <c r="D596" i="18"/>
  <c r="C596" i="18"/>
  <c r="B596" i="18"/>
  <c r="A596" i="18"/>
  <c r="BG595" i="18"/>
  <c r="BF595" i="18"/>
  <c r="BE595" i="18"/>
  <c r="BD595" i="18"/>
  <c r="BC595" i="18"/>
  <c r="BB595" i="18"/>
  <c r="BA595" i="18"/>
  <c r="AZ595" i="18"/>
  <c r="AY595" i="18"/>
  <c r="AX595" i="18"/>
  <c r="AW595" i="18"/>
  <c r="AV595" i="18"/>
  <c r="AU595" i="18"/>
  <c r="AT595" i="18"/>
  <c r="AS595" i="18"/>
  <c r="AR595" i="18"/>
  <c r="AQ595" i="18"/>
  <c r="AP595" i="18"/>
  <c r="AO595" i="18"/>
  <c r="AN595" i="18"/>
  <c r="AM595" i="18"/>
  <c r="AL595" i="18"/>
  <c r="AK595" i="18"/>
  <c r="AJ595" i="18"/>
  <c r="AI595" i="18"/>
  <c r="AH595" i="18"/>
  <c r="AG595" i="18"/>
  <c r="AF595" i="18"/>
  <c r="AE595" i="18"/>
  <c r="AD595" i="18"/>
  <c r="AC595" i="18"/>
  <c r="AB595" i="18"/>
  <c r="AA595" i="18"/>
  <c r="Z595" i="18"/>
  <c r="Y595" i="18"/>
  <c r="X595" i="18"/>
  <c r="W595" i="18"/>
  <c r="V595" i="18"/>
  <c r="U595" i="18"/>
  <c r="T595" i="18"/>
  <c r="S595" i="18"/>
  <c r="R595" i="18"/>
  <c r="Q595" i="18"/>
  <c r="P595" i="18"/>
  <c r="O595" i="18"/>
  <c r="N595" i="18"/>
  <c r="M595" i="18"/>
  <c r="L595" i="18"/>
  <c r="K595" i="18"/>
  <c r="J595" i="18"/>
  <c r="I595" i="18"/>
  <c r="H595" i="18"/>
  <c r="G595" i="18"/>
  <c r="F595" i="18"/>
  <c r="E595" i="18"/>
  <c r="D595" i="18"/>
  <c r="C595" i="18"/>
  <c r="B595" i="18"/>
  <c r="A595" i="18"/>
  <c r="CH593" i="18"/>
  <c r="CG593" i="18"/>
  <c r="CF593" i="18"/>
  <c r="CE593" i="18"/>
  <c r="CD593" i="18"/>
  <c r="CC593" i="18"/>
  <c r="CB593" i="18"/>
  <c r="CA593" i="18"/>
  <c r="BZ593" i="18"/>
  <c r="BY593" i="18"/>
  <c r="AQ593" i="18"/>
  <c r="AP593" i="18"/>
  <c r="AO593" i="18"/>
  <c r="AN593" i="18"/>
  <c r="AM593" i="18"/>
  <c r="AL593" i="18"/>
  <c r="AK593" i="18"/>
  <c r="AJ593" i="18"/>
  <c r="AI593" i="18"/>
  <c r="AH593" i="18"/>
  <c r="AG593" i="18"/>
  <c r="AF593" i="18"/>
  <c r="AE593" i="18"/>
  <c r="AD593" i="18"/>
  <c r="AC593" i="18"/>
  <c r="AB593" i="18"/>
  <c r="AA593" i="18"/>
  <c r="Z593" i="18"/>
  <c r="Y593" i="18"/>
  <c r="X593" i="18"/>
  <c r="W593" i="18"/>
  <c r="V593" i="18"/>
  <c r="U593" i="18"/>
  <c r="T593" i="18"/>
  <c r="S593" i="18"/>
  <c r="R593" i="18"/>
  <c r="Q593" i="18"/>
  <c r="P593" i="18"/>
  <c r="O593" i="18"/>
  <c r="N593" i="18"/>
  <c r="M593" i="18"/>
  <c r="L593" i="18"/>
  <c r="K593" i="18"/>
  <c r="J593" i="18"/>
  <c r="I593" i="18"/>
  <c r="H593" i="18"/>
  <c r="G593" i="18"/>
  <c r="F593" i="18"/>
  <c r="E593" i="18"/>
  <c r="D593" i="18"/>
  <c r="C593" i="18"/>
  <c r="B593" i="18"/>
  <c r="A593" i="18"/>
  <c r="CX592" i="18"/>
  <c r="CW592" i="18"/>
  <c r="CV592" i="18"/>
  <c r="CU592" i="18"/>
  <c r="CT592" i="18"/>
  <c r="CS592" i="18"/>
  <c r="CR592" i="18"/>
  <c r="CQ592" i="18"/>
  <c r="CP592" i="18"/>
  <c r="CO592" i="18"/>
  <c r="CN592" i="18"/>
  <c r="CM592" i="18"/>
  <c r="CL592" i="18"/>
  <c r="CK592" i="18"/>
  <c r="CJ592" i="18"/>
  <c r="CI592" i="18"/>
  <c r="CH592" i="18"/>
  <c r="CG592" i="18"/>
  <c r="CF592" i="18"/>
  <c r="CE592" i="18"/>
  <c r="CD592" i="18"/>
  <c r="CC592" i="18"/>
  <c r="CB592" i="18"/>
  <c r="CA592" i="18"/>
  <c r="BZ592" i="18"/>
  <c r="BY592" i="18"/>
  <c r="BX592" i="18"/>
  <c r="BW592" i="18"/>
  <c r="BV592" i="18"/>
  <c r="BU592" i="18"/>
  <c r="BT592" i="18"/>
  <c r="BS592" i="18"/>
  <c r="BR592" i="18"/>
  <c r="BQ592" i="18"/>
  <c r="BP592" i="18"/>
  <c r="BO592" i="18"/>
  <c r="BN592" i="18"/>
  <c r="BM592" i="18"/>
  <c r="BL592" i="18"/>
  <c r="BK592" i="18"/>
  <c r="BJ592" i="18"/>
  <c r="BI592" i="18"/>
  <c r="BH592" i="18"/>
  <c r="BG592" i="18"/>
  <c r="BF592" i="18"/>
  <c r="BE592" i="18"/>
  <c r="BD592" i="18"/>
  <c r="BC592" i="18"/>
  <c r="BB592" i="18"/>
  <c r="BA592" i="18"/>
  <c r="AZ592" i="18"/>
  <c r="AY592" i="18"/>
  <c r="AX592" i="18"/>
  <c r="AW592" i="18"/>
  <c r="AV592" i="18"/>
  <c r="AU592" i="18"/>
  <c r="AT592" i="18"/>
  <c r="AS592" i="18"/>
  <c r="AR592" i="18"/>
  <c r="AQ592" i="18"/>
  <c r="AP592" i="18"/>
  <c r="AO592" i="18"/>
  <c r="AN592" i="18"/>
  <c r="AM592" i="18"/>
  <c r="AL592" i="18"/>
  <c r="AK592" i="18"/>
  <c r="AJ592" i="18"/>
  <c r="AI592" i="18"/>
  <c r="AH592" i="18"/>
  <c r="AG592" i="18"/>
  <c r="AF592" i="18"/>
  <c r="AE592" i="18"/>
  <c r="AD592" i="18"/>
  <c r="AC592" i="18"/>
  <c r="AB592" i="18"/>
  <c r="AA592" i="18"/>
  <c r="Z592" i="18"/>
  <c r="Y592" i="18"/>
  <c r="X592" i="18"/>
  <c r="W592" i="18"/>
  <c r="V592" i="18"/>
  <c r="U592" i="18"/>
  <c r="T592" i="18"/>
  <c r="S592" i="18"/>
  <c r="R592" i="18"/>
  <c r="Q592" i="18"/>
  <c r="P592" i="18"/>
  <c r="O592" i="18"/>
  <c r="N592" i="18"/>
  <c r="M592" i="18"/>
  <c r="L592" i="18"/>
  <c r="K592" i="18"/>
  <c r="J592" i="18"/>
  <c r="I592" i="18"/>
  <c r="H592" i="18"/>
  <c r="G592" i="18"/>
  <c r="F592" i="18"/>
  <c r="E592" i="18"/>
  <c r="D592" i="18"/>
  <c r="C592" i="18"/>
  <c r="B592" i="18"/>
  <c r="A592" i="18"/>
  <c r="CX591" i="18"/>
  <c r="CW591" i="18"/>
  <c r="CV591" i="18"/>
  <c r="CU591" i="18"/>
  <c r="CT591" i="18"/>
  <c r="CS591" i="18"/>
  <c r="CR591" i="18"/>
  <c r="CQ591" i="18"/>
  <c r="CP591" i="18"/>
  <c r="CO591" i="18"/>
  <c r="CN591" i="18"/>
  <c r="CM591" i="18"/>
  <c r="CL591" i="18"/>
  <c r="CK591" i="18"/>
  <c r="CJ591" i="18"/>
  <c r="CI591" i="18"/>
  <c r="CH591" i="18"/>
  <c r="CG591" i="18"/>
  <c r="CF591" i="18"/>
  <c r="CE591" i="18"/>
  <c r="CD591" i="18"/>
  <c r="CC591" i="18"/>
  <c r="CB591" i="18"/>
  <c r="CA591" i="18"/>
  <c r="BZ591" i="18"/>
  <c r="BY591" i="18"/>
  <c r="BX591" i="18"/>
  <c r="BW591" i="18"/>
  <c r="BV591" i="18"/>
  <c r="BU591" i="18"/>
  <c r="BT591" i="18"/>
  <c r="BS591" i="18"/>
  <c r="BR591" i="18"/>
  <c r="BQ591" i="18"/>
  <c r="BP591" i="18"/>
  <c r="BO591" i="18"/>
  <c r="BN591" i="18"/>
  <c r="BM591" i="18"/>
  <c r="BL591" i="18"/>
  <c r="BK591" i="18"/>
  <c r="BJ591" i="18"/>
  <c r="BI591" i="18"/>
  <c r="BH591" i="18"/>
  <c r="BG591" i="18"/>
  <c r="BF591" i="18"/>
  <c r="BE591" i="18"/>
  <c r="BD591" i="18"/>
  <c r="BC591" i="18"/>
  <c r="BB591" i="18"/>
  <c r="BA591" i="18"/>
  <c r="AZ591" i="18"/>
  <c r="AY591" i="18"/>
  <c r="AX591" i="18"/>
  <c r="AW591" i="18"/>
  <c r="AV591" i="18"/>
  <c r="AU591" i="18"/>
  <c r="AT591" i="18"/>
  <c r="AS591" i="18"/>
  <c r="AR591" i="18"/>
  <c r="AQ591" i="18"/>
  <c r="AP591" i="18"/>
  <c r="AO591" i="18"/>
  <c r="AN591" i="18"/>
  <c r="AM591" i="18"/>
  <c r="AL591" i="18"/>
  <c r="AK591" i="18"/>
  <c r="AJ591" i="18"/>
  <c r="AI591" i="18"/>
  <c r="AH591" i="18"/>
  <c r="AG591" i="18"/>
  <c r="AF591" i="18"/>
  <c r="AE591" i="18"/>
  <c r="AD591" i="18"/>
  <c r="AC591" i="18"/>
  <c r="AB591" i="18"/>
  <c r="AA591" i="18"/>
  <c r="Z591" i="18"/>
  <c r="Y591" i="18"/>
  <c r="X591" i="18"/>
  <c r="W591" i="18"/>
  <c r="V591" i="18"/>
  <c r="U591" i="18"/>
  <c r="T591" i="18"/>
  <c r="S591" i="18"/>
  <c r="R591" i="18"/>
  <c r="Q591" i="18"/>
  <c r="P591" i="18"/>
  <c r="O591" i="18"/>
  <c r="N591" i="18"/>
  <c r="M591" i="18"/>
  <c r="L591" i="18"/>
  <c r="K591" i="18"/>
  <c r="J591" i="18"/>
  <c r="I591" i="18"/>
  <c r="H591" i="18"/>
  <c r="G591" i="18"/>
  <c r="F591" i="18"/>
  <c r="E591" i="18"/>
  <c r="D591" i="18"/>
  <c r="C591" i="18"/>
  <c r="B591" i="18"/>
  <c r="A591" i="18"/>
  <c r="CX590" i="18"/>
  <c r="CW590" i="18"/>
  <c r="CV590" i="18"/>
  <c r="CU590" i="18"/>
  <c r="CT590" i="18"/>
  <c r="CS590" i="18"/>
  <c r="CR590" i="18"/>
  <c r="CQ590" i="18"/>
  <c r="CP590" i="18"/>
  <c r="CO590" i="18"/>
  <c r="CN590" i="18"/>
  <c r="CM590" i="18"/>
  <c r="CL590" i="18"/>
  <c r="CK590" i="18"/>
  <c r="CJ590" i="18"/>
  <c r="CI590" i="18"/>
  <c r="CH590" i="18"/>
  <c r="CG590" i="18"/>
  <c r="CF590" i="18"/>
  <c r="CE590" i="18"/>
  <c r="CD590" i="18"/>
  <c r="CC590" i="18"/>
  <c r="CB590" i="18"/>
  <c r="CA590" i="18"/>
  <c r="BZ590" i="18"/>
  <c r="BY590" i="18"/>
  <c r="BX590" i="18"/>
  <c r="BW590" i="18"/>
  <c r="BV590" i="18"/>
  <c r="BU590" i="18"/>
  <c r="BT590" i="18"/>
  <c r="BS590" i="18"/>
  <c r="BR590" i="18"/>
  <c r="BQ590" i="18"/>
  <c r="BP590" i="18"/>
  <c r="BO590" i="18"/>
  <c r="BN590" i="18"/>
  <c r="BM590" i="18"/>
  <c r="BL590" i="18"/>
  <c r="BK590" i="18"/>
  <c r="BJ590" i="18"/>
  <c r="BI590" i="18"/>
  <c r="BH590" i="18"/>
  <c r="BG590" i="18"/>
  <c r="BF590" i="18"/>
  <c r="BE590" i="18"/>
  <c r="BD590" i="18"/>
  <c r="BC590" i="18"/>
  <c r="BB590" i="18"/>
  <c r="BA590" i="18"/>
  <c r="AZ590" i="18"/>
  <c r="AY590" i="18"/>
  <c r="AX590" i="18"/>
  <c r="AW590" i="18"/>
  <c r="AV590" i="18"/>
  <c r="AU590" i="18"/>
  <c r="AT590" i="18"/>
  <c r="AS590" i="18"/>
  <c r="AR590" i="18"/>
  <c r="AQ590" i="18"/>
  <c r="AP590" i="18"/>
  <c r="AO590" i="18"/>
  <c r="AN590" i="18"/>
  <c r="AM590" i="18"/>
  <c r="AL590" i="18"/>
  <c r="AK590" i="18"/>
  <c r="AJ590" i="18"/>
  <c r="AI590" i="18"/>
  <c r="AH590" i="18"/>
  <c r="AG590" i="18"/>
  <c r="AF590" i="18"/>
  <c r="AE590" i="18"/>
  <c r="AD590" i="18"/>
  <c r="AC590" i="18"/>
  <c r="AB590" i="18"/>
  <c r="AA590" i="18"/>
  <c r="Z590" i="18"/>
  <c r="Y590" i="18"/>
  <c r="X590" i="18"/>
  <c r="W590" i="18"/>
  <c r="V590" i="18"/>
  <c r="U590" i="18"/>
  <c r="T590" i="18"/>
  <c r="S590" i="18"/>
  <c r="R590" i="18"/>
  <c r="Q590" i="18"/>
  <c r="P590" i="18"/>
  <c r="O590" i="18"/>
  <c r="N590" i="18"/>
  <c r="M590" i="18"/>
  <c r="L590" i="18"/>
  <c r="K590" i="18"/>
  <c r="J590" i="18"/>
  <c r="I590" i="18"/>
  <c r="H590" i="18"/>
  <c r="G590" i="18"/>
  <c r="F590" i="18"/>
  <c r="E590" i="18"/>
  <c r="D590" i="18"/>
  <c r="C590" i="18"/>
  <c r="B590" i="18"/>
  <c r="A590" i="18"/>
  <c r="CX589" i="18"/>
  <c r="CW589" i="18"/>
  <c r="CV589" i="18"/>
  <c r="CU589" i="18"/>
  <c r="CT589" i="18"/>
  <c r="CS589" i="18"/>
  <c r="CR589" i="18"/>
  <c r="CQ589" i="18"/>
  <c r="CP589" i="18"/>
  <c r="CO589" i="18"/>
  <c r="CN589" i="18"/>
  <c r="CM589" i="18"/>
  <c r="CL589" i="18"/>
  <c r="CK589" i="18"/>
  <c r="CJ589" i="18"/>
  <c r="CI589" i="18"/>
  <c r="CH589" i="18"/>
  <c r="CG589" i="18"/>
  <c r="CF589" i="18"/>
  <c r="CE589" i="18"/>
  <c r="CD589" i="18"/>
  <c r="CC589" i="18"/>
  <c r="CB589" i="18"/>
  <c r="CA589" i="18"/>
  <c r="BZ589" i="18"/>
  <c r="BY589" i="18"/>
  <c r="BX589" i="18"/>
  <c r="BW589" i="18"/>
  <c r="BV589" i="18"/>
  <c r="BU589" i="18"/>
  <c r="BT589" i="18"/>
  <c r="BS589" i="18"/>
  <c r="BR589" i="18"/>
  <c r="BQ589" i="18"/>
  <c r="BP589" i="18"/>
  <c r="BO589" i="18"/>
  <c r="BN589" i="18"/>
  <c r="BM589" i="18"/>
  <c r="BL589" i="18"/>
  <c r="BK589" i="18"/>
  <c r="BJ589" i="18"/>
  <c r="BI589" i="18"/>
  <c r="BH589" i="18"/>
  <c r="BG589" i="18"/>
  <c r="BF589" i="18"/>
  <c r="BE589" i="18"/>
  <c r="BD589" i="18"/>
  <c r="BC589" i="18"/>
  <c r="BB589" i="18"/>
  <c r="BA589" i="18"/>
  <c r="AZ589" i="18"/>
  <c r="AY589" i="18"/>
  <c r="AX589" i="18"/>
  <c r="AW589" i="18"/>
  <c r="AV589" i="18"/>
  <c r="AU589" i="18"/>
  <c r="AT589" i="18"/>
  <c r="AS589" i="18"/>
  <c r="AR589" i="18"/>
  <c r="AQ589" i="18"/>
  <c r="AP589" i="18"/>
  <c r="AO589" i="18"/>
  <c r="AN589" i="18"/>
  <c r="AM589" i="18"/>
  <c r="AL589" i="18"/>
  <c r="AK589" i="18"/>
  <c r="AJ589" i="18"/>
  <c r="AI589" i="18"/>
  <c r="AH589" i="18"/>
  <c r="AG589" i="18"/>
  <c r="AF589" i="18"/>
  <c r="AE589" i="18"/>
  <c r="AD589" i="18"/>
  <c r="AC589" i="18"/>
  <c r="AB589" i="18"/>
  <c r="AA589" i="18"/>
  <c r="Z589" i="18"/>
  <c r="Y589" i="18"/>
  <c r="X589" i="18"/>
  <c r="W589" i="18"/>
  <c r="V589" i="18"/>
  <c r="U589" i="18"/>
  <c r="T589" i="18"/>
  <c r="S589" i="18"/>
  <c r="R589" i="18"/>
  <c r="Q589" i="18"/>
  <c r="P589" i="18"/>
  <c r="O589" i="18"/>
  <c r="N589" i="18"/>
  <c r="M589" i="18"/>
  <c r="L589" i="18"/>
  <c r="K589" i="18"/>
  <c r="J589" i="18"/>
  <c r="I589" i="18"/>
  <c r="H589" i="18"/>
  <c r="G589" i="18"/>
  <c r="F589" i="18"/>
  <c r="E589" i="18"/>
  <c r="D589" i="18"/>
  <c r="C589" i="18"/>
  <c r="B589" i="18"/>
  <c r="A589" i="18"/>
  <c r="CX588" i="18"/>
  <c r="CW588" i="18"/>
  <c r="CV588" i="18"/>
  <c r="CU588" i="18"/>
  <c r="CT588" i="18"/>
  <c r="CS588" i="18"/>
  <c r="CR588" i="18"/>
  <c r="CQ588" i="18"/>
  <c r="CP588" i="18"/>
  <c r="CO588" i="18"/>
  <c r="CN588" i="18"/>
  <c r="CM588" i="18"/>
  <c r="CL588" i="18"/>
  <c r="CK588" i="18"/>
  <c r="CJ588" i="18"/>
  <c r="CI588" i="18"/>
  <c r="CH588" i="18"/>
  <c r="CG588" i="18"/>
  <c r="CF588" i="18"/>
  <c r="CE588" i="18"/>
  <c r="CD588" i="18"/>
  <c r="CC588" i="18"/>
  <c r="CB588" i="18"/>
  <c r="CA588" i="18"/>
  <c r="BZ588" i="18"/>
  <c r="BY588" i="18"/>
  <c r="BX588" i="18"/>
  <c r="BW588" i="18"/>
  <c r="BV588" i="18"/>
  <c r="BU588" i="18"/>
  <c r="BT588" i="18"/>
  <c r="BS588" i="18"/>
  <c r="BR588" i="18"/>
  <c r="BQ588" i="18"/>
  <c r="BP588" i="18"/>
  <c r="BO588" i="18"/>
  <c r="BN588" i="18"/>
  <c r="BM588" i="18"/>
  <c r="BL588" i="18"/>
  <c r="BK588" i="18"/>
  <c r="BJ588" i="18"/>
  <c r="BI588" i="18"/>
  <c r="BH588" i="18"/>
  <c r="BG588" i="18"/>
  <c r="BF588" i="18"/>
  <c r="BE588" i="18"/>
  <c r="BD588" i="18"/>
  <c r="BC588" i="18"/>
  <c r="BB588" i="18"/>
  <c r="BA588" i="18"/>
  <c r="AZ588" i="18"/>
  <c r="AY588" i="18"/>
  <c r="AX588" i="18"/>
  <c r="AW588" i="18"/>
  <c r="AV588" i="18"/>
  <c r="AU588" i="18"/>
  <c r="AT588" i="18"/>
  <c r="AS588" i="18"/>
  <c r="AR588" i="18"/>
  <c r="AQ588" i="18"/>
  <c r="AP588" i="18"/>
  <c r="AO588" i="18"/>
  <c r="AN588" i="18"/>
  <c r="AM588" i="18"/>
  <c r="AL588" i="18"/>
  <c r="AK588" i="18"/>
  <c r="AJ588" i="18"/>
  <c r="AI588" i="18"/>
  <c r="AH588" i="18"/>
  <c r="AG588" i="18"/>
  <c r="AF588" i="18"/>
  <c r="AE588" i="18"/>
  <c r="AD588" i="18"/>
  <c r="AC588" i="18"/>
  <c r="AB588" i="18"/>
  <c r="AA588" i="18"/>
  <c r="Z588" i="18"/>
  <c r="Y588" i="18"/>
  <c r="X588" i="18"/>
  <c r="W588" i="18"/>
  <c r="V588" i="18"/>
  <c r="U588" i="18"/>
  <c r="T588" i="18"/>
  <c r="S588" i="18"/>
  <c r="R588" i="18"/>
  <c r="Q588" i="18"/>
  <c r="P588" i="18"/>
  <c r="O588" i="18"/>
  <c r="N588" i="18"/>
  <c r="M588" i="18"/>
  <c r="L588" i="18"/>
  <c r="K588" i="18"/>
  <c r="J588" i="18"/>
  <c r="I588" i="18"/>
  <c r="H588" i="18"/>
  <c r="G588" i="18"/>
  <c r="F588" i="18"/>
  <c r="E588" i="18"/>
  <c r="D588" i="18"/>
  <c r="C588" i="18"/>
  <c r="B588" i="18"/>
  <c r="A588" i="18"/>
  <c r="CX587" i="18"/>
  <c r="CW587" i="18"/>
  <c r="CV587" i="18"/>
  <c r="CU587" i="18"/>
  <c r="CT587" i="18"/>
  <c r="CS587" i="18"/>
  <c r="CR587" i="18"/>
  <c r="CH587" i="18"/>
  <c r="CG587" i="18"/>
  <c r="CF587" i="18"/>
  <c r="CE587" i="18"/>
  <c r="CD587" i="18"/>
  <c r="CC587" i="18"/>
  <c r="CB587" i="18"/>
  <c r="CA587" i="18"/>
  <c r="BZ587" i="18"/>
  <c r="BY587" i="18"/>
  <c r="AQ587" i="18"/>
  <c r="AP587" i="18"/>
  <c r="AO587" i="18"/>
  <c r="AN587" i="18"/>
  <c r="AM587" i="18"/>
  <c r="AL587" i="18"/>
  <c r="AK587" i="18"/>
  <c r="AJ587" i="18"/>
  <c r="AI587" i="18"/>
  <c r="AH587" i="18"/>
  <c r="AG587" i="18"/>
  <c r="AF587" i="18"/>
  <c r="AE587" i="18"/>
  <c r="AD587" i="18"/>
  <c r="AC587" i="18"/>
  <c r="AB587" i="18"/>
  <c r="AA587" i="18"/>
  <c r="Z587" i="18"/>
  <c r="Y587" i="18"/>
  <c r="X587" i="18"/>
  <c r="W587" i="18"/>
  <c r="V587" i="18"/>
  <c r="U587" i="18"/>
  <c r="T587" i="18"/>
  <c r="S587" i="18"/>
  <c r="R587" i="18"/>
  <c r="Q587" i="18"/>
  <c r="P587" i="18"/>
  <c r="O587" i="18"/>
  <c r="N587" i="18"/>
  <c r="M587" i="18"/>
  <c r="L587" i="18"/>
  <c r="K587" i="18"/>
  <c r="J587" i="18"/>
  <c r="I587" i="18"/>
  <c r="H587" i="18"/>
  <c r="G587" i="18"/>
  <c r="F587" i="18"/>
  <c r="E587" i="18"/>
  <c r="D587" i="18"/>
  <c r="C587" i="18"/>
  <c r="B587" i="18"/>
  <c r="A587" i="18"/>
  <c r="CX585" i="18"/>
  <c r="CW585" i="18"/>
  <c r="CV585" i="18"/>
  <c r="CU585" i="18"/>
  <c r="CT585" i="18"/>
  <c r="CS585" i="18"/>
  <c r="CR585" i="18"/>
  <c r="CQ585" i="18"/>
  <c r="CP585" i="18"/>
  <c r="CO585" i="18"/>
  <c r="CN585" i="18"/>
  <c r="CM585" i="18"/>
  <c r="CL585" i="18"/>
  <c r="CK585" i="18"/>
  <c r="CJ585" i="18"/>
  <c r="CI585" i="18"/>
  <c r="CH585" i="18"/>
  <c r="CG585" i="18"/>
  <c r="CF585" i="18"/>
  <c r="CE585" i="18"/>
  <c r="CD585" i="18"/>
  <c r="CC585" i="18"/>
  <c r="CB585" i="18"/>
  <c r="CA585" i="18"/>
  <c r="BZ585" i="18"/>
  <c r="BY585" i="18"/>
  <c r="BX585" i="18"/>
  <c r="BW585" i="18"/>
  <c r="BV585" i="18"/>
  <c r="BU585" i="18"/>
  <c r="BT585" i="18"/>
  <c r="BS585" i="18"/>
  <c r="BR585" i="18"/>
  <c r="BQ585" i="18"/>
  <c r="BP585" i="18"/>
  <c r="BO585" i="18"/>
  <c r="BN585" i="18"/>
  <c r="BM585" i="18"/>
  <c r="BL585" i="18"/>
  <c r="BK585" i="18"/>
  <c r="BJ585" i="18"/>
  <c r="BI585" i="18"/>
  <c r="BH585" i="18"/>
  <c r="BG585" i="18"/>
  <c r="BF585" i="18"/>
  <c r="BE585" i="18"/>
  <c r="BD585" i="18"/>
  <c r="BC585" i="18"/>
  <c r="BB585" i="18"/>
  <c r="BA585" i="18"/>
  <c r="AZ585" i="18"/>
  <c r="AY585" i="18"/>
  <c r="AX585" i="18"/>
  <c r="AW585" i="18"/>
  <c r="AV585" i="18"/>
  <c r="AU585" i="18"/>
  <c r="AT585" i="18"/>
  <c r="AS585" i="18"/>
  <c r="AR585" i="18"/>
  <c r="AQ585" i="18"/>
  <c r="AP585" i="18"/>
  <c r="AO585" i="18"/>
  <c r="AN585" i="18"/>
  <c r="AM585" i="18"/>
  <c r="AL585" i="18"/>
  <c r="AK585" i="18"/>
  <c r="AJ585" i="18"/>
  <c r="AI585" i="18"/>
  <c r="AH585" i="18"/>
  <c r="AG585" i="18"/>
  <c r="AF585" i="18"/>
  <c r="AE585" i="18"/>
  <c r="AD585" i="18"/>
  <c r="AC585" i="18"/>
  <c r="AB585" i="18"/>
  <c r="AA585" i="18"/>
  <c r="Z585" i="18"/>
  <c r="Y585" i="18"/>
  <c r="X585" i="18"/>
  <c r="W585" i="18"/>
  <c r="V585" i="18"/>
  <c r="U585" i="18"/>
  <c r="T585" i="18"/>
  <c r="S585" i="18"/>
  <c r="R585" i="18"/>
  <c r="Q585" i="18"/>
  <c r="P585" i="18"/>
  <c r="O585" i="18"/>
  <c r="N585" i="18"/>
  <c r="M585" i="18"/>
  <c r="L585" i="18"/>
  <c r="K585" i="18"/>
  <c r="J585" i="18"/>
  <c r="I585" i="18"/>
  <c r="H585" i="18"/>
  <c r="G585" i="18"/>
  <c r="F585" i="18"/>
  <c r="E585" i="18"/>
  <c r="D585" i="18"/>
  <c r="C585" i="18"/>
  <c r="B585" i="18"/>
  <c r="A585" i="18"/>
  <c r="CX584" i="18"/>
  <c r="CW584" i="18"/>
  <c r="CV584" i="18"/>
  <c r="CU584" i="18"/>
  <c r="CT584" i="18"/>
  <c r="CS584" i="18"/>
  <c r="CR584" i="18"/>
  <c r="CQ584" i="18"/>
  <c r="CP584" i="18"/>
  <c r="CO584" i="18"/>
  <c r="CN584" i="18"/>
  <c r="CM584" i="18"/>
  <c r="CL584" i="18"/>
  <c r="CK584" i="18"/>
  <c r="CJ584" i="18"/>
  <c r="CI584" i="18"/>
  <c r="CH584" i="18"/>
  <c r="CG584" i="18"/>
  <c r="CF584" i="18"/>
  <c r="CE584" i="18"/>
  <c r="CD584" i="18"/>
  <c r="CC584" i="18"/>
  <c r="CB584" i="18"/>
  <c r="CA584" i="18"/>
  <c r="BZ584" i="18"/>
  <c r="BY584" i="18"/>
  <c r="BX584" i="18"/>
  <c r="BW584" i="18"/>
  <c r="BV584" i="18"/>
  <c r="BU584" i="18"/>
  <c r="BT584" i="18"/>
  <c r="BS584" i="18"/>
  <c r="BR584" i="18"/>
  <c r="BQ584" i="18"/>
  <c r="BP584" i="18"/>
  <c r="BO584" i="18"/>
  <c r="BN584" i="18"/>
  <c r="BM584" i="18"/>
  <c r="BL584" i="18"/>
  <c r="BK584" i="18"/>
  <c r="BJ584" i="18"/>
  <c r="BI584" i="18"/>
  <c r="BH584" i="18"/>
  <c r="BG584" i="18"/>
  <c r="BF584" i="18"/>
  <c r="BE584" i="18"/>
  <c r="BD584" i="18"/>
  <c r="BC584" i="18"/>
  <c r="BB584" i="18"/>
  <c r="BA584" i="18"/>
  <c r="AZ584" i="18"/>
  <c r="AY584" i="18"/>
  <c r="AX584" i="18"/>
  <c r="AW584" i="18"/>
  <c r="AV584" i="18"/>
  <c r="AU584" i="18"/>
  <c r="AT584" i="18"/>
  <c r="AS584" i="18"/>
  <c r="AR584" i="18"/>
  <c r="AQ584" i="18"/>
  <c r="AP584" i="18"/>
  <c r="AO584" i="18"/>
  <c r="AN584" i="18"/>
  <c r="AM584" i="18"/>
  <c r="AL584" i="18"/>
  <c r="AK584" i="18"/>
  <c r="AJ584" i="18"/>
  <c r="AI584" i="18"/>
  <c r="AH584" i="18"/>
  <c r="AG584" i="18"/>
  <c r="AF584" i="18"/>
  <c r="AE584" i="18"/>
  <c r="AD584" i="18"/>
  <c r="AC584" i="18"/>
  <c r="AB584" i="18"/>
  <c r="AA584" i="18"/>
  <c r="Z584" i="18"/>
  <c r="Y584" i="18"/>
  <c r="X584" i="18"/>
  <c r="W584" i="18"/>
  <c r="V584" i="18"/>
  <c r="U584" i="18"/>
  <c r="T584" i="18"/>
  <c r="S584" i="18"/>
  <c r="R584" i="18"/>
  <c r="Q584" i="18"/>
  <c r="P584" i="18"/>
  <c r="O584" i="18"/>
  <c r="N584" i="18"/>
  <c r="M584" i="18"/>
  <c r="L584" i="18"/>
  <c r="K584" i="18"/>
  <c r="J584" i="18"/>
  <c r="I584" i="18"/>
  <c r="H584" i="18"/>
  <c r="G584" i="18"/>
  <c r="F584" i="18"/>
  <c r="E584" i="18"/>
  <c r="D584" i="18"/>
  <c r="C584" i="18"/>
  <c r="B584" i="18"/>
  <c r="A584" i="18"/>
  <c r="CX583" i="18"/>
  <c r="CW583" i="18"/>
  <c r="CV583" i="18"/>
  <c r="CU583" i="18"/>
  <c r="CT583" i="18"/>
  <c r="CS583" i="18"/>
  <c r="CR583" i="18"/>
  <c r="CQ583" i="18"/>
  <c r="CP583" i="18"/>
  <c r="CO583" i="18"/>
  <c r="CN583" i="18"/>
  <c r="CM583" i="18"/>
  <c r="CL583" i="18"/>
  <c r="CK583" i="18"/>
  <c r="CJ583" i="18"/>
  <c r="CI583" i="18"/>
  <c r="CH583" i="18"/>
  <c r="CG583" i="18"/>
  <c r="CF583" i="18"/>
  <c r="CE583" i="18"/>
  <c r="CD583" i="18"/>
  <c r="CC583" i="18"/>
  <c r="CB583" i="18"/>
  <c r="CA583" i="18"/>
  <c r="BZ583" i="18"/>
  <c r="BY583" i="18"/>
  <c r="BX583" i="18"/>
  <c r="BW583" i="18"/>
  <c r="BV583" i="18"/>
  <c r="BU583" i="18"/>
  <c r="BT583" i="18"/>
  <c r="BS583" i="18"/>
  <c r="BR583" i="18"/>
  <c r="BQ583" i="18"/>
  <c r="BP583" i="18"/>
  <c r="BO583" i="18"/>
  <c r="BN583" i="18"/>
  <c r="BM583" i="18"/>
  <c r="BL583" i="18"/>
  <c r="BK583" i="18"/>
  <c r="BJ583" i="18"/>
  <c r="BI583" i="18"/>
  <c r="BH583" i="18"/>
  <c r="BG583" i="18"/>
  <c r="BF583" i="18"/>
  <c r="BE583" i="18"/>
  <c r="BD583" i="18"/>
  <c r="BC583" i="18"/>
  <c r="BB583" i="18"/>
  <c r="BA583" i="18"/>
  <c r="AZ583" i="18"/>
  <c r="AY583" i="18"/>
  <c r="AX583" i="18"/>
  <c r="AW583" i="18"/>
  <c r="AV583" i="18"/>
  <c r="AU583" i="18"/>
  <c r="AT583" i="18"/>
  <c r="AS583" i="18"/>
  <c r="AR583" i="18"/>
  <c r="AQ583" i="18"/>
  <c r="AP583" i="18"/>
  <c r="AO583" i="18"/>
  <c r="AN583" i="18"/>
  <c r="AM583" i="18"/>
  <c r="AL583" i="18"/>
  <c r="AK583" i="18"/>
  <c r="AJ583" i="18"/>
  <c r="AI583" i="18"/>
  <c r="AH583" i="18"/>
  <c r="AG583" i="18"/>
  <c r="AF583" i="18"/>
  <c r="AE583" i="18"/>
  <c r="AD583" i="18"/>
  <c r="AC583" i="18"/>
  <c r="AB583" i="18"/>
  <c r="AA583" i="18"/>
  <c r="Z583" i="18"/>
  <c r="Y583" i="18"/>
  <c r="X583" i="18"/>
  <c r="W583" i="18"/>
  <c r="V583" i="18"/>
  <c r="U583" i="18"/>
  <c r="T583" i="18"/>
  <c r="S583" i="18"/>
  <c r="R583" i="18"/>
  <c r="Q583" i="18"/>
  <c r="P583" i="18"/>
  <c r="O583" i="18"/>
  <c r="N583" i="18"/>
  <c r="M583" i="18"/>
  <c r="L583" i="18"/>
  <c r="K583" i="18"/>
  <c r="J583" i="18"/>
  <c r="I583" i="18"/>
  <c r="H583" i="18"/>
  <c r="G583" i="18"/>
  <c r="F583" i="18"/>
  <c r="E583" i="18"/>
  <c r="D583" i="18"/>
  <c r="C583" i="18"/>
  <c r="B583" i="18"/>
  <c r="A583" i="18"/>
  <c r="CX582" i="18"/>
  <c r="CW582" i="18"/>
  <c r="CV582" i="18"/>
  <c r="CU582" i="18"/>
  <c r="CT582" i="18"/>
  <c r="CS582" i="18"/>
  <c r="CR582" i="18"/>
  <c r="CQ582" i="18"/>
  <c r="CP582" i="18"/>
  <c r="CO582" i="18"/>
  <c r="CN582" i="18"/>
  <c r="CM582" i="18"/>
  <c r="CL582" i="18"/>
  <c r="CK582" i="18"/>
  <c r="CJ582" i="18"/>
  <c r="CI582" i="18"/>
  <c r="CH582" i="18"/>
  <c r="CG582" i="18"/>
  <c r="CF582" i="18"/>
  <c r="CE582" i="18"/>
  <c r="CD582" i="18"/>
  <c r="CC582" i="18"/>
  <c r="CB582" i="18"/>
  <c r="CA582" i="18"/>
  <c r="BZ582" i="18"/>
  <c r="BY582" i="18"/>
  <c r="BX582" i="18"/>
  <c r="BW582" i="18"/>
  <c r="BV582" i="18"/>
  <c r="BU582" i="18"/>
  <c r="BT582" i="18"/>
  <c r="BS582" i="18"/>
  <c r="BR582" i="18"/>
  <c r="BQ582" i="18"/>
  <c r="BP582" i="18"/>
  <c r="BO582" i="18"/>
  <c r="BN582" i="18"/>
  <c r="BM582" i="18"/>
  <c r="BL582" i="18"/>
  <c r="BK582" i="18"/>
  <c r="BJ582" i="18"/>
  <c r="BI582" i="18"/>
  <c r="BH582" i="18"/>
  <c r="BG582" i="18"/>
  <c r="BF582" i="18"/>
  <c r="BE582" i="18"/>
  <c r="BD582" i="18"/>
  <c r="BC582" i="18"/>
  <c r="BB582" i="18"/>
  <c r="BA582" i="18"/>
  <c r="AZ582" i="18"/>
  <c r="AY582" i="18"/>
  <c r="AX582" i="18"/>
  <c r="AW582" i="18"/>
  <c r="AV582" i="18"/>
  <c r="AU582" i="18"/>
  <c r="AT582" i="18"/>
  <c r="AS582" i="18"/>
  <c r="AR582" i="18"/>
  <c r="AQ582" i="18"/>
  <c r="AP582" i="18"/>
  <c r="AO582" i="18"/>
  <c r="AN582" i="18"/>
  <c r="AM582" i="18"/>
  <c r="AL582" i="18"/>
  <c r="AK582" i="18"/>
  <c r="AJ582" i="18"/>
  <c r="AI582" i="18"/>
  <c r="AH582" i="18"/>
  <c r="AG582" i="18"/>
  <c r="AF582" i="18"/>
  <c r="AE582" i="18"/>
  <c r="AD582" i="18"/>
  <c r="AC582" i="18"/>
  <c r="AB582" i="18"/>
  <c r="AA582" i="18"/>
  <c r="Z582" i="18"/>
  <c r="Y582" i="18"/>
  <c r="X582" i="18"/>
  <c r="W582" i="18"/>
  <c r="V582" i="18"/>
  <c r="U582" i="18"/>
  <c r="T582" i="18"/>
  <c r="S582" i="18"/>
  <c r="R582" i="18"/>
  <c r="Q582" i="18"/>
  <c r="P582" i="18"/>
  <c r="O582" i="18"/>
  <c r="N582" i="18"/>
  <c r="M582" i="18"/>
  <c r="L582" i="18"/>
  <c r="K582" i="18"/>
  <c r="J582" i="18"/>
  <c r="I582" i="18"/>
  <c r="H582" i="18"/>
  <c r="G582" i="18"/>
  <c r="F582" i="18"/>
  <c r="E582" i="18"/>
  <c r="D582" i="18"/>
  <c r="C582" i="18"/>
  <c r="B582" i="18"/>
  <c r="A582" i="18"/>
  <c r="CH581" i="18"/>
  <c r="CG581" i="18"/>
  <c r="CF581" i="18"/>
  <c r="CE581" i="18"/>
  <c r="CD581" i="18"/>
  <c r="CC581" i="18"/>
  <c r="CB581" i="18"/>
  <c r="CA581" i="18"/>
  <c r="BZ581" i="18"/>
  <c r="BY581" i="18"/>
  <c r="AQ581" i="18"/>
  <c r="AP581" i="18"/>
  <c r="AO581" i="18"/>
  <c r="AN581" i="18"/>
  <c r="AM581" i="18"/>
  <c r="AL581" i="18"/>
  <c r="AK581" i="18"/>
  <c r="AJ581" i="18"/>
  <c r="AI581" i="18"/>
  <c r="AH581" i="18"/>
  <c r="AG581" i="18"/>
  <c r="AF581" i="18"/>
  <c r="AE581" i="18"/>
  <c r="AD581" i="18"/>
  <c r="AC581" i="18"/>
  <c r="AB581" i="18"/>
  <c r="AA581" i="18"/>
  <c r="Z581" i="18"/>
  <c r="Y581" i="18"/>
  <c r="X581" i="18"/>
  <c r="W581" i="18"/>
  <c r="V581" i="18"/>
  <c r="U581" i="18"/>
  <c r="T581" i="18"/>
  <c r="S581" i="18"/>
  <c r="R581" i="18"/>
  <c r="Q581" i="18"/>
  <c r="P581" i="18"/>
  <c r="O581" i="18"/>
  <c r="N581" i="18"/>
  <c r="M581" i="18"/>
  <c r="L581" i="18"/>
  <c r="K581" i="18"/>
  <c r="J581" i="18"/>
  <c r="I581" i="18"/>
  <c r="H581" i="18"/>
  <c r="G581" i="18"/>
  <c r="F581" i="18"/>
  <c r="E581" i="18"/>
  <c r="D581" i="18"/>
  <c r="C581" i="18"/>
  <c r="B581" i="18"/>
  <c r="A581" i="18"/>
  <c r="CH580" i="18"/>
  <c r="CG580" i="18"/>
  <c r="CF580" i="18"/>
  <c r="CE580" i="18"/>
  <c r="CD580" i="18"/>
  <c r="CC580" i="18"/>
  <c r="CB580" i="18"/>
  <c r="CA580" i="18"/>
  <c r="BZ580" i="18"/>
  <c r="BY580" i="18"/>
  <c r="AQ580" i="18"/>
  <c r="AP580" i="18"/>
  <c r="AO580" i="18"/>
  <c r="AN580" i="18"/>
  <c r="AM580" i="18"/>
  <c r="AL580" i="18"/>
  <c r="AK580" i="18"/>
  <c r="AJ580" i="18"/>
  <c r="AI580" i="18"/>
  <c r="AH580" i="18"/>
  <c r="AG580" i="18"/>
  <c r="AF580" i="18"/>
  <c r="AE580" i="18"/>
  <c r="AD580" i="18"/>
  <c r="AC580" i="18"/>
  <c r="AB580" i="18"/>
  <c r="AA580" i="18"/>
  <c r="Z580" i="18"/>
  <c r="Y580" i="18"/>
  <c r="X580" i="18"/>
  <c r="W580" i="18"/>
  <c r="V580" i="18"/>
  <c r="U580" i="18"/>
  <c r="T580" i="18"/>
  <c r="S580" i="18"/>
  <c r="R580" i="18"/>
  <c r="Q580" i="18"/>
  <c r="P580" i="18"/>
  <c r="O580" i="18"/>
  <c r="N580" i="18"/>
  <c r="M580" i="18"/>
  <c r="L580" i="18"/>
  <c r="K580" i="18"/>
  <c r="J580" i="18"/>
  <c r="I580" i="18"/>
  <c r="H580" i="18"/>
  <c r="G580" i="18"/>
  <c r="F580" i="18"/>
  <c r="E580" i="18"/>
  <c r="D580" i="18"/>
  <c r="C580" i="18"/>
  <c r="B580" i="18"/>
  <c r="A580" i="18"/>
  <c r="CH579" i="18"/>
  <c r="CG579" i="18"/>
  <c r="CF579" i="18"/>
  <c r="CE579" i="18"/>
  <c r="CD579" i="18"/>
  <c r="CC579" i="18"/>
  <c r="CB579" i="18"/>
  <c r="CA579" i="18"/>
  <c r="BZ579" i="18"/>
  <c r="BY579" i="18"/>
  <c r="AQ579" i="18"/>
  <c r="AP579" i="18"/>
  <c r="AO579" i="18"/>
  <c r="AN579" i="18"/>
  <c r="AM579" i="18"/>
  <c r="AL579" i="18"/>
  <c r="AK579" i="18"/>
  <c r="AJ579" i="18"/>
  <c r="AI579" i="18"/>
  <c r="AH579" i="18"/>
  <c r="AG579" i="18"/>
  <c r="AF579" i="18"/>
  <c r="AE579" i="18"/>
  <c r="AD579" i="18"/>
  <c r="AC579" i="18"/>
  <c r="AB579" i="18"/>
  <c r="AA579" i="18"/>
  <c r="Z579" i="18"/>
  <c r="Y579" i="18"/>
  <c r="X579" i="18"/>
  <c r="W579" i="18"/>
  <c r="V579" i="18"/>
  <c r="U579" i="18"/>
  <c r="T579" i="18"/>
  <c r="S579" i="18"/>
  <c r="R579" i="18"/>
  <c r="Q579" i="18"/>
  <c r="P579" i="18"/>
  <c r="O579" i="18"/>
  <c r="N579" i="18"/>
  <c r="M579" i="18"/>
  <c r="L579" i="18"/>
  <c r="K579" i="18"/>
  <c r="J579" i="18"/>
  <c r="I579" i="18"/>
  <c r="H579" i="18"/>
  <c r="G579" i="18"/>
  <c r="F579" i="18"/>
  <c r="E579" i="18"/>
  <c r="D579" i="18"/>
  <c r="C579" i="18"/>
  <c r="B579" i="18"/>
  <c r="A579" i="18"/>
  <c r="CX578" i="18"/>
  <c r="CW578" i="18"/>
  <c r="CV578" i="18"/>
  <c r="CU578" i="18"/>
  <c r="CT578" i="18"/>
  <c r="CS578" i="18"/>
  <c r="CR578" i="18"/>
  <c r="CQ578" i="18"/>
  <c r="CP578" i="18"/>
  <c r="CO578" i="18"/>
  <c r="CN578" i="18"/>
  <c r="CM578" i="18"/>
  <c r="CL578" i="18"/>
  <c r="CK578" i="18"/>
  <c r="CJ578" i="18"/>
  <c r="CI578" i="18"/>
  <c r="CH578" i="18"/>
  <c r="CG578" i="18"/>
  <c r="CF578" i="18"/>
  <c r="CE578" i="18"/>
  <c r="CD578" i="18"/>
  <c r="CC578" i="18"/>
  <c r="CB578" i="18"/>
  <c r="CA578" i="18"/>
  <c r="BZ578" i="18"/>
  <c r="BY578" i="18"/>
  <c r="AR578" i="18"/>
  <c r="AQ578" i="18"/>
  <c r="AP578" i="18"/>
  <c r="AO578" i="18"/>
  <c r="AN578" i="18"/>
  <c r="AM578" i="18"/>
  <c r="AL578" i="18"/>
  <c r="AK578" i="18"/>
  <c r="AJ578" i="18"/>
  <c r="AI578" i="18"/>
  <c r="AH578" i="18"/>
  <c r="AG578" i="18"/>
  <c r="AF578" i="18"/>
  <c r="AE578" i="18"/>
  <c r="AD578" i="18"/>
  <c r="AC578" i="18"/>
  <c r="AB578" i="18"/>
  <c r="AA578" i="18"/>
  <c r="Z578" i="18"/>
  <c r="Y578" i="18"/>
  <c r="X578" i="18"/>
  <c r="W578" i="18"/>
  <c r="V578" i="18"/>
  <c r="U578" i="18"/>
  <c r="T578" i="18"/>
  <c r="S578" i="18"/>
  <c r="R578" i="18"/>
  <c r="Q578" i="18"/>
  <c r="P578" i="18"/>
  <c r="O578" i="18"/>
  <c r="N578" i="18"/>
  <c r="M578" i="18"/>
  <c r="L578" i="18"/>
  <c r="K578" i="18"/>
  <c r="J578" i="18"/>
  <c r="I578" i="18"/>
  <c r="H578" i="18"/>
  <c r="G578" i="18"/>
  <c r="F578" i="18"/>
  <c r="E578" i="18"/>
  <c r="D578" i="18"/>
  <c r="C578" i="18"/>
  <c r="B578" i="18"/>
  <c r="A578" i="18"/>
  <c r="CH577" i="18"/>
  <c r="CG577" i="18"/>
  <c r="CF577" i="18"/>
  <c r="CE577" i="18"/>
  <c r="CD577" i="18"/>
  <c r="CC577" i="18"/>
  <c r="CB577" i="18"/>
  <c r="CA577" i="18"/>
  <c r="BZ577" i="18"/>
  <c r="BY577" i="18"/>
  <c r="AQ577" i="18"/>
  <c r="AP577" i="18"/>
  <c r="AO577" i="18"/>
  <c r="AN577" i="18"/>
  <c r="AM577" i="18"/>
  <c r="AL577" i="18"/>
  <c r="AK577" i="18"/>
  <c r="AJ577" i="18"/>
  <c r="AI577" i="18"/>
  <c r="AH577" i="18"/>
  <c r="AG577" i="18"/>
  <c r="AF577" i="18"/>
  <c r="AE577" i="18"/>
  <c r="AD577" i="18"/>
  <c r="AC577" i="18"/>
  <c r="AB577" i="18"/>
  <c r="AA577" i="18"/>
  <c r="Z577" i="18"/>
  <c r="Y577" i="18"/>
  <c r="X577" i="18"/>
  <c r="W577" i="18"/>
  <c r="V577" i="18"/>
  <c r="U577" i="18"/>
  <c r="T577" i="18"/>
  <c r="S577" i="18"/>
  <c r="R577" i="18"/>
  <c r="Q577" i="18"/>
  <c r="P577" i="18"/>
  <c r="O577" i="18"/>
  <c r="N577" i="18"/>
  <c r="M577" i="18"/>
  <c r="L577" i="18"/>
  <c r="K577" i="18"/>
  <c r="J577" i="18"/>
  <c r="I577" i="18"/>
  <c r="H577" i="18"/>
  <c r="G577" i="18"/>
  <c r="F577" i="18"/>
  <c r="E577" i="18"/>
  <c r="D577" i="18"/>
  <c r="C577" i="18"/>
  <c r="B577" i="18"/>
  <c r="A577" i="18"/>
  <c r="CH576" i="18"/>
  <c r="CG576" i="18"/>
  <c r="CF576" i="18"/>
  <c r="CE576" i="18"/>
  <c r="CD576" i="18"/>
  <c r="CC576" i="18"/>
  <c r="CB576" i="18"/>
  <c r="CA576" i="18"/>
  <c r="BZ576" i="18"/>
  <c r="BY576" i="18"/>
  <c r="AR576" i="18"/>
  <c r="AQ576" i="18"/>
  <c r="AP576" i="18"/>
  <c r="AO576" i="18"/>
  <c r="AN576" i="18"/>
  <c r="AM576" i="18"/>
  <c r="AL576" i="18"/>
  <c r="AK576" i="18"/>
  <c r="AJ576" i="18"/>
  <c r="AI576" i="18"/>
  <c r="AH576" i="18"/>
  <c r="AG576" i="18"/>
  <c r="AF576" i="18"/>
  <c r="AE576" i="18"/>
  <c r="AD576" i="18"/>
  <c r="AC576" i="18"/>
  <c r="AB576" i="18"/>
  <c r="AA576" i="18"/>
  <c r="Z576" i="18"/>
  <c r="Y576" i="18"/>
  <c r="X576" i="18"/>
  <c r="W576" i="18"/>
  <c r="V576" i="18"/>
  <c r="U576" i="18"/>
  <c r="T576" i="18"/>
  <c r="S576" i="18"/>
  <c r="R576" i="18"/>
  <c r="Q576" i="18"/>
  <c r="P576" i="18"/>
  <c r="O576" i="18"/>
  <c r="N576" i="18"/>
  <c r="M576" i="18"/>
  <c r="L576" i="18"/>
  <c r="K576" i="18"/>
  <c r="J576" i="18"/>
  <c r="I576" i="18"/>
  <c r="H576" i="18"/>
  <c r="G576" i="18"/>
  <c r="F576" i="18"/>
  <c r="E576" i="18"/>
  <c r="D576" i="18"/>
  <c r="C576" i="18"/>
  <c r="B576" i="18"/>
  <c r="A576" i="18"/>
  <c r="CH575" i="18"/>
  <c r="CG575" i="18"/>
  <c r="CF575" i="18"/>
  <c r="CE575" i="18"/>
  <c r="CD575" i="18"/>
  <c r="CC575" i="18"/>
  <c r="CB575" i="18"/>
  <c r="CA575" i="18"/>
  <c r="BZ575" i="18"/>
  <c r="BY575" i="18"/>
  <c r="BL575" i="18"/>
  <c r="BK575" i="18"/>
  <c r="BJ575" i="18"/>
  <c r="BI575" i="18"/>
  <c r="BH575" i="18"/>
  <c r="BG575" i="18"/>
  <c r="BF575" i="18"/>
  <c r="BE575" i="18"/>
  <c r="BD575" i="18"/>
  <c r="BC575" i="18"/>
  <c r="BB575" i="18"/>
  <c r="BA575" i="18"/>
  <c r="AZ575" i="18"/>
  <c r="AY575" i="18"/>
  <c r="AX575" i="18"/>
  <c r="AW575" i="18"/>
  <c r="AV575" i="18"/>
  <c r="AU575" i="18"/>
  <c r="AT575" i="18"/>
  <c r="AS575" i="18"/>
  <c r="AR575" i="18"/>
  <c r="AQ575" i="18"/>
  <c r="AP575" i="18"/>
  <c r="AO575" i="18"/>
  <c r="AN575" i="18"/>
  <c r="AM575" i="18"/>
  <c r="AL575" i="18"/>
  <c r="AK575" i="18"/>
  <c r="AJ575" i="18"/>
  <c r="AI575" i="18"/>
  <c r="AH575" i="18"/>
  <c r="AG575" i="18"/>
  <c r="AF575" i="18"/>
  <c r="AE575" i="18"/>
  <c r="AD575" i="18"/>
  <c r="AC575" i="18"/>
  <c r="AB575" i="18"/>
  <c r="AA575" i="18"/>
  <c r="Z575" i="18"/>
  <c r="Y575" i="18"/>
  <c r="X575" i="18"/>
  <c r="W575" i="18"/>
  <c r="V575" i="18"/>
  <c r="U575" i="18"/>
  <c r="T575" i="18"/>
  <c r="S575" i="18"/>
  <c r="R575" i="18"/>
  <c r="Q575" i="18"/>
  <c r="P575" i="18"/>
  <c r="O575" i="18"/>
  <c r="N575" i="18"/>
  <c r="M575" i="18"/>
  <c r="L575" i="18"/>
  <c r="K575" i="18"/>
  <c r="J575" i="18"/>
  <c r="I575" i="18"/>
  <c r="H575" i="18"/>
  <c r="G575" i="18"/>
  <c r="F575" i="18"/>
  <c r="E575" i="18"/>
  <c r="D575" i="18"/>
  <c r="C575" i="18"/>
  <c r="B575" i="18"/>
  <c r="A575" i="18"/>
  <c r="CP574" i="18"/>
  <c r="CO574" i="18"/>
  <c r="CN574" i="18"/>
  <c r="CM574" i="18"/>
  <c r="CL574" i="18"/>
  <c r="CK574" i="18"/>
  <c r="CJ574" i="18"/>
  <c r="CI574" i="18"/>
  <c r="CH574" i="18"/>
  <c r="CG574" i="18"/>
  <c r="CF574" i="18"/>
  <c r="CE574" i="18"/>
  <c r="CD574" i="18"/>
  <c r="CC574" i="18"/>
  <c r="CB574" i="18"/>
  <c r="CA574" i="18"/>
  <c r="BZ574" i="18"/>
  <c r="BY574" i="18"/>
  <c r="AQ574" i="18"/>
  <c r="AP574" i="18"/>
  <c r="AO574" i="18"/>
  <c r="AN574" i="18"/>
  <c r="AM574" i="18"/>
  <c r="AL574" i="18"/>
  <c r="AK574" i="18"/>
  <c r="AJ574" i="18"/>
  <c r="AI574" i="18"/>
  <c r="AH574" i="18"/>
  <c r="AG574" i="18"/>
  <c r="AF574" i="18"/>
  <c r="AE574" i="18"/>
  <c r="AD574" i="18"/>
  <c r="AC574" i="18"/>
  <c r="AB574" i="18"/>
  <c r="AA574" i="18"/>
  <c r="Z574" i="18"/>
  <c r="Y574" i="18"/>
  <c r="X574" i="18"/>
  <c r="W574" i="18"/>
  <c r="V574" i="18"/>
  <c r="U574" i="18"/>
  <c r="T574" i="18"/>
  <c r="S574" i="18"/>
  <c r="R574" i="18"/>
  <c r="Q574" i="18"/>
  <c r="P574" i="18"/>
  <c r="O574" i="18"/>
  <c r="N574" i="18"/>
  <c r="M574" i="18"/>
  <c r="L574" i="18"/>
  <c r="K574" i="18"/>
  <c r="J574" i="18"/>
  <c r="I574" i="18"/>
  <c r="H574" i="18"/>
  <c r="G574" i="18"/>
  <c r="F574" i="18"/>
  <c r="E574" i="18"/>
  <c r="D574" i="18"/>
  <c r="C574" i="18"/>
  <c r="B574" i="18"/>
  <c r="A574" i="18"/>
  <c r="CH573" i="18"/>
  <c r="CG573" i="18"/>
  <c r="CF573" i="18"/>
  <c r="CE573" i="18"/>
  <c r="CD573" i="18"/>
  <c r="CC573" i="18"/>
  <c r="CB573" i="18"/>
  <c r="CA573" i="18"/>
  <c r="BZ573" i="18"/>
  <c r="BY573" i="18"/>
  <c r="AQ573" i="18"/>
  <c r="AP573" i="18"/>
  <c r="AO573" i="18"/>
  <c r="AN573" i="18"/>
  <c r="AM573" i="18"/>
  <c r="AL573" i="18"/>
  <c r="AK573" i="18"/>
  <c r="AJ573" i="18"/>
  <c r="AI573" i="18"/>
  <c r="AH573" i="18"/>
  <c r="AG573" i="18"/>
  <c r="AF573" i="18"/>
  <c r="AE573" i="18"/>
  <c r="AD573" i="18"/>
  <c r="AC573" i="18"/>
  <c r="AB573" i="18"/>
  <c r="AA573" i="18"/>
  <c r="Z573" i="18"/>
  <c r="Y573" i="18"/>
  <c r="X573" i="18"/>
  <c r="W573" i="18"/>
  <c r="V573" i="18"/>
  <c r="U573" i="18"/>
  <c r="T573" i="18"/>
  <c r="S573" i="18"/>
  <c r="R573" i="18"/>
  <c r="Q573" i="18"/>
  <c r="P573" i="18"/>
  <c r="O573" i="18"/>
  <c r="N573" i="18"/>
  <c r="M573" i="18"/>
  <c r="L573" i="18"/>
  <c r="K573" i="18"/>
  <c r="J573" i="18"/>
  <c r="I573" i="18"/>
  <c r="H573" i="18"/>
  <c r="G573" i="18"/>
  <c r="F573" i="18"/>
  <c r="E573" i="18"/>
  <c r="D573" i="18"/>
  <c r="C573" i="18"/>
  <c r="B573" i="18"/>
  <c r="A573" i="18"/>
  <c r="CH572" i="18"/>
  <c r="CG572" i="18"/>
  <c r="CF572" i="18"/>
  <c r="CE572" i="18"/>
  <c r="CD572" i="18"/>
  <c r="CC572" i="18"/>
  <c r="CB572" i="18"/>
  <c r="CA572" i="18"/>
  <c r="BZ572" i="18"/>
  <c r="BY572" i="18"/>
  <c r="BL572" i="18"/>
  <c r="BK572" i="18"/>
  <c r="BJ572" i="18"/>
  <c r="BI572" i="18"/>
  <c r="BH572" i="18"/>
  <c r="BG572" i="18"/>
  <c r="BF572" i="18"/>
  <c r="BE572" i="18"/>
  <c r="BD572" i="18"/>
  <c r="BC572" i="18"/>
  <c r="BB572" i="18"/>
  <c r="BA572" i="18"/>
  <c r="AZ572" i="18"/>
  <c r="AY572" i="18"/>
  <c r="AX572" i="18"/>
  <c r="AW572" i="18"/>
  <c r="AV572" i="18"/>
  <c r="AU572" i="18"/>
  <c r="AT572" i="18"/>
  <c r="AS572" i="18"/>
  <c r="AR572" i="18"/>
  <c r="AQ572" i="18"/>
  <c r="AP572" i="18"/>
  <c r="AO572" i="18"/>
  <c r="AN572" i="18"/>
  <c r="AM572" i="18"/>
  <c r="AL572" i="18"/>
  <c r="AK572" i="18"/>
  <c r="AJ572" i="18"/>
  <c r="AI572" i="18"/>
  <c r="AH572" i="18"/>
  <c r="AG572" i="18"/>
  <c r="AF572" i="18"/>
  <c r="AE572" i="18"/>
  <c r="AD572" i="18"/>
  <c r="AC572" i="18"/>
  <c r="AB572" i="18"/>
  <c r="AA572" i="18"/>
  <c r="Z572" i="18"/>
  <c r="Y572" i="18"/>
  <c r="X572" i="18"/>
  <c r="W572" i="18"/>
  <c r="V572" i="18"/>
  <c r="U572" i="18"/>
  <c r="T572" i="18"/>
  <c r="S572" i="18"/>
  <c r="R572" i="18"/>
  <c r="Q572" i="18"/>
  <c r="P572" i="18"/>
  <c r="O572" i="18"/>
  <c r="N572" i="18"/>
  <c r="M572" i="18"/>
  <c r="L572" i="18"/>
  <c r="K572" i="18"/>
  <c r="J572" i="18"/>
  <c r="I572" i="18"/>
  <c r="H572" i="18"/>
  <c r="G572" i="18"/>
  <c r="F572" i="18"/>
  <c r="E572" i="18"/>
  <c r="D572" i="18"/>
  <c r="C572" i="18"/>
  <c r="B572" i="18"/>
  <c r="A572" i="18"/>
  <c r="CX570" i="18"/>
  <c r="CW570" i="18"/>
  <c r="CV570" i="18"/>
  <c r="CU570" i="18"/>
  <c r="CT570" i="18"/>
  <c r="CS570" i="18"/>
  <c r="CR570" i="18"/>
  <c r="CQ570" i="18"/>
  <c r="CP570" i="18"/>
  <c r="CO570" i="18"/>
  <c r="CN570" i="18"/>
  <c r="CM570" i="18"/>
  <c r="CL570" i="18"/>
  <c r="CK570" i="18"/>
  <c r="CJ570" i="18"/>
  <c r="CI570" i="18"/>
  <c r="CH570" i="18"/>
  <c r="CG570" i="18"/>
  <c r="CF570" i="18"/>
  <c r="CE570" i="18"/>
  <c r="CD570" i="18"/>
  <c r="CC570" i="18"/>
  <c r="CB570" i="18"/>
  <c r="CA570" i="18"/>
  <c r="BZ570" i="18"/>
  <c r="BY570" i="18"/>
  <c r="BX570" i="18"/>
  <c r="BW570" i="18"/>
  <c r="BV570" i="18"/>
  <c r="BU570" i="18"/>
  <c r="BT570" i="18"/>
  <c r="BS570" i="18"/>
  <c r="BR570" i="18"/>
  <c r="BQ570" i="18"/>
  <c r="BP570" i="18"/>
  <c r="BO570" i="18"/>
  <c r="BN570" i="18"/>
  <c r="BM570" i="18"/>
  <c r="BL570" i="18"/>
  <c r="BK570" i="18"/>
  <c r="BJ570" i="18"/>
  <c r="BI570" i="18"/>
  <c r="BH570" i="18"/>
  <c r="BG570" i="18"/>
  <c r="BF570" i="18"/>
  <c r="BE570" i="18"/>
  <c r="BD570" i="18"/>
  <c r="BC570" i="18"/>
  <c r="BB570" i="18"/>
  <c r="BA570" i="18"/>
  <c r="AZ570" i="18"/>
  <c r="AY570" i="18"/>
  <c r="AX570" i="18"/>
  <c r="AW570" i="18"/>
  <c r="AV570" i="18"/>
  <c r="AU570" i="18"/>
  <c r="AT570" i="18"/>
  <c r="AS570" i="18"/>
  <c r="AR570" i="18"/>
  <c r="AQ570" i="18"/>
  <c r="AP570" i="18"/>
  <c r="AO570" i="18"/>
  <c r="AN570" i="18"/>
  <c r="AM570" i="18"/>
  <c r="AL570" i="18"/>
  <c r="AK570" i="18"/>
  <c r="AJ570" i="18"/>
  <c r="AI570" i="18"/>
  <c r="AH570" i="18"/>
  <c r="AG570" i="18"/>
  <c r="AF570" i="18"/>
  <c r="AE570" i="18"/>
  <c r="AD570" i="18"/>
  <c r="AC570" i="18"/>
  <c r="AB570" i="18"/>
  <c r="AA570" i="18"/>
  <c r="Z570" i="18"/>
  <c r="Y570" i="18"/>
  <c r="X570" i="18"/>
  <c r="W570" i="18"/>
  <c r="V570" i="18"/>
  <c r="U570" i="18"/>
  <c r="T570" i="18"/>
  <c r="S570" i="18"/>
  <c r="R570" i="18"/>
  <c r="Q570" i="18"/>
  <c r="P570" i="18"/>
  <c r="O570" i="18"/>
  <c r="N570" i="18"/>
  <c r="M570" i="18"/>
  <c r="L570" i="18"/>
  <c r="K570" i="18"/>
  <c r="J570" i="18"/>
  <c r="I570" i="18"/>
  <c r="H570" i="18"/>
  <c r="G570" i="18"/>
  <c r="F570" i="18"/>
  <c r="E570" i="18"/>
  <c r="D570" i="18"/>
  <c r="C570" i="18"/>
  <c r="B570" i="18"/>
  <c r="A570" i="18"/>
  <c r="CH569" i="18"/>
  <c r="CG569" i="18"/>
  <c r="CF569" i="18"/>
  <c r="CE569" i="18"/>
  <c r="CD569" i="18"/>
  <c r="CC569" i="18"/>
  <c r="CB569" i="18"/>
  <c r="CA569" i="18"/>
  <c r="BZ569" i="18"/>
  <c r="BY569" i="18"/>
  <c r="AQ569" i="18"/>
  <c r="AP569" i="18"/>
  <c r="AO569" i="18"/>
  <c r="AN569" i="18"/>
  <c r="AM569" i="18"/>
  <c r="AL569" i="18"/>
  <c r="AK569" i="18"/>
  <c r="AJ569" i="18"/>
  <c r="AI569" i="18"/>
  <c r="AH569" i="18"/>
  <c r="AG569" i="18"/>
  <c r="AF569" i="18"/>
  <c r="AE569" i="18"/>
  <c r="AD569" i="18"/>
  <c r="AC569" i="18"/>
  <c r="AB569" i="18"/>
  <c r="AA569" i="18"/>
  <c r="Z569" i="18"/>
  <c r="Y569" i="18"/>
  <c r="X569" i="18"/>
  <c r="W569" i="18"/>
  <c r="V569" i="18"/>
  <c r="U569" i="18"/>
  <c r="T569" i="18"/>
  <c r="S569" i="18"/>
  <c r="R569" i="18"/>
  <c r="Q569" i="18"/>
  <c r="P569" i="18"/>
  <c r="O569" i="18"/>
  <c r="N569" i="18"/>
  <c r="M569" i="18"/>
  <c r="L569" i="18"/>
  <c r="K569" i="18"/>
  <c r="J569" i="18"/>
  <c r="I569" i="18"/>
  <c r="H569" i="18"/>
  <c r="G569" i="18"/>
  <c r="F569" i="18"/>
  <c r="E569" i="18"/>
  <c r="D569" i="18"/>
  <c r="C569" i="18"/>
  <c r="B569" i="18"/>
  <c r="A569" i="18"/>
  <c r="CX568" i="18"/>
  <c r="CW568" i="18"/>
  <c r="CV568" i="18"/>
  <c r="CU568" i="18"/>
  <c r="CT568" i="18"/>
  <c r="CS568" i="18"/>
  <c r="CR568" i="18"/>
  <c r="CQ568" i="18"/>
  <c r="CP568" i="18"/>
  <c r="CO568" i="18"/>
  <c r="CN568" i="18"/>
  <c r="CM568" i="18"/>
  <c r="CL568" i="18"/>
  <c r="CK568" i="18"/>
  <c r="CJ568" i="18"/>
  <c r="CI568" i="18"/>
  <c r="CH568" i="18"/>
  <c r="CG568" i="18"/>
  <c r="CF568" i="18"/>
  <c r="CE568" i="18"/>
  <c r="CD568" i="18"/>
  <c r="CC568" i="18"/>
  <c r="CB568" i="18"/>
  <c r="CA568" i="18"/>
  <c r="BZ568" i="18"/>
  <c r="BY568" i="18"/>
  <c r="AQ568" i="18"/>
  <c r="AP568" i="18"/>
  <c r="AO568" i="18"/>
  <c r="AN568" i="18"/>
  <c r="AM568" i="18"/>
  <c r="AL568" i="18"/>
  <c r="AK568" i="18"/>
  <c r="AJ568" i="18"/>
  <c r="AI568" i="18"/>
  <c r="AH568" i="18"/>
  <c r="AG568" i="18"/>
  <c r="AF568" i="18"/>
  <c r="AE568" i="18"/>
  <c r="AD568" i="18"/>
  <c r="AC568" i="18"/>
  <c r="AB568" i="18"/>
  <c r="AA568" i="18"/>
  <c r="Z568" i="18"/>
  <c r="Y568" i="18"/>
  <c r="X568" i="18"/>
  <c r="W568" i="18"/>
  <c r="V568" i="18"/>
  <c r="U568" i="18"/>
  <c r="T568" i="18"/>
  <c r="S568" i="18"/>
  <c r="R568" i="18"/>
  <c r="Q568" i="18"/>
  <c r="P568" i="18"/>
  <c r="O568" i="18"/>
  <c r="N568" i="18"/>
  <c r="M568" i="18"/>
  <c r="L568" i="18"/>
  <c r="K568" i="18"/>
  <c r="J568" i="18"/>
  <c r="I568" i="18"/>
  <c r="H568" i="18"/>
  <c r="G568" i="18"/>
  <c r="F568" i="18"/>
  <c r="E568" i="18"/>
  <c r="D568" i="18"/>
  <c r="C568" i="18"/>
  <c r="B568" i="18"/>
  <c r="A568" i="18"/>
  <c r="CH567" i="18"/>
  <c r="CG567" i="18"/>
  <c r="CF567" i="18"/>
  <c r="CE567" i="18"/>
  <c r="CD567" i="18"/>
  <c r="CC567" i="18"/>
  <c r="CB567" i="18"/>
  <c r="CA567" i="18"/>
  <c r="BZ567" i="18"/>
  <c r="BY567" i="18"/>
  <c r="AQ567" i="18"/>
  <c r="AP567" i="18"/>
  <c r="AO567" i="18"/>
  <c r="AN567" i="18"/>
  <c r="AM567" i="18"/>
  <c r="AL567" i="18"/>
  <c r="AK567" i="18"/>
  <c r="AJ567" i="18"/>
  <c r="AI567" i="18"/>
  <c r="AH567" i="18"/>
  <c r="AG567" i="18"/>
  <c r="AF567" i="18"/>
  <c r="AE567" i="18"/>
  <c r="AD567" i="18"/>
  <c r="AC567" i="18"/>
  <c r="AB567" i="18"/>
  <c r="AA567" i="18"/>
  <c r="Z567" i="18"/>
  <c r="Y567" i="18"/>
  <c r="X567" i="18"/>
  <c r="W567" i="18"/>
  <c r="V567" i="18"/>
  <c r="U567" i="18"/>
  <c r="T567" i="18"/>
  <c r="S567" i="18"/>
  <c r="R567" i="18"/>
  <c r="Q567" i="18"/>
  <c r="P567" i="18"/>
  <c r="O567" i="18"/>
  <c r="N567" i="18"/>
  <c r="M567" i="18"/>
  <c r="L567" i="18"/>
  <c r="K567" i="18"/>
  <c r="J567" i="18"/>
  <c r="I567" i="18"/>
  <c r="H567" i="18"/>
  <c r="G567" i="18"/>
  <c r="F567" i="18"/>
  <c r="E567" i="18"/>
  <c r="D567" i="18"/>
  <c r="C567" i="18"/>
  <c r="B567" i="18"/>
  <c r="A567" i="18"/>
  <c r="CH566" i="18"/>
  <c r="CG566" i="18"/>
  <c r="CF566" i="18"/>
  <c r="CE566" i="18"/>
  <c r="CD566" i="18"/>
  <c r="CC566" i="18"/>
  <c r="CB566" i="18"/>
  <c r="CA566" i="18"/>
  <c r="BZ566" i="18"/>
  <c r="BY566" i="18"/>
  <c r="AQ566" i="18"/>
  <c r="AP566" i="18"/>
  <c r="AO566" i="18"/>
  <c r="AN566" i="18"/>
  <c r="AM566" i="18"/>
  <c r="AL566" i="18"/>
  <c r="AK566" i="18"/>
  <c r="AJ566" i="18"/>
  <c r="AI566" i="18"/>
  <c r="AH566" i="18"/>
  <c r="AG566" i="18"/>
  <c r="AF566" i="18"/>
  <c r="AE566" i="18"/>
  <c r="AD566" i="18"/>
  <c r="AC566" i="18"/>
  <c r="AB566" i="18"/>
  <c r="AA566" i="18"/>
  <c r="Z566" i="18"/>
  <c r="Y566" i="18"/>
  <c r="X566" i="18"/>
  <c r="W566" i="18"/>
  <c r="V566" i="18"/>
  <c r="U566" i="18"/>
  <c r="T566" i="18"/>
  <c r="S566" i="18"/>
  <c r="R566" i="18"/>
  <c r="Q566" i="18"/>
  <c r="P566" i="18"/>
  <c r="O566" i="18"/>
  <c r="N566" i="18"/>
  <c r="M566" i="18"/>
  <c r="L566" i="18"/>
  <c r="K566" i="18"/>
  <c r="J566" i="18"/>
  <c r="I566" i="18"/>
  <c r="H566" i="18"/>
  <c r="G566" i="18"/>
  <c r="F566" i="18"/>
  <c r="E566" i="18"/>
  <c r="D566" i="18"/>
  <c r="C566" i="18"/>
  <c r="B566" i="18"/>
  <c r="A566" i="18"/>
  <c r="CP565" i="18"/>
  <c r="CH565" i="18"/>
  <c r="CG565" i="18"/>
  <c r="CF565" i="18"/>
  <c r="CE565" i="18"/>
  <c r="CD565" i="18"/>
  <c r="CC565" i="18"/>
  <c r="CB565" i="18"/>
  <c r="CA565" i="18"/>
  <c r="BZ565" i="18"/>
  <c r="BY565" i="18"/>
  <c r="BT565" i="18"/>
  <c r="BS565" i="18"/>
  <c r="BR565" i="18"/>
  <c r="BQ565" i="18"/>
  <c r="BP565" i="18"/>
  <c r="BO565" i="18"/>
  <c r="BN565" i="18"/>
  <c r="BM565" i="18"/>
  <c r="BL565" i="18"/>
  <c r="BK565" i="18"/>
  <c r="BJ565" i="18"/>
  <c r="BI565" i="18"/>
  <c r="BH565" i="18"/>
  <c r="BG565" i="18"/>
  <c r="BF565" i="18"/>
  <c r="BE565" i="18"/>
  <c r="BD565" i="18"/>
  <c r="BC565" i="18"/>
  <c r="BB565" i="18"/>
  <c r="BA565" i="18"/>
  <c r="AZ565" i="18"/>
  <c r="AY565" i="18"/>
  <c r="AX565" i="18"/>
  <c r="AW565" i="18"/>
  <c r="AV565" i="18"/>
  <c r="AU565" i="18"/>
  <c r="AT565" i="18"/>
  <c r="AS565" i="18"/>
  <c r="AR565" i="18"/>
  <c r="AQ565" i="18"/>
  <c r="AP565" i="18"/>
  <c r="AO565" i="18"/>
  <c r="AN565" i="18"/>
  <c r="AM565" i="18"/>
  <c r="AL565" i="18"/>
  <c r="AK565" i="18"/>
  <c r="AJ565" i="18"/>
  <c r="AI565" i="18"/>
  <c r="AH565" i="18"/>
  <c r="AG565" i="18"/>
  <c r="AF565" i="18"/>
  <c r="AE565" i="18"/>
  <c r="AD565" i="18"/>
  <c r="AC565" i="18"/>
  <c r="AB565" i="18"/>
  <c r="AA565" i="18"/>
  <c r="Z565" i="18"/>
  <c r="Y565" i="18"/>
  <c r="X565" i="18"/>
  <c r="W565" i="18"/>
  <c r="V565" i="18"/>
  <c r="U565" i="18"/>
  <c r="T565" i="18"/>
  <c r="S565" i="18"/>
  <c r="R565" i="18"/>
  <c r="Q565" i="18"/>
  <c r="P565" i="18"/>
  <c r="O565" i="18"/>
  <c r="N565" i="18"/>
  <c r="M565" i="18"/>
  <c r="L565" i="18"/>
  <c r="K565" i="18"/>
  <c r="J565" i="18"/>
  <c r="I565" i="18"/>
  <c r="H565" i="18"/>
  <c r="G565" i="18"/>
  <c r="F565" i="18"/>
  <c r="E565" i="18"/>
  <c r="D565" i="18"/>
  <c r="C565" i="18"/>
  <c r="B565" i="18"/>
  <c r="A565" i="18"/>
  <c r="CX564" i="18"/>
  <c r="CW564" i="18"/>
  <c r="CV564" i="18"/>
  <c r="CU564" i="18"/>
  <c r="CT564" i="18"/>
  <c r="CS564" i="18"/>
  <c r="CR564" i="18"/>
  <c r="CQ564" i="18"/>
  <c r="CP564" i="18"/>
  <c r="CO564" i="18"/>
  <c r="CN564" i="18"/>
  <c r="CM564" i="18"/>
  <c r="CL564" i="18"/>
  <c r="CK564" i="18"/>
  <c r="CJ564" i="18"/>
  <c r="CI564" i="18"/>
  <c r="CH564" i="18"/>
  <c r="CG564" i="18"/>
  <c r="CF564" i="18"/>
  <c r="CE564" i="18"/>
  <c r="CD564" i="18"/>
  <c r="CC564" i="18"/>
  <c r="CB564" i="18"/>
  <c r="CA564" i="18"/>
  <c r="BZ564" i="18"/>
  <c r="BY564" i="18"/>
  <c r="BX564" i="18"/>
  <c r="BW564" i="18"/>
  <c r="BV564" i="18"/>
  <c r="BU564" i="18"/>
  <c r="BT564" i="18"/>
  <c r="BS564" i="18"/>
  <c r="BR564" i="18"/>
  <c r="BQ564" i="18"/>
  <c r="BP564" i="18"/>
  <c r="BO564" i="18"/>
  <c r="BN564" i="18"/>
  <c r="BM564" i="18"/>
  <c r="BL564" i="18"/>
  <c r="BK564" i="18"/>
  <c r="BJ564" i="18"/>
  <c r="BI564" i="18"/>
  <c r="BH564" i="18"/>
  <c r="BG564" i="18"/>
  <c r="BF564" i="18"/>
  <c r="BE564" i="18"/>
  <c r="BD564" i="18"/>
  <c r="BC564" i="18"/>
  <c r="BB564" i="18"/>
  <c r="BA564" i="18"/>
  <c r="AZ564" i="18"/>
  <c r="AY564" i="18"/>
  <c r="AX564" i="18"/>
  <c r="AW564" i="18"/>
  <c r="AV564" i="18"/>
  <c r="AU564" i="18"/>
  <c r="AT564" i="18"/>
  <c r="AS564" i="18"/>
  <c r="AR564" i="18"/>
  <c r="AQ564" i="18"/>
  <c r="AP564" i="18"/>
  <c r="AO564" i="18"/>
  <c r="AN564" i="18"/>
  <c r="AM564" i="18"/>
  <c r="AL564" i="18"/>
  <c r="AK564" i="18"/>
  <c r="AJ564" i="18"/>
  <c r="AI564" i="18"/>
  <c r="AH564" i="18"/>
  <c r="AG564" i="18"/>
  <c r="AF564" i="18"/>
  <c r="AE564" i="18"/>
  <c r="AD564" i="18"/>
  <c r="AC564" i="18"/>
  <c r="AB564" i="18"/>
  <c r="AA564" i="18"/>
  <c r="Z564" i="18"/>
  <c r="Y564" i="18"/>
  <c r="X564" i="18"/>
  <c r="W564" i="18"/>
  <c r="V564" i="18"/>
  <c r="U564" i="18"/>
  <c r="T564" i="18"/>
  <c r="S564" i="18"/>
  <c r="R564" i="18"/>
  <c r="Q564" i="18"/>
  <c r="P564" i="18"/>
  <c r="O564" i="18"/>
  <c r="N564" i="18"/>
  <c r="M564" i="18"/>
  <c r="L564" i="18"/>
  <c r="K564" i="18"/>
  <c r="J564" i="18"/>
  <c r="I564" i="18"/>
  <c r="H564" i="18"/>
  <c r="G564" i="18"/>
  <c r="F564" i="18"/>
  <c r="E564" i="18"/>
  <c r="D564" i="18"/>
  <c r="C564" i="18"/>
  <c r="B564" i="18"/>
  <c r="A564" i="18"/>
  <c r="CI561" i="18"/>
  <c r="CH561" i="18"/>
  <c r="CG561" i="18"/>
  <c r="CF561" i="18"/>
  <c r="CE561" i="18"/>
  <c r="CD561" i="18"/>
  <c r="CC561" i="18"/>
  <c r="CB561" i="18"/>
  <c r="CA561" i="18"/>
  <c r="BZ561" i="18"/>
  <c r="BY561" i="18"/>
  <c r="AR561" i="18"/>
  <c r="AQ561" i="18"/>
  <c r="AP561" i="18"/>
  <c r="AO561" i="18"/>
  <c r="AN561" i="18"/>
  <c r="AM561" i="18"/>
  <c r="AL561" i="18"/>
  <c r="AK561" i="18"/>
  <c r="AJ561" i="18"/>
  <c r="AI561" i="18"/>
  <c r="AH561" i="18"/>
  <c r="AG561" i="18"/>
  <c r="AF561" i="18"/>
  <c r="AE561" i="18"/>
  <c r="AD561" i="18"/>
  <c r="AC561" i="18"/>
  <c r="AB561" i="18"/>
  <c r="AA561" i="18"/>
  <c r="Z561" i="18"/>
  <c r="Y561" i="18"/>
  <c r="X561" i="18"/>
  <c r="W561" i="18"/>
  <c r="V561" i="18"/>
  <c r="U561" i="18"/>
  <c r="T561" i="18"/>
  <c r="S561" i="18"/>
  <c r="R561" i="18"/>
  <c r="Q561" i="18"/>
  <c r="P561" i="18"/>
  <c r="O561" i="18"/>
  <c r="N561" i="18"/>
  <c r="M561" i="18"/>
  <c r="L561" i="18"/>
  <c r="K561" i="18"/>
  <c r="J561" i="18"/>
  <c r="I561" i="18"/>
  <c r="H561" i="18"/>
  <c r="G561" i="18"/>
  <c r="F561" i="18"/>
  <c r="E561" i="18"/>
  <c r="D561" i="18"/>
  <c r="C561" i="18"/>
  <c r="B561" i="18"/>
  <c r="A561" i="18"/>
  <c r="CP560" i="18"/>
  <c r="CO560" i="18"/>
  <c r="CN560" i="18"/>
  <c r="CM560" i="18"/>
  <c r="CL560" i="18"/>
  <c r="CK560" i="18"/>
  <c r="CJ560" i="18"/>
  <c r="CI560" i="18"/>
  <c r="CH560" i="18"/>
  <c r="CG560" i="18"/>
  <c r="CF560" i="18"/>
  <c r="CE560" i="18"/>
  <c r="CD560" i="18"/>
  <c r="CC560" i="18"/>
  <c r="CB560" i="18"/>
  <c r="CA560" i="18"/>
  <c r="BZ560" i="18"/>
  <c r="BY560" i="18"/>
  <c r="BT560" i="18"/>
  <c r="BS560" i="18"/>
  <c r="BR560" i="18"/>
  <c r="BQ560" i="18"/>
  <c r="BP560" i="18"/>
  <c r="BO560" i="18"/>
  <c r="BN560" i="18"/>
  <c r="BM560" i="18"/>
  <c r="BL560" i="18"/>
  <c r="BK560" i="18"/>
  <c r="BJ560" i="18"/>
  <c r="BI560" i="18"/>
  <c r="BH560" i="18"/>
  <c r="BG560" i="18"/>
  <c r="BF560" i="18"/>
  <c r="BE560" i="18"/>
  <c r="BD560" i="18"/>
  <c r="BC560" i="18"/>
  <c r="BB560" i="18"/>
  <c r="BA560" i="18"/>
  <c r="AZ560" i="18"/>
  <c r="AY560" i="18"/>
  <c r="AX560" i="18"/>
  <c r="AW560" i="18"/>
  <c r="AV560" i="18"/>
  <c r="AU560" i="18"/>
  <c r="AT560" i="18"/>
  <c r="AS560" i="18"/>
  <c r="AR560" i="18"/>
  <c r="AQ560" i="18"/>
  <c r="AP560" i="18"/>
  <c r="AO560" i="18"/>
  <c r="AN560" i="18"/>
  <c r="AM560" i="18"/>
  <c r="AL560" i="18"/>
  <c r="AK560" i="18"/>
  <c r="AJ560" i="18"/>
  <c r="AI560" i="18"/>
  <c r="AH560" i="18"/>
  <c r="AG560" i="18"/>
  <c r="AF560" i="18"/>
  <c r="AE560" i="18"/>
  <c r="AD560" i="18"/>
  <c r="AC560" i="18"/>
  <c r="AB560" i="18"/>
  <c r="AA560" i="18"/>
  <c r="Z560" i="18"/>
  <c r="Y560" i="18"/>
  <c r="X560" i="18"/>
  <c r="W560" i="18"/>
  <c r="V560" i="18"/>
  <c r="U560" i="18"/>
  <c r="T560" i="18"/>
  <c r="S560" i="18"/>
  <c r="R560" i="18"/>
  <c r="Q560" i="18"/>
  <c r="P560" i="18"/>
  <c r="O560" i="18"/>
  <c r="N560" i="18"/>
  <c r="M560" i="18"/>
  <c r="L560" i="18"/>
  <c r="K560" i="18"/>
  <c r="J560" i="18"/>
  <c r="I560" i="18"/>
  <c r="H560" i="18"/>
  <c r="G560" i="18"/>
  <c r="F560" i="18"/>
  <c r="E560" i="18"/>
  <c r="D560" i="18"/>
  <c r="C560" i="18"/>
  <c r="B560" i="18"/>
  <c r="A560" i="18"/>
  <c r="CU556" i="18"/>
  <c r="CT556" i="18"/>
  <c r="CS556" i="18"/>
  <c r="CR556" i="18"/>
  <c r="CQ556" i="18"/>
  <c r="CP556" i="18"/>
  <c r="CO556" i="18"/>
  <c r="CN556" i="18"/>
  <c r="CM556" i="18"/>
  <c r="CL556" i="18"/>
  <c r="CK556" i="18"/>
  <c r="CJ556" i="18"/>
  <c r="CI556" i="18"/>
  <c r="CH556" i="18"/>
  <c r="CG556" i="18"/>
  <c r="CF556" i="18"/>
  <c r="CE556" i="18"/>
  <c r="CD556" i="18"/>
  <c r="CC556" i="18"/>
  <c r="CB556" i="18"/>
  <c r="CA556" i="18"/>
  <c r="BZ556" i="18"/>
  <c r="BY556" i="18"/>
  <c r="BX556" i="18"/>
  <c r="BW556" i="18"/>
  <c r="BV556" i="18"/>
  <c r="BU556" i="18"/>
  <c r="BT556" i="18"/>
  <c r="BS556" i="18"/>
  <c r="BR556" i="18"/>
  <c r="BQ556" i="18"/>
  <c r="BP556" i="18"/>
  <c r="BO556" i="18"/>
  <c r="BN556" i="18"/>
  <c r="BM556" i="18"/>
  <c r="BL556" i="18"/>
  <c r="BK556" i="18"/>
  <c r="BJ556" i="18"/>
  <c r="BI556" i="18"/>
  <c r="BH556" i="18"/>
  <c r="BG556" i="18"/>
  <c r="BF556" i="18"/>
  <c r="BE556" i="18"/>
  <c r="BD556" i="18"/>
  <c r="BC556" i="18"/>
  <c r="BB556" i="18"/>
  <c r="BA556" i="18"/>
  <c r="AZ556" i="18"/>
  <c r="AY556" i="18"/>
  <c r="AX556" i="18"/>
  <c r="AW556" i="18"/>
  <c r="AV556" i="18"/>
  <c r="AU556" i="18"/>
  <c r="AT556" i="18"/>
  <c r="AS556" i="18"/>
  <c r="AR556" i="18"/>
  <c r="AQ556" i="18"/>
  <c r="AP556" i="18"/>
  <c r="AO556" i="18"/>
  <c r="AN556" i="18"/>
  <c r="AM556" i="18"/>
  <c r="AL556" i="18"/>
  <c r="AK556" i="18"/>
  <c r="AJ556" i="18"/>
  <c r="AI556" i="18"/>
  <c r="AH556" i="18"/>
  <c r="AG556" i="18"/>
  <c r="AF556" i="18"/>
  <c r="AE556" i="18"/>
  <c r="AD556" i="18"/>
  <c r="AC556" i="18"/>
  <c r="AB556" i="18"/>
  <c r="AA556" i="18"/>
  <c r="Z556" i="18"/>
  <c r="Y556" i="18"/>
  <c r="X556" i="18"/>
  <c r="W556" i="18"/>
  <c r="V556" i="18"/>
  <c r="U556" i="18"/>
  <c r="T556" i="18"/>
  <c r="S556" i="18"/>
  <c r="R556" i="18"/>
  <c r="Q556" i="18"/>
  <c r="P556" i="18"/>
  <c r="O556" i="18"/>
  <c r="N556" i="18"/>
  <c r="M556" i="18"/>
  <c r="L556" i="18"/>
  <c r="K556" i="18"/>
  <c r="J556" i="18"/>
  <c r="I556" i="18"/>
  <c r="H556" i="18"/>
  <c r="G556" i="18"/>
  <c r="F556" i="18"/>
  <c r="E556" i="18"/>
  <c r="D556" i="18"/>
  <c r="C556" i="18"/>
  <c r="B556" i="18"/>
  <c r="A556" i="18"/>
  <c r="CU555" i="18"/>
  <c r="CT555" i="18"/>
  <c r="CS555" i="18"/>
  <c r="CR555" i="18"/>
  <c r="CQ555" i="18"/>
  <c r="CP555" i="18"/>
  <c r="CO555" i="18"/>
  <c r="CN555" i="18"/>
  <c r="CM555" i="18"/>
  <c r="CL555" i="18"/>
  <c r="CK555" i="18"/>
  <c r="CJ555" i="18"/>
  <c r="CI555" i="18"/>
  <c r="CH555" i="18"/>
  <c r="CG555" i="18"/>
  <c r="CF555" i="18"/>
  <c r="CE555" i="18"/>
  <c r="CD555" i="18"/>
  <c r="CC555" i="18"/>
  <c r="CB555" i="18"/>
  <c r="CA555" i="18"/>
  <c r="BZ555" i="18"/>
  <c r="BY555" i="18"/>
  <c r="BX555" i="18"/>
  <c r="BW555" i="18"/>
  <c r="BV555" i="18"/>
  <c r="BU555" i="18"/>
  <c r="BT555" i="18"/>
  <c r="BS555" i="18"/>
  <c r="BR555" i="18"/>
  <c r="BQ555" i="18"/>
  <c r="BP555" i="18"/>
  <c r="BO555" i="18"/>
  <c r="BN555" i="18"/>
  <c r="BM555" i="18"/>
  <c r="BL555" i="18"/>
  <c r="BK555" i="18"/>
  <c r="BJ555" i="18"/>
  <c r="BI555" i="18"/>
  <c r="BH555" i="18"/>
  <c r="BG555" i="18"/>
  <c r="BF555" i="18"/>
  <c r="BE555" i="18"/>
  <c r="BD555" i="18"/>
  <c r="BC555" i="18"/>
  <c r="BB555" i="18"/>
  <c r="BA555" i="18"/>
  <c r="AZ555" i="18"/>
  <c r="AY555" i="18"/>
  <c r="AX555" i="18"/>
  <c r="AW555" i="18"/>
  <c r="AV555" i="18"/>
  <c r="AU555" i="18"/>
  <c r="AT555" i="18"/>
  <c r="AS555" i="18"/>
  <c r="AR555" i="18"/>
  <c r="AQ555" i="18"/>
  <c r="AP555" i="18"/>
  <c r="AO555" i="18"/>
  <c r="AN555" i="18"/>
  <c r="AM555" i="18"/>
  <c r="AL555" i="18"/>
  <c r="AK555" i="18"/>
  <c r="AJ555" i="18"/>
  <c r="AI555" i="18"/>
  <c r="AH555" i="18"/>
  <c r="AG555" i="18"/>
  <c r="AF555" i="18"/>
  <c r="AE555" i="18"/>
  <c r="AD555" i="18"/>
  <c r="AC555" i="18"/>
  <c r="AB555" i="18"/>
  <c r="AA555" i="18"/>
  <c r="Z555" i="18"/>
  <c r="Y555" i="18"/>
  <c r="X555" i="18"/>
  <c r="W555" i="18"/>
  <c r="V555" i="18"/>
  <c r="U555" i="18"/>
  <c r="T555" i="18"/>
  <c r="S555" i="18"/>
  <c r="R555" i="18"/>
  <c r="Q555" i="18"/>
  <c r="P555" i="18"/>
  <c r="O555" i="18"/>
  <c r="N555" i="18"/>
  <c r="M555" i="18"/>
  <c r="L555" i="18"/>
  <c r="K555" i="18"/>
  <c r="J555" i="18"/>
  <c r="I555" i="18"/>
  <c r="H555" i="18"/>
  <c r="G555" i="18"/>
  <c r="F555" i="18"/>
  <c r="E555" i="18"/>
  <c r="D555" i="18"/>
  <c r="C555" i="18"/>
  <c r="B555" i="18"/>
  <c r="A555" i="18"/>
  <c r="CU554" i="18"/>
  <c r="CT554" i="18"/>
  <c r="CS554" i="18"/>
  <c r="CR554" i="18"/>
  <c r="CQ554" i="18"/>
  <c r="CP554" i="18"/>
  <c r="CO554" i="18"/>
  <c r="CN554" i="18"/>
  <c r="CM554" i="18"/>
  <c r="CL554" i="18"/>
  <c r="CK554" i="18"/>
  <c r="CJ554" i="18"/>
  <c r="CI554" i="18"/>
  <c r="CH554" i="18"/>
  <c r="CG554" i="18"/>
  <c r="CF554" i="18"/>
  <c r="CE554" i="18"/>
  <c r="CD554" i="18"/>
  <c r="CC554" i="18"/>
  <c r="CB554" i="18"/>
  <c r="CA554" i="18"/>
  <c r="BZ554" i="18"/>
  <c r="BY554" i="18"/>
  <c r="BX554" i="18"/>
  <c r="BW554" i="18"/>
  <c r="BV554" i="18"/>
  <c r="BU554" i="18"/>
  <c r="BT554" i="18"/>
  <c r="BS554" i="18"/>
  <c r="BR554" i="18"/>
  <c r="BQ554" i="18"/>
  <c r="BP554" i="18"/>
  <c r="BO554" i="18"/>
  <c r="BN554" i="18"/>
  <c r="BM554" i="18"/>
  <c r="BL554" i="18"/>
  <c r="BK554" i="18"/>
  <c r="BJ554" i="18"/>
  <c r="BI554" i="18"/>
  <c r="BH554" i="18"/>
  <c r="BG554" i="18"/>
  <c r="BF554" i="18"/>
  <c r="BE554" i="18"/>
  <c r="BD554" i="18"/>
  <c r="BC554" i="18"/>
  <c r="BB554" i="18"/>
  <c r="BA554" i="18"/>
  <c r="AZ554" i="18"/>
  <c r="AY554" i="18"/>
  <c r="AX554" i="18"/>
  <c r="AW554" i="18"/>
  <c r="AV554" i="18"/>
  <c r="AU554" i="18"/>
  <c r="AT554" i="18"/>
  <c r="AS554" i="18"/>
  <c r="AR554" i="18"/>
  <c r="AQ554" i="18"/>
  <c r="AP554" i="18"/>
  <c r="AO554" i="18"/>
  <c r="AN554" i="18"/>
  <c r="AM554" i="18"/>
  <c r="AL554" i="18"/>
  <c r="AK554" i="18"/>
  <c r="AJ554" i="18"/>
  <c r="AI554" i="18"/>
  <c r="AH554" i="18"/>
  <c r="AG554" i="18"/>
  <c r="AF554" i="18"/>
  <c r="AE554" i="18"/>
  <c r="AD554" i="18"/>
  <c r="AC554" i="18"/>
  <c r="AB554" i="18"/>
  <c r="AA554" i="18"/>
  <c r="Z554" i="18"/>
  <c r="Y554" i="18"/>
  <c r="X554" i="18"/>
  <c r="W554" i="18"/>
  <c r="V554" i="18"/>
  <c r="U554" i="18"/>
  <c r="T554" i="18"/>
  <c r="S554" i="18"/>
  <c r="R554" i="18"/>
  <c r="Q554" i="18"/>
  <c r="P554" i="18"/>
  <c r="O554" i="18"/>
  <c r="N554" i="18"/>
  <c r="M554" i="18"/>
  <c r="L554" i="18"/>
  <c r="K554" i="18"/>
  <c r="J554" i="18"/>
  <c r="I554" i="18"/>
  <c r="H554" i="18"/>
  <c r="G554" i="18"/>
  <c r="F554" i="18"/>
  <c r="E554" i="18"/>
  <c r="D554" i="18"/>
  <c r="C554" i="18"/>
  <c r="B554" i="18"/>
  <c r="A554" i="18"/>
  <c r="CU553" i="18"/>
  <c r="CT553" i="18"/>
  <c r="CS553" i="18"/>
  <c r="CR553" i="18"/>
  <c r="CQ553" i="18"/>
  <c r="CP553" i="18"/>
  <c r="CO553" i="18"/>
  <c r="CN553" i="18"/>
  <c r="CM553" i="18"/>
  <c r="CL553" i="18"/>
  <c r="CK553" i="18"/>
  <c r="CJ553" i="18"/>
  <c r="CI553" i="18"/>
  <c r="CH553" i="18"/>
  <c r="CG553" i="18"/>
  <c r="CF553" i="18"/>
  <c r="CE553" i="18"/>
  <c r="CD553" i="18"/>
  <c r="CC553" i="18"/>
  <c r="CB553" i="18"/>
  <c r="CA553" i="18"/>
  <c r="BZ553" i="18"/>
  <c r="BY553" i="18"/>
  <c r="BX553" i="18"/>
  <c r="BW553" i="18"/>
  <c r="BV553" i="18"/>
  <c r="BU553" i="18"/>
  <c r="BT553" i="18"/>
  <c r="BS553" i="18"/>
  <c r="BR553" i="18"/>
  <c r="BQ553" i="18"/>
  <c r="BP553" i="18"/>
  <c r="BO553" i="18"/>
  <c r="BN553" i="18"/>
  <c r="BM553" i="18"/>
  <c r="BL553" i="18"/>
  <c r="BK553" i="18"/>
  <c r="BJ553" i="18"/>
  <c r="BI553" i="18"/>
  <c r="BH553" i="18"/>
  <c r="BG553" i="18"/>
  <c r="BF553" i="18"/>
  <c r="BE553" i="18"/>
  <c r="BD553" i="18"/>
  <c r="BC553" i="18"/>
  <c r="BB553" i="18"/>
  <c r="BA553" i="18"/>
  <c r="AZ553" i="18"/>
  <c r="AY553" i="18"/>
  <c r="AX553" i="18"/>
  <c r="AW553" i="18"/>
  <c r="AV553" i="18"/>
  <c r="AU553" i="18"/>
  <c r="AT553" i="18"/>
  <c r="AS553" i="18"/>
  <c r="AR553" i="18"/>
  <c r="AQ553" i="18"/>
  <c r="AP553" i="18"/>
  <c r="AO553" i="18"/>
  <c r="AN553" i="18"/>
  <c r="AM553" i="18"/>
  <c r="AL553" i="18"/>
  <c r="AK553" i="18"/>
  <c r="AJ553" i="18"/>
  <c r="AI553" i="18"/>
  <c r="AH553" i="18"/>
  <c r="AG553" i="18"/>
  <c r="AF553" i="18"/>
  <c r="AE553" i="18"/>
  <c r="AD553" i="18"/>
  <c r="AC553" i="18"/>
  <c r="AB553" i="18"/>
  <c r="AA553" i="18"/>
  <c r="Z553" i="18"/>
  <c r="Y553" i="18"/>
  <c r="X553" i="18"/>
  <c r="W553" i="18"/>
  <c r="V553" i="18"/>
  <c r="U553" i="18"/>
  <c r="T553" i="18"/>
  <c r="S553" i="18"/>
  <c r="R553" i="18"/>
  <c r="Q553" i="18"/>
  <c r="P553" i="18"/>
  <c r="O553" i="18"/>
  <c r="N553" i="18"/>
  <c r="M553" i="18"/>
  <c r="L553" i="18"/>
  <c r="K553" i="18"/>
  <c r="J553" i="18"/>
  <c r="I553" i="18"/>
  <c r="H553" i="18"/>
  <c r="G553" i="18"/>
  <c r="F553" i="18"/>
  <c r="E553" i="18"/>
  <c r="D553" i="18"/>
  <c r="C553" i="18"/>
  <c r="B553" i="18"/>
  <c r="A553" i="18"/>
  <c r="CU552" i="18"/>
  <c r="CT552" i="18"/>
  <c r="CS552" i="18"/>
  <c r="CR552" i="18"/>
  <c r="CQ552" i="18"/>
  <c r="CP552" i="18"/>
  <c r="CO552" i="18"/>
  <c r="CN552" i="18"/>
  <c r="CM552" i="18"/>
  <c r="CL552" i="18"/>
  <c r="CK552" i="18"/>
  <c r="CJ552" i="18"/>
  <c r="CI552" i="18"/>
  <c r="CH552" i="18"/>
  <c r="CG552" i="18"/>
  <c r="CF552" i="18"/>
  <c r="CE552" i="18"/>
  <c r="CD552" i="18"/>
  <c r="CC552" i="18"/>
  <c r="CB552" i="18"/>
  <c r="CA552" i="18"/>
  <c r="BZ552" i="18"/>
  <c r="BY552" i="18"/>
  <c r="BX552" i="18"/>
  <c r="BW552" i="18"/>
  <c r="BV552" i="18"/>
  <c r="BU552" i="18"/>
  <c r="BT552" i="18"/>
  <c r="BS552" i="18"/>
  <c r="BR552" i="18"/>
  <c r="BQ552" i="18"/>
  <c r="BP552" i="18"/>
  <c r="BO552" i="18"/>
  <c r="BN552" i="18"/>
  <c r="BM552" i="18"/>
  <c r="BL552" i="18"/>
  <c r="BK552" i="18"/>
  <c r="BJ552" i="18"/>
  <c r="BI552" i="18"/>
  <c r="BH552" i="18"/>
  <c r="BG552" i="18"/>
  <c r="BF552" i="18"/>
  <c r="BE552" i="18"/>
  <c r="BD552" i="18"/>
  <c r="BC552" i="18"/>
  <c r="BB552" i="18"/>
  <c r="BA552" i="18"/>
  <c r="AZ552" i="18"/>
  <c r="AY552" i="18"/>
  <c r="AX552" i="18"/>
  <c r="AW552" i="18"/>
  <c r="AV552" i="18"/>
  <c r="AU552" i="18"/>
  <c r="AT552" i="18"/>
  <c r="AS552" i="18"/>
  <c r="AR552" i="18"/>
  <c r="AQ552" i="18"/>
  <c r="AP552" i="18"/>
  <c r="AO552" i="18"/>
  <c r="AN552" i="18"/>
  <c r="AM552" i="18"/>
  <c r="AL552" i="18"/>
  <c r="AK552" i="18"/>
  <c r="AJ552" i="18"/>
  <c r="AI552" i="18"/>
  <c r="AH552" i="18"/>
  <c r="AG552" i="18"/>
  <c r="AF552" i="18"/>
  <c r="AE552" i="18"/>
  <c r="AD552" i="18"/>
  <c r="AC552" i="18"/>
  <c r="AB552" i="18"/>
  <c r="AA552" i="18"/>
  <c r="Z552" i="18"/>
  <c r="Y552" i="18"/>
  <c r="X552" i="18"/>
  <c r="W552" i="18"/>
  <c r="V552" i="18"/>
  <c r="U552" i="18"/>
  <c r="T552" i="18"/>
  <c r="S552" i="18"/>
  <c r="R552" i="18"/>
  <c r="Q552" i="18"/>
  <c r="P552" i="18"/>
  <c r="O552" i="18"/>
  <c r="N552" i="18"/>
  <c r="M552" i="18"/>
  <c r="L552" i="18"/>
  <c r="K552" i="18"/>
  <c r="J552" i="18"/>
  <c r="I552" i="18"/>
  <c r="H552" i="18"/>
  <c r="G552" i="18"/>
  <c r="F552" i="18"/>
  <c r="E552" i="18"/>
  <c r="D552" i="18"/>
  <c r="C552" i="18"/>
  <c r="B552" i="18"/>
  <c r="A552" i="18"/>
  <c r="CU551" i="18"/>
  <c r="CT551" i="18"/>
  <c r="CS551" i="18"/>
  <c r="CR551" i="18"/>
  <c r="CQ551" i="18"/>
  <c r="CP551" i="18"/>
  <c r="CO551" i="18"/>
  <c r="CN551" i="18"/>
  <c r="CM551" i="18"/>
  <c r="CL551" i="18"/>
  <c r="CK551" i="18"/>
  <c r="CJ551" i="18"/>
  <c r="CI551" i="18"/>
  <c r="CH551" i="18"/>
  <c r="CG551" i="18"/>
  <c r="CF551" i="18"/>
  <c r="CE551" i="18"/>
  <c r="CD551" i="18"/>
  <c r="CC551" i="18"/>
  <c r="CB551" i="18"/>
  <c r="CA551" i="18"/>
  <c r="BZ551" i="18"/>
  <c r="BY551" i="18"/>
  <c r="BX551" i="18"/>
  <c r="BW551" i="18"/>
  <c r="BV551" i="18"/>
  <c r="BU551" i="18"/>
  <c r="BT551" i="18"/>
  <c r="BS551" i="18"/>
  <c r="BR551" i="18"/>
  <c r="BQ551" i="18"/>
  <c r="BP551" i="18"/>
  <c r="BO551" i="18"/>
  <c r="BN551" i="18"/>
  <c r="BM551" i="18"/>
  <c r="BL551" i="18"/>
  <c r="BK551" i="18"/>
  <c r="BJ551" i="18"/>
  <c r="BI551" i="18"/>
  <c r="BH551" i="18"/>
  <c r="BG551" i="18"/>
  <c r="BF551" i="18"/>
  <c r="BE551" i="18"/>
  <c r="BD551" i="18"/>
  <c r="BC551" i="18"/>
  <c r="BB551" i="18"/>
  <c r="BA551" i="18"/>
  <c r="AZ551" i="18"/>
  <c r="AY551" i="18"/>
  <c r="AX551" i="18"/>
  <c r="AW551" i="18"/>
  <c r="AV551" i="18"/>
  <c r="AU551" i="18"/>
  <c r="AT551" i="18"/>
  <c r="AS551" i="18"/>
  <c r="AR551" i="18"/>
  <c r="AQ551" i="18"/>
  <c r="AP551" i="18"/>
  <c r="AO551" i="18"/>
  <c r="AN551" i="18"/>
  <c r="AM551" i="18"/>
  <c r="AL551" i="18"/>
  <c r="AK551" i="18"/>
  <c r="AJ551" i="18"/>
  <c r="AI551" i="18"/>
  <c r="AH551" i="18"/>
  <c r="AG551" i="18"/>
  <c r="AF551" i="18"/>
  <c r="AE551" i="18"/>
  <c r="AD551" i="18"/>
  <c r="AC551" i="18"/>
  <c r="AB551" i="18"/>
  <c r="AA551" i="18"/>
  <c r="Z551" i="18"/>
  <c r="Y551" i="18"/>
  <c r="X551" i="18"/>
  <c r="W551" i="18"/>
  <c r="V551" i="18"/>
  <c r="U551" i="18"/>
  <c r="T551" i="18"/>
  <c r="S551" i="18"/>
  <c r="R551" i="18"/>
  <c r="Q551" i="18"/>
  <c r="P551" i="18"/>
  <c r="O551" i="18"/>
  <c r="N551" i="18"/>
  <c r="M551" i="18"/>
  <c r="L551" i="18"/>
  <c r="K551" i="18"/>
  <c r="J551" i="18"/>
  <c r="I551" i="18"/>
  <c r="H551" i="18"/>
  <c r="G551" i="18"/>
  <c r="F551" i="18"/>
  <c r="E551" i="18"/>
  <c r="D551" i="18"/>
  <c r="C551" i="18"/>
  <c r="B551" i="18"/>
  <c r="A551" i="18"/>
  <c r="CU550" i="18"/>
  <c r="CT550" i="18"/>
  <c r="CS550" i="18"/>
  <c r="CR550" i="18"/>
  <c r="CQ550" i="18"/>
  <c r="CP550" i="18"/>
  <c r="CO550" i="18"/>
  <c r="CN550" i="18"/>
  <c r="CM550" i="18"/>
  <c r="CL550" i="18"/>
  <c r="CK550" i="18"/>
  <c r="CJ550" i="18"/>
  <c r="CI550" i="18"/>
  <c r="CH550" i="18"/>
  <c r="CG550" i="18"/>
  <c r="CF550" i="18"/>
  <c r="CE550" i="18"/>
  <c r="CD550" i="18"/>
  <c r="CC550" i="18"/>
  <c r="CB550" i="18"/>
  <c r="CA550" i="18"/>
  <c r="BZ550" i="18"/>
  <c r="BY550" i="18"/>
  <c r="BX550" i="18"/>
  <c r="BW550" i="18"/>
  <c r="BV550" i="18"/>
  <c r="BU550" i="18"/>
  <c r="BT550" i="18"/>
  <c r="BS550" i="18"/>
  <c r="BR550" i="18"/>
  <c r="BQ550" i="18"/>
  <c r="BP550" i="18"/>
  <c r="BO550" i="18"/>
  <c r="BN550" i="18"/>
  <c r="BM550" i="18"/>
  <c r="BL550" i="18"/>
  <c r="BK550" i="18"/>
  <c r="BJ550" i="18"/>
  <c r="BI550" i="18"/>
  <c r="BH550" i="18"/>
  <c r="BG550" i="18"/>
  <c r="BF550" i="18"/>
  <c r="BE550" i="18"/>
  <c r="BD550" i="18"/>
  <c r="BC550" i="18"/>
  <c r="BB550" i="18"/>
  <c r="BA550" i="18"/>
  <c r="AZ550" i="18"/>
  <c r="AY550" i="18"/>
  <c r="AX550" i="18"/>
  <c r="AW550" i="18"/>
  <c r="AV550" i="18"/>
  <c r="AU550" i="18"/>
  <c r="AT550" i="18"/>
  <c r="AS550" i="18"/>
  <c r="AR550" i="18"/>
  <c r="AQ550" i="18"/>
  <c r="AP550" i="18"/>
  <c r="AO550" i="18"/>
  <c r="AN550" i="18"/>
  <c r="AM550" i="18"/>
  <c r="AL550" i="18"/>
  <c r="AK550" i="18"/>
  <c r="AJ550" i="18"/>
  <c r="AI550" i="18"/>
  <c r="AH550" i="18"/>
  <c r="AG550" i="18"/>
  <c r="AF550" i="18"/>
  <c r="AE550" i="18"/>
  <c r="AD550" i="18"/>
  <c r="AC550" i="18"/>
  <c r="AB550" i="18"/>
  <c r="AA550" i="18"/>
  <c r="Z550" i="18"/>
  <c r="Y550" i="18"/>
  <c r="X550" i="18"/>
  <c r="W550" i="18"/>
  <c r="V550" i="18"/>
  <c r="U550" i="18"/>
  <c r="T550" i="18"/>
  <c r="S550" i="18"/>
  <c r="R550" i="18"/>
  <c r="Q550" i="18"/>
  <c r="P550" i="18"/>
  <c r="O550" i="18"/>
  <c r="N550" i="18"/>
  <c r="M550" i="18"/>
  <c r="L550" i="18"/>
  <c r="K550" i="18"/>
  <c r="J550" i="18"/>
  <c r="I550" i="18"/>
  <c r="H550" i="18"/>
  <c r="G550" i="18"/>
  <c r="F550" i="18"/>
  <c r="E550" i="18"/>
  <c r="D550" i="18"/>
  <c r="C550" i="18"/>
  <c r="B550" i="18"/>
  <c r="A550" i="18"/>
  <c r="CU549" i="18"/>
  <c r="CT549" i="18"/>
  <c r="CS549" i="18"/>
  <c r="CR549" i="18"/>
  <c r="CQ549" i="18"/>
  <c r="CP549" i="18"/>
  <c r="CO549" i="18"/>
  <c r="CN549" i="18"/>
  <c r="CM549" i="18"/>
  <c r="CL549" i="18"/>
  <c r="CK549" i="18"/>
  <c r="CJ549" i="18"/>
  <c r="CI549" i="18"/>
  <c r="CH549" i="18"/>
  <c r="CG549" i="18"/>
  <c r="CF549" i="18"/>
  <c r="CE549" i="18"/>
  <c r="CD549" i="18"/>
  <c r="CC549" i="18"/>
  <c r="CB549" i="18"/>
  <c r="CA549" i="18"/>
  <c r="BZ549" i="18"/>
  <c r="BY549" i="18"/>
  <c r="BX549" i="18"/>
  <c r="BW549" i="18"/>
  <c r="BV549" i="18"/>
  <c r="BU549" i="18"/>
  <c r="BT549" i="18"/>
  <c r="BS549" i="18"/>
  <c r="BR549" i="18"/>
  <c r="BQ549" i="18"/>
  <c r="BP549" i="18"/>
  <c r="BO549" i="18"/>
  <c r="BN549" i="18"/>
  <c r="BM549" i="18"/>
  <c r="BL549" i="18"/>
  <c r="BK549" i="18"/>
  <c r="BJ549" i="18"/>
  <c r="BI549" i="18"/>
  <c r="BH549" i="18"/>
  <c r="BG549" i="18"/>
  <c r="BF549" i="18"/>
  <c r="BE549" i="18"/>
  <c r="BD549" i="18"/>
  <c r="BC549" i="18"/>
  <c r="BB549" i="18"/>
  <c r="BA549" i="18"/>
  <c r="AZ549" i="18"/>
  <c r="AY549" i="18"/>
  <c r="AX549" i="18"/>
  <c r="AW549" i="18"/>
  <c r="AV549" i="18"/>
  <c r="AU549" i="18"/>
  <c r="AT549" i="18"/>
  <c r="AS549" i="18"/>
  <c r="AR549" i="18"/>
  <c r="AQ549" i="18"/>
  <c r="AP549" i="18"/>
  <c r="AO549" i="18"/>
  <c r="AN549" i="18"/>
  <c r="AM549" i="18"/>
  <c r="AL549" i="18"/>
  <c r="AK549" i="18"/>
  <c r="AJ549" i="18"/>
  <c r="AI549" i="18"/>
  <c r="AH549" i="18"/>
  <c r="AG549" i="18"/>
  <c r="AF549" i="18"/>
  <c r="AE549" i="18"/>
  <c r="AD549" i="18"/>
  <c r="AC549" i="18"/>
  <c r="AB549" i="18"/>
  <c r="AA549" i="18"/>
  <c r="Z549" i="18"/>
  <c r="Y549" i="18"/>
  <c r="X549" i="18"/>
  <c r="W549" i="18"/>
  <c r="V549" i="18"/>
  <c r="U549" i="18"/>
  <c r="T549" i="18"/>
  <c r="S549" i="18"/>
  <c r="R549" i="18"/>
  <c r="Q549" i="18"/>
  <c r="P549" i="18"/>
  <c r="O549" i="18"/>
  <c r="N549" i="18"/>
  <c r="M549" i="18"/>
  <c r="L549" i="18"/>
  <c r="K549" i="18"/>
  <c r="J549" i="18"/>
  <c r="I549" i="18"/>
  <c r="H549" i="18"/>
  <c r="G549" i="18"/>
  <c r="F549" i="18"/>
  <c r="E549" i="18"/>
  <c r="D549" i="18"/>
  <c r="C549" i="18"/>
  <c r="B549" i="18"/>
  <c r="A549" i="18"/>
  <c r="CU548" i="18"/>
  <c r="CT548" i="18"/>
  <c r="CS548" i="18"/>
  <c r="CR548" i="18"/>
  <c r="CQ548" i="18"/>
  <c r="CP548" i="18"/>
  <c r="CO548" i="18"/>
  <c r="CN548" i="18"/>
  <c r="CM548" i="18"/>
  <c r="CL548" i="18"/>
  <c r="CK548" i="18"/>
  <c r="CJ548" i="18"/>
  <c r="CI548" i="18"/>
  <c r="CH548" i="18"/>
  <c r="CG548" i="18"/>
  <c r="CF548" i="18"/>
  <c r="CE548" i="18"/>
  <c r="CD548" i="18"/>
  <c r="CC548" i="18"/>
  <c r="CB548" i="18"/>
  <c r="CA548" i="18"/>
  <c r="BZ548" i="18"/>
  <c r="BY548" i="18"/>
  <c r="BX548" i="18"/>
  <c r="BW548" i="18"/>
  <c r="BV548" i="18"/>
  <c r="BU548" i="18"/>
  <c r="BT548" i="18"/>
  <c r="BS548" i="18"/>
  <c r="BR548" i="18"/>
  <c r="BQ548" i="18"/>
  <c r="BP548" i="18"/>
  <c r="BO548" i="18"/>
  <c r="BN548" i="18"/>
  <c r="BM548" i="18"/>
  <c r="BL548" i="18"/>
  <c r="BK548" i="18"/>
  <c r="BJ548" i="18"/>
  <c r="BI548" i="18"/>
  <c r="BH548" i="18"/>
  <c r="BG548" i="18"/>
  <c r="BF548" i="18"/>
  <c r="BE548" i="18"/>
  <c r="BD548" i="18"/>
  <c r="BC548" i="18"/>
  <c r="BB548" i="18"/>
  <c r="BA548" i="18"/>
  <c r="AZ548" i="18"/>
  <c r="AY548" i="18"/>
  <c r="AX548" i="18"/>
  <c r="AW548" i="18"/>
  <c r="AV548" i="18"/>
  <c r="AU548" i="18"/>
  <c r="AT548" i="18"/>
  <c r="AS548" i="18"/>
  <c r="AR548" i="18"/>
  <c r="AQ548" i="18"/>
  <c r="AP548" i="18"/>
  <c r="AO548" i="18"/>
  <c r="AN548" i="18"/>
  <c r="AM548" i="18"/>
  <c r="AL548" i="18"/>
  <c r="AK548" i="18"/>
  <c r="AJ548" i="18"/>
  <c r="AI548" i="18"/>
  <c r="AH548" i="18"/>
  <c r="AG548" i="18"/>
  <c r="AF548" i="18"/>
  <c r="AE548" i="18"/>
  <c r="AD548" i="18"/>
  <c r="AC548" i="18"/>
  <c r="AB548" i="18"/>
  <c r="AA548" i="18"/>
  <c r="Z548" i="18"/>
  <c r="Y548" i="18"/>
  <c r="X548" i="18"/>
  <c r="W548" i="18"/>
  <c r="V548" i="18"/>
  <c r="U548" i="18"/>
  <c r="T548" i="18"/>
  <c r="S548" i="18"/>
  <c r="R548" i="18"/>
  <c r="Q548" i="18"/>
  <c r="P548" i="18"/>
  <c r="O548" i="18"/>
  <c r="N548" i="18"/>
  <c r="M548" i="18"/>
  <c r="L548" i="18"/>
  <c r="K548" i="18"/>
  <c r="J548" i="18"/>
  <c r="I548" i="18"/>
  <c r="H548" i="18"/>
  <c r="G548" i="18"/>
  <c r="F548" i="18"/>
  <c r="E548" i="18"/>
  <c r="D548" i="18"/>
  <c r="C548" i="18"/>
  <c r="B548" i="18"/>
  <c r="A548" i="18"/>
  <c r="CU547" i="18"/>
  <c r="CT547" i="18"/>
  <c r="CS547" i="18"/>
  <c r="CR547" i="18"/>
  <c r="CQ547" i="18"/>
  <c r="CP547" i="18"/>
  <c r="CO547" i="18"/>
  <c r="CN547" i="18"/>
  <c r="CM547" i="18"/>
  <c r="CL547" i="18"/>
  <c r="CK547" i="18"/>
  <c r="CJ547" i="18"/>
  <c r="CI547" i="18"/>
  <c r="CH547" i="18"/>
  <c r="CG547" i="18"/>
  <c r="CF547" i="18"/>
  <c r="CE547" i="18"/>
  <c r="CD547" i="18"/>
  <c r="CC547" i="18"/>
  <c r="CB547" i="18"/>
  <c r="CA547" i="18"/>
  <c r="BZ547" i="18"/>
  <c r="BY547" i="18"/>
  <c r="BX547" i="18"/>
  <c r="BW547" i="18"/>
  <c r="BV547" i="18"/>
  <c r="BU547" i="18"/>
  <c r="BT547" i="18"/>
  <c r="BS547" i="18"/>
  <c r="BR547" i="18"/>
  <c r="BQ547" i="18"/>
  <c r="BP547" i="18"/>
  <c r="BO547" i="18"/>
  <c r="BN547" i="18"/>
  <c r="BM547" i="18"/>
  <c r="BL547" i="18"/>
  <c r="BK547" i="18"/>
  <c r="BJ547" i="18"/>
  <c r="BI547" i="18"/>
  <c r="BH547" i="18"/>
  <c r="BG547" i="18"/>
  <c r="BF547" i="18"/>
  <c r="BE547" i="18"/>
  <c r="BD547" i="18"/>
  <c r="BC547" i="18"/>
  <c r="BB547" i="18"/>
  <c r="BA547" i="18"/>
  <c r="AZ547" i="18"/>
  <c r="AY547" i="18"/>
  <c r="AX547" i="18"/>
  <c r="AW547" i="18"/>
  <c r="AV547" i="18"/>
  <c r="AU547" i="18"/>
  <c r="AT547" i="18"/>
  <c r="AS547" i="18"/>
  <c r="AR547" i="18"/>
  <c r="AQ547" i="18"/>
  <c r="AP547" i="18"/>
  <c r="AO547" i="18"/>
  <c r="AN547" i="18"/>
  <c r="AM547" i="18"/>
  <c r="AL547" i="18"/>
  <c r="AK547" i="18"/>
  <c r="AJ547" i="18"/>
  <c r="AI547" i="18"/>
  <c r="AH547" i="18"/>
  <c r="AG547" i="18"/>
  <c r="AF547" i="18"/>
  <c r="AE547" i="18"/>
  <c r="AD547" i="18"/>
  <c r="AC547" i="18"/>
  <c r="AB547" i="18"/>
  <c r="AA547" i="18"/>
  <c r="Z547" i="18"/>
  <c r="Y547" i="18"/>
  <c r="X547" i="18"/>
  <c r="W547" i="18"/>
  <c r="V547" i="18"/>
  <c r="U547" i="18"/>
  <c r="T547" i="18"/>
  <c r="S547" i="18"/>
  <c r="R547" i="18"/>
  <c r="Q547" i="18"/>
  <c r="P547" i="18"/>
  <c r="O547" i="18"/>
  <c r="N547" i="18"/>
  <c r="M547" i="18"/>
  <c r="L547" i="18"/>
  <c r="K547" i="18"/>
  <c r="J547" i="18"/>
  <c r="I547" i="18"/>
  <c r="H547" i="18"/>
  <c r="G547" i="18"/>
  <c r="F547" i="18"/>
  <c r="E547" i="18"/>
  <c r="D547" i="18"/>
  <c r="C547" i="18"/>
  <c r="B547" i="18"/>
  <c r="A547" i="18"/>
  <c r="CU546" i="18"/>
  <c r="CT546" i="18"/>
  <c r="CS546" i="18"/>
  <c r="CR546" i="18"/>
  <c r="CQ546" i="18"/>
  <c r="CP546" i="18"/>
  <c r="CO546" i="18"/>
  <c r="CN546" i="18"/>
  <c r="CM546" i="18"/>
  <c r="CL546" i="18"/>
  <c r="CK546" i="18"/>
  <c r="CJ546" i="18"/>
  <c r="CI546" i="18"/>
  <c r="CH546" i="18"/>
  <c r="CG546" i="18"/>
  <c r="CF546" i="18"/>
  <c r="CE546" i="18"/>
  <c r="CD546" i="18"/>
  <c r="CC546" i="18"/>
  <c r="CB546" i="18"/>
  <c r="CA546" i="18"/>
  <c r="BZ546" i="18"/>
  <c r="BY546" i="18"/>
  <c r="BX546" i="18"/>
  <c r="BW546" i="18"/>
  <c r="BV546" i="18"/>
  <c r="BU546" i="18"/>
  <c r="BT546" i="18"/>
  <c r="BS546" i="18"/>
  <c r="BR546" i="18"/>
  <c r="BQ546" i="18"/>
  <c r="BP546" i="18"/>
  <c r="BO546" i="18"/>
  <c r="BN546" i="18"/>
  <c r="BM546" i="18"/>
  <c r="BL546" i="18"/>
  <c r="BK546" i="18"/>
  <c r="BJ546" i="18"/>
  <c r="BI546" i="18"/>
  <c r="BH546" i="18"/>
  <c r="BG546" i="18"/>
  <c r="BF546" i="18"/>
  <c r="BE546" i="18"/>
  <c r="BD546" i="18"/>
  <c r="BC546" i="18"/>
  <c r="BB546" i="18"/>
  <c r="BA546" i="18"/>
  <c r="AZ546" i="18"/>
  <c r="AY546" i="18"/>
  <c r="AX546" i="18"/>
  <c r="AW546" i="18"/>
  <c r="AV546" i="18"/>
  <c r="AU546" i="18"/>
  <c r="AT546" i="18"/>
  <c r="AS546" i="18"/>
  <c r="AR546" i="18"/>
  <c r="AQ546" i="18"/>
  <c r="AP546" i="18"/>
  <c r="AO546" i="18"/>
  <c r="AN546" i="18"/>
  <c r="AM546" i="18"/>
  <c r="AL546" i="18"/>
  <c r="AK546" i="18"/>
  <c r="AJ546" i="18"/>
  <c r="AI546" i="18"/>
  <c r="AH546" i="18"/>
  <c r="AG546" i="18"/>
  <c r="AF546" i="18"/>
  <c r="AE546" i="18"/>
  <c r="AD546" i="18"/>
  <c r="AC546" i="18"/>
  <c r="AB546" i="18"/>
  <c r="AA546" i="18"/>
  <c r="Z546" i="18"/>
  <c r="Y546" i="18"/>
  <c r="X546" i="18"/>
  <c r="W546" i="18"/>
  <c r="V546" i="18"/>
  <c r="U546" i="18"/>
  <c r="T546" i="18"/>
  <c r="S546" i="18"/>
  <c r="R546" i="18"/>
  <c r="Q546" i="18"/>
  <c r="P546" i="18"/>
  <c r="O546" i="18"/>
  <c r="N546" i="18"/>
  <c r="M546" i="18"/>
  <c r="L546" i="18"/>
  <c r="K546" i="18"/>
  <c r="J546" i="18"/>
  <c r="I546" i="18"/>
  <c r="H546" i="18"/>
  <c r="G546" i="18"/>
  <c r="F546" i="18"/>
  <c r="E546" i="18"/>
  <c r="D546" i="18"/>
  <c r="C546" i="18"/>
  <c r="B546" i="18"/>
  <c r="A546" i="18"/>
  <c r="CU545" i="18"/>
  <c r="CT545" i="18"/>
  <c r="CS545" i="18"/>
  <c r="CR545" i="18"/>
  <c r="CQ545" i="18"/>
  <c r="CP545" i="18"/>
  <c r="CO545" i="18"/>
  <c r="CN545" i="18"/>
  <c r="CM545" i="18"/>
  <c r="CL545" i="18"/>
  <c r="CK545" i="18"/>
  <c r="CJ545" i="18"/>
  <c r="CI545" i="18"/>
  <c r="CH545" i="18"/>
  <c r="CG545" i="18"/>
  <c r="CF545" i="18"/>
  <c r="CE545" i="18"/>
  <c r="CD545" i="18"/>
  <c r="CC545" i="18"/>
  <c r="CB545" i="18"/>
  <c r="CA545" i="18"/>
  <c r="BZ545" i="18"/>
  <c r="BY545" i="18"/>
  <c r="BX545" i="18"/>
  <c r="BW545" i="18"/>
  <c r="BV545" i="18"/>
  <c r="BU545" i="18"/>
  <c r="BT545" i="18"/>
  <c r="BS545" i="18"/>
  <c r="BR545" i="18"/>
  <c r="BQ545" i="18"/>
  <c r="BP545" i="18"/>
  <c r="BO545" i="18"/>
  <c r="BN545" i="18"/>
  <c r="BM545" i="18"/>
  <c r="BL545" i="18"/>
  <c r="BK545" i="18"/>
  <c r="BJ545" i="18"/>
  <c r="BI545" i="18"/>
  <c r="BH545" i="18"/>
  <c r="BG545" i="18"/>
  <c r="BF545" i="18"/>
  <c r="BE545" i="18"/>
  <c r="BD545" i="18"/>
  <c r="BC545" i="18"/>
  <c r="BB545" i="18"/>
  <c r="BA545" i="18"/>
  <c r="AZ545" i="18"/>
  <c r="AY545" i="18"/>
  <c r="AX545" i="18"/>
  <c r="AW545" i="18"/>
  <c r="AV545" i="18"/>
  <c r="AU545" i="18"/>
  <c r="AT545" i="18"/>
  <c r="AS545" i="18"/>
  <c r="AR545" i="18"/>
  <c r="AQ545" i="18"/>
  <c r="AP545" i="18"/>
  <c r="AO545" i="18"/>
  <c r="AN545" i="18"/>
  <c r="AM545" i="18"/>
  <c r="AL545" i="18"/>
  <c r="AK545" i="18"/>
  <c r="AJ545" i="18"/>
  <c r="AI545" i="18"/>
  <c r="AH545" i="18"/>
  <c r="AG545" i="18"/>
  <c r="AF545" i="18"/>
  <c r="AE545" i="18"/>
  <c r="AD545" i="18"/>
  <c r="AC545" i="18"/>
  <c r="AB545" i="18"/>
  <c r="AA545" i="18"/>
  <c r="Z545" i="18"/>
  <c r="Y545" i="18"/>
  <c r="X545" i="18"/>
  <c r="W545" i="18"/>
  <c r="V545" i="18"/>
  <c r="U545" i="18"/>
  <c r="T545" i="18"/>
  <c r="S545" i="18"/>
  <c r="R545" i="18"/>
  <c r="Q545" i="18"/>
  <c r="P545" i="18"/>
  <c r="O545" i="18"/>
  <c r="N545" i="18"/>
  <c r="M545" i="18"/>
  <c r="L545" i="18"/>
  <c r="K545" i="18"/>
  <c r="J545" i="18"/>
  <c r="I545" i="18"/>
  <c r="H545" i="18"/>
  <c r="G545" i="18"/>
  <c r="F545" i="18"/>
  <c r="E545" i="18"/>
  <c r="D545" i="18"/>
  <c r="C545" i="18"/>
  <c r="B545" i="18"/>
  <c r="A545" i="18"/>
  <c r="CU544" i="18"/>
  <c r="CT544" i="18"/>
  <c r="CS544" i="18"/>
  <c r="CR544" i="18"/>
  <c r="CQ544" i="18"/>
  <c r="CP544" i="18"/>
  <c r="CO544" i="18"/>
  <c r="CN544" i="18"/>
  <c r="CM544" i="18"/>
  <c r="CL544" i="18"/>
  <c r="CK544" i="18"/>
  <c r="CJ544" i="18"/>
  <c r="CI544" i="18"/>
  <c r="CH544" i="18"/>
  <c r="CG544" i="18"/>
  <c r="CF544" i="18"/>
  <c r="CE544" i="18"/>
  <c r="CD544" i="18"/>
  <c r="CC544" i="18"/>
  <c r="CB544" i="18"/>
  <c r="CA544" i="18"/>
  <c r="BZ544" i="18"/>
  <c r="BY544" i="18"/>
  <c r="BX544" i="18"/>
  <c r="BW544" i="18"/>
  <c r="BV544" i="18"/>
  <c r="BU544" i="18"/>
  <c r="BT544" i="18"/>
  <c r="BS544" i="18"/>
  <c r="BR544" i="18"/>
  <c r="BQ544" i="18"/>
  <c r="BP544" i="18"/>
  <c r="BO544" i="18"/>
  <c r="BN544" i="18"/>
  <c r="BM544" i="18"/>
  <c r="BL544" i="18"/>
  <c r="BK544" i="18"/>
  <c r="BJ544" i="18"/>
  <c r="BI544" i="18"/>
  <c r="BH544" i="18"/>
  <c r="BG544" i="18"/>
  <c r="BF544" i="18"/>
  <c r="BE544" i="18"/>
  <c r="BD544" i="18"/>
  <c r="BC544" i="18"/>
  <c r="BB544" i="18"/>
  <c r="BA544" i="18"/>
  <c r="AZ544" i="18"/>
  <c r="AY544" i="18"/>
  <c r="AX544" i="18"/>
  <c r="AW544" i="18"/>
  <c r="AV544" i="18"/>
  <c r="AU544" i="18"/>
  <c r="AT544" i="18"/>
  <c r="AS544" i="18"/>
  <c r="AR544" i="18"/>
  <c r="AQ544" i="18"/>
  <c r="AP544" i="18"/>
  <c r="AO544" i="18"/>
  <c r="AN544" i="18"/>
  <c r="AM544" i="18"/>
  <c r="AL544" i="18"/>
  <c r="AK544" i="18"/>
  <c r="AJ544" i="18"/>
  <c r="AI544" i="18"/>
  <c r="AH544" i="18"/>
  <c r="AG544" i="18"/>
  <c r="AF544" i="18"/>
  <c r="AE544" i="18"/>
  <c r="AD544" i="18"/>
  <c r="AC544" i="18"/>
  <c r="AB544" i="18"/>
  <c r="AA544" i="18"/>
  <c r="Z544" i="18"/>
  <c r="Y544" i="18"/>
  <c r="X544" i="18"/>
  <c r="W544" i="18"/>
  <c r="V544" i="18"/>
  <c r="U544" i="18"/>
  <c r="T544" i="18"/>
  <c r="S544" i="18"/>
  <c r="R544" i="18"/>
  <c r="Q544" i="18"/>
  <c r="P544" i="18"/>
  <c r="O544" i="18"/>
  <c r="N544" i="18"/>
  <c r="M544" i="18"/>
  <c r="L544" i="18"/>
  <c r="K544" i="18"/>
  <c r="J544" i="18"/>
  <c r="I544" i="18"/>
  <c r="H544" i="18"/>
  <c r="G544" i="18"/>
  <c r="F544" i="18"/>
  <c r="E544" i="18"/>
  <c r="D544" i="18"/>
  <c r="C544" i="18"/>
  <c r="B544" i="18"/>
  <c r="A544" i="18"/>
  <c r="CU543" i="18"/>
  <c r="CT543" i="18"/>
  <c r="CS543" i="18"/>
  <c r="CR543" i="18"/>
  <c r="CQ543" i="18"/>
  <c r="CP543" i="18"/>
  <c r="CO543" i="18"/>
  <c r="CN543" i="18"/>
  <c r="CM543" i="18"/>
  <c r="CL543" i="18"/>
  <c r="CK543" i="18"/>
  <c r="CJ543" i="18"/>
  <c r="CI543" i="18"/>
  <c r="CH543" i="18"/>
  <c r="CG543" i="18"/>
  <c r="CF543" i="18"/>
  <c r="CE543" i="18"/>
  <c r="CD543" i="18"/>
  <c r="CC543" i="18"/>
  <c r="CB543" i="18"/>
  <c r="CA543" i="18"/>
  <c r="BZ543" i="18"/>
  <c r="BY543" i="18"/>
  <c r="BX543" i="18"/>
  <c r="BW543" i="18"/>
  <c r="BV543" i="18"/>
  <c r="BU543" i="18"/>
  <c r="BT543" i="18"/>
  <c r="BS543" i="18"/>
  <c r="BR543" i="18"/>
  <c r="BQ543" i="18"/>
  <c r="BP543" i="18"/>
  <c r="BO543" i="18"/>
  <c r="BN543" i="18"/>
  <c r="BM543" i="18"/>
  <c r="BL543" i="18"/>
  <c r="BK543" i="18"/>
  <c r="BJ543" i="18"/>
  <c r="BI543" i="18"/>
  <c r="BH543" i="18"/>
  <c r="BG543" i="18"/>
  <c r="BF543" i="18"/>
  <c r="BE543" i="18"/>
  <c r="BD543" i="18"/>
  <c r="BC543" i="18"/>
  <c r="BB543" i="18"/>
  <c r="BA543" i="18"/>
  <c r="AZ543" i="18"/>
  <c r="AY543" i="18"/>
  <c r="AX543" i="18"/>
  <c r="AW543" i="18"/>
  <c r="AV543" i="18"/>
  <c r="AU543" i="18"/>
  <c r="AT543" i="18"/>
  <c r="AS543" i="18"/>
  <c r="AR543" i="18"/>
  <c r="AQ543" i="18"/>
  <c r="AP543" i="18"/>
  <c r="AO543" i="18"/>
  <c r="AN543" i="18"/>
  <c r="AM543" i="18"/>
  <c r="AL543" i="18"/>
  <c r="AK543" i="18"/>
  <c r="AJ543" i="18"/>
  <c r="AI543" i="18"/>
  <c r="AH543" i="18"/>
  <c r="AG543" i="18"/>
  <c r="AF543" i="18"/>
  <c r="AE543" i="18"/>
  <c r="AD543" i="18"/>
  <c r="AC543" i="18"/>
  <c r="AB543" i="18"/>
  <c r="AA543" i="18"/>
  <c r="Z543" i="18"/>
  <c r="Y543" i="18"/>
  <c r="X543" i="18"/>
  <c r="W543" i="18"/>
  <c r="V543" i="18"/>
  <c r="U543" i="18"/>
  <c r="T543" i="18"/>
  <c r="S543" i="18"/>
  <c r="R543" i="18"/>
  <c r="Q543" i="18"/>
  <c r="P543" i="18"/>
  <c r="O543" i="18"/>
  <c r="N543" i="18"/>
  <c r="M543" i="18"/>
  <c r="L543" i="18"/>
  <c r="K543" i="18"/>
  <c r="J543" i="18"/>
  <c r="I543" i="18"/>
  <c r="H543" i="18"/>
  <c r="G543" i="18"/>
  <c r="F543" i="18"/>
  <c r="E543" i="18"/>
  <c r="D543" i="18"/>
  <c r="C543" i="18"/>
  <c r="B543" i="18"/>
  <c r="A543" i="18"/>
  <c r="CU542" i="18"/>
  <c r="CT542" i="18"/>
  <c r="CS542" i="18"/>
  <c r="CR542" i="18"/>
  <c r="CQ542" i="18"/>
  <c r="CP542" i="18"/>
  <c r="CO542" i="18"/>
  <c r="CN542" i="18"/>
  <c r="CM542" i="18"/>
  <c r="CL542" i="18"/>
  <c r="CK542" i="18"/>
  <c r="CJ542" i="18"/>
  <c r="CI542" i="18"/>
  <c r="CH542" i="18"/>
  <c r="CG542" i="18"/>
  <c r="CF542" i="18"/>
  <c r="CE542" i="18"/>
  <c r="CD542" i="18"/>
  <c r="CC542" i="18"/>
  <c r="CB542" i="18"/>
  <c r="CA542" i="18"/>
  <c r="BZ542" i="18"/>
  <c r="BY542" i="18"/>
  <c r="BX542" i="18"/>
  <c r="BW542" i="18"/>
  <c r="BV542" i="18"/>
  <c r="BU542" i="18"/>
  <c r="BT542" i="18"/>
  <c r="BS542" i="18"/>
  <c r="BR542" i="18"/>
  <c r="BQ542" i="18"/>
  <c r="BP542" i="18"/>
  <c r="BO542" i="18"/>
  <c r="BN542" i="18"/>
  <c r="BM542" i="18"/>
  <c r="BL542" i="18"/>
  <c r="BK542" i="18"/>
  <c r="BJ542" i="18"/>
  <c r="BI542" i="18"/>
  <c r="BH542" i="18"/>
  <c r="BG542" i="18"/>
  <c r="BF542" i="18"/>
  <c r="BE542" i="18"/>
  <c r="BD542" i="18"/>
  <c r="BC542" i="18"/>
  <c r="BB542" i="18"/>
  <c r="BA542" i="18"/>
  <c r="AZ542" i="18"/>
  <c r="AY542" i="18"/>
  <c r="AX542" i="18"/>
  <c r="AW542" i="18"/>
  <c r="AV542" i="18"/>
  <c r="AU542" i="18"/>
  <c r="AT542" i="18"/>
  <c r="AS542" i="18"/>
  <c r="AR542" i="18"/>
  <c r="AQ542" i="18"/>
  <c r="AP542" i="18"/>
  <c r="AO542" i="18"/>
  <c r="AN542" i="18"/>
  <c r="AM542" i="18"/>
  <c r="AL542" i="18"/>
  <c r="AK542" i="18"/>
  <c r="AJ542" i="18"/>
  <c r="AI542" i="18"/>
  <c r="AH542" i="18"/>
  <c r="AG542" i="18"/>
  <c r="AF542" i="18"/>
  <c r="AE542" i="18"/>
  <c r="AD542" i="18"/>
  <c r="AC542" i="18"/>
  <c r="AB542" i="18"/>
  <c r="AA542" i="18"/>
  <c r="Z542" i="18"/>
  <c r="Y542" i="18"/>
  <c r="X542" i="18"/>
  <c r="W542" i="18"/>
  <c r="V542" i="18"/>
  <c r="U542" i="18"/>
  <c r="T542" i="18"/>
  <c r="S542" i="18"/>
  <c r="R542" i="18"/>
  <c r="Q542" i="18"/>
  <c r="P542" i="18"/>
  <c r="O542" i="18"/>
  <c r="N542" i="18"/>
  <c r="M542" i="18"/>
  <c r="L542" i="18"/>
  <c r="K542" i="18"/>
  <c r="J542" i="18"/>
  <c r="I542" i="18"/>
  <c r="H542" i="18"/>
  <c r="G542" i="18"/>
  <c r="F542" i="18"/>
  <c r="E542" i="18"/>
  <c r="D542" i="18"/>
  <c r="C542" i="18"/>
  <c r="B542" i="18"/>
  <c r="A542" i="18"/>
  <c r="CU541" i="18"/>
  <c r="CT541" i="18"/>
  <c r="CS541" i="18"/>
  <c r="CR541" i="18"/>
  <c r="CQ541" i="18"/>
  <c r="CP541" i="18"/>
  <c r="CO541" i="18"/>
  <c r="CN541" i="18"/>
  <c r="CM541" i="18"/>
  <c r="CL541" i="18"/>
  <c r="CK541" i="18"/>
  <c r="CJ541" i="18"/>
  <c r="CI541" i="18"/>
  <c r="CH541" i="18"/>
  <c r="CG541" i="18"/>
  <c r="CF541" i="18"/>
  <c r="CE541" i="18"/>
  <c r="CD541" i="18"/>
  <c r="CC541" i="18"/>
  <c r="CB541" i="18"/>
  <c r="CA541" i="18"/>
  <c r="BZ541" i="18"/>
  <c r="BY541" i="18"/>
  <c r="BX541" i="18"/>
  <c r="BW541" i="18"/>
  <c r="BV541" i="18"/>
  <c r="BU541" i="18"/>
  <c r="BT541" i="18"/>
  <c r="BS541" i="18"/>
  <c r="BR541" i="18"/>
  <c r="BQ541" i="18"/>
  <c r="BP541" i="18"/>
  <c r="BO541" i="18"/>
  <c r="BN541" i="18"/>
  <c r="BM541" i="18"/>
  <c r="BL541" i="18"/>
  <c r="BK541" i="18"/>
  <c r="BJ541" i="18"/>
  <c r="BI541" i="18"/>
  <c r="BH541" i="18"/>
  <c r="BG541" i="18"/>
  <c r="BF541" i="18"/>
  <c r="BE541" i="18"/>
  <c r="BD541" i="18"/>
  <c r="BC541" i="18"/>
  <c r="BB541" i="18"/>
  <c r="BA541" i="18"/>
  <c r="AZ541" i="18"/>
  <c r="AY541" i="18"/>
  <c r="AX541" i="18"/>
  <c r="AW541" i="18"/>
  <c r="AV541" i="18"/>
  <c r="AU541" i="18"/>
  <c r="AT541" i="18"/>
  <c r="AS541" i="18"/>
  <c r="AR541" i="18"/>
  <c r="AQ541" i="18"/>
  <c r="AP541" i="18"/>
  <c r="AO541" i="18"/>
  <c r="AN541" i="18"/>
  <c r="AM541" i="18"/>
  <c r="AL541" i="18"/>
  <c r="AK541" i="18"/>
  <c r="AJ541" i="18"/>
  <c r="AI541" i="18"/>
  <c r="AH541" i="18"/>
  <c r="AG541" i="18"/>
  <c r="AF541" i="18"/>
  <c r="AE541" i="18"/>
  <c r="AD541" i="18"/>
  <c r="AC541" i="18"/>
  <c r="AB541" i="18"/>
  <c r="AA541" i="18"/>
  <c r="Z541" i="18"/>
  <c r="Y541" i="18"/>
  <c r="X541" i="18"/>
  <c r="W541" i="18"/>
  <c r="V541" i="18"/>
  <c r="U541" i="18"/>
  <c r="T541" i="18"/>
  <c r="S541" i="18"/>
  <c r="R541" i="18"/>
  <c r="Q541" i="18"/>
  <c r="P541" i="18"/>
  <c r="O541" i="18"/>
  <c r="N541" i="18"/>
  <c r="M541" i="18"/>
  <c r="L541" i="18"/>
  <c r="K541" i="18"/>
  <c r="J541" i="18"/>
  <c r="I541" i="18"/>
  <c r="H541" i="18"/>
  <c r="G541" i="18"/>
  <c r="F541" i="18"/>
  <c r="E541" i="18"/>
  <c r="D541" i="18"/>
  <c r="C541" i="18"/>
  <c r="B541" i="18"/>
  <c r="A541" i="18"/>
  <c r="CU540" i="18"/>
  <c r="CT540" i="18"/>
  <c r="CS540" i="18"/>
  <c r="CR540" i="18"/>
  <c r="CQ540" i="18"/>
  <c r="CP540" i="18"/>
  <c r="CO540" i="18"/>
  <c r="CN540" i="18"/>
  <c r="CM540" i="18"/>
  <c r="CL540" i="18"/>
  <c r="CK540" i="18"/>
  <c r="CJ540" i="18"/>
  <c r="CI540" i="18"/>
  <c r="CH540" i="18"/>
  <c r="CG540" i="18"/>
  <c r="CF540" i="18"/>
  <c r="CE540" i="18"/>
  <c r="CD540" i="18"/>
  <c r="CC540" i="18"/>
  <c r="CB540" i="18"/>
  <c r="CA540" i="18"/>
  <c r="BZ540" i="18"/>
  <c r="BY540" i="18"/>
  <c r="BX540" i="18"/>
  <c r="BW540" i="18"/>
  <c r="BV540" i="18"/>
  <c r="BU540" i="18"/>
  <c r="BT540" i="18"/>
  <c r="BS540" i="18"/>
  <c r="BR540" i="18"/>
  <c r="BQ540" i="18"/>
  <c r="BP540" i="18"/>
  <c r="BO540" i="18"/>
  <c r="BN540" i="18"/>
  <c r="BM540" i="18"/>
  <c r="BL540" i="18"/>
  <c r="BK540" i="18"/>
  <c r="BJ540" i="18"/>
  <c r="BI540" i="18"/>
  <c r="BH540" i="18"/>
  <c r="BG540" i="18"/>
  <c r="BF540" i="18"/>
  <c r="BE540" i="18"/>
  <c r="BD540" i="18"/>
  <c r="BC540" i="18"/>
  <c r="BB540" i="18"/>
  <c r="BA540" i="18"/>
  <c r="AZ540" i="18"/>
  <c r="AY540" i="18"/>
  <c r="AX540" i="18"/>
  <c r="AW540" i="18"/>
  <c r="AV540" i="18"/>
  <c r="AU540" i="18"/>
  <c r="AT540" i="18"/>
  <c r="AS540" i="18"/>
  <c r="AR540" i="18"/>
  <c r="AQ540" i="18"/>
  <c r="AP540" i="18"/>
  <c r="AO540" i="18"/>
  <c r="AN540" i="18"/>
  <c r="AM540" i="18"/>
  <c r="AL540" i="18"/>
  <c r="AK540" i="18"/>
  <c r="AJ540" i="18"/>
  <c r="AI540" i="18"/>
  <c r="AH540" i="18"/>
  <c r="AG540" i="18"/>
  <c r="AF540" i="18"/>
  <c r="AE540" i="18"/>
  <c r="AD540" i="18"/>
  <c r="AC540" i="18"/>
  <c r="AB540" i="18"/>
  <c r="AA540" i="18"/>
  <c r="Z540" i="18"/>
  <c r="Y540" i="18"/>
  <c r="X540" i="18"/>
  <c r="W540" i="18"/>
  <c r="V540" i="18"/>
  <c r="U540" i="18"/>
  <c r="T540" i="18"/>
  <c r="S540" i="18"/>
  <c r="R540" i="18"/>
  <c r="Q540" i="18"/>
  <c r="P540" i="18"/>
  <c r="O540" i="18"/>
  <c r="N540" i="18"/>
  <c r="M540" i="18"/>
  <c r="L540" i="18"/>
  <c r="K540" i="18"/>
  <c r="J540" i="18"/>
  <c r="I540" i="18"/>
  <c r="H540" i="18"/>
  <c r="G540" i="18"/>
  <c r="F540" i="18"/>
  <c r="E540" i="18"/>
  <c r="D540" i="18"/>
  <c r="C540" i="18"/>
  <c r="B540" i="18"/>
  <c r="A540" i="18"/>
  <c r="CU539" i="18"/>
  <c r="CT539" i="18"/>
  <c r="CS539" i="18"/>
  <c r="CR539" i="18"/>
  <c r="CQ539" i="18"/>
  <c r="CP539" i="18"/>
  <c r="CO539" i="18"/>
  <c r="CN539" i="18"/>
  <c r="CM539" i="18"/>
  <c r="CL539" i="18"/>
  <c r="CK539" i="18"/>
  <c r="CJ539" i="18"/>
  <c r="CI539" i="18"/>
  <c r="CH539" i="18"/>
  <c r="CG539" i="18"/>
  <c r="CF539" i="18"/>
  <c r="CE539" i="18"/>
  <c r="CD539" i="18"/>
  <c r="CC539" i="18"/>
  <c r="CB539" i="18"/>
  <c r="CA539" i="18"/>
  <c r="BZ539" i="18"/>
  <c r="BY539" i="18"/>
  <c r="BX539" i="18"/>
  <c r="BW539" i="18"/>
  <c r="BV539" i="18"/>
  <c r="BU539" i="18"/>
  <c r="BT539" i="18"/>
  <c r="BS539" i="18"/>
  <c r="BR539" i="18"/>
  <c r="BQ539" i="18"/>
  <c r="BP539" i="18"/>
  <c r="BO539" i="18"/>
  <c r="BN539" i="18"/>
  <c r="BM539" i="18"/>
  <c r="BL539" i="18"/>
  <c r="BK539" i="18"/>
  <c r="BJ539" i="18"/>
  <c r="BI539" i="18"/>
  <c r="BH539" i="18"/>
  <c r="BG539" i="18"/>
  <c r="BF539" i="18"/>
  <c r="BE539" i="18"/>
  <c r="BD539" i="18"/>
  <c r="BC539" i="18"/>
  <c r="BB539" i="18"/>
  <c r="BA539" i="18"/>
  <c r="AZ539" i="18"/>
  <c r="AY539" i="18"/>
  <c r="AX539" i="18"/>
  <c r="AW539" i="18"/>
  <c r="AV539" i="18"/>
  <c r="AU539" i="18"/>
  <c r="AT539" i="18"/>
  <c r="AS539" i="18"/>
  <c r="AR539" i="18"/>
  <c r="AQ539" i="18"/>
  <c r="AP539" i="18"/>
  <c r="AO539" i="18"/>
  <c r="AN539" i="18"/>
  <c r="AM539" i="18"/>
  <c r="AL539" i="18"/>
  <c r="AK539" i="18"/>
  <c r="AJ539" i="18"/>
  <c r="AI539" i="18"/>
  <c r="AH539" i="18"/>
  <c r="AG539" i="18"/>
  <c r="AF539" i="18"/>
  <c r="AE539" i="18"/>
  <c r="AD539" i="18"/>
  <c r="AC539" i="18"/>
  <c r="AB539" i="18"/>
  <c r="AA539" i="18"/>
  <c r="Z539" i="18"/>
  <c r="Y539" i="18"/>
  <c r="X539" i="18"/>
  <c r="W539" i="18"/>
  <c r="V539" i="18"/>
  <c r="U539" i="18"/>
  <c r="T539" i="18"/>
  <c r="S539" i="18"/>
  <c r="R539" i="18"/>
  <c r="Q539" i="18"/>
  <c r="P539" i="18"/>
  <c r="O539" i="18"/>
  <c r="N539" i="18"/>
  <c r="M539" i="18"/>
  <c r="L539" i="18"/>
  <c r="K539" i="18"/>
  <c r="J539" i="18"/>
  <c r="I539" i="18"/>
  <c r="H539" i="18"/>
  <c r="G539" i="18"/>
  <c r="F539" i="18"/>
  <c r="E539" i="18"/>
  <c r="D539" i="18"/>
  <c r="C539" i="18"/>
  <c r="B539" i="18"/>
  <c r="A539" i="18"/>
  <c r="CU538" i="18"/>
  <c r="CT538" i="18"/>
  <c r="CS538" i="18"/>
  <c r="CR538" i="18"/>
  <c r="CQ538" i="18"/>
  <c r="CP538" i="18"/>
  <c r="CO538" i="18"/>
  <c r="CN538" i="18"/>
  <c r="CM538" i="18"/>
  <c r="CL538" i="18"/>
  <c r="CK538" i="18"/>
  <c r="CJ538" i="18"/>
  <c r="CI538" i="18"/>
  <c r="CH538" i="18"/>
  <c r="CG538" i="18"/>
  <c r="CF538" i="18"/>
  <c r="CE538" i="18"/>
  <c r="CD538" i="18"/>
  <c r="CC538" i="18"/>
  <c r="CB538" i="18"/>
  <c r="CA538" i="18"/>
  <c r="BZ538" i="18"/>
  <c r="BY538" i="18"/>
  <c r="BX538" i="18"/>
  <c r="BW538" i="18"/>
  <c r="BV538" i="18"/>
  <c r="BU538" i="18"/>
  <c r="BT538" i="18"/>
  <c r="BS538" i="18"/>
  <c r="BR538" i="18"/>
  <c r="BQ538" i="18"/>
  <c r="BP538" i="18"/>
  <c r="BO538" i="18"/>
  <c r="BN538" i="18"/>
  <c r="BM538" i="18"/>
  <c r="BL538" i="18"/>
  <c r="BK538" i="18"/>
  <c r="BJ538" i="18"/>
  <c r="BI538" i="18"/>
  <c r="BH538" i="18"/>
  <c r="BG538" i="18"/>
  <c r="BF538" i="18"/>
  <c r="BE538" i="18"/>
  <c r="BD538" i="18"/>
  <c r="BC538" i="18"/>
  <c r="BB538" i="18"/>
  <c r="BA538" i="18"/>
  <c r="AZ538" i="18"/>
  <c r="AY538" i="18"/>
  <c r="AX538" i="18"/>
  <c r="AW538" i="18"/>
  <c r="AV538" i="18"/>
  <c r="AU538" i="18"/>
  <c r="AT538" i="18"/>
  <c r="AS538" i="18"/>
  <c r="AR538" i="18"/>
  <c r="AQ538" i="18"/>
  <c r="AP538" i="18"/>
  <c r="AO538" i="18"/>
  <c r="AN538" i="18"/>
  <c r="AM538" i="18"/>
  <c r="AL538" i="18"/>
  <c r="AK538" i="18"/>
  <c r="AJ538" i="18"/>
  <c r="AI538" i="18"/>
  <c r="AH538" i="18"/>
  <c r="AG538" i="18"/>
  <c r="AF538" i="18"/>
  <c r="AE538" i="18"/>
  <c r="AD538" i="18"/>
  <c r="AC538" i="18"/>
  <c r="AB538" i="18"/>
  <c r="AA538" i="18"/>
  <c r="Z538" i="18"/>
  <c r="Y538" i="18"/>
  <c r="X538" i="18"/>
  <c r="W538" i="18"/>
  <c r="V538" i="18"/>
  <c r="U538" i="18"/>
  <c r="T538" i="18"/>
  <c r="S538" i="18"/>
  <c r="R538" i="18"/>
  <c r="Q538" i="18"/>
  <c r="P538" i="18"/>
  <c r="O538" i="18"/>
  <c r="N538" i="18"/>
  <c r="M538" i="18"/>
  <c r="L538" i="18"/>
  <c r="K538" i="18"/>
  <c r="J538" i="18"/>
  <c r="I538" i="18"/>
  <c r="H538" i="18"/>
  <c r="G538" i="18"/>
  <c r="F538" i="18"/>
  <c r="E538" i="18"/>
  <c r="D538" i="18"/>
  <c r="C538" i="18"/>
  <c r="B538" i="18"/>
  <c r="A538" i="18"/>
  <c r="CU537" i="18"/>
  <c r="CT537" i="18"/>
  <c r="CS537" i="18"/>
  <c r="CR537" i="18"/>
  <c r="CQ537" i="18"/>
  <c r="CP537" i="18"/>
  <c r="CO537" i="18"/>
  <c r="CN537" i="18"/>
  <c r="CM537" i="18"/>
  <c r="CL537" i="18"/>
  <c r="CK537" i="18"/>
  <c r="CJ537" i="18"/>
  <c r="CI537" i="18"/>
  <c r="CH537" i="18"/>
  <c r="CG537" i="18"/>
  <c r="CF537" i="18"/>
  <c r="CE537" i="18"/>
  <c r="CD537" i="18"/>
  <c r="CC537" i="18"/>
  <c r="CB537" i="18"/>
  <c r="CA537" i="18"/>
  <c r="BZ537" i="18"/>
  <c r="BY537" i="18"/>
  <c r="BX537" i="18"/>
  <c r="BW537" i="18"/>
  <c r="BV537" i="18"/>
  <c r="BU537" i="18"/>
  <c r="BT537" i="18"/>
  <c r="BS537" i="18"/>
  <c r="BR537" i="18"/>
  <c r="BQ537" i="18"/>
  <c r="BP537" i="18"/>
  <c r="BO537" i="18"/>
  <c r="BN537" i="18"/>
  <c r="BM537" i="18"/>
  <c r="BL537" i="18"/>
  <c r="BK537" i="18"/>
  <c r="BJ537" i="18"/>
  <c r="BI537" i="18"/>
  <c r="BH537" i="18"/>
  <c r="BG537" i="18"/>
  <c r="BF537" i="18"/>
  <c r="BE537" i="18"/>
  <c r="BD537" i="18"/>
  <c r="BC537" i="18"/>
  <c r="BB537" i="18"/>
  <c r="BA537" i="18"/>
  <c r="AZ537" i="18"/>
  <c r="AY537" i="18"/>
  <c r="AX537" i="18"/>
  <c r="AW537" i="18"/>
  <c r="AV537" i="18"/>
  <c r="AU537" i="18"/>
  <c r="AT537" i="18"/>
  <c r="AS537" i="18"/>
  <c r="AR537" i="18"/>
  <c r="AQ537" i="18"/>
  <c r="AP537" i="18"/>
  <c r="AO537" i="18"/>
  <c r="AN537" i="18"/>
  <c r="AM537" i="18"/>
  <c r="AL537" i="18"/>
  <c r="AK537" i="18"/>
  <c r="AJ537" i="18"/>
  <c r="AI537" i="18"/>
  <c r="AH537" i="18"/>
  <c r="AG537" i="18"/>
  <c r="AF537" i="18"/>
  <c r="AE537" i="18"/>
  <c r="AD537" i="18"/>
  <c r="AC537" i="18"/>
  <c r="AB537" i="18"/>
  <c r="AA537" i="18"/>
  <c r="Z537" i="18"/>
  <c r="Y537" i="18"/>
  <c r="X537" i="18"/>
  <c r="W537" i="18"/>
  <c r="V537" i="18"/>
  <c r="U537" i="18"/>
  <c r="T537" i="18"/>
  <c r="S537" i="18"/>
  <c r="R537" i="18"/>
  <c r="Q537" i="18"/>
  <c r="P537" i="18"/>
  <c r="O537" i="18"/>
  <c r="N537" i="18"/>
  <c r="M537" i="18"/>
  <c r="L537" i="18"/>
  <c r="K537" i="18"/>
  <c r="J537" i="18"/>
  <c r="I537" i="18"/>
  <c r="H537" i="18"/>
  <c r="G537" i="18"/>
  <c r="F537" i="18"/>
  <c r="E537" i="18"/>
  <c r="D537" i="18"/>
  <c r="C537" i="18"/>
  <c r="B537" i="18"/>
  <c r="A537" i="18"/>
  <c r="CU536" i="18"/>
  <c r="CT536" i="18"/>
  <c r="CS536" i="18"/>
  <c r="CR536" i="18"/>
  <c r="CP536" i="18"/>
  <c r="CO536" i="18"/>
  <c r="CK536" i="18"/>
  <c r="CJ536" i="18"/>
  <c r="CI536" i="18"/>
  <c r="CH536" i="18"/>
  <c r="CG536" i="18"/>
  <c r="CF536" i="18"/>
  <c r="CE536" i="18"/>
  <c r="CD536" i="18"/>
  <c r="CC536" i="18"/>
  <c r="CB536" i="18"/>
  <c r="CA536" i="18"/>
  <c r="BZ536" i="18"/>
  <c r="BY536" i="18"/>
  <c r="BT536" i="18"/>
  <c r="BS536" i="18"/>
  <c r="BR536" i="18"/>
  <c r="BQ536" i="18"/>
  <c r="BP536" i="18"/>
  <c r="BO536" i="18"/>
  <c r="BN536" i="18"/>
  <c r="BM536" i="18"/>
  <c r="BL536" i="18"/>
  <c r="BK536" i="18"/>
  <c r="BJ536" i="18"/>
  <c r="BI536" i="18"/>
  <c r="BH536" i="18"/>
  <c r="BG536" i="18"/>
  <c r="BF536" i="18"/>
  <c r="BD536" i="18"/>
  <c r="BC536" i="18"/>
  <c r="BB536" i="18"/>
  <c r="BA536" i="18"/>
  <c r="AZ536" i="18"/>
  <c r="AY536" i="18"/>
  <c r="AX536" i="18"/>
  <c r="AW536" i="18"/>
  <c r="AV536" i="18"/>
  <c r="AU536" i="18"/>
  <c r="AT536" i="18"/>
  <c r="AS536" i="18"/>
  <c r="AR536" i="18"/>
  <c r="AQ536" i="18"/>
  <c r="AP536" i="18"/>
  <c r="AO536" i="18"/>
  <c r="AN536" i="18"/>
  <c r="AM536" i="18"/>
  <c r="AL536" i="18"/>
  <c r="AK536" i="18"/>
  <c r="AJ536" i="18"/>
  <c r="AI536" i="18"/>
  <c r="AH536" i="18"/>
  <c r="AG536" i="18"/>
  <c r="AF536" i="18"/>
  <c r="AE536" i="18"/>
  <c r="AD536" i="18"/>
  <c r="AC536" i="18"/>
  <c r="AB536" i="18"/>
  <c r="AA536" i="18"/>
  <c r="Z536" i="18"/>
  <c r="Y536" i="18"/>
  <c r="X536" i="18"/>
  <c r="W536" i="18"/>
  <c r="V536" i="18"/>
  <c r="U536" i="18"/>
  <c r="T536" i="18"/>
  <c r="S536" i="18"/>
  <c r="R536" i="18"/>
  <c r="Q536" i="18"/>
  <c r="P536" i="18"/>
  <c r="O536" i="18"/>
  <c r="N536" i="18"/>
  <c r="M536" i="18"/>
  <c r="L536" i="18"/>
  <c r="K536" i="18"/>
  <c r="J536" i="18"/>
  <c r="I536" i="18"/>
  <c r="H536" i="18"/>
  <c r="G536" i="18"/>
  <c r="F536" i="18"/>
  <c r="E536" i="18"/>
  <c r="D536" i="18"/>
  <c r="C536" i="18"/>
  <c r="B536" i="18"/>
  <c r="A536" i="18"/>
  <c r="CU535" i="18"/>
  <c r="CT535" i="18"/>
  <c r="CS535" i="18"/>
  <c r="CR535" i="18"/>
  <c r="CP535" i="18"/>
  <c r="CO535" i="18"/>
  <c r="CK535" i="18"/>
  <c r="CJ535" i="18"/>
  <c r="CI535" i="18"/>
  <c r="CH535" i="18"/>
  <c r="CG535" i="18"/>
  <c r="CF535" i="18"/>
  <c r="CE535" i="18"/>
  <c r="CD535" i="18"/>
  <c r="CC535" i="18"/>
  <c r="CB535" i="18"/>
  <c r="CA535" i="18"/>
  <c r="BZ535" i="18"/>
  <c r="BY535" i="18"/>
  <c r="BT535" i="18"/>
  <c r="BS535" i="18"/>
  <c r="BR535" i="18"/>
  <c r="BQ535" i="18"/>
  <c r="BP535" i="18"/>
  <c r="BO535" i="18"/>
  <c r="BN535" i="18"/>
  <c r="BM535" i="18"/>
  <c r="BL535" i="18"/>
  <c r="BK535" i="18"/>
  <c r="BJ535" i="18"/>
  <c r="BI535" i="18"/>
  <c r="BH535" i="18"/>
  <c r="BG535" i="18"/>
  <c r="BF535" i="18"/>
  <c r="BD535" i="18"/>
  <c r="BC535" i="18"/>
  <c r="BB535" i="18"/>
  <c r="BA535" i="18"/>
  <c r="AZ535" i="18"/>
  <c r="AY535" i="18"/>
  <c r="AX535" i="18"/>
  <c r="AW535" i="18"/>
  <c r="AV535" i="18"/>
  <c r="AU535" i="18"/>
  <c r="AT535" i="18"/>
  <c r="AS535" i="18"/>
  <c r="AR535" i="18"/>
  <c r="AQ535" i="18"/>
  <c r="AP535" i="18"/>
  <c r="AO535" i="18"/>
  <c r="AN535" i="18"/>
  <c r="AM535" i="18"/>
  <c r="AL535" i="18"/>
  <c r="AK535" i="18"/>
  <c r="AJ535" i="18"/>
  <c r="AI535" i="18"/>
  <c r="AH535" i="18"/>
  <c r="AG535" i="18"/>
  <c r="AF535" i="18"/>
  <c r="AE535" i="18"/>
  <c r="AD535" i="18"/>
  <c r="AC535" i="18"/>
  <c r="AB535" i="18"/>
  <c r="AA535" i="18"/>
  <c r="Z535" i="18"/>
  <c r="Y535" i="18"/>
  <c r="X535" i="18"/>
  <c r="W535" i="18"/>
  <c r="V535" i="18"/>
  <c r="U535" i="18"/>
  <c r="T535" i="18"/>
  <c r="S535" i="18"/>
  <c r="R535" i="18"/>
  <c r="Q535" i="18"/>
  <c r="P535" i="18"/>
  <c r="O535" i="18"/>
  <c r="N535" i="18"/>
  <c r="M535" i="18"/>
  <c r="L535" i="18"/>
  <c r="K535" i="18"/>
  <c r="J535" i="18"/>
  <c r="I535" i="18"/>
  <c r="H535" i="18"/>
  <c r="G535" i="18"/>
  <c r="F535" i="18"/>
  <c r="E535" i="18"/>
  <c r="D535" i="18"/>
  <c r="C535" i="18"/>
  <c r="B535" i="18"/>
  <c r="A535" i="18"/>
  <c r="CU534" i="18"/>
  <c r="CT534" i="18"/>
  <c r="CS534" i="18"/>
  <c r="CR534" i="18"/>
  <c r="CQ534" i="18"/>
  <c r="CP534" i="18"/>
  <c r="CO534" i="18"/>
  <c r="CL534" i="18"/>
  <c r="CK534" i="18"/>
  <c r="CJ534" i="18"/>
  <c r="CI534" i="18"/>
  <c r="CH534" i="18"/>
  <c r="CG534" i="18"/>
  <c r="CF534" i="18"/>
  <c r="CE534" i="18"/>
  <c r="CD534" i="18"/>
  <c r="CC534" i="18"/>
  <c r="CB534" i="18"/>
  <c r="CA534" i="18"/>
  <c r="BZ534" i="18"/>
  <c r="BY534" i="18"/>
  <c r="BU534" i="18"/>
  <c r="BT534" i="18"/>
  <c r="BS534" i="18"/>
  <c r="BR534" i="18"/>
  <c r="BQ534" i="18"/>
  <c r="BP534" i="18"/>
  <c r="BO534" i="18"/>
  <c r="BN534" i="18"/>
  <c r="BM534" i="18"/>
  <c r="BL534" i="18"/>
  <c r="BK534" i="18"/>
  <c r="BJ534" i="18"/>
  <c r="BI534" i="18"/>
  <c r="BH534" i="18"/>
  <c r="BG534" i="18"/>
  <c r="BD534" i="18"/>
  <c r="BC534" i="18"/>
  <c r="BB534" i="18"/>
  <c r="BA534" i="18"/>
  <c r="AZ534" i="18"/>
  <c r="AY534" i="18"/>
  <c r="AX534" i="18"/>
  <c r="AW534" i="18"/>
  <c r="AV534" i="18"/>
  <c r="AU534" i="18"/>
  <c r="AT534" i="18"/>
  <c r="AS534" i="18"/>
  <c r="AR534" i="18"/>
  <c r="AQ534" i="18"/>
  <c r="AP534" i="18"/>
  <c r="AO534" i="18"/>
  <c r="AN534" i="18"/>
  <c r="AM534" i="18"/>
  <c r="AL534" i="18"/>
  <c r="AK534" i="18"/>
  <c r="AJ534" i="18"/>
  <c r="AI534" i="18"/>
  <c r="AH534" i="18"/>
  <c r="AG534" i="18"/>
  <c r="AF534" i="18"/>
  <c r="AE534" i="18"/>
  <c r="AD534" i="18"/>
  <c r="AC534" i="18"/>
  <c r="AB534" i="18"/>
  <c r="AA534" i="18"/>
  <c r="Z534" i="18"/>
  <c r="Y534" i="18"/>
  <c r="X534" i="18"/>
  <c r="W534" i="18"/>
  <c r="V534" i="18"/>
  <c r="U534" i="18"/>
  <c r="T534" i="18"/>
  <c r="S534" i="18"/>
  <c r="R534" i="18"/>
  <c r="Q534" i="18"/>
  <c r="P534" i="18"/>
  <c r="O534" i="18"/>
  <c r="N534" i="18"/>
  <c r="M534" i="18"/>
  <c r="L534" i="18"/>
  <c r="K534" i="18"/>
  <c r="J534" i="18"/>
  <c r="I534" i="18"/>
  <c r="H534" i="18"/>
  <c r="G534" i="18"/>
  <c r="F534" i="18"/>
  <c r="E534" i="18"/>
  <c r="D534" i="18"/>
  <c r="C534" i="18"/>
  <c r="B534" i="18"/>
  <c r="A534" i="18"/>
  <c r="CU533" i="18"/>
  <c r="CT533" i="18"/>
  <c r="CS533" i="18"/>
  <c r="CR533" i="18"/>
  <c r="CP533" i="18"/>
  <c r="CO533" i="18"/>
  <c r="CN533" i="18"/>
  <c r="CM533" i="18"/>
  <c r="CK533" i="18"/>
  <c r="CJ533" i="18"/>
  <c r="CI533" i="18"/>
  <c r="CH533" i="18"/>
  <c r="CG533" i="18"/>
  <c r="CF533" i="18"/>
  <c r="CE533" i="18"/>
  <c r="CD533" i="18"/>
  <c r="CC533" i="18"/>
  <c r="CB533" i="18"/>
  <c r="CA533" i="18"/>
  <c r="BZ533" i="18"/>
  <c r="BY533" i="18"/>
  <c r="BT533" i="18"/>
  <c r="BS533" i="18"/>
  <c r="BR533" i="18"/>
  <c r="BQ533" i="18"/>
  <c r="BP533" i="18"/>
  <c r="BO533" i="18"/>
  <c r="BN533" i="18"/>
  <c r="BM533" i="18"/>
  <c r="BL533" i="18"/>
  <c r="BK533" i="18"/>
  <c r="BJ533" i="18"/>
  <c r="BI533" i="18"/>
  <c r="BH533" i="18"/>
  <c r="BG533" i="18"/>
  <c r="BF533" i="18"/>
  <c r="BE533" i="18"/>
  <c r="BA533" i="18"/>
  <c r="AZ533" i="18"/>
  <c r="AY533" i="18"/>
  <c r="AX533" i="18"/>
  <c r="AW533" i="18"/>
  <c r="AV533" i="18"/>
  <c r="AU533" i="18"/>
  <c r="AT533" i="18"/>
  <c r="AS533" i="18"/>
  <c r="AR533" i="18"/>
  <c r="AQ533" i="18"/>
  <c r="AP533" i="18"/>
  <c r="AO533" i="18"/>
  <c r="AN533" i="18"/>
  <c r="AM533" i="18"/>
  <c r="AL533" i="18"/>
  <c r="AK533" i="18"/>
  <c r="AJ533" i="18"/>
  <c r="AI533" i="18"/>
  <c r="AH533" i="18"/>
  <c r="AG533" i="18"/>
  <c r="AF533" i="18"/>
  <c r="AE533" i="18"/>
  <c r="AD533" i="18"/>
  <c r="AC533" i="18"/>
  <c r="AB533" i="18"/>
  <c r="AA533" i="18"/>
  <c r="Z533" i="18"/>
  <c r="Y533" i="18"/>
  <c r="X533" i="18"/>
  <c r="W533" i="18"/>
  <c r="V533" i="18"/>
  <c r="U533" i="18"/>
  <c r="T533" i="18"/>
  <c r="S533" i="18"/>
  <c r="R533" i="18"/>
  <c r="Q533" i="18"/>
  <c r="P533" i="18"/>
  <c r="O533" i="18"/>
  <c r="N533" i="18"/>
  <c r="M533" i="18"/>
  <c r="L533" i="18"/>
  <c r="K533" i="18"/>
  <c r="J533" i="18"/>
  <c r="I533" i="18"/>
  <c r="H533" i="18"/>
  <c r="G533" i="18"/>
  <c r="F533" i="18"/>
  <c r="E533" i="18"/>
  <c r="D533" i="18"/>
  <c r="C533" i="18"/>
  <c r="B533" i="18"/>
  <c r="A533" i="18"/>
  <c r="CU532" i="18"/>
  <c r="CT532" i="18"/>
  <c r="CS532" i="18"/>
  <c r="CR532" i="18"/>
  <c r="CQ532" i="18"/>
  <c r="CP532" i="18"/>
  <c r="CO532" i="18"/>
  <c r="CN532" i="18"/>
  <c r="CM532" i="18"/>
  <c r="CL532" i="18"/>
  <c r="CK532" i="18"/>
  <c r="CJ532" i="18"/>
  <c r="CI532" i="18"/>
  <c r="CH532" i="18"/>
  <c r="CG532" i="18"/>
  <c r="CF532" i="18"/>
  <c r="CE532" i="18"/>
  <c r="CD532" i="18"/>
  <c r="CC532" i="18"/>
  <c r="CB532" i="18"/>
  <c r="CA532" i="18"/>
  <c r="BZ532" i="18"/>
  <c r="BY532" i="18"/>
  <c r="BX532" i="18"/>
  <c r="BW532" i="18"/>
  <c r="BV532" i="18"/>
  <c r="BU532" i="18"/>
  <c r="BT532" i="18"/>
  <c r="BS532" i="18"/>
  <c r="BR532" i="18"/>
  <c r="BQ532" i="18"/>
  <c r="BP532" i="18"/>
  <c r="BO532" i="18"/>
  <c r="BN532" i="18"/>
  <c r="BM532" i="18"/>
  <c r="BL532" i="18"/>
  <c r="BK532" i="18"/>
  <c r="BJ532" i="18"/>
  <c r="BI532" i="18"/>
  <c r="BH532" i="18"/>
  <c r="BG532" i="18"/>
  <c r="BF532" i="18"/>
  <c r="BE532" i="18"/>
  <c r="BD532" i="18"/>
  <c r="BC532" i="18"/>
  <c r="BB532" i="18"/>
  <c r="BA532" i="18"/>
  <c r="AZ532" i="18"/>
  <c r="AY532" i="18"/>
  <c r="AX532" i="18"/>
  <c r="AW532" i="18"/>
  <c r="AV532" i="18"/>
  <c r="AU532" i="18"/>
  <c r="AT532" i="18"/>
  <c r="AS532" i="18"/>
  <c r="AR532" i="18"/>
  <c r="AQ532" i="18"/>
  <c r="AP532" i="18"/>
  <c r="AO532" i="18"/>
  <c r="AN532" i="18"/>
  <c r="AM532" i="18"/>
  <c r="AL532" i="18"/>
  <c r="AK532" i="18"/>
  <c r="AJ532" i="18"/>
  <c r="AI532" i="18"/>
  <c r="AH532" i="18"/>
  <c r="AG532" i="18"/>
  <c r="AF532" i="18"/>
  <c r="AE532" i="18"/>
  <c r="AD532" i="18"/>
  <c r="AC532" i="18"/>
  <c r="AB532" i="18"/>
  <c r="AA532" i="18"/>
  <c r="Z532" i="18"/>
  <c r="Y532" i="18"/>
  <c r="X532" i="18"/>
  <c r="W532" i="18"/>
  <c r="V532" i="18"/>
  <c r="U532" i="18"/>
  <c r="T532" i="18"/>
  <c r="S532" i="18"/>
  <c r="R532" i="18"/>
  <c r="Q532" i="18"/>
  <c r="P532" i="18"/>
  <c r="O532" i="18"/>
  <c r="N532" i="18"/>
  <c r="M532" i="18"/>
  <c r="L532" i="18"/>
  <c r="K532" i="18"/>
  <c r="J532" i="18"/>
  <c r="I532" i="18"/>
  <c r="H532" i="18"/>
  <c r="G532" i="18"/>
  <c r="F532" i="18"/>
  <c r="E532" i="18"/>
  <c r="D532" i="18"/>
  <c r="C532" i="18"/>
  <c r="B532" i="18"/>
  <c r="A532" i="18"/>
  <c r="CU531" i="18"/>
  <c r="CT531" i="18"/>
  <c r="CS531" i="18"/>
  <c r="CR531" i="18"/>
  <c r="CQ531" i="18"/>
  <c r="CP531" i="18"/>
  <c r="CO531" i="18"/>
  <c r="CN531" i="18"/>
  <c r="CM531" i="18"/>
  <c r="CL531" i="18"/>
  <c r="CK531" i="18"/>
  <c r="CJ531" i="18"/>
  <c r="CI531" i="18"/>
  <c r="CH531" i="18"/>
  <c r="CG531" i="18"/>
  <c r="CF531" i="18"/>
  <c r="CE531" i="18"/>
  <c r="CD531" i="18"/>
  <c r="CC531" i="18"/>
  <c r="CB531" i="18"/>
  <c r="CA531" i="18"/>
  <c r="BZ531" i="18"/>
  <c r="BY531" i="18"/>
  <c r="BX531" i="18"/>
  <c r="BW531" i="18"/>
  <c r="BV531" i="18"/>
  <c r="BU531" i="18"/>
  <c r="BT531" i="18"/>
  <c r="BS531" i="18"/>
  <c r="BR531" i="18"/>
  <c r="BQ531" i="18"/>
  <c r="BP531" i="18"/>
  <c r="BO531" i="18"/>
  <c r="BN531" i="18"/>
  <c r="BM531" i="18"/>
  <c r="BL531" i="18"/>
  <c r="BK531" i="18"/>
  <c r="BJ531" i="18"/>
  <c r="BI531" i="18"/>
  <c r="BH531" i="18"/>
  <c r="BG531" i="18"/>
  <c r="BF531" i="18"/>
  <c r="BE531" i="18"/>
  <c r="BD531" i="18"/>
  <c r="BC531" i="18"/>
  <c r="BB531" i="18"/>
  <c r="BA531" i="18"/>
  <c r="AZ531" i="18"/>
  <c r="AY531" i="18"/>
  <c r="AX531" i="18"/>
  <c r="AW531" i="18"/>
  <c r="AV531" i="18"/>
  <c r="AU531" i="18"/>
  <c r="AT531" i="18"/>
  <c r="AS531" i="18"/>
  <c r="AR531" i="18"/>
  <c r="AQ531" i="18"/>
  <c r="AP531" i="18"/>
  <c r="AO531" i="18"/>
  <c r="AN531" i="18"/>
  <c r="AM531" i="18"/>
  <c r="AL531" i="18"/>
  <c r="AK531" i="18"/>
  <c r="AJ531" i="18"/>
  <c r="AI531" i="18"/>
  <c r="AH531" i="18"/>
  <c r="AG531" i="18"/>
  <c r="AF531" i="18"/>
  <c r="AE531" i="18"/>
  <c r="AD531" i="18"/>
  <c r="AC531" i="18"/>
  <c r="AB531" i="18"/>
  <c r="AA531" i="18"/>
  <c r="Z531" i="18"/>
  <c r="Y531" i="18"/>
  <c r="X531" i="18"/>
  <c r="W531" i="18"/>
  <c r="V531" i="18"/>
  <c r="U531" i="18"/>
  <c r="T531" i="18"/>
  <c r="S531" i="18"/>
  <c r="R531" i="18"/>
  <c r="Q531" i="18"/>
  <c r="P531" i="18"/>
  <c r="O531" i="18"/>
  <c r="N531" i="18"/>
  <c r="M531" i="18"/>
  <c r="L531" i="18"/>
  <c r="K531" i="18"/>
  <c r="J531" i="18"/>
  <c r="I531" i="18"/>
  <c r="H531" i="18"/>
  <c r="G531" i="18"/>
  <c r="F531" i="18"/>
  <c r="E531" i="18"/>
  <c r="D531" i="18"/>
  <c r="C531" i="18"/>
  <c r="B531" i="18"/>
  <c r="A531" i="18"/>
  <c r="CU530" i="18"/>
  <c r="CT530" i="18"/>
  <c r="CS530" i="18"/>
  <c r="CR530" i="18"/>
  <c r="CQ530" i="18"/>
  <c r="CP530" i="18"/>
  <c r="CO530" i="18"/>
  <c r="CN530" i="18"/>
  <c r="CM530" i="18"/>
  <c r="CL530" i="18"/>
  <c r="CK530" i="18"/>
  <c r="CJ530" i="18"/>
  <c r="CI530" i="18"/>
  <c r="CH530" i="18"/>
  <c r="CG530" i="18"/>
  <c r="CF530" i="18"/>
  <c r="CE530" i="18"/>
  <c r="CD530" i="18"/>
  <c r="CC530" i="18"/>
  <c r="CB530" i="18"/>
  <c r="CA530" i="18"/>
  <c r="BZ530" i="18"/>
  <c r="BY530" i="18"/>
  <c r="BX530" i="18"/>
  <c r="BW530" i="18"/>
  <c r="BV530" i="18"/>
  <c r="BU530" i="18"/>
  <c r="BT530" i="18"/>
  <c r="BS530" i="18"/>
  <c r="BR530" i="18"/>
  <c r="BQ530" i="18"/>
  <c r="BP530" i="18"/>
  <c r="BO530" i="18"/>
  <c r="BN530" i="18"/>
  <c r="BM530" i="18"/>
  <c r="BL530" i="18"/>
  <c r="BK530" i="18"/>
  <c r="BJ530" i="18"/>
  <c r="BI530" i="18"/>
  <c r="BH530" i="18"/>
  <c r="BG530" i="18"/>
  <c r="BF530" i="18"/>
  <c r="BE530" i="18"/>
  <c r="BD530" i="18"/>
  <c r="BC530" i="18"/>
  <c r="BB530" i="18"/>
  <c r="BA530" i="18"/>
  <c r="AZ530" i="18"/>
  <c r="AY530" i="18"/>
  <c r="AX530" i="18"/>
  <c r="AW530" i="18"/>
  <c r="AV530" i="18"/>
  <c r="AU530" i="18"/>
  <c r="AT530" i="18"/>
  <c r="AS530" i="18"/>
  <c r="AR530" i="18"/>
  <c r="AQ530" i="18"/>
  <c r="AP530" i="18"/>
  <c r="AO530" i="18"/>
  <c r="AN530" i="18"/>
  <c r="AM530" i="18"/>
  <c r="AL530" i="18"/>
  <c r="AK530" i="18"/>
  <c r="AJ530" i="18"/>
  <c r="AI530" i="18"/>
  <c r="AH530" i="18"/>
  <c r="AG530" i="18"/>
  <c r="AF530" i="18"/>
  <c r="AE530" i="18"/>
  <c r="AD530" i="18"/>
  <c r="AC530" i="18"/>
  <c r="AB530" i="18"/>
  <c r="AA530" i="18"/>
  <c r="Z530" i="18"/>
  <c r="Y530" i="18"/>
  <c r="X530" i="18"/>
  <c r="W530" i="18"/>
  <c r="V530" i="18"/>
  <c r="U530" i="18"/>
  <c r="T530" i="18"/>
  <c r="S530" i="18"/>
  <c r="R530" i="18"/>
  <c r="Q530" i="18"/>
  <c r="P530" i="18"/>
  <c r="O530" i="18"/>
  <c r="N530" i="18"/>
  <c r="M530" i="18"/>
  <c r="L530" i="18"/>
  <c r="K530" i="18"/>
  <c r="J530" i="18"/>
  <c r="I530" i="18"/>
  <c r="H530" i="18"/>
  <c r="G530" i="18"/>
  <c r="F530" i="18"/>
  <c r="E530" i="18"/>
  <c r="D530" i="18"/>
  <c r="C530" i="18"/>
  <c r="B530" i="18"/>
  <c r="A530" i="18"/>
  <c r="CU529" i="18"/>
  <c r="CT529" i="18"/>
  <c r="CS529" i="18"/>
  <c r="CR529" i="18"/>
  <c r="CQ529" i="18"/>
  <c r="CP529" i="18"/>
  <c r="CO529" i="18"/>
  <c r="CN529" i="18"/>
  <c r="CM529" i="18"/>
  <c r="CK529" i="18"/>
  <c r="CJ529" i="18"/>
  <c r="CI529" i="18"/>
  <c r="CH529" i="18"/>
  <c r="CG529" i="18"/>
  <c r="CF529" i="18"/>
  <c r="CE529" i="18"/>
  <c r="CD529" i="18"/>
  <c r="CC529" i="18"/>
  <c r="CB529" i="18"/>
  <c r="CA529" i="18"/>
  <c r="BZ529" i="18"/>
  <c r="BY529" i="18"/>
  <c r="BX529" i="18"/>
  <c r="BW529" i="18"/>
  <c r="BV529" i="18"/>
  <c r="BU529" i="18"/>
  <c r="BT529" i="18"/>
  <c r="BS529" i="18"/>
  <c r="BR529" i="18"/>
  <c r="BQ529" i="18"/>
  <c r="BP529" i="18"/>
  <c r="BO529" i="18"/>
  <c r="BN529" i="18"/>
  <c r="BM529" i="18"/>
  <c r="BL529" i="18"/>
  <c r="BK529" i="18"/>
  <c r="BJ529" i="18"/>
  <c r="BI529" i="18"/>
  <c r="BH529" i="18"/>
  <c r="BG529" i="18"/>
  <c r="BF529" i="18"/>
  <c r="BE529" i="18"/>
  <c r="BA529" i="18"/>
  <c r="AZ529" i="18"/>
  <c r="AY529" i="18"/>
  <c r="AX529" i="18"/>
  <c r="AW529" i="18"/>
  <c r="AV529" i="18"/>
  <c r="AU529" i="18"/>
  <c r="AT529" i="18"/>
  <c r="AS529" i="18"/>
  <c r="AR529" i="18"/>
  <c r="AQ529" i="18"/>
  <c r="AP529" i="18"/>
  <c r="AO529" i="18"/>
  <c r="AN529" i="18"/>
  <c r="AM529" i="18"/>
  <c r="AL529" i="18"/>
  <c r="AK529" i="18"/>
  <c r="AJ529" i="18"/>
  <c r="AI529" i="18"/>
  <c r="AH529" i="18"/>
  <c r="AG529" i="18"/>
  <c r="AF529" i="18"/>
  <c r="AE529" i="18"/>
  <c r="AD529" i="18"/>
  <c r="AC529" i="18"/>
  <c r="AB529" i="18"/>
  <c r="AA529" i="18"/>
  <c r="Z529" i="18"/>
  <c r="Y529" i="18"/>
  <c r="X529" i="18"/>
  <c r="W529" i="18"/>
  <c r="V529" i="18"/>
  <c r="U529" i="18"/>
  <c r="T529" i="18"/>
  <c r="S529" i="18"/>
  <c r="R529" i="18"/>
  <c r="Q529" i="18"/>
  <c r="P529" i="18"/>
  <c r="O529" i="18"/>
  <c r="N529" i="18"/>
  <c r="M529" i="18"/>
  <c r="L529" i="18"/>
  <c r="K529" i="18"/>
  <c r="J529" i="18"/>
  <c r="I529" i="18"/>
  <c r="H529" i="18"/>
  <c r="G529" i="18"/>
  <c r="F529" i="18"/>
  <c r="E529" i="18"/>
  <c r="D529" i="18"/>
  <c r="C529" i="18"/>
  <c r="B529" i="18"/>
  <c r="A529" i="18"/>
  <c r="CU528" i="18"/>
  <c r="CT528" i="18"/>
  <c r="CS528" i="18"/>
  <c r="CR528" i="18"/>
  <c r="CQ528" i="18"/>
  <c r="CP528" i="18"/>
  <c r="CO528" i="18"/>
  <c r="CN528" i="18"/>
  <c r="CM528" i="18"/>
  <c r="CL528" i="18"/>
  <c r="CK528" i="18"/>
  <c r="CJ528" i="18"/>
  <c r="CI528" i="18"/>
  <c r="CH528" i="18"/>
  <c r="CG528" i="18"/>
  <c r="CF528" i="18"/>
  <c r="CE528" i="18"/>
  <c r="CD528" i="18"/>
  <c r="CC528" i="18"/>
  <c r="CB528" i="18"/>
  <c r="CA528" i="18"/>
  <c r="BZ528" i="18"/>
  <c r="BY528" i="18"/>
  <c r="BX528" i="18"/>
  <c r="BW528" i="18"/>
  <c r="BV528" i="18"/>
  <c r="BU528" i="18"/>
  <c r="BT528" i="18"/>
  <c r="BS528" i="18"/>
  <c r="BR528" i="18"/>
  <c r="BQ528" i="18"/>
  <c r="BP528" i="18"/>
  <c r="BO528" i="18"/>
  <c r="BN528" i="18"/>
  <c r="BM528" i="18"/>
  <c r="BL528" i="18"/>
  <c r="BK528" i="18"/>
  <c r="BJ528" i="18"/>
  <c r="BI528" i="18"/>
  <c r="BH528" i="18"/>
  <c r="BG528" i="18"/>
  <c r="BF528" i="18"/>
  <c r="BE528" i="18"/>
  <c r="BD528" i="18"/>
  <c r="BC528" i="18"/>
  <c r="BB528" i="18"/>
  <c r="BA528" i="18"/>
  <c r="AZ528" i="18"/>
  <c r="AY528" i="18"/>
  <c r="AX528" i="18"/>
  <c r="AW528" i="18"/>
  <c r="AV528" i="18"/>
  <c r="AU528" i="18"/>
  <c r="AT528" i="18"/>
  <c r="AS528" i="18"/>
  <c r="AR528" i="18"/>
  <c r="AQ528" i="18"/>
  <c r="AP528" i="18"/>
  <c r="AO528" i="18"/>
  <c r="AN528" i="18"/>
  <c r="AM528" i="18"/>
  <c r="AL528" i="18"/>
  <c r="AK528" i="18"/>
  <c r="AJ528" i="18"/>
  <c r="AI528" i="18"/>
  <c r="AH528" i="18"/>
  <c r="AG528" i="18"/>
  <c r="AF528" i="18"/>
  <c r="AE528" i="18"/>
  <c r="AD528" i="18"/>
  <c r="AC528" i="18"/>
  <c r="AB528" i="18"/>
  <c r="AA528" i="18"/>
  <c r="Z528" i="18"/>
  <c r="Y528" i="18"/>
  <c r="X528" i="18"/>
  <c r="W528" i="18"/>
  <c r="V528" i="18"/>
  <c r="U528" i="18"/>
  <c r="T528" i="18"/>
  <c r="S528" i="18"/>
  <c r="R528" i="18"/>
  <c r="Q528" i="18"/>
  <c r="P528" i="18"/>
  <c r="O528" i="18"/>
  <c r="N528" i="18"/>
  <c r="M528" i="18"/>
  <c r="L528" i="18"/>
  <c r="K528" i="18"/>
  <c r="J528" i="18"/>
  <c r="I528" i="18"/>
  <c r="H528" i="18"/>
  <c r="G528" i="18"/>
  <c r="F528" i="18"/>
  <c r="E528" i="18"/>
  <c r="D528" i="18"/>
  <c r="C528" i="18"/>
  <c r="B528" i="18"/>
  <c r="A528" i="18"/>
  <c r="CU527" i="18"/>
  <c r="CT527" i="18"/>
  <c r="CS527" i="18"/>
  <c r="CR527" i="18"/>
  <c r="CQ527" i="18"/>
  <c r="CP527" i="18"/>
  <c r="CO527" i="18"/>
  <c r="CN527" i="18"/>
  <c r="CM527" i="18"/>
  <c r="CL527" i="18"/>
  <c r="CK527" i="18"/>
  <c r="CJ527" i="18"/>
  <c r="CI527" i="18"/>
  <c r="CH527" i="18"/>
  <c r="CG527" i="18"/>
  <c r="CF527" i="18"/>
  <c r="CE527" i="18"/>
  <c r="CD527" i="18"/>
  <c r="CC527" i="18"/>
  <c r="CB527" i="18"/>
  <c r="CA527" i="18"/>
  <c r="BZ527" i="18"/>
  <c r="BY527" i="18"/>
  <c r="BX527" i="18"/>
  <c r="BW527" i="18"/>
  <c r="BV527" i="18"/>
  <c r="BU527" i="18"/>
  <c r="BT527" i="18"/>
  <c r="BS527" i="18"/>
  <c r="BR527" i="18"/>
  <c r="BQ527" i="18"/>
  <c r="BP527" i="18"/>
  <c r="BO527" i="18"/>
  <c r="BN527" i="18"/>
  <c r="BM527" i="18"/>
  <c r="BL527" i="18"/>
  <c r="BK527" i="18"/>
  <c r="BJ527" i="18"/>
  <c r="BI527" i="18"/>
  <c r="BH527" i="18"/>
  <c r="BG527" i="18"/>
  <c r="BF527" i="18"/>
  <c r="BE527" i="18"/>
  <c r="BD527" i="18"/>
  <c r="BC527" i="18"/>
  <c r="BB527" i="18"/>
  <c r="BA527" i="18"/>
  <c r="AZ527" i="18"/>
  <c r="AY527" i="18"/>
  <c r="AX527" i="18"/>
  <c r="AW527" i="18"/>
  <c r="AV527" i="18"/>
  <c r="AU527" i="18"/>
  <c r="AT527" i="18"/>
  <c r="AS527" i="18"/>
  <c r="AR527" i="18"/>
  <c r="AQ527" i="18"/>
  <c r="AP527" i="18"/>
  <c r="AO527" i="18"/>
  <c r="AN527" i="18"/>
  <c r="AM527" i="18"/>
  <c r="AL527" i="18"/>
  <c r="AK527" i="18"/>
  <c r="AJ527" i="18"/>
  <c r="AI527" i="18"/>
  <c r="AH527" i="18"/>
  <c r="AG527" i="18"/>
  <c r="AF527" i="18"/>
  <c r="AE527" i="18"/>
  <c r="AD527" i="18"/>
  <c r="AC527" i="18"/>
  <c r="AB527" i="18"/>
  <c r="AA527" i="18"/>
  <c r="Z527" i="18"/>
  <c r="Y527" i="18"/>
  <c r="X527" i="18"/>
  <c r="W527" i="18"/>
  <c r="V527" i="18"/>
  <c r="U527" i="18"/>
  <c r="T527" i="18"/>
  <c r="S527" i="18"/>
  <c r="R527" i="18"/>
  <c r="Q527" i="18"/>
  <c r="P527" i="18"/>
  <c r="O527" i="18"/>
  <c r="N527" i="18"/>
  <c r="M527" i="18"/>
  <c r="L527" i="18"/>
  <c r="K527" i="18"/>
  <c r="J527" i="18"/>
  <c r="I527" i="18"/>
  <c r="H527" i="18"/>
  <c r="G527" i="18"/>
  <c r="F527" i="18"/>
  <c r="E527" i="18"/>
  <c r="D527" i="18"/>
  <c r="C527" i="18"/>
  <c r="B527" i="18"/>
  <c r="A527" i="18"/>
  <c r="CU526" i="18"/>
  <c r="CT526" i="18"/>
  <c r="CS526" i="18"/>
  <c r="CR526" i="18"/>
  <c r="CQ526" i="18"/>
  <c r="CP526" i="18"/>
  <c r="CO526" i="18"/>
  <c r="CN526" i="18"/>
  <c r="CM526" i="18"/>
  <c r="CL526" i="18"/>
  <c r="CK526" i="18"/>
  <c r="CJ526" i="18"/>
  <c r="CI526" i="18"/>
  <c r="CH526" i="18"/>
  <c r="CG526" i="18"/>
  <c r="CF526" i="18"/>
  <c r="CE526" i="18"/>
  <c r="CD526" i="18"/>
  <c r="CC526" i="18"/>
  <c r="CB526" i="18"/>
  <c r="CA526" i="18"/>
  <c r="BZ526" i="18"/>
  <c r="BY526" i="18"/>
  <c r="BX526" i="18"/>
  <c r="BW526" i="18"/>
  <c r="BV526" i="18"/>
  <c r="BU526" i="18"/>
  <c r="BT526" i="18"/>
  <c r="BS526" i="18"/>
  <c r="BR526" i="18"/>
  <c r="BQ526" i="18"/>
  <c r="BP526" i="18"/>
  <c r="BO526" i="18"/>
  <c r="BN526" i="18"/>
  <c r="BM526" i="18"/>
  <c r="BL526" i="18"/>
  <c r="BK526" i="18"/>
  <c r="BJ526" i="18"/>
  <c r="BI526" i="18"/>
  <c r="BH526" i="18"/>
  <c r="BG526" i="18"/>
  <c r="BF526" i="18"/>
  <c r="BE526" i="18"/>
  <c r="BD526" i="18"/>
  <c r="BC526" i="18"/>
  <c r="BB526" i="18"/>
  <c r="BA526" i="18"/>
  <c r="AZ526" i="18"/>
  <c r="AY526" i="18"/>
  <c r="AX526" i="18"/>
  <c r="AW526" i="18"/>
  <c r="AV526" i="18"/>
  <c r="AU526" i="18"/>
  <c r="AT526" i="18"/>
  <c r="AS526" i="18"/>
  <c r="AR526" i="18"/>
  <c r="AQ526" i="18"/>
  <c r="AP526" i="18"/>
  <c r="AO526" i="18"/>
  <c r="AN526" i="18"/>
  <c r="AM526" i="18"/>
  <c r="AL526" i="18"/>
  <c r="AK526" i="18"/>
  <c r="AJ526" i="18"/>
  <c r="AI526" i="18"/>
  <c r="AH526" i="18"/>
  <c r="AG526" i="18"/>
  <c r="AF526" i="18"/>
  <c r="AE526" i="18"/>
  <c r="AD526" i="18"/>
  <c r="AC526" i="18"/>
  <c r="AB526" i="18"/>
  <c r="AA526" i="18"/>
  <c r="Z526" i="18"/>
  <c r="Y526" i="18"/>
  <c r="X526" i="18"/>
  <c r="W526" i="18"/>
  <c r="V526" i="18"/>
  <c r="U526" i="18"/>
  <c r="T526" i="18"/>
  <c r="S526" i="18"/>
  <c r="R526" i="18"/>
  <c r="Q526" i="18"/>
  <c r="P526" i="18"/>
  <c r="O526" i="18"/>
  <c r="N526" i="18"/>
  <c r="M526" i="18"/>
  <c r="L526" i="18"/>
  <c r="K526" i="18"/>
  <c r="J526" i="18"/>
  <c r="I526" i="18"/>
  <c r="H526" i="18"/>
  <c r="G526" i="18"/>
  <c r="F526" i="18"/>
  <c r="E526" i="18"/>
  <c r="D526" i="18"/>
  <c r="C526" i="18"/>
  <c r="B526" i="18"/>
  <c r="A526" i="18"/>
  <c r="CU525" i="18"/>
  <c r="CT525" i="18"/>
  <c r="CS525" i="18"/>
  <c r="CR525" i="18"/>
  <c r="CQ525" i="18"/>
  <c r="CP525" i="18"/>
  <c r="CO525" i="18"/>
  <c r="CN525" i="18"/>
  <c r="CM525" i="18"/>
  <c r="CL525" i="18"/>
  <c r="CK525" i="18"/>
  <c r="CJ525" i="18"/>
  <c r="CI525" i="18"/>
  <c r="CH525" i="18"/>
  <c r="CG525" i="18"/>
  <c r="CF525" i="18"/>
  <c r="CE525" i="18"/>
  <c r="CD525" i="18"/>
  <c r="CC525" i="18"/>
  <c r="CB525" i="18"/>
  <c r="CA525" i="18"/>
  <c r="BZ525" i="18"/>
  <c r="BY525" i="18"/>
  <c r="BX525" i="18"/>
  <c r="BW525" i="18"/>
  <c r="BV525" i="18"/>
  <c r="BU525" i="18"/>
  <c r="BT525" i="18"/>
  <c r="BS525" i="18"/>
  <c r="BR525" i="18"/>
  <c r="BQ525" i="18"/>
  <c r="BP525" i="18"/>
  <c r="BO525" i="18"/>
  <c r="BN525" i="18"/>
  <c r="BM525" i="18"/>
  <c r="BL525" i="18"/>
  <c r="BK525" i="18"/>
  <c r="BJ525" i="18"/>
  <c r="BI525" i="18"/>
  <c r="BH525" i="18"/>
  <c r="BG525" i="18"/>
  <c r="BF525" i="18"/>
  <c r="BE525" i="18"/>
  <c r="BD525" i="18"/>
  <c r="BC525" i="18"/>
  <c r="BB525" i="18"/>
  <c r="BA525" i="18"/>
  <c r="AZ525" i="18"/>
  <c r="AY525" i="18"/>
  <c r="AX525" i="18"/>
  <c r="AW525" i="18"/>
  <c r="AV525" i="18"/>
  <c r="AU525" i="18"/>
  <c r="AT525" i="18"/>
  <c r="AS525" i="18"/>
  <c r="AR525" i="18"/>
  <c r="AQ525" i="18"/>
  <c r="AP525" i="18"/>
  <c r="AO525" i="18"/>
  <c r="AN525" i="18"/>
  <c r="AM525" i="18"/>
  <c r="AL525" i="18"/>
  <c r="AK525" i="18"/>
  <c r="AJ525" i="18"/>
  <c r="AI525" i="18"/>
  <c r="AH525" i="18"/>
  <c r="AG525" i="18"/>
  <c r="AF525" i="18"/>
  <c r="AE525" i="18"/>
  <c r="AD525" i="18"/>
  <c r="AC525" i="18"/>
  <c r="AB525" i="18"/>
  <c r="AA525" i="18"/>
  <c r="Z525" i="18"/>
  <c r="Y525" i="18"/>
  <c r="X525" i="18"/>
  <c r="W525" i="18"/>
  <c r="V525" i="18"/>
  <c r="U525" i="18"/>
  <c r="T525" i="18"/>
  <c r="S525" i="18"/>
  <c r="R525" i="18"/>
  <c r="Q525" i="18"/>
  <c r="P525" i="18"/>
  <c r="O525" i="18"/>
  <c r="N525" i="18"/>
  <c r="M525" i="18"/>
  <c r="L525" i="18"/>
  <c r="K525" i="18"/>
  <c r="J525" i="18"/>
  <c r="I525" i="18"/>
  <c r="H525" i="18"/>
  <c r="G525" i="18"/>
  <c r="F525" i="18"/>
  <c r="E525" i="18"/>
  <c r="D525" i="18"/>
  <c r="C525" i="18"/>
  <c r="B525" i="18"/>
  <c r="A525" i="18"/>
  <c r="CU524" i="18"/>
  <c r="CT524" i="18"/>
  <c r="CS524" i="18"/>
  <c r="CR524" i="18"/>
  <c r="CQ524" i="18"/>
  <c r="CP524" i="18"/>
  <c r="CO524" i="18"/>
  <c r="CN524" i="18"/>
  <c r="CM524" i="18"/>
  <c r="CK524" i="18"/>
  <c r="CJ524" i="18"/>
  <c r="CI524" i="18"/>
  <c r="CH524" i="18"/>
  <c r="CG524" i="18"/>
  <c r="CF524" i="18"/>
  <c r="CE524" i="18"/>
  <c r="CD524" i="18"/>
  <c r="CC524" i="18"/>
  <c r="CB524" i="18"/>
  <c r="CA524" i="18"/>
  <c r="BZ524" i="18"/>
  <c r="BY524" i="18"/>
  <c r="BX524" i="18"/>
  <c r="BW524" i="18"/>
  <c r="BV524" i="18"/>
  <c r="BU524" i="18"/>
  <c r="BT524" i="18"/>
  <c r="BS524" i="18"/>
  <c r="BR524" i="18"/>
  <c r="BQ524" i="18"/>
  <c r="BP524" i="18"/>
  <c r="BO524" i="18"/>
  <c r="BN524" i="18"/>
  <c r="BM524" i="18"/>
  <c r="BL524" i="18"/>
  <c r="BK524" i="18"/>
  <c r="BJ524" i="18"/>
  <c r="BI524" i="18"/>
  <c r="BH524" i="18"/>
  <c r="BG524" i="18"/>
  <c r="BF524" i="18"/>
  <c r="BE524" i="18"/>
  <c r="BA524" i="18"/>
  <c r="AZ524" i="18"/>
  <c r="AY524" i="18"/>
  <c r="AX524" i="18"/>
  <c r="AW524" i="18"/>
  <c r="AV524" i="18"/>
  <c r="AU524" i="18"/>
  <c r="AT524" i="18"/>
  <c r="AS524" i="18"/>
  <c r="AR524" i="18"/>
  <c r="AQ524" i="18"/>
  <c r="AP524" i="18"/>
  <c r="AO524" i="18"/>
  <c r="AN524" i="18"/>
  <c r="AM524" i="18"/>
  <c r="AL524" i="18"/>
  <c r="AK524" i="18"/>
  <c r="AJ524" i="18"/>
  <c r="AI524" i="18"/>
  <c r="AH524" i="18"/>
  <c r="AG524" i="18"/>
  <c r="AF524" i="18"/>
  <c r="AE524" i="18"/>
  <c r="AD524" i="18"/>
  <c r="AC524" i="18"/>
  <c r="AB524" i="18"/>
  <c r="AA524" i="18"/>
  <c r="Z524" i="18"/>
  <c r="Y524" i="18"/>
  <c r="X524" i="18"/>
  <c r="W524" i="18"/>
  <c r="V524" i="18"/>
  <c r="U524" i="18"/>
  <c r="T524" i="18"/>
  <c r="S524" i="18"/>
  <c r="R524" i="18"/>
  <c r="Q524" i="18"/>
  <c r="P524" i="18"/>
  <c r="O524" i="18"/>
  <c r="N524" i="18"/>
  <c r="M524" i="18"/>
  <c r="L524" i="18"/>
  <c r="K524" i="18"/>
  <c r="J524" i="18"/>
  <c r="I524" i="18"/>
  <c r="H524" i="18"/>
  <c r="G524" i="18"/>
  <c r="F524" i="18"/>
  <c r="E524" i="18"/>
  <c r="D524" i="18"/>
  <c r="C524" i="18"/>
  <c r="B524" i="18"/>
  <c r="A524" i="18"/>
  <c r="CU523" i="18"/>
  <c r="CT523" i="18"/>
  <c r="CS523" i="18"/>
  <c r="CR523" i="18"/>
  <c r="CQ523" i="18"/>
  <c r="CP523" i="18"/>
  <c r="CO523" i="18"/>
  <c r="CN523" i="18"/>
  <c r="CM523" i="18"/>
  <c r="CL523" i="18"/>
  <c r="CK523" i="18"/>
  <c r="CJ523" i="18"/>
  <c r="CI523" i="18"/>
  <c r="CH523" i="18"/>
  <c r="CG523" i="18"/>
  <c r="CF523" i="18"/>
  <c r="CE523" i="18"/>
  <c r="CD523" i="18"/>
  <c r="CC523" i="18"/>
  <c r="CB523" i="18"/>
  <c r="CA523" i="18"/>
  <c r="BZ523" i="18"/>
  <c r="BY523" i="18"/>
  <c r="BX523" i="18"/>
  <c r="BW523" i="18"/>
  <c r="BV523" i="18"/>
  <c r="BU523" i="18"/>
  <c r="BT523" i="18"/>
  <c r="BS523" i="18"/>
  <c r="BR523" i="18"/>
  <c r="BQ523" i="18"/>
  <c r="BP523" i="18"/>
  <c r="BO523" i="18"/>
  <c r="BN523" i="18"/>
  <c r="BM523" i="18"/>
  <c r="BL523" i="18"/>
  <c r="BK523" i="18"/>
  <c r="BJ523" i="18"/>
  <c r="BI523" i="18"/>
  <c r="BH523" i="18"/>
  <c r="BG523" i="18"/>
  <c r="BF523" i="18"/>
  <c r="BE523" i="18"/>
  <c r="BD523" i="18"/>
  <c r="BC523" i="18"/>
  <c r="BB523" i="18"/>
  <c r="BA523" i="18"/>
  <c r="AZ523" i="18"/>
  <c r="AY523" i="18"/>
  <c r="AX523" i="18"/>
  <c r="AW523" i="18"/>
  <c r="AV523" i="18"/>
  <c r="AU523" i="18"/>
  <c r="AT523" i="18"/>
  <c r="AS523" i="18"/>
  <c r="AR523" i="18"/>
  <c r="AQ523" i="18"/>
  <c r="AP523" i="18"/>
  <c r="AO523" i="18"/>
  <c r="AN523" i="18"/>
  <c r="AM523" i="18"/>
  <c r="AL523" i="18"/>
  <c r="AK523" i="18"/>
  <c r="AJ523" i="18"/>
  <c r="AI523" i="18"/>
  <c r="AH523" i="18"/>
  <c r="AG523" i="18"/>
  <c r="AF523" i="18"/>
  <c r="AE523" i="18"/>
  <c r="AD523" i="18"/>
  <c r="AC523" i="18"/>
  <c r="AB523" i="18"/>
  <c r="AA523" i="18"/>
  <c r="Z523" i="18"/>
  <c r="Y523" i="18"/>
  <c r="X523" i="18"/>
  <c r="W523" i="18"/>
  <c r="V523" i="18"/>
  <c r="U523" i="18"/>
  <c r="T523" i="18"/>
  <c r="S523" i="18"/>
  <c r="R523" i="18"/>
  <c r="Q523" i="18"/>
  <c r="P523" i="18"/>
  <c r="O523" i="18"/>
  <c r="N523" i="18"/>
  <c r="M523" i="18"/>
  <c r="L523" i="18"/>
  <c r="K523" i="18"/>
  <c r="J523" i="18"/>
  <c r="I523" i="18"/>
  <c r="H523" i="18"/>
  <c r="G523" i="18"/>
  <c r="F523" i="18"/>
  <c r="E523" i="18"/>
  <c r="D523" i="18"/>
  <c r="C523" i="18"/>
  <c r="B523" i="18"/>
  <c r="A523" i="18"/>
  <c r="CU522" i="18"/>
  <c r="CT522" i="18"/>
  <c r="CS522" i="18"/>
  <c r="CR522" i="18"/>
  <c r="CQ522" i="18"/>
  <c r="CP522" i="18"/>
  <c r="CO522" i="18"/>
  <c r="CN522" i="18"/>
  <c r="CM522" i="18"/>
  <c r="CL522" i="18"/>
  <c r="CK522" i="18"/>
  <c r="CJ522" i="18"/>
  <c r="CI522" i="18"/>
  <c r="CH522" i="18"/>
  <c r="CG522" i="18"/>
  <c r="CF522" i="18"/>
  <c r="CE522" i="18"/>
  <c r="CD522" i="18"/>
  <c r="CC522" i="18"/>
  <c r="CB522" i="18"/>
  <c r="CA522" i="18"/>
  <c r="BZ522" i="18"/>
  <c r="BY522" i="18"/>
  <c r="BX522" i="18"/>
  <c r="BW522" i="18"/>
  <c r="BV522" i="18"/>
  <c r="BU522" i="18"/>
  <c r="BT522" i="18"/>
  <c r="BS522" i="18"/>
  <c r="BR522" i="18"/>
  <c r="BQ522" i="18"/>
  <c r="BP522" i="18"/>
  <c r="BO522" i="18"/>
  <c r="BN522" i="18"/>
  <c r="BM522" i="18"/>
  <c r="BL522" i="18"/>
  <c r="BK522" i="18"/>
  <c r="BJ522" i="18"/>
  <c r="BI522" i="18"/>
  <c r="BH522" i="18"/>
  <c r="BG522" i="18"/>
  <c r="BF522" i="18"/>
  <c r="BE522" i="18"/>
  <c r="BD522" i="18"/>
  <c r="BC522" i="18"/>
  <c r="BB522" i="18"/>
  <c r="BA522" i="18"/>
  <c r="AZ522" i="18"/>
  <c r="AY522" i="18"/>
  <c r="AX522" i="18"/>
  <c r="AW522" i="18"/>
  <c r="AV522" i="18"/>
  <c r="AU522" i="18"/>
  <c r="AT522" i="18"/>
  <c r="AS522" i="18"/>
  <c r="AR522" i="18"/>
  <c r="AQ522" i="18"/>
  <c r="AP522" i="18"/>
  <c r="AO522" i="18"/>
  <c r="AN522" i="18"/>
  <c r="AM522" i="18"/>
  <c r="AL522" i="18"/>
  <c r="AK522" i="18"/>
  <c r="AJ522" i="18"/>
  <c r="AI522" i="18"/>
  <c r="AH522" i="18"/>
  <c r="AG522" i="18"/>
  <c r="AF522" i="18"/>
  <c r="AE522" i="18"/>
  <c r="AD522" i="18"/>
  <c r="AC522" i="18"/>
  <c r="AB522" i="18"/>
  <c r="AA522" i="18"/>
  <c r="Z522" i="18"/>
  <c r="Y522" i="18"/>
  <c r="X522" i="18"/>
  <c r="W522" i="18"/>
  <c r="V522" i="18"/>
  <c r="U522" i="18"/>
  <c r="T522" i="18"/>
  <c r="S522" i="18"/>
  <c r="R522" i="18"/>
  <c r="Q522" i="18"/>
  <c r="P522" i="18"/>
  <c r="O522" i="18"/>
  <c r="N522" i="18"/>
  <c r="M522" i="18"/>
  <c r="L522" i="18"/>
  <c r="K522" i="18"/>
  <c r="J522" i="18"/>
  <c r="I522" i="18"/>
  <c r="H522" i="18"/>
  <c r="G522" i="18"/>
  <c r="F522" i="18"/>
  <c r="E522" i="18"/>
  <c r="D522" i="18"/>
  <c r="C522" i="18"/>
  <c r="B522" i="18"/>
  <c r="A522" i="18"/>
  <c r="CU521" i="18"/>
  <c r="CT521" i="18"/>
  <c r="CS521" i="18"/>
  <c r="CR521" i="18"/>
  <c r="CQ521" i="18"/>
  <c r="CP521" i="18"/>
  <c r="CO521" i="18"/>
  <c r="CN521" i="18"/>
  <c r="CM521" i="18"/>
  <c r="CL521" i="18"/>
  <c r="CK521" i="18"/>
  <c r="CJ521" i="18"/>
  <c r="CI521" i="18"/>
  <c r="CH521" i="18"/>
  <c r="CG521" i="18"/>
  <c r="CF521" i="18"/>
  <c r="CE521" i="18"/>
  <c r="CD521" i="18"/>
  <c r="CC521" i="18"/>
  <c r="CB521" i="18"/>
  <c r="CA521" i="18"/>
  <c r="BZ521" i="18"/>
  <c r="BY521" i="18"/>
  <c r="BX521" i="18"/>
  <c r="BW521" i="18"/>
  <c r="BV521" i="18"/>
  <c r="BU521" i="18"/>
  <c r="BT521" i="18"/>
  <c r="BS521" i="18"/>
  <c r="BR521" i="18"/>
  <c r="BQ521" i="18"/>
  <c r="BP521" i="18"/>
  <c r="BO521" i="18"/>
  <c r="BN521" i="18"/>
  <c r="BM521" i="18"/>
  <c r="BL521" i="18"/>
  <c r="BK521" i="18"/>
  <c r="BJ521" i="18"/>
  <c r="BI521" i="18"/>
  <c r="BH521" i="18"/>
  <c r="BG521" i="18"/>
  <c r="BF521" i="18"/>
  <c r="BE521" i="18"/>
  <c r="BD521" i="18"/>
  <c r="BC521" i="18"/>
  <c r="BB521" i="18"/>
  <c r="BA521" i="18"/>
  <c r="AZ521" i="18"/>
  <c r="AY521" i="18"/>
  <c r="AX521" i="18"/>
  <c r="AW521" i="18"/>
  <c r="AV521" i="18"/>
  <c r="AU521" i="18"/>
  <c r="AT521" i="18"/>
  <c r="AS521" i="18"/>
  <c r="AR521" i="18"/>
  <c r="AQ521" i="18"/>
  <c r="AP521" i="18"/>
  <c r="AO521" i="18"/>
  <c r="AN521" i="18"/>
  <c r="AM521" i="18"/>
  <c r="AL521" i="18"/>
  <c r="AK521" i="18"/>
  <c r="AJ521" i="18"/>
  <c r="AI521" i="18"/>
  <c r="AH521" i="18"/>
  <c r="AG521" i="18"/>
  <c r="AF521" i="18"/>
  <c r="AE521" i="18"/>
  <c r="AD521" i="18"/>
  <c r="AC521" i="18"/>
  <c r="AB521" i="18"/>
  <c r="AA521" i="18"/>
  <c r="Z521" i="18"/>
  <c r="Y521" i="18"/>
  <c r="X521" i="18"/>
  <c r="W521" i="18"/>
  <c r="V521" i="18"/>
  <c r="U521" i="18"/>
  <c r="T521" i="18"/>
  <c r="S521" i="18"/>
  <c r="R521" i="18"/>
  <c r="Q521" i="18"/>
  <c r="P521" i="18"/>
  <c r="O521" i="18"/>
  <c r="N521" i="18"/>
  <c r="M521" i="18"/>
  <c r="L521" i="18"/>
  <c r="K521" i="18"/>
  <c r="J521" i="18"/>
  <c r="I521" i="18"/>
  <c r="H521" i="18"/>
  <c r="G521" i="18"/>
  <c r="F521" i="18"/>
  <c r="E521" i="18"/>
  <c r="D521" i="18"/>
  <c r="C521" i="18"/>
  <c r="B521" i="18"/>
  <c r="A521" i="18"/>
  <c r="CU520" i="18"/>
  <c r="CT520" i="18"/>
  <c r="CS520" i="18"/>
  <c r="CR520" i="18"/>
  <c r="CQ520" i="18"/>
  <c r="CP520" i="18"/>
  <c r="CO520" i="18"/>
  <c r="CN520" i="18"/>
  <c r="CM520" i="18"/>
  <c r="CL520" i="18"/>
  <c r="CK520" i="18"/>
  <c r="CJ520" i="18"/>
  <c r="CI520" i="18"/>
  <c r="CH520" i="18"/>
  <c r="CG520" i="18"/>
  <c r="CF520" i="18"/>
  <c r="CE520" i="18"/>
  <c r="CD520" i="18"/>
  <c r="CC520" i="18"/>
  <c r="CB520" i="18"/>
  <c r="CA520" i="18"/>
  <c r="BZ520" i="18"/>
  <c r="BY520" i="18"/>
  <c r="BX520" i="18"/>
  <c r="BW520" i="18"/>
  <c r="BV520" i="18"/>
  <c r="BU520" i="18"/>
  <c r="BT520" i="18"/>
  <c r="BS520" i="18"/>
  <c r="BR520" i="18"/>
  <c r="BQ520" i="18"/>
  <c r="BP520" i="18"/>
  <c r="BO520" i="18"/>
  <c r="BN520" i="18"/>
  <c r="BM520" i="18"/>
  <c r="BL520" i="18"/>
  <c r="BK520" i="18"/>
  <c r="BJ520" i="18"/>
  <c r="BI520" i="18"/>
  <c r="BH520" i="18"/>
  <c r="BG520" i="18"/>
  <c r="BF520" i="18"/>
  <c r="BE520" i="18"/>
  <c r="BD520" i="18"/>
  <c r="BC520" i="18"/>
  <c r="BB520" i="18"/>
  <c r="BA520" i="18"/>
  <c r="AZ520" i="18"/>
  <c r="AY520" i="18"/>
  <c r="AX520" i="18"/>
  <c r="AW520" i="18"/>
  <c r="AV520" i="18"/>
  <c r="AU520" i="18"/>
  <c r="AT520" i="18"/>
  <c r="AS520" i="18"/>
  <c r="AR520" i="18"/>
  <c r="AQ520" i="18"/>
  <c r="AP520" i="18"/>
  <c r="AO520" i="18"/>
  <c r="AN520" i="18"/>
  <c r="AM520" i="18"/>
  <c r="AL520" i="18"/>
  <c r="AK520" i="18"/>
  <c r="AJ520" i="18"/>
  <c r="AI520" i="18"/>
  <c r="AH520" i="18"/>
  <c r="AG520" i="18"/>
  <c r="AF520" i="18"/>
  <c r="AE520" i="18"/>
  <c r="AD520" i="18"/>
  <c r="AC520" i="18"/>
  <c r="AB520" i="18"/>
  <c r="AA520" i="18"/>
  <c r="Z520" i="18"/>
  <c r="Y520" i="18"/>
  <c r="X520" i="18"/>
  <c r="W520" i="18"/>
  <c r="V520" i="18"/>
  <c r="U520" i="18"/>
  <c r="T520" i="18"/>
  <c r="S520" i="18"/>
  <c r="R520" i="18"/>
  <c r="Q520" i="18"/>
  <c r="P520" i="18"/>
  <c r="O520" i="18"/>
  <c r="N520" i="18"/>
  <c r="M520" i="18"/>
  <c r="L520" i="18"/>
  <c r="K520" i="18"/>
  <c r="J520" i="18"/>
  <c r="I520" i="18"/>
  <c r="H520" i="18"/>
  <c r="G520" i="18"/>
  <c r="F520" i="18"/>
  <c r="E520" i="18"/>
  <c r="D520" i="18"/>
  <c r="C520" i="18"/>
  <c r="B520" i="18"/>
  <c r="A520" i="18"/>
  <c r="CU519" i="18"/>
  <c r="CT519" i="18"/>
  <c r="CS519" i="18"/>
  <c r="CR519" i="18"/>
  <c r="CQ519" i="18"/>
  <c r="CP519" i="18"/>
  <c r="CO519" i="18"/>
  <c r="CN519" i="18"/>
  <c r="CM519" i="18"/>
  <c r="CL519" i="18"/>
  <c r="CK519" i="18"/>
  <c r="CJ519" i="18"/>
  <c r="CI519" i="18"/>
  <c r="CH519" i="18"/>
  <c r="CG519" i="18"/>
  <c r="CF519" i="18"/>
  <c r="CE519" i="18"/>
  <c r="CD519" i="18"/>
  <c r="CC519" i="18"/>
  <c r="CB519" i="18"/>
  <c r="CA519" i="18"/>
  <c r="BZ519" i="18"/>
  <c r="BY519" i="18"/>
  <c r="BX519" i="18"/>
  <c r="BW519" i="18"/>
  <c r="BV519" i="18"/>
  <c r="BU519" i="18"/>
  <c r="BT519" i="18"/>
  <c r="BS519" i="18"/>
  <c r="BR519" i="18"/>
  <c r="BQ519" i="18"/>
  <c r="BP519" i="18"/>
  <c r="BO519" i="18"/>
  <c r="BN519" i="18"/>
  <c r="BM519" i="18"/>
  <c r="BL519" i="18"/>
  <c r="BK519" i="18"/>
  <c r="BJ519" i="18"/>
  <c r="BI519" i="18"/>
  <c r="BH519" i="18"/>
  <c r="BG519" i="18"/>
  <c r="BF519" i="18"/>
  <c r="BE519" i="18"/>
  <c r="BD519" i="18"/>
  <c r="BC519" i="18"/>
  <c r="BB519" i="18"/>
  <c r="BA519" i="18"/>
  <c r="AZ519" i="18"/>
  <c r="AY519" i="18"/>
  <c r="AX519" i="18"/>
  <c r="AW519" i="18"/>
  <c r="AV519" i="18"/>
  <c r="AU519" i="18"/>
  <c r="AT519" i="18"/>
  <c r="AS519" i="18"/>
  <c r="AR519" i="18"/>
  <c r="AQ519" i="18"/>
  <c r="AP519" i="18"/>
  <c r="AO519" i="18"/>
  <c r="AN519" i="18"/>
  <c r="AM519" i="18"/>
  <c r="AL519" i="18"/>
  <c r="AK519" i="18"/>
  <c r="AJ519" i="18"/>
  <c r="AI519" i="18"/>
  <c r="AH519" i="18"/>
  <c r="AG519" i="18"/>
  <c r="AF519" i="18"/>
  <c r="AE519" i="18"/>
  <c r="AD519" i="18"/>
  <c r="AC519" i="18"/>
  <c r="AB519" i="18"/>
  <c r="AA519" i="18"/>
  <c r="Z519" i="18"/>
  <c r="Y519" i="18"/>
  <c r="X519" i="18"/>
  <c r="W519" i="18"/>
  <c r="V519" i="18"/>
  <c r="U519" i="18"/>
  <c r="T519" i="18"/>
  <c r="S519" i="18"/>
  <c r="R519" i="18"/>
  <c r="Q519" i="18"/>
  <c r="P519" i="18"/>
  <c r="O519" i="18"/>
  <c r="N519" i="18"/>
  <c r="M519" i="18"/>
  <c r="L519" i="18"/>
  <c r="K519" i="18"/>
  <c r="J519" i="18"/>
  <c r="I519" i="18"/>
  <c r="H519" i="18"/>
  <c r="G519" i="18"/>
  <c r="F519" i="18"/>
  <c r="E519" i="18"/>
  <c r="D519" i="18"/>
  <c r="C519" i="18"/>
  <c r="B519" i="18"/>
  <c r="A519" i="18"/>
  <c r="CU518" i="18"/>
  <c r="CT518" i="18"/>
  <c r="CS518" i="18"/>
  <c r="CR518" i="18"/>
  <c r="CP518" i="18"/>
  <c r="CO518" i="18"/>
  <c r="CN518" i="18"/>
  <c r="CM518" i="18"/>
  <c r="CL518" i="18"/>
  <c r="CK518" i="18"/>
  <c r="CJ518" i="18"/>
  <c r="CI518" i="18"/>
  <c r="CH518" i="18"/>
  <c r="CG518" i="18"/>
  <c r="CF518" i="18"/>
  <c r="CE518" i="18"/>
  <c r="CD518" i="18"/>
  <c r="CC518" i="18"/>
  <c r="CB518" i="18"/>
  <c r="CA518" i="18"/>
  <c r="BZ518" i="18"/>
  <c r="BY518" i="18"/>
  <c r="BT518" i="18"/>
  <c r="BS518" i="18"/>
  <c r="BR518" i="18"/>
  <c r="BQ518" i="18"/>
  <c r="BP518" i="18"/>
  <c r="BO518" i="18"/>
  <c r="BN518" i="18"/>
  <c r="BM518" i="18"/>
  <c r="BL518" i="18"/>
  <c r="BK518" i="18"/>
  <c r="BJ518" i="18"/>
  <c r="BI518" i="18"/>
  <c r="BH518" i="18"/>
  <c r="BG518" i="18"/>
  <c r="BF518" i="18"/>
  <c r="BE518" i="18"/>
  <c r="BD518" i="18"/>
  <c r="BC518" i="18"/>
  <c r="BB518" i="18"/>
  <c r="BA518" i="18"/>
  <c r="AZ518" i="18"/>
  <c r="AY518" i="18"/>
  <c r="AX518" i="18"/>
  <c r="AW518" i="18"/>
  <c r="AV518" i="18"/>
  <c r="AU518" i="18"/>
  <c r="AT518" i="18"/>
  <c r="AS518" i="18"/>
  <c r="AR518" i="18"/>
  <c r="AQ518" i="18"/>
  <c r="AP518" i="18"/>
  <c r="AO518" i="18"/>
  <c r="AN518" i="18"/>
  <c r="AM518" i="18"/>
  <c r="AL518" i="18"/>
  <c r="AK518" i="18"/>
  <c r="AJ518" i="18"/>
  <c r="AI518" i="18"/>
  <c r="AH518" i="18"/>
  <c r="AG518" i="18"/>
  <c r="AF518" i="18"/>
  <c r="AE518" i="18"/>
  <c r="AD518" i="18"/>
  <c r="AC518" i="18"/>
  <c r="AB518" i="18"/>
  <c r="AA518" i="18"/>
  <c r="Z518" i="18"/>
  <c r="Y518" i="18"/>
  <c r="X518" i="18"/>
  <c r="W518" i="18"/>
  <c r="V518" i="18"/>
  <c r="U518" i="18"/>
  <c r="T518" i="18"/>
  <c r="S518" i="18"/>
  <c r="R518" i="18"/>
  <c r="Q518" i="18"/>
  <c r="P518" i="18"/>
  <c r="O518" i="18"/>
  <c r="N518" i="18"/>
  <c r="M518" i="18"/>
  <c r="L518" i="18"/>
  <c r="K518" i="18"/>
  <c r="J518" i="18"/>
  <c r="I518" i="18"/>
  <c r="H518" i="18"/>
  <c r="G518" i="18"/>
  <c r="F518" i="18"/>
  <c r="E518" i="18"/>
  <c r="D518" i="18"/>
  <c r="C518" i="18"/>
  <c r="B518" i="18"/>
  <c r="A518" i="18"/>
  <c r="CU517" i="18"/>
  <c r="CT517" i="18"/>
  <c r="CS517" i="18"/>
  <c r="CR517" i="18"/>
  <c r="CQ517" i="18"/>
  <c r="CP517" i="18"/>
  <c r="CO517" i="18"/>
  <c r="CN517" i="18"/>
  <c r="CM517" i="18"/>
  <c r="CL517" i="18"/>
  <c r="CK517" i="18"/>
  <c r="CJ517" i="18"/>
  <c r="CI517" i="18"/>
  <c r="CH517" i="18"/>
  <c r="CG517" i="18"/>
  <c r="CF517" i="18"/>
  <c r="CE517" i="18"/>
  <c r="CD517" i="18"/>
  <c r="CC517" i="18"/>
  <c r="CB517" i="18"/>
  <c r="CA517" i="18"/>
  <c r="BZ517" i="18"/>
  <c r="BY517" i="18"/>
  <c r="BX517" i="18"/>
  <c r="BW517" i="18"/>
  <c r="BV517" i="18"/>
  <c r="BU517" i="18"/>
  <c r="BT517" i="18"/>
  <c r="BS517" i="18"/>
  <c r="BR517" i="18"/>
  <c r="BQ517" i="18"/>
  <c r="BP517" i="18"/>
  <c r="BO517" i="18"/>
  <c r="BN517" i="18"/>
  <c r="BM517" i="18"/>
  <c r="BL517" i="18"/>
  <c r="BK517" i="18"/>
  <c r="BJ517" i="18"/>
  <c r="BI517" i="18"/>
  <c r="BH517" i="18"/>
  <c r="BG517" i="18"/>
  <c r="BF517" i="18"/>
  <c r="BE517" i="18"/>
  <c r="BD517" i="18"/>
  <c r="BC517" i="18"/>
  <c r="BB517" i="18"/>
  <c r="BA517" i="18"/>
  <c r="AZ517" i="18"/>
  <c r="AY517" i="18"/>
  <c r="AX517" i="18"/>
  <c r="AW517" i="18"/>
  <c r="AV517" i="18"/>
  <c r="AU517" i="18"/>
  <c r="AT517" i="18"/>
  <c r="AS517" i="18"/>
  <c r="AR517" i="18"/>
  <c r="AQ517" i="18"/>
  <c r="AP517" i="18"/>
  <c r="AO517" i="18"/>
  <c r="AN517" i="18"/>
  <c r="AM517" i="18"/>
  <c r="AL517" i="18"/>
  <c r="AK517" i="18"/>
  <c r="AJ517" i="18"/>
  <c r="AI517" i="18"/>
  <c r="AH517" i="18"/>
  <c r="AG517" i="18"/>
  <c r="AF517" i="18"/>
  <c r="AE517" i="18"/>
  <c r="AD517" i="18"/>
  <c r="AC517" i="18"/>
  <c r="AB517" i="18"/>
  <c r="AA517" i="18"/>
  <c r="Z517" i="18"/>
  <c r="Y517" i="18"/>
  <c r="X517" i="18"/>
  <c r="W517" i="18"/>
  <c r="V517" i="18"/>
  <c r="U517" i="18"/>
  <c r="T517" i="18"/>
  <c r="S517" i="18"/>
  <c r="R517" i="18"/>
  <c r="Q517" i="18"/>
  <c r="P517" i="18"/>
  <c r="O517" i="18"/>
  <c r="N517" i="18"/>
  <c r="M517" i="18"/>
  <c r="L517" i="18"/>
  <c r="K517" i="18"/>
  <c r="J517" i="18"/>
  <c r="I517" i="18"/>
  <c r="H517" i="18"/>
  <c r="G517" i="18"/>
  <c r="F517" i="18"/>
  <c r="E517" i="18"/>
  <c r="D517" i="18"/>
  <c r="C517" i="18"/>
  <c r="B517" i="18"/>
  <c r="A517" i="18"/>
  <c r="CU516" i="18"/>
  <c r="CT516" i="18"/>
  <c r="CS516" i="18"/>
  <c r="CR516" i="18"/>
  <c r="CQ516" i="18"/>
  <c r="CP516" i="18"/>
  <c r="CO516" i="18"/>
  <c r="CN516" i="18"/>
  <c r="CM516" i="18"/>
  <c r="CL516" i="18"/>
  <c r="CK516" i="18"/>
  <c r="CJ516" i="18"/>
  <c r="CI516" i="18"/>
  <c r="CH516" i="18"/>
  <c r="CG516" i="18"/>
  <c r="CF516" i="18"/>
  <c r="CE516" i="18"/>
  <c r="CD516" i="18"/>
  <c r="CC516" i="18"/>
  <c r="CB516" i="18"/>
  <c r="CA516" i="18"/>
  <c r="BZ516" i="18"/>
  <c r="BY516" i="18"/>
  <c r="BX516" i="18"/>
  <c r="BW516" i="18"/>
  <c r="BV516" i="18"/>
  <c r="BU516" i="18"/>
  <c r="BT516" i="18"/>
  <c r="BS516" i="18"/>
  <c r="BR516" i="18"/>
  <c r="BQ516" i="18"/>
  <c r="BP516" i="18"/>
  <c r="BO516" i="18"/>
  <c r="BN516" i="18"/>
  <c r="BM516" i="18"/>
  <c r="BL516" i="18"/>
  <c r="BK516" i="18"/>
  <c r="BJ516" i="18"/>
  <c r="BI516" i="18"/>
  <c r="BH516" i="18"/>
  <c r="BG516" i="18"/>
  <c r="BF516" i="18"/>
  <c r="BE516" i="18"/>
  <c r="BD516" i="18"/>
  <c r="BC516" i="18"/>
  <c r="BB516" i="18"/>
  <c r="BA516" i="18"/>
  <c r="AZ516" i="18"/>
  <c r="AY516" i="18"/>
  <c r="AX516" i="18"/>
  <c r="AW516" i="18"/>
  <c r="AV516" i="18"/>
  <c r="AU516" i="18"/>
  <c r="AT516" i="18"/>
  <c r="AS516" i="18"/>
  <c r="AR516" i="18"/>
  <c r="AQ516" i="18"/>
  <c r="AP516" i="18"/>
  <c r="AO516" i="18"/>
  <c r="AN516" i="18"/>
  <c r="AM516" i="18"/>
  <c r="AL516" i="18"/>
  <c r="AK516" i="18"/>
  <c r="AJ516" i="18"/>
  <c r="AI516" i="18"/>
  <c r="AH516" i="18"/>
  <c r="AG516" i="18"/>
  <c r="AF516" i="18"/>
  <c r="AE516" i="18"/>
  <c r="AD516" i="18"/>
  <c r="AC516" i="18"/>
  <c r="AB516" i="18"/>
  <c r="AA516" i="18"/>
  <c r="Z516" i="18"/>
  <c r="Y516" i="18"/>
  <c r="X516" i="18"/>
  <c r="W516" i="18"/>
  <c r="V516" i="18"/>
  <c r="U516" i="18"/>
  <c r="T516" i="18"/>
  <c r="S516" i="18"/>
  <c r="R516" i="18"/>
  <c r="Q516" i="18"/>
  <c r="P516" i="18"/>
  <c r="O516" i="18"/>
  <c r="N516" i="18"/>
  <c r="M516" i="18"/>
  <c r="L516" i="18"/>
  <c r="K516" i="18"/>
  <c r="J516" i="18"/>
  <c r="I516" i="18"/>
  <c r="H516" i="18"/>
  <c r="G516" i="18"/>
  <c r="F516" i="18"/>
  <c r="E516" i="18"/>
  <c r="D516" i="18"/>
  <c r="C516" i="18"/>
  <c r="B516" i="18"/>
  <c r="A516" i="18"/>
  <c r="CU515" i="18"/>
  <c r="CT515" i="18"/>
  <c r="CS515" i="18"/>
  <c r="CR515" i="18"/>
  <c r="CQ515" i="18"/>
  <c r="CP515" i="18"/>
  <c r="CO515" i="18"/>
  <c r="CN515" i="18"/>
  <c r="CM515" i="18"/>
  <c r="CL515" i="18"/>
  <c r="CK515" i="18"/>
  <c r="CJ515" i="18"/>
  <c r="CI515" i="18"/>
  <c r="CH515" i="18"/>
  <c r="CG515" i="18"/>
  <c r="CF515" i="18"/>
  <c r="CE515" i="18"/>
  <c r="CD515" i="18"/>
  <c r="CC515" i="18"/>
  <c r="CB515" i="18"/>
  <c r="CA515" i="18"/>
  <c r="BZ515" i="18"/>
  <c r="BY515" i="18"/>
  <c r="BX515" i="18"/>
  <c r="BW515" i="18"/>
  <c r="BV515" i="18"/>
  <c r="BU515" i="18"/>
  <c r="BT515" i="18"/>
  <c r="BS515" i="18"/>
  <c r="BR515" i="18"/>
  <c r="BQ515" i="18"/>
  <c r="BP515" i="18"/>
  <c r="BO515" i="18"/>
  <c r="BN515" i="18"/>
  <c r="BM515" i="18"/>
  <c r="BL515" i="18"/>
  <c r="BK515" i="18"/>
  <c r="BJ515" i="18"/>
  <c r="BI515" i="18"/>
  <c r="BH515" i="18"/>
  <c r="BG515" i="18"/>
  <c r="BF515" i="18"/>
  <c r="BE515" i="18"/>
  <c r="BD515" i="18"/>
  <c r="BC515" i="18"/>
  <c r="BB515" i="18"/>
  <c r="BA515" i="18"/>
  <c r="AZ515" i="18"/>
  <c r="AY515" i="18"/>
  <c r="AX515" i="18"/>
  <c r="AW515" i="18"/>
  <c r="AV515" i="18"/>
  <c r="AU515" i="18"/>
  <c r="AT515" i="18"/>
  <c r="AS515" i="18"/>
  <c r="AR515" i="18"/>
  <c r="AQ515" i="18"/>
  <c r="AP515" i="18"/>
  <c r="AO515" i="18"/>
  <c r="AN515" i="18"/>
  <c r="AM515" i="18"/>
  <c r="AL515" i="18"/>
  <c r="AK515" i="18"/>
  <c r="AJ515" i="18"/>
  <c r="AI515" i="18"/>
  <c r="AH515" i="18"/>
  <c r="AG515" i="18"/>
  <c r="AF515" i="18"/>
  <c r="AE515" i="18"/>
  <c r="AD515" i="18"/>
  <c r="AC515" i="18"/>
  <c r="AB515" i="18"/>
  <c r="AA515" i="18"/>
  <c r="Z515" i="18"/>
  <c r="Y515" i="18"/>
  <c r="X515" i="18"/>
  <c r="W515" i="18"/>
  <c r="V515" i="18"/>
  <c r="U515" i="18"/>
  <c r="T515" i="18"/>
  <c r="S515" i="18"/>
  <c r="R515" i="18"/>
  <c r="Q515" i="18"/>
  <c r="P515" i="18"/>
  <c r="O515" i="18"/>
  <c r="N515" i="18"/>
  <c r="M515" i="18"/>
  <c r="L515" i="18"/>
  <c r="K515" i="18"/>
  <c r="J515" i="18"/>
  <c r="I515" i="18"/>
  <c r="H515" i="18"/>
  <c r="G515" i="18"/>
  <c r="F515" i="18"/>
  <c r="E515" i="18"/>
  <c r="D515" i="18"/>
  <c r="C515" i="18"/>
  <c r="B515" i="18"/>
  <c r="A515" i="18"/>
  <c r="CU514" i="18"/>
  <c r="CT514" i="18"/>
  <c r="CS514" i="18"/>
  <c r="CR514" i="18"/>
  <c r="CQ514" i="18"/>
  <c r="CP514" i="18"/>
  <c r="CO514" i="18"/>
  <c r="CN514" i="18"/>
  <c r="CM514" i="18"/>
  <c r="CL514" i="18"/>
  <c r="CK514" i="18"/>
  <c r="CJ514" i="18"/>
  <c r="CI514" i="18"/>
  <c r="CH514" i="18"/>
  <c r="CG514" i="18"/>
  <c r="CF514" i="18"/>
  <c r="CE514" i="18"/>
  <c r="CD514" i="18"/>
  <c r="CC514" i="18"/>
  <c r="CB514" i="18"/>
  <c r="CA514" i="18"/>
  <c r="BZ514" i="18"/>
  <c r="BY514" i="18"/>
  <c r="BX514" i="18"/>
  <c r="BW514" i="18"/>
  <c r="BV514" i="18"/>
  <c r="BU514" i="18"/>
  <c r="BT514" i="18"/>
  <c r="BS514" i="18"/>
  <c r="BR514" i="18"/>
  <c r="BQ514" i="18"/>
  <c r="BP514" i="18"/>
  <c r="BO514" i="18"/>
  <c r="BN514" i="18"/>
  <c r="BM514" i="18"/>
  <c r="BL514" i="18"/>
  <c r="BK514" i="18"/>
  <c r="BJ514" i="18"/>
  <c r="BI514" i="18"/>
  <c r="BH514" i="18"/>
  <c r="BG514" i="18"/>
  <c r="BF514" i="18"/>
  <c r="BE514" i="18"/>
  <c r="BD514" i="18"/>
  <c r="BC514" i="18"/>
  <c r="BB514" i="18"/>
  <c r="BA514" i="18"/>
  <c r="AZ514" i="18"/>
  <c r="AY514" i="18"/>
  <c r="AX514" i="18"/>
  <c r="AW514" i="18"/>
  <c r="AV514" i="18"/>
  <c r="AU514" i="18"/>
  <c r="AT514" i="18"/>
  <c r="AS514" i="18"/>
  <c r="AR514" i="18"/>
  <c r="AQ514" i="18"/>
  <c r="AP514" i="18"/>
  <c r="AO514" i="18"/>
  <c r="AN514" i="18"/>
  <c r="AM514" i="18"/>
  <c r="AL514" i="18"/>
  <c r="AK514" i="18"/>
  <c r="AJ514" i="18"/>
  <c r="AI514" i="18"/>
  <c r="AH514" i="18"/>
  <c r="AG514" i="18"/>
  <c r="AF514" i="18"/>
  <c r="AE514" i="18"/>
  <c r="AD514" i="18"/>
  <c r="AC514" i="18"/>
  <c r="AB514" i="18"/>
  <c r="AA514" i="18"/>
  <c r="Z514" i="18"/>
  <c r="Y514" i="18"/>
  <c r="X514" i="18"/>
  <c r="W514" i="18"/>
  <c r="V514" i="18"/>
  <c r="U514" i="18"/>
  <c r="T514" i="18"/>
  <c r="S514" i="18"/>
  <c r="R514" i="18"/>
  <c r="Q514" i="18"/>
  <c r="P514" i="18"/>
  <c r="O514" i="18"/>
  <c r="N514" i="18"/>
  <c r="M514" i="18"/>
  <c r="L514" i="18"/>
  <c r="K514" i="18"/>
  <c r="J514" i="18"/>
  <c r="I514" i="18"/>
  <c r="H514" i="18"/>
  <c r="G514" i="18"/>
  <c r="F514" i="18"/>
  <c r="E514" i="18"/>
  <c r="D514" i="18"/>
  <c r="C514" i="18"/>
  <c r="B514" i="18"/>
  <c r="A514" i="18"/>
  <c r="CU513" i="18"/>
  <c r="CT513" i="18"/>
  <c r="CS513" i="18"/>
  <c r="CR513" i="18"/>
  <c r="CP513" i="18"/>
  <c r="CO513" i="18"/>
  <c r="CN513" i="18"/>
  <c r="CM513" i="18"/>
  <c r="CL513" i="18"/>
  <c r="CK513" i="18"/>
  <c r="CJ513" i="18"/>
  <c r="CI513" i="18"/>
  <c r="CH513" i="18"/>
  <c r="CG513" i="18"/>
  <c r="CF513" i="18"/>
  <c r="CE513" i="18"/>
  <c r="CD513" i="18"/>
  <c r="CC513" i="18"/>
  <c r="CB513" i="18"/>
  <c r="CA513" i="18"/>
  <c r="BZ513" i="18"/>
  <c r="BY513" i="18"/>
  <c r="BT513" i="18"/>
  <c r="BS513" i="18"/>
  <c r="BR513" i="18"/>
  <c r="BQ513" i="18"/>
  <c r="BP513" i="18"/>
  <c r="BO513" i="18"/>
  <c r="BN513" i="18"/>
  <c r="BM513" i="18"/>
  <c r="BL513" i="18"/>
  <c r="BK513" i="18"/>
  <c r="BJ513" i="18"/>
  <c r="BI513" i="18"/>
  <c r="BH513" i="18"/>
  <c r="BG513" i="18"/>
  <c r="BF513" i="18"/>
  <c r="BE513" i="18"/>
  <c r="BD513" i="18"/>
  <c r="BC513" i="18"/>
  <c r="BB513" i="18"/>
  <c r="BA513" i="18"/>
  <c r="AZ513" i="18"/>
  <c r="AY513" i="18"/>
  <c r="AX513" i="18"/>
  <c r="AW513" i="18"/>
  <c r="AV513" i="18"/>
  <c r="AU513" i="18"/>
  <c r="AT513" i="18"/>
  <c r="AS513" i="18"/>
  <c r="AR513" i="18"/>
  <c r="AQ513" i="18"/>
  <c r="AP513" i="18"/>
  <c r="AO513" i="18"/>
  <c r="AN513" i="18"/>
  <c r="AM513" i="18"/>
  <c r="AL513" i="18"/>
  <c r="AK513" i="18"/>
  <c r="AJ513" i="18"/>
  <c r="AI513" i="18"/>
  <c r="AH513" i="18"/>
  <c r="AG513" i="18"/>
  <c r="AF513" i="18"/>
  <c r="AE513" i="18"/>
  <c r="AD513" i="18"/>
  <c r="AC513" i="18"/>
  <c r="AB513" i="18"/>
  <c r="AA513" i="18"/>
  <c r="Z513" i="18"/>
  <c r="Y513" i="18"/>
  <c r="X513" i="18"/>
  <c r="W513" i="18"/>
  <c r="V513" i="18"/>
  <c r="U513" i="18"/>
  <c r="T513" i="18"/>
  <c r="S513" i="18"/>
  <c r="R513" i="18"/>
  <c r="Q513" i="18"/>
  <c r="P513" i="18"/>
  <c r="O513" i="18"/>
  <c r="N513" i="18"/>
  <c r="M513" i="18"/>
  <c r="L513" i="18"/>
  <c r="K513" i="18"/>
  <c r="J513" i="18"/>
  <c r="I513" i="18"/>
  <c r="H513" i="18"/>
  <c r="G513" i="18"/>
  <c r="F513" i="18"/>
  <c r="E513" i="18"/>
  <c r="D513" i="18"/>
  <c r="C513" i="18"/>
  <c r="B513" i="18"/>
  <c r="A513" i="18"/>
  <c r="CU512" i="18"/>
  <c r="CT512" i="18"/>
  <c r="CS512" i="18"/>
  <c r="CR512" i="18"/>
  <c r="CQ512" i="18"/>
  <c r="CP512" i="18"/>
  <c r="CO512" i="18"/>
  <c r="CN512" i="18"/>
  <c r="CM512" i="18"/>
  <c r="CL512" i="18"/>
  <c r="CK512" i="18"/>
  <c r="CJ512" i="18"/>
  <c r="CI512" i="18"/>
  <c r="CH512" i="18"/>
  <c r="CG512" i="18"/>
  <c r="CF512" i="18"/>
  <c r="CE512" i="18"/>
  <c r="CD512" i="18"/>
  <c r="CC512" i="18"/>
  <c r="CB512" i="18"/>
  <c r="CA512" i="18"/>
  <c r="BZ512" i="18"/>
  <c r="BY512" i="18"/>
  <c r="BX512" i="18"/>
  <c r="BW512" i="18"/>
  <c r="BV512" i="18"/>
  <c r="BU512" i="18"/>
  <c r="BT512" i="18"/>
  <c r="BS512" i="18"/>
  <c r="BR512" i="18"/>
  <c r="BQ512" i="18"/>
  <c r="BP512" i="18"/>
  <c r="BO512" i="18"/>
  <c r="BN512" i="18"/>
  <c r="BM512" i="18"/>
  <c r="BL512" i="18"/>
  <c r="BK512" i="18"/>
  <c r="BJ512" i="18"/>
  <c r="BI512" i="18"/>
  <c r="BH512" i="18"/>
  <c r="BG512" i="18"/>
  <c r="BF512" i="18"/>
  <c r="BE512" i="18"/>
  <c r="BD512" i="18"/>
  <c r="BC512" i="18"/>
  <c r="BB512" i="18"/>
  <c r="BA512" i="18"/>
  <c r="AZ512" i="18"/>
  <c r="AY512" i="18"/>
  <c r="AX512" i="18"/>
  <c r="AW512" i="18"/>
  <c r="AV512" i="18"/>
  <c r="AU512" i="18"/>
  <c r="AT512" i="18"/>
  <c r="AS512" i="18"/>
  <c r="AR512" i="18"/>
  <c r="AQ512" i="18"/>
  <c r="AP512" i="18"/>
  <c r="AO512" i="18"/>
  <c r="AN512" i="18"/>
  <c r="AM512" i="18"/>
  <c r="AL512" i="18"/>
  <c r="AK512" i="18"/>
  <c r="AJ512" i="18"/>
  <c r="AI512" i="18"/>
  <c r="AH512" i="18"/>
  <c r="AG512" i="18"/>
  <c r="AF512" i="18"/>
  <c r="AE512" i="18"/>
  <c r="AD512" i="18"/>
  <c r="AC512" i="18"/>
  <c r="AB512" i="18"/>
  <c r="AA512" i="18"/>
  <c r="Z512" i="18"/>
  <c r="Y512" i="18"/>
  <c r="X512" i="18"/>
  <c r="W512" i="18"/>
  <c r="V512" i="18"/>
  <c r="U512" i="18"/>
  <c r="T512" i="18"/>
  <c r="S512" i="18"/>
  <c r="R512" i="18"/>
  <c r="Q512" i="18"/>
  <c r="P512" i="18"/>
  <c r="O512" i="18"/>
  <c r="N512" i="18"/>
  <c r="M512" i="18"/>
  <c r="L512" i="18"/>
  <c r="K512" i="18"/>
  <c r="J512" i="18"/>
  <c r="I512" i="18"/>
  <c r="H512" i="18"/>
  <c r="G512" i="18"/>
  <c r="F512" i="18"/>
  <c r="E512" i="18"/>
  <c r="D512" i="18"/>
  <c r="C512" i="18"/>
  <c r="B512" i="18"/>
  <c r="A512" i="18"/>
  <c r="CU511" i="18"/>
  <c r="CT511" i="18"/>
  <c r="CS511" i="18"/>
  <c r="CR511" i="18"/>
  <c r="CQ511" i="18"/>
  <c r="CP511" i="18"/>
  <c r="CO511" i="18"/>
  <c r="CN511" i="18"/>
  <c r="CM511" i="18"/>
  <c r="CL511" i="18"/>
  <c r="CK511" i="18"/>
  <c r="CJ511" i="18"/>
  <c r="CI511" i="18"/>
  <c r="CH511" i="18"/>
  <c r="CG511" i="18"/>
  <c r="CF511" i="18"/>
  <c r="CE511" i="18"/>
  <c r="CD511" i="18"/>
  <c r="CC511" i="18"/>
  <c r="CB511" i="18"/>
  <c r="CA511" i="18"/>
  <c r="BZ511" i="18"/>
  <c r="BY511" i="18"/>
  <c r="BX511" i="18"/>
  <c r="BW511" i="18"/>
  <c r="BV511" i="18"/>
  <c r="BU511" i="18"/>
  <c r="BT511" i="18"/>
  <c r="BS511" i="18"/>
  <c r="BR511" i="18"/>
  <c r="BQ511" i="18"/>
  <c r="BP511" i="18"/>
  <c r="BO511" i="18"/>
  <c r="BN511" i="18"/>
  <c r="BM511" i="18"/>
  <c r="BL511" i="18"/>
  <c r="BK511" i="18"/>
  <c r="BJ511" i="18"/>
  <c r="BI511" i="18"/>
  <c r="BH511" i="18"/>
  <c r="BG511" i="18"/>
  <c r="BF511" i="18"/>
  <c r="BE511" i="18"/>
  <c r="BD511" i="18"/>
  <c r="BC511" i="18"/>
  <c r="BB511" i="18"/>
  <c r="BA511" i="18"/>
  <c r="AZ511" i="18"/>
  <c r="AY511" i="18"/>
  <c r="AX511" i="18"/>
  <c r="AW511" i="18"/>
  <c r="AV511" i="18"/>
  <c r="AU511" i="18"/>
  <c r="AT511" i="18"/>
  <c r="AS511" i="18"/>
  <c r="AR511" i="18"/>
  <c r="AQ511" i="18"/>
  <c r="AP511" i="18"/>
  <c r="AO511" i="18"/>
  <c r="AN511" i="18"/>
  <c r="AM511" i="18"/>
  <c r="AL511" i="18"/>
  <c r="AK511" i="18"/>
  <c r="AJ511" i="18"/>
  <c r="AI511" i="18"/>
  <c r="AH511" i="18"/>
  <c r="AG511" i="18"/>
  <c r="AF511" i="18"/>
  <c r="AE511" i="18"/>
  <c r="AD511" i="18"/>
  <c r="AC511" i="18"/>
  <c r="AB511" i="18"/>
  <c r="AA511" i="18"/>
  <c r="Z511" i="18"/>
  <c r="Y511" i="18"/>
  <c r="X511" i="18"/>
  <c r="W511" i="18"/>
  <c r="V511" i="18"/>
  <c r="U511" i="18"/>
  <c r="T511" i="18"/>
  <c r="S511" i="18"/>
  <c r="R511" i="18"/>
  <c r="Q511" i="18"/>
  <c r="P511" i="18"/>
  <c r="O511" i="18"/>
  <c r="N511" i="18"/>
  <c r="M511" i="18"/>
  <c r="L511" i="18"/>
  <c r="K511" i="18"/>
  <c r="J511" i="18"/>
  <c r="I511" i="18"/>
  <c r="H511" i="18"/>
  <c r="G511" i="18"/>
  <c r="F511" i="18"/>
  <c r="E511" i="18"/>
  <c r="D511" i="18"/>
  <c r="C511" i="18"/>
  <c r="B511" i="18"/>
  <c r="A511" i="18"/>
  <c r="CU510" i="18"/>
  <c r="CT510" i="18"/>
  <c r="CS510" i="18"/>
  <c r="CR510" i="18"/>
  <c r="CQ510" i="18"/>
  <c r="CP510" i="18"/>
  <c r="CO510" i="18"/>
  <c r="CN510" i="18"/>
  <c r="CM510" i="18"/>
  <c r="CL510" i="18"/>
  <c r="CK510" i="18"/>
  <c r="CJ510" i="18"/>
  <c r="CI510" i="18"/>
  <c r="CH510" i="18"/>
  <c r="CG510" i="18"/>
  <c r="CF510" i="18"/>
  <c r="CE510" i="18"/>
  <c r="CD510" i="18"/>
  <c r="CC510" i="18"/>
  <c r="CB510" i="18"/>
  <c r="CA510" i="18"/>
  <c r="BZ510" i="18"/>
  <c r="BY510" i="18"/>
  <c r="BX510" i="18"/>
  <c r="BW510" i="18"/>
  <c r="BV510" i="18"/>
  <c r="BU510" i="18"/>
  <c r="BT510" i="18"/>
  <c r="BS510" i="18"/>
  <c r="BR510" i="18"/>
  <c r="BQ510" i="18"/>
  <c r="BP510" i="18"/>
  <c r="BO510" i="18"/>
  <c r="BN510" i="18"/>
  <c r="BM510" i="18"/>
  <c r="BL510" i="18"/>
  <c r="BK510" i="18"/>
  <c r="BJ510" i="18"/>
  <c r="BI510" i="18"/>
  <c r="BH510" i="18"/>
  <c r="BG510" i="18"/>
  <c r="BF510" i="18"/>
  <c r="BE510" i="18"/>
  <c r="BD510" i="18"/>
  <c r="BC510" i="18"/>
  <c r="BB510" i="18"/>
  <c r="BA510" i="18"/>
  <c r="AZ510" i="18"/>
  <c r="AY510" i="18"/>
  <c r="AX510" i="18"/>
  <c r="AW510" i="18"/>
  <c r="AV510" i="18"/>
  <c r="AU510" i="18"/>
  <c r="AT510" i="18"/>
  <c r="AS510" i="18"/>
  <c r="AR510" i="18"/>
  <c r="AQ510" i="18"/>
  <c r="AP510" i="18"/>
  <c r="AO510" i="18"/>
  <c r="AN510" i="18"/>
  <c r="AM510" i="18"/>
  <c r="AL510" i="18"/>
  <c r="AK510" i="18"/>
  <c r="AJ510" i="18"/>
  <c r="AI510" i="18"/>
  <c r="AH510" i="18"/>
  <c r="AG510" i="18"/>
  <c r="AF510" i="18"/>
  <c r="AE510" i="18"/>
  <c r="AD510" i="18"/>
  <c r="AC510" i="18"/>
  <c r="AB510" i="18"/>
  <c r="AA510" i="18"/>
  <c r="Z510" i="18"/>
  <c r="Y510" i="18"/>
  <c r="X510" i="18"/>
  <c r="W510" i="18"/>
  <c r="V510" i="18"/>
  <c r="U510" i="18"/>
  <c r="T510" i="18"/>
  <c r="S510" i="18"/>
  <c r="R510" i="18"/>
  <c r="Q510" i="18"/>
  <c r="P510" i="18"/>
  <c r="O510" i="18"/>
  <c r="N510" i="18"/>
  <c r="M510" i="18"/>
  <c r="L510" i="18"/>
  <c r="K510" i="18"/>
  <c r="J510" i="18"/>
  <c r="I510" i="18"/>
  <c r="H510" i="18"/>
  <c r="G510" i="18"/>
  <c r="F510" i="18"/>
  <c r="E510" i="18"/>
  <c r="D510" i="18"/>
  <c r="C510" i="18"/>
  <c r="B510" i="18"/>
  <c r="A510" i="18"/>
  <c r="CU509" i="18"/>
  <c r="CT509" i="18"/>
  <c r="CS509" i="18"/>
  <c r="CR509" i="18"/>
  <c r="CQ509" i="18"/>
  <c r="CP509" i="18"/>
  <c r="CO509" i="18"/>
  <c r="CN509" i="18"/>
  <c r="CM509" i="18"/>
  <c r="CL509" i="18"/>
  <c r="CK509" i="18"/>
  <c r="CJ509" i="18"/>
  <c r="CI509" i="18"/>
  <c r="CH509" i="18"/>
  <c r="CG509" i="18"/>
  <c r="CF509" i="18"/>
  <c r="CE509" i="18"/>
  <c r="CD509" i="18"/>
  <c r="CC509" i="18"/>
  <c r="CB509" i="18"/>
  <c r="CA509" i="18"/>
  <c r="BZ509" i="18"/>
  <c r="BY509" i="18"/>
  <c r="BX509" i="18"/>
  <c r="BW509" i="18"/>
  <c r="BV509" i="18"/>
  <c r="BU509" i="18"/>
  <c r="BT509" i="18"/>
  <c r="BS509" i="18"/>
  <c r="BR509" i="18"/>
  <c r="BQ509" i="18"/>
  <c r="BP509" i="18"/>
  <c r="BO509" i="18"/>
  <c r="BN509" i="18"/>
  <c r="BM509" i="18"/>
  <c r="BL509" i="18"/>
  <c r="BK509" i="18"/>
  <c r="BJ509" i="18"/>
  <c r="BI509" i="18"/>
  <c r="BH509" i="18"/>
  <c r="BG509" i="18"/>
  <c r="BF509" i="18"/>
  <c r="BE509" i="18"/>
  <c r="BD509" i="18"/>
  <c r="BC509" i="18"/>
  <c r="BB509" i="18"/>
  <c r="BA509" i="18"/>
  <c r="AZ509" i="18"/>
  <c r="AY509" i="18"/>
  <c r="AX509" i="18"/>
  <c r="AW509" i="18"/>
  <c r="AV509" i="18"/>
  <c r="AU509" i="18"/>
  <c r="AT509" i="18"/>
  <c r="AS509" i="18"/>
  <c r="AR509" i="18"/>
  <c r="AQ509" i="18"/>
  <c r="AP509" i="18"/>
  <c r="AO509" i="18"/>
  <c r="AN509" i="18"/>
  <c r="AM509" i="18"/>
  <c r="AL509" i="18"/>
  <c r="AK509" i="18"/>
  <c r="AJ509" i="18"/>
  <c r="AI509" i="18"/>
  <c r="AH509" i="18"/>
  <c r="AG509" i="18"/>
  <c r="AF509" i="18"/>
  <c r="AE509" i="18"/>
  <c r="AD509" i="18"/>
  <c r="AC509" i="18"/>
  <c r="AB509" i="18"/>
  <c r="AA509" i="18"/>
  <c r="Z509" i="18"/>
  <c r="Y509" i="18"/>
  <c r="X509" i="18"/>
  <c r="W509" i="18"/>
  <c r="V509" i="18"/>
  <c r="U509" i="18"/>
  <c r="T509" i="18"/>
  <c r="S509" i="18"/>
  <c r="R509" i="18"/>
  <c r="Q509" i="18"/>
  <c r="P509" i="18"/>
  <c r="O509" i="18"/>
  <c r="N509" i="18"/>
  <c r="M509" i="18"/>
  <c r="L509" i="18"/>
  <c r="K509" i="18"/>
  <c r="J509" i="18"/>
  <c r="I509" i="18"/>
  <c r="H509" i="18"/>
  <c r="G509" i="18"/>
  <c r="F509" i="18"/>
  <c r="E509" i="18"/>
  <c r="D509" i="18"/>
  <c r="C509" i="18"/>
  <c r="B509" i="18"/>
  <c r="A509" i="18"/>
  <c r="CU508" i="18"/>
  <c r="CT508" i="18"/>
  <c r="CS508" i="18"/>
  <c r="CR508" i="18"/>
  <c r="CQ508" i="18"/>
  <c r="CP508" i="18"/>
  <c r="CO508" i="18"/>
  <c r="CN508" i="18"/>
  <c r="CM508" i="18"/>
  <c r="CL508" i="18"/>
  <c r="CK508" i="18"/>
  <c r="CJ508" i="18"/>
  <c r="CI508" i="18"/>
  <c r="CH508" i="18"/>
  <c r="CG508" i="18"/>
  <c r="CF508" i="18"/>
  <c r="CE508" i="18"/>
  <c r="CD508" i="18"/>
  <c r="CC508" i="18"/>
  <c r="CB508" i="18"/>
  <c r="CA508" i="18"/>
  <c r="BZ508" i="18"/>
  <c r="BY508" i="18"/>
  <c r="BX508" i="18"/>
  <c r="BW508" i="18"/>
  <c r="BV508" i="18"/>
  <c r="BU508" i="18"/>
  <c r="BT508" i="18"/>
  <c r="BS508" i="18"/>
  <c r="BR508" i="18"/>
  <c r="BQ508" i="18"/>
  <c r="BP508" i="18"/>
  <c r="BO508" i="18"/>
  <c r="BN508" i="18"/>
  <c r="BM508" i="18"/>
  <c r="BL508" i="18"/>
  <c r="BK508" i="18"/>
  <c r="BJ508" i="18"/>
  <c r="BI508" i="18"/>
  <c r="BH508" i="18"/>
  <c r="BG508" i="18"/>
  <c r="BF508" i="18"/>
  <c r="BE508" i="18"/>
  <c r="BD508" i="18"/>
  <c r="BC508" i="18"/>
  <c r="BB508" i="18"/>
  <c r="BA508" i="18"/>
  <c r="AZ508" i="18"/>
  <c r="AY508" i="18"/>
  <c r="AX508" i="18"/>
  <c r="AW508" i="18"/>
  <c r="AV508" i="18"/>
  <c r="AU508" i="18"/>
  <c r="AT508" i="18"/>
  <c r="AS508" i="18"/>
  <c r="AR508" i="18"/>
  <c r="AQ508" i="18"/>
  <c r="AP508" i="18"/>
  <c r="AO508" i="18"/>
  <c r="AN508" i="18"/>
  <c r="AM508" i="18"/>
  <c r="AL508" i="18"/>
  <c r="AK508" i="18"/>
  <c r="AJ508" i="18"/>
  <c r="AI508" i="18"/>
  <c r="AH508" i="18"/>
  <c r="AG508" i="18"/>
  <c r="AF508" i="18"/>
  <c r="AE508" i="18"/>
  <c r="AD508" i="18"/>
  <c r="AC508" i="18"/>
  <c r="AB508" i="18"/>
  <c r="AA508" i="18"/>
  <c r="Z508" i="18"/>
  <c r="Y508" i="18"/>
  <c r="X508" i="18"/>
  <c r="W508" i="18"/>
  <c r="V508" i="18"/>
  <c r="U508" i="18"/>
  <c r="T508" i="18"/>
  <c r="S508" i="18"/>
  <c r="R508" i="18"/>
  <c r="Q508" i="18"/>
  <c r="P508" i="18"/>
  <c r="O508" i="18"/>
  <c r="N508" i="18"/>
  <c r="M508" i="18"/>
  <c r="L508" i="18"/>
  <c r="K508" i="18"/>
  <c r="J508" i="18"/>
  <c r="I508" i="18"/>
  <c r="H508" i="18"/>
  <c r="G508" i="18"/>
  <c r="F508" i="18"/>
  <c r="E508" i="18"/>
  <c r="D508" i="18"/>
  <c r="C508" i="18"/>
  <c r="B508" i="18"/>
  <c r="A508" i="18"/>
  <c r="CU507" i="18"/>
  <c r="CT507" i="18"/>
  <c r="CS507" i="18"/>
  <c r="CR507" i="18"/>
  <c r="CP507" i="18"/>
  <c r="CO507" i="18"/>
  <c r="CN507" i="18"/>
  <c r="CM507" i="18"/>
  <c r="CL507" i="18"/>
  <c r="CK507" i="18"/>
  <c r="CJ507" i="18"/>
  <c r="CI507" i="18"/>
  <c r="CH507" i="18"/>
  <c r="CG507" i="18"/>
  <c r="CF507" i="18"/>
  <c r="CE507" i="18"/>
  <c r="CD507" i="18"/>
  <c r="CC507" i="18"/>
  <c r="CB507" i="18"/>
  <c r="CA507" i="18"/>
  <c r="BZ507" i="18"/>
  <c r="BY507" i="18"/>
  <c r="BT507" i="18"/>
  <c r="BS507" i="18"/>
  <c r="BR507" i="18"/>
  <c r="BQ507" i="18"/>
  <c r="BP507" i="18"/>
  <c r="BO507" i="18"/>
  <c r="BN507" i="18"/>
  <c r="BM507" i="18"/>
  <c r="BL507" i="18"/>
  <c r="BK507" i="18"/>
  <c r="BJ507" i="18"/>
  <c r="BI507" i="18"/>
  <c r="BH507" i="18"/>
  <c r="BG507" i="18"/>
  <c r="BF507" i="18"/>
  <c r="BE507" i="18"/>
  <c r="BD507" i="18"/>
  <c r="BC507" i="18"/>
  <c r="BB507" i="18"/>
  <c r="BA507" i="18"/>
  <c r="AZ507" i="18"/>
  <c r="AY507" i="18"/>
  <c r="AX507" i="18"/>
  <c r="AW507" i="18"/>
  <c r="AV507" i="18"/>
  <c r="AU507" i="18"/>
  <c r="AT507" i="18"/>
  <c r="AS507" i="18"/>
  <c r="AR507" i="18"/>
  <c r="AQ507" i="18"/>
  <c r="AP507" i="18"/>
  <c r="AO507" i="18"/>
  <c r="AN507" i="18"/>
  <c r="AM507" i="18"/>
  <c r="AL507" i="18"/>
  <c r="AK507" i="18"/>
  <c r="AJ507" i="18"/>
  <c r="AI507" i="18"/>
  <c r="AH507" i="18"/>
  <c r="AG507" i="18"/>
  <c r="AF507" i="18"/>
  <c r="AE507" i="18"/>
  <c r="AD507" i="18"/>
  <c r="AC507" i="18"/>
  <c r="AB507" i="18"/>
  <c r="AA507" i="18"/>
  <c r="Z507" i="18"/>
  <c r="Y507" i="18"/>
  <c r="X507" i="18"/>
  <c r="W507" i="18"/>
  <c r="V507" i="18"/>
  <c r="U507" i="18"/>
  <c r="T507" i="18"/>
  <c r="S507" i="18"/>
  <c r="R507" i="18"/>
  <c r="Q507" i="18"/>
  <c r="P507" i="18"/>
  <c r="O507" i="18"/>
  <c r="N507" i="18"/>
  <c r="M507" i="18"/>
  <c r="L507" i="18"/>
  <c r="K507" i="18"/>
  <c r="J507" i="18"/>
  <c r="I507" i="18"/>
  <c r="H507" i="18"/>
  <c r="G507" i="18"/>
  <c r="F507" i="18"/>
  <c r="E507" i="18"/>
  <c r="D507" i="18"/>
  <c r="C507" i="18"/>
  <c r="B507" i="18"/>
  <c r="A507" i="18"/>
  <c r="CU506" i="18"/>
  <c r="CT506" i="18"/>
  <c r="CS506" i="18"/>
  <c r="CR506" i="18"/>
  <c r="CQ506" i="18"/>
  <c r="CP506" i="18"/>
  <c r="CO506" i="18"/>
  <c r="CN506" i="18"/>
  <c r="CM506" i="18"/>
  <c r="CL506" i="18"/>
  <c r="CK506" i="18"/>
  <c r="CJ506" i="18"/>
  <c r="CI506" i="18"/>
  <c r="CH506" i="18"/>
  <c r="CG506" i="18"/>
  <c r="CF506" i="18"/>
  <c r="CE506" i="18"/>
  <c r="CD506" i="18"/>
  <c r="CC506" i="18"/>
  <c r="CB506" i="18"/>
  <c r="CA506" i="18"/>
  <c r="BZ506" i="18"/>
  <c r="BY506" i="18"/>
  <c r="BX506" i="18"/>
  <c r="BW506" i="18"/>
  <c r="BV506" i="18"/>
  <c r="BU506" i="18"/>
  <c r="BT506" i="18"/>
  <c r="BS506" i="18"/>
  <c r="BR506" i="18"/>
  <c r="BQ506" i="18"/>
  <c r="BP506" i="18"/>
  <c r="BO506" i="18"/>
  <c r="BN506" i="18"/>
  <c r="BM506" i="18"/>
  <c r="BL506" i="18"/>
  <c r="BK506" i="18"/>
  <c r="BJ506" i="18"/>
  <c r="BI506" i="18"/>
  <c r="BH506" i="18"/>
  <c r="BG506" i="18"/>
  <c r="BF506" i="18"/>
  <c r="BE506" i="18"/>
  <c r="BD506" i="18"/>
  <c r="BC506" i="18"/>
  <c r="BB506" i="18"/>
  <c r="BA506" i="18"/>
  <c r="AZ506" i="18"/>
  <c r="AY506" i="18"/>
  <c r="AX506" i="18"/>
  <c r="AW506" i="18"/>
  <c r="AV506" i="18"/>
  <c r="AU506" i="18"/>
  <c r="AT506" i="18"/>
  <c r="AS506" i="18"/>
  <c r="AR506" i="18"/>
  <c r="AQ506" i="18"/>
  <c r="AP506" i="18"/>
  <c r="AO506" i="18"/>
  <c r="AN506" i="18"/>
  <c r="AM506" i="18"/>
  <c r="AL506" i="18"/>
  <c r="AK506" i="18"/>
  <c r="AJ506" i="18"/>
  <c r="AI506" i="18"/>
  <c r="AH506" i="18"/>
  <c r="AG506" i="18"/>
  <c r="AF506" i="18"/>
  <c r="AE506" i="18"/>
  <c r="AD506" i="18"/>
  <c r="AC506" i="18"/>
  <c r="AB506" i="18"/>
  <c r="AA506" i="18"/>
  <c r="Z506" i="18"/>
  <c r="Y506" i="18"/>
  <c r="X506" i="18"/>
  <c r="W506" i="18"/>
  <c r="V506" i="18"/>
  <c r="U506" i="18"/>
  <c r="T506" i="18"/>
  <c r="S506" i="18"/>
  <c r="R506" i="18"/>
  <c r="Q506" i="18"/>
  <c r="P506" i="18"/>
  <c r="O506" i="18"/>
  <c r="N506" i="18"/>
  <c r="M506" i="18"/>
  <c r="L506" i="18"/>
  <c r="K506" i="18"/>
  <c r="J506" i="18"/>
  <c r="I506" i="18"/>
  <c r="H506" i="18"/>
  <c r="G506" i="18"/>
  <c r="F506" i="18"/>
  <c r="E506" i="18"/>
  <c r="D506" i="18"/>
  <c r="C506" i="18"/>
  <c r="B506" i="18"/>
  <c r="A506" i="18"/>
  <c r="CU505" i="18"/>
  <c r="CT505" i="18"/>
  <c r="CS505" i="18"/>
  <c r="CR505" i="18"/>
  <c r="CP505" i="18"/>
  <c r="CO505" i="18"/>
  <c r="CN505" i="18"/>
  <c r="CM505" i="18"/>
  <c r="CL505" i="18"/>
  <c r="CK505" i="18"/>
  <c r="CJ505" i="18"/>
  <c r="CI505" i="18"/>
  <c r="CH505" i="18"/>
  <c r="CG505" i="18"/>
  <c r="CF505" i="18"/>
  <c r="CE505" i="18"/>
  <c r="CD505" i="18"/>
  <c r="CC505" i="18"/>
  <c r="CB505" i="18"/>
  <c r="CA505" i="18"/>
  <c r="BZ505" i="18"/>
  <c r="BY505" i="18"/>
  <c r="BT505" i="18"/>
  <c r="BS505" i="18"/>
  <c r="BR505" i="18"/>
  <c r="BQ505" i="18"/>
  <c r="BP505" i="18"/>
  <c r="BO505" i="18"/>
  <c r="BN505" i="18"/>
  <c r="BM505" i="18"/>
  <c r="BL505" i="18"/>
  <c r="BK505" i="18"/>
  <c r="BJ505" i="18"/>
  <c r="BI505" i="18"/>
  <c r="BH505" i="18"/>
  <c r="BG505" i="18"/>
  <c r="BF505" i="18"/>
  <c r="BE505" i="18"/>
  <c r="BD505" i="18"/>
  <c r="BC505" i="18"/>
  <c r="BB505" i="18"/>
  <c r="BA505" i="18"/>
  <c r="AZ505" i="18"/>
  <c r="AY505" i="18"/>
  <c r="AX505" i="18"/>
  <c r="AW505" i="18"/>
  <c r="AV505" i="18"/>
  <c r="AU505" i="18"/>
  <c r="AT505" i="18"/>
  <c r="AS505" i="18"/>
  <c r="AR505" i="18"/>
  <c r="AQ505" i="18"/>
  <c r="AP505" i="18"/>
  <c r="AO505" i="18"/>
  <c r="AN505" i="18"/>
  <c r="AM505" i="18"/>
  <c r="AL505" i="18"/>
  <c r="AK505" i="18"/>
  <c r="AJ505" i="18"/>
  <c r="AI505" i="18"/>
  <c r="AH505" i="18"/>
  <c r="AG505" i="18"/>
  <c r="AF505" i="18"/>
  <c r="AE505" i="18"/>
  <c r="AD505" i="18"/>
  <c r="AC505" i="18"/>
  <c r="AB505" i="18"/>
  <c r="AA505" i="18"/>
  <c r="Z505" i="18"/>
  <c r="Y505" i="18"/>
  <c r="X505" i="18"/>
  <c r="W505" i="18"/>
  <c r="V505" i="18"/>
  <c r="U505" i="18"/>
  <c r="T505" i="18"/>
  <c r="S505" i="18"/>
  <c r="R505" i="18"/>
  <c r="Q505" i="18"/>
  <c r="P505" i="18"/>
  <c r="O505" i="18"/>
  <c r="N505" i="18"/>
  <c r="M505" i="18"/>
  <c r="L505" i="18"/>
  <c r="K505" i="18"/>
  <c r="J505" i="18"/>
  <c r="I505" i="18"/>
  <c r="H505" i="18"/>
  <c r="G505" i="18"/>
  <c r="F505" i="18"/>
  <c r="E505" i="18"/>
  <c r="D505" i="18"/>
  <c r="C505" i="18"/>
  <c r="B505" i="18"/>
  <c r="A505" i="18"/>
  <c r="CU504" i="18"/>
  <c r="CT504" i="18"/>
  <c r="CS504" i="18"/>
  <c r="CR504" i="18"/>
  <c r="CQ504" i="18"/>
  <c r="CP504" i="18"/>
  <c r="CO504" i="18"/>
  <c r="CN504" i="18"/>
  <c r="CM504" i="18"/>
  <c r="CL504" i="18"/>
  <c r="CK504" i="18"/>
  <c r="CJ504" i="18"/>
  <c r="CI504" i="18"/>
  <c r="CH504" i="18"/>
  <c r="CG504" i="18"/>
  <c r="CF504" i="18"/>
  <c r="CE504" i="18"/>
  <c r="CD504" i="18"/>
  <c r="CC504" i="18"/>
  <c r="CB504" i="18"/>
  <c r="CA504" i="18"/>
  <c r="BZ504" i="18"/>
  <c r="BY504" i="18"/>
  <c r="BX504" i="18"/>
  <c r="BW504" i="18"/>
  <c r="BV504" i="18"/>
  <c r="BU504" i="18"/>
  <c r="BT504" i="18"/>
  <c r="BS504" i="18"/>
  <c r="BR504" i="18"/>
  <c r="BQ504" i="18"/>
  <c r="BP504" i="18"/>
  <c r="BO504" i="18"/>
  <c r="BN504" i="18"/>
  <c r="BM504" i="18"/>
  <c r="BL504" i="18"/>
  <c r="BK504" i="18"/>
  <c r="BJ504" i="18"/>
  <c r="BI504" i="18"/>
  <c r="BH504" i="18"/>
  <c r="BG504" i="18"/>
  <c r="BF504" i="18"/>
  <c r="BE504" i="18"/>
  <c r="BD504" i="18"/>
  <c r="BC504" i="18"/>
  <c r="BB504" i="18"/>
  <c r="BA504" i="18"/>
  <c r="AZ504" i="18"/>
  <c r="AY504" i="18"/>
  <c r="AX504" i="18"/>
  <c r="AW504" i="18"/>
  <c r="AV504" i="18"/>
  <c r="AU504" i="18"/>
  <c r="AT504" i="18"/>
  <c r="AS504" i="18"/>
  <c r="AR504" i="18"/>
  <c r="AQ504" i="18"/>
  <c r="AP504" i="18"/>
  <c r="AO504" i="18"/>
  <c r="AN504" i="18"/>
  <c r="AM504" i="18"/>
  <c r="AL504" i="18"/>
  <c r="AK504" i="18"/>
  <c r="AJ504" i="18"/>
  <c r="AI504" i="18"/>
  <c r="AH504" i="18"/>
  <c r="AG504" i="18"/>
  <c r="AF504" i="18"/>
  <c r="AE504" i="18"/>
  <c r="AD504" i="18"/>
  <c r="AC504" i="18"/>
  <c r="AB504" i="18"/>
  <c r="AA504" i="18"/>
  <c r="Z504" i="18"/>
  <c r="Y504" i="18"/>
  <c r="X504" i="18"/>
  <c r="W504" i="18"/>
  <c r="V504" i="18"/>
  <c r="U504" i="18"/>
  <c r="T504" i="18"/>
  <c r="S504" i="18"/>
  <c r="R504" i="18"/>
  <c r="Q504" i="18"/>
  <c r="P504" i="18"/>
  <c r="O504" i="18"/>
  <c r="N504" i="18"/>
  <c r="M504" i="18"/>
  <c r="L504" i="18"/>
  <c r="K504" i="18"/>
  <c r="J504" i="18"/>
  <c r="I504" i="18"/>
  <c r="H504" i="18"/>
  <c r="G504" i="18"/>
  <c r="F504" i="18"/>
  <c r="E504" i="18"/>
  <c r="D504" i="18"/>
  <c r="C504" i="18"/>
  <c r="B504" i="18"/>
  <c r="A504" i="18"/>
  <c r="CU503" i="18"/>
  <c r="CT503" i="18"/>
  <c r="CS503" i="18"/>
  <c r="CR503" i="18"/>
  <c r="CP503" i="18"/>
  <c r="CO503" i="18"/>
  <c r="CN503" i="18"/>
  <c r="CM503" i="18"/>
  <c r="CL503" i="18"/>
  <c r="CK503" i="18"/>
  <c r="CJ503" i="18"/>
  <c r="CI503" i="18"/>
  <c r="CH503" i="18"/>
  <c r="CG503" i="18"/>
  <c r="CF503" i="18"/>
  <c r="CE503" i="18"/>
  <c r="CD503" i="18"/>
  <c r="CC503" i="18"/>
  <c r="CB503" i="18"/>
  <c r="CA503" i="18"/>
  <c r="BZ503" i="18"/>
  <c r="BY503" i="18"/>
  <c r="BT503" i="18"/>
  <c r="BS503" i="18"/>
  <c r="BR503" i="18"/>
  <c r="BQ503" i="18"/>
  <c r="BP503" i="18"/>
  <c r="BO503" i="18"/>
  <c r="BN503" i="18"/>
  <c r="BM503" i="18"/>
  <c r="BL503" i="18"/>
  <c r="BK503" i="18"/>
  <c r="BJ503" i="18"/>
  <c r="BI503" i="18"/>
  <c r="BH503" i="18"/>
  <c r="BG503" i="18"/>
  <c r="BF503" i="18"/>
  <c r="BE503" i="18"/>
  <c r="BD503" i="18"/>
  <c r="BC503" i="18"/>
  <c r="BB503" i="18"/>
  <c r="BA503" i="18"/>
  <c r="AZ503" i="18"/>
  <c r="AY503" i="18"/>
  <c r="AX503" i="18"/>
  <c r="AW503" i="18"/>
  <c r="AV503" i="18"/>
  <c r="AU503" i="18"/>
  <c r="AT503" i="18"/>
  <c r="AS503" i="18"/>
  <c r="AR503" i="18"/>
  <c r="AQ503" i="18"/>
  <c r="AP503" i="18"/>
  <c r="AO503" i="18"/>
  <c r="AN503" i="18"/>
  <c r="AM503" i="18"/>
  <c r="AL503" i="18"/>
  <c r="AK503" i="18"/>
  <c r="AJ503" i="18"/>
  <c r="AI503" i="18"/>
  <c r="AH503" i="18"/>
  <c r="AG503" i="18"/>
  <c r="AF503" i="18"/>
  <c r="AE503" i="18"/>
  <c r="AD503" i="18"/>
  <c r="AC503" i="18"/>
  <c r="AB503" i="18"/>
  <c r="AA503" i="18"/>
  <c r="Z503" i="18"/>
  <c r="Y503" i="18"/>
  <c r="X503" i="18"/>
  <c r="W503" i="18"/>
  <c r="V503" i="18"/>
  <c r="U503" i="18"/>
  <c r="T503" i="18"/>
  <c r="S503" i="18"/>
  <c r="R503" i="18"/>
  <c r="Q503" i="18"/>
  <c r="P503" i="18"/>
  <c r="O503" i="18"/>
  <c r="N503" i="18"/>
  <c r="M503" i="18"/>
  <c r="L503" i="18"/>
  <c r="K503" i="18"/>
  <c r="J503" i="18"/>
  <c r="I503" i="18"/>
  <c r="H503" i="18"/>
  <c r="G503" i="18"/>
  <c r="F503" i="18"/>
  <c r="E503" i="18"/>
  <c r="D503" i="18"/>
  <c r="C503" i="18"/>
  <c r="B503" i="18"/>
  <c r="A503" i="18"/>
  <c r="CU502" i="18"/>
  <c r="CT502" i="18"/>
  <c r="CS502" i="18"/>
  <c r="CR502" i="18"/>
  <c r="CP502" i="18"/>
  <c r="CO502" i="18"/>
  <c r="CN502" i="18"/>
  <c r="CM502" i="18"/>
  <c r="CL502" i="18"/>
  <c r="CK502" i="18"/>
  <c r="CJ502" i="18"/>
  <c r="CI502" i="18"/>
  <c r="CH502" i="18"/>
  <c r="CG502" i="18"/>
  <c r="CF502" i="18"/>
  <c r="CE502" i="18"/>
  <c r="CD502" i="18"/>
  <c r="CC502" i="18"/>
  <c r="CB502" i="18"/>
  <c r="CA502" i="18"/>
  <c r="BZ502" i="18"/>
  <c r="BY502" i="18"/>
  <c r="BT502" i="18"/>
  <c r="BS502" i="18"/>
  <c r="BR502" i="18"/>
  <c r="BQ502" i="18"/>
  <c r="BP502" i="18"/>
  <c r="BO502" i="18"/>
  <c r="BN502" i="18"/>
  <c r="BM502" i="18"/>
  <c r="BL502" i="18"/>
  <c r="BK502" i="18"/>
  <c r="BJ502" i="18"/>
  <c r="BI502" i="18"/>
  <c r="BH502" i="18"/>
  <c r="BG502" i="18"/>
  <c r="BF502" i="18"/>
  <c r="BE502" i="18"/>
  <c r="BD502" i="18"/>
  <c r="BC502" i="18"/>
  <c r="BB502" i="18"/>
  <c r="BA502" i="18"/>
  <c r="AZ502" i="18"/>
  <c r="AY502" i="18"/>
  <c r="AX502" i="18"/>
  <c r="AW502" i="18"/>
  <c r="AV502" i="18"/>
  <c r="AU502" i="18"/>
  <c r="AT502" i="18"/>
  <c r="AS502" i="18"/>
  <c r="AR502" i="18"/>
  <c r="AQ502" i="18"/>
  <c r="AP502" i="18"/>
  <c r="AO502" i="18"/>
  <c r="AN502" i="18"/>
  <c r="AM502" i="18"/>
  <c r="AL502" i="18"/>
  <c r="AK502" i="18"/>
  <c r="AJ502" i="18"/>
  <c r="AI502" i="18"/>
  <c r="AH502" i="18"/>
  <c r="AG502" i="18"/>
  <c r="AF502" i="18"/>
  <c r="AE502" i="18"/>
  <c r="AD502" i="18"/>
  <c r="AC502" i="18"/>
  <c r="AB502" i="18"/>
  <c r="AA502" i="18"/>
  <c r="Z502" i="18"/>
  <c r="Y502" i="18"/>
  <c r="X502" i="18"/>
  <c r="W502" i="18"/>
  <c r="V502" i="18"/>
  <c r="U502" i="18"/>
  <c r="T502" i="18"/>
  <c r="S502" i="18"/>
  <c r="R502" i="18"/>
  <c r="Q502" i="18"/>
  <c r="P502" i="18"/>
  <c r="O502" i="18"/>
  <c r="N502" i="18"/>
  <c r="M502" i="18"/>
  <c r="L502" i="18"/>
  <c r="K502" i="18"/>
  <c r="J502" i="18"/>
  <c r="I502" i="18"/>
  <c r="H502" i="18"/>
  <c r="G502" i="18"/>
  <c r="F502" i="18"/>
  <c r="E502" i="18"/>
  <c r="D502" i="18"/>
  <c r="C502" i="18"/>
  <c r="B502" i="18"/>
  <c r="A502" i="18"/>
  <c r="CU501" i="18"/>
  <c r="CT501" i="18"/>
  <c r="CS501" i="18"/>
  <c r="CR501" i="18"/>
  <c r="CP501" i="18"/>
  <c r="CO501" i="18"/>
  <c r="CN501" i="18"/>
  <c r="CM501" i="18"/>
  <c r="CL501" i="18"/>
  <c r="CK501" i="18"/>
  <c r="CJ501" i="18"/>
  <c r="CI501" i="18"/>
  <c r="CH501" i="18"/>
  <c r="CG501" i="18"/>
  <c r="CF501" i="18"/>
  <c r="CE501" i="18"/>
  <c r="CD501" i="18"/>
  <c r="CC501" i="18"/>
  <c r="CB501" i="18"/>
  <c r="CA501" i="18"/>
  <c r="BZ501" i="18"/>
  <c r="BY501" i="18"/>
  <c r="BT501" i="18"/>
  <c r="BS501" i="18"/>
  <c r="BR501" i="18"/>
  <c r="BQ501" i="18"/>
  <c r="BP501" i="18"/>
  <c r="BO501" i="18"/>
  <c r="BN501" i="18"/>
  <c r="BM501" i="18"/>
  <c r="BL501" i="18"/>
  <c r="BK501" i="18"/>
  <c r="BJ501" i="18"/>
  <c r="BI501" i="18"/>
  <c r="BH501" i="18"/>
  <c r="BG501" i="18"/>
  <c r="BF501" i="18"/>
  <c r="BE501" i="18"/>
  <c r="BD501" i="18"/>
  <c r="BC501" i="18"/>
  <c r="BB501" i="18"/>
  <c r="BA501" i="18"/>
  <c r="AZ501" i="18"/>
  <c r="AY501" i="18"/>
  <c r="AX501" i="18"/>
  <c r="AW501" i="18"/>
  <c r="AV501" i="18"/>
  <c r="AU501" i="18"/>
  <c r="AT501" i="18"/>
  <c r="AS501" i="18"/>
  <c r="AR501" i="18"/>
  <c r="AQ501" i="18"/>
  <c r="AP501" i="18"/>
  <c r="AO501" i="18"/>
  <c r="AN501" i="18"/>
  <c r="AM501" i="18"/>
  <c r="AL501" i="18"/>
  <c r="AK501" i="18"/>
  <c r="AJ501" i="18"/>
  <c r="AI501" i="18"/>
  <c r="AH501" i="18"/>
  <c r="AG501" i="18"/>
  <c r="AF501" i="18"/>
  <c r="AE501" i="18"/>
  <c r="AD501" i="18"/>
  <c r="AC501" i="18"/>
  <c r="AB501" i="18"/>
  <c r="AA501" i="18"/>
  <c r="Z501" i="18"/>
  <c r="Y501" i="18"/>
  <c r="X501" i="18"/>
  <c r="W501" i="18"/>
  <c r="V501" i="18"/>
  <c r="U501" i="18"/>
  <c r="T501" i="18"/>
  <c r="S501" i="18"/>
  <c r="R501" i="18"/>
  <c r="Q501" i="18"/>
  <c r="P501" i="18"/>
  <c r="O501" i="18"/>
  <c r="N501" i="18"/>
  <c r="M501" i="18"/>
  <c r="L501" i="18"/>
  <c r="K501" i="18"/>
  <c r="J501" i="18"/>
  <c r="I501" i="18"/>
  <c r="H501" i="18"/>
  <c r="G501" i="18"/>
  <c r="F501" i="18"/>
  <c r="E501" i="18"/>
  <c r="D501" i="18"/>
  <c r="C501" i="18"/>
  <c r="B501" i="18"/>
  <c r="A501" i="18"/>
  <c r="CU500" i="18"/>
  <c r="CT500" i="18"/>
  <c r="CS500" i="18"/>
  <c r="CR500" i="18"/>
  <c r="CQ500" i="18"/>
  <c r="CP500" i="18"/>
  <c r="CO500" i="18"/>
  <c r="CN500" i="18"/>
  <c r="CM500" i="18"/>
  <c r="CL500" i="18"/>
  <c r="CK500" i="18"/>
  <c r="CJ500" i="18"/>
  <c r="CI500" i="18"/>
  <c r="CH500" i="18"/>
  <c r="CG500" i="18"/>
  <c r="CF500" i="18"/>
  <c r="CE500" i="18"/>
  <c r="CD500" i="18"/>
  <c r="CC500" i="18"/>
  <c r="CB500" i="18"/>
  <c r="CA500" i="18"/>
  <c r="BZ500" i="18"/>
  <c r="BY500" i="18"/>
  <c r="BX500" i="18"/>
  <c r="BW500" i="18"/>
  <c r="BV500" i="18"/>
  <c r="BU500" i="18"/>
  <c r="BT500" i="18"/>
  <c r="BS500" i="18"/>
  <c r="BR500" i="18"/>
  <c r="BQ500" i="18"/>
  <c r="BP500" i="18"/>
  <c r="BO500" i="18"/>
  <c r="BN500" i="18"/>
  <c r="BM500" i="18"/>
  <c r="BL500" i="18"/>
  <c r="BK500" i="18"/>
  <c r="BJ500" i="18"/>
  <c r="BI500" i="18"/>
  <c r="BH500" i="18"/>
  <c r="BG500" i="18"/>
  <c r="BF500" i="18"/>
  <c r="BE500" i="18"/>
  <c r="BD500" i="18"/>
  <c r="BC500" i="18"/>
  <c r="BB500" i="18"/>
  <c r="BA500" i="18"/>
  <c r="AZ500" i="18"/>
  <c r="AY500" i="18"/>
  <c r="AX500" i="18"/>
  <c r="AW500" i="18"/>
  <c r="AV500" i="18"/>
  <c r="AU500" i="18"/>
  <c r="AT500" i="18"/>
  <c r="AS500" i="18"/>
  <c r="AR500" i="18"/>
  <c r="AQ500" i="18"/>
  <c r="AP500" i="18"/>
  <c r="AO500" i="18"/>
  <c r="AN500" i="18"/>
  <c r="AM500" i="18"/>
  <c r="AL500" i="18"/>
  <c r="AK500" i="18"/>
  <c r="AJ500" i="18"/>
  <c r="AI500" i="18"/>
  <c r="AH500" i="18"/>
  <c r="AG500" i="18"/>
  <c r="AF500" i="18"/>
  <c r="AE500" i="18"/>
  <c r="AD500" i="18"/>
  <c r="AC500" i="18"/>
  <c r="AB500" i="18"/>
  <c r="AA500" i="18"/>
  <c r="Z500" i="18"/>
  <c r="Y500" i="18"/>
  <c r="X500" i="18"/>
  <c r="W500" i="18"/>
  <c r="V500" i="18"/>
  <c r="U500" i="18"/>
  <c r="T500" i="18"/>
  <c r="S500" i="18"/>
  <c r="R500" i="18"/>
  <c r="Q500" i="18"/>
  <c r="P500" i="18"/>
  <c r="O500" i="18"/>
  <c r="N500" i="18"/>
  <c r="M500" i="18"/>
  <c r="L500" i="18"/>
  <c r="K500" i="18"/>
  <c r="J500" i="18"/>
  <c r="I500" i="18"/>
  <c r="H500" i="18"/>
  <c r="G500" i="18"/>
  <c r="F500" i="18"/>
  <c r="E500" i="18"/>
  <c r="D500" i="18"/>
  <c r="C500" i="18"/>
  <c r="B500" i="18"/>
  <c r="A500" i="18"/>
  <c r="CU499" i="18"/>
  <c r="CT499" i="18"/>
  <c r="CS499" i="18"/>
  <c r="CR499" i="18"/>
  <c r="CQ499" i="18"/>
  <c r="CP499" i="18"/>
  <c r="CO499" i="18"/>
  <c r="CN499" i="18"/>
  <c r="CM499" i="18"/>
  <c r="CL499" i="18"/>
  <c r="CK499" i="18"/>
  <c r="CJ499" i="18"/>
  <c r="CI499" i="18"/>
  <c r="CH499" i="18"/>
  <c r="CG499" i="18"/>
  <c r="CF499" i="18"/>
  <c r="CE499" i="18"/>
  <c r="CD499" i="18"/>
  <c r="CC499" i="18"/>
  <c r="CB499" i="18"/>
  <c r="CA499" i="18"/>
  <c r="BZ499" i="18"/>
  <c r="BY499" i="18"/>
  <c r="BX499" i="18"/>
  <c r="BW499" i="18"/>
  <c r="BV499" i="18"/>
  <c r="BU499" i="18"/>
  <c r="BT499" i="18"/>
  <c r="BS499" i="18"/>
  <c r="BR499" i="18"/>
  <c r="BQ499" i="18"/>
  <c r="BP499" i="18"/>
  <c r="BO499" i="18"/>
  <c r="BN499" i="18"/>
  <c r="BM499" i="18"/>
  <c r="BL499" i="18"/>
  <c r="BK499" i="18"/>
  <c r="BJ499" i="18"/>
  <c r="BI499" i="18"/>
  <c r="BH499" i="18"/>
  <c r="BG499" i="18"/>
  <c r="BF499" i="18"/>
  <c r="BE499" i="18"/>
  <c r="BD499" i="18"/>
  <c r="BC499" i="18"/>
  <c r="BB499" i="18"/>
  <c r="BA499" i="18"/>
  <c r="AZ499" i="18"/>
  <c r="AY499" i="18"/>
  <c r="AX499" i="18"/>
  <c r="AW499" i="18"/>
  <c r="AV499" i="18"/>
  <c r="AU499" i="18"/>
  <c r="AT499" i="18"/>
  <c r="AS499" i="18"/>
  <c r="AR499" i="18"/>
  <c r="AQ499" i="18"/>
  <c r="AP499" i="18"/>
  <c r="AO499" i="18"/>
  <c r="AN499" i="18"/>
  <c r="AM499" i="18"/>
  <c r="AL499" i="18"/>
  <c r="AK499" i="18"/>
  <c r="AJ499" i="18"/>
  <c r="AI499" i="18"/>
  <c r="AH499" i="18"/>
  <c r="AG499" i="18"/>
  <c r="AF499" i="18"/>
  <c r="AE499" i="18"/>
  <c r="AD499" i="18"/>
  <c r="AC499" i="18"/>
  <c r="AB499" i="18"/>
  <c r="AA499" i="18"/>
  <c r="Z499" i="18"/>
  <c r="Y499" i="18"/>
  <c r="X499" i="18"/>
  <c r="W499" i="18"/>
  <c r="V499" i="18"/>
  <c r="U499" i="18"/>
  <c r="T499" i="18"/>
  <c r="S499" i="18"/>
  <c r="R499" i="18"/>
  <c r="Q499" i="18"/>
  <c r="P499" i="18"/>
  <c r="O499" i="18"/>
  <c r="N499" i="18"/>
  <c r="M499" i="18"/>
  <c r="L499" i="18"/>
  <c r="K499" i="18"/>
  <c r="J499" i="18"/>
  <c r="I499" i="18"/>
  <c r="H499" i="18"/>
  <c r="G499" i="18"/>
  <c r="F499" i="18"/>
  <c r="E499" i="18"/>
  <c r="D499" i="18"/>
  <c r="C499" i="18"/>
  <c r="B499" i="18"/>
  <c r="A499" i="18"/>
  <c r="CU498" i="18"/>
  <c r="CT498" i="18"/>
  <c r="CS498" i="18"/>
  <c r="CR498" i="18"/>
  <c r="CQ498" i="18"/>
  <c r="CP498" i="18"/>
  <c r="CO498" i="18"/>
  <c r="CN498" i="18"/>
  <c r="CM498" i="18"/>
  <c r="CL498" i="18"/>
  <c r="CK498" i="18"/>
  <c r="CJ498" i="18"/>
  <c r="CI498" i="18"/>
  <c r="CH498" i="18"/>
  <c r="CG498" i="18"/>
  <c r="CF498" i="18"/>
  <c r="CE498" i="18"/>
  <c r="CD498" i="18"/>
  <c r="CC498" i="18"/>
  <c r="CB498" i="18"/>
  <c r="CA498" i="18"/>
  <c r="BZ498" i="18"/>
  <c r="BY498" i="18"/>
  <c r="BX498" i="18"/>
  <c r="BW498" i="18"/>
  <c r="BV498" i="18"/>
  <c r="BU498" i="18"/>
  <c r="BT498" i="18"/>
  <c r="BS498" i="18"/>
  <c r="BR498" i="18"/>
  <c r="BQ498" i="18"/>
  <c r="BP498" i="18"/>
  <c r="BO498" i="18"/>
  <c r="BN498" i="18"/>
  <c r="BM498" i="18"/>
  <c r="BL498" i="18"/>
  <c r="BK498" i="18"/>
  <c r="BJ498" i="18"/>
  <c r="BI498" i="18"/>
  <c r="BH498" i="18"/>
  <c r="BG498" i="18"/>
  <c r="BF498" i="18"/>
  <c r="BE498" i="18"/>
  <c r="BD498" i="18"/>
  <c r="BC498" i="18"/>
  <c r="BB498" i="18"/>
  <c r="BA498" i="18"/>
  <c r="AZ498" i="18"/>
  <c r="AY498" i="18"/>
  <c r="AX498" i="18"/>
  <c r="AW498" i="18"/>
  <c r="AV498" i="18"/>
  <c r="AU498" i="18"/>
  <c r="AT498" i="18"/>
  <c r="AS498" i="18"/>
  <c r="AR498" i="18"/>
  <c r="AQ498" i="18"/>
  <c r="AP498" i="18"/>
  <c r="AO498" i="18"/>
  <c r="AN498" i="18"/>
  <c r="AM498" i="18"/>
  <c r="AL498" i="18"/>
  <c r="AK498" i="18"/>
  <c r="AJ498" i="18"/>
  <c r="AI498" i="18"/>
  <c r="AH498" i="18"/>
  <c r="AG498" i="18"/>
  <c r="AF498" i="18"/>
  <c r="AE498" i="18"/>
  <c r="AD498" i="18"/>
  <c r="AC498" i="18"/>
  <c r="AB498" i="18"/>
  <c r="AA498" i="18"/>
  <c r="Z498" i="18"/>
  <c r="Y498" i="18"/>
  <c r="X498" i="18"/>
  <c r="W498" i="18"/>
  <c r="V498" i="18"/>
  <c r="U498" i="18"/>
  <c r="T498" i="18"/>
  <c r="S498" i="18"/>
  <c r="R498" i="18"/>
  <c r="Q498" i="18"/>
  <c r="P498" i="18"/>
  <c r="O498" i="18"/>
  <c r="N498" i="18"/>
  <c r="M498" i="18"/>
  <c r="L498" i="18"/>
  <c r="K498" i="18"/>
  <c r="J498" i="18"/>
  <c r="I498" i="18"/>
  <c r="H498" i="18"/>
  <c r="G498" i="18"/>
  <c r="F498" i="18"/>
  <c r="E498" i="18"/>
  <c r="D498" i="18"/>
  <c r="C498" i="18"/>
  <c r="B498" i="18"/>
  <c r="A498" i="18"/>
  <c r="CU497" i="18"/>
  <c r="CT497" i="18"/>
  <c r="CS497" i="18"/>
  <c r="CR497" i="18"/>
  <c r="CQ497" i="18"/>
  <c r="CP497" i="18"/>
  <c r="CO497" i="18"/>
  <c r="CN497" i="18"/>
  <c r="CM497" i="18"/>
  <c r="CL497" i="18"/>
  <c r="CK497" i="18"/>
  <c r="CJ497" i="18"/>
  <c r="CI497" i="18"/>
  <c r="CH497" i="18"/>
  <c r="CG497" i="18"/>
  <c r="CF497" i="18"/>
  <c r="CE497" i="18"/>
  <c r="CD497" i="18"/>
  <c r="CC497" i="18"/>
  <c r="CB497" i="18"/>
  <c r="CA497" i="18"/>
  <c r="BZ497" i="18"/>
  <c r="BY497" i="18"/>
  <c r="BX497" i="18"/>
  <c r="BW497" i="18"/>
  <c r="BV497" i="18"/>
  <c r="BU497" i="18"/>
  <c r="BT497" i="18"/>
  <c r="BS497" i="18"/>
  <c r="BR497" i="18"/>
  <c r="BQ497" i="18"/>
  <c r="BP497" i="18"/>
  <c r="BO497" i="18"/>
  <c r="BN497" i="18"/>
  <c r="BM497" i="18"/>
  <c r="BL497" i="18"/>
  <c r="BK497" i="18"/>
  <c r="BJ497" i="18"/>
  <c r="BI497" i="18"/>
  <c r="BH497" i="18"/>
  <c r="BG497" i="18"/>
  <c r="BF497" i="18"/>
  <c r="BE497" i="18"/>
  <c r="BD497" i="18"/>
  <c r="BC497" i="18"/>
  <c r="BB497" i="18"/>
  <c r="BA497" i="18"/>
  <c r="AZ497" i="18"/>
  <c r="AY497" i="18"/>
  <c r="AX497" i="18"/>
  <c r="AW497" i="18"/>
  <c r="AV497" i="18"/>
  <c r="AU497" i="18"/>
  <c r="AT497" i="18"/>
  <c r="AS497" i="18"/>
  <c r="AR497" i="18"/>
  <c r="AQ497" i="18"/>
  <c r="AP497" i="18"/>
  <c r="AO497" i="18"/>
  <c r="AN497" i="18"/>
  <c r="AM497" i="18"/>
  <c r="AL497" i="18"/>
  <c r="AK497" i="18"/>
  <c r="AJ497" i="18"/>
  <c r="AI497" i="18"/>
  <c r="AH497" i="18"/>
  <c r="AG497" i="18"/>
  <c r="AF497" i="18"/>
  <c r="AE497" i="18"/>
  <c r="AD497" i="18"/>
  <c r="AC497" i="18"/>
  <c r="AB497" i="18"/>
  <c r="AA497" i="18"/>
  <c r="Z497" i="18"/>
  <c r="Y497" i="18"/>
  <c r="X497" i="18"/>
  <c r="W497" i="18"/>
  <c r="V497" i="18"/>
  <c r="U497" i="18"/>
  <c r="T497" i="18"/>
  <c r="S497" i="18"/>
  <c r="R497" i="18"/>
  <c r="Q497" i="18"/>
  <c r="P497" i="18"/>
  <c r="O497" i="18"/>
  <c r="N497" i="18"/>
  <c r="M497" i="18"/>
  <c r="L497" i="18"/>
  <c r="K497" i="18"/>
  <c r="J497" i="18"/>
  <c r="I497" i="18"/>
  <c r="H497" i="18"/>
  <c r="G497" i="18"/>
  <c r="F497" i="18"/>
  <c r="E497" i="18"/>
  <c r="D497" i="18"/>
  <c r="C497" i="18"/>
  <c r="B497" i="18"/>
  <c r="A497" i="18"/>
  <c r="CU496" i="18"/>
  <c r="CT496" i="18"/>
  <c r="CS496" i="18"/>
  <c r="CR496" i="18"/>
  <c r="CQ496" i="18"/>
  <c r="CP496" i="18"/>
  <c r="CO496" i="18"/>
  <c r="CN496" i="18"/>
  <c r="CM496" i="18"/>
  <c r="CL496" i="18"/>
  <c r="CK496" i="18"/>
  <c r="CJ496" i="18"/>
  <c r="CI496" i="18"/>
  <c r="CH496" i="18"/>
  <c r="CG496" i="18"/>
  <c r="CF496" i="18"/>
  <c r="CE496" i="18"/>
  <c r="CD496" i="18"/>
  <c r="CC496" i="18"/>
  <c r="CB496" i="18"/>
  <c r="CA496" i="18"/>
  <c r="BZ496" i="18"/>
  <c r="BY496" i="18"/>
  <c r="BX496" i="18"/>
  <c r="BW496" i="18"/>
  <c r="BV496" i="18"/>
  <c r="BU496" i="18"/>
  <c r="BT496" i="18"/>
  <c r="BS496" i="18"/>
  <c r="BR496" i="18"/>
  <c r="BQ496" i="18"/>
  <c r="BP496" i="18"/>
  <c r="BO496" i="18"/>
  <c r="BN496" i="18"/>
  <c r="BM496" i="18"/>
  <c r="BL496" i="18"/>
  <c r="BK496" i="18"/>
  <c r="BJ496" i="18"/>
  <c r="BI496" i="18"/>
  <c r="BH496" i="18"/>
  <c r="BG496" i="18"/>
  <c r="BF496" i="18"/>
  <c r="BE496" i="18"/>
  <c r="BD496" i="18"/>
  <c r="BC496" i="18"/>
  <c r="BB496" i="18"/>
  <c r="BA496" i="18"/>
  <c r="AZ496" i="18"/>
  <c r="AY496" i="18"/>
  <c r="AX496" i="18"/>
  <c r="AW496" i="18"/>
  <c r="AV496" i="18"/>
  <c r="AU496" i="18"/>
  <c r="AT496" i="18"/>
  <c r="AS496" i="18"/>
  <c r="AR496" i="18"/>
  <c r="AQ496" i="18"/>
  <c r="AP496" i="18"/>
  <c r="AO496" i="18"/>
  <c r="AN496" i="18"/>
  <c r="AM496" i="18"/>
  <c r="AL496" i="18"/>
  <c r="AK496" i="18"/>
  <c r="AJ496" i="18"/>
  <c r="AI496" i="18"/>
  <c r="AH496" i="18"/>
  <c r="AG496" i="18"/>
  <c r="AF496" i="18"/>
  <c r="AE496" i="18"/>
  <c r="AD496" i="18"/>
  <c r="AC496" i="18"/>
  <c r="AB496" i="18"/>
  <c r="AA496" i="18"/>
  <c r="Z496" i="18"/>
  <c r="Y496" i="18"/>
  <c r="X496" i="18"/>
  <c r="W496" i="18"/>
  <c r="V496" i="18"/>
  <c r="U496" i="18"/>
  <c r="T496" i="18"/>
  <c r="S496" i="18"/>
  <c r="R496" i="18"/>
  <c r="Q496" i="18"/>
  <c r="P496" i="18"/>
  <c r="O496" i="18"/>
  <c r="N496" i="18"/>
  <c r="M496" i="18"/>
  <c r="L496" i="18"/>
  <c r="K496" i="18"/>
  <c r="J496" i="18"/>
  <c r="I496" i="18"/>
  <c r="H496" i="18"/>
  <c r="G496" i="18"/>
  <c r="F496" i="18"/>
  <c r="E496" i="18"/>
  <c r="D496" i="18"/>
  <c r="C496" i="18"/>
  <c r="B496" i="18"/>
  <c r="A496" i="18"/>
  <c r="CU495" i="18"/>
  <c r="CT495" i="18"/>
  <c r="CS495" i="18"/>
  <c r="CR495" i="18"/>
  <c r="CQ495" i="18"/>
  <c r="CP495" i="18"/>
  <c r="CO495" i="18"/>
  <c r="CN495" i="18"/>
  <c r="CM495" i="18"/>
  <c r="CL495" i="18"/>
  <c r="CK495" i="18"/>
  <c r="CJ495" i="18"/>
  <c r="CI495" i="18"/>
  <c r="CH495" i="18"/>
  <c r="CG495" i="18"/>
  <c r="CF495" i="18"/>
  <c r="CE495" i="18"/>
  <c r="CD495" i="18"/>
  <c r="CC495" i="18"/>
  <c r="CB495" i="18"/>
  <c r="CA495" i="18"/>
  <c r="BZ495" i="18"/>
  <c r="BY495" i="18"/>
  <c r="BX495" i="18"/>
  <c r="BW495" i="18"/>
  <c r="BV495" i="18"/>
  <c r="BU495" i="18"/>
  <c r="BT495" i="18"/>
  <c r="BS495" i="18"/>
  <c r="BR495" i="18"/>
  <c r="BQ495" i="18"/>
  <c r="BP495" i="18"/>
  <c r="BO495" i="18"/>
  <c r="BN495" i="18"/>
  <c r="BM495" i="18"/>
  <c r="BL495" i="18"/>
  <c r="BK495" i="18"/>
  <c r="BJ495" i="18"/>
  <c r="BI495" i="18"/>
  <c r="BH495" i="18"/>
  <c r="BG495" i="18"/>
  <c r="BF495" i="18"/>
  <c r="BE495" i="18"/>
  <c r="BD495" i="18"/>
  <c r="BC495" i="18"/>
  <c r="BB495" i="18"/>
  <c r="BA495" i="18"/>
  <c r="AZ495" i="18"/>
  <c r="AY495" i="18"/>
  <c r="AX495" i="18"/>
  <c r="AW495" i="18"/>
  <c r="AV495" i="18"/>
  <c r="AU495" i="18"/>
  <c r="AT495" i="18"/>
  <c r="AS495" i="18"/>
  <c r="AR495" i="18"/>
  <c r="AQ495" i="18"/>
  <c r="AP495" i="18"/>
  <c r="AO495" i="18"/>
  <c r="AN495" i="18"/>
  <c r="AM495" i="18"/>
  <c r="AL495" i="18"/>
  <c r="AK495" i="18"/>
  <c r="AJ495" i="18"/>
  <c r="AI495" i="18"/>
  <c r="AH495" i="18"/>
  <c r="AG495" i="18"/>
  <c r="AF495" i="18"/>
  <c r="AE495" i="18"/>
  <c r="AD495" i="18"/>
  <c r="AC495" i="18"/>
  <c r="AB495" i="18"/>
  <c r="AA495" i="18"/>
  <c r="Z495" i="18"/>
  <c r="Y495" i="18"/>
  <c r="X495" i="18"/>
  <c r="W495" i="18"/>
  <c r="V495" i="18"/>
  <c r="U495" i="18"/>
  <c r="T495" i="18"/>
  <c r="S495" i="18"/>
  <c r="R495" i="18"/>
  <c r="Q495" i="18"/>
  <c r="P495" i="18"/>
  <c r="O495" i="18"/>
  <c r="N495" i="18"/>
  <c r="M495" i="18"/>
  <c r="L495" i="18"/>
  <c r="K495" i="18"/>
  <c r="J495" i="18"/>
  <c r="I495" i="18"/>
  <c r="H495" i="18"/>
  <c r="G495" i="18"/>
  <c r="F495" i="18"/>
  <c r="E495" i="18"/>
  <c r="D495" i="18"/>
  <c r="C495" i="18"/>
  <c r="B495" i="18"/>
  <c r="A495" i="18"/>
  <c r="CU494" i="18"/>
  <c r="CT494" i="18"/>
  <c r="CS494" i="18"/>
  <c r="CR494" i="18"/>
  <c r="CQ494" i="18"/>
  <c r="CP494" i="18"/>
  <c r="CO494" i="18"/>
  <c r="CN494" i="18"/>
  <c r="CM494" i="18"/>
  <c r="CL494" i="18"/>
  <c r="CK494" i="18"/>
  <c r="CJ494" i="18"/>
  <c r="CI494" i="18"/>
  <c r="CH494" i="18"/>
  <c r="CG494" i="18"/>
  <c r="CF494" i="18"/>
  <c r="CE494" i="18"/>
  <c r="CD494" i="18"/>
  <c r="CC494" i="18"/>
  <c r="CB494" i="18"/>
  <c r="CA494" i="18"/>
  <c r="BZ494" i="18"/>
  <c r="BY494" i="18"/>
  <c r="BX494" i="18"/>
  <c r="BW494" i="18"/>
  <c r="BV494" i="18"/>
  <c r="BU494" i="18"/>
  <c r="BT494" i="18"/>
  <c r="BS494" i="18"/>
  <c r="BR494" i="18"/>
  <c r="BQ494" i="18"/>
  <c r="BP494" i="18"/>
  <c r="BO494" i="18"/>
  <c r="BN494" i="18"/>
  <c r="BM494" i="18"/>
  <c r="BL494" i="18"/>
  <c r="BK494" i="18"/>
  <c r="BJ494" i="18"/>
  <c r="BI494" i="18"/>
  <c r="BH494" i="18"/>
  <c r="BG494" i="18"/>
  <c r="BF494" i="18"/>
  <c r="BE494" i="18"/>
  <c r="BD494" i="18"/>
  <c r="BC494" i="18"/>
  <c r="BB494" i="18"/>
  <c r="BA494" i="18"/>
  <c r="AZ494" i="18"/>
  <c r="AY494" i="18"/>
  <c r="AX494" i="18"/>
  <c r="AW494" i="18"/>
  <c r="AV494" i="18"/>
  <c r="AU494" i="18"/>
  <c r="AT494" i="18"/>
  <c r="AS494" i="18"/>
  <c r="AR494" i="18"/>
  <c r="AQ494" i="18"/>
  <c r="AP494" i="18"/>
  <c r="AO494" i="18"/>
  <c r="AN494" i="18"/>
  <c r="AM494" i="18"/>
  <c r="AL494" i="18"/>
  <c r="AK494" i="18"/>
  <c r="AJ494" i="18"/>
  <c r="AI494" i="18"/>
  <c r="AH494" i="18"/>
  <c r="AG494" i="18"/>
  <c r="AF494" i="18"/>
  <c r="AE494" i="18"/>
  <c r="AD494" i="18"/>
  <c r="AC494" i="18"/>
  <c r="AB494" i="18"/>
  <c r="AA494" i="18"/>
  <c r="Z494" i="18"/>
  <c r="Y494" i="18"/>
  <c r="X494" i="18"/>
  <c r="W494" i="18"/>
  <c r="V494" i="18"/>
  <c r="U494" i="18"/>
  <c r="T494" i="18"/>
  <c r="S494" i="18"/>
  <c r="R494" i="18"/>
  <c r="Q494" i="18"/>
  <c r="P494" i="18"/>
  <c r="O494" i="18"/>
  <c r="N494" i="18"/>
  <c r="M494" i="18"/>
  <c r="L494" i="18"/>
  <c r="K494" i="18"/>
  <c r="J494" i="18"/>
  <c r="I494" i="18"/>
  <c r="H494" i="18"/>
  <c r="G494" i="18"/>
  <c r="F494" i="18"/>
  <c r="E494" i="18"/>
  <c r="D494" i="18"/>
  <c r="C494" i="18"/>
  <c r="B494" i="18"/>
  <c r="A494" i="18"/>
  <c r="CU493" i="18"/>
  <c r="CT493" i="18"/>
  <c r="CS493" i="18"/>
  <c r="CR493" i="18"/>
  <c r="CQ493" i="18"/>
  <c r="CP493" i="18"/>
  <c r="CO493" i="18"/>
  <c r="CN493" i="18"/>
  <c r="CM493" i="18"/>
  <c r="CL493" i="18"/>
  <c r="CK493" i="18"/>
  <c r="CJ493" i="18"/>
  <c r="CI493" i="18"/>
  <c r="CH493" i="18"/>
  <c r="CG493" i="18"/>
  <c r="CF493" i="18"/>
  <c r="CE493" i="18"/>
  <c r="CD493" i="18"/>
  <c r="CC493" i="18"/>
  <c r="CB493" i="18"/>
  <c r="CA493" i="18"/>
  <c r="BZ493" i="18"/>
  <c r="BY493" i="18"/>
  <c r="BX493" i="18"/>
  <c r="BW493" i="18"/>
  <c r="BV493" i="18"/>
  <c r="BU493" i="18"/>
  <c r="BT493" i="18"/>
  <c r="BS493" i="18"/>
  <c r="BR493" i="18"/>
  <c r="BQ493" i="18"/>
  <c r="BP493" i="18"/>
  <c r="BO493" i="18"/>
  <c r="BN493" i="18"/>
  <c r="BM493" i="18"/>
  <c r="BL493" i="18"/>
  <c r="BK493" i="18"/>
  <c r="BJ493" i="18"/>
  <c r="BI493" i="18"/>
  <c r="BH493" i="18"/>
  <c r="BG493" i="18"/>
  <c r="BF493" i="18"/>
  <c r="BE493" i="18"/>
  <c r="BD493" i="18"/>
  <c r="BC493" i="18"/>
  <c r="BB493" i="18"/>
  <c r="BA493" i="18"/>
  <c r="AZ493" i="18"/>
  <c r="AY493" i="18"/>
  <c r="AX493" i="18"/>
  <c r="AW493" i="18"/>
  <c r="AV493" i="18"/>
  <c r="AU493" i="18"/>
  <c r="AT493" i="18"/>
  <c r="AS493" i="18"/>
  <c r="AR493" i="18"/>
  <c r="AQ493" i="18"/>
  <c r="AP493" i="18"/>
  <c r="AO493" i="18"/>
  <c r="AN493" i="18"/>
  <c r="AM493" i="18"/>
  <c r="AL493" i="18"/>
  <c r="AK493" i="18"/>
  <c r="AJ493" i="18"/>
  <c r="AI493" i="18"/>
  <c r="AH493" i="18"/>
  <c r="AG493" i="18"/>
  <c r="AF493" i="18"/>
  <c r="AE493" i="18"/>
  <c r="AD493" i="18"/>
  <c r="AC493" i="18"/>
  <c r="AB493" i="18"/>
  <c r="AA493" i="18"/>
  <c r="Z493" i="18"/>
  <c r="Y493" i="18"/>
  <c r="X493" i="18"/>
  <c r="W493" i="18"/>
  <c r="V493" i="18"/>
  <c r="U493" i="18"/>
  <c r="T493" i="18"/>
  <c r="S493" i="18"/>
  <c r="R493" i="18"/>
  <c r="Q493" i="18"/>
  <c r="P493" i="18"/>
  <c r="O493" i="18"/>
  <c r="N493" i="18"/>
  <c r="M493" i="18"/>
  <c r="L493" i="18"/>
  <c r="K493" i="18"/>
  <c r="J493" i="18"/>
  <c r="I493" i="18"/>
  <c r="H493" i="18"/>
  <c r="G493" i="18"/>
  <c r="F493" i="18"/>
  <c r="E493" i="18"/>
  <c r="D493" i="18"/>
  <c r="C493" i="18"/>
  <c r="B493" i="18"/>
  <c r="A493" i="18"/>
  <c r="CU492" i="18"/>
  <c r="CT492" i="18"/>
  <c r="CS492" i="18"/>
  <c r="CR492" i="18"/>
  <c r="CQ492" i="18"/>
  <c r="CP492" i="18"/>
  <c r="CO492" i="18"/>
  <c r="CN492" i="18"/>
  <c r="CM492" i="18"/>
  <c r="CL492" i="18"/>
  <c r="CK492" i="18"/>
  <c r="CJ492" i="18"/>
  <c r="CI492" i="18"/>
  <c r="CH492" i="18"/>
  <c r="CG492" i="18"/>
  <c r="CF492" i="18"/>
  <c r="CE492" i="18"/>
  <c r="CD492" i="18"/>
  <c r="CC492" i="18"/>
  <c r="CB492" i="18"/>
  <c r="CA492" i="18"/>
  <c r="BZ492" i="18"/>
  <c r="BY492" i="18"/>
  <c r="BX492" i="18"/>
  <c r="BW492" i="18"/>
  <c r="BV492" i="18"/>
  <c r="BU492" i="18"/>
  <c r="BT492" i="18"/>
  <c r="BS492" i="18"/>
  <c r="BR492" i="18"/>
  <c r="BQ492" i="18"/>
  <c r="BP492" i="18"/>
  <c r="BO492" i="18"/>
  <c r="BN492" i="18"/>
  <c r="BM492" i="18"/>
  <c r="BL492" i="18"/>
  <c r="BK492" i="18"/>
  <c r="BJ492" i="18"/>
  <c r="BI492" i="18"/>
  <c r="BH492" i="18"/>
  <c r="BG492" i="18"/>
  <c r="BF492" i="18"/>
  <c r="BE492" i="18"/>
  <c r="BD492" i="18"/>
  <c r="BC492" i="18"/>
  <c r="BB492" i="18"/>
  <c r="BA492" i="18"/>
  <c r="AZ492" i="18"/>
  <c r="AY492" i="18"/>
  <c r="AX492" i="18"/>
  <c r="AW492" i="18"/>
  <c r="AV492" i="18"/>
  <c r="AU492" i="18"/>
  <c r="AT492" i="18"/>
  <c r="AS492" i="18"/>
  <c r="AR492" i="18"/>
  <c r="AQ492" i="18"/>
  <c r="AP492" i="18"/>
  <c r="AO492" i="18"/>
  <c r="AN492" i="18"/>
  <c r="AM492" i="18"/>
  <c r="AL492" i="18"/>
  <c r="AK492" i="18"/>
  <c r="AJ492" i="18"/>
  <c r="AI492" i="18"/>
  <c r="AH492" i="18"/>
  <c r="AG492" i="18"/>
  <c r="AF492" i="18"/>
  <c r="AE492" i="18"/>
  <c r="AD492" i="18"/>
  <c r="AC492" i="18"/>
  <c r="AB492" i="18"/>
  <c r="AA492" i="18"/>
  <c r="Z492" i="18"/>
  <c r="Y492" i="18"/>
  <c r="X492" i="18"/>
  <c r="W492" i="18"/>
  <c r="V492" i="18"/>
  <c r="U492" i="18"/>
  <c r="T492" i="18"/>
  <c r="S492" i="18"/>
  <c r="R492" i="18"/>
  <c r="Q492" i="18"/>
  <c r="P492" i="18"/>
  <c r="O492" i="18"/>
  <c r="N492" i="18"/>
  <c r="M492" i="18"/>
  <c r="L492" i="18"/>
  <c r="K492" i="18"/>
  <c r="J492" i="18"/>
  <c r="I492" i="18"/>
  <c r="H492" i="18"/>
  <c r="G492" i="18"/>
  <c r="F492" i="18"/>
  <c r="E492" i="18"/>
  <c r="D492" i="18"/>
  <c r="C492" i="18"/>
  <c r="B492" i="18"/>
  <c r="A492" i="18"/>
  <c r="CU491" i="18"/>
  <c r="CT491" i="18"/>
  <c r="CS491" i="18"/>
  <c r="CR491" i="18"/>
  <c r="CQ491" i="18"/>
  <c r="CP491" i="18"/>
  <c r="CO491" i="18"/>
  <c r="CN491" i="18"/>
  <c r="CM491" i="18"/>
  <c r="CL491" i="18"/>
  <c r="CK491" i="18"/>
  <c r="CJ491" i="18"/>
  <c r="CI491" i="18"/>
  <c r="CH491" i="18"/>
  <c r="CG491" i="18"/>
  <c r="CF491" i="18"/>
  <c r="CE491" i="18"/>
  <c r="CD491" i="18"/>
  <c r="CC491" i="18"/>
  <c r="CB491" i="18"/>
  <c r="CA491" i="18"/>
  <c r="BZ491" i="18"/>
  <c r="BY491" i="18"/>
  <c r="BX491" i="18"/>
  <c r="BW491" i="18"/>
  <c r="BV491" i="18"/>
  <c r="BU491" i="18"/>
  <c r="BT491" i="18"/>
  <c r="BS491" i="18"/>
  <c r="BR491" i="18"/>
  <c r="BQ491" i="18"/>
  <c r="BP491" i="18"/>
  <c r="BO491" i="18"/>
  <c r="BN491" i="18"/>
  <c r="BM491" i="18"/>
  <c r="BL491" i="18"/>
  <c r="BK491" i="18"/>
  <c r="BJ491" i="18"/>
  <c r="BI491" i="18"/>
  <c r="BH491" i="18"/>
  <c r="BG491" i="18"/>
  <c r="BF491" i="18"/>
  <c r="BE491" i="18"/>
  <c r="BD491" i="18"/>
  <c r="BC491" i="18"/>
  <c r="BB491" i="18"/>
  <c r="BA491" i="18"/>
  <c r="AZ491" i="18"/>
  <c r="AY491" i="18"/>
  <c r="AX491" i="18"/>
  <c r="AW491" i="18"/>
  <c r="AV491" i="18"/>
  <c r="AU491" i="18"/>
  <c r="AT491" i="18"/>
  <c r="AS491" i="18"/>
  <c r="AR491" i="18"/>
  <c r="AQ491" i="18"/>
  <c r="AP491" i="18"/>
  <c r="AO491" i="18"/>
  <c r="AN491" i="18"/>
  <c r="AM491" i="18"/>
  <c r="AL491" i="18"/>
  <c r="AK491" i="18"/>
  <c r="AJ491" i="18"/>
  <c r="AI491" i="18"/>
  <c r="AH491" i="18"/>
  <c r="AG491" i="18"/>
  <c r="AF491" i="18"/>
  <c r="AE491" i="18"/>
  <c r="AD491" i="18"/>
  <c r="AC491" i="18"/>
  <c r="AB491" i="18"/>
  <c r="AA491" i="18"/>
  <c r="Z491" i="18"/>
  <c r="Y491" i="18"/>
  <c r="X491" i="18"/>
  <c r="W491" i="18"/>
  <c r="V491" i="18"/>
  <c r="U491" i="18"/>
  <c r="T491" i="18"/>
  <c r="S491" i="18"/>
  <c r="R491" i="18"/>
  <c r="Q491" i="18"/>
  <c r="P491" i="18"/>
  <c r="O491" i="18"/>
  <c r="N491" i="18"/>
  <c r="M491" i="18"/>
  <c r="L491" i="18"/>
  <c r="K491" i="18"/>
  <c r="J491" i="18"/>
  <c r="I491" i="18"/>
  <c r="H491" i="18"/>
  <c r="G491" i="18"/>
  <c r="F491" i="18"/>
  <c r="E491" i="18"/>
  <c r="D491" i="18"/>
  <c r="C491" i="18"/>
  <c r="B491" i="18"/>
  <c r="A491" i="18"/>
  <c r="CU490" i="18"/>
  <c r="CT490" i="18"/>
  <c r="CS490" i="18"/>
  <c r="CR490" i="18"/>
  <c r="CQ490" i="18"/>
  <c r="CP490" i="18"/>
  <c r="CO490" i="18"/>
  <c r="CN490" i="18"/>
  <c r="CM490" i="18"/>
  <c r="CL490" i="18"/>
  <c r="CK490" i="18"/>
  <c r="CJ490" i="18"/>
  <c r="CI490" i="18"/>
  <c r="CH490" i="18"/>
  <c r="CG490" i="18"/>
  <c r="CF490" i="18"/>
  <c r="CE490" i="18"/>
  <c r="CD490" i="18"/>
  <c r="CC490" i="18"/>
  <c r="CB490" i="18"/>
  <c r="CA490" i="18"/>
  <c r="BZ490" i="18"/>
  <c r="BY490" i="18"/>
  <c r="BX490" i="18"/>
  <c r="BW490" i="18"/>
  <c r="BV490" i="18"/>
  <c r="BU490" i="18"/>
  <c r="BT490" i="18"/>
  <c r="BS490" i="18"/>
  <c r="BR490" i="18"/>
  <c r="BQ490" i="18"/>
  <c r="BP490" i="18"/>
  <c r="BO490" i="18"/>
  <c r="BN490" i="18"/>
  <c r="BM490" i="18"/>
  <c r="BL490" i="18"/>
  <c r="BK490" i="18"/>
  <c r="BJ490" i="18"/>
  <c r="BI490" i="18"/>
  <c r="BH490" i="18"/>
  <c r="BG490" i="18"/>
  <c r="BF490" i="18"/>
  <c r="BE490" i="18"/>
  <c r="BD490" i="18"/>
  <c r="BC490" i="18"/>
  <c r="BB490" i="18"/>
  <c r="BA490" i="18"/>
  <c r="AZ490" i="18"/>
  <c r="AY490" i="18"/>
  <c r="AX490" i="18"/>
  <c r="AW490" i="18"/>
  <c r="AV490" i="18"/>
  <c r="AU490" i="18"/>
  <c r="AT490" i="18"/>
  <c r="AS490" i="18"/>
  <c r="AR490" i="18"/>
  <c r="AQ490" i="18"/>
  <c r="AP490" i="18"/>
  <c r="AO490" i="18"/>
  <c r="AN490" i="18"/>
  <c r="AM490" i="18"/>
  <c r="AL490" i="18"/>
  <c r="AK490" i="18"/>
  <c r="AJ490" i="18"/>
  <c r="AI490" i="18"/>
  <c r="AH490" i="18"/>
  <c r="AG490" i="18"/>
  <c r="AF490" i="18"/>
  <c r="AE490" i="18"/>
  <c r="AD490" i="18"/>
  <c r="AC490" i="18"/>
  <c r="AB490" i="18"/>
  <c r="AA490" i="18"/>
  <c r="Z490" i="18"/>
  <c r="Y490" i="18"/>
  <c r="X490" i="18"/>
  <c r="W490" i="18"/>
  <c r="V490" i="18"/>
  <c r="U490" i="18"/>
  <c r="T490" i="18"/>
  <c r="S490" i="18"/>
  <c r="R490" i="18"/>
  <c r="Q490" i="18"/>
  <c r="P490" i="18"/>
  <c r="O490" i="18"/>
  <c r="N490" i="18"/>
  <c r="M490" i="18"/>
  <c r="L490" i="18"/>
  <c r="K490" i="18"/>
  <c r="J490" i="18"/>
  <c r="I490" i="18"/>
  <c r="H490" i="18"/>
  <c r="G490" i="18"/>
  <c r="F490" i="18"/>
  <c r="E490" i="18"/>
  <c r="D490" i="18"/>
  <c r="C490" i="18"/>
  <c r="B490" i="18"/>
  <c r="A490" i="18"/>
  <c r="CU489" i="18"/>
  <c r="CT489" i="18"/>
  <c r="CS489" i="18"/>
  <c r="CR489" i="18"/>
  <c r="CP489" i="18"/>
  <c r="CO489" i="18"/>
  <c r="CN489" i="18"/>
  <c r="CM489" i="18"/>
  <c r="CL489" i="18"/>
  <c r="CK489" i="18"/>
  <c r="CJ489" i="18"/>
  <c r="CI489" i="18"/>
  <c r="CH489" i="18"/>
  <c r="CG489" i="18"/>
  <c r="CF489" i="18"/>
  <c r="CE489" i="18"/>
  <c r="CD489" i="18"/>
  <c r="CC489" i="18"/>
  <c r="CB489" i="18"/>
  <c r="CA489" i="18"/>
  <c r="BZ489" i="18"/>
  <c r="BY489" i="18"/>
  <c r="BT489" i="18"/>
  <c r="BS489" i="18"/>
  <c r="BR489" i="18"/>
  <c r="BQ489" i="18"/>
  <c r="BP489" i="18"/>
  <c r="BO489" i="18"/>
  <c r="BN489" i="18"/>
  <c r="BM489" i="18"/>
  <c r="BL489" i="18"/>
  <c r="BK489" i="18"/>
  <c r="BJ489" i="18"/>
  <c r="BI489" i="18"/>
  <c r="BH489" i="18"/>
  <c r="BG489" i="18"/>
  <c r="BF489" i="18"/>
  <c r="BE489" i="18"/>
  <c r="BD489" i="18"/>
  <c r="BC489" i="18"/>
  <c r="BB489" i="18"/>
  <c r="BA489" i="18"/>
  <c r="AZ489" i="18"/>
  <c r="AY489" i="18"/>
  <c r="AX489" i="18"/>
  <c r="AW489" i="18"/>
  <c r="AV489" i="18"/>
  <c r="AU489" i="18"/>
  <c r="AT489" i="18"/>
  <c r="AS489" i="18"/>
  <c r="AR489" i="18"/>
  <c r="AQ489" i="18"/>
  <c r="AP489" i="18"/>
  <c r="AO489" i="18"/>
  <c r="AN489" i="18"/>
  <c r="AM489" i="18"/>
  <c r="AL489" i="18"/>
  <c r="AK489" i="18"/>
  <c r="AJ489" i="18"/>
  <c r="AI489" i="18"/>
  <c r="AH489" i="18"/>
  <c r="AG489" i="18"/>
  <c r="AF489" i="18"/>
  <c r="AE489" i="18"/>
  <c r="AD489" i="18"/>
  <c r="AC489" i="18"/>
  <c r="AB489" i="18"/>
  <c r="AA489" i="18"/>
  <c r="Z489" i="18"/>
  <c r="Y489" i="18"/>
  <c r="X489" i="18"/>
  <c r="W489" i="18"/>
  <c r="V489" i="18"/>
  <c r="U489" i="18"/>
  <c r="T489" i="18"/>
  <c r="S489" i="18"/>
  <c r="R489" i="18"/>
  <c r="Q489" i="18"/>
  <c r="P489" i="18"/>
  <c r="O489" i="18"/>
  <c r="N489" i="18"/>
  <c r="M489" i="18"/>
  <c r="L489" i="18"/>
  <c r="K489" i="18"/>
  <c r="J489" i="18"/>
  <c r="I489" i="18"/>
  <c r="H489" i="18"/>
  <c r="G489" i="18"/>
  <c r="F489" i="18"/>
  <c r="E489" i="18"/>
  <c r="D489" i="18"/>
  <c r="C489" i="18"/>
  <c r="B489" i="18"/>
  <c r="A489" i="18"/>
  <c r="CU488" i="18"/>
  <c r="CT488" i="18"/>
  <c r="CS488" i="18"/>
  <c r="CR488" i="18"/>
  <c r="CP488" i="18"/>
  <c r="CO488" i="18"/>
  <c r="CN488" i="18"/>
  <c r="CM488" i="18"/>
  <c r="CL488" i="18"/>
  <c r="CK488" i="18"/>
  <c r="CJ488" i="18"/>
  <c r="CI488" i="18"/>
  <c r="CH488" i="18"/>
  <c r="CG488" i="18"/>
  <c r="CF488" i="18"/>
  <c r="CE488" i="18"/>
  <c r="CD488" i="18"/>
  <c r="CC488" i="18"/>
  <c r="CB488" i="18"/>
  <c r="CA488" i="18"/>
  <c r="BZ488" i="18"/>
  <c r="BY488" i="18"/>
  <c r="BT488" i="18"/>
  <c r="BS488" i="18"/>
  <c r="BR488" i="18"/>
  <c r="BQ488" i="18"/>
  <c r="BP488" i="18"/>
  <c r="BO488" i="18"/>
  <c r="BN488" i="18"/>
  <c r="BM488" i="18"/>
  <c r="BL488" i="18"/>
  <c r="BK488" i="18"/>
  <c r="BJ488" i="18"/>
  <c r="BI488" i="18"/>
  <c r="BH488" i="18"/>
  <c r="BG488" i="18"/>
  <c r="BF488" i="18"/>
  <c r="BE488" i="18"/>
  <c r="BD488" i="18"/>
  <c r="BC488" i="18"/>
  <c r="BB488" i="18"/>
  <c r="BA488" i="18"/>
  <c r="AZ488" i="18"/>
  <c r="AY488" i="18"/>
  <c r="AX488" i="18"/>
  <c r="AW488" i="18"/>
  <c r="AV488" i="18"/>
  <c r="AU488" i="18"/>
  <c r="AT488" i="18"/>
  <c r="AS488" i="18"/>
  <c r="AR488" i="18"/>
  <c r="AQ488" i="18"/>
  <c r="AP488" i="18"/>
  <c r="AO488" i="18"/>
  <c r="AN488" i="18"/>
  <c r="AM488" i="18"/>
  <c r="AL488" i="18"/>
  <c r="AK488" i="18"/>
  <c r="AJ488" i="18"/>
  <c r="AI488" i="18"/>
  <c r="AH488" i="18"/>
  <c r="AG488" i="18"/>
  <c r="AF488" i="18"/>
  <c r="AE488" i="18"/>
  <c r="AD488" i="18"/>
  <c r="AC488" i="18"/>
  <c r="AB488" i="18"/>
  <c r="AA488" i="18"/>
  <c r="Z488" i="18"/>
  <c r="Y488" i="18"/>
  <c r="X488" i="18"/>
  <c r="W488" i="18"/>
  <c r="V488" i="18"/>
  <c r="U488" i="18"/>
  <c r="T488" i="18"/>
  <c r="S488" i="18"/>
  <c r="R488" i="18"/>
  <c r="Q488" i="18"/>
  <c r="P488" i="18"/>
  <c r="O488" i="18"/>
  <c r="N488" i="18"/>
  <c r="M488" i="18"/>
  <c r="L488" i="18"/>
  <c r="K488" i="18"/>
  <c r="J488" i="18"/>
  <c r="I488" i="18"/>
  <c r="H488" i="18"/>
  <c r="G488" i="18"/>
  <c r="F488" i="18"/>
  <c r="E488" i="18"/>
  <c r="D488" i="18"/>
  <c r="C488" i="18"/>
  <c r="B488" i="18"/>
  <c r="A488" i="18"/>
  <c r="CU487" i="18"/>
  <c r="CT487" i="18"/>
  <c r="CS487" i="18"/>
  <c r="CR487" i="18"/>
  <c r="CQ487" i="18"/>
  <c r="CP487" i="18"/>
  <c r="CO487" i="18"/>
  <c r="CN487" i="18"/>
  <c r="CM487" i="18"/>
  <c r="CL487" i="18"/>
  <c r="CK487" i="18"/>
  <c r="CJ487" i="18"/>
  <c r="CI487" i="18"/>
  <c r="CH487" i="18"/>
  <c r="CG487" i="18"/>
  <c r="CF487" i="18"/>
  <c r="CE487" i="18"/>
  <c r="CD487" i="18"/>
  <c r="CC487" i="18"/>
  <c r="CB487" i="18"/>
  <c r="CA487" i="18"/>
  <c r="BZ487" i="18"/>
  <c r="BY487" i="18"/>
  <c r="BX487" i="18"/>
  <c r="BW487" i="18"/>
  <c r="BV487" i="18"/>
  <c r="BU487" i="18"/>
  <c r="BT487" i="18"/>
  <c r="BS487" i="18"/>
  <c r="BR487" i="18"/>
  <c r="BQ487" i="18"/>
  <c r="BP487" i="18"/>
  <c r="BO487" i="18"/>
  <c r="BN487" i="18"/>
  <c r="BM487" i="18"/>
  <c r="BL487" i="18"/>
  <c r="BK487" i="18"/>
  <c r="BJ487" i="18"/>
  <c r="BI487" i="18"/>
  <c r="BH487" i="18"/>
  <c r="BG487" i="18"/>
  <c r="BF487" i="18"/>
  <c r="BE487" i="18"/>
  <c r="BD487" i="18"/>
  <c r="BC487" i="18"/>
  <c r="BB487" i="18"/>
  <c r="BA487" i="18"/>
  <c r="AZ487" i="18"/>
  <c r="AY487" i="18"/>
  <c r="AX487" i="18"/>
  <c r="AW487" i="18"/>
  <c r="AV487" i="18"/>
  <c r="AU487" i="18"/>
  <c r="AT487" i="18"/>
  <c r="AS487" i="18"/>
  <c r="AR487" i="18"/>
  <c r="AQ487" i="18"/>
  <c r="AP487" i="18"/>
  <c r="AO487" i="18"/>
  <c r="AN487" i="18"/>
  <c r="AM487" i="18"/>
  <c r="AL487" i="18"/>
  <c r="AK487" i="18"/>
  <c r="AJ487" i="18"/>
  <c r="AI487" i="18"/>
  <c r="AH487" i="18"/>
  <c r="AG487" i="18"/>
  <c r="AF487" i="18"/>
  <c r="AE487" i="18"/>
  <c r="AD487" i="18"/>
  <c r="AC487" i="18"/>
  <c r="AB487" i="18"/>
  <c r="AA487" i="18"/>
  <c r="Z487" i="18"/>
  <c r="Y487" i="18"/>
  <c r="X487" i="18"/>
  <c r="W487" i="18"/>
  <c r="V487" i="18"/>
  <c r="U487" i="18"/>
  <c r="T487" i="18"/>
  <c r="S487" i="18"/>
  <c r="R487" i="18"/>
  <c r="Q487" i="18"/>
  <c r="P487" i="18"/>
  <c r="O487" i="18"/>
  <c r="N487" i="18"/>
  <c r="M487" i="18"/>
  <c r="L487" i="18"/>
  <c r="K487" i="18"/>
  <c r="J487" i="18"/>
  <c r="I487" i="18"/>
  <c r="H487" i="18"/>
  <c r="G487" i="18"/>
  <c r="F487" i="18"/>
  <c r="E487" i="18"/>
  <c r="D487" i="18"/>
  <c r="C487" i="18"/>
  <c r="B487" i="18"/>
  <c r="A487" i="18"/>
  <c r="CU486" i="18"/>
  <c r="CT486" i="18"/>
  <c r="CS486" i="18"/>
  <c r="CR486" i="18"/>
  <c r="CP486" i="18"/>
  <c r="CO486" i="18"/>
  <c r="CN486" i="18"/>
  <c r="CM486" i="18"/>
  <c r="CL486" i="18"/>
  <c r="CK486" i="18"/>
  <c r="CJ486" i="18"/>
  <c r="CI486" i="18"/>
  <c r="CH486" i="18"/>
  <c r="CG486" i="18"/>
  <c r="CF486" i="18"/>
  <c r="CE486" i="18"/>
  <c r="CD486" i="18"/>
  <c r="CC486" i="18"/>
  <c r="CB486" i="18"/>
  <c r="CA486" i="18"/>
  <c r="BZ486" i="18"/>
  <c r="BY486" i="18"/>
  <c r="BT486" i="18"/>
  <c r="BS486" i="18"/>
  <c r="BR486" i="18"/>
  <c r="BQ486" i="18"/>
  <c r="BP486" i="18"/>
  <c r="BO486" i="18"/>
  <c r="BN486" i="18"/>
  <c r="BM486" i="18"/>
  <c r="BL486" i="18"/>
  <c r="BK486" i="18"/>
  <c r="BJ486" i="18"/>
  <c r="BI486" i="18"/>
  <c r="BH486" i="18"/>
  <c r="BG486" i="18"/>
  <c r="BF486" i="18"/>
  <c r="BE486" i="18"/>
  <c r="BD486" i="18"/>
  <c r="BC486" i="18"/>
  <c r="BB486" i="18"/>
  <c r="BA486" i="18"/>
  <c r="AZ486" i="18"/>
  <c r="AY486" i="18"/>
  <c r="AX486" i="18"/>
  <c r="AW486" i="18"/>
  <c r="AV486" i="18"/>
  <c r="AU486" i="18"/>
  <c r="AT486" i="18"/>
  <c r="AS486" i="18"/>
  <c r="AR486" i="18"/>
  <c r="AQ486" i="18"/>
  <c r="AP486" i="18"/>
  <c r="AO486" i="18"/>
  <c r="AN486" i="18"/>
  <c r="AM486" i="18"/>
  <c r="AL486" i="18"/>
  <c r="AK486" i="18"/>
  <c r="AJ486" i="18"/>
  <c r="AI486" i="18"/>
  <c r="AH486" i="18"/>
  <c r="AG486" i="18"/>
  <c r="AF486" i="18"/>
  <c r="AE486" i="18"/>
  <c r="AD486" i="18"/>
  <c r="AC486" i="18"/>
  <c r="AB486" i="18"/>
  <c r="AA486" i="18"/>
  <c r="Z486" i="18"/>
  <c r="Y486" i="18"/>
  <c r="X486" i="18"/>
  <c r="W486" i="18"/>
  <c r="V486" i="18"/>
  <c r="U486" i="18"/>
  <c r="T486" i="18"/>
  <c r="S486" i="18"/>
  <c r="R486" i="18"/>
  <c r="Q486" i="18"/>
  <c r="P486" i="18"/>
  <c r="O486" i="18"/>
  <c r="N486" i="18"/>
  <c r="M486" i="18"/>
  <c r="L486" i="18"/>
  <c r="K486" i="18"/>
  <c r="J486" i="18"/>
  <c r="I486" i="18"/>
  <c r="H486" i="18"/>
  <c r="G486" i="18"/>
  <c r="F486" i="18"/>
  <c r="E486" i="18"/>
  <c r="D486" i="18"/>
  <c r="C486" i="18"/>
  <c r="B486" i="18"/>
  <c r="A486" i="18"/>
  <c r="CU485" i="18"/>
  <c r="CT485" i="18"/>
  <c r="CS485" i="18"/>
  <c r="CR485" i="18"/>
  <c r="CQ485" i="18"/>
  <c r="CP485" i="18"/>
  <c r="CO485" i="18"/>
  <c r="CN485" i="18"/>
  <c r="CM485" i="18"/>
  <c r="CL485" i="18"/>
  <c r="CK485" i="18"/>
  <c r="CJ485" i="18"/>
  <c r="CI485" i="18"/>
  <c r="CH485" i="18"/>
  <c r="CG485" i="18"/>
  <c r="CF485" i="18"/>
  <c r="CE485" i="18"/>
  <c r="CD485" i="18"/>
  <c r="CC485" i="18"/>
  <c r="CB485" i="18"/>
  <c r="CA485" i="18"/>
  <c r="BZ485" i="18"/>
  <c r="BY485" i="18"/>
  <c r="BX485" i="18"/>
  <c r="BW485" i="18"/>
  <c r="BV485" i="18"/>
  <c r="BU485" i="18"/>
  <c r="BT485" i="18"/>
  <c r="BS485" i="18"/>
  <c r="BR485" i="18"/>
  <c r="BQ485" i="18"/>
  <c r="BP485" i="18"/>
  <c r="BO485" i="18"/>
  <c r="BN485" i="18"/>
  <c r="BM485" i="18"/>
  <c r="BL485" i="18"/>
  <c r="BK485" i="18"/>
  <c r="BJ485" i="18"/>
  <c r="BI485" i="18"/>
  <c r="BH485" i="18"/>
  <c r="BG485" i="18"/>
  <c r="BF485" i="18"/>
  <c r="BE485" i="18"/>
  <c r="BD485" i="18"/>
  <c r="BC485" i="18"/>
  <c r="BB485" i="18"/>
  <c r="BA485" i="18"/>
  <c r="AZ485" i="18"/>
  <c r="AY485" i="18"/>
  <c r="AX485" i="18"/>
  <c r="AW485" i="18"/>
  <c r="AV485" i="18"/>
  <c r="AU485" i="18"/>
  <c r="AT485" i="18"/>
  <c r="AS485" i="18"/>
  <c r="AR485" i="18"/>
  <c r="AQ485" i="18"/>
  <c r="AP485" i="18"/>
  <c r="AO485" i="18"/>
  <c r="AN485" i="18"/>
  <c r="AM485" i="18"/>
  <c r="AL485" i="18"/>
  <c r="AK485" i="18"/>
  <c r="AJ485" i="18"/>
  <c r="AI485" i="18"/>
  <c r="AH485" i="18"/>
  <c r="AG485" i="18"/>
  <c r="AF485" i="18"/>
  <c r="AE485" i="18"/>
  <c r="AD485" i="18"/>
  <c r="AC485" i="18"/>
  <c r="AB485" i="18"/>
  <c r="AA485" i="18"/>
  <c r="Z485" i="18"/>
  <c r="Y485" i="18"/>
  <c r="X485" i="18"/>
  <c r="W485" i="18"/>
  <c r="V485" i="18"/>
  <c r="U485" i="18"/>
  <c r="T485" i="18"/>
  <c r="S485" i="18"/>
  <c r="R485" i="18"/>
  <c r="Q485" i="18"/>
  <c r="P485" i="18"/>
  <c r="O485" i="18"/>
  <c r="N485" i="18"/>
  <c r="M485" i="18"/>
  <c r="L485" i="18"/>
  <c r="K485" i="18"/>
  <c r="J485" i="18"/>
  <c r="I485" i="18"/>
  <c r="H485" i="18"/>
  <c r="G485" i="18"/>
  <c r="F485" i="18"/>
  <c r="E485" i="18"/>
  <c r="D485" i="18"/>
  <c r="C485" i="18"/>
  <c r="B485" i="18"/>
  <c r="A485" i="18"/>
  <c r="CU484" i="18"/>
  <c r="CT484" i="18"/>
  <c r="CS484" i="18"/>
  <c r="CR484" i="18"/>
  <c r="CQ484" i="18"/>
  <c r="CP484" i="18"/>
  <c r="CO484" i="18"/>
  <c r="CN484" i="18"/>
  <c r="CM484" i="18"/>
  <c r="CL484" i="18"/>
  <c r="CK484" i="18"/>
  <c r="CJ484" i="18"/>
  <c r="CI484" i="18"/>
  <c r="CH484" i="18"/>
  <c r="CG484" i="18"/>
  <c r="CF484" i="18"/>
  <c r="CE484" i="18"/>
  <c r="CD484" i="18"/>
  <c r="CC484" i="18"/>
  <c r="CB484" i="18"/>
  <c r="CA484" i="18"/>
  <c r="BZ484" i="18"/>
  <c r="BY484" i="18"/>
  <c r="BX484" i="18"/>
  <c r="BW484" i="18"/>
  <c r="BV484" i="18"/>
  <c r="BU484" i="18"/>
  <c r="BT484" i="18"/>
  <c r="BS484" i="18"/>
  <c r="BR484" i="18"/>
  <c r="BQ484" i="18"/>
  <c r="BP484" i="18"/>
  <c r="BO484" i="18"/>
  <c r="BN484" i="18"/>
  <c r="BM484" i="18"/>
  <c r="BL484" i="18"/>
  <c r="BK484" i="18"/>
  <c r="BJ484" i="18"/>
  <c r="BI484" i="18"/>
  <c r="BH484" i="18"/>
  <c r="BG484" i="18"/>
  <c r="BF484" i="18"/>
  <c r="BE484" i="18"/>
  <c r="BD484" i="18"/>
  <c r="BC484" i="18"/>
  <c r="BB484" i="18"/>
  <c r="BA484" i="18"/>
  <c r="AZ484" i="18"/>
  <c r="AY484" i="18"/>
  <c r="AX484" i="18"/>
  <c r="AW484" i="18"/>
  <c r="AV484" i="18"/>
  <c r="AU484" i="18"/>
  <c r="AT484" i="18"/>
  <c r="AS484" i="18"/>
  <c r="AR484" i="18"/>
  <c r="AQ484" i="18"/>
  <c r="AP484" i="18"/>
  <c r="AO484" i="18"/>
  <c r="AN484" i="18"/>
  <c r="AM484" i="18"/>
  <c r="AL484" i="18"/>
  <c r="AK484" i="18"/>
  <c r="AJ484" i="18"/>
  <c r="AI484" i="18"/>
  <c r="AH484" i="18"/>
  <c r="AG484" i="18"/>
  <c r="AF484" i="18"/>
  <c r="AE484" i="18"/>
  <c r="AD484" i="18"/>
  <c r="AC484" i="18"/>
  <c r="AB484" i="18"/>
  <c r="AA484" i="18"/>
  <c r="Z484" i="18"/>
  <c r="Y484" i="18"/>
  <c r="X484" i="18"/>
  <c r="W484" i="18"/>
  <c r="V484" i="18"/>
  <c r="U484" i="18"/>
  <c r="T484" i="18"/>
  <c r="S484" i="18"/>
  <c r="R484" i="18"/>
  <c r="Q484" i="18"/>
  <c r="P484" i="18"/>
  <c r="O484" i="18"/>
  <c r="N484" i="18"/>
  <c r="M484" i="18"/>
  <c r="L484" i="18"/>
  <c r="K484" i="18"/>
  <c r="J484" i="18"/>
  <c r="I484" i="18"/>
  <c r="H484" i="18"/>
  <c r="G484" i="18"/>
  <c r="F484" i="18"/>
  <c r="E484" i="18"/>
  <c r="D484" i="18"/>
  <c r="C484" i="18"/>
  <c r="B484" i="18"/>
  <c r="A484" i="18"/>
  <c r="CU483" i="18"/>
  <c r="CT483" i="18"/>
  <c r="CS483" i="18"/>
  <c r="CR483" i="18"/>
  <c r="CQ483" i="18"/>
  <c r="CP483" i="18"/>
  <c r="CO483" i="18"/>
  <c r="CN483" i="18"/>
  <c r="CM483" i="18"/>
  <c r="CL483" i="18"/>
  <c r="CK483" i="18"/>
  <c r="CJ483" i="18"/>
  <c r="CI483" i="18"/>
  <c r="CH483" i="18"/>
  <c r="CG483" i="18"/>
  <c r="CF483" i="18"/>
  <c r="CE483" i="18"/>
  <c r="CD483" i="18"/>
  <c r="CC483" i="18"/>
  <c r="CB483" i="18"/>
  <c r="CA483" i="18"/>
  <c r="BZ483" i="18"/>
  <c r="BY483" i="18"/>
  <c r="BX483" i="18"/>
  <c r="BW483" i="18"/>
  <c r="BV483" i="18"/>
  <c r="BU483" i="18"/>
  <c r="BT483" i="18"/>
  <c r="BS483" i="18"/>
  <c r="BR483" i="18"/>
  <c r="BQ483" i="18"/>
  <c r="BP483" i="18"/>
  <c r="BO483" i="18"/>
  <c r="BN483" i="18"/>
  <c r="BM483" i="18"/>
  <c r="BL483" i="18"/>
  <c r="BK483" i="18"/>
  <c r="BJ483" i="18"/>
  <c r="BI483" i="18"/>
  <c r="BH483" i="18"/>
  <c r="BG483" i="18"/>
  <c r="BF483" i="18"/>
  <c r="BE483" i="18"/>
  <c r="BD483" i="18"/>
  <c r="BC483" i="18"/>
  <c r="BB483" i="18"/>
  <c r="BA483" i="18"/>
  <c r="AZ483" i="18"/>
  <c r="AY483" i="18"/>
  <c r="AX483" i="18"/>
  <c r="AW483" i="18"/>
  <c r="AV483" i="18"/>
  <c r="AU483" i="18"/>
  <c r="AT483" i="18"/>
  <c r="AS483" i="18"/>
  <c r="AR483" i="18"/>
  <c r="AQ483" i="18"/>
  <c r="AP483" i="18"/>
  <c r="AO483" i="18"/>
  <c r="AN483" i="18"/>
  <c r="AM483" i="18"/>
  <c r="AL483" i="18"/>
  <c r="AK483" i="18"/>
  <c r="AJ483" i="18"/>
  <c r="AI483" i="18"/>
  <c r="AH483" i="18"/>
  <c r="AG483" i="18"/>
  <c r="AF483" i="18"/>
  <c r="AE483" i="18"/>
  <c r="AD483" i="18"/>
  <c r="AC483" i="18"/>
  <c r="AB483" i="18"/>
  <c r="AA483" i="18"/>
  <c r="Z483" i="18"/>
  <c r="Y483" i="18"/>
  <c r="X483" i="18"/>
  <c r="W483" i="18"/>
  <c r="V483" i="18"/>
  <c r="U483" i="18"/>
  <c r="T483" i="18"/>
  <c r="S483" i="18"/>
  <c r="R483" i="18"/>
  <c r="Q483" i="18"/>
  <c r="P483" i="18"/>
  <c r="O483" i="18"/>
  <c r="N483" i="18"/>
  <c r="M483" i="18"/>
  <c r="L483" i="18"/>
  <c r="K483" i="18"/>
  <c r="J483" i="18"/>
  <c r="I483" i="18"/>
  <c r="H483" i="18"/>
  <c r="G483" i="18"/>
  <c r="F483" i="18"/>
  <c r="E483" i="18"/>
  <c r="D483" i="18"/>
  <c r="C483" i="18"/>
  <c r="B483" i="18"/>
  <c r="A483" i="18"/>
  <c r="CU482" i="18"/>
  <c r="CT482" i="18"/>
  <c r="CS482" i="18"/>
  <c r="CR482" i="18"/>
  <c r="CI482" i="18"/>
  <c r="CH482" i="18"/>
  <c r="CG482" i="18"/>
  <c r="CF482" i="18"/>
  <c r="CE482" i="18"/>
  <c r="CD482" i="18"/>
  <c r="CC482" i="18"/>
  <c r="CB482" i="18"/>
  <c r="CA482" i="18"/>
  <c r="BZ482" i="18"/>
  <c r="BY482" i="18"/>
  <c r="AR482" i="18"/>
  <c r="AQ482" i="18"/>
  <c r="AP482" i="18"/>
  <c r="AO482" i="18"/>
  <c r="AN482" i="18"/>
  <c r="AM482" i="18"/>
  <c r="AL482" i="18"/>
  <c r="AK482" i="18"/>
  <c r="AJ482" i="18"/>
  <c r="AI482" i="18"/>
  <c r="AH482" i="18"/>
  <c r="AG482" i="18"/>
  <c r="AF482" i="18"/>
  <c r="AE482" i="18"/>
  <c r="AD482" i="18"/>
  <c r="AC482" i="18"/>
  <c r="AB482" i="18"/>
  <c r="AA482" i="18"/>
  <c r="Z482" i="18"/>
  <c r="Y482" i="18"/>
  <c r="X482" i="18"/>
  <c r="W482" i="18"/>
  <c r="V482" i="18"/>
  <c r="U482" i="18"/>
  <c r="T482" i="18"/>
  <c r="S482" i="18"/>
  <c r="R482" i="18"/>
  <c r="Q482" i="18"/>
  <c r="P482" i="18"/>
  <c r="O482" i="18"/>
  <c r="N482" i="18"/>
  <c r="M482" i="18"/>
  <c r="L482" i="18"/>
  <c r="K482" i="18"/>
  <c r="J482" i="18"/>
  <c r="I482" i="18"/>
  <c r="H482" i="18"/>
  <c r="G482" i="18"/>
  <c r="F482" i="18"/>
  <c r="E482" i="18"/>
  <c r="D482" i="18"/>
  <c r="C482" i="18"/>
  <c r="B482" i="18"/>
  <c r="A482" i="18"/>
  <c r="CU481" i="18"/>
  <c r="CT481" i="18"/>
  <c r="CS481" i="18"/>
  <c r="CR481" i="18"/>
  <c r="CI481" i="18"/>
  <c r="CH481" i="18"/>
  <c r="CG481" i="18"/>
  <c r="CF481" i="18"/>
  <c r="CE481" i="18"/>
  <c r="CD481" i="18"/>
  <c r="CC481" i="18"/>
  <c r="CB481" i="18"/>
  <c r="CA481" i="18"/>
  <c r="BZ481" i="18"/>
  <c r="BY481" i="18"/>
  <c r="AR481" i="18"/>
  <c r="AQ481" i="18"/>
  <c r="AP481" i="18"/>
  <c r="AO481" i="18"/>
  <c r="AN481" i="18"/>
  <c r="AM481" i="18"/>
  <c r="AL481" i="18"/>
  <c r="AK481" i="18"/>
  <c r="AJ481" i="18"/>
  <c r="AI481" i="18"/>
  <c r="AH481" i="18"/>
  <c r="AG481" i="18"/>
  <c r="AF481" i="18"/>
  <c r="AE481" i="18"/>
  <c r="AD481" i="18"/>
  <c r="AC481" i="18"/>
  <c r="AB481" i="18"/>
  <c r="AA481" i="18"/>
  <c r="Z481" i="18"/>
  <c r="Y481" i="18"/>
  <c r="X481" i="18"/>
  <c r="W481" i="18"/>
  <c r="V481" i="18"/>
  <c r="U481" i="18"/>
  <c r="T481" i="18"/>
  <c r="S481" i="18"/>
  <c r="R481" i="18"/>
  <c r="Q481" i="18"/>
  <c r="P481" i="18"/>
  <c r="O481" i="18"/>
  <c r="N481" i="18"/>
  <c r="M481" i="18"/>
  <c r="L481" i="18"/>
  <c r="K481" i="18"/>
  <c r="J481" i="18"/>
  <c r="I481" i="18"/>
  <c r="H481" i="18"/>
  <c r="G481" i="18"/>
  <c r="F481" i="18"/>
  <c r="E481" i="18"/>
  <c r="D481" i="18"/>
  <c r="C481" i="18"/>
  <c r="B481" i="18"/>
  <c r="A481" i="18"/>
  <c r="CU480" i="18"/>
  <c r="CT480" i="18"/>
  <c r="CS480" i="18"/>
  <c r="CR480" i="18"/>
  <c r="CI480" i="18"/>
  <c r="CH480" i="18"/>
  <c r="CG480" i="18"/>
  <c r="CF480" i="18"/>
  <c r="CE480" i="18"/>
  <c r="CD480" i="18"/>
  <c r="CC480" i="18"/>
  <c r="CB480" i="18"/>
  <c r="CA480" i="18"/>
  <c r="BZ480" i="18"/>
  <c r="BY480" i="18"/>
  <c r="AR480" i="18"/>
  <c r="AQ480" i="18"/>
  <c r="AP480" i="18"/>
  <c r="AO480" i="18"/>
  <c r="AN480" i="18"/>
  <c r="AM480" i="18"/>
  <c r="AL480" i="18"/>
  <c r="AK480" i="18"/>
  <c r="AJ480" i="18"/>
  <c r="AI480" i="18"/>
  <c r="AH480" i="18"/>
  <c r="AG480" i="18"/>
  <c r="AF480" i="18"/>
  <c r="AE480" i="18"/>
  <c r="AD480" i="18"/>
  <c r="AC480" i="18"/>
  <c r="AB480" i="18"/>
  <c r="AA480" i="18"/>
  <c r="Z480" i="18"/>
  <c r="Y480" i="18"/>
  <c r="X480" i="18"/>
  <c r="W480" i="18"/>
  <c r="V480" i="18"/>
  <c r="U480" i="18"/>
  <c r="T480" i="18"/>
  <c r="S480" i="18"/>
  <c r="R480" i="18"/>
  <c r="Q480" i="18"/>
  <c r="P480" i="18"/>
  <c r="O480" i="18"/>
  <c r="N480" i="18"/>
  <c r="M480" i="18"/>
  <c r="L480" i="18"/>
  <c r="K480" i="18"/>
  <c r="J480" i="18"/>
  <c r="I480" i="18"/>
  <c r="H480" i="18"/>
  <c r="G480" i="18"/>
  <c r="F480" i="18"/>
  <c r="E480" i="18"/>
  <c r="D480" i="18"/>
  <c r="C480" i="18"/>
  <c r="B480" i="18"/>
  <c r="A480" i="18"/>
  <c r="CU479" i="18"/>
  <c r="CT479" i="18"/>
  <c r="CS479" i="18"/>
  <c r="CR479" i="18"/>
  <c r="CI479" i="18"/>
  <c r="CH479" i="18"/>
  <c r="CG479" i="18"/>
  <c r="CF479" i="18"/>
  <c r="CE479" i="18"/>
  <c r="CD479" i="18"/>
  <c r="CC479" i="18"/>
  <c r="CB479" i="18"/>
  <c r="CA479" i="18"/>
  <c r="BZ479" i="18"/>
  <c r="BY479" i="18"/>
  <c r="AR479" i="18"/>
  <c r="AQ479" i="18"/>
  <c r="AP479" i="18"/>
  <c r="AO479" i="18"/>
  <c r="AN479" i="18"/>
  <c r="AM479" i="18"/>
  <c r="AL479" i="18"/>
  <c r="AK479" i="18"/>
  <c r="AJ479" i="18"/>
  <c r="AI479" i="18"/>
  <c r="AH479" i="18"/>
  <c r="AG479" i="18"/>
  <c r="AF479" i="18"/>
  <c r="AE479" i="18"/>
  <c r="AD479" i="18"/>
  <c r="AC479" i="18"/>
  <c r="AB479" i="18"/>
  <c r="AA479" i="18"/>
  <c r="Z479" i="18"/>
  <c r="Y479" i="18"/>
  <c r="X479" i="18"/>
  <c r="W479" i="18"/>
  <c r="V479" i="18"/>
  <c r="U479" i="18"/>
  <c r="T479" i="18"/>
  <c r="S479" i="18"/>
  <c r="R479" i="18"/>
  <c r="Q479" i="18"/>
  <c r="P479" i="18"/>
  <c r="O479" i="18"/>
  <c r="N479" i="18"/>
  <c r="M479" i="18"/>
  <c r="L479" i="18"/>
  <c r="K479" i="18"/>
  <c r="J479" i="18"/>
  <c r="I479" i="18"/>
  <c r="H479" i="18"/>
  <c r="G479" i="18"/>
  <c r="F479" i="18"/>
  <c r="E479" i="18"/>
  <c r="D479" i="18"/>
  <c r="C479" i="18"/>
  <c r="B479" i="18"/>
  <c r="A479" i="18"/>
  <c r="CU478" i="18"/>
  <c r="CT478" i="18"/>
  <c r="CS478" i="18"/>
  <c r="CR478" i="18"/>
  <c r="CI478" i="18"/>
  <c r="CH478" i="18"/>
  <c r="CG478" i="18"/>
  <c r="CF478" i="18"/>
  <c r="CE478" i="18"/>
  <c r="CD478" i="18"/>
  <c r="CC478" i="18"/>
  <c r="CB478" i="18"/>
  <c r="CA478" i="18"/>
  <c r="BZ478" i="18"/>
  <c r="BY478" i="18"/>
  <c r="AR478" i="18"/>
  <c r="AQ478" i="18"/>
  <c r="AP478" i="18"/>
  <c r="AO478" i="18"/>
  <c r="AN478" i="18"/>
  <c r="AM478" i="18"/>
  <c r="AL478" i="18"/>
  <c r="AK478" i="18"/>
  <c r="AJ478" i="18"/>
  <c r="AI478" i="18"/>
  <c r="AH478" i="18"/>
  <c r="AG478" i="18"/>
  <c r="AF478" i="18"/>
  <c r="AE478" i="18"/>
  <c r="AD478" i="18"/>
  <c r="AC478" i="18"/>
  <c r="AB478" i="18"/>
  <c r="AA478" i="18"/>
  <c r="Z478" i="18"/>
  <c r="Y478" i="18"/>
  <c r="X478" i="18"/>
  <c r="W478" i="18"/>
  <c r="V478" i="18"/>
  <c r="U478" i="18"/>
  <c r="T478" i="18"/>
  <c r="S478" i="18"/>
  <c r="R478" i="18"/>
  <c r="Q478" i="18"/>
  <c r="P478" i="18"/>
  <c r="O478" i="18"/>
  <c r="N478" i="18"/>
  <c r="M478" i="18"/>
  <c r="L478" i="18"/>
  <c r="K478" i="18"/>
  <c r="J478" i="18"/>
  <c r="I478" i="18"/>
  <c r="H478" i="18"/>
  <c r="G478" i="18"/>
  <c r="F478" i="18"/>
  <c r="E478" i="18"/>
  <c r="D478" i="18"/>
  <c r="C478" i="18"/>
  <c r="B478" i="18"/>
  <c r="A478" i="18"/>
  <c r="CU477" i="18"/>
  <c r="CT477" i="18"/>
  <c r="CS477" i="18"/>
  <c r="CR477" i="18"/>
  <c r="CQ477" i="18"/>
  <c r="CP477" i="18"/>
  <c r="CO477" i="18"/>
  <c r="CN477" i="18"/>
  <c r="CM477" i="18"/>
  <c r="CL477" i="18"/>
  <c r="CK477" i="18"/>
  <c r="CJ477" i="18"/>
  <c r="CI477" i="18"/>
  <c r="CH477" i="18"/>
  <c r="CG477" i="18"/>
  <c r="CF477" i="18"/>
  <c r="CE477" i="18"/>
  <c r="CD477" i="18"/>
  <c r="CC477" i="18"/>
  <c r="CB477" i="18"/>
  <c r="CA477" i="18"/>
  <c r="BZ477" i="18"/>
  <c r="BY477" i="18"/>
  <c r="BX477" i="18"/>
  <c r="BW477" i="18"/>
  <c r="BV477" i="18"/>
  <c r="BU477" i="18"/>
  <c r="BT477" i="18"/>
  <c r="BS477" i="18"/>
  <c r="BR477" i="18"/>
  <c r="BQ477" i="18"/>
  <c r="BP477" i="18"/>
  <c r="BO477" i="18"/>
  <c r="BN477" i="18"/>
  <c r="BM477" i="18"/>
  <c r="BL477" i="18"/>
  <c r="BK477" i="18"/>
  <c r="BJ477" i="18"/>
  <c r="BI477" i="18"/>
  <c r="BH477" i="18"/>
  <c r="BG477" i="18"/>
  <c r="BF477" i="18"/>
  <c r="BE477" i="18"/>
  <c r="BD477" i="18"/>
  <c r="BC477" i="18"/>
  <c r="BB477" i="18"/>
  <c r="BA477" i="18"/>
  <c r="AZ477" i="18"/>
  <c r="AY477" i="18"/>
  <c r="AX477" i="18"/>
  <c r="AW477" i="18"/>
  <c r="AV477" i="18"/>
  <c r="AU477" i="18"/>
  <c r="AT477" i="18"/>
  <c r="AS477" i="18"/>
  <c r="AR477" i="18"/>
  <c r="AQ477" i="18"/>
  <c r="AP477" i="18"/>
  <c r="AO477" i="18"/>
  <c r="AN477" i="18"/>
  <c r="AM477" i="18"/>
  <c r="AL477" i="18"/>
  <c r="AK477" i="18"/>
  <c r="AJ477" i="18"/>
  <c r="AI477" i="18"/>
  <c r="AH477" i="18"/>
  <c r="AG477" i="18"/>
  <c r="AF477" i="18"/>
  <c r="AE477" i="18"/>
  <c r="AD477" i="18"/>
  <c r="AC477" i="18"/>
  <c r="AB477" i="18"/>
  <c r="AA477" i="18"/>
  <c r="Z477" i="18"/>
  <c r="Y477" i="18"/>
  <c r="X477" i="18"/>
  <c r="W477" i="18"/>
  <c r="V477" i="18"/>
  <c r="U477" i="18"/>
  <c r="T477" i="18"/>
  <c r="S477" i="18"/>
  <c r="R477" i="18"/>
  <c r="Q477" i="18"/>
  <c r="P477" i="18"/>
  <c r="O477" i="18"/>
  <c r="N477" i="18"/>
  <c r="M477" i="18"/>
  <c r="L477" i="18"/>
  <c r="K477" i="18"/>
  <c r="J477" i="18"/>
  <c r="I477" i="18"/>
  <c r="H477" i="18"/>
  <c r="G477" i="18"/>
  <c r="F477" i="18"/>
  <c r="E477" i="18"/>
  <c r="D477" i="18"/>
  <c r="C477" i="18"/>
  <c r="B477" i="18"/>
  <c r="A477" i="18"/>
  <c r="CU476" i="18"/>
  <c r="CT476" i="18"/>
  <c r="CS476" i="18"/>
  <c r="CR476" i="18"/>
  <c r="CQ476" i="18"/>
  <c r="CP476" i="18"/>
  <c r="CO476" i="18"/>
  <c r="CN476" i="18"/>
  <c r="CM476" i="18"/>
  <c r="CL476" i="18"/>
  <c r="CK476" i="18"/>
  <c r="CJ476" i="18"/>
  <c r="CI476" i="18"/>
  <c r="CH476" i="18"/>
  <c r="CG476" i="18"/>
  <c r="CF476" i="18"/>
  <c r="CE476" i="18"/>
  <c r="CD476" i="18"/>
  <c r="CC476" i="18"/>
  <c r="CB476" i="18"/>
  <c r="CA476" i="18"/>
  <c r="BZ476" i="18"/>
  <c r="BY476" i="18"/>
  <c r="BX476" i="18"/>
  <c r="BW476" i="18"/>
  <c r="BV476" i="18"/>
  <c r="BU476" i="18"/>
  <c r="BT476" i="18"/>
  <c r="BS476" i="18"/>
  <c r="BR476" i="18"/>
  <c r="BQ476" i="18"/>
  <c r="BP476" i="18"/>
  <c r="BO476" i="18"/>
  <c r="BN476" i="18"/>
  <c r="BM476" i="18"/>
  <c r="BL476" i="18"/>
  <c r="BK476" i="18"/>
  <c r="BJ476" i="18"/>
  <c r="BI476" i="18"/>
  <c r="BH476" i="18"/>
  <c r="BG476" i="18"/>
  <c r="BF476" i="18"/>
  <c r="BE476" i="18"/>
  <c r="BD476" i="18"/>
  <c r="BC476" i="18"/>
  <c r="BB476" i="18"/>
  <c r="BA476" i="18"/>
  <c r="AZ476" i="18"/>
  <c r="AY476" i="18"/>
  <c r="AX476" i="18"/>
  <c r="AW476" i="18"/>
  <c r="AV476" i="18"/>
  <c r="AU476" i="18"/>
  <c r="AT476" i="18"/>
  <c r="AS476" i="18"/>
  <c r="AR476" i="18"/>
  <c r="AQ476" i="18"/>
  <c r="AP476" i="18"/>
  <c r="AO476" i="18"/>
  <c r="AN476" i="18"/>
  <c r="AM476" i="18"/>
  <c r="AL476" i="18"/>
  <c r="AK476" i="18"/>
  <c r="AJ476" i="18"/>
  <c r="AI476" i="18"/>
  <c r="AH476" i="18"/>
  <c r="AG476" i="18"/>
  <c r="AF476" i="18"/>
  <c r="AE476" i="18"/>
  <c r="AD476" i="18"/>
  <c r="AC476" i="18"/>
  <c r="AB476" i="18"/>
  <c r="AA476" i="18"/>
  <c r="Z476" i="18"/>
  <c r="Y476" i="18"/>
  <c r="X476" i="18"/>
  <c r="W476" i="18"/>
  <c r="V476" i="18"/>
  <c r="U476" i="18"/>
  <c r="T476" i="18"/>
  <c r="S476" i="18"/>
  <c r="R476" i="18"/>
  <c r="Q476" i="18"/>
  <c r="P476" i="18"/>
  <c r="O476" i="18"/>
  <c r="N476" i="18"/>
  <c r="M476" i="18"/>
  <c r="L476" i="18"/>
  <c r="K476" i="18"/>
  <c r="J476" i="18"/>
  <c r="I476" i="18"/>
  <c r="H476" i="18"/>
  <c r="G476" i="18"/>
  <c r="F476" i="18"/>
  <c r="E476" i="18"/>
  <c r="D476" i="18"/>
  <c r="C476" i="18"/>
  <c r="B476" i="18"/>
  <c r="A476" i="18"/>
  <c r="CU475" i="18"/>
  <c r="CT475" i="18"/>
  <c r="CS475" i="18"/>
  <c r="CR475" i="18"/>
  <c r="CQ475" i="18"/>
  <c r="CP475" i="18"/>
  <c r="CO475" i="18"/>
  <c r="CN475" i="18"/>
  <c r="CM475" i="18"/>
  <c r="CL475" i="18"/>
  <c r="CK475" i="18"/>
  <c r="CJ475" i="18"/>
  <c r="CI475" i="18"/>
  <c r="CH475" i="18"/>
  <c r="CG475" i="18"/>
  <c r="CF475" i="18"/>
  <c r="CE475" i="18"/>
  <c r="CD475" i="18"/>
  <c r="CC475" i="18"/>
  <c r="CB475" i="18"/>
  <c r="CA475" i="18"/>
  <c r="BZ475" i="18"/>
  <c r="BY475" i="18"/>
  <c r="BX475" i="18"/>
  <c r="BW475" i="18"/>
  <c r="BV475" i="18"/>
  <c r="BU475" i="18"/>
  <c r="BT475" i="18"/>
  <c r="BS475" i="18"/>
  <c r="BR475" i="18"/>
  <c r="BQ475" i="18"/>
  <c r="BP475" i="18"/>
  <c r="BO475" i="18"/>
  <c r="BN475" i="18"/>
  <c r="BM475" i="18"/>
  <c r="BL475" i="18"/>
  <c r="BK475" i="18"/>
  <c r="BJ475" i="18"/>
  <c r="BI475" i="18"/>
  <c r="BH475" i="18"/>
  <c r="BG475" i="18"/>
  <c r="BF475" i="18"/>
  <c r="BE475" i="18"/>
  <c r="BD475" i="18"/>
  <c r="BC475" i="18"/>
  <c r="BB475" i="18"/>
  <c r="BA475" i="18"/>
  <c r="AZ475" i="18"/>
  <c r="AY475" i="18"/>
  <c r="AX475" i="18"/>
  <c r="AW475" i="18"/>
  <c r="AV475" i="18"/>
  <c r="AU475" i="18"/>
  <c r="AT475" i="18"/>
  <c r="AS475" i="18"/>
  <c r="AR475" i="18"/>
  <c r="AQ475" i="18"/>
  <c r="AP475" i="18"/>
  <c r="AO475" i="18"/>
  <c r="AN475" i="18"/>
  <c r="AM475" i="18"/>
  <c r="AL475" i="18"/>
  <c r="AK475" i="18"/>
  <c r="AJ475" i="18"/>
  <c r="AI475" i="18"/>
  <c r="AH475" i="18"/>
  <c r="AG475" i="18"/>
  <c r="AF475" i="18"/>
  <c r="AE475" i="18"/>
  <c r="AD475" i="18"/>
  <c r="AC475" i="18"/>
  <c r="AB475" i="18"/>
  <c r="AA475" i="18"/>
  <c r="Z475" i="18"/>
  <c r="Y475" i="18"/>
  <c r="X475" i="18"/>
  <c r="W475" i="18"/>
  <c r="V475" i="18"/>
  <c r="U475" i="18"/>
  <c r="T475" i="18"/>
  <c r="S475" i="18"/>
  <c r="R475" i="18"/>
  <c r="Q475" i="18"/>
  <c r="P475" i="18"/>
  <c r="O475" i="18"/>
  <c r="N475" i="18"/>
  <c r="M475" i="18"/>
  <c r="L475" i="18"/>
  <c r="K475" i="18"/>
  <c r="J475" i="18"/>
  <c r="I475" i="18"/>
  <c r="H475" i="18"/>
  <c r="G475" i="18"/>
  <c r="F475" i="18"/>
  <c r="E475" i="18"/>
  <c r="D475" i="18"/>
  <c r="C475" i="18"/>
  <c r="B475" i="18"/>
  <c r="A475" i="18"/>
  <c r="CU474" i="18"/>
  <c r="CT474" i="18"/>
  <c r="CS474" i="18"/>
  <c r="CR474" i="18"/>
  <c r="CP474" i="18"/>
  <c r="CO474" i="18"/>
  <c r="CN474" i="18"/>
  <c r="CM474" i="18"/>
  <c r="CL474" i="18"/>
  <c r="CK474" i="18"/>
  <c r="CJ474" i="18"/>
  <c r="CI474" i="18"/>
  <c r="CH474" i="18"/>
  <c r="CG474" i="18"/>
  <c r="CF474" i="18"/>
  <c r="CE474" i="18"/>
  <c r="CD474" i="18"/>
  <c r="CC474" i="18"/>
  <c r="CB474" i="18"/>
  <c r="CA474" i="18"/>
  <c r="BZ474" i="18"/>
  <c r="BY474" i="18"/>
  <c r="BT474" i="18"/>
  <c r="BS474" i="18"/>
  <c r="BR474" i="18"/>
  <c r="BQ474" i="18"/>
  <c r="BP474" i="18"/>
  <c r="BO474" i="18"/>
  <c r="BN474" i="18"/>
  <c r="BM474" i="18"/>
  <c r="BL474" i="18"/>
  <c r="BK474" i="18"/>
  <c r="BJ474" i="18"/>
  <c r="BI474" i="18"/>
  <c r="BH474" i="18"/>
  <c r="BG474" i="18"/>
  <c r="BF474" i="18"/>
  <c r="BE474" i="18"/>
  <c r="BD474" i="18"/>
  <c r="BC474" i="18"/>
  <c r="BB474" i="18"/>
  <c r="BA474" i="18"/>
  <c r="AZ474" i="18"/>
  <c r="AY474" i="18"/>
  <c r="AX474" i="18"/>
  <c r="AW474" i="18"/>
  <c r="AV474" i="18"/>
  <c r="AU474" i="18"/>
  <c r="AT474" i="18"/>
  <c r="AS474" i="18"/>
  <c r="AR474" i="18"/>
  <c r="AQ474" i="18"/>
  <c r="AP474" i="18"/>
  <c r="AO474" i="18"/>
  <c r="AN474" i="18"/>
  <c r="AM474" i="18"/>
  <c r="AL474" i="18"/>
  <c r="AK474" i="18"/>
  <c r="AJ474" i="18"/>
  <c r="AI474" i="18"/>
  <c r="AH474" i="18"/>
  <c r="AG474" i="18"/>
  <c r="AF474" i="18"/>
  <c r="AE474" i="18"/>
  <c r="AD474" i="18"/>
  <c r="AC474" i="18"/>
  <c r="AB474" i="18"/>
  <c r="AA474" i="18"/>
  <c r="Z474" i="18"/>
  <c r="Y474" i="18"/>
  <c r="X474" i="18"/>
  <c r="W474" i="18"/>
  <c r="V474" i="18"/>
  <c r="U474" i="18"/>
  <c r="T474" i="18"/>
  <c r="S474" i="18"/>
  <c r="R474" i="18"/>
  <c r="Q474" i="18"/>
  <c r="P474" i="18"/>
  <c r="O474" i="18"/>
  <c r="N474" i="18"/>
  <c r="M474" i="18"/>
  <c r="L474" i="18"/>
  <c r="K474" i="18"/>
  <c r="J474" i="18"/>
  <c r="I474" i="18"/>
  <c r="H474" i="18"/>
  <c r="G474" i="18"/>
  <c r="F474" i="18"/>
  <c r="E474" i="18"/>
  <c r="D474" i="18"/>
  <c r="C474" i="18"/>
  <c r="B474" i="18"/>
  <c r="A474" i="18"/>
  <c r="CU473" i="18"/>
  <c r="CT473" i="18"/>
  <c r="CS473" i="18"/>
  <c r="CR473" i="18"/>
  <c r="CP473" i="18"/>
  <c r="CO473" i="18"/>
  <c r="CN473" i="18"/>
  <c r="CM473" i="18"/>
  <c r="CL473" i="18"/>
  <c r="CK473" i="18"/>
  <c r="CJ473" i="18"/>
  <c r="CI473" i="18"/>
  <c r="CH473" i="18"/>
  <c r="CG473" i="18"/>
  <c r="CF473" i="18"/>
  <c r="CE473" i="18"/>
  <c r="CD473" i="18"/>
  <c r="CC473" i="18"/>
  <c r="CB473" i="18"/>
  <c r="CA473" i="18"/>
  <c r="BZ473" i="18"/>
  <c r="BY473" i="18"/>
  <c r="BT473" i="18"/>
  <c r="BS473" i="18"/>
  <c r="BR473" i="18"/>
  <c r="BQ473" i="18"/>
  <c r="BP473" i="18"/>
  <c r="BO473" i="18"/>
  <c r="BN473" i="18"/>
  <c r="BM473" i="18"/>
  <c r="BL473" i="18"/>
  <c r="BK473" i="18"/>
  <c r="BJ473" i="18"/>
  <c r="BI473" i="18"/>
  <c r="BH473" i="18"/>
  <c r="BG473" i="18"/>
  <c r="BF473" i="18"/>
  <c r="BE473" i="18"/>
  <c r="BD473" i="18"/>
  <c r="BC473" i="18"/>
  <c r="BB473" i="18"/>
  <c r="BA473" i="18"/>
  <c r="AZ473" i="18"/>
  <c r="AY473" i="18"/>
  <c r="AX473" i="18"/>
  <c r="AW473" i="18"/>
  <c r="AV473" i="18"/>
  <c r="AU473" i="18"/>
  <c r="AT473" i="18"/>
  <c r="AS473" i="18"/>
  <c r="AR473" i="18"/>
  <c r="AQ473" i="18"/>
  <c r="AP473" i="18"/>
  <c r="AO473" i="18"/>
  <c r="AN473" i="18"/>
  <c r="AM473" i="18"/>
  <c r="AL473" i="18"/>
  <c r="AK473" i="18"/>
  <c r="AJ473" i="18"/>
  <c r="AI473" i="18"/>
  <c r="AH473" i="18"/>
  <c r="AG473" i="18"/>
  <c r="AF473" i="18"/>
  <c r="AE473" i="18"/>
  <c r="AD473" i="18"/>
  <c r="AC473" i="18"/>
  <c r="AB473" i="18"/>
  <c r="AA473" i="18"/>
  <c r="Z473" i="18"/>
  <c r="Y473" i="18"/>
  <c r="X473" i="18"/>
  <c r="W473" i="18"/>
  <c r="V473" i="18"/>
  <c r="U473" i="18"/>
  <c r="T473" i="18"/>
  <c r="S473" i="18"/>
  <c r="R473" i="18"/>
  <c r="Q473" i="18"/>
  <c r="P473" i="18"/>
  <c r="O473" i="18"/>
  <c r="N473" i="18"/>
  <c r="M473" i="18"/>
  <c r="L473" i="18"/>
  <c r="K473" i="18"/>
  <c r="J473" i="18"/>
  <c r="I473" i="18"/>
  <c r="H473" i="18"/>
  <c r="G473" i="18"/>
  <c r="F473" i="18"/>
  <c r="E473" i="18"/>
  <c r="D473" i="18"/>
  <c r="C473" i="18"/>
  <c r="B473" i="18"/>
  <c r="A473" i="18"/>
  <c r="CU472" i="18"/>
  <c r="CT472" i="18"/>
  <c r="CS472" i="18"/>
  <c r="CR472" i="18"/>
  <c r="CP472" i="18"/>
  <c r="CO472" i="18"/>
  <c r="CN472" i="18"/>
  <c r="CM472" i="18"/>
  <c r="CL472" i="18"/>
  <c r="CK472" i="18"/>
  <c r="CJ472" i="18"/>
  <c r="CI472" i="18"/>
  <c r="CH472" i="18"/>
  <c r="CG472" i="18"/>
  <c r="CF472" i="18"/>
  <c r="CE472" i="18"/>
  <c r="CD472" i="18"/>
  <c r="CC472" i="18"/>
  <c r="CB472" i="18"/>
  <c r="CA472" i="18"/>
  <c r="BZ472" i="18"/>
  <c r="BY472" i="18"/>
  <c r="BT472" i="18"/>
  <c r="BS472" i="18"/>
  <c r="BR472" i="18"/>
  <c r="BQ472" i="18"/>
  <c r="BP472" i="18"/>
  <c r="BO472" i="18"/>
  <c r="BN472" i="18"/>
  <c r="BM472" i="18"/>
  <c r="BL472" i="18"/>
  <c r="BK472" i="18"/>
  <c r="BJ472" i="18"/>
  <c r="BI472" i="18"/>
  <c r="BH472" i="18"/>
  <c r="BG472" i="18"/>
  <c r="BF472" i="18"/>
  <c r="BE472" i="18"/>
  <c r="BD472" i="18"/>
  <c r="BC472" i="18"/>
  <c r="BB472" i="18"/>
  <c r="BA472" i="18"/>
  <c r="AZ472" i="18"/>
  <c r="AY472" i="18"/>
  <c r="AX472" i="18"/>
  <c r="AW472" i="18"/>
  <c r="AV472" i="18"/>
  <c r="AU472" i="18"/>
  <c r="AT472" i="18"/>
  <c r="AS472" i="18"/>
  <c r="AR472" i="18"/>
  <c r="AQ472" i="18"/>
  <c r="AP472" i="18"/>
  <c r="AO472" i="18"/>
  <c r="AN472" i="18"/>
  <c r="AM472" i="18"/>
  <c r="AL472" i="18"/>
  <c r="AK472" i="18"/>
  <c r="AJ472" i="18"/>
  <c r="AI472" i="18"/>
  <c r="AH472" i="18"/>
  <c r="AG472" i="18"/>
  <c r="AF472" i="18"/>
  <c r="AE472" i="18"/>
  <c r="AD472" i="18"/>
  <c r="AC472" i="18"/>
  <c r="AB472" i="18"/>
  <c r="AA472" i="18"/>
  <c r="Z472" i="18"/>
  <c r="Y472" i="18"/>
  <c r="X472" i="18"/>
  <c r="W472" i="18"/>
  <c r="V472" i="18"/>
  <c r="U472" i="18"/>
  <c r="T472" i="18"/>
  <c r="S472" i="18"/>
  <c r="R472" i="18"/>
  <c r="Q472" i="18"/>
  <c r="P472" i="18"/>
  <c r="O472" i="18"/>
  <c r="N472" i="18"/>
  <c r="M472" i="18"/>
  <c r="L472" i="18"/>
  <c r="K472" i="18"/>
  <c r="J472" i="18"/>
  <c r="I472" i="18"/>
  <c r="H472" i="18"/>
  <c r="G472" i="18"/>
  <c r="F472" i="18"/>
  <c r="E472" i="18"/>
  <c r="D472" i="18"/>
  <c r="C472" i="18"/>
  <c r="B472" i="18"/>
  <c r="A472" i="18"/>
  <c r="CU471" i="18"/>
  <c r="CT471" i="18"/>
  <c r="CS471" i="18"/>
  <c r="CR471" i="18"/>
  <c r="CQ471" i="18"/>
  <c r="CP471" i="18"/>
  <c r="CO471" i="18"/>
  <c r="CN471" i="18"/>
  <c r="CM471" i="18"/>
  <c r="CL471" i="18"/>
  <c r="CK471" i="18"/>
  <c r="CJ471" i="18"/>
  <c r="CI471" i="18"/>
  <c r="CH471" i="18"/>
  <c r="CG471" i="18"/>
  <c r="CF471" i="18"/>
  <c r="CE471" i="18"/>
  <c r="CD471" i="18"/>
  <c r="CC471" i="18"/>
  <c r="CB471" i="18"/>
  <c r="CA471" i="18"/>
  <c r="BZ471" i="18"/>
  <c r="BY471" i="18"/>
  <c r="BX471" i="18"/>
  <c r="BW471" i="18"/>
  <c r="BV471" i="18"/>
  <c r="BU471" i="18"/>
  <c r="BT471" i="18"/>
  <c r="BS471" i="18"/>
  <c r="BR471" i="18"/>
  <c r="BQ471" i="18"/>
  <c r="BP471" i="18"/>
  <c r="BO471" i="18"/>
  <c r="BN471" i="18"/>
  <c r="BM471" i="18"/>
  <c r="BL471" i="18"/>
  <c r="BK471" i="18"/>
  <c r="BJ471" i="18"/>
  <c r="BI471" i="18"/>
  <c r="BH471" i="18"/>
  <c r="BG471" i="18"/>
  <c r="BF471" i="18"/>
  <c r="BE471" i="18"/>
  <c r="BD471" i="18"/>
  <c r="BC471" i="18"/>
  <c r="BB471" i="18"/>
  <c r="BA471" i="18"/>
  <c r="AZ471" i="18"/>
  <c r="AY471" i="18"/>
  <c r="AX471" i="18"/>
  <c r="AW471" i="18"/>
  <c r="AV471" i="18"/>
  <c r="AU471" i="18"/>
  <c r="AT471" i="18"/>
  <c r="AS471" i="18"/>
  <c r="AR471" i="18"/>
  <c r="AQ471" i="18"/>
  <c r="AP471" i="18"/>
  <c r="AO471" i="18"/>
  <c r="AN471" i="18"/>
  <c r="AM471" i="18"/>
  <c r="AL471" i="18"/>
  <c r="AK471" i="18"/>
  <c r="AJ471" i="18"/>
  <c r="AI471" i="18"/>
  <c r="AH471" i="18"/>
  <c r="AG471" i="18"/>
  <c r="AF471" i="18"/>
  <c r="AE471" i="18"/>
  <c r="AD471" i="18"/>
  <c r="AC471" i="18"/>
  <c r="AB471" i="18"/>
  <c r="AA471" i="18"/>
  <c r="Z471" i="18"/>
  <c r="Y471" i="18"/>
  <c r="X471" i="18"/>
  <c r="W471" i="18"/>
  <c r="V471" i="18"/>
  <c r="U471" i="18"/>
  <c r="T471" i="18"/>
  <c r="S471" i="18"/>
  <c r="R471" i="18"/>
  <c r="Q471" i="18"/>
  <c r="P471" i="18"/>
  <c r="O471" i="18"/>
  <c r="N471" i="18"/>
  <c r="M471" i="18"/>
  <c r="L471" i="18"/>
  <c r="K471" i="18"/>
  <c r="J471" i="18"/>
  <c r="I471" i="18"/>
  <c r="H471" i="18"/>
  <c r="G471" i="18"/>
  <c r="F471" i="18"/>
  <c r="E471" i="18"/>
  <c r="D471" i="18"/>
  <c r="C471" i="18"/>
  <c r="B471" i="18"/>
  <c r="A471" i="18"/>
  <c r="CU470" i="18"/>
  <c r="CT470" i="18"/>
  <c r="CS470" i="18"/>
  <c r="CR470" i="18"/>
  <c r="CP470" i="18"/>
  <c r="CO470" i="18"/>
  <c r="CN470" i="18"/>
  <c r="CM470" i="18"/>
  <c r="CL470" i="18"/>
  <c r="CK470" i="18"/>
  <c r="CJ470" i="18"/>
  <c r="CI470" i="18"/>
  <c r="CH470" i="18"/>
  <c r="CG470" i="18"/>
  <c r="CF470" i="18"/>
  <c r="CE470" i="18"/>
  <c r="CD470" i="18"/>
  <c r="CC470" i="18"/>
  <c r="CB470" i="18"/>
  <c r="CA470" i="18"/>
  <c r="BZ470" i="18"/>
  <c r="BY470" i="18"/>
  <c r="BT470" i="18"/>
  <c r="BS470" i="18"/>
  <c r="BR470" i="18"/>
  <c r="BQ470" i="18"/>
  <c r="BP470" i="18"/>
  <c r="BO470" i="18"/>
  <c r="BN470" i="18"/>
  <c r="BM470" i="18"/>
  <c r="BL470" i="18"/>
  <c r="BK470" i="18"/>
  <c r="BJ470" i="18"/>
  <c r="BI470" i="18"/>
  <c r="BH470" i="18"/>
  <c r="BG470" i="18"/>
  <c r="BF470" i="18"/>
  <c r="BE470" i="18"/>
  <c r="BD470" i="18"/>
  <c r="BC470" i="18"/>
  <c r="BB470" i="18"/>
  <c r="BA470" i="18"/>
  <c r="AZ470" i="18"/>
  <c r="AY470" i="18"/>
  <c r="AX470" i="18"/>
  <c r="AW470" i="18"/>
  <c r="AV470" i="18"/>
  <c r="AU470" i="18"/>
  <c r="AT470" i="18"/>
  <c r="AS470" i="18"/>
  <c r="AR470" i="18"/>
  <c r="AQ470" i="18"/>
  <c r="AP470" i="18"/>
  <c r="AO470" i="18"/>
  <c r="AN470" i="18"/>
  <c r="AM470" i="18"/>
  <c r="AL470" i="18"/>
  <c r="AK470" i="18"/>
  <c r="AJ470" i="18"/>
  <c r="AI470" i="18"/>
  <c r="AH470" i="18"/>
  <c r="AG470" i="18"/>
  <c r="AF470" i="18"/>
  <c r="AE470" i="18"/>
  <c r="AD470" i="18"/>
  <c r="AC470" i="18"/>
  <c r="AB470" i="18"/>
  <c r="AA470" i="18"/>
  <c r="Z470" i="18"/>
  <c r="Y470" i="18"/>
  <c r="X470" i="18"/>
  <c r="W470" i="18"/>
  <c r="V470" i="18"/>
  <c r="U470" i="18"/>
  <c r="T470" i="18"/>
  <c r="S470" i="18"/>
  <c r="R470" i="18"/>
  <c r="Q470" i="18"/>
  <c r="P470" i="18"/>
  <c r="O470" i="18"/>
  <c r="N470" i="18"/>
  <c r="M470" i="18"/>
  <c r="L470" i="18"/>
  <c r="K470" i="18"/>
  <c r="J470" i="18"/>
  <c r="I470" i="18"/>
  <c r="H470" i="18"/>
  <c r="G470" i="18"/>
  <c r="F470" i="18"/>
  <c r="E470" i="18"/>
  <c r="D470" i="18"/>
  <c r="C470" i="18"/>
  <c r="B470" i="18"/>
  <c r="A470" i="18"/>
  <c r="CU469" i="18"/>
  <c r="CT469" i="18"/>
  <c r="CS469" i="18"/>
  <c r="CR469" i="18"/>
  <c r="CQ469" i="18"/>
  <c r="CP469" i="18"/>
  <c r="CO469" i="18"/>
  <c r="CN469" i="18"/>
  <c r="CM469" i="18"/>
  <c r="CL469" i="18"/>
  <c r="CK469" i="18"/>
  <c r="CJ469" i="18"/>
  <c r="CI469" i="18"/>
  <c r="CH469" i="18"/>
  <c r="CG469" i="18"/>
  <c r="CF469" i="18"/>
  <c r="CE469" i="18"/>
  <c r="CD469" i="18"/>
  <c r="CC469" i="18"/>
  <c r="CB469" i="18"/>
  <c r="CA469" i="18"/>
  <c r="BZ469" i="18"/>
  <c r="BY469" i="18"/>
  <c r="BX469" i="18"/>
  <c r="BW469" i="18"/>
  <c r="BV469" i="18"/>
  <c r="BU469" i="18"/>
  <c r="BT469" i="18"/>
  <c r="BS469" i="18"/>
  <c r="BR469" i="18"/>
  <c r="BQ469" i="18"/>
  <c r="BP469" i="18"/>
  <c r="BO469" i="18"/>
  <c r="BN469" i="18"/>
  <c r="BM469" i="18"/>
  <c r="BL469" i="18"/>
  <c r="BK469" i="18"/>
  <c r="BJ469" i="18"/>
  <c r="BI469" i="18"/>
  <c r="BH469" i="18"/>
  <c r="BG469" i="18"/>
  <c r="BF469" i="18"/>
  <c r="BE469" i="18"/>
  <c r="BD469" i="18"/>
  <c r="BC469" i="18"/>
  <c r="BB469" i="18"/>
  <c r="BA469" i="18"/>
  <c r="AZ469" i="18"/>
  <c r="AY469" i="18"/>
  <c r="AX469" i="18"/>
  <c r="AW469" i="18"/>
  <c r="AV469" i="18"/>
  <c r="AU469" i="18"/>
  <c r="AT469" i="18"/>
  <c r="AS469" i="18"/>
  <c r="AR469" i="18"/>
  <c r="AQ469" i="18"/>
  <c r="AP469" i="18"/>
  <c r="AO469" i="18"/>
  <c r="AN469" i="18"/>
  <c r="AM469" i="18"/>
  <c r="AL469" i="18"/>
  <c r="AK469" i="18"/>
  <c r="AJ469" i="18"/>
  <c r="AI469" i="18"/>
  <c r="AH469" i="18"/>
  <c r="AG469" i="18"/>
  <c r="AF469" i="18"/>
  <c r="AE469" i="18"/>
  <c r="AD469" i="18"/>
  <c r="AC469" i="18"/>
  <c r="AB469" i="18"/>
  <c r="AA469" i="18"/>
  <c r="Z469" i="18"/>
  <c r="Y469" i="18"/>
  <c r="X469" i="18"/>
  <c r="W469" i="18"/>
  <c r="V469" i="18"/>
  <c r="U469" i="18"/>
  <c r="T469" i="18"/>
  <c r="S469" i="18"/>
  <c r="R469" i="18"/>
  <c r="Q469" i="18"/>
  <c r="P469" i="18"/>
  <c r="O469" i="18"/>
  <c r="N469" i="18"/>
  <c r="M469" i="18"/>
  <c r="L469" i="18"/>
  <c r="K469" i="18"/>
  <c r="J469" i="18"/>
  <c r="I469" i="18"/>
  <c r="H469" i="18"/>
  <c r="G469" i="18"/>
  <c r="F469" i="18"/>
  <c r="E469" i="18"/>
  <c r="D469" i="18"/>
  <c r="C469" i="18"/>
  <c r="B469" i="18"/>
  <c r="A469" i="18"/>
  <c r="CU468" i="18"/>
  <c r="CT468" i="18"/>
  <c r="CS468" i="18"/>
  <c r="CR468" i="18"/>
  <c r="CQ468" i="18"/>
  <c r="CP468" i="18"/>
  <c r="CO468" i="18"/>
  <c r="CN468" i="18"/>
  <c r="CM468" i="18"/>
  <c r="CL468" i="18"/>
  <c r="CK468" i="18"/>
  <c r="CJ468" i="18"/>
  <c r="CI468" i="18"/>
  <c r="CH468" i="18"/>
  <c r="CG468" i="18"/>
  <c r="CF468" i="18"/>
  <c r="CE468" i="18"/>
  <c r="CD468" i="18"/>
  <c r="CC468" i="18"/>
  <c r="CB468" i="18"/>
  <c r="CA468" i="18"/>
  <c r="BZ468" i="18"/>
  <c r="BY468" i="18"/>
  <c r="BX468" i="18"/>
  <c r="BW468" i="18"/>
  <c r="BV468" i="18"/>
  <c r="BU468" i="18"/>
  <c r="BT468" i="18"/>
  <c r="BS468" i="18"/>
  <c r="BR468" i="18"/>
  <c r="BQ468" i="18"/>
  <c r="BP468" i="18"/>
  <c r="BO468" i="18"/>
  <c r="BN468" i="18"/>
  <c r="BM468" i="18"/>
  <c r="BL468" i="18"/>
  <c r="BK468" i="18"/>
  <c r="BJ468" i="18"/>
  <c r="BI468" i="18"/>
  <c r="BH468" i="18"/>
  <c r="BG468" i="18"/>
  <c r="BF468" i="18"/>
  <c r="BE468" i="18"/>
  <c r="BD468" i="18"/>
  <c r="BC468" i="18"/>
  <c r="BB468" i="18"/>
  <c r="BA468" i="18"/>
  <c r="AZ468" i="18"/>
  <c r="AY468" i="18"/>
  <c r="AX468" i="18"/>
  <c r="AW468" i="18"/>
  <c r="AV468" i="18"/>
  <c r="AU468" i="18"/>
  <c r="AT468" i="18"/>
  <c r="AS468" i="18"/>
  <c r="AR468" i="18"/>
  <c r="AQ468" i="18"/>
  <c r="AP468" i="18"/>
  <c r="AO468" i="18"/>
  <c r="AN468" i="18"/>
  <c r="AM468" i="18"/>
  <c r="AL468" i="18"/>
  <c r="AK468" i="18"/>
  <c r="AJ468" i="18"/>
  <c r="AI468" i="18"/>
  <c r="AH468" i="18"/>
  <c r="AG468" i="18"/>
  <c r="AF468" i="18"/>
  <c r="AE468" i="18"/>
  <c r="AD468" i="18"/>
  <c r="AC468" i="18"/>
  <c r="AB468" i="18"/>
  <c r="AA468" i="18"/>
  <c r="Z468" i="18"/>
  <c r="Y468" i="18"/>
  <c r="X468" i="18"/>
  <c r="W468" i="18"/>
  <c r="V468" i="18"/>
  <c r="U468" i="18"/>
  <c r="T468" i="18"/>
  <c r="S468" i="18"/>
  <c r="R468" i="18"/>
  <c r="Q468" i="18"/>
  <c r="P468" i="18"/>
  <c r="O468" i="18"/>
  <c r="N468" i="18"/>
  <c r="M468" i="18"/>
  <c r="L468" i="18"/>
  <c r="K468" i="18"/>
  <c r="J468" i="18"/>
  <c r="I468" i="18"/>
  <c r="H468" i="18"/>
  <c r="G468" i="18"/>
  <c r="F468" i="18"/>
  <c r="E468" i="18"/>
  <c r="D468" i="18"/>
  <c r="C468" i="18"/>
  <c r="B468" i="18"/>
  <c r="A468" i="18"/>
  <c r="CU467" i="18"/>
  <c r="CT467" i="18"/>
  <c r="CS467" i="18"/>
  <c r="CR467" i="18"/>
  <c r="CQ467" i="18"/>
  <c r="CP467" i="18"/>
  <c r="CO467" i="18"/>
  <c r="CN467" i="18"/>
  <c r="CM467" i="18"/>
  <c r="CL467" i="18"/>
  <c r="CK467" i="18"/>
  <c r="CJ467" i="18"/>
  <c r="CI467" i="18"/>
  <c r="CH467" i="18"/>
  <c r="CG467" i="18"/>
  <c r="CF467" i="18"/>
  <c r="CE467" i="18"/>
  <c r="CD467" i="18"/>
  <c r="CC467" i="18"/>
  <c r="CB467" i="18"/>
  <c r="CA467" i="18"/>
  <c r="BZ467" i="18"/>
  <c r="BY467" i="18"/>
  <c r="BX467" i="18"/>
  <c r="BW467" i="18"/>
  <c r="BV467" i="18"/>
  <c r="BU467" i="18"/>
  <c r="BT467" i="18"/>
  <c r="BS467" i="18"/>
  <c r="BR467" i="18"/>
  <c r="BQ467" i="18"/>
  <c r="BP467" i="18"/>
  <c r="BO467" i="18"/>
  <c r="BN467" i="18"/>
  <c r="BM467" i="18"/>
  <c r="BL467" i="18"/>
  <c r="BK467" i="18"/>
  <c r="BJ467" i="18"/>
  <c r="BI467" i="18"/>
  <c r="BH467" i="18"/>
  <c r="BG467" i="18"/>
  <c r="BF467" i="18"/>
  <c r="BE467" i="18"/>
  <c r="BD467" i="18"/>
  <c r="BC467" i="18"/>
  <c r="BB467" i="18"/>
  <c r="BA467" i="18"/>
  <c r="AZ467" i="18"/>
  <c r="AY467" i="18"/>
  <c r="AX467" i="18"/>
  <c r="AW467" i="18"/>
  <c r="AV467" i="18"/>
  <c r="AU467" i="18"/>
  <c r="AT467" i="18"/>
  <c r="AS467" i="18"/>
  <c r="AR467" i="18"/>
  <c r="AQ467" i="18"/>
  <c r="AP467" i="18"/>
  <c r="AO467" i="18"/>
  <c r="AN467" i="18"/>
  <c r="AM467" i="18"/>
  <c r="AL467" i="18"/>
  <c r="AK467" i="18"/>
  <c r="AJ467" i="18"/>
  <c r="AI467" i="18"/>
  <c r="AH467" i="18"/>
  <c r="AG467" i="18"/>
  <c r="AF467" i="18"/>
  <c r="AE467" i="18"/>
  <c r="AD467" i="18"/>
  <c r="AC467" i="18"/>
  <c r="AB467" i="18"/>
  <c r="AA467" i="18"/>
  <c r="Z467" i="18"/>
  <c r="Y467" i="18"/>
  <c r="X467" i="18"/>
  <c r="W467" i="18"/>
  <c r="V467" i="18"/>
  <c r="U467" i="18"/>
  <c r="T467" i="18"/>
  <c r="S467" i="18"/>
  <c r="R467" i="18"/>
  <c r="Q467" i="18"/>
  <c r="P467" i="18"/>
  <c r="O467" i="18"/>
  <c r="N467" i="18"/>
  <c r="M467" i="18"/>
  <c r="L467" i="18"/>
  <c r="K467" i="18"/>
  <c r="J467" i="18"/>
  <c r="I467" i="18"/>
  <c r="H467" i="18"/>
  <c r="G467" i="18"/>
  <c r="F467" i="18"/>
  <c r="E467" i="18"/>
  <c r="D467" i="18"/>
  <c r="C467" i="18"/>
  <c r="B467" i="18"/>
  <c r="A467" i="18"/>
  <c r="CU466" i="18"/>
  <c r="CT466" i="18"/>
  <c r="CS466" i="18"/>
  <c r="CR466" i="18"/>
  <c r="CQ466" i="18"/>
  <c r="CP466" i="18"/>
  <c r="CO466" i="18"/>
  <c r="CN466" i="18"/>
  <c r="CM466" i="18"/>
  <c r="CL466" i="18"/>
  <c r="CK466" i="18"/>
  <c r="CJ466" i="18"/>
  <c r="CI466" i="18"/>
  <c r="CH466" i="18"/>
  <c r="CG466" i="18"/>
  <c r="CF466" i="18"/>
  <c r="CE466" i="18"/>
  <c r="CD466" i="18"/>
  <c r="CC466" i="18"/>
  <c r="CB466" i="18"/>
  <c r="CA466" i="18"/>
  <c r="BZ466" i="18"/>
  <c r="BY466" i="18"/>
  <c r="BX466" i="18"/>
  <c r="BW466" i="18"/>
  <c r="BV466" i="18"/>
  <c r="BU466" i="18"/>
  <c r="BT466" i="18"/>
  <c r="BS466" i="18"/>
  <c r="BR466" i="18"/>
  <c r="BQ466" i="18"/>
  <c r="BP466" i="18"/>
  <c r="BO466" i="18"/>
  <c r="BN466" i="18"/>
  <c r="BM466" i="18"/>
  <c r="BL466" i="18"/>
  <c r="BK466" i="18"/>
  <c r="BJ466" i="18"/>
  <c r="BI466" i="18"/>
  <c r="BH466" i="18"/>
  <c r="BG466" i="18"/>
  <c r="BF466" i="18"/>
  <c r="BE466" i="18"/>
  <c r="BD466" i="18"/>
  <c r="BC466" i="18"/>
  <c r="BB466" i="18"/>
  <c r="BA466" i="18"/>
  <c r="AZ466" i="18"/>
  <c r="AY466" i="18"/>
  <c r="AX466" i="18"/>
  <c r="AW466" i="18"/>
  <c r="AV466" i="18"/>
  <c r="AU466" i="18"/>
  <c r="AT466" i="18"/>
  <c r="AS466" i="18"/>
  <c r="AR466" i="18"/>
  <c r="AQ466" i="18"/>
  <c r="AP466" i="18"/>
  <c r="AO466" i="18"/>
  <c r="AN466" i="18"/>
  <c r="AM466" i="18"/>
  <c r="AL466" i="18"/>
  <c r="AK466" i="18"/>
  <c r="AJ466" i="18"/>
  <c r="AI466" i="18"/>
  <c r="AH466" i="18"/>
  <c r="AG466" i="18"/>
  <c r="AF466" i="18"/>
  <c r="AE466" i="18"/>
  <c r="AD466" i="18"/>
  <c r="AC466" i="18"/>
  <c r="AB466" i="18"/>
  <c r="AA466" i="18"/>
  <c r="Z466" i="18"/>
  <c r="Y466" i="18"/>
  <c r="X466" i="18"/>
  <c r="W466" i="18"/>
  <c r="V466" i="18"/>
  <c r="U466" i="18"/>
  <c r="T466" i="18"/>
  <c r="S466" i="18"/>
  <c r="R466" i="18"/>
  <c r="Q466" i="18"/>
  <c r="P466" i="18"/>
  <c r="O466" i="18"/>
  <c r="N466" i="18"/>
  <c r="M466" i="18"/>
  <c r="L466" i="18"/>
  <c r="K466" i="18"/>
  <c r="J466" i="18"/>
  <c r="I466" i="18"/>
  <c r="H466" i="18"/>
  <c r="G466" i="18"/>
  <c r="F466" i="18"/>
  <c r="E466" i="18"/>
  <c r="D466" i="18"/>
  <c r="C466" i="18"/>
  <c r="B466" i="18"/>
  <c r="A466" i="18"/>
  <c r="CU465" i="18"/>
  <c r="CT465" i="18"/>
  <c r="CS465" i="18"/>
  <c r="CR465" i="18"/>
  <c r="CQ465" i="18"/>
  <c r="CP465" i="18"/>
  <c r="CO465" i="18"/>
  <c r="CN465" i="18"/>
  <c r="CM465" i="18"/>
  <c r="CL465" i="18"/>
  <c r="CK465" i="18"/>
  <c r="CJ465" i="18"/>
  <c r="CI465" i="18"/>
  <c r="CH465" i="18"/>
  <c r="CG465" i="18"/>
  <c r="CF465" i="18"/>
  <c r="CE465" i="18"/>
  <c r="CD465" i="18"/>
  <c r="CC465" i="18"/>
  <c r="CB465" i="18"/>
  <c r="CA465" i="18"/>
  <c r="BZ465" i="18"/>
  <c r="BY465" i="18"/>
  <c r="BX465" i="18"/>
  <c r="BW465" i="18"/>
  <c r="BV465" i="18"/>
  <c r="BU465" i="18"/>
  <c r="BT465" i="18"/>
  <c r="BS465" i="18"/>
  <c r="BR465" i="18"/>
  <c r="BQ465" i="18"/>
  <c r="BP465" i="18"/>
  <c r="BO465" i="18"/>
  <c r="BN465" i="18"/>
  <c r="BM465" i="18"/>
  <c r="BL465" i="18"/>
  <c r="BK465" i="18"/>
  <c r="BJ465" i="18"/>
  <c r="BI465" i="18"/>
  <c r="BH465" i="18"/>
  <c r="BG465" i="18"/>
  <c r="BF465" i="18"/>
  <c r="BE465" i="18"/>
  <c r="BD465" i="18"/>
  <c r="BC465" i="18"/>
  <c r="BB465" i="18"/>
  <c r="BA465" i="18"/>
  <c r="AZ465" i="18"/>
  <c r="AY465" i="18"/>
  <c r="AX465" i="18"/>
  <c r="AW465" i="18"/>
  <c r="AV465" i="18"/>
  <c r="AU465" i="18"/>
  <c r="AT465" i="18"/>
  <c r="AS465" i="18"/>
  <c r="AR465" i="18"/>
  <c r="AQ465" i="18"/>
  <c r="AP465" i="18"/>
  <c r="AO465" i="18"/>
  <c r="AN465" i="18"/>
  <c r="AM465" i="18"/>
  <c r="AL465" i="18"/>
  <c r="AK465" i="18"/>
  <c r="AJ465" i="18"/>
  <c r="AI465" i="18"/>
  <c r="AH465" i="18"/>
  <c r="AG465" i="18"/>
  <c r="AF465" i="18"/>
  <c r="AE465" i="18"/>
  <c r="AD465" i="18"/>
  <c r="AC465" i="18"/>
  <c r="AB465" i="18"/>
  <c r="AA465" i="18"/>
  <c r="Z465" i="18"/>
  <c r="Y465" i="18"/>
  <c r="X465" i="18"/>
  <c r="W465" i="18"/>
  <c r="V465" i="18"/>
  <c r="U465" i="18"/>
  <c r="T465" i="18"/>
  <c r="S465" i="18"/>
  <c r="R465" i="18"/>
  <c r="Q465" i="18"/>
  <c r="P465" i="18"/>
  <c r="O465" i="18"/>
  <c r="N465" i="18"/>
  <c r="M465" i="18"/>
  <c r="L465" i="18"/>
  <c r="K465" i="18"/>
  <c r="J465" i="18"/>
  <c r="I465" i="18"/>
  <c r="H465" i="18"/>
  <c r="G465" i="18"/>
  <c r="F465" i="18"/>
  <c r="E465" i="18"/>
  <c r="D465" i="18"/>
  <c r="C465" i="18"/>
  <c r="B465" i="18"/>
  <c r="A465" i="18"/>
  <c r="CU464" i="18"/>
  <c r="CT464" i="18"/>
  <c r="CS464" i="18"/>
  <c r="CR464" i="18"/>
  <c r="CQ464" i="18"/>
  <c r="CP464" i="18"/>
  <c r="CO464" i="18"/>
  <c r="CN464" i="18"/>
  <c r="CM464" i="18"/>
  <c r="CL464" i="18"/>
  <c r="CK464" i="18"/>
  <c r="CJ464" i="18"/>
  <c r="CI464" i="18"/>
  <c r="CH464" i="18"/>
  <c r="CG464" i="18"/>
  <c r="CF464" i="18"/>
  <c r="CE464" i="18"/>
  <c r="CD464" i="18"/>
  <c r="CC464" i="18"/>
  <c r="CB464" i="18"/>
  <c r="CA464" i="18"/>
  <c r="BZ464" i="18"/>
  <c r="BY464" i="18"/>
  <c r="BX464" i="18"/>
  <c r="BW464" i="18"/>
  <c r="BV464" i="18"/>
  <c r="BU464" i="18"/>
  <c r="BT464" i="18"/>
  <c r="BS464" i="18"/>
  <c r="BR464" i="18"/>
  <c r="BQ464" i="18"/>
  <c r="BP464" i="18"/>
  <c r="BO464" i="18"/>
  <c r="BN464" i="18"/>
  <c r="BM464" i="18"/>
  <c r="BL464" i="18"/>
  <c r="BK464" i="18"/>
  <c r="BJ464" i="18"/>
  <c r="BI464" i="18"/>
  <c r="BH464" i="18"/>
  <c r="BG464" i="18"/>
  <c r="BF464" i="18"/>
  <c r="BE464" i="18"/>
  <c r="BD464" i="18"/>
  <c r="BC464" i="18"/>
  <c r="BB464" i="18"/>
  <c r="BA464" i="18"/>
  <c r="AZ464" i="18"/>
  <c r="AY464" i="18"/>
  <c r="AX464" i="18"/>
  <c r="AW464" i="18"/>
  <c r="AV464" i="18"/>
  <c r="AU464" i="18"/>
  <c r="AT464" i="18"/>
  <c r="AS464" i="18"/>
  <c r="AR464" i="18"/>
  <c r="AQ464" i="18"/>
  <c r="AP464" i="18"/>
  <c r="AO464" i="18"/>
  <c r="AN464" i="18"/>
  <c r="AM464" i="18"/>
  <c r="AL464" i="18"/>
  <c r="AK464" i="18"/>
  <c r="AJ464" i="18"/>
  <c r="AI464" i="18"/>
  <c r="AH464" i="18"/>
  <c r="AG464" i="18"/>
  <c r="AF464" i="18"/>
  <c r="AE464" i="18"/>
  <c r="AD464" i="18"/>
  <c r="AC464" i="18"/>
  <c r="AB464" i="18"/>
  <c r="AA464" i="18"/>
  <c r="Z464" i="18"/>
  <c r="Y464" i="18"/>
  <c r="X464" i="18"/>
  <c r="W464" i="18"/>
  <c r="V464" i="18"/>
  <c r="U464" i="18"/>
  <c r="T464" i="18"/>
  <c r="S464" i="18"/>
  <c r="R464" i="18"/>
  <c r="Q464" i="18"/>
  <c r="P464" i="18"/>
  <c r="O464" i="18"/>
  <c r="N464" i="18"/>
  <c r="M464" i="18"/>
  <c r="L464" i="18"/>
  <c r="K464" i="18"/>
  <c r="J464" i="18"/>
  <c r="I464" i="18"/>
  <c r="H464" i="18"/>
  <c r="G464" i="18"/>
  <c r="F464" i="18"/>
  <c r="E464" i="18"/>
  <c r="D464" i="18"/>
  <c r="C464" i="18"/>
  <c r="B464" i="18"/>
  <c r="A464" i="18"/>
  <c r="CU463" i="18"/>
  <c r="CT463" i="18"/>
  <c r="CS463" i="18"/>
  <c r="CR463" i="18"/>
  <c r="CQ463" i="18"/>
  <c r="CP463" i="18"/>
  <c r="CO463" i="18"/>
  <c r="CN463" i="18"/>
  <c r="CM463" i="18"/>
  <c r="CL463" i="18"/>
  <c r="CK463" i="18"/>
  <c r="CJ463" i="18"/>
  <c r="CI463" i="18"/>
  <c r="CH463" i="18"/>
  <c r="CG463" i="18"/>
  <c r="CF463" i="18"/>
  <c r="CE463" i="18"/>
  <c r="CD463" i="18"/>
  <c r="CC463" i="18"/>
  <c r="CB463" i="18"/>
  <c r="CA463" i="18"/>
  <c r="BZ463" i="18"/>
  <c r="BY463" i="18"/>
  <c r="BX463" i="18"/>
  <c r="BW463" i="18"/>
  <c r="BV463" i="18"/>
  <c r="BU463" i="18"/>
  <c r="BT463" i="18"/>
  <c r="BS463" i="18"/>
  <c r="BR463" i="18"/>
  <c r="BQ463" i="18"/>
  <c r="BP463" i="18"/>
  <c r="BO463" i="18"/>
  <c r="BN463" i="18"/>
  <c r="BM463" i="18"/>
  <c r="BL463" i="18"/>
  <c r="BK463" i="18"/>
  <c r="BJ463" i="18"/>
  <c r="BI463" i="18"/>
  <c r="BH463" i="18"/>
  <c r="BG463" i="18"/>
  <c r="BF463" i="18"/>
  <c r="BE463" i="18"/>
  <c r="BD463" i="18"/>
  <c r="BC463" i="18"/>
  <c r="BB463" i="18"/>
  <c r="BA463" i="18"/>
  <c r="AZ463" i="18"/>
  <c r="AY463" i="18"/>
  <c r="AX463" i="18"/>
  <c r="AW463" i="18"/>
  <c r="AV463" i="18"/>
  <c r="AU463" i="18"/>
  <c r="AT463" i="18"/>
  <c r="AS463" i="18"/>
  <c r="AR463" i="18"/>
  <c r="AQ463" i="18"/>
  <c r="AP463" i="18"/>
  <c r="AO463" i="18"/>
  <c r="AN463" i="18"/>
  <c r="AM463" i="18"/>
  <c r="AL463" i="18"/>
  <c r="AK463" i="18"/>
  <c r="AJ463" i="18"/>
  <c r="AI463" i="18"/>
  <c r="AH463" i="18"/>
  <c r="AG463" i="18"/>
  <c r="AF463" i="18"/>
  <c r="AE463" i="18"/>
  <c r="AD463" i="18"/>
  <c r="AC463" i="18"/>
  <c r="AB463" i="18"/>
  <c r="AA463" i="18"/>
  <c r="Z463" i="18"/>
  <c r="Y463" i="18"/>
  <c r="X463" i="18"/>
  <c r="W463" i="18"/>
  <c r="V463" i="18"/>
  <c r="U463" i="18"/>
  <c r="T463" i="18"/>
  <c r="S463" i="18"/>
  <c r="R463" i="18"/>
  <c r="Q463" i="18"/>
  <c r="P463" i="18"/>
  <c r="O463" i="18"/>
  <c r="N463" i="18"/>
  <c r="M463" i="18"/>
  <c r="L463" i="18"/>
  <c r="K463" i="18"/>
  <c r="J463" i="18"/>
  <c r="I463" i="18"/>
  <c r="H463" i="18"/>
  <c r="G463" i="18"/>
  <c r="F463" i="18"/>
  <c r="E463" i="18"/>
  <c r="D463" i="18"/>
  <c r="C463" i="18"/>
  <c r="B463" i="18"/>
  <c r="A463" i="18"/>
  <c r="CU462" i="18"/>
  <c r="CT462" i="18"/>
  <c r="CS462" i="18"/>
  <c r="CR462" i="18"/>
  <c r="CQ462" i="18"/>
  <c r="CP462" i="18"/>
  <c r="CO462" i="18"/>
  <c r="CN462" i="18"/>
  <c r="CM462" i="18"/>
  <c r="CL462" i="18"/>
  <c r="CK462" i="18"/>
  <c r="CJ462" i="18"/>
  <c r="CI462" i="18"/>
  <c r="CH462" i="18"/>
  <c r="CG462" i="18"/>
  <c r="CF462" i="18"/>
  <c r="CE462" i="18"/>
  <c r="CD462" i="18"/>
  <c r="CC462" i="18"/>
  <c r="CB462" i="18"/>
  <c r="CA462" i="18"/>
  <c r="BZ462" i="18"/>
  <c r="BY462" i="18"/>
  <c r="BX462" i="18"/>
  <c r="BW462" i="18"/>
  <c r="BV462" i="18"/>
  <c r="BU462" i="18"/>
  <c r="BT462" i="18"/>
  <c r="BS462" i="18"/>
  <c r="BR462" i="18"/>
  <c r="BQ462" i="18"/>
  <c r="BP462" i="18"/>
  <c r="BO462" i="18"/>
  <c r="BN462" i="18"/>
  <c r="BM462" i="18"/>
  <c r="BL462" i="18"/>
  <c r="BK462" i="18"/>
  <c r="BJ462" i="18"/>
  <c r="BI462" i="18"/>
  <c r="BH462" i="18"/>
  <c r="BG462" i="18"/>
  <c r="BF462" i="18"/>
  <c r="BE462" i="18"/>
  <c r="BD462" i="18"/>
  <c r="BC462" i="18"/>
  <c r="BB462" i="18"/>
  <c r="BA462" i="18"/>
  <c r="AZ462" i="18"/>
  <c r="AY462" i="18"/>
  <c r="AX462" i="18"/>
  <c r="AW462" i="18"/>
  <c r="AV462" i="18"/>
  <c r="AU462" i="18"/>
  <c r="AT462" i="18"/>
  <c r="AS462" i="18"/>
  <c r="AR462" i="18"/>
  <c r="AQ462" i="18"/>
  <c r="AP462" i="18"/>
  <c r="AO462" i="18"/>
  <c r="AN462" i="18"/>
  <c r="AM462" i="18"/>
  <c r="AL462" i="18"/>
  <c r="AK462" i="18"/>
  <c r="AJ462" i="18"/>
  <c r="AI462" i="18"/>
  <c r="AH462" i="18"/>
  <c r="AG462" i="18"/>
  <c r="AF462" i="18"/>
  <c r="AE462" i="18"/>
  <c r="AD462" i="18"/>
  <c r="AC462" i="18"/>
  <c r="AB462" i="18"/>
  <c r="AA462" i="18"/>
  <c r="Z462" i="18"/>
  <c r="Y462" i="18"/>
  <c r="X462" i="18"/>
  <c r="W462" i="18"/>
  <c r="V462" i="18"/>
  <c r="U462" i="18"/>
  <c r="T462" i="18"/>
  <c r="S462" i="18"/>
  <c r="R462" i="18"/>
  <c r="Q462" i="18"/>
  <c r="P462" i="18"/>
  <c r="O462" i="18"/>
  <c r="N462" i="18"/>
  <c r="M462" i="18"/>
  <c r="L462" i="18"/>
  <c r="K462" i="18"/>
  <c r="J462" i="18"/>
  <c r="I462" i="18"/>
  <c r="H462" i="18"/>
  <c r="G462" i="18"/>
  <c r="F462" i="18"/>
  <c r="E462" i="18"/>
  <c r="D462" i="18"/>
  <c r="C462" i="18"/>
  <c r="B462" i="18"/>
  <c r="A462" i="18"/>
  <c r="CU461" i="18"/>
  <c r="CT461" i="18"/>
  <c r="CS461" i="18"/>
  <c r="CR461" i="18"/>
  <c r="CQ461" i="18"/>
  <c r="CP461" i="18"/>
  <c r="CO461" i="18"/>
  <c r="CN461" i="18"/>
  <c r="CM461" i="18"/>
  <c r="CL461" i="18"/>
  <c r="CK461" i="18"/>
  <c r="CJ461" i="18"/>
  <c r="CI461" i="18"/>
  <c r="CH461" i="18"/>
  <c r="CG461" i="18"/>
  <c r="CF461" i="18"/>
  <c r="CE461" i="18"/>
  <c r="CD461" i="18"/>
  <c r="CC461" i="18"/>
  <c r="CB461" i="18"/>
  <c r="CA461" i="18"/>
  <c r="BZ461" i="18"/>
  <c r="BY461" i="18"/>
  <c r="BX461" i="18"/>
  <c r="BW461" i="18"/>
  <c r="BV461" i="18"/>
  <c r="BU461" i="18"/>
  <c r="BT461" i="18"/>
  <c r="BS461" i="18"/>
  <c r="BR461" i="18"/>
  <c r="BQ461" i="18"/>
  <c r="BP461" i="18"/>
  <c r="BO461" i="18"/>
  <c r="BN461" i="18"/>
  <c r="BM461" i="18"/>
  <c r="BL461" i="18"/>
  <c r="BK461" i="18"/>
  <c r="BJ461" i="18"/>
  <c r="BI461" i="18"/>
  <c r="BH461" i="18"/>
  <c r="BG461" i="18"/>
  <c r="BF461" i="18"/>
  <c r="BE461" i="18"/>
  <c r="BD461" i="18"/>
  <c r="BC461" i="18"/>
  <c r="BB461" i="18"/>
  <c r="BA461" i="18"/>
  <c r="AZ461" i="18"/>
  <c r="AY461" i="18"/>
  <c r="AX461" i="18"/>
  <c r="AW461" i="18"/>
  <c r="AV461" i="18"/>
  <c r="AU461" i="18"/>
  <c r="AT461" i="18"/>
  <c r="AS461" i="18"/>
  <c r="AR461" i="18"/>
  <c r="AQ461" i="18"/>
  <c r="AP461" i="18"/>
  <c r="AO461" i="18"/>
  <c r="AN461" i="18"/>
  <c r="AM461" i="18"/>
  <c r="AL461" i="18"/>
  <c r="AK461" i="18"/>
  <c r="AJ461" i="18"/>
  <c r="AI461" i="18"/>
  <c r="AH461" i="18"/>
  <c r="AG461" i="18"/>
  <c r="AF461" i="18"/>
  <c r="AE461" i="18"/>
  <c r="AD461" i="18"/>
  <c r="AC461" i="18"/>
  <c r="AB461" i="18"/>
  <c r="AA461" i="18"/>
  <c r="Z461" i="18"/>
  <c r="Y461" i="18"/>
  <c r="X461" i="18"/>
  <c r="W461" i="18"/>
  <c r="V461" i="18"/>
  <c r="U461" i="18"/>
  <c r="T461" i="18"/>
  <c r="S461" i="18"/>
  <c r="R461" i="18"/>
  <c r="Q461" i="18"/>
  <c r="P461" i="18"/>
  <c r="O461" i="18"/>
  <c r="N461" i="18"/>
  <c r="M461" i="18"/>
  <c r="L461" i="18"/>
  <c r="K461" i="18"/>
  <c r="J461" i="18"/>
  <c r="I461" i="18"/>
  <c r="H461" i="18"/>
  <c r="G461" i="18"/>
  <c r="F461" i="18"/>
  <c r="E461" i="18"/>
  <c r="D461" i="18"/>
  <c r="C461" i="18"/>
  <c r="B461" i="18"/>
  <c r="A461" i="18"/>
  <c r="CU460" i="18"/>
  <c r="CT460" i="18"/>
  <c r="CS460" i="18"/>
  <c r="CR460" i="18"/>
  <c r="CP460" i="18"/>
  <c r="CO460" i="18"/>
  <c r="CN460" i="18"/>
  <c r="CM460" i="18"/>
  <c r="CL460" i="18"/>
  <c r="CK460" i="18"/>
  <c r="CJ460" i="18"/>
  <c r="CI460" i="18"/>
  <c r="CH460" i="18"/>
  <c r="CG460" i="18"/>
  <c r="CF460" i="18"/>
  <c r="CE460" i="18"/>
  <c r="CD460" i="18"/>
  <c r="CC460" i="18"/>
  <c r="CB460" i="18"/>
  <c r="CA460" i="18"/>
  <c r="BZ460" i="18"/>
  <c r="BY460" i="18"/>
  <c r="BT460" i="18"/>
  <c r="BS460" i="18"/>
  <c r="BR460" i="18"/>
  <c r="BQ460" i="18"/>
  <c r="BP460" i="18"/>
  <c r="BO460" i="18"/>
  <c r="BN460" i="18"/>
  <c r="BM460" i="18"/>
  <c r="BL460" i="18"/>
  <c r="BK460" i="18"/>
  <c r="BJ460" i="18"/>
  <c r="BI460" i="18"/>
  <c r="BH460" i="18"/>
  <c r="BG460" i="18"/>
  <c r="BF460" i="18"/>
  <c r="BE460" i="18"/>
  <c r="BD460" i="18"/>
  <c r="BC460" i="18"/>
  <c r="BB460" i="18"/>
  <c r="BA460" i="18"/>
  <c r="AZ460" i="18"/>
  <c r="AY460" i="18"/>
  <c r="AX460" i="18"/>
  <c r="AW460" i="18"/>
  <c r="AV460" i="18"/>
  <c r="AU460" i="18"/>
  <c r="AT460" i="18"/>
  <c r="AS460" i="18"/>
  <c r="AR460" i="18"/>
  <c r="AQ460" i="18"/>
  <c r="AP460" i="18"/>
  <c r="AO460" i="18"/>
  <c r="AN460" i="18"/>
  <c r="AM460" i="18"/>
  <c r="AL460" i="18"/>
  <c r="AK460" i="18"/>
  <c r="AJ460" i="18"/>
  <c r="AI460" i="18"/>
  <c r="AH460" i="18"/>
  <c r="AG460" i="18"/>
  <c r="AF460" i="18"/>
  <c r="AE460" i="18"/>
  <c r="AD460" i="18"/>
  <c r="AC460" i="18"/>
  <c r="AB460" i="18"/>
  <c r="AA460" i="18"/>
  <c r="Z460" i="18"/>
  <c r="Y460" i="18"/>
  <c r="X460" i="18"/>
  <c r="W460" i="18"/>
  <c r="V460" i="18"/>
  <c r="U460" i="18"/>
  <c r="T460" i="18"/>
  <c r="S460" i="18"/>
  <c r="R460" i="18"/>
  <c r="Q460" i="18"/>
  <c r="P460" i="18"/>
  <c r="O460" i="18"/>
  <c r="N460" i="18"/>
  <c r="M460" i="18"/>
  <c r="L460" i="18"/>
  <c r="K460" i="18"/>
  <c r="J460" i="18"/>
  <c r="I460" i="18"/>
  <c r="H460" i="18"/>
  <c r="G460" i="18"/>
  <c r="F460" i="18"/>
  <c r="E460" i="18"/>
  <c r="D460" i="18"/>
  <c r="C460" i="18"/>
  <c r="B460" i="18"/>
  <c r="A460" i="18"/>
  <c r="CU459" i="18"/>
  <c r="CT459" i="18"/>
  <c r="CS459" i="18"/>
  <c r="CR459" i="18"/>
  <c r="CQ459" i="18"/>
  <c r="CP459" i="18"/>
  <c r="CO459" i="18"/>
  <c r="CN459" i="18"/>
  <c r="CM459" i="18"/>
  <c r="CL459" i="18"/>
  <c r="CK459" i="18"/>
  <c r="CJ459" i="18"/>
  <c r="CI459" i="18"/>
  <c r="CH459" i="18"/>
  <c r="CG459" i="18"/>
  <c r="CF459" i="18"/>
  <c r="CE459" i="18"/>
  <c r="CD459" i="18"/>
  <c r="CC459" i="18"/>
  <c r="CB459" i="18"/>
  <c r="CA459" i="18"/>
  <c r="BZ459" i="18"/>
  <c r="BY459" i="18"/>
  <c r="BX459" i="18"/>
  <c r="BW459" i="18"/>
  <c r="BV459" i="18"/>
  <c r="BU459" i="18"/>
  <c r="BT459" i="18"/>
  <c r="BS459" i="18"/>
  <c r="BR459" i="18"/>
  <c r="BQ459" i="18"/>
  <c r="BP459" i="18"/>
  <c r="BO459" i="18"/>
  <c r="BN459" i="18"/>
  <c r="BM459" i="18"/>
  <c r="BL459" i="18"/>
  <c r="BK459" i="18"/>
  <c r="BJ459" i="18"/>
  <c r="BI459" i="18"/>
  <c r="BH459" i="18"/>
  <c r="BG459" i="18"/>
  <c r="BF459" i="18"/>
  <c r="BE459" i="18"/>
  <c r="BD459" i="18"/>
  <c r="BC459" i="18"/>
  <c r="BB459" i="18"/>
  <c r="BA459" i="18"/>
  <c r="AZ459" i="18"/>
  <c r="AY459" i="18"/>
  <c r="AX459" i="18"/>
  <c r="AW459" i="18"/>
  <c r="AV459" i="18"/>
  <c r="AU459" i="18"/>
  <c r="AT459" i="18"/>
  <c r="AS459" i="18"/>
  <c r="AR459" i="18"/>
  <c r="AQ459" i="18"/>
  <c r="AP459" i="18"/>
  <c r="AO459" i="18"/>
  <c r="AN459" i="18"/>
  <c r="AM459" i="18"/>
  <c r="AL459" i="18"/>
  <c r="AK459" i="18"/>
  <c r="AJ459" i="18"/>
  <c r="AI459" i="18"/>
  <c r="AH459" i="18"/>
  <c r="AG459" i="18"/>
  <c r="AF459" i="18"/>
  <c r="AE459" i="18"/>
  <c r="AD459" i="18"/>
  <c r="AC459" i="18"/>
  <c r="AB459" i="18"/>
  <c r="AA459" i="18"/>
  <c r="Z459" i="18"/>
  <c r="Y459" i="18"/>
  <c r="X459" i="18"/>
  <c r="W459" i="18"/>
  <c r="V459" i="18"/>
  <c r="U459" i="18"/>
  <c r="T459" i="18"/>
  <c r="S459" i="18"/>
  <c r="R459" i="18"/>
  <c r="Q459" i="18"/>
  <c r="P459" i="18"/>
  <c r="O459" i="18"/>
  <c r="N459" i="18"/>
  <c r="M459" i="18"/>
  <c r="L459" i="18"/>
  <c r="K459" i="18"/>
  <c r="J459" i="18"/>
  <c r="I459" i="18"/>
  <c r="H459" i="18"/>
  <c r="G459" i="18"/>
  <c r="F459" i="18"/>
  <c r="E459" i="18"/>
  <c r="D459" i="18"/>
  <c r="C459" i="18"/>
  <c r="B459" i="18"/>
  <c r="A459" i="18"/>
  <c r="CU458" i="18"/>
  <c r="CT458" i="18"/>
  <c r="CS458" i="18"/>
  <c r="CR458" i="18"/>
  <c r="CQ458" i="18"/>
  <c r="CP458" i="18"/>
  <c r="CO458" i="18"/>
  <c r="CN458" i="18"/>
  <c r="CM458" i="18"/>
  <c r="CL458" i="18"/>
  <c r="CK458" i="18"/>
  <c r="CJ458" i="18"/>
  <c r="CI458" i="18"/>
  <c r="CH458" i="18"/>
  <c r="CG458" i="18"/>
  <c r="CF458" i="18"/>
  <c r="CE458" i="18"/>
  <c r="CD458" i="18"/>
  <c r="CC458" i="18"/>
  <c r="CB458" i="18"/>
  <c r="CA458" i="18"/>
  <c r="BZ458" i="18"/>
  <c r="BY458" i="18"/>
  <c r="BX458" i="18"/>
  <c r="BW458" i="18"/>
  <c r="BV458" i="18"/>
  <c r="BU458" i="18"/>
  <c r="BT458" i="18"/>
  <c r="BS458" i="18"/>
  <c r="BR458" i="18"/>
  <c r="BQ458" i="18"/>
  <c r="BP458" i="18"/>
  <c r="BO458" i="18"/>
  <c r="BN458" i="18"/>
  <c r="BM458" i="18"/>
  <c r="BL458" i="18"/>
  <c r="BK458" i="18"/>
  <c r="BJ458" i="18"/>
  <c r="BI458" i="18"/>
  <c r="BH458" i="18"/>
  <c r="BG458" i="18"/>
  <c r="BF458" i="18"/>
  <c r="BE458" i="18"/>
  <c r="BD458" i="18"/>
  <c r="BC458" i="18"/>
  <c r="BB458" i="18"/>
  <c r="BA458" i="18"/>
  <c r="AZ458" i="18"/>
  <c r="AY458" i="18"/>
  <c r="AX458" i="18"/>
  <c r="AW458" i="18"/>
  <c r="AV458" i="18"/>
  <c r="AU458" i="18"/>
  <c r="AT458" i="18"/>
  <c r="AS458" i="18"/>
  <c r="AR458" i="18"/>
  <c r="AQ458" i="18"/>
  <c r="AP458" i="18"/>
  <c r="AO458" i="18"/>
  <c r="AN458" i="18"/>
  <c r="AM458" i="18"/>
  <c r="AL458" i="18"/>
  <c r="AK458" i="18"/>
  <c r="AJ458" i="18"/>
  <c r="AI458" i="18"/>
  <c r="AH458" i="18"/>
  <c r="AG458" i="18"/>
  <c r="AF458" i="18"/>
  <c r="AE458" i="18"/>
  <c r="AD458" i="18"/>
  <c r="AC458" i="18"/>
  <c r="AB458" i="18"/>
  <c r="AA458" i="18"/>
  <c r="Z458" i="18"/>
  <c r="Y458" i="18"/>
  <c r="X458" i="18"/>
  <c r="W458" i="18"/>
  <c r="V458" i="18"/>
  <c r="U458" i="18"/>
  <c r="T458" i="18"/>
  <c r="S458" i="18"/>
  <c r="R458" i="18"/>
  <c r="Q458" i="18"/>
  <c r="P458" i="18"/>
  <c r="O458" i="18"/>
  <c r="N458" i="18"/>
  <c r="M458" i="18"/>
  <c r="L458" i="18"/>
  <c r="K458" i="18"/>
  <c r="J458" i="18"/>
  <c r="I458" i="18"/>
  <c r="H458" i="18"/>
  <c r="G458" i="18"/>
  <c r="F458" i="18"/>
  <c r="E458" i="18"/>
  <c r="D458" i="18"/>
  <c r="C458" i="18"/>
  <c r="B458" i="18"/>
  <c r="A458" i="18"/>
  <c r="CU457" i="18"/>
  <c r="CT457" i="18"/>
  <c r="CS457" i="18"/>
  <c r="CR457" i="18"/>
  <c r="CQ457" i="18"/>
  <c r="CP457" i="18"/>
  <c r="CO457" i="18"/>
  <c r="CN457" i="18"/>
  <c r="CM457" i="18"/>
  <c r="CL457" i="18"/>
  <c r="CK457" i="18"/>
  <c r="CJ457" i="18"/>
  <c r="CI457" i="18"/>
  <c r="CH457" i="18"/>
  <c r="CG457" i="18"/>
  <c r="CF457" i="18"/>
  <c r="CE457" i="18"/>
  <c r="CD457" i="18"/>
  <c r="CC457" i="18"/>
  <c r="CB457" i="18"/>
  <c r="CA457" i="18"/>
  <c r="BZ457" i="18"/>
  <c r="BY457" i="18"/>
  <c r="BX457" i="18"/>
  <c r="BW457" i="18"/>
  <c r="BV457" i="18"/>
  <c r="BU457" i="18"/>
  <c r="BT457" i="18"/>
  <c r="BS457" i="18"/>
  <c r="BR457" i="18"/>
  <c r="BQ457" i="18"/>
  <c r="BP457" i="18"/>
  <c r="BO457" i="18"/>
  <c r="BN457" i="18"/>
  <c r="BM457" i="18"/>
  <c r="BL457" i="18"/>
  <c r="BK457" i="18"/>
  <c r="BJ457" i="18"/>
  <c r="BI457" i="18"/>
  <c r="BH457" i="18"/>
  <c r="BG457" i="18"/>
  <c r="BF457" i="18"/>
  <c r="BE457" i="18"/>
  <c r="BD457" i="18"/>
  <c r="BC457" i="18"/>
  <c r="BB457" i="18"/>
  <c r="BA457" i="18"/>
  <c r="AZ457" i="18"/>
  <c r="AY457" i="18"/>
  <c r="AX457" i="18"/>
  <c r="AW457" i="18"/>
  <c r="AV457" i="18"/>
  <c r="AU457" i="18"/>
  <c r="AT457" i="18"/>
  <c r="AS457" i="18"/>
  <c r="AR457" i="18"/>
  <c r="AQ457" i="18"/>
  <c r="AP457" i="18"/>
  <c r="AO457" i="18"/>
  <c r="AN457" i="18"/>
  <c r="AM457" i="18"/>
  <c r="AL457" i="18"/>
  <c r="AK457" i="18"/>
  <c r="AJ457" i="18"/>
  <c r="AI457" i="18"/>
  <c r="AH457" i="18"/>
  <c r="AG457" i="18"/>
  <c r="AF457" i="18"/>
  <c r="AE457" i="18"/>
  <c r="AD457" i="18"/>
  <c r="AC457" i="18"/>
  <c r="AB457" i="18"/>
  <c r="AA457" i="18"/>
  <c r="Z457" i="18"/>
  <c r="Y457" i="18"/>
  <c r="X457" i="18"/>
  <c r="W457" i="18"/>
  <c r="V457" i="18"/>
  <c r="U457" i="18"/>
  <c r="T457" i="18"/>
  <c r="S457" i="18"/>
  <c r="R457" i="18"/>
  <c r="Q457" i="18"/>
  <c r="P457" i="18"/>
  <c r="O457" i="18"/>
  <c r="N457" i="18"/>
  <c r="M457" i="18"/>
  <c r="L457" i="18"/>
  <c r="K457" i="18"/>
  <c r="J457" i="18"/>
  <c r="I457" i="18"/>
  <c r="H457" i="18"/>
  <c r="G457" i="18"/>
  <c r="F457" i="18"/>
  <c r="E457" i="18"/>
  <c r="D457" i="18"/>
  <c r="C457" i="18"/>
  <c r="B457" i="18"/>
  <c r="A457" i="18"/>
  <c r="CU456" i="18"/>
  <c r="CT456" i="18"/>
  <c r="CS456" i="18"/>
  <c r="CR456" i="18"/>
  <c r="CQ456" i="18"/>
  <c r="CP456" i="18"/>
  <c r="CO456" i="18"/>
  <c r="CN456" i="18"/>
  <c r="CM456" i="18"/>
  <c r="CL456" i="18"/>
  <c r="CK456" i="18"/>
  <c r="CJ456" i="18"/>
  <c r="CI456" i="18"/>
  <c r="CH456" i="18"/>
  <c r="CG456" i="18"/>
  <c r="CF456" i="18"/>
  <c r="CE456" i="18"/>
  <c r="CD456" i="18"/>
  <c r="CC456" i="18"/>
  <c r="CB456" i="18"/>
  <c r="CA456" i="18"/>
  <c r="BZ456" i="18"/>
  <c r="BY456" i="18"/>
  <c r="BX456" i="18"/>
  <c r="BW456" i="18"/>
  <c r="BV456" i="18"/>
  <c r="BU456" i="18"/>
  <c r="BT456" i="18"/>
  <c r="BS456" i="18"/>
  <c r="BR456" i="18"/>
  <c r="BQ456" i="18"/>
  <c r="BP456" i="18"/>
  <c r="BO456" i="18"/>
  <c r="BN456" i="18"/>
  <c r="BM456" i="18"/>
  <c r="BL456" i="18"/>
  <c r="BK456" i="18"/>
  <c r="BJ456" i="18"/>
  <c r="BI456" i="18"/>
  <c r="BH456" i="18"/>
  <c r="BG456" i="18"/>
  <c r="BF456" i="18"/>
  <c r="BE456" i="18"/>
  <c r="BD456" i="18"/>
  <c r="BC456" i="18"/>
  <c r="BB456" i="18"/>
  <c r="BA456" i="18"/>
  <c r="AZ456" i="18"/>
  <c r="AY456" i="18"/>
  <c r="AX456" i="18"/>
  <c r="AW456" i="18"/>
  <c r="AV456" i="18"/>
  <c r="AU456" i="18"/>
  <c r="AT456" i="18"/>
  <c r="AS456" i="18"/>
  <c r="AR456" i="18"/>
  <c r="AQ456" i="18"/>
  <c r="AP456" i="18"/>
  <c r="AO456" i="18"/>
  <c r="AN456" i="18"/>
  <c r="AM456" i="18"/>
  <c r="AL456" i="18"/>
  <c r="AK456" i="18"/>
  <c r="AJ456" i="18"/>
  <c r="AI456" i="18"/>
  <c r="AH456" i="18"/>
  <c r="AG456" i="18"/>
  <c r="AF456" i="18"/>
  <c r="AE456" i="18"/>
  <c r="AD456" i="18"/>
  <c r="AC456" i="18"/>
  <c r="AB456" i="18"/>
  <c r="AA456" i="18"/>
  <c r="Z456" i="18"/>
  <c r="Y456" i="18"/>
  <c r="X456" i="18"/>
  <c r="W456" i="18"/>
  <c r="V456" i="18"/>
  <c r="U456" i="18"/>
  <c r="T456" i="18"/>
  <c r="S456" i="18"/>
  <c r="R456" i="18"/>
  <c r="Q456" i="18"/>
  <c r="P456" i="18"/>
  <c r="O456" i="18"/>
  <c r="N456" i="18"/>
  <c r="M456" i="18"/>
  <c r="L456" i="18"/>
  <c r="K456" i="18"/>
  <c r="J456" i="18"/>
  <c r="I456" i="18"/>
  <c r="H456" i="18"/>
  <c r="G456" i="18"/>
  <c r="F456" i="18"/>
  <c r="E456" i="18"/>
  <c r="D456" i="18"/>
  <c r="C456" i="18"/>
  <c r="B456" i="18"/>
  <c r="A456" i="18"/>
  <c r="CU455" i="18"/>
  <c r="CT455" i="18"/>
  <c r="CS455" i="18"/>
  <c r="CR455" i="18"/>
  <c r="CP455" i="18"/>
  <c r="CO455" i="18"/>
  <c r="CN455" i="18"/>
  <c r="CM455" i="18"/>
  <c r="CL455" i="18"/>
  <c r="CK455" i="18"/>
  <c r="CJ455" i="18"/>
  <c r="CI455" i="18"/>
  <c r="CH455" i="18"/>
  <c r="CG455" i="18"/>
  <c r="CF455" i="18"/>
  <c r="CE455" i="18"/>
  <c r="CD455" i="18"/>
  <c r="CC455" i="18"/>
  <c r="CB455" i="18"/>
  <c r="CA455" i="18"/>
  <c r="BZ455" i="18"/>
  <c r="BY455" i="18"/>
  <c r="BT455" i="18"/>
  <c r="BS455" i="18"/>
  <c r="BR455" i="18"/>
  <c r="BQ455" i="18"/>
  <c r="BP455" i="18"/>
  <c r="BO455" i="18"/>
  <c r="BN455" i="18"/>
  <c r="BM455" i="18"/>
  <c r="BL455" i="18"/>
  <c r="BK455" i="18"/>
  <c r="BJ455" i="18"/>
  <c r="BI455" i="18"/>
  <c r="BH455" i="18"/>
  <c r="BG455" i="18"/>
  <c r="BF455" i="18"/>
  <c r="BE455" i="18"/>
  <c r="BD455" i="18"/>
  <c r="BC455" i="18"/>
  <c r="BB455" i="18"/>
  <c r="BA455" i="18"/>
  <c r="AZ455" i="18"/>
  <c r="AY455" i="18"/>
  <c r="AX455" i="18"/>
  <c r="AW455" i="18"/>
  <c r="AV455" i="18"/>
  <c r="AU455" i="18"/>
  <c r="AT455" i="18"/>
  <c r="AS455" i="18"/>
  <c r="AR455" i="18"/>
  <c r="AQ455" i="18"/>
  <c r="AP455" i="18"/>
  <c r="AO455" i="18"/>
  <c r="AN455" i="18"/>
  <c r="AM455" i="18"/>
  <c r="AL455" i="18"/>
  <c r="AK455" i="18"/>
  <c r="AJ455" i="18"/>
  <c r="AI455" i="18"/>
  <c r="AH455" i="18"/>
  <c r="AG455" i="18"/>
  <c r="AF455" i="18"/>
  <c r="AE455" i="18"/>
  <c r="AD455" i="18"/>
  <c r="AC455" i="18"/>
  <c r="AB455" i="18"/>
  <c r="AA455" i="18"/>
  <c r="Z455" i="18"/>
  <c r="Y455" i="18"/>
  <c r="X455" i="18"/>
  <c r="W455" i="18"/>
  <c r="V455" i="18"/>
  <c r="U455" i="18"/>
  <c r="T455" i="18"/>
  <c r="S455" i="18"/>
  <c r="R455" i="18"/>
  <c r="Q455" i="18"/>
  <c r="P455" i="18"/>
  <c r="O455" i="18"/>
  <c r="N455" i="18"/>
  <c r="M455" i="18"/>
  <c r="L455" i="18"/>
  <c r="K455" i="18"/>
  <c r="J455" i="18"/>
  <c r="I455" i="18"/>
  <c r="H455" i="18"/>
  <c r="G455" i="18"/>
  <c r="F455" i="18"/>
  <c r="E455" i="18"/>
  <c r="D455" i="18"/>
  <c r="C455" i="18"/>
  <c r="B455" i="18"/>
  <c r="A455" i="18"/>
  <c r="CU454" i="18"/>
  <c r="CT454" i="18"/>
  <c r="CS454" i="18"/>
  <c r="CR454" i="18"/>
  <c r="CQ454" i="18"/>
  <c r="CP454" i="18"/>
  <c r="CO454" i="18"/>
  <c r="CN454" i="18"/>
  <c r="CM454" i="18"/>
  <c r="CL454" i="18"/>
  <c r="CK454" i="18"/>
  <c r="CJ454" i="18"/>
  <c r="CI454" i="18"/>
  <c r="CH454" i="18"/>
  <c r="CG454" i="18"/>
  <c r="CF454" i="18"/>
  <c r="CE454" i="18"/>
  <c r="CD454" i="18"/>
  <c r="CC454" i="18"/>
  <c r="CB454" i="18"/>
  <c r="CA454" i="18"/>
  <c r="BZ454" i="18"/>
  <c r="BY454" i="18"/>
  <c r="BX454" i="18"/>
  <c r="BW454" i="18"/>
  <c r="BV454" i="18"/>
  <c r="BU454" i="18"/>
  <c r="BT454" i="18"/>
  <c r="BS454" i="18"/>
  <c r="BR454" i="18"/>
  <c r="BQ454" i="18"/>
  <c r="BP454" i="18"/>
  <c r="BO454" i="18"/>
  <c r="BN454" i="18"/>
  <c r="BM454" i="18"/>
  <c r="BL454" i="18"/>
  <c r="BK454" i="18"/>
  <c r="BJ454" i="18"/>
  <c r="BI454" i="18"/>
  <c r="BH454" i="18"/>
  <c r="BG454" i="18"/>
  <c r="BF454" i="18"/>
  <c r="BE454" i="18"/>
  <c r="BD454" i="18"/>
  <c r="BC454" i="18"/>
  <c r="BB454" i="18"/>
  <c r="BA454" i="18"/>
  <c r="AZ454" i="18"/>
  <c r="AY454" i="18"/>
  <c r="AX454" i="18"/>
  <c r="AW454" i="18"/>
  <c r="AV454" i="18"/>
  <c r="AU454" i="18"/>
  <c r="AT454" i="18"/>
  <c r="AS454" i="18"/>
  <c r="AR454" i="18"/>
  <c r="AQ454" i="18"/>
  <c r="AP454" i="18"/>
  <c r="AO454" i="18"/>
  <c r="AN454" i="18"/>
  <c r="AM454" i="18"/>
  <c r="AL454" i="18"/>
  <c r="AK454" i="18"/>
  <c r="AJ454" i="18"/>
  <c r="AI454" i="18"/>
  <c r="AH454" i="18"/>
  <c r="AG454" i="18"/>
  <c r="AF454" i="18"/>
  <c r="AE454" i="18"/>
  <c r="AD454" i="18"/>
  <c r="AC454" i="18"/>
  <c r="AB454" i="18"/>
  <c r="AA454" i="18"/>
  <c r="Z454" i="18"/>
  <c r="Y454" i="18"/>
  <c r="X454" i="18"/>
  <c r="W454" i="18"/>
  <c r="V454" i="18"/>
  <c r="U454" i="18"/>
  <c r="T454" i="18"/>
  <c r="S454" i="18"/>
  <c r="R454" i="18"/>
  <c r="Q454" i="18"/>
  <c r="P454" i="18"/>
  <c r="O454" i="18"/>
  <c r="N454" i="18"/>
  <c r="M454" i="18"/>
  <c r="L454" i="18"/>
  <c r="K454" i="18"/>
  <c r="J454" i="18"/>
  <c r="I454" i="18"/>
  <c r="H454" i="18"/>
  <c r="G454" i="18"/>
  <c r="F454" i="18"/>
  <c r="E454" i="18"/>
  <c r="D454" i="18"/>
  <c r="C454" i="18"/>
  <c r="B454" i="18"/>
  <c r="A454" i="18"/>
  <c r="CU453" i="18"/>
  <c r="CT453" i="18"/>
  <c r="CS453" i="18"/>
  <c r="CR453" i="18"/>
  <c r="CQ453" i="18"/>
  <c r="CP453" i="18"/>
  <c r="CO453" i="18"/>
  <c r="CN453" i="18"/>
  <c r="CM453" i="18"/>
  <c r="CL453" i="18"/>
  <c r="CK453" i="18"/>
  <c r="CJ453" i="18"/>
  <c r="CI453" i="18"/>
  <c r="CH453" i="18"/>
  <c r="CG453" i="18"/>
  <c r="CF453" i="18"/>
  <c r="CE453" i="18"/>
  <c r="CD453" i="18"/>
  <c r="CC453" i="18"/>
  <c r="CB453" i="18"/>
  <c r="CA453" i="18"/>
  <c r="BZ453" i="18"/>
  <c r="BY453" i="18"/>
  <c r="BX453" i="18"/>
  <c r="BW453" i="18"/>
  <c r="BV453" i="18"/>
  <c r="BU453" i="18"/>
  <c r="BT453" i="18"/>
  <c r="BS453" i="18"/>
  <c r="BR453" i="18"/>
  <c r="BQ453" i="18"/>
  <c r="BP453" i="18"/>
  <c r="BO453" i="18"/>
  <c r="BN453" i="18"/>
  <c r="BM453" i="18"/>
  <c r="BL453" i="18"/>
  <c r="BK453" i="18"/>
  <c r="BJ453" i="18"/>
  <c r="BI453" i="18"/>
  <c r="BH453" i="18"/>
  <c r="BG453" i="18"/>
  <c r="BF453" i="18"/>
  <c r="BE453" i="18"/>
  <c r="BD453" i="18"/>
  <c r="BC453" i="18"/>
  <c r="BB453" i="18"/>
  <c r="BA453" i="18"/>
  <c r="AZ453" i="18"/>
  <c r="AY453" i="18"/>
  <c r="AX453" i="18"/>
  <c r="AW453" i="18"/>
  <c r="AV453" i="18"/>
  <c r="AU453" i="18"/>
  <c r="AT453" i="18"/>
  <c r="AS453" i="18"/>
  <c r="AR453" i="18"/>
  <c r="AQ453" i="18"/>
  <c r="AP453" i="18"/>
  <c r="AO453" i="18"/>
  <c r="AN453" i="18"/>
  <c r="AM453" i="18"/>
  <c r="AL453" i="18"/>
  <c r="AK453" i="18"/>
  <c r="AJ453" i="18"/>
  <c r="AI453" i="18"/>
  <c r="AH453" i="18"/>
  <c r="AG453" i="18"/>
  <c r="AF453" i="18"/>
  <c r="AE453" i="18"/>
  <c r="AD453" i="18"/>
  <c r="AC453" i="18"/>
  <c r="AB453" i="18"/>
  <c r="AA453" i="18"/>
  <c r="Z453" i="18"/>
  <c r="Y453" i="18"/>
  <c r="X453" i="18"/>
  <c r="W453" i="18"/>
  <c r="V453" i="18"/>
  <c r="U453" i="18"/>
  <c r="T453" i="18"/>
  <c r="S453" i="18"/>
  <c r="R453" i="18"/>
  <c r="Q453" i="18"/>
  <c r="P453" i="18"/>
  <c r="O453" i="18"/>
  <c r="N453" i="18"/>
  <c r="M453" i="18"/>
  <c r="L453" i="18"/>
  <c r="K453" i="18"/>
  <c r="J453" i="18"/>
  <c r="I453" i="18"/>
  <c r="H453" i="18"/>
  <c r="G453" i="18"/>
  <c r="F453" i="18"/>
  <c r="E453" i="18"/>
  <c r="D453" i="18"/>
  <c r="C453" i="18"/>
  <c r="B453" i="18"/>
  <c r="A453" i="18"/>
  <c r="CU452" i="18"/>
  <c r="CT452" i="18"/>
  <c r="CS452" i="18"/>
  <c r="CR452" i="18"/>
  <c r="CP452" i="18"/>
  <c r="CO452" i="18"/>
  <c r="CN452" i="18"/>
  <c r="CM452" i="18"/>
  <c r="CL452" i="18"/>
  <c r="CK452" i="18"/>
  <c r="CJ452" i="18"/>
  <c r="CI452" i="18"/>
  <c r="CH452" i="18"/>
  <c r="CG452" i="18"/>
  <c r="CF452" i="18"/>
  <c r="CE452" i="18"/>
  <c r="CD452" i="18"/>
  <c r="CC452" i="18"/>
  <c r="CB452" i="18"/>
  <c r="CA452" i="18"/>
  <c r="BZ452" i="18"/>
  <c r="BY452" i="18"/>
  <c r="BT452" i="18"/>
  <c r="BS452" i="18"/>
  <c r="BR452" i="18"/>
  <c r="BQ452" i="18"/>
  <c r="BP452" i="18"/>
  <c r="BO452" i="18"/>
  <c r="BN452" i="18"/>
  <c r="BM452" i="18"/>
  <c r="BL452" i="18"/>
  <c r="BK452" i="18"/>
  <c r="BJ452" i="18"/>
  <c r="BI452" i="18"/>
  <c r="BH452" i="18"/>
  <c r="BG452" i="18"/>
  <c r="BF452" i="18"/>
  <c r="BE452" i="18"/>
  <c r="BD452" i="18"/>
  <c r="BC452" i="18"/>
  <c r="BB452" i="18"/>
  <c r="BA452" i="18"/>
  <c r="AZ452" i="18"/>
  <c r="AY452" i="18"/>
  <c r="AX452" i="18"/>
  <c r="AW452" i="18"/>
  <c r="AV452" i="18"/>
  <c r="AU452" i="18"/>
  <c r="AT452" i="18"/>
  <c r="AS452" i="18"/>
  <c r="AR452" i="18"/>
  <c r="AQ452" i="18"/>
  <c r="AP452" i="18"/>
  <c r="AO452" i="18"/>
  <c r="AN452" i="18"/>
  <c r="AM452" i="18"/>
  <c r="AL452" i="18"/>
  <c r="AK452" i="18"/>
  <c r="AJ452" i="18"/>
  <c r="AI452" i="18"/>
  <c r="AH452" i="18"/>
  <c r="AG452" i="18"/>
  <c r="AF452" i="18"/>
  <c r="AE452" i="18"/>
  <c r="AD452" i="18"/>
  <c r="AC452" i="18"/>
  <c r="AB452" i="18"/>
  <c r="AA452" i="18"/>
  <c r="Z452" i="18"/>
  <c r="Y452" i="18"/>
  <c r="X452" i="18"/>
  <c r="W452" i="18"/>
  <c r="V452" i="18"/>
  <c r="U452" i="18"/>
  <c r="T452" i="18"/>
  <c r="S452" i="18"/>
  <c r="R452" i="18"/>
  <c r="Q452" i="18"/>
  <c r="P452" i="18"/>
  <c r="O452" i="18"/>
  <c r="N452" i="18"/>
  <c r="M452" i="18"/>
  <c r="L452" i="18"/>
  <c r="K452" i="18"/>
  <c r="J452" i="18"/>
  <c r="I452" i="18"/>
  <c r="H452" i="18"/>
  <c r="G452" i="18"/>
  <c r="F452" i="18"/>
  <c r="E452" i="18"/>
  <c r="D452" i="18"/>
  <c r="C452" i="18"/>
  <c r="B452" i="18"/>
  <c r="A452" i="18"/>
  <c r="CU451" i="18"/>
  <c r="CT451" i="18"/>
  <c r="CS451" i="18"/>
  <c r="CR451" i="18"/>
  <c r="CP451" i="18"/>
  <c r="CO451" i="18"/>
  <c r="CN451" i="18"/>
  <c r="CM451" i="18"/>
  <c r="CL451" i="18"/>
  <c r="CK451" i="18"/>
  <c r="CJ451" i="18"/>
  <c r="CI451" i="18"/>
  <c r="CH451" i="18"/>
  <c r="CG451" i="18"/>
  <c r="CF451" i="18"/>
  <c r="CE451" i="18"/>
  <c r="CD451" i="18"/>
  <c r="CC451" i="18"/>
  <c r="CB451" i="18"/>
  <c r="CA451" i="18"/>
  <c r="BZ451" i="18"/>
  <c r="BY451" i="18"/>
  <c r="BT451" i="18"/>
  <c r="BS451" i="18"/>
  <c r="BR451" i="18"/>
  <c r="BQ451" i="18"/>
  <c r="BP451" i="18"/>
  <c r="BO451" i="18"/>
  <c r="BN451" i="18"/>
  <c r="BM451" i="18"/>
  <c r="BL451" i="18"/>
  <c r="BK451" i="18"/>
  <c r="BJ451" i="18"/>
  <c r="BI451" i="18"/>
  <c r="BH451" i="18"/>
  <c r="BG451" i="18"/>
  <c r="BF451" i="18"/>
  <c r="BE451" i="18"/>
  <c r="BD451" i="18"/>
  <c r="BC451" i="18"/>
  <c r="BB451" i="18"/>
  <c r="BA451" i="18"/>
  <c r="AZ451" i="18"/>
  <c r="AY451" i="18"/>
  <c r="AX451" i="18"/>
  <c r="AW451" i="18"/>
  <c r="AV451" i="18"/>
  <c r="AU451" i="18"/>
  <c r="AT451" i="18"/>
  <c r="AS451" i="18"/>
  <c r="AR451" i="18"/>
  <c r="AQ451" i="18"/>
  <c r="AP451" i="18"/>
  <c r="AO451" i="18"/>
  <c r="AN451" i="18"/>
  <c r="AM451" i="18"/>
  <c r="AL451" i="18"/>
  <c r="AK451" i="18"/>
  <c r="AJ451" i="18"/>
  <c r="AI451" i="18"/>
  <c r="AH451" i="18"/>
  <c r="AG451" i="18"/>
  <c r="AF451" i="18"/>
  <c r="AE451" i="18"/>
  <c r="AD451" i="18"/>
  <c r="AC451" i="18"/>
  <c r="AB451" i="18"/>
  <c r="AA451" i="18"/>
  <c r="Z451" i="18"/>
  <c r="Y451" i="18"/>
  <c r="X451" i="18"/>
  <c r="W451" i="18"/>
  <c r="V451" i="18"/>
  <c r="U451" i="18"/>
  <c r="T451" i="18"/>
  <c r="S451" i="18"/>
  <c r="R451" i="18"/>
  <c r="Q451" i="18"/>
  <c r="P451" i="18"/>
  <c r="O451" i="18"/>
  <c r="N451" i="18"/>
  <c r="M451" i="18"/>
  <c r="L451" i="18"/>
  <c r="K451" i="18"/>
  <c r="J451" i="18"/>
  <c r="I451" i="18"/>
  <c r="H451" i="18"/>
  <c r="G451" i="18"/>
  <c r="F451" i="18"/>
  <c r="E451" i="18"/>
  <c r="D451" i="18"/>
  <c r="C451" i="18"/>
  <c r="B451" i="18"/>
  <c r="A451" i="18"/>
  <c r="CU450" i="18"/>
  <c r="CT450" i="18"/>
  <c r="CS450" i="18"/>
  <c r="CR450" i="18"/>
  <c r="CP450" i="18"/>
  <c r="CO450" i="18"/>
  <c r="CN450" i="18"/>
  <c r="CM450" i="18"/>
  <c r="CL450" i="18"/>
  <c r="CK450" i="18"/>
  <c r="CJ450" i="18"/>
  <c r="CI450" i="18"/>
  <c r="CH450" i="18"/>
  <c r="CG450" i="18"/>
  <c r="CF450" i="18"/>
  <c r="CE450" i="18"/>
  <c r="CD450" i="18"/>
  <c r="CC450" i="18"/>
  <c r="CB450" i="18"/>
  <c r="CA450" i="18"/>
  <c r="BZ450" i="18"/>
  <c r="BY450" i="18"/>
  <c r="BT450" i="18"/>
  <c r="BS450" i="18"/>
  <c r="BR450" i="18"/>
  <c r="BQ450" i="18"/>
  <c r="BP450" i="18"/>
  <c r="BO450" i="18"/>
  <c r="BN450" i="18"/>
  <c r="BM450" i="18"/>
  <c r="BL450" i="18"/>
  <c r="BK450" i="18"/>
  <c r="BJ450" i="18"/>
  <c r="BI450" i="18"/>
  <c r="BH450" i="18"/>
  <c r="BG450" i="18"/>
  <c r="BF450" i="18"/>
  <c r="BE450" i="18"/>
  <c r="BD450" i="18"/>
  <c r="BC450" i="18"/>
  <c r="BB450" i="18"/>
  <c r="BA450" i="18"/>
  <c r="AZ450" i="18"/>
  <c r="AY450" i="18"/>
  <c r="AX450" i="18"/>
  <c r="AW450" i="18"/>
  <c r="AV450" i="18"/>
  <c r="AU450" i="18"/>
  <c r="AT450" i="18"/>
  <c r="AS450" i="18"/>
  <c r="AR450" i="18"/>
  <c r="AQ450" i="18"/>
  <c r="AP450" i="18"/>
  <c r="AO450" i="18"/>
  <c r="AN450" i="18"/>
  <c r="AM450" i="18"/>
  <c r="AL450" i="18"/>
  <c r="AK450" i="18"/>
  <c r="AJ450" i="18"/>
  <c r="AI450" i="18"/>
  <c r="AH450" i="18"/>
  <c r="AG450" i="18"/>
  <c r="AF450" i="18"/>
  <c r="AE450" i="18"/>
  <c r="AD450" i="18"/>
  <c r="AC450" i="18"/>
  <c r="AB450" i="18"/>
  <c r="AA450" i="18"/>
  <c r="Z450" i="18"/>
  <c r="Y450" i="18"/>
  <c r="X450" i="18"/>
  <c r="W450" i="18"/>
  <c r="V450" i="18"/>
  <c r="U450" i="18"/>
  <c r="T450" i="18"/>
  <c r="S450" i="18"/>
  <c r="R450" i="18"/>
  <c r="Q450" i="18"/>
  <c r="P450" i="18"/>
  <c r="O450" i="18"/>
  <c r="N450" i="18"/>
  <c r="M450" i="18"/>
  <c r="L450" i="18"/>
  <c r="K450" i="18"/>
  <c r="J450" i="18"/>
  <c r="I450" i="18"/>
  <c r="H450" i="18"/>
  <c r="G450" i="18"/>
  <c r="F450" i="18"/>
  <c r="E450" i="18"/>
  <c r="D450" i="18"/>
  <c r="C450" i="18"/>
  <c r="B450" i="18"/>
  <c r="A450" i="18"/>
  <c r="CU449" i="18"/>
  <c r="CT449" i="18"/>
  <c r="CS449" i="18"/>
  <c r="CR449" i="18"/>
  <c r="CQ449" i="18"/>
  <c r="CP449" i="18"/>
  <c r="CO449" i="18"/>
  <c r="CN449" i="18"/>
  <c r="CM449" i="18"/>
  <c r="CL449" i="18"/>
  <c r="CK449" i="18"/>
  <c r="CJ449" i="18"/>
  <c r="CI449" i="18"/>
  <c r="CH449" i="18"/>
  <c r="CG449" i="18"/>
  <c r="CF449" i="18"/>
  <c r="CE449" i="18"/>
  <c r="CD449" i="18"/>
  <c r="CC449" i="18"/>
  <c r="CB449" i="18"/>
  <c r="CA449" i="18"/>
  <c r="BZ449" i="18"/>
  <c r="BY449" i="18"/>
  <c r="BX449" i="18"/>
  <c r="BW449" i="18"/>
  <c r="BV449" i="18"/>
  <c r="BU449" i="18"/>
  <c r="BT449" i="18"/>
  <c r="BS449" i="18"/>
  <c r="BR449" i="18"/>
  <c r="BQ449" i="18"/>
  <c r="BP449" i="18"/>
  <c r="BO449" i="18"/>
  <c r="BN449" i="18"/>
  <c r="BM449" i="18"/>
  <c r="BL449" i="18"/>
  <c r="BK449" i="18"/>
  <c r="BJ449" i="18"/>
  <c r="BI449" i="18"/>
  <c r="BH449" i="18"/>
  <c r="BG449" i="18"/>
  <c r="BF449" i="18"/>
  <c r="BE449" i="18"/>
  <c r="BD449" i="18"/>
  <c r="BC449" i="18"/>
  <c r="BB449" i="18"/>
  <c r="BA449" i="18"/>
  <c r="AZ449" i="18"/>
  <c r="AY449" i="18"/>
  <c r="AX449" i="18"/>
  <c r="AW449" i="18"/>
  <c r="AV449" i="18"/>
  <c r="AU449" i="18"/>
  <c r="AT449" i="18"/>
  <c r="AS449" i="18"/>
  <c r="AR449" i="18"/>
  <c r="AQ449" i="18"/>
  <c r="AP449" i="18"/>
  <c r="AO449" i="18"/>
  <c r="AN449" i="18"/>
  <c r="AM449" i="18"/>
  <c r="AL449" i="18"/>
  <c r="AK449" i="18"/>
  <c r="AJ449" i="18"/>
  <c r="AI449" i="18"/>
  <c r="AH449" i="18"/>
  <c r="AG449" i="18"/>
  <c r="AF449" i="18"/>
  <c r="AE449" i="18"/>
  <c r="AD449" i="18"/>
  <c r="AC449" i="18"/>
  <c r="AB449" i="18"/>
  <c r="AA449" i="18"/>
  <c r="Z449" i="18"/>
  <c r="Y449" i="18"/>
  <c r="X449" i="18"/>
  <c r="W449" i="18"/>
  <c r="V449" i="18"/>
  <c r="U449" i="18"/>
  <c r="T449" i="18"/>
  <c r="S449" i="18"/>
  <c r="R449" i="18"/>
  <c r="Q449" i="18"/>
  <c r="P449" i="18"/>
  <c r="O449" i="18"/>
  <c r="N449" i="18"/>
  <c r="M449" i="18"/>
  <c r="L449" i="18"/>
  <c r="K449" i="18"/>
  <c r="J449" i="18"/>
  <c r="I449" i="18"/>
  <c r="H449" i="18"/>
  <c r="G449" i="18"/>
  <c r="F449" i="18"/>
  <c r="E449" i="18"/>
  <c r="D449" i="18"/>
  <c r="C449" i="18"/>
  <c r="B449" i="18"/>
  <c r="A449" i="18"/>
  <c r="CU448" i="18"/>
  <c r="CT448" i="18"/>
  <c r="CS448" i="18"/>
  <c r="CR448" i="18"/>
  <c r="CQ448" i="18"/>
  <c r="CP448" i="18"/>
  <c r="CO448" i="18"/>
  <c r="CN448" i="18"/>
  <c r="CM448" i="18"/>
  <c r="CL448" i="18"/>
  <c r="CK448" i="18"/>
  <c r="CJ448" i="18"/>
  <c r="CI448" i="18"/>
  <c r="CH448" i="18"/>
  <c r="CG448" i="18"/>
  <c r="CF448" i="18"/>
  <c r="CE448" i="18"/>
  <c r="CD448" i="18"/>
  <c r="CC448" i="18"/>
  <c r="CB448" i="18"/>
  <c r="CA448" i="18"/>
  <c r="BZ448" i="18"/>
  <c r="BY448" i="18"/>
  <c r="BX448" i="18"/>
  <c r="BW448" i="18"/>
  <c r="BV448" i="18"/>
  <c r="BU448" i="18"/>
  <c r="BT448" i="18"/>
  <c r="BS448" i="18"/>
  <c r="BR448" i="18"/>
  <c r="BQ448" i="18"/>
  <c r="BP448" i="18"/>
  <c r="BO448" i="18"/>
  <c r="BN448" i="18"/>
  <c r="BM448" i="18"/>
  <c r="BL448" i="18"/>
  <c r="BK448" i="18"/>
  <c r="BJ448" i="18"/>
  <c r="BI448" i="18"/>
  <c r="BH448" i="18"/>
  <c r="BG448" i="18"/>
  <c r="BF448" i="18"/>
  <c r="BE448" i="18"/>
  <c r="BD448" i="18"/>
  <c r="BC448" i="18"/>
  <c r="BB448" i="18"/>
  <c r="BA448" i="18"/>
  <c r="AZ448" i="18"/>
  <c r="AY448" i="18"/>
  <c r="AX448" i="18"/>
  <c r="AW448" i="18"/>
  <c r="AV448" i="18"/>
  <c r="AU448" i="18"/>
  <c r="AT448" i="18"/>
  <c r="AS448" i="18"/>
  <c r="AR448" i="18"/>
  <c r="AQ448" i="18"/>
  <c r="AP448" i="18"/>
  <c r="AO448" i="18"/>
  <c r="AN448" i="18"/>
  <c r="AM448" i="18"/>
  <c r="AL448" i="18"/>
  <c r="AK448" i="18"/>
  <c r="AJ448" i="18"/>
  <c r="AI448" i="18"/>
  <c r="AH448" i="18"/>
  <c r="AG448" i="18"/>
  <c r="AF448" i="18"/>
  <c r="AE448" i="18"/>
  <c r="AD448" i="18"/>
  <c r="AC448" i="18"/>
  <c r="AB448" i="18"/>
  <c r="AA448" i="18"/>
  <c r="Z448" i="18"/>
  <c r="Y448" i="18"/>
  <c r="X448" i="18"/>
  <c r="W448" i="18"/>
  <c r="V448" i="18"/>
  <c r="U448" i="18"/>
  <c r="T448" i="18"/>
  <c r="S448" i="18"/>
  <c r="R448" i="18"/>
  <c r="Q448" i="18"/>
  <c r="P448" i="18"/>
  <c r="O448" i="18"/>
  <c r="N448" i="18"/>
  <c r="M448" i="18"/>
  <c r="L448" i="18"/>
  <c r="K448" i="18"/>
  <c r="J448" i="18"/>
  <c r="I448" i="18"/>
  <c r="H448" i="18"/>
  <c r="G448" i="18"/>
  <c r="F448" i="18"/>
  <c r="E448" i="18"/>
  <c r="D448" i="18"/>
  <c r="C448" i="18"/>
  <c r="B448" i="18"/>
  <c r="A448" i="18"/>
  <c r="CU447" i="18"/>
  <c r="CT447" i="18"/>
  <c r="CS447" i="18"/>
  <c r="CR447" i="18"/>
  <c r="CP447" i="18"/>
  <c r="CO447" i="18"/>
  <c r="CN447" i="18"/>
  <c r="CM447" i="18"/>
  <c r="CL447" i="18"/>
  <c r="CK447" i="18"/>
  <c r="CJ447" i="18"/>
  <c r="CI447" i="18"/>
  <c r="CH447" i="18"/>
  <c r="CG447" i="18"/>
  <c r="CF447" i="18"/>
  <c r="CE447" i="18"/>
  <c r="CD447" i="18"/>
  <c r="CC447" i="18"/>
  <c r="CB447" i="18"/>
  <c r="CA447" i="18"/>
  <c r="BZ447" i="18"/>
  <c r="BY447" i="18"/>
  <c r="BT447" i="18"/>
  <c r="BS447" i="18"/>
  <c r="BR447" i="18"/>
  <c r="BQ447" i="18"/>
  <c r="BP447" i="18"/>
  <c r="BO447" i="18"/>
  <c r="BN447" i="18"/>
  <c r="BM447" i="18"/>
  <c r="BL447" i="18"/>
  <c r="BK447" i="18"/>
  <c r="BJ447" i="18"/>
  <c r="BI447" i="18"/>
  <c r="BH447" i="18"/>
  <c r="BG447" i="18"/>
  <c r="BF447" i="18"/>
  <c r="BE447" i="18"/>
  <c r="BD447" i="18"/>
  <c r="BC447" i="18"/>
  <c r="BB447" i="18"/>
  <c r="BA447" i="18"/>
  <c r="AZ447" i="18"/>
  <c r="AY447" i="18"/>
  <c r="AX447" i="18"/>
  <c r="AW447" i="18"/>
  <c r="AV447" i="18"/>
  <c r="AU447" i="18"/>
  <c r="AT447" i="18"/>
  <c r="AS447" i="18"/>
  <c r="AR447" i="18"/>
  <c r="AQ447" i="18"/>
  <c r="AP447" i="18"/>
  <c r="AO447" i="18"/>
  <c r="AN447" i="18"/>
  <c r="AM447" i="18"/>
  <c r="AL447" i="18"/>
  <c r="AK447" i="18"/>
  <c r="AJ447" i="18"/>
  <c r="AI447" i="18"/>
  <c r="AH447" i="18"/>
  <c r="AG447" i="18"/>
  <c r="AF447" i="18"/>
  <c r="AE447" i="18"/>
  <c r="AD447" i="18"/>
  <c r="AC447" i="18"/>
  <c r="AB447" i="18"/>
  <c r="AA447" i="18"/>
  <c r="Z447" i="18"/>
  <c r="Y447" i="18"/>
  <c r="X447" i="18"/>
  <c r="W447" i="18"/>
  <c r="V447" i="18"/>
  <c r="U447" i="18"/>
  <c r="T447" i="18"/>
  <c r="S447" i="18"/>
  <c r="R447" i="18"/>
  <c r="Q447" i="18"/>
  <c r="P447" i="18"/>
  <c r="O447" i="18"/>
  <c r="N447" i="18"/>
  <c r="M447" i="18"/>
  <c r="L447" i="18"/>
  <c r="K447" i="18"/>
  <c r="J447" i="18"/>
  <c r="I447" i="18"/>
  <c r="H447" i="18"/>
  <c r="G447" i="18"/>
  <c r="F447" i="18"/>
  <c r="E447" i="18"/>
  <c r="D447" i="18"/>
  <c r="C447" i="18"/>
  <c r="B447" i="18"/>
  <c r="A447" i="18"/>
  <c r="CU446" i="18"/>
  <c r="CT446" i="18"/>
  <c r="CS446" i="18"/>
  <c r="CR446" i="18"/>
  <c r="CQ446" i="18"/>
  <c r="CP446" i="18"/>
  <c r="CO446" i="18"/>
  <c r="CN446" i="18"/>
  <c r="CM446" i="18"/>
  <c r="CL446" i="18"/>
  <c r="CK446" i="18"/>
  <c r="CJ446" i="18"/>
  <c r="CI446" i="18"/>
  <c r="CH446" i="18"/>
  <c r="CG446" i="18"/>
  <c r="CF446" i="18"/>
  <c r="CE446" i="18"/>
  <c r="CD446" i="18"/>
  <c r="CC446" i="18"/>
  <c r="CB446" i="18"/>
  <c r="CA446" i="18"/>
  <c r="BZ446" i="18"/>
  <c r="BY446" i="18"/>
  <c r="BX446" i="18"/>
  <c r="BW446" i="18"/>
  <c r="BV446" i="18"/>
  <c r="BU446" i="18"/>
  <c r="BT446" i="18"/>
  <c r="BS446" i="18"/>
  <c r="BR446" i="18"/>
  <c r="BQ446" i="18"/>
  <c r="BP446" i="18"/>
  <c r="BO446" i="18"/>
  <c r="BN446" i="18"/>
  <c r="BM446" i="18"/>
  <c r="BL446" i="18"/>
  <c r="BK446" i="18"/>
  <c r="BJ446" i="18"/>
  <c r="BI446" i="18"/>
  <c r="BH446" i="18"/>
  <c r="BG446" i="18"/>
  <c r="BF446" i="18"/>
  <c r="BE446" i="18"/>
  <c r="BD446" i="18"/>
  <c r="BC446" i="18"/>
  <c r="BB446" i="18"/>
  <c r="BA446" i="18"/>
  <c r="AZ446" i="18"/>
  <c r="AY446" i="18"/>
  <c r="AX446" i="18"/>
  <c r="AW446" i="18"/>
  <c r="AV446" i="18"/>
  <c r="AU446" i="18"/>
  <c r="AT446" i="18"/>
  <c r="AS446" i="18"/>
  <c r="AR446" i="18"/>
  <c r="AQ446" i="18"/>
  <c r="AP446" i="18"/>
  <c r="AO446" i="18"/>
  <c r="AN446" i="18"/>
  <c r="AM446" i="18"/>
  <c r="AL446" i="18"/>
  <c r="AK446" i="18"/>
  <c r="AJ446" i="18"/>
  <c r="AI446" i="18"/>
  <c r="AH446" i="18"/>
  <c r="AG446" i="18"/>
  <c r="AF446" i="18"/>
  <c r="AE446" i="18"/>
  <c r="AD446" i="18"/>
  <c r="AC446" i="18"/>
  <c r="AB446" i="18"/>
  <c r="AA446" i="18"/>
  <c r="Z446" i="18"/>
  <c r="Y446" i="18"/>
  <c r="X446" i="18"/>
  <c r="W446" i="18"/>
  <c r="V446" i="18"/>
  <c r="U446" i="18"/>
  <c r="T446" i="18"/>
  <c r="S446" i="18"/>
  <c r="R446" i="18"/>
  <c r="Q446" i="18"/>
  <c r="P446" i="18"/>
  <c r="O446" i="18"/>
  <c r="N446" i="18"/>
  <c r="M446" i="18"/>
  <c r="L446" i="18"/>
  <c r="K446" i="18"/>
  <c r="J446" i="18"/>
  <c r="I446" i="18"/>
  <c r="H446" i="18"/>
  <c r="G446" i="18"/>
  <c r="F446" i="18"/>
  <c r="E446" i="18"/>
  <c r="D446" i="18"/>
  <c r="C446" i="18"/>
  <c r="B446" i="18"/>
  <c r="A446" i="18"/>
  <c r="CU445" i="18"/>
  <c r="CT445" i="18"/>
  <c r="CS445" i="18"/>
  <c r="CR445" i="18"/>
  <c r="CQ445" i="18"/>
  <c r="CP445" i="18"/>
  <c r="CO445" i="18"/>
  <c r="CN445" i="18"/>
  <c r="CM445" i="18"/>
  <c r="CL445" i="18"/>
  <c r="CK445" i="18"/>
  <c r="CJ445" i="18"/>
  <c r="CI445" i="18"/>
  <c r="CH445" i="18"/>
  <c r="CG445" i="18"/>
  <c r="CF445" i="18"/>
  <c r="CE445" i="18"/>
  <c r="CD445" i="18"/>
  <c r="CC445" i="18"/>
  <c r="CB445" i="18"/>
  <c r="CA445" i="18"/>
  <c r="BZ445" i="18"/>
  <c r="BY445" i="18"/>
  <c r="BX445" i="18"/>
  <c r="BW445" i="18"/>
  <c r="BV445" i="18"/>
  <c r="BU445" i="18"/>
  <c r="BT445" i="18"/>
  <c r="BS445" i="18"/>
  <c r="BR445" i="18"/>
  <c r="BQ445" i="18"/>
  <c r="BP445" i="18"/>
  <c r="BO445" i="18"/>
  <c r="BN445" i="18"/>
  <c r="BM445" i="18"/>
  <c r="BL445" i="18"/>
  <c r="BK445" i="18"/>
  <c r="BJ445" i="18"/>
  <c r="BI445" i="18"/>
  <c r="BH445" i="18"/>
  <c r="BG445" i="18"/>
  <c r="BF445" i="18"/>
  <c r="BE445" i="18"/>
  <c r="BD445" i="18"/>
  <c r="BC445" i="18"/>
  <c r="BB445" i="18"/>
  <c r="BA445" i="18"/>
  <c r="AZ445" i="18"/>
  <c r="AY445" i="18"/>
  <c r="AX445" i="18"/>
  <c r="AW445" i="18"/>
  <c r="AV445" i="18"/>
  <c r="AU445" i="18"/>
  <c r="AT445" i="18"/>
  <c r="AS445" i="18"/>
  <c r="AR445" i="18"/>
  <c r="AQ445" i="18"/>
  <c r="AP445" i="18"/>
  <c r="AO445" i="18"/>
  <c r="AN445" i="18"/>
  <c r="AM445" i="18"/>
  <c r="AL445" i="18"/>
  <c r="AK445" i="18"/>
  <c r="AJ445" i="18"/>
  <c r="AI445" i="18"/>
  <c r="AH445" i="18"/>
  <c r="AG445" i="18"/>
  <c r="AF445" i="18"/>
  <c r="AE445" i="18"/>
  <c r="AD445" i="18"/>
  <c r="AC445" i="18"/>
  <c r="AB445" i="18"/>
  <c r="AA445" i="18"/>
  <c r="Z445" i="18"/>
  <c r="Y445" i="18"/>
  <c r="X445" i="18"/>
  <c r="W445" i="18"/>
  <c r="V445" i="18"/>
  <c r="U445" i="18"/>
  <c r="T445" i="18"/>
  <c r="S445" i="18"/>
  <c r="R445" i="18"/>
  <c r="Q445" i="18"/>
  <c r="P445" i="18"/>
  <c r="O445" i="18"/>
  <c r="N445" i="18"/>
  <c r="M445" i="18"/>
  <c r="L445" i="18"/>
  <c r="K445" i="18"/>
  <c r="J445" i="18"/>
  <c r="I445" i="18"/>
  <c r="H445" i="18"/>
  <c r="G445" i="18"/>
  <c r="F445" i="18"/>
  <c r="E445" i="18"/>
  <c r="D445" i="18"/>
  <c r="C445" i="18"/>
  <c r="B445" i="18"/>
  <c r="A445" i="18"/>
  <c r="CU444" i="18"/>
  <c r="CT444" i="18"/>
  <c r="CS444" i="18"/>
  <c r="CR444" i="18"/>
  <c r="CQ444" i="18"/>
  <c r="CP444" i="18"/>
  <c r="CO444" i="18"/>
  <c r="CN444" i="18"/>
  <c r="CM444" i="18"/>
  <c r="CL444" i="18"/>
  <c r="CK444" i="18"/>
  <c r="CJ444" i="18"/>
  <c r="CI444" i="18"/>
  <c r="CH444" i="18"/>
  <c r="CG444" i="18"/>
  <c r="CF444" i="18"/>
  <c r="CE444" i="18"/>
  <c r="CD444" i="18"/>
  <c r="CC444" i="18"/>
  <c r="CB444" i="18"/>
  <c r="CA444" i="18"/>
  <c r="BZ444" i="18"/>
  <c r="BY444" i="18"/>
  <c r="BX444" i="18"/>
  <c r="BW444" i="18"/>
  <c r="BV444" i="18"/>
  <c r="BU444" i="18"/>
  <c r="BT444" i="18"/>
  <c r="BS444" i="18"/>
  <c r="BR444" i="18"/>
  <c r="BQ444" i="18"/>
  <c r="BP444" i="18"/>
  <c r="BO444" i="18"/>
  <c r="BN444" i="18"/>
  <c r="BM444" i="18"/>
  <c r="BL444" i="18"/>
  <c r="BK444" i="18"/>
  <c r="BJ444" i="18"/>
  <c r="BI444" i="18"/>
  <c r="BH444" i="18"/>
  <c r="BG444" i="18"/>
  <c r="BF444" i="18"/>
  <c r="BE444" i="18"/>
  <c r="BD444" i="18"/>
  <c r="BC444" i="18"/>
  <c r="BB444" i="18"/>
  <c r="BA444" i="18"/>
  <c r="AZ444" i="18"/>
  <c r="AY444" i="18"/>
  <c r="AX444" i="18"/>
  <c r="AW444" i="18"/>
  <c r="AV444" i="18"/>
  <c r="AU444" i="18"/>
  <c r="AT444" i="18"/>
  <c r="AS444" i="18"/>
  <c r="AR444" i="18"/>
  <c r="AQ444" i="18"/>
  <c r="AP444" i="18"/>
  <c r="AO444" i="18"/>
  <c r="AN444" i="18"/>
  <c r="AM444" i="18"/>
  <c r="AL444" i="18"/>
  <c r="AK444" i="18"/>
  <c r="AJ444" i="18"/>
  <c r="AI444" i="18"/>
  <c r="AH444" i="18"/>
  <c r="AG444" i="18"/>
  <c r="AF444" i="18"/>
  <c r="AE444" i="18"/>
  <c r="AD444" i="18"/>
  <c r="AC444" i="18"/>
  <c r="AB444" i="18"/>
  <c r="AA444" i="18"/>
  <c r="Z444" i="18"/>
  <c r="Y444" i="18"/>
  <c r="X444" i="18"/>
  <c r="W444" i="18"/>
  <c r="V444" i="18"/>
  <c r="U444" i="18"/>
  <c r="T444" i="18"/>
  <c r="S444" i="18"/>
  <c r="R444" i="18"/>
  <c r="Q444" i="18"/>
  <c r="P444" i="18"/>
  <c r="O444" i="18"/>
  <c r="N444" i="18"/>
  <c r="M444" i="18"/>
  <c r="L444" i="18"/>
  <c r="K444" i="18"/>
  <c r="J444" i="18"/>
  <c r="I444" i="18"/>
  <c r="H444" i="18"/>
  <c r="G444" i="18"/>
  <c r="F444" i="18"/>
  <c r="E444" i="18"/>
  <c r="D444" i="18"/>
  <c r="C444" i="18"/>
  <c r="B444" i="18"/>
  <c r="A444" i="18"/>
  <c r="CU443" i="18"/>
  <c r="CT443" i="18"/>
  <c r="CS443" i="18"/>
  <c r="CR443" i="18"/>
  <c r="CP443" i="18"/>
  <c r="CO443" i="18"/>
  <c r="CN443" i="18"/>
  <c r="CM443" i="18"/>
  <c r="CL443" i="18"/>
  <c r="CK443" i="18"/>
  <c r="CJ443" i="18"/>
  <c r="CI443" i="18"/>
  <c r="CH443" i="18"/>
  <c r="CG443" i="18"/>
  <c r="CF443" i="18"/>
  <c r="CE443" i="18"/>
  <c r="CD443" i="18"/>
  <c r="CC443" i="18"/>
  <c r="CB443" i="18"/>
  <c r="CA443" i="18"/>
  <c r="BZ443" i="18"/>
  <c r="BY443" i="18"/>
  <c r="BT443" i="18"/>
  <c r="BS443" i="18"/>
  <c r="BR443" i="18"/>
  <c r="BQ443" i="18"/>
  <c r="BP443" i="18"/>
  <c r="BO443" i="18"/>
  <c r="BN443" i="18"/>
  <c r="BM443" i="18"/>
  <c r="BL443" i="18"/>
  <c r="BK443" i="18"/>
  <c r="BJ443" i="18"/>
  <c r="BI443" i="18"/>
  <c r="BH443" i="18"/>
  <c r="BG443" i="18"/>
  <c r="BF443" i="18"/>
  <c r="BE443" i="18"/>
  <c r="BD443" i="18"/>
  <c r="BC443" i="18"/>
  <c r="BB443" i="18"/>
  <c r="BA443" i="18"/>
  <c r="AZ443" i="18"/>
  <c r="AY443" i="18"/>
  <c r="AX443" i="18"/>
  <c r="AW443" i="18"/>
  <c r="AV443" i="18"/>
  <c r="AU443" i="18"/>
  <c r="AT443" i="18"/>
  <c r="AS443" i="18"/>
  <c r="AR443" i="18"/>
  <c r="AQ443" i="18"/>
  <c r="AP443" i="18"/>
  <c r="AO443" i="18"/>
  <c r="AN443" i="18"/>
  <c r="AM443" i="18"/>
  <c r="AL443" i="18"/>
  <c r="AK443" i="18"/>
  <c r="AJ443" i="18"/>
  <c r="AI443" i="18"/>
  <c r="AH443" i="18"/>
  <c r="AG443" i="18"/>
  <c r="AF443" i="18"/>
  <c r="AE443" i="18"/>
  <c r="AD443" i="18"/>
  <c r="AC443" i="18"/>
  <c r="AB443" i="18"/>
  <c r="AA443" i="18"/>
  <c r="Z443" i="18"/>
  <c r="Y443" i="18"/>
  <c r="X443" i="18"/>
  <c r="W443" i="18"/>
  <c r="V443" i="18"/>
  <c r="U443" i="18"/>
  <c r="T443" i="18"/>
  <c r="S443" i="18"/>
  <c r="R443" i="18"/>
  <c r="Q443" i="18"/>
  <c r="P443" i="18"/>
  <c r="O443" i="18"/>
  <c r="N443" i="18"/>
  <c r="M443" i="18"/>
  <c r="L443" i="18"/>
  <c r="K443" i="18"/>
  <c r="J443" i="18"/>
  <c r="I443" i="18"/>
  <c r="H443" i="18"/>
  <c r="G443" i="18"/>
  <c r="F443" i="18"/>
  <c r="E443" i="18"/>
  <c r="D443" i="18"/>
  <c r="C443" i="18"/>
  <c r="B443" i="18"/>
  <c r="A443" i="18"/>
  <c r="CU442" i="18"/>
  <c r="CT442" i="18"/>
  <c r="CS442" i="18"/>
  <c r="CR442" i="18"/>
  <c r="CQ442" i="18"/>
  <c r="CP442" i="18"/>
  <c r="CO442" i="18"/>
  <c r="CN442" i="18"/>
  <c r="CM442" i="18"/>
  <c r="CL442" i="18"/>
  <c r="CK442" i="18"/>
  <c r="CJ442" i="18"/>
  <c r="CI442" i="18"/>
  <c r="CH442" i="18"/>
  <c r="CG442" i="18"/>
  <c r="CF442" i="18"/>
  <c r="CE442" i="18"/>
  <c r="CD442" i="18"/>
  <c r="CC442" i="18"/>
  <c r="CB442" i="18"/>
  <c r="CA442" i="18"/>
  <c r="BZ442" i="18"/>
  <c r="BY442" i="18"/>
  <c r="BX442" i="18"/>
  <c r="BW442" i="18"/>
  <c r="BV442" i="18"/>
  <c r="BU442" i="18"/>
  <c r="BT442" i="18"/>
  <c r="BS442" i="18"/>
  <c r="BR442" i="18"/>
  <c r="BQ442" i="18"/>
  <c r="BP442" i="18"/>
  <c r="BO442" i="18"/>
  <c r="BN442" i="18"/>
  <c r="BM442" i="18"/>
  <c r="BL442" i="18"/>
  <c r="BK442" i="18"/>
  <c r="BJ442" i="18"/>
  <c r="BI442" i="18"/>
  <c r="BH442" i="18"/>
  <c r="BG442" i="18"/>
  <c r="BF442" i="18"/>
  <c r="BE442" i="18"/>
  <c r="BD442" i="18"/>
  <c r="BC442" i="18"/>
  <c r="BB442" i="18"/>
  <c r="BA442" i="18"/>
  <c r="AZ442" i="18"/>
  <c r="AY442" i="18"/>
  <c r="AX442" i="18"/>
  <c r="AW442" i="18"/>
  <c r="AV442" i="18"/>
  <c r="AU442" i="18"/>
  <c r="AT442" i="18"/>
  <c r="AS442" i="18"/>
  <c r="AR442" i="18"/>
  <c r="AQ442" i="18"/>
  <c r="AP442" i="18"/>
  <c r="AO442" i="18"/>
  <c r="AN442" i="18"/>
  <c r="AM442" i="18"/>
  <c r="AL442" i="18"/>
  <c r="AK442" i="18"/>
  <c r="AJ442" i="18"/>
  <c r="AI442" i="18"/>
  <c r="AH442" i="18"/>
  <c r="AG442" i="18"/>
  <c r="AF442" i="18"/>
  <c r="AE442" i="18"/>
  <c r="AD442" i="18"/>
  <c r="AC442" i="18"/>
  <c r="AB442" i="18"/>
  <c r="AA442" i="18"/>
  <c r="Z442" i="18"/>
  <c r="Y442" i="18"/>
  <c r="X442" i="18"/>
  <c r="W442" i="18"/>
  <c r="V442" i="18"/>
  <c r="U442" i="18"/>
  <c r="T442" i="18"/>
  <c r="S442" i="18"/>
  <c r="R442" i="18"/>
  <c r="Q442" i="18"/>
  <c r="P442" i="18"/>
  <c r="O442" i="18"/>
  <c r="N442" i="18"/>
  <c r="M442" i="18"/>
  <c r="L442" i="18"/>
  <c r="K442" i="18"/>
  <c r="J442" i="18"/>
  <c r="I442" i="18"/>
  <c r="H442" i="18"/>
  <c r="G442" i="18"/>
  <c r="F442" i="18"/>
  <c r="E442" i="18"/>
  <c r="D442" i="18"/>
  <c r="C442" i="18"/>
  <c r="B442" i="18"/>
  <c r="A442" i="18"/>
  <c r="CU441" i="18"/>
  <c r="CT441" i="18"/>
  <c r="CS441" i="18"/>
  <c r="CR441" i="18"/>
  <c r="CP441" i="18"/>
  <c r="CO441" i="18"/>
  <c r="CN441" i="18"/>
  <c r="CM441" i="18"/>
  <c r="CL441" i="18"/>
  <c r="CK441" i="18"/>
  <c r="CJ441" i="18"/>
  <c r="CI441" i="18"/>
  <c r="CH441" i="18"/>
  <c r="CG441" i="18"/>
  <c r="CF441" i="18"/>
  <c r="CE441" i="18"/>
  <c r="CD441" i="18"/>
  <c r="CC441" i="18"/>
  <c r="CB441" i="18"/>
  <c r="CA441" i="18"/>
  <c r="BZ441" i="18"/>
  <c r="BY441" i="18"/>
  <c r="BT441" i="18"/>
  <c r="BS441" i="18"/>
  <c r="BR441" i="18"/>
  <c r="BQ441" i="18"/>
  <c r="BP441" i="18"/>
  <c r="BO441" i="18"/>
  <c r="BN441" i="18"/>
  <c r="BM441" i="18"/>
  <c r="BL441" i="18"/>
  <c r="BK441" i="18"/>
  <c r="BJ441" i="18"/>
  <c r="BI441" i="18"/>
  <c r="BH441" i="18"/>
  <c r="BG441" i="18"/>
  <c r="BF441" i="18"/>
  <c r="BE441" i="18"/>
  <c r="BD441" i="18"/>
  <c r="BC441" i="18"/>
  <c r="BB441" i="18"/>
  <c r="BA441" i="18"/>
  <c r="AZ441" i="18"/>
  <c r="AY441" i="18"/>
  <c r="AX441" i="18"/>
  <c r="AW441" i="18"/>
  <c r="AV441" i="18"/>
  <c r="AU441" i="18"/>
  <c r="AT441" i="18"/>
  <c r="AS441" i="18"/>
  <c r="AR441" i="18"/>
  <c r="AQ441" i="18"/>
  <c r="AP441" i="18"/>
  <c r="AO441" i="18"/>
  <c r="AN441" i="18"/>
  <c r="AM441" i="18"/>
  <c r="AL441" i="18"/>
  <c r="AK441" i="18"/>
  <c r="AJ441" i="18"/>
  <c r="AI441" i="18"/>
  <c r="AH441" i="18"/>
  <c r="AG441" i="18"/>
  <c r="AF441" i="18"/>
  <c r="AE441" i="18"/>
  <c r="AD441" i="18"/>
  <c r="AC441" i="18"/>
  <c r="AB441" i="18"/>
  <c r="AA441" i="18"/>
  <c r="Z441" i="18"/>
  <c r="Y441" i="18"/>
  <c r="X441" i="18"/>
  <c r="W441" i="18"/>
  <c r="V441" i="18"/>
  <c r="U441" i="18"/>
  <c r="T441" i="18"/>
  <c r="S441" i="18"/>
  <c r="R441" i="18"/>
  <c r="Q441" i="18"/>
  <c r="P441" i="18"/>
  <c r="O441" i="18"/>
  <c r="N441" i="18"/>
  <c r="M441" i="18"/>
  <c r="L441" i="18"/>
  <c r="K441" i="18"/>
  <c r="J441" i="18"/>
  <c r="I441" i="18"/>
  <c r="H441" i="18"/>
  <c r="G441" i="18"/>
  <c r="F441" i="18"/>
  <c r="E441" i="18"/>
  <c r="D441" i="18"/>
  <c r="C441" i="18"/>
  <c r="B441" i="18"/>
  <c r="A441" i="18"/>
  <c r="CU440" i="18"/>
  <c r="CT440" i="18"/>
  <c r="CS440" i="18"/>
  <c r="CR440" i="18"/>
  <c r="CP440" i="18"/>
  <c r="CO440" i="18"/>
  <c r="CN440" i="18"/>
  <c r="CM440" i="18"/>
  <c r="CL440" i="18"/>
  <c r="CK440" i="18"/>
  <c r="CJ440" i="18"/>
  <c r="CI440" i="18"/>
  <c r="CH440" i="18"/>
  <c r="CG440" i="18"/>
  <c r="CF440" i="18"/>
  <c r="CE440" i="18"/>
  <c r="CD440" i="18"/>
  <c r="CC440" i="18"/>
  <c r="CB440" i="18"/>
  <c r="CA440" i="18"/>
  <c r="BZ440" i="18"/>
  <c r="BY440" i="18"/>
  <c r="BT440" i="18"/>
  <c r="BS440" i="18"/>
  <c r="BR440" i="18"/>
  <c r="BQ440" i="18"/>
  <c r="BP440" i="18"/>
  <c r="BO440" i="18"/>
  <c r="BN440" i="18"/>
  <c r="BM440" i="18"/>
  <c r="BL440" i="18"/>
  <c r="BK440" i="18"/>
  <c r="BJ440" i="18"/>
  <c r="BI440" i="18"/>
  <c r="BH440" i="18"/>
  <c r="BG440" i="18"/>
  <c r="BF440" i="18"/>
  <c r="BE440" i="18"/>
  <c r="BD440" i="18"/>
  <c r="BC440" i="18"/>
  <c r="BB440" i="18"/>
  <c r="BA440" i="18"/>
  <c r="AZ440" i="18"/>
  <c r="AY440" i="18"/>
  <c r="AX440" i="18"/>
  <c r="AW440" i="18"/>
  <c r="AV440" i="18"/>
  <c r="AU440" i="18"/>
  <c r="AT440" i="18"/>
  <c r="AS440" i="18"/>
  <c r="AR440" i="18"/>
  <c r="AQ440" i="18"/>
  <c r="AP440" i="18"/>
  <c r="AO440" i="18"/>
  <c r="AN440" i="18"/>
  <c r="AM440" i="18"/>
  <c r="AL440" i="18"/>
  <c r="AK440" i="18"/>
  <c r="AJ440" i="18"/>
  <c r="AI440" i="18"/>
  <c r="AH440" i="18"/>
  <c r="AG440" i="18"/>
  <c r="AF440" i="18"/>
  <c r="AE440" i="18"/>
  <c r="AD440" i="18"/>
  <c r="AC440" i="18"/>
  <c r="AB440" i="18"/>
  <c r="AA440" i="18"/>
  <c r="Z440" i="18"/>
  <c r="Y440" i="18"/>
  <c r="X440" i="18"/>
  <c r="W440" i="18"/>
  <c r="V440" i="18"/>
  <c r="U440" i="18"/>
  <c r="T440" i="18"/>
  <c r="S440" i="18"/>
  <c r="R440" i="18"/>
  <c r="Q440" i="18"/>
  <c r="P440" i="18"/>
  <c r="O440" i="18"/>
  <c r="N440" i="18"/>
  <c r="M440" i="18"/>
  <c r="L440" i="18"/>
  <c r="K440" i="18"/>
  <c r="J440" i="18"/>
  <c r="I440" i="18"/>
  <c r="H440" i="18"/>
  <c r="G440" i="18"/>
  <c r="F440" i="18"/>
  <c r="E440" i="18"/>
  <c r="D440" i="18"/>
  <c r="C440" i="18"/>
  <c r="B440" i="18"/>
  <c r="A440" i="18"/>
  <c r="CU439" i="18"/>
  <c r="CT439" i="18"/>
  <c r="CS439" i="18"/>
  <c r="CR439" i="18"/>
  <c r="CP439" i="18"/>
  <c r="CO439" i="18"/>
  <c r="CN439" i="18"/>
  <c r="CM439" i="18"/>
  <c r="CL439" i="18"/>
  <c r="CK439" i="18"/>
  <c r="CJ439" i="18"/>
  <c r="CI439" i="18"/>
  <c r="CH439" i="18"/>
  <c r="CG439" i="18"/>
  <c r="CF439" i="18"/>
  <c r="CE439" i="18"/>
  <c r="CD439" i="18"/>
  <c r="CC439" i="18"/>
  <c r="CB439" i="18"/>
  <c r="CA439" i="18"/>
  <c r="BZ439" i="18"/>
  <c r="BY439" i="18"/>
  <c r="BT439" i="18"/>
  <c r="BS439" i="18"/>
  <c r="BR439" i="18"/>
  <c r="BQ439" i="18"/>
  <c r="BP439" i="18"/>
  <c r="BO439" i="18"/>
  <c r="BN439" i="18"/>
  <c r="BM439" i="18"/>
  <c r="BL439" i="18"/>
  <c r="BK439" i="18"/>
  <c r="BJ439" i="18"/>
  <c r="BI439" i="18"/>
  <c r="BH439" i="18"/>
  <c r="BG439" i="18"/>
  <c r="BF439" i="18"/>
  <c r="BE439" i="18"/>
  <c r="BD439" i="18"/>
  <c r="BC439" i="18"/>
  <c r="BB439" i="18"/>
  <c r="BA439" i="18"/>
  <c r="AZ439" i="18"/>
  <c r="AY439" i="18"/>
  <c r="AX439" i="18"/>
  <c r="AW439" i="18"/>
  <c r="AV439" i="18"/>
  <c r="AU439" i="18"/>
  <c r="AT439" i="18"/>
  <c r="AS439" i="18"/>
  <c r="AR439" i="18"/>
  <c r="AQ439" i="18"/>
  <c r="AP439" i="18"/>
  <c r="AO439" i="18"/>
  <c r="AN439" i="18"/>
  <c r="AM439" i="18"/>
  <c r="AL439" i="18"/>
  <c r="AK439" i="18"/>
  <c r="AJ439" i="18"/>
  <c r="AI439" i="18"/>
  <c r="AH439" i="18"/>
  <c r="AG439" i="18"/>
  <c r="AF439" i="18"/>
  <c r="AE439" i="18"/>
  <c r="AD439" i="18"/>
  <c r="AC439" i="18"/>
  <c r="AB439" i="18"/>
  <c r="AA439" i="18"/>
  <c r="Z439" i="18"/>
  <c r="Y439" i="18"/>
  <c r="X439" i="18"/>
  <c r="W439" i="18"/>
  <c r="V439" i="18"/>
  <c r="U439" i="18"/>
  <c r="T439" i="18"/>
  <c r="S439" i="18"/>
  <c r="R439" i="18"/>
  <c r="Q439" i="18"/>
  <c r="P439" i="18"/>
  <c r="O439" i="18"/>
  <c r="N439" i="18"/>
  <c r="M439" i="18"/>
  <c r="L439" i="18"/>
  <c r="K439" i="18"/>
  <c r="J439" i="18"/>
  <c r="I439" i="18"/>
  <c r="H439" i="18"/>
  <c r="G439" i="18"/>
  <c r="F439" i="18"/>
  <c r="E439" i="18"/>
  <c r="D439" i="18"/>
  <c r="C439" i="18"/>
  <c r="B439" i="18"/>
  <c r="A439" i="18"/>
  <c r="CU438" i="18"/>
  <c r="CT438" i="18"/>
  <c r="CS438" i="18"/>
  <c r="CR438" i="18"/>
  <c r="CQ438" i="18"/>
  <c r="CP438" i="18"/>
  <c r="CO438" i="18"/>
  <c r="CN438" i="18"/>
  <c r="CM438" i="18"/>
  <c r="CL438" i="18"/>
  <c r="CK438" i="18"/>
  <c r="CJ438" i="18"/>
  <c r="CI438" i="18"/>
  <c r="CH438" i="18"/>
  <c r="CG438" i="18"/>
  <c r="CF438" i="18"/>
  <c r="CE438" i="18"/>
  <c r="CD438" i="18"/>
  <c r="CC438" i="18"/>
  <c r="CB438" i="18"/>
  <c r="CA438" i="18"/>
  <c r="BZ438" i="18"/>
  <c r="BY438" i="18"/>
  <c r="BX438" i="18"/>
  <c r="BW438" i="18"/>
  <c r="BV438" i="18"/>
  <c r="BU438" i="18"/>
  <c r="BT438" i="18"/>
  <c r="BS438" i="18"/>
  <c r="BR438" i="18"/>
  <c r="BQ438" i="18"/>
  <c r="BP438" i="18"/>
  <c r="BO438" i="18"/>
  <c r="BN438" i="18"/>
  <c r="BM438" i="18"/>
  <c r="BL438" i="18"/>
  <c r="BK438" i="18"/>
  <c r="BJ438" i="18"/>
  <c r="BI438" i="18"/>
  <c r="BH438" i="18"/>
  <c r="BG438" i="18"/>
  <c r="BF438" i="18"/>
  <c r="BE438" i="18"/>
  <c r="BD438" i="18"/>
  <c r="BC438" i="18"/>
  <c r="BB438" i="18"/>
  <c r="BA438" i="18"/>
  <c r="AZ438" i="18"/>
  <c r="AY438" i="18"/>
  <c r="AX438" i="18"/>
  <c r="AW438" i="18"/>
  <c r="AV438" i="18"/>
  <c r="AU438" i="18"/>
  <c r="AT438" i="18"/>
  <c r="AS438" i="18"/>
  <c r="AR438" i="18"/>
  <c r="AQ438" i="18"/>
  <c r="AP438" i="18"/>
  <c r="AO438" i="18"/>
  <c r="AN438" i="18"/>
  <c r="AM438" i="18"/>
  <c r="AL438" i="18"/>
  <c r="AK438" i="18"/>
  <c r="AJ438" i="18"/>
  <c r="AI438" i="18"/>
  <c r="AH438" i="18"/>
  <c r="AG438" i="18"/>
  <c r="AF438" i="18"/>
  <c r="AE438" i="18"/>
  <c r="AD438" i="18"/>
  <c r="AC438" i="18"/>
  <c r="AB438" i="18"/>
  <c r="AA438" i="18"/>
  <c r="Z438" i="18"/>
  <c r="Y438" i="18"/>
  <c r="X438" i="18"/>
  <c r="W438" i="18"/>
  <c r="V438" i="18"/>
  <c r="U438" i="18"/>
  <c r="T438" i="18"/>
  <c r="S438" i="18"/>
  <c r="R438" i="18"/>
  <c r="Q438" i="18"/>
  <c r="P438" i="18"/>
  <c r="O438" i="18"/>
  <c r="N438" i="18"/>
  <c r="M438" i="18"/>
  <c r="L438" i="18"/>
  <c r="K438" i="18"/>
  <c r="J438" i="18"/>
  <c r="I438" i="18"/>
  <c r="H438" i="18"/>
  <c r="G438" i="18"/>
  <c r="F438" i="18"/>
  <c r="E438" i="18"/>
  <c r="D438" i="18"/>
  <c r="C438" i="18"/>
  <c r="B438" i="18"/>
  <c r="A438" i="18"/>
  <c r="CU437" i="18"/>
  <c r="CT437" i="18"/>
  <c r="CS437" i="18"/>
  <c r="CR437" i="18"/>
  <c r="CP437" i="18"/>
  <c r="CO437" i="18"/>
  <c r="CN437" i="18"/>
  <c r="CM437" i="18"/>
  <c r="CL437" i="18"/>
  <c r="CK437" i="18"/>
  <c r="CJ437" i="18"/>
  <c r="CI437" i="18"/>
  <c r="CH437" i="18"/>
  <c r="CG437" i="18"/>
  <c r="CF437" i="18"/>
  <c r="CE437" i="18"/>
  <c r="CD437" i="18"/>
  <c r="CC437" i="18"/>
  <c r="CB437" i="18"/>
  <c r="CA437" i="18"/>
  <c r="BZ437" i="18"/>
  <c r="BY437" i="18"/>
  <c r="BT437" i="18"/>
  <c r="BS437" i="18"/>
  <c r="BR437" i="18"/>
  <c r="BQ437" i="18"/>
  <c r="BP437" i="18"/>
  <c r="BO437" i="18"/>
  <c r="BN437" i="18"/>
  <c r="BM437" i="18"/>
  <c r="BL437" i="18"/>
  <c r="BK437" i="18"/>
  <c r="BJ437" i="18"/>
  <c r="BI437" i="18"/>
  <c r="BH437" i="18"/>
  <c r="BG437" i="18"/>
  <c r="BF437" i="18"/>
  <c r="BE437" i="18"/>
  <c r="BD437" i="18"/>
  <c r="BC437" i="18"/>
  <c r="BB437" i="18"/>
  <c r="BA437" i="18"/>
  <c r="AZ437" i="18"/>
  <c r="AY437" i="18"/>
  <c r="AX437" i="18"/>
  <c r="AW437" i="18"/>
  <c r="AV437" i="18"/>
  <c r="AU437" i="18"/>
  <c r="AT437" i="18"/>
  <c r="AS437" i="18"/>
  <c r="AR437" i="18"/>
  <c r="AQ437" i="18"/>
  <c r="AP437" i="18"/>
  <c r="AO437" i="18"/>
  <c r="AN437" i="18"/>
  <c r="AM437" i="18"/>
  <c r="AL437" i="18"/>
  <c r="AK437" i="18"/>
  <c r="AJ437" i="18"/>
  <c r="AI437" i="18"/>
  <c r="AH437" i="18"/>
  <c r="AG437" i="18"/>
  <c r="AF437" i="18"/>
  <c r="AE437" i="18"/>
  <c r="AD437" i="18"/>
  <c r="AC437" i="18"/>
  <c r="AB437" i="18"/>
  <c r="AA437" i="18"/>
  <c r="Z437" i="18"/>
  <c r="Y437" i="18"/>
  <c r="X437" i="18"/>
  <c r="W437" i="18"/>
  <c r="V437" i="18"/>
  <c r="U437" i="18"/>
  <c r="T437" i="18"/>
  <c r="S437" i="18"/>
  <c r="R437" i="18"/>
  <c r="Q437" i="18"/>
  <c r="P437" i="18"/>
  <c r="O437" i="18"/>
  <c r="N437" i="18"/>
  <c r="M437" i="18"/>
  <c r="L437" i="18"/>
  <c r="K437" i="18"/>
  <c r="J437" i="18"/>
  <c r="I437" i="18"/>
  <c r="H437" i="18"/>
  <c r="G437" i="18"/>
  <c r="F437" i="18"/>
  <c r="E437" i="18"/>
  <c r="D437" i="18"/>
  <c r="C437" i="18"/>
  <c r="B437" i="18"/>
  <c r="A437" i="18"/>
  <c r="CU436" i="18"/>
  <c r="CT436" i="18"/>
  <c r="CS436" i="18"/>
  <c r="CR436" i="18"/>
  <c r="CQ436" i="18"/>
  <c r="CP436" i="18"/>
  <c r="CO436" i="18"/>
  <c r="CN436" i="18"/>
  <c r="CM436" i="18"/>
  <c r="CL436" i="18"/>
  <c r="CK436" i="18"/>
  <c r="CJ436" i="18"/>
  <c r="CI436" i="18"/>
  <c r="CH436" i="18"/>
  <c r="CG436" i="18"/>
  <c r="CF436" i="18"/>
  <c r="CE436" i="18"/>
  <c r="CD436" i="18"/>
  <c r="CC436" i="18"/>
  <c r="CB436" i="18"/>
  <c r="CA436" i="18"/>
  <c r="BZ436" i="18"/>
  <c r="BY436" i="18"/>
  <c r="BX436" i="18"/>
  <c r="BW436" i="18"/>
  <c r="BV436" i="18"/>
  <c r="BU436" i="18"/>
  <c r="BT436" i="18"/>
  <c r="BS436" i="18"/>
  <c r="BR436" i="18"/>
  <c r="BQ436" i="18"/>
  <c r="BP436" i="18"/>
  <c r="BO436" i="18"/>
  <c r="BN436" i="18"/>
  <c r="BM436" i="18"/>
  <c r="BL436" i="18"/>
  <c r="BK436" i="18"/>
  <c r="BJ436" i="18"/>
  <c r="BI436" i="18"/>
  <c r="BH436" i="18"/>
  <c r="BG436" i="18"/>
  <c r="BF436" i="18"/>
  <c r="BE436" i="18"/>
  <c r="BD436" i="18"/>
  <c r="BC436" i="18"/>
  <c r="BB436" i="18"/>
  <c r="BA436" i="18"/>
  <c r="AZ436" i="18"/>
  <c r="AY436" i="18"/>
  <c r="AX436" i="18"/>
  <c r="AW436" i="18"/>
  <c r="AV436" i="18"/>
  <c r="AU436" i="18"/>
  <c r="AT436" i="18"/>
  <c r="AS436" i="18"/>
  <c r="AR436" i="18"/>
  <c r="AQ436" i="18"/>
  <c r="AP436" i="18"/>
  <c r="AO436" i="18"/>
  <c r="AN436" i="18"/>
  <c r="AM436" i="18"/>
  <c r="AL436" i="18"/>
  <c r="AK436" i="18"/>
  <c r="AJ436" i="18"/>
  <c r="AI436" i="18"/>
  <c r="AH436" i="18"/>
  <c r="AG436" i="18"/>
  <c r="AF436" i="18"/>
  <c r="AE436" i="18"/>
  <c r="AD436" i="18"/>
  <c r="AC436" i="18"/>
  <c r="AB436" i="18"/>
  <c r="AA436" i="18"/>
  <c r="Z436" i="18"/>
  <c r="Y436" i="18"/>
  <c r="X436" i="18"/>
  <c r="W436" i="18"/>
  <c r="V436" i="18"/>
  <c r="U436" i="18"/>
  <c r="T436" i="18"/>
  <c r="S436" i="18"/>
  <c r="R436" i="18"/>
  <c r="Q436" i="18"/>
  <c r="P436" i="18"/>
  <c r="O436" i="18"/>
  <c r="N436" i="18"/>
  <c r="M436" i="18"/>
  <c r="L436" i="18"/>
  <c r="K436" i="18"/>
  <c r="J436" i="18"/>
  <c r="I436" i="18"/>
  <c r="H436" i="18"/>
  <c r="G436" i="18"/>
  <c r="F436" i="18"/>
  <c r="E436" i="18"/>
  <c r="D436" i="18"/>
  <c r="C436" i="18"/>
  <c r="B436" i="18"/>
  <c r="A436" i="18"/>
  <c r="CU435" i="18"/>
  <c r="CT435" i="18"/>
  <c r="CS435" i="18"/>
  <c r="CR435" i="18"/>
  <c r="CP435" i="18"/>
  <c r="CO435" i="18"/>
  <c r="CN435" i="18"/>
  <c r="CM435" i="18"/>
  <c r="CL435" i="18"/>
  <c r="CK435" i="18"/>
  <c r="CJ435" i="18"/>
  <c r="CI435" i="18"/>
  <c r="CH435" i="18"/>
  <c r="CG435" i="18"/>
  <c r="CF435" i="18"/>
  <c r="CE435" i="18"/>
  <c r="CD435" i="18"/>
  <c r="CC435" i="18"/>
  <c r="CB435" i="18"/>
  <c r="CA435" i="18"/>
  <c r="BZ435" i="18"/>
  <c r="BY435" i="18"/>
  <c r="BT435" i="18"/>
  <c r="BS435" i="18"/>
  <c r="BR435" i="18"/>
  <c r="BQ435" i="18"/>
  <c r="BP435" i="18"/>
  <c r="BO435" i="18"/>
  <c r="BN435" i="18"/>
  <c r="BM435" i="18"/>
  <c r="BL435" i="18"/>
  <c r="BK435" i="18"/>
  <c r="BJ435" i="18"/>
  <c r="BI435" i="18"/>
  <c r="BH435" i="18"/>
  <c r="BG435" i="18"/>
  <c r="BF435" i="18"/>
  <c r="BE435" i="18"/>
  <c r="BD435" i="18"/>
  <c r="BC435" i="18"/>
  <c r="BB435" i="18"/>
  <c r="BA435" i="18"/>
  <c r="AZ435" i="18"/>
  <c r="AY435" i="18"/>
  <c r="AX435" i="18"/>
  <c r="AW435" i="18"/>
  <c r="AV435" i="18"/>
  <c r="AU435" i="18"/>
  <c r="AT435" i="18"/>
  <c r="AS435" i="18"/>
  <c r="AR435" i="18"/>
  <c r="AQ435" i="18"/>
  <c r="AP435" i="18"/>
  <c r="AO435" i="18"/>
  <c r="AN435" i="18"/>
  <c r="AM435" i="18"/>
  <c r="AL435" i="18"/>
  <c r="AK435" i="18"/>
  <c r="AJ435" i="18"/>
  <c r="AI435" i="18"/>
  <c r="AH435" i="18"/>
  <c r="AG435" i="18"/>
  <c r="AF435" i="18"/>
  <c r="AE435" i="18"/>
  <c r="AD435" i="18"/>
  <c r="AC435" i="18"/>
  <c r="AB435" i="18"/>
  <c r="AA435" i="18"/>
  <c r="Z435" i="18"/>
  <c r="Y435" i="18"/>
  <c r="X435" i="18"/>
  <c r="W435" i="18"/>
  <c r="V435" i="18"/>
  <c r="U435" i="18"/>
  <c r="T435" i="18"/>
  <c r="S435" i="18"/>
  <c r="R435" i="18"/>
  <c r="Q435" i="18"/>
  <c r="P435" i="18"/>
  <c r="O435" i="18"/>
  <c r="N435" i="18"/>
  <c r="M435" i="18"/>
  <c r="L435" i="18"/>
  <c r="K435" i="18"/>
  <c r="J435" i="18"/>
  <c r="I435" i="18"/>
  <c r="H435" i="18"/>
  <c r="G435" i="18"/>
  <c r="F435" i="18"/>
  <c r="E435" i="18"/>
  <c r="D435" i="18"/>
  <c r="C435" i="18"/>
  <c r="B435" i="18"/>
  <c r="A435" i="18"/>
  <c r="CU434" i="18"/>
  <c r="CT434" i="18"/>
  <c r="CS434" i="18"/>
  <c r="CR434" i="18"/>
  <c r="CP434" i="18"/>
  <c r="CO434" i="18"/>
  <c r="CN434" i="18"/>
  <c r="CM434" i="18"/>
  <c r="CL434" i="18"/>
  <c r="CK434" i="18"/>
  <c r="CJ434" i="18"/>
  <c r="CI434" i="18"/>
  <c r="CH434" i="18"/>
  <c r="CG434" i="18"/>
  <c r="CF434" i="18"/>
  <c r="CE434" i="18"/>
  <c r="CD434" i="18"/>
  <c r="CC434" i="18"/>
  <c r="CB434" i="18"/>
  <c r="CA434" i="18"/>
  <c r="BZ434" i="18"/>
  <c r="BY434" i="18"/>
  <c r="BT434" i="18"/>
  <c r="BS434" i="18"/>
  <c r="BR434" i="18"/>
  <c r="BQ434" i="18"/>
  <c r="BP434" i="18"/>
  <c r="BO434" i="18"/>
  <c r="BN434" i="18"/>
  <c r="BM434" i="18"/>
  <c r="BL434" i="18"/>
  <c r="BK434" i="18"/>
  <c r="BJ434" i="18"/>
  <c r="BI434" i="18"/>
  <c r="BH434" i="18"/>
  <c r="BG434" i="18"/>
  <c r="BF434" i="18"/>
  <c r="BE434" i="18"/>
  <c r="BD434" i="18"/>
  <c r="BC434" i="18"/>
  <c r="BB434" i="18"/>
  <c r="BA434" i="18"/>
  <c r="AZ434" i="18"/>
  <c r="AY434" i="18"/>
  <c r="AX434" i="18"/>
  <c r="AW434" i="18"/>
  <c r="AV434" i="18"/>
  <c r="AU434" i="18"/>
  <c r="AT434" i="18"/>
  <c r="AS434" i="18"/>
  <c r="AR434" i="18"/>
  <c r="AQ434" i="18"/>
  <c r="AP434" i="18"/>
  <c r="AO434" i="18"/>
  <c r="AN434" i="18"/>
  <c r="AM434" i="18"/>
  <c r="AL434" i="18"/>
  <c r="AK434" i="18"/>
  <c r="AJ434" i="18"/>
  <c r="AI434" i="18"/>
  <c r="AH434" i="18"/>
  <c r="AG434" i="18"/>
  <c r="AF434" i="18"/>
  <c r="AE434" i="18"/>
  <c r="AD434" i="18"/>
  <c r="AC434" i="18"/>
  <c r="AB434" i="18"/>
  <c r="AA434" i="18"/>
  <c r="Z434" i="18"/>
  <c r="Y434" i="18"/>
  <c r="X434" i="18"/>
  <c r="W434" i="18"/>
  <c r="V434" i="18"/>
  <c r="U434" i="18"/>
  <c r="T434" i="18"/>
  <c r="S434" i="18"/>
  <c r="R434" i="18"/>
  <c r="Q434" i="18"/>
  <c r="P434" i="18"/>
  <c r="O434" i="18"/>
  <c r="N434" i="18"/>
  <c r="M434" i="18"/>
  <c r="L434" i="18"/>
  <c r="K434" i="18"/>
  <c r="J434" i="18"/>
  <c r="I434" i="18"/>
  <c r="H434" i="18"/>
  <c r="G434" i="18"/>
  <c r="F434" i="18"/>
  <c r="E434" i="18"/>
  <c r="D434" i="18"/>
  <c r="C434" i="18"/>
  <c r="B434" i="18"/>
  <c r="A434" i="18"/>
  <c r="CU433" i="18"/>
  <c r="CT433" i="18"/>
  <c r="CS433" i="18"/>
  <c r="CR433" i="18"/>
  <c r="CQ433" i="18"/>
  <c r="CP433" i="18"/>
  <c r="CO433" i="18"/>
  <c r="CN433" i="18"/>
  <c r="CM433" i="18"/>
  <c r="CL433" i="18"/>
  <c r="CK433" i="18"/>
  <c r="CJ433" i="18"/>
  <c r="CI433" i="18"/>
  <c r="CH433" i="18"/>
  <c r="CG433" i="18"/>
  <c r="CF433" i="18"/>
  <c r="CE433" i="18"/>
  <c r="CD433" i="18"/>
  <c r="CC433" i="18"/>
  <c r="CB433" i="18"/>
  <c r="CA433" i="18"/>
  <c r="BZ433" i="18"/>
  <c r="BY433" i="18"/>
  <c r="BX433" i="18"/>
  <c r="BW433" i="18"/>
  <c r="BV433" i="18"/>
  <c r="BU433" i="18"/>
  <c r="BT433" i="18"/>
  <c r="BS433" i="18"/>
  <c r="BR433" i="18"/>
  <c r="BQ433" i="18"/>
  <c r="BP433" i="18"/>
  <c r="BO433" i="18"/>
  <c r="BN433" i="18"/>
  <c r="BM433" i="18"/>
  <c r="BL433" i="18"/>
  <c r="BK433" i="18"/>
  <c r="BJ433" i="18"/>
  <c r="BI433" i="18"/>
  <c r="BH433" i="18"/>
  <c r="BG433" i="18"/>
  <c r="BF433" i="18"/>
  <c r="BE433" i="18"/>
  <c r="BD433" i="18"/>
  <c r="BC433" i="18"/>
  <c r="BB433" i="18"/>
  <c r="BA433" i="18"/>
  <c r="AZ433" i="18"/>
  <c r="AY433" i="18"/>
  <c r="AX433" i="18"/>
  <c r="AW433" i="18"/>
  <c r="AV433" i="18"/>
  <c r="AU433" i="18"/>
  <c r="AT433" i="18"/>
  <c r="AS433" i="18"/>
  <c r="AR433" i="18"/>
  <c r="AQ433" i="18"/>
  <c r="AP433" i="18"/>
  <c r="AO433" i="18"/>
  <c r="AN433" i="18"/>
  <c r="AM433" i="18"/>
  <c r="AL433" i="18"/>
  <c r="AK433" i="18"/>
  <c r="AJ433" i="18"/>
  <c r="AI433" i="18"/>
  <c r="AH433" i="18"/>
  <c r="AG433" i="18"/>
  <c r="AF433" i="18"/>
  <c r="AE433" i="18"/>
  <c r="AD433" i="18"/>
  <c r="AC433" i="18"/>
  <c r="AB433" i="18"/>
  <c r="AA433" i="18"/>
  <c r="Z433" i="18"/>
  <c r="Y433" i="18"/>
  <c r="X433" i="18"/>
  <c r="W433" i="18"/>
  <c r="V433" i="18"/>
  <c r="U433" i="18"/>
  <c r="T433" i="18"/>
  <c r="S433" i="18"/>
  <c r="R433" i="18"/>
  <c r="Q433" i="18"/>
  <c r="P433" i="18"/>
  <c r="O433" i="18"/>
  <c r="N433" i="18"/>
  <c r="M433" i="18"/>
  <c r="L433" i="18"/>
  <c r="K433" i="18"/>
  <c r="J433" i="18"/>
  <c r="I433" i="18"/>
  <c r="H433" i="18"/>
  <c r="G433" i="18"/>
  <c r="F433" i="18"/>
  <c r="E433" i="18"/>
  <c r="D433" i="18"/>
  <c r="C433" i="18"/>
  <c r="B433" i="18"/>
  <c r="A433" i="18"/>
  <c r="CU432" i="18"/>
  <c r="CT432" i="18"/>
  <c r="CS432" i="18"/>
  <c r="CR432" i="18"/>
  <c r="CQ432" i="18"/>
  <c r="CP432" i="18"/>
  <c r="CO432" i="18"/>
  <c r="CN432" i="18"/>
  <c r="CM432" i="18"/>
  <c r="CL432" i="18"/>
  <c r="CK432" i="18"/>
  <c r="CJ432" i="18"/>
  <c r="CI432" i="18"/>
  <c r="CH432" i="18"/>
  <c r="CG432" i="18"/>
  <c r="CF432" i="18"/>
  <c r="CE432" i="18"/>
  <c r="CD432" i="18"/>
  <c r="CC432" i="18"/>
  <c r="CB432" i="18"/>
  <c r="CA432" i="18"/>
  <c r="BZ432" i="18"/>
  <c r="BY432" i="18"/>
  <c r="BX432" i="18"/>
  <c r="BW432" i="18"/>
  <c r="BV432" i="18"/>
  <c r="BU432" i="18"/>
  <c r="BT432" i="18"/>
  <c r="BS432" i="18"/>
  <c r="BR432" i="18"/>
  <c r="BQ432" i="18"/>
  <c r="BP432" i="18"/>
  <c r="BO432" i="18"/>
  <c r="BN432" i="18"/>
  <c r="BM432" i="18"/>
  <c r="BL432" i="18"/>
  <c r="BK432" i="18"/>
  <c r="BJ432" i="18"/>
  <c r="BI432" i="18"/>
  <c r="BH432" i="18"/>
  <c r="BG432" i="18"/>
  <c r="BF432" i="18"/>
  <c r="BE432" i="18"/>
  <c r="BD432" i="18"/>
  <c r="BC432" i="18"/>
  <c r="BB432" i="18"/>
  <c r="BA432" i="18"/>
  <c r="AZ432" i="18"/>
  <c r="AY432" i="18"/>
  <c r="AX432" i="18"/>
  <c r="AW432" i="18"/>
  <c r="AV432" i="18"/>
  <c r="AU432" i="18"/>
  <c r="AT432" i="18"/>
  <c r="AS432" i="18"/>
  <c r="AR432" i="18"/>
  <c r="AQ432" i="18"/>
  <c r="AP432" i="18"/>
  <c r="AO432" i="18"/>
  <c r="AN432" i="18"/>
  <c r="AM432" i="18"/>
  <c r="AL432" i="18"/>
  <c r="AK432" i="18"/>
  <c r="AJ432" i="18"/>
  <c r="AI432" i="18"/>
  <c r="AH432" i="18"/>
  <c r="AG432" i="18"/>
  <c r="AF432" i="18"/>
  <c r="AE432" i="18"/>
  <c r="AD432" i="18"/>
  <c r="AC432" i="18"/>
  <c r="AB432" i="18"/>
  <c r="AA432" i="18"/>
  <c r="Z432" i="18"/>
  <c r="Y432" i="18"/>
  <c r="X432" i="18"/>
  <c r="W432" i="18"/>
  <c r="V432" i="18"/>
  <c r="U432" i="18"/>
  <c r="T432" i="18"/>
  <c r="S432" i="18"/>
  <c r="R432" i="18"/>
  <c r="Q432" i="18"/>
  <c r="P432" i="18"/>
  <c r="O432" i="18"/>
  <c r="N432" i="18"/>
  <c r="M432" i="18"/>
  <c r="L432" i="18"/>
  <c r="K432" i="18"/>
  <c r="J432" i="18"/>
  <c r="I432" i="18"/>
  <c r="H432" i="18"/>
  <c r="G432" i="18"/>
  <c r="F432" i="18"/>
  <c r="E432" i="18"/>
  <c r="D432" i="18"/>
  <c r="C432" i="18"/>
  <c r="B432" i="18"/>
  <c r="A432" i="18"/>
  <c r="CU431" i="18"/>
  <c r="CT431" i="18"/>
  <c r="CS431" i="18"/>
  <c r="CR431" i="18"/>
  <c r="CP431" i="18"/>
  <c r="CO431" i="18"/>
  <c r="CN431" i="18"/>
  <c r="CM431" i="18"/>
  <c r="CL431" i="18"/>
  <c r="CK431" i="18"/>
  <c r="CJ431" i="18"/>
  <c r="CI431" i="18"/>
  <c r="CH431" i="18"/>
  <c r="CG431" i="18"/>
  <c r="CF431" i="18"/>
  <c r="CE431" i="18"/>
  <c r="CD431" i="18"/>
  <c r="CC431" i="18"/>
  <c r="CB431" i="18"/>
  <c r="CA431" i="18"/>
  <c r="BZ431" i="18"/>
  <c r="BY431" i="18"/>
  <c r="BT431" i="18"/>
  <c r="BS431" i="18"/>
  <c r="BR431" i="18"/>
  <c r="BQ431" i="18"/>
  <c r="BP431" i="18"/>
  <c r="BO431" i="18"/>
  <c r="BN431" i="18"/>
  <c r="BM431" i="18"/>
  <c r="BL431" i="18"/>
  <c r="BK431" i="18"/>
  <c r="BJ431" i="18"/>
  <c r="BI431" i="18"/>
  <c r="BH431" i="18"/>
  <c r="BG431" i="18"/>
  <c r="BF431" i="18"/>
  <c r="BE431" i="18"/>
  <c r="BD431" i="18"/>
  <c r="BC431" i="18"/>
  <c r="BB431" i="18"/>
  <c r="BA431" i="18"/>
  <c r="AZ431" i="18"/>
  <c r="AY431" i="18"/>
  <c r="AX431" i="18"/>
  <c r="AW431" i="18"/>
  <c r="AV431" i="18"/>
  <c r="AU431" i="18"/>
  <c r="AT431" i="18"/>
  <c r="AS431" i="18"/>
  <c r="AR431" i="18"/>
  <c r="AQ431" i="18"/>
  <c r="AP431" i="18"/>
  <c r="AO431" i="18"/>
  <c r="AN431" i="18"/>
  <c r="AM431" i="18"/>
  <c r="AL431" i="18"/>
  <c r="AK431" i="18"/>
  <c r="AJ431" i="18"/>
  <c r="AI431" i="18"/>
  <c r="AH431" i="18"/>
  <c r="AG431" i="18"/>
  <c r="AF431" i="18"/>
  <c r="AE431" i="18"/>
  <c r="AD431" i="18"/>
  <c r="AC431" i="18"/>
  <c r="AB431" i="18"/>
  <c r="AA431" i="18"/>
  <c r="Z431" i="18"/>
  <c r="Y431" i="18"/>
  <c r="X431" i="18"/>
  <c r="W431" i="18"/>
  <c r="V431" i="18"/>
  <c r="U431" i="18"/>
  <c r="T431" i="18"/>
  <c r="S431" i="18"/>
  <c r="R431" i="18"/>
  <c r="Q431" i="18"/>
  <c r="P431" i="18"/>
  <c r="O431" i="18"/>
  <c r="N431" i="18"/>
  <c r="M431" i="18"/>
  <c r="L431" i="18"/>
  <c r="K431" i="18"/>
  <c r="J431" i="18"/>
  <c r="I431" i="18"/>
  <c r="H431" i="18"/>
  <c r="G431" i="18"/>
  <c r="F431" i="18"/>
  <c r="E431" i="18"/>
  <c r="D431" i="18"/>
  <c r="C431" i="18"/>
  <c r="B431" i="18"/>
  <c r="A431" i="18"/>
  <c r="CU430" i="18"/>
  <c r="CT430" i="18"/>
  <c r="CS430" i="18"/>
  <c r="CR430" i="18"/>
  <c r="CQ430" i="18"/>
  <c r="CP430" i="18"/>
  <c r="CO430" i="18"/>
  <c r="CN430" i="18"/>
  <c r="CM430" i="18"/>
  <c r="CL430" i="18"/>
  <c r="CK430" i="18"/>
  <c r="CJ430" i="18"/>
  <c r="CI430" i="18"/>
  <c r="CH430" i="18"/>
  <c r="CG430" i="18"/>
  <c r="CF430" i="18"/>
  <c r="CE430" i="18"/>
  <c r="CD430" i="18"/>
  <c r="CC430" i="18"/>
  <c r="CB430" i="18"/>
  <c r="CA430" i="18"/>
  <c r="BZ430" i="18"/>
  <c r="BY430" i="18"/>
  <c r="BX430" i="18"/>
  <c r="BW430" i="18"/>
  <c r="BV430" i="18"/>
  <c r="BU430" i="18"/>
  <c r="BT430" i="18"/>
  <c r="BS430" i="18"/>
  <c r="BR430" i="18"/>
  <c r="BQ430" i="18"/>
  <c r="BP430" i="18"/>
  <c r="BO430" i="18"/>
  <c r="BN430" i="18"/>
  <c r="BM430" i="18"/>
  <c r="BL430" i="18"/>
  <c r="BK430" i="18"/>
  <c r="BJ430" i="18"/>
  <c r="BI430" i="18"/>
  <c r="BH430" i="18"/>
  <c r="BG430" i="18"/>
  <c r="BF430" i="18"/>
  <c r="BE430" i="18"/>
  <c r="BD430" i="18"/>
  <c r="BC430" i="18"/>
  <c r="BB430" i="18"/>
  <c r="BA430" i="18"/>
  <c r="AZ430" i="18"/>
  <c r="AY430" i="18"/>
  <c r="AX430" i="18"/>
  <c r="AW430" i="18"/>
  <c r="AV430" i="18"/>
  <c r="AU430" i="18"/>
  <c r="AT430" i="18"/>
  <c r="AS430" i="18"/>
  <c r="AR430" i="18"/>
  <c r="AQ430" i="18"/>
  <c r="AP430" i="18"/>
  <c r="AO430" i="18"/>
  <c r="AN430" i="18"/>
  <c r="AM430" i="18"/>
  <c r="AL430" i="18"/>
  <c r="AK430" i="18"/>
  <c r="AJ430" i="18"/>
  <c r="AI430" i="18"/>
  <c r="AH430" i="18"/>
  <c r="AG430" i="18"/>
  <c r="AF430" i="18"/>
  <c r="AE430" i="18"/>
  <c r="AD430" i="18"/>
  <c r="AC430" i="18"/>
  <c r="AB430" i="18"/>
  <c r="AA430" i="18"/>
  <c r="Z430" i="18"/>
  <c r="Y430" i="18"/>
  <c r="X430" i="18"/>
  <c r="W430" i="18"/>
  <c r="V430" i="18"/>
  <c r="U430" i="18"/>
  <c r="T430" i="18"/>
  <c r="S430" i="18"/>
  <c r="R430" i="18"/>
  <c r="Q430" i="18"/>
  <c r="P430" i="18"/>
  <c r="O430" i="18"/>
  <c r="N430" i="18"/>
  <c r="M430" i="18"/>
  <c r="L430" i="18"/>
  <c r="K430" i="18"/>
  <c r="J430" i="18"/>
  <c r="I430" i="18"/>
  <c r="H430" i="18"/>
  <c r="G430" i="18"/>
  <c r="F430" i="18"/>
  <c r="E430" i="18"/>
  <c r="D430" i="18"/>
  <c r="C430" i="18"/>
  <c r="B430" i="18"/>
  <c r="A430" i="18"/>
  <c r="CU429" i="18"/>
  <c r="CT429" i="18"/>
  <c r="CS429" i="18"/>
  <c r="CR429" i="18"/>
  <c r="CQ429" i="18"/>
  <c r="CP429" i="18"/>
  <c r="CO429" i="18"/>
  <c r="CN429" i="18"/>
  <c r="CM429" i="18"/>
  <c r="CL429" i="18"/>
  <c r="CK429" i="18"/>
  <c r="CJ429" i="18"/>
  <c r="CI429" i="18"/>
  <c r="CH429" i="18"/>
  <c r="CG429" i="18"/>
  <c r="CF429" i="18"/>
  <c r="CE429" i="18"/>
  <c r="CD429" i="18"/>
  <c r="CC429" i="18"/>
  <c r="CB429" i="18"/>
  <c r="CA429" i="18"/>
  <c r="BZ429" i="18"/>
  <c r="BY429" i="18"/>
  <c r="BX429" i="18"/>
  <c r="BW429" i="18"/>
  <c r="BV429" i="18"/>
  <c r="BU429" i="18"/>
  <c r="BT429" i="18"/>
  <c r="BS429" i="18"/>
  <c r="BR429" i="18"/>
  <c r="BQ429" i="18"/>
  <c r="BP429" i="18"/>
  <c r="BO429" i="18"/>
  <c r="BN429" i="18"/>
  <c r="BM429" i="18"/>
  <c r="BL429" i="18"/>
  <c r="BK429" i="18"/>
  <c r="BJ429" i="18"/>
  <c r="BI429" i="18"/>
  <c r="BH429" i="18"/>
  <c r="BG429" i="18"/>
  <c r="BF429" i="18"/>
  <c r="BE429" i="18"/>
  <c r="BD429" i="18"/>
  <c r="BC429" i="18"/>
  <c r="BB429" i="18"/>
  <c r="BA429" i="18"/>
  <c r="AZ429" i="18"/>
  <c r="AY429" i="18"/>
  <c r="AX429" i="18"/>
  <c r="AW429" i="18"/>
  <c r="AV429" i="18"/>
  <c r="AU429" i="18"/>
  <c r="AT429" i="18"/>
  <c r="AS429" i="18"/>
  <c r="AR429" i="18"/>
  <c r="AQ429" i="18"/>
  <c r="AP429" i="18"/>
  <c r="AO429" i="18"/>
  <c r="AN429" i="18"/>
  <c r="AM429" i="18"/>
  <c r="AL429" i="18"/>
  <c r="AK429" i="18"/>
  <c r="AJ429" i="18"/>
  <c r="AI429" i="18"/>
  <c r="AH429" i="18"/>
  <c r="AG429" i="18"/>
  <c r="AF429" i="18"/>
  <c r="AE429" i="18"/>
  <c r="AD429" i="18"/>
  <c r="AC429" i="18"/>
  <c r="AB429" i="18"/>
  <c r="AA429" i="18"/>
  <c r="Z429" i="18"/>
  <c r="Y429" i="18"/>
  <c r="X429" i="18"/>
  <c r="W429" i="18"/>
  <c r="V429" i="18"/>
  <c r="U429" i="18"/>
  <c r="T429" i="18"/>
  <c r="S429" i="18"/>
  <c r="R429" i="18"/>
  <c r="Q429" i="18"/>
  <c r="P429" i="18"/>
  <c r="O429" i="18"/>
  <c r="N429" i="18"/>
  <c r="M429" i="18"/>
  <c r="L429" i="18"/>
  <c r="K429" i="18"/>
  <c r="J429" i="18"/>
  <c r="I429" i="18"/>
  <c r="H429" i="18"/>
  <c r="G429" i="18"/>
  <c r="F429" i="18"/>
  <c r="E429" i="18"/>
  <c r="D429" i="18"/>
  <c r="C429" i="18"/>
  <c r="B429" i="18"/>
  <c r="A429" i="18"/>
  <c r="CU428" i="18"/>
  <c r="CT428" i="18"/>
  <c r="CS428" i="18"/>
  <c r="CR428" i="18"/>
  <c r="CQ428" i="18"/>
  <c r="CP428" i="18"/>
  <c r="CO428" i="18"/>
  <c r="CN428" i="18"/>
  <c r="CM428" i="18"/>
  <c r="CL428" i="18"/>
  <c r="CK428" i="18"/>
  <c r="CJ428" i="18"/>
  <c r="CI428" i="18"/>
  <c r="CH428" i="18"/>
  <c r="CG428" i="18"/>
  <c r="CF428" i="18"/>
  <c r="CE428" i="18"/>
  <c r="CD428" i="18"/>
  <c r="CC428" i="18"/>
  <c r="CB428" i="18"/>
  <c r="CA428" i="18"/>
  <c r="BZ428" i="18"/>
  <c r="BY428" i="18"/>
  <c r="BX428" i="18"/>
  <c r="BW428" i="18"/>
  <c r="BV428" i="18"/>
  <c r="BU428" i="18"/>
  <c r="BT428" i="18"/>
  <c r="BS428" i="18"/>
  <c r="BR428" i="18"/>
  <c r="BQ428" i="18"/>
  <c r="BP428" i="18"/>
  <c r="BO428" i="18"/>
  <c r="BN428" i="18"/>
  <c r="BM428" i="18"/>
  <c r="BL428" i="18"/>
  <c r="BK428" i="18"/>
  <c r="BJ428" i="18"/>
  <c r="BI428" i="18"/>
  <c r="BH428" i="18"/>
  <c r="BG428" i="18"/>
  <c r="BF428" i="18"/>
  <c r="BE428" i="18"/>
  <c r="BD428" i="18"/>
  <c r="BC428" i="18"/>
  <c r="BB428" i="18"/>
  <c r="BA428" i="18"/>
  <c r="AZ428" i="18"/>
  <c r="AY428" i="18"/>
  <c r="AX428" i="18"/>
  <c r="AW428" i="18"/>
  <c r="AV428" i="18"/>
  <c r="AU428" i="18"/>
  <c r="AT428" i="18"/>
  <c r="AS428" i="18"/>
  <c r="AR428" i="18"/>
  <c r="AQ428" i="18"/>
  <c r="AP428" i="18"/>
  <c r="AO428" i="18"/>
  <c r="AN428" i="18"/>
  <c r="AM428" i="18"/>
  <c r="AL428" i="18"/>
  <c r="AK428" i="18"/>
  <c r="AJ428" i="18"/>
  <c r="AI428" i="18"/>
  <c r="AH428" i="18"/>
  <c r="AG428" i="18"/>
  <c r="AF428" i="18"/>
  <c r="AE428" i="18"/>
  <c r="AD428" i="18"/>
  <c r="AC428" i="18"/>
  <c r="AB428" i="18"/>
  <c r="AA428" i="18"/>
  <c r="Z428" i="18"/>
  <c r="Y428" i="18"/>
  <c r="X428" i="18"/>
  <c r="W428" i="18"/>
  <c r="V428" i="18"/>
  <c r="U428" i="18"/>
  <c r="T428" i="18"/>
  <c r="S428" i="18"/>
  <c r="R428" i="18"/>
  <c r="Q428" i="18"/>
  <c r="P428" i="18"/>
  <c r="O428" i="18"/>
  <c r="N428" i="18"/>
  <c r="M428" i="18"/>
  <c r="L428" i="18"/>
  <c r="K428" i="18"/>
  <c r="J428" i="18"/>
  <c r="I428" i="18"/>
  <c r="H428" i="18"/>
  <c r="G428" i="18"/>
  <c r="F428" i="18"/>
  <c r="E428" i="18"/>
  <c r="D428" i="18"/>
  <c r="C428" i="18"/>
  <c r="B428" i="18"/>
  <c r="A428" i="18"/>
  <c r="CU427" i="18"/>
  <c r="CT427" i="18"/>
  <c r="CS427" i="18"/>
  <c r="CR427" i="18"/>
  <c r="CQ427" i="18"/>
  <c r="CP427" i="18"/>
  <c r="CO427" i="18"/>
  <c r="CN427" i="18"/>
  <c r="CM427" i="18"/>
  <c r="CL427" i="18"/>
  <c r="CK427" i="18"/>
  <c r="CJ427" i="18"/>
  <c r="CI427" i="18"/>
  <c r="CH427" i="18"/>
  <c r="CG427" i="18"/>
  <c r="CF427" i="18"/>
  <c r="CE427" i="18"/>
  <c r="CD427" i="18"/>
  <c r="CC427" i="18"/>
  <c r="CB427" i="18"/>
  <c r="CA427" i="18"/>
  <c r="BZ427" i="18"/>
  <c r="BY427" i="18"/>
  <c r="BX427" i="18"/>
  <c r="BW427" i="18"/>
  <c r="BV427" i="18"/>
  <c r="BU427" i="18"/>
  <c r="BT427" i="18"/>
  <c r="BS427" i="18"/>
  <c r="BR427" i="18"/>
  <c r="BQ427" i="18"/>
  <c r="BP427" i="18"/>
  <c r="BO427" i="18"/>
  <c r="BN427" i="18"/>
  <c r="BM427" i="18"/>
  <c r="BL427" i="18"/>
  <c r="BK427" i="18"/>
  <c r="BJ427" i="18"/>
  <c r="BI427" i="18"/>
  <c r="BH427" i="18"/>
  <c r="BG427" i="18"/>
  <c r="BF427" i="18"/>
  <c r="BE427" i="18"/>
  <c r="BD427" i="18"/>
  <c r="BC427" i="18"/>
  <c r="BB427" i="18"/>
  <c r="BA427" i="18"/>
  <c r="AZ427" i="18"/>
  <c r="AY427" i="18"/>
  <c r="AX427" i="18"/>
  <c r="AW427" i="18"/>
  <c r="AV427" i="18"/>
  <c r="AU427" i="18"/>
  <c r="AT427" i="18"/>
  <c r="AS427" i="18"/>
  <c r="AR427" i="18"/>
  <c r="AQ427" i="18"/>
  <c r="AP427" i="18"/>
  <c r="AO427" i="18"/>
  <c r="AN427" i="18"/>
  <c r="AM427" i="18"/>
  <c r="AL427" i="18"/>
  <c r="AK427" i="18"/>
  <c r="AJ427" i="18"/>
  <c r="AI427" i="18"/>
  <c r="AH427" i="18"/>
  <c r="AG427" i="18"/>
  <c r="AF427" i="18"/>
  <c r="AE427" i="18"/>
  <c r="AD427" i="18"/>
  <c r="AC427" i="18"/>
  <c r="AB427" i="18"/>
  <c r="AA427" i="18"/>
  <c r="Z427" i="18"/>
  <c r="Y427" i="18"/>
  <c r="X427" i="18"/>
  <c r="W427" i="18"/>
  <c r="V427" i="18"/>
  <c r="U427" i="18"/>
  <c r="T427" i="18"/>
  <c r="S427" i="18"/>
  <c r="R427" i="18"/>
  <c r="Q427" i="18"/>
  <c r="P427" i="18"/>
  <c r="O427" i="18"/>
  <c r="N427" i="18"/>
  <c r="M427" i="18"/>
  <c r="L427" i="18"/>
  <c r="K427" i="18"/>
  <c r="J427" i="18"/>
  <c r="I427" i="18"/>
  <c r="H427" i="18"/>
  <c r="G427" i="18"/>
  <c r="F427" i="18"/>
  <c r="E427" i="18"/>
  <c r="D427" i="18"/>
  <c r="C427" i="18"/>
  <c r="B427" i="18"/>
  <c r="A427" i="18"/>
  <c r="CU426" i="18"/>
  <c r="CT426" i="18"/>
  <c r="CS426" i="18"/>
  <c r="CR426" i="18"/>
  <c r="CI426" i="18"/>
  <c r="CH426" i="18"/>
  <c r="CG426" i="18"/>
  <c r="CF426" i="18"/>
  <c r="CE426" i="18"/>
  <c r="CD426" i="18"/>
  <c r="CC426" i="18"/>
  <c r="CB426" i="18"/>
  <c r="CA426" i="18"/>
  <c r="BZ426" i="18"/>
  <c r="BY426" i="18"/>
  <c r="AZ426" i="18"/>
  <c r="AY426" i="18"/>
  <c r="AX426" i="18"/>
  <c r="AW426" i="18"/>
  <c r="AV426" i="18"/>
  <c r="AU426" i="18"/>
  <c r="AT426" i="18"/>
  <c r="AS426" i="18"/>
  <c r="AR426" i="18"/>
  <c r="AQ426" i="18"/>
  <c r="AP426" i="18"/>
  <c r="AO426" i="18"/>
  <c r="AN426" i="18"/>
  <c r="AM426" i="18"/>
  <c r="AL426" i="18"/>
  <c r="AK426" i="18"/>
  <c r="AJ426" i="18"/>
  <c r="AI426" i="18"/>
  <c r="AH426" i="18"/>
  <c r="AG426" i="18"/>
  <c r="AF426" i="18"/>
  <c r="AE426" i="18"/>
  <c r="AD426" i="18"/>
  <c r="AC426" i="18"/>
  <c r="AB426" i="18"/>
  <c r="AA426" i="18"/>
  <c r="Z426" i="18"/>
  <c r="Y426" i="18"/>
  <c r="X426" i="18"/>
  <c r="W426" i="18"/>
  <c r="V426" i="18"/>
  <c r="U426" i="18"/>
  <c r="T426" i="18"/>
  <c r="S426" i="18"/>
  <c r="R426" i="18"/>
  <c r="Q426" i="18"/>
  <c r="P426" i="18"/>
  <c r="O426" i="18"/>
  <c r="N426" i="18"/>
  <c r="M426" i="18"/>
  <c r="L426" i="18"/>
  <c r="K426" i="18"/>
  <c r="J426" i="18"/>
  <c r="I426" i="18"/>
  <c r="H426" i="18"/>
  <c r="G426" i="18"/>
  <c r="F426" i="18"/>
  <c r="E426" i="18"/>
  <c r="D426" i="18"/>
  <c r="C426" i="18"/>
  <c r="B426" i="18"/>
  <c r="A426" i="18"/>
  <c r="CU425" i="18"/>
  <c r="CT425" i="18"/>
  <c r="CS425" i="18"/>
  <c r="CR425" i="18"/>
  <c r="CI425" i="18"/>
  <c r="CH425" i="18"/>
  <c r="CG425" i="18"/>
  <c r="CF425" i="18"/>
  <c r="CE425" i="18"/>
  <c r="CD425" i="18"/>
  <c r="CC425" i="18"/>
  <c r="CB425" i="18"/>
  <c r="CA425" i="18"/>
  <c r="BZ425" i="18"/>
  <c r="BY425" i="18"/>
  <c r="AZ425" i="18"/>
  <c r="AY425" i="18"/>
  <c r="AX425" i="18"/>
  <c r="AW425" i="18"/>
  <c r="AV425" i="18"/>
  <c r="AU425" i="18"/>
  <c r="AT425" i="18"/>
  <c r="AS425" i="18"/>
  <c r="AR425" i="18"/>
  <c r="AQ425" i="18"/>
  <c r="AP425" i="18"/>
  <c r="AO425" i="18"/>
  <c r="AN425" i="18"/>
  <c r="AM425" i="18"/>
  <c r="AL425" i="18"/>
  <c r="AK425" i="18"/>
  <c r="AJ425" i="18"/>
  <c r="AI425" i="18"/>
  <c r="AH425" i="18"/>
  <c r="AG425" i="18"/>
  <c r="AF425" i="18"/>
  <c r="AE425" i="18"/>
  <c r="AD425" i="18"/>
  <c r="AC425" i="18"/>
  <c r="AB425" i="18"/>
  <c r="AA425" i="18"/>
  <c r="Z425" i="18"/>
  <c r="Y425" i="18"/>
  <c r="X425" i="18"/>
  <c r="W425" i="18"/>
  <c r="V425" i="18"/>
  <c r="U425" i="18"/>
  <c r="T425" i="18"/>
  <c r="S425" i="18"/>
  <c r="R425" i="18"/>
  <c r="Q425" i="18"/>
  <c r="P425" i="18"/>
  <c r="O425" i="18"/>
  <c r="N425" i="18"/>
  <c r="M425" i="18"/>
  <c r="L425" i="18"/>
  <c r="K425" i="18"/>
  <c r="J425" i="18"/>
  <c r="I425" i="18"/>
  <c r="H425" i="18"/>
  <c r="G425" i="18"/>
  <c r="F425" i="18"/>
  <c r="E425" i="18"/>
  <c r="D425" i="18"/>
  <c r="C425" i="18"/>
  <c r="B425" i="18"/>
  <c r="A425" i="18"/>
  <c r="CU424" i="18"/>
  <c r="CT424" i="18"/>
  <c r="CS424" i="18"/>
  <c r="CR424" i="18"/>
  <c r="CQ424" i="18"/>
  <c r="CP424" i="18"/>
  <c r="CO424" i="18"/>
  <c r="CN424" i="18"/>
  <c r="CM424" i="18"/>
  <c r="CL424" i="18"/>
  <c r="CK424" i="18"/>
  <c r="CJ424" i="18"/>
  <c r="CI424" i="18"/>
  <c r="CH424" i="18"/>
  <c r="CG424" i="18"/>
  <c r="CF424" i="18"/>
  <c r="CE424" i="18"/>
  <c r="CD424" i="18"/>
  <c r="CC424" i="18"/>
  <c r="CB424" i="18"/>
  <c r="CA424" i="18"/>
  <c r="BZ424" i="18"/>
  <c r="BY424" i="18"/>
  <c r="BX424" i="18"/>
  <c r="BW424" i="18"/>
  <c r="BV424" i="18"/>
  <c r="BU424" i="18"/>
  <c r="BT424" i="18"/>
  <c r="BS424" i="18"/>
  <c r="BR424" i="18"/>
  <c r="BQ424" i="18"/>
  <c r="BP424" i="18"/>
  <c r="BO424" i="18"/>
  <c r="BN424" i="18"/>
  <c r="BM424" i="18"/>
  <c r="BL424" i="18"/>
  <c r="BK424" i="18"/>
  <c r="BJ424" i="18"/>
  <c r="BI424" i="18"/>
  <c r="BH424" i="18"/>
  <c r="BG424" i="18"/>
  <c r="BF424" i="18"/>
  <c r="BE424" i="18"/>
  <c r="BD424" i="18"/>
  <c r="BC424" i="18"/>
  <c r="BB424" i="18"/>
  <c r="BA424" i="18"/>
  <c r="AZ424" i="18"/>
  <c r="AY424" i="18"/>
  <c r="AX424" i="18"/>
  <c r="AW424" i="18"/>
  <c r="AV424" i="18"/>
  <c r="AU424" i="18"/>
  <c r="AT424" i="18"/>
  <c r="AS424" i="18"/>
  <c r="AR424" i="18"/>
  <c r="AQ424" i="18"/>
  <c r="AP424" i="18"/>
  <c r="AO424" i="18"/>
  <c r="AN424" i="18"/>
  <c r="AM424" i="18"/>
  <c r="AL424" i="18"/>
  <c r="AK424" i="18"/>
  <c r="AJ424" i="18"/>
  <c r="AI424" i="18"/>
  <c r="AH424" i="18"/>
  <c r="AG424" i="18"/>
  <c r="AF424" i="18"/>
  <c r="AE424" i="18"/>
  <c r="AD424" i="18"/>
  <c r="AC424" i="18"/>
  <c r="AB424" i="18"/>
  <c r="AA424" i="18"/>
  <c r="Z424" i="18"/>
  <c r="Y424" i="18"/>
  <c r="X424" i="18"/>
  <c r="W424" i="18"/>
  <c r="V424" i="18"/>
  <c r="U424" i="18"/>
  <c r="T424" i="18"/>
  <c r="S424" i="18"/>
  <c r="R424" i="18"/>
  <c r="Q424" i="18"/>
  <c r="P424" i="18"/>
  <c r="O424" i="18"/>
  <c r="N424" i="18"/>
  <c r="M424" i="18"/>
  <c r="L424" i="18"/>
  <c r="K424" i="18"/>
  <c r="J424" i="18"/>
  <c r="I424" i="18"/>
  <c r="H424" i="18"/>
  <c r="G424" i="18"/>
  <c r="F424" i="18"/>
  <c r="E424" i="18"/>
  <c r="D424" i="18"/>
  <c r="C424" i="18"/>
  <c r="B424" i="18"/>
  <c r="A424" i="18"/>
  <c r="CU423" i="18"/>
  <c r="CT423" i="18"/>
  <c r="CS423" i="18"/>
  <c r="CR423" i="18"/>
  <c r="CI423" i="18"/>
  <c r="CH423" i="18"/>
  <c r="CG423" i="18"/>
  <c r="CF423" i="18"/>
  <c r="CE423" i="18"/>
  <c r="CD423" i="18"/>
  <c r="CC423" i="18"/>
  <c r="CB423" i="18"/>
  <c r="CA423" i="18"/>
  <c r="BZ423" i="18"/>
  <c r="BY423" i="18"/>
  <c r="AZ423" i="18"/>
  <c r="AY423" i="18"/>
  <c r="AX423" i="18"/>
  <c r="AW423" i="18"/>
  <c r="AV423" i="18"/>
  <c r="AU423" i="18"/>
  <c r="AT423" i="18"/>
  <c r="AS423" i="18"/>
  <c r="AR423" i="18"/>
  <c r="AQ423" i="18"/>
  <c r="AP423" i="18"/>
  <c r="AO423" i="18"/>
  <c r="AN423" i="18"/>
  <c r="AM423" i="18"/>
  <c r="AL423" i="18"/>
  <c r="AK423" i="18"/>
  <c r="AJ423" i="18"/>
  <c r="AI423" i="18"/>
  <c r="AH423" i="18"/>
  <c r="AG423" i="18"/>
  <c r="AF423" i="18"/>
  <c r="AE423" i="18"/>
  <c r="AD423" i="18"/>
  <c r="AC423" i="18"/>
  <c r="AB423" i="18"/>
  <c r="AA423" i="18"/>
  <c r="Z423" i="18"/>
  <c r="Y423" i="18"/>
  <c r="X423" i="18"/>
  <c r="W423" i="18"/>
  <c r="V423" i="18"/>
  <c r="U423" i="18"/>
  <c r="T423" i="18"/>
  <c r="S423" i="18"/>
  <c r="R423" i="18"/>
  <c r="Q423" i="18"/>
  <c r="P423" i="18"/>
  <c r="O423" i="18"/>
  <c r="N423" i="18"/>
  <c r="M423" i="18"/>
  <c r="L423" i="18"/>
  <c r="K423" i="18"/>
  <c r="J423" i="18"/>
  <c r="I423" i="18"/>
  <c r="H423" i="18"/>
  <c r="G423" i="18"/>
  <c r="F423" i="18"/>
  <c r="E423" i="18"/>
  <c r="D423" i="18"/>
  <c r="C423" i="18"/>
  <c r="B423" i="18"/>
  <c r="A423" i="18"/>
  <c r="CU422" i="18"/>
  <c r="CT422" i="18"/>
  <c r="CS422" i="18"/>
  <c r="CR422" i="18"/>
  <c r="CQ422" i="18"/>
  <c r="CP422" i="18"/>
  <c r="CO422" i="18"/>
  <c r="CN422" i="18"/>
  <c r="CM422" i="18"/>
  <c r="CL422" i="18"/>
  <c r="CK422" i="18"/>
  <c r="CJ422" i="18"/>
  <c r="CI422" i="18"/>
  <c r="CH422" i="18"/>
  <c r="CG422" i="18"/>
  <c r="CF422" i="18"/>
  <c r="CE422" i="18"/>
  <c r="CD422" i="18"/>
  <c r="CC422" i="18"/>
  <c r="CB422" i="18"/>
  <c r="CA422" i="18"/>
  <c r="BZ422" i="18"/>
  <c r="BY422" i="18"/>
  <c r="BX422" i="18"/>
  <c r="BW422" i="18"/>
  <c r="BV422" i="18"/>
  <c r="BU422" i="18"/>
  <c r="BT422" i="18"/>
  <c r="BS422" i="18"/>
  <c r="BR422" i="18"/>
  <c r="BQ422" i="18"/>
  <c r="BP422" i="18"/>
  <c r="BO422" i="18"/>
  <c r="BN422" i="18"/>
  <c r="BM422" i="18"/>
  <c r="BL422" i="18"/>
  <c r="BK422" i="18"/>
  <c r="BJ422" i="18"/>
  <c r="BI422" i="18"/>
  <c r="BH422" i="18"/>
  <c r="BG422" i="18"/>
  <c r="BF422" i="18"/>
  <c r="BE422" i="18"/>
  <c r="BD422" i="18"/>
  <c r="BC422" i="18"/>
  <c r="BB422" i="18"/>
  <c r="BA422" i="18"/>
  <c r="AZ422" i="18"/>
  <c r="AY422" i="18"/>
  <c r="AX422" i="18"/>
  <c r="AW422" i="18"/>
  <c r="AV422" i="18"/>
  <c r="AU422" i="18"/>
  <c r="AT422" i="18"/>
  <c r="AS422" i="18"/>
  <c r="AR422" i="18"/>
  <c r="AQ422" i="18"/>
  <c r="AP422" i="18"/>
  <c r="AO422" i="18"/>
  <c r="AN422" i="18"/>
  <c r="AM422" i="18"/>
  <c r="AL422" i="18"/>
  <c r="AK422" i="18"/>
  <c r="AJ422" i="18"/>
  <c r="AI422" i="18"/>
  <c r="AH422" i="18"/>
  <c r="AG422" i="18"/>
  <c r="AF422" i="18"/>
  <c r="AE422" i="18"/>
  <c r="AD422" i="18"/>
  <c r="AC422" i="18"/>
  <c r="AB422" i="18"/>
  <c r="AA422" i="18"/>
  <c r="Z422" i="18"/>
  <c r="Y422" i="18"/>
  <c r="X422" i="18"/>
  <c r="W422" i="18"/>
  <c r="V422" i="18"/>
  <c r="U422" i="18"/>
  <c r="T422" i="18"/>
  <c r="S422" i="18"/>
  <c r="R422" i="18"/>
  <c r="Q422" i="18"/>
  <c r="P422" i="18"/>
  <c r="O422" i="18"/>
  <c r="N422" i="18"/>
  <c r="M422" i="18"/>
  <c r="L422" i="18"/>
  <c r="K422" i="18"/>
  <c r="J422" i="18"/>
  <c r="I422" i="18"/>
  <c r="H422" i="18"/>
  <c r="G422" i="18"/>
  <c r="F422" i="18"/>
  <c r="E422" i="18"/>
  <c r="D422" i="18"/>
  <c r="C422" i="18"/>
  <c r="B422" i="18"/>
  <c r="A422" i="18"/>
  <c r="CU421" i="18"/>
  <c r="CT421" i="18"/>
  <c r="CS421" i="18"/>
  <c r="CR421" i="18"/>
  <c r="CQ421" i="18"/>
  <c r="CP421" i="18"/>
  <c r="CO421" i="18"/>
  <c r="CN421" i="18"/>
  <c r="CM421" i="18"/>
  <c r="CL421" i="18"/>
  <c r="CK421" i="18"/>
  <c r="CJ421" i="18"/>
  <c r="CI421" i="18"/>
  <c r="CH421" i="18"/>
  <c r="CG421" i="18"/>
  <c r="CF421" i="18"/>
  <c r="CE421" i="18"/>
  <c r="CD421" i="18"/>
  <c r="CC421" i="18"/>
  <c r="CB421" i="18"/>
  <c r="CA421" i="18"/>
  <c r="BZ421" i="18"/>
  <c r="BY421" i="18"/>
  <c r="BX421" i="18"/>
  <c r="BW421" i="18"/>
  <c r="BV421" i="18"/>
  <c r="BU421" i="18"/>
  <c r="BT421" i="18"/>
  <c r="BS421" i="18"/>
  <c r="BR421" i="18"/>
  <c r="BQ421" i="18"/>
  <c r="BP421" i="18"/>
  <c r="BO421" i="18"/>
  <c r="BN421" i="18"/>
  <c r="BM421" i="18"/>
  <c r="BL421" i="18"/>
  <c r="BK421" i="18"/>
  <c r="BJ421" i="18"/>
  <c r="BI421" i="18"/>
  <c r="BH421" i="18"/>
  <c r="BG421" i="18"/>
  <c r="BF421" i="18"/>
  <c r="BE421" i="18"/>
  <c r="BD421" i="18"/>
  <c r="BC421" i="18"/>
  <c r="BB421" i="18"/>
  <c r="BA421" i="18"/>
  <c r="AZ421" i="18"/>
  <c r="AY421" i="18"/>
  <c r="AX421" i="18"/>
  <c r="AW421" i="18"/>
  <c r="AV421" i="18"/>
  <c r="AU421" i="18"/>
  <c r="AT421" i="18"/>
  <c r="AS421" i="18"/>
  <c r="AR421" i="18"/>
  <c r="AQ421" i="18"/>
  <c r="AP421" i="18"/>
  <c r="AO421" i="18"/>
  <c r="AN421" i="18"/>
  <c r="AM421" i="18"/>
  <c r="AL421" i="18"/>
  <c r="AK421" i="18"/>
  <c r="AJ421" i="18"/>
  <c r="AI421" i="18"/>
  <c r="AH421" i="18"/>
  <c r="AG421" i="18"/>
  <c r="AF421" i="18"/>
  <c r="AE421" i="18"/>
  <c r="AD421" i="18"/>
  <c r="AC421" i="18"/>
  <c r="AB421" i="18"/>
  <c r="AA421" i="18"/>
  <c r="Z421" i="18"/>
  <c r="Y421" i="18"/>
  <c r="X421" i="18"/>
  <c r="W421" i="18"/>
  <c r="V421" i="18"/>
  <c r="U421" i="18"/>
  <c r="T421" i="18"/>
  <c r="S421" i="18"/>
  <c r="R421" i="18"/>
  <c r="Q421" i="18"/>
  <c r="P421" i="18"/>
  <c r="O421" i="18"/>
  <c r="N421" i="18"/>
  <c r="M421" i="18"/>
  <c r="L421" i="18"/>
  <c r="K421" i="18"/>
  <c r="J421" i="18"/>
  <c r="I421" i="18"/>
  <c r="H421" i="18"/>
  <c r="G421" i="18"/>
  <c r="F421" i="18"/>
  <c r="E421" i="18"/>
  <c r="D421" i="18"/>
  <c r="C421" i="18"/>
  <c r="B421" i="18"/>
  <c r="A421" i="18"/>
  <c r="CU420" i="18"/>
  <c r="CT420" i="18"/>
  <c r="CS420" i="18"/>
  <c r="CR420" i="18"/>
  <c r="CI420" i="18"/>
  <c r="CH420" i="18"/>
  <c r="CG420" i="18"/>
  <c r="CF420" i="18"/>
  <c r="CE420" i="18"/>
  <c r="CD420" i="18"/>
  <c r="CC420" i="18"/>
  <c r="CB420" i="18"/>
  <c r="CA420" i="18"/>
  <c r="BZ420" i="18"/>
  <c r="BY420" i="18"/>
  <c r="AZ420" i="18"/>
  <c r="AY420" i="18"/>
  <c r="AX420" i="18"/>
  <c r="AW420" i="18"/>
  <c r="AV420" i="18"/>
  <c r="AU420" i="18"/>
  <c r="AT420" i="18"/>
  <c r="AS420" i="18"/>
  <c r="AR420" i="18"/>
  <c r="AQ420" i="18"/>
  <c r="AP420" i="18"/>
  <c r="AO420" i="18"/>
  <c r="AN420" i="18"/>
  <c r="AM420" i="18"/>
  <c r="AL420" i="18"/>
  <c r="AK420" i="18"/>
  <c r="AJ420" i="18"/>
  <c r="AI420" i="18"/>
  <c r="AH420" i="18"/>
  <c r="AG420" i="18"/>
  <c r="AF420" i="18"/>
  <c r="AE420" i="18"/>
  <c r="AD420" i="18"/>
  <c r="AC420" i="18"/>
  <c r="AB420" i="18"/>
  <c r="AA420" i="18"/>
  <c r="Z420" i="18"/>
  <c r="Y420" i="18"/>
  <c r="X420" i="18"/>
  <c r="W420" i="18"/>
  <c r="V420" i="18"/>
  <c r="U420" i="18"/>
  <c r="T420" i="18"/>
  <c r="S420" i="18"/>
  <c r="R420" i="18"/>
  <c r="Q420" i="18"/>
  <c r="P420" i="18"/>
  <c r="O420" i="18"/>
  <c r="N420" i="18"/>
  <c r="M420" i="18"/>
  <c r="L420" i="18"/>
  <c r="K420" i="18"/>
  <c r="J420" i="18"/>
  <c r="I420" i="18"/>
  <c r="H420" i="18"/>
  <c r="G420" i="18"/>
  <c r="F420" i="18"/>
  <c r="E420" i="18"/>
  <c r="D420" i="18"/>
  <c r="C420" i="18"/>
  <c r="B420" i="18"/>
  <c r="A420" i="18"/>
  <c r="CU419" i="18"/>
  <c r="CT419" i="18"/>
  <c r="CS419" i="18"/>
  <c r="CR419" i="18"/>
  <c r="CI419" i="18"/>
  <c r="CH419" i="18"/>
  <c r="CG419" i="18"/>
  <c r="CF419" i="18"/>
  <c r="CE419" i="18"/>
  <c r="CD419" i="18"/>
  <c r="CC419" i="18"/>
  <c r="CB419" i="18"/>
  <c r="CA419" i="18"/>
  <c r="BZ419" i="18"/>
  <c r="BY419" i="18"/>
  <c r="AZ419" i="18"/>
  <c r="AY419" i="18"/>
  <c r="AX419" i="18"/>
  <c r="AW419" i="18"/>
  <c r="AV419" i="18"/>
  <c r="AU419" i="18"/>
  <c r="AT419" i="18"/>
  <c r="AS419" i="18"/>
  <c r="AR419" i="18"/>
  <c r="AQ419" i="18"/>
  <c r="AP419" i="18"/>
  <c r="AO419" i="18"/>
  <c r="AN419" i="18"/>
  <c r="AM419" i="18"/>
  <c r="AL419" i="18"/>
  <c r="AK419" i="18"/>
  <c r="AJ419" i="18"/>
  <c r="AI419" i="18"/>
  <c r="AH419" i="18"/>
  <c r="AG419" i="18"/>
  <c r="AF419" i="18"/>
  <c r="AE419" i="18"/>
  <c r="AD419" i="18"/>
  <c r="AC419" i="18"/>
  <c r="AB419" i="18"/>
  <c r="AA419" i="18"/>
  <c r="Z419" i="18"/>
  <c r="Y419" i="18"/>
  <c r="X419" i="18"/>
  <c r="W419" i="18"/>
  <c r="V419" i="18"/>
  <c r="U419" i="18"/>
  <c r="T419" i="18"/>
  <c r="S419" i="18"/>
  <c r="R419" i="18"/>
  <c r="Q419" i="18"/>
  <c r="P419" i="18"/>
  <c r="O419" i="18"/>
  <c r="N419" i="18"/>
  <c r="M419" i="18"/>
  <c r="L419" i="18"/>
  <c r="K419" i="18"/>
  <c r="J419" i="18"/>
  <c r="I419" i="18"/>
  <c r="H419" i="18"/>
  <c r="G419" i="18"/>
  <c r="F419" i="18"/>
  <c r="E419" i="18"/>
  <c r="D419" i="18"/>
  <c r="C419" i="18"/>
  <c r="B419" i="18"/>
  <c r="A419" i="18"/>
  <c r="CU418" i="18"/>
  <c r="CT418" i="18"/>
  <c r="CS418" i="18"/>
  <c r="CR418" i="18"/>
  <c r="CQ418" i="18"/>
  <c r="CP418" i="18"/>
  <c r="CO418" i="18"/>
  <c r="CN418" i="18"/>
  <c r="CM418" i="18"/>
  <c r="CL418" i="18"/>
  <c r="CK418" i="18"/>
  <c r="CJ418" i="18"/>
  <c r="CI418" i="18"/>
  <c r="CH418" i="18"/>
  <c r="CG418" i="18"/>
  <c r="CF418" i="18"/>
  <c r="CE418" i="18"/>
  <c r="CD418" i="18"/>
  <c r="CC418" i="18"/>
  <c r="CB418" i="18"/>
  <c r="CA418" i="18"/>
  <c r="BZ418" i="18"/>
  <c r="BY418" i="18"/>
  <c r="BX418" i="18"/>
  <c r="BW418" i="18"/>
  <c r="BV418" i="18"/>
  <c r="BU418" i="18"/>
  <c r="BT418" i="18"/>
  <c r="BS418" i="18"/>
  <c r="BR418" i="18"/>
  <c r="BQ418" i="18"/>
  <c r="BP418" i="18"/>
  <c r="BO418" i="18"/>
  <c r="BN418" i="18"/>
  <c r="BM418" i="18"/>
  <c r="BL418" i="18"/>
  <c r="BK418" i="18"/>
  <c r="BJ418" i="18"/>
  <c r="BI418" i="18"/>
  <c r="BH418" i="18"/>
  <c r="BG418" i="18"/>
  <c r="BF418" i="18"/>
  <c r="BE418" i="18"/>
  <c r="BD418" i="18"/>
  <c r="BC418" i="18"/>
  <c r="BB418" i="18"/>
  <c r="BA418" i="18"/>
  <c r="AZ418" i="18"/>
  <c r="AY418" i="18"/>
  <c r="AX418" i="18"/>
  <c r="AW418" i="18"/>
  <c r="AV418" i="18"/>
  <c r="AU418" i="18"/>
  <c r="AT418" i="18"/>
  <c r="AS418" i="18"/>
  <c r="AR418" i="18"/>
  <c r="AQ418" i="18"/>
  <c r="AP418" i="18"/>
  <c r="AO418" i="18"/>
  <c r="AN418" i="18"/>
  <c r="AM418" i="18"/>
  <c r="AL418" i="18"/>
  <c r="AK418" i="18"/>
  <c r="AJ418" i="18"/>
  <c r="AI418" i="18"/>
  <c r="AH418" i="18"/>
  <c r="AG418" i="18"/>
  <c r="AF418" i="18"/>
  <c r="AE418" i="18"/>
  <c r="AD418" i="18"/>
  <c r="AC418" i="18"/>
  <c r="AB418" i="18"/>
  <c r="AA418" i="18"/>
  <c r="Z418" i="18"/>
  <c r="Y418" i="18"/>
  <c r="X418" i="18"/>
  <c r="W418" i="18"/>
  <c r="V418" i="18"/>
  <c r="U418" i="18"/>
  <c r="T418" i="18"/>
  <c r="S418" i="18"/>
  <c r="R418" i="18"/>
  <c r="Q418" i="18"/>
  <c r="P418" i="18"/>
  <c r="O418" i="18"/>
  <c r="N418" i="18"/>
  <c r="M418" i="18"/>
  <c r="L418" i="18"/>
  <c r="K418" i="18"/>
  <c r="J418" i="18"/>
  <c r="I418" i="18"/>
  <c r="H418" i="18"/>
  <c r="G418" i="18"/>
  <c r="F418" i="18"/>
  <c r="E418" i="18"/>
  <c r="D418" i="18"/>
  <c r="C418" i="18"/>
  <c r="B418" i="18"/>
  <c r="A418" i="18"/>
  <c r="CU417" i="18"/>
  <c r="CT417" i="18"/>
  <c r="CS417" i="18"/>
  <c r="CR417" i="18"/>
  <c r="CQ417" i="18"/>
  <c r="CP417" i="18"/>
  <c r="CO417" i="18"/>
  <c r="CN417" i="18"/>
  <c r="CM417" i="18"/>
  <c r="CL417" i="18"/>
  <c r="CK417" i="18"/>
  <c r="CJ417" i="18"/>
  <c r="CI417" i="18"/>
  <c r="CH417" i="18"/>
  <c r="CG417" i="18"/>
  <c r="CF417" i="18"/>
  <c r="CE417" i="18"/>
  <c r="CD417" i="18"/>
  <c r="CC417" i="18"/>
  <c r="CB417" i="18"/>
  <c r="CA417" i="18"/>
  <c r="BZ417" i="18"/>
  <c r="BY417" i="18"/>
  <c r="BX417" i="18"/>
  <c r="BW417" i="18"/>
  <c r="BV417" i="18"/>
  <c r="BU417" i="18"/>
  <c r="BT417" i="18"/>
  <c r="BS417" i="18"/>
  <c r="BR417" i="18"/>
  <c r="BQ417" i="18"/>
  <c r="BP417" i="18"/>
  <c r="BO417" i="18"/>
  <c r="BN417" i="18"/>
  <c r="BM417" i="18"/>
  <c r="BL417" i="18"/>
  <c r="BK417" i="18"/>
  <c r="BJ417" i="18"/>
  <c r="BI417" i="18"/>
  <c r="BH417" i="18"/>
  <c r="BG417" i="18"/>
  <c r="BF417" i="18"/>
  <c r="BE417" i="18"/>
  <c r="BD417" i="18"/>
  <c r="BC417" i="18"/>
  <c r="BB417" i="18"/>
  <c r="BA417" i="18"/>
  <c r="AZ417" i="18"/>
  <c r="AY417" i="18"/>
  <c r="AX417" i="18"/>
  <c r="AW417" i="18"/>
  <c r="AV417" i="18"/>
  <c r="AU417" i="18"/>
  <c r="AT417" i="18"/>
  <c r="AS417" i="18"/>
  <c r="AR417" i="18"/>
  <c r="AQ417" i="18"/>
  <c r="AP417" i="18"/>
  <c r="AO417" i="18"/>
  <c r="AN417" i="18"/>
  <c r="AM417" i="18"/>
  <c r="AL417" i="18"/>
  <c r="AK417" i="18"/>
  <c r="AJ417" i="18"/>
  <c r="AI417" i="18"/>
  <c r="AH417" i="18"/>
  <c r="AG417" i="18"/>
  <c r="AF417" i="18"/>
  <c r="AE417" i="18"/>
  <c r="AD417" i="18"/>
  <c r="AC417" i="18"/>
  <c r="AB417" i="18"/>
  <c r="AA417" i="18"/>
  <c r="Z417" i="18"/>
  <c r="Y417" i="18"/>
  <c r="X417" i="18"/>
  <c r="W417" i="18"/>
  <c r="V417" i="18"/>
  <c r="U417" i="18"/>
  <c r="T417" i="18"/>
  <c r="S417" i="18"/>
  <c r="R417" i="18"/>
  <c r="Q417" i="18"/>
  <c r="P417" i="18"/>
  <c r="O417" i="18"/>
  <c r="N417" i="18"/>
  <c r="M417" i="18"/>
  <c r="L417" i="18"/>
  <c r="K417" i="18"/>
  <c r="J417" i="18"/>
  <c r="I417" i="18"/>
  <c r="H417" i="18"/>
  <c r="G417" i="18"/>
  <c r="F417" i="18"/>
  <c r="E417" i="18"/>
  <c r="D417" i="18"/>
  <c r="C417" i="18"/>
  <c r="B417" i="18"/>
  <c r="A417" i="18"/>
  <c r="CU416" i="18"/>
  <c r="CT416" i="18"/>
  <c r="CS416" i="18"/>
  <c r="CR416" i="18"/>
  <c r="CP416" i="18"/>
  <c r="CO416" i="18"/>
  <c r="CN416" i="18"/>
  <c r="CM416" i="18"/>
  <c r="CL416" i="18"/>
  <c r="CK416" i="18"/>
  <c r="CJ416" i="18"/>
  <c r="CI416" i="18"/>
  <c r="CH416" i="18"/>
  <c r="CG416" i="18"/>
  <c r="CF416" i="18"/>
  <c r="CE416" i="18"/>
  <c r="CD416" i="18"/>
  <c r="CC416" i="18"/>
  <c r="CB416" i="18"/>
  <c r="CA416" i="18"/>
  <c r="BZ416" i="18"/>
  <c r="BY416" i="18"/>
  <c r="BT416" i="18"/>
  <c r="BS416" i="18"/>
  <c r="BR416" i="18"/>
  <c r="BQ416" i="18"/>
  <c r="BP416" i="18"/>
  <c r="BO416" i="18"/>
  <c r="BN416" i="18"/>
  <c r="BM416" i="18"/>
  <c r="BL416" i="18"/>
  <c r="BK416" i="18"/>
  <c r="BJ416" i="18"/>
  <c r="BI416" i="18"/>
  <c r="BH416" i="18"/>
  <c r="BG416" i="18"/>
  <c r="BF416" i="18"/>
  <c r="BE416" i="18"/>
  <c r="BD416" i="18"/>
  <c r="BC416" i="18"/>
  <c r="BB416" i="18"/>
  <c r="BA416" i="18"/>
  <c r="AZ416" i="18"/>
  <c r="AY416" i="18"/>
  <c r="AX416" i="18"/>
  <c r="AW416" i="18"/>
  <c r="AV416" i="18"/>
  <c r="AU416" i="18"/>
  <c r="AT416" i="18"/>
  <c r="AS416" i="18"/>
  <c r="AR416" i="18"/>
  <c r="AQ416" i="18"/>
  <c r="AP416" i="18"/>
  <c r="AO416" i="18"/>
  <c r="AN416" i="18"/>
  <c r="AM416" i="18"/>
  <c r="AL416" i="18"/>
  <c r="AK416" i="18"/>
  <c r="AJ416" i="18"/>
  <c r="AI416" i="18"/>
  <c r="AH416" i="18"/>
  <c r="AG416" i="18"/>
  <c r="AF416" i="18"/>
  <c r="AE416" i="18"/>
  <c r="AD416" i="18"/>
  <c r="AC416" i="18"/>
  <c r="AB416" i="18"/>
  <c r="AA416" i="18"/>
  <c r="Z416" i="18"/>
  <c r="Y416" i="18"/>
  <c r="X416" i="18"/>
  <c r="W416" i="18"/>
  <c r="V416" i="18"/>
  <c r="U416" i="18"/>
  <c r="T416" i="18"/>
  <c r="S416" i="18"/>
  <c r="R416" i="18"/>
  <c r="Q416" i="18"/>
  <c r="P416" i="18"/>
  <c r="O416" i="18"/>
  <c r="N416" i="18"/>
  <c r="M416" i="18"/>
  <c r="L416" i="18"/>
  <c r="K416" i="18"/>
  <c r="J416" i="18"/>
  <c r="I416" i="18"/>
  <c r="H416" i="18"/>
  <c r="G416" i="18"/>
  <c r="F416" i="18"/>
  <c r="E416" i="18"/>
  <c r="D416" i="18"/>
  <c r="C416" i="18"/>
  <c r="B416" i="18"/>
  <c r="A416" i="18"/>
  <c r="CU415" i="18"/>
  <c r="CT415" i="18"/>
  <c r="CS415" i="18"/>
  <c r="CR415" i="18"/>
  <c r="CP415" i="18"/>
  <c r="CO415" i="18"/>
  <c r="CN415" i="18"/>
  <c r="CM415" i="18"/>
  <c r="CL415" i="18"/>
  <c r="CK415" i="18"/>
  <c r="CJ415" i="18"/>
  <c r="CI415" i="18"/>
  <c r="CH415" i="18"/>
  <c r="CG415" i="18"/>
  <c r="CF415" i="18"/>
  <c r="CE415" i="18"/>
  <c r="CD415" i="18"/>
  <c r="CC415" i="18"/>
  <c r="CB415" i="18"/>
  <c r="CA415" i="18"/>
  <c r="BZ415" i="18"/>
  <c r="BY415" i="18"/>
  <c r="BT415" i="18"/>
  <c r="BS415" i="18"/>
  <c r="BR415" i="18"/>
  <c r="BQ415" i="18"/>
  <c r="BP415" i="18"/>
  <c r="BO415" i="18"/>
  <c r="BN415" i="18"/>
  <c r="BM415" i="18"/>
  <c r="BL415" i="18"/>
  <c r="BK415" i="18"/>
  <c r="BJ415" i="18"/>
  <c r="BI415" i="18"/>
  <c r="BH415" i="18"/>
  <c r="BG415" i="18"/>
  <c r="BF415" i="18"/>
  <c r="BE415" i="18"/>
  <c r="BD415" i="18"/>
  <c r="BC415" i="18"/>
  <c r="BB415" i="18"/>
  <c r="BA415" i="18"/>
  <c r="AZ415" i="18"/>
  <c r="AY415" i="18"/>
  <c r="AX415" i="18"/>
  <c r="AW415" i="18"/>
  <c r="AV415" i="18"/>
  <c r="AU415" i="18"/>
  <c r="AT415" i="18"/>
  <c r="AS415" i="18"/>
  <c r="AR415" i="18"/>
  <c r="AQ415" i="18"/>
  <c r="AP415" i="18"/>
  <c r="AO415" i="18"/>
  <c r="AN415" i="18"/>
  <c r="AM415" i="18"/>
  <c r="AL415" i="18"/>
  <c r="AK415" i="18"/>
  <c r="AJ415" i="18"/>
  <c r="AI415" i="18"/>
  <c r="AH415" i="18"/>
  <c r="AG415" i="18"/>
  <c r="AF415" i="18"/>
  <c r="AE415" i="18"/>
  <c r="AD415" i="18"/>
  <c r="AC415" i="18"/>
  <c r="AB415" i="18"/>
  <c r="AA415" i="18"/>
  <c r="Z415" i="18"/>
  <c r="Y415" i="18"/>
  <c r="X415" i="18"/>
  <c r="W415" i="18"/>
  <c r="V415" i="18"/>
  <c r="U415" i="18"/>
  <c r="T415" i="18"/>
  <c r="S415" i="18"/>
  <c r="R415" i="18"/>
  <c r="Q415" i="18"/>
  <c r="P415" i="18"/>
  <c r="O415" i="18"/>
  <c r="N415" i="18"/>
  <c r="M415" i="18"/>
  <c r="L415" i="18"/>
  <c r="K415" i="18"/>
  <c r="J415" i="18"/>
  <c r="I415" i="18"/>
  <c r="H415" i="18"/>
  <c r="G415" i="18"/>
  <c r="F415" i="18"/>
  <c r="E415" i="18"/>
  <c r="D415" i="18"/>
  <c r="C415" i="18"/>
  <c r="B415" i="18"/>
  <c r="A415" i="18"/>
  <c r="CU414" i="18"/>
  <c r="CT414" i="18"/>
  <c r="CS414" i="18"/>
  <c r="CR414" i="18"/>
  <c r="CP414" i="18"/>
  <c r="CO414" i="18"/>
  <c r="CN414" i="18"/>
  <c r="CM414" i="18"/>
  <c r="CL414" i="18"/>
  <c r="CK414" i="18"/>
  <c r="CJ414" i="18"/>
  <c r="CI414" i="18"/>
  <c r="CH414" i="18"/>
  <c r="CG414" i="18"/>
  <c r="CF414" i="18"/>
  <c r="CE414" i="18"/>
  <c r="CD414" i="18"/>
  <c r="CC414" i="18"/>
  <c r="CB414" i="18"/>
  <c r="CA414" i="18"/>
  <c r="BZ414" i="18"/>
  <c r="BY414" i="18"/>
  <c r="BT414" i="18"/>
  <c r="BS414" i="18"/>
  <c r="BR414" i="18"/>
  <c r="BQ414" i="18"/>
  <c r="BP414" i="18"/>
  <c r="BO414" i="18"/>
  <c r="BN414" i="18"/>
  <c r="BM414" i="18"/>
  <c r="BL414" i="18"/>
  <c r="BK414" i="18"/>
  <c r="BJ414" i="18"/>
  <c r="BI414" i="18"/>
  <c r="BH414" i="18"/>
  <c r="BG414" i="18"/>
  <c r="BF414" i="18"/>
  <c r="BE414" i="18"/>
  <c r="BD414" i="18"/>
  <c r="BC414" i="18"/>
  <c r="BB414" i="18"/>
  <c r="BA414" i="18"/>
  <c r="AZ414" i="18"/>
  <c r="AY414" i="18"/>
  <c r="AX414" i="18"/>
  <c r="AW414" i="18"/>
  <c r="AV414" i="18"/>
  <c r="AU414" i="18"/>
  <c r="AT414" i="18"/>
  <c r="AS414" i="18"/>
  <c r="AR414" i="18"/>
  <c r="AQ414" i="18"/>
  <c r="AP414" i="18"/>
  <c r="AO414" i="18"/>
  <c r="AN414" i="18"/>
  <c r="AM414" i="18"/>
  <c r="AL414" i="18"/>
  <c r="AK414" i="18"/>
  <c r="AJ414" i="18"/>
  <c r="AI414" i="18"/>
  <c r="AH414" i="18"/>
  <c r="AG414" i="18"/>
  <c r="AF414" i="18"/>
  <c r="AE414" i="18"/>
  <c r="AD414" i="18"/>
  <c r="AC414" i="18"/>
  <c r="AB414" i="18"/>
  <c r="AA414" i="18"/>
  <c r="Z414" i="18"/>
  <c r="Y414" i="18"/>
  <c r="X414" i="18"/>
  <c r="W414" i="18"/>
  <c r="V414" i="18"/>
  <c r="U414" i="18"/>
  <c r="T414" i="18"/>
  <c r="S414" i="18"/>
  <c r="R414" i="18"/>
  <c r="Q414" i="18"/>
  <c r="P414" i="18"/>
  <c r="O414" i="18"/>
  <c r="N414" i="18"/>
  <c r="M414" i="18"/>
  <c r="L414" i="18"/>
  <c r="K414" i="18"/>
  <c r="J414" i="18"/>
  <c r="I414" i="18"/>
  <c r="H414" i="18"/>
  <c r="G414" i="18"/>
  <c r="F414" i="18"/>
  <c r="E414" i="18"/>
  <c r="D414" i="18"/>
  <c r="C414" i="18"/>
  <c r="B414" i="18"/>
  <c r="A414" i="18"/>
  <c r="CU413" i="18"/>
  <c r="CT413" i="18"/>
  <c r="CS413" i="18"/>
  <c r="CR413" i="18"/>
  <c r="CP413" i="18"/>
  <c r="CO413" i="18"/>
  <c r="CN413" i="18"/>
  <c r="CM413" i="18"/>
  <c r="CL413" i="18"/>
  <c r="CK413" i="18"/>
  <c r="CJ413" i="18"/>
  <c r="CI413" i="18"/>
  <c r="CH413" i="18"/>
  <c r="CG413" i="18"/>
  <c r="CF413" i="18"/>
  <c r="CE413" i="18"/>
  <c r="CD413" i="18"/>
  <c r="CC413" i="18"/>
  <c r="CB413" i="18"/>
  <c r="CA413" i="18"/>
  <c r="BZ413" i="18"/>
  <c r="BY413" i="18"/>
  <c r="BT413" i="18"/>
  <c r="BS413" i="18"/>
  <c r="BR413" i="18"/>
  <c r="BQ413" i="18"/>
  <c r="BP413" i="18"/>
  <c r="BO413" i="18"/>
  <c r="BN413" i="18"/>
  <c r="BM413" i="18"/>
  <c r="BL413" i="18"/>
  <c r="BK413" i="18"/>
  <c r="BJ413" i="18"/>
  <c r="BI413" i="18"/>
  <c r="BH413" i="18"/>
  <c r="BG413" i="18"/>
  <c r="BF413" i="18"/>
  <c r="BE413" i="18"/>
  <c r="BD413" i="18"/>
  <c r="BC413" i="18"/>
  <c r="BB413" i="18"/>
  <c r="BA413" i="18"/>
  <c r="AZ413" i="18"/>
  <c r="AY413" i="18"/>
  <c r="AX413" i="18"/>
  <c r="AW413" i="18"/>
  <c r="AV413" i="18"/>
  <c r="AU413" i="18"/>
  <c r="AT413" i="18"/>
  <c r="AS413" i="18"/>
  <c r="AR413" i="18"/>
  <c r="AQ413" i="18"/>
  <c r="AP413" i="18"/>
  <c r="AO413" i="18"/>
  <c r="AN413" i="18"/>
  <c r="AM413" i="18"/>
  <c r="AL413" i="18"/>
  <c r="AK413" i="18"/>
  <c r="AJ413" i="18"/>
  <c r="AI413" i="18"/>
  <c r="AH413" i="18"/>
  <c r="AG413" i="18"/>
  <c r="AF413" i="18"/>
  <c r="AE413" i="18"/>
  <c r="AD413" i="18"/>
  <c r="AC413" i="18"/>
  <c r="AB413" i="18"/>
  <c r="AA413" i="18"/>
  <c r="Z413" i="18"/>
  <c r="Y413" i="18"/>
  <c r="X413" i="18"/>
  <c r="W413" i="18"/>
  <c r="V413" i="18"/>
  <c r="U413" i="18"/>
  <c r="T413" i="18"/>
  <c r="S413" i="18"/>
  <c r="R413" i="18"/>
  <c r="Q413" i="18"/>
  <c r="P413" i="18"/>
  <c r="O413" i="18"/>
  <c r="N413" i="18"/>
  <c r="M413" i="18"/>
  <c r="L413" i="18"/>
  <c r="K413" i="18"/>
  <c r="J413" i="18"/>
  <c r="I413" i="18"/>
  <c r="H413" i="18"/>
  <c r="G413" i="18"/>
  <c r="F413" i="18"/>
  <c r="E413" i="18"/>
  <c r="D413" i="18"/>
  <c r="C413" i="18"/>
  <c r="B413" i="18"/>
  <c r="A413" i="18"/>
  <c r="CU412" i="18"/>
  <c r="CT412" i="18"/>
  <c r="CS412" i="18"/>
  <c r="CR412" i="18"/>
  <c r="CP412" i="18"/>
  <c r="CO412" i="18"/>
  <c r="CN412" i="18"/>
  <c r="CM412" i="18"/>
  <c r="CL412" i="18"/>
  <c r="CK412" i="18"/>
  <c r="CJ412" i="18"/>
  <c r="CI412" i="18"/>
  <c r="CH412" i="18"/>
  <c r="CG412" i="18"/>
  <c r="CF412" i="18"/>
  <c r="CE412" i="18"/>
  <c r="CD412" i="18"/>
  <c r="CC412" i="18"/>
  <c r="CB412" i="18"/>
  <c r="CA412" i="18"/>
  <c r="BZ412" i="18"/>
  <c r="BY412" i="18"/>
  <c r="BT412" i="18"/>
  <c r="BS412" i="18"/>
  <c r="BR412" i="18"/>
  <c r="BQ412" i="18"/>
  <c r="BP412" i="18"/>
  <c r="BO412" i="18"/>
  <c r="BN412" i="18"/>
  <c r="BM412" i="18"/>
  <c r="BL412" i="18"/>
  <c r="BK412" i="18"/>
  <c r="BJ412" i="18"/>
  <c r="BI412" i="18"/>
  <c r="BH412" i="18"/>
  <c r="BG412" i="18"/>
  <c r="BF412" i="18"/>
  <c r="BE412" i="18"/>
  <c r="BD412" i="18"/>
  <c r="BC412" i="18"/>
  <c r="BB412" i="18"/>
  <c r="BA412" i="18"/>
  <c r="AZ412" i="18"/>
  <c r="AY412" i="18"/>
  <c r="AX412" i="18"/>
  <c r="AW412" i="18"/>
  <c r="AV412" i="18"/>
  <c r="AU412" i="18"/>
  <c r="AT412" i="18"/>
  <c r="AS412" i="18"/>
  <c r="AR412" i="18"/>
  <c r="AQ412" i="18"/>
  <c r="AP412" i="18"/>
  <c r="AO412" i="18"/>
  <c r="AN412" i="18"/>
  <c r="AM412" i="18"/>
  <c r="AL412" i="18"/>
  <c r="AK412" i="18"/>
  <c r="AJ412" i="18"/>
  <c r="AI412" i="18"/>
  <c r="AH412" i="18"/>
  <c r="AG412" i="18"/>
  <c r="AF412" i="18"/>
  <c r="AE412" i="18"/>
  <c r="AD412" i="18"/>
  <c r="AC412" i="18"/>
  <c r="AB412" i="18"/>
  <c r="AA412" i="18"/>
  <c r="Z412" i="18"/>
  <c r="Y412" i="18"/>
  <c r="X412" i="18"/>
  <c r="W412" i="18"/>
  <c r="V412" i="18"/>
  <c r="U412" i="18"/>
  <c r="T412" i="18"/>
  <c r="S412" i="18"/>
  <c r="R412" i="18"/>
  <c r="Q412" i="18"/>
  <c r="P412" i="18"/>
  <c r="O412" i="18"/>
  <c r="N412" i="18"/>
  <c r="M412" i="18"/>
  <c r="L412" i="18"/>
  <c r="K412" i="18"/>
  <c r="J412" i="18"/>
  <c r="I412" i="18"/>
  <c r="H412" i="18"/>
  <c r="G412" i="18"/>
  <c r="F412" i="18"/>
  <c r="E412" i="18"/>
  <c r="D412" i="18"/>
  <c r="C412" i="18"/>
  <c r="B412" i="18"/>
  <c r="A412" i="18"/>
  <c r="CU411" i="18"/>
  <c r="CT411" i="18"/>
  <c r="CS411" i="18"/>
  <c r="CR411" i="18"/>
  <c r="CQ411" i="18"/>
  <c r="CP411" i="18"/>
  <c r="CO411" i="18"/>
  <c r="CN411" i="18"/>
  <c r="CM411" i="18"/>
  <c r="CL411" i="18"/>
  <c r="CK411" i="18"/>
  <c r="CJ411" i="18"/>
  <c r="CI411" i="18"/>
  <c r="CH411" i="18"/>
  <c r="CG411" i="18"/>
  <c r="CF411" i="18"/>
  <c r="CE411" i="18"/>
  <c r="CD411" i="18"/>
  <c r="CC411" i="18"/>
  <c r="CB411" i="18"/>
  <c r="CA411" i="18"/>
  <c r="BZ411" i="18"/>
  <c r="BY411" i="18"/>
  <c r="BX411" i="18"/>
  <c r="BW411" i="18"/>
  <c r="BV411" i="18"/>
  <c r="BU411" i="18"/>
  <c r="BT411" i="18"/>
  <c r="BS411" i="18"/>
  <c r="BR411" i="18"/>
  <c r="BQ411" i="18"/>
  <c r="BP411" i="18"/>
  <c r="BO411" i="18"/>
  <c r="BN411" i="18"/>
  <c r="BM411" i="18"/>
  <c r="BL411" i="18"/>
  <c r="BK411" i="18"/>
  <c r="BJ411" i="18"/>
  <c r="BI411" i="18"/>
  <c r="BH411" i="18"/>
  <c r="BG411" i="18"/>
  <c r="BF411" i="18"/>
  <c r="BE411" i="18"/>
  <c r="BD411" i="18"/>
  <c r="BC411" i="18"/>
  <c r="BB411" i="18"/>
  <c r="BA411" i="18"/>
  <c r="AZ411" i="18"/>
  <c r="AY411" i="18"/>
  <c r="AX411" i="18"/>
  <c r="AW411" i="18"/>
  <c r="AV411" i="18"/>
  <c r="AU411" i="18"/>
  <c r="AT411" i="18"/>
  <c r="AS411" i="18"/>
  <c r="AR411" i="18"/>
  <c r="AQ411" i="18"/>
  <c r="AP411" i="18"/>
  <c r="AO411" i="18"/>
  <c r="AN411" i="18"/>
  <c r="AM411" i="18"/>
  <c r="AL411" i="18"/>
  <c r="AK411" i="18"/>
  <c r="AJ411" i="18"/>
  <c r="AI411" i="18"/>
  <c r="AH411" i="18"/>
  <c r="AG411" i="18"/>
  <c r="AF411" i="18"/>
  <c r="AE411" i="18"/>
  <c r="AD411" i="18"/>
  <c r="AC411" i="18"/>
  <c r="AB411" i="18"/>
  <c r="AA411" i="18"/>
  <c r="Z411" i="18"/>
  <c r="Y411" i="18"/>
  <c r="X411" i="18"/>
  <c r="W411" i="18"/>
  <c r="V411" i="18"/>
  <c r="U411" i="18"/>
  <c r="T411" i="18"/>
  <c r="S411" i="18"/>
  <c r="R411" i="18"/>
  <c r="Q411" i="18"/>
  <c r="P411" i="18"/>
  <c r="O411" i="18"/>
  <c r="N411" i="18"/>
  <c r="M411" i="18"/>
  <c r="L411" i="18"/>
  <c r="K411" i="18"/>
  <c r="J411" i="18"/>
  <c r="I411" i="18"/>
  <c r="H411" i="18"/>
  <c r="G411" i="18"/>
  <c r="F411" i="18"/>
  <c r="E411" i="18"/>
  <c r="D411" i="18"/>
  <c r="C411" i="18"/>
  <c r="B411" i="18"/>
  <c r="A411" i="18"/>
  <c r="CU410" i="18"/>
  <c r="CT410" i="18"/>
  <c r="CS410" i="18"/>
  <c r="CR410" i="18"/>
  <c r="CQ410" i="18"/>
  <c r="CP410" i="18"/>
  <c r="CO410" i="18"/>
  <c r="CN410" i="18"/>
  <c r="CM410" i="18"/>
  <c r="CL410" i="18"/>
  <c r="CK410" i="18"/>
  <c r="CJ410" i="18"/>
  <c r="CI410" i="18"/>
  <c r="CH410" i="18"/>
  <c r="CG410" i="18"/>
  <c r="CF410" i="18"/>
  <c r="CE410" i="18"/>
  <c r="CD410" i="18"/>
  <c r="CC410" i="18"/>
  <c r="CB410" i="18"/>
  <c r="CA410" i="18"/>
  <c r="BZ410" i="18"/>
  <c r="BY410" i="18"/>
  <c r="BX410" i="18"/>
  <c r="BW410" i="18"/>
  <c r="BV410" i="18"/>
  <c r="BU410" i="18"/>
  <c r="BT410" i="18"/>
  <c r="BS410" i="18"/>
  <c r="BR410" i="18"/>
  <c r="BQ410" i="18"/>
  <c r="BP410" i="18"/>
  <c r="BO410" i="18"/>
  <c r="BN410" i="18"/>
  <c r="BM410" i="18"/>
  <c r="BL410" i="18"/>
  <c r="BK410" i="18"/>
  <c r="BJ410" i="18"/>
  <c r="BI410" i="18"/>
  <c r="BH410" i="18"/>
  <c r="BG410" i="18"/>
  <c r="BF410" i="18"/>
  <c r="BE410" i="18"/>
  <c r="BD410" i="18"/>
  <c r="BC410" i="18"/>
  <c r="BB410" i="18"/>
  <c r="BA410" i="18"/>
  <c r="AZ410" i="18"/>
  <c r="AY410" i="18"/>
  <c r="AX410" i="18"/>
  <c r="AW410" i="18"/>
  <c r="AV410" i="18"/>
  <c r="AU410" i="18"/>
  <c r="AT410" i="18"/>
  <c r="AS410" i="18"/>
  <c r="AR410" i="18"/>
  <c r="AQ410" i="18"/>
  <c r="AP410" i="18"/>
  <c r="AO410" i="18"/>
  <c r="AN410" i="18"/>
  <c r="AM410" i="18"/>
  <c r="AL410" i="18"/>
  <c r="AK410" i="18"/>
  <c r="AJ410" i="18"/>
  <c r="AI410" i="18"/>
  <c r="AH410" i="18"/>
  <c r="AG410" i="18"/>
  <c r="AF410" i="18"/>
  <c r="AE410" i="18"/>
  <c r="AD410" i="18"/>
  <c r="AC410" i="18"/>
  <c r="AB410" i="18"/>
  <c r="AA410" i="18"/>
  <c r="Z410" i="18"/>
  <c r="Y410" i="18"/>
  <c r="X410" i="18"/>
  <c r="W410" i="18"/>
  <c r="V410" i="18"/>
  <c r="U410" i="18"/>
  <c r="T410" i="18"/>
  <c r="S410" i="18"/>
  <c r="R410" i="18"/>
  <c r="Q410" i="18"/>
  <c r="P410" i="18"/>
  <c r="O410" i="18"/>
  <c r="N410" i="18"/>
  <c r="M410" i="18"/>
  <c r="L410" i="18"/>
  <c r="K410" i="18"/>
  <c r="J410" i="18"/>
  <c r="I410" i="18"/>
  <c r="H410" i="18"/>
  <c r="G410" i="18"/>
  <c r="F410" i="18"/>
  <c r="E410" i="18"/>
  <c r="D410" i="18"/>
  <c r="C410" i="18"/>
  <c r="B410" i="18"/>
  <c r="A410" i="18"/>
  <c r="CU409" i="18"/>
  <c r="CT409" i="18"/>
  <c r="CS409" i="18"/>
  <c r="CR409" i="18"/>
  <c r="CQ409" i="18"/>
  <c r="CP409" i="18"/>
  <c r="CO409" i="18"/>
  <c r="CN409" i="18"/>
  <c r="CM409" i="18"/>
  <c r="CL409" i="18"/>
  <c r="CK409" i="18"/>
  <c r="CJ409" i="18"/>
  <c r="CI409" i="18"/>
  <c r="CH409" i="18"/>
  <c r="CG409" i="18"/>
  <c r="CF409" i="18"/>
  <c r="CE409" i="18"/>
  <c r="CD409" i="18"/>
  <c r="CC409" i="18"/>
  <c r="CB409" i="18"/>
  <c r="CA409" i="18"/>
  <c r="BZ409" i="18"/>
  <c r="BY409" i="18"/>
  <c r="BX409" i="18"/>
  <c r="BW409" i="18"/>
  <c r="BV409" i="18"/>
  <c r="BU409" i="18"/>
  <c r="BT409" i="18"/>
  <c r="BS409" i="18"/>
  <c r="BR409" i="18"/>
  <c r="BQ409" i="18"/>
  <c r="BP409" i="18"/>
  <c r="BO409" i="18"/>
  <c r="BN409" i="18"/>
  <c r="BM409" i="18"/>
  <c r="BL409" i="18"/>
  <c r="BK409" i="18"/>
  <c r="BJ409" i="18"/>
  <c r="BI409" i="18"/>
  <c r="BH409" i="18"/>
  <c r="BG409" i="18"/>
  <c r="BF409" i="18"/>
  <c r="BE409" i="18"/>
  <c r="BD409" i="18"/>
  <c r="BC409" i="18"/>
  <c r="BB409" i="18"/>
  <c r="BA409" i="18"/>
  <c r="AZ409" i="18"/>
  <c r="AY409" i="18"/>
  <c r="AX409" i="18"/>
  <c r="AW409" i="18"/>
  <c r="AV409" i="18"/>
  <c r="AU409" i="18"/>
  <c r="AT409" i="18"/>
  <c r="AS409" i="18"/>
  <c r="AR409" i="18"/>
  <c r="AQ409" i="18"/>
  <c r="AP409" i="18"/>
  <c r="AO409" i="18"/>
  <c r="AN409" i="18"/>
  <c r="AM409" i="18"/>
  <c r="AL409" i="18"/>
  <c r="AK409" i="18"/>
  <c r="AJ409" i="18"/>
  <c r="AI409" i="18"/>
  <c r="AH409" i="18"/>
  <c r="AG409" i="18"/>
  <c r="AF409" i="18"/>
  <c r="AE409" i="18"/>
  <c r="AD409" i="18"/>
  <c r="AC409" i="18"/>
  <c r="AB409" i="18"/>
  <c r="AA409" i="18"/>
  <c r="Z409" i="18"/>
  <c r="Y409" i="18"/>
  <c r="X409" i="18"/>
  <c r="W409" i="18"/>
  <c r="V409" i="18"/>
  <c r="U409" i="18"/>
  <c r="T409" i="18"/>
  <c r="S409" i="18"/>
  <c r="R409" i="18"/>
  <c r="Q409" i="18"/>
  <c r="P409" i="18"/>
  <c r="O409" i="18"/>
  <c r="N409" i="18"/>
  <c r="M409" i="18"/>
  <c r="L409" i="18"/>
  <c r="K409" i="18"/>
  <c r="J409" i="18"/>
  <c r="I409" i="18"/>
  <c r="H409" i="18"/>
  <c r="G409" i="18"/>
  <c r="F409" i="18"/>
  <c r="E409" i="18"/>
  <c r="D409" i="18"/>
  <c r="C409" i="18"/>
  <c r="B409" i="18"/>
  <c r="A409" i="18"/>
  <c r="CU408" i="18"/>
  <c r="CT408" i="18"/>
  <c r="CS408" i="18"/>
  <c r="CR408" i="18"/>
  <c r="CI408" i="18"/>
  <c r="CH408" i="18"/>
  <c r="CG408" i="18"/>
  <c r="CF408" i="18"/>
  <c r="CE408" i="18"/>
  <c r="CD408" i="18"/>
  <c r="CC408" i="18"/>
  <c r="CB408" i="18"/>
  <c r="CA408" i="18"/>
  <c r="BZ408" i="18"/>
  <c r="BY408" i="18"/>
  <c r="AZ408" i="18"/>
  <c r="AY408" i="18"/>
  <c r="AX408" i="18"/>
  <c r="AW408" i="18"/>
  <c r="AV408" i="18"/>
  <c r="AU408" i="18"/>
  <c r="AT408" i="18"/>
  <c r="AS408" i="18"/>
  <c r="AR408" i="18"/>
  <c r="AQ408" i="18"/>
  <c r="AP408" i="18"/>
  <c r="AO408" i="18"/>
  <c r="AN408" i="18"/>
  <c r="AM408" i="18"/>
  <c r="AL408" i="18"/>
  <c r="AK408" i="18"/>
  <c r="AJ408" i="18"/>
  <c r="AI408" i="18"/>
  <c r="AH408" i="18"/>
  <c r="AG408" i="18"/>
  <c r="AF408" i="18"/>
  <c r="AE408" i="18"/>
  <c r="AD408" i="18"/>
  <c r="AC408" i="18"/>
  <c r="AB408" i="18"/>
  <c r="AA408" i="18"/>
  <c r="Z408" i="18"/>
  <c r="Y408" i="18"/>
  <c r="X408" i="18"/>
  <c r="W408" i="18"/>
  <c r="V408" i="18"/>
  <c r="U408" i="18"/>
  <c r="T408" i="18"/>
  <c r="S408" i="18"/>
  <c r="R408" i="18"/>
  <c r="Q408" i="18"/>
  <c r="P408" i="18"/>
  <c r="O408" i="18"/>
  <c r="N408" i="18"/>
  <c r="M408" i="18"/>
  <c r="L408" i="18"/>
  <c r="K408" i="18"/>
  <c r="J408" i="18"/>
  <c r="I408" i="18"/>
  <c r="H408" i="18"/>
  <c r="G408" i="18"/>
  <c r="F408" i="18"/>
  <c r="E408" i="18"/>
  <c r="D408" i="18"/>
  <c r="C408" i="18"/>
  <c r="B408" i="18"/>
  <c r="A408" i="18"/>
  <c r="CU407" i="18"/>
  <c r="CT407" i="18"/>
  <c r="CS407" i="18"/>
  <c r="CR407" i="18"/>
  <c r="CP407" i="18"/>
  <c r="CO407" i="18"/>
  <c r="CN407" i="18"/>
  <c r="CM407" i="18"/>
  <c r="CL407" i="18"/>
  <c r="CK407" i="18"/>
  <c r="CJ407" i="18"/>
  <c r="CI407" i="18"/>
  <c r="CH407" i="18"/>
  <c r="CG407" i="18"/>
  <c r="CF407" i="18"/>
  <c r="CE407" i="18"/>
  <c r="CD407" i="18"/>
  <c r="CC407" i="18"/>
  <c r="CB407" i="18"/>
  <c r="CA407" i="18"/>
  <c r="BZ407" i="18"/>
  <c r="BY407" i="18"/>
  <c r="BT407" i="18"/>
  <c r="BS407" i="18"/>
  <c r="BR407" i="18"/>
  <c r="BQ407" i="18"/>
  <c r="BP407" i="18"/>
  <c r="BO407" i="18"/>
  <c r="BN407" i="18"/>
  <c r="BM407" i="18"/>
  <c r="BL407" i="18"/>
  <c r="BK407" i="18"/>
  <c r="BJ407" i="18"/>
  <c r="BI407" i="18"/>
  <c r="BH407" i="18"/>
  <c r="BG407" i="18"/>
  <c r="BF407" i="18"/>
  <c r="BE407" i="18"/>
  <c r="BD407" i="18"/>
  <c r="BC407" i="18"/>
  <c r="BB407" i="18"/>
  <c r="BA407" i="18"/>
  <c r="AZ407" i="18"/>
  <c r="AY407" i="18"/>
  <c r="AX407" i="18"/>
  <c r="AW407" i="18"/>
  <c r="AV407" i="18"/>
  <c r="AU407" i="18"/>
  <c r="AT407" i="18"/>
  <c r="AS407" i="18"/>
  <c r="AR407" i="18"/>
  <c r="AQ407" i="18"/>
  <c r="AP407" i="18"/>
  <c r="AO407" i="18"/>
  <c r="AN407" i="18"/>
  <c r="AM407" i="18"/>
  <c r="AL407" i="18"/>
  <c r="AK407" i="18"/>
  <c r="AJ407" i="18"/>
  <c r="AI407" i="18"/>
  <c r="AH407" i="18"/>
  <c r="AG407" i="18"/>
  <c r="AF407" i="18"/>
  <c r="AE407" i="18"/>
  <c r="AD407" i="18"/>
  <c r="AC407" i="18"/>
  <c r="AB407" i="18"/>
  <c r="AA407" i="18"/>
  <c r="Z407" i="18"/>
  <c r="Y407" i="18"/>
  <c r="X407" i="18"/>
  <c r="W407" i="18"/>
  <c r="V407" i="18"/>
  <c r="U407" i="18"/>
  <c r="T407" i="18"/>
  <c r="S407" i="18"/>
  <c r="R407" i="18"/>
  <c r="Q407" i="18"/>
  <c r="P407" i="18"/>
  <c r="O407" i="18"/>
  <c r="N407" i="18"/>
  <c r="M407" i="18"/>
  <c r="L407" i="18"/>
  <c r="K407" i="18"/>
  <c r="J407" i="18"/>
  <c r="I407" i="18"/>
  <c r="H407" i="18"/>
  <c r="G407" i="18"/>
  <c r="F407" i="18"/>
  <c r="E407" i="18"/>
  <c r="D407" i="18"/>
  <c r="C407" i="18"/>
  <c r="B407" i="18"/>
  <c r="A407" i="18"/>
  <c r="CU406" i="18"/>
  <c r="CT406" i="18"/>
  <c r="CS406" i="18"/>
  <c r="CR406" i="18"/>
  <c r="CQ406" i="18"/>
  <c r="CP406" i="18"/>
  <c r="CO406" i="18"/>
  <c r="CN406" i="18"/>
  <c r="CM406" i="18"/>
  <c r="CL406" i="18"/>
  <c r="CK406" i="18"/>
  <c r="CJ406" i="18"/>
  <c r="CI406" i="18"/>
  <c r="CH406" i="18"/>
  <c r="CG406" i="18"/>
  <c r="CF406" i="18"/>
  <c r="CE406" i="18"/>
  <c r="CD406" i="18"/>
  <c r="CC406" i="18"/>
  <c r="CB406" i="18"/>
  <c r="CA406" i="18"/>
  <c r="BZ406" i="18"/>
  <c r="BY406" i="18"/>
  <c r="BX406" i="18"/>
  <c r="BW406" i="18"/>
  <c r="BV406" i="18"/>
  <c r="BU406" i="18"/>
  <c r="BT406" i="18"/>
  <c r="BS406" i="18"/>
  <c r="BR406" i="18"/>
  <c r="BQ406" i="18"/>
  <c r="BP406" i="18"/>
  <c r="BO406" i="18"/>
  <c r="BN406" i="18"/>
  <c r="BM406" i="18"/>
  <c r="BL406" i="18"/>
  <c r="BK406" i="18"/>
  <c r="BJ406" i="18"/>
  <c r="BI406" i="18"/>
  <c r="BH406" i="18"/>
  <c r="BG406" i="18"/>
  <c r="BF406" i="18"/>
  <c r="BE406" i="18"/>
  <c r="BD406" i="18"/>
  <c r="BC406" i="18"/>
  <c r="BB406" i="18"/>
  <c r="BA406" i="18"/>
  <c r="AZ406" i="18"/>
  <c r="AY406" i="18"/>
  <c r="AX406" i="18"/>
  <c r="AW406" i="18"/>
  <c r="AV406" i="18"/>
  <c r="AU406" i="18"/>
  <c r="AT406" i="18"/>
  <c r="AS406" i="18"/>
  <c r="AR406" i="18"/>
  <c r="AQ406" i="18"/>
  <c r="AP406" i="18"/>
  <c r="AO406" i="18"/>
  <c r="AN406" i="18"/>
  <c r="AM406" i="18"/>
  <c r="AL406" i="18"/>
  <c r="AK406" i="18"/>
  <c r="AJ406" i="18"/>
  <c r="AI406" i="18"/>
  <c r="AH406" i="18"/>
  <c r="AG406" i="18"/>
  <c r="AF406" i="18"/>
  <c r="AE406" i="18"/>
  <c r="AD406" i="18"/>
  <c r="AC406" i="18"/>
  <c r="AB406" i="18"/>
  <c r="AA406" i="18"/>
  <c r="Z406" i="18"/>
  <c r="Y406" i="18"/>
  <c r="X406" i="18"/>
  <c r="W406" i="18"/>
  <c r="V406" i="18"/>
  <c r="U406" i="18"/>
  <c r="T406" i="18"/>
  <c r="S406" i="18"/>
  <c r="R406" i="18"/>
  <c r="Q406" i="18"/>
  <c r="P406" i="18"/>
  <c r="O406" i="18"/>
  <c r="N406" i="18"/>
  <c r="M406" i="18"/>
  <c r="L406" i="18"/>
  <c r="K406" i="18"/>
  <c r="J406" i="18"/>
  <c r="I406" i="18"/>
  <c r="H406" i="18"/>
  <c r="G406" i="18"/>
  <c r="F406" i="18"/>
  <c r="E406" i="18"/>
  <c r="D406" i="18"/>
  <c r="C406" i="18"/>
  <c r="B406" i="18"/>
  <c r="A406" i="18"/>
  <c r="CU405" i="18"/>
  <c r="CT405" i="18"/>
  <c r="CS405" i="18"/>
  <c r="CR405" i="18"/>
  <c r="CI405" i="18"/>
  <c r="CH405" i="18"/>
  <c r="CG405" i="18"/>
  <c r="CF405" i="18"/>
  <c r="CE405" i="18"/>
  <c r="CD405" i="18"/>
  <c r="CC405" i="18"/>
  <c r="CB405" i="18"/>
  <c r="CA405" i="18"/>
  <c r="BZ405" i="18"/>
  <c r="BY405" i="18"/>
  <c r="AZ405" i="18"/>
  <c r="AY405" i="18"/>
  <c r="AX405" i="18"/>
  <c r="AW405" i="18"/>
  <c r="AV405" i="18"/>
  <c r="AU405" i="18"/>
  <c r="AT405" i="18"/>
  <c r="AS405" i="18"/>
  <c r="AR405" i="18"/>
  <c r="AQ405" i="18"/>
  <c r="AP405" i="18"/>
  <c r="AO405" i="18"/>
  <c r="AN405" i="18"/>
  <c r="AM405" i="18"/>
  <c r="AL405" i="18"/>
  <c r="AK405" i="18"/>
  <c r="AJ405" i="18"/>
  <c r="AI405" i="18"/>
  <c r="AH405" i="18"/>
  <c r="AG405" i="18"/>
  <c r="AF405" i="18"/>
  <c r="AE405" i="18"/>
  <c r="AD405" i="18"/>
  <c r="AC405" i="18"/>
  <c r="AB405" i="18"/>
  <c r="AA405" i="18"/>
  <c r="Z405" i="18"/>
  <c r="Y405" i="18"/>
  <c r="X405" i="18"/>
  <c r="W405" i="18"/>
  <c r="V405" i="18"/>
  <c r="U405" i="18"/>
  <c r="T405" i="18"/>
  <c r="S405" i="18"/>
  <c r="R405" i="18"/>
  <c r="Q405" i="18"/>
  <c r="P405" i="18"/>
  <c r="O405" i="18"/>
  <c r="N405" i="18"/>
  <c r="M405" i="18"/>
  <c r="L405" i="18"/>
  <c r="K405" i="18"/>
  <c r="J405" i="18"/>
  <c r="I405" i="18"/>
  <c r="H405" i="18"/>
  <c r="G405" i="18"/>
  <c r="F405" i="18"/>
  <c r="E405" i="18"/>
  <c r="D405" i="18"/>
  <c r="C405" i="18"/>
  <c r="B405" i="18"/>
  <c r="A405" i="18"/>
  <c r="CU404" i="18"/>
  <c r="CT404" i="18"/>
  <c r="CS404" i="18"/>
  <c r="CR404" i="18"/>
  <c r="CQ404" i="18"/>
  <c r="CP404" i="18"/>
  <c r="CO404" i="18"/>
  <c r="CN404" i="18"/>
  <c r="CM404" i="18"/>
  <c r="CK404" i="18"/>
  <c r="CJ404" i="18"/>
  <c r="CI404" i="18"/>
  <c r="CH404" i="18"/>
  <c r="CG404" i="18"/>
  <c r="CF404" i="18"/>
  <c r="CE404" i="18"/>
  <c r="CD404" i="18"/>
  <c r="CC404" i="18"/>
  <c r="CB404" i="18"/>
  <c r="CA404" i="18"/>
  <c r="BZ404" i="18"/>
  <c r="BY404" i="18"/>
  <c r="BX404" i="18"/>
  <c r="BW404" i="18"/>
  <c r="BV404" i="18"/>
  <c r="BU404" i="18"/>
  <c r="BT404" i="18"/>
  <c r="BS404" i="18"/>
  <c r="BR404" i="18"/>
  <c r="BQ404" i="18"/>
  <c r="BP404" i="18"/>
  <c r="BO404" i="18"/>
  <c r="BN404" i="18"/>
  <c r="BM404" i="18"/>
  <c r="BL404" i="18"/>
  <c r="BK404" i="18"/>
  <c r="BJ404" i="18"/>
  <c r="BI404" i="18"/>
  <c r="BH404" i="18"/>
  <c r="BG404" i="18"/>
  <c r="BF404" i="18"/>
  <c r="BE404" i="18"/>
  <c r="BA404" i="18"/>
  <c r="AZ404" i="18"/>
  <c r="AY404" i="18"/>
  <c r="AX404" i="18"/>
  <c r="AW404" i="18"/>
  <c r="AV404" i="18"/>
  <c r="AU404" i="18"/>
  <c r="AT404" i="18"/>
  <c r="AS404" i="18"/>
  <c r="AR404" i="18"/>
  <c r="AQ404" i="18"/>
  <c r="AP404" i="18"/>
  <c r="AO404" i="18"/>
  <c r="AN404" i="18"/>
  <c r="AM404" i="18"/>
  <c r="AL404" i="18"/>
  <c r="AK404" i="18"/>
  <c r="AJ404" i="18"/>
  <c r="AI404" i="18"/>
  <c r="AH404" i="18"/>
  <c r="AG404" i="18"/>
  <c r="AF404" i="18"/>
  <c r="AE404" i="18"/>
  <c r="AD404" i="18"/>
  <c r="AC404" i="18"/>
  <c r="AB404" i="18"/>
  <c r="AA404" i="18"/>
  <c r="Z404" i="18"/>
  <c r="Y404" i="18"/>
  <c r="X404" i="18"/>
  <c r="W404" i="18"/>
  <c r="V404" i="18"/>
  <c r="U404" i="18"/>
  <c r="T404" i="18"/>
  <c r="S404" i="18"/>
  <c r="R404" i="18"/>
  <c r="Q404" i="18"/>
  <c r="P404" i="18"/>
  <c r="O404" i="18"/>
  <c r="N404" i="18"/>
  <c r="M404" i="18"/>
  <c r="L404" i="18"/>
  <c r="K404" i="18"/>
  <c r="J404" i="18"/>
  <c r="I404" i="18"/>
  <c r="H404" i="18"/>
  <c r="G404" i="18"/>
  <c r="F404" i="18"/>
  <c r="E404" i="18"/>
  <c r="D404" i="18"/>
  <c r="C404" i="18"/>
  <c r="B404" i="18"/>
  <c r="A404" i="18"/>
  <c r="CU403" i="18"/>
  <c r="CT403" i="18"/>
  <c r="CS403" i="18"/>
  <c r="CR403" i="18"/>
  <c r="CQ403" i="18"/>
  <c r="CP403" i="18"/>
  <c r="CO403" i="18"/>
  <c r="CN403" i="18"/>
  <c r="CM403" i="18"/>
  <c r="CL403" i="18"/>
  <c r="CK403" i="18"/>
  <c r="CJ403" i="18"/>
  <c r="CI403" i="18"/>
  <c r="CH403" i="18"/>
  <c r="CG403" i="18"/>
  <c r="CF403" i="18"/>
  <c r="CE403" i="18"/>
  <c r="CD403" i="18"/>
  <c r="CC403" i="18"/>
  <c r="CB403" i="18"/>
  <c r="CA403" i="18"/>
  <c r="BZ403" i="18"/>
  <c r="BY403" i="18"/>
  <c r="BX403" i="18"/>
  <c r="BW403" i="18"/>
  <c r="BV403" i="18"/>
  <c r="BU403" i="18"/>
  <c r="BT403" i="18"/>
  <c r="BS403" i="18"/>
  <c r="BR403" i="18"/>
  <c r="BQ403" i="18"/>
  <c r="BP403" i="18"/>
  <c r="BO403" i="18"/>
  <c r="BN403" i="18"/>
  <c r="BM403" i="18"/>
  <c r="BL403" i="18"/>
  <c r="BK403" i="18"/>
  <c r="BJ403" i="18"/>
  <c r="BI403" i="18"/>
  <c r="BH403" i="18"/>
  <c r="BG403" i="18"/>
  <c r="BF403" i="18"/>
  <c r="BE403" i="18"/>
  <c r="BD403" i="18"/>
  <c r="BC403" i="18"/>
  <c r="BB403" i="18"/>
  <c r="BA403" i="18"/>
  <c r="AZ403" i="18"/>
  <c r="AY403" i="18"/>
  <c r="AX403" i="18"/>
  <c r="AW403" i="18"/>
  <c r="AV403" i="18"/>
  <c r="AU403" i="18"/>
  <c r="AT403" i="18"/>
  <c r="AS403" i="18"/>
  <c r="AR403" i="18"/>
  <c r="AQ403" i="18"/>
  <c r="AP403" i="18"/>
  <c r="AO403" i="18"/>
  <c r="AN403" i="18"/>
  <c r="AM403" i="18"/>
  <c r="AL403" i="18"/>
  <c r="AK403" i="18"/>
  <c r="AJ403" i="18"/>
  <c r="AI403" i="18"/>
  <c r="AH403" i="18"/>
  <c r="AG403" i="18"/>
  <c r="AF403" i="18"/>
  <c r="AE403" i="18"/>
  <c r="AD403" i="18"/>
  <c r="AC403" i="18"/>
  <c r="AB403" i="18"/>
  <c r="AA403" i="18"/>
  <c r="Z403" i="18"/>
  <c r="Y403" i="18"/>
  <c r="X403" i="18"/>
  <c r="W403" i="18"/>
  <c r="V403" i="18"/>
  <c r="U403" i="18"/>
  <c r="T403" i="18"/>
  <c r="S403" i="18"/>
  <c r="R403" i="18"/>
  <c r="Q403" i="18"/>
  <c r="P403" i="18"/>
  <c r="O403" i="18"/>
  <c r="N403" i="18"/>
  <c r="M403" i="18"/>
  <c r="L403" i="18"/>
  <c r="K403" i="18"/>
  <c r="J403" i="18"/>
  <c r="I403" i="18"/>
  <c r="H403" i="18"/>
  <c r="G403" i="18"/>
  <c r="F403" i="18"/>
  <c r="E403" i="18"/>
  <c r="D403" i="18"/>
  <c r="C403" i="18"/>
  <c r="B403" i="18"/>
  <c r="A403" i="18"/>
  <c r="CU402" i="18"/>
  <c r="CT402" i="18"/>
  <c r="CS402" i="18"/>
  <c r="CR402" i="18"/>
  <c r="CQ402" i="18"/>
  <c r="CP402" i="18"/>
  <c r="CO402" i="18"/>
  <c r="CN402" i="18"/>
  <c r="CM402" i="18"/>
  <c r="CL402" i="18"/>
  <c r="CK402" i="18"/>
  <c r="CJ402" i="18"/>
  <c r="CI402" i="18"/>
  <c r="CH402" i="18"/>
  <c r="CG402" i="18"/>
  <c r="CF402" i="18"/>
  <c r="CE402" i="18"/>
  <c r="CD402" i="18"/>
  <c r="CC402" i="18"/>
  <c r="CB402" i="18"/>
  <c r="CA402" i="18"/>
  <c r="BZ402" i="18"/>
  <c r="BY402" i="18"/>
  <c r="BX402" i="18"/>
  <c r="BW402" i="18"/>
  <c r="BV402" i="18"/>
  <c r="BU402" i="18"/>
  <c r="BT402" i="18"/>
  <c r="BS402" i="18"/>
  <c r="BR402" i="18"/>
  <c r="BQ402" i="18"/>
  <c r="BP402" i="18"/>
  <c r="BO402" i="18"/>
  <c r="BN402" i="18"/>
  <c r="BM402" i="18"/>
  <c r="BL402" i="18"/>
  <c r="BK402" i="18"/>
  <c r="BJ402" i="18"/>
  <c r="BI402" i="18"/>
  <c r="BH402" i="18"/>
  <c r="BG402" i="18"/>
  <c r="BF402" i="18"/>
  <c r="BE402" i="18"/>
  <c r="BD402" i="18"/>
  <c r="BC402" i="18"/>
  <c r="BB402" i="18"/>
  <c r="BA402" i="18"/>
  <c r="AZ402" i="18"/>
  <c r="AY402" i="18"/>
  <c r="AX402" i="18"/>
  <c r="AW402" i="18"/>
  <c r="AV402" i="18"/>
  <c r="AU402" i="18"/>
  <c r="AT402" i="18"/>
  <c r="AS402" i="18"/>
  <c r="AR402" i="18"/>
  <c r="AQ402" i="18"/>
  <c r="AP402" i="18"/>
  <c r="AO402" i="18"/>
  <c r="AN402" i="18"/>
  <c r="AM402" i="18"/>
  <c r="AL402" i="18"/>
  <c r="AK402" i="18"/>
  <c r="AJ402" i="18"/>
  <c r="AI402" i="18"/>
  <c r="AH402" i="18"/>
  <c r="AG402" i="18"/>
  <c r="AF402" i="18"/>
  <c r="AE402" i="18"/>
  <c r="AD402" i="18"/>
  <c r="AC402" i="18"/>
  <c r="AB402" i="18"/>
  <c r="AA402" i="18"/>
  <c r="Z402" i="18"/>
  <c r="Y402" i="18"/>
  <c r="X402" i="18"/>
  <c r="W402" i="18"/>
  <c r="V402" i="18"/>
  <c r="U402" i="18"/>
  <c r="T402" i="18"/>
  <c r="S402" i="18"/>
  <c r="R402" i="18"/>
  <c r="Q402" i="18"/>
  <c r="P402" i="18"/>
  <c r="O402" i="18"/>
  <c r="N402" i="18"/>
  <c r="M402" i="18"/>
  <c r="L402" i="18"/>
  <c r="K402" i="18"/>
  <c r="J402" i="18"/>
  <c r="I402" i="18"/>
  <c r="H402" i="18"/>
  <c r="G402" i="18"/>
  <c r="F402" i="18"/>
  <c r="E402" i="18"/>
  <c r="D402" i="18"/>
  <c r="C402" i="18"/>
  <c r="B402" i="18"/>
  <c r="A402" i="18"/>
  <c r="CU401" i="18"/>
  <c r="CT401" i="18"/>
  <c r="CS401" i="18"/>
  <c r="CR401" i="18"/>
  <c r="CQ401" i="18"/>
  <c r="CP401" i="18"/>
  <c r="CO401" i="18"/>
  <c r="CN401" i="18"/>
  <c r="CM401" i="18"/>
  <c r="CL401" i="18"/>
  <c r="CK401" i="18"/>
  <c r="CJ401" i="18"/>
  <c r="CI401" i="18"/>
  <c r="CH401" i="18"/>
  <c r="CG401" i="18"/>
  <c r="CF401" i="18"/>
  <c r="CE401" i="18"/>
  <c r="CD401" i="18"/>
  <c r="CC401" i="18"/>
  <c r="CB401" i="18"/>
  <c r="CA401" i="18"/>
  <c r="BZ401" i="18"/>
  <c r="BY401" i="18"/>
  <c r="BX401" i="18"/>
  <c r="BW401" i="18"/>
  <c r="BV401" i="18"/>
  <c r="BU401" i="18"/>
  <c r="BT401" i="18"/>
  <c r="BS401" i="18"/>
  <c r="BR401" i="18"/>
  <c r="BQ401" i="18"/>
  <c r="BP401" i="18"/>
  <c r="BO401" i="18"/>
  <c r="BN401" i="18"/>
  <c r="BM401" i="18"/>
  <c r="BL401" i="18"/>
  <c r="BK401" i="18"/>
  <c r="BJ401" i="18"/>
  <c r="BI401" i="18"/>
  <c r="BH401" i="18"/>
  <c r="BG401" i="18"/>
  <c r="BF401" i="18"/>
  <c r="BE401" i="18"/>
  <c r="BD401" i="18"/>
  <c r="BC401" i="18"/>
  <c r="BB401" i="18"/>
  <c r="BA401" i="18"/>
  <c r="AZ401" i="18"/>
  <c r="AY401" i="18"/>
  <c r="AX401" i="18"/>
  <c r="AW401" i="18"/>
  <c r="AV401" i="18"/>
  <c r="AU401" i="18"/>
  <c r="AT401" i="18"/>
  <c r="AS401" i="18"/>
  <c r="AR401" i="18"/>
  <c r="AQ401" i="18"/>
  <c r="AP401" i="18"/>
  <c r="AO401" i="18"/>
  <c r="AN401" i="18"/>
  <c r="AM401" i="18"/>
  <c r="AL401" i="18"/>
  <c r="AK401" i="18"/>
  <c r="AJ401" i="18"/>
  <c r="AI401" i="18"/>
  <c r="AH401" i="18"/>
  <c r="AG401" i="18"/>
  <c r="AF401" i="18"/>
  <c r="AE401" i="18"/>
  <c r="AD401" i="18"/>
  <c r="AC401" i="18"/>
  <c r="AB401" i="18"/>
  <c r="AA401" i="18"/>
  <c r="Z401" i="18"/>
  <c r="Y401" i="18"/>
  <c r="X401" i="18"/>
  <c r="W401" i="18"/>
  <c r="V401" i="18"/>
  <c r="U401" i="18"/>
  <c r="T401" i="18"/>
  <c r="S401" i="18"/>
  <c r="R401" i="18"/>
  <c r="Q401" i="18"/>
  <c r="P401" i="18"/>
  <c r="O401" i="18"/>
  <c r="N401" i="18"/>
  <c r="M401" i="18"/>
  <c r="L401" i="18"/>
  <c r="K401" i="18"/>
  <c r="J401" i="18"/>
  <c r="I401" i="18"/>
  <c r="H401" i="18"/>
  <c r="G401" i="18"/>
  <c r="F401" i="18"/>
  <c r="E401" i="18"/>
  <c r="D401" i="18"/>
  <c r="C401" i="18"/>
  <c r="B401" i="18"/>
  <c r="A401" i="18"/>
  <c r="CU400" i="18"/>
  <c r="CT400" i="18"/>
  <c r="CS400" i="18"/>
  <c r="CR400" i="18"/>
  <c r="CQ400" i="18"/>
  <c r="CP400" i="18"/>
  <c r="CO400" i="18"/>
  <c r="CN400" i="18"/>
  <c r="CM400" i="18"/>
  <c r="CL400" i="18"/>
  <c r="CK400" i="18"/>
  <c r="CJ400" i="18"/>
  <c r="CI400" i="18"/>
  <c r="CH400" i="18"/>
  <c r="CG400" i="18"/>
  <c r="CF400" i="18"/>
  <c r="CE400" i="18"/>
  <c r="CD400" i="18"/>
  <c r="CC400" i="18"/>
  <c r="CB400" i="18"/>
  <c r="CA400" i="18"/>
  <c r="BZ400" i="18"/>
  <c r="BY400" i="18"/>
  <c r="BX400" i="18"/>
  <c r="BW400" i="18"/>
  <c r="BV400" i="18"/>
  <c r="BU400" i="18"/>
  <c r="BT400" i="18"/>
  <c r="BS400" i="18"/>
  <c r="BR400" i="18"/>
  <c r="BQ400" i="18"/>
  <c r="BP400" i="18"/>
  <c r="BO400" i="18"/>
  <c r="BN400" i="18"/>
  <c r="BM400" i="18"/>
  <c r="BL400" i="18"/>
  <c r="BK400" i="18"/>
  <c r="BJ400" i="18"/>
  <c r="BI400" i="18"/>
  <c r="BH400" i="18"/>
  <c r="BG400" i="18"/>
  <c r="BF400" i="18"/>
  <c r="BE400" i="18"/>
  <c r="BD400" i="18"/>
  <c r="BC400" i="18"/>
  <c r="BB400" i="18"/>
  <c r="BA400" i="18"/>
  <c r="AZ400" i="18"/>
  <c r="AY400" i="18"/>
  <c r="AX400" i="18"/>
  <c r="AW400" i="18"/>
  <c r="AV400" i="18"/>
  <c r="AU400" i="18"/>
  <c r="AT400" i="18"/>
  <c r="AS400" i="18"/>
  <c r="AR400" i="18"/>
  <c r="AQ400" i="18"/>
  <c r="AP400" i="18"/>
  <c r="AO400" i="18"/>
  <c r="AN400" i="18"/>
  <c r="AM400" i="18"/>
  <c r="AL400" i="18"/>
  <c r="AK400" i="18"/>
  <c r="AJ400" i="18"/>
  <c r="AI400" i="18"/>
  <c r="AH400" i="18"/>
  <c r="AG400" i="18"/>
  <c r="AF400" i="18"/>
  <c r="AE400" i="18"/>
  <c r="AD400" i="18"/>
  <c r="AC400" i="18"/>
  <c r="AB400" i="18"/>
  <c r="AA400" i="18"/>
  <c r="Z400" i="18"/>
  <c r="Y400" i="18"/>
  <c r="X400" i="18"/>
  <c r="W400" i="18"/>
  <c r="V400" i="18"/>
  <c r="U400" i="18"/>
  <c r="T400" i="18"/>
  <c r="S400" i="18"/>
  <c r="R400" i="18"/>
  <c r="Q400" i="18"/>
  <c r="P400" i="18"/>
  <c r="O400" i="18"/>
  <c r="N400" i="18"/>
  <c r="M400" i="18"/>
  <c r="L400" i="18"/>
  <c r="K400" i="18"/>
  <c r="J400" i="18"/>
  <c r="I400" i="18"/>
  <c r="H400" i="18"/>
  <c r="G400" i="18"/>
  <c r="F400" i="18"/>
  <c r="E400" i="18"/>
  <c r="D400" i="18"/>
  <c r="C400" i="18"/>
  <c r="B400" i="18"/>
  <c r="A400" i="18"/>
  <c r="CU399" i="18"/>
  <c r="CT399" i="18"/>
  <c r="CS399" i="18"/>
  <c r="CR399" i="18"/>
  <c r="CQ399" i="18"/>
  <c r="CP399" i="18"/>
  <c r="CO399" i="18"/>
  <c r="CN399" i="18"/>
  <c r="CM399" i="18"/>
  <c r="CL399" i="18"/>
  <c r="CK399" i="18"/>
  <c r="CJ399" i="18"/>
  <c r="CI399" i="18"/>
  <c r="CH399" i="18"/>
  <c r="CG399" i="18"/>
  <c r="CF399" i="18"/>
  <c r="CE399" i="18"/>
  <c r="CD399" i="18"/>
  <c r="CC399" i="18"/>
  <c r="CB399" i="18"/>
  <c r="CA399" i="18"/>
  <c r="BZ399" i="18"/>
  <c r="BY399" i="18"/>
  <c r="BX399" i="18"/>
  <c r="BW399" i="18"/>
  <c r="BV399" i="18"/>
  <c r="BU399" i="18"/>
  <c r="BT399" i="18"/>
  <c r="BS399" i="18"/>
  <c r="BR399" i="18"/>
  <c r="BQ399" i="18"/>
  <c r="BP399" i="18"/>
  <c r="BO399" i="18"/>
  <c r="BN399" i="18"/>
  <c r="BM399" i="18"/>
  <c r="BL399" i="18"/>
  <c r="BK399" i="18"/>
  <c r="BJ399" i="18"/>
  <c r="BI399" i="18"/>
  <c r="BH399" i="18"/>
  <c r="BG399" i="18"/>
  <c r="BF399" i="18"/>
  <c r="BE399" i="18"/>
  <c r="BD399" i="18"/>
  <c r="BC399" i="18"/>
  <c r="BB399" i="18"/>
  <c r="BA399" i="18"/>
  <c r="AZ399" i="18"/>
  <c r="AY399" i="18"/>
  <c r="AX399" i="18"/>
  <c r="AW399" i="18"/>
  <c r="AV399" i="18"/>
  <c r="AU399" i="18"/>
  <c r="AT399" i="18"/>
  <c r="AS399" i="18"/>
  <c r="AR399" i="18"/>
  <c r="AQ399" i="18"/>
  <c r="AP399" i="18"/>
  <c r="AO399" i="18"/>
  <c r="AN399" i="18"/>
  <c r="AM399" i="18"/>
  <c r="AL399" i="18"/>
  <c r="AK399" i="18"/>
  <c r="AJ399" i="18"/>
  <c r="AI399" i="18"/>
  <c r="AH399" i="18"/>
  <c r="AG399" i="18"/>
  <c r="AF399" i="18"/>
  <c r="AE399" i="18"/>
  <c r="AD399" i="18"/>
  <c r="AC399" i="18"/>
  <c r="AB399" i="18"/>
  <c r="AA399" i="18"/>
  <c r="Z399" i="18"/>
  <c r="Y399" i="18"/>
  <c r="X399" i="18"/>
  <c r="W399" i="18"/>
  <c r="V399" i="18"/>
  <c r="U399" i="18"/>
  <c r="T399" i="18"/>
  <c r="S399" i="18"/>
  <c r="R399" i="18"/>
  <c r="Q399" i="18"/>
  <c r="P399" i="18"/>
  <c r="O399" i="18"/>
  <c r="N399" i="18"/>
  <c r="M399" i="18"/>
  <c r="L399" i="18"/>
  <c r="K399" i="18"/>
  <c r="J399" i="18"/>
  <c r="I399" i="18"/>
  <c r="H399" i="18"/>
  <c r="G399" i="18"/>
  <c r="F399" i="18"/>
  <c r="E399" i="18"/>
  <c r="D399" i="18"/>
  <c r="C399" i="18"/>
  <c r="B399" i="18"/>
  <c r="A399" i="18"/>
  <c r="CI398" i="18"/>
  <c r="CH398" i="18"/>
  <c r="CG398" i="18"/>
  <c r="CF398" i="18"/>
  <c r="CE398" i="18"/>
  <c r="CD398" i="18"/>
  <c r="CC398" i="18"/>
  <c r="CB398" i="18"/>
  <c r="CA398" i="18"/>
  <c r="BZ398" i="18"/>
  <c r="BY398" i="18"/>
  <c r="AZ398" i="18"/>
  <c r="AY398" i="18"/>
  <c r="AX398" i="18"/>
  <c r="AW398" i="18"/>
  <c r="AV398" i="18"/>
  <c r="AU398" i="18"/>
  <c r="AT398" i="18"/>
  <c r="AS398" i="18"/>
  <c r="AR398" i="18"/>
  <c r="AQ398" i="18"/>
  <c r="AP398" i="18"/>
  <c r="AO398" i="18"/>
  <c r="AN398" i="18"/>
  <c r="AM398" i="18"/>
  <c r="AL398" i="18"/>
  <c r="AK398" i="18"/>
  <c r="AJ398" i="18"/>
  <c r="AI398" i="18"/>
  <c r="AH398" i="18"/>
  <c r="AG398" i="18"/>
  <c r="AF398" i="18"/>
  <c r="AE398" i="18"/>
  <c r="AD398" i="18"/>
  <c r="AC398" i="18"/>
  <c r="AB398" i="18"/>
  <c r="AA398" i="18"/>
  <c r="Z398" i="18"/>
  <c r="Y398" i="18"/>
  <c r="X398" i="18"/>
  <c r="W398" i="18"/>
  <c r="V398" i="18"/>
  <c r="U398" i="18"/>
  <c r="T398" i="18"/>
  <c r="S398" i="18"/>
  <c r="R398" i="18"/>
  <c r="Q398" i="18"/>
  <c r="P398" i="18"/>
  <c r="O398" i="18"/>
  <c r="N398" i="18"/>
  <c r="M398" i="18"/>
  <c r="L398" i="18"/>
  <c r="K398" i="18"/>
  <c r="J398" i="18"/>
  <c r="I398" i="18"/>
  <c r="H398" i="18"/>
  <c r="G398" i="18"/>
  <c r="F398" i="18"/>
  <c r="E398" i="18"/>
  <c r="D398" i="18"/>
  <c r="C398" i="18"/>
  <c r="B398" i="18"/>
  <c r="A398" i="18"/>
  <c r="CU397" i="18"/>
  <c r="CT397" i="18"/>
  <c r="CS397" i="18"/>
  <c r="CR397" i="18"/>
  <c r="CQ397" i="18"/>
  <c r="CP397" i="18"/>
  <c r="CO397" i="18"/>
  <c r="CN397" i="18"/>
  <c r="CM397" i="18"/>
  <c r="CL397" i="18"/>
  <c r="CK397" i="18"/>
  <c r="CJ397" i="18"/>
  <c r="CI397" i="18"/>
  <c r="CH397" i="18"/>
  <c r="CG397" i="18"/>
  <c r="CF397" i="18"/>
  <c r="CE397" i="18"/>
  <c r="CD397" i="18"/>
  <c r="CC397" i="18"/>
  <c r="CB397" i="18"/>
  <c r="CA397" i="18"/>
  <c r="BZ397" i="18"/>
  <c r="BY397" i="18"/>
  <c r="BX397" i="18"/>
  <c r="BW397" i="18"/>
  <c r="BV397" i="18"/>
  <c r="BU397" i="18"/>
  <c r="BT397" i="18"/>
  <c r="BS397" i="18"/>
  <c r="BR397" i="18"/>
  <c r="BQ397" i="18"/>
  <c r="BP397" i="18"/>
  <c r="BO397" i="18"/>
  <c r="BN397" i="18"/>
  <c r="BM397" i="18"/>
  <c r="BL397" i="18"/>
  <c r="BK397" i="18"/>
  <c r="BJ397" i="18"/>
  <c r="BI397" i="18"/>
  <c r="BH397" i="18"/>
  <c r="BG397" i="18"/>
  <c r="BF397" i="18"/>
  <c r="BE397" i="18"/>
  <c r="BD397" i="18"/>
  <c r="BC397" i="18"/>
  <c r="BB397" i="18"/>
  <c r="BA397" i="18"/>
  <c r="AZ397" i="18"/>
  <c r="AY397" i="18"/>
  <c r="AX397" i="18"/>
  <c r="AW397" i="18"/>
  <c r="AV397" i="18"/>
  <c r="AU397" i="18"/>
  <c r="AT397" i="18"/>
  <c r="AS397" i="18"/>
  <c r="AR397" i="18"/>
  <c r="AQ397" i="18"/>
  <c r="AP397" i="18"/>
  <c r="AO397" i="18"/>
  <c r="AN397" i="18"/>
  <c r="AM397" i="18"/>
  <c r="AL397" i="18"/>
  <c r="AK397" i="18"/>
  <c r="AJ397" i="18"/>
  <c r="AI397" i="18"/>
  <c r="AH397" i="18"/>
  <c r="AG397" i="18"/>
  <c r="AF397" i="18"/>
  <c r="AE397" i="18"/>
  <c r="AD397" i="18"/>
  <c r="AC397" i="18"/>
  <c r="AB397" i="18"/>
  <c r="AA397" i="18"/>
  <c r="Z397" i="18"/>
  <c r="Y397" i="18"/>
  <c r="X397" i="18"/>
  <c r="W397" i="18"/>
  <c r="V397" i="18"/>
  <c r="U397" i="18"/>
  <c r="T397" i="18"/>
  <c r="S397" i="18"/>
  <c r="R397" i="18"/>
  <c r="Q397" i="18"/>
  <c r="P397" i="18"/>
  <c r="O397" i="18"/>
  <c r="N397" i="18"/>
  <c r="M397" i="18"/>
  <c r="L397" i="18"/>
  <c r="K397" i="18"/>
  <c r="J397" i="18"/>
  <c r="I397" i="18"/>
  <c r="H397" i="18"/>
  <c r="G397" i="18"/>
  <c r="F397" i="18"/>
  <c r="E397" i="18"/>
  <c r="D397" i="18"/>
  <c r="C397" i="18"/>
  <c r="B397" i="18"/>
  <c r="A397" i="18"/>
  <c r="CU396" i="18"/>
  <c r="CT396" i="18"/>
  <c r="CS396" i="18"/>
  <c r="CR396" i="18"/>
  <c r="CI396" i="18"/>
  <c r="CH396" i="18"/>
  <c r="CG396" i="18"/>
  <c r="CF396" i="18"/>
  <c r="CE396" i="18"/>
  <c r="CD396" i="18"/>
  <c r="CC396" i="18"/>
  <c r="CB396" i="18"/>
  <c r="CA396" i="18"/>
  <c r="BZ396" i="18"/>
  <c r="BY396" i="18"/>
  <c r="AZ396" i="18"/>
  <c r="AY396" i="18"/>
  <c r="AX396" i="18"/>
  <c r="AW396" i="18"/>
  <c r="AV396" i="18"/>
  <c r="AU396" i="18"/>
  <c r="AT396" i="18"/>
  <c r="AS396" i="18"/>
  <c r="AR396" i="18"/>
  <c r="AQ396" i="18"/>
  <c r="AP396" i="18"/>
  <c r="AO396" i="18"/>
  <c r="AN396" i="18"/>
  <c r="AM396" i="18"/>
  <c r="AL396" i="18"/>
  <c r="AK396" i="18"/>
  <c r="AJ396" i="18"/>
  <c r="AI396" i="18"/>
  <c r="AH396" i="18"/>
  <c r="AG396" i="18"/>
  <c r="AF396" i="18"/>
  <c r="AE396" i="18"/>
  <c r="AD396" i="18"/>
  <c r="AC396" i="18"/>
  <c r="AB396" i="18"/>
  <c r="AA396" i="18"/>
  <c r="Z396" i="18"/>
  <c r="Y396" i="18"/>
  <c r="X396" i="18"/>
  <c r="W396" i="18"/>
  <c r="V396" i="18"/>
  <c r="U396" i="18"/>
  <c r="T396" i="18"/>
  <c r="S396" i="18"/>
  <c r="R396" i="18"/>
  <c r="Q396" i="18"/>
  <c r="P396" i="18"/>
  <c r="O396" i="18"/>
  <c r="N396" i="18"/>
  <c r="M396" i="18"/>
  <c r="L396" i="18"/>
  <c r="K396" i="18"/>
  <c r="J396" i="18"/>
  <c r="I396" i="18"/>
  <c r="H396" i="18"/>
  <c r="G396" i="18"/>
  <c r="F396" i="18"/>
  <c r="E396" i="18"/>
  <c r="D396" i="18"/>
  <c r="C396" i="18"/>
  <c r="B396" i="18"/>
  <c r="A396" i="18"/>
  <c r="CU395" i="18"/>
  <c r="CT395" i="18"/>
  <c r="CS395" i="18"/>
  <c r="CR395" i="18"/>
  <c r="CI395" i="18"/>
  <c r="CH395" i="18"/>
  <c r="CG395" i="18"/>
  <c r="CF395" i="18"/>
  <c r="CE395" i="18"/>
  <c r="CD395" i="18"/>
  <c r="CC395" i="18"/>
  <c r="CB395" i="18"/>
  <c r="CA395" i="18"/>
  <c r="BZ395" i="18"/>
  <c r="BY395" i="18"/>
  <c r="AZ395" i="18"/>
  <c r="AY395" i="18"/>
  <c r="AX395" i="18"/>
  <c r="AW395" i="18"/>
  <c r="AV395" i="18"/>
  <c r="AU395" i="18"/>
  <c r="AT395" i="18"/>
  <c r="AS395" i="18"/>
  <c r="AR395" i="18"/>
  <c r="AQ395" i="18"/>
  <c r="AP395" i="18"/>
  <c r="AO395" i="18"/>
  <c r="AN395" i="18"/>
  <c r="AM395" i="18"/>
  <c r="AL395" i="18"/>
  <c r="AK395" i="18"/>
  <c r="AJ395" i="18"/>
  <c r="AI395" i="18"/>
  <c r="AH395" i="18"/>
  <c r="AG395" i="18"/>
  <c r="AF395" i="18"/>
  <c r="AE395" i="18"/>
  <c r="AD395" i="18"/>
  <c r="AC395" i="18"/>
  <c r="AB395" i="18"/>
  <c r="AA395" i="18"/>
  <c r="Z395" i="18"/>
  <c r="Y395" i="18"/>
  <c r="X395" i="18"/>
  <c r="W395" i="18"/>
  <c r="V395" i="18"/>
  <c r="U395" i="18"/>
  <c r="T395" i="18"/>
  <c r="S395" i="18"/>
  <c r="R395" i="18"/>
  <c r="Q395" i="18"/>
  <c r="P395" i="18"/>
  <c r="O395" i="18"/>
  <c r="N395" i="18"/>
  <c r="M395" i="18"/>
  <c r="L395" i="18"/>
  <c r="K395" i="18"/>
  <c r="J395" i="18"/>
  <c r="I395" i="18"/>
  <c r="H395" i="18"/>
  <c r="G395" i="18"/>
  <c r="F395" i="18"/>
  <c r="E395" i="18"/>
  <c r="D395" i="18"/>
  <c r="C395" i="18"/>
  <c r="B395" i="18"/>
  <c r="A395" i="18"/>
  <c r="CU394" i="18"/>
  <c r="CT394" i="18"/>
  <c r="CS394" i="18"/>
  <c r="CR394" i="18"/>
  <c r="CQ394" i="18"/>
  <c r="CP394" i="18"/>
  <c r="CO394" i="18"/>
  <c r="CN394" i="18"/>
  <c r="CM394" i="18"/>
  <c r="CL394" i="18"/>
  <c r="CK394" i="18"/>
  <c r="CJ394" i="18"/>
  <c r="CI394" i="18"/>
  <c r="CH394" i="18"/>
  <c r="CG394" i="18"/>
  <c r="CF394" i="18"/>
  <c r="CE394" i="18"/>
  <c r="CD394" i="18"/>
  <c r="CC394" i="18"/>
  <c r="CB394" i="18"/>
  <c r="CA394" i="18"/>
  <c r="BZ394" i="18"/>
  <c r="BY394" i="18"/>
  <c r="BX394" i="18"/>
  <c r="BW394" i="18"/>
  <c r="BV394" i="18"/>
  <c r="BU394" i="18"/>
  <c r="BT394" i="18"/>
  <c r="BS394" i="18"/>
  <c r="BR394" i="18"/>
  <c r="BQ394" i="18"/>
  <c r="BP394" i="18"/>
  <c r="BO394" i="18"/>
  <c r="BN394" i="18"/>
  <c r="BM394" i="18"/>
  <c r="BL394" i="18"/>
  <c r="BK394" i="18"/>
  <c r="BJ394" i="18"/>
  <c r="BI394" i="18"/>
  <c r="BH394" i="18"/>
  <c r="BG394" i="18"/>
  <c r="BF394" i="18"/>
  <c r="BE394" i="18"/>
  <c r="BD394" i="18"/>
  <c r="BC394" i="18"/>
  <c r="BB394" i="18"/>
  <c r="BA394" i="18"/>
  <c r="AZ394" i="18"/>
  <c r="AY394" i="18"/>
  <c r="AX394" i="18"/>
  <c r="AW394" i="18"/>
  <c r="AV394" i="18"/>
  <c r="AU394" i="18"/>
  <c r="AT394" i="18"/>
  <c r="AS394" i="18"/>
  <c r="AR394" i="18"/>
  <c r="AQ394" i="18"/>
  <c r="AP394" i="18"/>
  <c r="AO394" i="18"/>
  <c r="AN394" i="18"/>
  <c r="AM394" i="18"/>
  <c r="AL394" i="18"/>
  <c r="AK394" i="18"/>
  <c r="AJ394" i="18"/>
  <c r="AI394" i="18"/>
  <c r="AH394" i="18"/>
  <c r="AG394" i="18"/>
  <c r="AF394" i="18"/>
  <c r="AE394" i="18"/>
  <c r="AD394" i="18"/>
  <c r="AC394" i="18"/>
  <c r="AB394" i="18"/>
  <c r="AA394" i="18"/>
  <c r="Z394" i="18"/>
  <c r="Y394" i="18"/>
  <c r="X394" i="18"/>
  <c r="W394" i="18"/>
  <c r="V394" i="18"/>
  <c r="U394" i="18"/>
  <c r="T394" i="18"/>
  <c r="S394" i="18"/>
  <c r="R394" i="18"/>
  <c r="Q394" i="18"/>
  <c r="P394" i="18"/>
  <c r="O394" i="18"/>
  <c r="N394" i="18"/>
  <c r="M394" i="18"/>
  <c r="L394" i="18"/>
  <c r="K394" i="18"/>
  <c r="J394" i="18"/>
  <c r="I394" i="18"/>
  <c r="H394" i="18"/>
  <c r="G394" i="18"/>
  <c r="F394" i="18"/>
  <c r="E394" i="18"/>
  <c r="D394" i="18"/>
  <c r="C394" i="18"/>
  <c r="B394" i="18"/>
  <c r="A394" i="18"/>
  <c r="CU393" i="18"/>
  <c r="CT393" i="18"/>
  <c r="CS393" i="18"/>
  <c r="CR393" i="18"/>
  <c r="CI393" i="18"/>
  <c r="CH393" i="18"/>
  <c r="CG393" i="18"/>
  <c r="CF393" i="18"/>
  <c r="CE393" i="18"/>
  <c r="CD393" i="18"/>
  <c r="CC393" i="18"/>
  <c r="CB393" i="18"/>
  <c r="CA393" i="18"/>
  <c r="BZ393" i="18"/>
  <c r="BY393" i="18"/>
  <c r="BD393" i="18"/>
  <c r="BC393" i="18"/>
  <c r="BB393" i="18"/>
  <c r="BA393" i="18"/>
  <c r="AZ393" i="18"/>
  <c r="AY393" i="18"/>
  <c r="AX393" i="18"/>
  <c r="AW393" i="18"/>
  <c r="AV393" i="18"/>
  <c r="AU393" i="18"/>
  <c r="AT393" i="18"/>
  <c r="AS393" i="18"/>
  <c r="AR393" i="18"/>
  <c r="AQ393" i="18"/>
  <c r="AP393" i="18"/>
  <c r="AO393" i="18"/>
  <c r="AN393" i="18"/>
  <c r="AM393" i="18"/>
  <c r="AL393" i="18"/>
  <c r="AK393" i="18"/>
  <c r="AJ393" i="18"/>
  <c r="AI393" i="18"/>
  <c r="AH393" i="18"/>
  <c r="AG393" i="18"/>
  <c r="AF393" i="18"/>
  <c r="AE393" i="18"/>
  <c r="AD393" i="18"/>
  <c r="AC393" i="18"/>
  <c r="AB393" i="18"/>
  <c r="AA393" i="18"/>
  <c r="Z393" i="18"/>
  <c r="Y393" i="18"/>
  <c r="X393" i="18"/>
  <c r="W393" i="18"/>
  <c r="V393" i="18"/>
  <c r="U393" i="18"/>
  <c r="T393" i="18"/>
  <c r="S393" i="18"/>
  <c r="R393" i="18"/>
  <c r="Q393" i="18"/>
  <c r="P393" i="18"/>
  <c r="O393" i="18"/>
  <c r="N393" i="18"/>
  <c r="M393" i="18"/>
  <c r="L393" i="18"/>
  <c r="K393" i="18"/>
  <c r="J393" i="18"/>
  <c r="I393" i="18"/>
  <c r="H393" i="18"/>
  <c r="G393" i="18"/>
  <c r="F393" i="18"/>
  <c r="E393" i="18"/>
  <c r="D393" i="18"/>
  <c r="C393" i="18"/>
  <c r="B393" i="18"/>
  <c r="A393" i="18"/>
  <c r="CU392" i="18"/>
  <c r="CT392" i="18"/>
  <c r="CS392" i="18"/>
  <c r="CR392" i="18"/>
  <c r="CI392" i="18"/>
  <c r="CH392" i="18"/>
  <c r="CG392" i="18"/>
  <c r="CF392" i="18"/>
  <c r="CE392" i="18"/>
  <c r="CD392" i="18"/>
  <c r="CC392" i="18"/>
  <c r="CB392" i="18"/>
  <c r="CA392" i="18"/>
  <c r="BZ392" i="18"/>
  <c r="BY392" i="18"/>
  <c r="AZ392" i="18"/>
  <c r="AY392" i="18"/>
  <c r="AX392" i="18"/>
  <c r="AW392" i="18"/>
  <c r="AV392" i="18"/>
  <c r="AU392" i="18"/>
  <c r="AT392" i="18"/>
  <c r="AS392" i="18"/>
  <c r="AR392" i="18"/>
  <c r="AQ392" i="18"/>
  <c r="AP392" i="18"/>
  <c r="AO392" i="18"/>
  <c r="AN392" i="18"/>
  <c r="AM392" i="18"/>
  <c r="AL392" i="18"/>
  <c r="AK392" i="18"/>
  <c r="AJ392" i="18"/>
  <c r="AI392" i="18"/>
  <c r="AH392" i="18"/>
  <c r="AG392" i="18"/>
  <c r="AF392" i="18"/>
  <c r="AE392" i="18"/>
  <c r="AD392" i="18"/>
  <c r="AC392" i="18"/>
  <c r="AB392" i="18"/>
  <c r="AA392" i="18"/>
  <c r="Z392" i="18"/>
  <c r="Y392" i="18"/>
  <c r="X392" i="18"/>
  <c r="W392" i="18"/>
  <c r="V392" i="18"/>
  <c r="U392" i="18"/>
  <c r="T392" i="18"/>
  <c r="S392" i="18"/>
  <c r="R392" i="18"/>
  <c r="Q392" i="18"/>
  <c r="P392" i="18"/>
  <c r="O392" i="18"/>
  <c r="N392" i="18"/>
  <c r="M392" i="18"/>
  <c r="L392" i="18"/>
  <c r="K392" i="18"/>
  <c r="J392" i="18"/>
  <c r="I392" i="18"/>
  <c r="H392" i="18"/>
  <c r="G392" i="18"/>
  <c r="F392" i="18"/>
  <c r="E392" i="18"/>
  <c r="D392" i="18"/>
  <c r="C392" i="18"/>
  <c r="B392" i="18"/>
  <c r="A392" i="18"/>
  <c r="CU391" i="18"/>
  <c r="CT391" i="18"/>
  <c r="CS391" i="18"/>
  <c r="CR391" i="18"/>
  <c r="CI391" i="18"/>
  <c r="CH391" i="18"/>
  <c r="CG391" i="18"/>
  <c r="CF391" i="18"/>
  <c r="CE391" i="18"/>
  <c r="CD391" i="18"/>
  <c r="CC391" i="18"/>
  <c r="CB391" i="18"/>
  <c r="CA391" i="18"/>
  <c r="BZ391" i="18"/>
  <c r="BY391" i="18"/>
  <c r="AZ391" i="18"/>
  <c r="AY391" i="18"/>
  <c r="AX391" i="18"/>
  <c r="AW391" i="18"/>
  <c r="AV391" i="18"/>
  <c r="AU391" i="18"/>
  <c r="AT391" i="18"/>
  <c r="AS391" i="18"/>
  <c r="AR391" i="18"/>
  <c r="AQ391" i="18"/>
  <c r="AP391" i="18"/>
  <c r="AO391" i="18"/>
  <c r="AN391" i="18"/>
  <c r="AM391" i="18"/>
  <c r="AL391" i="18"/>
  <c r="AK391" i="18"/>
  <c r="AJ391" i="18"/>
  <c r="AI391" i="18"/>
  <c r="AH391" i="18"/>
  <c r="AG391" i="18"/>
  <c r="AF391" i="18"/>
  <c r="AE391" i="18"/>
  <c r="AD391" i="18"/>
  <c r="AC391" i="18"/>
  <c r="AB391" i="18"/>
  <c r="AA391" i="18"/>
  <c r="Z391" i="18"/>
  <c r="Y391" i="18"/>
  <c r="X391" i="18"/>
  <c r="W391" i="18"/>
  <c r="V391" i="18"/>
  <c r="U391" i="18"/>
  <c r="T391" i="18"/>
  <c r="S391" i="18"/>
  <c r="R391" i="18"/>
  <c r="Q391" i="18"/>
  <c r="P391" i="18"/>
  <c r="O391" i="18"/>
  <c r="N391" i="18"/>
  <c r="M391" i="18"/>
  <c r="L391" i="18"/>
  <c r="K391" i="18"/>
  <c r="J391" i="18"/>
  <c r="I391" i="18"/>
  <c r="H391" i="18"/>
  <c r="G391" i="18"/>
  <c r="F391" i="18"/>
  <c r="E391" i="18"/>
  <c r="D391" i="18"/>
  <c r="C391" i="18"/>
  <c r="B391" i="18"/>
  <c r="A391" i="18"/>
  <c r="CU390" i="18"/>
  <c r="CT390" i="18"/>
  <c r="CS390" i="18"/>
  <c r="CR390" i="18"/>
  <c r="CP390" i="18"/>
  <c r="CO390" i="18"/>
  <c r="CN390" i="18"/>
  <c r="CM390" i="18"/>
  <c r="CL390" i="18"/>
  <c r="CK390" i="18"/>
  <c r="CJ390" i="18"/>
  <c r="CI390" i="18"/>
  <c r="CH390" i="18"/>
  <c r="CG390" i="18"/>
  <c r="CF390" i="18"/>
  <c r="CE390" i="18"/>
  <c r="CD390" i="18"/>
  <c r="CC390" i="18"/>
  <c r="CB390" i="18"/>
  <c r="CA390" i="18"/>
  <c r="BZ390" i="18"/>
  <c r="BY390" i="18"/>
  <c r="BT390" i="18"/>
  <c r="BS390" i="18"/>
  <c r="BR390" i="18"/>
  <c r="BQ390" i="18"/>
  <c r="BP390" i="18"/>
  <c r="BO390" i="18"/>
  <c r="BN390" i="18"/>
  <c r="BM390" i="18"/>
  <c r="BL390" i="18"/>
  <c r="BK390" i="18"/>
  <c r="BJ390" i="18"/>
  <c r="BI390" i="18"/>
  <c r="BH390" i="18"/>
  <c r="BG390" i="18"/>
  <c r="BF390" i="18"/>
  <c r="BE390" i="18"/>
  <c r="BD390" i="18"/>
  <c r="BC390" i="18"/>
  <c r="BB390" i="18"/>
  <c r="BA390" i="18"/>
  <c r="AZ390" i="18"/>
  <c r="AY390" i="18"/>
  <c r="AX390" i="18"/>
  <c r="AW390" i="18"/>
  <c r="AV390" i="18"/>
  <c r="AU390" i="18"/>
  <c r="AT390" i="18"/>
  <c r="AS390" i="18"/>
  <c r="AR390" i="18"/>
  <c r="AQ390" i="18"/>
  <c r="AP390" i="18"/>
  <c r="AO390" i="18"/>
  <c r="AN390" i="18"/>
  <c r="AM390" i="18"/>
  <c r="AL390" i="18"/>
  <c r="AK390" i="18"/>
  <c r="AJ390" i="18"/>
  <c r="AI390" i="18"/>
  <c r="AH390" i="18"/>
  <c r="AG390" i="18"/>
  <c r="AF390" i="18"/>
  <c r="AE390" i="18"/>
  <c r="AD390" i="18"/>
  <c r="AC390" i="18"/>
  <c r="AB390" i="18"/>
  <c r="AA390" i="18"/>
  <c r="Z390" i="18"/>
  <c r="Y390" i="18"/>
  <c r="X390" i="18"/>
  <c r="W390" i="18"/>
  <c r="V390" i="18"/>
  <c r="U390" i="18"/>
  <c r="T390" i="18"/>
  <c r="S390" i="18"/>
  <c r="R390" i="18"/>
  <c r="Q390" i="18"/>
  <c r="P390" i="18"/>
  <c r="O390" i="18"/>
  <c r="N390" i="18"/>
  <c r="M390" i="18"/>
  <c r="L390" i="18"/>
  <c r="K390" i="18"/>
  <c r="J390" i="18"/>
  <c r="I390" i="18"/>
  <c r="H390" i="18"/>
  <c r="G390" i="18"/>
  <c r="F390" i="18"/>
  <c r="E390" i="18"/>
  <c r="D390" i="18"/>
  <c r="C390" i="18"/>
  <c r="B390" i="18"/>
  <c r="A390" i="18"/>
  <c r="CU389" i="18"/>
  <c r="CT389" i="18"/>
  <c r="CS389" i="18"/>
  <c r="CR389" i="18"/>
  <c r="CO389" i="18"/>
  <c r="CN389" i="18"/>
  <c r="CM389" i="18"/>
  <c r="CL389" i="18"/>
  <c r="CK389" i="18"/>
  <c r="CJ389" i="18"/>
  <c r="CI389" i="18"/>
  <c r="CH389" i="18"/>
  <c r="CG389" i="18"/>
  <c r="CF389" i="18"/>
  <c r="CE389" i="18"/>
  <c r="CD389" i="18"/>
  <c r="CC389" i="18"/>
  <c r="CB389" i="18"/>
  <c r="CA389" i="18"/>
  <c r="BZ389" i="18"/>
  <c r="BY389" i="18"/>
  <c r="BT389" i="18"/>
  <c r="BS389" i="18"/>
  <c r="BR389" i="18"/>
  <c r="BQ389" i="18"/>
  <c r="BP389" i="18"/>
  <c r="BO389" i="18"/>
  <c r="BN389" i="18"/>
  <c r="BM389" i="18"/>
  <c r="BL389" i="18"/>
  <c r="BK389" i="18"/>
  <c r="BJ389" i="18"/>
  <c r="BI389" i="18"/>
  <c r="BH389" i="18"/>
  <c r="BG389" i="18"/>
  <c r="BF389" i="18"/>
  <c r="BE389" i="18"/>
  <c r="BD389" i="18"/>
  <c r="BC389" i="18"/>
  <c r="BB389" i="18"/>
  <c r="BA389" i="18"/>
  <c r="AZ389" i="18"/>
  <c r="AY389" i="18"/>
  <c r="AX389" i="18"/>
  <c r="AW389" i="18"/>
  <c r="AV389" i="18"/>
  <c r="AU389" i="18"/>
  <c r="AT389" i="18"/>
  <c r="AS389" i="18"/>
  <c r="AR389" i="18"/>
  <c r="AQ389" i="18"/>
  <c r="AP389" i="18"/>
  <c r="AO389" i="18"/>
  <c r="AN389" i="18"/>
  <c r="AM389" i="18"/>
  <c r="AL389" i="18"/>
  <c r="AK389" i="18"/>
  <c r="AJ389" i="18"/>
  <c r="AI389" i="18"/>
  <c r="AH389" i="18"/>
  <c r="AG389" i="18"/>
  <c r="AF389" i="18"/>
  <c r="AE389" i="18"/>
  <c r="AD389" i="18"/>
  <c r="AC389" i="18"/>
  <c r="AB389" i="18"/>
  <c r="AA389" i="18"/>
  <c r="Z389" i="18"/>
  <c r="Y389" i="18"/>
  <c r="X389" i="18"/>
  <c r="W389" i="18"/>
  <c r="V389" i="18"/>
  <c r="U389" i="18"/>
  <c r="T389" i="18"/>
  <c r="S389" i="18"/>
  <c r="R389" i="18"/>
  <c r="Q389" i="18"/>
  <c r="P389" i="18"/>
  <c r="O389" i="18"/>
  <c r="N389" i="18"/>
  <c r="M389" i="18"/>
  <c r="L389" i="18"/>
  <c r="K389" i="18"/>
  <c r="J389" i="18"/>
  <c r="I389" i="18"/>
  <c r="H389" i="18"/>
  <c r="G389" i="18"/>
  <c r="F389" i="18"/>
  <c r="E389" i="18"/>
  <c r="D389" i="18"/>
  <c r="C389" i="18"/>
  <c r="B389" i="18"/>
  <c r="A389" i="18"/>
  <c r="CU388" i="18"/>
  <c r="CT388" i="18"/>
  <c r="CS388" i="18"/>
  <c r="CR388" i="18"/>
  <c r="CM388" i="18"/>
  <c r="CL388" i="18"/>
  <c r="CK388" i="18"/>
  <c r="CJ388" i="18"/>
  <c r="CI388" i="18"/>
  <c r="CH388" i="18"/>
  <c r="CG388" i="18"/>
  <c r="CF388" i="18"/>
  <c r="CE388" i="18"/>
  <c r="CD388" i="18"/>
  <c r="CC388" i="18"/>
  <c r="CB388" i="18"/>
  <c r="CA388" i="18"/>
  <c r="BZ388" i="18"/>
  <c r="BY388" i="18"/>
  <c r="BP388" i="18"/>
  <c r="BO388" i="18"/>
  <c r="BN388" i="18"/>
  <c r="BM388" i="18"/>
  <c r="BL388" i="18"/>
  <c r="BK388" i="18"/>
  <c r="BJ388" i="18"/>
  <c r="BI388" i="18"/>
  <c r="BH388" i="18"/>
  <c r="BG388" i="18"/>
  <c r="BF388" i="18"/>
  <c r="BE388" i="18"/>
  <c r="BD388" i="18"/>
  <c r="BC388" i="18"/>
  <c r="BB388" i="18"/>
  <c r="BA388" i="18"/>
  <c r="AZ388" i="18"/>
  <c r="AY388" i="18"/>
  <c r="AX388" i="18"/>
  <c r="AW388" i="18"/>
  <c r="AV388" i="18"/>
  <c r="AU388" i="18"/>
  <c r="AT388" i="18"/>
  <c r="AS388" i="18"/>
  <c r="AR388" i="18"/>
  <c r="AQ388" i="18"/>
  <c r="AP388" i="18"/>
  <c r="AO388" i="18"/>
  <c r="AN388" i="18"/>
  <c r="AM388" i="18"/>
  <c r="AL388" i="18"/>
  <c r="AK388" i="18"/>
  <c r="AJ388" i="18"/>
  <c r="AI388" i="18"/>
  <c r="AH388" i="18"/>
  <c r="AG388" i="18"/>
  <c r="AF388" i="18"/>
  <c r="AE388" i="18"/>
  <c r="AD388" i="18"/>
  <c r="AC388" i="18"/>
  <c r="AB388" i="18"/>
  <c r="AA388" i="18"/>
  <c r="Z388" i="18"/>
  <c r="Y388" i="18"/>
  <c r="X388" i="18"/>
  <c r="W388" i="18"/>
  <c r="V388" i="18"/>
  <c r="U388" i="18"/>
  <c r="T388" i="18"/>
  <c r="S388" i="18"/>
  <c r="R388" i="18"/>
  <c r="Q388" i="18"/>
  <c r="P388" i="18"/>
  <c r="O388" i="18"/>
  <c r="N388" i="18"/>
  <c r="M388" i="18"/>
  <c r="L388" i="18"/>
  <c r="K388" i="18"/>
  <c r="J388" i="18"/>
  <c r="I388" i="18"/>
  <c r="H388" i="18"/>
  <c r="G388" i="18"/>
  <c r="F388" i="18"/>
  <c r="E388" i="18"/>
  <c r="D388" i="18"/>
  <c r="C388" i="18"/>
  <c r="B388" i="18"/>
  <c r="A388" i="18"/>
  <c r="CU387" i="18"/>
  <c r="CT387" i="18"/>
  <c r="CS387" i="18"/>
  <c r="CR387" i="18"/>
  <c r="CI387" i="18"/>
  <c r="CH387" i="18"/>
  <c r="CG387" i="18"/>
  <c r="CF387" i="18"/>
  <c r="CE387" i="18"/>
  <c r="CD387" i="18"/>
  <c r="CC387" i="18"/>
  <c r="CB387" i="18"/>
  <c r="CA387" i="18"/>
  <c r="BZ387" i="18"/>
  <c r="BY387" i="18"/>
  <c r="AZ387" i="18"/>
  <c r="AY387" i="18"/>
  <c r="AX387" i="18"/>
  <c r="AW387" i="18"/>
  <c r="AV387" i="18"/>
  <c r="AU387" i="18"/>
  <c r="AT387" i="18"/>
  <c r="AS387" i="18"/>
  <c r="AR387" i="18"/>
  <c r="AQ387" i="18"/>
  <c r="AP387" i="18"/>
  <c r="AO387" i="18"/>
  <c r="AN387" i="18"/>
  <c r="AM387" i="18"/>
  <c r="AL387" i="18"/>
  <c r="AK387" i="18"/>
  <c r="AJ387" i="18"/>
  <c r="AI387" i="18"/>
  <c r="AH387" i="18"/>
  <c r="AG387" i="18"/>
  <c r="AF387" i="18"/>
  <c r="AE387" i="18"/>
  <c r="AD387" i="18"/>
  <c r="AC387" i="18"/>
  <c r="AB387" i="18"/>
  <c r="AA387" i="18"/>
  <c r="Z387" i="18"/>
  <c r="Y387" i="18"/>
  <c r="X387" i="18"/>
  <c r="W387" i="18"/>
  <c r="V387" i="18"/>
  <c r="U387" i="18"/>
  <c r="T387" i="18"/>
  <c r="S387" i="18"/>
  <c r="R387" i="18"/>
  <c r="Q387" i="18"/>
  <c r="P387" i="18"/>
  <c r="O387" i="18"/>
  <c r="N387" i="18"/>
  <c r="M387" i="18"/>
  <c r="L387" i="18"/>
  <c r="K387" i="18"/>
  <c r="J387" i="18"/>
  <c r="I387" i="18"/>
  <c r="H387" i="18"/>
  <c r="G387" i="18"/>
  <c r="F387" i="18"/>
  <c r="E387" i="18"/>
  <c r="D387" i="18"/>
  <c r="C387" i="18"/>
  <c r="B387" i="18"/>
  <c r="A387" i="18"/>
  <c r="CU386" i="18"/>
  <c r="CT386" i="18"/>
  <c r="CS386" i="18"/>
  <c r="CR386" i="18"/>
  <c r="CI386" i="18"/>
  <c r="CH386" i="18"/>
  <c r="CG386" i="18"/>
  <c r="CF386" i="18"/>
  <c r="CE386" i="18"/>
  <c r="CD386" i="18"/>
  <c r="CC386" i="18"/>
  <c r="CB386" i="18"/>
  <c r="CA386" i="18"/>
  <c r="BZ386" i="18"/>
  <c r="BY386" i="18"/>
  <c r="AZ386" i="18"/>
  <c r="AY386" i="18"/>
  <c r="AX386" i="18"/>
  <c r="AW386" i="18"/>
  <c r="AV386" i="18"/>
  <c r="AU386" i="18"/>
  <c r="AT386" i="18"/>
  <c r="AS386" i="18"/>
  <c r="AR386" i="18"/>
  <c r="AQ386" i="18"/>
  <c r="AP386" i="18"/>
  <c r="AO386" i="18"/>
  <c r="AN386" i="18"/>
  <c r="AM386" i="18"/>
  <c r="AL386" i="18"/>
  <c r="AK386" i="18"/>
  <c r="AJ386" i="18"/>
  <c r="AI386" i="18"/>
  <c r="AH386" i="18"/>
  <c r="AG386" i="18"/>
  <c r="AF386" i="18"/>
  <c r="AE386" i="18"/>
  <c r="AD386" i="18"/>
  <c r="AC386" i="18"/>
  <c r="AB386" i="18"/>
  <c r="AA386" i="18"/>
  <c r="Z386" i="18"/>
  <c r="Y386" i="18"/>
  <c r="X386" i="18"/>
  <c r="W386" i="18"/>
  <c r="V386" i="18"/>
  <c r="U386" i="18"/>
  <c r="T386" i="18"/>
  <c r="S386" i="18"/>
  <c r="R386" i="18"/>
  <c r="Q386" i="18"/>
  <c r="P386" i="18"/>
  <c r="O386" i="18"/>
  <c r="N386" i="18"/>
  <c r="M386" i="18"/>
  <c r="L386" i="18"/>
  <c r="K386" i="18"/>
  <c r="J386" i="18"/>
  <c r="I386" i="18"/>
  <c r="H386" i="18"/>
  <c r="G386" i="18"/>
  <c r="F386" i="18"/>
  <c r="E386" i="18"/>
  <c r="D386" i="18"/>
  <c r="C386" i="18"/>
  <c r="B386" i="18"/>
  <c r="A386" i="18"/>
  <c r="CU385" i="18"/>
  <c r="CT385" i="18"/>
  <c r="CS385" i="18"/>
  <c r="CR385" i="18"/>
  <c r="CQ385" i="18"/>
  <c r="CP385" i="18"/>
  <c r="CO385" i="18"/>
  <c r="CN385" i="18"/>
  <c r="CM385" i="18"/>
  <c r="CL385" i="18"/>
  <c r="CK385" i="18"/>
  <c r="CJ385" i="18"/>
  <c r="CI385" i="18"/>
  <c r="CH385" i="18"/>
  <c r="CG385" i="18"/>
  <c r="CF385" i="18"/>
  <c r="CE385" i="18"/>
  <c r="CD385" i="18"/>
  <c r="CC385" i="18"/>
  <c r="CB385" i="18"/>
  <c r="CA385" i="18"/>
  <c r="BZ385" i="18"/>
  <c r="BY385" i="18"/>
  <c r="BX385" i="18"/>
  <c r="BW385" i="18"/>
  <c r="BV385" i="18"/>
  <c r="BU385" i="18"/>
  <c r="BT385" i="18"/>
  <c r="BS385" i="18"/>
  <c r="BR385" i="18"/>
  <c r="BQ385" i="18"/>
  <c r="BP385" i="18"/>
  <c r="BO385" i="18"/>
  <c r="BN385" i="18"/>
  <c r="BM385" i="18"/>
  <c r="BL385" i="18"/>
  <c r="BK385" i="18"/>
  <c r="BJ385" i="18"/>
  <c r="BI385" i="18"/>
  <c r="BH385" i="18"/>
  <c r="BG385" i="18"/>
  <c r="BF385" i="18"/>
  <c r="BE385" i="18"/>
  <c r="BD385" i="18"/>
  <c r="BC385" i="18"/>
  <c r="BB385" i="18"/>
  <c r="BA385" i="18"/>
  <c r="AZ385" i="18"/>
  <c r="AY385" i="18"/>
  <c r="AX385" i="18"/>
  <c r="AW385" i="18"/>
  <c r="AV385" i="18"/>
  <c r="AU385" i="18"/>
  <c r="AT385" i="18"/>
  <c r="AS385" i="18"/>
  <c r="AR385" i="18"/>
  <c r="AQ385" i="18"/>
  <c r="AP385" i="18"/>
  <c r="AO385" i="18"/>
  <c r="AN385" i="18"/>
  <c r="AM385" i="18"/>
  <c r="AL385" i="18"/>
  <c r="AK385" i="18"/>
  <c r="AJ385" i="18"/>
  <c r="AI385" i="18"/>
  <c r="AH385" i="18"/>
  <c r="AG385" i="18"/>
  <c r="AF385" i="18"/>
  <c r="AE385" i="18"/>
  <c r="AD385" i="18"/>
  <c r="AC385" i="18"/>
  <c r="AB385" i="18"/>
  <c r="AA385" i="18"/>
  <c r="Z385" i="18"/>
  <c r="Y385" i="18"/>
  <c r="X385" i="18"/>
  <c r="W385" i="18"/>
  <c r="V385" i="18"/>
  <c r="U385" i="18"/>
  <c r="T385" i="18"/>
  <c r="S385" i="18"/>
  <c r="R385" i="18"/>
  <c r="Q385" i="18"/>
  <c r="P385" i="18"/>
  <c r="O385" i="18"/>
  <c r="N385" i="18"/>
  <c r="M385" i="18"/>
  <c r="L385" i="18"/>
  <c r="K385" i="18"/>
  <c r="J385" i="18"/>
  <c r="I385" i="18"/>
  <c r="H385" i="18"/>
  <c r="G385" i="18"/>
  <c r="F385" i="18"/>
  <c r="E385" i="18"/>
  <c r="D385" i="18"/>
  <c r="C385" i="18"/>
  <c r="B385" i="18"/>
  <c r="A385" i="18"/>
  <c r="CU384" i="18"/>
  <c r="CT384" i="18"/>
  <c r="CS384" i="18"/>
  <c r="CR384" i="18"/>
  <c r="CQ384" i="18"/>
  <c r="CP384" i="18"/>
  <c r="CO384" i="18"/>
  <c r="CN384" i="18"/>
  <c r="CM384" i="18"/>
  <c r="CL384" i="18"/>
  <c r="CK384" i="18"/>
  <c r="CJ384" i="18"/>
  <c r="CI384" i="18"/>
  <c r="CH384" i="18"/>
  <c r="CG384" i="18"/>
  <c r="CF384" i="18"/>
  <c r="CE384" i="18"/>
  <c r="CD384" i="18"/>
  <c r="CC384" i="18"/>
  <c r="CB384" i="18"/>
  <c r="CA384" i="18"/>
  <c r="BZ384" i="18"/>
  <c r="BY384" i="18"/>
  <c r="BX384" i="18"/>
  <c r="BW384" i="18"/>
  <c r="BV384" i="18"/>
  <c r="BU384" i="18"/>
  <c r="BT384" i="18"/>
  <c r="BS384" i="18"/>
  <c r="BR384" i="18"/>
  <c r="BQ384" i="18"/>
  <c r="BP384" i="18"/>
  <c r="BO384" i="18"/>
  <c r="BN384" i="18"/>
  <c r="BM384" i="18"/>
  <c r="BL384" i="18"/>
  <c r="BK384" i="18"/>
  <c r="BJ384" i="18"/>
  <c r="BI384" i="18"/>
  <c r="BH384" i="18"/>
  <c r="BG384" i="18"/>
  <c r="BF384" i="18"/>
  <c r="BE384" i="18"/>
  <c r="BD384" i="18"/>
  <c r="BC384" i="18"/>
  <c r="BB384" i="18"/>
  <c r="BA384" i="18"/>
  <c r="AZ384" i="18"/>
  <c r="AY384" i="18"/>
  <c r="AX384" i="18"/>
  <c r="AW384" i="18"/>
  <c r="AV384" i="18"/>
  <c r="AU384" i="18"/>
  <c r="AT384" i="18"/>
  <c r="AS384" i="18"/>
  <c r="AR384" i="18"/>
  <c r="AQ384" i="18"/>
  <c r="AP384" i="18"/>
  <c r="AO384" i="18"/>
  <c r="AN384" i="18"/>
  <c r="AM384" i="18"/>
  <c r="AL384" i="18"/>
  <c r="AK384" i="18"/>
  <c r="AJ384" i="18"/>
  <c r="AI384" i="18"/>
  <c r="AH384" i="18"/>
  <c r="AG384" i="18"/>
  <c r="AF384" i="18"/>
  <c r="AE384" i="18"/>
  <c r="AD384" i="18"/>
  <c r="AC384" i="18"/>
  <c r="AB384" i="18"/>
  <c r="AA384" i="18"/>
  <c r="Z384" i="18"/>
  <c r="Y384" i="18"/>
  <c r="X384" i="18"/>
  <c r="W384" i="18"/>
  <c r="V384" i="18"/>
  <c r="U384" i="18"/>
  <c r="T384" i="18"/>
  <c r="S384" i="18"/>
  <c r="R384" i="18"/>
  <c r="Q384" i="18"/>
  <c r="P384" i="18"/>
  <c r="O384" i="18"/>
  <c r="N384" i="18"/>
  <c r="M384" i="18"/>
  <c r="L384" i="18"/>
  <c r="K384" i="18"/>
  <c r="J384" i="18"/>
  <c r="I384" i="18"/>
  <c r="H384" i="18"/>
  <c r="G384" i="18"/>
  <c r="F384" i="18"/>
  <c r="E384" i="18"/>
  <c r="D384" i="18"/>
  <c r="C384" i="18"/>
  <c r="B384" i="18"/>
  <c r="A384" i="18"/>
  <c r="CU383" i="18"/>
  <c r="CT383" i="18"/>
  <c r="CS383" i="18"/>
  <c r="CR383" i="18"/>
  <c r="CQ383" i="18"/>
  <c r="CP383" i="18"/>
  <c r="CO383" i="18"/>
  <c r="CN383" i="18"/>
  <c r="CM383" i="18"/>
  <c r="CL383" i="18"/>
  <c r="CK383" i="18"/>
  <c r="CJ383" i="18"/>
  <c r="CI383" i="18"/>
  <c r="CH383" i="18"/>
  <c r="CG383" i="18"/>
  <c r="CF383" i="18"/>
  <c r="CE383" i="18"/>
  <c r="CD383" i="18"/>
  <c r="CC383" i="18"/>
  <c r="CB383" i="18"/>
  <c r="CA383" i="18"/>
  <c r="BZ383" i="18"/>
  <c r="BY383" i="18"/>
  <c r="BX383" i="18"/>
  <c r="BW383" i="18"/>
  <c r="BV383" i="18"/>
  <c r="BU383" i="18"/>
  <c r="BT383" i="18"/>
  <c r="BS383" i="18"/>
  <c r="BR383" i="18"/>
  <c r="BQ383" i="18"/>
  <c r="BP383" i="18"/>
  <c r="BO383" i="18"/>
  <c r="BN383" i="18"/>
  <c r="BM383" i="18"/>
  <c r="BL383" i="18"/>
  <c r="BK383" i="18"/>
  <c r="BJ383" i="18"/>
  <c r="BI383" i="18"/>
  <c r="BH383" i="18"/>
  <c r="BG383" i="18"/>
  <c r="BF383" i="18"/>
  <c r="BE383" i="18"/>
  <c r="BD383" i="18"/>
  <c r="BC383" i="18"/>
  <c r="BB383" i="18"/>
  <c r="BA383" i="18"/>
  <c r="AZ383" i="18"/>
  <c r="AY383" i="18"/>
  <c r="AX383" i="18"/>
  <c r="AW383" i="18"/>
  <c r="AV383" i="18"/>
  <c r="AU383" i="18"/>
  <c r="AT383" i="18"/>
  <c r="AS383" i="18"/>
  <c r="AR383" i="18"/>
  <c r="AQ383" i="18"/>
  <c r="AP383" i="18"/>
  <c r="AO383" i="18"/>
  <c r="AN383" i="18"/>
  <c r="AM383" i="18"/>
  <c r="AL383" i="18"/>
  <c r="AK383" i="18"/>
  <c r="AJ383" i="18"/>
  <c r="AI383" i="18"/>
  <c r="AH383" i="18"/>
  <c r="AG383" i="18"/>
  <c r="AF383" i="18"/>
  <c r="AE383" i="18"/>
  <c r="AD383" i="18"/>
  <c r="AC383" i="18"/>
  <c r="AB383" i="18"/>
  <c r="AA383" i="18"/>
  <c r="Z383" i="18"/>
  <c r="Y383" i="18"/>
  <c r="X383" i="18"/>
  <c r="W383" i="18"/>
  <c r="V383" i="18"/>
  <c r="U383" i="18"/>
  <c r="T383" i="18"/>
  <c r="S383" i="18"/>
  <c r="R383" i="18"/>
  <c r="Q383" i="18"/>
  <c r="P383" i="18"/>
  <c r="O383" i="18"/>
  <c r="N383" i="18"/>
  <c r="M383" i="18"/>
  <c r="L383" i="18"/>
  <c r="K383" i="18"/>
  <c r="J383" i="18"/>
  <c r="I383" i="18"/>
  <c r="H383" i="18"/>
  <c r="G383" i="18"/>
  <c r="F383" i="18"/>
  <c r="E383" i="18"/>
  <c r="D383" i="18"/>
  <c r="C383" i="18"/>
  <c r="B383" i="18"/>
  <c r="A383" i="18"/>
  <c r="CU382" i="18"/>
  <c r="CT382" i="18"/>
  <c r="CS382" i="18"/>
  <c r="CR382" i="18"/>
  <c r="CJ382" i="18"/>
  <c r="CI382" i="18"/>
  <c r="CH382" i="18"/>
  <c r="CG382" i="18"/>
  <c r="CF382" i="18"/>
  <c r="CE382" i="18"/>
  <c r="CD382" i="18"/>
  <c r="CC382" i="18"/>
  <c r="CB382" i="18"/>
  <c r="CA382" i="18"/>
  <c r="BZ382" i="18"/>
  <c r="BY382" i="18"/>
  <c r="AR382" i="18"/>
  <c r="AQ382" i="18"/>
  <c r="AP382" i="18"/>
  <c r="AO382" i="18"/>
  <c r="AN382" i="18"/>
  <c r="AM382" i="18"/>
  <c r="AL382" i="18"/>
  <c r="AK382" i="18"/>
  <c r="AJ382" i="18"/>
  <c r="AI382" i="18"/>
  <c r="AH382" i="18"/>
  <c r="AG382" i="18"/>
  <c r="AF382" i="18"/>
  <c r="AE382" i="18"/>
  <c r="AD382" i="18"/>
  <c r="AC382" i="18"/>
  <c r="AB382" i="18"/>
  <c r="AA382" i="18"/>
  <c r="Z382" i="18"/>
  <c r="Y382" i="18"/>
  <c r="X382" i="18"/>
  <c r="W382" i="18"/>
  <c r="V382" i="18"/>
  <c r="U382" i="18"/>
  <c r="T382" i="18"/>
  <c r="S382" i="18"/>
  <c r="R382" i="18"/>
  <c r="Q382" i="18"/>
  <c r="P382" i="18"/>
  <c r="O382" i="18"/>
  <c r="N382" i="18"/>
  <c r="M382" i="18"/>
  <c r="L382" i="18"/>
  <c r="K382" i="18"/>
  <c r="J382" i="18"/>
  <c r="I382" i="18"/>
  <c r="H382" i="18"/>
  <c r="G382" i="18"/>
  <c r="F382" i="18"/>
  <c r="E382" i="18"/>
  <c r="D382" i="18"/>
  <c r="C382" i="18"/>
  <c r="B382" i="18"/>
  <c r="A382" i="18"/>
  <c r="CU381" i="18"/>
  <c r="CT381" i="18"/>
  <c r="CS381" i="18"/>
  <c r="CR381" i="18"/>
  <c r="CI381" i="18"/>
  <c r="CH381" i="18"/>
  <c r="CG381" i="18"/>
  <c r="CF381" i="18"/>
  <c r="CE381" i="18"/>
  <c r="CD381" i="18"/>
  <c r="CC381" i="18"/>
  <c r="CB381" i="18"/>
  <c r="CA381" i="18"/>
  <c r="BZ381" i="18"/>
  <c r="BY381" i="18"/>
  <c r="AR381" i="18"/>
  <c r="AQ381" i="18"/>
  <c r="AP381" i="18"/>
  <c r="AO381" i="18"/>
  <c r="AN381" i="18"/>
  <c r="AM381" i="18"/>
  <c r="AL381" i="18"/>
  <c r="AK381" i="18"/>
  <c r="AJ381" i="18"/>
  <c r="AI381" i="18"/>
  <c r="AH381" i="18"/>
  <c r="AG381" i="18"/>
  <c r="AF381" i="18"/>
  <c r="AE381" i="18"/>
  <c r="AD381" i="18"/>
  <c r="AC381" i="18"/>
  <c r="AB381" i="18"/>
  <c r="AA381" i="18"/>
  <c r="Z381" i="18"/>
  <c r="Y381" i="18"/>
  <c r="X381" i="18"/>
  <c r="W381" i="18"/>
  <c r="V381" i="18"/>
  <c r="U381" i="18"/>
  <c r="T381" i="18"/>
  <c r="S381" i="18"/>
  <c r="R381" i="18"/>
  <c r="Q381" i="18"/>
  <c r="P381" i="18"/>
  <c r="O381" i="18"/>
  <c r="N381" i="18"/>
  <c r="M381" i="18"/>
  <c r="L381" i="18"/>
  <c r="K381" i="18"/>
  <c r="J381" i="18"/>
  <c r="I381" i="18"/>
  <c r="H381" i="18"/>
  <c r="G381" i="18"/>
  <c r="F381" i="18"/>
  <c r="E381" i="18"/>
  <c r="D381" i="18"/>
  <c r="C381" i="18"/>
  <c r="B381" i="18"/>
  <c r="A381" i="18"/>
  <c r="CU380" i="18"/>
  <c r="CT380" i="18"/>
  <c r="CS380" i="18"/>
  <c r="CR380" i="18"/>
  <c r="CQ380" i="18"/>
  <c r="CP380" i="18"/>
  <c r="CO380" i="18"/>
  <c r="CN380" i="18"/>
  <c r="CM380" i="18"/>
  <c r="CL380" i="18"/>
  <c r="CK380" i="18"/>
  <c r="CJ380" i="18"/>
  <c r="CI380" i="18"/>
  <c r="CH380" i="18"/>
  <c r="CG380" i="18"/>
  <c r="CF380" i="18"/>
  <c r="CE380" i="18"/>
  <c r="CD380" i="18"/>
  <c r="CC380" i="18"/>
  <c r="CB380" i="18"/>
  <c r="CA380" i="18"/>
  <c r="BZ380" i="18"/>
  <c r="BY380" i="18"/>
  <c r="AR380" i="18"/>
  <c r="AQ380" i="18"/>
  <c r="AP380" i="18"/>
  <c r="AO380" i="18"/>
  <c r="AN380" i="18"/>
  <c r="AM380" i="18"/>
  <c r="AL380" i="18"/>
  <c r="AK380" i="18"/>
  <c r="AJ380" i="18"/>
  <c r="AI380" i="18"/>
  <c r="AH380" i="18"/>
  <c r="AG380" i="18"/>
  <c r="AF380" i="18"/>
  <c r="AE380" i="18"/>
  <c r="AD380" i="18"/>
  <c r="AC380" i="18"/>
  <c r="AB380" i="18"/>
  <c r="AA380" i="18"/>
  <c r="Z380" i="18"/>
  <c r="Y380" i="18"/>
  <c r="X380" i="18"/>
  <c r="W380" i="18"/>
  <c r="V380" i="18"/>
  <c r="U380" i="18"/>
  <c r="T380" i="18"/>
  <c r="S380" i="18"/>
  <c r="R380" i="18"/>
  <c r="Q380" i="18"/>
  <c r="P380" i="18"/>
  <c r="O380" i="18"/>
  <c r="N380" i="18"/>
  <c r="M380" i="18"/>
  <c r="L380" i="18"/>
  <c r="K380" i="18"/>
  <c r="J380" i="18"/>
  <c r="I380" i="18"/>
  <c r="H380" i="18"/>
  <c r="G380" i="18"/>
  <c r="F380" i="18"/>
  <c r="E380" i="18"/>
  <c r="D380" i="18"/>
  <c r="C380" i="18"/>
  <c r="B380" i="18"/>
  <c r="A380" i="18"/>
  <c r="CU379" i="18"/>
  <c r="CT379" i="18"/>
  <c r="CS379" i="18"/>
  <c r="CR379" i="18"/>
  <c r="CL379" i="18"/>
  <c r="CK379" i="18"/>
  <c r="CJ379" i="18"/>
  <c r="CI379" i="18"/>
  <c r="CH379" i="18"/>
  <c r="CG379" i="18"/>
  <c r="CF379" i="18"/>
  <c r="CE379" i="18"/>
  <c r="CD379" i="18"/>
  <c r="CC379" i="18"/>
  <c r="CB379" i="18"/>
  <c r="CA379" i="18"/>
  <c r="BZ379" i="18"/>
  <c r="BY379" i="18"/>
  <c r="AR379" i="18"/>
  <c r="AQ379" i="18"/>
  <c r="AP379" i="18"/>
  <c r="AO379" i="18"/>
  <c r="AN379" i="18"/>
  <c r="AM379" i="18"/>
  <c r="AL379" i="18"/>
  <c r="AK379" i="18"/>
  <c r="AJ379" i="18"/>
  <c r="AI379" i="18"/>
  <c r="AH379" i="18"/>
  <c r="AG379" i="18"/>
  <c r="AF379" i="18"/>
  <c r="AE379" i="18"/>
  <c r="AD379" i="18"/>
  <c r="AC379" i="18"/>
  <c r="AB379" i="18"/>
  <c r="AA379" i="18"/>
  <c r="Z379" i="18"/>
  <c r="Y379" i="18"/>
  <c r="X379" i="18"/>
  <c r="W379" i="18"/>
  <c r="V379" i="18"/>
  <c r="U379" i="18"/>
  <c r="T379" i="18"/>
  <c r="S379" i="18"/>
  <c r="R379" i="18"/>
  <c r="Q379" i="18"/>
  <c r="P379" i="18"/>
  <c r="O379" i="18"/>
  <c r="N379" i="18"/>
  <c r="M379" i="18"/>
  <c r="L379" i="18"/>
  <c r="K379" i="18"/>
  <c r="J379" i="18"/>
  <c r="I379" i="18"/>
  <c r="H379" i="18"/>
  <c r="G379" i="18"/>
  <c r="F379" i="18"/>
  <c r="E379" i="18"/>
  <c r="D379" i="18"/>
  <c r="C379" i="18"/>
  <c r="B379" i="18"/>
  <c r="A379" i="18"/>
  <c r="CU378" i="18"/>
  <c r="CT378" i="18"/>
  <c r="CS378" i="18"/>
  <c r="CR378" i="18"/>
  <c r="CI378" i="18"/>
  <c r="CH378" i="18"/>
  <c r="CG378" i="18"/>
  <c r="CF378" i="18"/>
  <c r="CE378" i="18"/>
  <c r="CD378" i="18"/>
  <c r="CC378" i="18"/>
  <c r="CB378" i="18"/>
  <c r="CA378" i="18"/>
  <c r="BZ378" i="18"/>
  <c r="BY378" i="18"/>
  <c r="AR378" i="18"/>
  <c r="AQ378" i="18"/>
  <c r="AP378" i="18"/>
  <c r="AO378" i="18"/>
  <c r="AN378" i="18"/>
  <c r="AM378" i="18"/>
  <c r="AL378" i="18"/>
  <c r="AK378" i="18"/>
  <c r="AJ378" i="18"/>
  <c r="AI378" i="18"/>
  <c r="AH378" i="18"/>
  <c r="AG378" i="18"/>
  <c r="AF378" i="18"/>
  <c r="AE378" i="18"/>
  <c r="AD378" i="18"/>
  <c r="AC378" i="18"/>
  <c r="AB378" i="18"/>
  <c r="AA378" i="18"/>
  <c r="Z378" i="18"/>
  <c r="Y378" i="18"/>
  <c r="X378" i="18"/>
  <c r="W378" i="18"/>
  <c r="V378" i="18"/>
  <c r="U378" i="18"/>
  <c r="T378" i="18"/>
  <c r="S378" i="18"/>
  <c r="R378" i="18"/>
  <c r="Q378" i="18"/>
  <c r="P378" i="18"/>
  <c r="O378" i="18"/>
  <c r="N378" i="18"/>
  <c r="M378" i="18"/>
  <c r="L378" i="18"/>
  <c r="K378" i="18"/>
  <c r="J378" i="18"/>
  <c r="I378" i="18"/>
  <c r="H378" i="18"/>
  <c r="G378" i="18"/>
  <c r="F378" i="18"/>
  <c r="E378" i="18"/>
  <c r="D378" i="18"/>
  <c r="C378" i="18"/>
  <c r="B378" i="18"/>
  <c r="A378" i="18"/>
  <c r="CU377" i="18"/>
  <c r="CT377" i="18"/>
  <c r="CS377" i="18"/>
  <c r="CR377" i="18"/>
  <c r="CQ377" i="18"/>
  <c r="CP377" i="18"/>
  <c r="CO377" i="18"/>
  <c r="CN377" i="18"/>
  <c r="CM377" i="18"/>
  <c r="CL377" i="18"/>
  <c r="CK377" i="18"/>
  <c r="CJ377" i="18"/>
  <c r="CI377" i="18"/>
  <c r="CH377" i="18"/>
  <c r="CG377" i="18"/>
  <c r="CF377" i="18"/>
  <c r="CE377" i="18"/>
  <c r="CD377" i="18"/>
  <c r="CC377" i="18"/>
  <c r="CB377" i="18"/>
  <c r="CA377" i="18"/>
  <c r="BZ377" i="18"/>
  <c r="BY377" i="18"/>
  <c r="BX377" i="18"/>
  <c r="BW377" i="18"/>
  <c r="BV377" i="18"/>
  <c r="BU377" i="18"/>
  <c r="BT377" i="18"/>
  <c r="BS377" i="18"/>
  <c r="BR377" i="18"/>
  <c r="BQ377" i="18"/>
  <c r="BP377" i="18"/>
  <c r="BO377" i="18"/>
  <c r="BN377" i="18"/>
  <c r="BM377" i="18"/>
  <c r="BL377" i="18"/>
  <c r="BK377" i="18"/>
  <c r="BJ377" i="18"/>
  <c r="BI377" i="18"/>
  <c r="BH377" i="18"/>
  <c r="BG377" i="18"/>
  <c r="BF377" i="18"/>
  <c r="BE377" i="18"/>
  <c r="BD377" i="18"/>
  <c r="BC377" i="18"/>
  <c r="BB377" i="18"/>
  <c r="BA377" i="18"/>
  <c r="AZ377" i="18"/>
  <c r="AY377" i="18"/>
  <c r="AX377" i="18"/>
  <c r="AW377" i="18"/>
  <c r="AV377" i="18"/>
  <c r="AU377" i="18"/>
  <c r="AT377" i="18"/>
  <c r="AS377" i="18"/>
  <c r="AR377" i="18"/>
  <c r="AQ377" i="18"/>
  <c r="AP377" i="18"/>
  <c r="AO377" i="18"/>
  <c r="AN377" i="18"/>
  <c r="AM377" i="18"/>
  <c r="AL377" i="18"/>
  <c r="AK377" i="18"/>
  <c r="AJ377" i="18"/>
  <c r="AI377" i="18"/>
  <c r="AH377" i="18"/>
  <c r="AG377" i="18"/>
  <c r="AF377" i="18"/>
  <c r="AE377" i="18"/>
  <c r="AD377" i="18"/>
  <c r="AC377" i="18"/>
  <c r="AB377" i="18"/>
  <c r="AA377" i="18"/>
  <c r="Z377" i="18"/>
  <c r="Y377" i="18"/>
  <c r="X377" i="18"/>
  <c r="W377" i="18"/>
  <c r="V377" i="18"/>
  <c r="U377" i="18"/>
  <c r="T377" i="18"/>
  <c r="S377" i="18"/>
  <c r="R377" i="18"/>
  <c r="Q377" i="18"/>
  <c r="P377" i="18"/>
  <c r="O377" i="18"/>
  <c r="N377" i="18"/>
  <c r="M377" i="18"/>
  <c r="L377" i="18"/>
  <c r="K377" i="18"/>
  <c r="J377" i="18"/>
  <c r="I377" i="18"/>
  <c r="H377" i="18"/>
  <c r="G377" i="18"/>
  <c r="F377" i="18"/>
  <c r="E377" i="18"/>
  <c r="D377" i="18"/>
  <c r="C377" i="18"/>
  <c r="B377" i="18"/>
  <c r="A377" i="18"/>
  <c r="CU375" i="18"/>
  <c r="CT375" i="18"/>
  <c r="CS375" i="18"/>
  <c r="CR375" i="18"/>
  <c r="CQ375" i="18"/>
  <c r="CP375" i="18"/>
  <c r="CO375" i="18"/>
  <c r="CN375" i="18"/>
  <c r="CM375" i="18"/>
  <c r="CL375" i="18"/>
  <c r="CK375" i="18"/>
  <c r="CJ375" i="18"/>
  <c r="CI375" i="18"/>
  <c r="CH375" i="18"/>
  <c r="CG375" i="18"/>
  <c r="CF375" i="18"/>
  <c r="CE375" i="18"/>
  <c r="CD375" i="18"/>
  <c r="CC375" i="18"/>
  <c r="CB375" i="18"/>
  <c r="CA375" i="18"/>
  <c r="BZ375" i="18"/>
  <c r="BY375" i="18"/>
  <c r="BX375" i="18"/>
  <c r="BW375" i="18"/>
  <c r="BV375" i="18"/>
  <c r="BU375" i="18"/>
  <c r="BT375" i="18"/>
  <c r="BS375" i="18"/>
  <c r="BR375" i="18"/>
  <c r="BQ375" i="18"/>
  <c r="BP375" i="18"/>
  <c r="BO375" i="18"/>
  <c r="BN375" i="18"/>
  <c r="BM375" i="18"/>
  <c r="BL375" i="18"/>
  <c r="BK375" i="18"/>
  <c r="BJ375" i="18"/>
  <c r="BI375" i="18"/>
  <c r="BH375" i="18"/>
  <c r="BG375" i="18"/>
  <c r="BF375" i="18"/>
  <c r="BE375" i="18"/>
  <c r="BD375" i="18"/>
  <c r="BC375" i="18"/>
  <c r="BB375" i="18"/>
  <c r="BA375" i="18"/>
  <c r="AZ375" i="18"/>
  <c r="AY375" i="18"/>
  <c r="AX375" i="18"/>
  <c r="AW375" i="18"/>
  <c r="AV375" i="18"/>
  <c r="AU375" i="18"/>
  <c r="AT375" i="18"/>
  <c r="AS375" i="18"/>
  <c r="AR375" i="18"/>
  <c r="AQ375" i="18"/>
  <c r="AP375" i="18"/>
  <c r="AO375" i="18"/>
  <c r="AN375" i="18"/>
  <c r="AM375" i="18"/>
  <c r="AL375" i="18"/>
  <c r="AK375" i="18"/>
  <c r="AJ375" i="18"/>
  <c r="AI375" i="18"/>
  <c r="AH375" i="18"/>
  <c r="AG375" i="18"/>
  <c r="AF375" i="18"/>
  <c r="AE375" i="18"/>
  <c r="AD375" i="18"/>
  <c r="AC375" i="18"/>
  <c r="AB375" i="18"/>
  <c r="AA375" i="18"/>
  <c r="Z375" i="18"/>
  <c r="Y375" i="18"/>
  <c r="X375" i="18"/>
  <c r="W375" i="18"/>
  <c r="V375" i="18"/>
  <c r="U375" i="18"/>
  <c r="T375" i="18"/>
  <c r="S375" i="18"/>
  <c r="R375" i="18"/>
  <c r="Q375" i="18"/>
  <c r="P375" i="18"/>
  <c r="O375" i="18"/>
  <c r="N375" i="18"/>
  <c r="M375" i="18"/>
  <c r="L375" i="18"/>
  <c r="K375" i="18"/>
  <c r="J375" i="18"/>
  <c r="I375" i="18"/>
  <c r="H375" i="18"/>
  <c r="G375" i="18"/>
  <c r="F375" i="18"/>
  <c r="E375" i="18"/>
  <c r="D375" i="18"/>
  <c r="C375" i="18"/>
  <c r="B375" i="18"/>
  <c r="A375" i="18"/>
  <c r="CU374" i="18"/>
  <c r="CT374" i="18"/>
  <c r="CS374" i="18"/>
  <c r="CR374" i="18"/>
  <c r="CQ374" i="18"/>
  <c r="CP374" i="18"/>
  <c r="CO374" i="18"/>
  <c r="CN374" i="18"/>
  <c r="CM374" i="18"/>
  <c r="CL374" i="18"/>
  <c r="CK374" i="18"/>
  <c r="CJ374" i="18"/>
  <c r="CI374" i="18"/>
  <c r="CH374" i="18"/>
  <c r="CG374" i="18"/>
  <c r="CF374" i="18"/>
  <c r="CE374" i="18"/>
  <c r="CD374" i="18"/>
  <c r="CC374" i="18"/>
  <c r="CB374" i="18"/>
  <c r="CA374" i="18"/>
  <c r="BZ374" i="18"/>
  <c r="BY374" i="18"/>
  <c r="BX374" i="18"/>
  <c r="BW374" i="18"/>
  <c r="BV374" i="18"/>
  <c r="BU374" i="18"/>
  <c r="BT374" i="18"/>
  <c r="BS374" i="18"/>
  <c r="BR374" i="18"/>
  <c r="BQ374" i="18"/>
  <c r="BP374" i="18"/>
  <c r="BO374" i="18"/>
  <c r="BN374" i="18"/>
  <c r="BM374" i="18"/>
  <c r="BL374" i="18"/>
  <c r="BK374" i="18"/>
  <c r="BJ374" i="18"/>
  <c r="BI374" i="18"/>
  <c r="BH374" i="18"/>
  <c r="BG374" i="18"/>
  <c r="BF374" i="18"/>
  <c r="BE374" i="18"/>
  <c r="BD374" i="18"/>
  <c r="BC374" i="18"/>
  <c r="BB374" i="18"/>
  <c r="BA374" i="18"/>
  <c r="AZ374" i="18"/>
  <c r="AY374" i="18"/>
  <c r="AX374" i="18"/>
  <c r="AW374" i="18"/>
  <c r="AV374" i="18"/>
  <c r="AU374" i="18"/>
  <c r="AT374" i="18"/>
  <c r="AS374" i="18"/>
  <c r="AR374" i="18"/>
  <c r="AQ374" i="18"/>
  <c r="AP374" i="18"/>
  <c r="AO374" i="18"/>
  <c r="AN374" i="18"/>
  <c r="AM374" i="18"/>
  <c r="AL374" i="18"/>
  <c r="AK374" i="18"/>
  <c r="AJ374" i="18"/>
  <c r="AI374" i="18"/>
  <c r="AH374" i="18"/>
  <c r="AG374" i="18"/>
  <c r="AF374" i="18"/>
  <c r="AE374" i="18"/>
  <c r="AD374" i="18"/>
  <c r="AC374" i="18"/>
  <c r="AB374" i="18"/>
  <c r="AA374" i="18"/>
  <c r="Z374" i="18"/>
  <c r="Y374" i="18"/>
  <c r="X374" i="18"/>
  <c r="W374" i="18"/>
  <c r="V374" i="18"/>
  <c r="U374" i="18"/>
  <c r="T374" i="18"/>
  <c r="S374" i="18"/>
  <c r="R374" i="18"/>
  <c r="Q374" i="18"/>
  <c r="P374" i="18"/>
  <c r="O374" i="18"/>
  <c r="N374" i="18"/>
  <c r="M374" i="18"/>
  <c r="L374" i="18"/>
  <c r="K374" i="18"/>
  <c r="J374" i="18"/>
  <c r="I374" i="18"/>
  <c r="H374" i="18"/>
  <c r="G374" i="18"/>
  <c r="F374" i="18"/>
  <c r="E374" i="18"/>
  <c r="D374" i="18"/>
  <c r="C374" i="18"/>
  <c r="B374" i="18"/>
  <c r="A374" i="18"/>
  <c r="CU373" i="18"/>
  <c r="CT373" i="18"/>
  <c r="CS373" i="18"/>
  <c r="CR373" i="18"/>
  <c r="CQ373" i="18"/>
  <c r="CP373" i="18"/>
  <c r="CO373" i="18"/>
  <c r="CN373" i="18"/>
  <c r="CM373" i="18"/>
  <c r="CL373" i="18"/>
  <c r="CK373" i="18"/>
  <c r="CJ373" i="18"/>
  <c r="CI373" i="18"/>
  <c r="CH373" i="18"/>
  <c r="CG373" i="18"/>
  <c r="CF373" i="18"/>
  <c r="CE373" i="18"/>
  <c r="CD373" i="18"/>
  <c r="CC373" i="18"/>
  <c r="CB373" i="18"/>
  <c r="CA373" i="18"/>
  <c r="BZ373" i="18"/>
  <c r="BY373" i="18"/>
  <c r="BX373" i="18"/>
  <c r="BW373" i="18"/>
  <c r="BV373" i="18"/>
  <c r="BU373" i="18"/>
  <c r="BT373" i="18"/>
  <c r="BS373" i="18"/>
  <c r="BR373" i="18"/>
  <c r="BQ373" i="18"/>
  <c r="BP373" i="18"/>
  <c r="BO373" i="18"/>
  <c r="BN373" i="18"/>
  <c r="BM373" i="18"/>
  <c r="BL373" i="18"/>
  <c r="BK373" i="18"/>
  <c r="BJ373" i="18"/>
  <c r="BI373" i="18"/>
  <c r="BH373" i="18"/>
  <c r="BG373" i="18"/>
  <c r="BF373" i="18"/>
  <c r="BE373" i="18"/>
  <c r="BD373" i="18"/>
  <c r="BC373" i="18"/>
  <c r="BB373" i="18"/>
  <c r="BA373" i="18"/>
  <c r="AZ373" i="18"/>
  <c r="AY373" i="18"/>
  <c r="AX373" i="18"/>
  <c r="AW373" i="18"/>
  <c r="AV373" i="18"/>
  <c r="AU373" i="18"/>
  <c r="AT373" i="18"/>
  <c r="AS373" i="18"/>
  <c r="AR373" i="18"/>
  <c r="AQ373" i="18"/>
  <c r="AP373" i="18"/>
  <c r="AO373" i="18"/>
  <c r="AN373" i="18"/>
  <c r="AM373" i="18"/>
  <c r="AL373" i="18"/>
  <c r="AK373" i="18"/>
  <c r="AJ373" i="18"/>
  <c r="AI373" i="18"/>
  <c r="AH373" i="18"/>
  <c r="AG373" i="18"/>
  <c r="AF373" i="18"/>
  <c r="AE373" i="18"/>
  <c r="AD373" i="18"/>
  <c r="AC373" i="18"/>
  <c r="AB373" i="18"/>
  <c r="AA373" i="18"/>
  <c r="Z373" i="18"/>
  <c r="Y373" i="18"/>
  <c r="X373" i="18"/>
  <c r="W373" i="18"/>
  <c r="V373" i="18"/>
  <c r="U373" i="18"/>
  <c r="T373" i="18"/>
  <c r="S373" i="18"/>
  <c r="R373" i="18"/>
  <c r="Q373" i="18"/>
  <c r="P373" i="18"/>
  <c r="O373" i="18"/>
  <c r="N373" i="18"/>
  <c r="M373" i="18"/>
  <c r="L373" i="18"/>
  <c r="K373" i="18"/>
  <c r="J373" i="18"/>
  <c r="I373" i="18"/>
  <c r="H373" i="18"/>
  <c r="G373" i="18"/>
  <c r="F373" i="18"/>
  <c r="E373" i="18"/>
  <c r="D373" i="18"/>
  <c r="C373" i="18"/>
  <c r="B373" i="18"/>
  <c r="A373" i="18"/>
  <c r="CU372" i="18"/>
  <c r="CT372" i="18"/>
  <c r="CS372" i="18"/>
  <c r="CR372" i="18"/>
  <c r="CI372" i="18"/>
  <c r="CH372" i="18"/>
  <c r="CG372" i="18"/>
  <c r="CF372" i="18"/>
  <c r="CE372" i="18"/>
  <c r="CD372" i="18"/>
  <c r="CC372" i="18"/>
  <c r="CB372" i="18"/>
  <c r="CA372" i="18"/>
  <c r="BZ372" i="18"/>
  <c r="BY372" i="18"/>
  <c r="AR372" i="18"/>
  <c r="AQ372" i="18"/>
  <c r="AP372" i="18"/>
  <c r="AO372" i="18"/>
  <c r="AN372" i="18"/>
  <c r="AM372" i="18"/>
  <c r="AL372" i="18"/>
  <c r="AK372" i="18"/>
  <c r="AJ372" i="18"/>
  <c r="AI372" i="18"/>
  <c r="AH372" i="18"/>
  <c r="AG372" i="18"/>
  <c r="AF372" i="18"/>
  <c r="AE372" i="18"/>
  <c r="AD372" i="18"/>
  <c r="AC372" i="18"/>
  <c r="AB372" i="18"/>
  <c r="AA372" i="18"/>
  <c r="Z372" i="18"/>
  <c r="Y372" i="18"/>
  <c r="X372" i="18"/>
  <c r="W372" i="18"/>
  <c r="V372" i="18"/>
  <c r="U372" i="18"/>
  <c r="T372" i="18"/>
  <c r="S372" i="18"/>
  <c r="R372" i="18"/>
  <c r="Q372" i="18"/>
  <c r="P372" i="18"/>
  <c r="O372" i="18"/>
  <c r="N372" i="18"/>
  <c r="M372" i="18"/>
  <c r="L372" i="18"/>
  <c r="K372" i="18"/>
  <c r="J372" i="18"/>
  <c r="I372" i="18"/>
  <c r="H372" i="18"/>
  <c r="G372" i="18"/>
  <c r="F372" i="18"/>
  <c r="E372" i="18"/>
  <c r="D372" i="18"/>
  <c r="C372" i="18"/>
  <c r="B372" i="18"/>
  <c r="A372" i="18"/>
  <c r="CU371" i="18"/>
  <c r="CT371" i="18"/>
  <c r="CS371" i="18"/>
  <c r="CR371" i="18"/>
  <c r="CI371" i="18"/>
  <c r="CH371" i="18"/>
  <c r="CG371" i="18"/>
  <c r="CF371" i="18"/>
  <c r="CE371" i="18"/>
  <c r="CD371" i="18"/>
  <c r="CC371" i="18"/>
  <c r="CB371" i="18"/>
  <c r="CA371" i="18"/>
  <c r="BZ371" i="18"/>
  <c r="BY371" i="18"/>
  <c r="AR371" i="18"/>
  <c r="AQ371" i="18"/>
  <c r="AP371" i="18"/>
  <c r="AO371" i="18"/>
  <c r="AN371" i="18"/>
  <c r="AM371" i="18"/>
  <c r="AL371" i="18"/>
  <c r="AK371" i="18"/>
  <c r="AJ371" i="18"/>
  <c r="AI371" i="18"/>
  <c r="AH371" i="18"/>
  <c r="AG371" i="18"/>
  <c r="AF371" i="18"/>
  <c r="AE371" i="18"/>
  <c r="AD371" i="18"/>
  <c r="AC371" i="18"/>
  <c r="AB371" i="18"/>
  <c r="AA371" i="18"/>
  <c r="Z371" i="18"/>
  <c r="Y371" i="18"/>
  <c r="X371" i="18"/>
  <c r="W371" i="18"/>
  <c r="V371" i="18"/>
  <c r="U371" i="18"/>
  <c r="T371" i="18"/>
  <c r="S371" i="18"/>
  <c r="R371" i="18"/>
  <c r="Q371" i="18"/>
  <c r="P371" i="18"/>
  <c r="O371" i="18"/>
  <c r="N371" i="18"/>
  <c r="M371" i="18"/>
  <c r="L371" i="18"/>
  <c r="K371" i="18"/>
  <c r="J371" i="18"/>
  <c r="I371" i="18"/>
  <c r="H371" i="18"/>
  <c r="G371" i="18"/>
  <c r="F371" i="18"/>
  <c r="E371" i="18"/>
  <c r="D371" i="18"/>
  <c r="C371" i="18"/>
  <c r="B371" i="18"/>
  <c r="A371" i="18"/>
  <c r="CU370" i="18"/>
  <c r="CT370" i="18"/>
  <c r="CS370" i="18"/>
  <c r="CR370" i="18"/>
  <c r="CI370" i="18"/>
  <c r="CH370" i="18"/>
  <c r="CG370" i="18"/>
  <c r="CF370" i="18"/>
  <c r="CE370" i="18"/>
  <c r="CD370" i="18"/>
  <c r="CC370" i="18"/>
  <c r="CB370" i="18"/>
  <c r="CA370" i="18"/>
  <c r="BZ370" i="18"/>
  <c r="BY370" i="18"/>
  <c r="AR370" i="18"/>
  <c r="AQ370" i="18"/>
  <c r="AP370" i="18"/>
  <c r="AO370" i="18"/>
  <c r="AN370" i="18"/>
  <c r="AM370" i="18"/>
  <c r="AL370" i="18"/>
  <c r="AK370" i="18"/>
  <c r="AJ370" i="18"/>
  <c r="AI370" i="18"/>
  <c r="AH370" i="18"/>
  <c r="AG370" i="18"/>
  <c r="AF370" i="18"/>
  <c r="AE370" i="18"/>
  <c r="AD370" i="18"/>
  <c r="AC370" i="18"/>
  <c r="AB370" i="18"/>
  <c r="AA370" i="18"/>
  <c r="Z370" i="18"/>
  <c r="Y370" i="18"/>
  <c r="X370" i="18"/>
  <c r="W370" i="18"/>
  <c r="V370" i="18"/>
  <c r="U370" i="18"/>
  <c r="T370" i="18"/>
  <c r="S370" i="18"/>
  <c r="R370" i="18"/>
  <c r="Q370" i="18"/>
  <c r="P370" i="18"/>
  <c r="O370" i="18"/>
  <c r="N370" i="18"/>
  <c r="M370" i="18"/>
  <c r="L370" i="18"/>
  <c r="K370" i="18"/>
  <c r="J370" i="18"/>
  <c r="I370" i="18"/>
  <c r="H370" i="18"/>
  <c r="G370" i="18"/>
  <c r="F370" i="18"/>
  <c r="E370" i="18"/>
  <c r="D370" i="18"/>
  <c r="C370" i="18"/>
  <c r="B370" i="18"/>
  <c r="A370" i="18"/>
  <c r="CU369" i="18"/>
  <c r="CT369" i="18"/>
  <c r="CS369" i="18"/>
  <c r="CR369" i="18"/>
  <c r="CQ369" i="18"/>
  <c r="CP369" i="18"/>
  <c r="CO369" i="18"/>
  <c r="CN369" i="18"/>
  <c r="CM369" i="18"/>
  <c r="CL369" i="18"/>
  <c r="CK369" i="18"/>
  <c r="CJ369" i="18"/>
  <c r="CI369" i="18"/>
  <c r="CH369" i="18"/>
  <c r="CG369" i="18"/>
  <c r="CF369" i="18"/>
  <c r="CE369" i="18"/>
  <c r="CD369" i="18"/>
  <c r="CC369" i="18"/>
  <c r="CB369" i="18"/>
  <c r="CA369" i="18"/>
  <c r="BZ369" i="18"/>
  <c r="BY369" i="18"/>
  <c r="BX369" i="18"/>
  <c r="BW369" i="18"/>
  <c r="BV369" i="18"/>
  <c r="BU369" i="18"/>
  <c r="BT369" i="18"/>
  <c r="BS369" i="18"/>
  <c r="BR369" i="18"/>
  <c r="BQ369" i="18"/>
  <c r="BP369" i="18"/>
  <c r="BO369" i="18"/>
  <c r="BN369" i="18"/>
  <c r="BM369" i="18"/>
  <c r="BL369" i="18"/>
  <c r="BK369" i="18"/>
  <c r="BJ369" i="18"/>
  <c r="BI369" i="18"/>
  <c r="BH369" i="18"/>
  <c r="BG369" i="18"/>
  <c r="BF369" i="18"/>
  <c r="BE369" i="18"/>
  <c r="BD369" i="18"/>
  <c r="BC369" i="18"/>
  <c r="BB369" i="18"/>
  <c r="BA369" i="18"/>
  <c r="AZ369" i="18"/>
  <c r="AY369" i="18"/>
  <c r="AX369" i="18"/>
  <c r="AW369" i="18"/>
  <c r="AV369" i="18"/>
  <c r="AU369" i="18"/>
  <c r="AT369" i="18"/>
  <c r="AS369" i="18"/>
  <c r="AR369" i="18"/>
  <c r="AQ369" i="18"/>
  <c r="AP369" i="18"/>
  <c r="AO369" i="18"/>
  <c r="AN369" i="18"/>
  <c r="AM369" i="18"/>
  <c r="AL369" i="18"/>
  <c r="AK369" i="18"/>
  <c r="AJ369" i="18"/>
  <c r="AI369" i="18"/>
  <c r="AH369" i="18"/>
  <c r="AG369" i="18"/>
  <c r="AF369" i="18"/>
  <c r="AE369" i="18"/>
  <c r="AD369" i="18"/>
  <c r="AC369" i="18"/>
  <c r="AB369" i="18"/>
  <c r="AA369" i="18"/>
  <c r="Z369" i="18"/>
  <c r="Y369" i="18"/>
  <c r="X369" i="18"/>
  <c r="W369" i="18"/>
  <c r="V369" i="18"/>
  <c r="U369" i="18"/>
  <c r="T369" i="18"/>
  <c r="S369" i="18"/>
  <c r="R369" i="18"/>
  <c r="Q369" i="18"/>
  <c r="P369" i="18"/>
  <c r="O369" i="18"/>
  <c r="N369" i="18"/>
  <c r="M369" i="18"/>
  <c r="L369" i="18"/>
  <c r="K369" i="18"/>
  <c r="J369" i="18"/>
  <c r="I369" i="18"/>
  <c r="H369" i="18"/>
  <c r="G369" i="18"/>
  <c r="F369" i="18"/>
  <c r="E369" i="18"/>
  <c r="D369" i="18"/>
  <c r="C369" i="18"/>
  <c r="B369" i="18"/>
  <c r="A369" i="18"/>
  <c r="CU368" i="18"/>
  <c r="CT368" i="18"/>
  <c r="CS368" i="18"/>
  <c r="CR368" i="18"/>
  <c r="CQ368" i="18"/>
  <c r="CP368" i="18"/>
  <c r="CO368" i="18"/>
  <c r="CN368" i="18"/>
  <c r="CM368" i="18"/>
  <c r="CL368" i="18"/>
  <c r="CK368" i="18"/>
  <c r="CJ368" i="18"/>
  <c r="CI368" i="18"/>
  <c r="CH368" i="18"/>
  <c r="CG368" i="18"/>
  <c r="CF368" i="18"/>
  <c r="CE368" i="18"/>
  <c r="CD368" i="18"/>
  <c r="CC368" i="18"/>
  <c r="CB368" i="18"/>
  <c r="CA368" i="18"/>
  <c r="BZ368" i="18"/>
  <c r="BY368" i="18"/>
  <c r="BX368" i="18"/>
  <c r="BW368" i="18"/>
  <c r="BV368" i="18"/>
  <c r="BU368" i="18"/>
  <c r="BT368" i="18"/>
  <c r="BS368" i="18"/>
  <c r="BR368" i="18"/>
  <c r="BQ368" i="18"/>
  <c r="BP368" i="18"/>
  <c r="BO368" i="18"/>
  <c r="BN368" i="18"/>
  <c r="BM368" i="18"/>
  <c r="BL368" i="18"/>
  <c r="BK368" i="18"/>
  <c r="BJ368" i="18"/>
  <c r="BI368" i="18"/>
  <c r="BH368" i="18"/>
  <c r="BG368" i="18"/>
  <c r="BF368" i="18"/>
  <c r="BE368" i="18"/>
  <c r="BD368" i="18"/>
  <c r="BC368" i="18"/>
  <c r="BB368" i="18"/>
  <c r="BA368" i="18"/>
  <c r="AZ368" i="18"/>
  <c r="AY368" i="18"/>
  <c r="AX368" i="18"/>
  <c r="AW368" i="18"/>
  <c r="AV368" i="18"/>
  <c r="AU368" i="18"/>
  <c r="AT368" i="18"/>
  <c r="AS368" i="18"/>
  <c r="AR368" i="18"/>
  <c r="AQ368" i="18"/>
  <c r="AP368" i="18"/>
  <c r="AO368" i="18"/>
  <c r="AN368" i="18"/>
  <c r="AM368" i="18"/>
  <c r="AL368" i="18"/>
  <c r="AK368" i="18"/>
  <c r="AJ368" i="18"/>
  <c r="AI368" i="18"/>
  <c r="AH368" i="18"/>
  <c r="AG368" i="18"/>
  <c r="AF368" i="18"/>
  <c r="AE368" i="18"/>
  <c r="AD368" i="18"/>
  <c r="AC368" i="18"/>
  <c r="AB368" i="18"/>
  <c r="AA368" i="18"/>
  <c r="Z368" i="18"/>
  <c r="Y368" i="18"/>
  <c r="X368" i="18"/>
  <c r="W368" i="18"/>
  <c r="V368" i="18"/>
  <c r="U368" i="18"/>
  <c r="T368" i="18"/>
  <c r="S368" i="18"/>
  <c r="R368" i="18"/>
  <c r="Q368" i="18"/>
  <c r="P368" i="18"/>
  <c r="O368" i="18"/>
  <c r="N368" i="18"/>
  <c r="M368" i="18"/>
  <c r="L368" i="18"/>
  <c r="K368" i="18"/>
  <c r="J368" i="18"/>
  <c r="I368" i="18"/>
  <c r="H368" i="18"/>
  <c r="G368" i="18"/>
  <c r="F368" i="18"/>
  <c r="E368" i="18"/>
  <c r="D368" i="18"/>
  <c r="C368" i="18"/>
  <c r="B368" i="18"/>
  <c r="A368" i="18"/>
  <c r="CU367" i="18"/>
  <c r="CT367" i="18"/>
  <c r="CS367" i="18"/>
  <c r="CR367" i="18"/>
  <c r="CI367" i="18"/>
  <c r="CH367" i="18"/>
  <c r="CG367" i="18"/>
  <c r="CF367" i="18"/>
  <c r="CE367" i="18"/>
  <c r="CD367" i="18"/>
  <c r="CC367" i="18"/>
  <c r="CB367" i="18"/>
  <c r="CA367" i="18"/>
  <c r="BZ367" i="18"/>
  <c r="BY367" i="18"/>
  <c r="AR367" i="18"/>
  <c r="AQ367" i="18"/>
  <c r="AP367" i="18"/>
  <c r="AO367" i="18"/>
  <c r="AN367" i="18"/>
  <c r="AM367" i="18"/>
  <c r="AL367" i="18"/>
  <c r="AK367" i="18"/>
  <c r="AJ367" i="18"/>
  <c r="AI367" i="18"/>
  <c r="AH367" i="18"/>
  <c r="AG367" i="18"/>
  <c r="AF367" i="18"/>
  <c r="AE367" i="18"/>
  <c r="AD367" i="18"/>
  <c r="AC367" i="18"/>
  <c r="AB367" i="18"/>
  <c r="AA367" i="18"/>
  <c r="Z367" i="18"/>
  <c r="Y367" i="18"/>
  <c r="X367" i="18"/>
  <c r="W367" i="18"/>
  <c r="V367" i="18"/>
  <c r="U367" i="18"/>
  <c r="T367" i="18"/>
  <c r="S367" i="18"/>
  <c r="R367" i="18"/>
  <c r="Q367" i="18"/>
  <c r="P367" i="18"/>
  <c r="O367" i="18"/>
  <c r="N367" i="18"/>
  <c r="M367" i="18"/>
  <c r="L367" i="18"/>
  <c r="K367" i="18"/>
  <c r="J367" i="18"/>
  <c r="I367" i="18"/>
  <c r="H367" i="18"/>
  <c r="G367" i="18"/>
  <c r="F367" i="18"/>
  <c r="E367" i="18"/>
  <c r="D367" i="18"/>
  <c r="C367" i="18"/>
  <c r="B367" i="18"/>
  <c r="A367" i="18"/>
  <c r="CU366" i="18"/>
  <c r="CT366" i="18"/>
  <c r="CS366" i="18"/>
  <c r="CR366" i="18"/>
  <c r="CI366" i="18"/>
  <c r="CH366" i="18"/>
  <c r="CG366" i="18"/>
  <c r="CF366" i="18"/>
  <c r="CE366" i="18"/>
  <c r="CD366" i="18"/>
  <c r="CC366" i="18"/>
  <c r="CB366" i="18"/>
  <c r="CA366" i="18"/>
  <c r="BZ366" i="18"/>
  <c r="BY366" i="18"/>
  <c r="AR366" i="18"/>
  <c r="AQ366" i="18"/>
  <c r="AP366" i="18"/>
  <c r="AO366" i="18"/>
  <c r="AN366" i="18"/>
  <c r="AM366" i="18"/>
  <c r="AL366" i="18"/>
  <c r="AK366" i="18"/>
  <c r="AJ366" i="18"/>
  <c r="AI366" i="18"/>
  <c r="AH366" i="18"/>
  <c r="AG366" i="18"/>
  <c r="AF366" i="18"/>
  <c r="AE366" i="18"/>
  <c r="AD366" i="18"/>
  <c r="AC366" i="18"/>
  <c r="AB366" i="18"/>
  <c r="AA366" i="18"/>
  <c r="Z366" i="18"/>
  <c r="Y366" i="18"/>
  <c r="X366" i="18"/>
  <c r="W366" i="18"/>
  <c r="V366" i="18"/>
  <c r="U366" i="18"/>
  <c r="T366" i="18"/>
  <c r="S366" i="18"/>
  <c r="R366" i="18"/>
  <c r="Q366" i="18"/>
  <c r="P366" i="18"/>
  <c r="O366" i="18"/>
  <c r="N366" i="18"/>
  <c r="M366" i="18"/>
  <c r="L366" i="18"/>
  <c r="K366" i="18"/>
  <c r="J366" i="18"/>
  <c r="I366" i="18"/>
  <c r="H366" i="18"/>
  <c r="G366" i="18"/>
  <c r="F366" i="18"/>
  <c r="E366" i="18"/>
  <c r="D366" i="18"/>
  <c r="C366" i="18"/>
  <c r="B366" i="18"/>
  <c r="A366" i="18"/>
  <c r="CU365" i="18"/>
  <c r="CT365" i="18"/>
  <c r="CS365" i="18"/>
  <c r="CR365" i="18"/>
  <c r="CI365" i="18"/>
  <c r="CH365" i="18"/>
  <c r="CG365" i="18"/>
  <c r="CF365" i="18"/>
  <c r="CE365" i="18"/>
  <c r="CD365" i="18"/>
  <c r="CC365" i="18"/>
  <c r="CB365" i="18"/>
  <c r="CA365" i="18"/>
  <c r="BZ365" i="18"/>
  <c r="BY365" i="18"/>
  <c r="BX365" i="18"/>
  <c r="BW365" i="18"/>
  <c r="BV365" i="18"/>
  <c r="BU365" i="18"/>
  <c r="AR365" i="18"/>
  <c r="AQ365" i="18"/>
  <c r="AP365" i="18"/>
  <c r="AO365" i="18"/>
  <c r="AN365" i="18"/>
  <c r="AM365" i="18"/>
  <c r="AL365" i="18"/>
  <c r="AK365" i="18"/>
  <c r="AJ365" i="18"/>
  <c r="AI365" i="18"/>
  <c r="AH365" i="18"/>
  <c r="AG365" i="18"/>
  <c r="AF365" i="18"/>
  <c r="AE365" i="18"/>
  <c r="AD365" i="18"/>
  <c r="AC365" i="18"/>
  <c r="AB365" i="18"/>
  <c r="AA365" i="18"/>
  <c r="Z365" i="18"/>
  <c r="Y365" i="18"/>
  <c r="X365" i="18"/>
  <c r="W365" i="18"/>
  <c r="V365" i="18"/>
  <c r="U365" i="18"/>
  <c r="T365" i="18"/>
  <c r="S365" i="18"/>
  <c r="R365" i="18"/>
  <c r="Q365" i="18"/>
  <c r="P365" i="18"/>
  <c r="O365" i="18"/>
  <c r="N365" i="18"/>
  <c r="M365" i="18"/>
  <c r="L365" i="18"/>
  <c r="K365" i="18"/>
  <c r="J365" i="18"/>
  <c r="I365" i="18"/>
  <c r="H365" i="18"/>
  <c r="G365" i="18"/>
  <c r="F365" i="18"/>
  <c r="E365" i="18"/>
  <c r="D365" i="18"/>
  <c r="C365" i="18"/>
  <c r="B365" i="18"/>
  <c r="A365" i="18"/>
  <c r="CU364" i="18"/>
  <c r="CT364" i="18"/>
  <c r="CS364" i="18"/>
  <c r="CR364" i="18"/>
  <c r="CI364" i="18"/>
  <c r="CH364" i="18"/>
  <c r="CG364" i="18"/>
  <c r="CF364" i="18"/>
  <c r="CE364" i="18"/>
  <c r="CD364" i="18"/>
  <c r="CC364" i="18"/>
  <c r="CB364" i="18"/>
  <c r="CA364" i="18"/>
  <c r="BZ364" i="18"/>
  <c r="BY364" i="18"/>
  <c r="AR364" i="18"/>
  <c r="AQ364" i="18"/>
  <c r="AP364" i="18"/>
  <c r="AO364" i="18"/>
  <c r="AN364" i="18"/>
  <c r="AM364" i="18"/>
  <c r="AL364" i="18"/>
  <c r="AK364" i="18"/>
  <c r="AJ364" i="18"/>
  <c r="AI364" i="18"/>
  <c r="AH364" i="18"/>
  <c r="AG364" i="18"/>
  <c r="AF364" i="18"/>
  <c r="AE364" i="18"/>
  <c r="AD364" i="18"/>
  <c r="AC364" i="18"/>
  <c r="AB364" i="18"/>
  <c r="AA364" i="18"/>
  <c r="Z364" i="18"/>
  <c r="Y364" i="18"/>
  <c r="X364" i="18"/>
  <c r="W364" i="18"/>
  <c r="V364" i="18"/>
  <c r="U364" i="18"/>
  <c r="T364" i="18"/>
  <c r="S364" i="18"/>
  <c r="R364" i="18"/>
  <c r="Q364" i="18"/>
  <c r="P364" i="18"/>
  <c r="O364" i="18"/>
  <c r="N364" i="18"/>
  <c r="M364" i="18"/>
  <c r="L364" i="18"/>
  <c r="K364" i="18"/>
  <c r="J364" i="18"/>
  <c r="I364" i="18"/>
  <c r="H364" i="18"/>
  <c r="G364" i="18"/>
  <c r="F364" i="18"/>
  <c r="E364" i="18"/>
  <c r="D364" i="18"/>
  <c r="C364" i="18"/>
  <c r="B364" i="18"/>
  <c r="A364" i="18"/>
  <c r="CU362" i="18"/>
  <c r="CT362" i="18"/>
  <c r="CS362" i="18"/>
  <c r="CR362" i="18"/>
  <c r="CQ362" i="18"/>
  <c r="CP362" i="18"/>
  <c r="CO362" i="18"/>
  <c r="CN362" i="18"/>
  <c r="CM362" i="18"/>
  <c r="CL362" i="18"/>
  <c r="CK362" i="18"/>
  <c r="CJ362" i="18"/>
  <c r="CI362" i="18"/>
  <c r="CH362" i="18"/>
  <c r="CG362" i="18"/>
  <c r="CF362" i="18"/>
  <c r="CE362" i="18"/>
  <c r="CD362" i="18"/>
  <c r="CC362" i="18"/>
  <c r="CB362" i="18"/>
  <c r="CA362" i="18"/>
  <c r="BZ362" i="18"/>
  <c r="BY362" i="18"/>
  <c r="BX362" i="18"/>
  <c r="BW362" i="18"/>
  <c r="BV362" i="18"/>
  <c r="BU362" i="18"/>
  <c r="BT362" i="18"/>
  <c r="BS362" i="18"/>
  <c r="BR362" i="18"/>
  <c r="BQ362" i="18"/>
  <c r="BP362" i="18"/>
  <c r="BO362" i="18"/>
  <c r="BN362" i="18"/>
  <c r="BM362" i="18"/>
  <c r="BL362" i="18"/>
  <c r="BK362" i="18"/>
  <c r="BJ362" i="18"/>
  <c r="BI362" i="18"/>
  <c r="BH362" i="18"/>
  <c r="BG362" i="18"/>
  <c r="BF362" i="18"/>
  <c r="BE362" i="18"/>
  <c r="BD362" i="18"/>
  <c r="BC362" i="18"/>
  <c r="BB362" i="18"/>
  <c r="BA362" i="18"/>
  <c r="AZ362" i="18"/>
  <c r="AY362" i="18"/>
  <c r="AX362" i="18"/>
  <c r="AW362" i="18"/>
  <c r="AV362" i="18"/>
  <c r="AU362" i="18"/>
  <c r="AT362" i="18"/>
  <c r="AS362" i="18"/>
  <c r="AR362" i="18"/>
  <c r="AQ362" i="18"/>
  <c r="AP362" i="18"/>
  <c r="AO362" i="18"/>
  <c r="AN362" i="18"/>
  <c r="AM362" i="18"/>
  <c r="AL362" i="18"/>
  <c r="AK362" i="18"/>
  <c r="AJ362" i="18"/>
  <c r="AI362" i="18"/>
  <c r="AH362" i="18"/>
  <c r="AG362" i="18"/>
  <c r="AF362" i="18"/>
  <c r="AE362" i="18"/>
  <c r="AD362" i="18"/>
  <c r="AC362" i="18"/>
  <c r="AB362" i="18"/>
  <c r="AA362" i="18"/>
  <c r="Z362" i="18"/>
  <c r="Y362" i="18"/>
  <c r="X362" i="18"/>
  <c r="W362" i="18"/>
  <c r="V362" i="18"/>
  <c r="U362" i="18"/>
  <c r="T362" i="18"/>
  <c r="S362" i="18"/>
  <c r="R362" i="18"/>
  <c r="Q362" i="18"/>
  <c r="P362" i="18"/>
  <c r="O362" i="18"/>
  <c r="N362" i="18"/>
  <c r="M362" i="18"/>
  <c r="L362" i="18"/>
  <c r="K362" i="18"/>
  <c r="J362" i="18"/>
  <c r="I362" i="18"/>
  <c r="H362" i="18"/>
  <c r="G362" i="18"/>
  <c r="F362" i="18"/>
  <c r="E362" i="18"/>
  <c r="D362" i="18"/>
  <c r="C362" i="18"/>
  <c r="B362" i="18"/>
  <c r="A362" i="18"/>
  <c r="CU361" i="18"/>
  <c r="CT361" i="18"/>
  <c r="CS361" i="18"/>
  <c r="CR361" i="18"/>
  <c r="CQ361" i="18"/>
  <c r="CP361" i="18"/>
  <c r="CO361" i="18"/>
  <c r="CN361" i="18"/>
  <c r="CM361" i="18"/>
  <c r="CL361" i="18"/>
  <c r="CK361" i="18"/>
  <c r="CJ361" i="18"/>
  <c r="CI361" i="18"/>
  <c r="CH361" i="18"/>
  <c r="CG361" i="18"/>
  <c r="CF361" i="18"/>
  <c r="CE361" i="18"/>
  <c r="CD361" i="18"/>
  <c r="CC361" i="18"/>
  <c r="CB361" i="18"/>
  <c r="CA361" i="18"/>
  <c r="BZ361" i="18"/>
  <c r="BY361" i="18"/>
  <c r="AR361" i="18"/>
  <c r="AQ361" i="18"/>
  <c r="AP361" i="18"/>
  <c r="AO361" i="18"/>
  <c r="AN361" i="18"/>
  <c r="AM361" i="18"/>
  <c r="AL361" i="18"/>
  <c r="AK361" i="18"/>
  <c r="AJ361" i="18"/>
  <c r="AI361" i="18"/>
  <c r="AH361" i="18"/>
  <c r="AG361" i="18"/>
  <c r="AF361" i="18"/>
  <c r="AE361" i="18"/>
  <c r="AD361" i="18"/>
  <c r="AC361" i="18"/>
  <c r="AB361" i="18"/>
  <c r="AA361" i="18"/>
  <c r="Z361" i="18"/>
  <c r="Y361" i="18"/>
  <c r="X361" i="18"/>
  <c r="W361" i="18"/>
  <c r="V361" i="18"/>
  <c r="U361" i="18"/>
  <c r="T361" i="18"/>
  <c r="S361" i="18"/>
  <c r="R361" i="18"/>
  <c r="Q361" i="18"/>
  <c r="P361" i="18"/>
  <c r="O361" i="18"/>
  <c r="N361" i="18"/>
  <c r="M361" i="18"/>
  <c r="L361" i="18"/>
  <c r="K361" i="18"/>
  <c r="J361" i="18"/>
  <c r="I361" i="18"/>
  <c r="H361" i="18"/>
  <c r="G361" i="18"/>
  <c r="F361" i="18"/>
  <c r="E361" i="18"/>
  <c r="D361" i="18"/>
  <c r="C361" i="18"/>
  <c r="B361" i="18"/>
  <c r="A361" i="18"/>
  <c r="CU360" i="18"/>
  <c r="CT360" i="18"/>
  <c r="CS360" i="18"/>
  <c r="CR360" i="18"/>
  <c r="CI360" i="18"/>
  <c r="CH360" i="18"/>
  <c r="CG360" i="18"/>
  <c r="CF360" i="18"/>
  <c r="CE360" i="18"/>
  <c r="CD360" i="18"/>
  <c r="CC360" i="18"/>
  <c r="CB360" i="18"/>
  <c r="CA360" i="18"/>
  <c r="BZ360" i="18"/>
  <c r="BY360" i="18"/>
  <c r="AR360" i="18"/>
  <c r="AQ360" i="18"/>
  <c r="AP360" i="18"/>
  <c r="AO360" i="18"/>
  <c r="AN360" i="18"/>
  <c r="AM360" i="18"/>
  <c r="AL360" i="18"/>
  <c r="AK360" i="18"/>
  <c r="AJ360" i="18"/>
  <c r="AI360" i="18"/>
  <c r="AH360" i="18"/>
  <c r="AG360" i="18"/>
  <c r="AF360" i="18"/>
  <c r="AE360" i="18"/>
  <c r="AD360" i="18"/>
  <c r="AC360" i="18"/>
  <c r="AB360" i="18"/>
  <c r="AA360" i="18"/>
  <c r="Z360" i="18"/>
  <c r="Y360" i="18"/>
  <c r="X360" i="18"/>
  <c r="W360" i="18"/>
  <c r="V360" i="18"/>
  <c r="U360" i="18"/>
  <c r="T360" i="18"/>
  <c r="S360" i="18"/>
  <c r="R360" i="18"/>
  <c r="Q360" i="18"/>
  <c r="P360" i="18"/>
  <c r="O360" i="18"/>
  <c r="N360" i="18"/>
  <c r="M360" i="18"/>
  <c r="L360" i="18"/>
  <c r="K360" i="18"/>
  <c r="J360" i="18"/>
  <c r="I360" i="18"/>
  <c r="H360" i="18"/>
  <c r="G360" i="18"/>
  <c r="F360" i="18"/>
  <c r="E360" i="18"/>
  <c r="D360" i="18"/>
  <c r="C360" i="18"/>
  <c r="B360" i="18"/>
  <c r="A360" i="18"/>
  <c r="CU359" i="18"/>
  <c r="CT359" i="18"/>
  <c r="CS359" i="18"/>
  <c r="CR359" i="18"/>
  <c r="CI359" i="18"/>
  <c r="CH359" i="18"/>
  <c r="CG359" i="18"/>
  <c r="CF359" i="18"/>
  <c r="CE359" i="18"/>
  <c r="CD359" i="18"/>
  <c r="CC359" i="18"/>
  <c r="CB359" i="18"/>
  <c r="CA359" i="18"/>
  <c r="BZ359" i="18"/>
  <c r="BY359" i="18"/>
  <c r="AR359" i="18"/>
  <c r="AQ359" i="18"/>
  <c r="AP359" i="18"/>
  <c r="AO359" i="18"/>
  <c r="AN359" i="18"/>
  <c r="AM359" i="18"/>
  <c r="AL359" i="18"/>
  <c r="AK359" i="18"/>
  <c r="AJ359" i="18"/>
  <c r="AI359" i="18"/>
  <c r="AH359" i="18"/>
  <c r="AG359" i="18"/>
  <c r="AF359" i="18"/>
  <c r="AE359" i="18"/>
  <c r="AD359" i="18"/>
  <c r="AC359" i="18"/>
  <c r="AB359" i="18"/>
  <c r="AA359" i="18"/>
  <c r="Z359" i="18"/>
  <c r="Y359" i="18"/>
  <c r="X359" i="18"/>
  <c r="W359" i="18"/>
  <c r="V359" i="18"/>
  <c r="U359" i="18"/>
  <c r="T359" i="18"/>
  <c r="S359" i="18"/>
  <c r="R359" i="18"/>
  <c r="Q359" i="18"/>
  <c r="P359" i="18"/>
  <c r="O359" i="18"/>
  <c r="N359" i="18"/>
  <c r="M359" i="18"/>
  <c r="L359" i="18"/>
  <c r="K359" i="18"/>
  <c r="J359" i="18"/>
  <c r="I359" i="18"/>
  <c r="H359" i="18"/>
  <c r="G359" i="18"/>
  <c r="F359" i="18"/>
  <c r="E359" i="18"/>
  <c r="D359" i="18"/>
  <c r="C359" i="18"/>
  <c r="B359" i="18"/>
  <c r="A359" i="18"/>
  <c r="CU358" i="18"/>
  <c r="CT358" i="18"/>
  <c r="CS358" i="18"/>
  <c r="CR358" i="18"/>
  <c r="CI358" i="18"/>
  <c r="CH358" i="18"/>
  <c r="CG358" i="18"/>
  <c r="CF358" i="18"/>
  <c r="CE358" i="18"/>
  <c r="CD358" i="18"/>
  <c r="CC358" i="18"/>
  <c r="CB358" i="18"/>
  <c r="CA358" i="18"/>
  <c r="BZ358" i="18"/>
  <c r="BY358" i="18"/>
  <c r="AR358" i="18"/>
  <c r="AQ358" i="18"/>
  <c r="AP358" i="18"/>
  <c r="AO358" i="18"/>
  <c r="AN358" i="18"/>
  <c r="AM358" i="18"/>
  <c r="AL358" i="18"/>
  <c r="AK358" i="18"/>
  <c r="AJ358" i="18"/>
  <c r="AI358" i="18"/>
  <c r="AH358" i="18"/>
  <c r="AG358" i="18"/>
  <c r="AF358" i="18"/>
  <c r="AE358" i="18"/>
  <c r="AD358" i="18"/>
  <c r="AC358" i="18"/>
  <c r="AB358" i="18"/>
  <c r="AA358" i="18"/>
  <c r="Z358" i="18"/>
  <c r="Y358" i="18"/>
  <c r="X358" i="18"/>
  <c r="W358" i="18"/>
  <c r="V358" i="18"/>
  <c r="U358" i="18"/>
  <c r="T358" i="18"/>
  <c r="S358" i="18"/>
  <c r="R358" i="18"/>
  <c r="Q358" i="18"/>
  <c r="P358" i="18"/>
  <c r="O358" i="18"/>
  <c r="N358" i="18"/>
  <c r="M358" i="18"/>
  <c r="L358" i="18"/>
  <c r="K358" i="18"/>
  <c r="J358" i="18"/>
  <c r="I358" i="18"/>
  <c r="H358" i="18"/>
  <c r="G358" i="18"/>
  <c r="F358" i="18"/>
  <c r="E358" i="18"/>
  <c r="D358" i="18"/>
  <c r="C358" i="18"/>
  <c r="B358" i="18"/>
  <c r="A358" i="18"/>
  <c r="CU357" i="18"/>
  <c r="CT357" i="18"/>
  <c r="CS357" i="18"/>
  <c r="CR357" i="18"/>
  <c r="CQ357" i="18"/>
  <c r="CP357" i="18"/>
  <c r="CO357" i="18"/>
  <c r="CN357" i="18"/>
  <c r="CM357" i="18"/>
  <c r="CL357" i="18"/>
  <c r="CK357" i="18"/>
  <c r="CJ357" i="18"/>
  <c r="CI357" i="18"/>
  <c r="CH357" i="18"/>
  <c r="CG357" i="18"/>
  <c r="CF357" i="18"/>
  <c r="CE357" i="18"/>
  <c r="CD357" i="18"/>
  <c r="CC357" i="18"/>
  <c r="CB357" i="18"/>
  <c r="CA357" i="18"/>
  <c r="BZ357" i="18"/>
  <c r="BY357" i="18"/>
  <c r="BX357" i="18"/>
  <c r="BW357" i="18"/>
  <c r="BV357" i="18"/>
  <c r="BU357" i="18"/>
  <c r="BT357" i="18"/>
  <c r="BS357" i="18"/>
  <c r="BR357" i="18"/>
  <c r="BQ357" i="18"/>
  <c r="BP357" i="18"/>
  <c r="BO357" i="18"/>
  <c r="BN357" i="18"/>
  <c r="BM357" i="18"/>
  <c r="BL357" i="18"/>
  <c r="BK357" i="18"/>
  <c r="BJ357" i="18"/>
  <c r="BI357" i="18"/>
  <c r="BH357" i="18"/>
  <c r="BG357" i="18"/>
  <c r="BF357" i="18"/>
  <c r="BE357" i="18"/>
  <c r="BD357" i="18"/>
  <c r="BC357" i="18"/>
  <c r="BB357" i="18"/>
  <c r="BA357" i="18"/>
  <c r="AZ357" i="18"/>
  <c r="AY357" i="18"/>
  <c r="AX357" i="18"/>
  <c r="AW357" i="18"/>
  <c r="AV357" i="18"/>
  <c r="AU357" i="18"/>
  <c r="AT357" i="18"/>
  <c r="AS357" i="18"/>
  <c r="AR357" i="18"/>
  <c r="AQ357" i="18"/>
  <c r="AP357" i="18"/>
  <c r="AO357" i="18"/>
  <c r="AN357" i="18"/>
  <c r="AM357" i="18"/>
  <c r="AL357" i="18"/>
  <c r="AK357" i="18"/>
  <c r="AJ357" i="18"/>
  <c r="AI357" i="18"/>
  <c r="AH357" i="18"/>
  <c r="AG357" i="18"/>
  <c r="AF357" i="18"/>
  <c r="AE357" i="18"/>
  <c r="AD357" i="18"/>
  <c r="AC357" i="18"/>
  <c r="AB357" i="18"/>
  <c r="AA357" i="18"/>
  <c r="Z357" i="18"/>
  <c r="Y357" i="18"/>
  <c r="X357" i="18"/>
  <c r="W357" i="18"/>
  <c r="V357" i="18"/>
  <c r="U357" i="18"/>
  <c r="T357" i="18"/>
  <c r="S357" i="18"/>
  <c r="R357" i="18"/>
  <c r="Q357" i="18"/>
  <c r="P357" i="18"/>
  <c r="O357" i="18"/>
  <c r="N357" i="18"/>
  <c r="M357" i="18"/>
  <c r="L357" i="18"/>
  <c r="K357" i="18"/>
  <c r="J357" i="18"/>
  <c r="I357" i="18"/>
  <c r="H357" i="18"/>
  <c r="G357" i="18"/>
  <c r="F357" i="18"/>
  <c r="E357" i="18"/>
  <c r="D357" i="18"/>
  <c r="C357" i="18"/>
  <c r="B357" i="18"/>
  <c r="A357" i="18"/>
  <c r="CU355" i="18"/>
  <c r="CT355" i="18"/>
  <c r="CS355" i="18"/>
  <c r="CR355" i="18"/>
  <c r="CQ355" i="18"/>
  <c r="CP355" i="18"/>
  <c r="CO355" i="18"/>
  <c r="CN355" i="18"/>
  <c r="CM355" i="18"/>
  <c r="CL355" i="18"/>
  <c r="CK355" i="18"/>
  <c r="CJ355" i="18"/>
  <c r="CI355" i="18"/>
  <c r="CH355" i="18"/>
  <c r="CG355" i="18"/>
  <c r="CF355" i="18"/>
  <c r="CE355" i="18"/>
  <c r="CD355" i="18"/>
  <c r="CC355" i="18"/>
  <c r="CB355" i="18"/>
  <c r="CA355" i="18"/>
  <c r="BZ355" i="18"/>
  <c r="BY355" i="18"/>
  <c r="AR355" i="18"/>
  <c r="AQ355" i="18"/>
  <c r="AP355" i="18"/>
  <c r="AO355" i="18"/>
  <c r="AN355" i="18"/>
  <c r="AM355" i="18"/>
  <c r="AL355" i="18"/>
  <c r="AK355" i="18"/>
  <c r="AJ355" i="18"/>
  <c r="AI355" i="18"/>
  <c r="AH355" i="18"/>
  <c r="AG355" i="18"/>
  <c r="AF355" i="18"/>
  <c r="AE355" i="18"/>
  <c r="AD355" i="18"/>
  <c r="AC355" i="18"/>
  <c r="AB355" i="18"/>
  <c r="AA355" i="18"/>
  <c r="Z355" i="18"/>
  <c r="Y355" i="18"/>
  <c r="X355" i="18"/>
  <c r="W355" i="18"/>
  <c r="V355" i="18"/>
  <c r="U355" i="18"/>
  <c r="T355" i="18"/>
  <c r="S355" i="18"/>
  <c r="R355" i="18"/>
  <c r="Q355" i="18"/>
  <c r="P355" i="18"/>
  <c r="O355" i="18"/>
  <c r="N355" i="18"/>
  <c r="M355" i="18"/>
  <c r="L355" i="18"/>
  <c r="K355" i="18"/>
  <c r="J355" i="18"/>
  <c r="I355" i="18"/>
  <c r="H355" i="18"/>
  <c r="G355" i="18"/>
  <c r="F355" i="18"/>
  <c r="E355" i="18"/>
  <c r="D355" i="18"/>
  <c r="C355" i="18"/>
  <c r="B355" i="18"/>
  <c r="A355" i="18"/>
  <c r="CU354" i="18"/>
  <c r="CT354" i="18"/>
  <c r="CS354" i="18"/>
  <c r="CR354" i="18"/>
  <c r="CI354" i="18"/>
  <c r="CH354" i="18"/>
  <c r="CG354" i="18"/>
  <c r="CF354" i="18"/>
  <c r="CE354" i="18"/>
  <c r="CD354" i="18"/>
  <c r="CC354" i="18"/>
  <c r="CB354" i="18"/>
  <c r="CA354" i="18"/>
  <c r="BZ354" i="18"/>
  <c r="BY354" i="18"/>
  <c r="AR354" i="18"/>
  <c r="AQ354" i="18"/>
  <c r="AP354" i="18"/>
  <c r="AO354" i="18"/>
  <c r="AN354" i="18"/>
  <c r="AM354" i="18"/>
  <c r="AL354" i="18"/>
  <c r="AK354" i="18"/>
  <c r="AJ354" i="18"/>
  <c r="AI354" i="18"/>
  <c r="AH354" i="18"/>
  <c r="AG354" i="18"/>
  <c r="AF354" i="18"/>
  <c r="AE354" i="18"/>
  <c r="AD354" i="18"/>
  <c r="AC354" i="18"/>
  <c r="AB354" i="18"/>
  <c r="AA354" i="18"/>
  <c r="Z354" i="18"/>
  <c r="Y354" i="18"/>
  <c r="X354" i="18"/>
  <c r="W354" i="18"/>
  <c r="V354" i="18"/>
  <c r="U354" i="18"/>
  <c r="T354" i="18"/>
  <c r="S354" i="18"/>
  <c r="R354" i="18"/>
  <c r="Q354" i="18"/>
  <c r="P354" i="18"/>
  <c r="O354" i="18"/>
  <c r="N354" i="18"/>
  <c r="M354" i="18"/>
  <c r="L354" i="18"/>
  <c r="K354" i="18"/>
  <c r="J354" i="18"/>
  <c r="I354" i="18"/>
  <c r="H354" i="18"/>
  <c r="G354" i="18"/>
  <c r="F354" i="18"/>
  <c r="E354" i="18"/>
  <c r="D354" i="18"/>
  <c r="C354" i="18"/>
  <c r="B354" i="18"/>
  <c r="A354" i="18"/>
  <c r="CU353" i="18"/>
  <c r="CT353" i="18"/>
  <c r="CS353" i="18"/>
  <c r="CR353" i="18"/>
  <c r="CI353" i="18"/>
  <c r="CH353" i="18"/>
  <c r="CG353" i="18"/>
  <c r="CF353" i="18"/>
  <c r="CE353" i="18"/>
  <c r="CD353" i="18"/>
  <c r="CC353" i="18"/>
  <c r="CB353" i="18"/>
  <c r="CA353" i="18"/>
  <c r="BZ353" i="18"/>
  <c r="BY353" i="18"/>
  <c r="AR353" i="18"/>
  <c r="AQ353" i="18"/>
  <c r="AP353" i="18"/>
  <c r="AO353" i="18"/>
  <c r="AN353" i="18"/>
  <c r="AM353" i="18"/>
  <c r="AL353" i="18"/>
  <c r="AK353" i="18"/>
  <c r="AJ353" i="18"/>
  <c r="AI353" i="18"/>
  <c r="AH353" i="18"/>
  <c r="AG353" i="18"/>
  <c r="AF353" i="18"/>
  <c r="AE353" i="18"/>
  <c r="AD353" i="18"/>
  <c r="AC353" i="18"/>
  <c r="AB353" i="18"/>
  <c r="AA353" i="18"/>
  <c r="Z353" i="18"/>
  <c r="Y353" i="18"/>
  <c r="X353" i="18"/>
  <c r="W353" i="18"/>
  <c r="V353" i="18"/>
  <c r="U353" i="18"/>
  <c r="T353" i="18"/>
  <c r="S353" i="18"/>
  <c r="R353" i="18"/>
  <c r="Q353" i="18"/>
  <c r="P353" i="18"/>
  <c r="O353" i="18"/>
  <c r="N353" i="18"/>
  <c r="M353" i="18"/>
  <c r="L353" i="18"/>
  <c r="K353" i="18"/>
  <c r="J353" i="18"/>
  <c r="I353" i="18"/>
  <c r="H353" i="18"/>
  <c r="G353" i="18"/>
  <c r="F353" i="18"/>
  <c r="E353" i="18"/>
  <c r="D353" i="18"/>
  <c r="C353" i="18"/>
  <c r="B353" i="18"/>
  <c r="A353" i="18"/>
  <c r="CU352" i="18"/>
  <c r="CT352" i="18"/>
  <c r="CS352" i="18"/>
  <c r="CR352" i="18"/>
  <c r="CI352" i="18"/>
  <c r="CH352" i="18"/>
  <c r="CG352" i="18"/>
  <c r="CF352" i="18"/>
  <c r="CE352" i="18"/>
  <c r="CD352" i="18"/>
  <c r="CC352" i="18"/>
  <c r="CB352" i="18"/>
  <c r="CA352" i="18"/>
  <c r="BZ352" i="18"/>
  <c r="BY352" i="18"/>
  <c r="AR352" i="18"/>
  <c r="AQ352" i="18"/>
  <c r="AP352" i="18"/>
  <c r="AO352" i="18"/>
  <c r="AN352" i="18"/>
  <c r="AM352" i="18"/>
  <c r="AL352" i="18"/>
  <c r="AK352" i="18"/>
  <c r="AJ352" i="18"/>
  <c r="AI352" i="18"/>
  <c r="AH352" i="18"/>
  <c r="AG352" i="18"/>
  <c r="AF352" i="18"/>
  <c r="AE352" i="18"/>
  <c r="AD352" i="18"/>
  <c r="AC352" i="18"/>
  <c r="AB352" i="18"/>
  <c r="AA352" i="18"/>
  <c r="Z352" i="18"/>
  <c r="Y352" i="18"/>
  <c r="X352" i="18"/>
  <c r="W352" i="18"/>
  <c r="V352" i="18"/>
  <c r="U352" i="18"/>
  <c r="T352" i="18"/>
  <c r="S352" i="18"/>
  <c r="R352" i="18"/>
  <c r="Q352" i="18"/>
  <c r="P352" i="18"/>
  <c r="O352" i="18"/>
  <c r="N352" i="18"/>
  <c r="M352" i="18"/>
  <c r="L352" i="18"/>
  <c r="K352" i="18"/>
  <c r="J352" i="18"/>
  <c r="I352" i="18"/>
  <c r="H352" i="18"/>
  <c r="G352" i="18"/>
  <c r="F352" i="18"/>
  <c r="E352" i="18"/>
  <c r="D352" i="18"/>
  <c r="C352" i="18"/>
  <c r="B352" i="18"/>
  <c r="A352" i="18"/>
  <c r="CU349" i="18"/>
  <c r="CT349" i="18"/>
  <c r="CS349" i="18"/>
  <c r="CR349" i="18"/>
  <c r="CQ349" i="18"/>
  <c r="CP349" i="18"/>
  <c r="CO349" i="18"/>
  <c r="CN349" i="18"/>
  <c r="CM349" i="18"/>
  <c r="CL349" i="18"/>
  <c r="CK349" i="18"/>
  <c r="CJ349" i="18"/>
  <c r="CI349" i="18"/>
  <c r="CH349" i="18"/>
  <c r="CG349" i="18"/>
  <c r="CF349" i="18"/>
  <c r="CE349" i="18"/>
  <c r="CD349" i="18"/>
  <c r="CC349" i="18"/>
  <c r="CB349" i="18"/>
  <c r="CA349" i="18"/>
  <c r="BZ349" i="18"/>
  <c r="BY349" i="18"/>
  <c r="AR349" i="18"/>
  <c r="AQ349" i="18"/>
  <c r="AP349" i="18"/>
  <c r="AO349" i="18"/>
  <c r="AN349" i="18"/>
  <c r="AM349" i="18"/>
  <c r="AL349" i="18"/>
  <c r="AK349" i="18"/>
  <c r="AJ349" i="18"/>
  <c r="AI349" i="18"/>
  <c r="AH349" i="18"/>
  <c r="AG349" i="18"/>
  <c r="AF349" i="18"/>
  <c r="AE349" i="18"/>
  <c r="AD349" i="18"/>
  <c r="AC349" i="18"/>
  <c r="AB349" i="18"/>
  <c r="AA349" i="18"/>
  <c r="Z349" i="18"/>
  <c r="Y349" i="18"/>
  <c r="X349" i="18"/>
  <c r="W349" i="18"/>
  <c r="V349" i="18"/>
  <c r="U349" i="18"/>
  <c r="T349" i="18"/>
  <c r="S349" i="18"/>
  <c r="R349" i="18"/>
  <c r="Q349" i="18"/>
  <c r="P349" i="18"/>
  <c r="O349" i="18"/>
  <c r="N349" i="18"/>
  <c r="M349" i="18"/>
  <c r="L349" i="18"/>
  <c r="K349" i="18"/>
  <c r="J349" i="18"/>
  <c r="I349" i="18"/>
  <c r="H349" i="18"/>
  <c r="G349" i="18"/>
  <c r="F349" i="18"/>
  <c r="E349" i="18"/>
  <c r="D349" i="18"/>
  <c r="C349" i="18"/>
  <c r="B349" i="18"/>
  <c r="A349" i="18"/>
  <c r="CU348" i="18"/>
  <c r="CT348" i="18"/>
  <c r="CS348" i="18"/>
  <c r="CR348" i="18"/>
  <c r="CI348" i="18"/>
  <c r="CH348" i="18"/>
  <c r="CG348" i="18"/>
  <c r="CF348" i="18"/>
  <c r="CE348" i="18"/>
  <c r="CD348" i="18"/>
  <c r="CC348" i="18"/>
  <c r="CB348" i="18"/>
  <c r="CA348" i="18"/>
  <c r="BZ348" i="18"/>
  <c r="BY348" i="18"/>
  <c r="AR348" i="18"/>
  <c r="AQ348" i="18"/>
  <c r="AP348" i="18"/>
  <c r="AO348" i="18"/>
  <c r="AN348" i="18"/>
  <c r="AM348" i="18"/>
  <c r="AL348" i="18"/>
  <c r="AK348" i="18"/>
  <c r="AJ348" i="18"/>
  <c r="AI348" i="18"/>
  <c r="AH348" i="18"/>
  <c r="AG348" i="18"/>
  <c r="AF348" i="18"/>
  <c r="AE348" i="18"/>
  <c r="AD348" i="18"/>
  <c r="AC348" i="18"/>
  <c r="AB348" i="18"/>
  <c r="AA348" i="18"/>
  <c r="Z348" i="18"/>
  <c r="Y348" i="18"/>
  <c r="X348" i="18"/>
  <c r="W348" i="18"/>
  <c r="V348" i="18"/>
  <c r="U348" i="18"/>
  <c r="T348" i="18"/>
  <c r="S348" i="18"/>
  <c r="R348" i="18"/>
  <c r="Q348" i="18"/>
  <c r="P348" i="18"/>
  <c r="O348" i="18"/>
  <c r="N348" i="18"/>
  <c r="M348" i="18"/>
  <c r="L348" i="18"/>
  <c r="K348" i="18"/>
  <c r="J348" i="18"/>
  <c r="I348" i="18"/>
  <c r="H348" i="18"/>
  <c r="G348" i="18"/>
  <c r="F348" i="18"/>
  <c r="E348" i="18"/>
  <c r="D348" i="18"/>
  <c r="C348" i="18"/>
  <c r="B348" i="18"/>
  <c r="A348" i="18"/>
  <c r="CU347" i="18"/>
  <c r="CT347" i="18"/>
  <c r="CS347" i="18"/>
  <c r="CR347" i="18"/>
  <c r="CI347" i="18"/>
  <c r="CH347" i="18"/>
  <c r="CG347" i="18"/>
  <c r="CF347" i="18"/>
  <c r="CE347" i="18"/>
  <c r="CD347" i="18"/>
  <c r="CC347" i="18"/>
  <c r="CB347" i="18"/>
  <c r="CA347" i="18"/>
  <c r="BZ347" i="18"/>
  <c r="BY347" i="18"/>
  <c r="AR347" i="18"/>
  <c r="AQ347" i="18"/>
  <c r="AP347" i="18"/>
  <c r="AO347" i="18"/>
  <c r="AN347" i="18"/>
  <c r="AM347" i="18"/>
  <c r="AL347" i="18"/>
  <c r="AK347" i="18"/>
  <c r="AJ347" i="18"/>
  <c r="AI347" i="18"/>
  <c r="AH347" i="18"/>
  <c r="AG347" i="18"/>
  <c r="AF347" i="18"/>
  <c r="AE347" i="18"/>
  <c r="AD347" i="18"/>
  <c r="AC347" i="18"/>
  <c r="AB347" i="18"/>
  <c r="AA347" i="18"/>
  <c r="Z347" i="18"/>
  <c r="Y347" i="18"/>
  <c r="X347" i="18"/>
  <c r="W347" i="18"/>
  <c r="V347" i="18"/>
  <c r="U347" i="18"/>
  <c r="T347" i="18"/>
  <c r="S347" i="18"/>
  <c r="R347" i="18"/>
  <c r="Q347" i="18"/>
  <c r="P347" i="18"/>
  <c r="O347" i="18"/>
  <c r="N347" i="18"/>
  <c r="M347" i="18"/>
  <c r="L347" i="18"/>
  <c r="K347" i="18"/>
  <c r="J347" i="18"/>
  <c r="I347" i="18"/>
  <c r="H347" i="18"/>
  <c r="G347" i="18"/>
  <c r="F347" i="18"/>
  <c r="E347" i="18"/>
  <c r="D347" i="18"/>
  <c r="C347" i="18"/>
  <c r="B347" i="18"/>
  <c r="A347" i="18"/>
  <c r="CU346" i="18"/>
  <c r="CT346" i="18"/>
  <c r="CS346" i="18"/>
  <c r="CR346" i="18"/>
  <c r="CI346" i="18"/>
  <c r="CH346" i="18"/>
  <c r="CG346" i="18"/>
  <c r="CF346" i="18"/>
  <c r="CE346" i="18"/>
  <c r="CD346" i="18"/>
  <c r="CC346" i="18"/>
  <c r="CB346" i="18"/>
  <c r="CA346" i="18"/>
  <c r="BZ346" i="18"/>
  <c r="BY346" i="18"/>
  <c r="AR346" i="18"/>
  <c r="AQ346" i="18"/>
  <c r="AP346" i="18"/>
  <c r="AO346" i="18"/>
  <c r="AN346" i="18"/>
  <c r="AM346" i="18"/>
  <c r="AL346" i="18"/>
  <c r="AK346" i="18"/>
  <c r="AJ346" i="18"/>
  <c r="AI346" i="18"/>
  <c r="AH346" i="18"/>
  <c r="AG346" i="18"/>
  <c r="AF346" i="18"/>
  <c r="AE346" i="18"/>
  <c r="AD346" i="18"/>
  <c r="AC346" i="18"/>
  <c r="AB346" i="18"/>
  <c r="AA346" i="18"/>
  <c r="Z346" i="18"/>
  <c r="Y346" i="18"/>
  <c r="X346" i="18"/>
  <c r="W346" i="18"/>
  <c r="V346" i="18"/>
  <c r="U346" i="18"/>
  <c r="T346" i="18"/>
  <c r="S346" i="18"/>
  <c r="R346" i="18"/>
  <c r="Q346" i="18"/>
  <c r="P346" i="18"/>
  <c r="O346" i="18"/>
  <c r="N346" i="18"/>
  <c r="M346" i="18"/>
  <c r="L346" i="18"/>
  <c r="K346" i="18"/>
  <c r="J346" i="18"/>
  <c r="I346" i="18"/>
  <c r="H346" i="18"/>
  <c r="G346" i="18"/>
  <c r="F346" i="18"/>
  <c r="E346" i="18"/>
  <c r="D346" i="18"/>
  <c r="C346" i="18"/>
  <c r="B346" i="18"/>
  <c r="A346" i="18"/>
  <c r="CU345" i="18"/>
  <c r="CT345" i="18"/>
  <c r="CS345" i="18"/>
  <c r="CR345" i="18"/>
  <c r="CI345" i="18"/>
  <c r="CH345" i="18"/>
  <c r="CG345" i="18"/>
  <c r="CF345" i="18"/>
  <c r="CE345" i="18"/>
  <c r="CD345" i="18"/>
  <c r="CC345" i="18"/>
  <c r="CB345" i="18"/>
  <c r="CA345" i="18"/>
  <c r="BZ345" i="18"/>
  <c r="BY345" i="18"/>
  <c r="AR345" i="18"/>
  <c r="AQ345" i="18"/>
  <c r="AP345" i="18"/>
  <c r="AO345" i="18"/>
  <c r="AN345" i="18"/>
  <c r="AM345" i="18"/>
  <c r="AL345" i="18"/>
  <c r="AK345" i="18"/>
  <c r="AJ345" i="18"/>
  <c r="AI345" i="18"/>
  <c r="AH345" i="18"/>
  <c r="AG345" i="18"/>
  <c r="AF345" i="18"/>
  <c r="AE345" i="18"/>
  <c r="AD345" i="18"/>
  <c r="AC345" i="18"/>
  <c r="AB345" i="18"/>
  <c r="AA345" i="18"/>
  <c r="Z345" i="18"/>
  <c r="Y345" i="18"/>
  <c r="X345" i="18"/>
  <c r="W345" i="18"/>
  <c r="V345" i="18"/>
  <c r="U345" i="18"/>
  <c r="T345" i="18"/>
  <c r="S345" i="18"/>
  <c r="R345" i="18"/>
  <c r="Q345" i="18"/>
  <c r="P345" i="18"/>
  <c r="O345" i="18"/>
  <c r="N345" i="18"/>
  <c r="M345" i="18"/>
  <c r="L345" i="18"/>
  <c r="K345" i="18"/>
  <c r="J345" i="18"/>
  <c r="I345" i="18"/>
  <c r="H345" i="18"/>
  <c r="G345" i="18"/>
  <c r="F345" i="18"/>
  <c r="E345" i="18"/>
  <c r="D345" i="18"/>
  <c r="C345" i="18"/>
  <c r="B345" i="18"/>
  <c r="A345" i="18"/>
  <c r="CU344" i="18"/>
  <c r="CT344" i="18"/>
  <c r="CS344" i="18"/>
  <c r="CR344" i="18"/>
  <c r="CQ344" i="18"/>
  <c r="CP344" i="18"/>
  <c r="CO344" i="18"/>
  <c r="CN344" i="18"/>
  <c r="CM344" i="18"/>
  <c r="CL344" i="18"/>
  <c r="CK344" i="18"/>
  <c r="CJ344" i="18"/>
  <c r="CI344" i="18"/>
  <c r="CH344" i="18"/>
  <c r="CG344" i="18"/>
  <c r="CF344" i="18"/>
  <c r="CE344" i="18"/>
  <c r="CD344" i="18"/>
  <c r="CC344" i="18"/>
  <c r="CB344" i="18"/>
  <c r="CA344" i="18"/>
  <c r="BZ344" i="18"/>
  <c r="BY344" i="18"/>
  <c r="BX344" i="18"/>
  <c r="BW344" i="18"/>
  <c r="BV344" i="18"/>
  <c r="BU344" i="18"/>
  <c r="BT344" i="18"/>
  <c r="BS344" i="18"/>
  <c r="BR344" i="18"/>
  <c r="BQ344" i="18"/>
  <c r="BP344" i="18"/>
  <c r="BO344" i="18"/>
  <c r="BN344" i="18"/>
  <c r="BM344" i="18"/>
  <c r="BL344" i="18"/>
  <c r="BK344" i="18"/>
  <c r="BJ344" i="18"/>
  <c r="BI344" i="18"/>
  <c r="BH344" i="18"/>
  <c r="BG344" i="18"/>
  <c r="BF344" i="18"/>
  <c r="BE344" i="18"/>
  <c r="BD344" i="18"/>
  <c r="BC344" i="18"/>
  <c r="BB344" i="18"/>
  <c r="BA344" i="18"/>
  <c r="AZ344" i="18"/>
  <c r="AY344" i="18"/>
  <c r="AX344" i="18"/>
  <c r="AW344" i="18"/>
  <c r="AV344" i="18"/>
  <c r="AU344" i="18"/>
  <c r="AT344" i="18"/>
  <c r="AS344" i="18"/>
  <c r="AR344" i="18"/>
  <c r="AQ344" i="18"/>
  <c r="AP344" i="18"/>
  <c r="AO344" i="18"/>
  <c r="AN344" i="18"/>
  <c r="AM344" i="18"/>
  <c r="AL344" i="18"/>
  <c r="AK344" i="18"/>
  <c r="AJ344" i="18"/>
  <c r="AI344" i="18"/>
  <c r="AH344" i="18"/>
  <c r="AG344" i="18"/>
  <c r="AF344" i="18"/>
  <c r="AE344" i="18"/>
  <c r="AD344" i="18"/>
  <c r="AC344" i="18"/>
  <c r="AB344" i="18"/>
  <c r="AA344" i="18"/>
  <c r="Z344" i="18"/>
  <c r="Y344" i="18"/>
  <c r="X344" i="18"/>
  <c r="W344" i="18"/>
  <c r="V344" i="18"/>
  <c r="U344" i="18"/>
  <c r="T344" i="18"/>
  <c r="S344" i="18"/>
  <c r="R344" i="18"/>
  <c r="Q344" i="18"/>
  <c r="P344" i="18"/>
  <c r="O344" i="18"/>
  <c r="N344" i="18"/>
  <c r="M344" i="18"/>
  <c r="L344" i="18"/>
  <c r="K344" i="18"/>
  <c r="J344" i="18"/>
  <c r="I344" i="18"/>
  <c r="H344" i="18"/>
  <c r="G344" i="18"/>
  <c r="F344" i="18"/>
  <c r="E344" i="18"/>
  <c r="D344" i="18"/>
  <c r="C344" i="18"/>
  <c r="B344" i="18"/>
  <c r="A344" i="18"/>
  <c r="CU343" i="18"/>
  <c r="CT343" i="18"/>
  <c r="CS343" i="18"/>
  <c r="CR343" i="18"/>
  <c r="CQ343" i="18"/>
  <c r="CP343" i="18"/>
  <c r="CO343" i="18"/>
  <c r="CN343" i="18"/>
  <c r="CM343" i="18"/>
  <c r="CL343" i="18"/>
  <c r="CK343" i="18"/>
  <c r="CJ343" i="18"/>
  <c r="CI343" i="18"/>
  <c r="CH343" i="18"/>
  <c r="CG343" i="18"/>
  <c r="CF343" i="18"/>
  <c r="CE343" i="18"/>
  <c r="CD343" i="18"/>
  <c r="CC343" i="18"/>
  <c r="CB343" i="18"/>
  <c r="CA343" i="18"/>
  <c r="BZ343" i="18"/>
  <c r="BY343" i="18"/>
  <c r="AR343" i="18"/>
  <c r="AQ343" i="18"/>
  <c r="AP343" i="18"/>
  <c r="AO343" i="18"/>
  <c r="AN343" i="18"/>
  <c r="AM343" i="18"/>
  <c r="AL343" i="18"/>
  <c r="AK343" i="18"/>
  <c r="AJ343" i="18"/>
  <c r="AI343" i="18"/>
  <c r="AH343" i="18"/>
  <c r="AG343" i="18"/>
  <c r="AF343" i="18"/>
  <c r="AE343" i="18"/>
  <c r="AD343" i="18"/>
  <c r="AC343" i="18"/>
  <c r="AB343" i="18"/>
  <c r="AA343" i="18"/>
  <c r="Z343" i="18"/>
  <c r="Y343" i="18"/>
  <c r="X343" i="18"/>
  <c r="W343" i="18"/>
  <c r="V343" i="18"/>
  <c r="U343" i="18"/>
  <c r="T343" i="18"/>
  <c r="S343" i="18"/>
  <c r="R343" i="18"/>
  <c r="Q343" i="18"/>
  <c r="P343" i="18"/>
  <c r="O343" i="18"/>
  <c r="N343" i="18"/>
  <c r="M343" i="18"/>
  <c r="L343" i="18"/>
  <c r="K343" i="18"/>
  <c r="J343" i="18"/>
  <c r="I343" i="18"/>
  <c r="H343" i="18"/>
  <c r="G343" i="18"/>
  <c r="F343" i="18"/>
  <c r="E343" i="18"/>
  <c r="D343" i="18"/>
  <c r="C343" i="18"/>
  <c r="B343" i="18"/>
  <c r="A343" i="18"/>
  <c r="CU342" i="18"/>
  <c r="CT342" i="18"/>
  <c r="CS342" i="18"/>
  <c r="CR342" i="18"/>
  <c r="CI342" i="18"/>
  <c r="CH342" i="18"/>
  <c r="CG342" i="18"/>
  <c r="CF342" i="18"/>
  <c r="CE342" i="18"/>
  <c r="CD342" i="18"/>
  <c r="CC342" i="18"/>
  <c r="CB342" i="18"/>
  <c r="CA342" i="18"/>
  <c r="BZ342" i="18"/>
  <c r="BY342" i="18"/>
  <c r="BX342" i="18"/>
  <c r="BW342" i="18"/>
  <c r="BV342" i="18"/>
  <c r="BU342" i="18"/>
  <c r="AR342" i="18"/>
  <c r="AQ342" i="18"/>
  <c r="AP342" i="18"/>
  <c r="AO342" i="18"/>
  <c r="AN342" i="18"/>
  <c r="AM342" i="18"/>
  <c r="AL342" i="18"/>
  <c r="AK342" i="18"/>
  <c r="AJ342" i="18"/>
  <c r="AI342" i="18"/>
  <c r="AH342" i="18"/>
  <c r="AG342" i="18"/>
  <c r="AF342" i="18"/>
  <c r="AE342" i="18"/>
  <c r="AD342" i="18"/>
  <c r="AC342" i="18"/>
  <c r="AB342" i="18"/>
  <c r="AA342" i="18"/>
  <c r="Z342" i="18"/>
  <c r="Y342" i="18"/>
  <c r="X342" i="18"/>
  <c r="W342" i="18"/>
  <c r="V342" i="18"/>
  <c r="U342" i="18"/>
  <c r="T342" i="18"/>
  <c r="S342" i="18"/>
  <c r="R342" i="18"/>
  <c r="Q342" i="18"/>
  <c r="P342" i="18"/>
  <c r="O342" i="18"/>
  <c r="N342" i="18"/>
  <c r="M342" i="18"/>
  <c r="L342" i="18"/>
  <c r="K342" i="18"/>
  <c r="J342" i="18"/>
  <c r="I342" i="18"/>
  <c r="H342" i="18"/>
  <c r="G342" i="18"/>
  <c r="F342" i="18"/>
  <c r="E342" i="18"/>
  <c r="D342" i="18"/>
  <c r="C342" i="18"/>
  <c r="B342" i="18"/>
  <c r="A342" i="18"/>
  <c r="CU341" i="18"/>
  <c r="CT341" i="18"/>
  <c r="CS341" i="18"/>
  <c r="CR341" i="18"/>
  <c r="CI341" i="18"/>
  <c r="CH341" i="18"/>
  <c r="CG341" i="18"/>
  <c r="CF341" i="18"/>
  <c r="CE341" i="18"/>
  <c r="CD341" i="18"/>
  <c r="CC341" i="18"/>
  <c r="CB341" i="18"/>
  <c r="CA341" i="18"/>
  <c r="BZ341" i="18"/>
  <c r="BY341" i="18"/>
  <c r="AR341" i="18"/>
  <c r="AQ341" i="18"/>
  <c r="AP341" i="18"/>
  <c r="AO341" i="18"/>
  <c r="AN341" i="18"/>
  <c r="AM341" i="18"/>
  <c r="AL341" i="18"/>
  <c r="AK341" i="18"/>
  <c r="AJ341" i="18"/>
  <c r="AI341" i="18"/>
  <c r="AH341" i="18"/>
  <c r="AG341" i="18"/>
  <c r="AF341" i="18"/>
  <c r="AE341" i="18"/>
  <c r="AD341" i="18"/>
  <c r="AC341" i="18"/>
  <c r="AB341" i="18"/>
  <c r="AA341" i="18"/>
  <c r="Z341" i="18"/>
  <c r="Y341" i="18"/>
  <c r="X341" i="18"/>
  <c r="W341" i="18"/>
  <c r="V341" i="18"/>
  <c r="U341" i="18"/>
  <c r="T341" i="18"/>
  <c r="S341" i="18"/>
  <c r="R341" i="18"/>
  <c r="Q341" i="18"/>
  <c r="P341" i="18"/>
  <c r="O341" i="18"/>
  <c r="N341" i="18"/>
  <c r="M341" i="18"/>
  <c r="L341" i="18"/>
  <c r="K341" i="18"/>
  <c r="J341" i="18"/>
  <c r="I341" i="18"/>
  <c r="H341" i="18"/>
  <c r="G341" i="18"/>
  <c r="F341" i="18"/>
  <c r="E341" i="18"/>
  <c r="D341" i="18"/>
  <c r="C341" i="18"/>
  <c r="B341" i="18"/>
  <c r="A341" i="18"/>
  <c r="CU340" i="18"/>
  <c r="CT340" i="18"/>
  <c r="CS340" i="18"/>
  <c r="CR340" i="18"/>
  <c r="CI340" i="18"/>
  <c r="CH340" i="18"/>
  <c r="CG340" i="18"/>
  <c r="CF340" i="18"/>
  <c r="CE340" i="18"/>
  <c r="CD340" i="18"/>
  <c r="CC340" i="18"/>
  <c r="CB340" i="18"/>
  <c r="CA340" i="18"/>
  <c r="BZ340" i="18"/>
  <c r="BY340" i="18"/>
  <c r="AR340" i="18"/>
  <c r="AQ340" i="18"/>
  <c r="AP340" i="18"/>
  <c r="AO340" i="18"/>
  <c r="AN340" i="18"/>
  <c r="AM340" i="18"/>
  <c r="AL340" i="18"/>
  <c r="AK340" i="18"/>
  <c r="AJ340" i="18"/>
  <c r="AI340" i="18"/>
  <c r="AH340" i="18"/>
  <c r="AG340" i="18"/>
  <c r="AF340" i="18"/>
  <c r="AE340" i="18"/>
  <c r="AD340" i="18"/>
  <c r="AC340" i="18"/>
  <c r="AB340" i="18"/>
  <c r="AA340" i="18"/>
  <c r="Z340" i="18"/>
  <c r="Y340" i="18"/>
  <c r="X340" i="18"/>
  <c r="W340" i="18"/>
  <c r="V340" i="18"/>
  <c r="U340" i="18"/>
  <c r="T340" i="18"/>
  <c r="S340" i="18"/>
  <c r="R340" i="18"/>
  <c r="Q340" i="18"/>
  <c r="P340" i="18"/>
  <c r="O340" i="18"/>
  <c r="N340" i="18"/>
  <c r="M340" i="18"/>
  <c r="L340" i="18"/>
  <c r="K340" i="18"/>
  <c r="J340" i="18"/>
  <c r="I340" i="18"/>
  <c r="H340" i="18"/>
  <c r="G340" i="18"/>
  <c r="F340" i="18"/>
  <c r="E340" i="18"/>
  <c r="D340" i="18"/>
  <c r="C340" i="18"/>
  <c r="B340" i="18"/>
  <c r="A340" i="18"/>
  <c r="CU339" i="18"/>
  <c r="CT339" i="18"/>
  <c r="CS339" i="18"/>
  <c r="CR339" i="18"/>
  <c r="CI339" i="18"/>
  <c r="CH339" i="18"/>
  <c r="CG339" i="18"/>
  <c r="CF339" i="18"/>
  <c r="CE339" i="18"/>
  <c r="CD339" i="18"/>
  <c r="CC339" i="18"/>
  <c r="CB339" i="18"/>
  <c r="CA339" i="18"/>
  <c r="BZ339" i="18"/>
  <c r="BY339" i="18"/>
  <c r="AR339" i="18"/>
  <c r="AQ339" i="18"/>
  <c r="AP339" i="18"/>
  <c r="AO339" i="18"/>
  <c r="AN339" i="18"/>
  <c r="AM339" i="18"/>
  <c r="AL339" i="18"/>
  <c r="AK339" i="18"/>
  <c r="AJ339" i="18"/>
  <c r="AI339" i="18"/>
  <c r="AH339" i="18"/>
  <c r="AG339" i="18"/>
  <c r="AF339" i="18"/>
  <c r="AE339" i="18"/>
  <c r="AD339" i="18"/>
  <c r="AC339" i="18"/>
  <c r="AB339" i="18"/>
  <c r="AA339" i="18"/>
  <c r="Z339" i="18"/>
  <c r="Y339" i="18"/>
  <c r="X339" i="18"/>
  <c r="W339" i="18"/>
  <c r="V339" i="18"/>
  <c r="U339" i="18"/>
  <c r="T339" i="18"/>
  <c r="S339" i="18"/>
  <c r="R339" i="18"/>
  <c r="Q339" i="18"/>
  <c r="P339" i="18"/>
  <c r="O339" i="18"/>
  <c r="N339" i="18"/>
  <c r="M339" i="18"/>
  <c r="L339" i="18"/>
  <c r="K339" i="18"/>
  <c r="J339" i="18"/>
  <c r="I339" i="18"/>
  <c r="H339" i="18"/>
  <c r="G339" i="18"/>
  <c r="F339" i="18"/>
  <c r="E339" i="18"/>
  <c r="D339" i="18"/>
  <c r="C339" i="18"/>
  <c r="B339" i="18"/>
  <c r="A339" i="18"/>
  <c r="CU338" i="18"/>
  <c r="CT338" i="18"/>
  <c r="CS338" i="18"/>
  <c r="CR338" i="18"/>
  <c r="CQ338" i="18"/>
  <c r="CP338" i="18"/>
  <c r="CO338" i="18"/>
  <c r="CN338" i="18"/>
  <c r="CM338" i="18"/>
  <c r="CL338" i="18"/>
  <c r="CK338" i="18"/>
  <c r="CJ338" i="18"/>
  <c r="CI338" i="18"/>
  <c r="CH338" i="18"/>
  <c r="CG338" i="18"/>
  <c r="CF338" i="18"/>
  <c r="CE338" i="18"/>
  <c r="CD338" i="18"/>
  <c r="CC338" i="18"/>
  <c r="CB338" i="18"/>
  <c r="CA338" i="18"/>
  <c r="BZ338" i="18"/>
  <c r="BY338" i="18"/>
  <c r="BX338" i="18"/>
  <c r="BW338" i="18"/>
  <c r="BV338" i="18"/>
  <c r="BU338" i="18"/>
  <c r="BT338" i="18"/>
  <c r="BS338" i="18"/>
  <c r="BR338" i="18"/>
  <c r="BQ338" i="18"/>
  <c r="BP338" i="18"/>
  <c r="BO338" i="18"/>
  <c r="BN338" i="18"/>
  <c r="BM338" i="18"/>
  <c r="BL338" i="18"/>
  <c r="BK338" i="18"/>
  <c r="BJ338" i="18"/>
  <c r="BI338" i="18"/>
  <c r="BH338" i="18"/>
  <c r="BG338" i="18"/>
  <c r="BF338" i="18"/>
  <c r="BE338" i="18"/>
  <c r="BD338" i="18"/>
  <c r="BC338" i="18"/>
  <c r="BB338" i="18"/>
  <c r="BA338" i="18"/>
  <c r="AZ338" i="18"/>
  <c r="AY338" i="18"/>
  <c r="AX338" i="18"/>
  <c r="AW338" i="18"/>
  <c r="AV338" i="18"/>
  <c r="AU338" i="18"/>
  <c r="AT338" i="18"/>
  <c r="AS338" i="18"/>
  <c r="AR338" i="18"/>
  <c r="AQ338" i="18"/>
  <c r="AP338" i="18"/>
  <c r="AO338" i="18"/>
  <c r="AN338" i="18"/>
  <c r="AM338" i="18"/>
  <c r="AL338" i="18"/>
  <c r="AK338" i="18"/>
  <c r="AJ338" i="18"/>
  <c r="AI338" i="18"/>
  <c r="AH338" i="18"/>
  <c r="AG338" i="18"/>
  <c r="AF338" i="18"/>
  <c r="AE338" i="18"/>
  <c r="AD338" i="18"/>
  <c r="AC338" i="18"/>
  <c r="AB338" i="18"/>
  <c r="AA338" i="18"/>
  <c r="Z338" i="18"/>
  <c r="Y338" i="18"/>
  <c r="X338" i="18"/>
  <c r="W338" i="18"/>
  <c r="V338" i="18"/>
  <c r="U338" i="18"/>
  <c r="T338" i="18"/>
  <c r="S338" i="18"/>
  <c r="R338" i="18"/>
  <c r="Q338" i="18"/>
  <c r="P338" i="18"/>
  <c r="O338" i="18"/>
  <c r="N338" i="18"/>
  <c r="M338" i="18"/>
  <c r="L338" i="18"/>
  <c r="K338" i="18"/>
  <c r="J338" i="18"/>
  <c r="I338" i="18"/>
  <c r="H338" i="18"/>
  <c r="G338" i="18"/>
  <c r="F338" i="18"/>
  <c r="E338" i="18"/>
  <c r="D338" i="18"/>
  <c r="C338" i="18"/>
  <c r="B338" i="18"/>
  <c r="A338" i="18"/>
  <c r="CU337" i="18"/>
  <c r="CT337" i="18"/>
  <c r="CS337" i="18"/>
  <c r="CR337" i="18"/>
  <c r="CI337" i="18"/>
  <c r="CH337" i="18"/>
  <c r="CG337" i="18"/>
  <c r="CF337" i="18"/>
  <c r="CE337" i="18"/>
  <c r="CD337" i="18"/>
  <c r="CC337" i="18"/>
  <c r="CB337" i="18"/>
  <c r="CA337" i="18"/>
  <c r="BZ337" i="18"/>
  <c r="BY337" i="18"/>
  <c r="BX337" i="18"/>
  <c r="BW337" i="18"/>
  <c r="BV337" i="18"/>
  <c r="BU337" i="18"/>
  <c r="BT337" i="18"/>
  <c r="BS337" i="18"/>
  <c r="BR337" i="18"/>
  <c r="BQ337" i="18"/>
  <c r="BP337" i="18"/>
  <c r="BO337" i="18"/>
  <c r="BN337" i="18"/>
  <c r="BM337" i="18"/>
  <c r="BL337" i="18"/>
  <c r="BK337" i="18"/>
  <c r="BJ337" i="18"/>
  <c r="BI337" i="18"/>
  <c r="BH337" i="18"/>
  <c r="BG337" i="18"/>
  <c r="BF337" i="18"/>
  <c r="BE337" i="18"/>
  <c r="BD337" i="18"/>
  <c r="BC337" i="18"/>
  <c r="BB337" i="18"/>
  <c r="BA337" i="18"/>
  <c r="AZ337" i="18"/>
  <c r="AY337" i="18"/>
  <c r="AX337" i="18"/>
  <c r="AW337" i="18"/>
  <c r="AV337" i="18"/>
  <c r="AU337" i="18"/>
  <c r="AT337" i="18"/>
  <c r="AS337" i="18"/>
  <c r="AR337" i="18"/>
  <c r="AQ337" i="18"/>
  <c r="AP337" i="18"/>
  <c r="AO337" i="18"/>
  <c r="AN337" i="18"/>
  <c r="AM337" i="18"/>
  <c r="AL337" i="18"/>
  <c r="AK337" i="18"/>
  <c r="AJ337" i="18"/>
  <c r="AI337" i="18"/>
  <c r="AH337" i="18"/>
  <c r="AG337" i="18"/>
  <c r="AF337" i="18"/>
  <c r="AE337" i="18"/>
  <c r="AD337" i="18"/>
  <c r="AC337" i="18"/>
  <c r="AB337" i="18"/>
  <c r="AA337" i="18"/>
  <c r="Z337" i="18"/>
  <c r="Y337" i="18"/>
  <c r="X337" i="18"/>
  <c r="W337" i="18"/>
  <c r="V337" i="18"/>
  <c r="U337" i="18"/>
  <c r="T337" i="18"/>
  <c r="S337" i="18"/>
  <c r="R337" i="18"/>
  <c r="Q337" i="18"/>
  <c r="P337" i="18"/>
  <c r="O337" i="18"/>
  <c r="N337" i="18"/>
  <c r="M337" i="18"/>
  <c r="L337" i="18"/>
  <c r="K337" i="18"/>
  <c r="J337" i="18"/>
  <c r="I337" i="18"/>
  <c r="H337" i="18"/>
  <c r="G337" i="18"/>
  <c r="F337" i="18"/>
  <c r="E337" i="18"/>
  <c r="D337" i="18"/>
  <c r="C337" i="18"/>
  <c r="B337" i="18"/>
  <c r="A337" i="18"/>
  <c r="CU336" i="18"/>
  <c r="CT336" i="18"/>
  <c r="CS336" i="18"/>
  <c r="CR336" i="18"/>
  <c r="CQ336" i="18"/>
  <c r="CP336" i="18"/>
  <c r="CO336" i="18"/>
  <c r="CN336" i="18"/>
  <c r="CM336" i="18"/>
  <c r="CL336" i="18"/>
  <c r="CK336" i="18"/>
  <c r="CJ336" i="18"/>
  <c r="CI336" i="18"/>
  <c r="CH336" i="18"/>
  <c r="CG336" i="18"/>
  <c r="CF336" i="18"/>
  <c r="CE336" i="18"/>
  <c r="CD336" i="18"/>
  <c r="CC336" i="18"/>
  <c r="CB336" i="18"/>
  <c r="CA336" i="18"/>
  <c r="BZ336" i="18"/>
  <c r="BY336" i="18"/>
  <c r="BX336" i="18"/>
  <c r="BW336" i="18"/>
  <c r="BV336" i="18"/>
  <c r="BU336" i="18"/>
  <c r="BT336" i="18"/>
  <c r="BS336" i="18"/>
  <c r="BR336" i="18"/>
  <c r="BQ336" i="18"/>
  <c r="BP336" i="18"/>
  <c r="BO336" i="18"/>
  <c r="BN336" i="18"/>
  <c r="BM336" i="18"/>
  <c r="BL336" i="18"/>
  <c r="BK336" i="18"/>
  <c r="BJ336" i="18"/>
  <c r="BI336" i="18"/>
  <c r="BH336" i="18"/>
  <c r="BG336" i="18"/>
  <c r="BF336" i="18"/>
  <c r="BE336" i="18"/>
  <c r="BD336" i="18"/>
  <c r="BC336" i="18"/>
  <c r="BB336" i="18"/>
  <c r="BA336" i="18"/>
  <c r="AZ336" i="18"/>
  <c r="AY336" i="18"/>
  <c r="AX336" i="18"/>
  <c r="AW336" i="18"/>
  <c r="AV336" i="18"/>
  <c r="AU336" i="18"/>
  <c r="AT336" i="18"/>
  <c r="AS336" i="18"/>
  <c r="AR336" i="18"/>
  <c r="AQ336" i="18"/>
  <c r="AP336" i="18"/>
  <c r="AO336" i="18"/>
  <c r="AN336" i="18"/>
  <c r="AM336" i="18"/>
  <c r="AL336" i="18"/>
  <c r="AK336" i="18"/>
  <c r="AJ336" i="18"/>
  <c r="AI336" i="18"/>
  <c r="AH336" i="18"/>
  <c r="AG336" i="18"/>
  <c r="AF336" i="18"/>
  <c r="AE336" i="18"/>
  <c r="AD336" i="18"/>
  <c r="AC336" i="18"/>
  <c r="AB336" i="18"/>
  <c r="AA336" i="18"/>
  <c r="Z336" i="18"/>
  <c r="Y336" i="18"/>
  <c r="X336" i="18"/>
  <c r="W336" i="18"/>
  <c r="V336" i="18"/>
  <c r="U336" i="18"/>
  <c r="T336" i="18"/>
  <c r="S336" i="18"/>
  <c r="R336" i="18"/>
  <c r="Q336" i="18"/>
  <c r="P336" i="18"/>
  <c r="O336" i="18"/>
  <c r="N336" i="18"/>
  <c r="M336" i="18"/>
  <c r="L336" i="18"/>
  <c r="K336" i="18"/>
  <c r="J336" i="18"/>
  <c r="I336" i="18"/>
  <c r="H336" i="18"/>
  <c r="G336" i="18"/>
  <c r="F336" i="18"/>
  <c r="E336" i="18"/>
  <c r="D336" i="18"/>
  <c r="C336" i="18"/>
  <c r="B336" i="18"/>
  <c r="A336" i="18"/>
  <c r="CU335" i="18"/>
  <c r="CT335" i="18"/>
  <c r="CS335" i="18"/>
  <c r="CR335" i="18"/>
  <c r="CQ335" i="18"/>
  <c r="CP335" i="18"/>
  <c r="CO335" i="18"/>
  <c r="CN335" i="18"/>
  <c r="CM335" i="18"/>
  <c r="CL335" i="18"/>
  <c r="CK335" i="18"/>
  <c r="CJ335" i="18"/>
  <c r="CI335" i="18"/>
  <c r="CH335" i="18"/>
  <c r="CG335" i="18"/>
  <c r="CF335" i="18"/>
  <c r="CE335" i="18"/>
  <c r="CD335" i="18"/>
  <c r="CC335" i="18"/>
  <c r="CB335" i="18"/>
  <c r="CA335" i="18"/>
  <c r="BZ335" i="18"/>
  <c r="BY335" i="18"/>
  <c r="BX335" i="18"/>
  <c r="BW335" i="18"/>
  <c r="BV335" i="18"/>
  <c r="BU335" i="18"/>
  <c r="BT335" i="18"/>
  <c r="BS335" i="18"/>
  <c r="BR335" i="18"/>
  <c r="BQ335" i="18"/>
  <c r="BP335" i="18"/>
  <c r="BO335" i="18"/>
  <c r="BN335" i="18"/>
  <c r="BM335" i="18"/>
  <c r="BL335" i="18"/>
  <c r="BK335" i="18"/>
  <c r="BJ335" i="18"/>
  <c r="BI335" i="18"/>
  <c r="BH335" i="18"/>
  <c r="BG335" i="18"/>
  <c r="BF335" i="18"/>
  <c r="BE335" i="18"/>
  <c r="BD335" i="18"/>
  <c r="BC335" i="18"/>
  <c r="BB335" i="18"/>
  <c r="BA335" i="18"/>
  <c r="AZ335" i="18"/>
  <c r="AY335" i="18"/>
  <c r="AX335" i="18"/>
  <c r="AW335" i="18"/>
  <c r="AV335" i="18"/>
  <c r="AU335" i="18"/>
  <c r="AT335" i="18"/>
  <c r="AS335" i="18"/>
  <c r="AR335" i="18"/>
  <c r="AQ335" i="18"/>
  <c r="AP335" i="18"/>
  <c r="AO335" i="18"/>
  <c r="AN335" i="18"/>
  <c r="AM335" i="18"/>
  <c r="AL335" i="18"/>
  <c r="AK335" i="18"/>
  <c r="AJ335" i="18"/>
  <c r="AI335" i="18"/>
  <c r="AH335" i="18"/>
  <c r="AG335" i="18"/>
  <c r="AF335" i="18"/>
  <c r="AE335" i="18"/>
  <c r="AD335" i="18"/>
  <c r="AC335" i="18"/>
  <c r="AB335" i="18"/>
  <c r="AA335" i="18"/>
  <c r="Z335" i="18"/>
  <c r="Y335" i="18"/>
  <c r="X335" i="18"/>
  <c r="W335" i="18"/>
  <c r="V335" i="18"/>
  <c r="U335" i="18"/>
  <c r="T335" i="18"/>
  <c r="S335" i="18"/>
  <c r="R335" i="18"/>
  <c r="Q335" i="18"/>
  <c r="P335" i="18"/>
  <c r="O335" i="18"/>
  <c r="N335" i="18"/>
  <c r="M335" i="18"/>
  <c r="L335" i="18"/>
  <c r="K335" i="18"/>
  <c r="J335" i="18"/>
  <c r="I335" i="18"/>
  <c r="H335" i="18"/>
  <c r="G335" i="18"/>
  <c r="F335" i="18"/>
  <c r="E335" i="18"/>
  <c r="D335" i="18"/>
  <c r="C335" i="18"/>
  <c r="B335" i="18"/>
  <c r="A335" i="18"/>
  <c r="CU324" i="18"/>
  <c r="CT324" i="18"/>
  <c r="CS324" i="18"/>
  <c r="CR324" i="18"/>
  <c r="CH324" i="18"/>
  <c r="CG324" i="18"/>
  <c r="CF324" i="18"/>
  <c r="CE324" i="18"/>
  <c r="CD324" i="18"/>
  <c r="CC324" i="18"/>
  <c r="CB324" i="18"/>
  <c r="CA324" i="18"/>
  <c r="BZ324" i="18"/>
  <c r="BY324" i="18"/>
  <c r="AQ324" i="18"/>
  <c r="AP324" i="18"/>
  <c r="AO324" i="18"/>
  <c r="AN324" i="18"/>
  <c r="AM324" i="18"/>
  <c r="AL324" i="18"/>
  <c r="AK324" i="18"/>
  <c r="AJ324" i="18"/>
  <c r="AI324" i="18"/>
  <c r="AH324" i="18"/>
  <c r="AG324" i="18"/>
  <c r="AF324" i="18"/>
  <c r="AE324" i="18"/>
  <c r="AD324" i="18"/>
  <c r="AC324" i="18"/>
  <c r="AB324" i="18"/>
  <c r="AA324" i="18"/>
  <c r="Z324" i="18"/>
  <c r="Y324" i="18"/>
  <c r="X324" i="18"/>
  <c r="W324" i="18"/>
  <c r="V324" i="18"/>
  <c r="U324" i="18"/>
  <c r="T324" i="18"/>
  <c r="S324" i="18"/>
  <c r="R324" i="18"/>
  <c r="Q324" i="18"/>
  <c r="P324" i="18"/>
  <c r="O324" i="18"/>
  <c r="N324" i="18"/>
  <c r="M324" i="18"/>
  <c r="L324" i="18"/>
  <c r="K324" i="18"/>
  <c r="J324" i="18"/>
  <c r="I324" i="18"/>
  <c r="H324" i="18"/>
  <c r="G324" i="18"/>
  <c r="F324" i="18"/>
  <c r="E324" i="18"/>
  <c r="D324" i="18"/>
  <c r="C324" i="18"/>
  <c r="B324" i="18"/>
  <c r="A324" i="18"/>
  <c r="CU323" i="18"/>
  <c r="CT323" i="18"/>
  <c r="CS323" i="18"/>
  <c r="CR323" i="18"/>
  <c r="CQ323" i="18"/>
  <c r="CP323" i="18"/>
  <c r="CO323" i="18"/>
  <c r="CN323" i="18"/>
  <c r="CM323" i="18"/>
  <c r="CL323" i="18"/>
  <c r="CK323" i="18"/>
  <c r="CJ323" i="18"/>
  <c r="CI323" i="18"/>
  <c r="CH323" i="18"/>
  <c r="CG323" i="18"/>
  <c r="CF323" i="18"/>
  <c r="CE323" i="18"/>
  <c r="CD323" i="18"/>
  <c r="CC323" i="18"/>
  <c r="CB323" i="18"/>
  <c r="CA323" i="18"/>
  <c r="BZ323" i="18"/>
  <c r="BY323" i="18"/>
  <c r="BX323" i="18"/>
  <c r="BW323" i="18"/>
  <c r="BV323" i="18"/>
  <c r="BU323" i="18"/>
  <c r="BT323" i="18"/>
  <c r="BS323" i="18"/>
  <c r="BR323" i="18"/>
  <c r="BQ323" i="18"/>
  <c r="BP323" i="18"/>
  <c r="BO323" i="18"/>
  <c r="BN323" i="18"/>
  <c r="BM323" i="18"/>
  <c r="BL323" i="18"/>
  <c r="BK323" i="18"/>
  <c r="BJ323" i="18"/>
  <c r="BI323" i="18"/>
  <c r="BH323" i="18"/>
  <c r="BG323" i="18"/>
  <c r="BF323" i="18"/>
  <c r="BE323" i="18"/>
  <c r="BD323" i="18"/>
  <c r="BC323" i="18"/>
  <c r="BB323" i="18"/>
  <c r="BA323" i="18"/>
  <c r="AZ323" i="18"/>
  <c r="AY323" i="18"/>
  <c r="AX323" i="18"/>
  <c r="AW323" i="18"/>
  <c r="AV323" i="18"/>
  <c r="AU323" i="18"/>
  <c r="AT323" i="18"/>
  <c r="AS323" i="18"/>
  <c r="AR323" i="18"/>
  <c r="AQ323" i="18"/>
  <c r="AP323" i="18"/>
  <c r="AO323" i="18"/>
  <c r="AN323" i="18"/>
  <c r="AM323" i="18"/>
  <c r="AL323" i="18"/>
  <c r="AK323" i="18"/>
  <c r="AJ323" i="18"/>
  <c r="AI323" i="18"/>
  <c r="AH323" i="18"/>
  <c r="AG323" i="18"/>
  <c r="AF323" i="18"/>
  <c r="AE323" i="18"/>
  <c r="AD323" i="18"/>
  <c r="AC323" i="18"/>
  <c r="AB323" i="18"/>
  <c r="AA323" i="18"/>
  <c r="Z323" i="18"/>
  <c r="Y323" i="18"/>
  <c r="X323" i="18"/>
  <c r="W323" i="18"/>
  <c r="V323" i="18"/>
  <c r="U323" i="18"/>
  <c r="T323" i="18"/>
  <c r="S323" i="18"/>
  <c r="R323" i="18"/>
  <c r="Q323" i="18"/>
  <c r="P323" i="18"/>
  <c r="O323" i="18"/>
  <c r="N323" i="18"/>
  <c r="M323" i="18"/>
  <c r="L323" i="18"/>
  <c r="K323" i="18"/>
  <c r="J323" i="18"/>
  <c r="I323" i="18"/>
  <c r="H323" i="18"/>
  <c r="G323" i="18"/>
  <c r="F323" i="18"/>
  <c r="E323" i="18"/>
  <c r="D323" i="18"/>
  <c r="C323" i="18"/>
  <c r="B323" i="18"/>
  <c r="A323" i="18"/>
  <c r="CU319" i="18"/>
  <c r="CT319" i="18"/>
  <c r="CS319" i="18"/>
  <c r="CR319" i="18"/>
  <c r="CH319" i="18"/>
  <c r="CG319" i="18"/>
  <c r="CF319" i="18"/>
  <c r="CE319" i="18"/>
  <c r="CD319" i="18"/>
  <c r="CC319" i="18"/>
  <c r="CB319" i="18"/>
  <c r="CA319" i="18"/>
  <c r="BZ319" i="18"/>
  <c r="BY319" i="18"/>
  <c r="AQ319" i="18"/>
  <c r="AP319" i="18"/>
  <c r="AO319" i="18"/>
  <c r="AN319" i="18"/>
  <c r="AM319" i="18"/>
  <c r="AL319" i="18"/>
  <c r="AK319" i="18"/>
  <c r="AJ319" i="18"/>
  <c r="AI319" i="18"/>
  <c r="AH319" i="18"/>
  <c r="AG319" i="18"/>
  <c r="AF319" i="18"/>
  <c r="AE319" i="18"/>
  <c r="AD319" i="18"/>
  <c r="AC319" i="18"/>
  <c r="AB319" i="18"/>
  <c r="AA319" i="18"/>
  <c r="Z319" i="18"/>
  <c r="Y319" i="18"/>
  <c r="X319" i="18"/>
  <c r="W319" i="18"/>
  <c r="V319" i="18"/>
  <c r="U319" i="18"/>
  <c r="T319" i="18"/>
  <c r="S319" i="18"/>
  <c r="R319" i="18"/>
  <c r="Q319" i="18"/>
  <c r="P319" i="18"/>
  <c r="O319" i="18"/>
  <c r="N319" i="18"/>
  <c r="M319" i="18"/>
  <c r="L319" i="18"/>
  <c r="K319" i="18"/>
  <c r="J319" i="18"/>
  <c r="I319" i="18"/>
  <c r="H319" i="18"/>
  <c r="G319" i="18"/>
  <c r="F319" i="18"/>
  <c r="E319" i="18"/>
  <c r="D319" i="18"/>
  <c r="C319" i="18"/>
  <c r="B319" i="18"/>
  <c r="A319" i="18"/>
  <c r="CU318" i="18"/>
  <c r="CU317" i="18"/>
  <c r="CS318" i="18"/>
  <c r="CR318" i="18"/>
  <c r="CH318" i="18"/>
  <c r="CG318" i="18"/>
  <c r="CF318" i="18"/>
  <c r="CE318" i="18"/>
  <c r="CD318" i="18"/>
  <c r="CC318" i="18"/>
  <c r="CB318" i="18"/>
  <c r="CA318" i="18"/>
  <c r="BZ318" i="18"/>
  <c r="BY318" i="18"/>
  <c r="AQ318" i="18"/>
  <c r="AP318" i="18"/>
  <c r="AO318" i="18"/>
  <c r="AN318" i="18"/>
  <c r="AM318" i="18"/>
  <c r="AL318" i="18"/>
  <c r="AK318" i="18"/>
  <c r="AJ318" i="18"/>
  <c r="AI318" i="18"/>
  <c r="AH318" i="18"/>
  <c r="AG318" i="18"/>
  <c r="AF318" i="18"/>
  <c r="AE318" i="18"/>
  <c r="AD318" i="18"/>
  <c r="AC318" i="18"/>
  <c r="AB318" i="18"/>
  <c r="AA318" i="18"/>
  <c r="Z318" i="18"/>
  <c r="Y318" i="18"/>
  <c r="X318" i="18"/>
  <c r="W318" i="18"/>
  <c r="V318" i="18"/>
  <c r="U318" i="18"/>
  <c r="T318" i="18"/>
  <c r="S318" i="18"/>
  <c r="R318" i="18"/>
  <c r="Q318" i="18"/>
  <c r="P318" i="18"/>
  <c r="O318" i="18"/>
  <c r="N318" i="18"/>
  <c r="M318" i="18"/>
  <c r="L318" i="18"/>
  <c r="K318" i="18"/>
  <c r="J318" i="18"/>
  <c r="I318" i="18"/>
  <c r="H318" i="18"/>
  <c r="G318" i="18"/>
  <c r="F318" i="18"/>
  <c r="E318" i="18"/>
  <c r="D318" i="18"/>
  <c r="C318" i="18"/>
  <c r="B318" i="18"/>
  <c r="A318" i="18"/>
  <c r="CT317" i="18"/>
  <c r="CH317" i="18"/>
  <c r="CG317" i="18"/>
  <c r="CF317" i="18"/>
  <c r="CE317" i="18"/>
  <c r="CD317" i="18"/>
  <c r="CC317" i="18"/>
  <c r="CB317" i="18"/>
  <c r="CA317" i="18"/>
  <c r="BZ317" i="18"/>
  <c r="BY317" i="18"/>
  <c r="AQ317" i="18"/>
  <c r="AP317" i="18"/>
  <c r="AO317" i="18"/>
  <c r="AN317" i="18"/>
  <c r="AM317" i="18"/>
  <c r="AL317" i="18"/>
  <c r="AK317" i="18"/>
  <c r="AJ317" i="18"/>
  <c r="AI317" i="18"/>
  <c r="AH317" i="18"/>
  <c r="AG317" i="18"/>
  <c r="AF317" i="18"/>
  <c r="AE317" i="18"/>
  <c r="AD317" i="18"/>
  <c r="AC317" i="18"/>
  <c r="AB317" i="18"/>
  <c r="AA317" i="18"/>
  <c r="Z317" i="18"/>
  <c r="Y317" i="18"/>
  <c r="X317" i="18"/>
  <c r="W317" i="18"/>
  <c r="V317" i="18"/>
  <c r="U317" i="18"/>
  <c r="T317" i="18"/>
  <c r="S317" i="18"/>
  <c r="R317" i="18"/>
  <c r="Q317" i="18"/>
  <c r="P317" i="18"/>
  <c r="O317" i="18"/>
  <c r="N317" i="18"/>
  <c r="M317" i="18"/>
  <c r="L317" i="18"/>
  <c r="K317" i="18"/>
  <c r="J317" i="18"/>
  <c r="I317" i="18"/>
  <c r="H317" i="18"/>
  <c r="G317" i="18"/>
  <c r="F317" i="18"/>
  <c r="E317" i="18"/>
  <c r="D317" i="18"/>
  <c r="C317" i="18"/>
  <c r="B317" i="18"/>
  <c r="A317" i="18"/>
  <c r="CH316" i="18"/>
  <c r="CG316" i="18"/>
  <c r="CF316" i="18"/>
  <c r="CE316" i="18"/>
  <c r="CD316" i="18"/>
  <c r="CC316" i="18"/>
  <c r="CB316" i="18"/>
  <c r="CA316" i="18"/>
  <c r="BZ316" i="18"/>
  <c r="BY316" i="18"/>
  <c r="AQ316" i="18"/>
  <c r="AP316" i="18"/>
  <c r="AO316" i="18"/>
  <c r="AN316" i="18"/>
  <c r="AM316" i="18"/>
  <c r="AL316" i="18"/>
  <c r="AK316" i="18"/>
  <c r="AJ316" i="18"/>
  <c r="AI316" i="18"/>
  <c r="AH316" i="18"/>
  <c r="AG316" i="18"/>
  <c r="AF316" i="18"/>
  <c r="AE316" i="18"/>
  <c r="AD316" i="18"/>
  <c r="AC316" i="18"/>
  <c r="AB316" i="18"/>
  <c r="AA316" i="18"/>
  <c r="Z316" i="18"/>
  <c r="Y316" i="18"/>
  <c r="X316" i="18"/>
  <c r="W316" i="18"/>
  <c r="V316" i="18"/>
  <c r="U316" i="18"/>
  <c r="T316" i="18"/>
  <c r="S316" i="18"/>
  <c r="R316" i="18"/>
  <c r="Q316" i="18"/>
  <c r="P316" i="18"/>
  <c r="O316" i="18"/>
  <c r="N316" i="18"/>
  <c r="M316" i="18"/>
  <c r="L316" i="18"/>
  <c r="K316" i="18"/>
  <c r="J316" i="18"/>
  <c r="I316" i="18"/>
  <c r="H316" i="18"/>
  <c r="G316" i="18"/>
  <c r="F316" i="18"/>
  <c r="E316" i="18"/>
  <c r="D316" i="18"/>
  <c r="C316" i="18"/>
  <c r="B316" i="18"/>
  <c r="A316" i="18"/>
  <c r="CH313" i="18"/>
  <c r="CG313" i="18"/>
  <c r="CF313" i="18"/>
  <c r="CE313" i="18"/>
  <c r="CD313" i="18"/>
  <c r="CC313" i="18"/>
  <c r="CB313" i="18"/>
  <c r="CA313" i="18"/>
  <c r="BZ313" i="18"/>
  <c r="BY313" i="18"/>
  <c r="AQ313" i="18"/>
  <c r="AP313" i="18"/>
  <c r="AO313" i="18"/>
  <c r="AN313" i="18"/>
  <c r="AM313" i="18"/>
  <c r="AL313" i="18"/>
  <c r="AK313" i="18"/>
  <c r="AJ313" i="18"/>
  <c r="AI313" i="18"/>
  <c r="AH313" i="18"/>
  <c r="AG313" i="18"/>
  <c r="AF313" i="18"/>
  <c r="AE313" i="18"/>
  <c r="AD313" i="18"/>
  <c r="AC313" i="18"/>
  <c r="AB313" i="18"/>
  <c r="AA313" i="18"/>
  <c r="Z313" i="18"/>
  <c r="Y313" i="18"/>
  <c r="X313" i="18"/>
  <c r="W313" i="18"/>
  <c r="V313" i="18"/>
  <c r="U313" i="18"/>
  <c r="T313" i="18"/>
  <c r="S313" i="18"/>
  <c r="R313" i="18"/>
  <c r="Q313" i="18"/>
  <c r="P313" i="18"/>
  <c r="O313" i="18"/>
  <c r="N313" i="18"/>
  <c r="M313" i="18"/>
  <c r="L313" i="18"/>
  <c r="K313" i="18"/>
  <c r="J313" i="18"/>
  <c r="I313" i="18"/>
  <c r="H313" i="18"/>
  <c r="G313" i="18"/>
  <c r="F313" i="18"/>
  <c r="E313" i="18"/>
  <c r="D313" i="18"/>
  <c r="C313" i="18"/>
  <c r="B313" i="18"/>
  <c r="A313" i="18"/>
  <c r="CI312" i="18"/>
  <c r="CH312" i="18"/>
  <c r="CG312" i="18"/>
  <c r="CF312" i="18"/>
  <c r="CE312" i="18"/>
  <c r="CD312" i="18"/>
  <c r="CC312" i="18"/>
  <c r="CB312" i="18"/>
  <c r="CA312" i="18"/>
  <c r="BZ312" i="18"/>
  <c r="BY312" i="18"/>
  <c r="AR312" i="18"/>
  <c r="AQ312" i="18"/>
  <c r="AP312" i="18"/>
  <c r="AO312" i="18"/>
  <c r="AN312" i="18"/>
  <c r="AM312" i="18"/>
  <c r="AL312" i="18"/>
  <c r="AK312" i="18"/>
  <c r="AJ312" i="18"/>
  <c r="AI312" i="18"/>
  <c r="AH312" i="18"/>
  <c r="AG312" i="18"/>
  <c r="AF312" i="18"/>
  <c r="AE312" i="18"/>
  <c r="AD312" i="18"/>
  <c r="AC312" i="18"/>
  <c r="AB312" i="18"/>
  <c r="AA312" i="18"/>
  <c r="Z312" i="18"/>
  <c r="Y312" i="18"/>
  <c r="X312" i="18"/>
  <c r="W312" i="18"/>
  <c r="V312" i="18"/>
  <c r="U312" i="18"/>
  <c r="T312" i="18"/>
  <c r="S312" i="18"/>
  <c r="R312" i="18"/>
  <c r="Q312" i="18"/>
  <c r="P312" i="18"/>
  <c r="O312" i="18"/>
  <c r="N312" i="18"/>
  <c r="M312" i="18"/>
  <c r="L312" i="18"/>
  <c r="K312" i="18"/>
  <c r="J312" i="18"/>
  <c r="I312" i="18"/>
  <c r="H312" i="18"/>
  <c r="G312" i="18"/>
  <c r="F312" i="18"/>
  <c r="E312" i="18"/>
  <c r="D312" i="18"/>
  <c r="C312" i="18"/>
  <c r="B312" i="18"/>
  <c r="A312" i="18"/>
  <c r="CX311" i="18"/>
  <c r="CW311" i="18"/>
  <c r="CV311" i="18"/>
  <c r="CU311" i="18"/>
  <c r="CT311" i="18"/>
  <c r="CS311" i="18"/>
  <c r="CR311" i="18"/>
  <c r="CQ311" i="18"/>
  <c r="CP311" i="18"/>
  <c r="CO311" i="18"/>
  <c r="CN311" i="18"/>
  <c r="CM311" i="18"/>
  <c r="CL311" i="18"/>
  <c r="CK311" i="18"/>
  <c r="CJ311" i="18"/>
  <c r="CI311" i="18"/>
  <c r="CH311" i="18"/>
  <c r="CG311" i="18"/>
  <c r="CF311" i="18"/>
  <c r="CE311" i="18"/>
  <c r="CD311" i="18"/>
  <c r="CC311" i="18"/>
  <c r="CB311" i="18"/>
  <c r="CA311" i="18"/>
  <c r="BZ311" i="18"/>
  <c r="BY311" i="18"/>
  <c r="BX311" i="18"/>
  <c r="BW311" i="18"/>
  <c r="BV311" i="18"/>
  <c r="BU311" i="18"/>
  <c r="BT311" i="18"/>
  <c r="BS311" i="18"/>
  <c r="BR311" i="18"/>
  <c r="BQ311" i="18"/>
  <c r="BP311" i="18"/>
  <c r="BO311" i="18"/>
  <c r="BN311" i="18"/>
  <c r="BM311" i="18"/>
  <c r="BL311" i="18"/>
  <c r="BK311" i="18"/>
  <c r="BJ311" i="18"/>
  <c r="BI311" i="18"/>
  <c r="BH311" i="18"/>
  <c r="BG311" i="18"/>
  <c r="BF311" i="18"/>
  <c r="BE311" i="18"/>
  <c r="BD311" i="18"/>
  <c r="BC311" i="18"/>
  <c r="BB311" i="18"/>
  <c r="BA311" i="18"/>
  <c r="AZ311" i="18"/>
  <c r="AY311" i="18"/>
  <c r="AX311" i="18"/>
  <c r="AW311" i="18"/>
  <c r="AV311" i="18"/>
  <c r="AU311" i="18"/>
  <c r="AT311" i="18"/>
  <c r="AS311" i="18"/>
  <c r="AR311" i="18"/>
  <c r="AQ311" i="18"/>
  <c r="AP311" i="18"/>
  <c r="AO311" i="18"/>
  <c r="AN311" i="18"/>
  <c r="AM311" i="18"/>
  <c r="AL311" i="18"/>
  <c r="AK311" i="18"/>
  <c r="AJ311" i="18"/>
  <c r="AI311" i="18"/>
  <c r="AH311" i="18"/>
  <c r="AG311" i="18"/>
  <c r="AF311" i="18"/>
  <c r="AE311" i="18"/>
  <c r="AD311" i="18"/>
  <c r="AC311" i="18"/>
  <c r="AB311" i="18"/>
  <c r="AA311" i="18"/>
  <c r="Z311" i="18"/>
  <c r="Y311" i="18"/>
  <c r="X311" i="18"/>
  <c r="W311" i="18"/>
  <c r="V311" i="18"/>
  <c r="U311" i="18"/>
  <c r="T311" i="18"/>
  <c r="S311" i="18"/>
  <c r="R311" i="18"/>
  <c r="Q311" i="18"/>
  <c r="P311" i="18"/>
  <c r="O311" i="18"/>
  <c r="N311" i="18"/>
  <c r="M311" i="18"/>
  <c r="L311" i="18"/>
  <c r="K311" i="18"/>
  <c r="J311" i="18"/>
  <c r="I311" i="18"/>
  <c r="H311" i="18"/>
  <c r="G311" i="18"/>
  <c r="F311" i="18"/>
  <c r="E311" i="18"/>
  <c r="D311" i="18"/>
  <c r="C311" i="18"/>
  <c r="B311" i="18"/>
  <c r="A311" i="18"/>
  <c r="BI310" i="18"/>
  <c r="BH310" i="18"/>
  <c r="BG310" i="18"/>
  <c r="BF310" i="18"/>
  <c r="BE310" i="18"/>
  <c r="BD310" i="18"/>
  <c r="BC310" i="18"/>
  <c r="BB310" i="18"/>
  <c r="BA310" i="18"/>
  <c r="AZ310" i="18"/>
  <c r="AY310" i="18"/>
  <c r="AX310" i="18"/>
  <c r="AW310" i="18"/>
  <c r="AV310" i="18"/>
  <c r="AU310" i="18"/>
  <c r="AT310" i="18"/>
  <c r="AS310" i="18"/>
  <c r="AR310" i="18"/>
  <c r="AQ310" i="18"/>
  <c r="AP310" i="18"/>
  <c r="AO310" i="18"/>
  <c r="AN310" i="18"/>
  <c r="AM310" i="18"/>
  <c r="AL310" i="18"/>
  <c r="AK310" i="18"/>
  <c r="AJ310" i="18"/>
  <c r="AI310" i="18"/>
  <c r="AH310" i="18"/>
  <c r="AG310" i="18"/>
  <c r="AF310" i="18"/>
  <c r="AE310" i="18"/>
  <c r="AD310" i="18"/>
  <c r="AC310" i="18"/>
  <c r="AB310" i="18"/>
  <c r="AA310" i="18"/>
  <c r="Z310" i="18"/>
  <c r="Y310" i="18"/>
  <c r="X310" i="18"/>
  <c r="W310" i="18"/>
  <c r="V310" i="18"/>
  <c r="U310" i="18"/>
  <c r="T310" i="18"/>
  <c r="S310" i="18"/>
  <c r="R310" i="18"/>
  <c r="Q310" i="18"/>
  <c r="P310" i="18"/>
  <c r="O310" i="18"/>
  <c r="N310" i="18"/>
  <c r="M310" i="18"/>
  <c r="L310" i="18"/>
  <c r="K310" i="18"/>
  <c r="J310" i="18"/>
  <c r="I310" i="18"/>
  <c r="H310" i="18"/>
  <c r="G310" i="18"/>
  <c r="F310" i="18"/>
  <c r="E310" i="18"/>
  <c r="D310" i="18"/>
  <c r="C310" i="18"/>
  <c r="B310" i="18"/>
  <c r="A310" i="18"/>
  <c r="CX310" i="18"/>
  <c r="CW310" i="18"/>
  <c r="CV310" i="18"/>
  <c r="CU310" i="18"/>
  <c r="CT310" i="18"/>
  <c r="CS310" i="18"/>
  <c r="CR310" i="18"/>
  <c r="CQ310" i="18"/>
  <c r="CP310" i="18"/>
  <c r="CO310" i="18"/>
  <c r="CN310" i="18"/>
  <c r="CM310" i="18"/>
  <c r="CL310" i="18"/>
  <c r="CK310" i="18"/>
  <c r="CJ310" i="18"/>
  <c r="CI310" i="18"/>
  <c r="CH310" i="18"/>
  <c r="CG310" i="18"/>
  <c r="CF310" i="18"/>
  <c r="CE310" i="18"/>
  <c r="CD310" i="18"/>
  <c r="CC310" i="18"/>
  <c r="CB310" i="18"/>
  <c r="CA310" i="18"/>
  <c r="BZ310" i="18"/>
  <c r="BY310" i="18"/>
  <c r="BX310" i="18"/>
  <c r="BW310" i="18"/>
  <c r="BV310" i="18"/>
  <c r="BU310" i="18"/>
  <c r="BT310" i="18"/>
  <c r="BS310" i="18"/>
  <c r="BR310" i="18"/>
  <c r="BQ310" i="18"/>
  <c r="BP310" i="18"/>
  <c r="BO310" i="18"/>
  <c r="BN310" i="18"/>
  <c r="BM310" i="18"/>
  <c r="BL310" i="18"/>
  <c r="CH309" i="18"/>
  <c r="CG309" i="18"/>
  <c r="CF309" i="18"/>
  <c r="CE309" i="18"/>
  <c r="CD309" i="18"/>
  <c r="CC309" i="18"/>
  <c r="CB309" i="18"/>
  <c r="CA309" i="18"/>
  <c r="BZ309" i="18"/>
  <c r="BY309" i="18"/>
  <c r="CH308" i="18"/>
  <c r="CG308" i="18"/>
  <c r="CF308" i="18"/>
  <c r="CE308" i="18"/>
  <c r="CD308" i="18"/>
  <c r="CC308" i="18"/>
  <c r="CB308" i="18"/>
  <c r="CA308" i="18"/>
  <c r="BZ308" i="18"/>
  <c r="BY308" i="18"/>
  <c r="CH307" i="18"/>
  <c r="CG307" i="18"/>
  <c r="CF307" i="18"/>
  <c r="CE307" i="18"/>
  <c r="CD307" i="18"/>
  <c r="CC307" i="18"/>
  <c r="CB307" i="18"/>
  <c r="CA307" i="18"/>
  <c r="BZ307" i="18"/>
  <c r="BY307" i="18"/>
  <c r="CN306" i="18"/>
  <c r="CI306" i="18"/>
  <c r="CH306" i="18"/>
  <c r="CG306" i="18"/>
  <c r="CF306" i="18"/>
  <c r="CE306" i="18"/>
  <c r="CD306" i="18"/>
  <c r="CC306" i="18"/>
  <c r="CB306" i="18"/>
  <c r="CA306" i="18"/>
  <c r="BZ306" i="18"/>
  <c r="BY306" i="18"/>
  <c r="BL306" i="18"/>
  <c r="CX305" i="18"/>
  <c r="CW305" i="18"/>
  <c r="CV305" i="18"/>
  <c r="CU305" i="18"/>
  <c r="CT305" i="18"/>
  <c r="CS305" i="18"/>
  <c r="CR305" i="18"/>
  <c r="CQ305" i="18"/>
  <c r="CP305" i="18"/>
  <c r="CO305" i="18"/>
  <c r="CN305" i="18"/>
  <c r="CM305" i="18"/>
  <c r="CL305" i="18"/>
  <c r="CK305" i="18"/>
  <c r="CJ305" i="18"/>
  <c r="CI305" i="18"/>
  <c r="CH305" i="18"/>
  <c r="CG305" i="18"/>
  <c r="CF305" i="18"/>
  <c r="CE305" i="18"/>
  <c r="CD305" i="18"/>
  <c r="CC305" i="18"/>
  <c r="CB305" i="18"/>
  <c r="CA305" i="18"/>
  <c r="BZ305" i="18"/>
  <c r="BY305" i="18"/>
  <c r="BX305" i="18"/>
  <c r="BW305" i="18"/>
  <c r="BV305" i="18"/>
  <c r="BU305" i="18"/>
  <c r="BT305" i="18"/>
  <c r="BS305" i="18"/>
  <c r="BR305" i="18"/>
  <c r="BQ305" i="18"/>
  <c r="BP305" i="18"/>
  <c r="BO305" i="18"/>
  <c r="BN305" i="18"/>
  <c r="BM305" i="18"/>
  <c r="BL305" i="18"/>
  <c r="CH304" i="18"/>
  <c r="CG304" i="18"/>
  <c r="CF304" i="18"/>
  <c r="CE304" i="18"/>
  <c r="CD304" i="18"/>
  <c r="CC304" i="18"/>
  <c r="CB304" i="18"/>
  <c r="CA304" i="18"/>
  <c r="BZ304" i="18"/>
  <c r="BY304" i="18"/>
  <c r="AQ309" i="18"/>
  <c r="AP309" i="18"/>
  <c r="AO309" i="18"/>
  <c r="AN309" i="18"/>
  <c r="AM309" i="18"/>
  <c r="AL309" i="18"/>
  <c r="AK309" i="18"/>
  <c r="AJ309" i="18"/>
  <c r="AI309" i="18"/>
  <c r="AH309" i="18"/>
  <c r="AG309" i="18"/>
  <c r="AF309" i="18"/>
  <c r="AE309" i="18"/>
  <c r="AD309" i="18"/>
  <c r="AC309" i="18"/>
  <c r="AB309" i="18"/>
  <c r="AA309" i="18"/>
  <c r="Z309" i="18"/>
  <c r="Y309" i="18"/>
  <c r="X309" i="18"/>
  <c r="W309" i="18"/>
  <c r="V309" i="18"/>
  <c r="U309" i="18"/>
  <c r="T309" i="18"/>
  <c r="S309" i="18"/>
  <c r="R309" i="18"/>
  <c r="Q309" i="18"/>
  <c r="P309" i="18"/>
  <c r="O309" i="18"/>
  <c r="N309" i="18"/>
  <c r="M309" i="18"/>
  <c r="L309" i="18"/>
  <c r="K309" i="18"/>
  <c r="J309" i="18"/>
  <c r="I309" i="18"/>
  <c r="H309" i="18"/>
  <c r="G309" i="18"/>
  <c r="F309" i="18"/>
  <c r="E309" i="18"/>
  <c r="D309" i="18"/>
  <c r="C309" i="18"/>
  <c r="B309" i="18"/>
  <c r="A309" i="18"/>
  <c r="AQ308" i="18"/>
  <c r="AP308" i="18"/>
  <c r="AO308" i="18"/>
  <c r="AN308" i="18"/>
  <c r="AM308" i="18"/>
  <c r="AL308" i="18"/>
  <c r="AK308" i="18"/>
  <c r="AJ308" i="18"/>
  <c r="AI308" i="18"/>
  <c r="AH308" i="18"/>
  <c r="AG308" i="18"/>
  <c r="AF308" i="18"/>
  <c r="AE308" i="18"/>
  <c r="AD308" i="18"/>
  <c r="AC308" i="18"/>
  <c r="AB308" i="18"/>
  <c r="AA308" i="18"/>
  <c r="Z308" i="18"/>
  <c r="Y308" i="18"/>
  <c r="X308" i="18"/>
  <c r="W308" i="18"/>
  <c r="V308" i="18"/>
  <c r="U308" i="18"/>
  <c r="T308" i="18"/>
  <c r="S308" i="18"/>
  <c r="R308" i="18"/>
  <c r="Q308" i="18"/>
  <c r="P308" i="18"/>
  <c r="O308" i="18"/>
  <c r="N308" i="18"/>
  <c r="M308" i="18"/>
  <c r="L308" i="18"/>
  <c r="K308" i="18"/>
  <c r="J308" i="18"/>
  <c r="I308" i="18"/>
  <c r="H308" i="18"/>
  <c r="G308" i="18"/>
  <c r="F308" i="18"/>
  <c r="E308" i="18"/>
  <c r="D308" i="18"/>
  <c r="C308" i="18"/>
  <c r="B308" i="18"/>
  <c r="A308" i="18"/>
  <c r="AQ307" i="18"/>
  <c r="AP307" i="18"/>
  <c r="AO307" i="18"/>
  <c r="AN307" i="18"/>
  <c r="AM307" i="18"/>
  <c r="AL307" i="18"/>
  <c r="AK307" i="18"/>
  <c r="AJ307" i="18"/>
  <c r="AI307" i="18"/>
  <c r="AH307" i="18"/>
  <c r="AG307" i="18"/>
  <c r="AF307" i="18"/>
  <c r="AE307" i="18"/>
  <c r="AD307" i="18"/>
  <c r="AC307" i="18"/>
  <c r="AB307" i="18"/>
  <c r="AA307" i="18"/>
  <c r="Z307" i="18"/>
  <c r="Y307" i="18"/>
  <c r="X307" i="18"/>
  <c r="W307" i="18"/>
  <c r="V307" i="18"/>
  <c r="U307" i="18"/>
  <c r="T307" i="18"/>
  <c r="S307" i="18"/>
  <c r="R307" i="18"/>
  <c r="Q307" i="18"/>
  <c r="P307" i="18"/>
  <c r="O307" i="18"/>
  <c r="N307" i="18"/>
  <c r="M307" i="18"/>
  <c r="L307" i="18"/>
  <c r="K307" i="18"/>
  <c r="J307" i="18"/>
  <c r="I307" i="18"/>
  <c r="H307" i="18"/>
  <c r="G307" i="18"/>
  <c r="F307" i="18"/>
  <c r="E307" i="18"/>
  <c r="D307" i="18"/>
  <c r="C307" i="18"/>
  <c r="B307" i="18"/>
  <c r="A307" i="18"/>
  <c r="BK306" i="18"/>
  <c r="BJ306" i="18"/>
  <c r="BI306" i="18"/>
  <c r="AR306" i="18"/>
  <c r="AQ306" i="18"/>
  <c r="AP306" i="18"/>
  <c r="AO306" i="18"/>
  <c r="AN306" i="18"/>
  <c r="AM306" i="18"/>
  <c r="AL306" i="18"/>
  <c r="AK306" i="18"/>
  <c r="AJ306" i="18"/>
  <c r="AI306" i="18"/>
  <c r="AH306" i="18"/>
  <c r="AG306" i="18"/>
  <c r="AF306" i="18"/>
  <c r="AE306" i="18"/>
  <c r="AD306" i="18"/>
  <c r="AC306" i="18"/>
  <c r="AB306" i="18"/>
  <c r="AA306" i="18"/>
  <c r="Z306" i="18"/>
  <c r="Y306" i="18"/>
  <c r="X306" i="18"/>
  <c r="W306" i="18"/>
  <c r="V306" i="18"/>
  <c r="U306" i="18"/>
  <c r="T306" i="18"/>
  <c r="S306" i="18"/>
  <c r="R306" i="18"/>
  <c r="Q306" i="18"/>
  <c r="P306" i="18"/>
  <c r="O306" i="18"/>
  <c r="N306" i="18"/>
  <c r="M306" i="18"/>
  <c r="L306" i="18"/>
  <c r="K306" i="18"/>
  <c r="J306" i="18"/>
  <c r="I306" i="18"/>
  <c r="H306" i="18"/>
  <c r="G306" i="18"/>
  <c r="F306" i="18"/>
  <c r="E306" i="18"/>
  <c r="D306" i="18"/>
  <c r="C306" i="18"/>
  <c r="B306" i="18"/>
  <c r="A306" i="18"/>
  <c r="BK305" i="18"/>
  <c r="BJ305" i="18"/>
  <c r="BI305" i="18"/>
  <c r="BH305" i="18"/>
  <c r="BG305" i="18"/>
  <c r="BF305" i="18"/>
  <c r="BE305" i="18"/>
  <c r="BD305" i="18"/>
  <c r="BC305" i="18"/>
  <c r="BB305" i="18"/>
  <c r="BA305" i="18"/>
  <c r="AZ305" i="18"/>
  <c r="AY305" i="18"/>
  <c r="AX305" i="18"/>
  <c r="AW305" i="18"/>
  <c r="AV305" i="18"/>
  <c r="AU305" i="18"/>
  <c r="AT305" i="18"/>
  <c r="AS305" i="18"/>
  <c r="AR305" i="18"/>
  <c r="AQ305" i="18"/>
  <c r="AP305" i="18"/>
  <c r="AO305" i="18"/>
  <c r="AN305" i="18"/>
  <c r="AM305" i="18"/>
  <c r="AL305" i="18"/>
  <c r="AK305" i="18"/>
  <c r="AJ305" i="18"/>
  <c r="AI305" i="18"/>
  <c r="AH305" i="18"/>
  <c r="AG305" i="18"/>
  <c r="AF305" i="18"/>
  <c r="AE305" i="18"/>
  <c r="AD305" i="18"/>
  <c r="AC305" i="18"/>
  <c r="AB305" i="18"/>
  <c r="AA305" i="18"/>
  <c r="Z305" i="18"/>
  <c r="Y305" i="18"/>
  <c r="X305" i="18"/>
  <c r="W305" i="18"/>
  <c r="V305" i="18"/>
  <c r="U305" i="18"/>
  <c r="T305" i="18"/>
  <c r="S305" i="18"/>
  <c r="R305" i="18"/>
  <c r="Q305" i="18"/>
  <c r="P305" i="18"/>
  <c r="O305" i="18"/>
  <c r="N305" i="18"/>
  <c r="M305" i="18"/>
  <c r="L305" i="18"/>
  <c r="K305" i="18"/>
  <c r="J305" i="18"/>
  <c r="I305" i="18"/>
  <c r="H305" i="18"/>
  <c r="G305" i="18"/>
  <c r="F305" i="18"/>
  <c r="E305" i="18"/>
  <c r="D305" i="18"/>
  <c r="C305" i="18"/>
  <c r="B305" i="18"/>
  <c r="A305" i="18"/>
  <c r="AQ304" i="18"/>
  <c r="AP304" i="18"/>
  <c r="AO304" i="18"/>
  <c r="AN304" i="18"/>
  <c r="AM304" i="18"/>
  <c r="AL304" i="18"/>
  <c r="AK304" i="18"/>
  <c r="AJ304" i="18"/>
  <c r="AI304" i="18"/>
  <c r="AH304" i="18"/>
  <c r="AG304" i="18"/>
  <c r="AF304" i="18"/>
  <c r="AE304" i="18"/>
  <c r="AD304" i="18"/>
  <c r="AC304" i="18"/>
  <c r="AB304" i="18"/>
  <c r="AA304" i="18"/>
  <c r="Z304" i="18"/>
  <c r="Y304" i="18"/>
  <c r="X304" i="18"/>
  <c r="W304" i="18"/>
  <c r="V304" i="18"/>
  <c r="U304" i="18"/>
  <c r="T304" i="18"/>
  <c r="S304" i="18"/>
  <c r="R304" i="18"/>
  <c r="Q304" i="18"/>
  <c r="P304" i="18"/>
  <c r="O304" i="18"/>
  <c r="N304" i="18"/>
  <c r="M304" i="18"/>
  <c r="L304" i="18"/>
  <c r="K304" i="18"/>
  <c r="J304" i="18"/>
  <c r="I304" i="18"/>
  <c r="H304" i="18"/>
  <c r="G304" i="18"/>
  <c r="F304" i="18"/>
  <c r="E304" i="18"/>
  <c r="D304" i="18"/>
  <c r="C304" i="18"/>
  <c r="B304" i="18"/>
  <c r="A304" i="18"/>
  <c r="CH302" i="18"/>
  <c r="CG302" i="18"/>
  <c r="CF302" i="18"/>
  <c r="CE302" i="18"/>
  <c r="CD302" i="18"/>
  <c r="CC302" i="18"/>
  <c r="CB302" i="18"/>
  <c r="CA302" i="18"/>
  <c r="BZ302" i="18"/>
  <c r="BY302" i="18"/>
  <c r="AQ302" i="18"/>
  <c r="AP302" i="18"/>
  <c r="AO302" i="18"/>
  <c r="AN302" i="18"/>
  <c r="AM302" i="18"/>
  <c r="AL302" i="18"/>
  <c r="AK302" i="18"/>
  <c r="AJ302" i="18"/>
  <c r="AI302" i="18"/>
  <c r="AH302" i="18"/>
  <c r="AG302" i="18"/>
  <c r="AF302" i="18"/>
  <c r="AE302" i="18"/>
  <c r="AD302" i="18"/>
  <c r="AC302" i="18"/>
  <c r="AB302" i="18"/>
  <c r="AA302" i="18"/>
  <c r="Z302" i="18"/>
  <c r="Y302" i="18"/>
  <c r="X302" i="18"/>
  <c r="W302" i="18"/>
  <c r="V302" i="18"/>
  <c r="U302" i="18"/>
  <c r="T302" i="18"/>
  <c r="S302" i="18"/>
  <c r="R302" i="18"/>
  <c r="Q302" i="18"/>
  <c r="P302" i="18"/>
  <c r="O302" i="18"/>
  <c r="N302" i="18"/>
  <c r="M302" i="18"/>
  <c r="L302" i="18"/>
  <c r="K302" i="18"/>
  <c r="J302" i="18"/>
  <c r="I302" i="18"/>
  <c r="H302" i="18"/>
  <c r="G302" i="18"/>
  <c r="F302" i="18"/>
  <c r="E302" i="18"/>
  <c r="D302" i="18"/>
  <c r="C302" i="18"/>
  <c r="B302" i="18"/>
  <c r="A302" i="18"/>
  <c r="CX301" i="18"/>
  <c r="CW301" i="18"/>
  <c r="CV301" i="18"/>
  <c r="CU301" i="18"/>
  <c r="CT301" i="18"/>
  <c r="CS301" i="18"/>
  <c r="CR301" i="18"/>
  <c r="CQ301" i="18"/>
  <c r="CP301" i="18"/>
  <c r="CO301" i="18"/>
  <c r="CN301" i="18"/>
  <c r="CM301" i="18"/>
  <c r="CL301" i="18"/>
  <c r="CK301" i="18"/>
  <c r="CJ301" i="18"/>
  <c r="CI301" i="18"/>
  <c r="CH301" i="18"/>
  <c r="CG301" i="18"/>
  <c r="CF301" i="18"/>
  <c r="CE301" i="18"/>
  <c r="CD301" i="18"/>
  <c r="CC301" i="18"/>
  <c r="CB301" i="18"/>
  <c r="CA301" i="18"/>
  <c r="BZ301" i="18"/>
  <c r="BY301" i="18"/>
  <c r="BL301" i="18"/>
  <c r="BK301" i="18"/>
  <c r="BJ301" i="18"/>
  <c r="AR301" i="18"/>
  <c r="AQ301" i="18"/>
  <c r="AP301" i="18"/>
  <c r="AO301" i="18"/>
  <c r="AN301" i="18"/>
  <c r="AM301" i="18"/>
  <c r="AL301" i="18"/>
  <c r="AK301" i="18"/>
  <c r="AJ301" i="18"/>
  <c r="AI301" i="18"/>
  <c r="AH301" i="18"/>
  <c r="AG301" i="18"/>
  <c r="AF301" i="18"/>
  <c r="AE301" i="18"/>
  <c r="AD301" i="18"/>
  <c r="AC301" i="18"/>
  <c r="AB301" i="18"/>
  <c r="AA301" i="18"/>
  <c r="Z301" i="18"/>
  <c r="Y301" i="18"/>
  <c r="X301" i="18"/>
  <c r="W301" i="18"/>
  <c r="V301" i="18"/>
  <c r="U301" i="18"/>
  <c r="T301" i="18"/>
  <c r="S301" i="18"/>
  <c r="R301" i="18"/>
  <c r="Q301" i="18"/>
  <c r="P301" i="18"/>
  <c r="O301" i="18"/>
  <c r="N301" i="18"/>
  <c r="M301" i="18"/>
  <c r="L301" i="18"/>
  <c r="K301" i="18"/>
  <c r="J301" i="18"/>
  <c r="I301" i="18"/>
  <c r="H301" i="18"/>
  <c r="G301" i="18"/>
  <c r="F301" i="18"/>
  <c r="E301" i="18"/>
  <c r="D301" i="18"/>
  <c r="C301" i="18"/>
  <c r="B301" i="18"/>
  <c r="A301" i="18"/>
  <c r="CI300" i="18"/>
  <c r="CH300" i="18"/>
  <c r="CG300" i="18"/>
  <c r="CF300" i="18"/>
  <c r="CE300" i="18"/>
  <c r="CD300" i="18"/>
  <c r="CC300" i="18"/>
  <c r="CB300" i="18"/>
  <c r="CA300" i="18"/>
  <c r="BZ300" i="18"/>
  <c r="BY300" i="18"/>
  <c r="AR300" i="18"/>
  <c r="AQ300" i="18"/>
  <c r="AP300" i="18"/>
  <c r="AO300" i="18"/>
  <c r="AN300" i="18"/>
  <c r="AM300" i="18"/>
  <c r="AL300" i="18"/>
  <c r="AK300" i="18"/>
  <c r="AJ300" i="18"/>
  <c r="AI300" i="18"/>
  <c r="AH300" i="18"/>
  <c r="AG300" i="18"/>
  <c r="AF300" i="18"/>
  <c r="AE300" i="18"/>
  <c r="AD300" i="18"/>
  <c r="AC300" i="18"/>
  <c r="AB300" i="18"/>
  <c r="AA300" i="18"/>
  <c r="Z300" i="18"/>
  <c r="Y300" i="18"/>
  <c r="X300" i="18"/>
  <c r="W300" i="18"/>
  <c r="V300" i="18"/>
  <c r="U300" i="18"/>
  <c r="T300" i="18"/>
  <c r="S300" i="18"/>
  <c r="R300" i="18"/>
  <c r="Q300" i="18"/>
  <c r="P300" i="18"/>
  <c r="O300" i="18"/>
  <c r="N300" i="18"/>
  <c r="M300" i="18"/>
  <c r="L300" i="18"/>
  <c r="K300" i="18"/>
  <c r="J300" i="18"/>
  <c r="I300" i="18"/>
  <c r="H300" i="18"/>
  <c r="G300" i="18"/>
  <c r="F300" i="18"/>
  <c r="E300" i="18"/>
  <c r="D300" i="18"/>
  <c r="C300" i="18"/>
  <c r="B300" i="18"/>
  <c r="A300" i="18"/>
  <c r="CI299" i="18"/>
  <c r="CH299" i="18"/>
  <c r="CG299" i="18"/>
  <c r="CF299" i="18"/>
  <c r="CE299" i="18"/>
  <c r="CD299" i="18"/>
  <c r="CC299" i="18"/>
  <c r="CB299" i="18"/>
  <c r="CA299" i="18"/>
  <c r="BZ299" i="18"/>
  <c r="BY299" i="18"/>
  <c r="AR299" i="18"/>
  <c r="AQ299" i="18"/>
  <c r="AP299" i="18"/>
  <c r="AO299" i="18"/>
  <c r="AN299" i="18"/>
  <c r="AM299" i="18"/>
  <c r="AL299" i="18"/>
  <c r="AK299" i="18"/>
  <c r="AJ299" i="18"/>
  <c r="AI299" i="18"/>
  <c r="AH299" i="18"/>
  <c r="AG299" i="18"/>
  <c r="AF299" i="18"/>
  <c r="AE299" i="18"/>
  <c r="AD299" i="18"/>
  <c r="AC299" i="18"/>
  <c r="AB299" i="18"/>
  <c r="AA299" i="18"/>
  <c r="Z299" i="18"/>
  <c r="Y299" i="18"/>
  <c r="X299" i="18"/>
  <c r="W299" i="18"/>
  <c r="V299" i="18"/>
  <c r="U299" i="18"/>
  <c r="T299" i="18"/>
  <c r="S299" i="18"/>
  <c r="R299" i="18"/>
  <c r="Q299" i="18"/>
  <c r="P299" i="18"/>
  <c r="O299" i="18"/>
  <c r="N299" i="18"/>
  <c r="M299" i="18"/>
  <c r="L299" i="18"/>
  <c r="K299" i="18"/>
  <c r="J299" i="18"/>
  <c r="I299" i="18"/>
  <c r="H299" i="18"/>
  <c r="G299" i="18"/>
  <c r="F299" i="18"/>
  <c r="E299" i="18"/>
  <c r="D299" i="18"/>
  <c r="C299" i="18"/>
  <c r="B299" i="18"/>
  <c r="A299" i="18"/>
  <c r="CX298" i="18"/>
  <c r="CW298" i="18"/>
  <c r="CV298" i="18"/>
  <c r="CU298" i="18"/>
  <c r="CT298" i="18"/>
  <c r="CS298" i="18"/>
  <c r="CR298" i="18"/>
  <c r="CQ298" i="18"/>
  <c r="CP298" i="18"/>
  <c r="CO298" i="18"/>
  <c r="CN298" i="18"/>
  <c r="CM298" i="18"/>
  <c r="CL298" i="18"/>
  <c r="CK298" i="18"/>
  <c r="CJ298" i="18"/>
  <c r="CI298" i="18"/>
  <c r="CH298" i="18"/>
  <c r="CG298" i="18"/>
  <c r="CF298" i="18"/>
  <c r="CE298" i="18"/>
  <c r="CD298" i="18"/>
  <c r="CC298" i="18"/>
  <c r="CB298" i="18"/>
  <c r="CA298" i="18"/>
  <c r="BZ298" i="18"/>
  <c r="BY298" i="18"/>
  <c r="AR298" i="18"/>
  <c r="AQ298" i="18"/>
  <c r="AP298" i="18"/>
  <c r="AO298" i="18"/>
  <c r="AN298" i="18"/>
  <c r="AM298" i="18"/>
  <c r="AL298" i="18"/>
  <c r="AK298" i="18"/>
  <c r="AJ298" i="18"/>
  <c r="AI298" i="18"/>
  <c r="AH298" i="18"/>
  <c r="AG298" i="18"/>
  <c r="AF298" i="18"/>
  <c r="AE298" i="18"/>
  <c r="AD298" i="18"/>
  <c r="AC298" i="18"/>
  <c r="AB298" i="18"/>
  <c r="AA298" i="18"/>
  <c r="Z298" i="18"/>
  <c r="Y298" i="18"/>
  <c r="X298" i="18"/>
  <c r="W298" i="18"/>
  <c r="V298" i="18"/>
  <c r="U298" i="18"/>
  <c r="T298" i="18"/>
  <c r="S298" i="18"/>
  <c r="R298" i="18"/>
  <c r="Q298" i="18"/>
  <c r="P298" i="18"/>
  <c r="O298" i="18"/>
  <c r="N298" i="18"/>
  <c r="M298" i="18"/>
  <c r="L298" i="18"/>
  <c r="K298" i="18"/>
  <c r="J298" i="18"/>
  <c r="I298" i="18"/>
  <c r="H298" i="18"/>
  <c r="G298" i="18"/>
  <c r="F298" i="18"/>
  <c r="E298" i="18"/>
  <c r="D298" i="18"/>
  <c r="C298" i="18"/>
  <c r="B298" i="18"/>
  <c r="A298" i="18"/>
  <c r="CI297" i="18"/>
  <c r="CH297" i="18"/>
  <c r="CG297" i="18"/>
  <c r="CF297" i="18"/>
  <c r="CE297" i="18"/>
  <c r="CD297" i="18"/>
  <c r="CC297" i="18"/>
  <c r="CB297" i="18"/>
  <c r="CA297" i="18"/>
  <c r="BZ297" i="18"/>
  <c r="BY297" i="18"/>
  <c r="AR297" i="18"/>
  <c r="AQ297" i="18"/>
  <c r="AP297" i="18"/>
  <c r="AO297" i="18"/>
  <c r="AN297" i="18"/>
  <c r="AM297" i="18"/>
  <c r="AL297" i="18"/>
  <c r="AK297" i="18"/>
  <c r="AJ297" i="18"/>
  <c r="AI297" i="18"/>
  <c r="AH297" i="18"/>
  <c r="AG297" i="18"/>
  <c r="AF297" i="18"/>
  <c r="AE297" i="18"/>
  <c r="AD297" i="18"/>
  <c r="AC297" i="18"/>
  <c r="AB297" i="18"/>
  <c r="AA297" i="18"/>
  <c r="Z297" i="18"/>
  <c r="Y297" i="18"/>
  <c r="X297" i="18"/>
  <c r="W297" i="18"/>
  <c r="V297" i="18"/>
  <c r="U297" i="18"/>
  <c r="T297" i="18"/>
  <c r="S297" i="18"/>
  <c r="R297" i="18"/>
  <c r="Q297" i="18"/>
  <c r="P297" i="18"/>
  <c r="O297" i="18"/>
  <c r="N297" i="18"/>
  <c r="M297" i="18"/>
  <c r="L297" i="18"/>
  <c r="K297" i="18"/>
  <c r="J297" i="18"/>
  <c r="I297" i="18"/>
  <c r="H297" i="18"/>
  <c r="G297" i="18"/>
  <c r="F297" i="18"/>
  <c r="E297" i="18"/>
  <c r="D297" i="18"/>
  <c r="C297" i="18"/>
  <c r="B297" i="18"/>
  <c r="A297" i="18"/>
  <c r="CN296" i="18"/>
  <c r="CI296" i="18"/>
  <c r="CH296" i="18"/>
  <c r="CG296" i="18"/>
  <c r="CF296" i="18"/>
  <c r="CE296" i="18"/>
  <c r="CD296" i="18"/>
  <c r="CC296" i="18"/>
  <c r="CB296" i="18"/>
  <c r="CA296" i="18"/>
  <c r="BZ296" i="18"/>
  <c r="BY296" i="18"/>
  <c r="BL296" i="18"/>
  <c r="BK296" i="18"/>
  <c r="BJ296" i="18"/>
  <c r="BI296" i="18"/>
  <c r="AR296" i="18"/>
  <c r="AQ296" i="18"/>
  <c r="AP296" i="18"/>
  <c r="AO296" i="18"/>
  <c r="AN296" i="18"/>
  <c r="AM296" i="18"/>
  <c r="AL296" i="18"/>
  <c r="AK296" i="18"/>
  <c r="AJ296" i="18"/>
  <c r="AI296" i="18"/>
  <c r="AH296" i="18"/>
  <c r="AG296" i="18"/>
  <c r="AF296" i="18"/>
  <c r="AE296" i="18"/>
  <c r="AD296" i="18"/>
  <c r="AC296" i="18"/>
  <c r="AB296" i="18"/>
  <c r="AA296" i="18"/>
  <c r="Z296" i="18"/>
  <c r="Y296" i="18"/>
  <c r="X296" i="18"/>
  <c r="W296" i="18"/>
  <c r="V296" i="18"/>
  <c r="U296" i="18"/>
  <c r="T296" i="18"/>
  <c r="S296" i="18"/>
  <c r="R296" i="18"/>
  <c r="Q296" i="18"/>
  <c r="P296" i="18"/>
  <c r="O296" i="18"/>
  <c r="N296" i="18"/>
  <c r="M296" i="18"/>
  <c r="L296" i="18"/>
  <c r="K296" i="18"/>
  <c r="J296" i="18"/>
  <c r="I296" i="18"/>
  <c r="H296" i="18"/>
  <c r="G296" i="18"/>
  <c r="F296" i="18"/>
  <c r="E296" i="18"/>
  <c r="D296" i="18"/>
  <c r="C296" i="18"/>
  <c r="B296" i="18"/>
  <c r="A296" i="18"/>
  <c r="CI294" i="18"/>
  <c r="CH294" i="18"/>
  <c r="CG294" i="18"/>
  <c r="CF294" i="18"/>
  <c r="CE294" i="18"/>
  <c r="CD294" i="18"/>
  <c r="CC294" i="18"/>
  <c r="CB294" i="18"/>
  <c r="CA294" i="18"/>
  <c r="BZ294" i="18"/>
  <c r="BY294" i="18"/>
  <c r="AR294" i="18"/>
  <c r="AQ294" i="18"/>
  <c r="AP294" i="18"/>
  <c r="AO294" i="18"/>
  <c r="AN294" i="18"/>
  <c r="AM294" i="18"/>
  <c r="AL294" i="18"/>
  <c r="AK294" i="18"/>
  <c r="AJ294" i="18"/>
  <c r="AI294" i="18"/>
  <c r="AH294" i="18"/>
  <c r="AG294" i="18"/>
  <c r="AF294" i="18"/>
  <c r="AE294" i="18"/>
  <c r="AD294" i="18"/>
  <c r="AC294" i="18"/>
  <c r="AB294" i="18"/>
  <c r="AA294" i="18"/>
  <c r="Z294" i="18"/>
  <c r="Y294" i="18"/>
  <c r="X294" i="18"/>
  <c r="W294" i="18"/>
  <c r="V294" i="18"/>
  <c r="U294" i="18"/>
  <c r="T294" i="18"/>
  <c r="S294" i="18"/>
  <c r="R294" i="18"/>
  <c r="Q294" i="18"/>
  <c r="P294" i="18"/>
  <c r="O294" i="18"/>
  <c r="N294" i="18"/>
  <c r="M294" i="18"/>
  <c r="L294" i="18"/>
  <c r="K294" i="18"/>
  <c r="J294" i="18"/>
  <c r="I294" i="18"/>
  <c r="H294" i="18"/>
  <c r="G294" i="18"/>
  <c r="F294" i="18"/>
  <c r="E294" i="18"/>
  <c r="D294" i="18"/>
  <c r="C294" i="18"/>
  <c r="B294" i="18"/>
  <c r="A294" i="18"/>
  <c r="CI293" i="18"/>
  <c r="CH293" i="18"/>
  <c r="CG293" i="18"/>
  <c r="CF293" i="18"/>
  <c r="CE293" i="18"/>
  <c r="CD293" i="18"/>
  <c r="CC293" i="18"/>
  <c r="CB293" i="18"/>
  <c r="CA293" i="18"/>
  <c r="BZ293" i="18"/>
  <c r="BY293" i="18"/>
  <c r="AR293" i="18"/>
  <c r="AQ293" i="18"/>
  <c r="AP293" i="18"/>
  <c r="AO293" i="18"/>
  <c r="AN293" i="18"/>
  <c r="AM293" i="18"/>
  <c r="AL293" i="18"/>
  <c r="AK293" i="18"/>
  <c r="AJ293" i="18"/>
  <c r="AI293" i="18"/>
  <c r="AH293" i="18"/>
  <c r="AG293" i="18"/>
  <c r="AF293" i="18"/>
  <c r="AE293" i="18"/>
  <c r="AD293" i="18"/>
  <c r="AC293" i="18"/>
  <c r="AB293" i="18"/>
  <c r="AA293" i="18"/>
  <c r="Z293" i="18"/>
  <c r="Y293" i="18"/>
  <c r="X293" i="18"/>
  <c r="W293" i="18"/>
  <c r="V293" i="18"/>
  <c r="U293" i="18"/>
  <c r="T293" i="18"/>
  <c r="S293" i="18"/>
  <c r="R293" i="18"/>
  <c r="Q293" i="18"/>
  <c r="P293" i="18"/>
  <c r="O293" i="18"/>
  <c r="N293" i="18"/>
  <c r="M293" i="18"/>
  <c r="L293" i="18"/>
  <c r="K293" i="18"/>
  <c r="J293" i="18"/>
  <c r="I293" i="18"/>
  <c r="H293" i="18"/>
  <c r="G293" i="18"/>
  <c r="F293" i="18"/>
  <c r="E293" i="18"/>
  <c r="D293" i="18"/>
  <c r="C293" i="18"/>
  <c r="B293" i="18"/>
  <c r="A293" i="18"/>
  <c r="CI292" i="18"/>
  <c r="CH292" i="18"/>
  <c r="CG292" i="18"/>
  <c r="CF292" i="18"/>
  <c r="CE292" i="18"/>
  <c r="CD292" i="18"/>
  <c r="CC292" i="18"/>
  <c r="CB292" i="18"/>
  <c r="CA292" i="18"/>
  <c r="BZ292" i="18"/>
  <c r="BY292" i="18"/>
  <c r="AR292" i="18"/>
  <c r="AQ292" i="18"/>
  <c r="AP292" i="18"/>
  <c r="AO292" i="18"/>
  <c r="AN292" i="18"/>
  <c r="AM292" i="18"/>
  <c r="AL292" i="18"/>
  <c r="AK292" i="18"/>
  <c r="AJ292" i="18"/>
  <c r="AI292" i="18"/>
  <c r="AH292" i="18"/>
  <c r="AG292" i="18"/>
  <c r="AF292" i="18"/>
  <c r="AE292" i="18"/>
  <c r="AD292" i="18"/>
  <c r="AC292" i="18"/>
  <c r="AB292" i="18"/>
  <c r="AA292" i="18"/>
  <c r="Z292" i="18"/>
  <c r="Y292" i="18"/>
  <c r="X292" i="18"/>
  <c r="W292" i="18"/>
  <c r="V292" i="18"/>
  <c r="U292" i="18"/>
  <c r="T292" i="18"/>
  <c r="S292" i="18"/>
  <c r="R292" i="18"/>
  <c r="Q292" i="18"/>
  <c r="P292" i="18"/>
  <c r="O292" i="18"/>
  <c r="N292" i="18"/>
  <c r="M292" i="18"/>
  <c r="L292" i="18"/>
  <c r="K292" i="18"/>
  <c r="J292" i="18"/>
  <c r="I292" i="18"/>
  <c r="H292" i="18"/>
  <c r="G292" i="18"/>
  <c r="F292" i="18"/>
  <c r="E292" i="18"/>
  <c r="D292" i="18"/>
  <c r="C292" i="18"/>
  <c r="B292" i="18"/>
  <c r="A292" i="18"/>
  <c r="CN291" i="18"/>
  <c r="CI291" i="18"/>
  <c r="CH291" i="18"/>
  <c r="CG291" i="18"/>
  <c r="CF291" i="18"/>
  <c r="CE291" i="18"/>
  <c r="CD291" i="18"/>
  <c r="CC291" i="18"/>
  <c r="CB291" i="18"/>
  <c r="CA291" i="18"/>
  <c r="BZ291" i="18"/>
  <c r="BY291" i="18"/>
  <c r="BL291" i="18"/>
  <c r="BK291" i="18"/>
  <c r="BJ291" i="18"/>
  <c r="BI291" i="18"/>
  <c r="AR291" i="18"/>
  <c r="AQ291" i="18"/>
  <c r="AP291" i="18"/>
  <c r="AO291" i="18"/>
  <c r="AN291" i="18"/>
  <c r="AM291" i="18"/>
  <c r="AL291" i="18"/>
  <c r="AK291" i="18"/>
  <c r="AJ291" i="18"/>
  <c r="AI291" i="18"/>
  <c r="AH291" i="18"/>
  <c r="AG291" i="18"/>
  <c r="AF291" i="18"/>
  <c r="AE291" i="18"/>
  <c r="AD291" i="18"/>
  <c r="AC291" i="18"/>
  <c r="AB291" i="18"/>
  <c r="AA291" i="18"/>
  <c r="Z291" i="18"/>
  <c r="Y291" i="18"/>
  <c r="X291" i="18"/>
  <c r="W291" i="18"/>
  <c r="V291" i="18"/>
  <c r="U291" i="18"/>
  <c r="T291" i="18"/>
  <c r="S291" i="18"/>
  <c r="R291" i="18"/>
  <c r="Q291" i="18"/>
  <c r="P291" i="18"/>
  <c r="O291" i="18"/>
  <c r="N291" i="18"/>
  <c r="M291" i="18"/>
  <c r="L291" i="18"/>
  <c r="K291" i="18"/>
  <c r="J291" i="18"/>
  <c r="I291" i="18"/>
  <c r="H291" i="18"/>
  <c r="G291" i="18"/>
  <c r="F291" i="18"/>
  <c r="E291" i="18"/>
  <c r="D291" i="18"/>
  <c r="C291" i="18"/>
  <c r="B291" i="18"/>
  <c r="A291" i="18"/>
  <c r="CX290" i="18"/>
  <c r="CW290" i="18"/>
  <c r="CV290" i="18"/>
  <c r="CU290" i="18"/>
  <c r="CT290" i="18"/>
  <c r="CS290" i="18"/>
  <c r="CR290" i="18"/>
  <c r="CQ290" i="18"/>
  <c r="CP290" i="18"/>
  <c r="CO290" i="18"/>
  <c r="CN290" i="18"/>
  <c r="CM290" i="18"/>
  <c r="CL290" i="18"/>
  <c r="CK290" i="18"/>
  <c r="CJ290" i="18"/>
  <c r="CI290" i="18"/>
  <c r="CH290" i="18"/>
  <c r="CG290" i="18"/>
  <c r="CF290" i="18"/>
  <c r="CE290" i="18"/>
  <c r="CD290" i="18"/>
  <c r="CC290" i="18"/>
  <c r="CB290" i="18"/>
  <c r="CA290" i="18"/>
  <c r="BZ290" i="18"/>
  <c r="BY290" i="18"/>
  <c r="BX290" i="18"/>
  <c r="BW290" i="18"/>
  <c r="BV290" i="18"/>
  <c r="BU290" i="18"/>
  <c r="BT290" i="18"/>
  <c r="BS290" i="18"/>
  <c r="BR290" i="18"/>
  <c r="BQ290" i="18"/>
  <c r="BP290" i="18"/>
  <c r="BO290" i="18"/>
  <c r="BN290" i="18"/>
  <c r="BM290" i="18"/>
  <c r="BL290" i="18"/>
  <c r="BK290" i="18"/>
  <c r="BJ290" i="18"/>
  <c r="BI290" i="18"/>
  <c r="BH290" i="18"/>
  <c r="BG290" i="18"/>
  <c r="BF290" i="18"/>
  <c r="BE290" i="18"/>
  <c r="BD290" i="18"/>
  <c r="BC290" i="18"/>
  <c r="BB290" i="18"/>
  <c r="BA290" i="18"/>
  <c r="AZ290" i="18"/>
  <c r="AY290" i="18"/>
  <c r="AX290" i="18"/>
  <c r="AW290" i="18"/>
  <c r="AV290" i="18"/>
  <c r="AU290" i="18"/>
  <c r="AT290" i="18"/>
  <c r="AS290" i="18"/>
  <c r="AR290" i="18"/>
  <c r="AQ290" i="18"/>
  <c r="AP290" i="18"/>
  <c r="AO290" i="18"/>
  <c r="AN290" i="18"/>
  <c r="AM290" i="18"/>
  <c r="AL290" i="18"/>
  <c r="AK290" i="18"/>
  <c r="AJ290" i="18"/>
  <c r="AI290" i="18"/>
  <c r="AH290" i="18"/>
  <c r="AG290" i="18"/>
  <c r="AF290" i="18"/>
  <c r="AE290" i="18"/>
  <c r="AD290" i="18"/>
  <c r="AC290" i="18"/>
  <c r="AB290" i="18"/>
  <c r="AA290" i="18"/>
  <c r="Z290" i="18"/>
  <c r="Y290" i="18"/>
  <c r="X290" i="18"/>
  <c r="W290" i="18"/>
  <c r="V290" i="18"/>
  <c r="U290" i="18"/>
  <c r="T290" i="18"/>
  <c r="S290" i="18"/>
  <c r="R290" i="18"/>
  <c r="Q290" i="18"/>
  <c r="P290" i="18"/>
  <c r="O290" i="18"/>
  <c r="N290" i="18"/>
  <c r="M290" i="18"/>
  <c r="L290" i="18"/>
  <c r="K290" i="18"/>
  <c r="J290" i="18"/>
  <c r="I290" i="18"/>
  <c r="H290" i="18"/>
  <c r="G290" i="18"/>
  <c r="F290" i="18"/>
  <c r="E290" i="18"/>
  <c r="D290" i="18"/>
  <c r="C290" i="18"/>
  <c r="B290" i="18"/>
  <c r="A290" i="18"/>
  <c r="CX289" i="18"/>
  <c r="CW289" i="18"/>
  <c r="CV289" i="18"/>
  <c r="CU289" i="18"/>
  <c r="CT289" i="18"/>
  <c r="CS289" i="18"/>
  <c r="CR289" i="18"/>
  <c r="CQ289" i="18"/>
  <c r="CP289" i="18"/>
  <c r="CO289" i="18"/>
  <c r="CN289" i="18"/>
  <c r="CM289" i="18"/>
  <c r="CL289" i="18"/>
  <c r="CK289" i="18"/>
  <c r="CJ289" i="18"/>
  <c r="CI289" i="18"/>
  <c r="CH289" i="18"/>
  <c r="CG289" i="18"/>
  <c r="CF289" i="18"/>
  <c r="CE289" i="18"/>
  <c r="CD289" i="18"/>
  <c r="CC289" i="18"/>
  <c r="CB289" i="18"/>
  <c r="CA289" i="18"/>
  <c r="BZ289" i="18"/>
  <c r="BY289" i="18"/>
  <c r="AN289" i="18"/>
  <c r="AM289" i="18"/>
  <c r="AL289" i="18"/>
  <c r="AK289" i="18"/>
  <c r="AJ289" i="18"/>
  <c r="AI289" i="18"/>
  <c r="AH289" i="18"/>
  <c r="AG289" i="18"/>
  <c r="AF289" i="18"/>
  <c r="AE289" i="18"/>
  <c r="AD289" i="18"/>
  <c r="AC289" i="18"/>
  <c r="AB289" i="18"/>
  <c r="AA289" i="18"/>
  <c r="Z289" i="18"/>
  <c r="Y289" i="18"/>
  <c r="X289" i="18"/>
  <c r="W289" i="18"/>
  <c r="V289" i="18"/>
  <c r="U289" i="18"/>
  <c r="T289" i="18"/>
  <c r="S289" i="18"/>
  <c r="R289" i="18"/>
  <c r="Q289" i="18"/>
  <c r="P289" i="18"/>
  <c r="O289" i="18"/>
  <c r="N289" i="18"/>
  <c r="M289" i="18"/>
  <c r="L289" i="18"/>
  <c r="K289" i="18"/>
  <c r="J289" i="18"/>
  <c r="I289" i="18"/>
  <c r="H289" i="18"/>
  <c r="G289" i="18"/>
  <c r="F289" i="18"/>
  <c r="E289" i="18"/>
  <c r="D289" i="18"/>
  <c r="C289" i="18"/>
  <c r="B289" i="18"/>
  <c r="A289" i="18"/>
  <c r="CL288" i="18"/>
  <c r="CK288" i="18"/>
  <c r="CJ288" i="18"/>
  <c r="CI288" i="18"/>
  <c r="CH288" i="18"/>
  <c r="CG288" i="18"/>
  <c r="CF288" i="18"/>
  <c r="CE288" i="18"/>
  <c r="CD288" i="18"/>
  <c r="CC288" i="18"/>
  <c r="CB288" i="18"/>
  <c r="CA288" i="18"/>
  <c r="BZ288" i="18"/>
  <c r="BY288" i="18"/>
  <c r="AR288" i="18"/>
  <c r="AQ288" i="18"/>
  <c r="AP288" i="18"/>
  <c r="AO288" i="18"/>
  <c r="AN288" i="18"/>
  <c r="AM288" i="18"/>
  <c r="AL288" i="18"/>
  <c r="AK288" i="18"/>
  <c r="AJ288" i="18"/>
  <c r="AI288" i="18"/>
  <c r="AH288" i="18"/>
  <c r="AG288" i="18"/>
  <c r="AF288" i="18"/>
  <c r="AE288" i="18"/>
  <c r="AD288" i="18"/>
  <c r="AC288" i="18"/>
  <c r="AB288" i="18"/>
  <c r="AA288" i="18"/>
  <c r="Z288" i="18"/>
  <c r="Y288" i="18"/>
  <c r="X288" i="18"/>
  <c r="W288" i="18"/>
  <c r="V288" i="18"/>
  <c r="U288" i="18"/>
  <c r="T288" i="18"/>
  <c r="S288" i="18"/>
  <c r="R288" i="18"/>
  <c r="Q288" i="18"/>
  <c r="P288" i="18"/>
  <c r="O288" i="18"/>
  <c r="N288" i="18"/>
  <c r="M288" i="18"/>
  <c r="L288" i="18"/>
  <c r="K288" i="18"/>
  <c r="J288" i="18"/>
  <c r="I288" i="18"/>
  <c r="H288" i="18"/>
  <c r="G288" i="18"/>
  <c r="F288" i="18"/>
  <c r="E288" i="18"/>
  <c r="D288" i="18"/>
  <c r="C288" i="18"/>
  <c r="B288" i="18"/>
  <c r="A288" i="18"/>
  <c r="CX288" i="18"/>
  <c r="CW288" i="18"/>
  <c r="CV288" i="18"/>
  <c r="CU288" i="18"/>
  <c r="CT288" i="18"/>
  <c r="CS288" i="18"/>
  <c r="CR288" i="18"/>
  <c r="CQ288" i="18"/>
  <c r="CP288" i="18"/>
  <c r="CO288" i="18"/>
  <c r="CX287" i="18"/>
  <c r="CW287" i="18"/>
  <c r="CV287" i="18"/>
  <c r="CU287" i="18"/>
  <c r="CT287" i="18"/>
  <c r="CS287" i="18"/>
  <c r="CR287" i="18"/>
  <c r="CQ287" i="18"/>
  <c r="CP287" i="18"/>
  <c r="CO287" i="18"/>
  <c r="CX286" i="18"/>
  <c r="CW286" i="18"/>
  <c r="CV286" i="18"/>
  <c r="CU286" i="18"/>
  <c r="CT286" i="18"/>
  <c r="CS286" i="18"/>
  <c r="CR286" i="18"/>
  <c r="CQ286" i="18"/>
  <c r="CP286" i="18"/>
  <c r="CO286" i="18"/>
  <c r="CX285" i="18"/>
  <c r="CW285" i="18"/>
  <c r="CV285" i="18"/>
  <c r="CU285" i="18"/>
  <c r="CT285" i="18"/>
  <c r="CS285" i="18"/>
  <c r="CR285" i="18"/>
  <c r="CQ285" i="18"/>
  <c r="CP285" i="18"/>
  <c r="CO285" i="18"/>
  <c r="CX284" i="18"/>
  <c r="CW284" i="18"/>
  <c r="CV284" i="18"/>
  <c r="CU284" i="18"/>
  <c r="CT284" i="18"/>
  <c r="CS284" i="18"/>
  <c r="CR284" i="18"/>
  <c r="CQ284" i="18"/>
  <c r="CP284" i="18"/>
  <c r="CO284" i="18"/>
  <c r="CX283" i="18"/>
  <c r="CW283" i="18"/>
  <c r="CV283" i="18"/>
  <c r="CU283" i="18"/>
  <c r="CT283" i="18"/>
  <c r="CS283" i="18"/>
  <c r="CR283" i="18"/>
  <c r="CQ283" i="18"/>
  <c r="CP283" i="18"/>
  <c r="CO283" i="18"/>
  <c r="CX282" i="18"/>
  <c r="CW282" i="18"/>
  <c r="CV282" i="18"/>
  <c r="CU282" i="18"/>
  <c r="CT282" i="18"/>
  <c r="CS282" i="18"/>
  <c r="CR282" i="18"/>
  <c r="CQ282" i="18"/>
  <c r="CP282" i="18"/>
  <c r="CO282" i="18"/>
  <c r="CX281" i="18"/>
  <c r="CW281" i="18"/>
  <c r="CV281" i="18"/>
  <c r="CU281" i="18"/>
  <c r="CT281" i="18"/>
  <c r="CS281" i="18"/>
  <c r="CR281" i="18"/>
  <c r="CQ281" i="18"/>
  <c r="CP281" i="18"/>
  <c r="CO281" i="18"/>
  <c r="CX280" i="18"/>
  <c r="CW280" i="18"/>
  <c r="CV280" i="18"/>
  <c r="CU280" i="18"/>
  <c r="CT280" i="18"/>
  <c r="CS280" i="18"/>
  <c r="CR280" i="18"/>
  <c r="CQ280" i="18"/>
  <c r="CP280" i="18"/>
  <c r="CO280" i="18"/>
  <c r="CX279" i="18"/>
  <c r="CW279" i="18"/>
  <c r="CV279" i="18"/>
  <c r="CU279" i="18"/>
  <c r="CT279" i="18"/>
  <c r="CS279" i="18"/>
  <c r="CR279" i="18"/>
  <c r="CQ279" i="18"/>
  <c r="CP279" i="18"/>
  <c r="CO279" i="18"/>
  <c r="CX278" i="18"/>
  <c r="CW278" i="18"/>
  <c r="CV278" i="18"/>
  <c r="CU278" i="18"/>
  <c r="CT278" i="18"/>
  <c r="CS278" i="18"/>
  <c r="CR278" i="18"/>
  <c r="CQ278" i="18"/>
  <c r="CP278" i="18"/>
  <c r="CO278" i="18"/>
  <c r="CX277" i="18"/>
  <c r="CW277" i="18"/>
  <c r="CV277" i="18"/>
  <c r="CU277" i="18"/>
  <c r="CT277" i="18"/>
  <c r="CS277" i="18"/>
  <c r="CR277" i="18"/>
  <c r="CQ277" i="18"/>
  <c r="CP277" i="18"/>
  <c r="CO277" i="18"/>
  <c r="CX276" i="18"/>
  <c r="CW276" i="18"/>
  <c r="CV276" i="18"/>
  <c r="CU276" i="18"/>
  <c r="CT276" i="18"/>
  <c r="CS276" i="18"/>
  <c r="CR276" i="18"/>
  <c r="CQ276" i="18"/>
  <c r="CP276" i="18"/>
  <c r="CO276" i="18"/>
  <c r="CX275" i="18"/>
  <c r="CW275" i="18"/>
  <c r="CV275" i="18"/>
  <c r="CU275" i="18"/>
  <c r="CT275" i="18"/>
  <c r="CS275" i="18"/>
  <c r="CR275" i="18"/>
  <c r="CQ275" i="18"/>
  <c r="CP275" i="18"/>
  <c r="CO275" i="18"/>
  <c r="CX274" i="18"/>
  <c r="CW274" i="18"/>
  <c r="CV274" i="18"/>
  <c r="CU274" i="18"/>
  <c r="CT274" i="18"/>
  <c r="CS274" i="18"/>
  <c r="CR274" i="18"/>
  <c r="CQ274" i="18"/>
  <c r="CP274" i="18"/>
  <c r="CO274" i="18"/>
  <c r="CX273" i="18"/>
  <c r="CW273" i="18"/>
  <c r="CV273" i="18"/>
  <c r="CU273" i="18"/>
  <c r="CT273" i="18"/>
  <c r="CS273" i="18"/>
  <c r="CR273" i="18"/>
  <c r="CQ273" i="18"/>
  <c r="CP273" i="18"/>
  <c r="CO273" i="18"/>
  <c r="CX272" i="18"/>
  <c r="CW272" i="18"/>
  <c r="CV272" i="18"/>
  <c r="CU272" i="18"/>
  <c r="CT272" i="18"/>
  <c r="CS272" i="18"/>
  <c r="CR272" i="18"/>
  <c r="CQ272" i="18"/>
  <c r="CP272" i="18"/>
  <c r="CO272" i="18"/>
  <c r="CX269" i="18"/>
  <c r="CW269" i="18"/>
  <c r="CV269" i="18"/>
  <c r="CU269" i="18"/>
  <c r="CT269" i="18"/>
  <c r="CS269" i="18"/>
  <c r="CR269" i="18"/>
  <c r="CQ269" i="18"/>
  <c r="CP269" i="18"/>
  <c r="CO269" i="18"/>
  <c r="CX266" i="18"/>
  <c r="CW266" i="18"/>
  <c r="CV266" i="18"/>
  <c r="CU266" i="18"/>
  <c r="CT266" i="18"/>
  <c r="CS266" i="18"/>
  <c r="CR266" i="18"/>
  <c r="CQ266" i="18"/>
  <c r="CP266" i="18"/>
  <c r="CO266" i="18"/>
  <c r="CX263" i="18"/>
  <c r="CW263" i="18"/>
  <c r="CV263" i="18"/>
  <c r="CU263" i="18"/>
  <c r="CT263" i="18"/>
  <c r="CS263" i="18"/>
  <c r="CR263" i="18"/>
  <c r="CQ263" i="18"/>
  <c r="CP263" i="18"/>
  <c r="CO263" i="18"/>
  <c r="CX262" i="18"/>
  <c r="CW262" i="18"/>
  <c r="CV262" i="18"/>
  <c r="CU262" i="18"/>
  <c r="CT262" i="18"/>
  <c r="CS262" i="18"/>
  <c r="CR262" i="18"/>
  <c r="CQ262" i="18"/>
  <c r="CP262" i="18"/>
  <c r="CO262" i="18"/>
  <c r="CX261" i="18"/>
  <c r="CW261" i="18"/>
  <c r="CV261" i="18"/>
  <c r="CU261" i="18"/>
  <c r="CT261" i="18"/>
  <c r="CS261" i="18"/>
  <c r="CR261" i="18"/>
  <c r="CQ261" i="18"/>
  <c r="CP261" i="18"/>
  <c r="CO261" i="18"/>
  <c r="CX260" i="18"/>
  <c r="CW260" i="18"/>
  <c r="CV260" i="18"/>
  <c r="CU260" i="18"/>
  <c r="CT260" i="18"/>
  <c r="CS260" i="18"/>
  <c r="CR260" i="18"/>
  <c r="CQ260" i="18"/>
  <c r="CP260" i="18"/>
  <c r="CO260" i="18"/>
  <c r="CN287" i="18"/>
  <c r="CM287" i="18"/>
  <c r="CL287" i="18"/>
  <c r="CK287" i="18"/>
  <c r="CJ287" i="18"/>
  <c r="CI287" i="18"/>
  <c r="CH287" i="18"/>
  <c r="CG287" i="18"/>
  <c r="CF287" i="18"/>
  <c r="CE287" i="18"/>
  <c r="CD287" i="18"/>
  <c r="CC287" i="18"/>
  <c r="CB287" i="18"/>
  <c r="CA287" i="18"/>
  <c r="BZ287" i="18"/>
  <c r="BY287" i="18"/>
  <c r="AN287" i="18"/>
  <c r="AM287" i="18"/>
  <c r="AL287" i="18"/>
  <c r="AK287" i="18"/>
  <c r="AJ287" i="18"/>
  <c r="AI287" i="18"/>
  <c r="AH287" i="18"/>
  <c r="AG287" i="18"/>
  <c r="AF287" i="18"/>
  <c r="AE287" i="18"/>
  <c r="AD287" i="18"/>
  <c r="AC287" i="18"/>
  <c r="AB287" i="18"/>
  <c r="AA287" i="18"/>
  <c r="Z287" i="18"/>
  <c r="Y287" i="18"/>
  <c r="X287" i="18"/>
  <c r="W287" i="18"/>
  <c r="V287" i="18"/>
  <c r="U287" i="18"/>
  <c r="T287" i="18"/>
  <c r="S287" i="18"/>
  <c r="R287" i="18"/>
  <c r="Q287" i="18"/>
  <c r="P287" i="18"/>
  <c r="O287" i="18"/>
  <c r="N287" i="18"/>
  <c r="M287" i="18"/>
  <c r="L287" i="18"/>
  <c r="K287" i="18"/>
  <c r="J287" i="18"/>
  <c r="I287" i="18"/>
  <c r="H287" i="18"/>
  <c r="G287" i="18"/>
  <c r="F287" i="18"/>
  <c r="E287" i="18"/>
  <c r="D287" i="18"/>
  <c r="C287" i="18"/>
  <c r="B287" i="18"/>
  <c r="A287" i="18"/>
  <c r="CN286" i="18"/>
  <c r="CM286" i="18"/>
  <c r="CL286" i="18"/>
  <c r="CK286" i="18"/>
  <c r="CJ286" i="18"/>
  <c r="CI286" i="18"/>
  <c r="CH286" i="18"/>
  <c r="CG286" i="18"/>
  <c r="CF286" i="18"/>
  <c r="CE286" i="18"/>
  <c r="CD286" i="18"/>
  <c r="CC286" i="18"/>
  <c r="CB286" i="18"/>
  <c r="CA286" i="18"/>
  <c r="BZ286" i="18"/>
  <c r="BY286" i="18"/>
  <c r="BX286" i="18"/>
  <c r="BW286" i="18"/>
  <c r="BV286" i="18"/>
  <c r="BU286" i="18"/>
  <c r="BT286" i="18"/>
  <c r="BS286" i="18"/>
  <c r="BR286" i="18"/>
  <c r="BQ286" i="18"/>
  <c r="BP286" i="18"/>
  <c r="BO286" i="18"/>
  <c r="BN286" i="18"/>
  <c r="BM286" i="18"/>
  <c r="BL286" i="18"/>
  <c r="BK286" i="18"/>
  <c r="BJ286" i="18"/>
  <c r="BI286" i="18"/>
  <c r="BH286" i="18"/>
  <c r="BG286" i="18"/>
  <c r="BF286" i="18"/>
  <c r="BE286" i="18"/>
  <c r="BD286" i="18"/>
  <c r="BC286" i="18"/>
  <c r="BB286" i="18"/>
  <c r="BA286" i="18"/>
  <c r="AZ286" i="18"/>
  <c r="AY286" i="18"/>
  <c r="AX286" i="18"/>
  <c r="AW286" i="18"/>
  <c r="AV286" i="18"/>
  <c r="AU286" i="18"/>
  <c r="AT286" i="18"/>
  <c r="AS286" i="18"/>
  <c r="AR286" i="18"/>
  <c r="AQ286" i="18"/>
  <c r="AP286" i="18"/>
  <c r="AO286" i="18"/>
  <c r="AN286" i="18"/>
  <c r="AM286" i="18"/>
  <c r="AL286" i="18"/>
  <c r="AK286" i="18"/>
  <c r="AJ286" i="18"/>
  <c r="AI286" i="18"/>
  <c r="AH286" i="18"/>
  <c r="AG286" i="18"/>
  <c r="AF286" i="18"/>
  <c r="AE286" i="18"/>
  <c r="AD286" i="18"/>
  <c r="AC286" i="18"/>
  <c r="AB286" i="18"/>
  <c r="AA286" i="18"/>
  <c r="Z286" i="18"/>
  <c r="Y286" i="18"/>
  <c r="X286" i="18"/>
  <c r="W286" i="18"/>
  <c r="V286" i="18"/>
  <c r="U286" i="18"/>
  <c r="T286" i="18"/>
  <c r="S286" i="18"/>
  <c r="R286" i="18"/>
  <c r="Q286" i="18"/>
  <c r="P286" i="18"/>
  <c r="O286" i="18"/>
  <c r="N286" i="18"/>
  <c r="M286" i="18"/>
  <c r="L286" i="18"/>
  <c r="K286" i="18"/>
  <c r="J286" i="18"/>
  <c r="I286" i="18"/>
  <c r="H286" i="18"/>
  <c r="G286" i="18"/>
  <c r="F286" i="18"/>
  <c r="E286" i="18"/>
  <c r="D286" i="18"/>
  <c r="C286" i="18"/>
  <c r="B286" i="18"/>
  <c r="A286" i="18"/>
  <c r="CN285" i="18"/>
  <c r="CM285" i="18"/>
  <c r="CL285" i="18"/>
  <c r="CK285" i="18"/>
  <c r="CJ285" i="18"/>
  <c r="CI285" i="18"/>
  <c r="CH285" i="18"/>
  <c r="CG285" i="18"/>
  <c r="CF285" i="18"/>
  <c r="CE285" i="18"/>
  <c r="CD285" i="18"/>
  <c r="CC285" i="18"/>
  <c r="CB285" i="18"/>
  <c r="CA285" i="18"/>
  <c r="BZ285" i="18"/>
  <c r="BY285" i="18"/>
  <c r="BX285" i="18"/>
  <c r="BW285" i="18"/>
  <c r="BV285" i="18"/>
  <c r="BU285" i="18"/>
  <c r="BT285" i="18"/>
  <c r="BS285" i="18"/>
  <c r="BR285" i="18"/>
  <c r="BQ285" i="18"/>
  <c r="BP285" i="18"/>
  <c r="BO285" i="18"/>
  <c r="BN285" i="18"/>
  <c r="BM285" i="18"/>
  <c r="BL285" i="18"/>
  <c r="BK285" i="18"/>
  <c r="BJ285" i="18"/>
  <c r="BI285" i="18"/>
  <c r="BH285" i="18"/>
  <c r="BG285" i="18"/>
  <c r="BF285" i="18"/>
  <c r="BE285" i="18"/>
  <c r="BD285" i="18"/>
  <c r="BC285" i="18"/>
  <c r="BB285" i="18"/>
  <c r="BA285" i="18"/>
  <c r="AZ285" i="18"/>
  <c r="AY285" i="18"/>
  <c r="AX285" i="18"/>
  <c r="AW285" i="18"/>
  <c r="AV285" i="18"/>
  <c r="AU285" i="18"/>
  <c r="AT285" i="18"/>
  <c r="AS285" i="18"/>
  <c r="AR285" i="18"/>
  <c r="AQ285" i="18"/>
  <c r="AP285" i="18"/>
  <c r="AO285" i="18"/>
  <c r="AN285" i="18"/>
  <c r="AM285" i="18"/>
  <c r="AL285" i="18"/>
  <c r="AK285" i="18"/>
  <c r="AJ285" i="18"/>
  <c r="AI285" i="18"/>
  <c r="AH285" i="18"/>
  <c r="AG285" i="18"/>
  <c r="AF285" i="18"/>
  <c r="AE285" i="18"/>
  <c r="AD285" i="18"/>
  <c r="AC285" i="18"/>
  <c r="AB285" i="18"/>
  <c r="AA285" i="18"/>
  <c r="Z285" i="18"/>
  <c r="Y285" i="18"/>
  <c r="X285" i="18"/>
  <c r="W285" i="18"/>
  <c r="V285" i="18"/>
  <c r="U285" i="18"/>
  <c r="T285" i="18"/>
  <c r="S285" i="18"/>
  <c r="R285" i="18"/>
  <c r="Q285" i="18"/>
  <c r="P285" i="18"/>
  <c r="O285" i="18"/>
  <c r="N285" i="18"/>
  <c r="M285" i="18"/>
  <c r="L285" i="18"/>
  <c r="K285" i="18"/>
  <c r="J285" i="18"/>
  <c r="I285" i="18"/>
  <c r="H285" i="18"/>
  <c r="G285" i="18"/>
  <c r="F285" i="18"/>
  <c r="E285" i="18"/>
  <c r="D285" i="18"/>
  <c r="C285" i="18"/>
  <c r="B285" i="18"/>
  <c r="A285" i="18"/>
  <c r="CN284" i="18"/>
  <c r="CM284" i="18"/>
  <c r="CL284" i="18"/>
  <c r="CK284" i="18"/>
  <c r="CJ284" i="18"/>
  <c r="CI284" i="18"/>
  <c r="CH284" i="18"/>
  <c r="CG284" i="18"/>
  <c r="CF284" i="18"/>
  <c r="CE284" i="18"/>
  <c r="CD284" i="18"/>
  <c r="CC284" i="18"/>
  <c r="CB284" i="18"/>
  <c r="CA284" i="18"/>
  <c r="BZ284" i="18"/>
  <c r="BY284" i="18"/>
  <c r="BX284" i="18"/>
  <c r="BW284" i="18"/>
  <c r="BV284" i="18"/>
  <c r="BU284" i="18"/>
  <c r="BT284" i="18"/>
  <c r="BS284" i="18"/>
  <c r="BR284" i="18"/>
  <c r="BQ284" i="18"/>
  <c r="BP284" i="18"/>
  <c r="BO284" i="18"/>
  <c r="BN284" i="18"/>
  <c r="BM284" i="18"/>
  <c r="BL284" i="18"/>
  <c r="BK284" i="18"/>
  <c r="BJ284" i="18"/>
  <c r="BI284" i="18"/>
  <c r="BH284" i="18"/>
  <c r="BG284" i="18"/>
  <c r="BF284" i="18"/>
  <c r="BE284" i="18"/>
  <c r="BD284" i="18"/>
  <c r="BC284" i="18"/>
  <c r="BB284" i="18"/>
  <c r="BA284" i="18"/>
  <c r="AZ284" i="18"/>
  <c r="AY284" i="18"/>
  <c r="AX284" i="18"/>
  <c r="AW284" i="18"/>
  <c r="AV284" i="18"/>
  <c r="AU284" i="18"/>
  <c r="AT284" i="18"/>
  <c r="AS284" i="18"/>
  <c r="AR284" i="18"/>
  <c r="AQ284" i="18"/>
  <c r="AP284" i="18"/>
  <c r="AO284" i="18"/>
  <c r="AN284" i="18"/>
  <c r="AM284" i="18"/>
  <c r="AL284" i="18"/>
  <c r="AK284" i="18"/>
  <c r="AJ284" i="18"/>
  <c r="AI284" i="18"/>
  <c r="AH284" i="18"/>
  <c r="AG284" i="18"/>
  <c r="AF284" i="18"/>
  <c r="AE284" i="18"/>
  <c r="AD284" i="18"/>
  <c r="AC284" i="18"/>
  <c r="AB284" i="18"/>
  <c r="AA284" i="18"/>
  <c r="Z284" i="18"/>
  <c r="Y284" i="18"/>
  <c r="X284" i="18"/>
  <c r="W284" i="18"/>
  <c r="V284" i="18"/>
  <c r="U284" i="18"/>
  <c r="T284" i="18"/>
  <c r="S284" i="18"/>
  <c r="R284" i="18"/>
  <c r="Q284" i="18"/>
  <c r="P284" i="18"/>
  <c r="O284" i="18"/>
  <c r="N284" i="18"/>
  <c r="M284" i="18"/>
  <c r="L284" i="18"/>
  <c r="K284" i="18"/>
  <c r="J284" i="18"/>
  <c r="I284" i="18"/>
  <c r="H284" i="18"/>
  <c r="G284" i="18"/>
  <c r="F284" i="18"/>
  <c r="E284" i="18"/>
  <c r="D284" i="18"/>
  <c r="C284" i="18"/>
  <c r="B284" i="18"/>
  <c r="A284" i="18"/>
  <c r="CN283" i="18"/>
  <c r="CM283" i="18"/>
  <c r="CL283" i="18"/>
  <c r="CK283" i="18"/>
  <c r="CJ283" i="18"/>
  <c r="CI283" i="18"/>
  <c r="CH283" i="18"/>
  <c r="CG283" i="18"/>
  <c r="CF283" i="18"/>
  <c r="CE283" i="18"/>
  <c r="CD283" i="18"/>
  <c r="CC283" i="18"/>
  <c r="CB283" i="18"/>
  <c r="CA283" i="18"/>
  <c r="BZ283" i="18"/>
  <c r="BY283" i="18"/>
  <c r="BX283" i="18"/>
  <c r="BW283" i="18"/>
  <c r="BV283" i="18"/>
  <c r="BU283" i="18"/>
  <c r="BT283" i="18"/>
  <c r="BS283" i="18"/>
  <c r="BR283" i="18"/>
  <c r="BQ283" i="18"/>
  <c r="BP283" i="18"/>
  <c r="BO283" i="18"/>
  <c r="BN283" i="18"/>
  <c r="BM283" i="18"/>
  <c r="BL283" i="18"/>
  <c r="BK283" i="18"/>
  <c r="BJ283" i="18"/>
  <c r="BI283" i="18"/>
  <c r="BH283" i="18"/>
  <c r="BG283" i="18"/>
  <c r="BF283" i="18"/>
  <c r="BE283" i="18"/>
  <c r="BD283" i="18"/>
  <c r="BC283" i="18"/>
  <c r="BB283" i="18"/>
  <c r="BA283" i="18"/>
  <c r="AZ283" i="18"/>
  <c r="AY283" i="18"/>
  <c r="AX283" i="18"/>
  <c r="AW283" i="18"/>
  <c r="AV283" i="18"/>
  <c r="AU283" i="18"/>
  <c r="AT283" i="18"/>
  <c r="AS283" i="18"/>
  <c r="AR283" i="18"/>
  <c r="AQ283" i="18"/>
  <c r="AP283" i="18"/>
  <c r="AO283" i="18"/>
  <c r="AN283" i="18"/>
  <c r="AM283" i="18"/>
  <c r="AL283" i="18"/>
  <c r="AK283" i="18"/>
  <c r="AJ283" i="18"/>
  <c r="AI283" i="18"/>
  <c r="AH283" i="18"/>
  <c r="AG283" i="18"/>
  <c r="AF283" i="18"/>
  <c r="AE283" i="18"/>
  <c r="AD283" i="18"/>
  <c r="AC283" i="18"/>
  <c r="AB283" i="18"/>
  <c r="AA283" i="18"/>
  <c r="Z283" i="18"/>
  <c r="Y283" i="18"/>
  <c r="X283" i="18"/>
  <c r="W283" i="18"/>
  <c r="V283" i="18"/>
  <c r="U283" i="18"/>
  <c r="T283" i="18"/>
  <c r="S283" i="18"/>
  <c r="R283" i="18"/>
  <c r="Q283" i="18"/>
  <c r="P283" i="18"/>
  <c r="O283" i="18"/>
  <c r="N283" i="18"/>
  <c r="M283" i="18"/>
  <c r="L283" i="18"/>
  <c r="K283" i="18"/>
  <c r="J283" i="18"/>
  <c r="I283" i="18"/>
  <c r="H283" i="18"/>
  <c r="G283" i="18"/>
  <c r="F283" i="18"/>
  <c r="E283" i="18"/>
  <c r="D283" i="18"/>
  <c r="C283" i="18"/>
  <c r="B283" i="18"/>
  <c r="A283" i="18"/>
  <c r="CN282" i="18"/>
  <c r="CM282" i="18"/>
  <c r="CL282" i="18"/>
  <c r="CK282" i="18"/>
  <c r="CJ282" i="18"/>
  <c r="CI282" i="18"/>
  <c r="CH282" i="18"/>
  <c r="CG282" i="18"/>
  <c r="CF282" i="18"/>
  <c r="CE282" i="18"/>
  <c r="CD282" i="18"/>
  <c r="CC282" i="18"/>
  <c r="CB282" i="18"/>
  <c r="CA282" i="18"/>
  <c r="BZ282" i="18"/>
  <c r="BY282" i="18"/>
  <c r="BX282" i="18"/>
  <c r="BW282" i="18"/>
  <c r="BV282" i="18"/>
  <c r="BU282" i="18"/>
  <c r="BT282" i="18"/>
  <c r="BS282" i="18"/>
  <c r="BR282" i="18"/>
  <c r="BQ282" i="18"/>
  <c r="BP282" i="18"/>
  <c r="BO282" i="18"/>
  <c r="BN282" i="18"/>
  <c r="BM282" i="18"/>
  <c r="BL282" i="18"/>
  <c r="BK282" i="18"/>
  <c r="BJ282" i="18"/>
  <c r="BI282" i="18"/>
  <c r="BH282" i="18"/>
  <c r="BG282" i="18"/>
  <c r="BF282" i="18"/>
  <c r="BE282" i="18"/>
  <c r="BD282" i="18"/>
  <c r="BC282" i="18"/>
  <c r="BB282" i="18"/>
  <c r="BA282" i="18"/>
  <c r="AZ282" i="18"/>
  <c r="AY282" i="18"/>
  <c r="AX282" i="18"/>
  <c r="AW282" i="18"/>
  <c r="AV282" i="18"/>
  <c r="AU282" i="18"/>
  <c r="AT282" i="18"/>
  <c r="AS282" i="18"/>
  <c r="AR282" i="18"/>
  <c r="AQ282" i="18"/>
  <c r="AP282" i="18"/>
  <c r="AO282" i="18"/>
  <c r="AN282" i="18"/>
  <c r="AM282" i="18"/>
  <c r="AL282" i="18"/>
  <c r="AK282" i="18"/>
  <c r="AJ282" i="18"/>
  <c r="AI282" i="18"/>
  <c r="AH282" i="18"/>
  <c r="AG282" i="18"/>
  <c r="AF282" i="18"/>
  <c r="AE282" i="18"/>
  <c r="AD282" i="18"/>
  <c r="AC282" i="18"/>
  <c r="AB282" i="18"/>
  <c r="AA282" i="18"/>
  <c r="Z282" i="18"/>
  <c r="Y282" i="18"/>
  <c r="X282" i="18"/>
  <c r="W282" i="18"/>
  <c r="V282" i="18"/>
  <c r="U282" i="18"/>
  <c r="T282" i="18"/>
  <c r="S282" i="18"/>
  <c r="R282" i="18"/>
  <c r="Q282" i="18"/>
  <c r="P282" i="18"/>
  <c r="O282" i="18"/>
  <c r="N282" i="18"/>
  <c r="M282" i="18"/>
  <c r="L282" i="18"/>
  <c r="K282" i="18"/>
  <c r="J282" i="18"/>
  <c r="I282" i="18"/>
  <c r="H282" i="18"/>
  <c r="G282" i="18"/>
  <c r="F282" i="18"/>
  <c r="E282" i="18"/>
  <c r="D282" i="18"/>
  <c r="C282" i="18"/>
  <c r="B282" i="18"/>
  <c r="A282" i="18"/>
  <c r="CN281" i="18"/>
  <c r="CM281" i="18"/>
  <c r="CL281" i="18"/>
  <c r="CK281" i="18"/>
  <c r="CJ281" i="18"/>
  <c r="CI281" i="18"/>
  <c r="CH281" i="18"/>
  <c r="CG281" i="18"/>
  <c r="CF281" i="18"/>
  <c r="CE281" i="18"/>
  <c r="CD281" i="18"/>
  <c r="CC281" i="18"/>
  <c r="CB281" i="18"/>
  <c r="CA281" i="18"/>
  <c r="BZ281" i="18"/>
  <c r="BY281" i="18"/>
  <c r="BX281" i="18"/>
  <c r="BW281" i="18"/>
  <c r="BV281" i="18"/>
  <c r="BU281" i="18"/>
  <c r="BT281" i="18"/>
  <c r="BS281" i="18"/>
  <c r="BR281" i="18"/>
  <c r="BQ281" i="18"/>
  <c r="BP281" i="18"/>
  <c r="BO281" i="18"/>
  <c r="BN281" i="18"/>
  <c r="BM281" i="18"/>
  <c r="BL281" i="18"/>
  <c r="BK281" i="18"/>
  <c r="BJ281" i="18"/>
  <c r="BI281" i="18"/>
  <c r="BH281" i="18"/>
  <c r="BG281" i="18"/>
  <c r="BF281" i="18"/>
  <c r="BE281" i="18"/>
  <c r="BD281" i="18"/>
  <c r="BC281" i="18"/>
  <c r="BB281" i="18"/>
  <c r="BA281" i="18"/>
  <c r="AZ281" i="18"/>
  <c r="AY281" i="18"/>
  <c r="AX281" i="18"/>
  <c r="AW281" i="18"/>
  <c r="AV281" i="18"/>
  <c r="AU281" i="18"/>
  <c r="AT281" i="18"/>
  <c r="AS281" i="18"/>
  <c r="AR281" i="18"/>
  <c r="AQ281" i="18"/>
  <c r="AP281" i="18"/>
  <c r="AO281" i="18"/>
  <c r="AN281" i="18"/>
  <c r="AM281" i="18"/>
  <c r="AL281" i="18"/>
  <c r="AK281" i="18"/>
  <c r="AJ281" i="18"/>
  <c r="AI281" i="18"/>
  <c r="AH281" i="18"/>
  <c r="AG281" i="18"/>
  <c r="AF281" i="18"/>
  <c r="AE281" i="18"/>
  <c r="AD281" i="18"/>
  <c r="AC281" i="18"/>
  <c r="AB281" i="18"/>
  <c r="AA281" i="18"/>
  <c r="Z281" i="18"/>
  <c r="Y281" i="18"/>
  <c r="X281" i="18"/>
  <c r="W281" i="18"/>
  <c r="V281" i="18"/>
  <c r="U281" i="18"/>
  <c r="T281" i="18"/>
  <c r="S281" i="18"/>
  <c r="R281" i="18"/>
  <c r="Q281" i="18"/>
  <c r="P281" i="18"/>
  <c r="O281" i="18"/>
  <c r="N281" i="18"/>
  <c r="M281" i="18"/>
  <c r="L281" i="18"/>
  <c r="K281" i="18"/>
  <c r="J281" i="18"/>
  <c r="I281" i="18"/>
  <c r="H281" i="18"/>
  <c r="G281" i="18"/>
  <c r="F281" i="18"/>
  <c r="E281" i="18"/>
  <c r="D281" i="18"/>
  <c r="C281" i="18"/>
  <c r="B281" i="18"/>
  <c r="A281" i="18"/>
  <c r="CN280" i="18"/>
  <c r="CM280" i="18"/>
  <c r="CL280" i="18"/>
  <c r="CK280" i="18"/>
  <c r="CJ280" i="18"/>
  <c r="CI280" i="18"/>
  <c r="CH280" i="18"/>
  <c r="CG280" i="18"/>
  <c r="CF280" i="18"/>
  <c r="CE280" i="18"/>
  <c r="CD280" i="18"/>
  <c r="CC280" i="18"/>
  <c r="CB280" i="18"/>
  <c r="CA280" i="18"/>
  <c r="BZ280" i="18"/>
  <c r="BY280" i="18"/>
  <c r="BX280" i="18"/>
  <c r="BW280" i="18"/>
  <c r="BV280" i="18"/>
  <c r="BU280" i="18"/>
  <c r="BT280" i="18"/>
  <c r="BS280" i="18"/>
  <c r="BR280" i="18"/>
  <c r="BQ280" i="18"/>
  <c r="BP280" i="18"/>
  <c r="BO280" i="18"/>
  <c r="BN280" i="18"/>
  <c r="BM280" i="18"/>
  <c r="BL280" i="18"/>
  <c r="BK280" i="18"/>
  <c r="BJ280" i="18"/>
  <c r="BI280" i="18"/>
  <c r="BH280" i="18"/>
  <c r="BG280" i="18"/>
  <c r="BF280" i="18"/>
  <c r="BE280" i="18"/>
  <c r="BD280" i="18"/>
  <c r="BC280" i="18"/>
  <c r="BB280" i="18"/>
  <c r="BA280" i="18"/>
  <c r="AZ280" i="18"/>
  <c r="AY280" i="18"/>
  <c r="AX280" i="18"/>
  <c r="AW280" i="18"/>
  <c r="AV280" i="18"/>
  <c r="AU280" i="18"/>
  <c r="AT280" i="18"/>
  <c r="AS280" i="18"/>
  <c r="AR280" i="18"/>
  <c r="AQ280" i="18"/>
  <c r="AP280" i="18"/>
  <c r="AO280" i="18"/>
  <c r="AN280" i="18"/>
  <c r="AM280" i="18"/>
  <c r="AL280" i="18"/>
  <c r="AK280" i="18"/>
  <c r="AJ280" i="18"/>
  <c r="AI280" i="18"/>
  <c r="AH280" i="18"/>
  <c r="AG280" i="18"/>
  <c r="AF280" i="18"/>
  <c r="AE280" i="18"/>
  <c r="AD280" i="18"/>
  <c r="AC280" i="18"/>
  <c r="AB280" i="18"/>
  <c r="AA280" i="18"/>
  <c r="Z280" i="18"/>
  <c r="Y280" i="18"/>
  <c r="X280" i="18"/>
  <c r="W280" i="18"/>
  <c r="V280" i="18"/>
  <c r="U280" i="18"/>
  <c r="T280" i="18"/>
  <c r="S280" i="18"/>
  <c r="R280" i="18"/>
  <c r="Q280" i="18"/>
  <c r="P280" i="18"/>
  <c r="O280" i="18"/>
  <c r="N280" i="18"/>
  <c r="M280" i="18"/>
  <c r="L280" i="18"/>
  <c r="K280" i="18"/>
  <c r="J280" i="18"/>
  <c r="I280" i="18"/>
  <c r="H280" i="18"/>
  <c r="G280" i="18"/>
  <c r="F280" i="18"/>
  <c r="E280" i="18"/>
  <c r="D280" i="18"/>
  <c r="C280" i="18"/>
  <c r="B280" i="18"/>
  <c r="A280" i="18"/>
  <c r="CN279" i="18"/>
  <c r="CM279" i="18"/>
  <c r="CL279" i="18"/>
  <c r="CK279" i="18"/>
  <c r="CJ279" i="18"/>
  <c r="CI279" i="18"/>
  <c r="CH279" i="18"/>
  <c r="CG279" i="18"/>
  <c r="CF279" i="18"/>
  <c r="CE279" i="18"/>
  <c r="CD279" i="18"/>
  <c r="CC279" i="18"/>
  <c r="CB279" i="18"/>
  <c r="CA279" i="18"/>
  <c r="BZ279" i="18"/>
  <c r="BY279" i="18"/>
  <c r="BX279" i="18"/>
  <c r="BW279" i="18"/>
  <c r="BV279" i="18"/>
  <c r="BU279" i="18"/>
  <c r="BT279" i="18"/>
  <c r="BS279" i="18"/>
  <c r="BR279" i="18"/>
  <c r="BQ279" i="18"/>
  <c r="BP279" i="18"/>
  <c r="BO279" i="18"/>
  <c r="BN279" i="18"/>
  <c r="BM279" i="18"/>
  <c r="BL279" i="18"/>
  <c r="BK279" i="18"/>
  <c r="BJ279" i="18"/>
  <c r="BI279" i="18"/>
  <c r="BH279" i="18"/>
  <c r="BG279" i="18"/>
  <c r="BF279" i="18"/>
  <c r="BE279" i="18"/>
  <c r="BD279" i="18"/>
  <c r="BC279" i="18"/>
  <c r="BB279" i="18"/>
  <c r="BA279" i="18"/>
  <c r="AZ279" i="18"/>
  <c r="AY279" i="18"/>
  <c r="AX279" i="18"/>
  <c r="AW279" i="18"/>
  <c r="AV279" i="18"/>
  <c r="AU279" i="18"/>
  <c r="AT279" i="18"/>
  <c r="AS279" i="18"/>
  <c r="AR279" i="18"/>
  <c r="AQ279" i="18"/>
  <c r="AP279" i="18"/>
  <c r="AO279" i="18"/>
  <c r="AN279" i="18"/>
  <c r="AM279" i="18"/>
  <c r="AL279" i="18"/>
  <c r="AK279" i="18"/>
  <c r="AJ279" i="18"/>
  <c r="AI279" i="18"/>
  <c r="AH279" i="18"/>
  <c r="AG279" i="18"/>
  <c r="AF279" i="18"/>
  <c r="AE279" i="18"/>
  <c r="AD279" i="18"/>
  <c r="AC279" i="18"/>
  <c r="AB279" i="18"/>
  <c r="AA279" i="18"/>
  <c r="Z279" i="18"/>
  <c r="Y279" i="18"/>
  <c r="X279" i="18"/>
  <c r="W279" i="18"/>
  <c r="V279" i="18"/>
  <c r="U279" i="18"/>
  <c r="T279" i="18"/>
  <c r="S279" i="18"/>
  <c r="R279" i="18"/>
  <c r="Q279" i="18"/>
  <c r="P279" i="18"/>
  <c r="O279" i="18"/>
  <c r="N279" i="18"/>
  <c r="M279" i="18"/>
  <c r="L279" i="18"/>
  <c r="K279" i="18"/>
  <c r="J279" i="18"/>
  <c r="I279" i="18"/>
  <c r="H279" i="18"/>
  <c r="G279" i="18"/>
  <c r="F279" i="18"/>
  <c r="E279" i="18"/>
  <c r="D279" i="18"/>
  <c r="C279" i="18"/>
  <c r="B279" i="18"/>
  <c r="A279" i="18"/>
  <c r="CN278" i="18"/>
  <c r="CM278" i="18"/>
  <c r="CL278" i="18"/>
  <c r="CK278" i="18"/>
  <c r="CJ278" i="18"/>
  <c r="CI278" i="18"/>
  <c r="CH278" i="18"/>
  <c r="CG278" i="18"/>
  <c r="CF278" i="18"/>
  <c r="CE278" i="18"/>
  <c r="CD278" i="18"/>
  <c r="CC278" i="18"/>
  <c r="CB278" i="18"/>
  <c r="CA278" i="18"/>
  <c r="BZ278" i="18"/>
  <c r="BY278" i="18"/>
  <c r="BX278" i="18"/>
  <c r="BW278" i="18"/>
  <c r="BV278" i="18"/>
  <c r="BU278" i="18"/>
  <c r="BT278" i="18"/>
  <c r="BS278" i="18"/>
  <c r="BR278" i="18"/>
  <c r="BQ278" i="18"/>
  <c r="BP278" i="18"/>
  <c r="BO278" i="18"/>
  <c r="BN278" i="18"/>
  <c r="BM278" i="18"/>
  <c r="BL278" i="18"/>
  <c r="BK278" i="18"/>
  <c r="BJ278" i="18"/>
  <c r="BI278" i="18"/>
  <c r="BH278" i="18"/>
  <c r="BG278" i="18"/>
  <c r="BF278" i="18"/>
  <c r="BE278" i="18"/>
  <c r="BD278" i="18"/>
  <c r="BC278" i="18"/>
  <c r="BB278" i="18"/>
  <c r="BA278" i="18"/>
  <c r="AZ278" i="18"/>
  <c r="AY278" i="18"/>
  <c r="AX278" i="18"/>
  <c r="AW278" i="18"/>
  <c r="AV278" i="18"/>
  <c r="AU278" i="18"/>
  <c r="AT278" i="18"/>
  <c r="AS278" i="18"/>
  <c r="AR278" i="18"/>
  <c r="AQ278" i="18"/>
  <c r="AP278" i="18"/>
  <c r="AO278" i="18"/>
  <c r="AN278" i="18"/>
  <c r="AM278" i="18"/>
  <c r="AL278" i="18"/>
  <c r="AK278" i="18"/>
  <c r="AJ278" i="18"/>
  <c r="AI278" i="18"/>
  <c r="AH278" i="18"/>
  <c r="AG278" i="18"/>
  <c r="AF278" i="18"/>
  <c r="AE278" i="18"/>
  <c r="AD278" i="18"/>
  <c r="AC278" i="18"/>
  <c r="AB278" i="18"/>
  <c r="AA278" i="18"/>
  <c r="Z278" i="18"/>
  <c r="Y278" i="18"/>
  <c r="X278" i="18"/>
  <c r="W278" i="18"/>
  <c r="V278" i="18"/>
  <c r="U278" i="18"/>
  <c r="T278" i="18"/>
  <c r="S278" i="18"/>
  <c r="R278" i="18"/>
  <c r="Q278" i="18"/>
  <c r="P278" i="18"/>
  <c r="O278" i="18"/>
  <c r="N278" i="18"/>
  <c r="M278" i="18"/>
  <c r="L278" i="18"/>
  <c r="K278" i="18"/>
  <c r="J278" i="18"/>
  <c r="I278" i="18"/>
  <c r="H278" i="18"/>
  <c r="G278" i="18"/>
  <c r="F278" i="18"/>
  <c r="E278" i="18"/>
  <c r="D278" i="18"/>
  <c r="C278" i="18"/>
  <c r="B278" i="18"/>
  <c r="A278" i="18"/>
  <c r="CN277" i="18"/>
  <c r="CM277" i="18"/>
  <c r="CL277" i="18"/>
  <c r="CK277" i="18"/>
  <c r="CJ277" i="18"/>
  <c r="CI277" i="18"/>
  <c r="CH277" i="18"/>
  <c r="CG277" i="18"/>
  <c r="CF277" i="18"/>
  <c r="CE277" i="18"/>
  <c r="CD277" i="18"/>
  <c r="CC277" i="18"/>
  <c r="CB277" i="18"/>
  <c r="CA277" i="18"/>
  <c r="BZ277" i="18"/>
  <c r="BY277" i="18"/>
  <c r="BX277" i="18"/>
  <c r="BW277" i="18"/>
  <c r="BV277" i="18"/>
  <c r="BU277" i="18"/>
  <c r="BT277" i="18"/>
  <c r="BS277" i="18"/>
  <c r="BR277" i="18"/>
  <c r="BQ277" i="18"/>
  <c r="BP277" i="18"/>
  <c r="BO277" i="18"/>
  <c r="BN277" i="18"/>
  <c r="BM277" i="18"/>
  <c r="BL277" i="18"/>
  <c r="BK277" i="18"/>
  <c r="BJ277" i="18"/>
  <c r="BI277" i="18"/>
  <c r="BH277" i="18"/>
  <c r="BG277" i="18"/>
  <c r="BF277" i="18"/>
  <c r="BE277" i="18"/>
  <c r="BD277" i="18"/>
  <c r="BC277" i="18"/>
  <c r="BB277" i="18"/>
  <c r="BA277" i="18"/>
  <c r="AZ277" i="18"/>
  <c r="AY277" i="18"/>
  <c r="AX277" i="18"/>
  <c r="AW277" i="18"/>
  <c r="AV277" i="18"/>
  <c r="AU277" i="18"/>
  <c r="AT277" i="18"/>
  <c r="AS277" i="18"/>
  <c r="AR277" i="18"/>
  <c r="AQ277" i="18"/>
  <c r="AP277" i="18"/>
  <c r="AO277" i="18"/>
  <c r="AN277" i="18"/>
  <c r="AM277" i="18"/>
  <c r="AL277" i="18"/>
  <c r="AK277" i="18"/>
  <c r="AJ277" i="18"/>
  <c r="AI277" i="18"/>
  <c r="AH277" i="18"/>
  <c r="AG277" i="18"/>
  <c r="AF277" i="18"/>
  <c r="AE277" i="18"/>
  <c r="AD277" i="18"/>
  <c r="AC277" i="18"/>
  <c r="AB277" i="18"/>
  <c r="AA277" i="18"/>
  <c r="Z277" i="18"/>
  <c r="Y277" i="18"/>
  <c r="X277" i="18"/>
  <c r="W277" i="18"/>
  <c r="V277" i="18"/>
  <c r="U277" i="18"/>
  <c r="T277" i="18"/>
  <c r="S277" i="18"/>
  <c r="R277" i="18"/>
  <c r="Q277" i="18"/>
  <c r="P277" i="18"/>
  <c r="O277" i="18"/>
  <c r="N277" i="18"/>
  <c r="M277" i="18"/>
  <c r="L277" i="18"/>
  <c r="K277" i="18"/>
  <c r="J277" i="18"/>
  <c r="I277" i="18"/>
  <c r="H277" i="18"/>
  <c r="G277" i="18"/>
  <c r="F277" i="18"/>
  <c r="E277" i="18"/>
  <c r="D277" i="18"/>
  <c r="C277" i="18"/>
  <c r="B277" i="18"/>
  <c r="A277" i="18"/>
  <c r="CN276" i="18"/>
  <c r="CM276" i="18"/>
  <c r="CL276" i="18"/>
  <c r="CK276" i="18"/>
  <c r="CJ276" i="18"/>
  <c r="CI276" i="18"/>
  <c r="CH276" i="18"/>
  <c r="CG276" i="18"/>
  <c r="CF276" i="18"/>
  <c r="CE276" i="18"/>
  <c r="CD276" i="18"/>
  <c r="CC276" i="18"/>
  <c r="CB276" i="18"/>
  <c r="CA276" i="18"/>
  <c r="BZ276" i="18"/>
  <c r="BY276" i="18"/>
  <c r="BX276" i="18"/>
  <c r="BW276" i="18"/>
  <c r="BV276" i="18"/>
  <c r="BU276" i="18"/>
  <c r="BT276" i="18"/>
  <c r="BS276" i="18"/>
  <c r="BR276" i="18"/>
  <c r="BQ276" i="18"/>
  <c r="BP276" i="18"/>
  <c r="BO276" i="18"/>
  <c r="BN276" i="18"/>
  <c r="BM276" i="18"/>
  <c r="BL276" i="18"/>
  <c r="BK276" i="18"/>
  <c r="BJ276" i="18"/>
  <c r="BI276" i="18"/>
  <c r="BH276" i="18"/>
  <c r="BG276" i="18"/>
  <c r="BF276" i="18"/>
  <c r="BE276" i="18"/>
  <c r="BD276" i="18"/>
  <c r="BC276" i="18"/>
  <c r="BB276" i="18"/>
  <c r="BA276" i="18"/>
  <c r="AZ276" i="18"/>
  <c r="AY276" i="18"/>
  <c r="AX276" i="18"/>
  <c r="AW276" i="18"/>
  <c r="AV276" i="18"/>
  <c r="AU276" i="18"/>
  <c r="AT276" i="18"/>
  <c r="AS276" i="18"/>
  <c r="AR276" i="18"/>
  <c r="AQ276" i="18"/>
  <c r="AP276" i="18"/>
  <c r="AO276" i="18"/>
  <c r="AN276" i="18"/>
  <c r="AM276" i="18"/>
  <c r="AL276" i="18"/>
  <c r="AK276" i="18"/>
  <c r="AJ276" i="18"/>
  <c r="AI276" i="18"/>
  <c r="AH276" i="18"/>
  <c r="AG276" i="18"/>
  <c r="AF276" i="18"/>
  <c r="AE276" i="18"/>
  <c r="AD276" i="18"/>
  <c r="AC276" i="18"/>
  <c r="AB276" i="18"/>
  <c r="AA276" i="18"/>
  <c r="Z276" i="18"/>
  <c r="Y276" i="18"/>
  <c r="X276" i="18"/>
  <c r="W276" i="18"/>
  <c r="V276" i="18"/>
  <c r="U276" i="18"/>
  <c r="T276" i="18"/>
  <c r="S276" i="18"/>
  <c r="R276" i="18"/>
  <c r="Q276" i="18"/>
  <c r="P276" i="18"/>
  <c r="O276" i="18"/>
  <c r="N276" i="18"/>
  <c r="M276" i="18"/>
  <c r="L276" i="18"/>
  <c r="K276" i="18"/>
  <c r="J276" i="18"/>
  <c r="I276" i="18"/>
  <c r="H276" i="18"/>
  <c r="G276" i="18"/>
  <c r="F276" i="18"/>
  <c r="E276" i="18"/>
  <c r="D276" i="18"/>
  <c r="C276" i="18"/>
  <c r="B276" i="18"/>
  <c r="A276" i="18"/>
  <c r="CN275" i="18"/>
  <c r="CM275" i="18"/>
  <c r="CL275" i="18"/>
  <c r="CK275" i="18"/>
  <c r="CJ275" i="18"/>
  <c r="CI275" i="18"/>
  <c r="CH275" i="18"/>
  <c r="CG275" i="18"/>
  <c r="CF275" i="18"/>
  <c r="CE275" i="18"/>
  <c r="CD275" i="18"/>
  <c r="CC275" i="18"/>
  <c r="CB275" i="18"/>
  <c r="CA275" i="18"/>
  <c r="BZ275" i="18"/>
  <c r="BY275" i="18"/>
  <c r="BX275" i="18"/>
  <c r="BW275" i="18"/>
  <c r="BV275" i="18"/>
  <c r="BU275" i="18"/>
  <c r="BT275" i="18"/>
  <c r="BS275" i="18"/>
  <c r="BR275" i="18"/>
  <c r="BQ275" i="18"/>
  <c r="BP275" i="18"/>
  <c r="BO275" i="18"/>
  <c r="BN275" i="18"/>
  <c r="BM275" i="18"/>
  <c r="BL275" i="18"/>
  <c r="BK275" i="18"/>
  <c r="BJ275" i="18"/>
  <c r="BI275" i="18"/>
  <c r="BH275" i="18"/>
  <c r="BG275" i="18"/>
  <c r="BF275" i="18"/>
  <c r="BE275" i="18"/>
  <c r="BD275" i="18"/>
  <c r="BC275" i="18"/>
  <c r="BB275" i="18"/>
  <c r="BA275" i="18"/>
  <c r="AZ275" i="18"/>
  <c r="AY275" i="18"/>
  <c r="AX275" i="18"/>
  <c r="AW275" i="18"/>
  <c r="AV275" i="18"/>
  <c r="AU275" i="18"/>
  <c r="AT275" i="18"/>
  <c r="AS275" i="18"/>
  <c r="AR275" i="18"/>
  <c r="AQ275" i="18"/>
  <c r="AP275" i="18"/>
  <c r="AO275" i="18"/>
  <c r="AN275" i="18"/>
  <c r="AM275" i="18"/>
  <c r="AL275" i="18"/>
  <c r="AK275" i="18"/>
  <c r="AJ275" i="18"/>
  <c r="AI275" i="18"/>
  <c r="AH275" i="18"/>
  <c r="AG275" i="18"/>
  <c r="AF275" i="18"/>
  <c r="AE275" i="18"/>
  <c r="AD275" i="18"/>
  <c r="AC275" i="18"/>
  <c r="AB275" i="18"/>
  <c r="AA275" i="18"/>
  <c r="Z275" i="18"/>
  <c r="Y275" i="18"/>
  <c r="X275" i="18"/>
  <c r="W275" i="18"/>
  <c r="V275" i="18"/>
  <c r="U275" i="18"/>
  <c r="T275" i="18"/>
  <c r="S275" i="18"/>
  <c r="R275" i="18"/>
  <c r="Q275" i="18"/>
  <c r="P275" i="18"/>
  <c r="O275" i="18"/>
  <c r="N275" i="18"/>
  <c r="M275" i="18"/>
  <c r="L275" i="18"/>
  <c r="K275" i="18"/>
  <c r="J275" i="18"/>
  <c r="I275" i="18"/>
  <c r="H275" i="18"/>
  <c r="G275" i="18"/>
  <c r="F275" i="18"/>
  <c r="E275" i="18"/>
  <c r="D275" i="18"/>
  <c r="C275" i="18"/>
  <c r="B275" i="18"/>
  <c r="A275" i="18"/>
  <c r="CN274" i="18"/>
  <c r="CM274" i="18"/>
  <c r="CL274" i="18"/>
  <c r="CK274" i="18"/>
  <c r="CJ274" i="18"/>
  <c r="CI274" i="18"/>
  <c r="CH274" i="18"/>
  <c r="CG274" i="18"/>
  <c r="CF274" i="18"/>
  <c r="CE274" i="18"/>
  <c r="CD274" i="18"/>
  <c r="CC274" i="18"/>
  <c r="CB274" i="18"/>
  <c r="CA274" i="18"/>
  <c r="BZ274" i="18"/>
  <c r="BY274" i="18"/>
  <c r="BX274" i="18"/>
  <c r="BW274" i="18"/>
  <c r="BV274" i="18"/>
  <c r="BU274" i="18"/>
  <c r="BT274" i="18"/>
  <c r="BS274" i="18"/>
  <c r="BR274" i="18"/>
  <c r="BQ274" i="18"/>
  <c r="BP274" i="18"/>
  <c r="BO274" i="18"/>
  <c r="BN274" i="18"/>
  <c r="BM274" i="18"/>
  <c r="BL274" i="18"/>
  <c r="BK274" i="18"/>
  <c r="BJ274" i="18"/>
  <c r="BI274" i="18"/>
  <c r="BH274" i="18"/>
  <c r="BG274" i="18"/>
  <c r="BF274" i="18"/>
  <c r="BE274" i="18"/>
  <c r="BD274" i="18"/>
  <c r="BC274" i="18"/>
  <c r="BB274" i="18"/>
  <c r="BA274" i="18"/>
  <c r="AZ274" i="18"/>
  <c r="AY274" i="18"/>
  <c r="AX274" i="18"/>
  <c r="AW274" i="18"/>
  <c r="AV274" i="18"/>
  <c r="AU274" i="18"/>
  <c r="AT274" i="18"/>
  <c r="AS274" i="18"/>
  <c r="AR274" i="18"/>
  <c r="AQ274" i="18"/>
  <c r="AP274" i="18"/>
  <c r="AO274" i="18"/>
  <c r="AN274" i="18"/>
  <c r="AM274" i="18"/>
  <c r="AL274" i="18"/>
  <c r="AK274" i="18"/>
  <c r="AJ274" i="18"/>
  <c r="AI274" i="18"/>
  <c r="AH274" i="18"/>
  <c r="AG274" i="18"/>
  <c r="AF274" i="18"/>
  <c r="AE274" i="18"/>
  <c r="AD274" i="18"/>
  <c r="AC274" i="18"/>
  <c r="AB274" i="18"/>
  <c r="AA274" i="18"/>
  <c r="Z274" i="18"/>
  <c r="Y274" i="18"/>
  <c r="X274" i="18"/>
  <c r="W274" i="18"/>
  <c r="V274" i="18"/>
  <c r="U274" i="18"/>
  <c r="T274" i="18"/>
  <c r="S274" i="18"/>
  <c r="R274" i="18"/>
  <c r="Q274" i="18"/>
  <c r="P274" i="18"/>
  <c r="O274" i="18"/>
  <c r="N274" i="18"/>
  <c r="M274" i="18"/>
  <c r="L274" i="18"/>
  <c r="K274" i="18"/>
  <c r="J274" i="18"/>
  <c r="I274" i="18"/>
  <c r="H274" i="18"/>
  <c r="G274" i="18"/>
  <c r="F274" i="18"/>
  <c r="E274" i="18"/>
  <c r="D274" i="18"/>
  <c r="C274" i="18"/>
  <c r="B274" i="18"/>
  <c r="A274" i="18"/>
  <c r="CN273" i="18"/>
  <c r="CM273" i="18"/>
  <c r="CL273" i="18"/>
  <c r="CK273" i="18"/>
  <c r="CJ273" i="18"/>
  <c r="CI273" i="18"/>
  <c r="CH273" i="18"/>
  <c r="CG273" i="18"/>
  <c r="CF273" i="18"/>
  <c r="CE273" i="18"/>
  <c r="CD273" i="18"/>
  <c r="CC273" i="18"/>
  <c r="CB273" i="18"/>
  <c r="CA273" i="18"/>
  <c r="BZ273" i="18"/>
  <c r="BY273" i="18"/>
  <c r="BX273" i="18"/>
  <c r="BW273" i="18"/>
  <c r="BV273" i="18"/>
  <c r="BU273" i="18"/>
  <c r="BT273" i="18"/>
  <c r="BS273" i="18"/>
  <c r="BR273" i="18"/>
  <c r="BQ273" i="18"/>
  <c r="BP273" i="18"/>
  <c r="BO273" i="18"/>
  <c r="BN273" i="18"/>
  <c r="BM273" i="18"/>
  <c r="BL273" i="18"/>
  <c r="BK273" i="18"/>
  <c r="BJ273" i="18"/>
  <c r="BI273" i="18"/>
  <c r="BH273" i="18"/>
  <c r="BG273" i="18"/>
  <c r="BF273" i="18"/>
  <c r="BE273" i="18"/>
  <c r="BD273" i="18"/>
  <c r="BC273" i="18"/>
  <c r="BB273" i="18"/>
  <c r="BA273" i="18"/>
  <c r="AZ273" i="18"/>
  <c r="AY273" i="18"/>
  <c r="AX273" i="18"/>
  <c r="AW273" i="18"/>
  <c r="AV273" i="18"/>
  <c r="AU273" i="18"/>
  <c r="AT273" i="18"/>
  <c r="AS273" i="18"/>
  <c r="AR273" i="18"/>
  <c r="AQ273" i="18"/>
  <c r="AP273" i="18"/>
  <c r="AO273" i="18"/>
  <c r="AN273" i="18"/>
  <c r="AM273" i="18"/>
  <c r="AL273" i="18"/>
  <c r="AK273" i="18"/>
  <c r="AJ273" i="18"/>
  <c r="AI273" i="18"/>
  <c r="AH273" i="18"/>
  <c r="AG273" i="18"/>
  <c r="AF273" i="18"/>
  <c r="AE273" i="18"/>
  <c r="AD273" i="18"/>
  <c r="AC273" i="18"/>
  <c r="AB273" i="18"/>
  <c r="AA273" i="18"/>
  <c r="Z273" i="18"/>
  <c r="Y273" i="18"/>
  <c r="X273" i="18"/>
  <c r="W273" i="18"/>
  <c r="V273" i="18"/>
  <c r="U273" i="18"/>
  <c r="T273" i="18"/>
  <c r="S273" i="18"/>
  <c r="R273" i="18"/>
  <c r="Q273" i="18"/>
  <c r="P273" i="18"/>
  <c r="O273" i="18"/>
  <c r="N273" i="18"/>
  <c r="M273" i="18"/>
  <c r="L273" i="18"/>
  <c r="K273" i="18"/>
  <c r="J273" i="18"/>
  <c r="I273" i="18"/>
  <c r="H273" i="18"/>
  <c r="G273" i="18"/>
  <c r="F273" i="18"/>
  <c r="E273" i="18"/>
  <c r="D273" i="18"/>
  <c r="C273" i="18"/>
  <c r="B273" i="18"/>
  <c r="A273" i="18"/>
  <c r="CN272" i="18"/>
  <c r="CM272" i="18"/>
  <c r="CL272" i="18"/>
  <c r="CK272" i="18"/>
  <c r="CJ272" i="18"/>
  <c r="CI272" i="18"/>
  <c r="CH272" i="18"/>
  <c r="CG272" i="18"/>
  <c r="CF272" i="18"/>
  <c r="CE272" i="18"/>
  <c r="CD272" i="18"/>
  <c r="CC272" i="18"/>
  <c r="CB272" i="18"/>
  <c r="CA272" i="18"/>
  <c r="BZ272" i="18"/>
  <c r="BY272" i="18"/>
  <c r="BX272" i="18"/>
  <c r="BW272" i="18"/>
  <c r="BV272" i="18"/>
  <c r="BU272" i="18"/>
  <c r="BT272" i="18"/>
  <c r="BS272" i="18"/>
  <c r="BR272" i="18"/>
  <c r="BQ272" i="18"/>
  <c r="BP272" i="18"/>
  <c r="BO272" i="18"/>
  <c r="BN272" i="18"/>
  <c r="BM272" i="18"/>
  <c r="BL272" i="18"/>
  <c r="BK272" i="18"/>
  <c r="BJ272" i="18"/>
  <c r="BI272" i="18"/>
  <c r="BH272" i="18"/>
  <c r="BG272" i="18"/>
  <c r="BE272" i="18"/>
  <c r="BD272" i="18"/>
  <c r="BC272" i="18"/>
  <c r="BB272" i="18"/>
  <c r="BA272" i="18"/>
  <c r="AZ272" i="18"/>
  <c r="AY272" i="18"/>
  <c r="AX272" i="18"/>
  <c r="AW272" i="18"/>
  <c r="AV272" i="18"/>
  <c r="AU272" i="18"/>
  <c r="AT272" i="18"/>
  <c r="AS272" i="18"/>
  <c r="AR272" i="18"/>
  <c r="AQ272" i="18"/>
  <c r="AP272" i="18"/>
  <c r="AO272" i="18"/>
  <c r="AN272" i="18"/>
  <c r="AM272" i="18"/>
  <c r="AL272" i="18"/>
  <c r="AK272" i="18"/>
  <c r="AJ272" i="18"/>
  <c r="AI272" i="18"/>
  <c r="AH272" i="18"/>
  <c r="AG272" i="18"/>
  <c r="AF272" i="18"/>
  <c r="AE272" i="18"/>
  <c r="AD272" i="18"/>
  <c r="AC272" i="18"/>
  <c r="AB272" i="18"/>
  <c r="AA272" i="18"/>
  <c r="Z272" i="18"/>
  <c r="Y272" i="18"/>
  <c r="X272" i="18"/>
  <c r="W272" i="18"/>
  <c r="V272" i="18"/>
  <c r="U272" i="18"/>
  <c r="T272" i="18"/>
  <c r="S272" i="18"/>
  <c r="R272" i="18"/>
  <c r="Q272" i="18"/>
  <c r="P272" i="18"/>
  <c r="O272" i="18"/>
  <c r="N272" i="18"/>
  <c r="M272" i="18"/>
  <c r="L272" i="18"/>
  <c r="K272" i="18"/>
  <c r="J272" i="18"/>
  <c r="I272" i="18"/>
  <c r="H272" i="18"/>
  <c r="G272" i="18"/>
  <c r="F272" i="18"/>
  <c r="E272" i="18"/>
  <c r="D272" i="18"/>
  <c r="C272" i="18"/>
  <c r="B272" i="18"/>
  <c r="A272" i="18"/>
  <c r="CK271" i="18"/>
  <c r="CJ271" i="18"/>
  <c r="CI271" i="18"/>
  <c r="CH271" i="18"/>
  <c r="CG271" i="18"/>
  <c r="CF271" i="18"/>
  <c r="CE271" i="18"/>
  <c r="CD271" i="18"/>
  <c r="CC271" i="18"/>
  <c r="CB271" i="18"/>
  <c r="CA271" i="18"/>
  <c r="BZ271" i="18"/>
  <c r="BY271" i="18"/>
  <c r="BX271" i="18"/>
  <c r="BW271" i="18"/>
  <c r="BV271" i="18"/>
  <c r="BU271" i="18"/>
  <c r="BT271" i="18"/>
  <c r="BS271" i="18"/>
  <c r="BR271" i="18"/>
  <c r="BQ271" i="18"/>
  <c r="BP271" i="18"/>
  <c r="BO271" i="18"/>
  <c r="BN271" i="18"/>
  <c r="BM271" i="18"/>
  <c r="BL271" i="18"/>
  <c r="BK271" i="18"/>
  <c r="BJ271" i="18"/>
  <c r="BI271" i="18"/>
  <c r="BH271" i="18"/>
  <c r="BG271" i="18"/>
  <c r="BA271" i="18"/>
  <c r="AZ271" i="18"/>
  <c r="AY271" i="18"/>
  <c r="AX271" i="18"/>
  <c r="AW271" i="18"/>
  <c r="AV271" i="18"/>
  <c r="AU271" i="18"/>
  <c r="AT271" i="18"/>
  <c r="AS271" i="18"/>
  <c r="AR271" i="18"/>
  <c r="AQ271" i="18"/>
  <c r="AP271" i="18"/>
  <c r="AO271" i="18"/>
  <c r="AN271" i="18"/>
  <c r="AM271" i="18"/>
  <c r="AL271" i="18"/>
  <c r="AK271" i="18"/>
  <c r="AJ271" i="18"/>
  <c r="AI271" i="18"/>
  <c r="AH271" i="18"/>
  <c r="AG271" i="18"/>
  <c r="AF271" i="18"/>
  <c r="AE271" i="18"/>
  <c r="AD271" i="18"/>
  <c r="AC271" i="18"/>
  <c r="AB271" i="18"/>
  <c r="AA271" i="18"/>
  <c r="Z271" i="18"/>
  <c r="Y271" i="18"/>
  <c r="X271" i="18"/>
  <c r="W271" i="18"/>
  <c r="V271" i="18"/>
  <c r="U271" i="18"/>
  <c r="T271" i="18"/>
  <c r="S271" i="18"/>
  <c r="R271" i="18"/>
  <c r="Q271" i="18"/>
  <c r="P271" i="18"/>
  <c r="O271" i="18"/>
  <c r="N271" i="18"/>
  <c r="M271" i="18"/>
  <c r="L271" i="18"/>
  <c r="K271" i="18"/>
  <c r="J271" i="18"/>
  <c r="I271" i="18"/>
  <c r="H271" i="18"/>
  <c r="G271" i="18"/>
  <c r="F271" i="18"/>
  <c r="E271" i="18"/>
  <c r="D271" i="18"/>
  <c r="C271" i="18"/>
  <c r="B271" i="18"/>
  <c r="A271" i="18"/>
  <c r="CK270" i="18"/>
  <c r="CJ270" i="18"/>
  <c r="CI270" i="18"/>
  <c r="CH270" i="18"/>
  <c r="CG270" i="18"/>
  <c r="CF270" i="18"/>
  <c r="CE270" i="18"/>
  <c r="CD270" i="18"/>
  <c r="CC270" i="18"/>
  <c r="CB270" i="18"/>
  <c r="CA270" i="18"/>
  <c r="BZ270" i="18"/>
  <c r="BY270" i="18"/>
  <c r="BA270" i="18"/>
  <c r="AZ270" i="18"/>
  <c r="AY270" i="18"/>
  <c r="AX270" i="18"/>
  <c r="AW270" i="18"/>
  <c r="AV270" i="18"/>
  <c r="AU270" i="18"/>
  <c r="AT270" i="18"/>
  <c r="AS270" i="18"/>
  <c r="AR270" i="18"/>
  <c r="AQ270" i="18"/>
  <c r="AP270" i="18"/>
  <c r="AO270" i="18"/>
  <c r="AN270" i="18"/>
  <c r="AM270" i="18"/>
  <c r="AL270" i="18"/>
  <c r="AK270" i="18"/>
  <c r="AJ270" i="18"/>
  <c r="AI270" i="18"/>
  <c r="AH270" i="18"/>
  <c r="AG270" i="18"/>
  <c r="AF270" i="18"/>
  <c r="AE270" i="18"/>
  <c r="AD270" i="18"/>
  <c r="AC270" i="18"/>
  <c r="AB270" i="18"/>
  <c r="AA270" i="18"/>
  <c r="Z270" i="18"/>
  <c r="Y270" i="18"/>
  <c r="X270" i="18"/>
  <c r="W270" i="18"/>
  <c r="V270" i="18"/>
  <c r="U270" i="18"/>
  <c r="T270" i="18"/>
  <c r="S270" i="18"/>
  <c r="R270" i="18"/>
  <c r="Q270" i="18"/>
  <c r="P270" i="18"/>
  <c r="O270" i="18"/>
  <c r="N270" i="18"/>
  <c r="M270" i="18"/>
  <c r="L270" i="18"/>
  <c r="K270" i="18"/>
  <c r="J270" i="18"/>
  <c r="I270" i="18"/>
  <c r="H270" i="18"/>
  <c r="G270" i="18"/>
  <c r="F270" i="18"/>
  <c r="E270" i="18"/>
  <c r="D270" i="18"/>
  <c r="C270" i="18"/>
  <c r="B270" i="18"/>
  <c r="A270" i="18"/>
  <c r="CN269" i="18"/>
  <c r="CM269" i="18"/>
  <c r="CL269" i="18"/>
  <c r="CK269" i="18"/>
  <c r="CJ269" i="18"/>
  <c r="CI269" i="18"/>
  <c r="CH269" i="18"/>
  <c r="CG269" i="18"/>
  <c r="CF269" i="18"/>
  <c r="CE269" i="18"/>
  <c r="CD269" i="18"/>
  <c r="CC269" i="18"/>
  <c r="CB269" i="18"/>
  <c r="CA269" i="18"/>
  <c r="BZ269" i="18"/>
  <c r="BY269" i="18"/>
  <c r="BX269" i="18"/>
  <c r="BW269" i="18"/>
  <c r="BV269" i="18"/>
  <c r="BU269" i="18"/>
  <c r="BT269" i="18"/>
  <c r="BS269" i="18"/>
  <c r="BR269" i="18"/>
  <c r="BQ269" i="18"/>
  <c r="BP269" i="18"/>
  <c r="BO269" i="18"/>
  <c r="BN269" i="18"/>
  <c r="BM269" i="18"/>
  <c r="BL269" i="18"/>
  <c r="BK269" i="18"/>
  <c r="BJ269" i="18"/>
  <c r="BI269" i="18"/>
  <c r="BH269" i="18"/>
  <c r="BG269" i="18"/>
  <c r="BF269" i="18"/>
  <c r="BE269" i="18"/>
  <c r="BD269" i="18"/>
  <c r="BC269" i="18"/>
  <c r="BB269" i="18"/>
  <c r="BA269" i="18"/>
  <c r="AZ269" i="18"/>
  <c r="AY269" i="18"/>
  <c r="AX269" i="18"/>
  <c r="AW269" i="18"/>
  <c r="AV269" i="18"/>
  <c r="AU269" i="18"/>
  <c r="AT269" i="18"/>
  <c r="AS269" i="18"/>
  <c r="AR269" i="18"/>
  <c r="AQ269" i="18"/>
  <c r="AP269" i="18"/>
  <c r="AO269" i="18"/>
  <c r="AN269" i="18"/>
  <c r="AM269" i="18"/>
  <c r="AL269" i="18"/>
  <c r="AK269" i="18"/>
  <c r="AJ269" i="18"/>
  <c r="AI269" i="18"/>
  <c r="AH269" i="18"/>
  <c r="AG269" i="18"/>
  <c r="AF269" i="18"/>
  <c r="AE269" i="18"/>
  <c r="AD269" i="18"/>
  <c r="AC269" i="18"/>
  <c r="AB269" i="18"/>
  <c r="AA269" i="18"/>
  <c r="Z269" i="18"/>
  <c r="Y269" i="18"/>
  <c r="X269" i="18"/>
  <c r="W269" i="18"/>
  <c r="V269" i="18"/>
  <c r="U269" i="18"/>
  <c r="T269" i="18"/>
  <c r="S269" i="18"/>
  <c r="R269" i="18"/>
  <c r="Q269" i="18"/>
  <c r="P269" i="18"/>
  <c r="O269" i="18"/>
  <c r="N269" i="18"/>
  <c r="M269" i="18"/>
  <c r="L269" i="18"/>
  <c r="K269" i="18"/>
  <c r="J269" i="18"/>
  <c r="I269" i="18"/>
  <c r="H269" i="18"/>
  <c r="G269" i="18"/>
  <c r="F269" i="18"/>
  <c r="E269" i="18"/>
  <c r="D269" i="18"/>
  <c r="C269" i="18"/>
  <c r="B269" i="18"/>
  <c r="A269" i="18"/>
  <c r="CL268" i="18"/>
  <c r="CK268" i="18"/>
  <c r="CJ268" i="18"/>
  <c r="CI268" i="18"/>
  <c r="CH268" i="18"/>
  <c r="CG268" i="18"/>
  <c r="CF268" i="18"/>
  <c r="CE268" i="18"/>
  <c r="CD268" i="18"/>
  <c r="CC268" i="18"/>
  <c r="CB268" i="18"/>
  <c r="CA268" i="18"/>
  <c r="BZ268" i="18"/>
  <c r="BY268" i="18"/>
  <c r="BD268" i="18"/>
  <c r="BC268" i="18"/>
  <c r="BB268" i="18"/>
  <c r="BA268" i="18"/>
  <c r="AZ268" i="18"/>
  <c r="AY268" i="18"/>
  <c r="AX268" i="18"/>
  <c r="AW268" i="18"/>
  <c r="AV268" i="18"/>
  <c r="AU268" i="18"/>
  <c r="AT268" i="18"/>
  <c r="AS268" i="18"/>
  <c r="AR268" i="18"/>
  <c r="AQ268" i="18"/>
  <c r="AP268" i="18"/>
  <c r="AO268" i="18"/>
  <c r="AN268" i="18"/>
  <c r="AM268" i="18"/>
  <c r="AL268" i="18"/>
  <c r="AK268" i="18"/>
  <c r="AJ268" i="18"/>
  <c r="AI268" i="18"/>
  <c r="AH268" i="18"/>
  <c r="AG268" i="18"/>
  <c r="AF268" i="18"/>
  <c r="AE268" i="18"/>
  <c r="AD268" i="18"/>
  <c r="AC268" i="18"/>
  <c r="AB268" i="18"/>
  <c r="AA268" i="18"/>
  <c r="Z268" i="18"/>
  <c r="Y268" i="18"/>
  <c r="X268" i="18"/>
  <c r="W268" i="18"/>
  <c r="V268" i="18"/>
  <c r="U268" i="18"/>
  <c r="T268" i="18"/>
  <c r="S268" i="18"/>
  <c r="R268" i="18"/>
  <c r="Q268" i="18"/>
  <c r="P268" i="18"/>
  <c r="O268" i="18"/>
  <c r="N268" i="18"/>
  <c r="M268" i="18"/>
  <c r="L268" i="18"/>
  <c r="K268" i="18"/>
  <c r="J268" i="18"/>
  <c r="I268" i="18"/>
  <c r="H268" i="18"/>
  <c r="G268" i="18"/>
  <c r="F268" i="18"/>
  <c r="E268" i="18"/>
  <c r="D268" i="18"/>
  <c r="C268" i="18"/>
  <c r="B268" i="18"/>
  <c r="A268" i="18"/>
  <c r="CK267" i="18"/>
  <c r="CJ267" i="18"/>
  <c r="CI267" i="18"/>
  <c r="CH267" i="18"/>
  <c r="CG267" i="18"/>
  <c r="CF267" i="18"/>
  <c r="CE267" i="18"/>
  <c r="CD267" i="18"/>
  <c r="CC267" i="18"/>
  <c r="CB267" i="18"/>
  <c r="CA267" i="18"/>
  <c r="BZ267" i="18"/>
  <c r="BY267" i="18"/>
  <c r="BA267" i="18"/>
  <c r="AZ267" i="18"/>
  <c r="AY267" i="18"/>
  <c r="AX267" i="18"/>
  <c r="AW267" i="18"/>
  <c r="AV267" i="18"/>
  <c r="AU267" i="18"/>
  <c r="AT267" i="18"/>
  <c r="AS267" i="18"/>
  <c r="AR267" i="18"/>
  <c r="AQ267" i="18"/>
  <c r="AP267" i="18"/>
  <c r="AO267" i="18"/>
  <c r="AN267" i="18"/>
  <c r="AM267" i="18"/>
  <c r="AL267" i="18"/>
  <c r="AK267" i="18"/>
  <c r="AJ267" i="18"/>
  <c r="AI267" i="18"/>
  <c r="AH267" i="18"/>
  <c r="AG267" i="18"/>
  <c r="AF267" i="18"/>
  <c r="AE267" i="18"/>
  <c r="AD267" i="18"/>
  <c r="AC267" i="18"/>
  <c r="AB267" i="18"/>
  <c r="AA267" i="18"/>
  <c r="Z267" i="18"/>
  <c r="Y267" i="18"/>
  <c r="X267" i="18"/>
  <c r="W267" i="18"/>
  <c r="V267" i="18"/>
  <c r="U267" i="18"/>
  <c r="T267" i="18"/>
  <c r="S267" i="18"/>
  <c r="R267" i="18"/>
  <c r="Q267" i="18"/>
  <c r="P267" i="18"/>
  <c r="O267" i="18"/>
  <c r="N267" i="18"/>
  <c r="M267" i="18"/>
  <c r="L267" i="18"/>
  <c r="K267" i="18"/>
  <c r="J267" i="18"/>
  <c r="I267" i="18"/>
  <c r="H267" i="18"/>
  <c r="G267" i="18"/>
  <c r="F267" i="18"/>
  <c r="E267" i="18"/>
  <c r="D267" i="18"/>
  <c r="C267" i="18"/>
  <c r="B267" i="18"/>
  <c r="A267" i="18"/>
  <c r="CN266" i="18"/>
  <c r="CM266" i="18"/>
  <c r="CL266" i="18"/>
  <c r="CK266" i="18"/>
  <c r="CJ266" i="18"/>
  <c r="CI266" i="18"/>
  <c r="CH266" i="18"/>
  <c r="CG266" i="18"/>
  <c r="CF266" i="18"/>
  <c r="CE266" i="18"/>
  <c r="CD266" i="18"/>
  <c r="CC266" i="18"/>
  <c r="CB266" i="18"/>
  <c r="CA266" i="18"/>
  <c r="BZ266" i="18"/>
  <c r="BY266" i="18"/>
  <c r="BX266" i="18"/>
  <c r="BW266" i="18"/>
  <c r="BV266" i="18"/>
  <c r="BU266" i="18"/>
  <c r="BT266" i="18"/>
  <c r="BS266" i="18"/>
  <c r="BR266" i="18"/>
  <c r="BQ266" i="18"/>
  <c r="BP266" i="18"/>
  <c r="BO266" i="18"/>
  <c r="BN266" i="18"/>
  <c r="BM266" i="18"/>
  <c r="BL266" i="18"/>
  <c r="BK266" i="18"/>
  <c r="BJ266" i="18"/>
  <c r="BI266" i="18"/>
  <c r="BH266" i="18"/>
  <c r="BG266" i="18"/>
  <c r="BF266" i="18"/>
  <c r="BE266" i="18"/>
  <c r="BD266" i="18"/>
  <c r="BC266" i="18"/>
  <c r="BB266" i="18"/>
  <c r="BA266" i="18"/>
  <c r="AZ266" i="18"/>
  <c r="AY266" i="18"/>
  <c r="AX266" i="18"/>
  <c r="AW266" i="18"/>
  <c r="AV266" i="18"/>
  <c r="AU266" i="18"/>
  <c r="AT266" i="18"/>
  <c r="AS266" i="18"/>
  <c r="AR266" i="18"/>
  <c r="AQ266" i="18"/>
  <c r="AP266" i="18"/>
  <c r="AO266" i="18"/>
  <c r="AN266" i="18"/>
  <c r="AM266" i="18"/>
  <c r="AL266" i="18"/>
  <c r="AK266" i="18"/>
  <c r="AJ266" i="18"/>
  <c r="AI266" i="18"/>
  <c r="AH266" i="18"/>
  <c r="AG266" i="18"/>
  <c r="AF266" i="18"/>
  <c r="AE266" i="18"/>
  <c r="AD266" i="18"/>
  <c r="AC266" i="18"/>
  <c r="AB266" i="18"/>
  <c r="AA266" i="18"/>
  <c r="Z266" i="18"/>
  <c r="Y266" i="18"/>
  <c r="X266" i="18"/>
  <c r="W266" i="18"/>
  <c r="V266" i="18"/>
  <c r="U266" i="18"/>
  <c r="T266" i="18"/>
  <c r="S266" i="18"/>
  <c r="R266" i="18"/>
  <c r="Q266" i="18"/>
  <c r="P266" i="18"/>
  <c r="O266" i="18"/>
  <c r="N266" i="18"/>
  <c r="M266" i="18"/>
  <c r="L266" i="18"/>
  <c r="K266" i="18"/>
  <c r="J266" i="18"/>
  <c r="I266" i="18"/>
  <c r="H266" i="18"/>
  <c r="G266" i="18"/>
  <c r="F266" i="18"/>
  <c r="E266" i="18"/>
  <c r="D266" i="18"/>
  <c r="C266" i="18"/>
  <c r="B266" i="18"/>
  <c r="A266" i="18"/>
  <c r="CL265" i="18"/>
  <c r="CK265" i="18"/>
  <c r="CJ265" i="18"/>
  <c r="CI265" i="18"/>
  <c r="CH265" i="18"/>
  <c r="CG265" i="18"/>
  <c r="CF265" i="18"/>
  <c r="CE265" i="18"/>
  <c r="CD265" i="18"/>
  <c r="CC265" i="18"/>
  <c r="CB265" i="18"/>
  <c r="CA265" i="18"/>
  <c r="BZ265" i="18"/>
  <c r="BY265" i="18"/>
  <c r="BF265" i="18"/>
  <c r="BE265" i="18"/>
  <c r="BD265" i="18"/>
  <c r="BC265" i="18"/>
  <c r="BB265" i="18"/>
  <c r="BA265" i="18"/>
  <c r="AZ265" i="18"/>
  <c r="AY265" i="18"/>
  <c r="AX265" i="18"/>
  <c r="AW265" i="18"/>
  <c r="AV265" i="18"/>
  <c r="AU265" i="18"/>
  <c r="AT265" i="18"/>
  <c r="AS265" i="18"/>
  <c r="AR265" i="18"/>
  <c r="AQ265" i="18"/>
  <c r="AP265" i="18"/>
  <c r="AO265" i="18"/>
  <c r="AN265" i="18"/>
  <c r="AM265" i="18"/>
  <c r="AL265" i="18"/>
  <c r="AK265" i="18"/>
  <c r="AJ265" i="18"/>
  <c r="AI265" i="18"/>
  <c r="AH265" i="18"/>
  <c r="AG265" i="18"/>
  <c r="AF265" i="18"/>
  <c r="AE265" i="18"/>
  <c r="AD265" i="18"/>
  <c r="AC265" i="18"/>
  <c r="AB265" i="18"/>
  <c r="AA265" i="18"/>
  <c r="Z265" i="18"/>
  <c r="Y265" i="18"/>
  <c r="X265" i="18"/>
  <c r="W265" i="18"/>
  <c r="V265" i="18"/>
  <c r="U265" i="18"/>
  <c r="T265" i="18"/>
  <c r="S265" i="18"/>
  <c r="R265" i="18"/>
  <c r="Q265" i="18"/>
  <c r="P265" i="18"/>
  <c r="O265" i="18"/>
  <c r="N265" i="18"/>
  <c r="M265" i="18"/>
  <c r="L265" i="18"/>
  <c r="K265" i="18"/>
  <c r="J265" i="18"/>
  <c r="I265" i="18"/>
  <c r="H265" i="18"/>
  <c r="G265" i="18"/>
  <c r="F265" i="18"/>
  <c r="E265" i="18"/>
  <c r="D265" i="18"/>
  <c r="C265" i="18"/>
  <c r="B265" i="18"/>
  <c r="A265" i="18"/>
  <c r="CL264" i="18"/>
  <c r="CK264" i="18"/>
  <c r="CJ264" i="18"/>
  <c r="CI264" i="18"/>
  <c r="CH264" i="18"/>
  <c r="CG264" i="18"/>
  <c r="CF264" i="18"/>
  <c r="CE264" i="18"/>
  <c r="CD264" i="18"/>
  <c r="CC264" i="18"/>
  <c r="CB264" i="18"/>
  <c r="CA264" i="18"/>
  <c r="BZ264" i="18"/>
  <c r="BY264" i="18"/>
  <c r="BF264" i="18"/>
  <c r="BE264" i="18"/>
  <c r="BD264" i="18"/>
  <c r="BC264" i="18"/>
  <c r="BB264" i="18"/>
  <c r="BA264" i="18"/>
  <c r="AZ264" i="18"/>
  <c r="AY264" i="18"/>
  <c r="AX264" i="18"/>
  <c r="AW264" i="18"/>
  <c r="AV264" i="18"/>
  <c r="AU264" i="18"/>
  <c r="AT264" i="18"/>
  <c r="AS264" i="18"/>
  <c r="AR264" i="18"/>
  <c r="AQ264" i="18"/>
  <c r="AP264" i="18"/>
  <c r="AO264" i="18"/>
  <c r="AN264" i="18"/>
  <c r="AM264" i="18"/>
  <c r="AL264" i="18"/>
  <c r="AK264" i="18"/>
  <c r="AJ264" i="18"/>
  <c r="AI264" i="18"/>
  <c r="AH264" i="18"/>
  <c r="AG264" i="18"/>
  <c r="AF264" i="18"/>
  <c r="AE264" i="18"/>
  <c r="AD264" i="18"/>
  <c r="AC264" i="18"/>
  <c r="AB264" i="18"/>
  <c r="AA264" i="18"/>
  <c r="Z264" i="18"/>
  <c r="Y264" i="18"/>
  <c r="X264" i="18"/>
  <c r="W264" i="18"/>
  <c r="V264" i="18"/>
  <c r="U264" i="18"/>
  <c r="T264" i="18"/>
  <c r="S264" i="18"/>
  <c r="R264" i="18"/>
  <c r="Q264" i="18"/>
  <c r="P264" i="18"/>
  <c r="O264" i="18"/>
  <c r="N264" i="18"/>
  <c r="M264" i="18"/>
  <c r="L264" i="18"/>
  <c r="K264" i="18"/>
  <c r="J264" i="18"/>
  <c r="I264" i="18"/>
  <c r="H264" i="18"/>
  <c r="G264" i="18"/>
  <c r="F264" i="18"/>
  <c r="E264" i="18"/>
  <c r="D264" i="18"/>
  <c r="C264" i="18"/>
  <c r="B264" i="18"/>
  <c r="A264" i="18"/>
  <c r="CN263" i="18"/>
  <c r="CM263" i="18"/>
  <c r="CL263" i="18"/>
  <c r="CK263" i="18"/>
  <c r="CJ263" i="18"/>
  <c r="CI263" i="18"/>
  <c r="CH263" i="18"/>
  <c r="CG263" i="18"/>
  <c r="CF263" i="18"/>
  <c r="CE263" i="18"/>
  <c r="CD263" i="18"/>
  <c r="CC263" i="18"/>
  <c r="CB263" i="18"/>
  <c r="CA263" i="18"/>
  <c r="BZ263" i="18"/>
  <c r="BY263" i="18"/>
  <c r="BX263" i="18"/>
  <c r="BW263" i="18"/>
  <c r="BV263" i="18"/>
  <c r="BU263" i="18"/>
  <c r="BT263" i="18"/>
  <c r="BS263" i="18"/>
  <c r="BR263" i="18"/>
  <c r="BQ263" i="18"/>
  <c r="BP263" i="18"/>
  <c r="BO263" i="18"/>
  <c r="BN263" i="18"/>
  <c r="BM263" i="18"/>
  <c r="BL263" i="18"/>
  <c r="BK263" i="18"/>
  <c r="BJ263" i="18"/>
  <c r="BI263" i="18"/>
  <c r="BH263" i="18"/>
  <c r="BG263" i="18"/>
  <c r="BF263" i="18"/>
  <c r="BE263" i="18"/>
  <c r="BD263" i="18"/>
  <c r="BC263" i="18"/>
  <c r="BB263" i="18"/>
  <c r="BA263" i="18"/>
  <c r="AZ263" i="18"/>
  <c r="AY263" i="18"/>
  <c r="AX263" i="18"/>
  <c r="AW263" i="18"/>
  <c r="AV263" i="18"/>
  <c r="AU263" i="18"/>
  <c r="AT263" i="18"/>
  <c r="AS263" i="18"/>
  <c r="AR263" i="18"/>
  <c r="AQ263" i="18"/>
  <c r="AP263" i="18"/>
  <c r="AO263" i="18"/>
  <c r="AN263" i="18"/>
  <c r="AM263" i="18"/>
  <c r="AL263" i="18"/>
  <c r="AK263" i="18"/>
  <c r="AJ263" i="18"/>
  <c r="AI263" i="18"/>
  <c r="AH263" i="18"/>
  <c r="AG263" i="18"/>
  <c r="AF263" i="18"/>
  <c r="AE263" i="18"/>
  <c r="AD263" i="18"/>
  <c r="AC263" i="18"/>
  <c r="AB263" i="18"/>
  <c r="AA263" i="18"/>
  <c r="Z263" i="18"/>
  <c r="Y263" i="18"/>
  <c r="X263" i="18"/>
  <c r="W263" i="18"/>
  <c r="V263" i="18"/>
  <c r="U263" i="18"/>
  <c r="T263" i="18"/>
  <c r="S263" i="18"/>
  <c r="R263" i="18"/>
  <c r="Q263" i="18"/>
  <c r="P263" i="18"/>
  <c r="O263" i="18"/>
  <c r="N263" i="18"/>
  <c r="M263" i="18"/>
  <c r="L263" i="18"/>
  <c r="K263" i="18"/>
  <c r="J263" i="18"/>
  <c r="I263" i="18"/>
  <c r="H263" i="18"/>
  <c r="G263" i="18"/>
  <c r="F263" i="18"/>
  <c r="E263" i="18"/>
  <c r="D263" i="18"/>
  <c r="C263" i="18"/>
  <c r="B263" i="18"/>
  <c r="A263" i="18"/>
  <c r="CN262" i="18"/>
  <c r="CM262" i="18"/>
  <c r="CL262" i="18"/>
  <c r="CK262" i="18"/>
  <c r="CJ262" i="18"/>
  <c r="CI262" i="18"/>
  <c r="CH262" i="18"/>
  <c r="CG262" i="18"/>
  <c r="CF262" i="18"/>
  <c r="CE262" i="18"/>
  <c r="CD262" i="18"/>
  <c r="CC262" i="18"/>
  <c r="CB262" i="18"/>
  <c r="CA262" i="18"/>
  <c r="BZ262" i="18"/>
  <c r="BY262" i="18"/>
  <c r="BX262" i="18"/>
  <c r="BW262" i="18"/>
  <c r="BV262" i="18"/>
  <c r="BU262" i="18"/>
  <c r="BT262" i="18"/>
  <c r="BS262" i="18"/>
  <c r="BR262" i="18"/>
  <c r="BQ262" i="18"/>
  <c r="BP262" i="18"/>
  <c r="BO262" i="18"/>
  <c r="BN262" i="18"/>
  <c r="BM262" i="18"/>
  <c r="BL262" i="18"/>
  <c r="BK262" i="18"/>
  <c r="BJ262" i="18"/>
  <c r="BI262" i="18"/>
  <c r="BH262" i="18"/>
  <c r="BG262" i="18"/>
  <c r="BF262" i="18"/>
  <c r="BE262" i="18"/>
  <c r="BD262" i="18"/>
  <c r="BC262" i="18"/>
  <c r="BB262" i="18"/>
  <c r="BA262" i="18"/>
  <c r="AZ262" i="18"/>
  <c r="AY262" i="18"/>
  <c r="AX262" i="18"/>
  <c r="AW262" i="18"/>
  <c r="AV262" i="18"/>
  <c r="AU262" i="18"/>
  <c r="AT262" i="18"/>
  <c r="AS262" i="18"/>
  <c r="AR262" i="18"/>
  <c r="AQ262" i="18"/>
  <c r="AP262" i="18"/>
  <c r="AO262" i="18"/>
  <c r="AN262" i="18"/>
  <c r="AM262" i="18"/>
  <c r="AL262" i="18"/>
  <c r="AK262" i="18"/>
  <c r="AJ262" i="18"/>
  <c r="AI262" i="18"/>
  <c r="AH262" i="18"/>
  <c r="AG262" i="18"/>
  <c r="AF262" i="18"/>
  <c r="AE262" i="18"/>
  <c r="AD262" i="18"/>
  <c r="AC262" i="18"/>
  <c r="AB262" i="18"/>
  <c r="AA262" i="18"/>
  <c r="Z262" i="18"/>
  <c r="Y262" i="18"/>
  <c r="X262" i="18"/>
  <c r="W262" i="18"/>
  <c r="V262" i="18"/>
  <c r="U262" i="18"/>
  <c r="T262" i="18"/>
  <c r="S262" i="18"/>
  <c r="R262" i="18"/>
  <c r="Q262" i="18"/>
  <c r="P262" i="18"/>
  <c r="O262" i="18"/>
  <c r="N262" i="18"/>
  <c r="M262" i="18"/>
  <c r="L262" i="18"/>
  <c r="K262" i="18"/>
  <c r="J262" i="18"/>
  <c r="I262" i="18"/>
  <c r="H262" i="18"/>
  <c r="G262" i="18"/>
  <c r="F262" i="18"/>
  <c r="E262" i="18"/>
  <c r="D262" i="18"/>
  <c r="C262" i="18"/>
  <c r="B262" i="18"/>
  <c r="A262" i="18"/>
  <c r="CN261" i="18"/>
  <c r="CM261" i="18"/>
  <c r="CL261" i="18"/>
  <c r="CK261" i="18"/>
  <c r="CJ261" i="18"/>
  <c r="CI261" i="18"/>
  <c r="CH261" i="18"/>
  <c r="CG261" i="18"/>
  <c r="CF261" i="18"/>
  <c r="CE261" i="18"/>
  <c r="CD261" i="18"/>
  <c r="CC261" i="18"/>
  <c r="CB261" i="18"/>
  <c r="CA261" i="18"/>
  <c r="BZ261" i="18"/>
  <c r="BY261" i="18"/>
  <c r="BX261" i="18"/>
  <c r="BW261" i="18"/>
  <c r="BV261" i="18"/>
  <c r="BU261" i="18"/>
  <c r="BT261" i="18"/>
  <c r="BS261" i="18"/>
  <c r="BR261" i="18"/>
  <c r="BQ261" i="18"/>
  <c r="BP261" i="18"/>
  <c r="BO261" i="18"/>
  <c r="BN261" i="18"/>
  <c r="BM261" i="18"/>
  <c r="BL261" i="18"/>
  <c r="BK261" i="18"/>
  <c r="BJ261" i="18"/>
  <c r="BI261" i="18"/>
  <c r="BH261" i="18"/>
  <c r="BG261" i="18"/>
  <c r="BF261" i="18"/>
  <c r="BE261" i="18"/>
  <c r="BD261" i="18"/>
  <c r="BC261" i="18"/>
  <c r="BB261" i="18"/>
  <c r="BA261" i="18"/>
  <c r="AZ261" i="18"/>
  <c r="AY261" i="18"/>
  <c r="AX261" i="18"/>
  <c r="AW261" i="18"/>
  <c r="AV261" i="18"/>
  <c r="AU261" i="18"/>
  <c r="AT261" i="18"/>
  <c r="AS261" i="18"/>
  <c r="AR261" i="18"/>
  <c r="AQ261" i="18"/>
  <c r="AP261" i="18"/>
  <c r="AO261" i="18"/>
  <c r="AN261" i="18"/>
  <c r="AM261" i="18"/>
  <c r="AL261" i="18"/>
  <c r="AK261" i="18"/>
  <c r="AJ261" i="18"/>
  <c r="AI261" i="18"/>
  <c r="AH261" i="18"/>
  <c r="AG261" i="18"/>
  <c r="AF261" i="18"/>
  <c r="AE261" i="18"/>
  <c r="AD261" i="18"/>
  <c r="AC261" i="18"/>
  <c r="AB261" i="18"/>
  <c r="AA261" i="18"/>
  <c r="Z261" i="18"/>
  <c r="Y261" i="18"/>
  <c r="X261" i="18"/>
  <c r="W261" i="18"/>
  <c r="V261" i="18"/>
  <c r="U261" i="18"/>
  <c r="T261" i="18"/>
  <c r="S261" i="18"/>
  <c r="R261" i="18"/>
  <c r="Q261" i="18"/>
  <c r="P261" i="18"/>
  <c r="O261" i="18"/>
  <c r="N261" i="18"/>
  <c r="M261" i="18"/>
  <c r="L261" i="18"/>
  <c r="K261" i="18"/>
  <c r="J261" i="18"/>
  <c r="I261" i="18"/>
  <c r="H261" i="18"/>
  <c r="G261" i="18"/>
  <c r="F261" i="18"/>
  <c r="E261" i="18"/>
  <c r="D261" i="18"/>
  <c r="C261" i="18"/>
  <c r="B261" i="18"/>
  <c r="A261" i="18"/>
  <c r="CN260" i="18"/>
  <c r="CM260" i="18"/>
  <c r="CL260" i="18"/>
  <c r="CK260" i="18"/>
  <c r="CJ260" i="18"/>
  <c r="CI260" i="18"/>
  <c r="CH260" i="18"/>
  <c r="CG260" i="18"/>
  <c r="CF260" i="18"/>
  <c r="CE260" i="18"/>
  <c r="CD260" i="18"/>
  <c r="CC260" i="18"/>
  <c r="CB260" i="18"/>
  <c r="CA260" i="18"/>
  <c r="BZ260" i="18"/>
  <c r="BY260" i="18"/>
  <c r="BX260" i="18"/>
  <c r="BW260" i="18"/>
  <c r="BV260" i="18"/>
  <c r="BU260" i="18"/>
  <c r="BT260" i="18"/>
  <c r="BS260" i="18"/>
  <c r="BR260" i="18"/>
  <c r="BQ260" i="18"/>
  <c r="BP260" i="18"/>
  <c r="BO260" i="18"/>
  <c r="BN260" i="18"/>
  <c r="BM260" i="18"/>
  <c r="BL260" i="18"/>
  <c r="BK260" i="18"/>
  <c r="BJ260" i="18"/>
  <c r="BI260" i="18"/>
  <c r="BH260" i="18"/>
  <c r="BG260" i="18"/>
  <c r="BF260" i="18"/>
  <c r="BE260" i="18"/>
  <c r="BD260" i="18"/>
  <c r="BC260" i="18"/>
  <c r="BB260" i="18"/>
  <c r="BA260" i="18"/>
  <c r="AZ260" i="18"/>
  <c r="AY260" i="18"/>
  <c r="AX260" i="18"/>
  <c r="AW260" i="18"/>
  <c r="AV260" i="18"/>
  <c r="AU260" i="18"/>
  <c r="AT260" i="18"/>
  <c r="AS260" i="18"/>
  <c r="AR260" i="18"/>
  <c r="AQ260" i="18"/>
  <c r="AP260" i="18"/>
  <c r="AO260" i="18"/>
  <c r="AN260" i="18"/>
  <c r="AM260" i="18"/>
  <c r="AL260" i="18"/>
  <c r="AK260" i="18"/>
  <c r="AJ260" i="18"/>
  <c r="AI260" i="18"/>
  <c r="AH260" i="18"/>
  <c r="AG260" i="18"/>
  <c r="AF260" i="18"/>
  <c r="AE260" i="18"/>
  <c r="AD260" i="18"/>
  <c r="AC260" i="18"/>
  <c r="AB260" i="18"/>
  <c r="AA260" i="18"/>
  <c r="Z260" i="18"/>
  <c r="Y260" i="18"/>
  <c r="X260" i="18"/>
  <c r="W260" i="18"/>
  <c r="V260" i="18"/>
  <c r="U260" i="18"/>
  <c r="T260" i="18"/>
  <c r="S260" i="18"/>
  <c r="R260" i="18"/>
  <c r="Q260" i="18"/>
  <c r="P260" i="18"/>
  <c r="O260" i="18"/>
  <c r="N260" i="18"/>
  <c r="M260" i="18"/>
  <c r="L260" i="18"/>
  <c r="K260" i="18"/>
  <c r="J260" i="18"/>
  <c r="I260" i="18"/>
  <c r="H260" i="18"/>
  <c r="G260" i="18"/>
  <c r="F260" i="18"/>
  <c r="E260" i="18"/>
  <c r="D260" i="18"/>
  <c r="C260" i="18"/>
  <c r="B260" i="18"/>
  <c r="A260" i="18"/>
  <c r="CI259" i="18"/>
  <c r="CH259" i="18"/>
  <c r="CG259" i="18"/>
  <c r="CF259" i="18"/>
  <c r="CE259" i="18"/>
  <c r="CD259" i="18"/>
  <c r="CC259" i="18"/>
  <c r="CB259" i="18"/>
  <c r="CA259" i="18"/>
  <c r="BZ259" i="18"/>
  <c r="BY259" i="18"/>
  <c r="AR259" i="18"/>
  <c r="AQ259" i="18"/>
  <c r="AP259" i="18"/>
  <c r="AO259" i="18"/>
  <c r="AN259" i="18"/>
  <c r="AM259" i="18"/>
  <c r="AL259" i="18"/>
  <c r="AK259" i="18"/>
  <c r="AJ259" i="18"/>
  <c r="AI259" i="18"/>
  <c r="AH259" i="18"/>
  <c r="AG259" i="18"/>
  <c r="AF259" i="18"/>
  <c r="AE259" i="18"/>
  <c r="AD259" i="18"/>
  <c r="AC259" i="18"/>
  <c r="AB259" i="18"/>
  <c r="AA259" i="18"/>
  <c r="Z259" i="18"/>
  <c r="Y259" i="18"/>
  <c r="X259" i="18"/>
  <c r="W259" i="18"/>
  <c r="V259" i="18"/>
  <c r="U259" i="18"/>
  <c r="T259" i="18"/>
  <c r="S259" i="18"/>
  <c r="R259" i="18"/>
  <c r="Q259" i="18"/>
  <c r="P259" i="18"/>
  <c r="O259" i="18"/>
  <c r="N259" i="18"/>
  <c r="M259" i="18"/>
  <c r="L259" i="18"/>
  <c r="K259" i="18"/>
  <c r="J259" i="18"/>
  <c r="I259" i="18"/>
  <c r="H259" i="18"/>
  <c r="G259" i="18"/>
  <c r="F259" i="18"/>
  <c r="E259" i="18"/>
  <c r="D259" i="18"/>
  <c r="C259" i="18"/>
  <c r="B259" i="18"/>
  <c r="A259" i="18"/>
  <c r="CI258" i="18"/>
  <c r="CH258" i="18"/>
  <c r="CG258" i="18"/>
  <c r="CF258" i="18"/>
  <c r="CE258" i="18"/>
  <c r="CD258" i="18"/>
  <c r="CC258" i="18"/>
  <c r="CB258" i="18"/>
  <c r="CA258" i="18"/>
  <c r="BZ258" i="18"/>
  <c r="BY258" i="18"/>
  <c r="AR258" i="18"/>
  <c r="AQ258" i="18"/>
  <c r="AP258" i="18"/>
  <c r="AO258" i="18"/>
  <c r="AN258" i="18"/>
  <c r="AM258" i="18"/>
  <c r="AL258" i="18"/>
  <c r="AK258" i="18"/>
  <c r="AJ258" i="18"/>
  <c r="AI258" i="18"/>
  <c r="AH258" i="18"/>
  <c r="AG258" i="18"/>
  <c r="AF258" i="18"/>
  <c r="AE258" i="18"/>
  <c r="AD258" i="18"/>
  <c r="AC258" i="18"/>
  <c r="AB258" i="18"/>
  <c r="AA258" i="18"/>
  <c r="Z258" i="18"/>
  <c r="Y258" i="18"/>
  <c r="X258" i="18"/>
  <c r="W258" i="18"/>
  <c r="V258" i="18"/>
  <c r="U258" i="18"/>
  <c r="T258" i="18"/>
  <c r="S258" i="18"/>
  <c r="R258" i="18"/>
  <c r="Q258" i="18"/>
  <c r="P258" i="18"/>
  <c r="O258" i="18"/>
  <c r="N258" i="18"/>
  <c r="M258" i="18"/>
  <c r="L258" i="18"/>
  <c r="K258" i="18"/>
  <c r="J258" i="18"/>
  <c r="I258" i="18"/>
  <c r="H258" i="18"/>
  <c r="G258" i="18"/>
  <c r="F258" i="18"/>
  <c r="E258" i="18"/>
  <c r="D258" i="18"/>
  <c r="C258" i="18"/>
  <c r="B258" i="18"/>
  <c r="A258" i="18"/>
  <c r="CI257" i="18"/>
  <c r="CH257" i="18"/>
  <c r="CG257" i="18"/>
  <c r="CF257" i="18"/>
  <c r="CE257" i="18"/>
  <c r="CD257" i="18"/>
  <c r="CC257" i="18"/>
  <c r="CB257" i="18"/>
  <c r="CA257" i="18"/>
  <c r="BZ257" i="18"/>
  <c r="BY257" i="18"/>
  <c r="AR257" i="18"/>
  <c r="AQ257" i="18"/>
  <c r="AP257" i="18"/>
  <c r="AO257" i="18"/>
  <c r="AN257" i="18"/>
  <c r="AM257" i="18"/>
  <c r="AL257" i="18"/>
  <c r="AK257" i="18"/>
  <c r="AJ257" i="18"/>
  <c r="AI257" i="18"/>
  <c r="AH257" i="18"/>
  <c r="AG257" i="18"/>
  <c r="AF257" i="18"/>
  <c r="AE257" i="18"/>
  <c r="AD257" i="18"/>
  <c r="AC257" i="18"/>
  <c r="AB257" i="18"/>
  <c r="AA257" i="18"/>
  <c r="Z257" i="18"/>
  <c r="Y257" i="18"/>
  <c r="X257" i="18"/>
  <c r="W257" i="18"/>
  <c r="V257" i="18"/>
  <c r="U257" i="18"/>
  <c r="T257" i="18"/>
  <c r="S257" i="18"/>
  <c r="R257" i="18"/>
  <c r="Q257" i="18"/>
  <c r="P257" i="18"/>
  <c r="O257" i="18"/>
  <c r="N257" i="18"/>
  <c r="M257" i="18"/>
  <c r="L257" i="18"/>
  <c r="K257" i="18"/>
  <c r="J257" i="18"/>
  <c r="I257" i="18"/>
  <c r="H257" i="18"/>
  <c r="G257" i="18"/>
  <c r="F257" i="18"/>
  <c r="E257" i="18"/>
  <c r="D257" i="18"/>
  <c r="C257" i="18"/>
  <c r="B257" i="18"/>
  <c r="A257" i="18"/>
  <c r="CX256" i="18"/>
  <c r="CW256" i="18"/>
  <c r="CV256" i="18"/>
  <c r="CU256" i="18"/>
  <c r="CT256" i="18"/>
  <c r="CS256" i="18"/>
  <c r="CR256" i="18"/>
  <c r="CQ256" i="18"/>
  <c r="CP256" i="18"/>
  <c r="CO256" i="18"/>
  <c r="CN256" i="18"/>
  <c r="CM256" i="18"/>
  <c r="CL256" i="18"/>
  <c r="CK256" i="18"/>
  <c r="CJ256" i="18"/>
  <c r="CI256" i="18"/>
  <c r="CH256" i="18"/>
  <c r="CG256" i="18"/>
  <c r="CF256" i="18"/>
  <c r="CE256" i="18"/>
  <c r="CD256" i="18"/>
  <c r="CC256" i="18"/>
  <c r="CB256" i="18"/>
  <c r="CA256" i="18"/>
  <c r="BZ256" i="18"/>
  <c r="BY256" i="18"/>
  <c r="BX256" i="18"/>
  <c r="BW256" i="18"/>
  <c r="BV256" i="18"/>
  <c r="BU256" i="18"/>
  <c r="BT256" i="18"/>
  <c r="BS256" i="18"/>
  <c r="BR256" i="18"/>
  <c r="BQ256" i="18"/>
  <c r="BP256" i="18"/>
  <c r="BO256" i="18"/>
  <c r="BN256" i="18"/>
  <c r="BM256" i="18"/>
  <c r="BL256" i="18"/>
  <c r="BK256" i="18"/>
  <c r="BJ256" i="18"/>
  <c r="BI256" i="18"/>
  <c r="BH256" i="18"/>
  <c r="BG256" i="18"/>
  <c r="BF256" i="18"/>
  <c r="BE256" i="18"/>
  <c r="BD256" i="18"/>
  <c r="BC256" i="18"/>
  <c r="BB256" i="18"/>
  <c r="BA256" i="18"/>
  <c r="AZ256" i="18"/>
  <c r="AY256" i="18"/>
  <c r="AX256" i="18"/>
  <c r="AW256" i="18"/>
  <c r="AV256" i="18"/>
  <c r="AU256" i="18"/>
  <c r="AT256" i="18"/>
  <c r="AS256" i="18"/>
  <c r="AR256" i="18"/>
  <c r="AQ256" i="18"/>
  <c r="AP256" i="18"/>
  <c r="AO256" i="18"/>
  <c r="AN256" i="18"/>
  <c r="AM256" i="18"/>
  <c r="AL256" i="18"/>
  <c r="AK256" i="18"/>
  <c r="AJ256" i="18"/>
  <c r="AI256" i="18"/>
  <c r="AH256" i="18"/>
  <c r="AG256" i="18"/>
  <c r="AF256" i="18"/>
  <c r="AE256" i="18"/>
  <c r="AD256" i="18"/>
  <c r="AC256" i="18"/>
  <c r="AB256" i="18"/>
  <c r="AA256" i="18"/>
  <c r="Z256" i="18"/>
  <c r="Y256" i="18"/>
  <c r="X256" i="18"/>
  <c r="W256" i="18"/>
  <c r="V256" i="18"/>
  <c r="U256" i="18"/>
  <c r="T256" i="18"/>
  <c r="S256" i="18"/>
  <c r="R256" i="18"/>
  <c r="Q256" i="18"/>
  <c r="P256" i="18"/>
  <c r="O256" i="18"/>
  <c r="N256" i="18"/>
  <c r="M256" i="18"/>
  <c r="L256" i="18"/>
  <c r="K256" i="18"/>
  <c r="J256" i="18"/>
  <c r="I256" i="18"/>
  <c r="H256" i="18"/>
  <c r="G256" i="18"/>
  <c r="F256" i="18"/>
  <c r="E256" i="18"/>
  <c r="D256" i="18"/>
  <c r="C256" i="18"/>
  <c r="B256" i="18"/>
  <c r="A256" i="18"/>
  <c r="CI255" i="18"/>
  <c r="CH255" i="18"/>
  <c r="CG255" i="18"/>
  <c r="CF255" i="18"/>
  <c r="CE255" i="18"/>
  <c r="CD255" i="18"/>
  <c r="CC255" i="18"/>
  <c r="CB255" i="18"/>
  <c r="CA255" i="18"/>
  <c r="BZ255" i="18"/>
  <c r="BY255" i="18"/>
  <c r="AR255" i="18"/>
  <c r="AQ255" i="18"/>
  <c r="AP255" i="18"/>
  <c r="AO255" i="18"/>
  <c r="AN255" i="18"/>
  <c r="AM255" i="18"/>
  <c r="AL255" i="18"/>
  <c r="AK255" i="18"/>
  <c r="AJ255" i="18"/>
  <c r="AI255" i="18"/>
  <c r="AH255" i="18"/>
  <c r="AG255" i="18"/>
  <c r="AF255" i="18"/>
  <c r="AE255" i="18"/>
  <c r="AD255" i="18"/>
  <c r="AC255" i="18"/>
  <c r="AB255" i="18"/>
  <c r="AA255" i="18"/>
  <c r="Z255" i="18"/>
  <c r="Y255" i="18"/>
  <c r="X255" i="18"/>
  <c r="W255" i="18"/>
  <c r="V255" i="18"/>
  <c r="U255" i="18"/>
  <c r="T255" i="18"/>
  <c r="S255" i="18"/>
  <c r="R255" i="18"/>
  <c r="Q255" i="18"/>
  <c r="P255" i="18"/>
  <c r="O255" i="18"/>
  <c r="N255" i="18"/>
  <c r="M255" i="18"/>
  <c r="L255" i="18"/>
  <c r="K255" i="18"/>
  <c r="J255" i="18"/>
  <c r="I255" i="18"/>
  <c r="H255" i="18"/>
  <c r="G255" i="18"/>
  <c r="F255" i="18"/>
  <c r="E255" i="18"/>
  <c r="D255" i="18"/>
  <c r="C255" i="18"/>
  <c r="B255" i="18"/>
  <c r="A255" i="18"/>
  <c r="CI254" i="18"/>
  <c r="CH254" i="18"/>
  <c r="CG254" i="18"/>
  <c r="CF254" i="18"/>
  <c r="CE254" i="18"/>
  <c r="CD254" i="18"/>
  <c r="CC254" i="18"/>
  <c r="CB254" i="18"/>
  <c r="CA254" i="18"/>
  <c r="BZ254" i="18"/>
  <c r="BY254" i="18"/>
  <c r="AR254" i="18"/>
  <c r="AQ254" i="18"/>
  <c r="AP254" i="18"/>
  <c r="AO254" i="18"/>
  <c r="AN254" i="18"/>
  <c r="AM254" i="18"/>
  <c r="AL254" i="18"/>
  <c r="AK254" i="18"/>
  <c r="AJ254" i="18"/>
  <c r="AI254" i="18"/>
  <c r="AH254" i="18"/>
  <c r="AG254" i="18"/>
  <c r="AF254" i="18"/>
  <c r="AE254" i="18"/>
  <c r="AD254" i="18"/>
  <c r="AC254" i="18"/>
  <c r="AB254" i="18"/>
  <c r="AA254" i="18"/>
  <c r="Z254" i="18"/>
  <c r="Y254" i="18"/>
  <c r="X254" i="18"/>
  <c r="W254" i="18"/>
  <c r="V254" i="18"/>
  <c r="U254" i="18"/>
  <c r="T254" i="18"/>
  <c r="S254" i="18"/>
  <c r="R254" i="18"/>
  <c r="Q254" i="18"/>
  <c r="P254" i="18"/>
  <c r="O254" i="18"/>
  <c r="N254" i="18"/>
  <c r="M254" i="18"/>
  <c r="L254" i="18"/>
  <c r="K254" i="18"/>
  <c r="J254" i="18"/>
  <c r="I254" i="18"/>
  <c r="H254" i="18"/>
  <c r="G254" i="18"/>
  <c r="F254" i="18"/>
  <c r="E254" i="18"/>
  <c r="D254" i="18"/>
  <c r="C254" i="18"/>
  <c r="B254" i="18"/>
  <c r="A254" i="18"/>
  <c r="CI253" i="18"/>
  <c r="CH253" i="18"/>
  <c r="CG253" i="18"/>
  <c r="CF253" i="18"/>
  <c r="CE253" i="18"/>
  <c r="CD253" i="18"/>
  <c r="CC253" i="18"/>
  <c r="CB253" i="18"/>
  <c r="CA253" i="18"/>
  <c r="BZ253" i="18"/>
  <c r="BY253" i="18"/>
  <c r="AR253" i="18"/>
  <c r="AQ253" i="18"/>
  <c r="AP253" i="18"/>
  <c r="AO253" i="18"/>
  <c r="AN253" i="18"/>
  <c r="AM253" i="18"/>
  <c r="AL253" i="18"/>
  <c r="AK253" i="18"/>
  <c r="AJ253" i="18"/>
  <c r="AI253" i="18"/>
  <c r="AH253" i="18"/>
  <c r="AG253" i="18"/>
  <c r="AF253" i="18"/>
  <c r="AE253" i="18"/>
  <c r="AD253" i="18"/>
  <c r="AC253" i="18"/>
  <c r="AB253" i="18"/>
  <c r="AA253" i="18"/>
  <c r="Z253" i="18"/>
  <c r="Y253" i="18"/>
  <c r="X253" i="18"/>
  <c r="W253" i="18"/>
  <c r="V253" i="18"/>
  <c r="U253" i="18"/>
  <c r="T253" i="18"/>
  <c r="S253" i="18"/>
  <c r="R253" i="18"/>
  <c r="Q253" i="18"/>
  <c r="P253" i="18"/>
  <c r="O253" i="18"/>
  <c r="N253" i="18"/>
  <c r="M253" i="18"/>
  <c r="L253" i="18"/>
  <c r="K253" i="18"/>
  <c r="J253" i="18"/>
  <c r="I253" i="18"/>
  <c r="H253" i="18"/>
  <c r="G253" i="18"/>
  <c r="F253" i="18"/>
  <c r="E253" i="18"/>
  <c r="D253" i="18"/>
  <c r="C253" i="18"/>
  <c r="B253" i="18"/>
  <c r="A253" i="18"/>
  <c r="CX252" i="18"/>
  <c r="CW252" i="18"/>
  <c r="CV252" i="18"/>
  <c r="CU252" i="18"/>
  <c r="CT252" i="18"/>
  <c r="CS252" i="18"/>
  <c r="CR252" i="18"/>
  <c r="CQ252" i="18"/>
  <c r="CP252" i="18"/>
  <c r="CO252" i="18"/>
  <c r="CN252" i="18"/>
  <c r="CM252" i="18"/>
  <c r="CL252" i="18"/>
  <c r="CK252" i="18"/>
  <c r="CI252" i="18"/>
  <c r="CH252" i="18"/>
  <c r="CG252" i="18"/>
  <c r="CF252" i="18"/>
  <c r="CE252" i="18"/>
  <c r="CD252" i="18"/>
  <c r="CC252" i="18"/>
  <c r="CB252" i="18"/>
  <c r="CA252" i="18"/>
  <c r="BZ252" i="18"/>
  <c r="BY252" i="18"/>
  <c r="BX252" i="18"/>
  <c r="BW252" i="18"/>
  <c r="BV252" i="18"/>
  <c r="BU252" i="18"/>
  <c r="BT252" i="18"/>
  <c r="BS252" i="18"/>
  <c r="BR252" i="18"/>
  <c r="BQ252" i="18"/>
  <c r="BP252" i="18"/>
  <c r="BO252" i="18"/>
  <c r="BN252" i="18"/>
  <c r="BM252" i="18"/>
  <c r="BL252" i="18"/>
  <c r="BK252" i="18"/>
  <c r="BJ252" i="18"/>
  <c r="BI252" i="18"/>
  <c r="BH252" i="18"/>
  <c r="BG252" i="18"/>
  <c r="BF252" i="18"/>
  <c r="BE252" i="18"/>
  <c r="BD252" i="18"/>
  <c r="BC252" i="18"/>
  <c r="BB252" i="18"/>
  <c r="BA252" i="18"/>
  <c r="AZ252" i="18"/>
  <c r="AY252" i="18"/>
  <c r="AX252" i="18"/>
  <c r="AW252" i="18"/>
  <c r="AV252" i="18"/>
  <c r="AU252" i="18"/>
  <c r="AT252" i="18"/>
  <c r="AS252" i="18"/>
  <c r="AR252" i="18"/>
  <c r="AQ252" i="18"/>
  <c r="AP252" i="18"/>
  <c r="AO252" i="18"/>
  <c r="AN252" i="18"/>
  <c r="AM252" i="18"/>
  <c r="AL252" i="18"/>
  <c r="AK252" i="18"/>
  <c r="AJ252" i="18"/>
  <c r="AI252" i="18"/>
  <c r="AH252" i="18"/>
  <c r="AG252" i="18"/>
  <c r="AF252" i="18"/>
  <c r="AE252" i="18"/>
  <c r="AD252" i="18"/>
  <c r="AC252" i="18"/>
  <c r="AB252" i="18"/>
  <c r="AA252" i="18"/>
  <c r="Z252" i="18"/>
  <c r="Y252" i="18"/>
  <c r="X252" i="18"/>
  <c r="W252" i="18"/>
  <c r="V252" i="18"/>
  <c r="U252" i="18"/>
  <c r="T252" i="18"/>
  <c r="S252" i="18"/>
  <c r="R252" i="18"/>
  <c r="Q252" i="18"/>
  <c r="P252" i="18"/>
  <c r="O252" i="18"/>
  <c r="N252" i="18"/>
  <c r="M252" i="18"/>
  <c r="L252" i="18"/>
  <c r="K252" i="18"/>
  <c r="J252" i="18"/>
  <c r="I252" i="18"/>
  <c r="H252" i="18"/>
  <c r="G252" i="18"/>
  <c r="F252" i="18"/>
  <c r="E252" i="18"/>
  <c r="D252" i="18"/>
  <c r="C252" i="18"/>
  <c r="B252" i="18"/>
  <c r="A252" i="18"/>
  <c r="CI251" i="18"/>
  <c r="CH251" i="18"/>
  <c r="CG251" i="18"/>
  <c r="CF251" i="18"/>
  <c r="CE251" i="18"/>
  <c r="CD251" i="18"/>
  <c r="CC251" i="18"/>
  <c r="CB251" i="18"/>
  <c r="CA251" i="18"/>
  <c r="BZ251" i="18"/>
  <c r="BY251" i="18"/>
  <c r="AR251" i="18"/>
  <c r="AQ251" i="18"/>
  <c r="AP251" i="18"/>
  <c r="AO251" i="18"/>
  <c r="AN251" i="18"/>
  <c r="AM251" i="18"/>
  <c r="AL251" i="18"/>
  <c r="AK251" i="18"/>
  <c r="AJ251" i="18"/>
  <c r="AI251" i="18"/>
  <c r="AH251" i="18"/>
  <c r="AG251" i="18"/>
  <c r="AF251" i="18"/>
  <c r="AE251" i="18"/>
  <c r="AD251" i="18"/>
  <c r="AC251" i="18"/>
  <c r="AB251" i="18"/>
  <c r="AA251" i="18"/>
  <c r="Z251" i="18"/>
  <c r="Y251" i="18"/>
  <c r="X251" i="18"/>
  <c r="W251" i="18"/>
  <c r="V251" i="18"/>
  <c r="U251" i="18"/>
  <c r="T251" i="18"/>
  <c r="S251" i="18"/>
  <c r="R251" i="18"/>
  <c r="Q251" i="18"/>
  <c r="P251" i="18"/>
  <c r="O251" i="18"/>
  <c r="N251" i="18"/>
  <c r="M251" i="18"/>
  <c r="L251" i="18"/>
  <c r="K251" i="18"/>
  <c r="J251" i="18"/>
  <c r="I251" i="18"/>
  <c r="H251" i="18"/>
  <c r="G251" i="18"/>
  <c r="F251" i="18"/>
  <c r="E251" i="18"/>
  <c r="D251" i="18"/>
  <c r="C251" i="18"/>
  <c r="B251" i="18"/>
  <c r="A251" i="18"/>
  <c r="CI250" i="18"/>
  <c r="CH250" i="18"/>
  <c r="CG250" i="18"/>
  <c r="CF250" i="18"/>
  <c r="CE250" i="18"/>
  <c r="CD250" i="18"/>
  <c r="CC250" i="18"/>
  <c r="CB250" i="18"/>
  <c r="CA250" i="18"/>
  <c r="BZ250" i="18"/>
  <c r="BY250" i="18"/>
  <c r="AR250" i="18"/>
  <c r="AQ250" i="18"/>
  <c r="AP250" i="18"/>
  <c r="AO250" i="18"/>
  <c r="AN250" i="18"/>
  <c r="AM250" i="18"/>
  <c r="AL250" i="18"/>
  <c r="AK250" i="18"/>
  <c r="AJ250" i="18"/>
  <c r="AI250" i="18"/>
  <c r="AH250" i="18"/>
  <c r="AG250" i="18"/>
  <c r="AF250" i="18"/>
  <c r="AE250" i="18"/>
  <c r="AD250" i="18"/>
  <c r="AC250" i="18"/>
  <c r="AB250" i="18"/>
  <c r="AA250" i="18"/>
  <c r="Z250" i="18"/>
  <c r="Y250" i="18"/>
  <c r="X250" i="18"/>
  <c r="W250" i="18"/>
  <c r="V250" i="18"/>
  <c r="U250" i="18"/>
  <c r="T250" i="18"/>
  <c r="S250" i="18"/>
  <c r="R250" i="18"/>
  <c r="Q250" i="18"/>
  <c r="P250" i="18"/>
  <c r="O250" i="18"/>
  <c r="N250" i="18"/>
  <c r="M250" i="18"/>
  <c r="L250" i="18"/>
  <c r="K250" i="18"/>
  <c r="J250" i="18"/>
  <c r="I250" i="18"/>
  <c r="H250" i="18"/>
  <c r="G250" i="18"/>
  <c r="F250" i="18"/>
  <c r="E250" i="18"/>
  <c r="D250" i="18"/>
  <c r="C250" i="18"/>
  <c r="B250" i="18"/>
  <c r="A250" i="18"/>
  <c r="CI249" i="18"/>
  <c r="CH249" i="18"/>
  <c r="CG249" i="18"/>
  <c r="CF249" i="18"/>
  <c r="CE249" i="18"/>
  <c r="CD249" i="18"/>
  <c r="CC249" i="18"/>
  <c r="CB249" i="18"/>
  <c r="CA249" i="18"/>
  <c r="BZ249" i="18"/>
  <c r="BY249" i="18"/>
  <c r="AR249" i="18"/>
  <c r="AQ249" i="18"/>
  <c r="AP249" i="18"/>
  <c r="AO249" i="18"/>
  <c r="AN249" i="18"/>
  <c r="AM249" i="18"/>
  <c r="AL249" i="18"/>
  <c r="AK249" i="18"/>
  <c r="AJ249" i="18"/>
  <c r="AI249" i="18"/>
  <c r="AH249" i="18"/>
  <c r="AG249" i="18"/>
  <c r="AF249" i="18"/>
  <c r="AE249" i="18"/>
  <c r="AD249" i="18"/>
  <c r="AC249" i="18"/>
  <c r="AB249" i="18"/>
  <c r="AA249" i="18"/>
  <c r="Z249" i="18"/>
  <c r="Y249" i="18"/>
  <c r="X249" i="18"/>
  <c r="W249" i="18"/>
  <c r="V249" i="18"/>
  <c r="U249" i="18"/>
  <c r="T249" i="18"/>
  <c r="S249" i="18"/>
  <c r="R249" i="18"/>
  <c r="Q249" i="18"/>
  <c r="P249" i="18"/>
  <c r="O249" i="18"/>
  <c r="N249" i="18"/>
  <c r="M249" i="18"/>
  <c r="L249" i="18"/>
  <c r="K249" i="18"/>
  <c r="J249" i="18"/>
  <c r="I249" i="18"/>
  <c r="H249" i="18"/>
  <c r="G249" i="18"/>
  <c r="F249" i="18"/>
  <c r="E249" i="18"/>
  <c r="D249" i="18"/>
  <c r="C249" i="18"/>
  <c r="B249" i="18"/>
  <c r="A249" i="18"/>
  <c r="CX248" i="18"/>
  <c r="CW248" i="18"/>
  <c r="CV248" i="18"/>
  <c r="CU248" i="18"/>
  <c r="CT248" i="18"/>
  <c r="CS248" i="18"/>
  <c r="CR248" i="18"/>
  <c r="CQ248" i="18"/>
  <c r="CP248" i="18"/>
  <c r="CO248" i="18"/>
  <c r="CN248" i="18"/>
  <c r="CM248" i="18"/>
  <c r="CL248" i="18"/>
  <c r="CK248" i="18"/>
  <c r="CJ248" i="18"/>
  <c r="CI248" i="18"/>
  <c r="CH248" i="18"/>
  <c r="CG248" i="18"/>
  <c r="CF248" i="18"/>
  <c r="CE248" i="18"/>
  <c r="CD248" i="18"/>
  <c r="CC248" i="18"/>
  <c r="CB248" i="18"/>
  <c r="CA248" i="18"/>
  <c r="BZ248" i="18"/>
  <c r="BY248" i="18"/>
  <c r="BX248" i="18"/>
  <c r="BW248" i="18"/>
  <c r="BV248" i="18"/>
  <c r="BU248" i="18"/>
  <c r="BT248" i="18"/>
  <c r="BS248" i="18"/>
  <c r="BR248" i="18"/>
  <c r="BQ248" i="18"/>
  <c r="BP248" i="18"/>
  <c r="BO248" i="18"/>
  <c r="BN248" i="18"/>
  <c r="BM248" i="18"/>
  <c r="BL248" i="18"/>
  <c r="BK248" i="18"/>
  <c r="BJ248" i="18"/>
  <c r="BI248" i="18"/>
  <c r="BH248" i="18"/>
  <c r="BG248" i="18"/>
  <c r="BF248" i="18"/>
  <c r="BE248" i="18"/>
  <c r="BD248" i="18"/>
  <c r="BC248" i="18"/>
  <c r="BB248" i="18"/>
  <c r="BA248" i="18"/>
  <c r="AZ248" i="18"/>
  <c r="AY248" i="18"/>
  <c r="AX248" i="18"/>
  <c r="AW248" i="18"/>
  <c r="AV248" i="18"/>
  <c r="AU248" i="18"/>
  <c r="AT248" i="18"/>
  <c r="AS248" i="18"/>
  <c r="AR248" i="18"/>
  <c r="AQ248" i="18"/>
  <c r="AP248" i="18"/>
  <c r="AO248" i="18"/>
  <c r="AN248" i="18"/>
  <c r="AM248" i="18"/>
  <c r="AL248" i="18"/>
  <c r="AK248" i="18"/>
  <c r="AJ248" i="18"/>
  <c r="AI248" i="18"/>
  <c r="AH248" i="18"/>
  <c r="AG248" i="18"/>
  <c r="AF248" i="18"/>
  <c r="AE248" i="18"/>
  <c r="AD248" i="18"/>
  <c r="AC248" i="18"/>
  <c r="AB248" i="18"/>
  <c r="AA248" i="18"/>
  <c r="Z248" i="18"/>
  <c r="Y248" i="18"/>
  <c r="X248" i="18"/>
  <c r="W248" i="18"/>
  <c r="V248" i="18"/>
  <c r="U248" i="18"/>
  <c r="T248" i="18"/>
  <c r="S248" i="18"/>
  <c r="R248" i="18"/>
  <c r="Q248" i="18"/>
  <c r="P248" i="18"/>
  <c r="O248" i="18"/>
  <c r="N248" i="18"/>
  <c r="M248" i="18"/>
  <c r="L248" i="18"/>
  <c r="K248" i="18"/>
  <c r="J248" i="18"/>
  <c r="I248" i="18"/>
  <c r="H248" i="18"/>
  <c r="G248" i="18"/>
  <c r="F248" i="18"/>
  <c r="E248" i="18"/>
  <c r="D248" i="18"/>
  <c r="C248" i="18"/>
  <c r="B248" i="18"/>
  <c r="A248" i="18"/>
  <c r="CI246" i="18"/>
  <c r="CH246" i="18"/>
  <c r="CG246" i="18"/>
  <c r="CF246" i="18"/>
  <c r="CE246" i="18"/>
  <c r="CD246" i="18"/>
  <c r="CC246" i="18"/>
  <c r="CB246" i="18"/>
  <c r="CA246" i="18"/>
  <c r="BZ246" i="18"/>
  <c r="BY246" i="18"/>
  <c r="AR246" i="18"/>
  <c r="AQ246" i="18"/>
  <c r="AP246" i="18"/>
  <c r="AO246" i="18"/>
  <c r="AN246" i="18"/>
  <c r="AM246" i="18"/>
  <c r="AL246" i="18"/>
  <c r="AK246" i="18"/>
  <c r="AJ246" i="18"/>
  <c r="AI246" i="18"/>
  <c r="AH246" i="18"/>
  <c r="AG246" i="18"/>
  <c r="AF246" i="18"/>
  <c r="AE246" i="18"/>
  <c r="AD246" i="18"/>
  <c r="AC246" i="18"/>
  <c r="AB246" i="18"/>
  <c r="AA246" i="18"/>
  <c r="Z246" i="18"/>
  <c r="Y246" i="18"/>
  <c r="X246" i="18"/>
  <c r="W246" i="18"/>
  <c r="V246" i="18"/>
  <c r="U246" i="18"/>
  <c r="T246" i="18"/>
  <c r="S246" i="18"/>
  <c r="R246" i="18"/>
  <c r="Q246" i="18"/>
  <c r="P246" i="18"/>
  <c r="O246" i="18"/>
  <c r="N246" i="18"/>
  <c r="M246" i="18"/>
  <c r="L246" i="18"/>
  <c r="K246" i="18"/>
  <c r="J246" i="18"/>
  <c r="I246" i="18"/>
  <c r="H246" i="18"/>
  <c r="G246" i="18"/>
  <c r="F246" i="18"/>
  <c r="E246" i="18"/>
  <c r="D246" i="18"/>
  <c r="C246" i="18"/>
  <c r="B246" i="18"/>
  <c r="A246" i="18"/>
  <c r="CI245" i="18"/>
  <c r="CH245" i="18"/>
  <c r="CG245" i="18"/>
  <c r="CF245" i="18"/>
  <c r="CE245" i="18"/>
  <c r="CD245" i="18"/>
  <c r="CC245" i="18"/>
  <c r="CB245" i="18"/>
  <c r="CA245" i="18"/>
  <c r="BZ245" i="18"/>
  <c r="BY245" i="18"/>
  <c r="AR245" i="18"/>
  <c r="AQ245" i="18"/>
  <c r="AP245" i="18"/>
  <c r="AO245" i="18"/>
  <c r="AN245" i="18"/>
  <c r="AM245" i="18"/>
  <c r="AL245" i="18"/>
  <c r="AK245" i="18"/>
  <c r="AJ245" i="18"/>
  <c r="AI245" i="18"/>
  <c r="AH245" i="18"/>
  <c r="AG245" i="18"/>
  <c r="AF245" i="18"/>
  <c r="AE245" i="18"/>
  <c r="AD245" i="18"/>
  <c r="AC245" i="18"/>
  <c r="AB245" i="18"/>
  <c r="AA245" i="18"/>
  <c r="Z245" i="18"/>
  <c r="Y245" i="18"/>
  <c r="X245" i="18"/>
  <c r="W245" i="18"/>
  <c r="V245" i="18"/>
  <c r="U245" i="18"/>
  <c r="T245" i="18"/>
  <c r="S245" i="18"/>
  <c r="R245" i="18"/>
  <c r="Q245" i="18"/>
  <c r="P245" i="18"/>
  <c r="O245" i="18"/>
  <c r="N245" i="18"/>
  <c r="M245" i="18"/>
  <c r="L245" i="18"/>
  <c r="K245" i="18"/>
  <c r="J245" i="18"/>
  <c r="I245" i="18"/>
  <c r="H245" i="18"/>
  <c r="G245" i="18"/>
  <c r="F245" i="18"/>
  <c r="E245" i="18"/>
  <c r="D245" i="18"/>
  <c r="C245" i="18"/>
  <c r="B245" i="18"/>
  <c r="A245" i="18"/>
  <c r="CI244" i="18"/>
  <c r="CH244" i="18"/>
  <c r="CG244" i="18"/>
  <c r="CF244" i="18"/>
  <c r="CE244" i="18"/>
  <c r="CD244" i="18"/>
  <c r="CC244" i="18"/>
  <c r="CB244" i="18"/>
  <c r="CA244" i="18"/>
  <c r="BZ244" i="18"/>
  <c r="BY244" i="18"/>
  <c r="AR244" i="18"/>
  <c r="AQ244" i="18"/>
  <c r="AP244" i="18"/>
  <c r="AO244" i="18"/>
  <c r="AN244" i="18"/>
  <c r="AM244" i="18"/>
  <c r="AL244" i="18"/>
  <c r="AK244" i="18"/>
  <c r="AJ244" i="18"/>
  <c r="AI244" i="18"/>
  <c r="AH244" i="18"/>
  <c r="AG244" i="18"/>
  <c r="AF244" i="18"/>
  <c r="AE244" i="18"/>
  <c r="AD244" i="18"/>
  <c r="AC244" i="18"/>
  <c r="AB244" i="18"/>
  <c r="AA244" i="18"/>
  <c r="Z244" i="18"/>
  <c r="Y244" i="18"/>
  <c r="X244" i="18"/>
  <c r="W244" i="18"/>
  <c r="V244" i="18"/>
  <c r="U244" i="18"/>
  <c r="T244" i="18"/>
  <c r="S244" i="18"/>
  <c r="R244" i="18"/>
  <c r="Q244" i="18"/>
  <c r="P244" i="18"/>
  <c r="O244" i="18"/>
  <c r="N244" i="18"/>
  <c r="M244" i="18"/>
  <c r="L244" i="18"/>
  <c r="K244" i="18"/>
  <c r="J244" i="18"/>
  <c r="I244" i="18"/>
  <c r="H244" i="18"/>
  <c r="G244" i="18"/>
  <c r="F244" i="18"/>
  <c r="E244" i="18"/>
  <c r="D244" i="18"/>
  <c r="C244" i="18"/>
  <c r="B244" i="18"/>
  <c r="A244" i="18"/>
  <c r="CX243" i="18"/>
  <c r="CW243" i="18"/>
  <c r="CV243" i="18"/>
  <c r="CU243" i="18"/>
  <c r="CT243" i="18"/>
  <c r="CS243" i="18"/>
  <c r="CR243" i="18"/>
  <c r="CQ243" i="18"/>
  <c r="CP243" i="18"/>
  <c r="CO243" i="18"/>
  <c r="CN243" i="18"/>
  <c r="CM243" i="18"/>
  <c r="CL243" i="18"/>
  <c r="CK243" i="18"/>
  <c r="CJ243" i="18"/>
  <c r="CI243" i="18"/>
  <c r="CH243" i="18"/>
  <c r="CG243" i="18"/>
  <c r="CF243" i="18"/>
  <c r="CE243" i="18"/>
  <c r="CD243" i="18"/>
  <c r="CC243" i="18"/>
  <c r="CB243" i="18"/>
  <c r="CA243" i="18"/>
  <c r="BZ243" i="18"/>
  <c r="BY243" i="18"/>
  <c r="BX243" i="18"/>
  <c r="BW243" i="18"/>
  <c r="BV243" i="18"/>
  <c r="BU243" i="18"/>
  <c r="BT243" i="18"/>
  <c r="BS243" i="18"/>
  <c r="BR243" i="18"/>
  <c r="BQ243" i="18"/>
  <c r="BP243" i="18"/>
  <c r="BO243" i="18"/>
  <c r="BN243" i="18"/>
  <c r="BM243" i="18"/>
  <c r="BL243" i="18"/>
  <c r="BK243" i="18"/>
  <c r="BJ243" i="18"/>
  <c r="BI243" i="18"/>
  <c r="BH243" i="18"/>
  <c r="BG243" i="18"/>
  <c r="BF243" i="18"/>
  <c r="BE243" i="18"/>
  <c r="BD243" i="18"/>
  <c r="BC243" i="18"/>
  <c r="BB243" i="18"/>
  <c r="BA243" i="18"/>
  <c r="AZ243" i="18"/>
  <c r="AY243" i="18"/>
  <c r="AX243" i="18"/>
  <c r="AW243" i="18"/>
  <c r="AV243" i="18"/>
  <c r="AU243" i="18"/>
  <c r="AT243" i="18"/>
  <c r="AS243" i="18"/>
  <c r="AR243" i="18"/>
  <c r="AQ243" i="18"/>
  <c r="AP243" i="18"/>
  <c r="AO243" i="18"/>
  <c r="AN243" i="18"/>
  <c r="AM243" i="18"/>
  <c r="AL243" i="18"/>
  <c r="AK243" i="18"/>
  <c r="AJ243" i="18"/>
  <c r="AI243" i="18"/>
  <c r="AH243" i="18"/>
  <c r="AG243" i="18"/>
  <c r="AF243" i="18"/>
  <c r="AE243" i="18"/>
  <c r="AD243" i="18"/>
  <c r="AC243" i="18"/>
  <c r="AB243" i="18"/>
  <c r="AA243" i="18"/>
  <c r="Z243" i="18"/>
  <c r="Y243" i="18"/>
  <c r="X243" i="18"/>
  <c r="W243" i="18"/>
  <c r="V243" i="18"/>
  <c r="U243" i="18"/>
  <c r="T243" i="18"/>
  <c r="S243" i="18"/>
  <c r="R243" i="18"/>
  <c r="Q243" i="18"/>
  <c r="P243" i="18"/>
  <c r="O243" i="18"/>
  <c r="N243" i="18"/>
  <c r="M243" i="18"/>
  <c r="L243" i="18"/>
  <c r="K243" i="18"/>
  <c r="J243" i="18"/>
  <c r="I243" i="18"/>
  <c r="H243" i="18"/>
  <c r="G243" i="18"/>
  <c r="F243" i="18"/>
  <c r="E243" i="18"/>
  <c r="D243" i="18"/>
  <c r="C243" i="18"/>
  <c r="B243" i="18"/>
  <c r="A243" i="18"/>
  <c r="CX242" i="18"/>
  <c r="CW242" i="18"/>
  <c r="CV242" i="18"/>
  <c r="CU242" i="18"/>
  <c r="CT242" i="18"/>
  <c r="CS242" i="18"/>
  <c r="CR242" i="18"/>
  <c r="CQ242" i="18"/>
  <c r="CP242" i="18"/>
  <c r="CO242" i="18"/>
  <c r="CN242" i="18"/>
  <c r="CM242" i="18"/>
  <c r="CL242" i="18"/>
  <c r="CK242" i="18"/>
  <c r="CJ242" i="18"/>
  <c r="CI242" i="18"/>
  <c r="CH242" i="18"/>
  <c r="CG242" i="18"/>
  <c r="CF242" i="18"/>
  <c r="CE242" i="18"/>
  <c r="CD242" i="18"/>
  <c r="CC242" i="18"/>
  <c r="CB242" i="18"/>
  <c r="CA242" i="18"/>
  <c r="BZ242" i="18"/>
  <c r="BY242" i="18"/>
  <c r="BX242" i="18"/>
  <c r="BW242" i="18"/>
  <c r="BV242" i="18"/>
  <c r="BU242" i="18"/>
  <c r="BT242" i="18"/>
  <c r="BS242" i="18"/>
  <c r="BR242" i="18"/>
  <c r="BQ242" i="18"/>
  <c r="BP242" i="18"/>
  <c r="BO242" i="18"/>
  <c r="BN242" i="18"/>
  <c r="BM242" i="18"/>
  <c r="BL242" i="18"/>
  <c r="BK242" i="18"/>
  <c r="BJ242" i="18"/>
  <c r="BI242" i="18"/>
  <c r="BH242" i="18"/>
  <c r="BG242" i="18"/>
  <c r="BF242" i="18"/>
  <c r="BE242" i="18"/>
  <c r="BD242" i="18"/>
  <c r="BC242" i="18"/>
  <c r="BB242" i="18"/>
  <c r="BA242" i="18"/>
  <c r="AZ242" i="18"/>
  <c r="AY242" i="18"/>
  <c r="AX242" i="18"/>
  <c r="AW242" i="18"/>
  <c r="AV242" i="18"/>
  <c r="AU242" i="18"/>
  <c r="AT242" i="18"/>
  <c r="AS242" i="18"/>
  <c r="AR242" i="18"/>
  <c r="AQ242" i="18"/>
  <c r="AP242" i="18"/>
  <c r="AO242" i="18"/>
  <c r="AN242" i="18"/>
  <c r="AM242" i="18"/>
  <c r="AL242" i="18"/>
  <c r="AK242" i="18"/>
  <c r="AJ242" i="18"/>
  <c r="AI242" i="18"/>
  <c r="AH242" i="18"/>
  <c r="AG242" i="18"/>
  <c r="AF242" i="18"/>
  <c r="AE242" i="18"/>
  <c r="AD242" i="18"/>
  <c r="AC242" i="18"/>
  <c r="AB242" i="18"/>
  <c r="AA242" i="18"/>
  <c r="Z242" i="18"/>
  <c r="Y242" i="18"/>
  <c r="X242" i="18"/>
  <c r="W242" i="18"/>
  <c r="V242" i="18"/>
  <c r="U242" i="18"/>
  <c r="T242" i="18"/>
  <c r="S242" i="18"/>
  <c r="R242" i="18"/>
  <c r="Q242" i="18"/>
  <c r="P242" i="18"/>
  <c r="O242" i="18"/>
  <c r="N242" i="18"/>
  <c r="M242" i="18"/>
  <c r="L242" i="18"/>
  <c r="K242" i="18"/>
  <c r="J242" i="18"/>
  <c r="I242" i="18"/>
  <c r="H242" i="18"/>
  <c r="G242" i="18"/>
  <c r="F242" i="18"/>
  <c r="E242" i="18"/>
  <c r="D242" i="18"/>
  <c r="C242" i="18"/>
  <c r="B242" i="18"/>
  <c r="A242" i="18"/>
  <c r="CX241" i="18"/>
  <c r="CW241" i="18"/>
  <c r="CV241" i="18"/>
  <c r="CU241" i="18"/>
  <c r="CT241" i="18"/>
  <c r="CS241" i="18"/>
  <c r="CR241" i="18"/>
  <c r="CQ241" i="18"/>
  <c r="CP241" i="18"/>
  <c r="CO241" i="18"/>
  <c r="CN241" i="18"/>
  <c r="CM241" i="18"/>
  <c r="CL241" i="18"/>
  <c r="CK241" i="18"/>
  <c r="CJ241" i="18"/>
  <c r="CI241" i="18"/>
  <c r="CH241" i="18"/>
  <c r="CG241" i="18"/>
  <c r="CF241" i="18"/>
  <c r="CE241" i="18"/>
  <c r="CD241" i="18"/>
  <c r="CC241" i="18"/>
  <c r="CB241" i="18"/>
  <c r="CA241" i="18"/>
  <c r="BZ241" i="18"/>
  <c r="BY241" i="18"/>
  <c r="BX241" i="18"/>
  <c r="BW241" i="18"/>
  <c r="BV241" i="18"/>
  <c r="BU241" i="18"/>
  <c r="BT241" i="18"/>
  <c r="BS241" i="18"/>
  <c r="BR241" i="18"/>
  <c r="BQ241" i="18"/>
  <c r="BP241" i="18"/>
  <c r="BO241" i="18"/>
  <c r="BN241" i="18"/>
  <c r="BM241" i="18"/>
  <c r="BL241" i="18"/>
  <c r="BK241" i="18"/>
  <c r="BJ241" i="18"/>
  <c r="BI241" i="18"/>
  <c r="BH241" i="18"/>
  <c r="BG241" i="18"/>
  <c r="BF241" i="18"/>
  <c r="BE241" i="18"/>
  <c r="BD241" i="18"/>
  <c r="BC241" i="18"/>
  <c r="BB241" i="18"/>
  <c r="BA241" i="18"/>
  <c r="AZ241" i="18"/>
  <c r="AY241" i="18"/>
  <c r="AX241" i="18"/>
  <c r="AW241" i="18"/>
  <c r="AV241" i="18"/>
  <c r="AU241" i="18"/>
  <c r="AT241" i="18"/>
  <c r="AS241" i="18"/>
  <c r="AR241" i="18"/>
  <c r="AQ241" i="18"/>
  <c r="AP241" i="18"/>
  <c r="AO241" i="18"/>
  <c r="AN241" i="18"/>
  <c r="AM241" i="18"/>
  <c r="AL241" i="18"/>
  <c r="AK241" i="18"/>
  <c r="AJ241" i="18"/>
  <c r="AI241" i="18"/>
  <c r="AH241" i="18"/>
  <c r="AG241" i="18"/>
  <c r="AF241" i="18"/>
  <c r="AE241" i="18"/>
  <c r="AD241" i="18"/>
  <c r="AC241" i="18"/>
  <c r="AB241" i="18"/>
  <c r="AA241" i="18"/>
  <c r="Z241" i="18"/>
  <c r="Y241" i="18"/>
  <c r="X241" i="18"/>
  <c r="W241" i="18"/>
  <c r="V241" i="18"/>
  <c r="U241" i="18"/>
  <c r="T241" i="18"/>
  <c r="S241" i="18"/>
  <c r="R241" i="18"/>
  <c r="Q241" i="18"/>
  <c r="P241" i="18"/>
  <c r="O241" i="18"/>
  <c r="N241" i="18"/>
  <c r="M241" i="18"/>
  <c r="L241" i="18"/>
  <c r="K241" i="18"/>
  <c r="J241" i="18"/>
  <c r="I241" i="18"/>
  <c r="H241" i="18"/>
  <c r="G241" i="18"/>
  <c r="F241" i="18"/>
  <c r="E241" i="18"/>
  <c r="D241" i="18"/>
  <c r="C241" i="18"/>
  <c r="B241" i="18"/>
  <c r="A241" i="18"/>
  <c r="CJ240" i="18"/>
  <c r="CI240" i="18"/>
  <c r="CH240" i="18"/>
  <c r="CG240" i="18"/>
  <c r="CF240" i="18"/>
  <c r="CE240" i="18"/>
  <c r="CD240" i="18"/>
  <c r="CC240" i="18"/>
  <c r="CB240" i="18"/>
  <c r="CA240" i="18"/>
  <c r="BZ240" i="18"/>
  <c r="BY240" i="18"/>
  <c r="AY240" i="18"/>
  <c r="AV240" i="18"/>
  <c r="AU240" i="18"/>
  <c r="AT240" i="18"/>
  <c r="AS240" i="18"/>
  <c r="AR240" i="18"/>
  <c r="AQ240" i="18"/>
  <c r="AP240" i="18"/>
  <c r="AO240" i="18"/>
  <c r="AN240" i="18"/>
  <c r="AM240" i="18"/>
  <c r="AL240" i="18"/>
  <c r="AK240" i="18"/>
  <c r="AJ240" i="18"/>
  <c r="AI240" i="18"/>
  <c r="AH240" i="18"/>
  <c r="AG240" i="18"/>
  <c r="AF240" i="18"/>
  <c r="AE240" i="18"/>
  <c r="AD240" i="18"/>
  <c r="AC240" i="18"/>
  <c r="AB240" i="18"/>
  <c r="AA240" i="18"/>
  <c r="Z240" i="18"/>
  <c r="Y240" i="18"/>
  <c r="X240" i="18"/>
  <c r="W240" i="18"/>
  <c r="V240" i="18"/>
  <c r="U240" i="18"/>
  <c r="T240" i="18"/>
  <c r="S240" i="18"/>
  <c r="R240" i="18"/>
  <c r="Q240" i="18"/>
  <c r="P240" i="18"/>
  <c r="O240" i="18"/>
  <c r="N240" i="18"/>
  <c r="M240" i="18"/>
  <c r="L240" i="18"/>
  <c r="K240" i="18"/>
  <c r="J240" i="18"/>
  <c r="I240" i="18"/>
  <c r="H240" i="18"/>
  <c r="G240" i="18"/>
  <c r="F240" i="18"/>
  <c r="E240" i="18"/>
  <c r="D240" i="18"/>
  <c r="C240" i="18"/>
  <c r="B240" i="18"/>
  <c r="A240" i="18"/>
  <c r="CX239" i="18"/>
  <c r="CW239" i="18"/>
  <c r="CV239" i="18"/>
  <c r="CU239" i="18"/>
  <c r="CT239" i="18"/>
  <c r="CS239" i="18"/>
  <c r="CR239" i="18"/>
  <c r="CQ239" i="18"/>
  <c r="CP239" i="18"/>
  <c r="CO239" i="18"/>
  <c r="CN239" i="18"/>
  <c r="CM239" i="18"/>
  <c r="CL239" i="18"/>
  <c r="CK239" i="18"/>
  <c r="CJ239" i="18"/>
  <c r="CI239" i="18"/>
  <c r="CH239" i="18"/>
  <c r="CG239" i="18"/>
  <c r="CF239" i="18"/>
  <c r="CE239" i="18"/>
  <c r="CD239" i="18"/>
  <c r="CC239" i="18"/>
  <c r="CB239" i="18"/>
  <c r="CA239" i="18"/>
  <c r="BZ239" i="18"/>
  <c r="BY239" i="18"/>
  <c r="BX239" i="18"/>
  <c r="BW239" i="18"/>
  <c r="BV239" i="18"/>
  <c r="BU239" i="18"/>
  <c r="BT239" i="18"/>
  <c r="BS239" i="18"/>
  <c r="BR239" i="18"/>
  <c r="BQ239" i="18"/>
  <c r="BP239" i="18"/>
  <c r="BO239" i="18"/>
  <c r="BN239" i="18"/>
  <c r="BM239" i="18"/>
  <c r="BL239" i="18"/>
  <c r="BK239" i="18"/>
  <c r="BJ239" i="18"/>
  <c r="BI239" i="18"/>
  <c r="BH239" i="18"/>
  <c r="BG239" i="18"/>
  <c r="BF239" i="18"/>
  <c r="BE239" i="18"/>
  <c r="BD239" i="18"/>
  <c r="BC239" i="18"/>
  <c r="BB239" i="18"/>
  <c r="BA239" i="18"/>
  <c r="AZ239" i="18"/>
  <c r="AY239" i="18"/>
  <c r="AX239" i="18"/>
  <c r="AW239" i="18"/>
  <c r="AV239" i="18"/>
  <c r="AU239" i="18"/>
  <c r="AT239" i="18"/>
  <c r="AS239" i="18"/>
  <c r="AR239" i="18"/>
  <c r="AQ239" i="18"/>
  <c r="AP239" i="18"/>
  <c r="AO239" i="18"/>
  <c r="AN239" i="18"/>
  <c r="AM239" i="18"/>
  <c r="AL239" i="18"/>
  <c r="AK239" i="18"/>
  <c r="AJ239" i="18"/>
  <c r="AI239" i="18"/>
  <c r="AH239" i="18"/>
  <c r="AG239" i="18"/>
  <c r="AF239" i="18"/>
  <c r="AE239" i="18"/>
  <c r="AD239" i="18"/>
  <c r="AC239" i="18"/>
  <c r="AB239" i="18"/>
  <c r="AA239" i="18"/>
  <c r="Z239" i="18"/>
  <c r="Y239" i="18"/>
  <c r="X239" i="18"/>
  <c r="W239" i="18"/>
  <c r="V239" i="18"/>
  <c r="U239" i="18"/>
  <c r="T239" i="18"/>
  <c r="S239" i="18"/>
  <c r="R239" i="18"/>
  <c r="Q239" i="18"/>
  <c r="P239" i="18"/>
  <c r="O239" i="18"/>
  <c r="N239" i="18"/>
  <c r="M239" i="18"/>
  <c r="L239" i="18"/>
  <c r="K239" i="18"/>
  <c r="J239" i="18"/>
  <c r="I239" i="18"/>
  <c r="H239" i="18"/>
  <c r="G239" i="18"/>
  <c r="F239" i="18"/>
  <c r="E239" i="18"/>
  <c r="D239" i="18"/>
  <c r="C239" i="18"/>
  <c r="B239" i="18"/>
  <c r="A239" i="18"/>
  <c r="CX238" i="18"/>
  <c r="CW238" i="18"/>
  <c r="CV238" i="18"/>
  <c r="CU238" i="18"/>
  <c r="CT238" i="18"/>
  <c r="CS238" i="18"/>
  <c r="CR238" i="18"/>
  <c r="CQ238" i="18"/>
  <c r="CP238" i="18"/>
  <c r="CO238" i="18"/>
  <c r="CN238" i="18"/>
  <c r="CM238" i="18"/>
  <c r="CL238" i="18"/>
  <c r="CK238" i="18"/>
  <c r="CJ238" i="18"/>
  <c r="CI238" i="18"/>
  <c r="CH238" i="18"/>
  <c r="CG238" i="18"/>
  <c r="CF238" i="18"/>
  <c r="CE238" i="18"/>
  <c r="CD238" i="18"/>
  <c r="CC238" i="18"/>
  <c r="CB238" i="18"/>
  <c r="CA238" i="18"/>
  <c r="BZ238" i="18"/>
  <c r="BY238" i="18"/>
  <c r="BX238" i="18"/>
  <c r="BW238" i="18"/>
  <c r="BV238" i="18"/>
  <c r="BU238" i="18"/>
  <c r="BT238" i="18"/>
  <c r="BS238" i="18"/>
  <c r="BR238" i="18"/>
  <c r="BQ238" i="18"/>
  <c r="BP238" i="18"/>
  <c r="BO238" i="18"/>
  <c r="BN238" i="18"/>
  <c r="BM238" i="18"/>
  <c r="BL238" i="18"/>
  <c r="BK238" i="18"/>
  <c r="BJ238" i="18"/>
  <c r="BI238" i="18"/>
  <c r="BH238" i="18"/>
  <c r="BG238" i="18"/>
  <c r="BF238" i="18"/>
  <c r="BE238" i="18"/>
  <c r="BD238" i="18"/>
  <c r="BC238" i="18"/>
  <c r="BB238" i="18"/>
  <c r="BA238" i="18"/>
  <c r="AZ238" i="18"/>
  <c r="AY238" i="18"/>
  <c r="AX238" i="18"/>
  <c r="AW238" i="18"/>
  <c r="AV238" i="18"/>
  <c r="AU238" i="18"/>
  <c r="AT238" i="18"/>
  <c r="AS238" i="18"/>
  <c r="AR238" i="18"/>
  <c r="AQ238" i="18"/>
  <c r="AP238" i="18"/>
  <c r="AO238" i="18"/>
  <c r="AN238" i="18"/>
  <c r="AM238" i="18"/>
  <c r="AL238" i="18"/>
  <c r="AK238" i="18"/>
  <c r="AJ238" i="18"/>
  <c r="AI238" i="18"/>
  <c r="AH238" i="18"/>
  <c r="AG238" i="18"/>
  <c r="AF238" i="18"/>
  <c r="AE238" i="18"/>
  <c r="AD238" i="18"/>
  <c r="AC238" i="18"/>
  <c r="AB238" i="18"/>
  <c r="AA238" i="18"/>
  <c r="Z238" i="18"/>
  <c r="Y238" i="18"/>
  <c r="X238" i="18"/>
  <c r="W238" i="18"/>
  <c r="V238" i="18"/>
  <c r="U238" i="18"/>
  <c r="T238" i="18"/>
  <c r="S238" i="18"/>
  <c r="R238" i="18"/>
  <c r="Q238" i="18"/>
  <c r="P238" i="18"/>
  <c r="O238" i="18"/>
  <c r="N238" i="18"/>
  <c r="M238" i="18"/>
  <c r="L238" i="18"/>
  <c r="K238" i="18"/>
  <c r="J238" i="18"/>
  <c r="I238" i="18"/>
  <c r="H238" i="18"/>
  <c r="G238" i="18"/>
  <c r="F238" i="18"/>
  <c r="E238" i="18"/>
  <c r="D238" i="18"/>
  <c r="C238" i="18"/>
  <c r="B238" i="18"/>
  <c r="A238" i="18"/>
  <c r="CX236" i="18"/>
  <c r="CW236" i="18"/>
  <c r="CV236" i="18"/>
  <c r="CU236" i="18"/>
  <c r="CT236" i="18"/>
  <c r="CS236" i="18"/>
  <c r="CR236" i="18"/>
  <c r="CQ236" i="18"/>
  <c r="CP236" i="18"/>
  <c r="CO236" i="18"/>
  <c r="CN236" i="18"/>
  <c r="CM236" i="18"/>
  <c r="CL236" i="18"/>
  <c r="CK236" i="18"/>
  <c r="CJ236" i="18"/>
  <c r="CI236" i="18"/>
  <c r="CH236" i="18"/>
  <c r="CG236" i="18"/>
  <c r="CF236" i="18"/>
  <c r="CE236" i="18"/>
  <c r="CD236" i="18"/>
  <c r="CC236" i="18"/>
  <c r="CB236" i="18"/>
  <c r="CA236" i="18"/>
  <c r="BZ236" i="18"/>
  <c r="BY236" i="18"/>
  <c r="BX236" i="18"/>
  <c r="BW236" i="18"/>
  <c r="BV236" i="18"/>
  <c r="BU236" i="18"/>
  <c r="BT236" i="18"/>
  <c r="BS236" i="18"/>
  <c r="BR236" i="18"/>
  <c r="BQ236" i="18"/>
  <c r="BP236" i="18"/>
  <c r="BO236" i="18"/>
  <c r="BN236" i="18"/>
  <c r="BM236" i="18"/>
  <c r="BL236" i="18"/>
  <c r="BK236" i="18"/>
  <c r="BJ236" i="18"/>
  <c r="BI236" i="18"/>
  <c r="BH236" i="18"/>
  <c r="BG236" i="18"/>
  <c r="BF236" i="18"/>
  <c r="BE236" i="18"/>
  <c r="BD236" i="18"/>
  <c r="BC236" i="18"/>
  <c r="BB236" i="18"/>
  <c r="BA236" i="18"/>
  <c r="AZ236" i="18"/>
  <c r="AY236" i="18"/>
  <c r="AX236" i="18"/>
  <c r="AW236" i="18"/>
  <c r="AV236" i="18"/>
  <c r="AU236" i="18"/>
  <c r="AT236" i="18"/>
  <c r="AS236" i="18"/>
  <c r="AR236" i="18"/>
  <c r="AQ236" i="18"/>
  <c r="AP236" i="18"/>
  <c r="AO236" i="18"/>
  <c r="AN236" i="18"/>
  <c r="AM236" i="18"/>
  <c r="AL236" i="18"/>
  <c r="AK236" i="18"/>
  <c r="AJ236" i="18"/>
  <c r="AI236" i="18"/>
  <c r="AH236" i="18"/>
  <c r="AG236" i="18"/>
  <c r="AF236" i="18"/>
  <c r="AE236" i="18"/>
  <c r="AD236" i="18"/>
  <c r="AC236" i="18"/>
  <c r="AB236" i="18"/>
  <c r="AA236" i="18"/>
  <c r="Z236" i="18"/>
  <c r="Y236" i="18"/>
  <c r="X236" i="18"/>
  <c r="W236" i="18"/>
  <c r="V236" i="18"/>
  <c r="U236" i="18"/>
  <c r="T236" i="18"/>
  <c r="S236" i="18"/>
  <c r="R236" i="18"/>
  <c r="Q236" i="18"/>
  <c r="P236" i="18"/>
  <c r="O236" i="18"/>
  <c r="N236" i="18"/>
  <c r="M236" i="18"/>
  <c r="L236" i="18"/>
  <c r="K236" i="18"/>
  <c r="J236" i="18"/>
  <c r="I236" i="18"/>
  <c r="H236" i="18"/>
  <c r="G236" i="18"/>
  <c r="F236" i="18"/>
  <c r="E236" i="18"/>
  <c r="D236" i="18"/>
  <c r="C236" i="18"/>
  <c r="B236" i="18"/>
  <c r="A236" i="18"/>
  <c r="CH235" i="18"/>
  <c r="CG235" i="18"/>
  <c r="CF235" i="18"/>
  <c r="CE235" i="18"/>
  <c r="CD235" i="18"/>
  <c r="CC235" i="18"/>
  <c r="CB235" i="18"/>
  <c r="CA235" i="18"/>
  <c r="BZ235" i="18"/>
  <c r="BY235" i="18"/>
  <c r="AQ235" i="18"/>
  <c r="AP235" i="18"/>
  <c r="AO235" i="18"/>
  <c r="AN235" i="18"/>
  <c r="AM235" i="18"/>
  <c r="AL235" i="18"/>
  <c r="AK235" i="18"/>
  <c r="AJ235" i="18"/>
  <c r="AI235" i="18"/>
  <c r="AH235" i="18"/>
  <c r="AG235" i="18"/>
  <c r="AF235" i="18"/>
  <c r="AE235" i="18"/>
  <c r="AD235" i="18"/>
  <c r="AC235" i="18"/>
  <c r="AB235" i="18"/>
  <c r="AA235" i="18"/>
  <c r="Z235" i="18"/>
  <c r="Y235" i="18"/>
  <c r="X235" i="18"/>
  <c r="W235" i="18"/>
  <c r="V235" i="18"/>
  <c r="U235" i="18"/>
  <c r="T235" i="18"/>
  <c r="S235" i="18"/>
  <c r="R235" i="18"/>
  <c r="Q235" i="18"/>
  <c r="P235" i="18"/>
  <c r="O235" i="18"/>
  <c r="N235" i="18"/>
  <c r="M235" i="18"/>
  <c r="L235" i="18"/>
  <c r="K235" i="18"/>
  <c r="J235" i="18"/>
  <c r="I235" i="18"/>
  <c r="H235" i="18"/>
  <c r="G235" i="18"/>
  <c r="F235" i="18"/>
  <c r="E235" i="18"/>
  <c r="D235" i="18"/>
  <c r="C235" i="18"/>
  <c r="B235" i="18"/>
  <c r="A235" i="18"/>
  <c r="CH234" i="18"/>
  <c r="CG234" i="18"/>
  <c r="CF234" i="18"/>
  <c r="CE234" i="18"/>
  <c r="CD234" i="18"/>
  <c r="CC234" i="18"/>
  <c r="CB234" i="18"/>
  <c r="CA234" i="18"/>
  <c r="BZ234" i="18"/>
  <c r="BY234" i="18"/>
  <c r="AQ234" i="18"/>
  <c r="AP234" i="18"/>
  <c r="AO234" i="18"/>
  <c r="AN234" i="18"/>
  <c r="AM234" i="18"/>
  <c r="AL234" i="18"/>
  <c r="AK234" i="18"/>
  <c r="AJ234" i="18"/>
  <c r="AI234" i="18"/>
  <c r="AH234" i="18"/>
  <c r="AG234" i="18"/>
  <c r="AF234" i="18"/>
  <c r="AE234" i="18"/>
  <c r="AD234" i="18"/>
  <c r="AC234" i="18"/>
  <c r="AB234" i="18"/>
  <c r="AA234" i="18"/>
  <c r="Z234" i="18"/>
  <c r="Y234" i="18"/>
  <c r="X234" i="18"/>
  <c r="W234" i="18"/>
  <c r="V234" i="18"/>
  <c r="U234" i="18"/>
  <c r="T234" i="18"/>
  <c r="S234" i="18"/>
  <c r="R234" i="18"/>
  <c r="Q234" i="18"/>
  <c r="P234" i="18"/>
  <c r="O234" i="18"/>
  <c r="N234" i="18"/>
  <c r="M234" i="18"/>
  <c r="L234" i="18"/>
  <c r="K234" i="18"/>
  <c r="J234" i="18"/>
  <c r="I234" i="18"/>
  <c r="H234" i="18"/>
  <c r="G234" i="18"/>
  <c r="F234" i="18"/>
  <c r="E234" i="18"/>
  <c r="D234" i="18"/>
  <c r="C234" i="18"/>
  <c r="B234" i="18"/>
  <c r="A234" i="18"/>
  <c r="CH233" i="18"/>
  <c r="CG233" i="18"/>
  <c r="CF233" i="18"/>
  <c r="CE233" i="18"/>
  <c r="CD233" i="18"/>
  <c r="CC233" i="18"/>
  <c r="CB233" i="18"/>
  <c r="CA233" i="18"/>
  <c r="BZ233" i="18"/>
  <c r="BY233" i="18"/>
  <c r="AQ233" i="18"/>
  <c r="AP233" i="18"/>
  <c r="AO233" i="18"/>
  <c r="AN233" i="18"/>
  <c r="AM233" i="18"/>
  <c r="AL233" i="18"/>
  <c r="AK233" i="18"/>
  <c r="AJ233" i="18"/>
  <c r="AI233" i="18"/>
  <c r="AH233" i="18"/>
  <c r="AG233" i="18"/>
  <c r="AF233" i="18"/>
  <c r="AE233" i="18"/>
  <c r="AD233" i="18"/>
  <c r="AC233" i="18"/>
  <c r="AB233" i="18"/>
  <c r="AA233" i="18"/>
  <c r="Z233" i="18"/>
  <c r="Y233" i="18"/>
  <c r="X233" i="18"/>
  <c r="W233" i="18"/>
  <c r="V233" i="18"/>
  <c r="U233" i="18"/>
  <c r="T233" i="18"/>
  <c r="S233" i="18"/>
  <c r="R233" i="18"/>
  <c r="Q233" i="18"/>
  <c r="P233" i="18"/>
  <c r="O233" i="18"/>
  <c r="N233" i="18"/>
  <c r="M233" i="18"/>
  <c r="L233" i="18"/>
  <c r="K233" i="18"/>
  <c r="J233" i="18"/>
  <c r="I233" i="18"/>
  <c r="H233" i="18"/>
  <c r="G233" i="18"/>
  <c r="F233" i="18"/>
  <c r="E233" i="18"/>
  <c r="D233" i="18"/>
  <c r="C233" i="18"/>
  <c r="B233" i="18"/>
  <c r="A233" i="18"/>
  <c r="CX232" i="18"/>
  <c r="CW232" i="18"/>
  <c r="CV232" i="18"/>
  <c r="CU232" i="18"/>
  <c r="CT232" i="18"/>
  <c r="CS232" i="18"/>
  <c r="CR232" i="18"/>
  <c r="CQ232" i="18"/>
  <c r="CP232" i="18"/>
  <c r="CO232" i="18"/>
  <c r="CN232" i="18"/>
  <c r="CM232" i="18"/>
  <c r="CL232" i="18"/>
  <c r="CK232" i="18"/>
  <c r="CJ232" i="18"/>
  <c r="CI232" i="18"/>
  <c r="CH232" i="18"/>
  <c r="CG232" i="18"/>
  <c r="CF232" i="18"/>
  <c r="CE232" i="18"/>
  <c r="CD232" i="18"/>
  <c r="CC232" i="18"/>
  <c r="CB232" i="18"/>
  <c r="CA232" i="18"/>
  <c r="BZ232" i="18"/>
  <c r="BY232" i="18"/>
  <c r="BX232" i="18"/>
  <c r="BW232" i="18"/>
  <c r="BV232" i="18"/>
  <c r="BU232" i="18"/>
  <c r="BT232" i="18"/>
  <c r="BS232" i="18"/>
  <c r="BR232" i="18"/>
  <c r="BQ232" i="18"/>
  <c r="BP232" i="18"/>
  <c r="BO232" i="18"/>
  <c r="BN232" i="18"/>
  <c r="BM232" i="18"/>
  <c r="BL232" i="18"/>
  <c r="BK232" i="18"/>
  <c r="BJ232" i="18"/>
  <c r="BI232" i="18"/>
  <c r="BH232" i="18"/>
  <c r="BG232" i="18"/>
  <c r="BF232" i="18"/>
  <c r="BE232" i="18"/>
  <c r="BD232" i="18"/>
  <c r="BC232" i="18"/>
  <c r="BB232" i="18"/>
  <c r="BA232" i="18"/>
  <c r="AZ232" i="18"/>
  <c r="AY232" i="18"/>
  <c r="AX232" i="18"/>
  <c r="AW232" i="18"/>
  <c r="AV232" i="18"/>
  <c r="AU232" i="18"/>
  <c r="AT232" i="18"/>
  <c r="AS232" i="18"/>
  <c r="AR232" i="18"/>
  <c r="AQ232" i="18"/>
  <c r="AP232" i="18"/>
  <c r="AO232" i="18"/>
  <c r="AN232" i="18"/>
  <c r="AM232" i="18"/>
  <c r="AL232" i="18"/>
  <c r="AK232" i="18"/>
  <c r="AJ232" i="18"/>
  <c r="AI232" i="18"/>
  <c r="AH232" i="18"/>
  <c r="AG232" i="18"/>
  <c r="AF232" i="18"/>
  <c r="AE232" i="18"/>
  <c r="AD232" i="18"/>
  <c r="AC232" i="18"/>
  <c r="AB232" i="18"/>
  <c r="AA232" i="18"/>
  <c r="Z232" i="18"/>
  <c r="Y232" i="18"/>
  <c r="X232" i="18"/>
  <c r="W232" i="18"/>
  <c r="V232" i="18"/>
  <c r="U232" i="18"/>
  <c r="T232" i="18"/>
  <c r="S232" i="18"/>
  <c r="R232" i="18"/>
  <c r="Q232" i="18"/>
  <c r="P232" i="18"/>
  <c r="O232" i="18"/>
  <c r="N232" i="18"/>
  <c r="M232" i="18"/>
  <c r="L232" i="18"/>
  <c r="K232" i="18"/>
  <c r="J232" i="18"/>
  <c r="I232" i="18"/>
  <c r="H232" i="18"/>
  <c r="G232" i="18"/>
  <c r="F232" i="18"/>
  <c r="E232" i="18"/>
  <c r="D232" i="18"/>
  <c r="C232" i="18"/>
  <c r="B232" i="18"/>
  <c r="A232" i="18"/>
  <c r="CX231" i="18"/>
  <c r="CW231" i="18"/>
  <c r="CV231" i="18"/>
  <c r="CU231" i="18"/>
  <c r="CT231" i="18"/>
  <c r="CS231" i="18"/>
  <c r="CR231" i="18"/>
  <c r="CQ231" i="18"/>
  <c r="CP231" i="18"/>
  <c r="CO231" i="18"/>
  <c r="CN231" i="18"/>
  <c r="CM231" i="18"/>
  <c r="CL231" i="18"/>
  <c r="CK231" i="18"/>
  <c r="CJ231" i="18"/>
  <c r="CI231" i="18"/>
  <c r="CH231" i="18"/>
  <c r="CG231" i="18"/>
  <c r="CF231" i="18"/>
  <c r="CE231" i="18"/>
  <c r="CD231" i="18"/>
  <c r="CC231" i="18"/>
  <c r="CB231" i="18"/>
  <c r="CA231" i="18"/>
  <c r="BZ231" i="18"/>
  <c r="BY231" i="18"/>
  <c r="BX231" i="18"/>
  <c r="BW231" i="18"/>
  <c r="BV231" i="18"/>
  <c r="BU231" i="18"/>
  <c r="BT231" i="18"/>
  <c r="BS231" i="18"/>
  <c r="BR231" i="18"/>
  <c r="BQ231" i="18"/>
  <c r="BP231" i="18"/>
  <c r="BO231" i="18"/>
  <c r="BN231" i="18"/>
  <c r="BM231" i="18"/>
  <c r="BL231" i="18"/>
  <c r="BK231" i="18"/>
  <c r="BJ231" i="18"/>
  <c r="BI231" i="18"/>
  <c r="BH231" i="18"/>
  <c r="BG231" i="18"/>
  <c r="BF231" i="18"/>
  <c r="BE231" i="18"/>
  <c r="BD231" i="18"/>
  <c r="BC231" i="18"/>
  <c r="BB231" i="18"/>
  <c r="BA231" i="18"/>
  <c r="AZ231" i="18"/>
  <c r="AY231" i="18"/>
  <c r="AX231" i="18"/>
  <c r="AW231" i="18"/>
  <c r="AV231" i="18"/>
  <c r="AU231" i="18"/>
  <c r="AT231" i="18"/>
  <c r="AS231" i="18"/>
  <c r="AR231" i="18"/>
  <c r="AQ231" i="18"/>
  <c r="AP231" i="18"/>
  <c r="AO231" i="18"/>
  <c r="AN231" i="18"/>
  <c r="AM231" i="18"/>
  <c r="AL231" i="18"/>
  <c r="AK231" i="18"/>
  <c r="AJ231" i="18"/>
  <c r="AI231" i="18"/>
  <c r="AH231" i="18"/>
  <c r="AG231" i="18"/>
  <c r="AF231" i="18"/>
  <c r="AE231" i="18"/>
  <c r="AD231" i="18"/>
  <c r="AC231" i="18"/>
  <c r="AB231" i="18"/>
  <c r="AA231" i="18"/>
  <c r="Z231" i="18"/>
  <c r="Y231" i="18"/>
  <c r="X231" i="18"/>
  <c r="W231" i="18"/>
  <c r="V231" i="18"/>
  <c r="U231" i="18"/>
  <c r="T231" i="18"/>
  <c r="S231" i="18"/>
  <c r="R231" i="18"/>
  <c r="Q231" i="18"/>
  <c r="P231" i="18"/>
  <c r="O231" i="18"/>
  <c r="N231" i="18"/>
  <c r="M231" i="18"/>
  <c r="L231" i="18"/>
  <c r="K231" i="18"/>
  <c r="J231" i="18"/>
  <c r="I231" i="18"/>
  <c r="H231" i="18"/>
  <c r="G231" i="18"/>
  <c r="F231" i="18"/>
  <c r="E231" i="18"/>
  <c r="D231" i="18"/>
  <c r="C231" i="18"/>
  <c r="B231" i="18"/>
  <c r="A231" i="18"/>
  <c r="CX230" i="18"/>
  <c r="CW230" i="18"/>
  <c r="CV230" i="18"/>
  <c r="CU230" i="18"/>
  <c r="CT230" i="18"/>
  <c r="CS230" i="18"/>
  <c r="CR230" i="18"/>
  <c r="CQ230" i="18"/>
  <c r="CP230" i="18"/>
  <c r="CO230" i="18"/>
  <c r="CN230" i="18"/>
  <c r="CM230" i="18"/>
  <c r="CL230" i="18"/>
  <c r="CK230" i="18"/>
  <c r="CJ230" i="18"/>
  <c r="CI230" i="18"/>
  <c r="CH230" i="18"/>
  <c r="CG230" i="18"/>
  <c r="CF230" i="18"/>
  <c r="CE230" i="18"/>
  <c r="CD230" i="18"/>
  <c r="CC230" i="18"/>
  <c r="CB230" i="18"/>
  <c r="CA230" i="18"/>
  <c r="BZ230" i="18"/>
  <c r="BY230" i="18"/>
  <c r="BX230" i="18"/>
  <c r="BW230" i="18"/>
  <c r="BV230" i="18"/>
  <c r="BU230" i="18"/>
  <c r="BT230" i="18"/>
  <c r="BS230" i="18"/>
  <c r="BR230" i="18"/>
  <c r="BQ230" i="18"/>
  <c r="BP230" i="18"/>
  <c r="BO230" i="18"/>
  <c r="BN230" i="18"/>
  <c r="BM230" i="18"/>
  <c r="BL230" i="18"/>
  <c r="BK230" i="18"/>
  <c r="BJ230" i="18"/>
  <c r="BI230" i="18"/>
  <c r="BH230" i="18"/>
  <c r="BG230" i="18"/>
  <c r="BF230" i="18"/>
  <c r="BE230" i="18"/>
  <c r="BD230" i="18"/>
  <c r="BC230" i="18"/>
  <c r="BB230" i="18"/>
  <c r="BA230" i="18"/>
  <c r="AZ230" i="18"/>
  <c r="AY230" i="18"/>
  <c r="AX230" i="18"/>
  <c r="AW230" i="18"/>
  <c r="AV230" i="18"/>
  <c r="AU230" i="18"/>
  <c r="AT230" i="18"/>
  <c r="AS230" i="18"/>
  <c r="AR230" i="18"/>
  <c r="AQ230" i="18"/>
  <c r="AP230" i="18"/>
  <c r="AO230" i="18"/>
  <c r="AN230" i="18"/>
  <c r="AM230" i="18"/>
  <c r="AL230" i="18"/>
  <c r="AK230" i="18"/>
  <c r="AJ230" i="18"/>
  <c r="AI230" i="18"/>
  <c r="AH230" i="18"/>
  <c r="AG230" i="18"/>
  <c r="AF230" i="18"/>
  <c r="AE230" i="18"/>
  <c r="AD230" i="18"/>
  <c r="AC230" i="18"/>
  <c r="AB230" i="18"/>
  <c r="AA230" i="18"/>
  <c r="Z230" i="18"/>
  <c r="Y230" i="18"/>
  <c r="X230" i="18"/>
  <c r="W230" i="18"/>
  <c r="V230" i="18"/>
  <c r="U230" i="18"/>
  <c r="T230" i="18"/>
  <c r="S230" i="18"/>
  <c r="R230" i="18"/>
  <c r="Q230" i="18"/>
  <c r="P230" i="18"/>
  <c r="O230" i="18"/>
  <c r="N230" i="18"/>
  <c r="M230" i="18"/>
  <c r="L230" i="18"/>
  <c r="K230" i="18"/>
  <c r="J230" i="18"/>
  <c r="I230" i="18"/>
  <c r="H230" i="18"/>
  <c r="G230" i="18"/>
  <c r="F230" i="18"/>
  <c r="E230" i="18"/>
  <c r="D230" i="18"/>
  <c r="C230" i="18"/>
  <c r="B230" i="18"/>
  <c r="A230" i="18"/>
  <c r="CX229" i="18"/>
  <c r="CW229" i="18"/>
  <c r="CV229" i="18"/>
  <c r="CU229" i="18"/>
  <c r="CT229" i="18"/>
  <c r="CS229" i="18"/>
  <c r="CR229" i="18"/>
  <c r="CQ229" i="18"/>
  <c r="CP229" i="18"/>
  <c r="CO229" i="18"/>
  <c r="CN229" i="18"/>
  <c r="CM229" i="18"/>
  <c r="CL229" i="18"/>
  <c r="CK229" i="18"/>
  <c r="CJ229" i="18"/>
  <c r="CI229" i="18"/>
  <c r="CH229" i="18"/>
  <c r="CG229" i="18"/>
  <c r="CF229" i="18"/>
  <c r="CE229" i="18"/>
  <c r="CD229" i="18"/>
  <c r="CC229" i="18"/>
  <c r="CB229" i="18"/>
  <c r="CA229" i="18"/>
  <c r="BZ229" i="18"/>
  <c r="BY229" i="18"/>
  <c r="BX229" i="18"/>
  <c r="BW229" i="18"/>
  <c r="BV229" i="18"/>
  <c r="BU229" i="18"/>
  <c r="BT229" i="18"/>
  <c r="BS229" i="18"/>
  <c r="BR229" i="18"/>
  <c r="BQ229" i="18"/>
  <c r="BP229" i="18"/>
  <c r="BO229" i="18"/>
  <c r="BN229" i="18"/>
  <c r="BM229" i="18"/>
  <c r="BL229" i="18"/>
  <c r="BK229" i="18"/>
  <c r="BJ229" i="18"/>
  <c r="BI229" i="18"/>
  <c r="BH229" i="18"/>
  <c r="BG229" i="18"/>
  <c r="BF229" i="18"/>
  <c r="BE229" i="18"/>
  <c r="BD229" i="18"/>
  <c r="BC229" i="18"/>
  <c r="BB229" i="18"/>
  <c r="BA229" i="18"/>
  <c r="AZ229" i="18"/>
  <c r="AY229" i="18"/>
  <c r="AX229" i="18"/>
  <c r="AW229" i="18"/>
  <c r="AV229" i="18"/>
  <c r="AU229" i="18"/>
  <c r="AT229" i="18"/>
  <c r="AS229" i="18"/>
  <c r="AR229" i="18"/>
  <c r="AQ229" i="18"/>
  <c r="AP229" i="18"/>
  <c r="AO229" i="18"/>
  <c r="AN229" i="18"/>
  <c r="AM229" i="18"/>
  <c r="AK229" i="18"/>
  <c r="AJ229" i="18"/>
  <c r="AI229" i="18"/>
  <c r="AH229" i="18"/>
  <c r="AG229" i="18"/>
  <c r="AF229" i="18"/>
  <c r="AE229" i="18"/>
  <c r="AD229" i="18"/>
  <c r="AC229" i="18"/>
  <c r="AB229" i="18"/>
  <c r="AA229" i="18"/>
  <c r="Z229" i="18"/>
  <c r="Y229" i="18"/>
  <c r="X229" i="18"/>
  <c r="W229" i="18"/>
  <c r="V229" i="18"/>
  <c r="U229" i="18"/>
  <c r="T229" i="18"/>
  <c r="S229" i="18"/>
  <c r="R229" i="18"/>
  <c r="Q229" i="18"/>
  <c r="P229" i="18"/>
  <c r="O229" i="18"/>
  <c r="N229" i="18"/>
  <c r="M229" i="18"/>
  <c r="L229" i="18"/>
  <c r="K229" i="18"/>
  <c r="J229" i="18"/>
  <c r="I229" i="18"/>
  <c r="H229" i="18"/>
  <c r="G229" i="18"/>
  <c r="F229" i="18"/>
  <c r="E229" i="18"/>
  <c r="D229" i="18"/>
  <c r="C229" i="18"/>
  <c r="B229" i="18"/>
  <c r="A229" i="18"/>
  <c r="CX228" i="18"/>
  <c r="CW228" i="18"/>
  <c r="CV228" i="18"/>
  <c r="CU228" i="18"/>
  <c r="CT228" i="18"/>
  <c r="CS228" i="18"/>
  <c r="CR228" i="18"/>
  <c r="CQ228" i="18"/>
  <c r="CP228" i="18"/>
  <c r="CO228" i="18"/>
  <c r="CN228" i="18"/>
  <c r="CM228" i="18"/>
  <c r="CL228" i="18"/>
  <c r="CK228" i="18"/>
  <c r="CJ228" i="18"/>
  <c r="CI228" i="18"/>
  <c r="CH228" i="18"/>
  <c r="CG228" i="18"/>
  <c r="CF228" i="18"/>
  <c r="CE228" i="18"/>
  <c r="CD228" i="18"/>
  <c r="CC228" i="18"/>
  <c r="CB228" i="18"/>
  <c r="CA228" i="18"/>
  <c r="BZ228" i="18"/>
  <c r="BY228" i="18"/>
  <c r="BX228" i="18"/>
  <c r="BW228" i="18"/>
  <c r="BV228" i="18"/>
  <c r="BU228" i="18"/>
  <c r="BT228" i="18"/>
  <c r="BS228" i="18"/>
  <c r="BR228" i="18"/>
  <c r="BQ228" i="18"/>
  <c r="BP228" i="18"/>
  <c r="BO228" i="18"/>
  <c r="BN228" i="18"/>
  <c r="BM228" i="18"/>
  <c r="BL228" i="18"/>
  <c r="BK228" i="18"/>
  <c r="BJ228" i="18"/>
  <c r="BI228" i="18"/>
  <c r="BH228" i="18"/>
  <c r="BG228" i="18"/>
  <c r="BF228" i="18"/>
  <c r="BE228" i="18"/>
  <c r="BD228" i="18"/>
  <c r="BC228" i="18"/>
  <c r="BB228" i="18"/>
  <c r="BA228" i="18"/>
  <c r="AZ228" i="18"/>
  <c r="AY228" i="18"/>
  <c r="AX228" i="18"/>
  <c r="AW228" i="18"/>
  <c r="AV228" i="18"/>
  <c r="AU228" i="18"/>
  <c r="AT228" i="18"/>
  <c r="AS228" i="18"/>
  <c r="AR228" i="18"/>
  <c r="AQ228" i="18"/>
  <c r="AP228" i="18"/>
  <c r="AO228" i="18"/>
  <c r="AN228" i="18"/>
  <c r="AM228" i="18"/>
  <c r="AK228" i="18"/>
  <c r="AJ228" i="18"/>
  <c r="AI228" i="18"/>
  <c r="AH228" i="18"/>
  <c r="AG228" i="18"/>
  <c r="AF228" i="18"/>
  <c r="AE228" i="18"/>
  <c r="AD228" i="18"/>
  <c r="AC228" i="18"/>
  <c r="AB228" i="18"/>
  <c r="AA228" i="18"/>
  <c r="Z228" i="18"/>
  <c r="Y228" i="18"/>
  <c r="X228" i="18"/>
  <c r="W228" i="18"/>
  <c r="V228" i="18"/>
  <c r="U228" i="18"/>
  <c r="T228" i="18"/>
  <c r="S228" i="18"/>
  <c r="R228" i="18"/>
  <c r="Q228" i="18"/>
  <c r="P228" i="18"/>
  <c r="O228" i="18"/>
  <c r="N228" i="18"/>
  <c r="M228" i="18"/>
  <c r="L228" i="18"/>
  <c r="K228" i="18"/>
  <c r="J228" i="18"/>
  <c r="I228" i="18"/>
  <c r="H228" i="18"/>
  <c r="G228" i="18"/>
  <c r="F228" i="18"/>
  <c r="E228" i="18"/>
  <c r="D228" i="18"/>
  <c r="C228" i="18"/>
  <c r="B228" i="18"/>
  <c r="A228" i="18"/>
  <c r="CX227" i="18"/>
  <c r="CW227" i="18"/>
  <c r="CV227" i="18"/>
  <c r="CU227" i="18"/>
  <c r="CT227" i="18"/>
  <c r="CS227" i="18"/>
  <c r="CR227" i="18"/>
  <c r="CQ227" i="18"/>
  <c r="CP227" i="18"/>
  <c r="CO227" i="18"/>
  <c r="CN227" i="18"/>
  <c r="CM227" i="18"/>
  <c r="CL227" i="18"/>
  <c r="CK227" i="18"/>
  <c r="CJ227" i="18"/>
  <c r="CI227" i="18"/>
  <c r="CH227" i="18"/>
  <c r="CG227" i="18"/>
  <c r="CF227" i="18"/>
  <c r="CE227" i="18"/>
  <c r="CD227" i="18"/>
  <c r="CC227" i="18"/>
  <c r="CB227" i="18"/>
  <c r="CA227" i="18"/>
  <c r="BZ227" i="18"/>
  <c r="BY227" i="18"/>
  <c r="BX227" i="18"/>
  <c r="BW227" i="18"/>
  <c r="BV227" i="18"/>
  <c r="BU227" i="18"/>
  <c r="BT227" i="18"/>
  <c r="BS227" i="18"/>
  <c r="BR227" i="18"/>
  <c r="BQ227" i="18"/>
  <c r="BP227" i="18"/>
  <c r="BO227" i="18"/>
  <c r="BN227" i="18"/>
  <c r="BM227" i="18"/>
  <c r="BL227" i="18"/>
  <c r="BK227" i="18"/>
  <c r="BJ227" i="18"/>
  <c r="BI227" i="18"/>
  <c r="BH227" i="18"/>
  <c r="BG227" i="18"/>
  <c r="BF227" i="18"/>
  <c r="BE227" i="18"/>
  <c r="BD227" i="18"/>
  <c r="BC227" i="18"/>
  <c r="BB227" i="18"/>
  <c r="BA227" i="18"/>
  <c r="AZ227" i="18"/>
  <c r="AY227" i="18"/>
  <c r="AX227" i="18"/>
  <c r="AW227" i="18"/>
  <c r="AV227" i="18"/>
  <c r="AU227" i="18"/>
  <c r="AT227" i="18"/>
  <c r="AS227" i="18"/>
  <c r="AR227" i="18"/>
  <c r="AQ227" i="18"/>
  <c r="AP227" i="18"/>
  <c r="AO227" i="18"/>
  <c r="AN227" i="18"/>
  <c r="AM227" i="18"/>
  <c r="AL227" i="18"/>
  <c r="AK227" i="18"/>
  <c r="AJ227" i="18"/>
  <c r="AI227" i="18"/>
  <c r="AH227" i="18"/>
  <c r="AG227" i="18"/>
  <c r="AF227" i="18"/>
  <c r="AE227" i="18"/>
  <c r="AD227" i="18"/>
  <c r="AC227" i="18"/>
  <c r="AB227" i="18"/>
  <c r="AA227" i="18"/>
  <c r="Z227" i="18"/>
  <c r="Y227" i="18"/>
  <c r="X227" i="18"/>
  <c r="W227" i="18"/>
  <c r="V227" i="18"/>
  <c r="U227" i="18"/>
  <c r="T227" i="18"/>
  <c r="S227" i="18"/>
  <c r="R227" i="18"/>
  <c r="Q227" i="18"/>
  <c r="P227" i="18"/>
  <c r="O227" i="18"/>
  <c r="N227" i="18"/>
  <c r="M227" i="18"/>
  <c r="L227" i="18"/>
  <c r="K227" i="18"/>
  <c r="J227" i="18"/>
  <c r="I227" i="18"/>
  <c r="H227" i="18"/>
  <c r="G227" i="18"/>
  <c r="F227" i="18"/>
  <c r="E227" i="18"/>
  <c r="D227" i="18"/>
  <c r="C227" i="18"/>
  <c r="B227" i="18"/>
  <c r="A227" i="18"/>
  <c r="CX226" i="18"/>
  <c r="CW226" i="18"/>
  <c r="CV226" i="18"/>
  <c r="CU226" i="18"/>
  <c r="CT226" i="18"/>
  <c r="CS226" i="18"/>
  <c r="CR226" i="18"/>
  <c r="CQ226" i="18"/>
  <c r="CP226" i="18"/>
  <c r="CO226" i="18"/>
  <c r="CN226" i="18"/>
  <c r="CM226" i="18"/>
  <c r="CL226" i="18"/>
  <c r="CK226" i="18"/>
  <c r="CJ226" i="18"/>
  <c r="CI226" i="18"/>
  <c r="CH226" i="18"/>
  <c r="CG226" i="18"/>
  <c r="CF226" i="18"/>
  <c r="CE226" i="18"/>
  <c r="CD226" i="18"/>
  <c r="CC226" i="18"/>
  <c r="CB226" i="18"/>
  <c r="CA226" i="18"/>
  <c r="BZ226" i="18"/>
  <c r="BY226" i="18"/>
  <c r="BX226" i="18"/>
  <c r="BW226" i="18"/>
  <c r="BV226" i="18"/>
  <c r="BU226" i="18"/>
  <c r="BT226" i="18"/>
  <c r="BS226" i="18"/>
  <c r="BR226" i="18"/>
  <c r="BQ226" i="18"/>
  <c r="BP226" i="18"/>
  <c r="BO226" i="18"/>
  <c r="BN226" i="18"/>
  <c r="BM226" i="18"/>
  <c r="BL226" i="18"/>
  <c r="BK226" i="18"/>
  <c r="BJ226" i="18"/>
  <c r="BI226" i="18"/>
  <c r="BH226" i="18"/>
  <c r="BG226" i="18"/>
  <c r="BF226" i="18"/>
  <c r="BE226" i="18"/>
  <c r="BD226" i="18"/>
  <c r="BC226" i="18"/>
  <c r="BB226" i="18"/>
  <c r="BA226" i="18"/>
  <c r="AZ226" i="18"/>
  <c r="AY226" i="18"/>
  <c r="AX226" i="18"/>
  <c r="AW226" i="18"/>
  <c r="AV226" i="18"/>
  <c r="AU226" i="18"/>
  <c r="AT226" i="18"/>
  <c r="AS226" i="18"/>
  <c r="AR226" i="18"/>
  <c r="AQ226" i="18"/>
  <c r="AP226" i="18"/>
  <c r="AO226" i="18"/>
  <c r="AN226" i="18"/>
  <c r="AM226" i="18"/>
  <c r="AL226" i="18"/>
  <c r="AK226" i="18"/>
  <c r="AJ226" i="18"/>
  <c r="AI226" i="18"/>
  <c r="AH226" i="18"/>
  <c r="AG226" i="18"/>
  <c r="AF226" i="18"/>
  <c r="AE226" i="18"/>
  <c r="AD226" i="18"/>
  <c r="AC226" i="18"/>
  <c r="AB226" i="18"/>
  <c r="AA226" i="18"/>
  <c r="Z226" i="18"/>
  <c r="Y226" i="18"/>
  <c r="X226" i="18"/>
  <c r="W226" i="18"/>
  <c r="V226" i="18"/>
  <c r="U226" i="18"/>
  <c r="T226" i="18"/>
  <c r="S226" i="18"/>
  <c r="R226" i="18"/>
  <c r="Q226" i="18"/>
  <c r="P226" i="18"/>
  <c r="O226" i="18"/>
  <c r="N226" i="18"/>
  <c r="M226" i="18"/>
  <c r="L226" i="18"/>
  <c r="K226" i="18"/>
  <c r="J226" i="18"/>
  <c r="I226" i="18"/>
  <c r="H226" i="18"/>
  <c r="G226" i="18"/>
  <c r="F226" i="18"/>
  <c r="E226" i="18"/>
  <c r="D226" i="18"/>
  <c r="C226" i="18"/>
  <c r="B226" i="18"/>
  <c r="A226" i="18"/>
  <c r="CX225" i="18"/>
  <c r="CW225" i="18"/>
  <c r="CV225" i="18"/>
  <c r="CU225" i="18"/>
  <c r="CT225" i="18"/>
  <c r="CS225" i="18"/>
  <c r="CR225" i="18"/>
  <c r="CQ225" i="18"/>
  <c r="CP225" i="18"/>
  <c r="CO225" i="18"/>
  <c r="CN225" i="18"/>
  <c r="CM225" i="18"/>
  <c r="CL225" i="18"/>
  <c r="CK225" i="18"/>
  <c r="CJ225" i="18"/>
  <c r="CI225" i="18"/>
  <c r="CH225" i="18"/>
  <c r="CG225" i="18"/>
  <c r="CF225" i="18"/>
  <c r="CE225" i="18"/>
  <c r="CD225" i="18"/>
  <c r="CC225" i="18"/>
  <c r="CB225" i="18"/>
  <c r="CA225" i="18"/>
  <c r="BZ225" i="18"/>
  <c r="BY225" i="18"/>
  <c r="BX225" i="18"/>
  <c r="BW225" i="18"/>
  <c r="BV225" i="18"/>
  <c r="BU225" i="18"/>
  <c r="BT225" i="18"/>
  <c r="BS225" i="18"/>
  <c r="BR225" i="18"/>
  <c r="BQ225" i="18"/>
  <c r="BP225" i="18"/>
  <c r="BO225" i="18"/>
  <c r="BN225" i="18"/>
  <c r="BM225" i="18"/>
  <c r="BL225" i="18"/>
  <c r="BK225" i="18"/>
  <c r="BJ225" i="18"/>
  <c r="BI225" i="18"/>
  <c r="BH225" i="18"/>
  <c r="BG225" i="18"/>
  <c r="BF225" i="18"/>
  <c r="BE225" i="18"/>
  <c r="BD225" i="18"/>
  <c r="BC225" i="18"/>
  <c r="BB225" i="18"/>
  <c r="BA225" i="18"/>
  <c r="AZ225" i="18"/>
  <c r="AY225" i="18"/>
  <c r="AX225" i="18"/>
  <c r="AW225" i="18"/>
  <c r="AV225" i="18"/>
  <c r="AU225" i="18"/>
  <c r="AT225" i="18"/>
  <c r="AS225" i="18"/>
  <c r="AR225" i="18"/>
  <c r="AQ225" i="18"/>
  <c r="AP225" i="18"/>
  <c r="AO225" i="18"/>
  <c r="AN225" i="18"/>
  <c r="AM225" i="18"/>
  <c r="AL225" i="18"/>
  <c r="AK225" i="18"/>
  <c r="AJ225" i="18"/>
  <c r="AI225" i="18"/>
  <c r="AH225" i="18"/>
  <c r="AG225" i="18"/>
  <c r="AF225" i="18"/>
  <c r="AE225" i="18"/>
  <c r="AD225" i="18"/>
  <c r="AC225" i="18"/>
  <c r="AB225" i="18"/>
  <c r="AA225" i="18"/>
  <c r="Z225" i="18"/>
  <c r="Y225" i="18"/>
  <c r="X225" i="18"/>
  <c r="W225" i="18"/>
  <c r="V225" i="18"/>
  <c r="U225" i="18"/>
  <c r="T225" i="18"/>
  <c r="S225" i="18"/>
  <c r="R225" i="18"/>
  <c r="Q225" i="18"/>
  <c r="P225" i="18"/>
  <c r="O225" i="18"/>
  <c r="N225" i="18"/>
  <c r="M225" i="18"/>
  <c r="L225" i="18"/>
  <c r="K225" i="18"/>
  <c r="J225" i="18"/>
  <c r="I225" i="18"/>
  <c r="H225" i="18"/>
  <c r="G225" i="18"/>
  <c r="F225" i="18"/>
  <c r="E225" i="18"/>
  <c r="D225" i="18"/>
  <c r="C225" i="18"/>
  <c r="B225" i="18"/>
  <c r="A225" i="18"/>
  <c r="CX224" i="18"/>
  <c r="CW224" i="18"/>
  <c r="CV224" i="18"/>
  <c r="CU224" i="18"/>
  <c r="CT224" i="18"/>
  <c r="CS224" i="18"/>
  <c r="CR224" i="18"/>
  <c r="CQ224" i="18"/>
  <c r="CP224" i="18"/>
  <c r="CO224" i="18"/>
  <c r="CN224" i="18"/>
  <c r="CM224" i="18"/>
  <c r="CL224" i="18"/>
  <c r="CK224" i="18"/>
  <c r="CJ224" i="18"/>
  <c r="CI224" i="18"/>
  <c r="CH224" i="18"/>
  <c r="CG224" i="18"/>
  <c r="CF224" i="18"/>
  <c r="CE224" i="18"/>
  <c r="CD224" i="18"/>
  <c r="CC224" i="18"/>
  <c r="CB224" i="18"/>
  <c r="CA224" i="18"/>
  <c r="BZ224" i="18"/>
  <c r="BY224" i="18"/>
  <c r="BX224" i="18"/>
  <c r="BW224" i="18"/>
  <c r="BV224" i="18"/>
  <c r="BU224" i="18"/>
  <c r="BT224" i="18"/>
  <c r="BS224" i="18"/>
  <c r="BR224" i="18"/>
  <c r="BQ224" i="18"/>
  <c r="BP224" i="18"/>
  <c r="BO224" i="18"/>
  <c r="BN224" i="18"/>
  <c r="BM224" i="18"/>
  <c r="BL224" i="18"/>
  <c r="BK224" i="18"/>
  <c r="BJ224" i="18"/>
  <c r="BI224" i="18"/>
  <c r="BH224" i="18"/>
  <c r="BG224" i="18"/>
  <c r="BF224" i="18"/>
  <c r="BE224" i="18"/>
  <c r="BD224" i="18"/>
  <c r="BC224" i="18"/>
  <c r="BB224" i="18"/>
  <c r="BA224" i="18"/>
  <c r="AZ224" i="18"/>
  <c r="AY224" i="18"/>
  <c r="AX224" i="18"/>
  <c r="AW224" i="18"/>
  <c r="AV224" i="18"/>
  <c r="AU224" i="18"/>
  <c r="AT224" i="18"/>
  <c r="AS224" i="18"/>
  <c r="AR224" i="18"/>
  <c r="AQ224" i="18"/>
  <c r="AP224" i="18"/>
  <c r="AO224" i="18"/>
  <c r="AN224" i="18"/>
  <c r="AM224" i="18"/>
  <c r="AL224" i="18"/>
  <c r="AK224" i="18"/>
  <c r="AJ224" i="18"/>
  <c r="AI224" i="18"/>
  <c r="AH224" i="18"/>
  <c r="AG224" i="18"/>
  <c r="AF224" i="18"/>
  <c r="AE224" i="18"/>
  <c r="AD224" i="18"/>
  <c r="AC224" i="18"/>
  <c r="AB224" i="18"/>
  <c r="AA224" i="18"/>
  <c r="Z224" i="18"/>
  <c r="Y224" i="18"/>
  <c r="X224" i="18"/>
  <c r="W224" i="18"/>
  <c r="V224" i="18"/>
  <c r="U224" i="18"/>
  <c r="T224" i="18"/>
  <c r="S224" i="18"/>
  <c r="R224" i="18"/>
  <c r="Q224" i="18"/>
  <c r="P224" i="18"/>
  <c r="O224" i="18"/>
  <c r="N224" i="18"/>
  <c r="M224" i="18"/>
  <c r="L224" i="18"/>
  <c r="K224" i="18"/>
  <c r="J224" i="18"/>
  <c r="I224" i="18"/>
  <c r="H224" i="18"/>
  <c r="G224" i="18"/>
  <c r="F224" i="18"/>
  <c r="E224" i="18"/>
  <c r="D224" i="18"/>
  <c r="C224" i="18"/>
  <c r="B224" i="18"/>
  <c r="A224" i="18"/>
  <c r="CX223" i="18"/>
  <c r="CW223" i="18"/>
  <c r="CV223" i="18"/>
  <c r="CU223" i="18"/>
  <c r="CT223" i="18"/>
  <c r="CS223" i="18"/>
  <c r="CR223" i="18"/>
  <c r="CQ223" i="18"/>
  <c r="CP223" i="18"/>
  <c r="CO223" i="18"/>
  <c r="CN223" i="18"/>
  <c r="CM223" i="18"/>
  <c r="CL223" i="18"/>
  <c r="CK223" i="18"/>
  <c r="CJ223" i="18"/>
  <c r="CI223" i="18"/>
  <c r="CH223" i="18"/>
  <c r="CG223" i="18"/>
  <c r="CF223" i="18"/>
  <c r="CE223" i="18"/>
  <c r="CD223" i="18"/>
  <c r="CC223" i="18"/>
  <c r="CB223" i="18"/>
  <c r="CA223" i="18"/>
  <c r="BZ223" i="18"/>
  <c r="BY223" i="18"/>
  <c r="BX223" i="18"/>
  <c r="BW223" i="18"/>
  <c r="BV223" i="18"/>
  <c r="BU223" i="18"/>
  <c r="BT223" i="18"/>
  <c r="BS223" i="18"/>
  <c r="BR223" i="18"/>
  <c r="BQ223" i="18"/>
  <c r="BP223" i="18"/>
  <c r="BO223" i="18"/>
  <c r="BN223" i="18"/>
  <c r="BM223" i="18"/>
  <c r="BL223" i="18"/>
  <c r="BK223" i="18"/>
  <c r="BJ223" i="18"/>
  <c r="BI223" i="18"/>
  <c r="BH223" i="18"/>
  <c r="BG223" i="18"/>
  <c r="BF223" i="18"/>
  <c r="BE223" i="18"/>
  <c r="BD223" i="18"/>
  <c r="BC223" i="18"/>
  <c r="BB223" i="18"/>
  <c r="BA223" i="18"/>
  <c r="AZ223" i="18"/>
  <c r="AY223" i="18"/>
  <c r="AX223" i="18"/>
  <c r="AW223" i="18"/>
  <c r="AV223" i="18"/>
  <c r="AU223" i="18"/>
  <c r="AT223" i="18"/>
  <c r="AS223" i="18"/>
  <c r="AR223" i="18"/>
  <c r="AQ223" i="18"/>
  <c r="AP223" i="18"/>
  <c r="AO223" i="18"/>
  <c r="AN223" i="18"/>
  <c r="AM223" i="18"/>
  <c r="AL223" i="18"/>
  <c r="AK223" i="18"/>
  <c r="AJ223" i="18"/>
  <c r="AI223" i="18"/>
  <c r="AH223" i="18"/>
  <c r="AG223" i="18"/>
  <c r="AF223" i="18"/>
  <c r="AE223" i="18"/>
  <c r="AD223" i="18"/>
  <c r="AC223" i="18"/>
  <c r="AB223" i="18"/>
  <c r="AA223" i="18"/>
  <c r="Z223" i="18"/>
  <c r="Y223" i="18"/>
  <c r="X223" i="18"/>
  <c r="W223" i="18"/>
  <c r="V223" i="18"/>
  <c r="U223" i="18"/>
  <c r="T223" i="18"/>
  <c r="S223" i="18"/>
  <c r="R223" i="18"/>
  <c r="Q223" i="18"/>
  <c r="P223" i="18"/>
  <c r="O223" i="18"/>
  <c r="N223" i="18"/>
  <c r="M223" i="18"/>
  <c r="L223" i="18"/>
  <c r="K223" i="18"/>
  <c r="J223" i="18"/>
  <c r="I223" i="18"/>
  <c r="H223" i="18"/>
  <c r="G223" i="18"/>
  <c r="F223" i="18"/>
  <c r="E223" i="18"/>
  <c r="D223" i="18"/>
  <c r="C223" i="18"/>
  <c r="B223" i="18"/>
  <c r="A223" i="18"/>
  <c r="CX222" i="18"/>
  <c r="CW222" i="18"/>
  <c r="CV222" i="18"/>
  <c r="CU222" i="18"/>
  <c r="CT222" i="18"/>
  <c r="CS222" i="18"/>
  <c r="CR222" i="18"/>
  <c r="CQ222" i="18"/>
  <c r="CP222" i="18"/>
  <c r="CO222" i="18"/>
  <c r="CN222" i="18"/>
  <c r="CM222" i="18"/>
  <c r="CL222" i="18"/>
  <c r="CK222" i="18"/>
  <c r="CJ222" i="18"/>
  <c r="CI222" i="18"/>
  <c r="CH222" i="18"/>
  <c r="CG222" i="18"/>
  <c r="CF222" i="18"/>
  <c r="CE222" i="18"/>
  <c r="CD222" i="18"/>
  <c r="CC222" i="18"/>
  <c r="CB222" i="18"/>
  <c r="CA222" i="18"/>
  <c r="BZ222" i="18"/>
  <c r="BY222" i="18"/>
  <c r="BX222" i="18"/>
  <c r="BW222" i="18"/>
  <c r="BV222" i="18"/>
  <c r="BU222" i="18"/>
  <c r="BT222" i="18"/>
  <c r="BS222" i="18"/>
  <c r="BR222" i="18"/>
  <c r="BQ222" i="18"/>
  <c r="BP222" i="18"/>
  <c r="BO222" i="18"/>
  <c r="BN222" i="18"/>
  <c r="BM222" i="18"/>
  <c r="BL222" i="18"/>
  <c r="BK222" i="18"/>
  <c r="BJ222" i="18"/>
  <c r="BI222" i="18"/>
  <c r="BH222" i="18"/>
  <c r="BG222" i="18"/>
  <c r="BF222" i="18"/>
  <c r="BE222" i="18"/>
  <c r="BD222" i="18"/>
  <c r="BC222" i="18"/>
  <c r="BB222" i="18"/>
  <c r="BA222" i="18"/>
  <c r="AZ222" i="18"/>
  <c r="AY222" i="18"/>
  <c r="AX222" i="18"/>
  <c r="AW222" i="18"/>
  <c r="AV222" i="18"/>
  <c r="AU222" i="18"/>
  <c r="AT222" i="18"/>
  <c r="AS222" i="18"/>
  <c r="AR222" i="18"/>
  <c r="AQ222" i="18"/>
  <c r="AP222" i="18"/>
  <c r="AO222" i="18"/>
  <c r="AN222" i="18"/>
  <c r="AM222" i="18"/>
  <c r="AL222" i="18"/>
  <c r="AK222" i="18"/>
  <c r="AJ222" i="18"/>
  <c r="AI222" i="18"/>
  <c r="AH222" i="18"/>
  <c r="AG222" i="18"/>
  <c r="AF222" i="18"/>
  <c r="AE222" i="18"/>
  <c r="AD222" i="18"/>
  <c r="AC222" i="18"/>
  <c r="AB222" i="18"/>
  <c r="AA222" i="18"/>
  <c r="Z222" i="18"/>
  <c r="Y222" i="18"/>
  <c r="X222" i="18"/>
  <c r="W222" i="18"/>
  <c r="V222" i="18"/>
  <c r="U222" i="18"/>
  <c r="T222" i="18"/>
  <c r="S222" i="18"/>
  <c r="R222" i="18"/>
  <c r="Q222" i="18"/>
  <c r="P222" i="18"/>
  <c r="O222" i="18"/>
  <c r="N222" i="18"/>
  <c r="M222" i="18"/>
  <c r="L222" i="18"/>
  <c r="K222" i="18"/>
  <c r="J222" i="18"/>
  <c r="I222" i="18"/>
  <c r="H222" i="18"/>
  <c r="G222" i="18"/>
  <c r="F222" i="18"/>
  <c r="E222" i="18"/>
  <c r="D222" i="18"/>
  <c r="C222" i="18"/>
  <c r="B222" i="18"/>
  <c r="A222" i="18"/>
  <c r="BM221" i="18"/>
  <c r="BL221" i="18"/>
  <c r="BK221" i="18"/>
  <c r="BJ221" i="18"/>
  <c r="BI221" i="18"/>
  <c r="BH221" i="18"/>
  <c r="BG221" i="18"/>
  <c r="BF221" i="18"/>
  <c r="BE221" i="18"/>
  <c r="BD221" i="18"/>
  <c r="BC221" i="18"/>
  <c r="BB221" i="18"/>
  <c r="BA221" i="18"/>
  <c r="AZ221" i="18"/>
  <c r="AY221" i="18"/>
  <c r="AX221" i="18"/>
  <c r="AW221" i="18"/>
  <c r="AV221" i="18"/>
  <c r="AU221" i="18"/>
  <c r="AT221" i="18"/>
  <c r="AS221" i="18"/>
  <c r="AR221" i="18"/>
  <c r="AQ221" i="18"/>
  <c r="AP221" i="18"/>
  <c r="AO221" i="18"/>
  <c r="AN221" i="18"/>
  <c r="AM221" i="18"/>
  <c r="AL221" i="18"/>
  <c r="AK221" i="18"/>
  <c r="AJ221" i="18"/>
  <c r="AI221" i="18"/>
  <c r="AH221" i="18"/>
  <c r="AG221" i="18"/>
  <c r="AF221" i="18"/>
  <c r="AE221" i="18"/>
  <c r="AD221" i="18"/>
  <c r="AC221" i="18"/>
  <c r="AB221" i="18"/>
  <c r="AA221" i="18"/>
  <c r="Z221" i="18"/>
  <c r="Y221" i="18"/>
  <c r="X221" i="18"/>
  <c r="W221" i="18"/>
  <c r="V221" i="18"/>
  <c r="U221" i="18"/>
  <c r="T221" i="18"/>
  <c r="S221" i="18"/>
  <c r="R221" i="18"/>
  <c r="Q221" i="18"/>
  <c r="P221" i="18"/>
  <c r="O221" i="18"/>
  <c r="N221" i="18"/>
  <c r="M221" i="18"/>
  <c r="L221" i="18"/>
  <c r="K221" i="18"/>
  <c r="J221" i="18"/>
  <c r="I221" i="18"/>
  <c r="H221" i="18"/>
  <c r="G221" i="18"/>
  <c r="F221" i="18"/>
  <c r="E221" i="18"/>
  <c r="D221" i="18"/>
  <c r="C221" i="18"/>
  <c r="B221" i="18"/>
  <c r="A221" i="18"/>
  <c r="CX221" i="18"/>
  <c r="CW221" i="18"/>
  <c r="CV221" i="18"/>
  <c r="CU221" i="18"/>
  <c r="CT221" i="18"/>
  <c r="CS221" i="18"/>
  <c r="CR221" i="18"/>
  <c r="CQ221" i="18"/>
  <c r="CP221" i="18"/>
  <c r="CO221" i="18"/>
  <c r="CN221" i="18"/>
  <c r="CM221" i="18"/>
  <c r="CL221" i="18"/>
  <c r="CK221" i="18"/>
  <c r="CJ221" i="18"/>
  <c r="CI221" i="18"/>
  <c r="CH221" i="18"/>
  <c r="CG221" i="18"/>
  <c r="CF221" i="18"/>
  <c r="CE221" i="18"/>
  <c r="CD221" i="18"/>
  <c r="CC221" i="18"/>
  <c r="CB221" i="18"/>
  <c r="CA221" i="18"/>
  <c r="BZ221" i="18"/>
  <c r="BY221" i="18"/>
  <c r="BX221" i="18"/>
  <c r="BW221" i="18"/>
  <c r="BV221" i="18"/>
  <c r="BU221" i="18"/>
  <c r="BT221" i="18"/>
  <c r="BS221" i="18"/>
  <c r="BR221" i="18"/>
  <c r="BQ221" i="18"/>
  <c r="BP221" i="18"/>
  <c r="BO221" i="18"/>
  <c r="CX220" i="18"/>
  <c r="CW220" i="18"/>
  <c r="CV220" i="18"/>
  <c r="CU220" i="18"/>
  <c r="CT220" i="18"/>
  <c r="CS220" i="18"/>
  <c r="CR220" i="18"/>
  <c r="CQ220" i="18"/>
  <c r="CP220" i="18"/>
  <c r="CO220" i="18"/>
  <c r="CN220" i="18"/>
  <c r="CM220" i="18"/>
  <c r="CL220" i="18"/>
  <c r="CK220" i="18"/>
  <c r="CJ220" i="18"/>
  <c r="CI220" i="18"/>
  <c r="CH220" i="18"/>
  <c r="CG220" i="18"/>
  <c r="CF220" i="18"/>
  <c r="CE220" i="18"/>
  <c r="CD220" i="18"/>
  <c r="CC220" i="18"/>
  <c r="CB220" i="18"/>
  <c r="CA220" i="18"/>
  <c r="BZ220" i="18"/>
  <c r="BY220" i="18"/>
  <c r="BX220" i="18"/>
  <c r="BW220" i="18"/>
  <c r="BV220" i="18"/>
  <c r="BU220" i="18"/>
  <c r="BT220" i="18"/>
  <c r="BS220" i="18"/>
  <c r="BR220" i="18"/>
  <c r="BQ220" i="18"/>
  <c r="BP220" i="18"/>
  <c r="BO220" i="18"/>
  <c r="CX219" i="18"/>
  <c r="CW219" i="18"/>
  <c r="CV219" i="18"/>
  <c r="CU219" i="18"/>
  <c r="CT219" i="18"/>
  <c r="CS219" i="18"/>
  <c r="CR219" i="18"/>
  <c r="CQ219" i="18"/>
  <c r="CP219" i="18"/>
  <c r="CO219" i="18"/>
  <c r="CN219" i="18"/>
  <c r="CM219" i="18"/>
  <c r="CL219" i="18"/>
  <c r="CK219" i="18"/>
  <c r="CJ219" i="18"/>
  <c r="CI219" i="18"/>
  <c r="CH219" i="18"/>
  <c r="CG219" i="18"/>
  <c r="CF219" i="18"/>
  <c r="CE219" i="18"/>
  <c r="CD219" i="18"/>
  <c r="CC219" i="18"/>
  <c r="CB219" i="18"/>
  <c r="CA219" i="18"/>
  <c r="BZ219" i="18"/>
  <c r="BY219" i="18"/>
  <c r="BX219" i="18"/>
  <c r="BW219" i="18"/>
  <c r="BV219" i="18"/>
  <c r="BU219" i="18"/>
  <c r="BT219" i="18"/>
  <c r="BS219" i="18"/>
  <c r="BR219" i="18"/>
  <c r="BQ219" i="18"/>
  <c r="BP219" i="18"/>
  <c r="BO219" i="18"/>
  <c r="CX218" i="18"/>
  <c r="CW218" i="18"/>
  <c r="CV218" i="18"/>
  <c r="CU218" i="18"/>
  <c r="CT218" i="18"/>
  <c r="CS218" i="18"/>
  <c r="CR218" i="18"/>
  <c r="CQ218" i="18"/>
  <c r="CP218" i="18"/>
  <c r="CO218" i="18"/>
  <c r="CN218" i="18"/>
  <c r="CM218" i="18"/>
  <c r="CL218" i="18"/>
  <c r="CK218" i="18"/>
  <c r="CJ218" i="18"/>
  <c r="CI218" i="18"/>
  <c r="CH218" i="18"/>
  <c r="CG218" i="18"/>
  <c r="CF218" i="18"/>
  <c r="CE218" i="18"/>
  <c r="CD218" i="18"/>
  <c r="CC218" i="18"/>
  <c r="CB218" i="18"/>
  <c r="CA218" i="18"/>
  <c r="BZ218" i="18"/>
  <c r="BY218" i="18"/>
  <c r="CX217" i="18"/>
  <c r="CW217" i="18"/>
  <c r="CV217" i="18"/>
  <c r="CU217" i="18"/>
  <c r="CT217" i="18"/>
  <c r="CH217" i="18"/>
  <c r="CG217" i="18"/>
  <c r="CF217" i="18"/>
  <c r="CE217" i="18"/>
  <c r="CD217" i="18"/>
  <c r="CC217" i="18"/>
  <c r="CB217" i="18"/>
  <c r="CA217" i="18"/>
  <c r="BZ217" i="18"/>
  <c r="BY217" i="18"/>
  <c r="CX216" i="18"/>
  <c r="CW216" i="18"/>
  <c r="CV216" i="18"/>
  <c r="CU216" i="18"/>
  <c r="CT216" i="18"/>
  <c r="CS216" i="18"/>
  <c r="CR216" i="18"/>
  <c r="CH216" i="18"/>
  <c r="CG216" i="18"/>
  <c r="CF216" i="18"/>
  <c r="CE216" i="18"/>
  <c r="CD216" i="18"/>
  <c r="CC216" i="18"/>
  <c r="CB216" i="18"/>
  <c r="CA216" i="18"/>
  <c r="BZ216" i="18"/>
  <c r="BY216" i="18"/>
  <c r="BX216" i="18"/>
  <c r="BW216" i="18"/>
  <c r="BV216" i="18"/>
  <c r="BU216" i="18"/>
  <c r="CH215" i="18"/>
  <c r="CG215" i="18"/>
  <c r="CF215" i="18"/>
  <c r="CE215" i="18"/>
  <c r="CD215" i="18"/>
  <c r="CC215" i="18"/>
  <c r="CB215" i="18"/>
  <c r="CA215" i="18"/>
  <c r="BZ215" i="18"/>
  <c r="BY215" i="18"/>
  <c r="CH214" i="18"/>
  <c r="CG214" i="18"/>
  <c r="CF214" i="18"/>
  <c r="CE214" i="18"/>
  <c r="CD214" i="18"/>
  <c r="CC214" i="18"/>
  <c r="CB214" i="18"/>
  <c r="CA214" i="18"/>
  <c r="BZ214" i="18"/>
  <c r="BY214" i="18"/>
  <c r="CX213" i="18"/>
  <c r="CW213" i="18"/>
  <c r="CV213" i="18"/>
  <c r="CU213" i="18"/>
  <c r="CT213" i="18"/>
  <c r="CS213" i="18"/>
  <c r="CR213" i="18"/>
  <c r="CQ213" i="18"/>
  <c r="CP213" i="18"/>
  <c r="CO213" i="18"/>
  <c r="CN213" i="18"/>
  <c r="CM213" i="18"/>
  <c r="CL213" i="18"/>
  <c r="CK213" i="18"/>
  <c r="CJ213" i="18"/>
  <c r="CI213" i="18"/>
  <c r="CH213" i="18"/>
  <c r="CG213" i="18"/>
  <c r="CF213" i="18"/>
  <c r="CE213" i="18"/>
  <c r="CD213" i="18"/>
  <c r="CC213" i="18"/>
  <c r="CB213" i="18"/>
  <c r="CA213" i="18"/>
  <c r="BZ213" i="18"/>
  <c r="BY213" i="18"/>
  <c r="BX213" i="18"/>
  <c r="BW213" i="18"/>
  <c r="BV213" i="18"/>
  <c r="BU213" i="18"/>
  <c r="BT213" i="18"/>
  <c r="BS213" i="18"/>
  <c r="BR213" i="18"/>
  <c r="BQ213" i="18"/>
  <c r="BP213" i="18"/>
  <c r="BO213" i="18"/>
  <c r="CX212" i="18"/>
  <c r="CW212" i="18"/>
  <c r="CV212" i="18"/>
  <c r="CU212" i="18"/>
  <c r="CT212" i="18"/>
  <c r="CS212" i="18"/>
  <c r="CR212" i="18"/>
  <c r="CQ212" i="18"/>
  <c r="CP212" i="18"/>
  <c r="CO212" i="18"/>
  <c r="CN212" i="18"/>
  <c r="CM212" i="18"/>
  <c r="CL212" i="18"/>
  <c r="CK212" i="18"/>
  <c r="CJ212" i="18"/>
  <c r="CI212" i="18"/>
  <c r="CH212" i="18"/>
  <c r="CG212" i="18"/>
  <c r="CF212" i="18"/>
  <c r="CE212" i="18"/>
  <c r="CD212" i="18"/>
  <c r="CC212" i="18"/>
  <c r="CB212" i="18"/>
  <c r="CA212" i="18"/>
  <c r="BZ212" i="18"/>
  <c r="BY212" i="18"/>
  <c r="BX212" i="18"/>
  <c r="BW212" i="18"/>
  <c r="BV212" i="18"/>
  <c r="BU212" i="18"/>
  <c r="BT212" i="18"/>
  <c r="BS212" i="18"/>
  <c r="BR212" i="18"/>
  <c r="BQ212" i="18"/>
  <c r="BP212" i="18"/>
  <c r="BO212" i="18"/>
  <c r="CX211" i="18"/>
  <c r="CW211" i="18"/>
  <c r="CV211" i="18"/>
  <c r="CU211" i="18"/>
  <c r="CT211" i="18"/>
  <c r="CS211" i="18"/>
  <c r="CR211" i="18"/>
  <c r="CQ211" i="18"/>
  <c r="CP211" i="18"/>
  <c r="CO211" i="18"/>
  <c r="CN211" i="18"/>
  <c r="CM211" i="18"/>
  <c r="CL211" i="18"/>
  <c r="CK211" i="18"/>
  <c r="CJ211" i="18"/>
  <c r="CI211" i="18"/>
  <c r="CH211" i="18"/>
  <c r="CG211" i="18"/>
  <c r="CF211" i="18"/>
  <c r="CE211" i="18"/>
  <c r="CD211" i="18"/>
  <c r="CC211" i="18"/>
  <c r="CB211" i="18"/>
  <c r="CA211" i="18"/>
  <c r="BZ211" i="18"/>
  <c r="BY211" i="18"/>
  <c r="BX211" i="18"/>
  <c r="BW211" i="18"/>
  <c r="BV211" i="18"/>
  <c r="BU211" i="18"/>
  <c r="BT211" i="18"/>
  <c r="BS211" i="18"/>
  <c r="BR211" i="18"/>
  <c r="BQ211" i="18"/>
  <c r="BP211" i="18"/>
  <c r="BO211" i="18"/>
  <c r="CJ210" i="18"/>
  <c r="CI210" i="18"/>
  <c r="CH210" i="18"/>
  <c r="CG210" i="18"/>
  <c r="CF210" i="18"/>
  <c r="CE210" i="18"/>
  <c r="CD210" i="18"/>
  <c r="CC210" i="18"/>
  <c r="CB210" i="18"/>
  <c r="CA210" i="18"/>
  <c r="BZ210" i="18"/>
  <c r="BY210" i="18"/>
  <c r="CJ209" i="18"/>
  <c r="CI209" i="18"/>
  <c r="CH209" i="18"/>
  <c r="CG209" i="18"/>
  <c r="CF209" i="18"/>
  <c r="CE209" i="18"/>
  <c r="CD209" i="18"/>
  <c r="CC209" i="18"/>
  <c r="CB209" i="18"/>
  <c r="CA209" i="18"/>
  <c r="BZ209" i="18"/>
  <c r="BY209" i="18"/>
  <c r="CJ208" i="18"/>
  <c r="CI208" i="18"/>
  <c r="CH208" i="18"/>
  <c r="CG208" i="18"/>
  <c r="CF208" i="18"/>
  <c r="CE208" i="18"/>
  <c r="CD208" i="18"/>
  <c r="CC208" i="18"/>
  <c r="CB208" i="18"/>
  <c r="CA208" i="18"/>
  <c r="BZ208" i="18"/>
  <c r="BY208" i="18"/>
  <c r="BT208" i="18"/>
  <c r="BS208" i="18"/>
  <c r="BR208" i="18"/>
  <c r="BQ208" i="18"/>
  <c r="BP208" i="18"/>
  <c r="BO208" i="18"/>
  <c r="CX207" i="18"/>
  <c r="CW207" i="18"/>
  <c r="CV207" i="18"/>
  <c r="CU207" i="18"/>
  <c r="CT207" i="18"/>
  <c r="CS207" i="18"/>
  <c r="CR207" i="18"/>
  <c r="CQ207" i="18"/>
  <c r="CP207" i="18"/>
  <c r="CO207" i="18"/>
  <c r="CN207" i="18"/>
  <c r="CM207" i="18"/>
  <c r="CL207" i="18"/>
  <c r="CK207" i="18"/>
  <c r="CJ207" i="18"/>
  <c r="CI207" i="18"/>
  <c r="CH207" i="18"/>
  <c r="CG207" i="18"/>
  <c r="CF207" i="18"/>
  <c r="CE207" i="18"/>
  <c r="CD207" i="18"/>
  <c r="CC207" i="18"/>
  <c r="CB207" i="18"/>
  <c r="CA207" i="18"/>
  <c r="BZ207" i="18"/>
  <c r="BY207" i="18"/>
  <c r="BX207" i="18"/>
  <c r="BW207" i="18"/>
  <c r="BV207" i="18"/>
  <c r="BU207" i="18"/>
  <c r="BT207" i="18"/>
  <c r="BS207" i="18"/>
  <c r="BR207" i="18"/>
  <c r="BQ207" i="18"/>
  <c r="BP207" i="18"/>
  <c r="BO207" i="18"/>
  <c r="CX206" i="18"/>
  <c r="CW206" i="18"/>
  <c r="CV206" i="18"/>
  <c r="CU206" i="18"/>
  <c r="CT206" i="18"/>
  <c r="CS206" i="18"/>
  <c r="CR206" i="18"/>
  <c r="CQ206" i="18"/>
  <c r="CP206" i="18"/>
  <c r="CO206" i="18"/>
  <c r="CN206" i="18"/>
  <c r="CM206" i="18"/>
  <c r="CL206" i="18"/>
  <c r="CK206" i="18"/>
  <c r="CJ206" i="18"/>
  <c r="CI206" i="18"/>
  <c r="CH206" i="18"/>
  <c r="CG206" i="18"/>
  <c r="CF206" i="18"/>
  <c r="CE206" i="18"/>
  <c r="CD206" i="18"/>
  <c r="CC206" i="18"/>
  <c r="CB206" i="18"/>
  <c r="CA206" i="18"/>
  <c r="BZ206" i="18"/>
  <c r="BY206" i="18"/>
  <c r="BX206" i="18"/>
  <c r="BW206" i="18"/>
  <c r="BV206" i="18"/>
  <c r="BU206" i="18"/>
  <c r="BT206" i="18"/>
  <c r="BS206" i="18"/>
  <c r="BR206" i="18"/>
  <c r="BQ206" i="18"/>
  <c r="BP206" i="18"/>
  <c r="BO206" i="18"/>
  <c r="CJ205" i="18"/>
  <c r="CI205" i="18"/>
  <c r="CH205" i="18"/>
  <c r="CG205" i="18"/>
  <c r="CF205" i="18"/>
  <c r="CE205" i="18"/>
  <c r="CD205" i="18"/>
  <c r="CC205" i="18"/>
  <c r="CB205" i="18"/>
  <c r="CA205" i="18"/>
  <c r="BZ205" i="18"/>
  <c r="BY205" i="18"/>
  <c r="CX204" i="18"/>
  <c r="CW204" i="18"/>
  <c r="CV204" i="18"/>
  <c r="CU204" i="18"/>
  <c r="CT204" i="18"/>
  <c r="CS204" i="18"/>
  <c r="CR204" i="18"/>
  <c r="CQ204" i="18"/>
  <c r="CP204" i="18"/>
  <c r="CO204" i="18"/>
  <c r="CN204" i="18"/>
  <c r="CM204" i="18"/>
  <c r="CL204" i="18"/>
  <c r="CK204" i="18"/>
  <c r="CJ204" i="18"/>
  <c r="CI204" i="18"/>
  <c r="CH204" i="18"/>
  <c r="CG204" i="18"/>
  <c r="CF204" i="18"/>
  <c r="CE204" i="18"/>
  <c r="CD204" i="18"/>
  <c r="CC204" i="18"/>
  <c r="CB204" i="18"/>
  <c r="CA204" i="18"/>
  <c r="BZ204" i="18"/>
  <c r="BY204" i="18"/>
  <c r="BX204" i="18"/>
  <c r="BW204" i="18"/>
  <c r="BV204" i="18"/>
  <c r="BU204" i="18"/>
  <c r="BT204" i="18"/>
  <c r="BS204" i="18"/>
  <c r="BR204" i="18"/>
  <c r="BQ204" i="18"/>
  <c r="BP204" i="18"/>
  <c r="BO204" i="18"/>
  <c r="CX203" i="18"/>
  <c r="CW203" i="18"/>
  <c r="CV203" i="18"/>
  <c r="CU203" i="18"/>
  <c r="CT203" i="18"/>
  <c r="CS203" i="18"/>
  <c r="CR203" i="18"/>
  <c r="CQ203" i="18"/>
  <c r="CP203" i="18"/>
  <c r="CO203" i="18"/>
  <c r="CN203" i="18"/>
  <c r="CM203" i="18"/>
  <c r="CL203" i="18"/>
  <c r="CK203" i="18"/>
  <c r="CJ203" i="18"/>
  <c r="CI203" i="18"/>
  <c r="CH203" i="18"/>
  <c r="CG203" i="18"/>
  <c r="CF203" i="18"/>
  <c r="CE203" i="18"/>
  <c r="CD203" i="18"/>
  <c r="CC203" i="18"/>
  <c r="CB203" i="18"/>
  <c r="CA203" i="18"/>
  <c r="BZ203" i="18"/>
  <c r="BY203" i="18"/>
  <c r="BX203" i="18"/>
  <c r="BW203" i="18"/>
  <c r="BV203" i="18"/>
  <c r="BU203" i="18"/>
  <c r="BT203" i="18"/>
  <c r="BS203" i="18"/>
  <c r="BR203" i="18"/>
  <c r="BQ203" i="18"/>
  <c r="BP203" i="18"/>
  <c r="BO203" i="18"/>
  <c r="CX202" i="18"/>
  <c r="CW202" i="18"/>
  <c r="CV202" i="18"/>
  <c r="CU202" i="18"/>
  <c r="CT202" i="18"/>
  <c r="CS202" i="18"/>
  <c r="CR202" i="18"/>
  <c r="CQ202" i="18"/>
  <c r="CP202" i="18"/>
  <c r="CO202" i="18"/>
  <c r="CN202" i="18"/>
  <c r="CM202" i="18"/>
  <c r="CL202" i="18"/>
  <c r="CK202" i="18"/>
  <c r="CJ202" i="18"/>
  <c r="CI202" i="18"/>
  <c r="CH202" i="18"/>
  <c r="CG202" i="18"/>
  <c r="CF202" i="18"/>
  <c r="CE202" i="18"/>
  <c r="CD202" i="18"/>
  <c r="CC202" i="18"/>
  <c r="CB202" i="18"/>
  <c r="CA202" i="18"/>
  <c r="BZ202" i="18"/>
  <c r="BY202" i="18"/>
  <c r="BX202" i="18"/>
  <c r="BW202" i="18"/>
  <c r="BV202" i="18"/>
  <c r="BU202" i="18"/>
  <c r="BT202" i="18"/>
  <c r="BS202" i="18"/>
  <c r="BR202" i="18"/>
  <c r="BQ202" i="18"/>
  <c r="BP202" i="18"/>
  <c r="BO202" i="18"/>
  <c r="CI201" i="18"/>
  <c r="CH201" i="18"/>
  <c r="CG201" i="18"/>
  <c r="CF201" i="18"/>
  <c r="CE201" i="18"/>
  <c r="CD201" i="18"/>
  <c r="CC201" i="18"/>
  <c r="CB201" i="18"/>
  <c r="CA201" i="18"/>
  <c r="BZ201" i="18"/>
  <c r="BY201" i="18"/>
  <c r="CI200" i="18"/>
  <c r="CH200" i="18"/>
  <c r="CG200" i="18"/>
  <c r="CF200" i="18"/>
  <c r="CE200" i="18"/>
  <c r="CD200" i="18"/>
  <c r="CC200" i="18"/>
  <c r="CB200" i="18"/>
  <c r="CA200" i="18"/>
  <c r="BZ200" i="18"/>
  <c r="BY200" i="18"/>
  <c r="BX200" i="18"/>
  <c r="BW200" i="18"/>
  <c r="BV200" i="18"/>
  <c r="BU200" i="18"/>
  <c r="BT200" i="18"/>
  <c r="BS200" i="18"/>
  <c r="BR200" i="18"/>
  <c r="BQ200" i="18"/>
  <c r="BP200" i="18"/>
  <c r="BO200" i="18"/>
  <c r="CI199" i="18"/>
  <c r="CH199" i="18"/>
  <c r="CG199" i="18"/>
  <c r="CF199" i="18"/>
  <c r="CE199" i="18"/>
  <c r="CD199" i="18"/>
  <c r="CC199" i="18"/>
  <c r="CB199" i="18"/>
  <c r="CA199" i="18"/>
  <c r="BZ199" i="18"/>
  <c r="BY199" i="18"/>
  <c r="BX199" i="18"/>
  <c r="BW199" i="18"/>
  <c r="BV199" i="18"/>
  <c r="BU199" i="18"/>
  <c r="BT199" i="18"/>
  <c r="BS199" i="18"/>
  <c r="BR199" i="18"/>
  <c r="BQ199" i="18"/>
  <c r="BP199" i="18"/>
  <c r="BO199" i="18"/>
  <c r="CX198" i="18"/>
  <c r="CW198" i="18"/>
  <c r="CV198" i="18"/>
  <c r="CU198" i="18"/>
  <c r="CT198" i="18"/>
  <c r="CS198" i="18"/>
  <c r="CR198" i="18"/>
  <c r="CQ198" i="18"/>
  <c r="CP198" i="18"/>
  <c r="CO198" i="18"/>
  <c r="CN198" i="18"/>
  <c r="CM198" i="18"/>
  <c r="CL198" i="18"/>
  <c r="CK198" i="18"/>
  <c r="CJ198" i="18"/>
  <c r="CI198" i="18"/>
  <c r="CH198" i="18"/>
  <c r="CG198" i="18"/>
  <c r="CF198" i="18"/>
  <c r="CE198" i="18"/>
  <c r="CD198" i="18"/>
  <c r="CC198" i="18"/>
  <c r="CB198" i="18"/>
  <c r="CA198" i="18"/>
  <c r="BZ198" i="18"/>
  <c r="BY198" i="18"/>
  <c r="BX198" i="18"/>
  <c r="BW198" i="18"/>
  <c r="BV198" i="18"/>
  <c r="BU198" i="18"/>
  <c r="BT198" i="18"/>
  <c r="BS198" i="18"/>
  <c r="BR198" i="18"/>
  <c r="BQ198" i="18"/>
  <c r="BP198" i="18"/>
  <c r="BO198" i="18"/>
  <c r="CH197" i="18"/>
  <c r="CG197" i="18"/>
  <c r="CF197" i="18"/>
  <c r="CE197" i="18"/>
  <c r="CD197" i="18"/>
  <c r="CC197" i="18"/>
  <c r="CB197" i="18"/>
  <c r="CA197" i="18"/>
  <c r="BZ197" i="18"/>
  <c r="BY197" i="18"/>
  <c r="CH196" i="18"/>
  <c r="CG196" i="18"/>
  <c r="CF196" i="18"/>
  <c r="CE196" i="18"/>
  <c r="CD196" i="18"/>
  <c r="CC196" i="18"/>
  <c r="CB196" i="18"/>
  <c r="CA196" i="18"/>
  <c r="BZ196" i="18"/>
  <c r="BY196" i="18"/>
  <c r="CX195" i="18"/>
  <c r="CW195" i="18"/>
  <c r="CV195" i="18"/>
  <c r="CU195" i="18"/>
  <c r="CT195" i="18"/>
  <c r="CS195" i="18"/>
  <c r="CR195" i="18"/>
  <c r="CQ195" i="18"/>
  <c r="CP195" i="18"/>
  <c r="CO195" i="18"/>
  <c r="CN195" i="18"/>
  <c r="CM195" i="18"/>
  <c r="CL195" i="18"/>
  <c r="CK195" i="18"/>
  <c r="CJ195" i="18"/>
  <c r="CI195" i="18"/>
  <c r="CH195" i="18"/>
  <c r="CG195" i="18"/>
  <c r="CF195" i="18"/>
  <c r="CE195" i="18"/>
  <c r="CD195" i="18"/>
  <c r="CC195" i="18"/>
  <c r="CB195" i="18"/>
  <c r="CA195" i="18"/>
  <c r="BZ195" i="18"/>
  <c r="BY195" i="18"/>
  <c r="BX195" i="18"/>
  <c r="BW195" i="18"/>
  <c r="BV195" i="18"/>
  <c r="BU195" i="18"/>
  <c r="BT195" i="18"/>
  <c r="BS195" i="18"/>
  <c r="BR195" i="18"/>
  <c r="BQ195" i="18"/>
  <c r="BP195" i="18"/>
  <c r="BO195" i="18"/>
  <c r="CX194" i="18"/>
  <c r="CW194" i="18"/>
  <c r="CV194" i="18"/>
  <c r="CU194" i="18"/>
  <c r="CT194" i="18"/>
  <c r="CS194" i="18"/>
  <c r="CR194" i="18"/>
  <c r="CQ194" i="18"/>
  <c r="CP194" i="18"/>
  <c r="CO194" i="18"/>
  <c r="CN194" i="18"/>
  <c r="CM194" i="18"/>
  <c r="CL194" i="18"/>
  <c r="CK194" i="18"/>
  <c r="CJ194" i="18"/>
  <c r="CI194" i="18"/>
  <c r="CH194" i="18"/>
  <c r="CG194" i="18"/>
  <c r="CF194" i="18"/>
  <c r="CE194" i="18"/>
  <c r="CD194" i="18"/>
  <c r="CC194" i="18"/>
  <c r="CB194" i="18"/>
  <c r="CA194" i="18"/>
  <c r="BZ194" i="18"/>
  <c r="BY194" i="18"/>
  <c r="BX194" i="18"/>
  <c r="BW194" i="18"/>
  <c r="BV194" i="18"/>
  <c r="BU194" i="18"/>
  <c r="BT194" i="18"/>
  <c r="BS194" i="18"/>
  <c r="BR194" i="18"/>
  <c r="BQ194" i="18"/>
  <c r="BP194" i="18"/>
  <c r="BO194" i="18"/>
  <c r="CX193" i="18"/>
  <c r="CW193" i="18"/>
  <c r="CV193" i="18"/>
  <c r="CU193" i="18"/>
  <c r="CT193" i="18"/>
  <c r="CS193" i="18"/>
  <c r="CR193" i="18"/>
  <c r="CQ193" i="18"/>
  <c r="CP193" i="18"/>
  <c r="CO193" i="18"/>
  <c r="CN193" i="18"/>
  <c r="CM193" i="18"/>
  <c r="CL193" i="18"/>
  <c r="CK193" i="18"/>
  <c r="CJ193" i="18"/>
  <c r="CI193" i="18"/>
  <c r="CH193" i="18"/>
  <c r="CG193" i="18"/>
  <c r="CF193" i="18"/>
  <c r="CE193" i="18"/>
  <c r="CD193" i="18"/>
  <c r="CC193" i="18"/>
  <c r="CB193" i="18"/>
  <c r="CA193" i="18"/>
  <c r="BZ193" i="18"/>
  <c r="BY193" i="18"/>
  <c r="CH192" i="18"/>
  <c r="CG192" i="18"/>
  <c r="CF192" i="18"/>
  <c r="CE192" i="18"/>
  <c r="CD192" i="18"/>
  <c r="CC192" i="18"/>
  <c r="CB192" i="18"/>
  <c r="CA192" i="18"/>
  <c r="BZ192" i="18"/>
  <c r="BY192" i="18"/>
  <c r="CR191" i="18"/>
  <c r="CH191" i="18"/>
  <c r="CG191" i="18"/>
  <c r="CF191" i="18"/>
  <c r="CE191" i="18"/>
  <c r="CD191" i="18"/>
  <c r="CC191" i="18"/>
  <c r="CB191" i="18"/>
  <c r="CA191" i="18"/>
  <c r="BZ191" i="18"/>
  <c r="BY191" i="18"/>
  <c r="BX191" i="18"/>
  <c r="BW191" i="18"/>
  <c r="BV191" i="18"/>
  <c r="BU191" i="18"/>
  <c r="CH190" i="18"/>
  <c r="CG190" i="18"/>
  <c r="CF190" i="18"/>
  <c r="CE190" i="18"/>
  <c r="CD190" i="18"/>
  <c r="CC190" i="18"/>
  <c r="CB190" i="18"/>
  <c r="CA190" i="18"/>
  <c r="BZ190" i="18"/>
  <c r="BY190" i="18"/>
  <c r="CH189" i="18"/>
  <c r="CG189" i="18"/>
  <c r="CF189" i="18"/>
  <c r="CE189" i="18"/>
  <c r="CD189" i="18"/>
  <c r="CC189" i="18"/>
  <c r="CB189" i="18"/>
  <c r="CA189" i="18"/>
  <c r="BZ189" i="18"/>
  <c r="BY189" i="18"/>
  <c r="CX188" i="18"/>
  <c r="CW188" i="18"/>
  <c r="CV188" i="18"/>
  <c r="CU188" i="18"/>
  <c r="CT188" i="18"/>
  <c r="CS188" i="18"/>
  <c r="CR188" i="18"/>
  <c r="CQ188" i="18"/>
  <c r="CP188" i="18"/>
  <c r="CO188" i="18"/>
  <c r="CN188" i="18"/>
  <c r="CM188" i="18"/>
  <c r="CL188" i="18"/>
  <c r="CK188" i="18"/>
  <c r="CJ188" i="18"/>
  <c r="CI188" i="18"/>
  <c r="CH188" i="18"/>
  <c r="CG188" i="18"/>
  <c r="CF188" i="18"/>
  <c r="CE188" i="18"/>
  <c r="CD188" i="18"/>
  <c r="CC188" i="18"/>
  <c r="CB188" i="18"/>
  <c r="CA188" i="18"/>
  <c r="BZ188" i="18"/>
  <c r="BY188" i="18"/>
  <c r="BX188" i="18"/>
  <c r="BW188" i="18"/>
  <c r="BV188" i="18"/>
  <c r="BU188" i="18"/>
  <c r="BT188" i="18"/>
  <c r="BS188" i="18"/>
  <c r="BR188" i="18"/>
  <c r="BQ188" i="18"/>
  <c r="BP188" i="18"/>
  <c r="BO188" i="18"/>
  <c r="CX187" i="18"/>
  <c r="CW187" i="18"/>
  <c r="CV187" i="18"/>
  <c r="CU187" i="18"/>
  <c r="CT187" i="18"/>
  <c r="CS187" i="18"/>
  <c r="CR187" i="18"/>
  <c r="CQ187" i="18"/>
  <c r="CP187" i="18"/>
  <c r="CO187" i="18"/>
  <c r="CN187" i="18"/>
  <c r="CM187" i="18"/>
  <c r="CL187" i="18"/>
  <c r="CK187" i="18"/>
  <c r="CJ187" i="18"/>
  <c r="CI187" i="18"/>
  <c r="CH187" i="18"/>
  <c r="CG187" i="18"/>
  <c r="CF187" i="18"/>
  <c r="CE187" i="18"/>
  <c r="CD187" i="18"/>
  <c r="CC187" i="18"/>
  <c r="CB187" i="18"/>
  <c r="CA187" i="18"/>
  <c r="BZ187" i="18"/>
  <c r="BY187" i="18"/>
  <c r="BX187" i="18"/>
  <c r="BW187" i="18"/>
  <c r="BV187" i="18"/>
  <c r="BU187" i="18"/>
  <c r="BT187" i="18"/>
  <c r="BS187" i="18"/>
  <c r="BR187" i="18"/>
  <c r="BQ187" i="18"/>
  <c r="BP187" i="18"/>
  <c r="BO187" i="18"/>
  <c r="CX186" i="18"/>
  <c r="CW186" i="18"/>
  <c r="CV186" i="18"/>
  <c r="CU186" i="18"/>
  <c r="CT186" i="18"/>
  <c r="CS186" i="18"/>
  <c r="CR186" i="18"/>
  <c r="CQ186" i="18"/>
  <c r="CP186" i="18"/>
  <c r="CO186" i="18"/>
  <c r="CN186" i="18"/>
  <c r="CM186" i="18"/>
  <c r="CL186" i="18"/>
  <c r="CK186" i="18"/>
  <c r="CJ186" i="18"/>
  <c r="CI186" i="18"/>
  <c r="CH186" i="18"/>
  <c r="CG186" i="18"/>
  <c r="CF186" i="18"/>
  <c r="CE186" i="18"/>
  <c r="CD186" i="18"/>
  <c r="CC186" i="18"/>
  <c r="CB186" i="18"/>
  <c r="CA186" i="18"/>
  <c r="BZ186" i="18"/>
  <c r="BY186" i="18"/>
  <c r="BX186" i="18"/>
  <c r="BW186" i="18"/>
  <c r="BV186" i="18"/>
  <c r="BU186" i="18"/>
  <c r="BT186" i="18"/>
  <c r="BS186" i="18"/>
  <c r="BR186" i="18"/>
  <c r="BQ186" i="18"/>
  <c r="BP186" i="18"/>
  <c r="BO186" i="18"/>
  <c r="CI185" i="18"/>
  <c r="CH185" i="18"/>
  <c r="CG185" i="18"/>
  <c r="CF185" i="18"/>
  <c r="CE185" i="18"/>
  <c r="CD185" i="18"/>
  <c r="CC185" i="18"/>
  <c r="CB185" i="18"/>
  <c r="CA185" i="18"/>
  <c r="BZ185" i="18"/>
  <c r="BY185" i="18"/>
  <c r="CI184" i="18"/>
  <c r="CH184" i="18"/>
  <c r="CG184" i="18"/>
  <c r="CF184" i="18"/>
  <c r="CE184" i="18"/>
  <c r="CD184" i="18"/>
  <c r="CC184" i="18"/>
  <c r="CB184" i="18"/>
  <c r="CA184" i="18"/>
  <c r="BZ184" i="18"/>
  <c r="BY184" i="18"/>
  <c r="CI183" i="18"/>
  <c r="CH183" i="18"/>
  <c r="CG183" i="18"/>
  <c r="CF183" i="18"/>
  <c r="CE183" i="18"/>
  <c r="CD183" i="18"/>
  <c r="CC183" i="18"/>
  <c r="CB183" i="18"/>
  <c r="CA183" i="18"/>
  <c r="BZ183" i="18"/>
  <c r="BY183" i="18"/>
  <c r="CI182" i="18"/>
  <c r="CH182" i="18"/>
  <c r="CG182" i="18"/>
  <c r="CF182" i="18"/>
  <c r="CE182" i="18"/>
  <c r="CD182" i="18"/>
  <c r="CC182" i="18"/>
  <c r="CB182" i="18"/>
  <c r="CA182" i="18"/>
  <c r="BZ182" i="18"/>
  <c r="BY182" i="18"/>
  <c r="CI181" i="18"/>
  <c r="CH181" i="18"/>
  <c r="CG181" i="18"/>
  <c r="CF181" i="18"/>
  <c r="CE181" i="18"/>
  <c r="CD181" i="18"/>
  <c r="CC181" i="18"/>
  <c r="CB181" i="18"/>
  <c r="CA181" i="18"/>
  <c r="BZ181" i="18"/>
  <c r="BY181" i="18"/>
  <c r="CI180" i="18"/>
  <c r="CH180" i="18"/>
  <c r="CG180" i="18"/>
  <c r="CF180" i="18"/>
  <c r="CE180" i="18"/>
  <c r="CD180" i="18"/>
  <c r="CC180" i="18"/>
  <c r="CB180" i="18"/>
  <c r="CA180" i="18"/>
  <c r="BZ180" i="18"/>
  <c r="BY180" i="18"/>
  <c r="CX179" i="18"/>
  <c r="CW179" i="18"/>
  <c r="CV179" i="18"/>
  <c r="CU179" i="18"/>
  <c r="CT179" i="18"/>
  <c r="CS179" i="18"/>
  <c r="CR179" i="18"/>
  <c r="CQ179" i="18"/>
  <c r="CP179" i="18"/>
  <c r="CO179" i="18"/>
  <c r="CN179" i="18"/>
  <c r="CM179" i="18"/>
  <c r="CL179" i="18"/>
  <c r="CK179" i="18"/>
  <c r="CJ179" i="18"/>
  <c r="CI179" i="18"/>
  <c r="CH179" i="18"/>
  <c r="CG179" i="18"/>
  <c r="CF179" i="18"/>
  <c r="CE179" i="18"/>
  <c r="CD179" i="18"/>
  <c r="CC179" i="18"/>
  <c r="CB179" i="18"/>
  <c r="CA179" i="18"/>
  <c r="BZ179" i="18"/>
  <c r="BY179" i="18"/>
  <c r="BX179" i="18"/>
  <c r="BW179" i="18"/>
  <c r="BV179" i="18"/>
  <c r="BU179" i="18"/>
  <c r="BT179" i="18"/>
  <c r="BS179" i="18"/>
  <c r="BR179" i="18"/>
  <c r="BQ179" i="18"/>
  <c r="BP179" i="18"/>
  <c r="BO179" i="18"/>
  <c r="CX178" i="18"/>
  <c r="CW178" i="18"/>
  <c r="CV178" i="18"/>
  <c r="CU178" i="18"/>
  <c r="CT178" i="18"/>
  <c r="CS178" i="18"/>
  <c r="CR178" i="18"/>
  <c r="CQ178" i="18"/>
  <c r="CP178" i="18"/>
  <c r="CO178" i="18"/>
  <c r="CN178" i="18"/>
  <c r="CM178" i="18"/>
  <c r="CL178" i="18"/>
  <c r="CK178" i="18"/>
  <c r="CJ178" i="18"/>
  <c r="CI178" i="18"/>
  <c r="CH178" i="18"/>
  <c r="CG178" i="18"/>
  <c r="CF178" i="18"/>
  <c r="CE178" i="18"/>
  <c r="CD178" i="18"/>
  <c r="CC178" i="18"/>
  <c r="CB178" i="18"/>
  <c r="CA178" i="18"/>
  <c r="BZ178" i="18"/>
  <c r="BY178" i="18"/>
  <c r="BX178" i="18"/>
  <c r="BW178" i="18"/>
  <c r="BV178" i="18"/>
  <c r="BU178" i="18"/>
  <c r="BT178" i="18"/>
  <c r="BS178" i="18"/>
  <c r="BR178" i="18"/>
  <c r="BQ178" i="18"/>
  <c r="BP178" i="18"/>
  <c r="BO178" i="18"/>
  <c r="CX177" i="18"/>
  <c r="CW177" i="18"/>
  <c r="CV177" i="18"/>
  <c r="CU177" i="18"/>
  <c r="CT177" i="18"/>
  <c r="CS177" i="18"/>
  <c r="CR177" i="18"/>
  <c r="CQ177" i="18"/>
  <c r="CP177" i="18"/>
  <c r="CO177" i="18"/>
  <c r="CN177" i="18"/>
  <c r="CM177" i="18"/>
  <c r="CL177" i="18"/>
  <c r="CK177" i="18"/>
  <c r="CJ177" i="18"/>
  <c r="CI177" i="18"/>
  <c r="CH177" i="18"/>
  <c r="CG177" i="18"/>
  <c r="CF177" i="18"/>
  <c r="CE177" i="18"/>
  <c r="CD177" i="18"/>
  <c r="CC177" i="18"/>
  <c r="CB177" i="18"/>
  <c r="CA177" i="18"/>
  <c r="BZ177" i="18"/>
  <c r="BY177" i="18"/>
  <c r="BX177" i="18"/>
  <c r="BW177" i="18"/>
  <c r="BV177" i="18"/>
  <c r="BU177" i="18"/>
  <c r="BT177" i="18"/>
  <c r="BS177" i="18"/>
  <c r="BR177" i="18"/>
  <c r="BQ177" i="18"/>
  <c r="BP177" i="18"/>
  <c r="BO177" i="18"/>
  <c r="BN220" i="18"/>
  <c r="BM220" i="18"/>
  <c r="BL220" i="18"/>
  <c r="BK220" i="18"/>
  <c r="BJ220" i="18"/>
  <c r="BI220" i="18"/>
  <c r="BH220" i="18"/>
  <c r="BG220" i="18"/>
  <c r="BF220" i="18"/>
  <c r="BE220" i="18"/>
  <c r="BD220" i="18"/>
  <c r="BC220" i="18"/>
  <c r="BB220" i="18"/>
  <c r="BA220" i="18"/>
  <c r="AZ220" i="18"/>
  <c r="AY220" i="18"/>
  <c r="AX220" i="18"/>
  <c r="AW220" i="18"/>
  <c r="AV220" i="18"/>
  <c r="AU220" i="18"/>
  <c r="AT220" i="18"/>
  <c r="AS220" i="18"/>
  <c r="AR220" i="18"/>
  <c r="AQ220" i="18"/>
  <c r="AP220" i="18"/>
  <c r="AO220" i="18"/>
  <c r="AN220" i="18"/>
  <c r="AM220" i="18"/>
  <c r="AL220" i="18"/>
  <c r="AK220" i="18"/>
  <c r="AJ220" i="18"/>
  <c r="AI220" i="18"/>
  <c r="AH220" i="18"/>
  <c r="AG220" i="18"/>
  <c r="AF220" i="18"/>
  <c r="AE220" i="18"/>
  <c r="AD220" i="18"/>
  <c r="AC220" i="18"/>
  <c r="AB220" i="18"/>
  <c r="AA220" i="18"/>
  <c r="Z220" i="18"/>
  <c r="Y220" i="18"/>
  <c r="X220" i="18"/>
  <c r="W220" i="18"/>
  <c r="V220" i="18"/>
  <c r="U220" i="18"/>
  <c r="T220" i="18"/>
  <c r="S220" i="18"/>
  <c r="R220" i="18"/>
  <c r="Q220" i="18"/>
  <c r="P220" i="18"/>
  <c r="O220" i="18"/>
  <c r="N220" i="18"/>
  <c r="M220" i="18"/>
  <c r="L220" i="18"/>
  <c r="K220" i="18"/>
  <c r="J220" i="18"/>
  <c r="I220" i="18"/>
  <c r="H220" i="18"/>
  <c r="G220" i="18"/>
  <c r="F220" i="18"/>
  <c r="E220" i="18"/>
  <c r="D220" i="18"/>
  <c r="C220" i="18"/>
  <c r="B220" i="18"/>
  <c r="A220" i="18"/>
  <c r="BN219" i="18"/>
  <c r="BM219" i="18"/>
  <c r="BL219" i="18"/>
  <c r="BK219" i="18"/>
  <c r="BJ219" i="18"/>
  <c r="BI219" i="18"/>
  <c r="BH219" i="18"/>
  <c r="BG219" i="18"/>
  <c r="BF219" i="18"/>
  <c r="BE219" i="18"/>
  <c r="BD219" i="18"/>
  <c r="BC219" i="18"/>
  <c r="BB219" i="18"/>
  <c r="BA219" i="18"/>
  <c r="AZ219" i="18"/>
  <c r="AY219" i="18"/>
  <c r="AX219" i="18"/>
  <c r="AW219" i="18"/>
  <c r="AV219" i="18"/>
  <c r="AU219" i="18"/>
  <c r="AT219" i="18"/>
  <c r="AS219" i="18"/>
  <c r="AR219" i="18"/>
  <c r="AQ219" i="18"/>
  <c r="AP219" i="18"/>
  <c r="AO219" i="18"/>
  <c r="AN219" i="18"/>
  <c r="AM219" i="18"/>
  <c r="AL219" i="18"/>
  <c r="AK219" i="18"/>
  <c r="AJ219" i="18"/>
  <c r="AI219" i="18"/>
  <c r="AH219" i="18"/>
  <c r="AG219" i="18"/>
  <c r="AF219" i="18"/>
  <c r="AE219" i="18"/>
  <c r="AD219" i="18"/>
  <c r="AC219" i="18"/>
  <c r="AB219" i="18"/>
  <c r="AA219" i="18"/>
  <c r="Z219" i="18"/>
  <c r="Y219" i="18"/>
  <c r="X219" i="18"/>
  <c r="W219" i="18"/>
  <c r="V219" i="18"/>
  <c r="U219" i="18"/>
  <c r="T219" i="18"/>
  <c r="S219" i="18"/>
  <c r="R219" i="18"/>
  <c r="Q219" i="18"/>
  <c r="P219" i="18"/>
  <c r="O219" i="18"/>
  <c r="N219" i="18"/>
  <c r="M219" i="18"/>
  <c r="L219" i="18"/>
  <c r="K219" i="18"/>
  <c r="J219" i="18"/>
  <c r="I219" i="18"/>
  <c r="H219" i="18"/>
  <c r="G219" i="18"/>
  <c r="F219" i="18"/>
  <c r="E219" i="18"/>
  <c r="D219" i="18"/>
  <c r="C219" i="18"/>
  <c r="B219" i="18"/>
  <c r="A219" i="18"/>
  <c r="AQ218" i="18"/>
  <c r="AP218" i="18"/>
  <c r="AO218" i="18"/>
  <c r="AN218" i="18"/>
  <c r="AM218" i="18"/>
  <c r="AL218" i="18"/>
  <c r="AK218" i="18"/>
  <c r="AJ218" i="18"/>
  <c r="AI218" i="18"/>
  <c r="AH218" i="18"/>
  <c r="AG218" i="18"/>
  <c r="AF218" i="18"/>
  <c r="AE218" i="18"/>
  <c r="AD218" i="18"/>
  <c r="AC218" i="18"/>
  <c r="AB218" i="18"/>
  <c r="AA218" i="18"/>
  <c r="Z218" i="18"/>
  <c r="Y218" i="18"/>
  <c r="X218" i="18"/>
  <c r="W218" i="18"/>
  <c r="V218" i="18"/>
  <c r="U218" i="18"/>
  <c r="T218" i="18"/>
  <c r="S218" i="18"/>
  <c r="R218" i="18"/>
  <c r="Q218" i="18"/>
  <c r="P218" i="18"/>
  <c r="O218" i="18"/>
  <c r="N218" i="18"/>
  <c r="M218" i="18"/>
  <c r="L218" i="18"/>
  <c r="K218" i="18"/>
  <c r="J218" i="18"/>
  <c r="I218" i="18"/>
  <c r="H218" i="18"/>
  <c r="G218" i="18"/>
  <c r="F218" i="18"/>
  <c r="E218" i="18"/>
  <c r="D218" i="18"/>
  <c r="C218" i="18"/>
  <c r="B218" i="18"/>
  <c r="A218" i="18"/>
  <c r="AQ217" i="18"/>
  <c r="AP217" i="18"/>
  <c r="AO217" i="18"/>
  <c r="AN217" i="18"/>
  <c r="AM217" i="18"/>
  <c r="AL217" i="18"/>
  <c r="AK217" i="18"/>
  <c r="AJ217" i="18"/>
  <c r="AI217" i="18"/>
  <c r="AH217" i="18"/>
  <c r="AG217" i="18"/>
  <c r="AF217" i="18"/>
  <c r="AE217" i="18"/>
  <c r="AD217" i="18"/>
  <c r="AC217" i="18"/>
  <c r="AB217" i="18"/>
  <c r="AA217" i="18"/>
  <c r="Z217" i="18"/>
  <c r="Y217" i="18"/>
  <c r="X217" i="18"/>
  <c r="W217" i="18"/>
  <c r="V217" i="18"/>
  <c r="U217" i="18"/>
  <c r="T217" i="18"/>
  <c r="S217" i="18"/>
  <c r="R217" i="18"/>
  <c r="Q217" i="18"/>
  <c r="P217" i="18"/>
  <c r="O217" i="18"/>
  <c r="N217" i="18"/>
  <c r="M217" i="18"/>
  <c r="L217" i="18"/>
  <c r="K217" i="18"/>
  <c r="J217" i="18"/>
  <c r="I217" i="18"/>
  <c r="H217" i="18"/>
  <c r="G217" i="18"/>
  <c r="F217" i="18"/>
  <c r="E217" i="18"/>
  <c r="D217" i="18"/>
  <c r="C217" i="18"/>
  <c r="B217" i="18"/>
  <c r="A217" i="18"/>
  <c r="AQ216" i="18"/>
  <c r="AP216" i="18"/>
  <c r="AO216" i="18"/>
  <c r="AN216" i="18"/>
  <c r="AM216" i="18"/>
  <c r="AL216" i="18"/>
  <c r="AK216" i="18"/>
  <c r="AJ216" i="18"/>
  <c r="AI216" i="18"/>
  <c r="AH216" i="18"/>
  <c r="AG216" i="18"/>
  <c r="AF216" i="18"/>
  <c r="AE216" i="18"/>
  <c r="AD216" i="18"/>
  <c r="AC216" i="18"/>
  <c r="AB216" i="18"/>
  <c r="AA216" i="18"/>
  <c r="Z216" i="18"/>
  <c r="Y216" i="18"/>
  <c r="X216" i="18"/>
  <c r="W216" i="18"/>
  <c r="V216" i="18"/>
  <c r="U216" i="18"/>
  <c r="T216" i="18"/>
  <c r="S216" i="18"/>
  <c r="R216" i="18"/>
  <c r="Q216" i="18"/>
  <c r="P216" i="18"/>
  <c r="O216" i="18"/>
  <c r="N216" i="18"/>
  <c r="M216" i="18"/>
  <c r="L216" i="18"/>
  <c r="K216" i="18"/>
  <c r="J216" i="18"/>
  <c r="I216" i="18"/>
  <c r="H216" i="18"/>
  <c r="G216" i="18"/>
  <c r="F216" i="18"/>
  <c r="E216" i="18"/>
  <c r="D216" i="18"/>
  <c r="C216" i="18"/>
  <c r="B216" i="18"/>
  <c r="A216" i="18"/>
  <c r="AQ215" i="18"/>
  <c r="AP215" i="18"/>
  <c r="AO215" i="18"/>
  <c r="AN215" i="18"/>
  <c r="AM215" i="18"/>
  <c r="AL215" i="18"/>
  <c r="AK215" i="18"/>
  <c r="AJ215" i="18"/>
  <c r="AI215" i="18"/>
  <c r="AH215" i="18"/>
  <c r="AG215" i="18"/>
  <c r="AF215" i="18"/>
  <c r="AE215" i="18"/>
  <c r="AD215" i="18"/>
  <c r="AC215" i="18"/>
  <c r="AB215" i="18"/>
  <c r="AA215" i="18"/>
  <c r="Z215" i="18"/>
  <c r="Y215" i="18"/>
  <c r="X215" i="18"/>
  <c r="W215" i="18"/>
  <c r="V215" i="18"/>
  <c r="U215" i="18"/>
  <c r="T215" i="18"/>
  <c r="S215" i="18"/>
  <c r="R215" i="18"/>
  <c r="Q215" i="18"/>
  <c r="P215" i="18"/>
  <c r="O215" i="18"/>
  <c r="N215" i="18"/>
  <c r="M215" i="18"/>
  <c r="L215" i="18"/>
  <c r="K215" i="18"/>
  <c r="J215" i="18"/>
  <c r="I215" i="18"/>
  <c r="H215" i="18"/>
  <c r="G215" i="18"/>
  <c r="F215" i="18"/>
  <c r="E215" i="18"/>
  <c r="D215" i="18"/>
  <c r="C215" i="18"/>
  <c r="B215" i="18"/>
  <c r="A215" i="18"/>
  <c r="AQ214" i="18"/>
  <c r="AP214" i="18"/>
  <c r="AO214" i="18"/>
  <c r="AN214" i="18"/>
  <c r="AM214" i="18"/>
  <c r="AL214" i="18"/>
  <c r="AK214" i="18"/>
  <c r="AJ214" i="18"/>
  <c r="AI214" i="18"/>
  <c r="AH214" i="18"/>
  <c r="AG214" i="18"/>
  <c r="AF214" i="18"/>
  <c r="AE214" i="18"/>
  <c r="AD214" i="18"/>
  <c r="AC214" i="18"/>
  <c r="AB214" i="18"/>
  <c r="AA214" i="18"/>
  <c r="Z214" i="18"/>
  <c r="Y214" i="18"/>
  <c r="X214" i="18"/>
  <c r="W214" i="18"/>
  <c r="V214" i="18"/>
  <c r="U214" i="18"/>
  <c r="T214" i="18"/>
  <c r="S214" i="18"/>
  <c r="R214" i="18"/>
  <c r="Q214" i="18"/>
  <c r="P214" i="18"/>
  <c r="O214" i="18"/>
  <c r="N214" i="18"/>
  <c r="M214" i="18"/>
  <c r="L214" i="18"/>
  <c r="K214" i="18"/>
  <c r="J214" i="18"/>
  <c r="I214" i="18"/>
  <c r="H214" i="18"/>
  <c r="G214" i="18"/>
  <c r="F214" i="18"/>
  <c r="E214" i="18"/>
  <c r="D214" i="18"/>
  <c r="C214" i="18"/>
  <c r="B214" i="18"/>
  <c r="A214" i="18"/>
  <c r="BN213" i="18"/>
  <c r="BM213" i="18"/>
  <c r="BL213" i="18"/>
  <c r="BK213" i="18"/>
  <c r="BJ213" i="18"/>
  <c r="BI213" i="18"/>
  <c r="BH213" i="18"/>
  <c r="BG213" i="18"/>
  <c r="BF213" i="18"/>
  <c r="BE213" i="18"/>
  <c r="BD213" i="18"/>
  <c r="BC213" i="18"/>
  <c r="BB213" i="18"/>
  <c r="BA213" i="18"/>
  <c r="AZ213" i="18"/>
  <c r="AY213" i="18"/>
  <c r="AX213" i="18"/>
  <c r="AW213" i="18"/>
  <c r="AV213" i="18"/>
  <c r="AU213" i="18"/>
  <c r="AT213" i="18"/>
  <c r="AS213" i="18"/>
  <c r="AR213" i="18"/>
  <c r="AQ213" i="18"/>
  <c r="AP213" i="18"/>
  <c r="AO213" i="18"/>
  <c r="AN213" i="18"/>
  <c r="AM213" i="18"/>
  <c r="AL213" i="18"/>
  <c r="AK213" i="18"/>
  <c r="AJ213" i="18"/>
  <c r="AI213" i="18"/>
  <c r="AH213" i="18"/>
  <c r="AG213" i="18"/>
  <c r="AF213" i="18"/>
  <c r="AE213" i="18"/>
  <c r="AD213" i="18"/>
  <c r="AC213" i="18"/>
  <c r="AB213" i="18"/>
  <c r="AA213" i="18"/>
  <c r="Z213" i="18"/>
  <c r="Y213" i="18"/>
  <c r="X213" i="18"/>
  <c r="W213" i="18"/>
  <c r="V213" i="18"/>
  <c r="U213" i="18"/>
  <c r="T213" i="18"/>
  <c r="S213" i="18"/>
  <c r="R213" i="18"/>
  <c r="Q213" i="18"/>
  <c r="P213" i="18"/>
  <c r="O213" i="18"/>
  <c r="N213" i="18"/>
  <c r="M213" i="18"/>
  <c r="L213" i="18"/>
  <c r="K213" i="18"/>
  <c r="J213" i="18"/>
  <c r="I213" i="18"/>
  <c r="H213" i="18"/>
  <c r="G213" i="18"/>
  <c r="F213" i="18"/>
  <c r="E213" i="18"/>
  <c r="D213" i="18"/>
  <c r="C213" i="18"/>
  <c r="B213" i="18"/>
  <c r="A213" i="18"/>
  <c r="BN212" i="18"/>
  <c r="BM212" i="18"/>
  <c r="BL212" i="18"/>
  <c r="BK212" i="18"/>
  <c r="BJ212" i="18"/>
  <c r="BI212" i="18"/>
  <c r="BH212" i="18"/>
  <c r="BG212" i="18"/>
  <c r="BF212" i="18"/>
  <c r="BE212" i="18"/>
  <c r="BD212" i="18"/>
  <c r="BC212" i="18"/>
  <c r="BB212" i="18"/>
  <c r="BA212" i="18"/>
  <c r="AZ212" i="18"/>
  <c r="AY212" i="18"/>
  <c r="AX212" i="18"/>
  <c r="AW212" i="18"/>
  <c r="AV212" i="18"/>
  <c r="AU212" i="18"/>
  <c r="AT212" i="18"/>
  <c r="AS212" i="18"/>
  <c r="AR212" i="18"/>
  <c r="AQ212" i="18"/>
  <c r="AP212" i="18"/>
  <c r="AO212" i="18"/>
  <c r="AN212" i="18"/>
  <c r="AM212" i="18"/>
  <c r="AL212" i="18"/>
  <c r="AK212" i="18"/>
  <c r="AJ212" i="18"/>
  <c r="AI212" i="18"/>
  <c r="AH212" i="18"/>
  <c r="AG212" i="18"/>
  <c r="AF212" i="18"/>
  <c r="AE212" i="18"/>
  <c r="AD212" i="18"/>
  <c r="AC212" i="18"/>
  <c r="AB212" i="18"/>
  <c r="AA212" i="18"/>
  <c r="Z212" i="18"/>
  <c r="Y212" i="18"/>
  <c r="X212" i="18"/>
  <c r="W212" i="18"/>
  <c r="V212" i="18"/>
  <c r="U212" i="18"/>
  <c r="T212" i="18"/>
  <c r="S212" i="18"/>
  <c r="R212" i="18"/>
  <c r="Q212" i="18"/>
  <c r="P212" i="18"/>
  <c r="O212" i="18"/>
  <c r="N212" i="18"/>
  <c r="M212" i="18"/>
  <c r="L212" i="18"/>
  <c r="K212" i="18"/>
  <c r="J212" i="18"/>
  <c r="I212" i="18"/>
  <c r="H212" i="18"/>
  <c r="G212" i="18"/>
  <c r="F212" i="18"/>
  <c r="E212" i="18"/>
  <c r="D212" i="18"/>
  <c r="C212" i="18"/>
  <c r="B212" i="18"/>
  <c r="A212" i="18"/>
  <c r="BN211" i="18"/>
  <c r="BM211" i="18"/>
  <c r="BL211" i="18"/>
  <c r="BK211" i="18"/>
  <c r="BJ211" i="18"/>
  <c r="BI211" i="18"/>
  <c r="BH211" i="18"/>
  <c r="BG211" i="18"/>
  <c r="BF211" i="18"/>
  <c r="BE211" i="18"/>
  <c r="BD211" i="18"/>
  <c r="BC211" i="18"/>
  <c r="BB211" i="18"/>
  <c r="BA211" i="18"/>
  <c r="AZ211" i="18"/>
  <c r="AY211" i="18"/>
  <c r="AX211" i="18"/>
  <c r="AW211" i="18"/>
  <c r="AV211" i="18"/>
  <c r="AU211" i="18"/>
  <c r="AT211" i="18"/>
  <c r="AS211" i="18"/>
  <c r="AR211" i="18"/>
  <c r="AQ211" i="18"/>
  <c r="AP211" i="18"/>
  <c r="AO211" i="18"/>
  <c r="AN211" i="18"/>
  <c r="AM211" i="18"/>
  <c r="AL211" i="18"/>
  <c r="AK211" i="18"/>
  <c r="AJ211" i="18"/>
  <c r="AI211" i="18"/>
  <c r="AH211" i="18"/>
  <c r="AG211" i="18"/>
  <c r="AF211" i="18"/>
  <c r="AE211" i="18"/>
  <c r="AD211" i="18"/>
  <c r="AC211" i="18"/>
  <c r="AB211" i="18"/>
  <c r="AA211" i="18"/>
  <c r="Z211" i="18"/>
  <c r="Y211" i="18"/>
  <c r="X211" i="18"/>
  <c r="W211" i="18"/>
  <c r="V211" i="18"/>
  <c r="U211" i="18"/>
  <c r="T211" i="18"/>
  <c r="S211" i="18"/>
  <c r="R211" i="18"/>
  <c r="Q211" i="18"/>
  <c r="P211" i="18"/>
  <c r="O211" i="18"/>
  <c r="N211" i="18"/>
  <c r="M211" i="18"/>
  <c r="L211" i="18"/>
  <c r="K211" i="18"/>
  <c r="J211" i="18"/>
  <c r="I211" i="18"/>
  <c r="H211" i="18"/>
  <c r="G211" i="18"/>
  <c r="F211" i="18"/>
  <c r="E211" i="18"/>
  <c r="D211" i="18"/>
  <c r="C211" i="18"/>
  <c r="B211" i="18"/>
  <c r="A211" i="18"/>
  <c r="BG210" i="18"/>
  <c r="BC210" i="18"/>
  <c r="AY210" i="18"/>
  <c r="AV210" i="18"/>
  <c r="AU210" i="18"/>
  <c r="AT210" i="18"/>
  <c r="AS210" i="18"/>
  <c r="AR210" i="18"/>
  <c r="AQ210" i="18"/>
  <c r="AP210" i="18"/>
  <c r="AO210" i="18"/>
  <c r="AN210" i="18"/>
  <c r="AM210" i="18"/>
  <c r="AL210" i="18"/>
  <c r="AK210" i="18"/>
  <c r="AJ210" i="18"/>
  <c r="AI210" i="18"/>
  <c r="AH210" i="18"/>
  <c r="AG210" i="18"/>
  <c r="AF210" i="18"/>
  <c r="AE210" i="18"/>
  <c r="AD210" i="18"/>
  <c r="AC210" i="18"/>
  <c r="AB210" i="18"/>
  <c r="AA210" i="18"/>
  <c r="Z210" i="18"/>
  <c r="Y210" i="18"/>
  <c r="X210" i="18"/>
  <c r="W210" i="18"/>
  <c r="V210" i="18"/>
  <c r="U210" i="18"/>
  <c r="T210" i="18"/>
  <c r="S210" i="18"/>
  <c r="R210" i="18"/>
  <c r="Q210" i="18"/>
  <c r="P210" i="18"/>
  <c r="O210" i="18"/>
  <c r="N210" i="18"/>
  <c r="M210" i="18"/>
  <c r="L210" i="18"/>
  <c r="K210" i="18"/>
  <c r="J210" i="18"/>
  <c r="I210" i="18"/>
  <c r="H210" i="18"/>
  <c r="G210" i="18"/>
  <c r="F210" i="18"/>
  <c r="E210" i="18"/>
  <c r="D210" i="18"/>
  <c r="C210" i="18"/>
  <c r="B210" i="18"/>
  <c r="A210" i="18"/>
  <c r="BG209" i="18"/>
  <c r="BC209" i="18"/>
  <c r="AY209" i="18"/>
  <c r="AV209" i="18"/>
  <c r="AU209" i="18"/>
  <c r="AT209" i="18"/>
  <c r="AS209" i="18"/>
  <c r="AR209" i="18"/>
  <c r="AQ209" i="18"/>
  <c r="AP209" i="18"/>
  <c r="AO209" i="18"/>
  <c r="AN209" i="18"/>
  <c r="AM209" i="18"/>
  <c r="AL209" i="18"/>
  <c r="AK209" i="18"/>
  <c r="AJ209" i="18"/>
  <c r="AI209" i="18"/>
  <c r="AH209" i="18"/>
  <c r="AG209" i="18"/>
  <c r="AF209" i="18"/>
  <c r="AE209" i="18"/>
  <c r="AD209" i="18"/>
  <c r="AC209" i="18"/>
  <c r="AB209" i="18"/>
  <c r="AA209" i="18"/>
  <c r="Z209" i="18"/>
  <c r="Y209" i="18"/>
  <c r="X209" i="18"/>
  <c r="W209" i="18"/>
  <c r="V209" i="18"/>
  <c r="U209" i="18"/>
  <c r="T209" i="18"/>
  <c r="S209" i="18"/>
  <c r="R209" i="18"/>
  <c r="Q209" i="18"/>
  <c r="P209" i="18"/>
  <c r="O209" i="18"/>
  <c r="N209" i="18"/>
  <c r="M209" i="18"/>
  <c r="L209" i="18"/>
  <c r="K209" i="18"/>
  <c r="J209" i="18"/>
  <c r="I209" i="18"/>
  <c r="H209" i="18"/>
  <c r="G209" i="18"/>
  <c r="F209" i="18"/>
  <c r="E209" i="18"/>
  <c r="D209" i="18"/>
  <c r="C209" i="18"/>
  <c r="B209" i="18"/>
  <c r="A209" i="18"/>
  <c r="BN208" i="18"/>
  <c r="BM208" i="18"/>
  <c r="BL208" i="18"/>
  <c r="BK208" i="18"/>
  <c r="BJ208" i="18"/>
  <c r="BI208" i="18"/>
  <c r="BH208" i="18"/>
  <c r="BG208" i="18"/>
  <c r="BF208" i="18"/>
  <c r="BE208" i="18"/>
  <c r="BD208" i="18"/>
  <c r="BC208" i="18"/>
  <c r="BB208" i="18"/>
  <c r="BA208" i="18"/>
  <c r="AZ208" i="18"/>
  <c r="AY208" i="18"/>
  <c r="AX208" i="18"/>
  <c r="AW208" i="18"/>
  <c r="AV208" i="18"/>
  <c r="AU208" i="18"/>
  <c r="AT208" i="18"/>
  <c r="AS208" i="18"/>
  <c r="AR208" i="18"/>
  <c r="AQ208" i="18"/>
  <c r="AP208" i="18"/>
  <c r="AO208" i="18"/>
  <c r="AN208" i="18"/>
  <c r="AM208" i="18"/>
  <c r="AL208" i="18"/>
  <c r="AK208" i="18"/>
  <c r="AJ208" i="18"/>
  <c r="AI208" i="18"/>
  <c r="AH208" i="18"/>
  <c r="AG208" i="18"/>
  <c r="AF208" i="18"/>
  <c r="AE208" i="18"/>
  <c r="AD208" i="18"/>
  <c r="AC208" i="18"/>
  <c r="AB208" i="18"/>
  <c r="AA208" i="18"/>
  <c r="Z208" i="18"/>
  <c r="Y208" i="18"/>
  <c r="X208" i="18"/>
  <c r="W208" i="18"/>
  <c r="V208" i="18"/>
  <c r="U208" i="18"/>
  <c r="T208" i="18"/>
  <c r="S208" i="18"/>
  <c r="R208" i="18"/>
  <c r="Q208" i="18"/>
  <c r="P208" i="18"/>
  <c r="O208" i="18"/>
  <c r="N208" i="18"/>
  <c r="M208" i="18"/>
  <c r="L208" i="18"/>
  <c r="K208" i="18"/>
  <c r="J208" i="18"/>
  <c r="I208" i="18"/>
  <c r="H208" i="18"/>
  <c r="G208" i="18"/>
  <c r="F208" i="18"/>
  <c r="E208" i="18"/>
  <c r="D208" i="18"/>
  <c r="C208" i="18"/>
  <c r="B208" i="18"/>
  <c r="A208" i="18"/>
  <c r="BN207" i="18"/>
  <c r="BM207" i="18"/>
  <c r="BL207" i="18"/>
  <c r="BK207" i="18"/>
  <c r="BJ207" i="18"/>
  <c r="BI207" i="18"/>
  <c r="BH207" i="18"/>
  <c r="BG207" i="18"/>
  <c r="BF207" i="18"/>
  <c r="BE207" i="18"/>
  <c r="BD207" i="18"/>
  <c r="BC207" i="18"/>
  <c r="BB207" i="18"/>
  <c r="BA207" i="18"/>
  <c r="AZ207" i="18"/>
  <c r="AY207" i="18"/>
  <c r="AX207" i="18"/>
  <c r="AW207" i="18"/>
  <c r="AV207" i="18"/>
  <c r="AU207" i="18"/>
  <c r="AT207" i="18"/>
  <c r="AS207" i="18"/>
  <c r="AR207" i="18"/>
  <c r="AQ207" i="18"/>
  <c r="AP207" i="18"/>
  <c r="AO207" i="18"/>
  <c r="AN207" i="18"/>
  <c r="AM207" i="18"/>
  <c r="AL207" i="18"/>
  <c r="AK207" i="18"/>
  <c r="AJ207" i="18"/>
  <c r="AI207" i="18"/>
  <c r="AH207" i="18"/>
  <c r="AG207" i="18"/>
  <c r="AF207" i="18"/>
  <c r="AE207" i="18"/>
  <c r="AD207" i="18"/>
  <c r="AC207" i="18"/>
  <c r="AB207" i="18"/>
  <c r="AA207" i="18"/>
  <c r="Z207" i="18"/>
  <c r="Y207" i="18"/>
  <c r="X207" i="18"/>
  <c r="W207" i="18"/>
  <c r="V207" i="18"/>
  <c r="U207" i="18"/>
  <c r="T207" i="18"/>
  <c r="S207" i="18"/>
  <c r="R207" i="18"/>
  <c r="Q207" i="18"/>
  <c r="P207" i="18"/>
  <c r="O207" i="18"/>
  <c r="N207" i="18"/>
  <c r="M207" i="18"/>
  <c r="L207" i="18"/>
  <c r="K207" i="18"/>
  <c r="J207" i="18"/>
  <c r="I207" i="18"/>
  <c r="H207" i="18"/>
  <c r="G207" i="18"/>
  <c r="F207" i="18"/>
  <c r="E207" i="18"/>
  <c r="D207" i="18"/>
  <c r="C207" i="18"/>
  <c r="B207" i="18"/>
  <c r="A207" i="18"/>
  <c r="BN206" i="18"/>
  <c r="BM206" i="18"/>
  <c r="BL206" i="18"/>
  <c r="BK206" i="18"/>
  <c r="BJ206" i="18"/>
  <c r="BI206" i="18"/>
  <c r="BH206" i="18"/>
  <c r="BG206" i="18"/>
  <c r="BF206" i="18"/>
  <c r="BE206" i="18"/>
  <c r="BD206" i="18"/>
  <c r="BC206" i="18"/>
  <c r="BB206" i="18"/>
  <c r="BA206" i="18"/>
  <c r="AZ206" i="18"/>
  <c r="AY206" i="18"/>
  <c r="AX206" i="18"/>
  <c r="AW206" i="18"/>
  <c r="AV206" i="18"/>
  <c r="AU206" i="18"/>
  <c r="AT206" i="18"/>
  <c r="AS206" i="18"/>
  <c r="AR206" i="18"/>
  <c r="AQ206" i="18"/>
  <c r="AP206" i="18"/>
  <c r="AO206" i="18"/>
  <c r="AN206" i="18"/>
  <c r="AM206" i="18"/>
  <c r="AL206" i="18"/>
  <c r="AK206" i="18"/>
  <c r="AJ206" i="18"/>
  <c r="AI206" i="18"/>
  <c r="AH206" i="18"/>
  <c r="AG206" i="18"/>
  <c r="AF206" i="18"/>
  <c r="AE206" i="18"/>
  <c r="AD206" i="18"/>
  <c r="AC206" i="18"/>
  <c r="AB206" i="18"/>
  <c r="AA206" i="18"/>
  <c r="Z206" i="18"/>
  <c r="Y206" i="18"/>
  <c r="X206" i="18"/>
  <c r="W206" i="18"/>
  <c r="V206" i="18"/>
  <c r="U206" i="18"/>
  <c r="T206" i="18"/>
  <c r="S206" i="18"/>
  <c r="R206" i="18"/>
  <c r="Q206" i="18"/>
  <c r="P206" i="18"/>
  <c r="O206" i="18"/>
  <c r="N206" i="18"/>
  <c r="M206" i="18"/>
  <c r="L206" i="18"/>
  <c r="K206" i="18"/>
  <c r="J206" i="18"/>
  <c r="I206" i="18"/>
  <c r="H206" i="18"/>
  <c r="G206" i="18"/>
  <c r="F206" i="18"/>
  <c r="E206" i="18"/>
  <c r="D206" i="18"/>
  <c r="C206" i="18"/>
  <c r="B206" i="18"/>
  <c r="A206" i="18"/>
  <c r="BG205" i="18"/>
  <c r="BC205" i="18"/>
  <c r="AY205" i="18"/>
  <c r="AV205" i="18"/>
  <c r="AU205" i="18"/>
  <c r="AT205" i="18"/>
  <c r="AS205" i="18"/>
  <c r="AR205" i="18"/>
  <c r="AQ205" i="18"/>
  <c r="AP205" i="18"/>
  <c r="AO205" i="18"/>
  <c r="AN205" i="18"/>
  <c r="AM205" i="18"/>
  <c r="AL205" i="18"/>
  <c r="AK205" i="18"/>
  <c r="AJ205" i="18"/>
  <c r="AI205" i="18"/>
  <c r="AH205" i="18"/>
  <c r="AG205" i="18"/>
  <c r="AF205" i="18"/>
  <c r="AE205" i="18"/>
  <c r="AD205" i="18"/>
  <c r="AC205" i="18"/>
  <c r="AB205" i="18"/>
  <c r="AA205" i="18"/>
  <c r="Z205" i="18"/>
  <c r="Y205" i="18"/>
  <c r="X205" i="18"/>
  <c r="W205" i="18"/>
  <c r="V205" i="18"/>
  <c r="U205" i="18"/>
  <c r="T205" i="18"/>
  <c r="S205" i="18"/>
  <c r="R205" i="18"/>
  <c r="Q205" i="18"/>
  <c r="P205" i="18"/>
  <c r="O205" i="18"/>
  <c r="N205" i="18"/>
  <c r="M205" i="18"/>
  <c r="L205" i="18"/>
  <c r="K205" i="18"/>
  <c r="J205" i="18"/>
  <c r="I205" i="18"/>
  <c r="H205" i="18"/>
  <c r="G205" i="18"/>
  <c r="F205" i="18"/>
  <c r="E205" i="18"/>
  <c r="D205" i="18"/>
  <c r="C205" i="18"/>
  <c r="B205" i="18"/>
  <c r="A205" i="18"/>
  <c r="BN204" i="18"/>
  <c r="BM204" i="18"/>
  <c r="BL204" i="18"/>
  <c r="BK204" i="18"/>
  <c r="BJ204" i="18"/>
  <c r="BI204" i="18"/>
  <c r="BH204" i="18"/>
  <c r="BG204" i="18"/>
  <c r="BF204" i="18"/>
  <c r="BE204" i="18"/>
  <c r="BD204" i="18"/>
  <c r="BC204" i="18"/>
  <c r="BB204" i="18"/>
  <c r="BA204" i="18"/>
  <c r="AZ204" i="18"/>
  <c r="AY204" i="18"/>
  <c r="AX204" i="18"/>
  <c r="AW204" i="18"/>
  <c r="AV204" i="18"/>
  <c r="AU204" i="18"/>
  <c r="AT204" i="18"/>
  <c r="AS204" i="18"/>
  <c r="AR204" i="18"/>
  <c r="AQ204" i="18"/>
  <c r="AP204" i="18"/>
  <c r="AO204" i="18"/>
  <c r="AN204" i="18"/>
  <c r="AM204" i="18"/>
  <c r="AL204" i="18"/>
  <c r="AK204" i="18"/>
  <c r="AJ204" i="18"/>
  <c r="AI204" i="18"/>
  <c r="AH204" i="18"/>
  <c r="AG204" i="18"/>
  <c r="AF204" i="18"/>
  <c r="AE204" i="18"/>
  <c r="AD204" i="18"/>
  <c r="AC204" i="18"/>
  <c r="AB204" i="18"/>
  <c r="AA204" i="18"/>
  <c r="Z204" i="18"/>
  <c r="Y204" i="18"/>
  <c r="X204" i="18"/>
  <c r="W204" i="18"/>
  <c r="V204" i="18"/>
  <c r="U204" i="18"/>
  <c r="T204" i="18"/>
  <c r="S204" i="18"/>
  <c r="R204" i="18"/>
  <c r="Q204" i="18"/>
  <c r="P204" i="18"/>
  <c r="O204" i="18"/>
  <c r="N204" i="18"/>
  <c r="M204" i="18"/>
  <c r="L204" i="18"/>
  <c r="K204" i="18"/>
  <c r="J204" i="18"/>
  <c r="I204" i="18"/>
  <c r="H204" i="18"/>
  <c r="G204" i="18"/>
  <c r="F204" i="18"/>
  <c r="E204" i="18"/>
  <c r="D204" i="18"/>
  <c r="C204" i="18"/>
  <c r="B204" i="18"/>
  <c r="A204" i="18"/>
  <c r="BN203" i="18"/>
  <c r="BM203" i="18"/>
  <c r="BL203" i="18"/>
  <c r="BK203" i="18"/>
  <c r="BJ203" i="18"/>
  <c r="BI203" i="18"/>
  <c r="BH203" i="18"/>
  <c r="BG203" i="18"/>
  <c r="BF203" i="18"/>
  <c r="BE203" i="18"/>
  <c r="BD203" i="18"/>
  <c r="BC203" i="18"/>
  <c r="BB203" i="18"/>
  <c r="BA203" i="18"/>
  <c r="AZ203" i="18"/>
  <c r="AY203" i="18"/>
  <c r="AX203" i="18"/>
  <c r="AW203" i="18"/>
  <c r="AV203" i="18"/>
  <c r="AU203" i="18"/>
  <c r="AT203" i="18"/>
  <c r="AS203" i="18"/>
  <c r="AR203" i="18"/>
  <c r="AQ203" i="18"/>
  <c r="AP203" i="18"/>
  <c r="AO203" i="18"/>
  <c r="AN203" i="18"/>
  <c r="AM203" i="18"/>
  <c r="AL203" i="18"/>
  <c r="AK203" i="18"/>
  <c r="AJ203" i="18"/>
  <c r="AI203" i="18"/>
  <c r="AH203" i="18"/>
  <c r="AG203" i="18"/>
  <c r="AF203" i="18"/>
  <c r="AE203" i="18"/>
  <c r="AD203" i="18"/>
  <c r="AC203" i="18"/>
  <c r="AB203" i="18"/>
  <c r="AA203" i="18"/>
  <c r="Z203" i="18"/>
  <c r="Y203" i="18"/>
  <c r="X203" i="18"/>
  <c r="W203" i="18"/>
  <c r="V203" i="18"/>
  <c r="U203" i="18"/>
  <c r="T203" i="18"/>
  <c r="S203" i="18"/>
  <c r="R203" i="18"/>
  <c r="Q203" i="18"/>
  <c r="P203" i="18"/>
  <c r="O203" i="18"/>
  <c r="N203" i="18"/>
  <c r="M203" i="18"/>
  <c r="L203" i="18"/>
  <c r="K203" i="18"/>
  <c r="J203" i="18"/>
  <c r="I203" i="18"/>
  <c r="H203" i="18"/>
  <c r="G203" i="18"/>
  <c r="F203" i="18"/>
  <c r="E203" i="18"/>
  <c r="D203" i="18"/>
  <c r="C203" i="18"/>
  <c r="B203" i="18"/>
  <c r="A203" i="18"/>
  <c r="BN202" i="18"/>
  <c r="BM202" i="18"/>
  <c r="BL202" i="18"/>
  <c r="BK202" i="18"/>
  <c r="BJ202" i="18"/>
  <c r="BI202" i="18"/>
  <c r="BH202" i="18"/>
  <c r="BG202" i="18"/>
  <c r="BF202" i="18"/>
  <c r="BE202" i="18"/>
  <c r="BD202" i="18"/>
  <c r="BC202" i="18"/>
  <c r="BB202" i="18"/>
  <c r="BA202" i="18"/>
  <c r="AZ202" i="18"/>
  <c r="AY202" i="18"/>
  <c r="AX202" i="18"/>
  <c r="AW202" i="18"/>
  <c r="AV202" i="18"/>
  <c r="AU202" i="18"/>
  <c r="AT202" i="18"/>
  <c r="AS202" i="18"/>
  <c r="AR202" i="18"/>
  <c r="AQ202" i="18"/>
  <c r="AP202" i="18"/>
  <c r="AO202" i="18"/>
  <c r="AN202" i="18"/>
  <c r="AM202" i="18"/>
  <c r="AL202" i="18"/>
  <c r="AK202" i="18"/>
  <c r="AJ202" i="18"/>
  <c r="AI202" i="18"/>
  <c r="AH202" i="18"/>
  <c r="AG202" i="18"/>
  <c r="AF202" i="18"/>
  <c r="AE202" i="18"/>
  <c r="AD202" i="18"/>
  <c r="AC202" i="18"/>
  <c r="AB202" i="18"/>
  <c r="AA202" i="18"/>
  <c r="Z202" i="18"/>
  <c r="Y202" i="18"/>
  <c r="X202" i="18"/>
  <c r="W202" i="18"/>
  <c r="V202" i="18"/>
  <c r="U202" i="18"/>
  <c r="T202" i="18"/>
  <c r="S202" i="18"/>
  <c r="R202" i="18"/>
  <c r="Q202" i="18"/>
  <c r="P202" i="18"/>
  <c r="O202" i="18"/>
  <c r="N202" i="18"/>
  <c r="M202" i="18"/>
  <c r="L202" i="18"/>
  <c r="K202" i="18"/>
  <c r="J202" i="18"/>
  <c r="I202" i="18"/>
  <c r="H202" i="18"/>
  <c r="G202" i="18"/>
  <c r="F202" i="18"/>
  <c r="E202" i="18"/>
  <c r="D202" i="18"/>
  <c r="C202" i="18"/>
  <c r="B202" i="18"/>
  <c r="A202" i="18"/>
  <c r="AR201" i="18"/>
  <c r="AQ201" i="18"/>
  <c r="AP201" i="18"/>
  <c r="AO201" i="18"/>
  <c r="AN201" i="18"/>
  <c r="AM201" i="18"/>
  <c r="AL201" i="18"/>
  <c r="AK201" i="18"/>
  <c r="AJ201" i="18"/>
  <c r="AI201" i="18"/>
  <c r="AH201" i="18"/>
  <c r="AG201" i="18"/>
  <c r="AF201" i="18"/>
  <c r="AE201" i="18"/>
  <c r="AD201" i="18"/>
  <c r="AC201" i="18"/>
  <c r="AB201" i="18"/>
  <c r="AA201" i="18"/>
  <c r="Z201" i="18"/>
  <c r="Y201" i="18"/>
  <c r="X201" i="18"/>
  <c r="W201" i="18"/>
  <c r="V201" i="18"/>
  <c r="U201" i="18"/>
  <c r="T201" i="18"/>
  <c r="S201" i="18"/>
  <c r="R201" i="18"/>
  <c r="Q201" i="18"/>
  <c r="P201" i="18"/>
  <c r="O201" i="18"/>
  <c r="N201" i="18"/>
  <c r="M201" i="18"/>
  <c r="L201" i="18"/>
  <c r="K201" i="18"/>
  <c r="J201" i="18"/>
  <c r="I201" i="18"/>
  <c r="H201" i="18"/>
  <c r="G201" i="18"/>
  <c r="F201" i="18"/>
  <c r="E201" i="18"/>
  <c r="D201" i="18"/>
  <c r="C201" i="18"/>
  <c r="B201" i="18"/>
  <c r="A201" i="18"/>
  <c r="BN200" i="18"/>
  <c r="BM200" i="18"/>
  <c r="BL200" i="18"/>
  <c r="BK200" i="18"/>
  <c r="BJ200" i="18"/>
  <c r="BI200" i="18"/>
  <c r="BH200" i="18"/>
  <c r="BG200" i="18"/>
  <c r="BF200" i="18"/>
  <c r="BE200" i="18"/>
  <c r="BD200" i="18"/>
  <c r="BC200" i="18"/>
  <c r="BB200" i="18"/>
  <c r="BA200" i="18"/>
  <c r="AZ200" i="18"/>
  <c r="AY200" i="18"/>
  <c r="AX200" i="18"/>
  <c r="AW200" i="18"/>
  <c r="AV200" i="18"/>
  <c r="AU200" i="18"/>
  <c r="AT200" i="18"/>
  <c r="AS200" i="18"/>
  <c r="AR200" i="18"/>
  <c r="AQ200" i="18"/>
  <c r="AP200" i="18"/>
  <c r="AO200" i="18"/>
  <c r="AN200" i="18"/>
  <c r="AM200" i="18"/>
  <c r="AL200" i="18"/>
  <c r="AK200" i="18"/>
  <c r="AJ200" i="18"/>
  <c r="AI200" i="18"/>
  <c r="AH200" i="18"/>
  <c r="AG200" i="18"/>
  <c r="AF200" i="18"/>
  <c r="AE200" i="18"/>
  <c r="AD200" i="18"/>
  <c r="AC200" i="18"/>
  <c r="AB200" i="18"/>
  <c r="AA200" i="18"/>
  <c r="Z200" i="18"/>
  <c r="Y200" i="18"/>
  <c r="X200" i="18"/>
  <c r="W200" i="18"/>
  <c r="V200" i="18"/>
  <c r="U200" i="18"/>
  <c r="T200" i="18"/>
  <c r="S200" i="18"/>
  <c r="R200" i="18"/>
  <c r="Q200" i="18"/>
  <c r="P200" i="18"/>
  <c r="O200" i="18"/>
  <c r="N200" i="18"/>
  <c r="M200" i="18"/>
  <c r="L200" i="18"/>
  <c r="K200" i="18"/>
  <c r="J200" i="18"/>
  <c r="I200" i="18"/>
  <c r="H200" i="18"/>
  <c r="G200" i="18"/>
  <c r="F200" i="18"/>
  <c r="E200" i="18"/>
  <c r="D200" i="18"/>
  <c r="C200" i="18"/>
  <c r="B200" i="18"/>
  <c r="A200" i="18"/>
  <c r="BN199" i="18"/>
  <c r="BM199" i="18"/>
  <c r="BL199" i="18"/>
  <c r="BK199" i="18"/>
  <c r="BJ199" i="18"/>
  <c r="BI199" i="18"/>
  <c r="BH199" i="18"/>
  <c r="BG199" i="18"/>
  <c r="BF199" i="18"/>
  <c r="BE199" i="18"/>
  <c r="BD199" i="18"/>
  <c r="BC199" i="18"/>
  <c r="BB199" i="18"/>
  <c r="BA199" i="18"/>
  <c r="AZ199" i="18"/>
  <c r="AY199" i="18"/>
  <c r="AX199" i="18"/>
  <c r="AW199" i="18"/>
  <c r="AV199" i="18"/>
  <c r="AU199" i="18"/>
  <c r="AT199" i="18"/>
  <c r="AS199" i="18"/>
  <c r="AR199" i="18"/>
  <c r="AQ199" i="18"/>
  <c r="AP199" i="18"/>
  <c r="AO199" i="18"/>
  <c r="AN199" i="18"/>
  <c r="AM199" i="18"/>
  <c r="AL199" i="18"/>
  <c r="AK199" i="18"/>
  <c r="AJ199" i="18"/>
  <c r="AI199" i="18"/>
  <c r="AH199" i="18"/>
  <c r="AG199" i="18"/>
  <c r="AF199" i="18"/>
  <c r="AE199" i="18"/>
  <c r="AD199" i="18"/>
  <c r="AC199" i="18"/>
  <c r="AB199" i="18"/>
  <c r="AA199" i="18"/>
  <c r="Z199" i="18"/>
  <c r="Y199" i="18"/>
  <c r="X199" i="18"/>
  <c r="W199" i="18"/>
  <c r="V199" i="18"/>
  <c r="U199" i="18"/>
  <c r="T199" i="18"/>
  <c r="S199" i="18"/>
  <c r="R199" i="18"/>
  <c r="Q199" i="18"/>
  <c r="P199" i="18"/>
  <c r="O199" i="18"/>
  <c r="N199" i="18"/>
  <c r="M199" i="18"/>
  <c r="L199" i="18"/>
  <c r="K199" i="18"/>
  <c r="J199" i="18"/>
  <c r="I199" i="18"/>
  <c r="H199" i="18"/>
  <c r="G199" i="18"/>
  <c r="F199" i="18"/>
  <c r="E199" i="18"/>
  <c r="D199" i="18"/>
  <c r="C199" i="18"/>
  <c r="B199" i="18"/>
  <c r="A199" i="18"/>
  <c r="BN198" i="18"/>
  <c r="BM198" i="18"/>
  <c r="BL198" i="18"/>
  <c r="BK198" i="18"/>
  <c r="BJ198" i="18"/>
  <c r="BI198" i="18"/>
  <c r="BH198" i="18"/>
  <c r="BG198" i="18"/>
  <c r="BF198" i="18"/>
  <c r="BE198" i="18"/>
  <c r="BD198" i="18"/>
  <c r="BC198" i="18"/>
  <c r="BB198" i="18"/>
  <c r="BA198" i="18"/>
  <c r="AZ198" i="18"/>
  <c r="AY198" i="18"/>
  <c r="AX198" i="18"/>
  <c r="AW198" i="18"/>
  <c r="AV198" i="18"/>
  <c r="AU198" i="18"/>
  <c r="AT198" i="18"/>
  <c r="AS198" i="18"/>
  <c r="AR198" i="18"/>
  <c r="AQ198" i="18"/>
  <c r="AP198" i="18"/>
  <c r="AO198" i="18"/>
  <c r="AN198" i="18"/>
  <c r="AM198" i="18"/>
  <c r="AL198" i="18"/>
  <c r="AK198" i="18"/>
  <c r="AJ198" i="18"/>
  <c r="AI198" i="18"/>
  <c r="AH198" i="18"/>
  <c r="AG198" i="18"/>
  <c r="AF198" i="18"/>
  <c r="AE198" i="18"/>
  <c r="AD198" i="18"/>
  <c r="AC198" i="18"/>
  <c r="AB198" i="18"/>
  <c r="AA198" i="18"/>
  <c r="Z198" i="18"/>
  <c r="Y198" i="18"/>
  <c r="X198" i="18"/>
  <c r="W198" i="18"/>
  <c r="V198" i="18"/>
  <c r="U198" i="18"/>
  <c r="T198" i="18"/>
  <c r="S198" i="18"/>
  <c r="R198" i="18"/>
  <c r="Q198" i="18"/>
  <c r="P198" i="18"/>
  <c r="O198" i="18"/>
  <c r="N198" i="18"/>
  <c r="M198" i="18"/>
  <c r="L198" i="18"/>
  <c r="K198" i="18"/>
  <c r="J198" i="18"/>
  <c r="I198" i="18"/>
  <c r="H198" i="18"/>
  <c r="G198" i="18"/>
  <c r="F198" i="18"/>
  <c r="E198" i="18"/>
  <c r="D198" i="18"/>
  <c r="C198" i="18"/>
  <c r="B198" i="18"/>
  <c r="A198" i="18"/>
  <c r="AQ197" i="18"/>
  <c r="AP197" i="18"/>
  <c r="AO197" i="18"/>
  <c r="AN197" i="18"/>
  <c r="AM197" i="18"/>
  <c r="AL197" i="18"/>
  <c r="AK197" i="18"/>
  <c r="AJ197" i="18"/>
  <c r="AI197" i="18"/>
  <c r="AH197" i="18"/>
  <c r="AG197" i="18"/>
  <c r="AF197" i="18"/>
  <c r="AE197" i="18"/>
  <c r="AD197" i="18"/>
  <c r="AC197" i="18"/>
  <c r="AB197" i="18"/>
  <c r="AA197" i="18"/>
  <c r="Z197" i="18"/>
  <c r="Y197" i="18"/>
  <c r="X197" i="18"/>
  <c r="W197" i="18"/>
  <c r="V197" i="18"/>
  <c r="U197" i="18"/>
  <c r="T197" i="18"/>
  <c r="S197" i="18"/>
  <c r="R197" i="18"/>
  <c r="Q197" i="18"/>
  <c r="P197" i="18"/>
  <c r="O197" i="18"/>
  <c r="N197" i="18"/>
  <c r="M197" i="18"/>
  <c r="L197" i="18"/>
  <c r="K197" i="18"/>
  <c r="J197" i="18"/>
  <c r="I197" i="18"/>
  <c r="H197" i="18"/>
  <c r="G197" i="18"/>
  <c r="F197" i="18"/>
  <c r="E197" i="18"/>
  <c r="D197" i="18"/>
  <c r="C197" i="18"/>
  <c r="B197" i="18"/>
  <c r="A197" i="18"/>
  <c r="AQ196" i="18"/>
  <c r="AP196" i="18"/>
  <c r="AO196" i="18"/>
  <c r="AN196" i="18"/>
  <c r="AM196" i="18"/>
  <c r="AL196" i="18"/>
  <c r="AK196" i="18"/>
  <c r="AJ196" i="18"/>
  <c r="AI196" i="18"/>
  <c r="AH196" i="18"/>
  <c r="AG196" i="18"/>
  <c r="AF196" i="18"/>
  <c r="AE196" i="18"/>
  <c r="AD196" i="18"/>
  <c r="AC196" i="18"/>
  <c r="AB196" i="18"/>
  <c r="AA196" i="18"/>
  <c r="Z196" i="18"/>
  <c r="Y196" i="18"/>
  <c r="X196" i="18"/>
  <c r="W196" i="18"/>
  <c r="V196" i="18"/>
  <c r="U196" i="18"/>
  <c r="T196" i="18"/>
  <c r="S196" i="18"/>
  <c r="R196" i="18"/>
  <c r="Q196" i="18"/>
  <c r="P196" i="18"/>
  <c r="O196" i="18"/>
  <c r="N196" i="18"/>
  <c r="M196" i="18"/>
  <c r="L196" i="18"/>
  <c r="K196" i="18"/>
  <c r="J196" i="18"/>
  <c r="I196" i="18"/>
  <c r="H196" i="18"/>
  <c r="G196" i="18"/>
  <c r="F196" i="18"/>
  <c r="E196" i="18"/>
  <c r="D196" i="18"/>
  <c r="C196" i="18"/>
  <c r="B196" i="18"/>
  <c r="A196" i="18"/>
  <c r="BN195" i="18"/>
  <c r="BM195" i="18"/>
  <c r="BL195" i="18"/>
  <c r="BK195" i="18"/>
  <c r="BJ195" i="18"/>
  <c r="BI195" i="18"/>
  <c r="BH195" i="18"/>
  <c r="BG195" i="18"/>
  <c r="BF195" i="18"/>
  <c r="BE195" i="18"/>
  <c r="BD195" i="18"/>
  <c r="BC195" i="18"/>
  <c r="BB195" i="18"/>
  <c r="BA195" i="18"/>
  <c r="AZ195" i="18"/>
  <c r="AY195" i="18"/>
  <c r="AX195" i="18"/>
  <c r="AW195" i="18"/>
  <c r="AV195" i="18"/>
  <c r="AU195" i="18"/>
  <c r="AT195" i="18"/>
  <c r="AS195" i="18"/>
  <c r="AR195" i="18"/>
  <c r="AQ195" i="18"/>
  <c r="AP195" i="18"/>
  <c r="AO195" i="18"/>
  <c r="AN195" i="18"/>
  <c r="AM195" i="18"/>
  <c r="AL195" i="18"/>
  <c r="AK195" i="18"/>
  <c r="AJ195" i="18"/>
  <c r="AI195" i="18"/>
  <c r="AH195" i="18"/>
  <c r="AG195" i="18"/>
  <c r="AF195" i="18"/>
  <c r="AE195" i="18"/>
  <c r="AD195" i="18"/>
  <c r="AC195" i="18"/>
  <c r="AB195" i="18"/>
  <c r="AA195" i="18"/>
  <c r="Z195" i="18"/>
  <c r="Y195" i="18"/>
  <c r="X195" i="18"/>
  <c r="W195" i="18"/>
  <c r="V195" i="18"/>
  <c r="U195" i="18"/>
  <c r="T195" i="18"/>
  <c r="S195" i="18"/>
  <c r="R195" i="18"/>
  <c r="Q195" i="18"/>
  <c r="P195" i="18"/>
  <c r="O195" i="18"/>
  <c r="N195" i="18"/>
  <c r="M195" i="18"/>
  <c r="L195" i="18"/>
  <c r="K195" i="18"/>
  <c r="J195" i="18"/>
  <c r="I195" i="18"/>
  <c r="H195" i="18"/>
  <c r="G195" i="18"/>
  <c r="F195" i="18"/>
  <c r="E195" i="18"/>
  <c r="D195" i="18"/>
  <c r="C195" i="18"/>
  <c r="B195" i="18"/>
  <c r="A195" i="18"/>
  <c r="BN194" i="18"/>
  <c r="BM194" i="18"/>
  <c r="BL194" i="18"/>
  <c r="BK194" i="18"/>
  <c r="BJ194" i="18"/>
  <c r="BI194" i="18"/>
  <c r="BH194" i="18"/>
  <c r="BG194" i="18"/>
  <c r="BF194" i="18"/>
  <c r="BE194" i="18"/>
  <c r="BD194" i="18"/>
  <c r="BC194" i="18"/>
  <c r="BB194" i="18"/>
  <c r="BA194" i="18"/>
  <c r="AZ194" i="18"/>
  <c r="AY194" i="18"/>
  <c r="AX194" i="18"/>
  <c r="AW194" i="18"/>
  <c r="AV194" i="18"/>
  <c r="AU194" i="18"/>
  <c r="AT194" i="18"/>
  <c r="AS194" i="18"/>
  <c r="AR194" i="18"/>
  <c r="AQ194" i="18"/>
  <c r="AP194" i="18"/>
  <c r="AO194" i="18"/>
  <c r="AN194" i="18"/>
  <c r="AM194" i="18"/>
  <c r="AL194" i="18"/>
  <c r="AK194" i="18"/>
  <c r="AJ194" i="18"/>
  <c r="AI194" i="18"/>
  <c r="AH194" i="18"/>
  <c r="AG194" i="18"/>
  <c r="AF194" i="18"/>
  <c r="AE194" i="18"/>
  <c r="AD194" i="18"/>
  <c r="AC194" i="18"/>
  <c r="AB194" i="18"/>
  <c r="AA194" i="18"/>
  <c r="Z194" i="18"/>
  <c r="Y194" i="18"/>
  <c r="X194" i="18"/>
  <c r="W194" i="18"/>
  <c r="V194" i="18"/>
  <c r="U194" i="18"/>
  <c r="T194" i="18"/>
  <c r="S194" i="18"/>
  <c r="R194" i="18"/>
  <c r="Q194" i="18"/>
  <c r="P194" i="18"/>
  <c r="O194" i="18"/>
  <c r="N194" i="18"/>
  <c r="M194" i="18"/>
  <c r="L194" i="18"/>
  <c r="K194" i="18"/>
  <c r="J194" i="18"/>
  <c r="I194" i="18"/>
  <c r="H194" i="18"/>
  <c r="G194" i="18"/>
  <c r="F194" i="18"/>
  <c r="E194" i="18"/>
  <c r="D194" i="18"/>
  <c r="C194" i="18"/>
  <c r="B194" i="18"/>
  <c r="A194" i="18"/>
  <c r="AQ193" i="18"/>
  <c r="AP193" i="18"/>
  <c r="AO193" i="18"/>
  <c r="AN193" i="18"/>
  <c r="AM193" i="18"/>
  <c r="AL193" i="18"/>
  <c r="AK193" i="18"/>
  <c r="AJ193" i="18"/>
  <c r="AI193" i="18"/>
  <c r="AH193" i="18"/>
  <c r="AG193" i="18"/>
  <c r="AF193" i="18"/>
  <c r="AE193" i="18"/>
  <c r="AD193" i="18"/>
  <c r="AC193" i="18"/>
  <c r="AB193" i="18"/>
  <c r="AA193" i="18"/>
  <c r="Z193" i="18"/>
  <c r="Y193" i="18"/>
  <c r="X193" i="18"/>
  <c r="W193" i="18"/>
  <c r="V193" i="18"/>
  <c r="U193" i="18"/>
  <c r="T193" i="18"/>
  <c r="S193" i="18"/>
  <c r="R193" i="18"/>
  <c r="Q193" i="18"/>
  <c r="P193" i="18"/>
  <c r="O193" i="18"/>
  <c r="N193" i="18"/>
  <c r="M193" i="18"/>
  <c r="L193" i="18"/>
  <c r="K193" i="18"/>
  <c r="J193" i="18"/>
  <c r="I193" i="18"/>
  <c r="H193" i="18"/>
  <c r="G193" i="18"/>
  <c r="F193" i="18"/>
  <c r="E193" i="18"/>
  <c r="D193" i="18"/>
  <c r="C193" i="18"/>
  <c r="B193" i="18"/>
  <c r="A193" i="18"/>
  <c r="AQ192" i="18"/>
  <c r="AP192" i="18"/>
  <c r="AO192" i="18"/>
  <c r="AN192" i="18"/>
  <c r="AM192" i="18"/>
  <c r="AL192" i="18"/>
  <c r="AK192" i="18"/>
  <c r="AJ192" i="18"/>
  <c r="AI192" i="18"/>
  <c r="AH192" i="18"/>
  <c r="AG192" i="18"/>
  <c r="AF192" i="18"/>
  <c r="AE192" i="18"/>
  <c r="AD192" i="18"/>
  <c r="AC192" i="18"/>
  <c r="AB192" i="18"/>
  <c r="AA192" i="18"/>
  <c r="Z192" i="18"/>
  <c r="Y192" i="18"/>
  <c r="X192" i="18"/>
  <c r="W192" i="18"/>
  <c r="V192" i="18"/>
  <c r="U192" i="18"/>
  <c r="T192" i="18"/>
  <c r="S192" i="18"/>
  <c r="R192" i="18"/>
  <c r="Q192" i="18"/>
  <c r="P192" i="18"/>
  <c r="O192" i="18"/>
  <c r="N192" i="18"/>
  <c r="M192" i="18"/>
  <c r="L192" i="18"/>
  <c r="K192" i="18"/>
  <c r="J192" i="18"/>
  <c r="I192" i="18"/>
  <c r="H192" i="18"/>
  <c r="G192" i="18"/>
  <c r="F192" i="18"/>
  <c r="E192" i="18"/>
  <c r="D192" i="18"/>
  <c r="C192" i="18"/>
  <c r="B192" i="18"/>
  <c r="A192" i="18"/>
  <c r="AQ191" i="18"/>
  <c r="AP191" i="18"/>
  <c r="AO191" i="18"/>
  <c r="AN191" i="18"/>
  <c r="AM191" i="18"/>
  <c r="AL191" i="18"/>
  <c r="AK191" i="18"/>
  <c r="AJ191" i="18"/>
  <c r="AI191" i="18"/>
  <c r="AH191" i="18"/>
  <c r="AG191" i="18"/>
  <c r="AF191" i="18"/>
  <c r="AE191" i="18"/>
  <c r="AD191" i="18"/>
  <c r="AC191" i="18"/>
  <c r="AB191" i="18"/>
  <c r="AA191" i="18"/>
  <c r="Z191" i="18"/>
  <c r="Y191" i="18"/>
  <c r="X191" i="18"/>
  <c r="W191" i="18"/>
  <c r="V191" i="18"/>
  <c r="U191" i="18"/>
  <c r="T191" i="18"/>
  <c r="S191" i="18"/>
  <c r="R191" i="18"/>
  <c r="Q191" i="18"/>
  <c r="P191" i="18"/>
  <c r="O191" i="18"/>
  <c r="N191" i="18"/>
  <c r="M191" i="18"/>
  <c r="L191" i="18"/>
  <c r="K191" i="18"/>
  <c r="J191" i="18"/>
  <c r="I191" i="18"/>
  <c r="H191" i="18"/>
  <c r="G191" i="18"/>
  <c r="F191" i="18"/>
  <c r="E191" i="18"/>
  <c r="D191" i="18"/>
  <c r="C191" i="18"/>
  <c r="B191" i="18"/>
  <c r="A191" i="18"/>
  <c r="AQ190" i="18"/>
  <c r="AP190" i="18"/>
  <c r="AO190" i="18"/>
  <c r="AN190" i="18"/>
  <c r="AM190" i="18"/>
  <c r="AL190" i="18"/>
  <c r="AK190" i="18"/>
  <c r="AJ190" i="18"/>
  <c r="AI190" i="18"/>
  <c r="AH190" i="18"/>
  <c r="AG190" i="18"/>
  <c r="AF190" i="18"/>
  <c r="AE190" i="18"/>
  <c r="AD190" i="18"/>
  <c r="AC190" i="18"/>
  <c r="AB190" i="18"/>
  <c r="AA190" i="18"/>
  <c r="Z190" i="18"/>
  <c r="Y190" i="18"/>
  <c r="X190" i="18"/>
  <c r="W190" i="18"/>
  <c r="V190" i="18"/>
  <c r="U190" i="18"/>
  <c r="T190" i="18"/>
  <c r="S190" i="18"/>
  <c r="R190" i="18"/>
  <c r="Q190" i="18"/>
  <c r="P190" i="18"/>
  <c r="O190" i="18"/>
  <c r="N190" i="18"/>
  <c r="M190" i="18"/>
  <c r="L190" i="18"/>
  <c r="K190" i="18"/>
  <c r="J190" i="18"/>
  <c r="I190" i="18"/>
  <c r="H190" i="18"/>
  <c r="G190" i="18"/>
  <c r="F190" i="18"/>
  <c r="E190" i="18"/>
  <c r="D190" i="18"/>
  <c r="C190" i="18"/>
  <c r="B190" i="18"/>
  <c r="A190" i="18"/>
  <c r="AQ189" i="18"/>
  <c r="AP189" i="18"/>
  <c r="AO189" i="18"/>
  <c r="AN189" i="18"/>
  <c r="AM189" i="18"/>
  <c r="AL189" i="18"/>
  <c r="AK189" i="18"/>
  <c r="AJ189" i="18"/>
  <c r="AI189" i="18"/>
  <c r="AH189" i="18"/>
  <c r="AG189" i="18"/>
  <c r="AF189" i="18"/>
  <c r="AE189" i="18"/>
  <c r="AD189" i="18"/>
  <c r="AC189" i="18"/>
  <c r="AB189" i="18"/>
  <c r="AA189" i="18"/>
  <c r="Z189" i="18"/>
  <c r="Y189" i="18"/>
  <c r="X189" i="18"/>
  <c r="W189" i="18"/>
  <c r="V189" i="18"/>
  <c r="U189" i="18"/>
  <c r="T189" i="18"/>
  <c r="S189" i="18"/>
  <c r="R189" i="18"/>
  <c r="Q189" i="18"/>
  <c r="P189" i="18"/>
  <c r="O189" i="18"/>
  <c r="N189" i="18"/>
  <c r="M189" i="18"/>
  <c r="L189" i="18"/>
  <c r="K189" i="18"/>
  <c r="J189" i="18"/>
  <c r="I189" i="18"/>
  <c r="H189" i="18"/>
  <c r="G189" i="18"/>
  <c r="F189" i="18"/>
  <c r="E189" i="18"/>
  <c r="D189" i="18"/>
  <c r="C189" i="18"/>
  <c r="B189" i="18"/>
  <c r="A189" i="18"/>
  <c r="BN188" i="18"/>
  <c r="BM188" i="18"/>
  <c r="BL188" i="18"/>
  <c r="BK188" i="18"/>
  <c r="BJ188" i="18"/>
  <c r="BI188" i="18"/>
  <c r="BH188" i="18"/>
  <c r="BG188" i="18"/>
  <c r="BF188" i="18"/>
  <c r="BE188" i="18"/>
  <c r="BD188" i="18"/>
  <c r="BC188" i="18"/>
  <c r="BB188" i="18"/>
  <c r="BA188" i="18"/>
  <c r="AZ188" i="18"/>
  <c r="AY188" i="18"/>
  <c r="AX188" i="18"/>
  <c r="AW188" i="18"/>
  <c r="AV188" i="18"/>
  <c r="AU188" i="18"/>
  <c r="AT188" i="18"/>
  <c r="AS188" i="18"/>
  <c r="AR188" i="18"/>
  <c r="AQ188" i="18"/>
  <c r="AP188" i="18"/>
  <c r="AO188" i="18"/>
  <c r="AN188" i="18"/>
  <c r="AM188" i="18"/>
  <c r="AL188" i="18"/>
  <c r="AK188" i="18"/>
  <c r="AJ188" i="18"/>
  <c r="AI188" i="18"/>
  <c r="AH188" i="18"/>
  <c r="AG188" i="18"/>
  <c r="AF188" i="18"/>
  <c r="AE188" i="18"/>
  <c r="AD188" i="18"/>
  <c r="AC188" i="18"/>
  <c r="AB188" i="18"/>
  <c r="AA188" i="18"/>
  <c r="Z188" i="18"/>
  <c r="Y188" i="18"/>
  <c r="X188" i="18"/>
  <c r="W188" i="18"/>
  <c r="V188" i="18"/>
  <c r="U188" i="18"/>
  <c r="T188" i="18"/>
  <c r="S188" i="18"/>
  <c r="R188" i="18"/>
  <c r="Q188" i="18"/>
  <c r="P188" i="18"/>
  <c r="O188" i="18"/>
  <c r="N188" i="18"/>
  <c r="M188" i="18"/>
  <c r="L188" i="18"/>
  <c r="K188" i="18"/>
  <c r="J188" i="18"/>
  <c r="I188" i="18"/>
  <c r="H188" i="18"/>
  <c r="G188" i="18"/>
  <c r="F188" i="18"/>
  <c r="E188" i="18"/>
  <c r="D188" i="18"/>
  <c r="C188" i="18"/>
  <c r="B188" i="18"/>
  <c r="A188" i="18"/>
  <c r="BN187" i="18"/>
  <c r="BM187" i="18"/>
  <c r="BL187" i="18"/>
  <c r="BK187" i="18"/>
  <c r="BJ187" i="18"/>
  <c r="BI187" i="18"/>
  <c r="BH187" i="18"/>
  <c r="BG187" i="18"/>
  <c r="BF187" i="18"/>
  <c r="BE187" i="18"/>
  <c r="BD187" i="18"/>
  <c r="BC187" i="18"/>
  <c r="BB187" i="18"/>
  <c r="BA187" i="18"/>
  <c r="AZ187" i="18"/>
  <c r="AY187" i="18"/>
  <c r="AX187" i="18"/>
  <c r="AW187" i="18"/>
  <c r="AV187" i="18"/>
  <c r="AU187" i="18"/>
  <c r="AT187" i="18"/>
  <c r="AS187" i="18"/>
  <c r="AR187" i="18"/>
  <c r="AQ187" i="18"/>
  <c r="AP187" i="18"/>
  <c r="AO187" i="18"/>
  <c r="AN187" i="18"/>
  <c r="AM187" i="18"/>
  <c r="AL187" i="18"/>
  <c r="AK187" i="18"/>
  <c r="AJ187" i="18"/>
  <c r="AI187" i="18"/>
  <c r="AH187" i="18"/>
  <c r="AG187" i="18"/>
  <c r="AF187" i="18"/>
  <c r="AE187" i="18"/>
  <c r="AD187" i="18"/>
  <c r="AC187" i="18"/>
  <c r="AB187" i="18"/>
  <c r="AA187" i="18"/>
  <c r="Z187" i="18"/>
  <c r="Y187" i="18"/>
  <c r="X187" i="18"/>
  <c r="W187" i="18"/>
  <c r="V187" i="18"/>
  <c r="U187" i="18"/>
  <c r="T187" i="18"/>
  <c r="S187" i="18"/>
  <c r="R187" i="18"/>
  <c r="Q187" i="18"/>
  <c r="P187" i="18"/>
  <c r="O187" i="18"/>
  <c r="N187" i="18"/>
  <c r="M187" i="18"/>
  <c r="L187" i="18"/>
  <c r="K187" i="18"/>
  <c r="J187" i="18"/>
  <c r="I187" i="18"/>
  <c r="H187" i="18"/>
  <c r="G187" i="18"/>
  <c r="F187" i="18"/>
  <c r="E187" i="18"/>
  <c r="D187" i="18"/>
  <c r="C187" i="18"/>
  <c r="B187" i="18"/>
  <c r="A187" i="18"/>
  <c r="BN186" i="18"/>
  <c r="BM186" i="18"/>
  <c r="BL186" i="18"/>
  <c r="BK186" i="18"/>
  <c r="BJ186" i="18"/>
  <c r="BI186" i="18"/>
  <c r="BH186" i="18"/>
  <c r="BG186" i="18"/>
  <c r="BF186" i="18"/>
  <c r="BE186" i="18"/>
  <c r="BD186" i="18"/>
  <c r="BC186" i="18"/>
  <c r="BB186" i="18"/>
  <c r="BA186" i="18"/>
  <c r="AZ186" i="18"/>
  <c r="AY186" i="18"/>
  <c r="AX186" i="18"/>
  <c r="AW186" i="18"/>
  <c r="AV186" i="18"/>
  <c r="AU186" i="18"/>
  <c r="AT186" i="18"/>
  <c r="AS186" i="18"/>
  <c r="AR186" i="18"/>
  <c r="AQ186" i="18"/>
  <c r="AP186" i="18"/>
  <c r="AO186" i="18"/>
  <c r="AN186" i="18"/>
  <c r="AM186" i="18"/>
  <c r="AL186" i="18"/>
  <c r="AK186" i="18"/>
  <c r="AJ186" i="18"/>
  <c r="AI186" i="18"/>
  <c r="AH186" i="18"/>
  <c r="AG186" i="18"/>
  <c r="AF186" i="18"/>
  <c r="AE186" i="18"/>
  <c r="AD186" i="18"/>
  <c r="AC186" i="18"/>
  <c r="AB186" i="18"/>
  <c r="AA186" i="18"/>
  <c r="Z186" i="18"/>
  <c r="Y186" i="18"/>
  <c r="X186" i="18"/>
  <c r="W186" i="18"/>
  <c r="V186" i="18"/>
  <c r="U186" i="18"/>
  <c r="T186" i="18"/>
  <c r="S186" i="18"/>
  <c r="R186" i="18"/>
  <c r="Q186" i="18"/>
  <c r="P186" i="18"/>
  <c r="O186" i="18"/>
  <c r="N186" i="18"/>
  <c r="M186" i="18"/>
  <c r="L186" i="18"/>
  <c r="K186" i="18"/>
  <c r="J186" i="18"/>
  <c r="I186" i="18"/>
  <c r="H186" i="18"/>
  <c r="G186" i="18"/>
  <c r="F186" i="18"/>
  <c r="E186" i="18"/>
  <c r="D186" i="18"/>
  <c r="C186" i="18"/>
  <c r="B186" i="18"/>
  <c r="A186" i="18"/>
  <c r="AR185" i="18"/>
  <c r="AQ185" i="18"/>
  <c r="AP185" i="18"/>
  <c r="AO185" i="18"/>
  <c r="AN185" i="18"/>
  <c r="AM185" i="18"/>
  <c r="AL185" i="18"/>
  <c r="AK185" i="18"/>
  <c r="AJ185" i="18"/>
  <c r="AI185" i="18"/>
  <c r="AH185" i="18"/>
  <c r="AG185" i="18"/>
  <c r="AF185" i="18"/>
  <c r="AE185" i="18"/>
  <c r="AD185" i="18"/>
  <c r="AC185" i="18"/>
  <c r="AB185" i="18"/>
  <c r="AA185" i="18"/>
  <c r="Z185" i="18"/>
  <c r="Y185" i="18"/>
  <c r="X185" i="18"/>
  <c r="W185" i="18"/>
  <c r="V185" i="18"/>
  <c r="U185" i="18"/>
  <c r="T185" i="18"/>
  <c r="S185" i="18"/>
  <c r="R185" i="18"/>
  <c r="Q185" i="18"/>
  <c r="P185" i="18"/>
  <c r="O185" i="18"/>
  <c r="N185" i="18"/>
  <c r="M185" i="18"/>
  <c r="L185" i="18"/>
  <c r="K185" i="18"/>
  <c r="J185" i="18"/>
  <c r="I185" i="18"/>
  <c r="H185" i="18"/>
  <c r="G185" i="18"/>
  <c r="F185" i="18"/>
  <c r="E185" i="18"/>
  <c r="D185" i="18"/>
  <c r="C185" i="18"/>
  <c r="B185" i="18"/>
  <c r="A185" i="18"/>
  <c r="AR184" i="18"/>
  <c r="AQ184" i="18"/>
  <c r="AP184" i="18"/>
  <c r="AO184" i="18"/>
  <c r="AN184" i="18"/>
  <c r="AM184" i="18"/>
  <c r="AL184" i="18"/>
  <c r="AK184" i="18"/>
  <c r="AJ184" i="18"/>
  <c r="AI184" i="18"/>
  <c r="AH184" i="18"/>
  <c r="AG184" i="18"/>
  <c r="AF184" i="18"/>
  <c r="AE184" i="18"/>
  <c r="AD184" i="18"/>
  <c r="AC184" i="18"/>
  <c r="AB184" i="18"/>
  <c r="AA184" i="18"/>
  <c r="Z184" i="18"/>
  <c r="Y184" i="18"/>
  <c r="X184" i="18"/>
  <c r="W184" i="18"/>
  <c r="V184" i="18"/>
  <c r="U184" i="18"/>
  <c r="T184" i="18"/>
  <c r="S184" i="18"/>
  <c r="R184" i="18"/>
  <c r="Q184" i="18"/>
  <c r="P184" i="18"/>
  <c r="O184" i="18"/>
  <c r="N184" i="18"/>
  <c r="M184" i="18"/>
  <c r="L184" i="18"/>
  <c r="K184" i="18"/>
  <c r="J184" i="18"/>
  <c r="I184" i="18"/>
  <c r="H184" i="18"/>
  <c r="G184" i="18"/>
  <c r="F184" i="18"/>
  <c r="E184" i="18"/>
  <c r="D184" i="18"/>
  <c r="C184" i="18"/>
  <c r="B184" i="18"/>
  <c r="A184" i="18"/>
  <c r="AR183" i="18"/>
  <c r="AQ183" i="18"/>
  <c r="AP183" i="18"/>
  <c r="AO183" i="18"/>
  <c r="AN183" i="18"/>
  <c r="AM183" i="18"/>
  <c r="AL183" i="18"/>
  <c r="AK183" i="18"/>
  <c r="AJ183" i="18"/>
  <c r="AI183" i="18"/>
  <c r="AH183" i="18"/>
  <c r="AG183" i="18"/>
  <c r="AF183" i="18"/>
  <c r="AE183" i="18"/>
  <c r="AD183" i="18"/>
  <c r="AC183" i="18"/>
  <c r="AB183" i="18"/>
  <c r="AA183" i="18"/>
  <c r="Z183" i="18"/>
  <c r="Y183" i="18"/>
  <c r="X183" i="18"/>
  <c r="W183" i="18"/>
  <c r="V183" i="18"/>
  <c r="U183" i="18"/>
  <c r="T183" i="18"/>
  <c r="S183" i="18"/>
  <c r="R183" i="18"/>
  <c r="Q183" i="18"/>
  <c r="P183" i="18"/>
  <c r="O183" i="18"/>
  <c r="N183" i="18"/>
  <c r="M183" i="18"/>
  <c r="L183" i="18"/>
  <c r="K183" i="18"/>
  <c r="J183" i="18"/>
  <c r="I183" i="18"/>
  <c r="H183" i="18"/>
  <c r="G183" i="18"/>
  <c r="F183" i="18"/>
  <c r="E183" i="18"/>
  <c r="D183" i="18"/>
  <c r="C183" i="18"/>
  <c r="B183" i="18"/>
  <c r="A183" i="18"/>
  <c r="AR182" i="18"/>
  <c r="AQ182" i="18"/>
  <c r="AP182" i="18"/>
  <c r="AO182" i="18"/>
  <c r="AN182" i="18"/>
  <c r="AM182" i="18"/>
  <c r="AL182" i="18"/>
  <c r="AK182" i="18"/>
  <c r="AJ182" i="18"/>
  <c r="AI182" i="18"/>
  <c r="AH182" i="18"/>
  <c r="AG182" i="18"/>
  <c r="AF182" i="18"/>
  <c r="AE182" i="18"/>
  <c r="AD182" i="18"/>
  <c r="AC182" i="18"/>
  <c r="AB182" i="18"/>
  <c r="AA182" i="18"/>
  <c r="Z182" i="18"/>
  <c r="Y182" i="18"/>
  <c r="X182" i="18"/>
  <c r="W182" i="18"/>
  <c r="V182" i="18"/>
  <c r="U182" i="18"/>
  <c r="T182" i="18"/>
  <c r="S182" i="18"/>
  <c r="R182" i="18"/>
  <c r="Q182" i="18"/>
  <c r="P182" i="18"/>
  <c r="O182" i="18"/>
  <c r="N182" i="18"/>
  <c r="M182" i="18"/>
  <c r="L182" i="18"/>
  <c r="K182" i="18"/>
  <c r="J182" i="18"/>
  <c r="I182" i="18"/>
  <c r="H182" i="18"/>
  <c r="G182" i="18"/>
  <c r="F182" i="18"/>
  <c r="E182" i="18"/>
  <c r="D182" i="18"/>
  <c r="C182" i="18"/>
  <c r="B182" i="18"/>
  <c r="A182" i="18"/>
  <c r="AR181" i="18"/>
  <c r="AQ181" i="18"/>
  <c r="AP181" i="18"/>
  <c r="AO181" i="18"/>
  <c r="AN181" i="18"/>
  <c r="AM181" i="18"/>
  <c r="AL181" i="18"/>
  <c r="AK181" i="18"/>
  <c r="AJ181" i="18"/>
  <c r="AI181" i="18"/>
  <c r="AH181" i="18"/>
  <c r="AG181" i="18"/>
  <c r="AF181" i="18"/>
  <c r="AE181" i="18"/>
  <c r="AD181" i="18"/>
  <c r="AC181" i="18"/>
  <c r="AB181" i="18"/>
  <c r="AA181" i="18"/>
  <c r="Z181" i="18"/>
  <c r="Y181" i="18"/>
  <c r="X181" i="18"/>
  <c r="W181" i="18"/>
  <c r="V181" i="18"/>
  <c r="U181" i="18"/>
  <c r="T181" i="18"/>
  <c r="S181" i="18"/>
  <c r="R181" i="18"/>
  <c r="Q181" i="18"/>
  <c r="P181" i="18"/>
  <c r="O181" i="18"/>
  <c r="N181" i="18"/>
  <c r="M181" i="18"/>
  <c r="L181" i="18"/>
  <c r="K181" i="18"/>
  <c r="J181" i="18"/>
  <c r="I181" i="18"/>
  <c r="H181" i="18"/>
  <c r="G181" i="18"/>
  <c r="F181" i="18"/>
  <c r="E181" i="18"/>
  <c r="D181" i="18"/>
  <c r="C181" i="18"/>
  <c r="B181" i="18"/>
  <c r="A181" i="18"/>
  <c r="AR180" i="18"/>
  <c r="AQ180" i="18"/>
  <c r="AP180" i="18"/>
  <c r="AO180" i="18"/>
  <c r="AN180" i="18"/>
  <c r="AM180" i="18"/>
  <c r="AL180" i="18"/>
  <c r="AK180" i="18"/>
  <c r="AJ180" i="18"/>
  <c r="AI180" i="18"/>
  <c r="AH180" i="18"/>
  <c r="AG180" i="18"/>
  <c r="AF180" i="18"/>
  <c r="AE180" i="18"/>
  <c r="AD180" i="18"/>
  <c r="AC180" i="18"/>
  <c r="AB180" i="18"/>
  <c r="AA180" i="18"/>
  <c r="Z180" i="18"/>
  <c r="Y180" i="18"/>
  <c r="X180" i="18"/>
  <c r="W180" i="18"/>
  <c r="V180" i="18"/>
  <c r="U180" i="18"/>
  <c r="T180" i="18"/>
  <c r="S180" i="18"/>
  <c r="R180" i="18"/>
  <c r="Q180" i="18"/>
  <c r="P180" i="18"/>
  <c r="O180" i="18"/>
  <c r="N180" i="18"/>
  <c r="M180" i="18"/>
  <c r="L180" i="18"/>
  <c r="K180" i="18"/>
  <c r="J180" i="18"/>
  <c r="I180" i="18"/>
  <c r="H180" i="18"/>
  <c r="G180" i="18"/>
  <c r="F180" i="18"/>
  <c r="E180" i="18"/>
  <c r="D180" i="18"/>
  <c r="C180" i="18"/>
  <c r="B180" i="18"/>
  <c r="A180" i="18"/>
  <c r="BN179" i="18"/>
  <c r="BM179" i="18"/>
  <c r="BL179" i="18"/>
  <c r="BK179" i="18"/>
  <c r="BJ179" i="18"/>
  <c r="BI179" i="18"/>
  <c r="BH179" i="18"/>
  <c r="BG179" i="18"/>
  <c r="BF179" i="18"/>
  <c r="BE179" i="18"/>
  <c r="BD179" i="18"/>
  <c r="BC179" i="18"/>
  <c r="BB179" i="18"/>
  <c r="BA179" i="18"/>
  <c r="AZ179" i="18"/>
  <c r="AY179" i="18"/>
  <c r="AX179" i="18"/>
  <c r="AW179" i="18"/>
  <c r="AV179" i="18"/>
  <c r="AU179" i="18"/>
  <c r="AT179" i="18"/>
  <c r="AS179" i="18"/>
  <c r="AR179" i="18"/>
  <c r="AQ179" i="18"/>
  <c r="AP179" i="18"/>
  <c r="AO179" i="18"/>
  <c r="AN179" i="18"/>
  <c r="AM179" i="18"/>
  <c r="AL179" i="18"/>
  <c r="AK179" i="18"/>
  <c r="AJ179" i="18"/>
  <c r="AI179" i="18"/>
  <c r="AH179" i="18"/>
  <c r="AG179" i="18"/>
  <c r="AF179" i="18"/>
  <c r="AE179" i="18"/>
  <c r="AD179" i="18"/>
  <c r="AC179" i="18"/>
  <c r="AB179" i="18"/>
  <c r="AA179" i="18"/>
  <c r="Z179" i="18"/>
  <c r="Y179" i="18"/>
  <c r="X179" i="18"/>
  <c r="W179" i="18"/>
  <c r="V179" i="18"/>
  <c r="U179" i="18"/>
  <c r="T179" i="18"/>
  <c r="S179" i="18"/>
  <c r="R179" i="18"/>
  <c r="Q179" i="18"/>
  <c r="P179" i="18"/>
  <c r="O179" i="18"/>
  <c r="N179" i="18"/>
  <c r="M179" i="18"/>
  <c r="L179" i="18"/>
  <c r="K179" i="18"/>
  <c r="J179" i="18"/>
  <c r="I179" i="18"/>
  <c r="H179" i="18"/>
  <c r="G179" i="18"/>
  <c r="F179" i="18"/>
  <c r="E179" i="18"/>
  <c r="D179" i="18"/>
  <c r="C179" i="18"/>
  <c r="B179" i="18"/>
  <c r="A179" i="18"/>
  <c r="BN178" i="18"/>
  <c r="BM178" i="18"/>
  <c r="BL178" i="18"/>
  <c r="BK178" i="18"/>
  <c r="BJ178" i="18"/>
  <c r="BI178" i="18"/>
  <c r="BH178" i="18"/>
  <c r="BG178" i="18"/>
  <c r="BF178" i="18"/>
  <c r="BE178" i="18"/>
  <c r="BD178" i="18"/>
  <c r="BC178" i="18"/>
  <c r="BB178" i="18"/>
  <c r="BA178" i="18"/>
  <c r="AZ178" i="18"/>
  <c r="AY178" i="18"/>
  <c r="AX178" i="18"/>
  <c r="AW178" i="18"/>
  <c r="AV178" i="18"/>
  <c r="AU178" i="18"/>
  <c r="AT178" i="18"/>
  <c r="AS178" i="18"/>
  <c r="AR178" i="18"/>
  <c r="AQ178" i="18"/>
  <c r="AP178" i="18"/>
  <c r="AO178" i="18"/>
  <c r="AN178" i="18"/>
  <c r="AM178" i="18"/>
  <c r="AL178" i="18"/>
  <c r="AK178" i="18"/>
  <c r="AJ178" i="18"/>
  <c r="AI178" i="18"/>
  <c r="AH178" i="18"/>
  <c r="AG178" i="18"/>
  <c r="AF178" i="18"/>
  <c r="AE178" i="18"/>
  <c r="AD178" i="18"/>
  <c r="AC178" i="18"/>
  <c r="AB178" i="18"/>
  <c r="AA178" i="18"/>
  <c r="Z178" i="18"/>
  <c r="Y178" i="18"/>
  <c r="X178" i="18"/>
  <c r="W178" i="18"/>
  <c r="V178" i="18"/>
  <c r="U178" i="18"/>
  <c r="T178" i="18"/>
  <c r="S178" i="18"/>
  <c r="R178" i="18"/>
  <c r="Q178" i="18"/>
  <c r="P178" i="18"/>
  <c r="O178" i="18"/>
  <c r="N178" i="18"/>
  <c r="M178" i="18"/>
  <c r="L178" i="18"/>
  <c r="K178" i="18"/>
  <c r="J178" i="18"/>
  <c r="I178" i="18"/>
  <c r="H178" i="18"/>
  <c r="G178" i="18"/>
  <c r="F178" i="18"/>
  <c r="E178" i="18"/>
  <c r="D178" i="18"/>
  <c r="C178" i="18"/>
  <c r="B178" i="18"/>
  <c r="A178" i="18"/>
  <c r="BN177" i="18"/>
  <c r="BM177" i="18"/>
  <c r="BL177" i="18"/>
  <c r="BK177" i="18"/>
  <c r="BJ177" i="18"/>
  <c r="BI177" i="18"/>
  <c r="BH177" i="18"/>
  <c r="BG177" i="18"/>
  <c r="BF177" i="18"/>
  <c r="BE177" i="18"/>
  <c r="BD177" i="18"/>
  <c r="BC177" i="18"/>
  <c r="BB177" i="18"/>
  <c r="BA177" i="18"/>
  <c r="AZ177" i="18"/>
  <c r="AY177" i="18"/>
  <c r="AX177" i="18"/>
  <c r="AW177" i="18"/>
  <c r="AV177" i="18"/>
  <c r="AU177" i="18"/>
  <c r="AT177" i="18"/>
  <c r="AS177" i="18"/>
  <c r="AR177" i="18"/>
  <c r="AQ177" i="18"/>
  <c r="AP177" i="18"/>
  <c r="AO177" i="18"/>
  <c r="AN177" i="18"/>
  <c r="AM177" i="18"/>
  <c r="AL177" i="18"/>
  <c r="AK177" i="18"/>
  <c r="AJ177" i="18"/>
  <c r="AI177" i="18"/>
  <c r="AH177" i="18"/>
  <c r="AG177" i="18"/>
  <c r="AF177" i="18"/>
  <c r="AE177" i="18"/>
  <c r="AD177" i="18"/>
  <c r="AC177" i="18"/>
  <c r="AB177" i="18"/>
  <c r="AA177" i="18"/>
  <c r="Z177" i="18"/>
  <c r="Y177" i="18"/>
  <c r="X177" i="18"/>
  <c r="W177" i="18"/>
  <c r="V177" i="18"/>
  <c r="U177" i="18"/>
  <c r="T177" i="18"/>
  <c r="S177" i="18"/>
  <c r="R177" i="18"/>
  <c r="Q177" i="18"/>
  <c r="P177" i="18"/>
  <c r="O177" i="18"/>
  <c r="N177" i="18"/>
  <c r="M177" i="18"/>
  <c r="L177" i="18"/>
  <c r="K177" i="18"/>
  <c r="J177" i="18"/>
  <c r="I177" i="18"/>
  <c r="H177" i="18"/>
  <c r="G177" i="18"/>
  <c r="F177" i="18"/>
  <c r="E177" i="18"/>
  <c r="D177" i="18"/>
  <c r="C177" i="18"/>
  <c r="B177" i="18"/>
  <c r="A177" i="18"/>
  <c r="CI176" i="18"/>
  <c r="CH176" i="18"/>
  <c r="CG176" i="18"/>
  <c r="CF176" i="18"/>
  <c r="CE176" i="18"/>
  <c r="CD176" i="18"/>
  <c r="CC176" i="18"/>
  <c r="CB176" i="18"/>
  <c r="CA176" i="18"/>
  <c r="BZ176" i="18"/>
  <c r="BY176" i="18"/>
  <c r="AR176" i="18"/>
  <c r="AQ176" i="18"/>
  <c r="AP176" i="18"/>
  <c r="AO176" i="18"/>
  <c r="AN176" i="18"/>
  <c r="AM176" i="18"/>
  <c r="AL176" i="18"/>
  <c r="AK176" i="18"/>
  <c r="AJ176" i="18"/>
  <c r="AI176" i="18"/>
  <c r="AH176" i="18"/>
  <c r="AG176" i="18"/>
  <c r="AF176" i="18"/>
  <c r="AE176" i="18"/>
  <c r="AD176" i="18"/>
  <c r="AC176" i="18"/>
  <c r="AB176" i="18"/>
  <c r="AA176" i="18"/>
  <c r="Z176" i="18"/>
  <c r="Y176" i="18"/>
  <c r="X176" i="18"/>
  <c r="W176" i="18"/>
  <c r="V176" i="18"/>
  <c r="U176" i="18"/>
  <c r="T176" i="18"/>
  <c r="S176" i="18"/>
  <c r="R176" i="18"/>
  <c r="Q176" i="18"/>
  <c r="P176" i="18"/>
  <c r="O176" i="18"/>
  <c r="N176" i="18"/>
  <c r="M176" i="18"/>
  <c r="L176" i="18"/>
  <c r="K176" i="18"/>
  <c r="J176" i="18"/>
  <c r="I176" i="18"/>
  <c r="H176" i="18"/>
  <c r="G176" i="18"/>
  <c r="F176" i="18"/>
  <c r="E176" i="18"/>
  <c r="D176" i="18"/>
  <c r="C176" i="18"/>
  <c r="B176" i="18"/>
  <c r="A176" i="18"/>
  <c r="CJ175" i="18"/>
  <c r="CI175" i="18"/>
  <c r="CH175" i="18"/>
  <c r="CG175" i="18"/>
  <c r="CF175" i="18"/>
  <c r="CE175" i="18"/>
  <c r="CD175" i="18"/>
  <c r="CC175" i="18"/>
  <c r="CB175" i="18"/>
  <c r="CA175" i="18"/>
  <c r="BZ175" i="18"/>
  <c r="BY175" i="18"/>
  <c r="AY175" i="18"/>
  <c r="AV175" i="18"/>
  <c r="AU175" i="18"/>
  <c r="AT175" i="18"/>
  <c r="AS175" i="18"/>
  <c r="AR175" i="18"/>
  <c r="AQ175" i="18"/>
  <c r="AP175" i="18"/>
  <c r="AO175" i="18"/>
  <c r="AN175" i="18"/>
  <c r="AM175" i="18"/>
  <c r="AL175" i="18"/>
  <c r="AK175" i="18"/>
  <c r="AJ175" i="18"/>
  <c r="AI175" i="18"/>
  <c r="AH175" i="18"/>
  <c r="AG175" i="18"/>
  <c r="AF175" i="18"/>
  <c r="AE175" i="18"/>
  <c r="AD175" i="18"/>
  <c r="AC175" i="18"/>
  <c r="AB175" i="18"/>
  <c r="AA175" i="18"/>
  <c r="Z175" i="18"/>
  <c r="Y175" i="18"/>
  <c r="X175" i="18"/>
  <c r="W175" i="18"/>
  <c r="V175" i="18"/>
  <c r="U175" i="18"/>
  <c r="T175" i="18"/>
  <c r="S175" i="18"/>
  <c r="R175" i="18"/>
  <c r="Q175" i="18"/>
  <c r="P175" i="18"/>
  <c r="O175" i="18"/>
  <c r="N175" i="18"/>
  <c r="M175" i="18"/>
  <c r="L175" i="18"/>
  <c r="K175" i="18"/>
  <c r="J175" i="18"/>
  <c r="I175" i="18"/>
  <c r="H175" i="18"/>
  <c r="G175" i="18"/>
  <c r="F175" i="18"/>
  <c r="E175" i="18"/>
  <c r="D175" i="18"/>
  <c r="C175" i="18"/>
  <c r="B175" i="18"/>
  <c r="A175" i="18"/>
  <c r="CJ174" i="18"/>
  <c r="CI174" i="18"/>
  <c r="CH174" i="18"/>
  <c r="CG174" i="18"/>
  <c r="CF174" i="18"/>
  <c r="CE174" i="18"/>
  <c r="CD174" i="18"/>
  <c r="CC174" i="18"/>
  <c r="CB174" i="18"/>
  <c r="CA174" i="18"/>
  <c r="BZ174" i="18"/>
  <c r="BY174" i="18"/>
  <c r="AY174" i="18"/>
  <c r="AV174" i="18"/>
  <c r="AU174" i="18"/>
  <c r="AT174" i="18"/>
  <c r="AS174" i="18"/>
  <c r="AR174" i="18"/>
  <c r="AQ174" i="18"/>
  <c r="AP174" i="18"/>
  <c r="AO174" i="18"/>
  <c r="AN174" i="18"/>
  <c r="AM174" i="18"/>
  <c r="AL174" i="18"/>
  <c r="AK174" i="18"/>
  <c r="AJ174" i="18"/>
  <c r="AI174" i="18"/>
  <c r="AH174" i="18"/>
  <c r="AG174" i="18"/>
  <c r="AF174" i="18"/>
  <c r="AE174" i="18"/>
  <c r="AD174" i="18"/>
  <c r="AC174" i="18"/>
  <c r="AB174" i="18"/>
  <c r="AA174" i="18"/>
  <c r="Z174" i="18"/>
  <c r="Y174" i="18"/>
  <c r="X174" i="18"/>
  <c r="W174" i="18"/>
  <c r="V174" i="18"/>
  <c r="U174" i="18"/>
  <c r="T174" i="18"/>
  <c r="S174" i="18"/>
  <c r="R174" i="18"/>
  <c r="Q174" i="18"/>
  <c r="P174" i="18"/>
  <c r="O174" i="18"/>
  <c r="N174" i="18"/>
  <c r="M174" i="18"/>
  <c r="L174" i="18"/>
  <c r="K174" i="18"/>
  <c r="J174" i="18"/>
  <c r="I174" i="18"/>
  <c r="H174" i="18"/>
  <c r="G174" i="18"/>
  <c r="F174" i="18"/>
  <c r="E174" i="18"/>
  <c r="D174" i="18"/>
  <c r="C174" i="18"/>
  <c r="B174" i="18"/>
  <c r="A174" i="18"/>
  <c r="CJ173" i="18"/>
  <c r="CI173" i="18"/>
  <c r="CH173" i="18"/>
  <c r="CG173" i="18"/>
  <c r="CF173" i="18"/>
  <c r="CE173" i="18"/>
  <c r="CD173" i="18"/>
  <c r="CC173" i="18"/>
  <c r="CB173" i="18"/>
  <c r="CA173" i="18"/>
  <c r="BZ173" i="18"/>
  <c r="BY173" i="18"/>
  <c r="BT173" i="18"/>
  <c r="BS173" i="18"/>
  <c r="BR173" i="18"/>
  <c r="BQ173" i="18"/>
  <c r="BP173" i="18"/>
  <c r="BO173" i="18"/>
  <c r="BN173" i="18"/>
  <c r="BM173" i="18"/>
  <c r="BL173" i="18"/>
  <c r="BK173" i="18"/>
  <c r="BJ173" i="18"/>
  <c r="BI173" i="18"/>
  <c r="BH173" i="18"/>
  <c r="BG173" i="18"/>
  <c r="BF173" i="18"/>
  <c r="BE173" i="18"/>
  <c r="BD173" i="18"/>
  <c r="BC173" i="18"/>
  <c r="BB173" i="18"/>
  <c r="BA173" i="18"/>
  <c r="AZ173" i="18"/>
  <c r="AY173" i="18"/>
  <c r="AV173" i="18"/>
  <c r="AU173" i="18"/>
  <c r="AT173" i="18"/>
  <c r="AS173" i="18"/>
  <c r="AR173" i="18"/>
  <c r="AQ173" i="18"/>
  <c r="AP173" i="18"/>
  <c r="AO173" i="18"/>
  <c r="AN173" i="18"/>
  <c r="AM173" i="18"/>
  <c r="AL173" i="18"/>
  <c r="AK173" i="18"/>
  <c r="AJ173" i="18"/>
  <c r="AI173" i="18"/>
  <c r="AH173" i="18"/>
  <c r="AG173" i="18"/>
  <c r="AF173" i="18"/>
  <c r="AE173" i="18"/>
  <c r="AD173" i="18"/>
  <c r="AC173" i="18"/>
  <c r="AB173" i="18"/>
  <c r="AA173" i="18"/>
  <c r="Z173" i="18"/>
  <c r="Y173" i="18"/>
  <c r="X173" i="18"/>
  <c r="W173" i="18"/>
  <c r="V173" i="18"/>
  <c r="U173" i="18"/>
  <c r="T173" i="18"/>
  <c r="S173" i="18"/>
  <c r="R173" i="18"/>
  <c r="Q173" i="18"/>
  <c r="P173" i="18"/>
  <c r="O173" i="18"/>
  <c r="N173" i="18"/>
  <c r="M173" i="18"/>
  <c r="L173" i="18"/>
  <c r="K173" i="18"/>
  <c r="J173" i="18"/>
  <c r="I173" i="18"/>
  <c r="H173" i="18"/>
  <c r="G173" i="18"/>
  <c r="F173" i="18"/>
  <c r="E173" i="18"/>
  <c r="D173" i="18"/>
  <c r="C173" i="18"/>
  <c r="B173" i="18"/>
  <c r="A173" i="18"/>
  <c r="CX172" i="18"/>
  <c r="CW172" i="18"/>
  <c r="CV172" i="18"/>
  <c r="CU172" i="18"/>
  <c r="CT172" i="18"/>
  <c r="CS172" i="18"/>
  <c r="CR172" i="18"/>
  <c r="CQ172" i="18"/>
  <c r="CJ172" i="18"/>
  <c r="CI172" i="18"/>
  <c r="CH172" i="18"/>
  <c r="CG172" i="18"/>
  <c r="CF172" i="18"/>
  <c r="CE172" i="18"/>
  <c r="CD172" i="18"/>
  <c r="CC172" i="18"/>
  <c r="CB172" i="18"/>
  <c r="CA172" i="18"/>
  <c r="BZ172" i="18"/>
  <c r="BY172" i="18"/>
  <c r="BX172" i="18"/>
  <c r="BW172" i="18"/>
  <c r="BV172" i="18"/>
  <c r="BU172" i="18"/>
  <c r="BT172" i="18"/>
  <c r="BS172" i="18"/>
  <c r="BR172" i="18"/>
  <c r="AY172" i="18"/>
  <c r="AV172" i="18"/>
  <c r="AU172" i="18"/>
  <c r="AT172" i="18"/>
  <c r="AS172" i="18"/>
  <c r="AR172" i="18"/>
  <c r="AQ172" i="18"/>
  <c r="AP172" i="18"/>
  <c r="AO172" i="18"/>
  <c r="AN172" i="18"/>
  <c r="AM172" i="18"/>
  <c r="AL172" i="18"/>
  <c r="AK172" i="18"/>
  <c r="AJ172" i="18"/>
  <c r="AI172" i="18"/>
  <c r="AH172" i="18"/>
  <c r="AG172" i="18"/>
  <c r="AF172" i="18"/>
  <c r="AE172" i="18"/>
  <c r="AD172" i="18"/>
  <c r="AC172" i="18"/>
  <c r="AB172" i="18"/>
  <c r="AA172" i="18"/>
  <c r="Z172" i="18"/>
  <c r="Y172" i="18"/>
  <c r="X172" i="18"/>
  <c r="W172" i="18"/>
  <c r="V172" i="18"/>
  <c r="U172" i="18"/>
  <c r="T172" i="18"/>
  <c r="S172" i="18"/>
  <c r="R172" i="18"/>
  <c r="Q172" i="18"/>
  <c r="P172" i="18"/>
  <c r="O172" i="18"/>
  <c r="N172" i="18"/>
  <c r="M172" i="18"/>
  <c r="L172" i="18"/>
  <c r="K172" i="18"/>
  <c r="J172" i="18"/>
  <c r="I172" i="18"/>
  <c r="H172" i="18"/>
  <c r="G172" i="18"/>
  <c r="F172" i="18"/>
  <c r="E172" i="18"/>
  <c r="D172" i="18"/>
  <c r="C172" i="18"/>
  <c r="B172" i="18"/>
  <c r="A172" i="18"/>
  <c r="CX171" i="18"/>
  <c r="CW171" i="18"/>
  <c r="CV171" i="18"/>
  <c r="CU171" i="18"/>
  <c r="CT171" i="18"/>
  <c r="CS171" i="18"/>
  <c r="CR171" i="18"/>
  <c r="CQ171" i="18"/>
  <c r="CP171" i="18"/>
  <c r="CO171" i="18"/>
  <c r="CN171" i="18"/>
  <c r="CM171" i="18"/>
  <c r="CL171" i="18"/>
  <c r="CK171" i="18"/>
  <c r="CJ171" i="18"/>
  <c r="CI171" i="18"/>
  <c r="CH171" i="18"/>
  <c r="CG171" i="18"/>
  <c r="CF171" i="18"/>
  <c r="CE171" i="18"/>
  <c r="CD171" i="18"/>
  <c r="CC171" i="18"/>
  <c r="CB171" i="18"/>
  <c r="CA171" i="18"/>
  <c r="BZ171" i="18"/>
  <c r="BY171" i="18"/>
  <c r="BX171" i="18"/>
  <c r="BW171" i="18"/>
  <c r="BV171" i="18"/>
  <c r="BU171" i="18"/>
  <c r="BT171" i="18"/>
  <c r="BS171" i="18"/>
  <c r="BR171" i="18"/>
  <c r="BQ171" i="18"/>
  <c r="BP171" i="18"/>
  <c r="BO171" i="18"/>
  <c r="BN171" i="18"/>
  <c r="BM171" i="18"/>
  <c r="BL171" i="18"/>
  <c r="BK171" i="18"/>
  <c r="BJ171" i="18"/>
  <c r="BI171" i="18"/>
  <c r="BH171" i="18"/>
  <c r="BG171" i="18"/>
  <c r="BF171" i="18"/>
  <c r="BE171" i="18"/>
  <c r="BD171" i="18"/>
  <c r="BC171" i="18"/>
  <c r="BB171" i="18"/>
  <c r="BA171" i="18"/>
  <c r="AZ171" i="18"/>
  <c r="AY171" i="18"/>
  <c r="AX171" i="18"/>
  <c r="AW171" i="18"/>
  <c r="AV171" i="18"/>
  <c r="AU171" i="18"/>
  <c r="AT171" i="18"/>
  <c r="AS171" i="18"/>
  <c r="AR171" i="18"/>
  <c r="AQ171" i="18"/>
  <c r="AP171" i="18"/>
  <c r="AO171" i="18"/>
  <c r="AN171" i="18"/>
  <c r="AM171" i="18"/>
  <c r="AL171" i="18"/>
  <c r="AK171" i="18"/>
  <c r="AJ171" i="18"/>
  <c r="AI171" i="18"/>
  <c r="AH171" i="18"/>
  <c r="AG171" i="18"/>
  <c r="AF171" i="18"/>
  <c r="AE171" i="18"/>
  <c r="AD171" i="18"/>
  <c r="AC171" i="18"/>
  <c r="AB171" i="18"/>
  <c r="AA171" i="18"/>
  <c r="Z171" i="18"/>
  <c r="Y171" i="18"/>
  <c r="X171" i="18"/>
  <c r="W171" i="18"/>
  <c r="V171" i="18"/>
  <c r="U171" i="18"/>
  <c r="T171" i="18"/>
  <c r="S171" i="18"/>
  <c r="R171" i="18"/>
  <c r="Q171" i="18"/>
  <c r="P171" i="18"/>
  <c r="O171" i="18"/>
  <c r="N171" i="18"/>
  <c r="M171" i="18"/>
  <c r="L171" i="18"/>
  <c r="K171" i="18"/>
  <c r="J171" i="18"/>
  <c r="I171" i="18"/>
  <c r="H171" i="18"/>
  <c r="G171" i="18"/>
  <c r="F171" i="18"/>
  <c r="E171" i="18"/>
  <c r="D171" i="18"/>
  <c r="C171" i="18"/>
  <c r="B171" i="18"/>
  <c r="A171" i="18"/>
  <c r="CJ170" i="18"/>
  <c r="CI170" i="18"/>
  <c r="CH170" i="18"/>
  <c r="CG170" i="18"/>
  <c r="CF170" i="18"/>
  <c r="CE170" i="18"/>
  <c r="CD170" i="18"/>
  <c r="CC170" i="18"/>
  <c r="CB170" i="18"/>
  <c r="CA170" i="18"/>
  <c r="BZ170" i="18"/>
  <c r="BY170" i="18"/>
  <c r="BG170" i="18"/>
  <c r="BC170" i="18"/>
  <c r="AY170" i="18"/>
  <c r="AV170" i="18"/>
  <c r="AU170" i="18"/>
  <c r="AT170" i="18"/>
  <c r="AS170" i="18"/>
  <c r="AR170" i="18"/>
  <c r="AQ170" i="18"/>
  <c r="AP170" i="18"/>
  <c r="AO170" i="18"/>
  <c r="AN170" i="18"/>
  <c r="AM170" i="18"/>
  <c r="AL170" i="18"/>
  <c r="AK170" i="18"/>
  <c r="AJ170" i="18"/>
  <c r="AI170" i="18"/>
  <c r="AH170" i="18"/>
  <c r="AG170" i="18"/>
  <c r="AF170" i="18"/>
  <c r="AE170" i="18"/>
  <c r="AD170" i="18"/>
  <c r="AC170" i="18"/>
  <c r="AB170" i="18"/>
  <c r="AA170" i="18"/>
  <c r="Z170" i="18"/>
  <c r="Y170" i="18"/>
  <c r="X170" i="18"/>
  <c r="W170" i="18"/>
  <c r="V170" i="18"/>
  <c r="U170" i="18"/>
  <c r="T170" i="18"/>
  <c r="S170" i="18"/>
  <c r="R170" i="18"/>
  <c r="Q170" i="18"/>
  <c r="P170" i="18"/>
  <c r="O170" i="18"/>
  <c r="N170" i="18"/>
  <c r="M170" i="18"/>
  <c r="L170" i="18"/>
  <c r="K170" i="18"/>
  <c r="J170" i="18"/>
  <c r="I170" i="18"/>
  <c r="H170" i="18"/>
  <c r="G170" i="18"/>
  <c r="F170" i="18"/>
  <c r="E170" i="18"/>
  <c r="D170" i="18"/>
  <c r="C170" i="18"/>
  <c r="B170" i="18"/>
  <c r="A170" i="18"/>
  <c r="CX169" i="18"/>
  <c r="CW169" i="18"/>
  <c r="CV169" i="18"/>
  <c r="CU169" i="18"/>
  <c r="CT169" i="18"/>
  <c r="CS169" i="18"/>
  <c r="CR169" i="18"/>
  <c r="CQ169" i="18"/>
  <c r="CP169" i="18"/>
  <c r="CO169" i="18"/>
  <c r="CN169" i="18"/>
  <c r="CM169" i="18"/>
  <c r="CL169" i="18"/>
  <c r="CK169" i="18"/>
  <c r="CJ169" i="18"/>
  <c r="CI169" i="18"/>
  <c r="CH169" i="18"/>
  <c r="CG169" i="18"/>
  <c r="CF169" i="18"/>
  <c r="CE169" i="18"/>
  <c r="CD169" i="18"/>
  <c r="CC169" i="18"/>
  <c r="CB169" i="18"/>
  <c r="CA169" i="18"/>
  <c r="BZ169" i="18"/>
  <c r="BY169" i="18"/>
  <c r="BX169" i="18"/>
  <c r="BW169" i="18"/>
  <c r="BV169" i="18"/>
  <c r="BU169" i="18"/>
  <c r="BT169" i="18"/>
  <c r="BS169" i="18"/>
  <c r="BR169" i="18"/>
  <c r="BQ169" i="18"/>
  <c r="BP169" i="18"/>
  <c r="BO169" i="18"/>
  <c r="BN169" i="18"/>
  <c r="BM169" i="18"/>
  <c r="BL169" i="18"/>
  <c r="BK169" i="18"/>
  <c r="BJ169" i="18"/>
  <c r="BI169" i="18"/>
  <c r="BH169" i="18"/>
  <c r="BG169" i="18"/>
  <c r="BF169" i="18"/>
  <c r="BE169" i="18"/>
  <c r="BD169" i="18"/>
  <c r="BC169" i="18"/>
  <c r="BB169" i="18"/>
  <c r="BA169" i="18"/>
  <c r="AZ169" i="18"/>
  <c r="AY169" i="18"/>
  <c r="AX169" i="18"/>
  <c r="AW169" i="18"/>
  <c r="AV169" i="18"/>
  <c r="AU169" i="18"/>
  <c r="AT169" i="18"/>
  <c r="AS169" i="18"/>
  <c r="AR169" i="18"/>
  <c r="AQ169" i="18"/>
  <c r="AP169" i="18"/>
  <c r="AO169" i="18"/>
  <c r="AN169" i="18"/>
  <c r="AM169" i="18"/>
  <c r="AL169" i="18"/>
  <c r="AK169" i="18"/>
  <c r="AJ169" i="18"/>
  <c r="AI169" i="18"/>
  <c r="AH169" i="18"/>
  <c r="AG169" i="18"/>
  <c r="AF169" i="18"/>
  <c r="AE169" i="18"/>
  <c r="AD169" i="18"/>
  <c r="AC169" i="18"/>
  <c r="AB169" i="18"/>
  <c r="AA169" i="18"/>
  <c r="Z169" i="18"/>
  <c r="Y169" i="18"/>
  <c r="X169" i="18"/>
  <c r="W169" i="18"/>
  <c r="V169" i="18"/>
  <c r="U169" i="18"/>
  <c r="T169" i="18"/>
  <c r="S169" i="18"/>
  <c r="R169" i="18"/>
  <c r="Q169" i="18"/>
  <c r="P169" i="18"/>
  <c r="O169" i="18"/>
  <c r="N169" i="18"/>
  <c r="M169" i="18"/>
  <c r="L169" i="18"/>
  <c r="K169" i="18"/>
  <c r="J169" i="18"/>
  <c r="I169" i="18"/>
  <c r="H169" i="18"/>
  <c r="G169" i="18"/>
  <c r="F169" i="18"/>
  <c r="E169" i="18"/>
  <c r="D169" i="18"/>
  <c r="C169" i="18"/>
  <c r="B169" i="18"/>
  <c r="A169" i="18"/>
  <c r="CX168" i="18"/>
  <c r="CW168" i="18"/>
  <c r="CV168" i="18"/>
  <c r="CU168" i="18"/>
  <c r="CT168" i="18"/>
  <c r="CS168" i="18"/>
  <c r="CR168" i="18"/>
  <c r="CQ168" i="18"/>
  <c r="CP168" i="18"/>
  <c r="CO168" i="18"/>
  <c r="CN168" i="18"/>
  <c r="CM168" i="18"/>
  <c r="CL168" i="18"/>
  <c r="CK168" i="18"/>
  <c r="CJ168" i="18"/>
  <c r="CI168" i="18"/>
  <c r="CH168" i="18"/>
  <c r="CG168" i="18"/>
  <c r="CF168" i="18"/>
  <c r="CE168" i="18"/>
  <c r="CD168" i="18"/>
  <c r="CC168" i="18"/>
  <c r="CB168" i="18"/>
  <c r="CA168" i="18"/>
  <c r="BZ168" i="18"/>
  <c r="BY168" i="18"/>
  <c r="BX168" i="18"/>
  <c r="BW168" i="18"/>
  <c r="BV168" i="18"/>
  <c r="BU168" i="18"/>
  <c r="BT168" i="18"/>
  <c r="BS168" i="18"/>
  <c r="BR168" i="18"/>
  <c r="BQ168" i="18"/>
  <c r="BP168" i="18"/>
  <c r="BO168" i="18"/>
  <c r="BN168" i="18"/>
  <c r="BM168" i="18"/>
  <c r="BL168" i="18"/>
  <c r="BK168" i="18"/>
  <c r="BJ168" i="18"/>
  <c r="BI168" i="18"/>
  <c r="BH168" i="18"/>
  <c r="BG168" i="18"/>
  <c r="BF168" i="18"/>
  <c r="BE168" i="18"/>
  <c r="BD168" i="18"/>
  <c r="BC168" i="18"/>
  <c r="BB168" i="18"/>
  <c r="BA168" i="18"/>
  <c r="AZ168" i="18"/>
  <c r="AY168" i="18"/>
  <c r="AX168" i="18"/>
  <c r="AW168" i="18"/>
  <c r="AV168" i="18"/>
  <c r="AU168" i="18"/>
  <c r="AT168" i="18"/>
  <c r="AS168" i="18"/>
  <c r="AR168" i="18"/>
  <c r="AQ168" i="18"/>
  <c r="AP168" i="18"/>
  <c r="AO168" i="18"/>
  <c r="AN168" i="18"/>
  <c r="AM168" i="18"/>
  <c r="AL168" i="18"/>
  <c r="AK168" i="18"/>
  <c r="AJ168" i="18"/>
  <c r="AI168" i="18"/>
  <c r="AH168" i="18"/>
  <c r="AG168" i="18"/>
  <c r="AF168" i="18"/>
  <c r="AE168" i="18"/>
  <c r="AD168" i="18"/>
  <c r="AC168" i="18"/>
  <c r="AB168" i="18"/>
  <c r="AA168" i="18"/>
  <c r="Z168" i="18"/>
  <c r="Y168" i="18"/>
  <c r="X168" i="18"/>
  <c r="W168" i="18"/>
  <c r="V168" i="18"/>
  <c r="U168" i="18"/>
  <c r="T168" i="18"/>
  <c r="S168" i="18"/>
  <c r="R168" i="18"/>
  <c r="Q168" i="18"/>
  <c r="P168" i="18"/>
  <c r="O168" i="18"/>
  <c r="N168" i="18"/>
  <c r="M168" i="18"/>
  <c r="L168" i="18"/>
  <c r="K168" i="18"/>
  <c r="J168" i="18"/>
  <c r="I168" i="18"/>
  <c r="H168" i="18"/>
  <c r="G168" i="18"/>
  <c r="F168" i="18"/>
  <c r="E168" i="18"/>
  <c r="D168" i="18"/>
  <c r="C168" i="18"/>
  <c r="B168" i="18"/>
  <c r="A168" i="18"/>
  <c r="CH166" i="18"/>
  <c r="CG166" i="18"/>
  <c r="CF166" i="18"/>
  <c r="CE166" i="18"/>
  <c r="CD166" i="18"/>
  <c r="CC166" i="18"/>
  <c r="CB166" i="18"/>
  <c r="CA166" i="18"/>
  <c r="BZ166" i="18"/>
  <c r="BY166" i="18"/>
  <c r="AQ166" i="18"/>
  <c r="AP166" i="18"/>
  <c r="AO166" i="18"/>
  <c r="AN166" i="18"/>
  <c r="AM166" i="18"/>
  <c r="AL166" i="18"/>
  <c r="AK166" i="18"/>
  <c r="AJ166" i="18"/>
  <c r="AI166" i="18"/>
  <c r="AH166" i="18"/>
  <c r="AG166" i="18"/>
  <c r="AF166" i="18"/>
  <c r="AE166" i="18"/>
  <c r="AD166" i="18"/>
  <c r="AC166" i="18"/>
  <c r="AB166" i="18"/>
  <c r="AA166" i="18"/>
  <c r="Z166" i="18"/>
  <c r="Y166" i="18"/>
  <c r="X166" i="18"/>
  <c r="W166" i="18"/>
  <c r="V166" i="18"/>
  <c r="U166" i="18"/>
  <c r="T166" i="18"/>
  <c r="S166" i="18"/>
  <c r="R166" i="18"/>
  <c r="Q166" i="18"/>
  <c r="P166" i="18"/>
  <c r="O166" i="18"/>
  <c r="N166" i="18"/>
  <c r="M166" i="18"/>
  <c r="L166" i="18"/>
  <c r="K166" i="18"/>
  <c r="J166" i="18"/>
  <c r="I166" i="18"/>
  <c r="H166" i="18"/>
  <c r="G166" i="18"/>
  <c r="F166" i="18"/>
  <c r="E166" i="18"/>
  <c r="D166" i="18"/>
  <c r="C166" i="18"/>
  <c r="B166" i="18"/>
  <c r="A166" i="18"/>
  <c r="CH165" i="18"/>
  <c r="CG165" i="18"/>
  <c r="CF165" i="18"/>
  <c r="CE165" i="18"/>
  <c r="CD165" i="18"/>
  <c r="CC165" i="18"/>
  <c r="CB165" i="18"/>
  <c r="CA165" i="18"/>
  <c r="BZ165" i="18"/>
  <c r="BY165" i="18"/>
  <c r="AQ165" i="18"/>
  <c r="AP165" i="18"/>
  <c r="AO165" i="18"/>
  <c r="AN165" i="18"/>
  <c r="AM165" i="18"/>
  <c r="AL165" i="18"/>
  <c r="AK165" i="18"/>
  <c r="AJ165" i="18"/>
  <c r="AI165" i="18"/>
  <c r="AH165" i="18"/>
  <c r="AG165" i="18"/>
  <c r="AF165" i="18"/>
  <c r="AE165" i="18"/>
  <c r="AD165" i="18"/>
  <c r="AC165" i="18"/>
  <c r="AB165" i="18"/>
  <c r="AA165" i="18"/>
  <c r="Z165" i="18"/>
  <c r="Y165" i="18"/>
  <c r="X165" i="18"/>
  <c r="W165" i="18"/>
  <c r="V165" i="18"/>
  <c r="U165" i="18"/>
  <c r="T165" i="18"/>
  <c r="S165" i="18"/>
  <c r="R165" i="18"/>
  <c r="Q165" i="18"/>
  <c r="P165" i="18"/>
  <c r="O165" i="18"/>
  <c r="N165" i="18"/>
  <c r="M165" i="18"/>
  <c r="L165" i="18"/>
  <c r="K165" i="18"/>
  <c r="J165" i="18"/>
  <c r="I165" i="18"/>
  <c r="H165" i="18"/>
  <c r="G165" i="18"/>
  <c r="F165" i="18"/>
  <c r="E165" i="18"/>
  <c r="D165" i="18"/>
  <c r="C165" i="18"/>
  <c r="B165" i="18"/>
  <c r="A165" i="18"/>
  <c r="CX164" i="18"/>
  <c r="CW164" i="18"/>
  <c r="CV164" i="18"/>
  <c r="CU164" i="18"/>
  <c r="CT164" i="18"/>
  <c r="CS164" i="18"/>
  <c r="CR164" i="18"/>
  <c r="CQ164" i="18"/>
  <c r="CP164" i="18"/>
  <c r="CO164" i="18"/>
  <c r="CN164" i="18"/>
  <c r="CM164" i="18"/>
  <c r="CL164" i="18"/>
  <c r="CK164" i="18"/>
  <c r="CJ164" i="18"/>
  <c r="CI164" i="18"/>
  <c r="CH164" i="18"/>
  <c r="CG164" i="18"/>
  <c r="CF164" i="18"/>
  <c r="CE164" i="18"/>
  <c r="CD164" i="18"/>
  <c r="CC164" i="18"/>
  <c r="CB164" i="18"/>
  <c r="CA164" i="18"/>
  <c r="BZ164" i="18"/>
  <c r="BY164" i="18"/>
  <c r="BX164" i="18"/>
  <c r="BW164" i="18"/>
  <c r="BV164" i="18"/>
  <c r="BU164" i="18"/>
  <c r="BT164" i="18"/>
  <c r="BS164" i="18"/>
  <c r="BR164" i="18"/>
  <c r="BQ164" i="18"/>
  <c r="BP164" i="18"/>
  <c r="BO164" i="18"/>
  <c r="BN164" i="18"/>
  <c r="BM164" i="18"/>
  <c r="BL164" i="18"/>
  <c r="BK164" i="18"/>
  <c r="BJ164" i="18"/>
  <c r="BI164" i="18"/>
  <c r="BH164" i="18"/>
  <c r="BG164" i="18"/>
  <c r="BF164" i="18"/>
  <c r="BE164" i="18"/>
  <c r="BD164" i="18"/>
  <c r="BC164" i="18"/>
  <c r="BB164" i="18"/>
  <c r="BA164" i="18"/>
  <c r="AZ164" i="18"/>
  <c r="AY164" i="18"/>
  <c r="AX164" i="18"/>
  <c r="AW164" i="18"/>
  <c r="AV164" i="18"/>
  <c r="AU164" i="18"/>
  <c r="AT164" i="18"/>
  <c r="AS164" i="18"/>
  <c r="AR164" i="18"/>
  <c r="AQ164" i="18"/>
  <c r="AP164" i="18"/>
  <c r="AO164" i="18"/>
  <c r="AN164" i="18"/>
  <c r="AM164" i="18"/>
  <c r="AL164" i="18"/>
  <c r="AK164" i="18"/>
  <c r="AJ164" i="18"/>
  <c r="AI164" i="18"/>
  <c r="AH164" i="18"/>
  <c r="AG164" i="18"/>
  <c r="AF164" i="18"/>
  <c r="AE164" i="18"/>
  <c r="AD164" i="18"/>
  <c r="AC164" i="18"/>
  <c r="AB164" i="18"/>
  <c r="AA164" i="18"/>
  <c r="Z164" i="18"/>
  <c r="Y164" i="18"/>
  <c r="X164" i="18"/>
  <c r="W164" i="18"/>
  <c r="V164" i="18"/>
  <c r="U164" i="18"/>
  <c r="T164" i="18"/>
  <c r="S164" i="18"/>
  <c r="R164" i="18"/>
  <c r="Q164" i="18"/>
  <c r="P164" i="18"/>
  <c r="O164" i="18"/>
  <c r="N164" i="18"/>
  <c r="M164" i="18"/>
  <c r="L164" i="18"/>
  <c r="K164" i="18"/>
  <c r="J164" i="18"/>
  <c r="I164" i="18"/>
  <c r="H164" i="18"/>
  <c r="G164" i="18"/>
  <c r="F164" i="18"/>
  <c r="E164" i="18"/>
  <c r="D164" i="18"/>
  <c r="C164" i="18"/>
  <c r="B164" i="18"/>
  <c r="A164" i="18"/>
  <c r="CH163" i="18"/>
  <c r="CG163" i="18"/>
  <c r="CF163" i="18"/>
  <c r="CE163" i="18"/>
  <c r="CD163" i="18"/>
  <c r="CC163" i="18"/>
  <c r="CB163" i="18"/>
  <c r="CA163" i="18"/>
  <c r="BZ163" i="18"/>
  <c r="BY163" i="18"/>
  <c r="AQ163" i="18"/>
  <c r="AP163" i="18"/>
  <c r="AO163" i="18"/>
  <c r="AN163" i="18"/>
  <c r="AM163" i="18"/>
  <c r="AL163" i="18"/>
  <c r="AK163" i="18"/>
  <c r="AJ163" i="18"/>
  <c r="AI163" i="18"/>
  <c r="AH163" i="18"/>
  <c r="AG163" i="18"/>
  <c r="AF163" i="18"/>
  <c r="AE163" i="18"/>
  <c r="AD163" i="18"/>
  <c r="AC163" i="18"/>
  <c r="AB163" i="18"/>
  <c r="AA163" i="18"/>
  <c r="Z163" i="18"/>
  <c r="Y163" i="18"/>
  <c r="X163" i="18"/>
  <c r="W163" i="18"/>
  <c r="V163" i="18"/>
  <c r="U163" i="18"/>
  <c r="T163" i="18"/>
  <c r="S163" i="18"/>
  <c r="R163" i="18"/>
  <c r="Q163" i="18"/>
  <c r="P163" i="18"/>
  <c r="O163" i="18"/>
  <c r="N163" i="18"/>
  <c r="M163" i="18"/>
  <c r="L163" i="18"/>
  <c r="K163" i="18"/>
  <c r="J163" i="18"/>
  <c r="I163" i="18"/>
  <c r="H163" i="18"/>
  <c r="G163" i="18"/>
  <c r="F163" i="18"/>
  <c r="E163" i="18"/>
  <c r="D163" i="18"/>
  <c r="C163" i="18"/>
  <c r="B163" i="18"/>
  <c r="A163" i="18"/>
  <c r="CH162" i="18"/>
  <c r="CG162" i="18"/>
  <c r="CF162" i="18"/>
  <c r="CE162" i="18"/>
  <c r="CD162" i="18"/>
  <c r="CC162" i="18"/>
  <c r="CB162" i="18"/>
  <c r="CA162" i="18"/>
  <c r="BZ162" i="18"/>
  <c r="BY162" i="18"/>
  <c r="AQ162" i="18"/>
  <c r="AP162" i="18"/>
  <c r="AO162" i="18"/>
  <c r="AN162" i="18"/>
  <c r="AM162" i="18"/>
  <c r="AL162" i="18"/>
  <c r="AK162" i="18"/>
  <c r="AJ162" i="18"/>
  <c r="AI162" i="18"/>
  <c r="AH162" i="18"/>
  <c r="AG162" i="18"/>
  <c r="AF162" i="18"/>
  <c r="AE162" i="18"/>
  <c r="AD162" i="18"/>
  <c r="AC162" i="18"/>
  <c r="AB162" i="18"/>
  <c r="AA162" i="18"/>
  <c r="Z162" i="18"/>
  <c r="Y162" i="18"/>
  <c r="X162" i="18"/>
  <c r="W162" i="18"/>
  <c r="V162" i="18"/>
  <c r="U162" i="18"/>
  <c r="T162" i="18"/>
  <c r="S162" i="18"/>
  <c r="R162" i="18"/>
  <c r="Q162" i="18"/>
  <c r="P162" i="18"/>
  <c r="O162" i="18"/>
  <c r="N162" i="18"/>
  <c r="M162" i="18"/>
  <c r="L162" i="18"/>
  <c r="K162" i="18"/>
  <c r="J162" i="18"/>
  <c r="I162" i="18"/>
  <c r="H162" i="18"/>
  <c r="G162" i="18"/>
  <c r="F162" i="18"/>
  <c r="E162" i="18"/>
  <c r="D162" i="18"/>
  <c r="C162" i="18"/>
  <c r="B162" i="18"/>
  <c r="A162" i="18"/>
  <c r="CA161" i="18"/>
  <c r="BZ161" i="18"/>
  <c r="BY161" i="18"/>
  <c r="BX161" i="18"/>
  <c r="BW161" i="18"/>
  <c r="BV161" i="18"/>
  <c r="BU161" i="18"/>
  <c r="BT161" i="18"/>
  <c r="BS161" i="18"/>
  <c r="BR161" i="18"/>
  <c r="BQ161" i="18"/>
  <c r="BP161" i="18"/>
  <c r="BO161" i="18"/>
  <c r="BN161" i="18"/>
  <c r="BM161" i="18"/>
  <c r="BL161" i="18"/>
  <c r="BK161" i="18"/>
  <c r="BJ161" i="18"/>
  <c r="BI161" i="18"/>
  <c r="BH161" i="18"/>
  <c r="BG161" i="18"/>
  <c r="BF161" i="18"/>
  <c r="BE161" i="18"/>
  <c r="BD161" i="18"/>
  <c r="BC161" i="18"/>
  <c r="BB161" i="18"/>
  <c r="BA161" i="18"/>
  <c r="AZ161" i="18"/>
  <c r="AY161" i="18"/>
  <c r="AX161" i="18"/>
  <c r="AW161" i="18"/>
  <c r="AV161" i="18"/>
  <c r="AU161" i="18"/>
  <c r="AT161" i="18"/>
  <c r="AS161" i="18"/>
  <c r="AR161" i="18"/>
  <c r="AQ161" i="18"/>
  <c r="AP161" i="18"/>
  <c r="AO161" i="18"/>
  <c r="AN161" i="18"/>
  <c r="AM161" i="18"/>
  <c r="AL161" i="18"/>
  <c r="AK161" i="18"/>
  <c r="AJ161" i="18"/>
  <c r="AI161" i="18"/>
  <c r="AH161" i="18"/>
  <c r="AG161" i="18"/>
  <c r="AF161" i="18"/>
  <c r="AE161" i="18"/>
  <c r="AD161" i="18"/>
  <c r="AC161" i="18"/>
  <c r="AB161" i="18"/>
  <c r="AA161" i="18"/>
  <c r="Z161" i="18"/>
  <c r="Y161" i="18"/>
  <c r="X161" i="18"/>
  <c r="W161" i="18"/>
  <c r="V161" i="18"/>
  <c r="U161" i="18"/>
  <c r="T161" i="18"/>
  <c r="S161" i="18"/>
  <c r="R161" i="18"/>
  <c r="Q161" i="18"/>
  <c r="P161" i="18"/>
  <c r="O161" i="18"/>
  <c r="N161" i="18"/>
  <c r="M161" i="18"/>
  <c r="L161" i="18"/>
  <c r="K161" i="18"/>
  <c r="J161" i="18"/>
  <c r="I161" i="18"/>
  <c r="H161" i="18"/>
  <c r="G161" i="18"/>
  <c r="F161" i="18"/>
  <c r="E161" i="18"/>
  <c r="D161" i="18"/>
  <c r="C161" i="18"/>
  <c r="B161" i="18"/>
  <c r="A161" i="18"/>
  <c r="CA160" i="18"/>
  <c r="BZ160" i="18"/>
  <c r="BY160" i="18"/>
  <c r="AR160" i="18"/>
  <c r="AQ160" i="18"/>
  <c r="AP160" i="18"/>
  <c r="AO160" i="18"/>
  <c r="AN160" i="18"/>
  <c r="AM160" i="18"/>
  <c r="AL160" i="18"/>
  <c r="AK160" i="18"/>
  <c r="AJ160" i="18"/>
  <c r="AI160" i="18"/>
  <c r="AH160" i="18"/>
  <c r="AG160" i="18"/>
  <c r="AF160" i="18"/>
  <c r="AE160" i="18"/>
  <c r="AD160" i="18"/>
  <c r="AC160" i="18"/>
  <c r="AB160" i="18"/>
  <c r="AA160" i="18"/>
  <c r="Z160" i="18"/>
  <c r="Y160" i="18"/>
  <c r="X160" i="18"/>
  <c r="W160" i="18"/>
  <c r="V160" i="18"/>
  <c r="U160" i="18"/>
  <c r="T160" i="18"/>
  <c r="S160" i="18"/>
  <c r="R160" i="18"/>
  <c r="Q160" i="18"/>
  <c r="P160" i="18"/>
  <c r="O160" i="18"/>
  <c r="N160" i="18"/>
  <c r="M160" i="18"/>
  <c r="L160" i="18"/>
  <c r="K160" i="18"/>
  <c r="J160" i="18"/>
  <c r="I160" i="18"/>
  <c r="H160" i="18"/>
  <c r="G160" i="18"/>
  <c r="F160" i="18"/>
  <c r="E160" i="18"/>
  <c r="D160" i="18"/>
  <c r="C160" i="18"/>
  <c r="B160" i="18"/>
  <c r="A160" i="18"/>
  <c r="CA159" i="18"/>
  <c r="BZ159" i="18"/>
  <c r="BY159" i="18"/>
  <c r="AR159" i="18"/>
  <c r="AQ159" i="18"/>
  <c r="AP159" i="18"/>
  <c r="AO159" i="18"/>
  <c r="AN159" i="18"/>
  <c r="AM159" i="18"/>
  <c r="AL159" i="18"/>
  <c r="AK159" i="18"/>
  <c r="AJ159" i="18"/>
  <c r="AI159" i="18"/>
  <c r="AH159" i="18"/>
  <c r="AG159" i="18"/>
  <c r="AF159" i="18"/>
  <c r="AE159" i="18"/>
  <c r="AD159" i="18"/>
  <c r="AC159" i="18"/>
  <c r="AB159" i="18"/>
  <c r="AA159" i="18"/>
  <c r="Z159" i="18"/>
  <c r="Y159" i="18"/>
  <c r="X159" i="18"/>
  <c r="W159" i="18"/>
  <c r="V159" i="18"/>
  <c r="U159" i="18"/>
  <c r="T159" i="18"/>
  <c r="S159" i="18"/>
  <c r="R159" i="18"/>
  <c r="Q159" i="18"/>
  <c r="P159" i="18"/>
  <c r="O159" i="18"/>
  <c r="N159" i="18"/>
  <c r="M159" i="18"/>
  <c r="L159" i="18"/>
  <c r="K159" i="18"/>
  <c r="J159" i="18"/>
  <c r="I159" i="18"/>
  <c r="H159" i="18"/>
  <c r="G159" i="18"/>
  <c r="F159" i="18"/>
  <c r="E159" i="18"/>
  <c r="D159" i="18"/>
  <c r="C159" i="18"/>
  <c r="B159" i="18"/>
  <c r="A159" i="18"/>
  <c r="CC158" i="18"/>
  <c r="CB158" i="18"/>
  <c r="CA158" i="18"/>
  <c r="BZ158" i="18"/>
  <c r="BY158" i="18"/>
  <c r="BX158" i="18"/>
  <c r="BW158" i="18"/>
  <c r="BV158" i="18"/>
  <c r="BU158" i="18"/>
  <c r="BT158" i="18"/>
  <c r="BS158" i="18"/>
  <c r="BR158" i="18"/>
  <c r="BQ158" i="18"/>
  <c r="BP158" i="18"/>
  <c r="BO158" i="18"/>
  <c r="BN158" i="18"/>
  <c r="BM158" i="18"/>
  <c r="BL158" i="18"/>
  <c r="BK158" i="18"/>
  <c r="BJ158" i="18"/>
  <c r="BI158" i="18"/>
  <c r="BH158" i="18"/>
  <c r="BG158" i="18"/>
  <c r="BF158" i="18"/>
  <c r="BE158" i="18"/>
  <c r="BD158" i="18"/>
  <c r="BC158" i="18"/>
  <c r="BB158" i="18"/>
  <c r="BA158" i="18"/>
  <c r="AZ158" i="18"/>
  <c r="AY158" i="18"/>
  <c r="AX158" i="18"/>
  <c r="AW158" i="18"/>
  <c r="AV158" i="18"/>
  <c r="AU158" i="18"/>
  <c r="AT158" i="18"/>
  <c r="AS158" i="18"/>
  <c r="AR158" i="18"/>
  <c r="AQ158" i="18"/>
  <c r="AP158" i="18"/>
  <c r="AO158" i="18"/>
  <c r="AN158" i="18"/>
  <c r="AM158" i="18"/>
  <c r="AL158" i="18"/>
  <c r="AK158" i="18"/>
  <c r="AJ158" i="18"/>
  <c r="AI158" i="18"/>
  <c r="AH158" i="18"/>
  <c r="AG158" i="18"/>
  <c r="AF158" i="18"/>
  <c r="AE158" i="18"/>
  <c r="AD158" i="18"/>
  <c r="AC158" i="18"/>
  <c r="AB158" i="18"/>
  <c r="AA158" i="18"/>
  <c r="Z158" i="18"/>
  <c r="Y158" i="18"/>
  <c r="X158" i="18"/>
  <c r="W158" i="18"/>
  <c r="V158" i="18"/>
  <c r="U158" i="18"/>
  <c r="T158" i="18"/>
  <c r="S158" i="18"/>
  <c r="R158" i="18"/>
  <c r="Q158" i="18"/>
  <c r="P158" i="18"/>
  <c r="O158" i="18"/>
  <c r="N158" i="18"/>
  <c r="M158" i="18"/>
  <c r="L158" i="18"/>
  <c r="K158" i="18"/>
  <c r="J158" i="18"/>
  <c r="I158" i="18"/>
  <c r="H158" i="18"/>
  <c r="G158" i="18"/>
  <c r="F158" i="18"/>
  <c r="E158" i="18"/>
  <c r="D158" i="18"/>
  <c r="C158" i="18"/>
  <c r="B158" i="18"/>
  <c r="A158" i="18"/>
  <c r="CC157" i="18"/>
  <c r="CB157" i="18"/>
  <c r="CA157" i="18"/>
  <c r="BZ157" i="18"/>
  <c r="BY157" i="18"/>
  <c r="AQ157" i="18"/>
  <c r="AP157" i="18"/>
  <c r="AO157" i="18"/>
  <c r="AN157" i="18"/>
  <c r="AM157" i="18"/>
  <c r="AL157" i="18"/>
  <c r="AK157" i="18"/>
  <c r="AJ157" i="18"/>
  <c r="AI157" i="18"/>
  <c r="AH157" i="18"/>
  <c r="AG157" i="18"/>
  <c r="AF157" i="18"/>
  <c r="AE157" i="18"/>
  <c r="AD157" i="18"/>
  <c r="AC157" i="18"/>
  <c r="AB157" i="18"/>
  <c r="AA157" i="18"/>
  <c r="Z157" i="18"/>
  <c r="Y157" i="18"/>
  <c r="X157" i="18"/>
  <c r="W157" i="18"/>
  <c r="V157" i="18"/>
  <c r="U157" i="18"/>
  <c r="T157" i="18"/>
  <c r="S157" i="18"/>
  <c r="R157" i="18"/>
  <c r="Q157" i="18"/>
  <c r="P157" i="18"/>
  <c r="O157" i="18"/>
  <c r="N157" i="18"/>
  <c r="M157" i="18"/>
  <c r="L157" i="18"/>
  <c r="K157" i="18"/>
  <c r="J157" i="18"/>
  <c r="I157" i="18"/>
  <c r="H157" i="18"/>
  <c r="G157" i="18"/>
  <c r="F157" i="18"/>
  <c r="E157" i="18"/>
  <c r="D157" i="18"/>
  <c r="C157" i="18"/>
  <c r="B157" i="18"/>
  <c r="A157" i="18"/>
  <c r="BZ156" i="18"/>
  <c r="BY156" i="18"/>
  <c r="AQ156" i="18"/>
  <c r="AP156" i="18"/>
  <c r="AO156" i="18"/>
  <c r="AN156" i="18"/>
  <c r="AM156" i="18"/>
  <c r="AL156" i="18"/>
  <c r="AK156" i="18"/>
  <c r="AJ156" i="18"/>
  <c r="AI156" i="18"/>
  <c r="AH156" i="18"/>
  <c r="AG156" i="18"/>
  <c r="AF156" i="18"/>
  <c r="AE156" i="18"/>
  <c r="AD156" i="18"/>
  <c r="AC156" i="18"/>
  <c r="AB156" i="18"/>
  <c r="AA156" i="18"/>
  <c r="Z156" i="18"/>
  <c r="Y156" i="18"/>
  <c r="X156" i="18"/>
  <c r="W156" i="18"/>
  <c r="V156" i="18"/>
  <c r="U156" i="18"/>
  <c r="T156" i="18"/>
  <c r="S156" i="18"/>
  <c r="R156" i="18"/>
  <c r="Q156" i="18"/>
  <c r="P156" i="18"/>
  <c r="O156" i="18"/>
  <c r="N156" i="18"/>
  <c r="M156" i="18"/>
  <c r="L156" i="18"/>
  <c r="K156" i="18"/>
  <c r="J156" i="18"/>
  <c r="I156" i="18"/>
  <c r="H156" i="18"/>
  <c r="G156" i="18"/>
  <c r="F156" i="18"/>
  <c r="E156" i="18"/>
  <c r="D156" i="18"/>
  <c r="C156" i="18"/>
  <c r="B156" i="18"/>
  <c r="A156" i="18"/>
  <c r="CX161" i="18"/>
  <c r="CW161" i="18"/>
  <c r="CV161" i="18"/>
  <c r="CU161" i="18"/>
  <c r="CT161" i="18"/>
  <c r="CS161" i="18"/>
  <c r="CR161" i="18"/>
  <c r="CQ161" i="18"/>
  <c r="CP161" i="18"/>
  <c r="CO161" i="18"/>
  <c r="CN161" i="18"/>
  <c r="CM161" i="18"/>
  <c r="CL161" i="18"/>
  <c r="CK161" i="18"/>
  <c r="CJ161" i="18"/>
  <c r="CI161" i="18"/>
  <c r="CH161" i="18"/>
  <c r="CG161" i="18"/>
  <c r="CF161" i="18"/>
  <c r="CE161" i="18"/>
  <c r="CD161" i="18"/>
  <c r="CI160" i="18"/>
  <c r="CH160" i="18"/>
  <c r="CG160" i="18"/>
  <c r="CF160" i="18"/>
  <c r="CE160" i="18"/>
  <c r="CD160" i="18"/>
  <c r="CI159" i="18"/>
  <c r="CH159" i="18"/>
  <c r="CG159" i="18"/>
  <c r="CF159" i="18"/>
  <c r="CE159" i="18"/>
  <c r="CD159" i="18"/>
  <c r="CX158" i="18"/>
  <c r="CW158" i="18"/>
  <c r="CV158" i="18"/>
  <c r="CU158" i="18"/>
  <c r="CT158" i="18"/>
  <c r="CS158" i="18"/>
  <c r="CR158" i="18"/>
  <c r="CQ158" i="18"/>
  <c r="CP158" i="18"/>
  <c r="CO158" i="18"/>
  <c r="CN158" i="18"/>
  <c r="CM158" i="18"/>
  <c r="CL158" i="18"/>
  <c r="CK158" i="18"/>
  <c r="CJ158" i="18"/>
  <c r="CI158" i="18"/>
  <c r="CH158" i="18"/>
  <c r="CG158" i="18"/>
  <c r="CF158" i="18"/>
  <c r="CE158" i="18"/>
  <c r="CD158" i="18"/>
  <c r="CH157" i="18"/>
  <c r="CG157" i="18"/>
  <c r="CF157" i="18"/>
  <c r="CE157" i="18"/>
  <c r="CD157" i="18"/>
  <c r="CH156" i="18"/>
  <c r="CG156" i="18"/>
  <c r="CF156" i="18"/>
  <c r="CE156" i="18"/>
  <c r="CD156" i="18"/>
  <c r="CH155" i="18"/>
  <c r="CG155" i="18"/>
  <c r="CF155" i="18"/>
  <c r="CE155" i="18"/>
  <c r="CD155" i="18"/>
  <c r="CH154" i="18"/>
  <c r="CG154" i="18"/>
  <c r="CF154" i="18"/>
  <c r="CE154" i="18"/>
  <c r="CD154" i="18"/>
  <c r="CX153" i="18"/>
  <c r="CW153" i="18"/>
  <c r="CV153" i="18"/>
  <c r="CU153" i="18"/>
  <c r="CT153" i="18"/>
  <c r="CS153" i="18"/>
  <c r="CR153" i="18"/>
  <c r="CQ153" i="18"/>
  <c r="CP153" i="18"/>
  <c r="CO153" i="18"/>
  <c r="CN153" i="18"/>
  <c r="CM153" i="18"/>
  <c r="CL153" i="18"/>
  <c r="CK153" i="18"/>
  <c r="CJ153" i="18"/>
  <c r="CI153" i="18"/>
  <c r="CH153" i="18"/>
  <c r="CG153" i="18"/>
  <c r="CF153" i="18"/>
  <c r="CE153" i="18"/>
  <c r="CD153" i="18"/>
  <c r="CX152" i="18"/>
  <c r="CW152" i="18"/>
  <c r="CV152" i="18"/>
  <c r="CU152" i="18"/>
  <c r="CT152" i="18"/>
  <c r="CS152" i="18"/>
  <c r="CR152" i="18"/>
  <c r="CQ152" i="18"/>
  <c r="CP152" i="18"/>
  <c r="CO152" i="18"/>
  <c r="CN152" i="18"/>
  <c r="CM152" i="18"/>
  <c r="CL152" i="18"/>
  <c r="CK152" i="18"/>
  <c r="CJ152" i="18"/>
  <c r="CI152" i="18"/>
  <c r="CH152" i="18"/>
  <c r="CG152" i="18"/>
  <c r="CF152" i="18"/>
  <c r="CE152" i="18"/>
  <c r="CD152" i="18"/>
  <c r="CI151" i="18"/>
  <c r="CH151" i="18"/>
  <c r="CG151" i="18"/>
  <c r="CF151" i="18"/>
  <c r="CE151" i="18"/>
  <c r="CD151" i="18"/>
  <c r="CI150" i="18"/>
  <c r="CH150" i="18"/>
  <c r="CG150" i="18"/>
  <c r="CF150" i="18"/>
  <c r="CE150" i="18"/>
  <c r="CD150" i="18"/>
  <c r="CI149" i="18"/>
  <c r="CH149" i="18"/>
  <c r="CG149" i="18"/>
  <c r="CF149" i="18"/>
  <c r="CE149" i="18"/>
  <c r="CD149" i="18"/>
  <c r="CI148" i="18"/>
  <c r="CH148" i="18"/>
  <c r="CG148" i="18"/>
  <c r="CF148" i="18"/>
  <c r="CE148" i="18"/>
  <c r="CD148" i="18"/>
  <c r="CI147" i="18"/>
  <c r="CH147" i="18"/>
  <c r="CG147" i="18"/>
  <c r="CF147" i="18"/>
  <c r="CE147" i="18"/>
  <c r="CD147" i="18"/>
  <c r="CI146" i="18"/>
  <c r="CH146" i="18"/>
  <c r="CG146" i="18"/>
  <c r="CF146" i="18"/>
  <c r="CE146" i="18"/>
  <c r="CD146" i="18"/>
  <c r="CI145" i="18"/>
  <c r="CH145" i="18"/>
  <c r="CG145" i="18"/>
  <c r="CF145" i="18"/>
  <c r="CE145" i="18"/>
  <c r="CD145" i="18"/>
  <c r="CX144" i="18"/>
  <c r="CW144" i="18"/>
  <c r="CV144" i="18"/>
  <c r="CU144" i="18"/>
  <c r="CT144" i="18"/>
  <c r="CS144" i="18"/>
  <c r="CR144" i="18"/>
  <c r="CQ144" i="18"/>
  <c r="CP144" i="18"/>
  <c r="CO144" i="18"/>
  <c r="CN144" i="18"/>
  <c r="CM144" i="18"/>
  <c r="CL144" i="18"/>
  <c r="CK144" i="18"/>
  <c r="CJ144" i="18"/>
  <c r="CI144" i="18"/>
  <c r="CH144" i="18"/>
  <c r="CG144" i="18"/>
  <c r="CF144" i="18"/>
  <c r="CE144" i="18"/>
  <c r="CD144" i="18"/>
  <c r="CX143" i="18"/>
  <c r="CW143" i="18"/>
  <c r="CV143" i="18"/>
  <c r="CU143" i="18"/>
  <c r="CT143" i="18"/>
  <c r="CS143" i="18"/>
  <c r="CR143" i="18"/>
  <c r="CQ143" i="18"/>
  <c r="CP143" i="18"/>
  <c r="CO143" i="18"/>
  <c r="CN143" i="18"/>
  <c r="CM143" i="18"/>
  <c r="CL143" i="18"/>
  <c r="CK143" i="18"/>
  <c r="CJ143" i="18"/>
  <c r="CI143" i="18"/>
  <c r="CH143" i="18"/>
  <c r="CG143" i="18"/>
  <c r="CF143" i="18"/>
  <c r="CE143" i="18"/>
  <c r="CD143" i="18"/>
  <c r="CX142" i="18"/>
  <c r="CW142" i="18"/>
  <c r="CV142" i="18"/>
  <c r="CU142" i="18"/>
  <c r="CT142" i="18"/>
  <c r="CS142" i="18"/>
  <c r="CR142" i="18"/>
  <c r="CQ142" i="18"/>
  <c r="CP142" i="18"/>
  <c r="CO142" i="18"/>
  <c r="CN142" i="18"/>
  <c r="CM142" i="18"/>
  <c r="CL142" i="18"/>
  <c r="CK142" i="18"/>
  <c r="CJ142" i="18"/>
  <c r="CI142" i="18"/>
  <c r="CH142" i="18"/>
  <c r="CG142" i="18"/>
  <c r="CF142" i="18"/>
  <c r="CE142" i="18"/>
  <c r="CD142" i="18"/>
  <c r="CX141" i="18"/>
  <c r="CW141" i="18"/>
  <c r="CV141" i="18"/>
  <c r="CU141" i="18"/>
  <c r="CT141" i="18"/>
  <c r="CS141" i="18"/>
  <c r="CR141" i="18"/>
  <c r="CQ141" i="18"/>
  <c r="CP141" i="18"/>
  <c r="CO141" i="18"/>
  <c r="CN141" i="18"/>
  <c r="CM141" i="18"/>
  <c r="CL141" i="18"/>
  <c r="CK141" i="18"/>
  <c r="CJ141" i="18"/>
  <c r="CI141" i="18"/>
  <c r="CH141" i="18"/>
  <c r="CG141" i="18"/>
  <c r="CF141" i="18"/>
  <c r="CE141" i="18"/>
  <c r="CD141" i="18"/>
  <c r="CI140" i="18"/>
  <c r="CH140" i="18"/>
  <c r="CG140" i="18"/>
  <c r="CF140" i="18"/>
  <c r="CE140" i="18"/>
  <c r="CD140" i="18"/>
  <c r="CP139" i="18"/>
  <c r="CO139" i="18"/>
  <c r="CN139" i="18"/>
  <c r="CM139" i="18"/>
  <c r="CL139" i="18"/>
  <c r="CK139" i="18"/>
  <c r="CJ139" i="18"/>
  <c r="CI139" i="18"/>
  <c r="CH139" i="18"/>
  <c r="CG139" i="18"/>
  <c r="CF139" i="18"/>
  <c r="CE139" i="18"/>
  <c r="CD139" i="18"/>
  <c r="CX138" i="18"/>
  <c r="CW138" i="18"/>
  <c r="CV138" i="18"/>
  <c r="CU138" i="18"/>
  <c r="CT138" i="18"/>
  <c r="CS138" i="18"/>
  <c r="CR138" i="18"/>
  <c r="CQ138" i="18"/>
  <c r="CJ138" i="18"/>
  <c r="CI138" i="18"/>
  <c r="CH138" i="18"/>
  <c r="CG138" i="18"/>
  <c r="CF138" i="18"/>
  <c r="CE138" i="18"/>
  <c r="CD138" i="18"/>
  <c r="CX137" i="18"/>
  <c r="CW137" i="18"/>
  <c r="CV137" i="18"/>
  <c r="CU137" i="18"/>
  <c r="CT137" i="18"/>
  <c r="CS137" i="18"/>
  <c r="CR137" i="18"/>
  <c r="CQ137" i="18"/>
  <c r="CP137" i="18"/>
  <c r="CO137" i="18"/>
  <c r="CN137" i="18"/>
  <c r="CM137" i="18"/>
  <c r="CL137" i="18"/>
  <c r="CK137" i="18"/>
  <c r="CJ137" i="18"/>
  <c r="CI137" i="18"/>
  <c r="CH137" i="18"/>
  <c r="CG137" i="18"/>
  <c r="CF137" i="18"/>
  <c r="CE137" i="18"/>
  <c r="CD137" i="18"/>
  <c r="CI136" i="18"/>
  <c r="CH136" i="18"/>
  <c r="CG136" i="18"/>
  <c r="CF136" i="18"/>
  <c r="CE136" i="18"/>
  <c r="CD136" i="18"/>
  <c r="CP135" i="18"/>
  <c r="CO135" i="18"/>
  <c r="CN135" i="18"/>
  <c r="CM135" i="18"/>
  <c r="CL135" i="18"/>
  <c r="CK135" i="18"/>
  <c r="CJ135" i="18"/>
  <c r="CI135" i="18"/>
  <c r="CH135" i="18"/>
  <c r="CG135" i="18"/>
  <c r="CF135" i="18"/>
  <c r="CE135" i="18"/>
  <c r="CD135" i="18"/>
  <c r="CX134" i="18"/>
  <c r="CW134" i="18"/>
  <c r="CV134" i="18"/>
  <c r="CU134" i="18"/>
  <c r="CT134" i="18"/>
  <c r="CS134" i="18"/>
  <c r="CR134" i="18"/>
  <c r="CI134" i="18"/>
  <c r="CH134" i="18"/>
  <c r="CG134" i="18"/>
  <c r="CF134" i="18"/>
  <c r="CE134" i="18"/>
  <c r="CD134" i="18"/>
  <c r="CJ133" i="18"/>
  <c r="CI133" i="18"/>
  <c r="CH133" i="18"/>
  <c r="CG133" i="18"/>
  <c r="CF133" i="18"/>
  <c r="CE133" i="18"/>
  <c r="CD133" i="18"/>
  <c r="CX132" i="18"/>
  <c r="CW132" i="18"/>
  <c r="CV132" i="18"/>
  <c r="CU132" i="18"/>
  <c r="CT132" i="18"/>
  <c r="CS132" i="18"/>
  <c r="CR132" i="18"/>
  <c r="CQ132" i="18"/>
  <c r="CP132" i="18"/>
  <c r="CO132" i="18"/>
  <c r="CN132" i="18"/>
  <c r="CM132" i="18"/>
  <c r="CL132" i="18"/>
  <c r="CK132" i="18"/>
  <c r="CJ132" i="18"/>
  <c r="CI132" i="18"/>
  <c r="CH132" i="18"/>
  <c r="CG132" i="18"/>
  <c r="CF132" i="18"/>
  <c r="CE132" i="18"/>
  <c r="CD132" i="18"/>
  <c r="CX131" i="18"/>
  <c r="CW131" i="18"/>
  <c r="CV131" i="18"/>
  <c r="CU131" i="18"/>
  <c r="CT131" i="18"/>
  <c r="CS131" i="18"/>
  <c r="CR131" i="18"/>
  <c r="CQ131" i="18"/>
  <c r="CP131" i="18"/>
  <c r="CO131" i="18"/>
  <c r="CN131" i="18"/>
  <c r="CM131" i="18"/>
  <c r="CL131" i="18"/>
  <c r="CK131" i="18"/>
  <c r="CJ131" i="18"/>
  <c r="CI131" i="18"/>
  <c r="CH131" i="18"/>
  <c r="CG131" i="18"/>
  <c r="CF131" i="18"/>
  <c r="CE131" i="18"/>
  <c r="CD131" i="18"/>
  <c r="CX130" i="18"/>
  <c r="CW130" i="18"/>
  <c r="CV130" i="18"/>
  <c r="CU130" i="18"/>
  <c r="CT130" i="18"/>
  <c r="CS130" i="18"/>
  <c r="CR130" i="18"/>
  <c r="CQ130" i="18"/>
  <c r="CP130" i="18"/>
  <c r="CO130" i="18"/>
  <c r="CN130" i="18"/>
  <c r="CM130" i="18"/>
  <c r="CL130" i="18"/>
  <c r="CK130" i="18"/>
  <c r="CJ130" i="18"/>
  <c r="CI130" i="18"/>
  <c r="CH130" i="18"/>
  <c r="CG130" i="18"/>
  <c r="CF130" i="18"/>
  <c r="CE130" i="18"/>
  <c r="CD130" i="18"/>
  <c r="CI129" i="18"/>
  <c r="CH129" i="18"/>
  <c r="CG129" i="18"/>
  <c r="CF129" i="18"/>
  <c r="CE129" i="18"/>
  <c r="CD129" i="18"/>
  <c r="CC156" i="18"/>
  <c r="CB156" i="18"/>
  <c r="CC155" i="18"/>
  <c r="CB155" i="18"/>
  <c r="CC154" i="18"/>
  <c r="CB154" i="18"/>
  <c r="CC153" i="18"/>
  <c r="CB153" i="18"/>
  <c r="CC152" i="18"/>
  <c r="CB152" i="18"/>
  <c r="CC151" i="18"/>
  <c r="CB151" i="18"/>
  <c r="CC150" i="18"/>
  <c r="CB150" i="18"/>
  <c r="CC149" i="18"/>
  <c r="CB149" i="18"/>
  <c r="CC148" i="18"/>
  <c r="CB148" i="18"/>
  <c r="CC147" i="18"/>
  <c r="CB147" i="18"/>
  <c r="CC146" i="18"/>
  <c r="CB146" i="18"/>
  <c r="CC145" i="18"/>
  <c r="CB145" i="18"/>
  <c r="CC144" i="18"/>
  <c r="CB144" i="18"/>
  <c r="CC143" i="18"/>
  <c r="CB143" i="18"/>
  <c r="CC142" i="18"/>
  <c r="CB142" i="18"/>
  <c r="CC141" i="18"/>
  <c r="CB141" i="18"/>
  <c r="CC140" i="18"/>
  <c r="CB140" i="18"/>
  <c r="CC139" i="18"/>
  <c r="CB139" i="18"/>
  <c r="CC138" i="18"/>
  <c r="CB138" i="18"/>
  <c r="CC137" i="18"/>
  <c r="CB137" i="18"/>
  <c r="CC136" i="18"/>
  <c r="CB136" i="18"/>
  <c r="CC135" i="18"/>
  <c r="CB135" i="18"/>
  <c r="CC134" i="18"/>
  <c r="CB134" i="18"/>
  <c r="CC133" i="18"/>
  <c r="CB133" i="18"/>
  <c r="CC132" i="18"/>
  <c r="CB132" i="18"/>
  <c r="CC131" i="18"/>
  <c r="CB131" i="18"/>
  <c r="CC130" i="18"/>
  <c r="CB130" i="18"/>
  <c r="CC129" i="18"/>
  <c r="CB129" i="18"/>
  <c r="CA155" i="18"/>
  <c r="BZ155" i="18"/>
  <c r="BY155" i="18"/>
  <c r="AQ155" i="18"/>
  <c r="AP155" i="18"/>
  <c r="AO155" i="18"/>
  <c r="AN155" i="18"/>
  <c r="AM155" i="18"/>
  <c r="AL155" i="18"/>
  <c r="AK155" i="18"/>
  <c r="AJ155" i="18"/>
  <c r="AI155" i="18"/>
  <c r="AH155" i="18"/>
  <c r="AG155" i="18"/>
  <c r="AF155" i="18"/>
  <c r="AE155" i="18"/>
  <c r="AD155" i="18"/>
  <c r="AC155" i="18"/>
  <c r="AB155" i="18"/>
  <c r="AA155" i="18"/>
  <c r="Z155" i="18"/>
  <c r="Y155" i="18"/>
  <c r="X155" i="18"/>
  <c r="W155" i="18"/>
  <c r="V155" i="18"/>
  <c r="U155" i="18"/>
  <c r="T155" i="18"/>
  <c r="S155" i="18"/>
  <c r="R155" i="18"/>
  <c r="Q155" i="18"/>
  <c r="P155" i="18"/>
  <c r="O155" i="18"/>
  <c r="N155" i="18"/>
  <c r="M155" i="18"/>
  <c r="L155" i="18"/>
  <c r="K155" i="18"/>
  <c r="J155" i="18"/>
  <c r="I155" i="18"/>
  <c r="H155" i="18"/>
  <c r="G155" i="18"/>
  <c r="F155" i="18"/>
  <c r="E155" i="18"/>
  <c r="D155" i="18"/>
  <c r="C155" i="18"/>
  <c r="B155" i="18"/>
  <c r="A155" i="18"/>
  <c r="CA154" i="18"/>
  <c r="BZ154" i="18"/>
  <c r="BY154" i="18"/>
  <c r="AQ154" i="18"/>
  <c r="AP154" i="18"/>
  <c r="AO154" i="18"/>
  <c r="AN154" i="18"/>
  <c r="AM154" i="18"/>
  <c r="AL154" i="18"/>
  <c r="AK154" i="18"/>
  <c r="AJ154" i="18"/>
  <c r="AI154" i="18"/>
  <c r="AH154" i="18"/>
  <c r="AG154" i="18"/>
  <c r="AF154" i="18"/>
  <c r="AE154" i="18"/>
  <c r="AD154" i="18"/>
  <c r="AC154" i="18"/>
  <c r="AB154" i="18"/>
  <c r="AA154" i="18"/>
  <c r="Z154" i="18"/>
  <c r="Y154" i="18"/>
  <c r="X154" i="18"/>
  <c r="W154" i="18"/>
  <c r="V154" i="18"/>
  <c r="U154" i="18"/>
  <c r="T154" i="18"/>
  <c r="S154" i="18"/>
  <c r="R154" i="18"/>
  <c r="Q154" i="18"/>
  <c r="P154" i="18"/>
  <c r="O154" i="18"/>
  <c r="N154" i="18"/>
  <c r="M154" i="18"/>
  <c r="L154" i="18"/>
  <c r="K154" i="18"/>
  <c r="J154" i="18"/>
  <c r="I154" i="18"/>
  <c r="H154" i="18"/>
  <c r="G154" i="18"/>
  <c r="F154" i="18"/>
  <c r="E154" i="18"/>
  <c r="D154" i="18"/>
  <c r="C154" i="18"/>
  <c r="B154" i="18"/>
  <c r="A154" i="18"/>
  <c r="CA153" i="18"/>
  <c r="BZ153" i="18"/>
  <c r="BY153" i="18"/>
  <c r="BX153" i="18"/>
  <c r="BW153" i="18"/>
  <c r="BV153" i="18"/>
  <c r="BU153" i="18"/>
  <c r="BT153" i="18"/>
  <c r="BS153" i="18"/>
  <c r="BR153" i="18"/>
  <c r="BQ153" i="18"/>
  <c r="BP153" i="18"/>
  <c r="BO153" i="18"/>
  <c r="BN153" i="18"/>
  <c r="BM153" i="18"/>
  <c r="BL153" i="18"/>
  <c r="BK153" i="18"/>
  <c r="BJ153" i="18"/>
  <c r="BI153" i="18"/>
  <c r="BH153" i="18"/>
  <c r="BG153" i="18"/>
  <c r="BF153" i="18"/>
  <c r="BE153" i="18"/>
  <c r="BD153" i="18"/>
  <c r="BC153" i="18"/>
  <c r="BB153" i="18"/>
  <c r="BA153" i="18"/>
  <c r="AZ153" i="18"/>
  <c r="AY153" i="18"/>
  <c r="AX153" i="18"/>
  <c r="AW153" i="18"/>
  <c r="AV153" i="18"/>
  <c r="AU153" i="18"/>
  <c r="AT153" i="18"/>
  <c r="AS153" i="18"/>
  <c r="AR153" i="18"/>
  <c r="AQ153" i="18"/>
  <c r="AP153" i="18"/>
  <c r="AO153" i="18"/>
  <c r="AN153" i="18"/>
  <c r="AM153" i="18"/>
  <c r="AL153" i="18"/>
  <c r="AK153" i="18"/>
  <c r="AJ153" i="18"/>
  <c r="AI153" i="18"/>
  <c r="AH153" i="18"/>
  <c r="AG153" i="18"/>
  <c r="AF153" i="18"/>
  <c r="AE153" i="18"/>
  <c r="AD153" i="18"/>
  <c r="AC153" i="18"/>
  <c r="AB153" i="18"/>
  <c r="AA153" i="18"/>
  <c r="Z153" i="18"/>
  <c r="Y153" i="18"/>
  <c r="X153" i="18"/>
  <c r="W153" i="18"/>
  <c r="V153" i="18"/>
  <c r="U153" i="18"/>
  <c r="T153" i="18"/>
  <c r="S153" i="18"/>
  <c r="R153" i="18"/>
  <c r="Q153" i="18"/>
  <c r="P153" i="18"/>
  <c r="O153" i="18"/>
  <c r="N153" i="18"/>
  <c r="M153" i="18"/>
  <c r="L153" i="18"/>
  <c r="K153" i="18"/>
  <c r="J153" i="18"/>
  <c r="I153" i="18"/>
  <c r="H153" i="18"/>
  <c r="G153" i="18"/>
  <c r="F153" i="18"/>
  <c r="E153" i="18"/>
  <c r="D153" i="18"/>
  <c r="C153" i="18"/>
  <c r="B153" i="18"/>
  <c r="A153" i="18"/>
  <c r="CA152" i="18"/>
  <c r="BZ152" i="18"/>
  <c r="BY152" i="18"/>
  <c r="BX152" i="18"/>
  <c r="BW152" i="18"/>
  <c r="BV152" i="18"/>
  <c r="BU152" i="18"/>
  <c r="BT152" i="18"/>
  <c r="BS152" i="18"/>
  <c r="BR152" i="18"/>
  <c r="BQ152" i="18"/>
  <c r="BP152" i="18"/>
  <c r="BO152" i="18"/>
  <c r="BN152" i="18"/>
  <c r="BM152" i="18"/>
  <c r="BL152" i="18"/>
  <c r="BK152" i="18"/>
  <c r="BJ152" i="18"/>
  <c r="BI152" i="18"/>
  <c r="BH152" i="18"/>
  <c r="BG152" i="18"/>
  <c r="BF152" i="18"/>
  <c r="BE152" i="18"/>
  <c r="BD152" i="18"/>
  <c r="BC152" i="18"/>
  <c r="BB152" i="18"/>
  <c r="BA152" i="18"/>
  <c r="AZ152" i="18"/>
  <c r="AY152" i="18"/>
  <c r="AX152" i="18"/>
  <c r="AW152" i="18"/>
  <c r="AV152" i="18"/>
  <c r="AU152" i="18"/>
  <c r="AT152" i="18"/>
  <c r="AS152" i="18"/>
  <c r="AR152" i="18"/>
  <c r="AQ152" i="18"/>
  <c r="AP152" i="18"/>
  <c r="AO152" i="18"/>
  <c r="AN152" i="18"/>
  <c r="AM152" i="18"/>
  <c r="AL152" i="18"/>
  <c r="AK152" i="18"/>
  <c r="AJ152" i="18"/>
  <c r="AI152" i="18"/>
  <c r="AH152" i="18"/>
  <c r="AG152" i="18"/>
  <c r="AF152" i="18"/>
  <c r="AE152" i="18"/>
  <c r="AD152" i="18"/>
  <c r="AC152" i="18"/>
  <c r="AB152" i="18"/>
  <c r="AA152" i="18"/>
  <c r="Z152" i="18"/>
  <c r="Y152" i="18"/>
  <c r="X152" i="18"/>
  <c r="W152" i="18"/>
  <c r="V152" i="18"/>
  <c r="U152" i="18"/>
  <c r="T152" i="18"/>
  <c r="S152" i="18"/>
  <c r="R152" i="18"/>
  <c r="Q152" i="18"/>
  <c r="P152" i="18"/>
  <c r="O152" i="18"/>
  <c r="N152" i="18"/>
  <c r="M152" i="18"/>
  <c r="L152" i="18"/>
  <c r="K152" i="18"/>
  <c r="J152" i="18"/>
  <c r="I152" i="18"/>
  <c r="H152" i="18"/>
  <c r="G152" i="18"/>
  <c r="F152" i="18"/>
  <c r="E152" i="18"/>
  <c r="D152" i="18"/>
  <c r="C152" i="18"/>
  <c r="B152" i="18"/>
  <c r="A152" i="18"/>
  <c r="CA151" i="18"/>
  <c r="BZ151" i="18"/>
  <c r="BY151" i="18"/>
  <c r="AR151" i="18"/>
  <c r="AQ151" i="18"/>
  <c r="AP151" i="18"/>
  <c r="AO151" i="18"/>
  <c r="AN151" i="18"/>
  <c r="AM151" i="18"/>
  <c r="AL151" i="18"/>
  <c r="AK151" i="18"/>
  <c r="AJ151" i="18"/>
  <c r="AI151" i="18"/>
  <c r="AH151" i="18"/>
  <c r="AG151" i="18"/>
  <c r="AF151" i="18"/>
  <c r="AE151" i="18"/>
  <c r="AD151" i="18"/>
  <c r="AC151" i="18"/>
  <c r="AB151" i="18"/>
  <c r="AA151" i="18"/>
  <c r="Z151" i="18"/>
  <c r="Y151" i="18"/>
  <c r="X151" i="18"/>
  <c r="W151" i="18"/>
  <c r="V151" i="18"/>
  <c r="U151" i="18"/>
  <c r="T151" i="18"/>
  <c r="S151" i="18"/>
  <c r="R151" i="18"/>
  <c r="Q151" i="18"/>
  <c r="P151" i="18"/>
  <c r="O151" i="18"/>
  <c r="N151" i="18"/>
  <c r="M151" i="18"/>
  <c r="L151" i="18"/>
  <c r="K151" i="18"/>
  <c r="J151" i="18"/>
  <c r="I151" i="18"/>
  <c r="H151" i="18"/>
  <c r="G151" i="18"/>
  <c r="F151" i="18"/>
  <c r="E151" i="18"/>
  <c r="D151" i="18"/>
  <c r="C151" i="18"/>
  <c r="B151" i="18"/>
  <c r="A151" i="18"/>
  <c r="CA150" i="18"/>
  <c r="BZ150" i="18"/>
  <c r="BY150" i="18"/>
  <c r="AR150" i="18"/>
  <c r="AQ150" i="18"/>
  <c r="AP150" i="18"/>
  <c r="AO150" i="18"/>
  <c r="AN150" i="18"/>
  <c r="AM150" i="18"/>
  <c r="AL150" i="18"/>
  <c r="AK150" i="18"/>
  <c r="AJ150" i="18"/>
  <c r="AI150" i="18"/>
  <c r="AH150" i="18"/>
  <c r="AG150" i="18"/>
  <c r="AF150" i="18"/>
  <c r="AE150" i="18"/>
  <c r="AD150" i="18"/>
  <c r="AC150" i="18"/>
  <c r="AB150" i="18"/>
  <c r="AA150" i="18"/>
  <c r="Z150" i="18"/>
  <c r="Y150" i="18"/>
  <c r="X150" i="18"/>
  <c r="W150" i="18"/>
  <c r="V150" i="18"/>
  <c r="U150" i="18"/>
  <c r="T150" i="18"/>
  <c r="S150" i="18"/>
  <c r="R150" i="18"/>
  <c r="Q150" i="18"/>
  <c r="P150" i="18"/>
  <c r="O150" i="18"/>
  <c r="N150" i="18"/>
  <c r="M150" i="18"/>
  <c r="L150" i="18"/>
  <c r="K150" i="18"/>
  <c r="J150" i="18"/>
  <c r="I150" i="18"/>
  <c r="H150" i="18"/>
  <c r="G150" i="18"/>
  <c r="F150" i="18"/>
  <c r="E150" i="18"/>
  <c r="D150" i="18"/>
  <c r="C150" i="18"/>
  <c r="B150" i="18"/>
  <c r="A150" i="18"/>
  <c r="CA149" i="18"/>
  <c r="BZ149" i="18"/>
  <c r="BY149" i="18"/>
  <c r="AR149" i="18"/>
  <c r="AQ149" i="18"/>
  <c r="AP149" i="18"/>
  <c r="AO149" i="18"/>
  <c r="AN149" i="18"/>
  <c r="AM149" i="18"/>
  <c r="AL149" i="18"/>
  <c r="AK149" i="18"/>
  <c r="AJ149" i="18"/>
  <c r="AI149" i="18"/>
  <c r="AH149" i="18"/>
  <c r="AG149" i="18"/>
  <c r="AF149" i="18"/>
  <c r="AE149" i="18"/>
  <c r="AD149" i="18"/>
  <c r="AC149" i="18"/>
  <c r="AB149" i="18"/>
  <c r="AA149" i="18"/>
  <c r="Z149" i="18"/>
  <c r="Y149" i="18"/>
  <c r="X149" i="18"/>
  <c r="W149" i="18"/>
  <c r="V149" i="18"/>
  <c r="U149" i="18"/>
  <c r="T149" i="18"/>
  <c r="S149" i="18"/>
  <c r="R149" i="18"/>
  <c r="Q149" i="18"/>
  <c r="P149" i="18"/>
  <c r="O149" i="18"/>
  <c r="N149" i="18"/>
  <c r="M149" i="18"/>
  <c r="L149" i="18"/>
  <c r="K149" i="18"/>
  <c r="J149" i="18"/>
  <c r="I149" i="18"/>
  <c r="H149" i="18"/>
  <c r="G149" i="18"/>
  <c r="F149" i="18"/>
  <c r="E149" i="18"/>
  <c r="D149" i="18"/>
  <c r="C149" i="18"/>
  <c r="B149" i="18"/>
  <c r="A149" i="18"/>
  <c r="CA148" i="18"/>
  <c r="BZ148" i="18"/>
  <c r="BY148" i="18"/>
  <c r="AR148" i="18"/>
  <c r="AQ148" i="18"/>
  <c r="AP148" i="18"/>
  <c r="AO148" i="18"/>
  <c r="AN148" i="18"/>
  <c r="AM148" i="18"/>
  <c r="AL148" i="18"/>
  <c r="AK148" i="18"/>
  <c r="AJ148" i="18"/>
  <c r="AI148" i="18"/>
  <c r="AH148" i="18"/>
  <c r="AG148" i="18"/>
  <c r="AF148" i="18"/>
  <c r="AE148" i="18"/>
  <c r="AD148" i="18"/>
  <c r="AC148" i="18"/>
  <c r="AB148" i="18"/>
  <c r="AA148" i="18"/>
  <c r="Z148" i="18"/>
  <c r="Y148" i="18"/>
  <c r="X148" i="18"/>
  <c r="W148" i="18"/>
  <c r="V148" i="18"/>
  <c r="U148" i="18"/>
  <c r="T148" i="18"/>
  <c r="S148" i="18"/>
  <c r="R148" i="18"/>
  <c r="Q148" i="18"/>
  <c r="P148" i="18"/>
  <c r="O148" i="18"/>
  <c r="N148" i="18"/>
  <c r="M148" i="18"/>
  <c r="L148" i="18"/>
  <c r="K148" i="18"/>
  <c r="J148" i="18"/>
  <c r="I148" i="18"/>
  <c r="H148" i="18"/>
  <c r="G148" i="18"/>
  <c r="F148" i="18"/>
  <c r="E148" i="18"/>
  <c r="D148" i="18"/>
  <c r="C148" i="18"/>
  <c r="B148" i="18"/>
  <c r="A148" i="18"/>
  <c r="CA147" i="18"/>
  <c r="BZ147" i="18"/>
  <c r="BY147" i="18"/>
  <c r="BC147" i="18"/>
  <c r="AR147" i="18"/>
  <c r="AQ147" i="18"/>
  <c r="AP147" i="18"/>
  <c r="AO147" i="18"/>
  <c r="AN147" i="18"/>
  <c r="AM147" i="18"/>
  <c r="AL147" i="18"/>
  <c r="AK147" i="18"/>
  <c r="AJ147" i="18"/>
  <c r="AI147" i="18"/>
  <c r="AH147" i="18"/>
  <c r="AG147" i="18"/>
  <c r="AF147" i="18"/>
  <c r="AE147" i="18"/>
  <c r="AD147" i="18"/>
  <c r="AC147" i="18"/>
  <c r="AB147" i="18"/>
  <c r="AA147" i="18"/>
  <c r="Z147" i="18"/>
  <c r="Y147" i="18"/>
  <c r="X147" i="18"/>
  <c r="W147" i="18"/>
  <c r="V147" i="18"/>
  <c r="U147" i="18"/>
  <c r="T147" i="18"/>
  <c r="S147" i="18"/>
  <c r="R147" i="18"/>
  <c r="Q147" i="18"/>
  <c r="P147" i="18"/>
  <c r="O147" i="18"/>
  <c r="N147" i="18"/>
  <c r="M147" i="18"/>
  <c r="L147" i="18"/>
  <c r="K147" i="18"/>
  <c r="J147" i="18"/>
  <c r="I147" i="18"/>
  <c r="H147" i="18"/>
  <c r="G147" i="18"/>
  <c r="F147" i="18"/>
  <c r="E147" i="18"/>
  <c r="D147" i="18"/>
  <c r="C147" i="18"/>
  <c r="B147" i="18"/>
  <c r="A147" i="18"/>
  <c r="CA146" i="18"/>
  <c r="BZ146" i="18"/>
  <c r="BY146" i="18"/>
  <c r="AR146" i="18"/>
  <c r="AQ146" i="18"/>
  <c r="AP146" i="18"/>
  <c r="AO146" i="18"/>
  <c r="AN146" i="18"/>
  <c r="AM146" i="18"/>
  <c r="AL146" i="18"/>
  <c r="AK146" i="18"/>
  <c r="AJ146" i="18"/>
  <c r="AI146" i="18"/>
  <c r="AH146" i="18"/>
  <c r="AG146" i="18"/>
  <c r="AF146" i="18"/>
  <c r="AE146" i="18"/>
  <c r="AD146" i="18"/>
  <c r="AC146" i="18"/>
  <c r="AB146" i="18"/>
  <c r="AA146" i="18"/>
  <c r="Z146" i="18"/>
  <c r="Y146" i="18"/>
  <c r="X146" i="18"/>
  <c r="W146" i="18"/>
  <c r="V146" i="18"/>
  <c r="U146" i="18"/>
  <c r="T146" i="18"/>
  <c r="S146" i="18"/>
  <c r="R146" i="18"/>
  <c r="Q146" i="18"/>
  <c r="P146" i="18"/>
  <c r="O146" i="18"/>
  <c r="N146" i="18"/>
  <c r="M146" i="18"/>
  <c r="L146" i="18"/>
  <c r="K146" i="18"/>
  <c r="J146" i="18"/>
  <c r="I146" i="18"/>
  <c r="H146" i="18"/>
  <c r="G146" i="18"/>
  <c r="F146" i="18"/>
  <c r="E146" i="18"/>
  <c r="D146" i="18"/>
  <c r="C146" i="18"/>
  <c r="B146" i="18"/>
  <c r="A146" i="18"/>
  <c r="CA145" i="18"/>
  <c r="BZ145" i="18"/>
  <c r="BY145" i="18"/>
  <c r="AR145" i="18"/>
  <c r="AQ145" i="18"/>
  <c r="AP145" i="18"/>
  <c r="AO145" i="18"/>
  <c r="AN145" i="18"/>
  <c r="AM145" i="18"/>
  <c r="AL145" i="18"/>
  <c r="AK145" i="18"/>
  <c r="AJ145" i="18"/>
  <c r="AI145" i="18"/>
  <c r="AH145" i="18"/>
  <c r="AG145" i="18"/>
  <c r="AF145" i="18"/>
  <c r="AE145" i="18"/>
  <c r="AD145" i="18"/>
  <c r="AC145" i="18"/>
  <c r="AB145" i="18"/>
  <c r="AA145" i="18"/>
  <c r="Z145" i="18"/>
  <c r="Y145" i="18"/>
  <c r="X145" i="18"/>
  <c r="W145" i="18"/>
  <c r="V145" i="18"/>
  <c r="U145" i="18"/>
  <c r="T145" i="18"/>
  <c r="S145" i="18"/>
  <c r="R145" i="18"/>
  <c r="Q145" i="18"/>
  <c r="P145" i="18"/>
  <c r="O145" i="18"/>
  <c r="N145" i="18"/>
  <c r="M145" i="18"/>
  <c r="L145" i="18"/>
  <c r="K145" i="18"/>
  <c r="J145" i="18"/>
  <c r="I145" i="18"/>
  <c r="H145" i="18"/>
  <c r="G145" i="18"/>
  <c r="F145" i="18"/>
  <c r="E145" i="18"/>
  <c r="D145" i="18"/>
  <c r="C145" i="18"/>
  <c r="B145" i="18"/>
  <c r="A145" i="18"/>
  <c r="CA144" i="18"/>
  <c r="BZ144" i="18"/>
  <c r="BY144" i="18"/>
  <c r="BX144" i="18"/>
  <c r="BW144" i="18"/>
  <c r="BV144" i="18"/>
  <c r="BU144" i="18"/>
  <c r="BT144" i="18"/>
  <c r="BS144" i="18"/>
  <c r="BR144" i="18"/>
  <c r="BQ144" i="18"/>
  <c r="BP144" i="18"/>
  <c r="BO144" i="18"/>
  <c r="BN144" i="18"/>
  <c r="BM144" i="18"/>
  <c r="BL144" i="18"/>
  <c r="BK144" i="18"/>
  <c r="BJ144" i="18"/>
  <c r="BI144" i="18"/>
  <c r="BH144" i="18"/>
  <c r="BG144" i="18"/>
  <c r="BF144" i="18"/>
  <c r="BE144" i="18"/>
  <c r="BD144" i="18"/>
  <c r="BC144" i="18"/>
  <c r="BB144" i="18"/>
  <c r="BA144" i="18"/>
  <c r="AZ144" i="18"/>
  <c r="AY144" i="18"/>
  <c r="AX144" i="18"/>
  <c r="AW144" i="18"/>
  <c r="AV144" i="18"/>
  <c r="AU144" i="18"/>
  <c r="AT144" i="18"/>
  <c r="AS144" i="18"/>
  <c r="AR144" i="18"/>
  <c r="AQ144" i="18"/>
  <c r="AP144" i="18"/>
  <c r="AO144" i="18"/>
  <c r="AN144" i="18"/>
  <c r="AM144" i="18"/>
  <c r="AL144" i="18"/>
  <c r="AK144" i="18"/>
  <c r="AJ144" i="18"/>
  <c r="AI144" i="18"/>
  <c r="AH144" i="18"/>
  <c r="AG144" i="18"/>
  <c r="AF144" i="18"/>
  <c r="AE144" i="18"/>
  <c r="AD144" i="18"/>
  <c r="AC144" i="18"/>
  <c r="AB144" i="18"/>
  <c r="AA144" i="18"/>
  <c r="Z144" i="18"/>
  <c r="Y144" i="18"/>
  <c r="X144" i="18"/>
  <c r="W144" i="18"/>
  <c r="V144" i="18"/>
  <c r="U144" i="18"/>
  <c r="T144" i="18"/>
  <c r="S144" i="18"/>
  <c r="R144" i="18"/>
  <c r="Q144" i="18"/>
  <c r="P144" i="18"/>
  <c r="O144" i="18"/>
  <c r="N144" i="18"/>
  <c r="M144" i="18"/>
  <c r="L144" i="18"/>
  <c r="K144" i="18"/>
  <c r="J144" i="18"/>
  <c r="I144" i="18"/>
  <c r="H144" i="18"/>
  <c r="G144" i="18"/>
  <c r="F144" i="18"/>
  <c r="E144" i="18"/>
  <c r="D144" i="18"/>
  <c r="C144" i="18"/>
  <c r="B144" i="18"/>
  <c r="A144" i="18"/>
  <c r="CA143" i="18"/>
  <c r="BZ143" i="18"/>
  <c r="BY143" i="18"/>
  <c r="BX143" i="18"/>
  <c r="BW143" i="18"/>
  <c r="BV143" i="18"/>
  <c r="BU143" i="18"/>
  <c r="BT143" i="18"/>
  <c r="BS143" i="18"/>
  <c r="BR143" i="18"/>
  <c r="BQ143" i="18"/>
  <c r="BP143" i="18"/>
  <c r="BO143" i="18"/>
  <c r="BN143" i="18"/>
  <c r="BM143" i="18"/>
  <c r="BL143" i="18"/>
  <c r="BK143" i="18"/>
  <c r="BJ143" i="18"/>
  <c r="BI143" i="18"/>
  <c r="BH143" i="18"/>
  <c r="BG143" i="18"/>
  <c r="BF143" i="18"/>
  <c r="BE143" i="18"/>
  <c r="BD143" i="18"/>
  <c r="BC143" i="18"/>
  <c r="BB143" i="18"/>
  <c r="BA143" i="18"/>
  <c r="AZ143" i="18"/>
  <c r="AY143" i="18"/>
  <c r="AX143" i="18"/>
  <c r="AW143" i="18"/>
  <c r="AV143" i="18"/>
  <c r="AU143" i="18"/>
  <c r="AT143" i="18"/>
  <c r="AS143" i="18"/>
  <c r="AR143" i="18"/>
  <c r="AQ143" i="18"/>
  <c r="AP143" i="18"/>
  <c r="AO143" i="18"/>
  <c r="AN143" i="18"/>
  <c r="AM143" i="18"/>
  <c r="AL143" i="18"/>
  <c r="AK143" i="18"/>
  <c r="AJ143" i="18"/>
  <c r="AI143" i="18"/>
  <c r="AH143" i="18"/>
  <c r="AG143" i="18"/>
  <c r="AF143" i="18"/>
  <c r="AE143" i="18"/>
  <c r="AD143" i="18"/>
  <c r="AC143" i="18"/>
  <c r="AB143" i="18"/>
  <c r="AA143" i="18"/>
  <c r="Z143" i="18"/>
  <c r="Y143" i="18"/>
  <c r="X143" i="18"/>
  <c r="W143" i="18"/>
  <c r="V143" i="18"/>
  <c r="U143" i="18"/>
  <c r="T143" i="18"/>
  <c r="S143" i="18"/>
  <c r="R143" i="18"/>
  <c r="Q143" i="18"/>
  <c r="P143" i="18"/>
  <c r="O143" i="18"/>
  <c r="N143" i="18"/>
  <c r="M143" i="18"/>
  <c r="L143" i="18"/>
  <c r="K143" i="18"/>
  <c r="J143" i="18"/>
  <c r="I143" i="18"/>
  <c r="H143" i="18"/>
  <c r="G143" i="18"/>
  <c r="F143" i="18"/>
  <c r="E143" i="18"/>
  <c r="D143" i="18"/>
  <c r="C143" i="18"/>
  <c r="B143" i="18"/>
  <c r="A143" i="18"/>
  <c r="CA142" i="18"/>
  <c r="BZ142" i="18"/>
  <c r="BY142" i="18"/>
  <c r="BX142" i="18"/>
  <c r="BW142" i="18"/>
  <c r="BV142" i="18"/>
  <c r="BU142" i="18"/>
  <c r="BT142" i="18"/>
  <c r="BS142" i="18"/>
  <c r="BR142" i="18"/>
  <c r="BQ142" i="18"/>
  <c r="BP142" i="18"/>
  <c r="BO142" i="18"/>
  <c r="BN142" i="18"/>
  <c r="BM142" i="18"/>
  <c r="BL142" i="18"/>
  <c r="BK142" i="18"/>
  <c r="BJ142" i="18"/>
  <c r="BI142" i="18"/>
  <c r="BH142" i="18"/>
  <c r="BG142" i="18"/>
  <c r="BF142" i="18"/>
  <c r="BE142" i="18"/>
  <c r="BD142" i="18"/>
  <c r="BC142" i="18"/>
  <c r="BB142" i="18"/>
  <c r="BA142" i="18"/>
  <c r="AZ142" i="18"/>
  <c r="AY142" i="18"/>
  <c r="AX142" i="18"/>
  <c r="AW142" i="18"/>
  <c r="AV142" i="18"/>
  <c r="AU142" i="18"/>
  <c r="AT142" i="18"/>
  <c r="AS142" i="18"/>
  <c r="AR142" i="18"/>
  <c r="AQ142" i="18"/>
  <c r="AP142" i="18"/>
  <c r="AO142" i="18"/>
  <c r="AN142" i="18"/>
  <c r="AM142" i="18"/>
  <c r="AL142" i="18"/>
  <c r="AK142" i="18"/>
  <c r="AJ142" i="18"/>
  <c r="AI142" i="18"/>
  <c r="AH142" i="18"/>
  <c r="AG142" i="18"/>
  <c r="AF142" i="18"/>
  <c r="AE142" i="18"/>
  <c r="AD142" i="18"/>
  <c r="AC142" i="18"/>
  <c r="AB142" i="18"/>
  <c r="AA142" i="18"/>
  <c r="Z142" i="18"/>
  <c r="Y142" i="18"/>
  <c r="X142" i="18"/>
  <c r="W142" i="18"/>
  <c r="V142" i="18"/>
  <c r="U142" i="18"/>
  <c r="T142" i="18"/>
  <c r="S142" i="18"/>
  <c r="R142" i="18"/>
  <c r="Q142" i="18"/>
  <c r="P142" i="18"/>
  <c r="O142" i="18"/>
  <c r="N142" i="18"/>
  <c r="M142" i="18"/>
  <c r="L142" i="18"/>
  <c r="K142" i="18"/>
  <c r="J142" i="18"/>
  <c r="I142" i="18"/>
  <c r="H142" i="18"/>
  <c r="G142" i="18"/>
  <c r="F142" i="18"/>
  <c r="E142" i="18"/>
  <c r="D142" i="18"/>
  <c r="C142" i="18"/>
  <c r="B142" i="18"/>
  <c r="A142" i="18"/>
  <c r="CA141" i="18"/>
  <c r="BZ141" i="18"/>
  <c r="BY141" i="18"/>
  <c r="BX141" i="18"/>
  <c r="BW141" i="18"/>
  <c r="BV141" i="18"/>
  <c r="BU141" i="18"/>
  <c r="BT141" i="18"/>
  <c r="BS141" i="18"/>
  <c r="BR141" i="18"/>
  <c r="BQ141" i="18"/>
  <c r="BP141" i="18"/>
  <c r="BO141" i="18"/>
  <c r="BN141" i="18"/>
  <c r="BM141" i="18"/>
  <c r="BL141" i="18"/>
  <c r="BK141" i="18"/>
  <c r="BJ141" i="18"/>
  <c r="BI141" i="18"/>
  <c r="BH141" i="18"/>
  <c r="BG141" i="18"/>
  <c r="BF141" i="18"/>
  <c r="BE141" i="18"/>
  <c r="BD141" i="18"/>
  <c r="BC141" i="18"/>
  <c r="BB141" i="18"/>
  <c r="BA141" i="18"/>
  <c r="AZ141" i="18"/>
  <c r="AY141" i="18"/>
  <c r="AX141" i="18"/>
  <c r="AW141" i="18"/>
  <c r="AV141" i="18"/>
  <c r="AU141" i="18"/>
  <c r="AT141" i="18"/>
  <c r="AS141" i="18"/>
  <c r="AR141" i="18"/>
  <c r="AQ141" i="18"/>
  <c r="AP141" i="18"/>
  <c r="AO141" i="18"/>
  <c r="AN141" i="18"/>
  <c r="AM141" i="18"/>
  <c r="AL141" i="18"/>
  <c r="AK141" i="18"/>
  <c r="AJ141" i="18"/>
  <c r="AI141" i="18"/>
  <c r="AH141" i="18"/>
  <c r="AG141" i="18"/>
  <c r="AF141" i="18"/>
  <c r="AE141" i="18"/>
  <c r="AD141" i="18"/>
  <c r="AC141" i="18"/>
  <c r="AB141" i="18"/>
  <c r="AA141" i="18"/>
  <c r="Z141" i="18"/>
  <c r="Y141" i="18"/>
  <c r="X141" i="18"/>
  <c r="W141" i="18"/>
  <c r="V141" i="18"/>
  <c r="U141" i="18"/>
  <c r="T141" i="18"/>
  <c r="S141" i="18"/>
  <c r="R141" i="18"/>
  <c r="Q141" i="18"/>
  <c r="P141" i="18"/>
  <c r="O141" i="18"/>
  <c r="N141" i="18"/>
  <c r="M141" i="18"/>
  <c r="L141" i="18"/>
  <c r="K141" i="18"/>
  <c r="J141" i="18"/>
  <c r="I141" i="18"/>
  <c r="H141" i="18"/>
  <c r="G141" i="18"/>
  <c r="F141" i="18"/>
  <c r="E141" i="18"/>
  <c r="D141" i="18"/>
  <c r="C141" i="18"/>
  <c r="B141" i="18"/>
  <c r="A141" i="18"/>
  <c r="CA140" i="18"/>
  <c r="BZ140" i="18"/>
  <c r="BY140" i="18"/>
  <c r="BU140" i="18"/>
  <c r="BO140" i="18"/>
  <c r="BI140" i="18"/>
  <c r="AU140" i="18"/>
  <c r="AT140" i="18"/>
  <c r="AS140" i="18"/>
  <c r="AR140" i="18"/>
  <c r="AQ140" i="18"/>
  <c r="AP140" i="18"/>
  <c r="AO140" i="18"/>
  <c r="AN140" i="18"/>
  <c r="AM140" i="18"/>
  <c r="AL140" i="18"/>
  <c r="AK140" i="18"/>
  <c r="AJ140" i="18"/>
  <c r="AI140" i="18"/>
  <c r="AH140" i="18"/>
  <c r="AG140" i="18"/>
  <c r="AF140" i="18"/>
  <c r="AE140" i="18"/>
  <c r="AD140" i="18"/>
  <c r="AC140" i="18"/>
  <c r="AB140" i="18"/>
  <c r="AA140" i="18"/>
  <c r="Z140" i="18"/>
  <c r="Y140" i="18"/>
  <c r="X140" i="18"/>
  <c r="W140" i="18"/>
  <c r="V140" i="18"/>
  <c r="U140" i="18"/>
  <c r="T140" i="18"/>
  <c r="S140" i="18"/>
  <c r="R140" i="18"/>
  <c r="Q140" i="18"/>
  <c r="P140" i="18"/>
  <c r="O140" i="18"/>
  <c r="N140" i="18"/>
  <c r="M140" i="18"/>
  <c r="L140" i="18"/>
  <c r="K140" i="18"/>
  <c r="J140" i="18"/>
  <c r="I140" i="18"/>
  <c r="H140" i="18"/>
  <c r="G140" i="18"/>
  <c r="F140" i="18"/>
  <c r="E140" i="18"/>
  <c r="D140" i="18"/>
  <c r="C140" i="18"/>
  <c r="B140" i="18"/>
  <c r="A140" i="18"/>
  <c r="CA139" i="18"/>
  <c r="BZ139" i="18"/>
  <c r="BY139" i="18"/>
  <c r="BT139" i="18"/>
  <c r="BS139" i="18"/>
  <c r="BR139" i="18"/>
  <c r="BQ139" i="18"/>
  <c r="BP139" i="18"/>
  <c r="BO139" i="18"/>
  <c r="BN139" i="18"/>
  <c r="BM139" i="18"/>
  <c r="BL139" i="18"/>
  <c r="BK139" i="18"/>
  <c r="BJ139" i="18"/>
  <c r="BI139" i="18"/>
  <c r="BH139" i="18"/>
  <c r="BG139" i="18"/>
  <c r="BF139" i="18"/>
  <c r="BE139" i="18"/>
  <c r="BD139" i="18"/>
  <c r="BC139" i="18"/>
  <c r="BB139" i="18"/>
  <c r="BA139" i="18"/>
  <c r="AZ139" i="18"/>
  <c r="AY139" i="18"/>
  <c r="AX139" i="18"/>
  <c r="AW139" i="18"/>
  <c r="AV139" i="18"/>
  <c r="AU139" i="18"/>
  <c r="AT139" i="18"/>
  <c r="AS139" i="18"/>
  <c r="AR139" i="18"/>
  <c r="AQ139" i="18"/>
  <c r="AP139" i="18"/>
  <c r="AO139" i="18"/>
  <c r="AN139" i="18"/>
  <c r="AM139" i="18"/>
  <c r="AL139" i="18"/>
  <c r="AK139" i="18"/>
  <c r="AJ139" i="18"/>
  <c r="AI139" i="18"/>
  <c r="AH139" i="18"/>
  <c r="AG139" i="18"/>
  <c r="AF139" i="18"/>
  <c r="AE139" i="18"/>
  <c r="AD139" i="18"/>
  <c r="AC139" i="18"/>
  <c r="AB139" i="18"/>
  <c r="AA139" i="18"/>
  <c r="Z139" i="18"/>
  <c r="Y139" i="18"/>
  <c r="X139" i="18"/>
  <c r="W139" i="18"/>
  <c r="V139" i="18"/>
  <c r="U139" i="18"/>
  <c r="T139" i="18"/>
  <c r="S139" i="18"/>
  <c r="R139" i="18"/>
  <c r="Q139" i="18"/>
  <c r="P139" i="18"/>
  <c r="O139" i="18"/>
  <c r="N139" i="18"/>
  <c r="M139" i="18"/>
  <c r="L139" i="18"/>
  <c r="K139" i="18"/>
  <c r="J139" i="18"/>
  <c r="I139" i="18"/>
  <c r="H139" i="18"/>
  <c r="G139" i="18"/>
  <c r="F139" i="18"/>
  <c r="E139" i="18"/>
  <c r="D139" i="18"/>
  <c r="C139" i="18"/>
  <c r="B139" i="18"/>
  <c r="A139" i="18"/>
  <c r="CA138" i="18"/>
  <c r="BZ138" i="18"/>
  <c r="BY138" i="18"/>
  <c r="BX138" i="18"/>
  <c r="BW138" i="18"/>
  <c r="BV138" i="18"/>
  <c r="BU138" i="18"/>
  <c r="BT138" i="18"/>
  <c r="BS138" i="18"/>
  <c r="BR138" i="18"/>
  <c r="BQ138" i="18"/>
  <c r="BP138" i="18"/>
  <c r="BO138" i="18"/>
  <c r="BN138" i="18"/>
  <c r="BM138" i="18"/>
  <c r="BL138" i="18"/>
  <c r="BK138" i="18"/>
  <c r="BJ138" i="18"/>
  <c r="BI138" i="18"/>
  <c r="BH138" i="18"/>
  <c r="BG138" i="18"/>
  <c r="BF138" i="18"/>
  <c r="BE138" i="18"/>
  <c r="BD138" i="18"/>
  <c r="BC138" i="18"/>
  <c r="BB138" i="18"/>
  <c r="BA138" i="18"/>
  <c r="AZ138" i="18"/>
  <c r="AY138" i="18"/>
  <c r="AX138" i="18"/>
  <c r="AW138" i="18"/>
  <c r="AU138" i="18"/>
  <c r="AT138" i="18"/>
  <c r="AS138" i="18"/>
  <c r="AR138" i="18"/>
  <c r="AQ138" i="18"/>
  <c r="AP138" i="18"/>
  <c r="AO138" i="18"/>
  <c r="AN138" i="18"/>
  <c r="AM138" i="18"/>
  <c r="AL138" i="18"/>
  <c r="AK138" i="18"/>
  <c r="AJ138" i="18"/>
  <c r="AI138" i="18"/>
  <c r="AH138" i="18"/>
  <c r="AG138" i="18"/>
  <c r="AF138" i="18"/>
  <c r="AE138" i="18"/>
  <c r="AD138" i="18"/>
  <c r="AC138" i="18"/>
  <c r="AB138" i="18"/>
  <c r="AA138" i="18"/>
  <c r="Z138" i="18"/>
  <c r="Y138" i="18"/>
  <c r="X138" i="18"/>
  <c r="W138" i="18"/>
  <c r="V138" i="18"/>
  <c r="U138" i="18"/>
  <c r="T138" i="18"/>
  <c r="S138" i="18"/>
  <c r="R138" i="18"/>
  <c r="Q138" i="18"/>
  <c r="P138" i="18"/>
  <c r="O138" i="18"/>
  <c r="N138" i="18"/>
  <c r="M138" i="18"/>
  <c r="L138" i="18"/>
  <c r="K138" i="18"/>
  <c r="J138" i="18"/>
  <c r="I138" i="18"/>
  <c r="H138" i="18"/>
  <c r="G138" i="18"/>
  <c r="F138" i="18"/>
  <c r="E138" i="18"/>
  <c r="D138" i="18"/>
  <c r="C138" i="18"/>
  <c r="B138" i="18"/>
  <c r="A138" i="18"/>
  <c r="CA137" i="18"/>
  <c r="BZ137" i="18"/>
  <c r="BY137" i="18"/>
  <c r="BX137" i="18"/>
  <c r="BW137" i="18"/>
  <c r="BV137" i="18"/>
  <c r="BU137" i="18"/>
  <c r="BT137" i="18"/>
  <c r="BS137" i="18"/>
  <c r="BR137" i="18"/>
  <c r="BQ137" i="18"/>
  <c r="BP137" i="18"/>
  <c r="BO137" i="18"/>
  <c r="BN137" i="18"/>
  <c r="BM137" i="18"/>
  <c r="BL137" i="18"/>
  <c r="BK137" i="18"/>
  <c r="BJ137" i="18"/>
  <c r="BI137" i="18"/>
  <c r="BH137" i="18"/>
  <c r="BG137" i="18"/>
  <c r="BF137" i="18"/>
  <c r="BE137" i="18"/>
  <c r="BD137" i="18"/>
  <c r="BC137" i="18"/>
  <c r="BB137" i="18"/>
  <c r="BA137" i="18"/>
  <c r="AZ137" i="18"/>
  <c r="AY137" i="18"/>
  <c r="AX137" i="18"/>
  <c r="AW137" i="18"/>
  <c r="AV137" i="18"/>
  <c r="AU137" i="18"/>
  <c r="AT137" i="18"/>
  <c r="AS137" i="18"/>
  <c r="AR137" i="18"/>
  <c r="AQ137" i="18"/>
  <c r="AP137" i="18"/>
  <c r="AO137" i="18"/>
  <c r="AN137" i="18"/>
  <c r="AM137" i="18"/>
  <c r="AL137" i="18"/>
  <c r="AK137" i="18"/>
  <c r="AJ137" i="18"/>
  <c r="AI137" i="18"/>
  <c r="AH137" i="18"/>
  <c r="AG137" i="18"/>
  <c r="AF137" i="18"/>
  <c r="AE137" i="18"/>
  <c r="AD137" i="18"/>
  <c r="AC137" i="18"/>
  <c r="AB137" i="18"/>
  <c r="AA137" i="18"/>
  <c r="Z137" i="18"/>
  <c r="Y137" i="18"/>
  <c r="X137" i="18"/>
  <c r="W137" i="18"/>
  <c r="V137" i="18"/>
  <c r="U137" i="18"/>
  <c r="T137" i="18"/>
  <c r="S137" i="18"/>
  <c r="R137" i="18"/>
  <c r="Q137" i="18"/>
  <c r="P137" i="18"/>
  <c r="O137" i="18"/>
  <c r="N137" i="18"/>
  <c r="M137" i="18"/>
  <c r="L137" i="18"/>
  <c r="K137" i="18"/>
  <c r="J137" i="18"/>
  <c r="I137" i="18"/>
  <c r="H137" i="18"/>
  <c r="G137" i="18"/>
  <c r="F137" i="18"/>
  <c r="E137" i="18"/>
  <c r="D137" i="18"/>
  <c r="C137" i="18"/>
  <c r="B137" i="18"/>
  <c r="A137" i="18"/>
  <c r="CA136" i="18"/>
  <c r="BZ136" i="18"/>
  <c r="BY136" i="18"/>
  <c r="BI136" i="18"/>
  <c r="AU136" i="18"/>
  <c r="AT136" i="18"/>
  <c r="AS136" i="18"/>
  <c r="AR136" i="18"/>
  <c r="AQ136" i="18"/>
  <c r="AP136" i="18"/>
  <c r="AO136" i="18"/>
  <c r="AN136" i="18"/>
  <c r="AM136" i="18"/>
  <c r="AL136" i="18"/>
  <c r="AK136" i="18"/>
  <c r="AJ136" i="18"/>
  <c r="AI136" i="18"/>
  <c r="AH136" i="18"/>
  <c r="AG136" i="18"/>
  <c r="AF136" i="18"/>
  <c r="AE136" i="18"/>
  <c r="AD136" i="18"/>
  <c r="AC136" i="18"/>
  <c r="AB136" i="18"/>
  <c r="AA136" i="18"/>
  <c r="Z136" i="18"/>
  <c r="Y136" i="18"/>
  <c r="X136" i="18"/>
  <c r="W136" i="18"/>
  <c r="V136" i="18"/>
  <c r="U136" i="18"/>
  <c r="T136" i="18"/>
  <c r="S136" i="18"/>
  <c r="R136" i="18"/>
  <c r="Q136" i="18"/>
  <c r="P136" i="18"/>
  <c r="O136" i="18"/>
  <c r="N136" i="18"/>
  <c r="M136" i="18"/>
  <c r="L136" i="18"/>
  <c r="K136" i="18"/>
  <c r="J136" i="18"/>
  <c r="I136" i="18"/>
  <c r="H136" i="18"/>
  <c r="G136" i="18"/>
  <c r="F136" i="18"/>
  <c r="E136" i="18"/>
  <c r="D136" i="18"/>
  <c r="C136" i="18"/>
  <c r="B136" i="18"/>
  <c r="A136" i="18"/>
  <c r="CA135" i="18"/>
  <c r="BZ135" i="18"/>
  <c r="BY135" i="18"/>
  <c r="BT135" i="18"/>
  <c r="BS135" i="18"/>
  <c r="BR135" i="18"/>
  <c r="BQ135" i="18"/>
  <c r="BP135" i="18"/>
  <c r="BO135" i="18"/>
  <c r="BN135" i="18"/>
  <c r="BM135" i="18"/>
  <c r="BL135" i="18"/>
  <c r="BK135" i="18"/>
  <c r="BJ135" i="18"/>
  <c r="BI135" i="18"/>
  <c r="BH135" i="18"/>
  <c r="BG135" i="18"/>
  <c r="BF135" i="18"/>
  <c r="BE135" i="18"/>
  <c r="BD135" i="18"/>
  <c r="BC135" i="18"/>
  <c r="BB135" i="18"/>
  <c r="BA135" i="18"/>
  <c r="AZ135" i="18"/>
  <c r="AY135" i="18"/>
  <c r="AX135" i="18"/>
  <c r="AW135" i="18"/>
  <c r="AV135" i="18"/>
  <c r="AU135" i="18"/>
  <c r="AT135" i="18"/>
  <c r="AS135" i="18"/>
  <c r="AR135" i="18"/>
  <c r="AQ135" i="18"/>
  <c r="AP135" i="18"/>
  <c r="AO135" i="18"/>
  <c r="AN135" i="18"/>
  <c r="AM135" i="18"/>
  <c r="AL135" i="18"/>
  <c r="AK135" i="18"/>
  <c r="AJ135" i="18"/>
  <c r="AI135" i="18"/>
  <c r="AH135" i="18"/>
  <c r="AG135" i="18"/>
  <c r="AF135" i="18"/>
  <c r="AE135" i="18"/>
  <c r="AD135" i="18"/>
  <c r="AC135" i="18"/>
  <c r="AB135" i="18"/>
  <c r="AA135" i="18"/>
  <c r="Z135" i="18"/>
  <c r="Y135" i="18"/>
  <c r="X135" i="18"/>
  <c r="W135" i="18"/>
  <c r="V135" i="18"/>
  <c r="U135" i="18"/>
  <c r="T135" i="18"/>
  <c r="S135" i="18"/>
  <c r="R135" i="18"/>
  <c r="Q135" i="18"/>
  <c r="P135" i="18"/>
  <c r="O135" i="18"/>
  <c r="N135" i="18"/>
  <c r="M135" i="18"/>
  <c r="L135" i="18"/>
  <c r="K135" i="18"/>
  <c r="J135" i="18"/>
  <c r="I135" i="18"/>
  <c r="H135" i="18"/>
  <c r="G135" i="18"/>
  <c r="F135" i="18"/>
  <c r="E135" i="18"/>
  <c r="D135" i="18"/>
  <c r="C135" i="18"/>
  <c r="B135" i="18"/>
  <c r="A135" i="18"/>
  <c r="CA134" i="18"/>
  <c r="BZ134" i="18"/>
  <c r="BY134" i="18"/>
  <c r="AU134" i="18"/>
  <c r="AT134" i="18"/>
  <c r="AS134" i="18"/>
  <c r="AR134" i="18"/>
  <c r="AQ134" i="18"/>
  <c r="AP134" i="18"/>
  <c r="AO134" i="18"/>
  <c r="AN134" i="18"/>
  <c r="AM134" i="18"/>
  <c r="AL134" i="18"/>
  <c r="AK134" i="18"/>
  <c r="AJ134" i="18"/>
  <c r="AI134" i="18"/>
  <c r="AH134" i="18"/>
  <c r="AG134" i="18"/>
  <c r="AF134" i="18"/>
  <c r="AE134" i="18"/>
  <c r="AD134" i="18"/>
  <c r="AC134" i="18"/>
  <c r="AB134" i="18"/>
  <c r="AA134" i="18"/>
  <c r="Z134" i="18"/>
  <c r="Y134" i="18"/>
  <c r="X134" i="18"/>
  <c r="W134" i="18"/>
  <c r="V134" i="18"/>
  <c r="U134" i="18"/>
  <c r="T134" i="18"/>
  <c r="S134" i="18"/>
  <c r="R134" i="18"/>
  <c r="Q134" i="18"/>
  <c r="P134" i="18"/>
  <c r="O134" i="18"/>
  <c r="N134" i="18"/>
  <c r="M134" i="18"/>
  <c r="L134" i="18"/>
  <c r="K134" i="18"/>
  <c r="J134" i="18"/>
  <c r="I134" i="18"/>
  <c r="H134" i="18"/>
  <c r="G134" i="18"/>
  <c r="F134" i="18"/>
  <c r="E134" i="18"/>
  <c r="D134" i="18"/>
  <c r="C134" i="18"/>
  <c r="B134" i="18"/>
  <c r="A134" i="18"/>
  <c r="CA133" i="18"/>
  <c r="BZ133" i="18"/>
  <c r="BY133" i="18"/>
  <c r="AV133" i="18"/>
  <c r="AU133" i="18"/>
  <c r="AT133" i="18"/>
  <c r="AS133" i="18"/>
  <c r="AR133" i="18"/>
  <c r="AQ133" i="18"/>
  <c r="AP133" i="18"/>
  <c r="AO133" i="18"/>
  <c r="AN133" i="18"/>
  <c r="AM133" i="18"/>
  <c r="AL133" i="18"/>
  <c r="AK133" i="18"/>
  <c r="AJ133" i="18"/>
  <c r="AI133" i="18"/>
  <c r="AH133" i="18"/>
  <c r="AG133" i="18"/>
  <c r="AF133" i="18"/>
  <c r="AE133" i="18"/>
  <c r="AD133" i="18"/>
  <c r="AC133" i="18"/>
  <c r="AB133" i="18"/>
  <c r="AA133" i="18"/>
  <c r="Z133" i="18"/>
  <c r="Y133" i="18"/>
  <c r="X133" i="18"/>
  <c r="W133" i="18"/>
  <c r="V133" i="18"/>
  <c r="U133" i="18"/>
  <c r="T133" i="18"/>
  <c r="S133" i="18"/>
  <c r="R133" i="18"/>
  <c r="Q133" i="18"/>
  <c r="P133" i="18"/>
  <c r="O133" i="18"/>
  <c r="N133" i="18"/>
  <c r="M133" i="18"/>
  <c r="L133" i="18"/>
  <c r="K133" i="18"/>
  <c r="J133" i="18"/>
  <c r="I133" i="18"/>
  <c r="H133" i="18"/>
  <c r="G133" i="18"/>
  <c r="F133" i="18"/>
  <c r="E133" i="18"/>
  <c r="D133" i="18"/>
  <c r="C133" i="18"/>
  <c r="B133" i="18"/>
  <c r="A133" i="18"/>
  <c r="CA132" i="18"/>
  <c r="BZ132" i="18"/>
  <c r="BY132" i="18"/>
  <c r="BX132" i="18"/>
  <c r="BW132" i="18"/>
  <c r="BV132" i="18"/>
  <c r="BU132" i="18"/>
  <c r="BT132" i="18"/>
  <c r="BS132" i="18"/>
  <c r="BR132" i="18"/>
  <c r="BQ132" i="18"/>
  <c r="BP132" i="18"/>
  <c r="BO132" i="18"/>
  <c r="BN132" i="18"/>
  <c r="BM132" i="18"/>
  <c r="BL132" i="18"/>
  <c r="BK132" i="18"/>
  <c r="BJ132" i="18"/>
  <c r="BI132" i="18"/>
  <c r="BH132" i="18"/>
  <c r="BG132" i="18"/>
  <c r="BF132" i="18"/>
  <c r="BE132" i="18"/>
  <c r="BD132" i="18"/>
  <c r="BC132" i="18"/>
  <c r="BB132" i="18"/>
  <c r="BA132" i="18"/>
  <c r="AZ132" i="18"/>
  <c r="AY132" i="18"/>
  <c r="AX132" i="18"/>
  <c r="AW132" i="18"/>
  <c r="AV132" i="18"/>
  <c r="AU132" i="18"/>
  <c r="AT132" i="18"/>
  <c r="AS132" i="18"/>
  <c r="AR132" i="18"/>
  <c r="AQ132" i="18"/>
  <c r="AP132" i="18"/>
  <c r="AO132" i="18"/>
  <c r="AN132" i="18"/>
  <c r="AM132" i="18"/>
  <c r="AL132" i="18"/>
  <c r="AK132" i="18"/>
  <c r="AJ132" i="18"/>
  <c r="AI132" i="18"/>
  <c r="AH132" i="18"/>
  <c r="AG132" i="18"/>
  <c r="AF132" i="18"/>
  <c r="AE132" i="18"/>
  <c r="AD132" i="18"/>
  <c r="AC132" i="18"/>
  <c r="AB132" i="18"/>
  <c r="AA132" i="18"/>
  <c r="Z132" i="18"/>
  <c r="Y132" i="18"/>
  <c r="X132" i="18"/>
  <c r="W132" i="18"/>
  <c r="V132" i="18"/>
  <c r="U132" i="18"/>
  <c r="T132" i="18"/>
  <c r="S132" i="18"/>
  <c r="R132" i="18"/>
  <c r="Q132" i="18"/>
  <c r="P132" i="18"/>
  <c r="O132" i="18"/>
  <c r="N132" i="18"/>
  <c r="M132" i="18"/>
  <c r="L132" i="18"/>
  <c r="K132" i="18"/>
  <c r="J132" i="18"/>
  <c r="I132" i="18"/>
  <c r="H132" i="18"/>
  <c r="G132" i="18"/>
  <c r="F132" i="18"/>
  <c r="E132" i="18"/>
  <c r="D132" i="18"/>
  <c r="C132" i="18"/>
  <c r="B132" i="18"/>
  <c r="A132" i="18"/>
  <c r="CA131" i="18"/>
  <c r="BZ131" i="18"/>
  <c r="BY131" i="18"/>
  <c r="BX131" i="18"/>
  <c r="BW131" i="18"/>
  <c r="BV131" i="18"/>
  <c r="BU131" i="18"/>
  <c r="BT131" i="18"/>
  <c r="BS131" i="18"/>
  <c r="BR131" i="18"/>
  <c r="BQ131" i="18"/>
  <c r="BP131" i="18"/>
  <c r="BO131" i="18"/>
  <c r="BN131" i="18"/>
  <c r="BM131" i="18"/>
  <c r="BL131" i="18"/>
  <c r="BK131" i="18"/>
  <c r="BJ131" i="18"/>
  <c r="BI131" i="18"/>
  <c r="BH131" i="18"/>
  <c r="BG131" i="18"/>
  <c r="BF131" i="18"/>
  <c r="BE131" i="18"/>
  <c r="BD131" i="18"/>
  <c r="BC131" i="18"/>
  <c r="BB131" i="18"/>
  <c r="BA131" i="18"/>
  <c r="AZ131" i="18"/>
  <c r="AY131" i="18"/>
  <c r="AX131" i="18"/>
  <c r="AW131" i="18"/>
  <c r="AV131" i="18"/>
  <c r="AU131" i="18"/>
  <c r="AT131" i="18"/>
  <c r="AS131" i="18"/>
  <c r="AR131" i="18"/>
  <c r="AQ131" i="18"/>
  <c r="AP131" i="18"/>
  <c r="AO131" i="18"/>
  <c r="AN131" i="18"/>
  <c r="AM131" i="18"/>
  <c r="AL131" i="18"/>
  <c r="AK131" i="18"/>
  <c r="AJ131" i="18"/>
  <c r="AI131" i="18"/>
  <c r="AH131" i="18"/>
  <c r="AG131" i="18"/>
  <c r="AF131" i="18"/>
  <c r="AE131" i="18"/>
  <c r="AD131" i="18"/>
  <c r="AC131" i="18"/>
  <c r="AB131" i="18"/>
  <c r="AA131" i="18"/>
  <c r="Z131" i="18"/>
  <c r="Y131" i="18"/>
  <c r="X131" i="18"/>
  <c r="W131" i="18"/>
  <c r="V131" i="18"/>
  <c r="U131" i="18"/>
  <c r="T131" i="18"/>
  <c r="S131" i="18"/>
  <c r="R131" i="18"/>
  <c r="Q131" i="18"/>
  <c r="P131" i="18"/>
  <c r="O131" i="18"/>
  <c r="N131" i="18"/>
  <c r="M131" i="18"/>
  <c r="L131" i="18"/>
  <c r="K131" i="18"/>
  <c r="J131" i="18"/>
  <c r="I131" i="18"/>
  <c r="H131" i="18"/>
  <c r="G131" i="18"/>
  <c r="F131" i="18"/>
  <c r="E131" i="18"/>
  <c r="D131" i="18"/>
  <c r="C131" i="18"/>
  <c r="B131" i="18"/>
  <c r="A131" i="18"/>
  <c r="CA130" i="18"/>
  <c r="BZ130" i="18"/>
  <c r="BY130" i="18"/>
  <c r="BX130" i="18"/>
  <c r="BW130" i="18"/>
  <c r="BV130" i="18"/>
  <c r="BU130" i="18"/>
  <c r="BT130" i="18"/>
  <c r="BS130" i="18"/>
  <c r="BR130" i="18"/>
  <c r="BQ130" i="18"/>
  <c r="BP130" i="18"/>
  <c r="BO130" i="18"/>
  <c r="BN130" i="18"/>
  <c r="BM130" i="18"/>
  <c r="BL130" i="18"/>
  <c r="BK130" i="18"/>
  <c r="BJ130" i="18"/>
  <c r="BI130" i="18"/>
  <c r="BH130" i="18"/>
  <c r="BG130" i="18"/>
  <c r="BF130" i="18"/>
  <c r="BE130" i="18"/>
  <c r="BD130" i="18"/>
  <c r="BC130" i="18"/>
  <c r="BB130" i="18"/>
  <c r="BA130" i="18"/>
  <c r="AZ130" i="18"/>
  <c r="AY130" i="18"/>
  <c r="AX130" i="18"/>
  <c r="AW130" i="18"/>
  <c r="AV130" i="18"/>
  <c r="AU130" i="18"/>
  <c r="AT130" i="18"/>
  <c r="AS130" i="18"/>
  <c r="AR130" i="18"/>
  <c r="AQ130" i="18"/>
  <c r="AP130" i="18"/>
  <c r="AO130" i="18"/>
  <c r="AN130" i="18"/>
  <c r="AM130" i="18"/>
  <c r="AL130" i="18"/>
  <c r="AK130" i="18"/>
  <c r="AJ130" i="18"/>
  <c r="AI130" i="18"/>
  <c r="AH130" i="18"/>
  <c r="AG130" i="18"/>
  <c r="AF130" i="18"/>
  <c r="AE130" i="18"/>
  <c r="AD130" i="18"/>
  <c r="AC130" i="18"/>
  <c r="AB130" i="18"/>
  <c r="AA130" i="18"/>
  <c r="Z130" i="18"/>
  <c r="Y130" i="18"/>
  <c r="X130" i="18"/>
  <c r="W130" i="18"/>
  <c r="V130" i="18"/>
  <c r="U130" i="18"/>
  <c r="T130" i="18"/>
  <c r="S130" i="18"/>
  <c r="R130" i="18"/>
  <c r="Q130" i="18"/>
  <c r="P130" i="18"/>
  <c r="O130" i="18"/>
  <c r="N130" i="18"/>
  <c r="M130" i="18"/>
  <c r="L130" i="18"/>
  <c r="K130" i="18"/>
  <c r="J130" i="18"/>
  <c r="I130" i="18"/>
  <c r="H130" i="18"/>
  <c r="G130" i="18"/>
  <c r="F130" i="18"/>
  <c r="E130" i="18"/>
  <c r="D130" i="18"/>
  <c r="C130" i="18"/>
  <c r="B130" i="18"/>
  <c r="A130" i="18"/>
  <c r="CA129" i="18"/>
  <c r="BZ129" i="18"/>
  <c r="BY129" i="18"/>
  <c r="AN129" i="18"/>
  <c r="AM129" i="18"/>
  <c r="AL129" i="18"/>
  <c r="AK129" i="18"/>
  <c r="AJ129" i="18"/>
  <c r="AI129" i="18"/>
  <c r="AH129" i="18"/>
  <c r="AG129" i="18"/>
  <c r="AF129" i="18"/>
  <c r="AE129" i="18"/>
  <c r="AD129" i="18"/>
  <c r="AC129" i="18"/>
  <c r="AB129" i="18"/>
  <c r="AA129" i="18"/>
  <c r="Z129" i="18"/>
  <c r="Y129" i="18"/>
  <c r="X129" i="18"/>
  <c r="W129" i="18"/>
  <c r="V129" i="18"/>
  <c r="U129" i="18"/>
  <c r="T129" i="18"/>
  <c r="S129" i="18"/>
  <c r="R129" i="18"/>
  <c r="Q129" i="18"/>
  <c r="P129" i="18"/>
  <c r="O129" i="18"/>
  <c r="N129" i="18"/>
  <c r="M129" i="18"/>
  <c r="L129" i="18"/>
  <c r="K129" i="18"/>
  <c r="J129" i="18"/>
  <c r="I129" i="18"/>
  <c r="H129" i="18"/>
  <c r="G129" i="18"/>
  <c r="F129" i="18"/>
  <c r="E129" i="18"/>
  <c r="D129" i="18"/>
  <c r="C129" i="18"/>
  <c r="B129" i="18"/>
  <c r="A129" i="18"/>
  <c r="CT128" i="18"/>
  <c r="CI128" i="18"/>
  <c r="CH128" i="18"/>
  <c r="CG128" i="18"/>
  <c r="CF128" i="18"/>
  <c r="CE128" i="18"/>
  <c r="CD128" i="18"/>
  <c r="CC128" i="18"/>
  <c r="CB128" i="18"/>
  <c r="CA128" i="18"/>
  <c r="BZ128" i="18"/>
  <c r="BY128" i="18"/>
  <c r="AN128" i="18"/>
  <c r="AM128" i="18"/>
  <c r="AL128" i="18"/>
  <c r="AK128" i="18"/>
  <c r="AJ128" i="18"/>
  <c r="AI128" i="18"/>
  <c r="AH128" i="18"/>
  <c r="AG128" i="18"/>
  <c r="AF128" i="18"/>
  <c r="AE128" i="18"/>
  <c r="AD128" i="18"/>
  <c r="AC128" i="18"/>
  <c r="AB128" i="18"/>
  <c r="AA128" i="18"/>
  <c r="Z128" i="18"/>
  <c r="Y128" i="18"/>
  <c r="X128" i="18"/>
  <c r="W128" i="18"/>
  <c r="V128" i="18"/>
  <c r="U128" i="18"/>
  <c r="T128" i="18"/>
  <c r="S128" i="18"/>
  <c r="R128" i="18"/>
  <c r="Q128" i="18"/>
  <c r="P128" i="18"/>
  <c r="O128" i="18"/>
  <c r="N128" i="18"/>
  <c r="M128" i="18"/>
  <c r="L128" i="18"/>
  <c r="K128" i="18"/>
  <c r="J128" i="18"/>
  <c r="I128" i="18"/>
  <c r="H128" i="18"/>
  <c r="G128" i="18"/>
  <c r="F128" i="18"/>
  <c r="E128" i="18"/>
  <c r="D128" i="18"/>
  <c r="C128" i="18"/>
  <c r="B128" i="18"/>
  <c r="A128" i="18"/>
  <c r="CU127" i="18"/>
  <c r="CT127" i="18"/>
  <c r="CI127" i="18"/>
  <c r="CH127" i="18"/>
  <c r="CG127" i="18"/>
  <c r="CF127" i="18"/>
  <c r="CE127" i="18"/>
  <c r="CD127" i="18"/>
  <c r="CC127" i="18"/>
  <c r="CB127" i="18"/>
  <c r="CA127" i="18"/>
  <c r="BZ127" i="18"/>
  <c r="BY127" i="18"/>
  <c r="AR127" i="18"/>
  <c r="AQ127" i="18"/>
  <c r="AP127" i="18"/>
  <c r="AO127" i="18"/>
  <c r="AN127" i="18"/>
  <c r="AM127" i="18"/>
  <c r="AL127" i="18"/>
  <c r="AK127" i="18"/>
  <c r="AJ127" i="18"/>
  <c r="AI127" i="18"/>
  <c r="AH127" i="18"/>
  <c r="AG127" i="18"/>
  <c r="AF127" i="18"/>
  <c r="AE127" i="18"/>
  <c r="AD127" i="18"/>
  <c r="AC127" i="18"/>
  <c r="AB127" i="18"/>
  <c r="AA127" i="18"/>
  <c r="Z127" i="18"/>
  <c r="Y127" i="18"/>
  <c r="X127" i="18"/>
  <c r="W127" i="18"/>
  <c r="V127" i="18"/>
  <c r="U127" i="18"/>
  <c r="T127" i="18"/>
  <c r="S127" i="18"/>
  <c r="R127" i="18"/>
  <c r="Q127" i="18"/>
  <c r="P127" i="18"/>
  <c r="O127" i="18"/>
  <c r="N127" i="18"/>
  <c r="M127" i="18"/>
  <c r="L127" i="18"/>
  <c r="K127" i="18"/>
  <c r="J127" i="18"/>
  <c r="I127" i="18"/>
  <c r="H127" i="18"/>
  <c r="G127" i="18"/>
  <c r="F127" i="18"/>
  <c r="E127" i="18"/>
  <c r="D127" i="18"/>
  <c r="C127" i="18"/>
  <c r="B127" i="18"/>
  <c r="A127" i="18"/>
  <c r="CU125" i="18"/>
  <c r="CT125" i="18"/>
  <c r="CR125" i="18"/>
  <c r="CN125" i="18"/>
  <c r="CM125" i="18"/>
  <c r="CL125" i="18"/>
  <c r="CK125" i="18"/>
  <c r="CJ125" i="18"/>
  <c r="CI125" i="18"/>
  <c r="CH125" i="18"/>
  <c r="CG125" i="18"/>
  <c r="CF125" i="18"/>
  <c r="CE125" i="18"/>
  <c r="CD125" i="18"/>
  <c r="CC125" i="18"/>
  <c r="CB125" i="18"/>
  <c r="CA125" i="18"/>
  <c r="BZ125" i="18"/>
  <c r="BY125" i="18"/>
  <c r="BT125" i="18"/>
  <c r="BS125" i="18"/>
  <c r="BR125" i="18"/>
  <c r="BQ125" i="18"/>
  <c r="BP125" i="18"/>
  <c r="BO125" i="18"/>
  <c r="BN125" i="18"/>
  <c r="BM125" i="18"/>
  <c r="BL125" i="18"/>
  <c r="BK125" i="18"/>
  <c r="BJ125" i="18"/>
  <c r="BI125" i="18"/>
  <c r="BH125" i="18"/>
  <c r="BG125" i="18"/>
  <c r="BF125" i="18"/>
  <c r="BE125" i="18"/>
  <c r="BD125" i="18"/>
  <c r="BC125" i="18"/>
  <c r="BB125" i="18"/>
  <c r="BA125" i="18"/>
  <c r="AZ125" i="18"/>
  <c r="AY125" i="18"/>
  <c r="AX125" i="18"/>
  <c r="AW125" i="18"/>
  <c r="AV125" i="18"/>
  <c r="AU125" i="18"/>
  <c r="AT125" i="18"/>
  <c r="AS125" i="18"/>
  <c r="AR125" i="18"/>
  <c r="AQ125" i="18"/>
  <c r="AP125" i="18"/>
  <c r="AO125" i="18"/>
  <c r="AN125" i="18"/>
  <c r="AM125" i="18"/>
  <c r="AL125" i="18"/>
  <c r="AK125" i="18"/>
  <c r="AJ125" i="18"/>
  <c r="AI125" i="18"/>
  <c r="AH125" i="18"/>
  <c r="AG125" i="18"/>
  <c r="AF125" i="18"/>
  <c r="AE125" i="18"/>
  <c r="AD125" i="18"/>
  <c r="AC125" i="18"/>
  <c r="AB125" i="18"/>
  <c r="AA125" i="18"/>
  <c r="Z125" i="18"/>
  <c r="Y125" i="18"/>
  <c r="X125" i="18"/>
  <c r="W125" i="18"/>
  <c r="V125" i="18"/>
  <c r="U125" i="18"/>
  <c r="T125" i="18"/>
  <c r="S125" i="18"/>
  <c r="R125" i="18"/>
  <c r="Q125" i="18"/>
  <c r="P125" i="18"/>
  <c r="O125" i="18"/>
  <c r="N125" i="18"/>
  <c r="M125" i="18"/>
  <c r="L125" i="18"/>
  <c r="K125" i="18"/>
  <c r="J125" i="18"/>
  <c r="I125" i="18"/>
  <c r="H125" i="18"/>
  <c r="G125" i="18"/>
  <c r="F125" i="18"/>
  <c r="E125" i="18"/>
  <c r="D125" i="18"/>
  <c r="C125" i="18"/>
  <c r="B125" i="18"/>
  <c r="A125" i="18"/>
  <c r="CU124" i="18"/>
  <c r="CT124" i="18"/>
  <c r="CS124" i="18"/>
  <c r="CR124" i="18"/>
  <c r="CQ124" i="18"/>
  <c r="CP124" i="18"/>
  <c r="CO124" i="18"/>
  <c r="CN124" i="18"/>
  <c r="CM124" i="18"/>
  <c r="CL124" i="18"/>
  <c r="CK124" i="18"/>
  <c r="CJ124" i="18"/>
  <c r="CI124" i="18"/>
  <c r="CH124" i="18"/>
  <c r="CG124" i="18"/>
  <c r="CF124" i="18"/>
  <c r="CE124" i="18"/>
  <c r="CD124" i="18"/>
  <c r="CC124" i="18"/>
  <c r="CB124" i="18"/>
  <c r="CA124" i="18"/>
  <c r="BZ124" i="18"/>
  <c r="BY124" i="18"/>
  <c r="BX124" i="18"/>
  <c r="BW124" i="18"/>
  <c r="BV124" i="18"/>
  <c r="BU124" i="18"/>
  <c r="BT124" i="18"/>
  <c r="BS124" i="18"/>
  <c r="BR124" i="18"/>
  <c r="BQ124" i="18"/>
  <c r="BP124" i="18"/>
  <c r="BO124" i="18"/>
  <c r="BN124" i="18"/>
  <c r="BM124" i="18"/>
  <c r="BL124" i="18"/>
  <c r="BK124" i="18"/>
  <c r="BJ124" i="18"/>
  <c r="BI124" i="18"/>
  <c r="BH124" i="18"/>
  <c r="BG124" i="18"/>
  <c r="BF124" i="18"/>
  <c r="BE124" i="18"/>
  <c r="BD124" i="18"/>
  <c r="BC124" i="18"/>
  <c r="BB124" i="18"/>
  <c r="BA124" i="18"/>
  <c r="AZ124" i="18"/>
  <c r="AY124" i="18"/>
  <c r="AX124" i="18"/>
  <c r="AW124" i="18"/>
  <c r="AV124" i="18"/>
  <c r="AU124" i="18"/>
  <c r="AT124" i="18"/>
  <c r="AS124" i="18"/>
  <c r="AR124" i="18"/>
  <c r="AQ124" i="18"/>
  <c r="AP124" i="18"/>
  <c r="AO124" i="18"/>
  <c r="AN124" i="18"/>
  <c r="AM124" i="18"/>
  <c r="AL124" i="18"/>
  <c r="AK124" i="18"/>
  <c r="AJ124" i="18"/>
  <c r="AI124" i="18"/>
  <c r="AH124" i="18"/>
  <c r="AG124" i="18"/>
  <c r="AF124" i="18"/>
  <c r="AE124" i="18"/>
  <c r="AD124" i="18"/>
  <c r="AC124" i="18"/>
  <c r="AB124" i="18"/>
  <c r="AA124" i="18"/>
  <c r="Z124" i="18"/>
  <c r="Y124" i="18"/>
  <c r="X124" i="18"/>
  <c r="W124" i="18"/>
  <c r="V124" i="18"/>
  <c r="U124" i="18"/>
  <c r="T124" i="18"/>
  <c r="S124" i="18"/>
  <c r="R124" i="18"/>
  <c r="Q124" i="18"/>
  <c r="P124" i="18"/>
  <c r="O124" i="18"/>
  <c r="N124" i="18"/>
  <c r="M124" i="18"/>
  <c r="L124" i="18"/>
  <c r="K124" i="18"/>
  <c r="J124" i="18"/>
  <c r="I124" i="18"/>
  <c r="H124" i="18"/>
  <c r="G124" i="18"/>
  <c r="F124" i="18"/>
  <c r="E124" i="18"/>
  <c r="D124" i="18"/>
  <c r="C124" i="18"/>
  <c r="B124" i="18"/>
  <c r="A124" i="18"/>
  <c r="CU123" i="18"/>
  <c r="CT123" i="18"/>
  <c r="CR123" i="18"/>
  <c r="CO123" i="18"/>
  <c r="CN123" i="18"/>
  <c r="CM123" i="18"/>
  <c r="CL123" i="18"/>
  <c r="CK123" i="18"/>
  <c r="CJ123" i="18"/>
  <c r="CI123" i="18"/>
  <c r="CH123" i="18"/>
  <c r="CG123" i="18"/>
  <c r="CF123" i="18"/>
  <c r="CE123" i="18"/>
  <c r="CD123" i="18"/>
  <c r="CC123" i="18"/>
  <c r="CB123" i="18"/>
  <c r="CA123" i="18"/>
  <c r="BZ123" i="18"/>
  <c r="BY123" i="18"/>
  <c r="BT123" i="18"/>
  <c r="BS123" i="18"/>
  <c r="BR123" i="18"/>
  <c r="BQ123" i="18"/>
  <c r="BP123" i="18"/>
  <c r="BO123" i="18"/>
  <c r="BN123" i="18"/>
  <c r="BM123" i="18"/>
  <c r="BL123" i="18"/>
  <c r="BK123" i="18"/>
  <c r="BJ123" i="18"/>
  <c r="BI123" i="18"/>
  <c r="BH123" i="18"/>
  <c r="BG123" i="18"/>
  <c r="BF123" i="18"/>
  <c r="BE123" i="18"/>
  <c r="BD123" i="18"/>
  <c r="BC123" i="18"/>
  <c r="BB123" i="18"/>
  <c r="BA123" i="18"/>
  <c r="AZ123" i="18"/>
  <c r="AY123" i="18"/>
  <c r="AX123" i="18"/>
  <c r="AW123" i="18"/>
  <c r="AU123" i="18"/>
  <c r="AT123" i="18"/>
  <c r="AS123" i="18"/>
  <c r="AR123" i="18"/>
  <c r="AQ123" i="18"/>
  <c r="AP123" i="18"/>
  <c r="AO123" i="18"/>
  <c r="AN123" i="18"/>
  <c r="AM123" i="18"/>
  <c r="AL123" i="18"/>
  <c r="AK123" i="18"/>
  <c r="AJ123" i="18"/>
  <c r="AI123" i="18"/>
  <c r="AH123" i="18"/>
  <c r="AG123" i="18"/>
  <c r="AF123" i="18"/>
  <c r="AE123" i="18"/>
  <c r="AD123" i="18"/>
  <c r="AC123" i="18"/>
  <c r="AB123" i="18"/>
  <c r="AA123" i="18"/>
  <c r="Z123" i="18"/>
  <c r="Y123" i="18"/>
  <c r="X123" i="18"/>
  <c r="W123" i="18"/>
  <c r="V123" i="18"/>
  <c r="U123" i="18"/>
  <c r="T123" i="18"/>
  <c r="S123" i="18"/>
  <c r="R123" i="18"/>
  <c r="Q123" i="18"/>
  <c r="P123" i="18"/>
  <c r="O123" i="18"/>
  <c r="N123" i="18"/>
  <c r="M123" i="18"/>
  <c r="L123" i="18"/>
  <c r="K123" i="18"/>
  <c r="J123" i="18"/>
  <c r="I123" i="18"/>
  <c r="H123" i="18"/>
  <c r="G123" i="18"/>
  <c r="F123" i="18"/>
  <c r="E123" i="18"/>
  <c r="D123" i="18"/>
  <c r="C123" i="18"/>
  <c r="B123" i="18"/>
  <c r="A123" i="18"/>
  <c r="CU122" i="18"/>
  <c r="CT122" i="18"/>
  <c r="CR122" i="18"/>
  <c r="CN122" i="18"/>
  <c r="CM122" i="18"/>
  <c r="CL122" i="18"/>
  <c r="CK122" i="18"/>
  <c r="CJ122" i="18"/>
  <c r="CI122" i="18"/>
  <c r="CH122" i="18"/>
  <c r="CG122" i="18"/>
  <c r="CF122" i="18"/>
  <c r="CE122" i="18"/>
  <c r="CD122" i="18"/>
  <c r="CC122" i="18"/>
  <c r="CB122" i="18"/>
  <c r="CA122" i="18"/>
  <c r="BZ122" i="18"/>
  <c r="BY122" i="18"/>
  <c r="BX122" i="18"/>
  <c r="BW122" i="18"/>
  <c r="BV122" i="18"/>
  <c r="BU122" i="18"/>
  <c r="BT122" i="18"/>
  <c r="BS122" i="18"/>
  <c r="BR122" i="18"/>
  <c r="BQ122" i="18"/>
  <c r="BP122" i="18"/>
  <c r="BO122" i="18"/>
  <c r="BN122" i="18"/>
  <c r="BM122" i="18"/>
  <c r="BL122" i="18"/>
  <c r="BK122" i="18"/>
  <c r="BJ122" i="18"/>
  <c r="BI122" i="18"/>
  <c r="BH122" i="18"/>
  <c r="BG122" i="18"/>
  <c r="BF122" i="18"/>
  <c r="BE122" i="18"/>
  <c r="BD122" i="18"/>
  <c r="BC122" i="18"/>
  <c r="BB122" i="18"/>
  <c r="BA122" i="18"/>
  <c r="AZ122" i="18"/>
  <c r="AY122" i="18"/>
  <c r="AX122" i="18"/>
  <c r="AW122" i="18"/>
  <c r="AV122" i="18"/>
  <c r="AU122" i="18"/>
  <c r="AT122" i="18"/>
  <c r="AS122" i="18"/>
  <c r="AR122" i="18"/>
  <c r="AQ122" i="18"/>
  <c r="AP122" i="18"/>
  <c r="AO122" i="18"/>
  <c r="AN122" i="18"/>
  <c r="AM122" i="18"/>
  <c r="AL122" i="18"/>
  <c r="AK122" i="18"/>
  <c r="AJ122" i="18"/>
  <c r="AI122" i="18"/>
  <c r="AH122" i="18"/>
  <c r="AG122" i="18"/>
  <c r="AF122" i="18"/>
  <c r="AE122" i="18"/>
  <c r="AD122" i="18"/>
  <c r="AC122" i="18"/>
  <c r="AB122" i="18"/>
  <c r="AA122" i="18"/>
  <c r="Z122" i="18"/>
  <c r="Y122" i="18"/>
  <c r="X122" i="18"/>
  <c r="W122" i="18"/>
  <c r="V122" i="18"/>
  <c r="U122" i="18"/>
  <c r="T122" i="18"/>
  <c r="S122" i="18"/>
  <c r="R122" i="18"/>
  <c r="Q122" i="18"/>
  <c r="P122" i="18"/>
  <c r="O122" i="18"/>
  <c r="N122" i="18"/>
  <c r="M122" i="18"/>
  <c r="L122" i="18"/>
  <c r="K122" i="18"/>
  <c r="J122" i="18"/>
  <c r="I122" i="18"/>
  <c r="H122" i="18"/>
  <c r="G122" i="18"/>
  <c r="F122" i="18"/>
  <c r="E122" i="18"/>
  <c r="D122" i="18"/>
  <c r="C122" i="18"/>
  <c r="B122" i="18"/>
  <c r="A122" i="18"/>
  <c r="CU121" i="18"/>
  <c r="CT121" i="18"/>
  <c r="CS121" i="18"/>
  <c r="CR121" i="18"/>
  <c r="CQ121" i="18"/>
  <c r="CP121" i="18"/>
  <c r="CO121" i="18"/>
  <c r="CN121" i="18"/>
  <c r="CM121" i="18"/>
  <c r="CL121" i="18"/>
  <c r="CK121" i="18"/>
  <c r="CJ121" i="18"/>
  <c r="CI121" i="18"/>
  <c r="CH121" i="18"/>
  <c r="CG121" i="18"/>
  <c r="CF121" i="18"/>
  <c r="CE121" i="18"/>
  <c r="CD121" i="18"/>
  <c r="CC121" i="18"/>
  <c r="CB121" i="18"/>
  <c r="CA121" i="18"/>
  <c r="BZ121" i="18"/>
  <c r="BY121" i="18"/>
  <c r="BX121" i="18"/>
  <c r="BW121" i="18"/>
  <c r="BV121" i="18"/>
  <c r="BU121" i="18"/>
  <c r="BT121" i="18"/>
  <c r="BS121" i="18"/>
  <c r="BR121" i="18"/>
  <c r="BQ121" i="18"/>
  <c r="BP121" i="18"/>
  <c r="BO121" i="18"/>
  <c r="BN121" i="18"/>
  <c r="BM121" i="18"/>
  <c r="BL121" i="18"/>
  <c r="BK121" i="18"/>
  <c r="BJ121" i="18"/>
  <c r="BI121" i="18"/>
  <c r="BH121" i="18"/>
  <c r="BG121" i="18"/>
  <c r="BF121" i="18"/>
  <c r="BE121" i="18"/>
  <c r="BD121" i="18"/>
  <c r="BC121" i="18"/>
  <c r="BB121" i="18"/>
  <c r="BA121" i="18"/>
  <c r="AZ121" i="18"/>
  <c r="AY121" i="18"/>
  <c r="AX121" i="18"/>
  <c r="AW121" i="18"/>
  <c r="AV121" i="18"/>
  <c r="AU121" i="18"/>
  <c r="AT121" i="18"/>
  <c r="AS121" i="18"/>
  <c r="AR121" i="18"/>
  <c r="AQ121" i="18"/>
  <c r="AP121" i="18"/>
  <c r="AO121" i="18"/>
  <c r="AN121" i="18"/>
  <c r="AM121" i="18"/>
  <c r="AL121" i="18"/>
  <c r="AK121" i="18"/>
  <c r="AJ121" i="18"/>
  <c r="AI121" i="18"/>
  <c r="AH121" i="18"/>
  <c r="AG121" i="18"/>
  <c r="AF121" i="18"/>
  <c r="AE121" i="18"/>
  <c r="AD121" i="18"/>
  <c r="AC121" i="18"/>
  <c r="AB121" i="18"/>
  <c r="AA121" i="18"/>
  <c r="Z121" i="18"/>
  <c r="Y121" i="18"/>
  <c r="X121" i="18"/>
  <c r="W121" i="18"/>
  <c r="V121" i="18"/>
  <c r="U121" i="18"/>
  <c r="T121" i="18"/>
  <c r="S121" i="18"/>
  <c r="R121" i="18"/>
  <c r="Q121" i="18"/>
  <c r="P121" i="18"/>
  <c r="O121" i="18"/>
  <c r="N121" i="18"/>
  <c r="M121" i="18"/>
  <c r="L121" i="18"/>
  <c r="K121" i="18"/>
  <c r="J121" i="18"/>
  <c r="I121" i="18"/>
  <c r="H121" i="18"/>
  <c r="G121" i="18"/>
  <c r="F121" i="18"/>
  <c r="E121" i="18"/>
  <c r="D121" i="18"/>
  <c r="C121" i="18"/>
  <c r="B121" i="18"/>
  <c r="A121" i="18"/>
  <c r="CU120" i="18"/>
  <c r="CT120" i="18"/>
  <c r="CI120" i="18"/>
  <c r="CH120" i="18"/>
  <c r="CG120" i="18"/>
  <c r="CF120" i="18"/>
  <c r="CE120" i="18"/>
  <c r="CD120" i="18"/>
  <c r="CC120" i="18"/>
  <c r="CB120" i="18"/>
  <c r="CA120" i="18"/>
  <c r="BZ120" i="18"/>
  <c r="BY120" i="18"/>
  <c r="AN120" i="18"/>
  <c r="AM120" i="18"/>
  <c r="AL120" i="18"/>
  <c r="AK120" i="18"/>
  <c r="AJ120" i="18"/>
  <c r="AI120" i="18"/>
  <c r="AH120" i="18"/>
  <c r="AG120" i="18"/>
  <c r="AF120" i="18"/>
  <c r="AE120" i="18"/>
  <c r="AD120" i="18"/>
  <c r="AC120" i="18"/>
  <c r="AB120" i="18"/>
  <c r="AA120" i="18"/>
  <c r="Z120" i="18"/>
  <c r="Y120" i="18"/>
  <c r="X120" i="18"/>
  <c r="W120" i="18"/>
  <c r="V120" i="18"/>
  <c r="U120" i="18"/>
  <c r="T120" i="18"/>
  <c r="S120" i="18"/>
  <c r="R120" i="18"/>
  <c r="Q120" i="18"/>
  <c r="P120" i="18"/>
  <c r="O120" i="18"/>
  <c r="N120" i="18"/>
  <c r="M120" i="18"/>
  <c r="L120" i="18"/>
  <c r="K120" i="18"/>
  <c r="J120" i="18"/>
  <c r="I120" i="18"/>
  <c r="H120" i="18"/>
  <c r="G120" i="18"/>
  <c r="F120" i="18"/>
  <c r="E120" i="18"/>
  <c r="D120" i="18"/>
  <c r="C120" i="18"/>
  <c r="B120" i="18"/>
  <c r="A120" i="18"/>
  <c r="CU119" i="18"/>
  <c r="CT119" i="18"/>
  <c r="CS119" i="18"/>
  <c r="CR119" i="18"/>
  <c r="CQ119" i="18"/>
  <c r="CI119" i="18"/>
  <c r="CH119" i="18"/>
  <c r="CG119" i="18"/>
  <c r="CF119" i="18"/>
  <c r="CE119" i="18"/>
  <c r="CD119" i="18"/>
  <c r="CC119" i="18"/>
  <c r="CB119" i="18"/>
  <c r="CA119" i="18"/>
  <c r="BZ119" i="18"/>
  <c r="BY119" i="18"/>
  <c r="BX119" i="18"/>
  <c r="BW119" i="18"/>
  <c r="BV119" i="18"/>
  <c r="BU119" i="18"/>
  <c r="BT119" i="18"/>
  <c r="BS119" i="18"/>
  <c r="BR119" i="18"/>
  <c r="BQ119" i="18"/>
  <c r="BP119" i="18"/>
  <c r="BO119" i="18"/>
  <c r="BN119" i="18"/>
  <c r="BM119" i="18"/>
  <c r="BL119" i="18"/>
  <c r="BK119" i="18"/>
  <c r="BJ119" i="18"/>
  <c r="BI119" i="18"/>
  <c r="BH119" i="18"/>
  <c r="BG119" i="18"/>
  <c r="BF119" i="18"/>
  <c r="BE119" i="18"/>
  <c r="BD119" i="18"/>
  <c r="BC119" i="18"/>
  <c r="BB119" i="18"/>
  <c r="BA119" i="18"/>
  <c r="AZ119" i="18"/>
  <c r="AY119" i="18"/>
  <c r="AX119" i="18"/>
  <c r="AW119" i="18"/>
  <c r="AV119" i="18"/>
  <c r="AU119" i="18"/>
  <c r="AT119" i="18"/>
  <c r="AS119" i="18"/>
  <c r="AR119" i="18"/>
  <c r="AQ119" i="18"/>
  <c r="AP119" i="18"/>
  <c r="AO119" i="18"/>
  <c r="AN119" i="18"/>
  <c r="AM119" i="18"/>
  <c r="AL119" i="18"/>
  <c r="AK119" i="18"/>
  <c r="AJ119" i="18"/>
  <c r="AI119" i="18"/>
  <c r="AH119" i="18"/>
  <c r="AG119" i="18"/>
  <c r="AF119" i="18"/>
  <c r="AE119" i="18"/>
  <c r="AD119" i="18"/>
  <c r="AC119" i="18"/>
  <c r="AB119" i="18"/>
  <c r="AA119" i="18"/>
  <c r="Z119" i="18"/>
  <c r="Y119" i="18"/>
  <c r="X119" i="18"/>
  <c r="W119" i="18"/>
  <c r="V119" i="18"/>
  <c r="U119" i="18"/>
  <c r="T119" i="18"/>
  <c r="S119" i="18"/>
  <c r="R119" i="18"/>
  <c r="Q119" i="18"/>
  <c r="P119" i="18"/>
  <c r="O119" i="18"/>
  <c r="N119" i="18"/>
  <c r="M119" i="18"/>
  <c r="L119" i="18"/>
  <c r="K119" i="18"/>
  <c r="J119" i="18"/>
  <c r="I119" i="18"/>
  <c r="H119" i="18"/>
  <c r="G119" i="18"/>
  <c r="F119" i="18"/>
  <c r="E119" i="18"/>
  <c r="D119" i="18"/>
  <c r="C119" i="18"/>
  <c r="B119" i="18"/>
  <c r="A119" i="18"/>
  <c r="CU118" i="18"/>
  <c r="CT118" i="18"/>
  <c r="CS118" i="18"/>
  <c r="CR118" i="18"/>
  <c r="CQ118" i="18"/>
  <c r="CP118" i="18"/>
  <c r="CO118" i="18"/>
  <c r="CN118" i="18"/>
  <c r="CM118" i="18"/>
  <c r="CL118" i="18"/>
  <c r="CK118" i="18"/>
  <c r="CJ118" i="18"/>
  <c r="CI118" i="18"/>
  <c r="CH118" i="18"/>
  <c r="CG118" i="18"/>
  <c r="CF118" i="18"/>
  <c r="CE118" i="18"/>
  <c r="CD118" i="18"/>
  <c r="CC118" i="18"/>
  <c r="CB118" i="18"/>
  <c r="CA118" i="18"/>
  <c r="BZ118" i="18"/>
  <c r="BY118" i="18"/>
  <c r="BX118" i="18"/>
  <c r="BW118" i="18"/>
  <c r="BV118" i="18"/>
  <c r="BU118" i="18"/>
  <c r="BT118" i="18"/>
  <c r="BS118" i="18"/>
  <c r="BR118" i="18"/>
  <c r="BQ118" i="18"/>
  <c r="BP118" i="18"/>
  <c r="BO118" i="18"/>
  <c r="BN118" i="18"/>
  <c r="BM118" i="18"/>
  <c r="BL118" i="18"/>
  <c r="BK118" i="18"/>
  <c r="BJ118" i="18"/>
  <c r="BI118" i="18"/>
  <c r="BH118" i="18"/>
  <c r="BG118" i="18"/>
  <c r="BF118" i="18"/>
  <c r="BE118" i="18"/>
  <c r="BD118" i="18"/>
  <c r="BC118" i="18"/>
  <c r="BB118" i="18"/>
  <c r="BA118" i="18"/>
  <c r="AZ118" i="18"/>
  <c r="AY118" i="18"/>
  <c r="AX118" i="18"/>
  <c r="AW118" i="18"/>
  <c r="AV118" i="18"/>
  <c r="AU118" i="18"/>
  <c r="AT118" i="18"/>
  <c r="AS118" i="18"/>
  <c r="AR118" i="18"/>
  <c r="AQ118" i="18"/>
  <c r="AP118" i="18"/>
  <c r="AO118" i="18"/>
  <c r="AN118" i="18"/>
  <c r="AM118" i="18"/>
  <c r="AL118" i="18"/>
  <c r="AK118" i="18"/>
  <c r="AJ118" i="18"/>
  <c r="AI118" i="18"/>
  <c r="AH118" i="18"/>
  <c r="AG118" i="18"/>
  <c r="AF118" i="18"/>
  <c r="AE118" i="18"/>
  <c r="AD118" i="18"/>
  <c r="AC118" i="18"/>
  <c r="AB118" i="18"/>
  <c r="AA118" i="18"/>
  <c r="Z118" i="18"/>
  <c r="Y118" i="18"/>
  <c r="X118" i="18"/>
  <c r="W118" i="18"/>
  <c r="V118" i="18"/>
  <c r="U118" i="18"/>
  <c r="T118" i="18"/>
  <c r="S118" i="18"/>
  <c r="R118" i="18"/>
  <c r="Q118" i="18"/>
  <c r="P118" i="18"/>
  <c r="O118" i="18"/>
  <c r="N118" i="18"/>
  <c r="M118" i="18"/>
  <c r="L118" i="18"/>
  <c r="K118" i="18"/>
  <c r="J118" i="18"/>
  <c r="I118" i="18"/>
  <c r="H118" i="18"/>
  <c r="G118" i="18"/>
  <c r="F118" i="18"/>
  <c r="E118" i="18"/>
  <c r="D118" i="18"/>
  <c r="C118" i="18"/>
  <c r="B118" i="18"/>
  <c r="A118" i="18"/>
  <c r="CU117" i="18"/>
  <c r="CT117" i="18"/>
  <c r="CI117" i="18"/>
  <c r="CH117" i="18"/>
  <c r="CG117" i="18"/>
  <c r="CF117" i="18"/>
  <c r="CE117" i="18"/>
  <c r="CD117" i="18"/>
  <c r="CC117" i="18"/>
  <c r="CB117" i="18"/>
  <c r="CA117" i="18"/>
  <c r="BZ117" i="18"/>
  <c r="BY117" i="18"/>
  <c r="AR117" i="18"/>
  <c r="AQ117" i="18"/>
  <c r="AP117" i="18"/>
  <c r="AO117" i="18"/>
  <c r="AN117" i="18"/>
  <c r="AM117" i="18"/>
  <c r="AL117" i="18"/>
  <c r="AK117" i="18"/>
  <c r="AJ117" i="18"/>
  <c r="AI117" i="18"/>
  <c r="AH117" i="18"/>
  <c r="AG117" i="18"/>
  <c r="AF117" i="18"/>
  <c r="AE117" i="18"/>
  <c r="AD117" i="18"/>
  <c r="AC117" i="18"/>
  <c r="AB117" i="18"/>
  <c r="AA117" i="18"/>
  <c r="Z117" i="18"/>
  <c r="Y117" i="18"/>
  <c r="X117" i="18"/>
  <c r="W117" i="18"/>
  <c r="V117" i="18"/>
  <c r="U117" i="18"/>
  <c r="T117" i="18"/>
  <c r="S117" i="18"/>
  <c r="R117" i="18"/>
  <c r="Q117" i="18"/>
  <c r="P117" i="18"/>
  <c r="O117" i="18"/>
  <c r="N117" i="18"/>
  <c r="M117" i="18"/>
  <c r="L117" i="18"/>
  <c r="K117" i="18"/>
  <c r="J117" i="18"/>
  <c r="I117" i="18"/>
  <c r="H117" i="18"/>
  <c r="G117" i="18"/>
  <c r="F117" i="18"/>
  <c r="E117" i="18"/>
  <c r="D117" i="18"/>
  <c r="C117" i="18"/>
  <c r="B117" i="18"/>
  <c r="A117" i="18"/>
  <c r="CU116" i="18"/>
  <c r="CT116" i="18"/>
  <c r="CS116" i="18"/>
  <c r="CR116" i="18"/>
  <c r="CQ116" i="18"/>
  <c r="CP116" i="18"/>
  <c r="CO116" i="18"/>
  <c r="CN116" i="18"/>
  <c r="CM116" i="18"/>
  <c r="CL116" i="18"/>
  <c r="CK116" i="18"/>
  <c r="CJ116" i="18"/>
  <c r="CI116" i="18"/>
  <c r="CH116" i="18"/>
  <c r="CG116" i="18"/>
  <c r="CF116" i="18"/>
  <c r="CE116" i="18"/>
  <c r="CD116" i="18"/>
  <c r="CC116" i="18"/>
  <c r="CB116" i="18"/>
  <c r="CA116" i="18"/>
  <c r="BZ116" i="18"/>
  <c r="BY116" i="18"/>
  <c r="BX116" i="18"/>
  <c r="BW116" i="18"/>
  <c r="BV116" i="18"/>
  <c r="BU116" i="18"/>
  <c r="BT116" i="18"/>
  <c r="BS116" i="18"/>
  <c r="BR116" i="18"/>
  <c r="BQ116" i="18"/>
  <c r="BP116" i="18"/>
  <c r="BO116" i="18"/>
  <c r="BN116" i="18"/>
  <c r="BM116" i="18"/>
  <c r="BL116" i="18"/>
  <c r="BK116" i="18"/>
  <c r="BJ116" i="18"/>
  <c r="BI116" i="18"/>
  <c r="BH116" i="18"/>
  <c r="BG116" i="18"/>
  <c r="BF116" i="18"/>
  <c r="BE116" i="18"/>
  <c r="BD116" i="18"/>
  <c r="BC116" i="18"/>
  <c r="BB116" i="18"/>
  <c r="BA116" i="18"/>
  <c r="AZ116" i="18"/>
  <c r="AY116" i="18"/>
  <c r="AX116" i="18"/>
  <c r="AW116" i="18"/>
  <c r="AV116" i="18"/>
  <c r="AU116" i="18"/>
  <c r="AT116" i="18"/>
  <c r="AS116" i="18"/>
  <c r="AR116" i="18"/>
  <c r="AQ116" i="18"/>
  <c r="AP116" i="18"/>
  <c r="AO116" i="18"/>
  <c r="AN116" i="18"/>
  <c r="AM116" i="18"/>
  <c r="AL116" i="18"/>
  <c r="AK116" i="18"/>
  <c r="AJ116" i="18"/>
  <c r="AI116" i="18"/>
  <c r="AH116" i="18"/>
  <c r="AG116" i="18"/>
  <c r="AF116" i="18"/>
  <c r="AE116" i="18"/>
  <c r="AD116" i="18"/>
  <c r="AC116" i="18"/>
  <c r="AB116" i="18"/>
  <c r="AA116" i="18"/>
  <c r="Z116" i="18"/>
  <c r="Y116" i="18"/>
  <c r="X116" i="18"/>
  <c r="W116" i="18"/>
  <c r="V116" i="18"/>
  <c r="U116" i="18"/>
  <c r="T116" i="18"/>
  <c r="S116" i="18"/>
  <c r="R116" i="18"/>
  <c r="Q116" i="18"/>
  <c r="P116" i="18"/>
  <c r="O116" i="18"/>
  <c r="N116" i="18"/>
  <c r="M116" i="18"/>
  <c r="L116" i="18"/>
  <c r="K116" i="18"/>
  <c r="J116" i="18"/>
  <c r="I116" i="18"/>
  <c r="H116" i="18"/>
  <c r="G116" i="18"/>
  <c r="F116" i="18"/>
  <c r="E116" i="18"/>
  <c r="D116" i="18"/>
  <c r="C116" i="18"/>
  <c r="B116" i="18"/>
  <c r="A116" i="18"/>
  <c r="CU115" i="18"/>
  <c r="CT115" i="18"/>
  <c r="CS115" i="18"/>
  <c r="CR115" i="18"/>
  <c r="CQ115" i="18"/>
  <c r="CI115" i="18"/>
  <c r="CH115" i="18"/>
  <c r="CG115" i="18"/>
  <c r="CF115" i="18"/>
  <c r="CE115" i="18"/>
  <c r="CD115" i="18"/>
  <c r="CC115" i="18"/>
  <c r="CB115" i="18"/>
  <c r="CA115" i="18"/>
  <c r="BZ115" i="18"/>
  <c r="BY115" i="18"/>
  <c r="BX115" i="18"/>
  <c r="BW115" i="18"/>
  <c r="BV115" i="18"/>
  <c r="BU115" i="18"/>
  <c r="BT115" i="18"/>
  <c r="BS115" i="18"/>
  <c r="BR115" i="18"/>
  <c r="BQ115" i="18"/>
  <c r="BP115" i="18"/>
  <c r="BO115" i="18"/>
  <c r="BN115" i="18"/>
  <c r="BM115" i="18"/>
  <c r="BL115" i="18"/>
  <c r="BK115" i="18"/>
  <c r="BJ115" i="18"/>
  <c r="BI115" i="18"/>
  <c r="BH115" i="18"/>
  <c r="BG115" i="18"/>
  <c r="BF115" i="18"/>
  <c r="BE115" i="18"/>
  <c r="BD115" i="18"/>
  <c r="BC115" i="18"/>
  <c r="BB115" i="18"/>
  <c r="BA115" i="18"/>
  <c r="AZ115" i="18"/>
  <c r="AY115" i="18"/>
  <c r="AX115" i="18"/>
  <c r="AW115" i="18"/>
  <c r="AV115" i="18"/>
  <c r="AU115" i="18"/>
  <c r="AT115" i="18"/>
  <c r="AS115" i="18"/>
  <c r="AR115" i="18"/>
  <c r="AQ115" i="18"/>
  <c r="AP115" i="18"/>
  <c r="AO115" i="18"/>
  <c r="AN115" i="18"/>
  <c r="AM115" i="18"/>
  <c r="AL115" i="18"/>
  <c r="AK115" i="18"/>
  <c r="AJ115" i="18"/>
  <c r="AI115" i="18"/>
  <c r="AH115" i="18"/>
  <c r="AG115" i="18"/>
  <c r="AF115" i="18"/>
  <c r="AE115" i="18"/>
  <c r="AD115" i="18"/>
  <c r="AC115" i="18"/>
  <c r="AB115" i="18"/>
  <c r="AA115" i="18"/>
  <c r="Z115" i="18"/>
  <c r="Y115" i="18"/>
  <c r="X115" i="18"/>
  <c r="W115" i="18"/>
  <c r="V115" i="18"/>
  <c r="U115" i="18"/>
  <c r="T115" i="18"/>
  <c r="S115" i="18"/>
  <c r="R115" i="18"/>
  <c r="Q115" i="18"/>
  <c r="P115" i="18"/>
  <c r="O115" i="18"/>
  <c r="N115" i="18"/>
  <c r="M115" i="18"/>
  <c r="L115" i="18"/>
  <c r="K115" i="18"/>
  <c r="J115" i="18"/>
  <c r="I115" i="18"/>
  <c r="H115" i="18"/>
  <c r="G115" i="18"/>
  <c r="F115" i="18"/>
  <c r="E115" i="18"/>
  <c r="D115" i="18"/>
  <c r="C115" i="18"/>
  <c r="B115" i="18"/>
  <c r="A115" i="18"/>
  <c r="CU114" i="18"/>
  <c r="CT114" i="18"/>
  <c r="CS114" i="18"/>
  <c r="CR114" i="18"/>
  <c r="CQ114" i="18"/>
  <c r="CP114" i="18"/>
  <c r="CO114" i="18"/>
  <c r="CN114" i="18"/>
  <c r="CM114" i="18"/>
  <c r="CL114" i="18"/>
  <c r="CK114" i="18"/>
  <c r="CJ114" i="18"/>
  <c r="CI114" i="18"/>
  <c r="CH114" i="18"/>
  <c r="CG114" i="18"/>
  <c r="CF114" i="18"/>
  <c r="CE114" i="18"/>
  <c r="CD114" i="18"/>
  <c r="CC114" i="18"/>
  <c r="CB114" i="18"/>
  <c r="CA114" i="18"/>
  <c r="BZ114" i="18"/>
  <c r="BY114" i="18"/>
  <c r="BX114" i="18"/>
  <c r="BW114" i="18"/>
  <c r="BV114" i="18"/>
  <c r="BU114" i="18"/>
  <c r="BT114" i="18"/>
  <c r="BS114" i="18"/>
  <c r="BR114" i="18"/>
  <c r="BQ114" i="18"/>
  <c r="BP114" i="18"/>
  <c r="BO114" i="18"/>
  <c r="BN114" i="18"/>
  <c r="BM114" i="18"/>
  <c r="BL114" i="18"/>
  <c r="BK114" i="18"/>
  <c r="BJ114" i="18"/>
  <c r="BI114" i="18"/>
  <c r="BH114" i="18"/>
  <c r="BG114" i="18"/>
  <c r="BF114" i="18"/>
  <c r="BE114" i="18"/>
  <c r="BD114" i="18"/>
  <c r="BC114" i="18"/>
  <c r="BB114" i="18"/>
  <c r="BA114" i="18"/>
  <c r="AZ114" i="18"/>
  <c r="AY114" i="18"/>
  <c r="AX114" i="18"/>
  <c r="AW114" i="18"/>
  <c r="AV114" i="18"/>
  <c r="AU114" i="18"/>
  <c r="AT114" i="18"/>
  <c r="AS114" i="18"/>
  <c r="AR114" i="18"/>
  <c r="AQ114" i="18"/>
  <c r="AP114" i="18"/>
  <c r="AO114" i="18"/>
  <c r="AN114" i="18"/>
  <c r="AM114" i="18"/>
  <c r="AL114" i="18"/>
  <c r="AK114" i="18"/>
  <c r="AJ114" i="18"/>
  <c r="AI114" i="18"/>
  <c r="AH114" i="18"/>
  <c r="AG114" i="18"/>
  <c r="AF114" i="18"/>
  <c r="AE114" i="18"/>
  <c r="AD114" i="18"/>
  <c r="AC114" i="18"/>
  <c r="AB114" i="18"/>
  <c r="AA114" i="18"/>
  <c r="Z114" i="18"/>
  <c r="Y114" i="18"/>
  <c r="X114" i="18"/>
  <c r="W114" i="18"/>
  <c r="V114" i="18"/>
  <c r="U114" i="18"/>
  <c r="T114" i="18"/>
  <c r="S114" i="18"/>
  <c r="R114" i="18"/>
  <c r="Q114" i="18"/>
  <c r="P114" i="18"/>
  <c r="O114" i="18"/>
  <c r="N114" i="18"/>
  <c r="M114" i="18"/>
  <c r="L114" i="18"/>
  <c r="K114" i="18"/>
  <c r="J114" i="18"/>
  <c r="I114" i="18"/>
  <c r="H114" i="18"/>
  <c r="G114" i="18"/>
  <c r="F114" i="18"/>
  <c r="E114" i="18"/>
  <c r="D114" i="18"/>
  <c r="C114" i="18"/>
  <c r="B114" i="18"/>
  <c r="A114" i="18"/>
  <c r="CU112" i="18"/>
  <c r="CT112" i="18"/>
  <c r="CS112" i="18"/>
  <c r="CR112" i="18"/>
  <c r="CI112" i="18"/>
  <c r="CH112" i="18"/>
  <c r="CG112" i="18"/>
  <c r="CF112" i="18"/>
  <c r="CE112" i="18"/>
  <c r="CD112" i="18"/>
  <c r="CC112" i="18"/>
  <c r="CB112" i="18"/>
  <c r="CA112" i="18"/>
  <c r="BZ112" i="18"/>
  <c r="BY112" i="18"/>
  <c r="BX112" i="18"/>
  <c r="BW112" i="18"/>
  <c r="BV112" i="18"/>
  <c r="BU112" i="18"/>
  <c r="BP112" i="18"/>
  <c r="X112" i="18"/>
  <c r="W112" i="18"/>
  <c r="V112" i="18"/>
  <c r="U112" i="18"/>
  <c r="T112" i="18"/>
  <c r="S112" i="18"/>
  <c r="R112" i="18"/>
  <c r="Q112" i="18"/>
  <c r="P112" i="18"/>
  <c r="O112" i="18"/>
  <c r="N112" i="18"/>
  <c r="M112" i="18"/>
  <c r="L112" i="18"/>
  <c r="K112" i="18"/>
  <c r="J112" i="18"/>
  <c r="I112" i="18"/>
  <c r="H112" i="18"/>
  <c r="G112" i="18"/>
  <c r="F112" i="18"/>
  <c r="E112" i="18"/>
  <c r="D112" i="18"/>
  <c r="C112" i="18"/>
  <c r="B112" i="18"/>
  <c r="A112" i="18"/>
  <c r="CU111" i="18"/>
  <c r="CT111" i="18"/>
  <c r="CI111" i="18"/>
  <c r="CH111" i="18"/>
  <c r="CG111" i="18"/>
  <c r="CF111" i="18"/>
  <c r="CE111" i="18"/>
  <c r="CD111" i="18"/>
  <c r="CC111" i="18"/>
  <c r="CB111" i="18"/>
  <c r="CA111" i="18"/>
  <c r="BZ111" i="18"/>
  <c r="BY111" i="18"/>
  <c r="BO111" i="18"/>
  <c r="BN111" i="18"/>
  <c r="BM111" i="18"/>
  <c r="BL111" i="18"/>
  <c r="BK111" i="18"/>
  <c r="BJ111" i="18"/>
  <c r="BI111" i="18"/>
  <c r="BH111" i="18"/>
  <c r="BG111" i="18"/>
  <c r="BF111" i="18"/>
  <c r="BE111" i="18"/>
  <c r="BD111" i="18"/>
  <c r="BC111" i="18"/>
  <c r="BB111" i="18"/>
  <c r="BA111" i="18"/>
  <c r="AZ111" i="18"/>
  <c r="AY111" i="18"/>
  <c r="AX111" i="18"/>
  <c r="AW111" i="18"/>
  <c r="AV111" i="18"/>
  <c r="AR111" i="18"/>
  <c r="AQ111" i="18"/>
  <c r="AP111" i="18"/>
  <c r="AO111" i="18"/>
  <c r="AN111" i="18"/>
  <c r="AM111" i="18"/>
  <c r="AL111" i="18"/>
  <c r="AK111" i="18"/>
  <c r="AJ111" i="18"/>
  <c r="AI111" i="18"/>
  <c r="AH111" i="18"/>
  <c r="AG111" i="18"/>
  <c r="AF111" i="18"/>
  <c r="AE111" i="18"/>
  <c r="AD111" i="18"/>
  <c r="AC111" i="18"/>
  <c r="AB111" i="18"/>
  <c r="AA111" i="18"/>
  <c r="Z111" i="18"/>
  <c r="Y111" i="18"/>
  <c r="X111" i="18"/>
  <c r="W111" i="18"/>
  <c r="V111" i="18"/>
  <c r="U111" i="18"/>
  <c r="T111" i="18"/>
  <c r="S111" i="18"/>
  <c r="R111" i="18"/>
  <c r="Q111" i="18"/>
  <c r="P111" i="18"/>
  <c r="O111" i="18"/>
  <c r="N111" i="18"/>
  <c r="M111" i="18"/>
  <c r="L111" i="18"/>
  <c r="K111" i="18"/>
  <c r="J111" i="18"/>
  <c r="I111" i="18"/>
  <c r="H111" i="18"/>
  <c r="G111" i="18"/>
  <c r="F111" i="18"/>
  <c r="E111" i="18"/>
  <c r="D111" i="18"/>
  <c r="C111" i="18"/>
  <c r="B111" i="18"/>
  <c r="A111" i="18"/>
  <c r="CU110" i="18"/>
  <c r="CT110" i="18"/>
  <c r="CS110" i="18"/>
  <c r="CR110" i="18"/>
  <c r="CQ110" i="18"/>
  <c r="CP110" i="18"/>
  <c r="CO110" i="18"/>
  <c r="CN110" i="18"/>
  <c r="CM110" i="18"/>
  <c r="CL110" i="18"/>
  <c r="CK110" i="18"/>
  <c r="CJ110" i="18"/>
  <c r="CI110" i="18"/>
  <c r="CH110" i="18"/>
  <c r="CG110" i="18"/>
  <c r="CF110" i="18"/>
  <c r="CE110" i="18"/>
  <c r="CD110" i="18"/>
  <c r="CC110" i="18"/>
  <c r="CB110" i="18"/>
  <c r="CA110" i="18"/>
  <c r="BZ110" i="18"/>
  <c r="BY110" i="18"/>
  <c r="BX110" i="18"/>
  <c r="BW110" i="18"/>
  <c r="BV110" i="18"/>
  <c r="BU110" i="18"/>
  <c r="BT110" i="18"/>
  <c r="BS110" i="18"/>
  <c r="BR110" i="18"/>
  <c r="BQ110" i="18"/>
  <c r="BP110" i="18"/>
  <c r="BO110" i="18"/>
  <c r="BN110" i="18"/>
  <c r="BM110" i="18"/>
  <c r="BL110" i="18"/>
  <c r="BK110" i="18"/>
  <c r="BJ110" i="18"/>
  <c r="BI110" i="18"/>
  <c r="BH110" i="18"/>
  <c r="BG110" i="18"/>
  <c r="BF110" i="18"/>
  <c r="BE110" i="18"/>
  <c r="BD110" i="18"/>
  <c r="BC110" i="18"/>
  <c r="BB110" i="18"/>
  <c r="BA110" i="18"/>
  <c r="AZ110" i="18"/>
  <c r="AY110" i="18"/>
  <c r="AX110" i="18"/>
  <c r="AW110" i="18"/>
  <c r="AV110" i="18"/>
  <c r="AU110" i="18"/>
  <c r="AT110" i="18"/>
  <c r="AS110" i="18"/>
  <c r="AR110" i="18"/>
  <c r="AQ110" i="18"/>
  <c r="AP110" i="18"/>
  <c r="AO110" i="18"/>
  <c r="AN110" i="18"/>
  <c r="AM110" i="18"/>
  <c r="AL110" i="18"/>
  <c r="AK110" i="18"/>
  <c r="AJ110" i="18"/>
  <c r="AI110" i="18"/>
  <c r="AH110" i="18"/>
  <c r="AG110" i="18"/>
  <c r="AF110" i="18"/>
  <c r="AE110" i="18"/>
  <c r="AD110" i="18"/>
  <c r="AC110" i="18"/>
  <c r="AB110" i="18"/>
  <c r="AA110" i="18"/>
  <c r="Z110" i="18"/>
  <c r="Y110" i="18"/>
  <c r="X110" i="18"/>
  <c r="W110" i="18"/>
  <c r="V110" i="18"/>
  <c r="U110" i="18"/>
  <c r="T110" i="18"/>
  <c r="S110" i="18"/>
  <c r="R110" i="18"/>
  <c r="Q110" i="18"/>
  <c r="P110" i="18"/>
  <c r="O110" i="18"/>
  <c r="N110" i="18"/>
  <c r="M110" i="18"/>
  <c r="L110" i="18"/>
  <c r="K110" i="18"/>
  <c r="J110" i="18"/>
  <c r="I110" i="18"/>
  <c r="H110" i="18"/>
  <c r="G110" i="18"/>
  <c r="F110" i="18"/>
  <c r="E110" i="18"/>
  <c r="D110" i="18"/>
  <c r="C110" i="18"/>
  <c r="B110" i="18"/>
  <c r="A110" i="18"/>
  <c r="CU109" i="18"/>
  <c r="CT109" i="18"/>
  <c r="CS109" i="18"/>
  <c r="CR109" i="18"/>
  <c r="CI109" i="18"/>
  <c r="CH109" i="18"/>
  <c r="CG109" i="18"/>
  <c r="CF109" i="18"/>
  <c r="CE109" i="18"/>
  <c r="CD109" i="18"/>
  <c r="CC109" i="18"/>
  <c r="CB109" i="18"/>
  <c r="CA109" i="18"/>
  <c r="BZ109" i="18"/>
  <c r="BY109" i="18"/>
  <c r="BX109" i="18"/>
  <c r="BW109" i="18"/>
  <c r="BV109" i="18"/>
  <c r="BU109" i="18"/>
  <c r="AR109" i="18"/>
  <c r="AQ109" i="18"/>
  <c r="AP109" i="18"/>
  <c r="AO109" i="18"/>
  <c r="AN109" i="18"/>
  <c r="AM109" i="18"/>
  <c r="AL109" i="18"/>
  <c r="AK109" i="18"/>
  <c r="AJ109" i="18"/>
  <c r="AI109" i="18"/>
  <c r="AH109" i="18"/>
  <c r="AG109" i="18"/>
  <c r="AF109" i="18"/>
  <c r="AE109" i="18"/>
  <c r="AD109" i="18"/>
  <c r="AC109" i="18"/>
  <c r="AB109" i="18"/>
  <c r="AA109" i="18"/>
  <c r="Z109" i="18"/>
  <c r="Y109" i="18"/>
  <c r="X109" i="18"/>
  <c r="W109" i="18"/>
  <c r="V109" i="18"/>
  <c r="U109" i="18"/>
  <c r="T109" i="18"/>
  <c r="S109" i="18"/>
  <c r="R109" i="18"/>
  <c r="Q109" i="18"/>
  <c r="P109" i="18"/>
  <c r="O109" i="18"/>
  <c r="N109" i="18"/>
  <c r="M109" i="18"/>
  <c r="L109" i="18"/>
  <c r="K109" i="18"/>
  <c r="J109" i="18"/>
  <c r="I109" i="18"/>
  <c r="H109" i="18"/>
  <c r="G109" i="18"/>
  <c r="F109" i="18"/>
  <c r="E109" i="18"/>
  <c r="D109" i="18"/>
  <c r="C109" i="18"/>
  <c r="B109" i="18"/>
  <c r="A109" i="18"/>
  <c r="CU108" i="18"/>
  <c r="CT108" i="18"/>
  <c r="CI108" i="18"/>
  <c r="CH108" i="18"/>
  <c r="CG108" i="18"/>
  <c r="CF108" i="18"/>
  <c r="CE108" i="18"/>
  <c r="CD108" i="18"/>
  <c r="CC108" i="18"/>
  <c r="CB108" i="18"/>
  <c r="CA108" i="18"/>
  <c r="BZ108" i="18"/>
  <c r="BY108" i="18"/>
  <c r="BT108" i="18"/>
  <c r="BS108" i="18"/>
  <c r="BR108" i="18"/>
  <c r="BQ108" i="18"/>
  <c r="BP108" i="18"/>
  <c r="BO108" i="18"/>
  <c r="BN108" i="18"/>
  <c r="BM108" i="18"/>
  <c r="BL108" i="18"/>
  <c r="BK108" i="18"/>
  <c r="BJ108" i="18"/>
  <c r="BI108" i="18"/>
  <c r="BH108" i="18"/>
  <c r="BG108" i="18"/>
  <c r="BF108" i="18"/>
  <c r="BE108" i="18"/>
  <c r="BD108" i="18"/>
  <c r="BC108" i="18"/>
  <c r="BB108" i="18"/>
  <c r="BA108" i="18"/>
  <c r="AZ108" i="18"/>
  <c r="AY108" i="18"/>
  <c r="AX108" i="18"/>
  <c r="AW108" i="18"/>
  <c r="AV108" i="18"/>
  <c r="AU108" i="18"/>
  <c r="AT108" i="18"/>
  <c r="AS108" i="18"/>
  <c r="AR108" i="18"/>
  <c r="AQ108" i="18"/>
  <c r="AP108" i="18"/>
  <c r="AO108" i="18"/>
  <c r="AN108" i="18"/>
  <c r="AM108" i="18"/>
  <c r="AL108" i="18"/>
  <c r="AK108" i="18"/>
  <c r="AJ108" i="18"/>
  <c r="AI108" i="18"/>
  <c r="AH108" i="18"/>
  <c r="AG108" i="18"/>
  <c r="AF108" i="18"/>
  <c r="AE108" i="18"/>
  <c r="AD108" i="18"/>
  <c r="AC108" i="18"/>
  <c r="AB108" i="18"/>
  <c r="AA108" i="18"/>
  <c r="Z108" i="18"/>
  <c r="Y108" i="18"/>
  <c r="X108" i="18"/>
  <c r="W108" i="18"/>
  <c r="V108" i="18"/>
  <c r="U108" i="18"/>
  <c r="T108" i="18"/>
  <c r="S108" i="18"/>
  <c r="R108" i="18"/>
  <c r="Q108" i="18"/>
  <c r="P108" i="18"/>
  <c r="O108" i="18"/>
  <c r="N108" i="18"/>
  <c r="M108" i="18"/>
  <c r="L108" i="18"/>
  <c r="K108" i="18"/>
  <c r="J108" i="18"/>
  <c r="I108" i="18"/>
  <c r="H108" i="18"/>
  <c r="G108" i="18"/>
  <c r="F108" i="18"/>
  <c r="E108" i="18"/>
  <c r="D108" i="18"/>
  <c r="C108" i="18"/>
  <c r="B108" i="18"/>
  <c r="A108" i="18"/>
  <c r="CN107" i="18"/>
  <c r="CM107" i="18"/>
  <c r="CL107" i="18"/>
  <c r="CK107" i="18"/>
  <c r="CJ107" i="18"/>
  <c r="CI107" i="18"/>
  <c r="CH107" i="18"/>
  <c r="CG107" i="18"/>
  <c r="CF107" i="18"/>
  <c r="CE107" i="18"/>
  <c r="CD107" i="18"/>
  <c r="CC107" i="18"/>
  <c r="CB107" i="18"/>
  <c r="CA107" i="18"/>
  <c r="BZ107" i="18"/>
  <c r="BY107" i="18"/>
  <c r="BX107" i="18"/>
  <c r="BW107" i="18"/>
  <c r="BV107" i="18"/>
  <c r="BU107" i="18"/>
  <c r="BT107" i="18"/>
  <c r="BS107" i="18"/>
  <c r="BR107" i="18"/>
  <c r="BQ107" i="18"/>
  <c r="BP107" i="18"/>
  <c r="BO107" i="18"/>
  <c r="BN107" i="18"/>
  <c r="BM107" i="18"/>
  <c r="BL107" i="18"/>
  <c r="BK107" i="18"/>
  <c r="BJ107" i="18"/>
  <c r="BI107" i="18"/>
  <c r="BH107" i="18"/>
  <c r="BG107" i="18"/>
  <c r="BF107" i="18"/>
  <c r="BE107" i="18"/>
  <c r="BD107" i="18"/>
  <c r="BC107" i="18"/>
  <c r="BB107" i="18"/>
  <c r="BA107" i="18"/>
  <c r="AZ107" i="18"/>
  <c r="AY107" i="18"/>
  <c r="AX107" i="18"/>
  <c r="AW107" i="18"/>
  <c r="AV107" i="18"/>
  <c r="AU107" i="18"/>
  <c r="AT107" i="18"/>
  <c r="AS107" i="18"/>
  <c r="AR107" i="18"/>
  <c r="AQ107" i="18"/>
  <c r="AP107" i="18"/>
  <c r="AO107" i="18"/>
  <c r="AN107" i="18"/>
  <c r="AM107" i="18"/>
  <c r="AL107" i="18"/>
  <c r="AK107" i="18"/>
  <c r="AJ107" i="18"/>
  <c r="AI107" i="18"/>
  <c r="AH107" i="18"/>
  <c r="AG107" i="18"/>
  <c r="AF107" i="18"/>
  <c r="AE107" i="18"/>
  <c r="AD107" i="18"/>
  <c r="AC107" i="18"/>
  <c r="AB107" i="18"/>
  <c r="AA107" i="18"/>
  <c r="Z107" i="18"/>
  <c r="Y107" i="18"/>
  <c r="X107" i="18"/>
  <c r="W107" i="18"/>
  <c r="V107" i="18"/>
  <c r="U107" i="18"/>
  <c r="T107" i="18"/>
  <c r="S107" i="18"/>
  <c r="R107" i="18"/>
  <c r="Q107" i="18"/>
  <c r="P107" i="18"/>
  <c r="O107" i="18"/>
  <c r="N107" i="18"/>
  <c r="M107" i="18"/>
  <c r="L107" i="18"/>
  <c r="K107" i="18"/>
  <c r="J107" i="18"/>
  <c r="I107" i="18"/>
  <c r="H107" i="18"/>
  <c r="G107" i="18"/>
  <c r="F107" i="18"/>
  <c r="E107" i="18"/>
  <c r="D107" i="18"/>
  <c r="C107" i="18"/>
  <c r="B107" i="18"/>
  <c r="A107" i="18"/>
  <c r="CU107" i="18"/>
  <c r="CT107" i="18"/>
  <c r="CS107" i="18"/>
  <c r="CR107" i="18"/>
  <c r="CU106" i="18"/>
  <c r="CT106" i="18"/>
  <c r="CU105" i="18"/>
  <c r="CT105" i="18"/>
  <c r="CU104" i="18"/>
  <c r="CT104" i="18"/>
  <c r="CS104" i="18"/>
  <c r="CR104" i="18"/>
  <c r="CU103" i="18"/>
  <c r="CT103" i="18"/>
  <c r="CU102" i="18"/>
  <c r="CT102" i="18"/>
  <c r="CS102" i="18"/>
  <c r="CR102" i="18"/>
  <c r="CU101" i="18"/>
  <c r="CT101" i="18"/>
  <c r="CS101" i="18"/>
  <c r="CR101" i="18"/>
  <c r="CU100" i="18"/>
  <c r="CT100" i="18"/>
  <c r="CS100" i="18"/>
  <c r="CR100" i="18"/>
  <c r="CU99" i="18"/>
  <c r="CT99" i="18"/>
  <c r="CS99" i="18"/>
  <c r="CR99" i="18"/>
  <c r="CI106" i="18"/>
  <c r="CH106" i="18"/>
  <c r="CG106" i="18"/>
  <c r="CF106" i="18"/>
  <c r="CE106" i="18"/>
  <c r="CD106" i="18"/>
  <c r="CC106" i="18"/>
  <c r="CB106" i="18"/>
  <c r="CA106" i="18"/>
  <c r="BZ106" i="18"/>
  <c r="BY106" i="18"/>
  <c r="AR106" i="18"/>
  <c r="AQ106" i="18"/>
  <c r="AP106" i="18"/>
  <c r="AO106" i="18"/>
  <c r="AN106" i="18"/>
  <c r="AM106" i="18"/>
  <c r="AL106" i="18"/>
  <c r="AK106" i="18"/>
  <c r="AJ106" i="18"/>
  <c r="AI106" i="18"/>
  <c r="AH106" i="18"/>
  <c r="AG106" i="18"/>
  <c r="AF106" i="18"/>
  <c r="AE106" i="18"/>
  <c r="AD106" i="18"/>
  <c r="AC106" i="18"/>
  <c r="AB106" i="18"/>
  <c r="AA106" i="18"/>
  <c r="Z106" i="18"/>
  <c r="Y106" i="18"/>
  <c r="X106" i="18"/>
  <c r="W106" i="18"/>
  <c r="V106" i="18"/>
  <c r="U106" i="18"/>
  <c r="T106" i="18"/>
  <c r="S106" i="18"/>
  <c r="R106" i="18"/>
  <c r="Q106" i="18"/>
  <c r="P106" i="18"/>
  <c r="O106" i="18"/>
  <c r="N106" i="18"/>
  <c r="M106" i="18"/>
  <c r="L106" i="18"/>
  <c r="K106" i="18"/>
  <c r="J106" i="18"/>
  <c r="I106" i="18"/>
  <c r="H106" i="18"/>
  <c r="G106" i="18"/>
  <c r="F106" i="18"/>
  <c r="E106" i="18"/>
  <c r="D106" i="18"/>
  <c r="C106" i="18"/>
  <c r="B106" i="18"/>
  <c r="A106" i="18"/>
  <c r="CI105" i="18"/>
  <c r="CH105" i="18"/>
  <c r="CG105" i="18"/>
  <c r="CF105" i="18"/>
  <c r="CE105" i="18"/>
  <c r="CD105" i="18"/>
  <c r="CC105" i="18"/>
  <c r="CB105" i="18"/>
  <c r="CA105" i="18"/>
  <c r="BZ105" i="18"/>
  <c r="BY105" i="18"/>
  <c r="AR105" i="18"/>
  <c r="AQ105" i="18"/>
  <c r="AP105" i="18"/>
  <c r="AO105" i="18"/>
  <c r="AN105" i="18"/>
  <c r="AM105" i="18"/>
  <c r="AL105" i="18"/>
  <c r="AK105" i="18"/>
  <c r="AJ105" i="18"/>
  <c r="AI105" i="18"/>
  <c r="AH105" i="18"/>
  <c r="AG105" i="18"/>
  <c r="AF105" i="18"/>
  <c r="AE105" i="18"/>
  <c r="AD105" i="18"/>
  <c r="AC105" i="18"/>
  <c r="AB105" i="18"/>
  <c r="AA105" i="18"/>
  <c r="Z105" i="18"/>
  <c r="Y105" i="18"/>
  <c r="X105" i="18"/>
  <c r="W105" i="18"/>
  <c r="V105" i="18"/>
  <c r="U105" i="18"/>
  <c r="T105" i="18"/>
  <c r="S105" i="18"/>
  <c r="R105" i="18"/>
  <c r="Q105" i="18"/>
  <c r="P105" i="18"/>
  <c r="O105" i="18"/>
  <c r="N105" i="18"/>
  <c r="M105" i="18"/>
  <c r="L105" i="18"/>
  <c r="K105" i="18"/>
  <c r="J105" i="18"/>
  <c r="I105" i="18"/>
  <c r="H105" i="18"/>
  <c r="G105" i="18"/>
  <c r="F105" i="18"/>
  <c r="E105" i="18"/>
  <c r="D105" i="18"/>
  <c r="C105" i="18"/>
  <c r="B105" i="18"/>
  <c r="A105" i="18"/>
  <c r="CQ104" i="18"/>
  <c r="CP104" i="18"/>
  <c r="CO104" i="18"/>
  <c r="CN104" i="18"/>
  <c r="CM104" i="18"/>
  <c r="CL104" i="18"/>
  <c r="CK104" i="18"/>
  <c r="CJ104" i="18"/>
  <c r="CI104" i="18"/>
  <c r="CH104" i="18"/>
  <c r="CG104" i="18"/>
  <c r="CF104" i="18"/>
  <c r="CE104" i="18"/>
  <c r="CD104" i="18"/>
  <c r="CC104" i="18"/>
  <c r="CB104" i="18"/>
  <c r="CA104" i="18"/>
  <c r="BZ104" i="18"/>
  <c r="BY104" i="18"/>
  <c r="BX104" i="18"/>
  <c r="BW104" i="18"/>
  <c r="BV104" i="18"/>
  <c r="BU104" i="18"/>
  <c r="BT104" i="18"/>
  <c r="BS104" i="18"/>
  <c r="BR104" i="18"/>
  <c r="BQ104" i="18"/>
  <c r="BP104" i="18"/>
  <c r="BO104" i="18"/>
  <c r="BN104" i="18"/>
  <c r="BM104" i="18"/>
  <c r="BL104" i="18"/>
  <c r="BK104" i="18"/>
  <c r="BJ104" i="18"/>
  <c r="BI104" i="18"/>
  <c r="BH104" i="18"/>
  <c r="BG104" i="18"/>
  <c r="BF104" i="18"/>
  <c r="BE104" i="18"/>
  <c r="BD104" i="18"/>
  <c r="BC104" i="18"/>
  <c r="BB104" i="18"/>
  <c r="BA104" i="18"/>
  <c r="AZ104" i="18"/>
  <c r="AY104" i="18"/>
  <c r="AX104" i="18"/>
  <c r="AW104" i="18"/>
  <c r="AV104" i="18"/>
  <c r="AU104" i="18"/>
  <c r="AT104" i="18"/>
  <c r="AS104" i="18"/>
  <c r="AR104" i="18"/>
  <c r="AQ104" i="18"/>
  <c r="AP104" i="18"/>
  <c r="AO104" i="18"/>
  <c r="AN104" i="18"/>
  <c r="AM104" i="18"/>
  <c r="AL104" i="18"/>
  <c r="AK104" i="18"/>
  <c r="AJ104" i="18"/>
  <c r="AI104" i="18"/>
  <c r="AH104" i="18"/>
  <c r="AG104" i="18"/>
  <c r="AF104" i="18"/>
  <c r="AE104" i="18"/>
  <c r="AD104" i="18"/>
  <c r="AC104" i="18"/>
  <c r="AB104" i="18"/>
  <c r="AA104" i="18"/>
  <c r="Z104" i="18"/>
  <c r="Y104" i="18"/>
  <c r="X104" i="18"/>
  <c r="W104" i="18"/>
  <c r="V104" i="18"/>
  <c r="U104" i="18"/>
  <c r="T104" i="18"/>
  <c r="S104" i="18"/>
  <c r="R104" i="18"/>
  <c r="Q104" i="18"/>
  <c r="P104" i="18"/>
  <c r="O104" i="18"/>
  <c r="N104" i="18"/>
  <c r="M104" i="18"/>
  <c r="L104" i="18"/>
  <c r="K104" i="18"/>
  <c r="J104" i="18"/>
  <c r="I104" i="18"/>
  <c r="H104" i="18"/>
  <c r="G104" i="18"/>
  <c r="F104" i="18"/>
  <c r="E104" i="18"/>
  <c r="D104" i="18"/>
  <c r="C104" i="18"/>
  <c r="B104" i="18"/>
  <c r="A104" i="18"/>
  <c r="CI103" i="18"/>
  <c r="CH103" i="18"/>
  <c r="CG103" i="18"/>
  <c r="CF103" i="18"/>
  <c r="CE103" i="18"/>
  <c r="CD103" i="18"/>
  <c r="CC103" i="18"/>
  <c r="CB103" i="18"/>
  <c r="CA103" i="18"/>
  <c r="BZ103" i="18"/>
  <c r="BY103" i="18"/>
  <c r="AR103" i="18"/>
  <c r="AQ103" i="18"/>
  <c r="AP103" i="18"/>
  <c r="AO103" i="18"/>
  <c r="AN103" i="18"/>
  <c r="AM103" i="18"/>
  <c r="AL103" i="18"/>
  <c r="AK103" i="18"/>
  <c r="AJ103" i="18"/>
  <c r="AI103" i="18"/>
  <c r="AH103" i="18"/>
  <c r="AG103" i="18"/>
  <c r="AF103" i="18"/>
  <c r="AE103" i="18"/>
  <c r="AD103" i="18"/>
  <c r="AC103" i="18"/>
  <c r="AB103" i="18"/>
  <c r="AA103" i="18"/>
  <c r="Z103" i="18"/>
  <c r="Y103" i="18"/>
  <c r="X103" i="18"/>
  <c r="W103" i="18"/>
  <c r="V103" i="18"/>
  <c r="U103" i="18"/>
  <c r="T103" i="18"/>
  <c r="S103" i="18"/>
  <c r="R103" i="18"/>
  <c r="Q103" i="18"/>
  <c r="P103" i="18"/>
  <c r="O103" i="18"/>
  <c r="N103" i="18"/>
  <c r="M103" i="18"/>
  <c r="L103" i="18"/>
  <c r="K103" i="18"/>
  <c r="J103" i="18"/>
  <c r="I103" i="18"/>
  <c r="H103" i="18"/>
  <c r="G103" i="18"/>
  <c r="F103" i="18"/>
  <c r="E103" i="18"/>
  <c r="D103" i="18"/>
  <c r="C103" i="18"/>
  <c r="B103" i="18"/>
  <c r="A103" i="18"/>
  <c r="CQ102" i="18"/>
  <c r="CP102" i="18"/>
  <c r="CO102" i="18"/>
  <c r="CN102" i="18"/>
  <c r="CM102" i="18"/>
  <c r="CL102" i="18"/>
  <c r="CK102" i="18"/>
  <c r="CJ102" i="18"/>
  <c r="CI102" i="18"/>
  <c r="CH102" i="18"/>
  <c r="CG102" i="18"/>
  <c r="CF102" i="18"/>
  <c r="CE102" i="18"/>
  <c r="CD102" i="18"/>
  <c r="CC102" i="18"/>
  <c r="CB102" i="18"/>
  <c r="CA102" i="18"/>
  <c r="BZ102" i="18"/>
  <c r="BY102" i="18"/>
  <c r="BX102" i="18"/>
  <c r="BW102" i="18"/>
  <c r="BV102" i="18"/>
  <c r="BU102" i="18"/>
  <c r="BT102" i="18"/>
  <c r="BS102" i="18"/>
  <c r="BR102" i="18"/>
  <c r="BQ102" i="18"/>
  <c r="BP102" i="18"/>
  <c r="BO102" i="18"/>
  <c r="BN102" i="18"/>
  <c r="BM102" i="18"/>
  <c r="BL102" i="18"/>
  <c r="BK102" i="18"/>
  <c r="BJ102" i="18"/>
  <c r="BI102" i="18"/>
  <c r="BH102" i="18"/>
  <c r="BG102" i="18"/>
  <c r="BF102" i="18"/>
  <c r="BE102" i="18"/>
  <c r="BD102" i="18"/>
  <c r="BC102" i="18"/>
  <c r="BB102" i="18"/>
  <c r="BA102" i="18"/>
  <c r="AZ102" i="18"/>
  <c r="AY102" i="18"/>
  <c r="AX102" i="18"/>
  <c r="AW102" i="18"/>
  <c r="AV102" i="18"/>
  <c r="AU102" i="18"/>
  <c r="AT102" i="18"/>
  <c r="AS102" i="18"/>
  <c r="AR102" i="18"/>
  <c r="AQ102" i="18"/>
  <c r="AP102" i="18"/>
  <c r="AO102" i="18"/>
  <c r="AN102" i="18"/>
  <c r="AM102" i="18"/>
  <c r="AL102" i="18"/>
  <c r="AK102" i="18"/>
  <c r="AJ102" i="18"/>
  <c r="AI102" i="18"/>
  <c r="AH102" i="18"/>
  <c r="AG102" i="18"/>
  <c r="AF102" i="18"/>
  <c r="AE102" i="18"/>
  <c r="AD102" i="18"/>
  <c r="AC102" i="18"/>
  <c r="AB102" i="18"/>
  <c r="AA102" i="18"/>
  <c r="Z102" i="18"/>
  <c r="Y102" i="18"/>
  <c r="X102" i="18"/>
  <c r="W102" i="18"/>
  <c r="V102" i="18"/>
  <c r="U102" i="18"/>
  <c r="T102" i="18"/>
  <c r="S102" i="18"/>
  <c r="R102" i="18"/>
  <c r="Q102" i="18"/>
  <c r="P102" i="18"/>
  <c r="O102" i="18"/>
  <c r="N102" i="18"/>
  <c r="M102" i="18"/>
  <c r="L102" i="18"/>
  <c r="K102" i="18"/>
  <c r="J102" i="18"/>
  <c r="I102" i="18"/>
  <c r="H102" i="18"/>
  <c r="G102" i="18"/>
  <c r="F102" i="18"/>
  <c r="E102" i="18"/>
  <c r="D102" i="18"/>
  <c r="C102" i="18"/>
  <c r="B102" i="18"/>
  <c r="A102" i="18"/>
  <c r="CI101" i="18"/>
  <c r="CH101" i="18"/>
  <c r="CG101" i="18"/>
  <c r="CF101" i="18"/>
  <c r="CE101" i="18"/>
  <c r="CD101" i="18"/>
  <c r="CC101" i="18"/>
  <c r="CB101" i="18"/>
  <c r="CA101" i="18"/>
  <c r="BZ101" i="18"/>
  <c r="BY101" i="18"/>
  <c r="BT101" i="18"/>
  <c r="BS101" i="18"/>
  <c r="BR101" i="18"/>
  <c r="BQ101" i="18"/>
  <c r="BP101" i="18"/>
  <c r="BO101" i="18"/>
  <c r="BN101" i="18"/>
  <c r="BM101" i="18"/>
  <c r="BL101" i="18"/>
  <c r="BK101" i="18"/>
  <c r="BJ101" i="18"/>
  <c r="BI101" i="18"/>
  <c r="BH101" i="18"/>
  <c r="BG101" i="18"/>
  <c r="BF101" i="18"/>
  <c r="BE101" i="18"/>
  <c r="BD101" i="18"/>
  <c r="BC101" i="18"/>
  <c r="BB101" i="18"/>
  <c r="BA101" i="18"/>
  <c r="AZ101" i="18"/>
  <c r="AY101" i="18"/>
  <c r="AX101" i="18"/>
  <c r="AW101" i="18"/>
  <c r="AV101" i="18"/>
  <c r="AU101" i="18"/>
  <c r="AT101" i="18"/>
  <c r="AS101" i="18"/>
  <c r="AR101" i="18"/>
  <c r="AQ101" i="18"/>
  <c r="AP101" i="18"/>
  <c r="AO101" i="18"/>
  <c r="AN101" i="18"/>
  <c r="AM101" i="18"/>
  <c r="AL101" i="18"/>
  <c r="AK101" i="18"/>
  <c r="AJ101" i="18"/>
  <c r="AI101" i="18"/>
  <c r="AH101" i="18"/>
  <c r="AG101" i="18"/>
  <c r="AF101" i="18"/>
  <c r="AE101" i="18"/>
  <c r="AD101" i="18"/>
  <c r="AC101" i="18"/>
  <c r="AB101" i="18"/>
  <c r="AA101" i="18"/>
  <c r="Z101" i="18"/>
  <c r="Y101" i="18"/>
  <c r="X101" i="18"/>
  <c r="W101" i="18"/>
  <c r="V101" i="18"/>
  <c r="U101" i="18"/>
  <c r="T101" i="18"/>
  <c r="S101" i="18"/>
  <c r="R101" i="18"/>
  <c r="Q101" i="18"/>
  <c r="P101" i="18"/>
  <c r="O101" i="18"/>
  <c r="N101" i="18"/>
  <c r="M101" i="18"/>
  <c r="L101" i="18"/>
  <c r="K101" i="18"/>
  <c r="J101" i="18"/>
  <c r="I101" i="18"/>
  <c r="H101" i="18"/>
  <c r="G101" i="18"/>
  <c r="F101" i="18"/>
  <c r="E101" i="18"/>
  <c r="D101" i="18"/>
  <c r="C101" i="18"/>
  <c r="B101" i="18"/>
  <c r="A101" i="18"/>
  <c r="CQ100" i="18"/>
  <c r="CP100" i="18"/>
  <c r="CO100" i="18"/>
  <c r="CN100" i="18"/>
  <c r="CM100" i="18"/>
  <c r="CL100" i="18"/>
  <c r="CK100" i="18"/>
  <c r="CJ100" i="18"/>
  <c r="CI100" i="18"/>
  <c r="CH100" i="18"/>
  <c r="CG100" i="18"/>
  <c r="CF100" i="18"/>
  <c r="CE100" i="18"/>
  <c r="CD100" i="18"/>
  <c r="CC100" i="18"/>
  <c r="CB100" i="18"/>
  <c r="CA100" i="18"/>
  <c r="BZ100" i="18"/>
  <c r="BY100" i="18"/>
  <c r="BX100" i="18"/>
  <c r="BW100" i="18"/>
  <c r="BV100" i="18"/>
  <c r="BU100" i="18"/>
  <c r="BT100" i="18"/>
  <c r="BS100" i="18"/>
  <c r="BR100" i="18"/>
  <c r="BQ100" i="18"/>
  <c r="BP100" i="18"/>
  <c r="BO100" i="18"/>
  <c r="BN100" i="18"/>
  <c r="BM100" i="18"/>
  <c r="BL100" i="18"/>
  <c r="BK100" i="18"/>
  <c r="BJ100" i="18"/>
  <c r="BI100" i="18"/>
  <c r="BH100" i="18"/>
  <c r="BG100" i="18"/>
  <c r="BF100" i="18"/>
  <c r="BE100" i="18"/>
  <c r="BD100" i="18"/>
  <c r="BC100" i="18"/>
  <c r="BB100" i="18"/>
  <c r="BA100" i="18"/>
  <c r="AZ100" i="18"/>
  <c r="AY100" i="18"/>
  <c r="AX100" i="18"/>
  <c r="AW100" i="18"/>
  <c r="AV100" i="18"/>
  <c r="AU100" i="18"/>
  <c r="AT100" i="18"/>
  <c r="AS100" i="18"/>
  <c r="AR100" i="18"/>
  <c r="AQ100" i="18"/>
  <c r="AP100" i="18"/>
  <c r="AO100" i="18"/>
  <c r="AN100" i="18"/>
  <c r="AM100" i="18"/>
  <c r="AL100" i="18"/>
  <c r="AK100" i="18"/>
  <c r="AJ100" i="18"/>
  <c r="AI100" i="18"/>
  <c r="AH100" i="18"/>
  <c r="AG100" i="18"/>
  <c r="AF100" i="18"/>
  <c r="AE100" i="18"/>
  <c r="AD100" i="18"/>
  <c r="AC100" i="18"/>
  <c r="AB100" i="18"/>
  <c r="AA100" i="18"/>
  <c r="Z100" i="18"/>
  <c r="Y100" i="18"/>
  <c r="X100" i="18"/>
  <c r="W100" i="18"/>
  <c r="V100" i="18"/>
  <c r="U100" i="18"/>
  <c r="T100" i="18"/>
  <c r="S100" i="18"/>
  <c r="R100" i="18"/>
  <c r="Q100" i="18"/>
  <c r="P100" i="18"/>
  <c r="O100" i="18"/>
  <c r="N100" i="18"/>
  <c r="M100" i="18"/>
  <c r="L100" i="18"/>
  <c r="K100" i="18"/>
  <c r="J100" i="18"/>
  <c r="I100" i="18"/>
  <c r="H100" i="18"/>
  <c r="G100" i="18"/>
  <c r="F100" i="18"/>
  <c r="E100" i="18"/>
  <c r="D100" i="18"/>
  <c r="C100" i="18"/>
  <c r="B100" i="18"/>
  <c r="A100" i="18"/>
  <c r="CQ99" i="18"/>
  <c r="CP99" i="18"/>
  <c r="CO99" i="18"/>
  <c r="CN99" i="18"/>
  <c r="CM99" i="18"/>
  <c r="CL99" i="18"/>
  <c r="CK99" i="18"/>
  <c r="CJ99" i="18"/>
  <c r="CI99" i="18"/>
  <c r="CH99" i="18"/>
  <c r="CG99" i="18"/>
  <c r="CF99" i="18"/>
  <c r="CE99" i="18"/>
  <c r="CD99" i="18"/>
  <c r="CC99" i="18"/>
  <c r="CB99" i="18"/>
  <c r="CA99" i="18"/>
  <c r="BZ99" i="18"/>
  <c r="BY99" i="18"/>
  <c r="BX99" i="18"/>
  <c r="BW99" i="18"/>
  <c r="BV99" i="18"/>
  <c r="BU99" i="18"/>
  <c r="BT99" i="18"/>
  <c r="BS99" i="18"/>
  <c r="BR99" i="18"/>
  <c r="BQ99" i="18"/>
  <c r="BP99" i="18"/>
  <c r="BO99" i="18"/>
  <c r="BN99" i="18"/>
  <c r="BM99" i="18"/>
  <c r="BL99" i="18"/>
  <c r="BK99" i="18"/>
  <c r="BJ99" i="18"/>
  <c r="BI99" i="18"/>
  <c r="BH99" i="18"/>
  <c r="BG99" i="18"/>
  <c r="BF99" i="18"/>
  <c r="BE99" i="18"/>
  <c r="BD99" i="18"/>
  <c r="BC99" i="18"/>
  <c r="BB99" i="18"/>
  <c r="BA99" i="18"/>
  <c r="AZ99" i="18"/>
  <c r="AY99" i="18"/>
  <c r="AX99" i="18"/>
  <c r="AW99" i="18"/>
  <c r="AV99" i="18"/>
  <c r="AU99" i="18"/>
  <c r="AT99" i="18"/>
  <c r="AS99" i="18"/>
  <c r="AR99" i="18"/>
  <c r="AQ99" i="18"/>
  <c r="AP99" i="18"/>
  <c r="AO99" i="18"/>
  <c r="AN99" i="18"/>
  <c r="AM99" i="18"/>
  <c r="AL99" i="18"/>
  <c r="AK99" i="18"/>
  <c r="AJ99" i="18"/>
  <c r="AI99" i="18"/>
  <c r="AH99" i="18"/>
  <c r="AG99" i="18"/>
  <c r="AF99" i="18"/>
  <c r="AE99" i="18"/>
  <c r="AD99" i="18"/>
  <c r="AC99" i="18"/>
  <c r="AB99" i="18"/>
  <c r="AA99" i="18"/>
  <c r="Z99" i="18"/>
  <c r="Y99" i="18"/>
  <c r="X99" i="18"/>
  <c r="W99" i="18"/>
  <c r="V99" i="18"/>
  <c r="U99" i="18"/>
  <c r="T99" i="18"/>
  <c r="S99" i="18"/>
  <c r="R99" i="18"/>
  <c r="Q99" i="18"/>
  <c r="P99" i="18"/>
  <c r="O99" i="18"/>
  <c r="N99" i="18"/>
  <c r="M99" i="18"/>
  <c r="L99" i="18"/>
  <c r="K99" i="18"/>
  <c r="J99" i="18"/>
  <c r="I99" i="18"/>
  <c r="H99" i="18"/>
  <c r="G99" i="18"/>
  <c r="F99" i="18"/>
  <c r="E99" i="18"/>
  <c r="D99" i="18"/>
  <c r="C99" i="18"/>
  <c r="B99" i="18"/>
  <c r="A99" i="18"/>
  <c r="CU97" i="18"/>
  <c r="CT97" i="18"/>
  <c r="CS97" i="18"/>
  <c r="CR97" i="18"/>
  <c r="CB97" i="18"/>
  <c r="CA97" i="18"/>
  <c r="BZ97" i="18"/>
  <c r="BY97" i="18"/>
  <c r="BX97" i="18"/>
  <c r="BW97" i="18"/>
  <c r="BV97" i="18"/>
  <c r="BU97" i="18"/>
  <c r="BT97" i="18"/>
  <c r="AV97" i="18"/>
  <c r="AU97" i="18"/>
  <c r="AT97" i="18"/>
  <c r="AS97" i="18"/>
  <c r="AR97" i="18"/>
  <c r="AQ97" i="18"/>
  <c r="AP97" i="18"/>
  <c r="AO97" i="18"/>
  <c r="AN97" i="18"/>
  <c r="AM97" i="18"/>
  <c r="AL97" i="18"/>
  <c r="AK97" i="18"/>
  <c r="AJ97" i="18"/>
  <c r="AI97" i="18"/>
  <c r="AH97" i="18"/>
  <c r="AG97" i="18"/>
  <c r="AF97" i="18"/>
  <c r="AE97" i="18"/>
  <c r="AD97" i="18"/>
  <c r="AC97" i="18"/>
  <c r="AB97" i="18"/>
  <c r="AA97" i="18"/>
  <c r="Z97" i="18"/>
  <c r="Y97" i="18"/>
  <c r="X97" i="18"/>
  <c r="W97" i="18"/>
  <c r="V97" i="18"/>
  <c r="U97" i="18"/>
  <c r="T97" i="18"/>
  <c r="S97" i="18"/>
  <c r="R97" i="18"/>
  <c r="Q97" i="18"/>
  <c r="P97" i="18"/>
  <c r="O97" i="18"/>
  <c r="N97" i="18"/>
  <c r="M97" i="18"/>
  <c r="L97" i="18"/>
  <c r="K97" i="18"/>
  <c r="J97" i="18"/>
  <c r="I97" i="18"/>
  <c r="H97" i="18"/>
  <c r="G97" i="18"/>
  <c r="F97" i="18"/>
  <c r="E97" i="18"/>
  <c r="D97" i="18"/>
  <c r="C97" i="18"/>
  <c r="B97" i="18"/>
  <c r="A97" i="18"/>
  <c r="CU96" i="18"/>
  <c r="CT96" i="18"/>
  <c r="CS96" i="18"/>
  <c r="CR96" i="18"/>
  <c r="CH96" i="18"/>
  <c r="CG96" i="18"/>
  <c r="CF96" i="18"/>
  <c r="CE96" i="18"/>
  <c r="CD96" i="18"/>
  <c r="CC96" i="18"/>
  <c r="CB96" i="18"/>
  <c r="CA96" i="18"/>
  <c r="BZ96" i="18"/>
  <c r="BY96" i="18"/>
  <c r="AR96" i="18"/>
  <c r="AQ96" i="18"/>
  <c r="AP96" i="18"/>
  <c r="AO96" i="18"/>
  <c r="AN96" i="18"/>
  <c r="AM96" i="18"/>
  <c r="AL96" i="18"/>
  <c r="AK96" i="18"/>
  <c r="AJ96" i="18"/>
  <c r="AI96" i="18"/>
  <c r="AH96" i="18"/>
  <c r="AG96" i="18"/>
  <c r="AF96" i="18"/>
  <c r="AE96" i="18"/>
  <c r="AD96" i="18"/>
  <c r="AC96" i="18"/>
  <c r="AB96" i="18"/>
  <c r="AA96" i="18"/>
  <c r="Z96" i="18"/>
  <c r="Y96" i="18"/>
  <c r="X96" i="18"/>
  <c r="W96" i="18"/>
  <c r="V96" i="18"/>
  <c r="U96" i="18"/>
  <c r="T96" i="18"/>
  <c r="S96" i="18"/>
  <c r="R96" i="18"/>
  <c r="Q96" i="18"/>
  <c r="P96" i="18"/>
  <c r="O96" i="18"/>
  <c r="N96" i="18"/>
  <c r="M96" i="18"/>
  <c r="L96" i="18"/>
  <c r="K96" i="18"/>
  <c r="J96" i="18"/>
  <c r="I96" i="18"/>
  <c r="H96" i="18"/>
  <c r="G96" i="18"/>
  <c r="F96" i="18"/>
  <c r="E96" i="18"/>
  <c r="D96" i="18"/>
  <c r="C96" i="18"/>
  <c r="B96" i="18"/>
  <c r="A96" i="18"/>
  <c r="CU95" i="18"/>
  <c r="CT95" i="18"/>
  <c r="CS95" i="18"/>
  <c r="CR95" i="18"/>
  <c r="CQ95" i="18"/>
  <c r="CP95" i="18"/>
  <c r="CO95" i="18"/>
  <c r="CN95" i="18"/>
  <c r="CM95" i="18"/>
  <c r="CL95" i="18"/>
  <c r="CK95" i="18"/>
  <c r="CJ95" i="18"/>
  <c r="CI95" i="18"/>
  <c r="CH95" i="18"/>
  <c r="CG95" i="18"/>
  <c r="CF95" i="18"/>
  <c r="CE95" i="18"/>
  <c r="CD95" i="18"/>
  <c r="CC95" i="18"/>
  <c r="CB95" i="18"/>
  <c r="CA95" i="18"/>
  <c r="BZ95" i="18"/>
  <c r="BY95" i="18"/>
  <c r="BX95" i="18"/>
  <c r="BW95" i="18"/>
  <c r="BV95" i="18"/>
  <c r="BU95" i="18"/>
  <c r="BT95" i="18"/>
  <c r="BS95" i="18"/>
  <c r="BR95" i="18"/>
  <c r="BQ95" i="18"/>
  <c r="BP95" i="18"/>
  <c r="BO95" i="18"/>
  <c r="BN95" i="18"/>
  <c r="BM95" i="18"/>
  <c r="BL95" i="18"/>
  <c r="BK95" i="18"/>
  <c r="BJ95" i="18"/>
  <c r="BI95" i="18"/>
  <c r="BH95" i="18"/>
  <c r="BG95" i="18"/>
  <c r="BF95" i="18"/>
  <c r="BE95" i="18"/>
  <c r="BD95" i="18"/>
  <c r="BC95" i="18"/>
  <c r="BB95" i="18"/>
  <c r="BA95" i="18"/>
  <c r="AZ95" i="18"/>
  <c r="AY95" i="18"/>
  <c r="AX95" i="18"/>
  <c r="AW95" i="18"/>
  <c r="AV95" i="18"/>
  <c r="AU95" i="18"/>
  <c r="AT95" i="18"/>
  <c r="AS95" i="18"/>
  <c r="AR95" i="18"/>
  <c r="AQ95" i="18"/>
  <c r="AP95" i="18"/>
  <c r="AO95" i="18"/>
  <c r="AN95" i="18"/>
  <c r="AM95" i="18"/>
  <c r="AL95" i="18"/>
  <c r="AK95" i="18"/>
  <c r="AJ95" i="18"/>
  <c r="AI95" i="18"/>
  <c r="AH95" i="18"/>
  <c r="AG95" i="18"/>
  <c r="AF95" i="18"/>
  <c r="AE95" i="18"/>
  <c r="AD95" i="18"/>
  <c r="AC95" i="18"/>
  <c r="AB95" i="18"/>
  <c r="AA95" i="18"/>
  <c r="Z95" i="18"/>
  <c r="Y95" i="18"/>
  <c r="X95" i="18"/>
  <c r="W95" i="18"/>
  <c r="V95" i="18"/>
  <c r="U95" i="18"/>
  <c r="T95" i="18"/>
  <c r="S95" i="18"/>
  <c r="R95" i="18"/>
  <c r="Q95" i="18"/>
  <c r="P95" i="18"/>
  <c r="O95" i="18"/>
  <c r="N95" i="18"/>
  <c r="M95" i="18"/>
  <c r="L95" i="18"/>
  <c r="K95" i="18"/>
  <c r="J95" i="18"/>
  <c r="I95" i="18"/>
  <c r="H95" i="18"/>
  <c r="G95" i="18"/>
  <c r="F95" i="18"/>
  <c r="E95" i="18"/>
  <c r="D95" i="18"/>
  <c r="C95" i="18"/>
  <c r="B95" i="18"/>
  <c r="A95" i="18"/>
  <c r="CU94" i="18"/>
  <c r="CT94" i="18"/>
  <c r="CA94" i="18"/>
  <c r="BZ94" i="18"/>
  <c r="BY94" i="18"/>
  <c r="BC94" i="18"/>
  <c r="AR94" i="18"/>
  <c r="AQ94" i="18"/>
  <c r="AP94" i="18"/>
  <c r="AO94" i="18"/>
  <c r="AN94" i="18"/>
  <c r="AM94" i="18"/>
  <c r="AL94" i="18"/>
  <c r="AK94" i="18"/>
  <c r="AJ94" i="18"/>
  <c r="AI94" i="18"/>
  <c r="AH94" i="18"/>
  <c r="AG94" i="18"/>
  <c r="AF94" i="18"/>
  <c r="AE94" i="18"/>
  <c r="AD94" i="18"/>
  <c r="AC94" i="18"/>
  <c r="AB94" i="18"/>
  <c r="AA94" i="18"/>
  <c r="Z94" i="18"/>
  <c r="Y94" i="18"/>
  <c r="X94" i="18"/>
  <c r="W94" i="18"/>
  <c r="V94" i="18"/>
  <c r="U94" i="18"/>
  <c r="T94" i="18"/>
  <c r="S94" i="18"/>
  <c r="R94" i="18"/>
  <c r="Q94" i="18"/>
  <c r="P94" i="18"/>
  <c r="O94" i="18"/>
  <c r="N94" i="18"/>
  <c r="M94" i="18"/>
  <c r="L94" i="18"/>
  <c r="K94" i="18"/>
  <c r="J94" i="18"/>
  <c r="I94" i="18"/>
  <c r="H94" i="18"/>
  <c r="G94" i="18"/>
  <c r="F94" i="18"/>
  <c r="E94" i="18"/>
  <c r="D94" i="18"/>
  <c r="C94" i="18"/>
  <c r="B94" i="18"/>
  <c r="A94" i="18"/>
  <c r="CU93" i="18"/>
  <c r="CT93" i="18"/>
  <c r="CS93" i="18"/>
  <c r="CR93" i="18"/>
  <c r="CQ93" i="18"/>
  <c r="CP93" i="18"/>
  <c r="CO93" i="18"/>
  <c r="CN93" i="18"/>
  <c r="CM93" i="18"/>
  <c r="CL93" i="18"/>
  <c r="CK93" i="18"/>
  <c r="CJ93" i="18"/>
  <c r="CI93" i="18"/>
  <c r="CH93" i="18"/>
  <c r="CG93" i="18"/>
  <c r="CF93" i="18"/>
  <c r="CE93" i="18"/>
  <c r="CD93" i="18"/>
  <c r="CC93" i="18"/>
  <c r="CB93" i="18"/>
  <c r="CA93" i="18"/>
  <c r="BZ93" i="18"/>
  <c r="BY93" i="18"/>
  <c r="BX93" i="18"/>
  <c r="BW93" i="18"/>
  <c r="BV93" i="18"/>
  <c r="BU93" i="18"/>
  <c r="BT93" i="18"/>
  <c r="BS93" i="18"/>
  <c r="BR93" i="18"/>
  <c r="BQ93" i="18"/>
  <c r="BP93" i="18"/>
  <c r="BO93" i="18"/>
  <c r="BN93" i="18"/>
  <c r="BM93" i="18"/>
  <c r="BL93" i="18"/>
  <c r="BK93" i="18"/>
  <c r="BJ93" i="18"/>
  <c r="BI93" i="18"/>
  <c r="BH93" i="18"/>
  <c r="BG93" i="18"/>
  <c r="BF93" i="18"/>
  <c r="BE93" i="18"/>
  <c r="BD93" i="18"/>
  <c r="BC93" i="18"/>
  <c r="BB93" i="18"/>
  <c r="BA93" i="18"/>
  <c r="AZ93" i="18"/>
  <c r="AY93" i="18"/>
  <c r="AX93" i="18"/>
  <c r="AW93" i="18"/>
  <c r="AV93" i="18"/>
  <c r="AU93" i="18"/>
  <c r="AT93" i="18"/>
  <c r="AS93" i="18"/>
  <c r="AR93" i="18"/>
  <c r="AQ93" i="18"/>
  <c r="AP93" i="18"/>
  <c r="AO93" i="18"/>
  <c r="AN93" i="18"/>
  <c r="AM93" i="18"/>
  <c r="AL93" i="18"/>
  <c r="AK93" i="18"/>
  <c r="AJ93" i="18"/>
  <c r="AI93" i="18"/>
  <c r="AH93" i="18"/>
  <c r="AG93" i="18"/>
  <c r="AF93" i="18"/>
  <c r="AE93" i="18"/>
  <c r="AD93" i="18"/>
  <c r="AC93" i="18"/>
  <c r="AB93" i="18"/>
  <c r="AA93" i="18"/>
  <c r="Z93" i="18"/>
  <c r="Y93" i="18"/>
  <c r="X93" i="18"/>
  <c r="W93" i="18"/>
  <c r="V93" i="18"/>
  <c r="U93" i="18"/>
  <c r="T93" i="18"/>
  <c r="S93" i="18"/>
  <c r="R93" i="18"/>
  <c r="Q93" i="18"/>
  <c r="P93" i="18"/>
  <c r="O93" i="18"/>
  <c r="N93" i="18"/>
  <c r="M93" i="18"/>
  <c r="L93" i="18"/>
  <c r="K93" i="18"/>
  <c r="J93" i="18"/>
  <c r="I93" i="18"/>
  <c r="H93" i="18"/>
  <c r="G93" i="18"/>
  <c r="F93" i="18"/>
  <c r="E93" i="18"/>
  <c r="D93" i="18"/>
  <c r="C93" i="18"/>
  <c r="B93" i="18"/>
  <c r="A93" i="18"/>
  <c r="CU92" i="18"/>
  <c r="CT92" i="18"/>
  <c r="CS92" i="18"/>
  <c r="CR92" i="18"/>
  <c r="CB92" i="18"/>
  <c r="CA92" i="18"/>
  <c r="BZ92" i="18"/>
  <c r="BY92" i="18"/>
  <c r="BX92" i="18"/>
  <c r="BW92" i="18"/>
  <c r="BV92" i="18"/>
  <c r="BU92" i="18"/>
  <c r="BT92" i="18"/>
  <c r="AR92" i="18"/>
  <c r="AQ92" i="18"/>
  <c r="AP92" i="18"/>
  <c r="AO92" i="18"/>
  <c r="AN92" i="18"/>
  <c r="AM92" i="18"/>
  <c r="AL92" i="18"/>
  <c r="AK92" i="18"/>
  <c r="AJ92" i="18"/>
  <c r="AI92" i="18"/>
  <c r="AH92" i="18"/>
  <c r="AG92" i="18"/>
  <c r="AF92" i="18"/>
  <c r="AE92" i="18"/>
  <c r="AD92" i="18"/>
  <c r="AC92" i="18"/>
  <c r="AB92" i="18"/>
  <c r="AA92" i="18"/>
  <c r="Z92" i="18"/>
  <c r="Y92" i="18"/>
  <c r="X92" i="18"/>
  <c r="W92" i="18"/>
  <c r="V92" i="18"/>
  <c r="U92" i="18"/>
  <c r="T92" i="18"/>
  <c r="S92" i="18"/>
  <c r="R92" i="18"/>
  <c r="Q92" i="18"/>
  <c r="P92" i="18"/>
  <c r="O92" i="18"/>
  <c r="N92" i="18"/>
  <c r="M92" i="18"/>
  <c r="L92" i="18"/>
  <c r="K92" i="18"/>
  <c r="J92" i="18"/>
  <c r="I92" i="18"/>
  <c r="H92" i="18"/>
  <c r="G92" i="18"/>
  <c r="F92" i="18"/>
  <c r="E92" i="18"/>
  <c r="D92" i="18"/>
  <c r="C92" i="18"/>
  <c r="B92" i="18"/>
  <c r="A92" i="18"/>
  <c r="CU91" i="18"/>
  <c r="CT91" i="18"/>
  <c r="CS91" i="18"/>
  <c r="CR91" i="18"/>
  <c r="CH91" i="18"/>
  <c r="CG91" i="18"/>
  <c r="CF91" i="18"/>
  <c r="CE91" i="18"/>
  <c r="CD91" i="18"/>
  <c r="CC91" i="18"/>
  <c r="CB91" i="18"/>
  <c r="CA91" i="18"/>
  <c r="BZ91" i="18"/>
  <c r="BY91" i="18"/>
  <c r="AR91" i="18"/>
  <c r="AQ91" i="18"/>
  <c r="AP91" i="18"/>
  <c r="AO91" i="18"/>
  <c r="AN91" i="18"/>
  <c r="AM91" i="18"/>
  <c r="AL91" i="18"/>
  <c r="AK91" i="18"/>
  <c r="AJ91" i="18"/>
  <c r="AI91" i="18"/>
  <c r="AH91" i="18"/>
  <c r="AG91" i="18"/>
  <c r="AF91" i="18"/>
  <c r="AE91" i="18"/>
  <c r="AD91" i="18"/>
  <c r="AC91" i="18"/>
  <c r="AB91" i="18"/>
  <c r="AA91" i="18"/>
  <c r="Z91" i="18"/>
  <c r="Y91" i="18"/>
  <c r="X91" i="18"/>
  <c r="W91" i="18"/>
  <c r="V91" i="18"/>
  <c r="U91" i="18"/>
  <c r="T91" i="18"/>
  <c r="S91" i="18"/>
  <c r="R91" i="18"/>
  <c r="Q91" i="18"/>
  <c r="P91" i="18"/>
  <c r="O91" i="18"/>
  <c r="N91" i="18"/>
  <c r="M91" i="18"/>
  <c r="L91" i="18"/>
  <c r="K91" i="18"/>
  <c r="J91" i="18"/>
  <c r="I91" i="18"/>
  <c r="H91" i="18"/>
  <c r="G91" i="18"/>
  <c r="F91" i="18"/>
  <c r="E91" i="18"/>
  <c r="D91" i="18"/>
  <c r="C91" i="18"/>
  <c r="B91" i="18"/>
  <c r="A91" i="18"/>
  <c r="CU90" i="18"/>
  <c r="CT90" i="18"/>
  <c r="CS90" i="18"/>
  <c r="CR90" i="18"/>
  <c r="CP90" i="18"/>
  <c r="CO90" i="18"/>
  <c r="CN90" i="18"/>
  <c r="CM90" i="18"/>
  <c r="CL90" i="18"/>
  <c r="CK90" i="18"/>
  <c r="CJ90" i="18"/>
  <c r="CI90" i="18"/>
  <c r="CH90" i="18"/>
  <c r="CG90" i="18"/>
  <c r="CF90" i="18"/>
  <c r="CE90" i="18"/>
  <c r="CD90" i="18"/>
  <c r="CC90" i="18"/>
  <c r="CB90" i="18"/>
  <c r="CA90" i="18"/>
  <c r="BZ90" i="18"/>
  <c r="BY90" i="18"/>
  <c r="BT90" i="18"/>
  <c r="BS90" i="18"/>
  <c r="BR90" i="18"/>
  <c r="BQ90" i="18"/>
  <c r="BP90" i="18"/>
  <c r="BO90" i="18"/>
  <c r="BN90" i="18"/>
  <c r="BM90" i="18"/>
  <c r="BL90" i="18"/>
  <c r="BK90" i="18"/>
  <c r="BJ90" i="18"/>
  <c r="BI90" i="18"/>
  <c r="BH90" i="18"/>
  <c r="BG90" i="18"/>
  <c r="BF90" i="18"/>
  <c r="BE90" i="18"/>
  <c r="BD90" i="18"/>
  <c r="BC90" i="18"/>
  <c r="BB90" i="18"/>
  <c r="BA90" i="18"/>
  <c r="AZ90" i="18"/>
  <c r="AY90" i="18"/>
  <c r="AX90" i="18"/>
  <c r="AW90" i="18"/>
  <c r="AV90" i="18"/>
  <c r="AU90" i="18"/>
  <c r="AT90" i="18"/>
  <c r="AS90" i="18"/>
  <c r="AR90" i="18"/>
  <c r="AQ90" i="18"/>
  <c r="AP90" i="18"/>
  <c r="AO90" i="18"/>
  <c r="AN90" i="18"/>
  <c r="AM90" i="18"/>
  <c r="AL90" i="18"/>
  <c r="AK90" i="18"/>
  <c r="AJ90" i="18"/>
  <c r="AI90" i="18"/>
  <c r="AH90" i="18"/>
  <c r="AG90" i="18"/>
  <c r="AF90" i="18"/>
  <c r="AE90" i="18"/>
  <c r="AD90" i="18"/>
  <c r="AC90" i="18"/>
  <c r="AB90" i="18"/>
  <c r="AA90" i="18"/>
  <c r="Z90" i="18"/>
  <c r="Y90" i="18"/>
  <c r="X90" i="18"/>
  <c r="W90" i="18"/>
  <c r="V90" i="18"/>
  <c r="U90" i="18"/>
  <c r="T90" i="18"/>
  <c r="S90" i="18"/>
  <c r="R90" i="18"/>
  <c r="Q90" i="18"/>
  <c r="P90" i="18"/>
  <c r="O90" i="18"/>
  <c r="N90" i="18"/>
  <c r="M90" i="18"/>
  <c r="L90" i="18"/>
  <c r="K90" i="18"/>
  <c r="J90" i="18"/>
  <c r="I90" i="18"/>
  <c r="H90" i="18"/>
  <c r="G90" i="18"/>
  <c r="F90" i="18"/>
  <c r="E90" i="18"/>
  <c r="D90" i="18"/>
  <c r="C90" i="18"/>
  <c r="B90" i="18"/>
  <c r="A90" i="18"/>
  <c r="CU89" i="18"/>
  <c r="CT89" i="18"/>
  <c r="CA89" i="18"/>
  <c r="BZ89" i="18"/>
  <c r="BY89" i="18"/>
  <c r="BL89" i="18"/>
  <c r="AV89" i="18"/>
  <c r="AR89" i="18"/>
  <c r="AQ89" i="18"/>
  <c r="AP89" i="18"/>
  <c r="AO89" i="18"/>
  <c r="AN89" i="18"/>
  <c r="AM89" i="18"/>
  <c r="AL89" i="18"/>
  <c r="AK89" i="18"/>
  <c r="AJ89" i="18"/>
  <c r="AI89" i="18"/>
  <c r="AH89" i="18"/>
  <c r="AG89" i="18"/>
  <c r="AF89" i="18"/>
  <c r="AE89" i="18"/>
  <c r="AD89" i="18"/>
  <c r="AC89" i="18"/>
  <c r="AB89" i="18"/>
  <c r="AA89" i="18"/>
  <c r="Z89" i="18"/>
  <c r="Y89" i="18"/>
  <c r="X89" i="18"/>
  <c r="W89" i="18"/>
  <c r="V89" i="18"/>
  <c r="U89" i="18"/>
  <c r="T89" i="18"/>
  <c r="S89" i="18"/>
  <c r="R89" i="18"/>
  <c r="Q89" i="18"/>
  <c r="P89" i="18"/>
  <c r="O89" i="18"/>
  <c r="N89" i="18"/>
  <c r="M89" i="18"/>
  <c r="L89" i="18"/>
  <c r="K89" i="18"/>
  <c r="J89" i="18"/>
  <c r="I89" i="18"/>
  <c r="H89" i="18"/>
  <c r="G89" i="18"/>
  <c r="F89" i="18"/>
  <c r="E89" i="18"/>
  <c r="D89" i="18"/>
  <c r="C89" i="18"/>
  <c r="B89" i="18"/>
  <c r="A89" i="18"/>
  <c r="CU88" i="18"/>
  <c r="CT88" i="18"/>
  <c r="CS88" i="18"/>
  <c r="CR88" i="18"/>
  <c r="CQ88" i="18"/>
  <c r="CP88" i="18"/>
  <c r="CO88" i="18"/>
  <c r="CN88" i="18"/>
  <c r="CM88" i="18"/>
  <c r="CL88" i="18"/>
  <c r="CK88" i="18"/>
  <c r="CJ88" i="18"/>
  <c r="CI88" i="18"/>
  <c r="CH88" i="18"/>
  <c r="CG88" i="18"/>
  <c r="CF88" i="18"/>
  <c r="CE88" i="18"/>
  <c r="CD88" i="18"/>
  <c r="CC88" i="18"/>
  <c r="CB88" i="18"/>
  <c r="CA88" i="18"/>
  <c r="BZ88" i="18"/>
  <c r="BY88" i="18"/>
  <c r="BX88" i="18"/>
  <c r="BW88" i="18"/>
  <c r="BV88" i="18"/>
  <c r="BU88" i="18"/>
  <c r="BT88" i="18"/>
  <c r="BS88" i="18"/>
  <c r="BR88" i="18"/>
  <c r="BQ88" i="18"/>
  <c r="BP88" i="18"/>
  <c r="BO88" i="18"/>
  <c r="BN88" i="18"/>
  <c r="BM88" i="18"/>
  <c r="BL88" i="18"/>
  <c r="BK88" i="18"/>
  <c r="BJ88" i="18"/>
  <c r="BI88" i="18"/>
  <c r="BH88" i="18"/>
  <c r="BG88" i="18"/>
  <c r="BF88" i="18"/>
  <c r="BE88" i="18"/>
  <c r="BD88" i="18"/>
  <c r="BC88" i="18"/>
  <c r="BB88" i="18"/>
  <c r="BA88" i="18"/>
  <c r="AZ88" i="18"/>
  <c r="AY88" i="18"/>
  <c r="AX88" i="18"/>
  <c r="AW88" i="18"/>
  <c r="AV88" i="18"/>
  <c r="AU88" i="18"/>
  <c r="AT88" i="18"/>
  <c r="AS88" i="18"/>
  <c r="AR88" i="18"/>
  <c r="AQ88" i="18"/>
  <c r="AP88" i="18"/>
  <c r="AO88" i="18"/>
  <c r="AN88" i="18"/>
  <c r="AM88" i="18"/>
  <c r="AL88" i="18"/>
  <c r="AK88" i="18"/>
  <c r="AJ88" i="18"/>
  <c r="AI88" i="18"/>
  <c r="AH88" i="18"/>
  <c r="AG88" i="18"/>
  <c r="AF88" i="18"/>
  <c r="AE88" i="18"/>
  <c r="AD88" i="18"/>
  <c r="AC88" i="18"/>
  <c r="AB88" i="18"/>
  <c r="AA88" i="18"/>
  <c r="Z88" i="18"/>
  <c r="Y88" i="18"/>
  <c r="X88" i="18"/>
  <c r="W88" i="18"/>
  <c r="V88" i="18"/>
  <c r="U88" i="18"/>
  <c r="T88" i="18"/>
  <c r="S88" i="18"/>
  <c r="R88" i="18"/>
  <c r="Q88" i="18"/>
  <c r="P88" i="18"/>
  <c r="O88" i="18"/>
  <c r="N88" i="18"/>
  <c r="M88" i="18"/>
  <c r="L88" i="18"/>
  <c r="K88" i="18"/>
  <c r="J88" i="18"/>
  <c r="I88" i="18"/>
  <c r="H88" i="18"/>
  <c r="G88" i="18"/>
  <c r="F88" i="18"/>
  <c r="E88" i="18"/>
  <c r="D88" i="18"/>
  <c r="C88" i="18"/>
  <c r="B88" i="18"/>
  <c r="A88" i="18"/>
  <c r="CU87" i="18"/>
  <c r="CT87" i="18"/>
  <c r="CI87" i="18"/>
  <c r="CH87" i="18"/>
  <c r="CG87" i="18"/>
  <c r="CF87" i="18"/>
  <c r="CE87" i="18"/>
  <c r="CD87" i="18"/>
  <c r="CC87" i="18"/>
  <c r="CB87" i="18"/>
  <c r="CA87" i="18"/>
  <c r="BZ87" i="18"/>
  <c r="BY87" i="18"/>
  <c r="BR87" i="18"/>
  <c r="AR87" i="18"/>
  <c r="AQ87" i="18"/>
  <c r="AP87" i="18"/>
  <c r="AO87" i="18"/>
  <c r="AN87" i="18"/>
  <c r="AM87" i="18"/>
  <c r="AL87" i="18"/>
  <c r="AK87" i="18"/>
  <c r="AJ87" i="18"/>
  <c r="AI87" i="18"/>
  <c r="AH87" i="18"/>
  <c r="AG87" i="18"/>
  <c r="AF87" i="18"/>
  <c r="AE87" i="18"/>
  <c r="AD87" i="18"/>
  <c r="AC87" i="18"/>
  <c r="AB87" i="18"/>
  <c r="AA87" i="18"/>
  <c r="Z87" i="18"/>
  <c r="Y87" i="18"/>
  <c r="X87" i="18"/>
  <c r="W87" i="18"/>
  <c r="V87" i="18"/>
  <c r="U87" i="18"/>
  <c r="T87" i="18"/>
  <c r="S87" i="18"/>
  <c r="R87" i="18"/>
  <c r="Q87" i="18"/>
  <c r="P87" i="18"/>
  <c r="O87" i="18"/>
  <c r="N87" i="18"/>
  <c r="M87" i="18"/>
  <c r="L87" i="18"/>
  <c r="K87" i="18"/>
  <c r="J87" i="18"/>
  <c r="I87" i="18"/>
  <c r="H87" i="18"/>
  <c r="G87" i="18"/>
  <c r="F87" i="18"/>
  <c r="E87" i="18"/>
  <c r="D87" i="18"/>
  <c r="C87" i="18"/>
  <c r="B87" i="18"/>
  <c r="A87" i="18"/>
  <c r="CU86" i="18"/>
  <c r="CT86" i="18"/>
  <c r="CS86" i="18"/>
  <c r="CQ86" i="18"/>
  <c r="CI86" i="18"/>
  <c r="CH86" i="18"/>
  <c r="CG86" i="18"/>
  <c r="CF86" i="18"/>
  <c r="CE86" i="18"/>
  <c r="CD86" i="18"/>
  <c r="CC86" i="18"/>
  <c r="CB86" i="18"/>
  <c r="CA86" i="18"/>
  <c r="BZ86" i="18"/>
  <c r="BY86" i="18"/>
  <c r="BX86" i="18"/>
  <c r="BW86" i="18"/>
  <c r="BV86" i="18"/>
  <c r="BU86" i="18"/>
  <c r="BT86" i="18"/>
  <c r="BS86" i="18"/>
  <c r="BR86" i="18"/>
  <c r="BQ86" i="18"/>
  <c r="BP86" i="18"/>
  <c r="BO86" i="18"/>
  <c r="BN86" i="18"/>
  <c r="BM86" i="18"/>
  <c r="BL86" i="18"/>
  <c r="BK86" i="18"/>
  <c r="BJ86" i="18"/>
  <c r="BI86" i="18"/>
  <c r="BH86" i="18"/>
  <c r="BG86" i="18"/>
  <c r="BF86" i="18"/>
  <c r="BE86" i="18"/>
  <c r="BD86" i="18"/>
  <c r="BC86" i="18"/>
  <c r="BB86" i="18"/>
  <c r="BA86" i="18"/>
  <c r="AZ86" i="18"/>
  <c r="AY86" i="18"/>
  <c r="AX86" i="18"/>
  <c r="AW86" i="18"/>
  <c r="AV86" i="18"/>
  <c r="AU86" i="18"/>
  <c r="AT86" i="18"/>
  <c r="AS86" i="18"/>
  <c r="AR86" i="18"/>
  <c r="AQ86" i="18"/>
  <c r="AP86" i="18"/>
  <c r="AO86" i="18"/>
  <c r="AN86" i="18"/>
  <c r="AM86" i="18"/>
  <c r="AL86" i="18"/>
  <c r="AK86" i="18"/>
  <c r="AJ86" i="18"/>
  <c r="AI86" i="18"/>
  <c r="AH86" i="18"/>
  <c r="AG86" i="18"/>
  <c r="AF86" i="18"/>
  <c r="AE86" i="18"/>
  <c r="AD86" i="18"/>
  <c r="AC86" i="18"/>
  <c r="AB86" i="18"/>
  <c r="AA86" i="18"/>
  <c r="Z86" i="18"/>
  <c r="Y86" i="18"/>
  <c r="X86" i="18"/>
  <c r="W86" i="18"/>
  <c r="V86" i="18"/>
  <c r="U86" i="18"/>
  <c r="T86" i="18"/>
  <c r="S86" i="18"/>
  <c r="R86" i="18"/>
  <c r="Q86" i="18"/>
  <c r="P86" i="18"/>
  <c r="O86" i="18"/>
  <c r="N86" i="18"/>
  <c r="M86" i="18"/>
  <c r="L86" i="18"/>
  <c r="K86" i="18"/>
  <c r="J86" i="18"/>
  <c r="I86" i="18"/>
  <c r="H86" i="18"/>
  <c r="G86" i="18"/>
  <c r="F86" i="18"/>
  <c r="E86" i="18"/>
  <c r="D86" i="18"/>
  <c r="C86" i="18"/>
  <c r="B86" i="18"/>
  <c r="A86" i="18"/>
  <c r="CU85" i="18"/>
  <c r="CT85" i="18"/>
  <c r="CI85" i="18"/>
  <c r="CH85" i="18"/>
  <c r="CG85" i="18"/>
  <c r="CF85" i="18"/>
  <c r="CE85" i="18"/>
  <c r="CD85" i="18"/>
  <c r="CC85" i="18"/>
  <c r="CB85" i="18"/>
  <c r="CA85" i="18"/>
  <c r="BZ85" i="18"/>
  <c r="BY85" i="18"/>
  <c r="BT85" i="18"/>
  <c r="BS85" i="18"/>
  <c r="BR85" i="18"/>
  <c r="BQ85" i="18"/>
  <c r="BP85" i="18"/>
  <c r="BO85" i="18"/>
  <c r="BN85" i="18"/>
  <c r="BM85" i="18"/>
  <c r="BL85" i="18"/>
  <c r="BK85" i="18"/>
  <c r="BJ85" i="18"/>
  <c r="BI85" i="18"/>
  <c r="BH85" i="18"/>
  <c r="BG85" i="18"/>
  <c r="BF85" i="18"/>
  <c r="BE85" i="18"/>
  <c r="BD85" i="18"/>
  <c r="BC85" i="18"/>
  <c r="BB85" i="18"/>
  <c r="BA85" i="18"/>
  <c r="AZ85" i="18"/>
  <c r="AY85" i="18"/>
  <c r="AX85" i="18"/>
  <c r="AW85" i="18"/>
  <c r="AV85" i="18"/>
  <c r="AU85" i="18"/>
  <c r="AT85" i="18"/>
  <c r="AS85" i="18"/>
  <c r="AR85" i="18"/>
  <c r="AQ85" i="18"/>
  <c r="AP85" i="18"/>
  <c r="AO85" i="18"/>
  <c r="AN85" i="18"/>
  <c r="AM85" i="18"/>
  <c r="AL85" i="18"/>
  <c r="AK85" i="18"/>
  <c r="AJ85" i="18"/>
  <c r="AI85" i="18"/>
  <c r="AH85" i="18"/>
  <c r="AG85" i="18"/>
  <c r="AF85" i="18"/>
  <c r="AE85" i="18"/>
  <c r="AD85" i="18"/>
  <c r="AC85" i="18"/>
  <c r="AB85" i="18"/>
  <c r="AA85" i="18"/>
  <c r="Z85" i="18"/>
  <c r="Y85" i="18"/>
  <c r="X85" i="18"/>
  <c r="W85" i="18"/>
  <c r="V85" i="18"/>
  <c r="U85" i="18"/>
  <c r="T85" i="18"/>
  <c r="S85" i="18"/>
  <c r="R85" i="18"/>
  <c r="Q85" i="18"/>
  <c r="P85" i="18"/>
  <c r="O85" i="18"/>
  <c r="N85" i="18"/>
  <c r="M85" i="18"/>
  <c r="L85" i="18"/>
  <c r="K85" i="18"/>
  <c r="J85" i="18"/>
  <c r="I85" i="18"/>
  <c r="H85" i="18"/>
  <c r="G85" i="18"/>
  <c r="F85" i="18"/>
  <c r="E85" i="18"/>
  <c r="D85" i="18"/>
  <c r="C85" i="18"/>
  <c r="B85" i="18"/>
  <c r="A85" i="18"/>
  <c r="CU84" i="18"/>
  <c r="CT84" i="18"/>
  <c r="CI84" i="18"/>
  <c r="CH84" i="18"/>
  <c r="CG84" i="18"/>
  <c r="CF84" i="18"/>
  <c r="CE84" i="18"/>
  <c r="CD84" i="18"/>
  <c r="CC84" i="18"/>
  <c r="CB84" i="18"/>
  <c r="CA84" i="18"/>
  <c r="BZ84" i="18"/>
  <c r="BY84" i="18"/>
  <c r="BT84" i="18"/>
  <c r="BS84" i="18"/>
  <c r="BR84" i="18"/>
  <c r="BQ84" i="18"/>
  <c r="BP84" i="18"/>
  <c r="BO84" i="18"/>
  <c r="BN84" i="18"/>
  <c r="BM84" i="18"/>
  <c r="BL84" i="18"/>
  <c r="BK84" i="18"/>
  <c r="BJ84" i="18"/>
  <c r="BI84" i="18"/>
  <c r="BH84" i="18"/>
  <c r="BG84" i="18"/>
  <c r="BF84" i="18"/>
  <c r="BE84" i="18"/>
  <c r="BD84" i="18"/>
  <c r="BC84" i="18"/>
  <c r="BB84" i="18"/>
  <c r="BA84" i="18"/>
  <c r="AZ84" i="18"/>
  <c r="AY84" i="18"/>
  <c r="AX84" i="18"/>
  <c r="AW84" i="18"/>
  <c r="AV84" i="18"/>
  <c r="AU84" i="18"/>
  <c r="AT84" i="18"/>
  <c r="AS84" i="18"/>
  <c r="AR84" i="18"/>
  <c r="AQ84" i="18"/>
  <c r="AP84" i="18"/>
  <c r="AO84" i="18"/>
  <c r="AN84" i="18"/>
  <c r="AM84" i="18"/>
  <c r="AL84" i="18"/>
  <c r="AK84" i="18"/>
  <c r="AJ84" i="18"/>
  <c r="AI84" i="18"/>
  <c r="AH84" i="18"/>
  <c r="AG84" i="18"/>
  <c r="AF84" i="18"/>
  <c r="AE84" i="18"/>
  <c r="AD84" i="18"/>
  <c r="AC84" i="18"/>
  <c r="AB84" i="18"/>
  <c r="AA84" i="18"/>
  <c r="Z84" i="18"/>
  <c r="Y84" i="18"/>
  <c r="X84" i="18"/>
  <c r="W84" i="18"/>
  <c r="V84" i="18"/>
  <c r="U84" i="18"/>
  <c r="T84" i="18"/>
  <c r="S84" i="18"/>
  <c r="R84" i="18"/>
  <c r="Q84" i="18"/>
  <c r="P84" i="18"/>
  <c r="O84" i="18"/>
  <c r="N84" i="18"/>
  <c r="M84" i="18"/>
  <c r="L84" i="18"/>
  <c r="K84" i="18"/>
  <c r="J84" i="18"/>
  <c r="I84" i="18"/>
  <c r="H84" i="18"/>
  <c r="G84" i="18"/>
  <c r="F84" i="18"/>
  <c r="E84" i="18"/>
  <c r="D84" i="18"/>
  <c r="C84" i="18"/>
  <c r="B84" i="18"/>
  <c r="A84" i="18"/>
  <c r="CU82" i="18"/>
  <c r="CT82" i="18"/>
  <c r="CS82" i="18"/>
  <c r="CR82" i="18"/>
  <c r="CQ82" i="18"/>
  <c r="CP82" i="18"/>
  <c r="CO82" i="18"/>
  <c r="CN82" i="18"/>
  <c r="CM82" i="18"/>
  <c r="CL82" i="18"/>
  <c r="CK82" i="18"/>
  <c r="CJ82" i="18"/>
  <c r="CI82" i="18"/>
  <c r="CH82" i="18"/>
  <c r="CG82" i="18"/>
  <c r="CF82" i="18"/>
  <c r="CE82" i="18"/>
  <c r="CD82" i="18"/>
  <c r="CC82" i="18"/>
  <c r="CB82" i="18"/>
  <c r="CA82" i="18"/>
  <c r="BZ82" i="18"/>
  <c r="BY82" i="18"/>
  <c r="BX82" i="18"/>
  <c r="BW82" i="18"/>
  <c r="BV82" i="18"/>
  <c r="BU82" i="18"/>
  <c r="BT82" i="18"/>
  <c r="BS82" i="18"/>
  <c r="BR82" i="18"/>
  <c r="BQ82" i="18"/>
  <c r="BP82" i="18"/>
  <c r="BO82" i="18"/>
  <c r="BN82" i="18"/>
  <c r="BM82" i="18"/>
  <c r="BL82" i="18"/>
  <c r="BK82" i="18"/>
  <c r="BJ82" i="18"/>
  <c r="BI82" i="18"/>
  <c r="BH82" i="18"/>
  <c r="BG82" i="18"/>
  <c r="BF82" i="18"/>
  <c r="BE82" i="18"/>
  <c r="BD82" i="18"/>
  <c r="BC82" i="18"/>
  <c r="BB82" i="18"/>
  <c r="BA82" i="18"/>
  <c r="AZ82" i="18"/>
  <c r="AY82" i="18"/>
  <c r="AX82" i="18"/>
  <c r="AW82" i="18"/>
  <c r="AV82" i="18"/>
  <c r="AU82" i="18"/>
  <c r="AT82" i="18"/>
  <c r="AS82" i="18"/>
  <c r="AR82" i="18"/>
  <c r="AQ82" i="18"/>
  <c r="AP82" i="18"/>
  <c r="AO82" i="18"/>
  <c r="AN82" i="18"/>
  <c r="AM82" i="18"/>
  <c r="AL82" i="18"/>
  <c r="AK82" i="18"/>
  <c r="AJ82" i="18"/>
  <c r="AI82" i="18"/>
  <c r="AH82" i="18"/>
  <c r="AG82" i="18"/>
  <c r="AF82" i="18"/>
  <c r="AE82" i="18"/>
  <c r="AD82" i="18"/>
  <c r="AC82" i="18"/>
  <c r="AB82" i="18"/>
  <c r="AA82" i="18"/>
  <c r="Z82" i="18"/>
  <c r="Y82" i="18"/>
  <c r="X82" i="18"/>
  <c r="W82" i="18"/>
  <c r="V82" i="18"/>
  <c r="U82" i="18"/>
  <c r="T82" i="18"/>
  <c r="S82" i="18"/>
  <c r="R82" i="18"/>
  <c r="Q82" i="18"/>
  <c r="P82" i="18"/>
  <c r="O82" i="18"/>
  <c r="N82" i="18"/>
  <c r="M82" i="18"/>
  <c r="L82" i="18"/>
  <c r="K82" i="18"/>
  <c r="J82" i="18"/>
  <c r="I82" i="18"/>
  <c r="H82" i="18"/>
  <c r="G82" i="18"/>
  <c r="F82" i="18"/>
  <c r="E82" i="18"/>
  <c r="D82" i="18"/>
  <c r="C82" i="18"/>
  <c r="B82" i="18"/>
  <c r="A82" i="18"/>
  <c r="CU81" i="18"/>
  <c r="CT81" i="18"/>
  <c r="CS81" i="18"/>
  <c r="CR81" i="18"/>
  <c r="CQ81" i="18"/>
  <c r="CP81" i="18"/>
  <c r="CO81" i="18"/>
  <c r="CN81" i="18"/>
  <c r="CM81" i="18"/>
  <c r="CL81" i="18"/>
  <c r="CK81" i="18"/>
  <c r="CJ81" i="18"/>
  <c r="CI81" i="18"/>
  <c r="CH81" i="18"/>
  <c r="CG81" i="18"/>
  <c r="CF81" i="18"/>
  <c r="CE81" i="18"/>
  <c r="CD81" i="18"/>
  <c r="CC81" i="18"/>
  <c r="CB81" i="18"/>
  <c r="CA81" i="18"/>
  <c r="BZ81" i="18"/>
  <c r="BY81" i="18"/>
  <c r="AR81" i="18"/>
  <c r="AQ81" i="18"/>
  <c r="AP81" i="18"/>
  <c r="AO81" i="18"/>
  <c r="AN81" i="18"/>
  <c r="AM81" i="18"/>
  <c r="AL81" i="18"/>
  <c r="AK81" i="18"/>
  <c r="AJ81" i="18"/>
  <c r="AI81" i="18"/>
  <c r="AH81" i="18"/>
  <c r="AG81" i="18"/>
  <c r="AF81" i="18"/>
  <c r="AE81" i="18"/>
  <c r="AD81" i="18"/>
  <c r="AC81" i="18"/>
  <c r="AB81" i="18"/>
  <c r="AA81" i="18"/>
  <c r="Z81" i="18"/>
  <c r="Y81" i="18"/>
  <c r="X81" i="18"/>
  <c r="W81" i="18"/>
  <c r="V81" i="18"/>
  <c r="U81" i="18"/>
  <c r="T81" i="18"/>
  <c r="S81" i="18"/>
  <c r="R81" i="18"/>
  <c r="Q81" i="18"/>
  <c r="P81" i="18"/>
  <c r="O81" i="18"/>
  <c r="N81" i="18"/>
  <c r="M81" i="18"/>
  <c r="L81" i="18"/>
  <c r="K81" i="18"/>
  <c r="J81" i="18"/>
  <c r="I81" i="18"/>
  <c r="H81" i="18"/>
  <c r="G81" i="18"/>
  <c r="F81" i="18"/>
  <c r="E81" i="18"/>
  <c r="D81" i="18"/>
  <c r="C81" i="18"/>
  <c r="B81" i="18"/>
  <c r="A81" i="18"/>
  <c r="CU80" i="18"/>
  <c r="CT80" i="18"/>
  <c r="CS80" i="18"/>
  <c r="CR80" i="18"/>
  <c r="CI80" i="18"/>
  <c r="CH80" i="18"/>
  <c r="CG80" i="18"/>
  <c r="CF80" i="18"/>
  <c r="CE80" i="18"/>
  <c r="CD80" i="18"/>
  <c r="CC80" i="18"/>
  <c r="CB80" i="18"/>
  <c r="CA80" i="18"/>
  <c r="BZ80" i="18"/>
  <c r="BY80" i="18"/>
  <c r="AR80" i="18"/>
  <c r="AQ80" i="18"/>
  <c r="AP80" i="18"/>
  <c r="AO80" i="18"/>
  <c r="AN80" i="18"/>
  <c r="AM80" i="18"/>
  <c r="AL80" i="18"/>
  <c r="AK80" i="18"/>
  <c r="AJ80" i="18"/>
  <c r="AI80" i="18"/>
  <c r="AH80" i="18"/>
  <c r="AG80" i="18"/>
  <c r="AF80" i="18"/>
  <c r="AE80" i="18"/>
  <c r="AD80" i="18"/>
  <c r="AC80" i="18"/>
  <c r="AB80" i="18"/>
  <c r="AA80" i="18"/>
  <c r="Z80" i="18"/>
  <c r="Y80" i="18"/>
  <c r="X80" i="18"/>
  <c r="W80" i="18"/>
  <c r="V80" i="18"/>
  <c r="U80" i="18"/>
  <c r="T80" i="18"/>
  <c r="S80" i="18"/>
  <c r="R80" i="18"/>
  <c r="Q80" i="18"/>
  <c r="P80" i="18"/>
  <c r="O80" i="18"/>
  <c r="N80" i="18"/>
  <c r="M80" i="18"/>
  <c r="L80" i="18"/>
  <c r="K80" i="18"/>
  <c r="J80" i="18"/>
  <c r="I80" i="18"/>
  <c r="H80" i="18"/>
  <c r="G80" i="18"/>
  <c r="F80" i="18"/>
  <c r="E80" i="18"/>
  <c r="D80" i="18"/>
  <c r="C80" i="18"/>
  <c r="B80" i="18"/>
  <c r="A80" i="18"/>
  <c r="CU79" i="18"/>
  <c r="CT79" i="18"/>
  <c r="CS79" i="18"/>
  <c r="CR79" i="18"/>
  <c r="CI79" i="18"/>
  <c r="CH79" i="18"/>
  <c r="CG79" i="18"/>
  <c r="CF79" i="18"/>
  <c r="CE79" i="18"/>
  <c r="CD79" i="18"/>
  <c r="CC79" i="18"/>
  <c r="CB79" i="18"/>
  <c r="CA79" i="18"/>
  <c r="BZ79" i="18"/>
  <c r="BY79" i="18"/>
  <c r="AR79" i="18"/>
  <c r="AQ79" i="18"/>
  <c r="AP79" i="18"/>
  <c r="AO79" i="18"/>
  <c r="AN79" i="18"/>
  <c r="AM79" i="18"/>
  <c r="AL79" i="18"/>
  <c r="AK79" i="18"/>
  <c r="AJ79" i="18"/>
  <c r="AI79" i="18"/>
  <c r="AH79" i="18"/>
  <c r="AG79" i="18"/>
  <c r="AF79" i="18"/>
  <c r="AE79" i="18"/>
  <c r="AD79" i="18"/>
  <c r="AC79" i="18"/>
  <c r="AB79" i="18"/>
  <c r="AA79" i="18"/>
  <c r="Z79" i="18"/>
  <c r="Y79" i="18"/>
  <c r="X79" i="18"/>
  <c r="W79" i="18"/>
  <c r="V79" i="18"/>
  <c r="U79" i="18"/>
  <c r="T79" i="18"/>
  <c r="S79" i="18"/>
  <c r="R79" i="18"/>
  <c r="Q79" i="18"/>
  <c r="P79" i="18"/>
  <c r="O79" i="18"/>
  <c r="N79" i="18"/>
  <c r="M79" i="18"/>
  <c r="L79" i="18"/>
  <c r="K79" i="18"/>
  <c r="J79" i="18"/>
  <c r="I79" i="18"/>
  <c r="H79" i="18"/>
  <c r="G79" i="18"/>
  <c r="F79" i="18"/>
  <c r="E79" i="18"/>
  <c r="D79" i="18"/>
  <c r="C79" i="18"/>
  <c r="B79" i="18"/>
  <c r="A79" i="18"/>
  <c r="CU78" i="18"/>
  <c r="CT78" i="18"/>
  <c r="CS78" i="18"/>
  <c r="CR78" i="18"/>
  <c r="CI78" i="18"/>
  <c r="CH78" i="18"/>
  <c r="CG78" i="18"/>
  <c r="CF78" i="18"/>
  <c r="CE78" i="18"/>
  <c r="CD78" i="18"/>
  <c r="CC78" i="18"/>
  <c r="CB78" i="18"/>
  <c r="CA78" i="18"/>
  <c r="BZ78" i="18"/>
  <c r="BY78" i="18"/>
  <c r="AR78" i="18"/>
  <c r="AQ78" i="18"/>
  <c r="AP78" i="18"/>
  <c r="AO78" i="18"/>
  <c r="AN78" i="18"/>
  <c r="AM78" i="18"/>
  <c r="AL78" i="18"/>
  <c r="AK78" i="18"/>
  <c r="AJ78" i="18"/>
  <c r="AI78" i="18"/>
  <c r="AH78" i="18"/>
  <c r="AG78" i="18"/>
  <c r="AF78" i="18"/>
  <c r="AE78" i="18"/>
  <c r="AD78" i="18"/>
  <c r="AC78" i="18"/>
  <c r="AB78" i="18"/>
  <c r="AA78" i="18"/>
  <c r="Z78" i="18"/>
  <c r="Y78" i="18"/>
  <c r="X78" i="18"/>
  <c r="W78" i="18"/>
  <c r="V78" i="18"/>
  <c r="U78" i="18"/>
  <c r="T78" i="18"/>
  <c r="S78" i="18"/>
  <c r="R78" i="18"/>
  <c r="Q78" i="18"/>
  <c r="P78" i="18"/>
  <c r="O78" i="18"/>
  <c r="N78" i="18"/>
  <c r="M78" i="18"/>
  <c r="L78" i="18"/>
  <c r="K78" i="18"/>
  <c r="J78" i="18"/>
  <c r="I78" i="18"/>
  <c r="H78" i="18"/>
  <c r="G78" i="18"/>
  <c r="F78" i="18"/>
  <c r="E78" i="18"/>
  <c r="D78" i="18"/>
  <c r="C78" i="18"/>
  <c r="B78" i="18"/>
  <c r="A78" i="18"/>
  <c r="CU77" i="18"/>
  <c r="CT77" i="18"/>
  <c r="CS77" i="18"/>
  <c r="CR77" i="18"/>
  <c r="CI77" i="18"/>
  <c r="CH77" i="18"/>
  <c r="CG77" i="18"/>
  <c r="CF77" i="18"/>
  <c r="CE77" i="18"/>
  <c r="CD77" i="18"/>
  <c r="CC77" i="18"/>
  <c r="CB77" i="18"/>
  <c r="CA77" i="18"/>
  <c r="BZ77" i="18"/>
  <c r="BY77" i="18"/>
  <c r="AR77" i="18"/>
  <c r="AQ77" i="18"/>
  <c r="AP77" i="18"/>
  <c r="AO77" i="18"/>
  <c r="AN77" i="18"/>
  <c r="AM77" i="18"/>
  <c r="AL77" i="18"/>
  <c r="AK77" i="18"/>
  <c r="AJ77" i="18"/>
  <c r="AI77" i="18"/>
  <c r="AH77" i="18"/>
  <c r="AG77" i="18"/>
  <c r="AF77" i="18"/>
  <c r="AE77" i="18"/>
  <c r="AD77" i="18"/>
  <c r="AC77" i="18"/>
  <c r="AB77" i="18"/>
  <c r="AA77" i="18"/>
  <c r="Z77" i="18"/>
  <c r="Y77" i="18"/>
  <c r="X77" i="18"/>
  <c r="W77" i="18"/>
  <c r="V77" i="18"/>
  <c r="U77" i="18"/>
  <c r="T77" i="18"/>
  <c r="S77" i="18"/>
  <c r="R77" i="18"/>
  <c r="Q77" i="18"/>
  <c r="P77" i="18"/>
  <c r="O77" i="18"/>
  <c r="N77" i="18"/>
  <c r="M77" i="18"/>
  <c r="L77" i="18"/>
  <c r="K77" i="18"/>
  <c r="J77" i="18"/>
  <c r="I77" i="18"/>
  <c r="H77" i="18"/>
  <c r="G77" i="18"/>
  <c r="F77" i="18"/>
  <c r="E77" i="18"/>
  <c r="D77" i="18"/>
  <c r="C77" i="18"/>
  <c r="B77" i="18"/>
  <c r="A77" i="18"/>
  <c r="CU76" i="18"/>
  <c r="CT76" i="18"/>
  <c r="CS76" i="18"/>
  <c r="CR76" i="18"/>
  <c r="CI76" i="18"/>
  <c r="CH76" i="18"/>
  <c r="CG76" i="18"/>
  <c r="CF76" i="18"/>
  <c r="CE76" i="18"/>
  <c r="CD76" i="18"/>
  <c r="CC76" i="18"/>
  <c r="CB76" i="18"/>
  <c r="CA76" i="18"/>
  <c r="BZ76" i="18"/>
  <c r="BY76" i="18"/>
  <c r="AR76" i="18"/>
  <c r="AQ76" i="18"/>
  <c r="AP76" i="18"/>
  <c r="AO76" i="18"/>
  <c r="AN76" i="18"/>
  <c r="AM76" i="18"/>
  <c r="AL76" i="18"/>
  <c r="AK76" i="18"/>
  <c r="AJ76" i="18"/>
  <c r="AI76" i="18"/>
  <c r="AH76" i="18"/>
  <c r="AG76" i="18"/>
  <c r="AF76" i="18"/>
  <c r="AE76" i="18"/>
  <c r="AD76" i="18"/>
  <c r="AC76" i="18"/>
  <c r="AB76" i="18"/>
  <c r="AA76" i="18"/>
  <c r="Z76" i="18"/>
  <c r="Y76" i="18"/>
  <c r="X76" i="18"/>
  <c r="W76" i="18"/>
  <c r="V76" i="18"/>
  <c r="U76" i="18"/>
  <c r="T76" i="18"/>
  <c r="S76" i="18"/>
  <c r="R76" i="18"/>
  <c r="Q76" i="18"/>
  <c r="P76" i="18"/>
  <c r="O76" i="18"/>
  <c r="N76" i="18"/>
  <c r="M76" i="18"/>
  <c r="L76" i="18"/>
  <c r="K76" i="18"/>
  <c r="J76" i="18"/>
  <c r="I76" i="18"/>
  <c r="H76" i="18"/>
  <c r="G76" i="18"/>
  <c r="F76" i="18"/>
  <c r="E76" i="18"/>
  <c r="D76" i="18"/>
  <c r="C76" i="18"/>
  <c r="B76" i="18"/>
  <c r="A76" i="18"/>
  <c r="CU75" i="18"/>
  <c r="CT75" i="18"/>
  <c r="CI75" i="18"/>
  <c r="CH75" i="18"/>
  <c r="CG75" i="18"/>
  <c r="CF75" i="18"/>
  <c r="CE75" i="18"/>
  <c r="CD75" i="18"/>
  <c r="CC75" i="18"/>
  <c r="CB75" i="18"/>
  <c r="CA75" i="18"/>
  <c r="BZ75" i="18"/>
  <c r="BY75" i="18"/>
  <c r="AR75" i="18"/>
  <c r="AQ75" i="18"/>
  <c r="AP75" i="18"/>
  <c r="AO75" i="18"/>
  <c r="AN75" i="18"/>
  <c r="AM75" i="18"/>
  <c r="AL75" i="18"/>
  <c r="AK75" i="18"/>
  <c r="AJ75" i="18"/>
  <c r="AI75" i="18"/>
  <c r="AH75" i="18"/>
  <c r="AG75" i="18"/>
  <c r="AF75" i="18"/>
  <c r="AE75" i="18"/>
  <c r="AD75" i="18"/>
  <c r="AC75" i="18"/>
  <c r="AB75" i="18"/>
  <c r="AA75" i="18"/>
  <c r="Z75" i="18"/>
  <c r="Y75" i="18"/>
  <c r="X75" i="18"/>
  <c r="W75" i="18"/>
  <c r="V75" i="18"/>
  <c r="U75" i="18"/>
  <c r="T75" i="18"/>
  <c r="S75" i="18"/>
  <c r="R75" i="18"/>
  <c r="Q75" i="18"/>
  <c r="P75" i="18"/>
  <c r="O75" i="18"/>
  <c r="N75" i="18"/>
  <c r="M75" i="18"/>
  <c r="L75" i="18"/>
  <c r="K75" i="18"/>
  <c r="J75" i="18"/>
  <c r="I75" i="18"/>
  <c r="H75" i="18"/>
  <c r="G75" i="18"/>
  <c r="F75" i="18"/>
  <c r="E75" i="18"/>
  <c r="D75" i="18"/>
  <c r="C75" i="18"/>
  <c r="B75" i="18"/>
  <c r="A75" i="18"/>
  <c r="CU74" i="18"/>
  <c r="CT74" i="18"/>
  <c r="CS74" i="18"/>
  <c r="CR74" i="18"/>
  <c r="CI74" i="18"/>
  <c r="CH74" i="18"/>
  <c r="CG74" i="18"/>
  <c r="CF74" i="18"/>
  <c r="CE74" i="18"/>
  <c r="CD74" i="18"/>
  <c r="CC74" i="18"/>
  <c r="CB74" i="18"/>
  <c r="CA74" i="18"/>
  <c r="BZ74" i="18"/>
  <c r="BY74" i="18"/>
  <c r="AR74" i="18"/>
  <c r="AQ74" i="18"/>
  <c r="AP74" i="18"/>
  <c r="AO74" i="18"/>
  <c r="AN74" i="18"/>
  <c r="AM74" i="18"/>
  <c r="AL74" i="18"/>
  <c r="AK74" i="18"/>
  <c r="AJ74" i="18"/>
  <c r="AI74" i="18"/>
  <c r="AH74" i="18"/>
  <c r="AG74" i="18"/>
  <c r="AF74" i="18"/>
  <c r="AE74" i="18"/>
  <c r="AD74" i="18"/>
  <c r="AC74" i="18"/>
  <c r="AB74" i="18"/>
  <c r="AA74" i="18"/>
  <c r="Z74" i="18"/>
  <c r="Y74" i="18"/>
  <c r="X74" i="18"/>
  <c r="W74" i="18"/>
  <c r="V74" i="18"/>
  <c r="U74" i="18"/>
  <c r="T74" i="18"/>
  <c r="S74" i="18"/>
  <c r="R74" i="18"/>
  <c r="Q74" i="18"/>
  <c r="P74" i="18"/>
  <c r="O74" i="18"/>
  <c r="N74" i="18"/>
  <c r="M74" i="18"/>
  <c r="L74" i="18"/>
  <c r="K74" i="18"/>
  <c r="J74" i="18"/>
  <c r="I74" i="18"/>
  <c r="H74" i="18"/>
  <c r="G74" i="18"/>
  <c r="F74" i="18"/>
  <c r="E74" i="18"/>
  <c r="D74" i="18"/>
  <c r="C74" i="18"/>
  <c r="B74" i="18"/>
  <c r="A74" i="18"/>
  <c r="CU73" i="18"/>
  <c r="CT73" i="18"/>
  <c r="CI73" i="18"/>
  <c r="CH73" i="18"/>
  <c r="CG73" i="18"/>
  <c r="CF73" i="18"/>
  <c r="CE73" i="18"/>
  <c r="CD73" i="18"/>
  <c r="CC73" i="18"/>
  <c r="CB73" i="18"/>
  <c r="CA73" i="18"/>
  <c r="BZ73" i="18"/>
  <c r="BY73" i="18"/>
  <c r="AR73" i="18"/>
  <c r="AQ73" i="18"/>
  <c r="AP73" i="18"/>
  <c r="AO73" i="18"/>
  <c r="AN73" i="18"/>
  <c r="AM73" i="18"/>
  <c r="AL73" i="18"/>
  <c r="AK73" i="18"/>
  <c r="AJ73" i="18"/>
  <c r="AI73" i="18"/>
  <c r="AH73" i="18"/>
  <c r="AG73" i="18"/>
  <c r="AF73" i="18"/>
  <c r="AE73" i="18"/>
  <c r="AD73" i="18"/>
  <c r="AC73" i="18"/>
  <c r="AB73" i="18"/>
  <c r="AA73" i="18"/>
  <c r="Z73" i="18"/>
  <c r="Y73" i="18"/>
  <c r="X73" i="18"/>
  <c r="W73" i="18"/>
  <c r="V73" i="18"/>
  <c r="U73" i="18"/>
  <c r="T73" i="18"/>
  <c r="S73" i="18"/>
  <c r="R73" i="18"/>
  <c r="Q73" i="18"/>
  <c r="P73" i="18"/>
  <c r="O73" i="18"/>
  <c r="N73" i="18"/>
  <c r="M73" i="18"/>
  <c r="L73" i="18"/>
  <c r="K73" i="18"/>
  <c r="J73" i="18"/>
  <c r="I73" i="18"/>
  <c r="H73" i="18"/>
  <c r="G73" i="18"/>
  <c r="F73" i="18"/>
  <c r="E73" i="18"/>
  <c r="D73" i="18"/>
  <c r="C73" i="18"/>
  <c r="B73" i="18"/>
  <c r="A73" i="18"/>
  <c r="CU72" i="18"/>
  <c r="CT72" i="18"/>
  <c r="CS72" i="18"/>
  <c r="CR72" i="18"/>
  <c r="CI72" i="18"/>
  <c r="CH72" i="18"/>
  <c r="CG72" i="18"/>
  <c r="CF72" i="18"/>
  <c r="CE72" i="18"/>
  <c r="CD72" i="18"/>
  <c r="CC72" i="18"/>
  <c r="CB72" i="18"/>
  <c r="CA72" i="18"/>
  <c r="BZ72" i="18"/>
  <c r="BY72" i="18"/>
  <c r="AR72" i="18"/>
  <c r="AQ72" i="18"/>
  <c r="AP72" i="18"/>
  <c r="AO72" i="18"/>
  <c r="AN72" i="18"/>
  <c r="AM72" i="18"/>
  <c r="AL72" i="18"/>
  <c r="AK72" i="18"/>
  <c r="AJ72" i="18"/>
  <c r="AI72" i="18"/>
  <c r="AH72" i="18"/>
  <c r="AG72" i="18"/>
  <c r="AF72" i="18"/>
  <c r="AE72" i="18"/>
  <c r="AD72" i="18"/>
  <c r="AC72" i="18"/>
  <c r="AB72" i="18"/>
  <c r="AA72" i="18"/>
  <c r="Z72" i="18"/>
  <c r="Y72" i="18"/>
  <c r="X72" i="18"/>
  <c r="W72" i="18"/>
  <c r="V72" i="18"/>
  <c r="U72" i="18"/>
  <c r="T72" i="18"/>
  <c r="S72" i="18"/>
  <c r="R72" i="18"/>
  <c r="Q72" i="18"/>
  <c r="P72" i="18"/>
  <c r="O72" i="18"/>
  <c r="N72" i="18"/>
  <c r="M72" i="18"/>
  <c r="L72" i="18"/>
  <c r="K72" i="18"/>
  <c r="J72" i="18"/>
  <c r="I72" i="18"/>
  <c r="H72" i="18"/>
  <c r="G72" i="18"/>
  <c r="F72" i="18"/>
  <c r="E72" i="18"/>
  <c r="D72" i="18"/>
  <c r="C72" i="18"/>
  <c r="B72" i="18"/>
  <c r="A72" i="18"/>
  <c r="CU71" i="18"/>
  <c r="CT71" i="18"/>
  <c r="CS71" i="18"/>
  <c r="CR71" i="18"/>
  <c r="CI71" i="18"/>
  <c r="CH71" i="18"/>
  <c r="CG71" i="18"/>
  <c r="CF71" i="18"/>
  <c r="CE71" i="18"/>
  <c r="CD71" i="18"/>
  <c r="CC71" i="18"/>
  <c r="CB71" i="18"/>
  <c r="CA71" i="18"/>
  <c r="BZ71" i="18"/>
  <c r="BY71" i="18"/>
  <c r="AR71" i="18"/>
  <c r="AQ71" i="18"/>
  <c r="AP71" i="18"/>
  <c r="AO71" i="18"/>
  <c r="AN71" i="18"/>
  <c r="AM71" i="18"/>
  <c r="AL71" i="18"/>
  <c r="AK71" i="18"/>
  <c r="AJ71" i="18"/>
  <c r="AI71" i="18"/>
  <c r="AH71" i="18"/>
  <c r="AG71" i="18"/>
  <c r="AF71" i="18"/>
  <c r="AE71" i="18"/>
  <c r="AD71" i="18"/>
  <c r="AC71" i="18"/>
  <c r="AB71" i="18"/>
  <c r="AA71" i="18"/>
  <c r="Z71" i="18"/>
  <c r="Y71" i="18"/>
  <c r="X71" i="18"/>
  <c r="W71" i="18"/>
  <c r="V71" i="18"/>
  <c r="U71" i="18"/>
  <c r="T71" i="18"/>
  <c r="S71" i="18"/>
  <c r="R71" i="18"/>
  <c r="Q71" i="18"/>
  <c r="P71" i="18"/>
  <c r="O71" i="18"/>
  <c r="N71" i="18"/>
  <c r="M71" i="18"/>
  <c r="L71" i="18"/>
  <c r="K71" i="18"/>
  <c r="J71" i="18"/>
  <c r="I71" i="18"/>
  <c r="H71" i="18"/>
  <c r="G71" i="18"/>
  <c r="F71" i="18"/>
  <c r="E71" i="18"/>
  <c r="D71" i="18"/>
  <c r="C71" i="18"/>
  <c r="B71" i="18"/>
  <c r="A71" i="18"/>
  <c r="CU70" i="18"/>
  <c r="CT70" i="18"/>
  <c r="CI70" i="18"/>
  <c r="CH70" i="18"/>
  <c r="CG70" i="18"/>
  <c r="CF70" i="18"/>
  <c r="CE70" i="18"/>
  <c r="CD70" i="18"/>
  <c r="CC70" i="18"/>
  <c r="CB70" i="18"/>
  <c r="CA70" i="18"/>
  <c r="BZ70" i="18"/>
  <c r="BY70" i="18"/>
  <c r="AR70" i="18"/>
  <c r="AQ70" i="18"/>
  <c r="AP70" i="18"/>
  <c r="AO70" i="18"/>
  <c r="AN70" i="18"/>
  <c r="AM70" i="18"/>
  <c r="AL70" i="18"/>
  <c r="AK70" i="18"/>
  <c r="AJ70" i="18"/>
  <c r="AI70" i="18"/>
  <c r="AH70" i="18"/>
  <c r="AG70" i="18"/>
  <c r="AF70" i="18"/>
  <c r="AE70" i="18"/>
  <c r="AD70" i="18"/>
  <c r="AC70" i="18"/>
  <c r="AB70" i="18"/>
  <c r="AA70" i="18"/>
  <c r="Z70" i="18"/>
  <c r="Y70" i="18"/>
  <c r="X70" i="18"/>
  <c r="W70" i="18"/>
  <c r="V70" i="18"/>
  <c r="U70" i="18"/>
  <c r="T70" i="18"/>
  <c r="S70" i="18"/>
  <c r="R70" i="18"/>
  <c r="Q70" i="18"/>
  <c r="P70" i="18"/>
  <c r="O70" i="18"/>
  <c r="N70" i="18"/>
  <c r="M70" i="18"/>
  <c r="L70" i="18"/>
  <c r="K70" i="18"/>
  <c r="J70" i="18"/>
  <c r="I70" i="18"/>
  <c r="H70" i="18"/>
  <c r="G70" i="18"/>
  <c r="F70" i="18"/>
  <c r="E70" i="18"/>
  <c r="D70" i="18"/>
  <c r="C70" i="18"/>
  <c r="B70" i="18"/>
  <c r="A70" i="18"/>
  <c r="CU69" i="18"/>
  <c r="CT69" i="18"/>
  <c r="CS69" i="18"/>
  <c r="CR69" i="18"/>
  <c r="CQ69" i="18"/>
  <c r="CP69" i="18"/>
  <c r="CO69" i="18"/>
  <c r="CN69" i="18"/>
  <c r="CM69" i="18"/>
  <c r="CL69" i="18"/>
  <c r="CK69" i="18"/>
  <c r="CJ69" i="18"/>
  <c r="CI69" i="18"/>
  <c r="CH69" i="18"/>
  <c r="CG69" i="18"/>
  <c r="CF69" i="18"/>
  <c r="CE69" i="18"/>
  <c r="CD69" i="18"/>
  <c r="CC69" i="18"/>
  <c r="CB69" i="18"/>
  <c r="CA69" i="18"/>
  <c r="BZ69" i="18"/>
  <c r="BY69" i="18"/>
  <c r="BX69" i="18"/>
  <c r="BW69" i="18"/>
  <c r="BV69" i="18"/>
  <c r="BU69" i="18"/>
  <c r="BT69" i="18"/>
  <c r="BS69" i="18"/>
  <c r="BR69" i="18"/>
  <c r="BQ69" i="18"/>
  <c r="BP69" i="18"/>
  <c r="BO69" i="18"/>
  <c r="BN69" i="18"/>
  <c r="BM69" i="18"/>
  <c r="BL69" i="18"/>
  <c r="BK69" i="18"/>
  <c r="BJ69" i="18"/>
  <c r="BI69" i="18"/>
  <c r="BH69" i="18"/>
  <c r="BG69" i="18"/>
  <c r="BF69" i="18"/>
  <c r="BE69" i="18"/>
  <c r="BD69" i="18"/>
  <c r="BC69" i="18"/>
  <c r="BB69" i="18"/>
  <c r="BA69" i="18"/>
  <c r="AZ69" i="18"/>
  <c r="AY69" i="18"/>
  <c r="AX69" i="18"/>
  <c r="AW69" i="18"/>
  <c r="AV69" i="18"/>
  <c r="AU69" i="18"/>
  <c r="AT69" i="18"/>
  <c r="AS69" i="18"/>
  <c r="AR69" i="18"/>
  <c r="AQ69" i="18"/>
  <c r="AP69" i="18"/>
  <c r="AO69" i="18"/>
  <c r="AN69" i="18"/>
  <c r="AM69" i="18"/>
  <c r="AL69" i="18"/>
  <c r="AK69" i="18"/>
  <c r="AJ69" i="18"/>
  <c r="AI69" i="18"/>
  <c r="AH69" i="18"/>
  <c r="AG69" i="18"/>
  <c r="AF69" i="18"/>
  <c r="AE69" i="18"/>
  <c r="AD69" i="18"/>
  <c r="AC69" i="18"/>
  <c r="AB69" i="18"/>
  <c r="AA69" i="18"/>
  <c r="Z69" i="18"/>
  <c r="Y69" i="18"/>
  <c r="X69" i="18"/>
  <c r="W69" i="18"/>
  <c r="V69" i="18"/>
  <c r="U69" i="18"/>
  <c r="T69" i="18"/>
  <c r="S69" i="18"/>
  <c r="R69" i="18"/>
  <c r="Q69" i="18"/>
  <c r="P69" i="18"/>
  <c r="O69" i="18"/>
  <c r="N69" i="18"/>
  <c r="M69" i="18"/>
  <c r="L69" i="18"/>
  <c r="K69" i="18"/>
  <c r="J69" i="18"/>
  <c r="I69" i="18"/>
  <c r="H69" i="18"/>
  <c r="G69" i="18"/>
  <c r="F69" i="18"/>
  <c r="E69" i="18"/>
  <c r="D69" i="18"/>
  <c r="C69" i="18"/>
  <c r="B69" i="18"/>
  <c r="A69" i="18"/>
  <c r="CI63" i="18"/>
  <c r="CH63" i="18"/>
  <c r="CG63" i="18"/>
  <c r="CF63" i="18"/>
  <c r="CE63" i="18"/>
  <c r="CD63" i="18"/>
  <c r="CC63" i="18"/>
  <c r="CB63" i="18"/>
  <c r="CA63" i="18"/>
  <c r="BZ63" i="18"/>
  <c r="BY63" i="18"/>
  <c r="AR63" i="18"/>
  <c r="AQ63" i="18"/>
  <c r="AP63" i="18"/>
  <c r="AO63" i="18"/>
  <c r="AN63" i="18"/>
  <c r="AM63" i="18"/>
  <c r="AL63" i="18"/>
  <c r="AK63" i="18"/>
  <c r="AJ63" i="18"/>
  <c r="AI63" i="18"/>
  <c r="AH63" i="18"/>
  <c r="AG63" i="18"/>
  <c r="AF63" i="18"/>
  <c r="AE63" i="18"/>
  <c r="AD63" i="18"/>
  <c r="AC63" i="18"/>
  <c r="AB63" i="18"/>
  <c r="AA63" i="18"/>
  <c r="Z63" i="18"/>
  <c r="Y63" i="18"/>
  <c r="X63" i="18"/>
  <c r="W63" i="18"/>
  <c r="V63" i="18"/>
  <c r="U63" i="18"/>
  <c r="T63" i="18"/>
  <c r="S63" i="18"/>
  <c r="R63" i="18"/>
  <c r="Q63" i="18"/>
  <c r="P63" i="18"/>
  <c r="O63" i="18"/>
  <c r="N63" i="18"/>
  <c r="M63" i="18"/>
  <c r="L63" i="18"/>
  <c r="K63" i="18"/>
  <c r="J63" i="18"/>
  <c r="I63" i="18"/>
  <c r="H63" i="18"/>
  <c r="G63" i="18"/>
  <c r="F63" i="18"/>
  <c r="E63" i="18"/>
  <c r="D63" i="18"/>
  <c r="C63" i="18"/>
  <c r="B63" i="18"/>
  <c r="A63" i="18"/>
  <c r="CZ62" i="18"/>
  <c r="CY62" i="18"/>
  <c r="CX62" i="18"/>
  <c r="CW62" i="18"/>
  <c r="CV62" i="18"/>
  <c r="CU62" i="18"/>
  <c r="CT62" i="18"/>
  <c r="CS62" i="18"/>
  <c r="CR62" i="18"/>
  <c r="CQ62" i="18"/>
  <c r="CP62" i="18"/>
  <c r="CO62" i="18"/>
  <c r="CN62" i="18"/>
  <c r="CM62" i="18"/>
  <c r="CL62" i="18"/>
  <c r="CK62" i="18"/>
  <c r="CJ62" i="18"/>
  <c r="CI62" i="18"/>
  <c r="CH62" i="18"/>
  <c r="CG62" i="18"/>
  <c r="CF62" i="18"/>
  <c r="CE62" i="18"/>
  <c r="CD62" i="18"/>
  <c r="CC62" i="18"/>
  <c r="CB62" i="18"/>
  <c r="CA62" i="18"/>
  <c r="BZ62" i="18"/>
  <c r="BY62" i="18"/>
  <c r="BX62" i="18"/>
  <c r="BW62" i="18"/>
  <c r="BV62" i="18"/>
  <c r="BU62" i="18"/>
  <c r="BT62" i="18"/>
  <c r="BS62" i="18"/>
  <c r="BR62" i="18"/>
  <c r="BQ62" i="18"/>
  <c r="BP62" i="18"/>
  <c r="BO62" i="18"/>
  <c r="BN62" i="18"/>
  <c r="BM62" i="18"/>
  <c r="BL62" i="18"/>
  <c r="BK62" i="18"/>
  <c r="BJ62" i="18"/>
  <c r="BI62" i="18"/>
  <c r="BH62" i="18"/>
  <c r="BG62" i="18"/>
  <c r="BF62" i="18"/>
  <c r="BE62" i="18"/>
  <c r="BD62" i="18"/>
  <c r="BC62" i="18"/>
  <c r="BB62" i="18"/>
  <c r="BA62" i="18"/>
  <c r="AZ62" i="18"/>
  <c r="AY62" i="18"/>
  <c r="AX62" i="18"/>
  <c r="AW62" i="18"/>
  <c r="AV62" i="18"/>
  <c r="AU62" i="18"/>
  <c r="AT62" i="18"/>
  <c r="AS62" i="18"/>
  <c r="AR62" i="18"/>
  <c r="AQ62" i="18"/>
  <c r="AP62" i="18"/>
  <c r="AO62" i="18"/>
  <c r="AN62" i="18"/>
  <c r="AM62" i="18"/>
  <c r="AL62" i="18"/>
  <c r="AK62" i="18"/>
  <c r="AJ62" i="18"/>
  <c r="AI62" i="18"/>
  <c r="AH62" i="18"/>
  <c r="AG62" i="18"/>
  <c r="AF62" i="18"/>
  <c r="AE62" i="18"/>
  <c r="AD62" i="18"/>
  <c r="AC62" i="18"/>
  <c r="AB62" i="18"/>
  <c r="AA62" i="18"/>
  <c r="Z62" i="18"/>
  <c r="Y62" i="18"/>
  <c r="X62" i="18"/>
  <c r="W62" i="18"/>
  <c r="V62" i="18"/>
  <c r="U62" i="18"/>
  <c r="T62" i="18"/>
  <c r="S62" i="18"/>
  <c r="R62" i="18"/>
  <c r="Q62" i="18"/>
  <c r="P62" i="18"/>
  <c r="O62" i="18"/>
  <c r="N62" i="18"/>
  <c r="M62" i="18"/>
  <c r="L62" i="18"/>
  <c r="K62" i="18"/>
  <c r="J62" i="18"/>
  <c r="I62" i="18"/>
  <c r="H62" i="18"/>
  <c r="G62" i="18"/>
  <c r="F62" i="18"/>
  <c r="E62" i="18"/>
  <c r="D62" i="18"/>
  <c r="C62" i="18"/>
  <c r="B62" i="18"/>
  <c r="A62" i="18"/>
  <c r="CZ61" i="18"/>
  <c r="CY61" i="18"/>
  <c r="CI61" i="18"/>
  <c r="CH61" i="18"/>
  <c r="CG61" i="18"/>
  <c r="CF61" i="18"/>
  <c r="CE61" i="18"/>
  <c r="CD61" i="18"/>
  <c r="CC61" i="18"/>
  <c r="CB61" i="18"/>
  <c r="CA61" i="18"/>
  <c r="BZ61" i="18"/>
  <c r="BY61" i="18"/>
  <c r="AR61" i="18"/>
  <c r="AQ61" i="18"/>
  <c r="AP61" i="18"/>
  <c r="AO61" i="18"/>
  <c r="AN61" i="18"/>
  <c r="AM61" i="18"/>
  <c r="AL61" i="18"/>
  <c r="AK61" i="18"/>
  <c r="AJ61" i="18"/>
  <c r="AI61" i="18"/>
  <c r="AH61" i="18"/>
  <c r="AG61" i="18"/>
  <c r="AF61" i="18"/>
  <c r="AE61" i="18"/>
  <c r="AD61" i="18"/>
  <c r="AC61" i="18"/>
  <c r="AB61" i="18"/>
  <c r="AA61" i="18"/>
  <c r="Z61" i="18"/>
  <c r="Y61" i="18"/>
  <c r="X61" i="18"/>
  <c r="W61" i="18"/>
  <c r="V61" i="18"/>
  <c r="U61" i="18"/>
  <c r="T61" i="18"/>
  <c r="S61" i="18"/>
  <c r="R61" i="18"/>
  <c r="Q61" i="18"/>
  <c r="P61" i="18"/>
  <c r="O61" i="18"/>
  <c r="N61" i="18"/>
  <c r="M61" i="18"/>
  <c r="L61" i="18"/>
  <c r="K61" i="18"/>
  <c r="J61" i="18"/>
  <c r="I61" i="18"/>
  <c r="H61" i="18"/>
  <c r="G61" i="18"/>
  <c r="F61" i="18"/>
  <c r="E61" i="18"/>
  <c r="D61" i="18"/>
  <c r="C61" i="18"/>
  <c r="B61" i="18"/>
  <c r="A61" i="18"/>
  <c r="CI60" i="18"/>
  <c r="CH60" i="18"/>
  <c r="CG60" i="18"/>
  <c r="CF60" i="18"/>
  <c r="CE60" i="18"/>
  <c r="CD60" i="18"/>
  <c r="CC60" i="18"/>
  <c r="CB60" i="18"/>
  <c r="CA60" i="18"/>
  <c r="BZ60" i="18"/>
  <c r="BY60" i="18"/>
  <c r="AR60" i="18"/>
  <c r="AQ60" i="18"/>
  <c r="AP60" i="18"/>
  <c r="AO60" i="18"/>
  <c r="AN60" i="18"/>
  <c r="AM60" i="18"/>
  <c r="AL60" i="18"/>
  <c r="AK60" i="18"/>
  <c r="AJ60" i="18"/>
  <c r="AI60" i="18"/>
  <c r="AH60" i="18"/>
  <c r="AG60" i="18"/>
  <c r="AF60" i="18"/>
  <c r="AE60" i="18"/>
  <c r="AD60" i="18"/>
  <c r="AC60" i="18"/>
  <c r="AB60" i="18"/>
  <c r="AA60" i="18"/>
  <c r="Z60" i="18"/>
  <c r="Y60" i="18"/>
  <c r="X60" i="18"/>
  <c r="W60" i="18"/>
  <c r="V60" i="18"/>
  <c r="U60" i="18"/>
  <c r="T60" i="18"/>
  <c r="S60" i="18"/>
  <c r="R60" i="18"/>
  <c r="Q60" i="18"/>
  <c r="P60" i="18"/>
  <c r="O60" i="18"/>
  <c r="N60" i="18"/>
  <c r="M60" i="18"/>
  <c r="L60" i="18"/>
  <c r="K60" i="18"/>
  <c r="J60" i="18"/>
  <c r="I60" i="18"/>
  <c r="H60" i="18"/>
  <c r="G60" i="18"/>
  <c r="F60" i="18"/>
  <c r="E60" i="18"/>
  <c r="D60" i="18"/>
  <c r="C60" i="18"/>
  <c r="B60" i="18"/>
  <c r="A60" i="18"/>
  <c r="CZ59" i="18"/>
  <c r="CY59" i="18"/>
  <c r="CX59" i="18"/>
  <c r="CW59" i="18"/>
  <c r="CV59" i="18"/>
  <c r="CU59" i="18"/>
  <c r="CT59" i="18"/>
  <c r="CS59" i="18"/>
  <c r="CR59" i="18"/>
  <c r="CQ59" i="18"/>
  <c r="CP59" i="18"/>
  <c r="CO59" i="18"/>
  <c r="CN59" i="18"/>
  <c r="CM59" i="18"/>
  <c r="CL59" i="18"/>
  <c r="CK59" i="18"/>
  <c r="CJ59" i="18"/>
  <c r="CI59" i="18"/>
  <c r="CH59" i="18"/>
  <c r="CG59" i="18"/>
  <c r="CF59" i="18"/>
  <c r="CE59" i="18"/>
  <c r="CD59" i="18"/>
  <c r="CC59" i="18"/>
  <c r="CB59" i="18"/>
  <c r="CA59" i="18"/>
  <c r="BZ59" i="18"/>
  <c r="BY59" i="18"/>
  <c r="BX59" i="18"/>
  <c r="BW59" i="18"/>
  <c r="BV59" i="18"/>
  <c r="BU59" i="18"/>
  <c r="BT59" i="18"/>
  <c r="BS59" i="18"/>
  <c r="BR59" i="18"/>
  <c r="BQ59" i="18"/>
  <c r="BP59" i="18"/>
  <c r="BO59" i="18"/>
  <c r="BN59" i="18"/>
  <c r="BM59" i="18"/>
  <c r="BL59" i="18"/>
  <c r="BK59" i="18"/>
  <c r="BJ59" i="18"/>
  <c r="BI59" i="18"/>
  <c r="BH59" i="18"/>
  <c r="BG59" i="18"/>
  <c r="BF59" i="18"/>
  <c r="BE59" i="18"/>
  <c r="BD59" i="18"/>
  <c r="BC59" i="18"/>
  <c r="BB59" i="18"/>
  <c r="BA59" i="18"/>
  <c r="AZ59" i="18"/>
  <c r="AY59" i="18"/>
  <c r="AX59" i="18"/>
  <c r="AW59" i="18"/>
  <c r="AV59" i="18"/>
  <c r="AU59" i="18"/>
  <c r="AT59" i="18"/>
  <c r="AS59" i="18"/>
  <c r="AR59" i="18"/>
  <c r="AQ59" i="18"/>
  <c r="AP59" i="18"/>
  <c r="AO59" i="18"/>
  <c r="AN59" i="18"/>
  <c r="AM59" i="18"/>
  <c r="AL59" i="18"/>
  <c r="AK59" i="18"/>
  <c r="AJ59" i="18"/>
  <c r="AI59" i="18"/>
  <c r="AH59" i="18"/>
  <c r="AG59" i="18"/>
  <c r="AF59" i="18"/>
  <c r="AE59" i="18"/>
  <c r="AD59" i="18"/>
  <c r="AC59" i="18"/>
  <c r="AB59" i="18"/>
  <c r="AA59" i="18"/>
  <c r="Z59" i="18"/>
  <c r="Y59" i="18"/>
  <c r="X59" i="18"/>
  <c r="W59" i="18"/>
  <c r="V59" i="18"/>
  <c r="U59" i="18"/>
  <c r="T59" i="18"/>
  <c r="S59" i="18"/>
  <c r="R59" i="18"/>
  <c r="Q59" i="18"/>
  <c r="P59" i="18"/>
  <c r="O59" i="18"/>
  <c r="N59" i="18"/>
  <c r="M59" i="18"/>
  <c r="L59" i="18"/>
  <c r="K59" i="18"/>
  <c r="J59" i="18"/>
  <c r="I59" i="18"/>
  <c r="H59" i="18"/>
  <c r="G59" i="18"/>
  <c r="F59" i="18"/>
  <c r="E59" i="18"/>
  <c r="D59" i="18"/>
  <c r="C59" i="18"/>
  <c r="B59" i="18"/>
  <c r="A59" i="18"/>
  <c r="CI58" i="18"/>
  <c r="CH58" i="18"/>
  <c r="CG58" i="18"/>
  <c r="CF58" i="18"/>
  <c r="CE58" i="18"/>
  <c r="CD58" i="18"/>
  <c r="CC58" i="18"/>
  <c r="CB58" i="18"/>
  <c r="CA58" i="18"/>
  <c r="BZ58" i="18"/>
  <c r="BY58" i="18"/>
  <c r="AR58" i="18"/>
  <c r="AQ58" i="18"/>
  <c r="AP58" i="18"/>
  <c r="AO58" i="18"/>
  <c r="AN58" i="18"/>
  <c r="AM58" i="18"/>
  <c r="AL58" i="18"/>
  <c r="AK58" i="18"/>
  <c r="AJ58" i="18"/>
  <c r="AI58" i="18"/>
  <c r="AH58" i="18"/>
  <c r="AG58" i="18"/>
  <c r="AF58" i="18"/>
  <c r="AE58" i="18"/>
  <c r="AD58" i="18"/>
  <c r="AC58" i="18"/>
  <c r="AB58" i="18"/>
  <c r="AA58" i="18"/>
  <c r="Z58" i="18"/>
  <c r="Y58" i="18"/>
  <c r="X58" i="18"/>
  <c r="W58" i="18"/>
  <c r="V58" i="18"/>
  <c r="U58" i="18"/>
  <c r="T58" i="18"/>
  <c r="S58" i="18"/>
  <c r="R58" i="18"/>
  <c r="Q58" i="18"/>
  <c r="P58" i="18"/>
  <c r="O58" i="18"/>
  <c r="N58" i="18"/>
  <c r="M58" i="18"/>
  <c r="L58" i="18"/>
  <c r="K58" i="18"/>
  <c r="J58" i="18"/>
  <c r="I58" i="18"/>
  <c r="H58" i="18"/>
  <c r="G58" i="18"/>
  <c r="F58" i="18"/>
  <c r="E58" i="18"/>
  <c r="D58" i="18"/>
  <c r="C58" i="18"/>
  <c r="B58" i="18"/>
  <c r="A58" i="18"/>
  <c r="CN57" i="18"/>
  <c r="CI57" i="18"/>
  <c r="CH57" i="18"/>
  <c r="CG57" i="18"/>
  <c r="CF57" i="18"/>
  <c r="CE57" i="18"/>
  <c r="CD57" i="18"/>
  <c r="CC57" i="18"/>
  <c r="CB57" i="18"/>
  <c r="CA57" i="18"/>
  <c r="BZ57" i="18"/>
  <c r="BY57" i="18"/>
  <c r="BT57" i="18"/>
  <c r="BS57" i="18"/>
  <c r="BR57" i="18"/>
  <c r="BQ57" i="18"/>
  <c r="BP57" i="18"/>
  <c r="BO57" i="18"/>
  <c r="BN57" i="18"/>
  <c r="BM57" i="18"/>
  <c r="BL57" i="18"/>
  <c r="BK57" i="18"/>
  <c r="BJ57" i="18"/>
  <c r="BI57" i="18"/>
  <c r="BH57" i="18"/>
  <c r="BG57" i="18"/>
  <c r="BF57" i="18"/>
  <c r="BE57" i="18"/>
  <c r="BD57" i="18"/>
  <c r="BC57" i="18"/>
  <c r="BB57" i="18"/>
  <c r="BA57" i="18"/>
  <c r="AZ57" i="18"/>
  <c r="AY57" i="18"/>
  <c r="AX57" i="18"/>
  <c r="AW57" i="18"/>
  <c r="AV57" i="18"/>
  <c r="AU57" i="18"/>
  <c r="AT57" i="18"/>
  <c r="AS57" i="18"/>
  <c r="AR57" i="18"/>
  <c r="AQ57" i="18"/>
  <c r="AP57" i="18"/>
  <c r="AO57" i="18"/>
  <c r="AN57" i="18"/>
  <c r="AM57" i="18"/>
  <c r="AL57" i="18"/>
  <c r="AK57" i="18"/>
  <c r="AJ57" i="18"/>
  <c r="AI57" i="18"/>
  <c r="AH57" i="18"/>
  <c r="AG57" i="18"/>
  <c r="AF57" i="18"/>
  <c r="AE57" i="18"/>
  <c r="AD57" i="18"/>
  <c r="AC57" i="18"/>
  <c r="AB57" i="18"/>
  <c r="AA57" i="18"/>
  <c r="Z57" i="18"/>
  <c r="Y57" i="18"/>
  <c r="X57" i="18"/>
  <c r="W57" i="18"/>
  <c r="V57" i="18"/>
  <c r="U57" i="18"/>
  <c r="T57" i="18"/>
  <c r="S57" i="18"/>
  <c r="R57" i="18"/>
  <c r="Q57" i="18"/>
  <c r="P57" i="18"/>
  <c r="O57" i="18"/>
  <c r="N57" i="18"/>
  <c r="M57" i="18"/>
  <c r="L57" i="18"/>
  <c r="K57" i="18"/>
  <c r="J57" i="18"/>
  <c r="I57" i="18"/>
  <c r="H57" i="18"/>
  <c r="G57" i="18"/>
  <c r="F57" i="18"/>
  <c r="E57" i="18"/>
  <c r="D57" i="18"/>
  <c r="C57" i="18"/>
  <c r="B57" i="18"/>
  <c r="A57" i="18"/>
  <c r="CI56" i="18"/>
  <c r="CH56" i="18"/>
  <c r="CG56" i="18"/>
  <c r="CF56" i="18"/>
  <c r="CE56" i="18"/>
  <c r="CD56" i="18"/>
  <c r="CC56" i="18"/>
  <c r="CB56" i="18"/>
  <c r="CA56" i="18"/>
  <c r="BZ56" i="18"/>
  <c r="BY56" i="18"/>
  <c r="BT56" i="18"/>
  <c r="BS56" i="18"/>
  <c r="BR56" i="18"/>
  <c r="BQ56" i="18"/>
  <c r="BP56" i="18"/>
  <c r="BO56" i="18"/>
  <c r="BN56" i="18"/>
  <c r="BM56" i="18"/>
  <c r="BL56" i="18"/>
  <c r="BK56" i="18"/>
  <c r="BJ56" i="18"/>
  <c r="BI56" i="18"/>
  <c r="BH56" i="18"/>
  <c r="BG56" i="18"/>
  <c r="BF56" i="18"/>
  <c r="BE56" i="18"/>
  <c r="BD56" i="18"/>
  <c r="BC56" i="18"/>
  <c r="BB56" i="18"/>
  <c r="BA56" i="18"/>
  <c r="AZ56" i="18"/>
  <c r="AY56" i="18"/>
  <c r="AX56" i="18"/>
  <c r="AW56" i="18"/>
  <c r="AV56" i="18"/>
  <c r="AU56" i="18"/>
  <c r="AT56" i="18"/>
  <c r="AS56" i="18"/>
  <c r="AR56" i="18"/>
  <c r="AQ56" i="18"/>
  <c r="AP56" i="18"/>
  <c r="AO56" i="18"/>
  <c r="AN56" i="18"/>
  <c r="AM56" i="18"/>
  <c r="AL56" i="18"/>
  <c r="AK56" i="18"/>
  <c r="AJ56" i="18"/>
  <c r="AI56" i="18"/>
  <c r="AH56" i="18"/>
  <c r="AG56" i="18"/>
  <c r="AF56" i="18"/>
  <c r="AE56" i="18"/>
  <c r="AD56" i="18"/>
  <c r="AC56" i="18"/>
  <c r="AB56" i="18"/>
  <c r="AA56" i="18"/>
  <c r="Z56" i="18"/>
  <c r="Y56" i="18"/>
  <c r="X56" i="18"/>
  <c r="W56" i="18"/>
  <c r="V56" i="18"/>
  <c r="U56" i="18"/>
  <c r="T56" i="18"/>
  <c r="S56" i="18"/>
  <c r="R56" i="18"/>
  <c r="Q56" i="18"/>
  <c r="P56" i="18"/>
  <c r="O56" i="18"/>
  <c r="N56" i="18"/>
  <c r="M56" i="18"/>
  <c r="L56" i="18"/>
  <c r="K56" i="18"/>
  <c r="J56" i="18"/>
  <c r="I56" i="18"/>
  <c r="H56" i="18"/>
  <c r="G56" i="18"/>
  <c r="F56" i="18"/>
  <c r="E56" i="18"/>
  <c r="D56" i="18"/>
  <c r="C56" i="18"/>
  <c r="B56" i="18"/>
  <c r="A56" i="18"/>
  <c r="CI55" i="18"/>
  <c r="CH55" i="18"/>
  <c r="CG55" i="18"/>
  <c r="CF55" i="18"/>
  <c r="CE55" i="18"/>
  <c r="CD55" i="18"/>
  <c r="CC55" i="18"/>
  <c r="CB55" i="18"/>
  <c r="CA55" i="18"/>
  <c r="BZ55" i="18"/>
  <c r="BY55" i="18"/>
  <c r="BT55" i="18"/>
  <c r="BS55" i="18"/>
  <c r="BR55" i="18"/>
  <c r="BQ55" i="18"/>
  <c r="BP55" i="18"/>
  <c r="BO55" i="18"/>
  <c r="BN55" i="18"/>
  <c r="BM55" i="18"/>
  <c r="BL55" i="18"/>
  <c r="BK55" i="18"/>
  <c r="BJ55" i="18"/>
  <c r="BI55" i="18"/>
  <c r="BH55" i="18"/>
  <c r="BG55" i="18"/>
  <c r="BF55" i="18"/>
  <c r="BE55" i="18"/>
  <c r="BD55" i="18"/>
  <c r="BC55" i="18"/>
  <c r="BB55" i="18"/>
  <c r="BA55" i="18"/>
  <c r="AZ55" i="18"/>
  <c r="AY55" i="18"/>
  <c r="AX55" i="18"/>
  <c r="AW55" i="18"/>
  <c r="AV55" i="18"/>
  <c r="AU55" i="18"/>
  <c r="AT55" i="18"/>
  <c r="AS55" i="18"/>
  <c r="AR55" i="18"/>
  <c r="AQ55" i="18"/>
  <c r="AP55" i="18"/>
  <c r="AO55" i="18"/>
  <c r="AN55" i="18"/>
  <c r="AM55" i="18"/>
  <c r="AL55" i="18"/>
  <c r="AK55" i="18"/>
  <c r="AJ55" i="18"/>
  <c r="AI55" i="18"/>
  <c r="AH55" i="18"/>
  <c r="AG55" i="18"/>
  <c r="AF55" i="18"/>
  <c r="AE55" i="18"/>
  <c r="AD55" i="18"/>
  <c r="AC55" i="18"/>
  <c r="AB55" i="18"/>
  <c r="AA55" i="18"/>
  <c r="Z55" i="18"/>
  <c r="Y55" i="18"/>
  <c r="X55" i="18"/>
  <c r="W55" i="18"/>
  <c r="V55" i="18"/>
  <c r="U55" i="18"/>
  <c r="T55" i="18"/>
  <c r="S55" i="18"/>
  <c r="R55" i="18"/>
  <c r="Q55" i="18"/>
  <c r="P55" i="18"/>
  <c r="O55" i="18"/>
  <c r="N55" i="18"/>
  <c r="M55" i="18"/>
  <c r="L55" i="18"/>
  <c r="K55" i="18"/>
  <c r="J55" i="18"/>
  <c r="I55" i="18"/>
  <c r="H55" i="18"/>
  <c r="G55" i="18"/>
  <c r="F55" i="18"/>
  <c r="E55" i="18"/>
  <c r="D55" i="18"/>
  <c r="C55" i="18"/>
  <c r="B55" i="18"/>
  <c r="A55" i="18"/>
  <c r="CI54" i="18"/>
  <c r="CH54" i="18"/>
  <c r="CG54" i="18"/>
  <c r="CF54" i="18"/>
  <c r="CE54" i="18"/>
  <c r="CD54" i="18"/>
  <c r="CC54" i="18"/>
  <c r="CB54" i="18"/>
  <c r="CA54" i="18"/>
  <c r="BZ54" i="18"/>
  <c r="BY54" i="18"/>
  <c r="BT54" i="18"/>
  <c r="BS54" i="18"/>
  <c r="BR54" i="18"/>
  <c r="BQ54" i="18"/>
  <c r="BP54" i="18"/>
  <c r="BO54" i="18"/>
  <c r="BN54" i="18"/>
  <c r="BM54" i="18"/>
  <c r="BL54" i="18"/>
  <c r="BK54" i="18"/>
  <c r="BJ54" i="18"/>
  <c r="BI54" i="18"/>
  <c r="BH54" i="18"/>
  <c r="BG54" i="18"/>
  <c r="BF54" i="18"/>
  <c r="BE54" i="18"/>
  <c r="BD54" i="18"/>
  <c r="BC54" i="18"/>
  <c r="BB54" i="18"/>
  <c r="BA54" i="18"/>
  <c r="AZ54" i="18"/>
  <c r="AY54" i="18"/>
  <c r="AX54" i="18"/>
  <c r="AW54" i="18"/>
  <c r="AV54" i="18"/>
  <c r="AU54" i="18"/>
  <c r="AT54" i="18"/>
  <c r="AS54" i="18"/>
  <c r="AR54" i="18"/>
  <c r="AQ54" i="18"/>
  <c r="AP54" i="18"/>
  <c r="AO54" i="18"/>
  <c r="AN54" i="18"/>
  <c r="AM54" i="18"/>
  <c r="AL54" i="18"/>
  <c r="AK54" i="18"/>
  <c r="AJ54" i="18"/>
  <c r="AI54" i="18"/>
  <c r="AH54" i="18"/>
  <c r="AG54" i="18"/>
  <c r="AF54" i="18"/>
  <c r="AE54" i="18"/>
  <c r="AD54" i="18"/>
  <c r="AC54" i="18"/>
  <c r="AB54" i="18"/>
  <c r="AA54" i="18"/>
  <c r="Z54" i="18"/>
  <c r="Y54" i="18"/>
  <c r="X54" i="18"/>
  <c r="W54" i="18"/>
  <c r="V54" i="18"/>
  <c r="U54" i="18"/>
  <c r="T54" i="18"/>
  <c r="S54" i="18"/>
  <c r="R54" i="18"/>
  <c r="Q54" i="18"/>
  <c r="P54" i="18"/>
  <c r="O54" i="18"/>
  <c r="N54" i="18"/>
  <c r="M54" i="18"/>
  <c r="L54" i="18"/>
  <c r="K54" i="18"/>
  <c r="J54" i="18"/>
  <c r="I54" i="18"/>
  <c r="H54" i="18"/>
  <c r="G54" i="18"/>
  <c r="F54" i="18"/>
  <c r="E54" i="18"/>
  <c r="D54" i="18"/>
  <c r="C54" i="18"/>
  <c r="B54" i="18"/>
  <c r="A54" i="18"/>
  <c r="CI53" i="18"/>
  <c r="CH53" i="18"/>
  <c r="CG53" i="18"/>
  <c r="CF53" i="18"/>
  <c r="CE53" i="18"/>
  <c r="CD53" i="18"/>
  <c r="CC53" i="18"/>
  <c r="CB53" i="18"/>
  <c r="CA53" i="18"/>
  <c r="BZ53" i="18"/>
  <c r="BY53" i="18"/>
  <c r="BT53" i="18"/>
  <c r="BS53" i="18"/>
  <c r="BR53" i="18"/>
  <c r="BQ53" i="18"/>
  <c r="BP53" i="18"/>
  <c r="BO53" i="18"/>
  <c r="BN53" i="18"/>
  <c r="BM53" i="18"/>
  <c r="BL53" i="18"/>
  <c r="BK53" i="18"/>
  <c r="BJ53" i="18"/>
  <c r="BI53" i="18"/>
  <c r="BH53" i="18"/>
  <c r="BG53" i="18"/>
  <c r="BF53" i="18"/>
  <c r="BE53" i="18"/>
  <c r="BD53" i="18"/>
  <c r="BC53" i="18"/>
  <c r="BB53" i="18"/>
  <c r="BA53" i="18"/>
  <c r="AZ53" i="18"/>
  <c r="AY53" i="18"/>
  <c r="AX53" i="18"/>
  <c r="AW53" i="18"/>
  <c r="AV53" i="18"/>
  <c r="AU53" i="18"/>
  <c r="AT53" i="18"/>
  <c r="AS53" i="18"/>
  <c r="AR53" i="18"/>
  <c r="AQ53" i="18"/>
  <c r="AP53" i="18"/>
  <c r="AO53" i="18"/>
  <c r="AN53" i="18"/>
  <c r="AM53" i="18"/>
  <c r="AL53" i="18"/>
  <c r="AK53" i="18"/>
  <c r="AJ53" i="18"/>
  <c r="AI53" i="18"/>
  <c r="AH53" i="18"/>
  <c r="AG53" i="18"/>
  <c r="AF53" i="18"/>
  <c r="AE53" i="18"/>
  <c r="AD53" i="18"/>
  <c r="AC53" i="18"/>
  <c r="AB53" i="18"/>
  <c r="AA53" i="18"/>
  <c r="Z53" i="18"/>
  <c r="Y53" i="18"/>
  <c r="X53" i="18"/>
  <c r="W53" i="18"/>
  <c r="V53" i="18"/>
  <c r="U53" i="18"/>
  <c r="T53" i="18"/>
  <c r="S53" i="18"/>
  <c r="R53" i="18"/>
  <c r="Q53" i="18"/>
  <c r="P53" i="18"/>
  <c r="O53" i="18"/>
  <c r="N53" i="18"/>
  <c r="M53" i="18"/>
  <c r="L53" i="18"/>
  <c r="K53" i="18"/>
  <c r="J53" i="18"/>
  <c r="I53" i="18"/>
  <c r="H53" i="18"/>
  <c r="G53" i="18"/>
  <c r="F53" i="18"/>
  <c r="E53" i="18"/>
  <c r="D53" i="18"/>
  <c r="C53" i="18"/>
  <c r="B53" i="18"/>
  <c r="A53" i="18"/>
  <c r="CI52" i="18"/>
  <c r="CH52" i="18"/>
  <c r="CG52" i="18"/>
  <c r="CF52" i="18"/>
  <c r="CE52" i="18"/>
  <c r="CD52" i="18"/>
  <c r="CC52" i="18"/>
  <c r="CB52" i="18"/>
  <c r="CA52" i="18"/>
  <c r="BZ52" i="18"/>
  <c r="BY52" i="18"/>
  <c r="BT52" i="18"/>
  <c r="BS52" i="18"/>
  <c r="BR52" i="18"/>
  <c r="BQ52" i="18"/>
  <c r="BP52" i="18"/>
  <c r="BO52" i="18"/>
  <c r="BN52" i="18"/>
  <c r="BM52" i="18"/>
  <c r="BL52" i="18"/>
  <c r="BK52" i="18"/>
  <c r="BJ52" i="18"/>
  <c r="BI52" i="18"/>
  <c r="BH52" i="18"/>
  <c r="BG52" i="18"/>
  <c r="BF52" i="18"/>
  <c r="BE52" i="18"/>
  <c r="BD52" i="18"/>
  <c r="BC52" i="18"/>
  <c r="BB52" i="18"/>
  <c r="BA52" i="18"/>
  <c r="AZ52" i="18"/>
  <c r="AY52" i="18"/>
  <c r="AX52" i="18"/>
  <c r="AW52" i="18"/>
  <c r="AV52" i="18"/>
  <c r="AU52" i="18"/>
  <c r="AT52" i="18"/>
  <c r="AS52" i="18"/>
  <c r="AR52" i="18"/>
  <c r="AQ52" i="18"/>
  <c r="AP52" i="18"/>
  <c r="AO52" i="18"/>
  <c r="AN52" i="18"/>
  <c r="AM52" i="18"/>
  <c r="AL52" i="18"/>
  <c r="AK52" i="18"/>
  <c r="AJ52" i="18"/>
  <c r="AI52" i="18"/>
  <c r="AH52" i="18"/>
  <c r="AG52" i="18"/>
  <c r="AF52" i="18"/>
  <c r="AE52" i="18"/>
  <c r="AD52" i="18"/>
  <c r="AC52" i="18"/>
  <c r="AB52" i="18"/>
  <c r="AA52" i="18"/>
  <c r="Z52" i="18"/>
  <c r="Y52" i="18"/>
  <c r="X52" i="18"/>
  <c r="W52" i="18"/>
  <c r="V52" i="18"/>
  <c r="U52" i="18"/>
  <c r="T52" i="18"/>
  <c r="S52" i="18"/>
  <c r="R52" i="18"/>
  <c r="Q52" i="18"/>
  <c r="P52" i="18"/>
  <c r="O52" i="18"/>
  <c r="N52" i="18"/>
  <c r="M52" i="18"/>
  <c r="L52" i="18"/>
  <c r="K52" i="18"/>
  <c r="J52" i="18"/>
  <c r="I52" i="18"/>
  <c r="H52" i="18"/>
  <c r="G52" i="18"/>
  <c r="F52" i="18"/>
  <c r="E52" i="18"/>
  <c r="D52" i="18"/>
  <c r="C52" i="18"/>
  <c r="B52" i="18"/>
  <c r="A52" i="18"/>
  <c r="CI51" i="18"/>
  <c r="CH51" i="18"/>
  <c r="CG51" i="18"/>
  <c r="CF51" i="18"/>
  <c r="CE51" i="18"/>
  <c r="CD51" i="18"/>
  <c r="CC51" i="18"/>
  <c r="CB51" i="18"/>
  <c r="CA51" i="18"/>
  <c r="BZ51" i="18"/>
  <c r="BY51" i="18"/>
  <c r="BT51" i="18"/>
  <c r="BS51" i="18"/>
  <c r="BR51" i="18"/>
  <c r="BQ51" i="18"/>
  <c r="BP51" i="18"/>
  <c r="BO51" i="18"/>
  <c r="BN51" i="18"/>
  <c r="BM51" i="18"/>
  <c r="BL51" i="18"/>
  <c r="BK51" i="18"/>
  <c r="BJ51" i="18"/>
  <c r="BI51" i="18"/>
  <c r="BH51" i="18"/>
  <c r="BG51" i="18"/>
  <c r="BF51" i="18"/>
  <c r="BE51" i="18"/>
  <c r="BD51" i="18"/>
  <c r="BC51" i="18"/>
  <c r="BB51" i="18"/>
  <c r="BA51" i="18"/>
  <c r="AZ51" i="18"/>
  <c r="AY51" i="18"/>
  <c r="AX51" i="18"/>
  <c r="AW51" i="18"/>
  <c r="AV51" i="18"/>
  <c r="AU51" i="18"/>
  <c r="AT51" i="18"/>
  <c r="AS51" i="18"/>
  <c r="AR51" i="18"/>
  <c r="AQ51" i="18"/>
  <c r="AP51" i="18"/>
  <c r="AO51" i="18"/>
  <c r="AN51" i="18"/>
  <c r="AM51" i="18"/>
  <c r="AL51" i="18"/>
  <c r="AK51" i="18"/>
  <c r="AJ51" i="18"/>
  <c r="AI51" i="18"/>
  <c r="AH51" i="18"/>
  <c r="AG51" i="18"/>
  <c r="AF51" i="18"/>
  <c r="AE51" i="18"/>
  <c r="AD51" i="18"/>
  <c r="AC51" i="18"/>
  <c r="AB51" i="18"/>
  <c r="AA51" i="18"/>
  <c r="Z51" i="18"/>
  <c r="Y51" i="18"/>
  <c r="X51" i="18"/>
  <c r="W51" i="18"/>
  <c r="V51" i="18"/>
  <c r="U51" i="18"/>
  <c r="T51" i="18"/>
  <c r="S51" i="18"/>
  <c r="R51" i="18"/>
  <c r="Q51" i="18"/>
  <c r="P51" i="18"/>
  <c r="O51" i="18"/>
  <c r="N51" i="18"/>
  <c r="M51" i="18"/>
  <c r="L51" i="18"/>
  <c r="K51" i="18"/>
  <c r="J51" i="18"/>
  <c r="I51" i="18"/>
  <c r="H51" i="18"/>
  <c r="G51" i="18"/>
  <c r="F51" i="18"/>
  <c r="E51" i="18"/>
  <c r="D51" i="18"/>
  <c r="C51" i="18"/>
  <c r="B51" i="18"/>
  <c r="A51" i="18"/>
  <c r="CI50" i="18"/>
  <c r="CH50" i="18"/>
  <c r="CG50" i="18"/>
  <c r="CF50" i="18"/>
  <c r="CE50" i="18"/>
  <c r="CD50" i="18"/>
  <c r="CC50" i="18"/>
  <c r="CB50" i="18"/>
  <c r="CA50" i="18"/>
  <c r="BZ50" i="18"/>
  <c r="BY50" i="18"/>
  <c r="BT50" i="18"/>
  <c r="BS50" i="18"/>
  <c r="BR50" i="18"/>
  <c r="BQ50" i="18"/>
  <c r="BP50" i="18"/>
  <c r="BO50" i="18"/>
  <c r="BN50" i="18"/>
  <c r="BM50" i="18"/>
  <c r="BL50" i="18"/>
  <c r="BK50" i="18"/>
  <c r="BJ50" i="18"/>
  <c r="BI50" i="18"/>
  <c r="BH50" i="18"/>
  <c r="BG50" i="18"/>
  <c r="BF50" i="18"/>
  <c r="BE50" i="18"/>
  <c r="BD50" i="18"/>
  <c r="BC50" i="18"/>
  <c r="BB50" i="18"/>
  <c r="BA50" i="18"/>
  <c r="AZ50" i="18"/>
  <c r="AY50" i="18"/>
  <c r="AX50" i="18"/>
  <c r="AW50" i="18"/>
  <c r="AV50" i="18"/>
  <c r="AU50" i="18"/>
  <c r="AT50" i="18"/>
  <c r="AS50" i="18"/>
  <c r="AR50" i="18"/>
  <c r="AQ50" i="18"/>
  <c r="AP50" i="18"/>
  <c r="AO50" i="18"/>
  <c r="AN50" i="18"/>
  <c r="AM50" i="18"/>
  <c r="AL50" i="18"/>
  <c r="AK50" i="18"/>
  <c r="AJ50" i="18"/>
  <c r="AI50" i="18"/>
  <c r="AH50" i="18"/>
  <c r="AG50" i="18"/>
  <c r="AF50" i="18"/>
  <c r="AE50" i="18"/>
  <c r="AD50" i="18"/>
  <c r="AC50" i="18"/>
  <c r="AB50" i="18"/>
  <c r="AA50" i="18"/>
  <c r="Z50" i="18"/>
  <c r="Y50" i="18"/>
  <c r="X50" i="18"/>
  <c r="W50" i="18"/>
  <c r="V50" i="18"/>
  <c r="U50" i="18"/>
  <c r="T50" i="18"/>
  <c r="S50" i="18"/>
  <c r="R50" i="18"/>
  <c r="Q50" i="18"/>
  <c r="P50" i="18"/>
  <c r="O50" i="18"/>
  <c r="N50" i="18"/>
  <c r="M50" i="18"/>
  <c r="L50" i="18"/>
  <c r="K50" i="18"/>
  <c r="J50" i="18"/>
  <c r="I50" i="18"/>
  <c r="H50" i="18"/>
  <c r="G50" i="18"/>
  <c r="F50" i="18"/>
  <c r="E50" i="18"/>
  <c r="D50" i="18"/>
  <c r="C50" i="18"/>
  <c r="B50" i="18"/>
  <c r="A50" i="18"/>
  <c r="CI49" i="18"/>
  <c r="CH49" i="18"/>
  <c r="CG49" i="18"/>
  <c r="CF49" i="18"/>
  <c r="CE49" i="18"/>
  <c r="CD49" i="18"/>
  <c r="CC49" i="18"/>
  <c r="CB49" i="18"/>
  <c r="CA49" i="18"/>
  <c r="BZ49" i="18"/>
  <c r="BY49" i="18"/>
  <c r="BT49" i="18"/>
  <c r="BS49" i="18"/>
  <c r="BR49" i="18"/>
  <c r="BQ49" i="18"/>
  <c r="BP49" i="18"/>
  <c r="BO49" i="18"/>
  <c r="BN49" i="18"/>
  <c r="BM49" i="18"/>
  <c r="BL49" i="18"/>
  <c r="BK49" i="18"/>
  <c r="BJ49" i="18"/>
  <c r="BI49" i="18"/>
  <c r="BH49" i="18"/>
  <c r="BG49" i="18"/>
  <c r="BF49" i="18"/>
  <c r="BE49" i="18"/>
  <c r="BD49" i="18"/>
  <c r="BC49" i="18"/>
  <c r="BB49" i="18"/>
  <c r="BA49" i="18"/>
  <c r="AZ49" i="18"/>
  <c r="AY49" i="18"/>
  <c r="AX49" i="18"/>
  <c r="AW49" i="18"/>
  <c r="AV49" i="18"/>
  <c r="AU49" i="18"/>
  <c r="AT49" i="18"/>
  <c r="AS49" i="18"/>
  <c r="AR49" i="18"/>
  <c r="AQ49" i="18"/>
  <c r="AP49" i="18"/>
  <c r="AO49" i="18"/>
  <c r="AN49" i="18"/>
  <c r="AM49" i="18"/>
  <c r="AL49" i="18"/>
  <c r="AK49" i="18"/>
  <c r="AJ49" i="18"/>
  <c r="AI49" i="18"/>
  <c r="AH49" i="18"/>
  <c r="AG49" i="18"/>
  <c r="AF49" i="18"/>
  <c r="AE49" i="18"/>
  <c r="AD49" i="18"/>
  <c r="AC49" i="18"/>
  <c r="AB49" i="18"/>
  <c r="AA49" i="18"/>
  <c r="Z49" i="18"/>
  <c r="Y49" i="18"/>
  <c r="X49" i="18"/>
  <c r="W49" i="18"/>
  <c r="V49" i="18"/>
  <c r="U49" i="18"/>
  <c r="T49" i="18"/>
  <c r="S49" i="18"/>
  <c r="R49" i="18"/>
  <c r="Q49" i="18"/>
  <c r="P49" i="18"/>
  <c r="O49" i="18"/>
  <c r="N49" i="18"/>
  <c r="M49" i="18"/>
  <c r="L49" i="18"/>
  <c r="K49" i="18"/>
  <c r="J49" i="18"/>
  <c r="I49" i="18"/>
  <c r="H49" i="18"/>
  <c r="G49" i="18"/>
  <c r="F49" i="18"/>
  <c r="E49" i="18"/>
  <c r="D49" i="18"/>
  <c r="C49" i="18"/>
  <c r="B49" i="18"/>
  <c r="A49" i="18"/>
  <c r="CZ48" i="18"/>
  <c r="CY48" i="18"/>
  <c r="CX48" i="18"/>
  <c r="CW48" i="18"/>
  <c r="CV48" i="18"/>
  <c r="CU48" i="18"/>
  <c r="CT48" i="18"/>
  <c r="CS48" i="18"/>
  <c r="CR48" i="18"/>
  <c r="CQ48" i="18"/>
  <c r="CP48" i="18"/>
  <c r="CO48" i="18"/>
  <c r="CN48" i="18"/>
  <c r="CM48" i="18"/>
  <c r="CL48" i="18"/>
  <c r="CK48" i="18"/>
  <c r="CJ48" i="18"/>
  <c r="CI48" i="18"/>
  <c r="CH48" i="18"/>
  <c r="CG48" i="18"/>
  <c r="CF48" i="18"/>
  <c r="CE48" i="18"/>
  <c r="CD48" i="18"/>
  <c r="CC48" i="18"/>
  <c r="CB48" i="18"/>
  <c r="CA48" i="18"/>
  <c r="BZ48" i="18"/>
  <c r="BY48" i="18"/>
  <c r="BX48" i="18"/>
  <c r="BW48" i="18"/>
  <c r="BV48" i="18"/>
  <c r="BU48" i="18"/>
  <c r="BT48" i="18"/>
  <c r="BS48" i="18"/>
  <c r="BR48" i="18"/>
  <c r="BQ48" i="18"/>
  <c r="BP48" i="18"/>
  <c r="BO48" i="18"/>
  <c r="BN48" i="18"/>
  <c r="BM48" i="18"/>
  <c r="BL48" i="18"/>
  <c r="BK48" i="18"/>
  <c r="BJ48" i="18"/>
  <c r="BI48" i="18"/>
  <c r="BH48" i="18"/>
  <c r="BG48" i="18"/>
  <c r="BF48" i="18"/>
  <c r="BE48" i="18"/>
  <c r="BD48" i="18"/>
  <c r="BC48" i="18"/>
  <c r="BB48" i="18"/>
  <c r="BA48" i="18"/>
  <c r="AZ48" i="18"/>
  <c r="AY48" i="18"/>
  <c r="AX48" i="18"/>
  <c r="AW48" i="18"/>
  <c r="AV48" i="18"/>
  <c r="AU48" i="18"/>
  <c r="AT48" i="18"/>
  <c r="AS48" i="18"/>
  <c r="AR48" i="18"/>
  <c r="AQ48" i="18"/>
  <c r="AP48" i="18"/>
  <c r="AO48" i="18"/>
  <c r="AN48" i="18"/>
  <c r="AM48" i="18"/>
  <c r="AL48" i="18"/>
  <c r="AK48" i="18"/>
  <c r="AJ48" i="18"/>
  <c r="AI48" i="18"/>
  <c r="AH48" i="18"/>
  <c r="AG48" i="18"/>
  <c r="AF48" i="18"/>
  <c r="AE48" i="18"/>
  <c r="AD48" i="18"/>
  <c r="AC48" i="18"/>
  <c r="AB48" i="18"/>
  <c r="AA48" i="18"/>
  <c r="Z48" i="18"/>
  <c r="Y48" i="18"/>
  <c r="X48" i="18"/>
  <c r="W48" i="18"/>
  <c r="V48" i="18"/>
  <c r="U48" i="18"/>
  <c r="T48" i="18"/>
  <c r="S48" i="18"/>
  <c r="R48" i="18"/>
  <c r="Q48" i="18"/>
  <c r="P48" i="18"/>
  <c r="O48" i="18"/>
  <c r="N48" i="18"/>
  <c r="M48" i="18"/>
  <c r="L48" i="18"/>
  <c r="K48" i="18"/>
  <c r="J48" i="18"/>
  <c r="I48" i="18"/>
  <c r="H48" i="18"/>
  <c r="G48" i="18"/>
  <c r="F48" i="18"/>
  <c r="E48" i="18"/>
  <c r="D48" i="18"/>
  <c r="C48" i="18"/>
  <c r="B48" i="18"/>
  <c r="A48" i="18"/>
  <c r="CZ45" i="18"/>
  <c r="CY45" i="18"/>
  <c r="CH45" i="18"/>
  <c r="CG45" i="18"/>
  <c r="CF45" i="18"/>
  <c r="CE45" i="18"/>
  <c r="CD45" i="18"/>
  <c r="CC45" i="18"/>
  <c r="CB45" i="18"/>
  <c r="CA45" i="18"/>
  <c r="BZ45" i="18"/>
  <c r="BY45" i="18"/>
  <c r="AQ45" i="18"/>
  <c r="AP45" i="18"/>
  <c r="AO45" i="18"/>
  <c r="AN45" i="18"/>
  <c r="AM45" i="18"/>
  <c r="AL45" i="18"/>
  <c r="AK45" i="18"/>
  <c r="AJ45" i="18"/>
  <c r="AI45" i="18"/>
  <c r="AH45" i="18"/>
  <c r="AG45" i="18"/>
  <c r="AF45" i="18"/>
  <c r="AE45" i="18"/>
  <c r="AD45" i="18"/>
  <c r="AC45" i="18"/>
  <c r="AB45" i="18"/>
  <c r="AA45" i="18"/>
  <c r="Z45" i="18"/>
  <c r="Y45" i="18"/>
  <c r="X45" i="18"/>
  <c r="W45" i="18"/>
  <c r="V45" i="18"/>
  <c r="U45" i="18"/>
  <c r="T45" i="18"/>
  <c r="S45" i="18"/>
  <c r="R45" i="18"/>
  <c r="Q45" i="18"/>
  <c r="P45" i="18"/>
  <c r="O45" i="18"/>
  <c r="N45" i="18"/>
  <c r="M45" i="18"/>
  <c r="L45" i="18"/>
  <c r="K45" i="18"/>
  <c r="J45" i="18"/>
  <c r="I45" i="18"/>
  <c r="H45" i="18"/>
  <c r="G45" i="18"/>
  <c r="F45" i="18"/>
  <c r="E45" i="18"/>
  <c r="D45" i="18"/>
  <c r="C45" i="18"/>
  <c r="B45" i="18"/>
  <c r="A45" i="18"/>
  <c r="CZ44" i="18"/>
  <c r="CY44" i="18"/>
  <c r="CH44" i="18"/>
  <c r="CG44" i="18"/>
  <c r="CF44" i="18"/>
  <c r="CE44" i="18"/>
  <c r="CD44" i="18"/>
  <c r="CC44" i="18"/>
  <c r="CB44" i="18"/>
  <c r="CA44" i="18"/>
  <c r="BZ44" i="18"/>
  <c r="BY44" i="18"/>
  <c r="AQ44" i="18"/>
  <c r="AP44" i="18"/>
  <c r="AO44" i="18"/>
  <c r="AN44" i="18"/>
  <c r="AM44" i="18"/>
  <c r="AL44" i="18"/>
  <c r="AK44" i="18"/>
  <c r="AJ44" i="18"/>
  <c r="AI44" i="18"/>
  <c r="AH44" i="18"/>
  <c r="AG44" i="18"/>
  <c r="AF44" i="18"/>
  <c r="AE44" i="18"/>
  <c r="AD44" i="18"/>
  <c r="AC44" i="18"/>
  <c r="AB44" i="18"/>
  <c r="AA44" i="18"/>
  <c r="Z44" i="18"/>
  <c r="Y44" i="18"/>
  <c r="X44" i="18"/>
  <c r="W44" i="18"/>
  <c r="V44" i="18"/>
  <c r="U44" i="18"/>
  <c r="T44" i="18"/>
  <c r="S44" i="18"/>
  <c r="R44" i="18"/>
  <c r="Q44" i="18"/>
  <c r="P44" i="18"/>
  <c r="O44" i="18"/>
  <c r="N44" i="18"/>
  <c r="M44" i="18"/>
  <c r="L44" i="18"/>
  <c r="K44" i="18"/>
  <c r="J44" i="18"/>
  <c r="I44" i="18"/>
  <c r="H44" i="18"/>
  <c r="G44" i="18"/>
  <c r="F44" i="18"/>
  <c r="E44" i="18"/>
  <c r="D44" i="18"/>
  <c r="C44" i="18"/>
  <c r="B44" i="18"/>
  <c r="A44" i="18"/>
  <c r="CZ43" i="18"/>
  <c r="CY43" i="18"/>
  <c r="CI43" i="18"/>
  <c r="CH43" i="18"/>
  <c r="CG43" i="18"/>
  <c r="CF43" i="18"/>
  <c r="CE43" i="18"/>
  <c r="CD43" i="18"/>
  <c r="CC43" i="18"/>
  <c r="CB43" i="18"/>
  <c r="CA43" i="18"/>
  <c r="BZ43" i="18"/>
  <c r="BY43" i="18"/>
  <c r="AR43" i="18"/>
  <c r="AQ43" i="18"/>
  <c r="AP43" i="18"/>
  <c r="AO43" i="18"/>
  <c r="AN43" i="18"/>
  <c r="AM43" i="18"/>
  <c r="AL43" i="18"/>
  <c r="AK43" i="18"/>
  <c r="AJ43" i="18"/>
  <c r="AI43" i="18"/>
  <c r="AH43" i="18"/>
  <c r="AG43" i="18"/>
  <c r="AF43" i="18"/>
  <c r="AE43" i="18"/>
  <c r="AD43" i="18"/>
  <c r="AC43" i="18"/>
  <c r="AB43" i="18"/>
  <c r="AA43" i="18"/>
  <c r="Z43" i="18"/>
  <c r="Y43" i="18"/>
  <c r="X43" i="18"/>
  <c r="W43" i="18"/>
  <c r="V43" i="18"/>
  <c r="U43" i="18"/>
  <c r="T43" i="18"/>
  <c r="S43" i="18"/>
  <c r="R43" i="18"/>
  <c r="Q43" i="18"/>
  <c r="P43" i="18"/>
  <c r="O43" i="18"/>
  <c r="N43" i="18"/>
  <c r="M43" i="18"/>
  <c r="L43" i="18"/>
  <c r="K43" i="18"/>
  <c r="J43" i="18"/>
  <c r="I43" i="18"/>
  <c r="H43" i="18"/>
  <c r="G43" i="18"/>
  <c r="F43" i="18"/>
  <c r="E43" i="18"/>
  <c r="D43" i="18"/>
  <c r="C43" i="18"/>
  <c r="B43" i="18"/>
  <c r="A43" i="18"/>
  <c r="CZ42" i="18"/>
  <c r="CY42" i="18"/>
  <c r="CI42" i="18"/>
  <c r="CH42" i="18"/>
  <c r="CG42" i="18"/>
  <c r="CF42" i="18"/>
  <c r="CE42" i="18"/>
  <c r="CD42" i="18"/>
  <c r="CC42" i="18"/>
  <c r="CB42" i="18"/>
  <c r="CA42" i="18"/>
  <c r="BZ42" i="18"/>
  <c r="BY42" i="18"/>
  <c r="AR42" i="18"/>
  <c r="AQ42" i="18"/>
  <c r="AP42" i="18"/>
  <c r="AO42" i="18"/>
  <c r="AN42" i="18"/>
  <c r="AM42" i="18"/>
  <c r="AL42" i="18"/>
  <c r="AK42" i="18"/>
  <c r="AJ42" i="18"/>
  <c r="AI42" i="18"/>
  <c r="AH42" i="18"/>
  <c r="AG42" i="18"/>
  <c r="AF42" i="18"/>
  <c r="AE42" i="18"/>
  <c r="AD42" i="18"/>
  <c r="AC42" i="18"/>
  <c r="AB42" i="18"/>
  <c r="AA42" i="18"/>
  <c r="Z42" i="18"/>
  <c r="Y42" i="18"/>
  <c r="X42" i="18"/>
  <c r="W42" i="18"/>
  <c r="V42" i="18"/>
  <c r="U42" i="18"/>
  <c r="T42" i="18"/>
  <c r="S42" i="18"/>
  <c r="R42" i="18"/>
  <c r="Q42" i="18"/>
  <c r="P42" i="18"/>
  <c r="O42" i="18"/>
  <c r="N42" i="18"/>
  <c r="M42" i="18"/>
  <c r="L42" i="18"/>
  <c r="K42" i="18"/>
  <c r="J42" i="18"/>
  <c r="I42" i="18"/>
  <c r="H42" i="18"/>
  <c r="G42" i="18"/>
  <c r="F42" i="18"/>
  <c r="E42" i="18"/>
  <c r="D42" i="18"/>
  <c r="C42" i="18"/>
  <c r="B42" i="18"/>
  <c r="A42" i="18"/>
  <c r="CZ41" i="18"/>
  <c r="CY41" i="18"/>
  <c r="CX41" i="18"/>
  <c r="CW41" i="18"/>
  <c r="CV41" i="18"/>
  <c r="CU41" i="18"/>
  <c r="CT41" i="18"/>
  <c r="CS41" i="18"/>
  <c r="CR41" i="18"/>
  <c r="CQ41" i="18"/>
  <c r="CP41" i="18"/>
  <c r="CO41" i="18"/>
  <c r="CN41" i="18"/>
  <c r="CM41" i="18"/>
  <c r="CL41" i="18"/>
  <c r="CK41" i="18"/>
  <c r="CJ41" i="18"/>
  <c r="CI41" i="18"/>
  <c r="CH41" i="18"/>
  <c r="CG41" i="18"/>
  <c r="CF41" i="18"/>
  <c r="CE41" i="18"/>
  <c r="CD41" i="18"/>
  <c r="CC41" i="18"/>
  <c r="CB41" i="18"/>
  <c r="CA41" i="18"/>
  <c r="BZ41" i="18"/>
  <c r="BY41" i="18"/>
  <c r="BX41" i="18"/>
  <c r="BW41" i="18"/>
  <c r="BV41" i="18"/>
  <c r="BU41" i="18"/>
  <c r="BT41" i="18"/>
  <c r="BS41" i="18"/>
  <c r="BR41" i="18"/>
  <c r="BQ41" i="18"/>
  <c r="BP41" i="18"/>
  <c r="BO41" i="18"/>
  <c r="BN41" i="18"/>
  <c r="BM41" i="18"/>
  <c r="BL41" i="18"/>
  <c r="BK41" i="18"/>
  <c r="BJ41" i="18"/>
  <c r="BI41" i="18"/>
  <c r="BH41" i="18"/>
  <c r="BG41" i="18"/>
  <c r="BF41" i="18"/>
  <c r="BE41" i="18"/>
  <c r="BD41" i="18"/>
  <c r="BC41" i="18"/>
  <c r="BB41" i="18"/>
  <c r="BA41" i="18"/>
  <c r="AZ41" i="18"/>
  <c r="AY41" i="18"/>
  <c r="AX41" i="18"/>
  <c r="AW41" i="18"/>
  <c r="AV41" i="18"/>
  <c r="AU41" i="18"/>
  <c r="AT41" i="18"/>
  <c r="AS41" i="18"/>
  <c r="AR41" i="18"/>
  <c r="AQ41" i="18"/>
  <c r="AP41" i="18"/>
  <c r="AO41" i="18"/>
  <c r="AN41" i="18"/>
  <c r="AM41" i="18"/>
  <c r="AL41" i="18"/>
  <c r="AK41" i="18"/>
  <c r="AJ41" i="18"/>
  <c r="AI41" i="18"/>
  <c r="AH41" i="18"/>
  <c r="AG41" i="18"/>
  <c r="AF41" i="18"/>
  <c r="AE41" i="18"/>
  <c r="AD41" i="18"/>
  <c r="AC41" i="18"/>
  <c r="AB41" i="18"/>
  <c r="AA41" i="18"/>
  <c r="Z41" i="18"/>
  <c r="Y41" i="18"/>
  <c r="X41" i="18"/>
  <c r="W41" i="18"/>
  <c r="V41" i="18"/>
  <c r="U41" i="18"/>
  <c r="T41" i="18"/>
  <c r="S41" i="18"/>
  <c r="R41" i="18"/>
  <c r="Q41" i="18"/>
  <c r="P41" i="18"/>
  <c r="O41" i="18"/>
  <c r="N41" i="18"/>
  <c r="M41" i="18"/>
  <c r="L41" i="18"/>
  <c r="K41" i="18"/>
  <c r="J41" i="18"/>
  <c r="I41" i="18"/>
  <c r="H41" i="18"/>
  <c r="G41" i="18"/>
  <c r="F41" i="18"/>
  <c r="E41" i="18"/>
  <c r="D41" i="18"/>
  <c r="C41" i="18"/>
  <c r="B41" i="18"/>
  <c r="A41" i="18"/>
  <c r="CZ40" i="18"/>
  <c r="CY40" i="18"/>
  <c r="CI40" i="18"/>
  <c r="CH40" i="18"/>
  <c r="CG40" i="18"/>
  <c r="CF40" i="18"/>
  <c r="CE40" i="18"/>
  <c r="CD40" i="18"/>
  <c r="CC40" i="18"/>
  <c r="CB40" i="18"/>
  <c r="CA40" i="18"/>
  <c r="BZ40" i="18"/>
  <c r="BY40" i="18"/>
  <c r="AR40" i="18"/>
  <c r="AQ40" i="18"/>
  <c r="AP40" i="18"/>
  <c r="AO40" i="18"/>
  <c r="AN40" i="18"/>
  <c r="AM40" i="18"/>
  <c r="AL40" i="18"/>
  <c r="AK40" i="18"/>
  <c r="AJ40" i="18"/>
  <c r="AI40" i="18"/>
  <c r="AH40" i="18"/>
  <c r="AG40" i="18"/>
  <c r="AF40" i="18"/>
  <c r="AE40" i="18"/>
  <c r="AD40" i="18"/>
  <c r="AC40" i="18"/>
  <c r="AB40" i="18"/>
  <c r="AA40" i="18"/>
  <c r="Z40" i="18"/>
  <c r="Y40" i="18"/>
  <c r="X40" i="18"/>
  <c r="W40" i="18"/>
  <c r="V40" i="18"/>
  <c r="U40" i="18"/>
  <c r="T40" i="18"/>
  <c r="S40" i="18"/>
  <c r="R40" i="18"/>
  <c r="Q40" i="18"/>
  <c r="P40" i="18"/>
  <c r="O40" i="18"/>
  <c r="N40" i="18"/>
  <c r="M40" i="18"/>
  <c r="L40" i="18"/>
  <c r="K40" i="18"/>
  <c r="J40" i="18"/>
  <c r="I40" i="18"/>
  <c r="H40" i="18"/>
  <c r="G40" i="18"/>
  <c r="F40" i="18"/>
  <c r="E40" i="18"/>
  <c r="D40" i="18"/>
  <c r="C40" i="18"/>
  <c r="B40" i="18"/>
  <c r="A40" i="18"/>
  <c r="CZ39" i="18"/>
  <c r="CY39" i="18"/>
  <c r="CI39" i="18"/>
  <c r="CH39" i="18"/>
  <c r="CG39" i="18"/>
  <c r="CF39" i="18"/>
  <c r="CE39" i="18"/>
  <c r="CD39" i="18"/>
  <c r="CC39" i="18"/>
  <c r="CB39" i="18"/>
  <c r="CA39" i="18"/>
  <c r="BZ39" i="18"/>
  <c r="BY39" i="18"/>
  <c r="AR39" i="18"/>
  <c r="AQ39" i="18"/>
  <c r="AP39" i="18"/>
  <c r="AO39" i="18"/>
  <c r="AN39" i="18"/>
  <c r="AM39" i="18"/>
  <c r="AL39" i="18"/>
  <c r="AK39" i="18"/>
  <c r="AJ39" i="18"/>
  <c r="AI39" i="18"/>
  <c r="AH39" i="18"/>
  <c r="AG39" i="18"/>
  <c r="AF39" i="18"/>
  <c r="AE39" i="18"/>
  <c r="AD39" i="18"/>
  <c r="AC39" i="18"/>
  <c r="AB39" i="18"/>
  <c r="AA39" i="18"/>
  <c r="Z39" i="18"/>
  <c r="Y39" i="18"/>
  <c r="X39" i="18"/>
  <c r="W39" i="18"/>
  <c r="V39" i="18"/>
  <c r="U39" i="18"/>
  <c r="T39" i="18"/>
  <c r="S39" i="18"/>
  <c r="R39" i="18"/>
  <c r="Q39" i="18"/>
  <c r="P39" i="18"/>
  <c r="O39" i="18"/>
  <c r="N39" i="18"/>
  <c r="M39" i="18"/>
  <c r="L39" i="18"/>
  <c r="K39" i="18"/>
  <c r="J39" i="18"/>
  <c r="I39" i="18"/>
  <c r="H39" i="18"/>
  <c r="G39" i="18"/>
  <c r="F39" i="18"/>
  <c r="E39" i="18"/>
  <c r="D39" i="18"/>
  <c r="C39" i="18"/>
  <c r="B39" i="18"/>
  <c r="A39" i="18"/>
  <c r="CZ38" i="18"/>
  <c r="CY38" i="18"/>
  <c r="CH38" i="18"/>
  <c r="CG38" i="18"/>
  <c r="CF38" i="18"/>
  <c r="CE38" i="18"/>
  <c r="CD38" i="18"/>
  <c r="CC38" i="18"/>
  <c r="CB38" i="18"/>
  <c r="CA38" i="18"/>
  <c r="BZ38" i="18"/>
  <c r="BY38" i="18"/>
  <c r="AQ38" i="18"/>
  <c r="AP38" i="18"/>
  <c r="AO38" i="18"/>
  <c r="AN38" i="18"/>
  <c r="AM38" i="18"/>
  <c r="AL38" i="18"/>
  <c r="AK38" i="18"/>
  <c r="AJ38" i="18"/>
  <c r="AI38" i="18"/>
  <c r="AH38" i="18"/>
  <c r="AG38" i="18"/>
  <c r="AF38" i="18"/>
  <c r="AE38" i="18"/>
  <c r="AD38" i="18"/>
  <c r="AC38" i="18"/>
  <c r="AB38" i="18"/>
  <c r="AA38" i="18"/>
  <c r="Z38" i="18"/>
  <c r="Y38" i="18"/>
  <c r="X38" i="18"/>
  <c r="W38" i="18"/>
  <c r="V38" i="18"/>
  <c r="U38" i="18"/>
  <c r="T38" i="18"/>
  <c r="S38" i="18"/>
  <c r="R38" i="18"/>
  <c r="Q38" i="18"/>
  <c r="P38" i="18"/>
  <c r="O38" i="18"/>
  <c r="N38" i="18"/>
  <c r="M38" i="18"/>
  <c r="L38" i="18"/>
  <c r="K38" i="18"/>
  <c r="J38" i="18"/>
  <c r="I38" i="18"/>
  <c r="H38" i="18"/>
  <c r="G38" i="18"/>
  <c r="F38" i="18"/>
  <c r="E38" i="18"/>
  <c r="D38" i="18"/>
  <c r="C38" i="18"/>
  <c r="B38" i="18"/>
  <c r="A38" i="18"/>
  <c r="CZ37" i="18"/>
  <c r="CY37" i="18"/>
  <c r="CH37" i="18"/>
  <c r="CG37" i="18"/>
  <c r="CF37" i="18"/>
  <c r="CE37" i="18"/>
  <c r="CD37" i="18"/>
  <c r="CC37" i="18"/>
  <c r="CB37" i="18"/>
  <c r="CA37" i="18"/>
  <c r="BZ37" i="18"/>
  <c r="BY37" i="18"/>
  <c r="AQ37" i="18"/>
  <c r="AP37" i="18"/>
  <c r="AO37" i="18"/>
  <c r="AN37" i="18"/>
  <c r="AM37" i="18"/>
  <c r="AL37" i="18"/>
  <c r="AK37" i="18"/>
  <c r="AJ37" i="18"/>
  <c r="AI37" i="18"/>
  <c r="AH37" i="18"/>
  <c r="AG37" i="18"/>
  <c r="AF37" i="18"/>
  <c r="AE37" i="18"/>
  <c r="AD37" i="18"/>
  <c r="AC37" i="18"/>
  <c r="AB37" i="18"/>
  <c r="AA37" i="18"/>
  <c r="Z37" i="18"/>
  <c r="Y37" i="18"/>
  <c r="X37" i="18"/>
  <c r="W37" i="18"/>
  <c r="V37" i="18"/>
  <c r="U37" i="18"/>
  <c r="T37" i="18"/>
  <c r="S37" i="18"/>
  <c r="R37" i="18"/>
  <c r="Q37" i="18"/>
  <c r="P37" i="18"/>
  <c r="O37" i="18"/>
  <c r="N37" i="18"/>
  <c r="M37" i="18"/>
  <c r="L37" i="18"/>
  <c r="K37" i="18"/>
  <c r="J37" i="18"/>
  <c r="I37" i="18"/>
  <c r="H37" i="18"/>
  <c r="G37" i="18"/>
  <c r="F37" i="18"/>
  <c r="E37" i="18"/>
  <c r="D37" i="18"/>
  <c r="C37" i="18"/>
  <c r="B37" i="18"/>
  <c r="A37" i="18"/>
  <c r="CZ36" i="18"/>
  <c r="CY36" i="18"/>
  <c r="CX36" i="18"/>
  <c r="CW36" i="18"/>
  <c r="CV36" i="18"/>
  <c r="CU36" i="18"/>
  <c r="CT36" i="18"/>
  <c r="CS36" i="18"/>
  <c r="CR36" i="18"/>
  <c r="CQ36" i="18"/>
  <c r="CP36" i="18"/>
  <c r="CO36" i="18"/>
  <c r="CN36" i="18"/>
  <c r="CM36" i="18"/>
  <c r="CL36" i="18"/>
  <c r="CK36" i="18"/>
  <c r="CJ36" i="18"/>
  <c r="CI36" i="18"/>
  <c r="CH36" i="18"/>
  <c r="CG36" i="18"/>
  <c r="CF36" i="18"/>
  <c r="CE36" i="18"/>
  <c r="CD36" i="18"/>
  <c r="CC36" i="18"/>
  <c r="CB36" i="18"/>
  <c r="CA36" i="18"/>
  <c r="BZ36" i="18"/>
  <c r="BY36" i="18"/>
  <c r="AR36" i="18"/>
  <c r="AQ36" i="18"/>
  <c r="AP36" i="18"/>
  <c r="AO36" i="18"/>
  <c r="AN36" i="18"/>
  <c r="AM36" i="18"/>
  <c r="AL36" i="18"/>
  <c r="AK36" i="18"/>
  <c r="AJ36" i="18"/>
  <c r="AI36" i="18"/>
  <c r="AH36" i="18"/>
  <c r="AG36" i="18"/>
  <c r="AF36" i="18"/>
  <c r="AE36" i="18"/>
  <c r="AD36" i="18"/>
  <c r="AC36" i="18"/>
  <c r="AB36" i="18"/>
  <c r="AA36" i="18"/>
  <c r="Z36" i="18"/>
  <c r="Y36" i="18"/>
  <c r="X36" i="18"/>
  <c r="W36" i="18"/>
  <c r="V36" i="18"/>
  <c r="U36" i="18"/>
  <c r="T36" i="18"/>
  <c r="S36" i="18"/>
  <c r="R36" i="18"/>
  <c r="Q36" i="18"/>
  <c r="P36" i="18"/>
  <c r="O36" i="18"/>
  <c r="N36" i="18"/>
  <c r="M36" i="18"/>
  <c r="L36" i="18"/>
  <c r="K36" i="18"/>
  <c r="J36" i="18"/>
  <c r="I36" i="18"/>
  <c r="H36" i="18"/>
  <c r="G36" i="18"/>
  <c r="F36" i="18"/>
  <c r="E36" i="18"/>
  <c r="D36" i="18"/>
  <c r="C36" i="18"/>
  <c r="B36" i="18"/>
  <c r="A36" i="18"/>
  <c r="CZ35" i="18"/>
  <c r="CY35" i="18"/>
  <c r="CI35" i="18"/>
  <c r="CH35" i="18"/>
  <c r="CG35" i="18"/>
  <c r="CF35" i="18"/>
  <c r="CE35" i="18"/>
  <c r="CD35" i="18"/>
  <c r="CC35" i="18"/>
  <c r="CB35" i="18"/>
  <c r="CA35" i="18"/>
  <c r="BZ35" i="18"/>
  <c r="BY35" i="18"/>
  <c r="AR35" i="18"/>
  <c r="AQ35" i="18"/>
  <c r="AP35" i="18"/>
  <c r="AO35" i="18"/>
  <c r="AN35" i="18"/>
  <c r="AM35" i="18"/>
  <c r="AL35" i="18"/>
  <c r="AK35" i="18"/>
  <c r="AJ35" i="18"/>
  <c r="AI35" i="18"/>
  <c r="AH35" i="18"/>
  <c r="AG35" i="18"/>
  <c r="AF35" i="18"/>
  <c r="AE35" i="18"/>
  <c r="AD35" i="18"/>
  <c r="AC35" i="18"/>
  <c r="AB35" i="18"/>
  <c r="AA35" i="18"/>
  <c r="Z35" i="18"/>
  <c r="Y35" i="18"/>
  <c r="X35" i="18"/>
  <c r="W35" i="18"/>
  <c r="V35" i="18"/>
  <c r="U35" i="18"/>
  <c r="T35" i="18"/>
  <c r="S35" i="18"/>
  <c r="R35" i="18"/>
  <c r="Q35" i="18"/>
  <c r="P35" i="18"/>
  <c r="O35" i="18"/>
  <c r="N35" i="18"/>
  <c r="M35" i="18"/>
  <c r="L35" i="18"/>
  <c r="K35" i="18"/>
  <c r="J35" i="18"/>
  <c r="I35" i="18"/>
  <c r="H35" i="18"/>
  <c r="G35" i="18"/>
  <c r="F35" i="18"/>
  <c r="E35" i="18"/>
  <c r="D35" i="18"/>
  <c r="C35" i="18"/>
  <c r="B35" i="18"/>
  <c r="A35" i="18"/>
  <c r="CZ34" i="18"/>
  <c r="CY34" i="18"/>
  <c r="CI34" i="18"/>
  <c r="CH34" i="18"/>
  <c r="CG34" i="18"/>
  <c r="CF34" i="18"/>
  <c r="CE34" i="18"/>
  <c r="CD34" i="18"/>
  <c r="CC34" i="18"/>
  <c r="CB34" i="18"/>
  <c r="CA34" i="18"/>
  <c r="BZ34" i="18"/>
  <c r="BY34" i="18"/>
  <c r="AR34" i="18"/>
  <c r="AQ34" i="18"/>
  <c r="AP34" i="18"/>
  <c r="AO34" i="18"/>
  <c r="AN34" i="18"/>
  <c r="AM34" i="18"/>
  <c r="AL34" i="18"/>
  <c r="AK34" i="18"/>
  <c r="AJ34" i="18"/>
  <c r="AI34" i="18"/>
  <c r="AH34" i="18"/>
  <c r="AG34" i="18"/>
  <c r="AF34" i="18"/>
  <c r="AE34" i="18"/>
  <c r="AD34" i="18"/>
  <c r="AC34" i="18"/>
  <c r="AB34" i="18"/>
  <c r="AA34" i="18"/>
  <c r="Z34" i="18"/>
  <c r="Y34" i="18"/>
  <c r="X34" i="18"/>
  <c r="W34" i="18"/>
  <c r="V34" i="18"/>
  <c r="U34" i="18"/>
  <c r="T34" i="18"/>
  <c r="S34" i="18"/>
  <c r="R34" i="18"/>
  <c r="Q34" i="18"/>
  <c r="P34" i="18"/>
  <c r="O34" i="18"/>
  <c r="N34" i="18"/>
  <c r="M34" i="18"/>
  <c r="L34" i="18"/>
  <c r="K34" i="18"/>
  <c r="J34" i="18"/>
  <c r="I34" i="18"/>
  <c r="H34" i="18"/>
  <c r="G34" i="18"/>
  <c r="F34" i="18"/>
  <c r="E34" i="18"/>
  <c r="D34" i="18"/>
  <c r="C34" i="18"/>
  <c r="B34" i="18"/>
  <c r="A34" i="18"/>
  <c r="CZ33" i="18"/>
  <c r="CY33" i="18"/>
  <c r="CI33" i="18"/>
  <c r="CH33" i="18"/>
  <c r="CG33" i="18"/>
  <c r="CF33" i="18"/>
  <c r="CE33" i="18"/>
  <c r="CD33" i="18"/>
  <c r="CC33" i="18"/>
  <c r="CB33" i="18"/>
  <c r="CA33" i="18"/>
  <c r="BZ33" i="18"/>
  <c r="BY33" i="18"/>
  <c r="AR33" i="18"/>
  <c r="AQ33" i="18"/>
  <c r="AP33" i="18"/>
  <c r="AO33" i="18"/>
  <c r="AN33" i="18"/>
  <c r="AM33" i="18"/>
  <c r="AL33" i="18"/>
  <c r="AK33" i="18"/>
  <c r="AJ33" i="18"/>
  <c r="AI33" i="18"/>
  <c r="AH33" i="18"/>
  <c r="AG33" i="18"/>
  <c r="AF33" i="18"/>
  <c r="AE33" i="18"/>
  <c r="AD33" i="18"/>
  <c r="AC33" i="18"/>
  <c r="AB33" i="18"/>
  <c r="AA33" i="18"/>
  <c r="Z33" i="18"/>
  <c r="Y33" i="18"/>
  <c r="X33" i="18"/>
  <c r="W33" i="18"/>
  <c r="V33" i="18"/>
  <c r="U33" i="18"/>
  <c r="T33" i="18"/>
  <c r="S33" i="18"/>
  <c r="R33" i="18"/>
  <c r="Q33" i="18"/>
  <c r="P33" i="18"/>
  <c r="O33" i="18"/>
  <c r="N33" i="18"/>
  <c r="M33" i="18"/>
  <c r="L33" i="18"/>
  <c r="K33" i="18"/>
  <c r="J33" i="18"/>
  <c r="I33" i="18"/>
  <c r="H33" i="18"/>
  <c r="G33" i="18"/>
  <c r="F33" i="18"/>
  <c r="E33" i="18"/>
  <c r="D33" i="18"/>
  <c r="C33" i="18"/>
  <c r="B33" i="18"/>
  <c r="A33" i="18"/>
  <c r="CI32" i="18"/>
  <c r="CH32" i="18"/>
  <c r="CG32" i="18"/>
  <c r="CF32" i="18"/>
  <c r="CE32" i="18"/>
  <c r="CD32" i="18"/>
  <c r="CC32" i="18"/>
  <c r="CB32" i="18"/>
  <c r="CA32" i="18"/>
  <c r="BZ32" i="18"/>
  <c r="BY32" i="18"/>
  <c r="AR32" i="18"/>
  <c r="AQ32" i="18"/>
  <c r="AP32" i="18"/>
  <c r="AO32" i="18"/>
  <c r="AN32" i="18"/>
  <c r="AM32" i="18"/>
  <c r="AL32" i="18"/>
  <c r="AK32" i="18"/>
  <c r="AJ32" i="18"/>
  <c r="AI32" i="18"/>
  <c r="AH32" i="18"/>
  <c r="AG32" i="18"/>
  <c r="AF32" i="18"/>
  <c r="AE32" i="18"/>
  <c r="AD32" i="18"/>
  <c r="AC32" i="18"/>
  <c r="AB32" i="18"/>
  <c r="AA32" i="18"/>
  <c r="Z32" i="18"/>
  <c r="Y32" i="18"/>
  <c r="X32" i="18"/>
  <c r="W32" i="18"/>
  <c r="V32" i="18"/>
  <c r="U32" i="18"/>
  <c r="T32" i="18"/>
  <c r="S32" i="18"/>
  <c r="R32" i="18"/>
  <c r="Q32" i="18"/>
  <c r="P32" i="18"/>
  <c r="O32" i="18"/>
  <c r="N32" i="18"/>
  <c r="M32" i="18"/>
  <c r="L32" i="18"/>
  <c r="K32" i="18"/>
  <c r="J32" i="18"/>
  <c r="I32" i="18"/>
  <c r="H32" i="18"/>
  <c r="G32" i="18"/>
  <c r="F32" i="18"/>
  <c r="E32" i="18"/>
  <c r="D32" i="18"/>
  <c r="C32" i="18"/>
  <c r="B32" i="18"/>
  <c r="A32" i="18"/>
  <c r="CZ31" i="18"/>
  <c r="CY31" i="18"/>
  <c r="CX31" i="18"/>
  <c r="CW31" i="18"/>
  <c r="CV31" i="18"/>
  <c r="CU31" i="18"/>
  <c r="CT31" i="18"/>
  <c r="CS31" i="18"/>
  <c r="CR31" i="18"/>
  <c r="CQ31" i="18"/>
  <c r="CP31" i="18"/>
  <c r="CO31" i="18"/>
  <c r="CN31" i="18"/>
  <c r="CM31" i="18"/>
  <c r="CL31" i="18"/>
  <c r="CK31" i="18"/>
  <c r="CJ31" i="18"/>
  <c r="CI31" i="18"/>
  <c r="CH31" i="18"/>
  <c r="CG31" i="18"/>
  <c r="CF31" i="18"/>
  <c r="CE31" i="18"/>
  <c r="CD31" i="18"/>
  <c r="CC31" i="18"/>
  <c r="CB31" i="18"/>
  <c r="CA31" i="18"/>
  <c r="BZ31" i="18"/>
  <c r="BY31" i="18"/>
  <c r="BX31" i="18"/>
  <c r="BW31" i="18"/>
  <c r="BV31" i="18"/>
  <c r="BU31" i="18"/>
  <c r="BT31" i="18"/>
  <c r="BS31" i="18"/>
  <c r="BR31" i="18"/>
  <c r="BQ31" i="18"/>
  <c r="BP31" i="18"/>
  <c r="BO31" i="18"/>
  <c r="BN31" i="18"/>
  <c r="BM31" i="18"/>
  <c r="BL31" i="18"/>
  <c r="BK31" i="18"/>
  <c r="BJ31" i="18"/>
  <c r="BH31" i="18"/>
  <c r="BG31" i="18"/>
  <c r="BF31" i="18"/>
  <c r="BE31" i="18"/>
  <c r="BD31" i="18"/>
  <c r="BC31" i="18"/>
  <c r="BB31" i="18"/>
  <c r="BA31" i="18"/>
  <c r="AZ31" i="18"/>
  <c r="AY31" i="18"/>
  <c r="AX31" i="18"/>
  <c r="AW31" i="18"/>
  <c r="AV31" i="18"/>
  <c r="AU31" i="18"/>
  <c r="AT31" i="18"/>
  <c r="AS31" i="18"/>
  <c r="AR31" i="18"/>
  <c r="AQ31" i="18"/>
  <c r="AP31" i="18"/>
  <c r="AO31" i="18"/>
  <c r="AN31" i="18"/>
  <c r="AM31" i="18"/>
  <c r="AL31" i="18"/>
  <c r="AK31" i="18"/>
  <c r="AJ31" i="18"/>
  <c r="AI31" i="18"/>
  <c r="AH31" i="18"/>
  <c r="AG31" i="18"/>
  <c r="AF31" i="18"/>
  <c r="AE31" i="18"/>
  <c r="AD31" i="18"/>
  <c r="AC31" i="18"/>
  <c r="AB31" i="18"/>
  <c r="AA31" i="18"/>
  <c r="Z31" i="18"/>
  <c r="Y31" i="18"/>
  <c r="X31" i="18"/>
  <c r="W31" i="18"/>
  <c r="V31" i="18"/>
  <c r="U31" i="18"/>
  <c r="T31" i="18"/>
  <c r="S31" i="18"/>
  <c r="R31" i="18"/>
  <c r="Q31" i="18"/>
  <c r="P31" i="18"/>
  <c r="O31" i="18"/>
  <c r="N31" i="18"/>
  <c r="M31" i="18"/>
  <c r="L31" i="18"/>
  <c r="K31" i="18"/>
  <c r="J31" i="18"/>
  <c r="I31" i="18"/>
  <c r="H31" i="18"/>
  <c r="G31" i="18"/>
  <c r="F31" i="18"/>
  <c r="E31" i="18"/>
  <c r="D31" i="18"/>
  <c r="C31" i="18"/>
  <c r="B31" i="18"/>
  <c r="A31" i="18"/>
  <c r="CZ29" i="18"/>
  <c r="CY29" i="18"/>
  <c r="CX29" i="18"/>
  <c r="CW29" i="18"/>
  <c r="CV29" i="18"/>
  <c r="CU29" i="18"/>
  <c r="CT29" i="18"/>
  <c r="CS29" i="18"/>
  <c r="CR29" i="18"/>
  <c r="CQ29" i="18"/>
  <c r="CP29" i="18"/>
  <c r="CO29" i="18"/>
  <c r="CN29" i="18"/>
  <c r="CM29" i="18"/>
  <c r="CL29" i="18"/>
  <c r="CK29" i="18"/>
  <c r="CJ29" i="18"/>
  <c r="CI29" i="18"/>
  <c r="CH29" i="18"/>
  <c r="CG29" i="18"/>
  <c r="CF29" i="18"/>
  <c r="CE29" i="18"/>
  <c r="CD29" i="18"/>
  <c r="CC29" i="18"/>
  <c r="CB29" i="18"/>
  <c r="CA29" i="18"/>
  <c r="BZ29" i="18"/>
  <c r="BY29" i="18"/>
  <c r="BX29" i="18"/>
  <c r="BW29" i="18"/>
  <c r="BV29" i="18"/>
  <c r="BU29" i="18"/>
  <c r="BT29" i="18"/>
  <c r="BS29" i="18"/>
  <c r="BR29" i="18"/>
  <c r="BQ29" i="18"/>
  <c r="BP29" i="18"/>
  <c r="BO29" i="18"/>
  <c r="BN29" i="18"/>
  <c r="BM29" i="18"/>
  <c r="BL29" i="18"/>
  <c r="BK29" i="18"/>
  <c r="BJ29" i="18"/>
  <c r="BI29" i="18"/>
  <c r="BH29" i="18"/>
  <c r="BG29" i="18"/>
  <c r="BF29" i="18"/>
  <c r="BE29" i="18"/>
  <c r="BD29" i="18"/>
  <c r="BC29" i="18"/>
  <c r="BB29" i="18"/>
  <c r="BA29" i="18"/>
  <c r="AZ29" i="18"/>
  <c r="AY29" i="18"/>
  <c r="AX29" i="18"/>
  <c r="AW29" i="18"/>
  <c r="AV29" i="18"/>
  <c r="AU29" i="18"/>
  <c r="AT29" i="18"/>
  <c r="AS29" i="18"/>
  <c r="AR29" i="18"/>
  <c r="AQ29" i="18"/>
  <c r="AP29" i="18"/>
  <c r="AO29" i="18"/>
  <c r="AN29" i="18"/>
  <c r="AM29" i="18"/>
  <c r="AL29" i="18"/>
  <c r="AK29" i="18"/>
  <c r="AJ29" i="18"/>
  <c r="AI29" i="18"/>
  <c r="AH29" i="18"/>
  <c r="AG29" i="18"/>
  <c r="AF29" i="18"/>
  <c r="AE29" i="18"/>
  <c r="AD29" i="18"/>
  <c r="AC29" i="18"/>
  <c r="AB29" i="18"/>
  <c r="AA29" i="18"/>
  <c r="Z29" i="18"/>
  <c r="Y29" i="18"/>
  <c r="X29" i="18"/>
  <c r="W29" i="18"/>
  <c r="V29" i="18"/>
  <c r="U29" i="18"/>
  <c r="T29" i="18"/>
  <c r="S29" i="18"/>
  <c r="R29" i="18"/>
  <c r="Q29" i="18"/>
  <c r="P29" i="18"/>
  <c r="O29" i="18"/>
  <c r="N29" i="18"/>
  <c r="M29" i="18"/>
  <c r="L29" i="18"/>
  <c r="K29" i="18"/>
  <c r="J29" i="18"/>
  <c r="I29" i="18"/>
  <c r="H29" i="18"/>
  <c r="G29" i="18"/>
  <c r="F29" i="18"/>
  <c r="E29" i="18"/>
  <c r="D29" i="18"/>
  <c r="C29" i="18"/>
  <c r="B29" i="18"/>
  <c r="A29" i="18"/>
  <c r="CY28" i="18"/>
  <c r="CK28" i="18"/>
  <c r="CJ28" i="18"/>
  <c r="CI28" i="18"/>
  <c r="CH28" i="18"/>
  <c r="CG28" i="18"/>
  <c r="CF28" i="18"/>
  <c r="CE28" i="18"/>
  <c r="CD28" i="18"/>
  <c r="CC28" i="18"/>
  <c r="CB28" i="18"/>
  <c r="CA28" i="18"/>
  <c r="BZ28" i="18"/>
  <c r="BY28" i="18"/>
  <c r="BA28" i="18"/>
  <c r="AZ28" i="18"/>
  <c r="AY28" i="18"/>
  <c r="AX28" i="18"/>
  <c r="AW28" i="18"/>
  <c r="AV28" i="18"/>
  <c r="AU28" i="18"/>
  <c r="AT28" i="18"/>
  <c r="AS28" i="18"/>
  <c r="AR28" i="18"/>
  <c r="AQ28" i="18"/>
  <c r="AP28" i="18"/>
  <c r="AO28" i="18"/>
  <c r="AN28" i="18"/>
  <c r="AM28" i="18"/>
  <c r="AL28" i="18"/>
  <c r="AK28" i="18"/>
  <c r="AJ28" i="18"/>
  <c r="AI28" i="18"/>
  <c r="AH28" i="18"/>
  <c r="AG28" i="18"/>
  <c r="AF28" i="18"/>
  <c r="AE28" i="18"/>
  <c r="AD28" i="18"/>
  <c r="AC28" i="18"/>
  <c r="AB28" i="18"/>
  <c r="AA28" i="18"/>
  <c r="Z28" i="18"/>
  <c r="Y28" i="18"/>
  <c r="X28" i="18"/>
  <c r="W28" i="18"/>
  <c r="V28" i="18"/>
  <c r="U28" i="18"/>
  <c r="T28" i="18"/>
  <c r="S28" i="18"/>
  <c r="R28" i="18"/>
  <c r="Q28" i="18"/>
  <c r="P28" i="18"/>
  <c r="O28" i="18"/>
  <c r="N28" i="18"/>
  <c r="M28" i="18"/>
  <c r="L28" i="18"/>
  <c r="K28" i="18"/>
  <c r="J28" i="18"/>
  <c r="I28" i="18"/>
  <c r="H28" i="18"/>
  <c r="G28" i="18"/>
  <c r="F28" i="18"/>
  <c r="E28" i="18"/>
  <c r="D28" i="18"/>
  <c r="C28" i="18"/>
  <c r="B28" i="18"/>
  <c r="A28" i="18"/>
  <c r="CZ27" i="18"/>
  <c r="CY27" i="18"/>
  <c r="CX27" i="18"/>
  <c r="CW27" i="18"/>
  <c r="CV27" i="18"/>
  <c r="CU27" i="18"/>
  <c r="CT27" i="18"/>
  <c r="CS27" i="18"/>
  <c r="CR27" i="18"/>
  <c r="CQ27" i="18"/>
  <c r="CP27" i="18"/>
  <c r="CO27" i="18"/>
  <c r="CN27" i="18"/>
  <c r="CM27" i="18"/>
  <c r="CL27" i="18"/>
  <c r="CK27" i="18"/>
  <c r="CJ27" i="18"/>
  <c r="CI27" i="18"/>
  <c r="CH27" i="18"/>
  <c r="CG27" i="18"/>
  <c r="CF27" i="18"/>
  <c r="CE27" i="18"/>
  <c r="CD27" i="18"/>
  <c r="CC27" i="18"/>
  <c r="CB27" i="18"/>
  <c r="CA27" i="18"/>
  <c r="BZ27" i="18"/>
  <c r="BY27" i="18"/>
  <c r="BX27" i="18"/>
  <c r="BW27" i="18"/>
  <c r="BV27" i="18"/>
  <c r="BU27" i="18"/>
  <c r="BT27" i="18"/>
  <c r="BS27" i="18"/>
  <c r="BR27" i="18"/>
  <c r="BQ27" i="18"/>
  <c r="BP27" i="18"/>
  <c r="BO27" i="18"/>
  <c r="BN27" i="18"/>
  <c r="BM27" i="18"/>
  <c r="BL27" i="18"/>
  <c r="BK27" i="18"/>
  <c r="BJ27" i="18"/>
  <c r="BI27" i="18"/>
  <c r="BH27" i="18"/>
  <c r="BG27" i="18"/>
  <c r="BF27" i="18"/>
  <c r="BE27" i="18"/>
  <c r="BD27" i="18"/>
  <c r="BC27" i="18"/>
  <c r="BB27" i="18"/>
  <c r="BA27" i="18"/>
  <c r="AZ27" i="18"/>
  <c r="AY27" i="18"/>
  <c r="AX27" i="18"/>
  <c r="AW27" i="18"/>
  <c r="AV27" i="18"/>
  <c r="AU27" i="18"/>
  <c r="AT27" i="18"/>
  <c r="AS27" i="18"/>
  <c r="AR27" i="18"/>
  <c r="AQ27" i="18"/>
  <c r="AP27" i="18"/>
  <c r="AO27" i="18"/>
  <c r="AN27" i="18"/>
  <c r="AM27" i="18"/>
  <c r="AL27" i="18"/>
  <c r="AK27" i="18"/>
  <c r="AJ27" i="18"/>
  <c r="AI27" i="18"/>
  <c r="AH27" i="18"/>
  <c r="AG27" i="18"/>
  <c r="AF27" i="18"/>
  <c r="AE27" i="18"/>
  <c r="AD27" i="18"/>
  <c r="AC27" i="18"/>
  <c r="AB27" i="18"/>
  <c r="AA27" i="18"/>
  <c r="Z27" i="18"/>
  <c r="Y27" i="18"/>
  <c r="X27" i="18"/>
  <c r="W27" i="18"/>
  <c r="V27" i="18"/>
  <c r="U27" i="18"/>
  <c r="T27" i="18"/>
  <c r="S27" i="18"/>
  <c r="R27" i="18"/>
  <c r="Q27" i="18"/>
  <c r="P27" i="18"/>
  <c r="O27" i="18"/>
  <c r="N27" i="18"/>
  <c r="M27" i="18"/>
  <c r="L27" i="18"/>
  <c r="K27" i="18"/>
  <c r="J27" i="18"/>
  <c r="I27" i="18"/>
  <c r="H27" i="18"/>
  <c r="G27" i="18"/>
  <c r="F27" i="18"/>
  <c r="E27" i="18"/>
  <c r="D27" i="18"/>
  <c r="C27" i="18"/>
  <c r="B27" i="18"/>
  <c r="A27" i="18"/>
  <c r="CZ26" i="18"/>
  <c r="CY26" i="18"/>
  <c r="CI26" i="18"/>
  <c r="CH26" i="18"/>
  <c r="CG26" i="18"/>
  <c r="CF26" i="18"/>
  <c r="CE26" i="18"/>
  <c r="CD26" i="18"/>
  <c r="CC26" i="18"/>
  <c r="CB26" i="18"/>
  <c r="CA26" i="18"/>
  <c r="BZ26" i="18"/>
  <c r="BY26" i="18"/>
  <c r="AR26" i="18"/>
  <c r="AQ26" i="18"/>
  <c r="AP26" i="18"/>
  <c r="AO26" i="18"/>
  <c r="AN26" i="18"/>
  <c r="AM26" i="18"/>
  <c r="AL26" i="18"/>
  <c r="AK26" i="18"/>
  <c r="AJ26" i="18"/>
  <c r="AI26" i="18"/>
  <c r="AH26" i="18"/>
  <c r="AG26" i="18"/>
  <c r="AF26" i="18"/>
  <c r="AE26" i="18"/>
  <c r="AD26" i="18"/>
  <c r="AC26" i="18"/>
  <c r="AB26" i="18"/>
  <c r="AA26" i="18"/>
  <c r="Z26" i="18"/>
  <c r="Y26" i="18"/>
  <c r="X26" i="18"/>
  <c r="W26" i="18"/>
  <c r="V26" i="18"/>
  <c r="U26" i="18"/>
  <c r="T26" i="18"/>
  <c r="S26" i="18"/>
  <c r="R26" i="18"/>
  <c r="Q26" i="18"/>
  <c r="P26" i="18"/>
  <c r="O26" i="18"/>
  <c r="N26" i="18"/>
  <c r="M26" i="18"/>
  <c r="L26" i="18"/>
  <c r="K26" i="18"/>
  <c r="J26" i="18"/>
  <c r="I26" i="18"/>
  <c r="H26" i="18"/>
  <c r="G26" i="18"/>
  <c r="F26" i="18"/>
  <c r="E26" i="18"/>
  <c r="D26" i="18"/>
  <c r="C26" i="18"/>
  <c r="B26" i="18"/>
  <c r="A26" i="18"/>
  <c r="CZ25" i="18"/>
  <c r="CY25" i="18"/>
  <c r="CI25" i="18"/>
  <c r="CH25" i="18"/>
  <c r="CG25" i="18"/>
  <c r="CF25" i="18"/>
  <c r="CE25" i="18"/>
  <c r="CD25" i="18"/>
  <c r="CC25" i="18"/>
  <c r="CB25" i="18"/>
  <c r="CA25" i="18"/>
  <c r="BZ25" i="18"/>
  <c r="BY25" i="18"/>
  <c r="AR25" i="18"/>
  <c r="AQ25" i="18"/>
  <c r="AP25" i="18"/>
  <c r="AO25" i="18"/>
  <c r="AN25" i="18"/>
  <c r="AM25" i="18"/>
  <c r="AL25" i="18"/>
  <c r="AK25" i="18"/>
  <c r="AJ25" i="18"/>
  <c r="AI25" i="18"/>
  <c r="AH25" i="18"/>
  <c r="AG25" i="18"/>
  <c r="AF25" i="18"/>
  <c r="AE25" i="18"/>
  <c r="AD25" i="18"/>
  <c r="AC25" i="18"/>
  <c r="AB25" i="18"/>
  <c r="AA25" i="18"/>
  <c r="Z25" i="18"/>
  <c r="Y25" i="18"/>
  <c r="X25" i="18"/>
  <c r="W25" i="18"/>
  <c r="V25" i="18"/>
  <c r="U25" i="18"/>
  <c r="T25" i="18"/>
  <c r="S25" i="18"/>
  <c r="R25" i="18"/>
  <c r="Q25" i="18"/>
  <c r="P25" i="18"/>
  <c r="O25" i="18"/>
  <c r="N25" i="18"/>
  <c r="M25" i="18"/>
  <c r="L25" i="18"/>
  <c r="K25" i="18"/>
  <c r="J25" i="18"/>
  <c r="I25" i="18"/>
  <c r="H25" i="18"/>
  <c r="G25" i="18"/>
  <c r="F25" i="18"/>
  <c r="E25" i="18"/>
  <c r="D25" i="18"/>
  <c r="C25" i="18"/>
  <c r="B25" i="18"/>
  <c r="A25" i="18"/>
  <c r="CZ24" i="18"/>
  <c r="CY24" i="18"/>
  <c r="CI24" i="18"/>
  <c r="CH24" i="18"/>
  <c r="CG24" i="18"/>
  <c r="CF24" i="18"/>
  <c r="CE24" i="18"/>
  <c r="CD24" i="18"/>
  <c r="CC24" i="18"/>
  <c r="CB24" i="18"/>
  <c r="CA24" i="18"/>
  <c r="BZ24" i="18"/>
  <c r="BY24" i="18"/>
  <c r="AR24" i="18"/>
  <c r="AQ24" i="18"/>
  <c r="AP24" i="18"/>
  <c r="AO24" i="18"/>
  <c r="AN24" i="18"/>
  <c r="AM24" i="18"/>
  <c r="AL24" i="18"/>
  <c r="AK24" i="18"/>
  <c r="AJ24" i="18"/>
  <c r="AI24" i="18"/>
  <c r="AH24" i="18"/>
  <c r="AG24" i="18"/>
  <c r="AF24" i="18"/>
  <c r="AE24" i="18"/>
  <c r="AD24" i="18"/>
  <c r="AC24" i="18"/>
  <c r="AB24" i="18"/>
  <c r="AA24" i="18"/>
  <c r="Z24" i="18"/>
  <c r="Y24" i="18"/>
  <c r="X24" i="18"/>
  <c r="W24" i="18"/>
  <c r="V24" i="18"/>
  <c r="U24" i="18"/>
  <c r="T24" i="18"/>
  <c r="S24" i="18"/>
  <c r="R24" i="18"/>
  <c r="Q24" i="18"/>
  <c r="P24" i="18"/>
  <c r="O24" i="18"/>
  <c r="N24" i="18"/>
  <c r="M24" i="18"/>
  <c r="L24" i="18"/>
  <c r="K24" i="18"/>
  <c r="J24" i="18"/>
  <c r="I24" i="18"/>
  <c r="H24" i="18"/>
  <c r="G24" i="18"/>
  <c r="F24" i="18"/>
  <c r="E24" i="18"/>
  <c r="D24" i="18"/>
  <c r="C24" i="18"/>
  <c r="B24" i="18"/>
  <c r="A24" i="18"/>
  <c r="CI23" i="18"/>
  <c r="CH23" i="18"/>
  <c r="CG23" i="18"/>
  <c r="CF23" i="18"/>
  <c r="CE23" i="18"/>
  <c r="CD23" i="18"/>
  <c r="CC23" i="18"/>
  <c r="CB23" i="18"/>
  <c r="CA23" i="18"/>
  <c r="BZ23" i="18"/>
  <c r="BY23" i="18"/>
  <c r="AR23" i="18"/>
  <c r="AQ23" i="18"/>
  <c r="AP23" i="18"/>
  <c r="AO23" i="18"/>
  <c r="AN23" i="18"/>
  <c r="AM23" i="18"/>
  <c r="AL23" i="18"/>
  <c r="AK23" i="18"/>
  <c r="AJ23" i="18"/>
  <c r="AI23" i="18"/>
  <c r="AH23" i="18"/>
  <c r="AG23" i="18"/>
  <c r="AF23" i="18"/>
  <c r="AE23" i="18"/>
  <c r="AD23" i="18"/>
  <c r="AC23" i="18"/>
  <c r="AB23" i="18"/>
  <c r="AA23" i="18"/>
  <c r="Z23" i="18"/>
  <c r="Y23" i="18"/>
  <c r="X23" i="18"/>
  <c r="W23" i="18"/>
  <c r="V23" i="18"/>
  <c r="U23" i="18"/>
  <c r="T23" i="18"/>
  <c r="S23" i="18"/>
  <c r="R23" i="18"/>
  <c r="Q23" i="18"/>
  <c r="P23" i="18"/>
  <c r="O23" i="18"/>
  <c r="N23" i="18"/>
  <c r="M23" i="18"/>
  <c r="L23" i="18"/>
  <c r="K23" i="18"/>
  <c r="J23" i="18"/>
  <c r="I23" i="18"/>
  <c r="H23" i="18"/>
  <c r="G23" i="18"/>
  <c r="F23" i="18"/>
  <c r="E23" i="18"/>
  <c r="D23" i="18"/>
  <c r="C23" i="18"/>
  <c r="B23" i="18"/>
  <c r="A23" i="18"/>
  <c r="CZ22" i="18"/>
  <c r="CY22" i="18"/>
  <c r="CX22" i="18"/>
  <c r="CW22" i="18"/>
  <c r="CV22" i="18"/>
  <c r="CU22" i="18"/>
  <c r="CT22" i="18"/>
  <c r="CS22" i="18"/>
  <c r="CR22" i="18"/>
  <c r="CQ22" i="18"/>
  <c r="CP22" i="18"/>
  <c r="CO22" i="18"/>
  <c r="CN22" i="18"/>
  <c r="CM22" i="18"/>
  <c r="CL22" i="18"/>
  <c r="CK22" i="18"/>
  <c r="CJ22" i="18"/>
  <c r="CI22" i="18"/>
  <c r="CH22" i="18"/>
  <c r="CG22" i="18"/>
  <c r="CF22" i="18"/>
  <c r="CE22" i="18"/>
  <c r="CD22" i="18"/>
  <c r="CC22" i="18"/>
  <c r="CB22" i="18"/>
  <c r="CA22" i="18"/>
  <c r="BZ22" i="18"/>
  <c r="BY22" i="18"/>
  <c r="BX22" i="18"/>
  <c r="BW22" i="18"/>
  <c r="BV22" i="18"/>
  <c r="BU22" i="18"/>
  <c r="BT22" i="18"/>
  <c r="BS22" i="18"/>
  <c r="BR22" i="18"/>
  <c r="BQ22" i="18"/>
  <c r="BP22" i="18"/>
  <c r="BO22" i="18"/>
  <c r="BN22" i="18"/>
  <c r="BM22" i="18"/>
  <c r="BL22" i="18"/>
  <c r="BK22" i="18"/>
  <c r="BJ22" i="18"/>
  <c r="BI22" i="18"/>
  <c r="BH22" i="18"/>
  <c r="BG22" i="18"/>
  <c r="BF22" i="18"/>
  <c r="BE22" i="18"/>
  <c r="BD22" i="18"/>
  <c r="BC22" i="18"/>
  <c r="BB22" i="18"/>
  <c r="BA22" i="18"/>
  <c r="AZ22" i="18"/>
  <c r="AY22" i="18"/>
  <c r="AX22" i="18"/>
  <c r="AW22" i="18"/>
  <c r="AV22" i="18"/>
  <c r="AU22" i="18"/>
  <c r="AT22" i="18"/>
  <c r="AS22" i="18"/>
  <c r="AR22" i="18"/>
  <c r="AQ22" i="18"/>
  <c r="AP22" i="18"/>
  <c r="AO22" i="18"/>
  <c r="AN22" i="18"/>
  <c r="AM22" i="18"/>
  <c r="AL22" i="18"/>
  <c r="AK22" i="18"/>
  <c r="AJ22" i="18"/>
  <c r="AI22" i="18"/>
  <c r="AH22" i="18"/>
  <c r="AG22" i="18"/>
  <c r="AF22" i="18"/>
  <c r="AE22" i="18"/>
  <c r="AD22" i="18"/>
  <c r="AC22" i="18"/>
  <c r="AB22" i="18"/>
  <c r="AA22" i="18"/>
  <c r="Z22" i="18"/>
  <c r="Y22" i="18"/>
  <c r="X22" i="18"/>
  <c r="W22" i="18"/>
  <c r="V22" i="18"/>
  <c r="U22" i="18"/>
  <c r="T22" i="18"/>
  <c r="S22" i="18"/>
  <c r="R22" i="18"/>
  <c r="Q22" i="18"/>
  <c r="P22" i="18"/>
  <c r="O22" i="18"/>
  <c r="N22" i="18"/>
  <c r="M22" i="18"/>
  <c r="L22" i="18"/>
  <c r="K22" i="18"/>
  <c r="J22" i="18"/>
  <c r="I22" i="18"/>
  <c r="H22" i="18"/>
  <c r="G22" i="18"/>
  <c r="F22" i="18"/>
  <c r="E22" i="18"/>
  <c r="D22" i="18"/>
  <c r="C22" i="18"/>
  <c r="B22" i="18"/>
  <c r="A22" i="18"/>
  <c r="CI21" i="18"/>
  <c r="CH21" i="18"/>
  <c r="CG21" i="18"/>
  <c r="CF21" i="18"/>
  <c r="CE21" i="18"/>
  <c r="CD21" i="18"/>
  <c r="CC21" i="18"/>
  <c r="CB21" i="18"/>
  <c r="CA21" i="18"/>
  <c r="BZ21" i="18"/>
  <c r="BY21" i="18"/>
  <c r="AR21" i="18"/>
  <c r="AQ21" i="18"/>
  <c r="AP21" i="18"/>
  <c r="AO21" i="18"/>
  <c r="AN21" i="18"/>
  <c r="AM21" i="18"/>
  <c r="AL21" i="18"/>
  <c r="AK21" i="18"/>
  <c r="AJ21" i="18"/>
  <c r="AI21" i="18"/>
  <c r="AH21" i="18"/>
  <c r="AG21" i="18"/>
  <c r="AF21" i="18"/>
  <c r="AE21" i="18"/>
  <c r="AD21" i="18"/>
  <c r="AC21" i="18"/>
  <c r="AB21" i="18"/>
  <c r="AA21" i="18"/>
  <c r="Z21" i="18"/>
  <c r="Y21" i="18"/>
  <c r="X21" i="18"/>
  <c r="W21" i="18"/>
  <c r="V21" i="18"/>
  <c r="U21" i="18"/>
  <c r="T21" i="18"/>
  <c r="S21" i="18"/>
  <c r="R21" i="18"/>
  <c r="Q21" i="18"/>
  <c r="P21" i="18"/>
  <c r="O21" i="18"/>
  <c r="N21" i="18"/>
  <c r="M21" i="18"/>
  <c r="L21" i="18"/>
  <c r="K21" i="18"/>
  <c r="J21" i="18"/>
  <c r="I21" i="18"/>
  <c r="H21" i="18"/>
  <c r="G21" i="18"/>
  <c r="F21" i="18"/>
  <c r="E21" i="18"/>
  <c r="D21" i="18"/>
  <c r="C21" i="18"/>
  <c r="B21" i="18"/>
  <c r="A21" i="18"/>
  <c r="CZ20" i="18"/>
  <c r="CY20" i="18"/>
  <c r="CX20" i="18"/>
  <c r="CW20" i="18"/>
  <c r="CV20" i="18"/>
  <c r="CU20" i="18"/>
  <c r="CT20" i="18"/>
  <c r="CS20" i="18"/>
  <c r="CR20" i="18"/>
  <c r="CQ20" i="18"/>
  <c r="CP20" i="18"/>
  <c r="CO20" i="18"/>
  <c r="CN20" i="18"/>
  <c r="CM20" i="18"/>
  <c r="CL20" i="18"/>
  <c r="CK20" i="18"/>
  <c r="CJ20" i="18"/>
  <c r="CI20" i="18"/>
  <c r="CH20" i="18"/>
  <c r="CG20" i="18"/>
  <c r="CF20" i="18"/>
  <c r="CE20" i="18"/>
  <c r="CD20" i="18"/>
  <c r="CC20" i="18"/>
  <c r="CB20" i="18"/>
  <c r="CA20" i="18"/>
  <c r="BZ20" i="18"/>
  <c r="BY20" i="18"/>
  <c r="BX20" i="18"/>
  <c r="BW20" i="18"/>
  <c r="BV20" i="18"/>
  <c r="BU20" i="18"/>
  <c r="BT20" i="18"/>
  <c r="BS20" i="18"/>
  <c r="BR20" i="18"/>
  <c r="BQ20" i="18"/>
  <c r="BP20" i="18"/>
  <c r="BO20" i="18"/>
  <c r="BN20" i="18"/>
  <c r="BM20" i="18"/>
  <c r="BL20" i="18"/>
  <c r="BK20" i="18"/>
  <c r="BJ20" i="18"/>
  <c r="BI20" i="18"/>
  <c r="BH20" i="18"/>
  <c r="BG20" i="18"/>
  <c r="BF20" i="18"/>
  <c r="BE20" i="18"/>
  <c r="BD20" i="18"/>
  <c r="BC20" i="18"/>
  <c r="BB20" i="18"/>
  <c r="BA20" i="18"/>
  <c r="AZ20" i="18"/>
  <c r="AY20" i="18"/>
  <c r="AX20" i="18"/>
  <c r="AW20" i="18"/>
  <c r="AV20" i="18"/>
  <c r="AU20" i="18"/>
  <c r="AT20" i="18"/>
  <c r="AS20" i="18"/>
  <c r="AR20" i="18"/>
  <c r="AQ20" i="18"/>
  <c r="AP20" i="18"/>
  <c r="AO20" i="18"/>
  <c r="AN20" i="18"/>
  <c r="AM20" i="18"/>
  <c r="AL20" i="18"/>
  <c r="AK20" i="18"/>
  <c r="AJ20" i="18"/>
  <c r="AI20" i="18"/>
  <c r="AH20" i="18"/>
  <c r="AG20" i="18"/>
  <c r="AF20" i="18"/>
  <c r="AE20" i="18"/>
  <c r="AD20" i="18"/>
  <c r="AC20" i="18"/>
  <c r="AB20" i="18"/>
  <c r="AA20" i="18"/>
  <c r="Z20" i="18"/>
  <c r="Y20" i="18"/>
  <c r="X20" i="18"/>
  <c r="W20" i="18"/>
  <c r="V20" i="18"/>
  <c r="U20" i="18"/>
  <c r="T20" i="18"/>
  <c r="S20" i="18"/>
  <c r="R20" i="18"/>
  <c r="Q20" i="18"/>
  <c r="P20" i="18"/>
  <c r="O20" i="18"/>
  <c r="N20" i="18"/>
  <c r="M20" i="18"/>
  <c r="L20" i="18"/>
  <c r="K20" i="18"/>
  <c r="J20" i="18"/>
  <c r="I20" i="18"/>
  <c r="H20" i="18"/>
  <c r="G20" i="18"/>
  <c r="F20" i="18"/>
  <c r="E20" i="18"/>
  <c r="D20" i="18"/>
  <c r="C20" i="18"/>
  <c r="B20" i="18"/>
  <c r="A20" i="18"/>
  <c r="CI19" i="18"/>
  <c r="CH19" i="18"/>
  <c r="CG19" i="18"/>
  <c r="CF19" i="18"/>
  <c r="CE19" i="18"/>
  <c r="CD19" i="18"/>
  <c r="CC19" i="18"/>
  <c r="CB19" i="18"/>
  <c r="CA19" i="18"/>
  <c r="BZ19" i="18"/>
  <c r="BY19" i="18"/>
  <c r="BT19" i="18"/>
  <c r="BS19" i="18"/>
  <c r="BR19" i="18"/>
  <c r="BQ19" i="18"/>
  <c r="BP19" i="18"/>
  <c r="BO19" i="18"/>
  <c r="BN19" i="18"/>
  <c r="BM19" i="18"/>
  <c r="BL19" i="18"/>
  <c r="BK19" i="18"/>
  <c r="BJ19" i="18"/>
  <c r="BI19" i="18"/>
  <c r="BH19" i="18"/>
  <c r="BG19" i="18"/>
  <c r="BF19" i="18"/>
  <c r="BE19" i="18"/>
  <c r="BD19" i="18"/>
  <c r="BC19" i="18"/>
  <c r="BB19" i="18"/>
  <c r="BA19" i="18"/>
  <c r="AZ19" i="18"/>
  <c r="AY19" i="18"/>
  <c r="AX19" i="18"/>
  <c r="AW19" i="18"/>
  <c r="AV19" i="18"/>
  <c r="AU19" i="18"/>
  <c r="AT19" i="18"/>
  <c r="AS19" i="18"/>
  <c r="AR19" i="18"/>
  <c r="AQ19" i="18"/>
  <c r="AP19" i="18"/>
  <c r="AO19" i="18"/>
  <c r="AN19" i="18"/>
  <c r="AM19" i="18"/>
  <c r="AL19" i="18"/>
  <c r="AK19" i="18"/>
  <c r="AJ19" i="18"/>
  <c r="AI19" i="18"/>
  <c r="AH19" i="18"/>
  <c r="AG19" i="18"/>
  <c r="AF19" i="18"/>
  <c r="AE19" i="18"/>
  <c r="AD19" i="18"/>
  <c r="AC19" i="18"/>
  <c r="AB19" i="18"/>
  <c r="AA19" i="18"/>
  <c r="Z19" i="18"/>
  <c r="Y19" i="18"/>
  <c r="X19" i="18"/>
  <c r="W19" i="18"/>
  <c r="V19" i="18"/>
  <c r="U19" i="18"/>
  <c r="T19" i="18"/>
  <c r="S19" i="18"/>
  <c r="R19" i="18"/>
  <c r="Q19" i="18"/>
  <c r="P19" i="18"/>
  <c r="O19" i="18"/>
  <c r="N19" i="18"/>
  <c r="M19" i="18"/>
  <c r="L19" i="18"/>
  <c r="K19" i="18"/>
  <c r="J19" i="18"/>
  <c r="I19" i="18"/>
  <c r="H19" i="18"/>
  <c r="G19" i="18"/>
  <c r="F19" i="18"/>
  <c r="E19" i="18"/>
  <c r="D19" i="18"/>
  <c r="C19" i="18"/>
  <c r="B19" i="18"/>
  <c r="A19" i="18"/>
  <c r="CZ18" i="18"/>
  <c r="CY18" i="18"/>
  <c r="CX18" i="18"/>
  <c r="CW18" i="18"/>
  <c r="CV18" i="18"/>
  <c r="CU18" i="18"/>
  <c r="CT18" i="18"/>
  <c r="CS18" i="18"/>
  <c r="CR18" i="18"/>
  <c r="CQ18" i="18"/>
  <c r="CP18" i="18"/>
  <c r="CO18" i="18"/>
  <c r="CN18" i="18"/>
  <c r="CM18" i="18"/>
  <c r="CL18" i="18"/>
  <c r="CK18" i="18"/>
  <c r="CJ18" i="18"/>
  <c r="CI18" i="18"/>
  <c r="CH18" i="18"/>
  <c r="CG18" i="18"/>
  <c r="CF18" i="18"/>
  <c r="CE18" i="18"/>
  <c r="CD18" i="18"/>
  <c r="CC18" i="18"/>
  <c r="CB18" i="18"/>
  <c r="CA18" i="18"/>
  <c r="BZ18" i="18"/>
  <c r="BY18" i="18"/>
  <c r="BX18" i="18"/>
  <c r="BW18" i="18"/>
  <c r="BV18" i="18"/>
  <c r="BU18" i="18"/>
  <c r="BT18" i="18"/>
  <c r="BS18" i="18"/>
  <c r="BR18" i="18"/>
  <c r="BQ18" i="18"/>
  <c r="BP18" i="18"/>
  <c r="BO18" i="18"/>
  <c r="BN18" i="18"/>
  <c r="BM18" i="18"/>
  <c r="BL18" i="18"/>
  <c r="BK18" i="18"/>
  <c r="BJ18" i="18"/>
  <c r="BI18" i="18"/>
  <c r="BH18" i="18"/>
  <c r="BG18" i="18"/>
  <c r="BF18" i="18"/>
  <c r="BE18" i="18"/>
  <c r="BD18" i="18"/>
  <c r="BC18" i="18"/>
  <c r="BB18" i="18"/>
  <c r="BA18" i="18"/>
  <c r="AZ18" i="18"/>
  <c r="AY18" i="18"/>
  <c r="AX18" i="18"/>
  <c r="AW18" i="18"/>
  <c r="AV18" i="18"/>
  <c r="AU18" i="18"/>
  <c r="AT18" i="18"/>
  <c r="AS18" i="18"/>
  <c r="AR18" i="18"/>
  <c r="AQ18" i="18"/>
  <c r="AP18" i="18"/>
  <c r="AO18" i="18"/>
  <c r="AN18" i="18"/>
  <c r="AM18" i="18"/>
  <c r="AL18" i="18"/>
  <c r="AK18" i="18"/>
  <c r="AJ18" i="18"/>
  <c r="AI18" i="18"/>
  <c r="AH18" i="18"/>
  <c r="AG18" i="18"/>
  <c r="AF18" i="18"/>
  <c r="AE18" i="18"/>
  <c r="AD18" i="18"/>
  <c r="AC18" i="18"/>
  <c r="AB18" i="18"/>
  <c r="AA18" i="18"/>
  <c r="Z18" i="18"/>
  <c r="Y18" i="18"/>
  <c r="X18" i="18"/>
  <c r="W18" i="18"/>
  <c r="V18" i="18"/>
  <c r="U18" i="18"/>
  <c r="T18" i="18"/>
  <c r="S18" i="18"/>
  <c r="R18" i="18"/>
  <c r="Q18" i="18"/>
  <c r="P18" i="18"/>
  <c r="O18" i="18"/>
  <c r="N18" i="18"/>
  <c r="M18" i="18"/>
  <c r="L18" i="18"/>
  <c r="K18" i="18"/>
  <c r="J18" i="18"/>
  <c r="I18" i="18"/>
  <c r="H18" i="18"/>
  <c r="G18" i="18"/>
  <c r="F18" i="18"/>
  <c r="E18" i="18"/>
  <c r="D18" i="18"/>
  <c r="C18" i="18"/>
  <c r="B18" i="18"/>
  <c r="A18" i="18"/>
  <c r="CZ17" i="18"/>
  <c r="CY17" i="18"/>
  <c r="CH17" i="18"/>
  <c r="CG17" i="18"/>
  <c r="CF17" i="18"/>
  <c r="CE17" i="18"/>
  <c r="CD17" i="18"/>
  <c r="CC17" i="18"/>
  <c r="CB17" i="18"/>
  <c r="CA17" i="18"/>
  <c r="BZ17" i="18"/>
  <c r="BY17" i="18"/>
  <c r="AQ17" i="18"/>
  <c r="AP17" i="18"/>
  <c r="AO17" i="18"/>
  <c r="AN17" i="18"/>
  <c r="AM17" i="18"/>
  <c r="AL17" i="18"/>
  <c r="AK17" i="18"/>
  <c r="AJ17" i="18"/>
  <c r="AI17" i="18"/>
  <c r="AH17" i="18"/>
  <c r="AG17" i="18"/>
  <c r="AF17" i="18"/>
  <c r="AE17" i="18"/>
  <c r="AD17" i="18"/>
  <c r="AC17" i="18"/>
  <c r="AB17" i="18"/>
  <c r="AA17" i="18"/>
  <c r="Z17" i="18"/>
  <c r="Y17" i="18"/>
  <c r="X17" i="18"/>
  <c r="W17" i="18"/>
  <c r="V17" i="18"/>
  <c r="U17" i="18"/>
  <c r="T17" i="18"/>
  <c r="S17" i="18"/>
  <c r="R17" i="18"/>
  <c r="Q17" i="18"/>
  <c r="P17" i="18"/>
  <c r="O17" i="18"/>
  <c r="N17" i="18"/>
  <c r="M17" i="18"/>
  <c r="L17" i="18"/>
  <c r="K17" i="18"/>
  <c r="J17" i="18"/>
  <c r="I17" i="18"/>
  <c r="H17" i="18"/>
  <c r="G17" i="18"/>
  <c r="F17" i="18"/>
  <c r="E17" i="18"/>
  <c r="D17" i="18"/>
  <c r="C17" i="18"/>
  <c r="B17" i="18"/>
  <c r="A17" i="18"/>
  <c r="CZ16" i="18"/>
  <c r="CY16" i="18"/>
  <c r="CH16" i="18"/>
  <c r="CG16" i="18"/>
  <c r="CF16" i="18"/>
  <c r="CE16" i="18"/>
  <c r="CD16" i="18"/>
  <c r="CC16" i="18"/>
  <c r="CB16" i="18"/>
  <c r="CA16" i="18"/>
  <c r="BZ16" i="18"/>
  <c r="BY16" i="18"/>
  <c r="AQ16" i="18"/>
  <c r="AP16" i="18"/>
  <c r="AO16" i="18"/>
  <c r="AN16" i="18"/>
  <c r="AM16" i="18"/>
  <c r="AL16" i="18"/>
  <c r="AK16" i="18"/>
  <c r="AJ16" i="18"/>
  <c r="AI16" i="18"/>
  <c r="AH16" i="18"/>
  <c r="AG16" i="18"/>
  <c r="AF16" i="18"/>
  <c r="AE16" i="18"/>
  <c r="AD16" i="18"/>
  <c r="AC16" i="18"/>
  <c r="AB16" i="18"/>
  <c r="AA16" i="18"/>
  <c r="Z16" i="18"/>
  <c r="Y16" i="18"/>
  <c r="X16" i="18"/>
  <c r="W16" i="18"/>
  <c r="V16" i="18"/>
  <c r="U16" i="18"/>
  <c r="T16" i="18"/>
  <c r="S16" i="18"/>
  <c r="R16" i="18"/>
  <c r="Q16" i="18"/>
  <c r="P16" i="18"/>
  <c r="O16" i="18"/>
  <c r="N16" i="18"/>
  <c r="M16" i="18"/>
  <c r="L16" i="18"/>
  <c r="K16" i="18"/>
  <c r="J16" i="18"/>
  <c r="I16" i="18"/>
  <c r="H16" i="18"/>
  <c r="G16" i="18"/>
  <c r="F16" i="18"/>
  <c r="E16" i="18"/>
  <c r="D16" i="18"/>
  <c r="C16" i="18"/>
  <c r="B16" i="18"/>
  <c r="A16" i="18"/>
  <c r="CZ15" i="18"/>
  <c r="CY15" i="18"/>
  <c r="CX15" i="18"/>
  <c r="CW15" i="18"/>
  <c r="CV15" i="18"/>
  <c r="CU15" i="18"/>
  <c r="CT15" i="18"/>
  <c r="CS15" i="18"/>
  <c r="CR15" i="18"/>
  <c r="CQ15" i="18"/>
  <c r="CP15" i="18"/>
  <c r="CO15" i="18"/>
  <c r="CN15" i="18"/>
  <c r="CM15" i="18"/>
  <c r="CL15" i="18"/>
  <c r="CK15" i="18"/>
  <c r="CJ15" i="18"/>
  <c r="CI15" i="18"/>
  <c r="CH15" i="18"/>
  <c r="CG15" i="18"/>
  <c r="CF15" i="18"/>
  <c r="CE15" i="18"/>
  <c r="CD15" i="18"/>
  <c r="CC15" i="18"/>
  <c r="CB15" i="18"/>
  <c r="CA15" i="18"/>
  <c r="BZ15" i="18"/>
  <c r="BY15" i="18"/>
  <c r="BX15" i="18"/>
  <c r="BW15" i="18"/>
  <c r="BV15" i="18"/>
  <c r="BU15" i="18"/>
  <c r="BT15" i="18"/>
  <c r="BS15" i="18"/>
  <c r="BR15" i="18"/>
  <c r="BQ15" i="18"/>
  <c r="BP15" i="18"/>
  <c r="BO15" i="18"/>
  <c r="BN15" i="18"/>
  <c r="BM15" i="18"/>
  <c r="BL15" i="18"/>
  <c r="BK15" i="18"/>
  <c r="BJ15" i="18"/>
  <c r="BI15" i="18"/>
  <c r="BH15" i="18"/>
  <c r="BG15" i="18"/>
  <c r="BF15" i="18"/>
  <c r="BE15" i="18"/>
  <c r="BD15" i="18"/>
  <c r="BC15" i="18"/>
  <c r="BB15" i="18"/>
  <c r="BA15" i="18"/>
  <c r="AZ15" i="18"/>
  <c r="AY15" i="18"/>
  <c r="AX15" i="18"/>
  <c r="AW15" i="18"/>
  <c r="AV15" i="18"/>
  <c r="AU15" i="18"/>
  <c r="AT15" i="18"/>
  <c r="AS15" i="18"/>
  <c r="AR15" i="18"/>
  <c r="AQ15" i="18"/>
  <c r="AP15" i="18"/>
  <c r="AO15" i="18"/>
  <c r="AN15" i="18"/>
  <c r="AM15" i="18"/>
  <c r="AL15" i="18"/>
  <c r="AK15" i="18"/>
  <c r="AJ15" i="18"/>
  <c r="AI15" i="18"/>
  <c r="AH15" i="18"/>
  <c r="AG15" i="18"/>
  <c r="AF15" i="18"/>
  <c r="AE15" i="18"/>
  <c r="AD15" i="18"/>
  <c r="AC15" i="18"/>
  <c r="AB15" i="18"/>
  <c r="AA15" i="18"/>
  <c r="Z15" i="18"/>
  <c r="Y15" i="18"/>
  <c r="X15" i="18"/>
  <c r="W15" i="18"/>
  <c r="V15" i="18"/>
  <c r="U15" i="18"/>
  <c r="T15" i="18"/>
  <c r="S15" i="18"/>
  <c r="R15" i="18"/>
  <c r="Q15" i="18"/>
  <c r="P15" i="18"/>
  <c r="O15" i="18"/>
  <c r="N15" i="18"/>
  <c r="M15" i="18"/>
  <c r="L15" i="18"/>
  <c r="K15" i="18"/>
  <c r="J15" i="18"/>
  <c r="I15" i="18"/>
  <c r="H15" i="18"/>
  <c r="G15" i="18"/>
  <c r="F15" i="18"/>
  <c r="E15" i="18"/>
  <c r="D15" i="18"/>
  <c r="C15" i="18"/>
  <c r="B15" i="18"/>
  <c r="A15" i="18"/>
  <c r="CZ14" i="18"/>
  <c r="CY14" i="18"/>
  <c r="CI14" i="18"/>
  <c r="CH14" i="18"/>
  <c r="CG14" i="18"/>
  <c r="CF14" i="18"/>
  <c r="CE14" i="18"/>
  <c r="CD14" i="18"/>
  <c r="CC14" i="18"/>
  <c r="CB14" i="18"/>
  <c r="CA14" i="18"/>
  <c r="BZ14" i="18"/>
  <c r="BY14" i="18"/>
  <c r="AR14" i="18"/>
  <c r="AQ14" i="18"/>
  <c r="AP14" i="18"/>
  <c r="AO14" i="18"/>
  <c r="AN14" i="18"/>
  <c r="AM14" i="18"/>
  <c r="AL14" i="18"/>
  <c r="AK14" i="18"/>
  <c r="AJ14" i="18"/>
  <c r="AI14" i="18"/>
  <c r="AH14" i="18"/>
  <c r="AG14" i="18"/>
  <c r="AF14" i="18"/>
  <c r="AE14" i="18"/>
  <c r="AD14" i="18"/>
  <c r="AC14" i="18"/>
  <c r="AB14" i="18"/>
  <c r="AA14" i="18"/>
  <c r="Z14" i="18"/>
  <c r="Y14" i="18"/>
  <c r="X14" i="18"/>
  <c r="W14" i="18"/>
  <c r="V14" i="18"/>
  <c r="U14" i="18"/>
  <c r="T14" i="18"/>
  <c r="S14" i="18"/>
  <c r="R14" i="18"/>
  <c r="Q14" i="18"/>
  <c r="P14" i="18"/>
  <c r="O14" i="18"/>
  <c r="N14" i="18"/>
  <c r="M14" i="18"/>
  <c r="L14" i="18"/>
  <c r="K14" i="18"/>
  <c r="J14" i="18"/>
  <c r="I14" i="18"/>
  <c r="H14" i="18"/>
  <c r="G14" i="18"/>
  <c r="F14" i="18"/>
  <c r="E14" i="18"/>
  <c r="D14" i="18"/>
  <c r="C14" i="18"/>
  <c r="B14" i="18"/>
  <c r="A14" i="18"/>
  <c r="CI13" i="18"/>
  <c r="CH13" i="18"/>
  <c r="CG13" i="18"/>
  <c r="CF13" i="18"/>
  <c r="CE13" i="18"/>
  <c r="CD13" i="18"/>
  <c r="CC13" i="18"/>
  <c r="CB13" i="18"/>
  <c r="CA13" i="18"/>
  <c r="BZ13" i="18"/>
  <c r="BY13" i="18"/>
  <c r="AR13" i="18"/>
  <c r="AQ13" i="18"/>
  <c r="AP13" i="18"/>
  <c r="AO13" i="18"/>
  <c r="AN13" i="18"/>
  <c r="AM13" i="18"/>
  <c r="AL13" i="18"/>
  <c r="AK13" i="18"/>
  <c r="AJ13" i="18"/>
  <c r="AI13" i="18"/>
  <c r="AH13" i="18"/>
  <c r="AG13" i="18"/>
  <c r="AF13" i="18"/>
  <c r="AE13" i="18"/>
  <c r="AD13" i="18"/>
  <c r="AC13" i="18"/>
  <c r="AB13" i="18"/>
  <c r="AA13" i="18"/>
  <c r="Z13" i="18"/>
  <c r="Y13" i="18"/>
  <c r="X13" i="18"/>
  <c r="W13" i="18"/>
  <c r="V13" i="18"/>
  <c r="U13" i="18"/>
  <c r="T13" i="18"/>
  <c r="S13" i="18"/>
  <c r="R13" i="18"/>
  <c r="Q13" i="18"/>
  <c r="P13" i="18"/>
  <c r="O13" i="18"/>
  <c r="N13" i="18"/>
  <c r="M13" i="18"/>
  <c r="L13" i="18"/>
  <c r="K13" i="18"/>
  <c r="J13" i="18"/>
  <c r="I13" i="18"/>
  <c r="H13" i="18"/>
  <c r="G13" i="18"/>
  <c r="F13" i="18"/>
  <c r="E13" i="18"/>
  <c r="D13" i="18"/>
  <c r="C13" i="18"/>
  <c r="B13" i="18"/>
  <c r="A13" i="18"/>
  <c r="CM12" i="18"/>
  <c r="CI12" i="18"/>
  <c r="CH12" i="18"/>
  <c r="CG12" i="18"/>
  <c r="CF12" i="18"/>
  <c r="CE12" i="18"/>
  <c r="CD12" i="18"/>
  <c r="CC12" i="18"/>
  <c r="CB12" i="18"/>
  <c r="CA12" i="18"/>
  <c r="BZ12" i="18"/>
  <c r="BY12" i="18"/>
  <c r="BT12" i="18"/>
  <c r="BS12" i="18"/>
  <c r="BR12" i="18"/>
  <c r="BQ12" i="18"/>
  <c r="BP12" i="18"/>
  <c r="BO12" i="18"/>
  <c r="BN12" i="18"/>
  <c r="BM12" i="18"/>
  <c r="BL12" i="18"/>
  <c r="BK12" i="18"/>
  <c r="BJ12" i="18"/>
  <c r="BI12" i="18"/>
  <c r="BH12" i="18"/>
  <c r="BG12"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AA12" i="18"/>
  <c r="Z12" i="18"/>
  <c r="Y12" i="18"/>
  <c r="X12" i="18"/>
  <c r="W12" i="18"/>
  <c r="V12" i="18"/>
  <c r="U12" i="18"/>
  <c r="T12" i="18"/>
  <c r="S12" i="18"/>
  <c r="R12" i="18"/>
  <c r="Q12" i="18"/>
  <c r="P12" i="18"/>
  <c r="O12" i="18"/>
  <c r="N12" i="18"/>
  <c r="M12" i="18"/>
  <c r="L12" i="18"/>
  <c r="K12" i="18"/>
  <c r="J12" i="18"/>
  <c r="I12" i="18"/>
  <c r="H12" i="18"/>
  <c r="G12" i="18"/>
  <c r="F12" i="18"/>
  <c r="E12" i="18"/>
  <c r="D12" i="18"/>
  <c r="C12" i="18"/>
  <c r="B12" i="18"/>
  <c r="A12" i="18"/>
  <c r="BF11" i="18"/>
  <c r="BE11" i="18"/>
  <c r="BD11" i="18"/>
  <c r="BC11" i="18"/>
  <c r="BB11" i="18"/>
  <c r="BA11" i="18"/>
  <c r="AZ11" i="18"/>
  <c r="AY11" i="18"/>
  <c r="AX11" i="18"/>
  <c r="AW11" i="18"/>
  <c r="AV11" i="18"/>
  <c r="AU11" i="18"/>
  <c r="AT11" i="18"/>
  <c r="AS11" i="18"/>
  <c r="AR11" i="18"/>
  <c r="AQ11" i="18"/>
  <c r="AP11" i="18"/>
  <c r="AO11" i="18"/>
  <c r="AN11" i="18"/>
  <c r="AM11" i="18"/>
  <c r="AL11" i="18"/>
  <c r="AK11" i="18"/>
  <c r="AJ11" i="18"/>
  <c r="AI11" i="18"/>
  <c r="AH11" i="18"/>
  <c r="AG11" i="18"/>
  <c r="AF11" i="18"/>
  <c r="AE11" i="18"/>
  <c r="AD11" i="18"/>
  <c r="AC11" i="18"/>
  <c r="AB11" i="18"/>
  <c r="AA11" i="18"/>
  <c r="Z11" i="18"/>
  <c r="Y11" i="18"/>
  <c r="X11" i="18"/>
  <c r="W11" i="18"/>
  <c r="V11" i="18"/>
  <c r="U11" i="18"/>
  <c r="T11" i="18"/>
  <c r="S11" i="18"/>
  <c r="R11" i="18"/>
  <c r="Q11" i="18"/>
  <c r="P11" i="18"/>
  <c r="O11" i="18"/>
  <c r="N11" i="18"/>
  <c r="M11" i="18"/>
  <c r="L11" i="18"/>
  <c r="K11" i="18"/>
  <c r="J11" i="18"/>
  <c r="I11" i="18"/>
  <c r="H11" i="18"/>
  <c r="G11" i="18"/>
  <c r="F11" i="18"/>
  <c r="E11" i="18"/>
  <c r="D11" i="18"/>
  <c r="C11" i="18"/>
  <c r="B11" i="18"/>
  <c r="A11" i="18"/>
  <c r="CZ11" i="18"/>
  <c r="CY11" i="18"/>
  <c r="CX11" i="18"/>
  <c r="CW11" i="18"/>
  <c r="CV11" i="18"/>
  <c r="CU11" i="18"/>
  <c r="CT11" i="18"/>
  <c r="CS11" i="18"/>
  <c r="CR11" i="18"/>
  <c r="CQ11" i="18"/>
  <c r="CP11" i="18"/>
  <c r="CO11" i="18"/>
  <c r="CN11" i="18"/>
  <c r="CM11" i="18"/>
  <c r="CL11" i="18"/>
  <c r="CK11" i="18"/>
  <c r="CJ11" i="18"/>
  <c r="CI11" i="18"/>
  <c r="CH11" i="18"/>
  <c r="CG11" i="18"/>
  <c r="CF11" i="18"/>
  <c r="CE11" i="18"/>
  <c r="CD11" i="18"/>
  <c r="CC11" i="18"/>
  <c r="CB11" i="18"/>
  <c r="CA11" i="18"/>
  <c r="BZ11" i="18"/>
  <c r="BY11" i="18"/>
  <c r="BX11" i="18"/>
  <c r="BW11" i="18"/>
  <c r="BV11" i="18"/>
  <c r="BU11" i="18"/>
  <c r="BT11" i="18"/>
  <c r="BS11" i="18"/>
  <c r="BR11" i="18"/>
  <c r="BQ11" i="18"/>
  <c r="BP11" i="18"/>
  <c r="BO11" i="18"/>
  <c r="BN11" i="18"/>
  <c r="BM11" i="18"/>
  <c r="BL11" i="18"/>
  <c r="BK11" i="18"/>
  <c r="BJ11" i="18"/>
  <c r="BI11" i="18"/>
  <c r="BH11" i="18"/>
  <c r="CZ10" i="18"/>
  <c r="CY10" i="18"/>
  <c r="CP10" i="18"/>
  <c r="CO10" i="18"/>
  <c r="CN10" i="18"/>
  <c r="CM10" i="18"/>
  <c r="CL10" i="18"/>
  <c r="CK10" i="18"/>
  <c r="CJ10" i="18"/>
  <c r="CI10" i="18"/>
  <c r="CH10" i="18"/>
  <c r="CG10" i="18"/>
  <c r="CF10" i="18"/>
  <c r="CE10" i="18"/>
  <c r="CD10" i="18"/>
  <c r="CC10" i="18"/>
  <c r="CB10" i="18"/>
  <c r="CA10" i="18"/>
  <c r="BZ10" i="18"/>
  <c r="BY10" i="18"/>
  <c r="BT10" i="18"/>
  <c r="BS10" i="18"/>
  <c r="BR10" i="18"/>
  <c r="BQ10" i="18"/>
  <c r="BP10" i="18"/>
  <c r="BO10" i="18"/>
  <c r="BN10" i="18"/>
  <c r="BM10" i="18"/>
  <c r="BL10" i="18"/>
  <c r="BK10" i="18"/>
  <c r="BJ10" i="18"/>
  <c r="BI10" i="18"/>
  <c r="BH10" i="18"/>
  <c r="CP9" i="18"/>
  <c r="CI9" i="18"/>
  <c r="CH9" i="18"/>
  <c r="CG9" i="18"/>
  <c r="CF9" i="18"/>
  <c r="CE9" i="18"/>
  <c r="CD9" i="18"/>
  <c r="CC9" i="18"/>
  <c r="CB9" i="18"/>
  <c r="CA9" i="18"/>
  <c r="BZ9" i="18"/>
  <c r="BY9" i="18"/>
  <c r="BT9" i="18"/>
  <c r="BS9" i="18"/>
  <c r="BR9" i="18"/>
  <c r="BQ9" i="18"/>
  <c r="BP9" i="18"/>
  <c r="BO9" i="18"/>
  <c r="BN9" i="18"/>
  <c r="BM9" i="18"/>
  <c r="BL9" i="18"/>
  <c r="BK9" i="18"/>
  <c r="BJ9" i="18"/>
  <c r="BI9" i="18"/>
  <c r="BH9" i="18"/>
  <c r="CI8" i="18"/>
  <c r="CH8" i="18"/>
  <c r="CG8" i="18"/>
  <c r="CF8" i="18"/>
  <c r="CE8" i="18"/>
  <c r="CD8" i="18"/>
  <c r="CC8" i="18"/>
  <c r="CB8" i="18"/>
  <c r="CA8" i="18"/>
  <c r="BZ8" i="18"/>
  <c r="BY8" i="18"/>
  <c r="BT8" i="18"/>
  <c r="BS8" i="18"/>
  <c r="BR8" i="18"/>
  <c r="BQ8" i="18"/>
  <c r="BP8" i="18"/>
  <c r="BO8" i="18"/>
  <c r="BN8" i="18"/>
  <c r="BM8" i="18"/>
  <c r="BL8" i="18"/>
  <c r="BK8" i="18"/>
  <c r="BJ8" i="18"/>
  <c r="BI8" i="18"/>
  <c r="BH8" i="18"/>
  <c r="CZ7" i="18"/>
  <c r="CY7" i="18"/>
  <c r="CX7" i="18"/>
  <c r="CW7" i="18"/>
  <c r="CV7" i="18"/>
  <c r="CU7" i="18"/>
  <c r="CT7" i="18"/>
  <c r="CS7" i="18"/>
  <c r="CR7" i="18"/>
  <c r="CQ7" i="18"/>
  <c r="CP7" i="18"/>
  <c r="CO7" i="18"/>
  <c r="CN7" i="18"/>
  <c r="CM7" i="18"/>
  <c r="CL7" i="18"/>
  <c r="CK7" i="18"/>
  <c r="CJ7" i="18"/>
  <c r="CI7" i="18"/>
  <c r="CH7" i="18"/>
  <c r="CG7" i="18"/>
  <c r="CF7" i="18"/>
  <c r="CE7" i="18"/>
  <c r="CD7" i="18"/>
  <c r="CC7" i="18"/>
  <c r="CB7" i="18"/>
  <c r="CA7" i="18"/>
  <c r="BZ7" i="18"/>
  <c r="BY7" i="18"/>
  <c r="BX7" i="18"/>
  <c r="BW7" i="18"/>
  <c r="BV7" i="18"/>
  <c r="BU7" i="18"/>
  <c r="BT7" i="18"/>
  <c r="BS7" i="18"/>
  <c r="BR7" i="18"/>
  <c r="BQ7" i="18"/>
  <c r="BP7" i="18"/>
  <c r="BO7" i="18"/>
  <c r="BN7" i="18"/>
  <c r="BM7" i="18"/>
  <c r="BL7" i="18"/>
  <c r="BK7" i="18"/>
  <c r="BJ7" i="18"/>
  <c r="BI7" i="18"/>
  <c r="BH7" i="18"/>
  <c r="CZ6" i="18"/>
  <c r="CY6" i="18"/>
  <c r="CH6" i="18"/>
  <c r="CG6" i="18"/>
  <c r="CF6" i="18"/>
  <c r="CE6" i="18"/>
  <c r="CD6" i="18"/>
  <c r="CC6" i="18"/>
  <c r="CB6" i="18"/>
  <c r="CA6" i="18"/>
  <c r="BZ6" i="18"/>
  <c r="BY6" i="18"/>
  <c r="CH5" i="18"/>
  <c r="CG5" i="18"/>
  <c r="CF5" i="18"/>
  <c r="CE5" i="18"/>
  <c r="CD5" i="18"/>
  <c r="CC5" i="18"/>
  <c r="CB5" i="18"/>
  <c r="CA5" i="18"/>
  <c r="BZ5" i="18"/>
  <c r="BY5" i="18"/>
  <c r="BG10" i="18"/>
  <c r="BF10" i="18"/>
  <c r="BE10" i="18"/>
  <c r="BD10" i="18"/>
  <c r="BC10" i="18"/>
  <c r="BB10" i="18"/>
  <c r="BA10" i="18"/>
  <c r="AZ10" i="18"/>
  <c r="AY10" i="18"/>
  <c r="AX10" i="18"/>
  <c r="AW10" i="18"/>
  <c r="AV10" i="18"/>
  <c r="AU10" i="18"/>
  <c r="AT10" i="18"/>
  <c r="AS10" i="18"/>
  <c r="AR10" i="18"/>
  <c r="AQ10" i="18"/>
  <c r="AP10" i="18"/>
  <c r="AO10" i="18"/>
  <c r="AN10" i="18"/>
  <c r="AM10" i="18"/>
  <c r="AL10" i="18"/>
  <c r="AK10" i="18"/>
  <c r="AJ10" i="18"/>
  <c r="AI10" i="18"/>
  <c r="AH10" i="18"/>
  <c r="AG10" i="18"/>
  <c r="AF10" i="18"/>
  <c r="AE10" i="18"/>
  <c r="AD10" i="18"/>
  <c r="AC10" i="18"/>
  <c r="AB10" i="18"/>
  <c r="AA10" i="18"/>
  <c r="Z10" i="18"/>
  <c r="Y10" i="18"/>
  <c r="X10" i="18"/>
  <c r="W10" i="18"/>
  <c r="V10" i="18"/>
  <c r="U10" i="18"/>
  <c r="T10" i="18"/>
  <c r="S10" i="18"/>
  <c r="R10" i="18"/>
  <c r="Q10" i="18"/>
  <c r="P10" i="18"/>
  <c r="O10" i="18"/>
  <c r="N10" i="18"/>
  <c r="M10" i="18"/>
  <c r="L10" i="18"/>
  <c r="K10" i="18"/>
  <c r="J10" i="18"/>
  <c r="I10" i="18"/>
  <c r="H10" i="18"/>
  <c r="G10" i="18"/>
  <c r="F10" i="18"/>
  <c r="E10" i="18"/>
  <c r="D10" i="18"/>
  <c r="C10" i="18"/>
  <c r="B10" i="18"/>
  <c r="A10" i="18"/>
  <c r="BG9" i="18"/>
  <c r="BF9" i="18"/>
  <c r="BE9" i="18"/>
  <c r="BD9" i="18"/>
  <c r="BC9" i="18"/>
  <c r="BB9" i="18"/>
  <c r="BA9" i="18"/>
  <c r="AZ9" i="18"/>
  <c r="AY9" i="18"/>
  <c r="AX9" i="18"/>
  <c r="AW9" i="18"/>
  <c r="AV9" i="18"/>
  <c r="AU9" i="18"/>
  <c r="AT9" i="18"/>
  <c r="AS9" i="18"/>
  <c r="AR9" i="18"/>
  <c r="AQ9" i="18"/>
  <c r="AP9" i="18"/>
  <c r="AO9" i="18"/>
  <c r="AN9" i="18"/>
  <c r="AM9" i="18"/>
  <c r="AL9" i="18"/>
  <c r="AK9" i="18"/>
  <c r="AJ9" i="18"/>
  <c r="AI9" i="18"/>
  <c r="AH9" i="18"/>
  <c r="AG9" i="18"/>
  <c r="AF9" i="18"/>
  <c r="AE9" i="18"/>
  <c r="AD9" i="18"/>
  <c r="AC9" i="18"/>
  <c r="AB9" i="18"/>
  <c r="AA9" i="18"/>
  <c r="Z9" i="18"/>
  <c r="Y9" i="18"/>
  <c r="X9" i="18"/>
  <c r="W9" i="18"/>
  <c r="V9" i="18"/>
  <c r="U9" i="18"/>
  <c r="T9" i="18"/>
  <c r="S9" i="18"/>
  <c r="R9" i="18"/>
  <c r="Q9" i="18"/>
  <c r="P9" i="18"/>
  <c r="O9" i="18"/>
  <c r="N9" i="18"/>
  <c r="M9" i="18"/>
  <c r="L9" i="18"/>
  <c r="K9" i="18"/>
  <c r="J9" i="18"/>
  <c r="I9" i="18"/>
  <c r="H9" i="18"/>
  <c r="G9" i="18"/>
  <c r="F9" i="18"/>
  <c r="E9" i="18"/>
  <c r="D9" i="18"/>
  <c r="C9" i="18"/>
  <c r="B9" i="18"/>
  <c r="A9" i="18"/>
  <c r="BG8" i="18"/>
  <c r="BF8" i="18"/>
  <c r="BE8" i="18"/>
  <c r="BD8" i="18"/>
  <c r="BC8" i="18"/>
  <c r="BB8" i="18"/>
  <c r="BA8" i="18"/>
  <c r="AZ8" i="18"/>
  <c r="AY8" i="18"/>
  <c r="AX8" i="18"/>
  <c r="AW8" i="18"/>
  <c r="AV8" i="18"/>
  <c r="AU8" i="18"/>
  <c r="AT8" i="18"/>
  <c r="AS8" i="18"/>
  <c r="AR8" i="18"/>
  <c r="AQ8" i="18"/>
  <c r="AP8" i="18"/>
  <c r="AO8" i="18"/>
  <c r="AN8" i="18"/>
  <c r="AM8" i="18"/>
  <c r="AL8" i="18"/>
  <c r="AK8" i="18"/>
  <c r="AJ8" i="18"/>
  <c r="AI8" i="18"/>
  <c r="AH8" i="18"/>
  <c r="AG8" i="18"/>
  <c r="AF8" i="18"/>
  <c r="AE8" i="18"/>
  <c r="AD8" i="18"/>
  <c r="AC8" i="18"/>
  <c r="AB8" i="18"/>
  <c r="AA8" i="18"/>
  <c r="Z8" i="18"/>
  <c r="Y8" i="18"/>
  <c r="X8" i="18"/>
  <c r="W8" i="18"/>
  <c r="V8" i="18"/>
  <c r="U8" i="18"/>
  <c r="T8" i="18"/>
  <c r="S8" i="18"/>
  <c r="R8" i="18"/>
  <c r="Q8" i="18"/>
  <c r="P8" i="18"/>
  <c r="O8" i="18"/>
  <c r="N8" i="18"/>
  <c r="M8" i="18"/>
  <c r="L8" i="18"/>
  <c r="K8" i="18"/>
  <c r="J8" i="18"/>
  <c r="I8" i="18"/>
  <c r="H8" i="18"/>
  <c r="G8" i="18"/>
  <c r="F8" i="18"/>
  <c r="E8" i="18"/>
  <c r="D8" i="18"/>
  <c r="C8" i="18"/>
  <c r="B8" i="18"/>
  <c r="A8" i="18"/>
  <c r="BG7" i="18"/>
  <c r="BF7" i="18"/>
  <c r="BE7" i="18"/>
  <c r="BD7" i="18"/>
  <c r="BC7" i="18"/>
  <c r="BB7" i="18"/>
  <c r="BA7" i="18"/>
  <c r="AZ7" i="18"/>
  <c r="AY7" i="18"/>
  <c r="AX7" i="18"/>
  <c r="AW7" i="18"/>
  <c r="AV7" i="18"/>
  <c r="AU7" i="18"/>
  <c r="AT7" i="18"/>
  <c r="AS7" i="18"/>
  <c r="AR7" i="18"/>
  <c r="AQ7" i="18"/>
  <c r="AP7" i="18"/>
  <c r="AO7" i="18"/>
  <c r="AN7" i="18"/>
  <c r="AM7" i="18"/>
  <c r="AL7" i="18"/>
  <c r="AK7" i="18"/>
  <c r="AJ7" i="18"/>
  <c r="AI7" i="18"/>
  <c r="AH7" i="18"/>
  <c r="AG7" i="18"/>
  <c r="AF7" i="18"/>
  <c r="AE7" i="18"/>
  <c r="AD7" i="18"/>
  <c r="AC7" i="18"/>
  <c r="AB7" i="18"/>
  <c r="AA7" i="18"/>
  <c r="Z7" i="18"/>
  <c r="Y7" i="18"/>
  <c r="X7" i="18"/>
  <c r="W7" i="18"/>
  <c r="V7" i="18"/>
  <c r="U7" i="18"/>
  <c r="T7" i="18"/>
  <c r="S7" i="18"/>
  <c r="R7" i="18"/>
  <c r="Q7" i="18"/>
  <c r="P7" i="18"/>
  <c r="O7" i="18"/>
  <c r="N7" i="18"/>
  <c r="M7" i="18"/>
  <c r="L7" i="18"/>
  <c r="K7" i="18"/>
  <c r="J7" i="18"/>
  <c r="I7" i="18"/>
  <c r="H7" i="18"/>
  <c r="G7" i="18"/>
  <c r="F7" i="18"/>
  <c r="E7" i="18"/>
  <c r="D7" i="18"/>
  <c r="C7" i="18"/>
  <c r="B7" i="18"/>
  <c r="A7" i="18"/>
  <c r="AQ6" i="18"/>
  <c r="AP6" i="18"/>
  <c r="AO6" i="18"/>
  <c r="AN6" i="18"/>
  <c r="AM6" i="18"/>
  <c r="AL6" i="18"/>
  <c r="AK6" i="18"/>
  <c r="AJ6" i="18"/>
  <c r="AI6" i="18"/>
  <c r="AH6" i="18"/>
  <c r="AG6" i="18"/>
  <c r="AF6" i="18"/>
  <c r="AE6" i="18"/>
  <c r="AD6" i="18"/>
  <c r="AC6" i="18"/>
  <c r="AB6" i="18"/>
  <c r="AA6" i="18"/>
  <c r="Z6" i="18"/>
  <c r="Y6" i="18"/>
  <c r="X6" i="18"/>
  <c r="W6" i="18"/>
  <c r="V6" i="18"/>
  <c r="U6" i="18"/>
  <c r="T6" i="18"/>
  <c r="S6" i="18"/>
  <c r="R6" i="18"/>
  <c r="Q6" i="18"/>
  <c r="P6" i="18"/>
  <c r="O6" i="18"/>
  <c r="N6" i="18"/>
  <c r="M6" i="18"/>
  <c r="L6" i="18"/>
  <c r="K6" i="18"/>
  <c r="J6" i="18"/>
  <c r="I6" i="18"/>
  <c r="H6" i="18"/>
  <c r="G6" i="18"/>
  <c r="F6" i="18"/>
  <c r="E6" i="18"/>
  <c r="D6" i="18"/>
  <c r="C6" i="18"/>
  <c r="B6" i="18"/>
  <c r="A6" i="18"/>
  <c r="AQ5" i="18"/>
  <c r="AP5" i="18"/>
  <c r="AO5" i="18"/>
  <c r="AN5" i="18"/>
  <c r="AM5" i="18"/>
  <c r="AL5" i="18"/>
  <c r="AK5" i="18"/>
  <c r="AJ5" i="18"/>
  <c r="AI5" i="18"/>
  <c r="AH5" i="18"/>
  <c r="AG5" i="18"/>
  <c r="AF5" i="18"/>
  <c r="AE5" i="18"/>
  <c r="AD5" i="18"/>
  <c r="AC5" i="18"/>
  <c r="AB5" i="18"/>
  <c r="AA5" i="18"/>
  <c r="Z5" i="18"/>
  <c r="Y5" i="18"/>
  <c r="X5" i="18"/>
  <c r="W5" i="18"/>
  <c r="V5" i="18"/>
  <c r="U5" i="18"/>
  <c r="T5" i="18"/>
  <c r="S5" i="18"/>
  <c r="R5" i="18"/>
  <c r="Q5" i="18"/>
  <c r="P5" i="18"/>
  <c r="O5" i="18"/>
  <c r="N5" i="18"/>
  <c r="M5" i="18"/>
  <c r="L5" i="18"/>
  <c r="K5" i="18"/>
  <c r="J5" i="18"/>
  <c r="I5" i="18"/>
  <c r="H5" i="18"/>
  <c r="G5" i="18"/>
  <c r="F5" i="18"/>
  <c r="E5" i="18"/>
  <c r="D5" i="18"/>
  <c r="C5" i="18"/>
  <c r="B5" i="18"/>
  <c r="A5" i="18"/>
  <c r="CZ3" i="18"/>
  <c r="CY3" i="18"/>
  <c r="CX3" i="18"/>
  <c r="CW3" i="18"/>
  <c r="CV3" i="18"/>
  <c r="CU3" i="18"/>
  <c r="CT3" i="18"/>
  <c r="CS3" i="18"/>
  <c r="CR3" i="18"/>
  <c r="CQ3" i="18"/>
  <c r="CP3" i="18"/>
  <c r="CO3" i="18"/>
  <c r="CN3" i="18"/>
  <c r="CM3" i="18"/>
  <c r="CL3" i="18"/>
  <c r="CK3" i="18"/>
  <c r="CJ3" i="18"/>
  <c r="CI3" i="18"/>
  <c r="CH3" i="18"/>
  <c r="CG3" i="18"/>
  <c r="CF3" i="18"/>
  <c r="CE3" i="18"/>
  <c r="CD3" i="18"/>
  <c r="CC3" i="18"/>
  <c r="CB3" i="18"/>
  <c r="CA3" i="18"/>
  <c r="BZ3" i="18"/>
  <c r="BY3" i="18"/>
  <c r="BX3" i="18"/>
  <c r="BW3" i="18"/>
  <c r="BV3" i="18"/>
  <c r="BU3" i="18"/>
  <c r="BT3" i="18"/>
  <c r="BS3" i="18"/>
  <c r="BR3" i="18"/>
  <c r="BQ3" i="18"/>
  <c r="BP3" i="18"/>
  <c r="BO3" i="18"/>
  <c r="BN3" i="18"/>
  <c r="BM3" i="18"/>
  <c r="BL3" i="18"/>
  <c r="BK3" i="18"/>
  <c r="BJ3" i="18"/>
  <c r="BI3" i="18"/>
  <c r="BH3" i="18"/>
  <c r="BG3" i="18"/>
  <c r="BF3" i="18"/>
  <c r="BE3" i="18"/>
  <c r="BD3" i="18"/>
  <c r="BC3" i="18"/>
  <c r="BB3" i="18"/>
  <c r="BA3" i="18"/>
  <c r="AZ3" i="18"/>
  <c r="AY3" i="18"/>
  <c r="AX3" i="18"/>
  <c r="AW3" i="18"/>
  <c r="AV3" i="18"/>
  <c r="AU3" i="18"/>
  <c r="AT3" i="18"/>
  <c r="AS3" i="18"/>
  <c r="AR3" i="18"/>
  <c r="AQ3" i="18"/>
  <c r="AP3" i="18"/>
  <c r="AO3" i="18"/>
  <c r="AN3" i="18"/>
  <c r="AM3" i="18"/>
  <c r="AL3" i="18"/>
  <c r="AK3" i="18"/>
  <c r="AJ3" i="18"/>
  <c r="AI3" i="18"/>
  <c r="AH3" i="18"/>
  <c r="AG3" i="18"/>
  <c r="AF3" i="18"/>
  <c r="AE3" i="18"/>
  <c r="AD3" i="18"/>
  <c r="AC3" i="18"/>
  <c r="AB3" i="18"/>
  <c r="AA3" i="18"/>
  <c r="Z3" i="18"/>
  <c r="Y3" i="18"/>
  <c r="X3" i="18"/>
  <c r="W3" i="18"/>
  <c r="V3" i="18"/>
  <c r="U3" i="18"/>
  <c r="T3" i="18"/>
  <c r="S3" i="18"/>
  <c r="R3" i="18"/>
  <c r="Q3" i="18"/>
  <c r="P3" i="18"/>
  <c r="O3" i="18"/>
  <c r="N3" i="18"/>
  <c r="M3" i="18"/>
  <c r="L3" i="18"/>
  <c r="K3" i="18"/>
  <c r="J3" i="18"/>
  <c r="I3" i="18"/>
  <c r="H3" i="18"/>
  <c r="G3" i="18"/>
  <c r="F3" i="18"/>
  <c r="E3" i="18"/>
  <c r="D3" i="18"/>
  <c r="C3" i="18"/>
  <c r="B3" i="18"/>
  <c r="A3" i="18"/>
  <c r="CZ2" i="18"/>
  <c r="CY2" i="18"/>
  <c r="CX2" i="18"/>
  <c r="CW2" i="18"/>
  <c r="CV2" i="18"/>
  <c r="CU2" i="18"/>
  <c r="CT2" i="18"/>
  <c r="CS2" i="18"/>
  <c r="CR2" i="18"/>
  <c r="CQ2" i="18"/>
  <c r="CP2" i="18"/>
  <c r="CO2" i="18"/>
  <c r="CN2" i="18"/>
  <c r="CM2" i="18"/>
  <c r="CL2" i="18"/>
  <c r="CK2" i="18"/>
  <c r="CJ2" i="18"/>
  <c r="CI2" i="18"/>
  <c r="CH2" i="18"/>
  <c r="CG2" i="18"/>
  <c r="CF2" i="18"/>
  <c r="CE2" i="18"/>
  <c r="CD2" i="18"/>
  <c r="CC2" i="18"/>
  <c r="CB2" i="18"/>
  <c r="CA2" i="18"/>
  <c r="BZ2" i="18"/>
  <c r="BY2" i="18"/>
  <c r="BX2" i="18"/>
  <c r="BW2" i="18"/>
  <c r="BV2" i="18"/>
  <c r="BU2" i="18"/>
  <c r="BT2" i="18"/>
  <c r="BS2" i="18"/>
  <c r="BR2" i="18"/>
  <c r="BQ2" i="18"/>
  <c r="BP2" i="18"/>
  <c r="BO2" i="18"/>
  <c r="BN2" i="18"/>
  <c r="BM2" i="18"/>
  <c r="BL2" i="18"/>
  <c r="BK2" i="18"/>
  <c r="BJ2" i="18"/>
  <c r="BI2" i="18"/>
  <c r="BH2" i="18"/>
  <c r="BG2" i="18"/>
  <c r="BF2" i="18"/>
  <c r="BE2" i="18"/>
  <c r="BD2" i="18"/>
  <c r="BC2" i="18"/>
  <c r="BB2" i="18"/>
  <c r="BA2" i="18"/>
  <c r="AZ2" i="18"/>
  <c r="AY2" i="18"/>
  <c r="AX2" i="18"/>
  <c r="AW2" i="18"/>
  <c r="AV2" i="18"/>
  <c r="AU2" i="18"/>
  <c r="AT2" i="18"/>
  <c r="AS2" i="18"/>
  <c r="AR2" i="18"/>
  <c r="AQ2" i="18"/>
  <c r="AP2" i="18"/>
  <c r="AO2" i="18"/>
  <c r="AN2" i="18"/>
  <c r="AM2" i="18"/>
  <c r="AL2" i="18"/>
  <c r="AK2" i="18"/>
  <c r="AJ2" i="18"/>
  <c r="AI2" i="18"/>
  <c r="AH2" i="18"/>
  <c r="AG2" i="18"/>
  <c r="AF2" i="18"/>
  <c r="AE2" i="18"/>
  <c r="AD2" i="18"/>
  <c r="AC2" i="18"/>
  <c r="AB2" i="18"/>
  <c r="AA2" i="18"/>
  <c r="Z2" i="18"/>
  <c r="Y2" i="18"/>
  <c r="X2" i="18"/>
  <c r="W2" i="18"/>
  <c r="V2" i="18"/>
  <c r="U2" i="18"/>
  <c r="T2" i="18"/>
  <c r="S2" i="18"/>
  <c r="R2" i="18"/>
  <c r="Q2" i="18"/>
  <c r="P2" i="18"/>
  <c r="O2" i="18"/>
  <c r="N2" i="18"/>
  <c r="M2" i="18"/>
  <c r="L2" i="18"/>
  <c r="K2" i="18"/>
  <c r="J2" i="18"/>
  <c r="I2" i="18"/>
  <c r="H2" i="18"/>
  <c r="G2" i="18"/>
  <c r="F2" i="18"/>
  <c r="E2" i="18"/>
  <c r="D2" i="18"/>
  <c r="C2" i="18"/>
  <c r="B2" i="18"/>
  <c r="A2" i="18"/>
  <c r="DF60" i="26"/>
  <c r="DE60" i="26"/>
  <c r="DD60" i="26"/>
  <c r="DC60" i="26"/>
  <c r="DB60" i="26"/>
  <c r="DA60" i="26"/>
  <c r="CZ60" i="26"/>
  <c r="CY60" i="26"/>
  <c r="CX60" i="26"/>
  <c r="CW60" i="26"/>
  <c r="CV60" i="26"/>
  <c r="CU60" i="26"/>
  <c r="CT60" i="26"/>
  <c r="CS60" i="26"/>
  <c r="CR60" i="26"/>
  <c r="CQ60" i="26"/>
  <c r="CI60" i="26"/>
  <c r="CH60" i="26"/>
  <c r="CG60" i="26"/>
  <c r="L34" i="26"/>
  <c r="CV39" i="26"/>
  <c r="CY37" i="26"/>
  <c r="CV34" i="26"/>
  <c r="CV40" i="26" s="1"/>
  <c r="CV32" i="26"/>
  <c r="CV38" i="26" s="1"/>
  <c r="CZ31" i="26"/>
  <c r="CZ37" i="26" s="1"/>
  <c r="CX31" i="26"/>
  <c r="CX37" i="26" s="1"/>
  <c r="CW31" i="26"/>
  <c r="CW37" i="26" s="1"/>
  <c r="DA23" i="26"/>
  <c r="DB23" i="26" s="1"/>
  <c r="DC23" i="26" s="1"/>
  <c r="DD23" i="26" s="1"/>
  <c r="DE23" i="26" s="1"/>
  <c r="DF23" i="26" s="1"/>
  <c r="CZ23" i="26"/>
  <c r="DF22" i="26"/>
  <c r="DE22" i="26"/>
  <c r="DD22" i="26"/>
  <c r="DC22" i="26"/>
  <c r="DB22" i="26"/>
  <c r="DA22" i="26"/>
  <c r="CZ22" i="26"/>
  <c r="CY22" i="26"/>
  <c r="CX22" i="26"/>
  <c r="CX18" i="26"/>
  <c r="CW18" i="26"/>
  <c r="CV18" i="26"/>
  <c r="CU18" i="26"/>
  <c r="CT18" i="26"/>
  <c r="CS18" i="26"/>
  <c r="CR18" i="26"/>
  <c r="CX17" i="26"/>
  <c r="CW17" i="26"/>
  <c r="CV17" i="26"/>
  <c r="CU17" i="26"/>
  <c r="CT17" i="26"/>
  <c r="CS17" i="26"/>
  <c r="CR17" i="26"/>
  <c r="CW15" i="26"/>
  <c r="CV15" i="26"/>
  <c r="CU15" i="26"/>
  <c r="CT15" i="26"/>
  <c r="CS15" i="26"/>
  <c r="CR15" i="26"/>
  <c r="DF75" i="16"/>
  <c r="DE75" i="16"/>
  <c r="DD75" i="16"/>
  <c r="DC75" i="16"/>
  <c r="DB75" i="16"/>
  <c r="DA75" i="16"/>
  <c r="CZ75" i="16"/>
  <c r="CY75" i="16"/>
  <c r="CX75" i="16"/>
  <c r="CW75" i="16"/>
  <c r="CV75" i="16"/>
  <c r="CU75" i="16"/>
  <c r="CT75" i="16"/>
  <c r="CS75" i="16"/>
  <c r="CR75" i="16"/>
  <c r="CQ75" i="16"/>
  <c r="CI75" i="16"/>
  <c r="CH75" i="16"/>
  <c r="CG75" i="16"/>
  <c r="DF66" i="16"/>
  <c r="DE66" i="16"/>
  <c r="DD66" i="16"/>
  <c r="DC66" i="16"/>
  <c r="DB66" i="16"/>
  <c r="DA66" i="16"/>
  <c r="CZ66" i="16"/>
  <c r="CY66" i="16"/>
  <c r="CX66" i="16"/>
  <c r="CQ60" i="16"/>
  <c r="L57" i="16"/>
  <c r="L41" i="16" s="1"/>
  <c r="L32" i="16"/>
  <c r="CV38" i="16"/>
  <c r="CV37" i="16"/>
  <c r="CZ35" i="16"/>
  <c r="CY35" i="16"/>
  <c r="CV32" i="16"/>
  <c r="CV30" i="16"/>
  <c r="CV36" i="16" s="1"/>
  <c r="DA29" i="16"/>
  <c r="DA35" i="16" s="1"/>
  <c r="CZ29" i="16"/>
  <c r="CX29" i="16"/>
  <c r="CX35" i="16" s="1"/>
  <c r="CW29" i="16"/>
  <c r="CW35" i="16" s="1"/>
  <c r="DA24" i="16"/>
  <c r="DB24" i="16" s="1"/>
  <c r="DC24" i="16" s="1"/>
  <c r="DD24" i="16" s="1"/>
  <c r="DE24" i="16" s="1"/>
  <c r="DF24" i="16" s="1"/>
  <c r="CZ24" i="16"/>
  <c r="DF23" i="16"/>
  <c r="DE23" i="16"/>
  <c r="DD23" i="16"/>
  <c r="DC23" i="16"/>
  <c r="DB23" i="16"/>
  <c r="DA23" i="16"/>
  <c r="CZ23" i="16"/>
  <c r="CY23" i="16"/>
  <c r="CX23" i="16"/>
  <c r="CX16" i="16"/>
  <c r="CW16" i="16"/>
  <c r="CV16" i="16"/>
  <c r="CU16" i="16"/>
  <c r="CT16" i="16"/>
  <c r="CS16" i="16"/>
  <c r="CR16" i="16"/>
  <c r="CQ16" i="16"/>
  <c r="CX15" i="16"/>
  <c r="CW15" i="16"/>
  <c r="CV15" i="16"/>
  <c r="CU15" i="16"/>
  <c r="CT15" i="16"/>
  <c r="CS15" i="16"/>
  <c r="CR15" i="16"/>
  <c r="CQ15" i="16"/>
  <c r="CQ14" i="16"/>
  <c r="CW13" i="16"/>
  <c r="CV13" i="16"/>
  <c r="CV67" i="16" s="1"/>
  <c r="CU13" i="16"/>
  <c r="CU67" i="16" s="1"/>
  <c r="CT13" i="16"/>
  <c r="CT67" i="16" s="1"/>
  <c r="CS13" i="16"/>
  <c r="CR13" i="16"/>
  <c r="CR67" i="16" s="1"/>
  <c r="CQ13" i="16"/>
  <c r="CQ67" i="16" s="1"/>
  <c r="CQ12" i="16"/>
  <c r="CQ20" i="16" s="1"/>
  <c r="CQ9" i="16"/>
  <c r="DF57" i="27"/>
  <c r="DE57" i="27"/>
  <c r="DD57" i="27"/>
  <c r="DC57" i="27"/>
  <c r="DB57" i="27"/>
  <c r="DA57" i="27"/>
  <c r="CZ57" i="27"/>
  <c r="CY57" i="27"/>
  <c r="CX57" i="27"/>
  <c r="CW57" i="27"/>
  <c r="CV57" i="27"/>
  <c r="CU57" i="27"/>
  <c r="CT57" i="27"/>
  <c r="CS57" i="27"/>
  <c r="CR57" i="27"/>
  <c r="CQ57" i="27"/>
  <c r="CI57" i="27"/>
  <c r="CH57" i="27"/>
  <c r="CG57" i="27"/>
  <c r="L34" i="27"/>
  <c r="CV39" i="27"/>
  <c r="DA37" i="27"/>
  <c r="CZ37" i="27"/>
  <c r="CY37" i="27"/>
  <c r="CV34" i="27"/>
  <c r="CV40" i="27" s="1"/>
  <c r="CV32" i="27"/>
  <c r="CV38" i="27" s="1"/>
  <c r="DA31" i="27"/>
  <c r="CZ31" i="27"/>
  <c r="CX31" i="27"/>
  <c r="CX37" i="27" s="1"/>
  <c r="CW31" i="27"/>
  <c r="CW37" i="27" s="1"/>
  <c r="CZ23" i="27"/>
  <c r="DA23" i="27" s="1"/>
  <c r="DB23" i="27" s="1"/>
  <c r="DC23" i="27" s="1"/>
  <c r="DD23" i="27" s="1"/>
  <c r="DE23" i="27" s="1"/>
  <c r="DF23" i="27" s="1"/>
  <c r="DF22" i="27"/>
  <c r="DE22" i="27"/>
  <c r="DD22" i="27"/>
  <c r="DC22" i="27"/>
  <c r="DB22" i="27"/>
  <c r="DA22" i="27"/>
  <c r="CZ22" i="27"/>
  <c r="CY22" i="27"/>
  <c r="CX22" i="27"/>
  <c r="CX18" i="27"/>
  <c r="CW18" i="27"/>
  <c r="CV18" i="27"/>
  <c r="CU18" i="27"/>
  <c r="CT18" i="27"/>
  <c r="CS18" i="27"/>
  <c r="CR18" i="27"/>
  <c r="CX17" i="27"/>
  <c r="CW17" i="27"/>
  <c r="CV17" i="27"/>
  <c r="CU17" i="27"/>
  <c r="CT17" i="27"/>
  <c r="CS17" i="27"/>
  <c r="CR17" i="27"/>
  <c r="CW15" i="27"/>
  <c r="CV15" i="27"/>
  <c r="CU15" i="27"/>
  <c r="CT15" i="27"/>
  <c r="CS15" i="27"/>
  <c r="CR15" i="27"/>
  <c r="CB106" i="7"/>
  <c r="CA106" i="7"/>
  <c r="BZ106" i="7"/>
  <c r="BY106" i="7"/>
  <c r="BX106" i="7"/>
  <c r="BW106" i="7"/>
  <c r="BV106" i="7"/>
  <c r="BU106" i="7"/>
  <c r="BT106" i="7"/>
  <c r="BS106" i="7"/>
  <c r="BR106" i="7"/>
  <c r="BQ106" i="7"/>
  <c r="BP106" i="7"/>
  <c r="BO106" i="7"/>
  <c r="BN106" i="7"/>
  <c r="BM106" i="7"/>
  <c r="BL106" i="7"/>
  <c r="BK106" i="7"/>
  <c r="BJ106" i="7"/>
  <c r="BI106" i="7"/>
  <c r="CB105" i="7"/>
  <c r="CA105" i="7"/>
  <c r="BZ105" i="7"/>
  <c r="BY105" i="7"/>
  <c r="BX105" i="7"/>
  <c r="BW105" i="7"/>
  <c r="BV105" i="7"/>
  <c r="BU105" i="7"/>
  <c r="BT105" i="7"/>
  <c r="BS105" i="7"/>
  <c r="BR105" i="7"/>
  <c r="BQ105" i="7"/>
  <c r="BP105" i="7"/>
  <c r="BO105" i="7"/>
  <c r="BN105" i="7"/>
  <c r="BM105" i="7"/>
  <c r="BL105" i="7"/>
  <c r="BK105" i="7"/>
  <c r="BJ105" i="7"/>
  <c r="BI105" i="7"/>
  <c r="CB104" i="7"/>
  <c r="CA104" i="7"/>
  <c r="BZ104" i="7"/>
  <c r="BY104" i="7"/>
  <c r="BX104" i="7"/>
  <c r="BW104" i="7"/>
  <c r="BV104" i="7"/>
  <c r="BU104" i="7"/>
  <c r="BT104" i="7"/>
  <c r="BS104" i="7"/>
  <c r="BR104" i="7"/>
  <c r="BQ104" i="7"/>
  <c r="BP104" i="7"/>
  <c r="BO104" i="7"/>
  <c r="BN104" i="7"/>
  <c r="BM104" i="7"/>
  <c r="BL104" i="7"/>
  <c r="BK104" i="7"/>
  <c r="BJ104" i="7"/>
  <c r="BI104" i="7"/>
  <c r="CB103" i="7"/>
  <c r="CA103" i="7"/>
  <c r="BZ103" i="7"/>
  <c r="BY103" i="7"/>
  <c r="BX103" i="7"/>
  <c r="BW103" i="7"/>
  <c r="BV103" i="7"/>
  <c r="BU103" i="7"/>
  <c r="BT103" i="7"/>
  <c r="BS103" i="7"/>
  <c r="BR103" i="7"/>
  <c r="BQ103" i="7"/>
  <c r="BP103" i="7"/>
  <c r="BO103" i="7"/>
  <c r="BN103" i="7"/>
  <c r="BM103" i="7"/>
  <c r="BL103" i="7"/>
  <c r="BK103" i="7"/>
  <c r="BJ103" i="7"/>
  <c r="BI103" i="7"/>
  <c r="CB102" i="7"/>
  <c r="CA102" i="7"/>
  <c r="BZ102" i="7"/>
  <c r="BY102" i="7"/>
  <c r="BX102" i="7"/>
  <c r="BW102" i="7"/>
  <c r="BV102" i="7"/>
  <c r="BU102" i="7"/>
  <c r="BT102" i="7"/>
  <c r="BS102" i="7"/>
  <c r="BR102" i="7"/>
  <c r="BQ102" i="7"/>
  <c r="BP102" i="7"/>
  <c r="BO102" i="7"/>
  <c r="BN102" i="7"/>
  <c r="BM102" i="7"/>
  <c r="BL102" i="7"/>
  <c r="BK102" i="7"/>
  <c r="BJ102" i="7"/>
  <c r="BI102" i="7"/>
  <c r="CB101" i="7"/>
  <c r="CA101" i="7"/>
  <c r="BZ101" i="7"/>
  <c r="BY101" i="7"/>
  <c r="BX101" i="7"/>
  <c r="BW101" i="7"/>
  <c r="BV101" i="7"/>
  <c r="BU101" i="7"/>
  <c r="BT101" i="7"/>
  <c r="BS101" i="7"/>
  <c r="BR101" i="7"/>
  <c r="BQ101" i="7"/>
  <c r="BP101" i="7"/>
  <c r="BO101" i="7"/>
  <c r="BN101" i="7"/>
  <c r="BM101" i="7"/>
  <c r="BL101" i="7"/>
  <c r="BK101" i="7"/>
  <c r="BJ101" i="7"/>
  <c r="BI101" i="7"/>
  <c r="CB100" i="7"/>
  <c r="CA100" i="7"/>
  <c r="BZ100" i="7"/>
  <c r="BY100" i="7"/>
  <c r="BX100" i="7"/>
  <c r="BW100" i="7"/>
  <c r="BV100" i="7"/>
  <c r="BU100" i="7"/>
  <c r="BT100" i="7"/>
  <c r="BS100" i="7"/>
  <c r="BR100" i="7"/>
  <c r="BQ100" i="7"/>
  <c r="BP100" i="7"/>
  <c r="BO100" i="7"/>
  <c r="BN100" i="7"/>
  <c r="BM100" i="7"/>
  <c r="BL100" i="7"/>
  <c r="BK100" i="7"/>
  <c r="BJ100" i="7"/>
  <c r="BI100" i="7"/>
  <c r="CB99" i="7"/>
  <c r="CA99" i="7"/>
  <c r="BZ99" i="7"/>
  <c r="BY99" i="7"/>
  <c r="BX99" i="7"/>
  <c r="BW99" i="7"/>
  <c r="BV99" i="7"/>
  <c r="BU99" i="7"/>
  <c r="BT99" i="7"/>
  <c r="BS99" i="7"/>
  <c r="BR99" i="7"/>
  <c r="BQ99" i="7"/>
  <c r="BP99" i="7"/>
  <c r="BO99" i="7"/>
  <c r="BN99" i="7"/>
  <c r="BM99" i="7"/>
  <c r="BL99" i="7"/>
  <c r="BK99" i="7"/>
  <c r="BJ99" i="7"/>
  <c r="BI99" i="7"/>
  <c r="CB98" i="7"/>
  <c r="CA98" i="7"/>
  <c r="BZ98" i="7"/>
  <c r="BY98" i="7"/>
  <c r="BX98" i="7"/>
  <c r="BW98" i="7"/>
  <c r="BV98" i="7"/>
  <c r="BU98" i="7"/>
  <c r="BT98" i="7"/>
  <c r="BS98" i="7"/>
  <c r="BR98" i="7"/>
  <c r="BQ98" i="7"/>
  <c r="BP98" i="7"/>
  <c r="BO98" i="7"/>
  <c r="BN98" i="7"/>
  <c r="BM98" i="7"/>
  <c r="BL98" i="7"/>
  <c r="BK98" i="7"/>
  <c r="BJ98" i="7"/>
  <c r="BI98" i="7"/>
  <c r="CB94" i="7"/>
  <c r="CB28" i="7" s="1"/>
  <c r="CA94" i="7"/>
  <c r="BZ94" i="7"/>
  <c r="BY94" i="7"/>
  <c r="BY28" i="7" s="1"/>
  <c r="CX28" i="7" s="1"/>
  <c r="BX94" i="7"/>
  <c r="BW94" i="7"/>
  <c r="BV94" i="7"/>
  <c r="BU94" i="7"/>
  <c r="BT94" i="7"/>
  <c r="BT28" i="7" s="1"/>
  <c r="BR94" i="7"/>
  <c r="BR28" i="7" s="1"/>
  <c r="BQ94" i="7"/>
  <c r="BP94" i="7"/>
  <c r="BO94" i="7"/>
  <c r="BN94" i="7"/>
  <c r="BM94" i="7"/>
  <c r="BL94" i="7"/>
  <c r="BK94" i="7"/>
  <c r="BJ94" i="7"/>
  <c r="BJ28" i="7" s="1"/>
  <c r="BI94" i="7"/>
  <c r="BS90" i="7"/>
  <c r="BS94" i="7" s="1"/>
  <c r="BS28" i="7" s="1"/>
  <c r="CV28" i="7" s="1"/>
  <c r="CF93" i="7"/>
  <c r="CF94" i="7" s="1"/>
  <c r="CE93" i="7"/>
  <c r="CD93" i="7"/>
  <c r="CF92" i="7"/>
  <c r="CE92" i="7"/>
  <c r="CD92" i="7"/>
  <c r="CF91" i="7"/>
  <c r="CE91" i="7"/>
  <c r="CD91" i="7"/>
  <c r="CF90" i="7"/>
  <c r="CE90" i="7"/>
  <c r="CD90" i="7"/>
  <c r="CF89" i="7"/>
  <c r="CE89" i="7"/>
  <c r="CD89" i="7"/>
  <c r="CF88" i="7"/>
  <c r="CE88" i="7"/>
  <c r="CD88" i="7"/>
  <c r="CF87" i="7"/>
  <c r="CE87" i="7"/>
  <c r="CD87" i="7"/>
  <c r="CF86" i="7"/>
  <c r="CE86" i="7"/>
  <c r="CD86" i="7"/>
  <c r="BA67" i="7"/>
  <c r="BS65" i="7"/>
  <c r="BL65" i="7"/>
  <c r="BI65" i="7"/>
  <c r="BI70" i="7" s="1"/>
  <c r="BD65" i="7"/>
  <c r="BA65" i="7"/>
  <c r="BA70" i="7" s="1"/>
  <c r="AZ65" i="7"/>
  <c r="BT63" i="7"/>
  <c r="BS63" i="7"/>
  <c r="BR63" i="7"/>
  <c r="BQ63" i="7"/>
  <c r="BP63" i="7"/>
  <c r="BO63" i="7"/>
  <c r="BN63" i="7"/>
  <c r="BM63" i="7"/>
  <c r="BL63" i="7"/>
  <c r="BK63" i="7"/>
  <c r="BJ63" i="7"/>
  <c r="BI63" i="7"/>
  <c r="BH63" i="7"/>
  <c r="BG63" i="7"/>
  <c r="BF63" i="7"/>
  <c r="BE63" i="7"/>
  <c r="BD63" i="7"/>
  <c r="BC63" i="7"/>
  <c r="BB63" i="7"/>
  <c r="BA63" i="7"/>
  <c r="AZ63" i="7"/>
  <c r="AT54" i="7"/>
  <c r="AT53" i="7" s="1"/>
  <c r="AQ54" i="7"/>
  <c r="AL54" i="7"/>
  <c r="AL53" i="7" s="1"/>
  <c r="AQ53" i="7"/>
  <c r="AN53" i="7"/>
  <c r="AN57" i="7" s="1"/>
  <c r="BO48" i="7"/>
  <c r="AS49" i="7"/>
  <c r="BH48" i="7"/>
  <c r="BC48" i="7"/>
  <c r="BC49" i="7" s="1"/>
  <c r="AZ48" i="7"/>
  <c r="AY48" i="7"/>
  <c r="AY49" i="7" s="1"/>
  <c r="AV48" i="7"/>
  <c r="AV49" i="7" s="1"/>
  <c r="AU48" i="7"/>
  <c r="AR48" i="7"/>
  <c r="AR49" i="7" s="1"/>
  <c r="AN48" i="7"/>
  <c r="AN49" i="7" s="1"/>
  <c r="AM48" i="7"/>
  <c r="AM49" i="7" s="1"/>
  <c r="AK48" i="7"/>
  <c r="AJ48" i="7"/>
  <c r="AH48" i="7"/>
  <c r="CO40" i="7"/>
  <c r="AJ43" i="7"/>
  <c r="AI43" i="7"/>
  <c r="AI48" i="7" s="1"/>
  <c r="AH43" i="7"/>
  <c r="AG43" i="7"/>
  <c r="AG48" i="7" s="1"/>
  <c r="AK49" i="7" s="1"/>
  <c r="CN41" i="7"/>
  <c r="CN40" i="7"/>
  <c r="BO44" i="7"/>
  <c r="BD44" i="7"/>
  <c r="AV44" i="7"/>
  <c r="AT44" i="7"/>
  <c r="AO44" i="7"/>
  <c r="AN44" i="7"/>
  <c r="AK44" i="7"/>
  <c r="BT43" i="7"/>
  <c r="BT65" i="7" s="1"/>
  <c r="BT70" i="7" s="1"/>
  <c r="BS43" i="7"/>
  <c r="BR43" i="7"/>
  <c r="BQ43" i="7"/>
  <c r="BQ65" i="7" s="1"/>
  <c r="BP43" i="7"/>
  <c r="BP65" i="7" s="1"/>
  <c r="BP67" i="7" s="1"/>
  <c r="BO43" i="7"/>
  <c r="BO65" i="7" s="1"/>
  <c r="BO70" i="7" s="1"/>
  <c r="BN43" i="7"/>
  <c r="BN65" i="7" s="1"/>
  <c r="BM43" i="7"/>
  <c r="BQ44" i="7" s="1"/>
  <c r="BL43" i="7"/>
  <c r="BK43" i="7"/>
  <c r="BK65" i="7" s="1"/>
  <c r="BJ43" i="7"/>
  <c r="BI43" i="7"/>
  <c r="BI44" i="7" s="1"/>
  <c r="BH43" i="7"/>
  <c r="BH65" i="7" s="1"/>
  <c r="BH67" i="7" s="1"/>
  <c r="BG43" i="7"/>
  <c r="BF43" i="7"/>
  <c r="BF65" i="7" s="1"/>
  <c r="BF70" i="7" s="1"/>
  <c r="BE43" i="7"/>
  <c r="BD43" i="7"/>
  <c r="BC43" i="7"/>
  <c r="BC65" i="7" s="1"/>
  <c r="BC67" i="7" s="1"/>
  <c r="BB43" i="7"/>
  <c r="BA43" i="7"/>
  <c r="BA48" i="7" s="1"/>
  <c r="AZ43" i="7"/>
  <c r="AZ44" i="7" s="1"/>
  <c r="AY43" i="7"/>
  <c r="AY44" i="7" s="1"/>
  <c r="AX43" i="7"/>
  <c r="AX48" i="7" s="1"/>
  <c r="AW43" i="7"/>
  <c r="AV43" i="7"/>
  <c r="AU43" i="7"/>
  <c r="AT43" i="7"/>
  <c r="AS43" i="7"/>
  <c r="AS48" i="7" s="1"/>
  <c r="AR43" i="7"/>
  <c r="AR44" i="7" s="1"/>
  <c r="AQ43" i="7"/>
  <c r="AQ48" i="7" s="1"/>
  <c r="AP43" i="7"/>
  <c r="AO43" i="7"/>
  <c r="AO48" i="7" s="1"/>
  <c r="AO49" i="7" s="1"/>
  <c r="AN43" i="7"/>
  <c r="AM43" i="7"/>
  <c r="AL43" i="7"/>
  <c r="AK43" i="7"/>
  <c r="AY42" i="7"/>
  <c r="AP42" i="7"/>
  <c r="AO42" i="7"/>
  <c r="AO161" i="6" s="1"/>
  <c r="AK42" i="7"/>
  <c r="AK156" i="6" s="1"/>
  <c r="BH41" i="7"/>
  <c r="BH42" i="7" s="1"/>
  <c r="AY41" i="7"/>
  <c r="AX41" i="7"/>
  <c r="AX42" i="7" s="1"/>
  <c r="AW41" i="7"/>
  <c r="AV41" i="7"/>
  <c r="AV42" i="7" s="1"/>
  <c r="AV156" i="6" s="1"/>
  <c r="AU41" i="7"/>
  <c r="AU42" i="7" s="1"/>
  <c r="AT41" i="7"/>
  <c r="AS41" i="7"/>
  <c r="AS42" i="7" s="1"/>
  <c r="AR41" i="7"/>
  <c r="AR42" i="7" s="1"/>
  <c r="AQ41" i="7"/>
  <c r="AQ42" i="7" s="1"/>
  <c r="AP41" i="7"/>
  <c r="AO41" i="7"/>
  <c r="AN41" i="7"/>
  <c r="AN42" i="7" s="1"/>
  <c r="AN156" i="6" s="1"/>
  <c r="AM41" i="7"/>
  <c r="AM42" i="7" s="1"/>
  <c r="AL41" i="7"/>
  <c r="AK41" i="7"/>
  <c r="AJ41" i="7"/>
  <c r="AI41" i="7"/>
  <c r="AH41" i="7"/>
  <c r="AG41" i="7"/>
  <c r="CP40" i="7"/>
  <c r="CM40" i="7"/>
  <c r="BT40" i="7"/>
  <c r="BS40" i="7"/>
  <c r="BR40" i="7"/>
  <c r="BQ40" i="7"/>
  <c r="BP40" i="7"/>
  <c r="BT48" i="7" s="1"/>
  <c r="BO40" i="7"/>
  <c r="BN40" i="7"/>
  <c r="BM40" i="7"/>
  <c r="BQ48" i="7" s="1"/>
  <c r="BL40" i="7"/>
  <c r="BK40" i="7"/>
  <c r="BJ40" i="7"/>
  <c r="BI40" i="7"/>
  <c r="BH40" i="7"/>
  <c r="BL48" i="7" s="1"/>
  <c r="BG40" i="7"/>
  <c r="BF40" i="7"/>
  <c r="BE40" i="7"/>
  <c r="BI48" i="7" s="1"/>
  <c r="BD40" i="7"/>
  <c r="BC40" i="7"/>
  <c r="BG48" i="7" s="1"/>
  <c r="BG49" i="7" s="1"/>
  <c r="BB40" i="7"/>
  <c r="BB41" i="7" s="1"/>
  <c r="BA40" i="7"/>
  <c r="AZ40" i="7"/>
  <c r="CQ40" i="7" s="1"/>
  <c r="CQ41" i="7" s="1"/>
  <c r="CO37" i="7"/>
  <c r="BW37" i="7"/>
  <c r="BS37" i="7"/>
  <c r="BO37" i="7"/>
  <c r="BM37" i="7"/>
  <c r="BL37" i="7"/>
  <c r="BK37" i="7"/>
  <c r="BJ37" i="7"/>
  <c r="BI37" i="7"/>
  <c r="BH37" i="7"/>
  <c r="BH30" i="7" s="1"/>
  <c r="BG37" i="7"/>
  <c r="BE37" i="7"/>
  <c r="BD37" i="7"/>
  <c r="BC37" i="7"/>
  <c r="BC30" i="7" s="1"/>
  <c r="BC31" i="7" s="1"/>
  <c r="BB37" i="7"/>
  <c r="BA37" i="7"/>
  <c r="AZ37" i="7"/>
  <c r="AZ30" i="7" s="1"/>
  <c r="AY37" i="7"/>
  <c r="AY30" i="7" s="1"/>
  <c r="AX37" i="7"/>
  <c r="AW37" i="7"/>
  <c r="CQ37" i="7" s="1"/>
  <c r="CQ30" i="7" s="1"/>
  <c r="AV37" i="7"/>
  <c r="AU37" i="7"/>
  <c r="AU30" i="7" s="1"/>
  <c r="AU31" i="7" s="1"/>
  <c r="AU46" i="7" s="1"/>
  <c r="AT37" i="7"/>
  <c r="AS37" i="7"/>
  <c r="AR37" i="7"/>
  <c r="AR30" i="7" s="1"/>
  <c r="AQ37" i="7"/>
  <c r="AQ30" i="7" s="1"/>
  <c r="AP37" i="7"/>
  <c r="AO37" i="7"/>
  <c r="AN37" i="7"/>
  <c r="AM37" i="7"/>
  <c r="AM30" i="7" s="1"/>
  <c r="AM31" i="7" s="1"/>
  <c r="AL37" i="7"/>
  <c r="AL30" i="7" s="1"/>
  <c r="AL31" i="7" s="1"/>
  <c r="AK37" i="7"/>
  <c r="AJ37" i="7"/>
  <c r="AJ30" i="7" s="1"/>
  <c r="AI37" i="7"/>
  <c r="AI30" i="7" s="1"/>
  <c r="AH37" i="7"/>
  <c r="AG37" i="7"/>
  <c r="BV35" i="7"/>
  <c r="BT35" i="7"/>
  <c r="BS35" i="7"/>
  <c r="BW35" i="7" s="1"/>
  <c r="BR35" i="7"/>
  <c r="BQ35" i="7"/>
  <c r="BG35" i="7"/>
  <c r="BF35" i="7"/>
  <c r="BE35" i="7"/>
  <c r="DD35" i="7"/>
  <c r="DE35" i="7" s="1"/>
  <c r="DF35" i="7" s="1"/>
  <c r="CY35" i="7"/>
  <c r="CZ35" i="7" s="1"/>
  <c r="DA35" i="7" s="1"/>
  <c r="DB35" i="7" s="1"/>
  <c r="DC35" i="7" s="1"/>
  <c r="CU35" i="7"/>
  <c r="CT35" i="7"/>
  <c r="CR35" i="7"/>
  <c r="CQ35" i="7"/>
  <c r="CP35" i="7"/>
  <c r="CO35" i="7"/>
  <c r="CN35" i="7"/>
  <c r="CM35" i="7"/>
  <c r="CU34" i="7"/>
  <c r="CT34" i="7"/>
  <c r="CS34" i="7"/>
  <c r="CR34" i="7"/>
  <c r="CQ34" i="7"/>
  <c r="CP34" i="7"/>
  <c r="CO34" i="7"/>
  <c r="CN34" i="7"/>
  <c r="CM34" i="7"/>
  <c r="BW34" i="7"/>
  <c r="BS34" i="7"/>
  <c r="BR34" i="7"/>
  <c r="BP34" i="7"/>
  <c r="BN34" i="7"/>
  <c r="BM34" i="7"/>
  <c r="BQ34" i="7" s="1"/>
  <c r="BD31" i="7"/>
  <c r="AO31" i="7"/>
  <c r="AN31" i="7"/>
  <c r="BO30" i="7"/>
  <c r="BL30" i="7"/>
  <c r="BL31" i="7" s="1"/>
  <c r="BJ30" i="7"/>
  <c r="BI30" i="7"/>
  <c r="BI31" i="7" s="1"/>
  <c r="BG30" i="7"/>
  <c r="BG31" i="7" s="1"/>
  <c r="BE30" i="7"/>
  <c r="BE31" i="7" s="1"/>
  <c r="BD30" i="7"/>
  <c r="BA30" i="7"/>
  <c r="BA31" i="7" s="1"/>
  <c r="AX30" i="7"/>
  <c r="AW30" i="7"/>
  <c r="AV30" i="7"/>
  <c r="AV31" i="7" s="1"/>
  <c r="AS30" i="7"/>
  <c r="AP30" i="7"/>
  <c r="AO30" i="7"/>
  <c r="AN30" i="7"/>
  <c r="AK30" i="7"/>
  <c r="AH30" i="7"/>
  <c r="AG30" i="7"/>
  <c r="AK31" i="7" s="1"/>
  <c r="CA28" i="7"/>
  <c r="BZ28" i="7"/>
  <c r="BX28" i="7"/>
  <c r="BW28" i="7"/>
  <c r="BV28" i="7"/>
  <c r="BU28" i="7"/>
  <c r="BQ28" i="7"/>
  <c r="BP28" i="7"/>
  <c r="BO28" i="7"/>
  <c r="BN28" i="7"/>
  <c r="BM28" i="7"/>
  <c r="BL28" i="7"/>
  <c r="BK28" i="7"/>
  <c r="BI28" i="7"/>
  <c r="CT28" i="7" s="1"/>
  <c r="CS28" i="7"/>
  <c r="CR28" i="7"/>
  <c r="CQ28" i="7"/>
  <c r="CP28" i="7"/>
  <c r="CO28" i="7"/>
  <c r="CN28" i="7"/>
  <c r="CM28" i="7"/>
  <c r="CX27" i="7"/>
  <c r="CW27" i="7"/>
  <c r="CV27" i="7"/>
  <c r="CU27" i="7"/>
  <c r="CT27" i="7"/>
  <c r="CS27" i="7"/>
  <c r="CR27" i="7"/>
  <c r="CQ27" i="7"/>
  <c r="CP27" i="7"/>
  <c r="CO27" i="7"/>
  <c r="CN27" i="7"/>
  <c r="CM27" i="7"/>
  <c r="CX26" i="7"/>
  <c r="CW26" i="7"/>
  <c r="CV26" i="7"/>
  <c r="CU26" i="7"/>
  <c r="CT26" i="7"/>
  <c r="CS26" i="7"/>
  <c r="CR26" i="7"/>
  <c r="CQ26" i="7"/>
  <c r="CP26" i="7"/>
  <c r="CO26" i="7"/>
  <c r="CN26" i="7"/>
  <c r="CM26" i="7"/>
  <c r="CX20" i="7"/>
  <c r="CP21" i="7"/>
  <c r="CP20" i="7"/>
  <c r="CO20" i="7"/>
  <c r="CN20" i="7"/>
  <c r="CM20" i="7"/>
  <c r="BZ21" i="7"/>
  <c r="BO21" i="7"/>
  <c r="CB20" i="7"/>
  <c r="CA20" i="7"/>
  <c r="BZ20" i="7"/>
  <c r="BY20" i="7"/>
  <c r="BX20" i="7"/>
  <c r="BW20" i="7"/>
  <c r="BW21" i="7" s="1"/>
  <c r="BV20" i="7"/>
  <c r="BU20" i="7"/>
  <c r="BY21" i="7" s="1"/>
  <c r="BT20" i="7"/>
  <c r="BS20" i="7"/>
  <c r="BR20" i="7"/>
  <c r="BQ20" i="7"/>
  <c r="BP20" i="7"/>
  <c r="BO20" i="7"/>
  <c r="BN20" i="7"/>
  <c r="BM20" i="7"/>
  <c r="BL20" i="7"/>
  <c r="BK20" i="7"/>
  <c r="BJ20" i="7"/>
  <c r="BJ21" i="7" s="1"/>
  <c r="BI20" i="7"/>
  <c r="BI21" i="7" s="1"/>
  <c r="BF21" i="7"/>
  <c r="BD21" i="7"/>
  <c r="BD22" i="7" s="1"/>
  <c r="AX21" i="7"/>
  <c r="BH20" i="7"/>
  <c r="BG20" i="7"/>
  <c r="BF20" i="7"/>
  <c r="BE20" i="7"/>
  <c r="BD20" i="7"/>
  <c r="BC20" i="7"/>
  <c r="BB20" i="7"/>
  <c r="BB21" i="7" s="1"/>
  <c r="BA20" i="7"/>
  <c r="BA21" i="7" s="1"/>
  <c r="AZ20" i="7"/>
  <c r="AY20" i="7"/>
  <c r="AX20" i="7"/>
  <c r="AX54" i="7" s="1"/>
  <c r="AX53" i="7" s="1"/>
  <c r="AX57" i="7" s="1"/>
  <c r="AW20" i="7"/>
  <c r="AW54" i="7" s="1"/>
  <c r="AW53" i="7" s="1"/>
  <c r="AV21" i="7"/>
  <c r="AS21" i="7"/>
  <c r="AN21" i="7"/>
  <c r="AV20" i="7"/>
  <c r="AV54" i="7" s="1"/>
  <c r="AV53" i="7" s="1"/>
  <c r="AV57" i="7" s="1"/>
  <c r="AV439" i="5" s="1"/>
  <c r="AU20" i="7"/>
  <c r="AT20" i="7"/>
  <c r="AS20" i="7"/>
  <c r="AS54" i="7" s="1"/>
  <c r="AS53" i="7" s="1"/>
  <c r="AS57" i="7" s="1"/>
  <c r="AR20" i="7"/>
  <c r="AQ20" i="7"/>
  <c r="AP20" i="7"/>
  <c r="AT21" i="7" s="1"/>
  <c r="AO20" i="7"/>
  <c r="AO54" i="7" s="1"/>
  <c r="AO53" i="7" s="1"/>
  <c r="AO57" i="7" s="1"/>
  <c r="AN20" i="7"/>
  <c r="AN54" i="7" s="1"/>
  <c r="AM20" i="7"/>
  <c r="AQ21" i="7" s="1"/>
  <c r="AL20" i="7"/>
  <c r="AK20" i="7"/>
  <c r="AJ20" i="7"/>
  <c r="AI20" i="7"/>
  <c r="AH20" i="7"/>
  <c r="AL21" i="7" s="1"/>
  <c r="AG20" i="7"/>
  <c r="BU17" i="7"/>
  <c r="BT17" i="7"/>
  <c r="BS17" i="7"/>
  <c r="BR17" i="7"/>
  <c r="BQ17" i="7"/>
  <c r="BP17" i="7"/>
  <c r="BO17" i="7"/>
  <c r="BN17" i="7"/>
  <c r="BM17" i="7"/>
  <c r="BL17" i="7"/>
  <c r="BK17" i="7"/>
  <c r="BJ17" i="7"/>
  <c r="BI17" i="7"/>
  <c r="BH17" i="7"/>
  <c r="BG17" i="7"/>
  <c r="BF17" i="7"/>
  <c r="BE17" i="7"/>
  <c r="BU14" i="7"/>
  <c r="BT14" i="7"/>
  <c r="BS14" i="7"/>
  <c r="BR14" i="7"/>
  <c r="BQ14" i="7"/>
  <c r="BP14" i="7"/>
  <c r="BO14" i="7"/>
  <c r="BN14" i="7"/>
  <c r="BM14" i="7"/>
  <c r="BL14" i="7"/>
  <c r="BK14" i="7"/>
  <c r="BJ14" i="7"/>
  <c r="BI14" i="7"/>
  <c r="BH14" i="7"/>
  <c r="BG14" i="7"/>
  <c r="BF14" i="7"/>
  <c r="BE14" i="7"/>
  <c r="CP6" i="7"/>
  <c r="CQ6" i="7" s="1"/>
  <c r="CR6" i="7" s="1"/>
  <c r="CS6" i="7" s="1"/>
  <c r="CT6" i="7" s="1"/>
  <c r="CU6" i="7" s="1"/>
  <c r="CV6" i="7" s="1"/>
  <c r="CW6" i="7" s="1"/>
  <c r="CX6" i="7" s="1"/>
  <c r="CY6" i="7" s="1"/>
  <c r="CZ6" i="7" s="1"/>
  <c r="DA6" i="7" s="1"/>
  <c r="DB6" i="7" s="1"/>
  <c r="DC6" i="7" s="1"/>
  <c r="DD6" i="7" s="1"/>
  <c r="DE6" i="7" s="1"/>
  <c r="DF6" i="7" s="1"/>
  <c r="CO6" i="7"/>
  <c r="CN6" i="7"/>
  <c r="DF5" i="7"/>
  <c r="DE5" i="7"/>
  <c r="DD5" i="7"/>
  <c r="DC5" i="7"/>
  <c r="DB5" i="7"/>
  <c r="DA5" i="7"/>
  <c r="CZ5" i="7"/>
  <c r="CY5" i="7"/>
  <c r="CX5" i="7"/>
  <c r="CW5" i="7"/>
  <c r="CV5" i="7"/>
  <c r="CU5" i="7"/>
  <c r="CT5" i="7"/>
  <c r="CS5" i="7"/>
  <c r="CR5" i="7"/>
  <c r="CQ5" i="7"/>
  <c r="CP5" i="7"/>
  <c r="CO5" i="7"/>
  <c r="CN5" i="7"/>
  <c r="CM5" i="7"/>
  <c r="CL5" i="7"/>
  <c r="CK5" i="7"/>
  <c r="CJ5" i="7"/>
  <c r="CI5" i="7"/>
  <c r="CH5" i="7"/>
  <c r="P6" i="7"/>
  <c r="O6" i="7"/>
  <c r="N6" i="7"/>
  <c r="O5" i="7"/>
  <c r="N5" i="7"/>
  <c r="M5" i="7"/>
  <c r="AR368" i="6"/>
  <c r="AO368" i="6"/>
  <c r="AT359" i="6"/>
  <c r="AJ359" i="6"/>
  <c r="AJ368" i="6" s="1"/>
  <c r="CP356" i="6"/>
  <c r="CO356" i="6"/>
  <c r="CN356" i="6"/>
  <c r="CM356" i="6"/>
  <c r="BB356" i="6"/>
  <c r="BA356" i="6"/>
  <c r="AZ356" i="6"/>
  <c r="AY356" i="6"/>
  <c r="AX356" i="6"/>
  <c r="BB357" i="6" s="1"/>
  <c r="AW356" i="6"/>
  <c r="CQ356" i="6" s="1"/>
  <c r="AV356" i="6"/>
  <c r="AU356" i="6"/>
  <c r="AU359" i="6" s="1"/>
  <c r="AT356" i="6"/>
  <c r="AS356" i="6"/>
  <c r="AR356" i="6"/>
  <c r="AQ356" i="6"/>
  <c r="AP356" i="6"/>
  <c r="AO356" i="6"/>
  <c r="AO359" i="6" s="1"/>
  <c r="AN356" i="6"/>
  <c r="AM356" i="6"/>
  <c r="AM359" i="6" s="1"/>
  <c r="AL356" i="6"/>
  <c r="AK356" i="6"/>
  <c r="AJ356" i="6"/>
  <c r="AI356" i="6"/>
  <c r="AH356" i="6"/>
  <c r="AG356" i="6"/>
  <c r="AV354" i="6"/>
  <c r="AR354" i="6"/>
  <c r="AG354" i="6"/>
  <c r="BZ353" i="6"/>
  <c r="BY353" i="6"/>
  <c r="BQ887" i="18" s="1"/>
  <c r="BU353" i="6"/>
  <c r="BM887" i="18" s="1"/>
  <c r="BR353" i="6"/>
  <c r="BP353" i="6"/>
  <c r="BH887" i="18" s="1"/>
  <c r="BN353" i="6"/>
  <c r="BM353" i="6"/>
  <c r="BE887" i="18" s="1"/>
  <c r="BJ353" i="6"/>
  <c r="BB887" i="18" s="1"/>
  <c r="BF353" i="6"/>
  <c r="BE353" i="6"/>
  <c r="AW887" i="18" s="1"/>
  <c r="BB353" i="6"/>
  <c r="AT887" i="18" s="1"/>
  <c r="AY353" i="6"/>
  <c r="AX353" i="6"/>
  <c r="AW353" i="6"/>
  <c r="AV353" i="6"/>
  <c r="AV359" i="6" s="1"/>
  <c r="AU353" i="6"/>
  <c r="AT353" i="6"/>
  <c r="AS353" i="6"/>
  <c r="AR353" i="6"/>
  <c r="AR359" i="6" s="1"/>
  <c r="AQ353" i="6"/>
  <c r="AP353" i="6"/>
  <c r="AO353" i="6"/>
  <c r="AN353" i="6"/>
  <c r="AM353" i="6"/>
  <c r="AL353" i="6"/>
  <c r="AK353" i="6"/>
  <c r="AJ353" i="6"/>
  <c r="AI353" i="6"/>
  <c r="AH353" i="6"/>
  <c r="AG353" i="6"/>
  <c r="AF353" i="6"/>
  <c r="AJ354" i="6" s="1"/>
  <c r="AE353" i="6"/>
  <c r="AD353" i="6"/>
  <c r="AC353" i="6"/>
  <c r="CL353" i="6" s="1"/>
  <c r="DB351" i="6"/>
  <c r="DA351" i="6"/>
  <c r="BW348" i="6"/>
  <c r="BO882" i="18" s="1"/>
  <c r="BV348" i="6"/>
  <c r="BN882" i="18" s="1"/>
  <c r="BU348" i="6"/>
  <c r="BM882" i="18" s="1"/>
  <c r="BN348" i="6"/>
  <c r="BF882" i="18" s="1"/>
  <c r="BM348" i="6"/>
  <c r="BE882" i="18" s="1"/>
  <c r="BK348" i="6"/>
  <c r="BC882" i="18" s="1"/>
  <c r="BH348" i="6"/>
  <c r="AZ882" i="18" s="1"/>
  <c r="BG348" i="6"/>
  <c r="AY882" i="18" s="1"/>
  <c r="AZ348" i="6"/>
  <c r="AR882" i="18" s="1"/>
  <c r="AW348" i="6"/>
  <c r="AV348" i="6"/>
  <c r="AU348" i="6"/>
  <c r="AT348" i="6"/>
  <c r="AS348" i="6"/>
  <c r="AR348" i="6"/>
  <c r="AQ348" i="6"/>
  <c r="AP348" i="6"/>
  <c r="AO348" i="6"/>
  <c r="BN347" i="6"/>
  <c r="BF881" i="18" s="1"/>
  <c r="AT347" i="6"/>
  <c r="AS347" i="6"/>
  <c r="BZ346" i="6"/>
  <c r="BV346" i="6"/>
  <c r="BT346" i="6"/>
  <c r="BL880" i="18" s="1"/>
  <c r="BS346" i="6"/>
  <c r="BK880" i="18" s="1"/>
  <c r="BR346" i="6"/>
  <c r="BJ346" i="6"/>
  <c r="BB880" i="18" s="1"/>
  <c r="BH346" i="6"/>
  <c r="BD346" i="6"/>
  <c r="AV880" i="18" s="1"/>
  <c r="AZ346" i="6"/>
  <c r="AY346" i="6"/>
  <c r="AY347" i="6" s="1"/>
  <c r="AW346" i="6"/>
  <c r="AW347" i="6" s="1"/>
  <c r="AV346" i="6"/>
  <c r="AU346" i="6"/>
  <c r="AT346" i="6"/>
  <c r="AS346" i="6"/>
  <c r="AR346" i="6"/>
  <c r="AQ346" i="6"/>
  <c r="AU347" i="6" s="1"/>
  <c r="AP346" i="6"/>
  <c r="AO346" i="6"/>
  <c r="AN346" i="6"/>
  <c r="AM346" i="6"/>
  <c r="AL346" i="6"/>
  <c r="AK346" i="6"/>
  <c r="BZ345" i="6"/>
  <c r="BR879" i="18" s="1"/>
  <c r="BV345" i="6"/>
  <c r="BN879" i="18" s="1"/>
  <c r="BR345" i="6"/>
  <c r="BJ879" i="18" s="1"/>
  <c r="BN345" i="6"/>
  <c r="BF879" i="18" s="1"/>
  <c r="BM345" i="6"/>
  <c r="BE879" i="18" s="1"/>
  <c r="BG345" i="6"/>
  <c r="AY879" i="18" s="1"/>
  <c r="BB345" i="6"/>
  <c r="AT879" i="18" s="1"/>
  <c r="AY345" i="6"/>
  <c r="AW345" i="6"/>
  <c r="AV345" i="6"/>
  <c r="AU345" i="6"/>
  <c r="AT345" i="6"/>
  <c r="AS345" i="6"/>
  <c r="AR345" i="6"/>
  <c r="AQ345" i="6"/>
  <c r="AP345" i="6"/>
  <c r="AO345" i="6"/>
  <c r="AN345" i="6"/>
  <c r="AM345" i="6"/>
  <c r="AL345" i="6"/>
  <c r="AK345" i="6"/>
  <c r="CP346" i="6"/>
  <c r="CW344" i="6"/>
  <c r="CO878" i="18" s="1"/>
  <c r="CQ344" i="6"/>
  <c r="CI878" i="18" s="1"/>
  <c r="CP344" i="6"/>
  <c r="CN346" i="6"/>
  <c r="CO344" i="6"/>
  <c r="CN344" i="6"/>
  <c r="CM344" i="6"/>
  <c r="CL344" i="6"/>
  <c r="CF344" i="6"/>
  <c r="BX878" i="18" s="1"/>
  <c r="CD344" i="6"/>
  <c r="BV878" i="18" s="1"/>
  <c r="CB348" i="6"/>
  <c r="BT882" i="18" s="1"/>
  <c r="CX344" i="6"/>
  <c r="BZ348" i="6"/>
  <c r="BR882" i="18" s="1"/>
  <c r="BV353" i="6"/>
  <c r="BN887" i="18" s="1"/>
  <c r="BT345" i="6"/>
  <c r="BL879" i="18" s="1"/>
  <c r="BR348" i="6"/>
  <c r="BJ882" i="18" s="1"/>
  <c r="BO348" i="6"/>
  <c r="BG882" i="18" s="1"/>
  <c r="BN346" i="6"/>
  <c r="BF880" i="18" s="1"/>
  <c r="BO345" i="6"/>
  <c r="BG879" i="18" s="1"/>
  <c r="BJ345" i="6"/>
  <c r="BB879" i="18" s="1"/>
  <c r="BM346" i="6"/>
  <c r="BE880" i="18" s="1"/>
  <c r="BH353" i="6"/>
  <c r="AZ887" i="18" s="1"/>
  <c r="BG353" i="6"/>
  <c r="AY887" i="18" s="1"/>
  <c r="BG346" i="6"/>
  <c r="AY880" i="18" s="1"/>
  <c r="BB348" i="6"/>
  <c r="AT882" i="18" s="1"/>
  <c r="AX344" i="6"/>
  <c r="AY348" i="6" s="1"/>
  <c r="AY340" i="6"/>
  <c r="AX340" i="6"/>
  <c r="AW340" i="6"/>
  <c r="AV340" i="6"/>
  <c r="AU340" i="6"/>
  <c r="AT340" i="6"/>
  <c r="AS340" i="6"/>
  <c r="AR340" i="6"/>
  <c r="AQ340" i="6"/>
  <c r="AP340" i="6"/>
  <c r="AO340" i="6"/>
  <c r="AN340" i="6"/>
  <c r="AM340" i="6"/>
  <c r="AL340" i="6"/>
  <c r="AK340" i="6"/>
  <c r="AK336" i="6"/>
  <c r="AN335" i="6"/>
  <c r="AM335" i="6"/>
  <c r="AL335" i="6"/>
  <c r="AL366" i="6" s="1"/>
  <c r="AJ335" i="6"/>
  <c r="AI335" i="6"/>
  <c r="AI366" i="6" s="1"/>
  <c r="AH335" i="6"/>
  <c r="AG335" i="6"/>
  <c r="BQ333" i="6"/>
  <c r="BM333" i="6"/>
  <c r="BK333" i="6"/>
  <c r="BI333" i="6"/>
  <c r="BH333" i="6"/>
  <c r="BG333" i="6"/>
  <c r="BF333" i="6"/>
  <c r="BE333" i="6"/>
  <c r="BD333" i="6"/>
  <c r="BS332" i="6"/>
  <c r="BQ332" i="6"/>
  <c r="BO332" i="6"/>
  <c r="BM332" i="6"/>
  <c r="BL332" i="6"/>
  <c r="BK332" i="6"/>
  <c r="BI332" i="6"/>
  <c r="BH332" i="6"/>
  <c r="BG332" i="6"/>
  <c r="BF332" i="6"/>
  <c r="BE332" i="6"/>
  <c r="BD332" i="6"/>
  <c r="AN332" i="6"/>
  <c r="AM332" i="6"/>
  <c r="AL332" i="6"/>
  <c r="AK332" i="6"/>
  <c r="BL331" i="6"/>
  <c r="BL333" i="6" s="1"/>
  <c r="BK331" i="6"/>
  <c r="BO331" i="6" s="1"/>
  <c r="BO333" i="6" s="1"/>
  <c r="BJ331" i="6"/>
  <c r="AP331" i="6"/>
  <c r="BU331" i="6"/>
  <c r="BS331" i="6"/>
  <c r="BQ331" i="6"/>
  <c r="BP331" i="6"/>
  <c r="AX330" i="6"/>
  <c r="AR330" i="6"/>
  <c r="AP330" i="6"/>
  <c r="AT330" i="6" s="1"/>
  <c r="AT331" i="6" s="1"/>
  <c r="AO330" i="6"/>
  <c r="AN330" i="6"/>
  <c r="AM330" i="6"/>
  <c r="AQ330" i="6" s="1"/>
  <c r="AL330" i="6"/>
  <c r="AK330" i="6"/>
  <c r="AK335" i="6" s="1"/>
  <c r="AX328" i="6"/>
  <c r="AT328" i="6"/>
  <c r="AP328" i="6"/>
  <c r="AM328" i="6"/>
  <c r="AL328" i="6"/>
  <c r="AK328" i="6"/>
  <c r="CB327" i="6"/>
  <c r="BT861" i="18" s="1"/>
  <c r="BS327" i="6"/>
  <c r="BK861" i="18" s="1"/>
  <c r="BR327" i="6"/>
  <c r="BJ861" i="18" s="1"/>
  <c r="BJ327" i="6"/>
  <c r="BB861" i="18" s="1"/>
  <c r="BF327" i="6"/>
  <c r="AX861" i="18" s="1"/>
  <c r="AY327" i="6"/>
  <c r="AX327" i="6"/>
  <c r="AW327" i="6"/>
  <c r="AV327" i="6"/>
  <c r="AU327" i="6"/>
  <c r="AT327" i="6"/>
  <c r="AS327" i="6"/>
  <c r="AR327" i="6"/>
  <c r="AQ327" i="6"/>
  <c r="AP327" i="6"/>
  <c r="AO327" i="6"/>
  <c r="AN327" i="6"/>
  <c r="AM327" i="6"/>
  <c r="AL327" i="6"/>
  <c r="AK327" i="6"/>
  <c r="AT326" i="6"/>
  <c r="AP326" i="6"/>
  <c r="CN324" i="6"/>
  <c r="CN327" i="6" s="1"/>
  <c r="BX325" i="6"/>
  <c r="BP859" i="18" s="1"/>
  <c r="BT325" i="6"/>
  <c r="BL859" i="18" s="1"/>
  <c r="BS325" i="6"/>
  <c r="BK859" i="18" s="1"/>
  <c r="BK325" i="6"/>
  <c r="BC859" i="18" s="1"/>
  <c r="BH325" i="6"/>
  <c r="AZ859" i="18" s="1"/>
  <c r="BF325" i="6"/>
  <c r="AX859" i="18" s="1"/>
  <c r="AY325" i="6"/>
  <c r="AX325" i="6"/>
  <c r="AX326" i="6" s="1"/>
  <c r="AW325" i="6"/>
  <c r="AV325" i="6"/>
  <c r="AU325" i="6"/>
  <c r="AT325" i="6"/>
  <c r="AS325" i="6"/>
  <c r="AR325" i="6"/>
  <c r="AQ325" i="6"/>
  <c r="AP325" i="6"/>
  <c r="AO325" i="6"/>
  <c r="AN325" i="6"/>
  <c r="AN328" i="6" s="1"/>
  <c r="AM325" i="6"/>
  <c r="AL325" i="6"/>
  <c r="AK325" i="6"/>
  <c r="CU324" i="6"/>
  <c r="CM858" i="18" s="1"/>
  <c r="CQ324" i="6"/>
  <c r="CI858" i="18" s="1"/>
  <c r="CP324" i="6"/>
  <c r="CO324" i="6"/>
  <c r="CP327" i="6" s="1"/>
  <c r="CM324" i="6"/>
  <c r="CL324" i="6"/>
  <c r="CF324" i="6"/>
  <c r="BX327" i="6"/>
  <c r="BP861" i="18" s="1"/>
  <c r="BT327" i="6"/>
  <c r="BL861" i="18" s="1"/>
  <c r="BR325" i="6"/>
  <c r="BJ859" i="18" s="1"/>
  <c r="BP327" i="6"/>
  <c r="BH861" i="18" s="1"/>
  <c r="BO325" i="6"/>
  <c r="BG859" i="18" s="1"/>
  <c r="BH327" i="6"/>
  <c r="AZ861" i="18" s="1"/>
  <c r="CS324" i="6"/>
  <c r="CK858" i="18" s="1"/>
  <c r="AZ327" i="6"/>
  <c r="AR861" i="18" s="1"/>
  <c r="CQ312" i="6"/>
  <c r="CZ304" i="6"/>
  <c r="CY304" i="6"/>
  <c r="CN294" i="6"/>
  <c r="CR290" i="6"/>
  <c r="CR312" i="6" s="1"/>
  <c r="BI287" i="6"/>
  <c r="DA281" i="6"/>
  <c r="DA304" i="6" s="1"/>
  <c r="CZ281" i="6"/>
  <c r="CK279" i="6"/>
  <c r="CK254" i="6" s="1"/>
  <c r="CJ278" i="6"/>
  <c r="CP273" i="6"/>
  <c r="CV272" i="6"/>
  <c r="CU272" i="6"/>
  <c r="CT272" i="6"/>
  <c r="CS272" i="6"/>
  <c r="CR272" i="6"/>
  <c r="CQ272" i="6"/>
  <c r="CP272" i="6"/>
  <c r="CO272" i="6"/>
  <c r="CN272" i="6"/>
  <c r="CM272" i="6"/>
  <c r="CY270" i="6"/>
  <c r="CX270" i="6"/>
  <c r="CL254" i="6"/>
  <c r="CQ248" i="6"/>
  <c r="CQ268" i="6" s="1"/>
  <c r="CP248" i="6"/>
  <c r="CP247" i="6"/>
  <c r="CP241" i="6"/>
  <c r="CQ240" i="6"/>
  <c r="CQ239" i="6"/>
  <c r="CQ235" i="6"/>
  <c r="CQ234" i="6"/>
  <c r="AZ234" i="6"/>
  <c r="CF230" i="6"/>
  <c r="CE230" i="6"/>
  <c r="CD230" i="6"/>
  <c r="CC230" i="6"/>
  <c r="CB230" i="6"/>
  <c r="CA230" i="6"/>
  <c r="BZ230" i="6"/>
  <c r="BY230" i="6"/>
  <c r="BX230" i="6"/>
  <c r="BW230" i="6"/>
  <c r="BV230" i="6"/>
  <c r="BU230" i="6"/>
  <c r="BT230" i="6"/>
  <c r="BS230" i="6"/>
  <c r="BR230" i="6"/>
  <c r="BQ230" i="6"/>
  <c r="BP230" i="6"/>
  <c r="BO230" i="6"/>
  <c r="BN230" i="6"/>
  <c r="BM230" i="6"/>
  <c r="BL230" i="6"/>
  <c r="BK230" i="6"/>
  <c r="BJ230" i="6"/>
  <c r="BI230" i="6"/>
  <c r="BH230" i="6"/>
  <c r="BG230" i="6"/>
  <c r="BF230" i="6"/>
  <c r="BE230" i="6"/>
  <c r="BB230" i="6"/>
  <c r="BA230" i="6"/>
  <c r="CF229" i="6"/>
  <c r="CE229" i="6"/>
  <c r="CD229" i="6"/>
  <c r="CC229" i="6"/>
  <c r="CB229" i="6"/>
  <c r="CA229" i="6"/>
  <c r="BZ229" i="6"/>
  <c r="BY229" i="6"/>
  <c r="BX229" i="6"/>
  <c r="BW229" i="6"/>
  <c r="BV229" i="6"/>
  <c r="BU229" i="6"/>
  <c r="BT229" i="6"/>
  <c r="BS229" i="6"/>
  <c r="BR229" i="6"/>
  <c r="BQ229" i="6"/>
  <c r="BP229" i="6"/>
  <c r="BO229" i="6"/>
  <c r="BN229" i="6"/>
  <c r="BM229" i="6"/>
  <c r="BL229" i="6"/>
  <c r="BK229" i="6"/>
  <c r="BJ229" i="6"/>
  <c r="BI229" i="6"/>
  <c r="BH229" i="6"/>
  <c r="BG229" i="6"/>
  <c r="BF229" i="6"/>
  <c r="BE229" i="6"/>
  <c r="BD229" i="6"/>
  <c r="BC229" i="6"/>
  <c r="BB229" i="6"/>
  <c r="BA229" i="6"/>
  <c r="BB220" i="6"/>
  <c r="AX219" i="6"/>
  <c r="BB216" i="6"/>
  <c r="AX216" i="6"/>
  <c r="AT216" i="6"/>
  <c r="AS216" i="6"/>
  <c r="AT215" i="6"/>
  <c r="AX220" i="6" s="1"/>
  <c r="AS215" i="6"/>
  <c r="AW220" i="6" s="1"/>
  <c r="CO214" i="6"/>
  <c r="BF215" i="6"/>
  <c r="BB215" i="6"/>
  <c r="BA215" i="6"/>
  <c r="AY215" i="6"/>
  <c r="AV214" i="6"/>
  <c r="AU214" i="6"/>
  <c r="AT214" i="6"/>
  <c r="AX214" i="6" s="1"/>
  <c r="BB214" i="6" s="1"/>
  <c r="AS214" i="6"/>
  <c r="AW214" i="6" s="1"/>
  <c r="CV210" i="6"/>
  <c r="CW210" i="6" s="1"/>
  <c r="CX210" i="6" s="1"/>
  <c r="CY210" i="6" s="1"/>
  <c r="CT210" i="6"/>
  <c r="CU210" i="6" s="1"/>
  <c r="CX191" i="6"/>
  <c r="CB191" i="6"/>
  <c r="CA191" i="6"/>
  <c r="BZ191" i="6"/>
  <c r="BY191" i="6"/>
  <c r="BX191" i="6"/>
  <c r="BP1316" i="18" s="1"/>
  <c r="BW191" i="6"/>
  <c r="BV191" i="6"/>
  <c r="BU191" i="6"/>
  <c r="BS191" i="6"/>
  <c r="BR191" i="6"/>
  <c r="BQ191" i="6"/>
  <c r="BP191" i="6"/>
  <c r="BO191" i="6"/>
  <c r="BN191" i="6"/>
  <c r="BM191" i="6"/>
  <c r="BN190" i="6"/>
  <c r="BM190" i="6"/>
  <c r="CE189" i="6"/>
  <c r="CB189" i="6"/>
  <c r="CA189" i="6"/>
  <c r="BZ189" i="6"/>
  <c r="BY189" i="6"/>
  <c r="BQ1314" i="18" s="1"/>
  <c r="BX189" i="6"/>
  <c r="BP1314" i="18" s="1"/>
  <c r="BW189" i="6"/>
  <c r="BV189" i="6"/>
  <c r="BS189" i="6"/>
  <c r="BR189" i="6"/>
  <c r="BQ189" i="6"/>
  <c r="BP189" i="6"/>
  <c r="BP190" i="6" s="1"/>
  <c r="BO189" i="6"/>
  <c r="BO190" i="6" s="1"/>
  <c r="BN189" i="6"/>
  <c r="BM189" i="6"/>
  <c r="CB188" i="6"/>
  <c r="CA188" i="6"/>
  <c r="BZ188" i="6"/>
  <c r="BY188" i="6"/>
  <c r="BQ733" i="18" s="1"/>
  <c r="BX188" i="6"/>
  <c r="BP1313" i="18" s="1"/>
  <c r="BW188" i="6"/>
  <c r="BV188" i="6"/>
  <c r="BS188" i="6"/>
  <c r="BR188" i="6"/>
  <c r="BQ188" i="6"/>
  <c r="BP188" i="6"/>
  <c r="BO188" i="6"/>
  <c r="BN188" i="6"/>
  <c r="BM188" i="6"/>
  <c r="CB187" i="6"/>
  <c r="BT1312" i="18" s="1"/>
  <c r="CA187" i="6"/>
  <c r="BZ187" i="6"/>
  <c r="BY187" i="6"/>
  <c r="BW187" i="6"/>
  <c r="BV187" i="6"/>
  <c r="BU187" i="6"/>
  <c r="BS187" i="6"/>
  <c r="BR187" i="6"/>
  <c r="BQ187" i="6"/>
  <c r="BP187" i="6"/>
  <c r="CB186" i="6"/>
  <c r="BT1311" i="18" s="1"/>
  <c r="CA186" i="6"/>
  <c r="BZ186" i="6"/>
  <c r="BY186" i="6"/>
  <c r="BW186" i="6"/>
  <c r="BV186" i="6"/>
  <c r="BU186" i="6"/>
  <c r="BS186" i="6"/>
  <c r="BR186" i="6"/>
  <c r="BQ186" i="6"/>
  <c r="BP186" i="6"/>
  <c r="CU187" i="6"/>
  <c r="CU186" i="6"/>
  <c r="CX185" i="6"/>
  <c r="CW185" i="6"/>
  <c r="CO1310" i="18" s="1"/>
  <c r="CU185" i="6"/>
  <c r="CU191" i="6" s="1"/>
  <c r="CT185" i="6"/>
  <c r="BL1310" i="18"/>
  <c r="BZ183" i="6"/>
  <c r="BS183" i="6"/>
  <c r="BR183" i="6"/>
  <c r="BY182" i="6"/>
  <c r="BV182" i="6"/>
  <c r="BQ182" i="6"/>
  <c r="CB181" i="6"/>
  <c r="CA181" i="6"/>
  <c r="BZ181" i="6"/>
  <c r="BY181" i="6"/>
  <c r="BX181" i="6"/>
  <c r="BP1306" i="18" s="1"/>
  <c r="BW181" i="6"/>
  <c r="BW183" i="6" s="1"/>
  <c r="BV181" i="6"/>
  <c r="BV183" i="6" s="1"/>
  <c r="BU181" i="6"/>
  <c r="BU182" i="6" s="1"/>
  <c r="BS181" i="6"/>
  <c r="BR181" i="6"/>
  <c r="BQ181" i="6"/>
  <c r="BP181" i="6"/>
  <c r="BO181" i="6"/>
  <c r="BN181" i="6"/>
  <c r="BN183" i="6" s="1"/>
  <c r="BM181" i="6"/>
  <c r="CQ174" i="6"/>
  <c r="CP174" i="6"/>
  <c r="CB174" i="6"/>
  <c r="CA174" i="6"/>
  <c r="BZ174" i="6"/>
  <c r="BY174" i="6"/>
  <c r="BX174" i="6"/>
  <c r="BP1300" i="18" s="1"/>
  <c r="BW174" i="6"/>
  <c r="BV174" i="6"/>
  <c r="BS174" i="6"/>
  <c r="BR174" i="6"/>
  <c r="BQ174" i="6"/>
  <c r="BP174" i="6"/>
  <c r="BO174" i="6"/>
  <c r="BN174" i="6"/>
  <c r="BK174" i="6"/>
  <c r="BJ174" i="6"/>
  <c r="BI174" i="6"/>
  <c r="BH174" i="6"/>
  <c r="BG174" i="6"/>
  <c r="BF174" i="6"/>
  <c r="BE174" i="6"/>
  <c r="BD174" i="6"/>
  <c r="BC174" i="6"/>
  <c r="BB174" i="6"/>
  <c r="BA174" i="6"/>
  <c r="CR174" i="6" s="1"/>
  <c r="AZ174" i="6"/>
  <c r="AY174" i="6"/>
  <c r="AX174" i="6"/>
  <c r="AW174" i="6"/>
  <c r="AV174" i="6"/>
  <c r="AU174" i="6"/>
  <c r="AT174" i="6"/>
  <c r="AS174" i="6"/>
  <c r="AR174" i="6"/>
  <c r="AQ174" i="6"/>
  <c r="AP174" i="6"/>
  <c r="AM174" i="6"/>
  <c r="AL174" i="6"/>
  <c r="AI174" i="6"/>
  <c r="AH174" i="6"/>
  <c r="CE173" i="6"/>
  <c r="CB173" i="6"/>
  <c r="CF173" i="6" s="1"/>
  <c r="CA173" i="6"/>
  <c r="BZ173" i="6"/>
  <c r="CD173" i="6" s="1"/>
  <c r="BY173" i="6"/>
  <c r="CC173" i="6" s="1"/>
  <c r="BX173" i="6"/>
  <c r="BP1299" i="18" s="1"/>
  <c r="BW173" i="6"/>
  <c r="BV173" i="6"/>
  <c r="BS173" i="6"/>
  <c r="BR173" i="6"/>
  <c r="BQ173" i="6"/>
  <c r="BP173" i="6"/>
  <c r="BO173" i="6"/>
  <c r="BN173" i="6"/>
  <c r="BK173" i="6"/>
  <c r="BJ173" i="6"/>
  <c r="BI173" i="6"/>
  <c r="BH173" i="6"/>
  <c r="BG173" i="6"/>
  <c r="BF173" i="6"/>
  <c r="BE173" i="6"/>
  <c r="BD173" i="6"/>
  <c r="BC173" i="6"/>
  <c r="BB173" i="6"/>
  <c r="BA173" i="6"/>
  <c r="AZ173" i="6"/>
  <c r="AY173" i="6"/>
  <c r="AX173" i="6"/>
  <c r="AW173" i="6"/>
  <c r="AV173" i="6"/>
  <c r="AU173" i="6"/>
  <c r="AT173" i="6"/>
  <c r="AS173" i="6"/>
  <c r="CB172" i="6"/>
  <c r="CA172" i="6"/>
  <c r="BZ172" i="6"/>
  <c r="BY172" i="6"/>
  <c r="BW172" i="6"/>
  <c r="BV172" i="6"/>
  <c r="BU172" i="6"/>
  <c r="BS172" i="6"/>
  <c r="BR172" i="6"/>
  <c r="BQ172" i="6"/>
  <c r="CB171" i="6"/>
  <c r="BT1298" i="18" s="1"/>
  <c r="CA171" i="6"/>
  <c r="BZ171" i="6"/>
  <c r="BY171" i="6"/>
  <c r="BW171" i="6"/>
  <c r="BV171" i="6"/>
  <c r="BU171" i="6"/>
  <c r="BS171" i="6"/>
  <c r="BR171" i="6"/>
  <c r="BQ171" i="6"/>
  <c r="BP171" i="6"/>
  <c r="BO171" i="6"/>
  <c r="BN171" i="6"/>
  <c r="BM171" i="6"/>
  <c r="BK171" i="6"/>
  <c r="BJ171" i="6"/>
  <c r="BI171" i="6"/>
  <c r="BH171" i="6"/>
  <c r="BG171" i="6"/>
  <c r="BF171" i="6"/>
  <c r="BE171" i="6"/>
  <c r="BD171" i="6"/>
  <c r="BC171" i="6"/>
  <c r="BB171" i="6"/>
  <c r="BA171" i="6"/>
  <c r="AZ171" i="6"/>
  <c r="AY171" i="6"/>
  <c r="AX171" i="6"/>
  <c r="AW171" i="6"/>
  <c r="AV171" i="6"/>
  <c r="AU171" i="6"/>
  <c r="AT171" i="6"/>
  <c r="AS171" i="6"/>
  <c r="AR171" i="6"/>
  <c r="AQ171" i="6"/>
  <c r="AP171" i="6"/>
  <c r="AO171" i="6"/>
  <c r="AN171" i="6"/>
  <c r="AL171" i="6"/>
  <c r="AK171" i="6"/>
  <c r="CX170" i="6"/>
  <c r="CX181" i="6" s="1"/>
  <c r="CW170" i="6"/>
  <c r="CU170" i="6"/>
  <c r="CS170" i="6"/>
  <c r="CS171" i="6" s="1"/>
  <c r="CR170" i="6"/>
  <c r="CQ170" i="6"/>
  <c r="CP170" i="6"/>
  <c r="CO170" i="6"/>
  <c r="CP171" i="6" s="1"/>
  <c r="CC170" i="6"/>
  <c r="BL170" i="6"/>
  <c r="BM173" i="6" s="1"/>
  <c r="AN170" i="6"/>
  <c r="AJ170" i="6"/>
  <c r="AK174" i="6" s="1"/>
  <c r="AI170" i="6"/>
  <c r="AM171" i="6" s="1"/>
  <c r="AY166" i="6"/>
  <c r="AT166" i="6"/>
  <c r="AR166" i="6"/>
  <c r="AQ166" i="6"/>
  <c r="AM166" i="6"/>
  <c r="AJ166" i="6"/>
  <c r="AI166" i="6"/>
  <c r="AJ165" i="6"/>
  <c r="AJ364" i="6" s="1"/>
  <c r="CN161" i="6"/>
  <c r="AY161" i="6"/>
  <c r="AX161" i="6"/>
  <c r="AV161" i="6"/>
  <c r="AU161" i="6"/>
  <c r="AS161" i="6"/>
  <c r="AR161" i="6"/>
  <c r="AQ161" i="6"/>
  <c r="AP161" i="6"/>
  <c r="AM161" i="6"/>
  <c r="AK161" i="6"/>
  <c r="AX156" i="6"/>
  <c r="AU156" i="6"/>
  <c r="AU157" i="6" s="1"/>
  <c r="AU108" i="6" s="1"/>
  <c r="AU120" i="6" s="1"/>
  <c r="AS156" i="6"/>
  <c r="AR156" i="6"/>
  <c r="AQ156" i="6"/>
  <c r="AP156" i="6"/>
  <c r="AO156" i="6"/>
  <c r="AM156" i="6"/>
  <c r="AX155" i="6"/>
  <c r="AX157" i="6" s="1"/>
  <c r="AX108" i="6" s="1"/>
  <c r="AU155" i="6"/>
  <c r="AM155" i="6"/>
  <c r="AM157" i="6" s="1"/>
  <c r="AM108" i="6" s="1"/>
  <c r="AY154" i="6"/>
  <c r="AY155" i="6" s="1"/>
  <c r="AX154" i="6"/>
  <c r="AX166" i="6" s="1"/>
  <c r="AW154" i="6"/>
  <c r="AV154" i="6"/>
  <c r="AV155" i="6" s="1"/>
  <c r="AU154" i="6"/>
  <c r="AU166" i="6" s="1"/>
  <c r="AT154" i="6"/>
  <c r="AT155" i="6" s="1"/>
  <c r="AS154" i="6"/>
  <c r="AR154" i="6"/>
  <c r="AQ154" i="6"/>
  <c r="AQ155" i="6" s="1"/>
  <c r="AQ157" i="6" s="1"/>
  <c r="AQ108" i="6" s="1"/>
  <c r="AP154" i="6"/>
  <c r="AO154" i="6"/>
  <c r="AO166" i="6" s="1"/>
  <c r="AN154" i="6"/>
  <c r="AM154" i="6"/>
  <c r="AL154" i="6"/>
  <c r="AL166" i="6" s="1"/>
  <c r="AK154" i="6"/>
  <c r="AJ154" i="6"/>
  <c r="AI154" i="6"/>
  <c r="AH154" i="6"/>
  <c r="AG154" i="6"/>
  <c r="AG166" i="6" s="1"/>
  <c r="CF152" i="6"/>
  <c r="BX709" i="18" s="1"/>
  <c r="CE152" i="6"/>
  <c r="BW709" i="18" s="1"/>
  <c r="CD152" i="6"/>
  <c r="BV709" i="18" s="1"/>
  <c r="CC152" i="6"/>
  <c r="BU709" i="18" s="1"/>
  <c r="CB152" i="6"/>
  <c r="CA152" i="6"/>
  <c r="BZ152" i="6"/>
  <c r="BY152" i="6"/>
  <c r="BX152" i="6"/>
  <c r="BW152" i="6"/>
  <c r="BV152" i="6"/>
  <c r="BU152" i="6"/>
  <c r="BT152" i="6"/>
  <c r="BS152" i="6"/>
  <c r="BR152" i="6"/>
  <c r="BQ152" i="6"/>
  <c r="BP152" i="6"/>
  <c r="BO152" i="6"/>
  <c r="BN152" i="6"/>
  <c r="BM152" i="6"/>
  <c r="BL152" i="6"/>
  <c r="BK152" i="6"/>
  <c r="BJ152" i="6"/>
  <c r="BI152" i="6"/>
  <c r="BH152" i="6"/>
  <c r="BG152" i="6"/>
  <c r="BF152" i="6"/>
  <c r="BE152" i="6"/>
  <c r="BD152" i="6"/>
  <c r="BC152" i="6"/>
  <c r="BB152" i="6"/>
  <c r="BA152" i="6"/>
  <c r="AZ152" i="6"/>
  <c r="AY152" i="6"/>
  <c r="AX152" i="6"/>
  <c r="AW152" i="6"/>
  <c r="AV152" i="6"/>
  <c r="AU152" i="6"/>
  <c r="AT152" i="6"/>
  <c r="AS152" i="6"/>
  <c r="AR152" i="6"/>
  <c r="AQ152" i="6"/>
  <c r="AP152" i="6"/>
  <c r="AO152" i="6"/>
  <c r="DA151" i="6"/>
  <c r="AX149" i="6"/>
  <c r="AU149" i="6"/>
  <c r="AS149" i="6"/>
  <c r="AR149" i="6"/>
  <c r="AQ149" i="6"/>
  <c r="AP149" i="6"/>
  <c r="AO149" i="6"/>
  <c r="AN149" i="6"/>
  <c r="AM149" i="6"/>
  <c r="AK149" i="6"/>
  <c r="CF141" i="6"/>
  <c r="CE141" i="6"/>
  <c r="CC141" i="6"/>
  <c r="CB141" i="6"/>
  <c r="CA141" i="6"/>
  <c r="BZ141" i="6"/>
  <c r="BY141" i="6"/>
  <c r="BX141" i="6"/>
  <c r="BW141" i="6"/>
  <c r="BV141" i="6"/>
  <c r="BU141" i="6"/>
  <c r="BT141" i="6"/>
  <c r="BS141" i="6"/>
  <c r="BR141" i="6"/>
  <c r="BQ141" i="6"/>
  <c r="BP141" i="6"/>
  <c r="BO141" i="6"/>
  <c r="BN141" i="6"/>
  <c r="BM141" i="6"/>
  <c r="BL141" i="6"/>
  <c r="BK141" i="6"/>
  <c r="BJ141" i="6"/>
  <c r="BI141" i="6"/>
  <c r="BH141" i="6"/>
  <c r="BG141" i="6"/>
  <c r="BF141" i="6"/>
  <c r="BE141" i="6"/>
  <c r="BD141" i="6"/>
  <c r="BC141" i="6"/>
  <c r="BB141" i="6"/>
  <c r="BA141" i="6"/>
  <c r="AZ141" i="6"/>
  <c r="AY141" i="6"/>
  <c r="AX141" i="6"/>
  <c r="AW141" i="6"/>
  <c r="AV141" i="6"/>
  <c r="AU141" i="6"/>
  <c r="AT141" i="6"/>
  <c r="AS141" i="6"/>
  <c r="AH141" i="6"/>
  <c r="AG141" i="6"/>
  <c r="CD140" i="6"/>
  <c r="CD141" i="6" s="1"/>
  <c r="BV701" i="18" s="1"/>
  <c r="CZ140" i="6"/>
  <c r="AT139" i="6"/>
  <c r="AQ139" i="6"/>
  <c r="AP139" i="6"/>
  <c r="AO139" i="6"/>
  <c r="AS139" i="6" s="1"/>
  <c r="AN139" i="6"/>
  <c r="AR139" i="6" s="1"/>
  <c r="AM139" i="6"/>
  <c r="AL139" i="6"/>
  <c r="AK139" i="6"/>
  <c r="AJ124" i="6"/>
  <c r="AI124" i="6"/>
  <c r="AI100" i="6" s="1"/>
  <c r="AI143" i="6" s="1"/>
  <c r="AI165" i="6" s="1"/>
  <c r="AI364" i="6" s="1"/>
  <c r="AH124" i="6"/>
  <c r="AG124" i="6"/>
  <c r="AG100" i="6" s="1"/>
  <c r="AG143" i="6" s="1"/>
  <c r="DF119" i="6"/>
  <c r="DE119" i="6"/>
  <c r="DD119" i="6"/>
  <c r="DC119" i="6"/>
  <c r="DB119" i="6"/>
  <c r="DA119" i="6"/>
  <c r="AV121" i="6"/>
  <c r="AQ121" i="6"/>
  <c r="CF119" i="6"/>
  <c r="CE119" i="6"/>
  <c r="CD119" i="6"/>
  <c r="CC119" i="6"/>
  <c r="CB119" i="6"/>
  <c r="CA119" i="6"/>
  <c r="BZ119" i="6"/>
  <c r="BY119" i="6"/>
  <c r="BX119" i="6"/>
  <c r="BW119" i="6"/>
  <c r="BV119" i="6"/>
  <c r="BU119" i="6"/>
  <c r="BT119" i="6"/>
  <c r="BS119" i="6"/>
  <c r="BR119" i="6"/>
  <c r="BQ119" i="6"/>
  <c r="BP119" i="6"/>
  <c r="BO119" i="6"/>
  <c r="BN119" i="6"/>
  <c r="BM119" i="6"/>
  <c r="BL119" i="6"/>
  <c r="BK119" i="6"/>
  <c r="BJ119" i="6"/>
  <c r="BI119" i="6"/>
  <c r="CP115" i="6"/>
  <c r="CM115" i="6"/>
  <c r="AH116" i="6"/>
  <c r="CA115" i="6"/>
  <c r="BS668" i="18" s="1"/>
  <c r="BY115" i="6"/>
  <c r="BQ668" i="18" s="1"/>
  <c r="BX115" i="6"/>
  <c r="BP668" i="18" s="1"/>
  <c r="BE115" i="6"/>
  <c r="AW668" i="18" s="1"/>
  <c r="BC115" i="6"/>
  <c r="AU668" i="18" s="1"/>
  <c r="BA115" i="6"/>
  <c r="AS668" i="18" s="1"/>
  <c r="AY115" i="6"/>
  <c r="AX115" i="6"/>
  <c r="AW115" i="6"/>
  <c r="AV115" i="6"/>
  <c r="AU115" i="6"/>
  <c r="AT115" i="6"/>
  <c r="AS115" i="6"/>
  <c r="AR115" i="6"/>
  <c r="AQ115" i="6"/>
  <c r="AP115" i="6"/>
  <c r="AO115" i="6"/>
  <c r="AN115" i="6"/>
  <c r="AM115" i="6"/>
  <c r="AL115" i="6"/>
  <c r="AK115" i="6"/>
  <c r="AJ115" i="6"/>
  <c r="AI115" i="6"/>
  <c r="AH115" i="6"/>
  <c r="AG115" i="6"/>
  <c r="AG116" i="6" s="1"/>
  <c r="AR110" i="6"/>
  <c r="AM110" i="6"/>
  <c r="AK110" i="6"/>
  <c r="BY109" i="6"/>
  <c r="BQ662" i="18" s="1"/>
  <c r="BM109" i="6"/>
  <c r="BE662" i="18" s="1"/>
  <c r="BI109" i="6"/>
  <c r="BA662" i="18" s="1"/>
  <c r="BA109" i="6"/>
  <c r="AS662" i="18" s="1"/>
  <c r="AY109" i="6"/>
  <c r="AX109" i="6"/>
  <c r="AW109" i="6"/>
  <c r="AW121" i="6" s="1"/>
  <c r="AV109" i="6"/>
  <c r="AU109" i="6"/>
  <c r="AT109" i="6"/>
  <c r="AS109" i="6"/>
  <c r="AR109" i="6"/>
  <c r="AR121" i="6" s="1"/>
  <c r="AQ109" i="6"/>
  <c r="AP109" i="6"/>
  <c r="AO109" i="6"/>
  <c r="AO110" i="6" s="1"/>
  <c r="AN109" i="6"/>
  <c r="AN110" i="6" s="1"/>
  <c r="AM109" i="6"/>
  <c r="AL109" i="6"/>
  <c r="AK109" i="6"/>
  <c r="AJ107" i="6"/>
  <c r="BX104" i="6"/>
  <c r="BU104" i="6"/>
  <c r="BM658" i="18" s="1"/>
  <c r="BQ104" i="6"/>
  <c r="BI658" i="18" s="1"/>
  <c r="BM104" i="6"/>
  <c r="BE658" i="18" s="1"/>
  <c r="BI104" i="6"/>
  <c r="BA658" i="18" s="1"/>
  <c r="BH104" i="6"/>
  <c r="AZ658" i="18" s="1"/>
  <c r="BB104" i="6"/>
  <c r="AT658" i="18" s="1"/>
  <c r="AZ104" i="6"/>
  <c r="AR658" i="18" s="1"/>
  <c r="AY104" i="6"/>
  <c r="AX104" i="6"/>
  <c r="AW104" i="6"/>
  <c r="AV104" i="6"/>
  <c r="AU104" i="6"/>
  <c r="AT104" i="6"/>
  <c r="AS104" i="6"/>
  <c r="AR104" i="6"/>
  <c r="AQ104" i="6"/>
  <c r="AP104" i="6"/>
  <c r="AO104" i="6"/>
  <c r="AN104" i="6"/>
  <c r="AM104" i="6"/>
  <c r="AL104" i="6"/>
  <c r="AK104" i="6"/>
  <c r="BX103" i="6"/>
  <c r="BP656" i="18" s="1"/>
  <c r="BU103" i="6"/>
  <c r="BM656" i="18" s="1"/>
  <c r="BQ103" i="6"/>
  <c r="BI656" i="18" s="1"/>
  <c r="BH103" i="6"/>
  <c r="AZ656" i="18" s="1"/>
  <c r="BE103" i="6"/>
  <c r="AW656" i="18" s="1"/>
  <c r="BA103" i="6"/>
  <c r="AS656" i="18" s="1"/>
  <c r="AY103" i="6"/>
  <c r="AX103" i="6"/>
  <c r="AW103" i="6"/>
  <c r="AV103" i="6"/>
  <c r="AU103" i="6"/>
  <c r="AT103" i="6"/>
  <c r="AS103" i="6"/>
  <c r="AR103" i="6"/>
  <c r="AQ103" i="6"/>
  <c r="AP103" i="6"/>
  <c r="AO103" i="6"/>
  <c r="AN103" i="6"/>
  <c r="AM103" i="6"/>
  <c r="AL103" i="6"/>
  <c r="AK103" i="6"/>
  <c r="AJ103" i="6"/>
  <c r="AI103" i="6"/>
  <c r="AH103" i="6"/>
  <c r="AG103" i="6"/>
  <c r="CL102" i="6"/>
  <c r="CP103" i="6"/>
  <c r="CM103" i="6"/>
  <c r="CS102" i="6"/>
  <c r="CK655" i="18" s="1"/>
  <c r="CQ102" i="6"/>
  <c r="CI655" i="18" s="1"/>
  <c r="CP102" i="6"/>
  <c r="CO102" i="6"/>
  <c r="CO109" i="6" s="1"/>
  <c r="CN102" i="6"/>
  <c r="CM102" i="6"/>
  <c r="BY104" i="6"/>
  <c r="BV109" i="6"/>
  <c r="BN662" i="18" s="1"/>
  <c r="BQ115" i="6"/>
  <c r="BI668" i="18" s="1"/>
  <c r="BN103" i="6"/>
  <c r="BF656" i="18" s="1"/>
  <c r="BA104" i="6"/>
  <c r="AS658" i="18" s="1"/>
  <c r="BL100" i="6"/>
  <c r="BD653" i="18" s="1"/>
  <c r="BH100" i="6"/>
  <c r="AZ653" i="18" s="1"/>
  <c r="BE100" i="6"/>
  <c r="AW653" i="18" s="1"/>
  <c r="BA100" i="6"/>
  <c r="AS653" i="18" s="1"/>
  <c r="AJ100" i="6"/>
  <c r="AJ143" i="6" s="1"/>
  <c r="AH100" i="6"/>
  <c r="AH143" i="6" s="1"/>
  <c r="AH165" i="6" s="1"/>
  <c r="AH364" i="6" s="1"/>
  <c r="CP96" i="6"/>
  <c r="BN96" i="6"/>
  <c r="BF647" i="18" s="1"/>
  <c r="AY96" i="6"/>
  <c r="AX96" i="6"/>
  <c r="AW96" i="6"/>
  <c r="AV96" i="6"/>
  <c r="AU96" i="6"/>
  <c r="AT96" i="6"/>
  <c r="AS96" i="6"/>
  <c r="AR96" i="6"/>
  <c r="AQ96" i="6"/>
  <c r="AP96" i="6"/>
  <c r="AO96" i="6"/>
  <c r="AN96" i="6"/>
  <c r="AM96" i="6"/>
  <c r="AL96" i="6"/>
  <c r="AK96" i="6"/>
  <c r="CN92" i="6"/>
  <c r="CB95" i="6"/>
  <c r="BT646" i="18" s="1"/>
  <c r="CA95" i="6"/>
  <c r="BS646" i="18" s="1"/>
  <c r="BU95" i="6"/>
  <c r="BM646" i="18" s="1"/>
  <c r="BS95" i="6"/>
  <c r="BK646" i="18" s="1"/>
  <c r="BR95" i="6"/>
  <c r="BJ646" i="18" s="1"/>
  <c r="BK95" i="6"/>
  <c r="BC646" i="18" s="1"/>
  <c r="AY95" i="6"/>
  <c r="AX95" i="6"/>
  <c r="AW95" i="6"/>
  <c r="AV95" i="6"/>
  <c r="AU95" i="6"/>
  <c r="AT95" i="6"/>
  <c r="AS95" i="6"/>
  <c r="AR95" i="6"/>
  <c r="AQ95" i="6"/>
  <c r="AP95" i="6"/>
  <c r="AO95" i="6"/>
  <c r="AY94" i="6"/>
  <c r="AS94" i="6"/>
  <c r="AR94" i="6"/>
  <c r="AQ94" i="6"/>
  <c r="CA93" i="6"/>
  <c r="BS644" i="18" s="1"/>
  <c r="BZ93" i="6"/>
  <c r="BY93" i="6"/>
  <c r="BQ644" i="18" s="1"/>
  <c r="BV93" i="6"/>
  <c r="BN644" i="18" s="1"/>
  <c r="BS93" i="6"/>
  <c r="BK644" i="18" s="1"/>
  <c r="BR93" i="6"/>
  <c r="BJ644" i="18" s="1"/>
  <c r="BQ93" i="6"/>
  <c r="BI644" i="18" s="1"/>
  <c r="BP93" i="6"/>
  <c r="BH644" i="18" s="1"/>
  <c r="BN93" i="6"/>
  <c r="BF644" i="18" s="1"/>
  <c r="BJ93" i="6"/>
  <c r="BB644" i="18" s="1"/>
  <c r="BI93" i="6"/>
  <c r="BA644" i="18" s="1"/>
  <c r="BF93" i="6"/>
  <c r="AX644" i="18" s="1"/>
  <c r="BE93" i="6"/>
  <c r="AW644" i="18" s="1"/>
  <c r="BD93" i="6"/>
  <c r="BB93" i="6"/>
  <c r="AT644" i="18" s="1"/>
  <c r="AZ93" i="6"/>
  <c r="AR644" i="18" s="1"/>
  <c r="AY93" i="6"/>
  <c r="AX93" i="6"/>
  <c r="AW93" i="6"/>
  <c r="AW94" i="6" s="1"/>
  <c r="AV93" i="6"/>
  <c r="AU93" i="6"/>
  <c r="AU94" i="6" s="1"/>
  <c r="AT93" i="6"/>
  <c r="AX94" i="6" s="1"/>
  <c r="AS93" i="6"/>
  <c r="AR93" i="6"/>
  <c r="AQ93" i="6"/>
  <c r="AP93" i="6"/>
  <c r="AO93" i="6"/>
  <c r="AO94" i="6" s="1"/>
  <c r="AN93" i="6"/>
  <c r="AM93" i="6"/>
  <c r="AL93" i="6"/>
  <c r="AP94" i="6" s="1"/>
  <c r="AK93" i="6"/>
  <c r="CQ92" i="6"/>
  <c r="CP92" i="6"/>
  <c r="CO92" i="6"/>
  <c r="CM92" i="6"/>
  <c r="BL95" i="6"/>
  <c r="BD646" i="18" s="1"/>
  <c r="BH95" i="6"/>
  <c r="AZ646" i="18" s="1"/>
  <c r="BC93" i="6"/>
  <c r="BA95" i="6"/>
  <c r="AS646" i="18" s="1"/>
  <c r="AZ95" i="6"/>
  <c r="AR646" i="18" s="1"/>
  <c r="CM89" i="6"/>
  <c r="AN89" i="6"/>
  <c r="AM89" i="6"/>
  <c r="AL89" i="6"/>
  <c r="AK89" i="6"/>
  <c r="AJ89" i="6"/>
  <c r="AI89" i="6"/>
  <c r="AH89" i="6"/>
  <c r="AG89" i="6"/>
  <c r="CN86" i="6"/>
  <c r="BY90" i="6"/>
  <c r="BQ641" i="18" s="1"/>
  <c r="BS90" i="6"/>
  <c r="BK641" i="18" s="1"/>
  <c r="BJ90" i="6"/>
  <c r="BB641" i="18" s="1"/>
  <c r="BI90" i="6"/>
  <c r="BA641" i="18" s="1"/>
  <c r="BD90" i="6"/>
  <c r="AV641" i="18" s="1"/>
  <c r="BA90" i="6"/>
  <c r="AS641" i="18" s="1"/>
  <c r="AZ90" i="6"/>
  <c r="AR641" i="18" s="1"/>
  <c r="AY90" i="6"/>
  <c r="AX90" i="6"/>
  <c r="AW90" i="6"/>
  <c r="AV90" i="6"/>
  <c r="AU90" i="6"/>
  <c r="AT90" i="6"/>
  <c r="AS90" i="6"/>
  <c r="AR90" i="6"/>
  <c r="AQ90" i="6"/>
  <c r="AP90" i="6"/>
  <c r="AO90" i="6"/>
  <c r="AY89" i="6"/>
  <c r="AX89" i="6"/>
  <c r="AW89" i="6"/>
  <c r="AV89" i="6"/>
  <c r="AU89" i="6"/>
  <c r="AT89" i="6"/>
  <c r="AS89" i="6"/>
  <c r="AR89" i="6"/>
  <c r="AQ89" i="6"/>
  <c r="AP89" i="6"/>
  <c r="AO89" i="6"/>
  <c r="AY88" i="6"/>
  <c r="AV88" i="6"/>
  <c r="AQ88" i="6"/>
  <c r="CA87" i="6"/>
  <c r="BS638" i="18" s="1"/>
  <c r="BW87" i="6"/>
  <c r="BO638" i="18" s="1"/>
  <c r="BV87" i="6"/>
  <c r="BN638" i="18" s="1"/>
  <c r="BP87" i="6"/>
  <c r="BN87" i="6"/>
  <c r="BF87" i="6"/>
  <c r="AX638" i="18" s="1"/>
  <c r="BC87" i="6"/>
  <c r="BB87" i="6"/>
  <c r="AZ87" i="6"/>
  <c r="AR638" i="18" s="1"/>
  <c r="AY87" i="6"/>
  <c r="AX87" i="6"/>
  <c r="AW87" i="6"/>
  <c r="AW88" i="6" s="1"/>
  <c r="AV87" i="6"/>
  <c r="AU87" i="6"/>
  <c r="AU88" i="6" s="1"/>
  <c r="AT87" i="6"/>
  <c r="AX88" i="6" s="1"/>
  <c r="AS87" i="6"/>
  <c r="AR87" i="6"/>
  <c r="AQ87" i="6"/>
  <c r="AP87" i="6"/>
  <c r="AO87" i="6"/>
  <c r="AN87" i="6"/>
  <c r="AR88" i="6" s="1"/>
  <c r="AM87" i="6"/>
  <c r="AL87" i="6"/>
  <c r="AP88" i="6" s="1"/>
  <c r="AK87" i="6"/>
  <c r="CO87" i="6"/>
  <c r="CV86" i="6"/>
  <c r="CN637" i="18" s="1"/>
  <c r="CQ86" i="6"/>
  <c r="CI637" i="18" s="1"/>
  <c r="CP86" i="6"/>
  <c r="CP89" i="6" s="1"/>
  <c r="CO86" i="6"/>
  <c r="CO89" i="6" s="1"/>
  <c r="CM86" i="6"/>
  <c r="CA90" i="6"/>
  <c r="BS641" i="18" s="1"/>
  <c r="BZ90" i="6"/>
  <c r="BR641" i="18" s="1"/>
  <c r="CX86" i="6"/>
  <c r="CP637" i="18" s="1"/>
  <c r="BX87" i="6"/>
  <c r="BP638" i="18" s="1"/>
  <c r="BR90" i="6"/>
  <c r="BJ641" i="18" s="1"/>
  <c r="BO90" i="6"/>
  <c r="BG641" i="18" s="1"/>
  <c r="BL87" i="6"/>
  <c r="BD638" i="18" s="1"/>
  <c r="BJ87" i="6"/>
  <c r="BB638" i="18" s="1"/>
  <c r="CT86" i="6"/>
  <c r="CL637" i="18" s="1"/>
  <c r="BD87" i="6"/>
  <c r="BB90" i="6"/>
  <c r="AT641" i="18" s="1"/>
  <c r="BM78" i="6"/>
  <c r="BI78" i="6"/>
  <c r="BH78" i="6"/>
  <c r="BG78" i="6"/>
  <c r="BA78" i="6"/>
  <c r="AY78" i="6"/>
  <c r="AQ78" i="6"/>
  <c r="AP78" i="6"/>
  <c r="AO78" i="6"/>
  <c r="AX77" i="6"/>
  <c r="AT77" i="6"/>
  <c r="AP77" i="6"/>
  <c r="AN77" i="6"/>
  <c r="AI77" i="6"/>
  <c r="CO74" i="6"/>
  <c r="BM75" i="6"/>
  <c r="BE612" i="18" s="1"/>
  <c r="BC75" i="6"/>
  <c r="AU612" i="18" s="1"/>
  <c r="AW75" i="6"/>
  <c r="AS75" i="6"/>
  <c r="AS76" i="6" s="1"/>
  <c r="AR75" i="6"/>
  <c r="AR76" i="6" s="1"/>
  <c r="AP75" i="6"/>
  <c r="AO75" i="6"/>
  <c r="BT12" i="5"/>
  <c r="BQ78" i="6"/>
  <c r="BP75" i="6"/>
  <c r="BH612" i="18" s="1"/>
  <c r="BO78" i="6"/>
  <c r="BL15" i="6"/>
  <c r="BD12" i="5"/>
  <c r="AV5" i="18" s="1"/>
  <c r="AY74" i="6"/>
  <c r="AX74" i="6"/>
  <c r="AW74" i="6"/>
  <c r="AW77" i="6" s="1"/>
  <c r="AV74" i="6"/>
  <c r="AU74" i="6"/>
  <c r="AT74" i="6"/>
  <c r="AS74" i="6"/>
  <c r="AW78" i="6" s="1"/>
  <c r="AR74" i="6"/>
  <c r="AQ74" i="6"/>
  <c r="AP74" i="6"/>
  <c r="AO74" i="6"/>
  <c r="AN75" i="6"/>
  <c r="AN74" i="6"/>
  <c r="AM74" i="6"/>
  <c r="AM75" i="6" s="1"/>
  <c r="AL74" i="6"/>
  <c r="AK74" i="6"/>
  <c r="AK77" i="6" s="1"/>
  <c r="AJ74" i="6"/>
  <c r="AI74" i="6"/>
  <c r="AH74" i="6"/>
  <c r="AG74" i="6"/>
  <c r="AG70" i="6"/>
  <c r="AI67" i="6"/>
  <c r="AN67" i="6"/>
  <c r="AP66" i="6"/>
  <c r="AK66" i="6"/>
  <c r="CF65" i="6"/>
  <c r="CE65" i="6"/>
  <c r="CD65" i="6"/>
  <c r="CC65" i="6"/>
  <c r="CB65" i="6"/>
  <c r="CA65" i="6"/>
  <c r="BZ65" i="6"/>
  <c r="BY65" i="6"/>
  <c r="AK64" i="6"/>
  <c r="AO63" i="6"/>
  <c r="AL63" i="6"/>
  <c r="AL67" i="6" s="1"/>
  <c r="AK63" i="6"/>
  <c r="AJ63" i="6"/>
  <c r="AG63" i="6"/>
  <c r="AG337" i="6" s="1"/>
  <c r="AJ60" i="6"/>
  <c r="AH60" i="6"/>
  <c r="AR61" i="6"/>
  <c r="AN61" i="6"/>
  <c r="AR60" i="6"/>
  <c r="AP60" i="6"/>
  <c r="AP61" i="6" s="1"/>
  <c r="AO60" i="6"/>
  <c r="AN60" i="6"/>
  <c r="AL60" i="6"/>
  <c r="AL61" i="6" s="1"/>
  <c r="AR59" i="6"/>
  <c r="AP59" i="6"/>
  <c r="AL59" i="6"/>
  <c r="DF58" i="6"/>
  <c r="DE58" i="6"/>
  <c r="DD58" i="6"/>
  <c r="DC58" i="6"/>
  <c r="CF58" i="6"/>
  <c r="CE58" i="6"/>
  <c r="CD58" i="6"/>
  <c r="CC58" i="6"/>
  <c r="CB58" i="6"/>
  <c r="CA58" i="6"/>
  <c r="BZ58" i="6"/>
  <c r="BY58" i="6"/>
  <c r="CN56" i="6"/>
  <c r="CN59" i="6" s="1"/>
  <c r="CM56" i="6"/>
  <c r="BB56" i="6"/>
  <c r="AX56" i="6"/>
  <c r="AX60" i="6" s="1"/>
  <c r="AR56" i="6"/>
  <c r="AR57" i="6" s="1"/>
  <c r="AQ56" i="6"/>
  <c r="AP56" i="6"/>
  <c r="AP57" i="6" s="1"/>
  <c r="AP58" i="6" s="1"/>
  <c r="AO56" i="6"/>
  <c r="AN56" i="6"/>
  <c r="AM56" i="6"/>
  <c r="AL56" i="6"/>
  <c r="AK56" i="6"/>
  <c r="AO57" i="6" s="1"/>
  <c r="AJ56" i="6"/>
  <c r="AN59" i="6" s="1"/>
  <c r="AI56" i="6"/>
  <c r="AI60" i="6" s="1"/>
  <c r="AH56" i="6"/>
  <c r="AL57" i="6" s="1"/>
  <c r="AG56" i="6"/>
  <c r="CT53" i="6"/>
  <c r="CS53" i="6"/>
  <c r="CT52" i="6"/>
  <c r="CS52" i="6"/>
  <c r="CP46" i="6"/>
  <c r="AR46" i="6"/>
  <c r="AQ46" i="6"/>
  <c r="AP46" i="6"/>
  <c r="AO46" i="6"/>
  <c r="AN46" i="6"/>
  <c r="AM46" i="6"/>
  <c r="AL46" i="6"/>
  <c r="AK46" i="6"/>
  <c r="AJ46" i="6"/>
  <c r="AI46" i="6"/>
  <c r="AH46" i="6"/>
  <c r="AG46" i="6"/>
  <c r="BP47" i="6"/>
  <c r="BN47" i="6"/>
  <c r="BI47" i="6"/>
  <c r="BD47" i="6"/>
  <c r="BA47" i="6"/>
  <c r="AZ47" i="6"/>
  <c r="AZ48" i="6" s="1"/>
  <c r="AY47" i="6"/>
  <c r="AX47" i="6"/>
  <c r="AY48" i="6" s="1"/>
  <c r="AW47" i="6"/>
  <c r="AY46" i="6"/>
  <c r="AX46" i="6"/>
  <c r="AW46" i="6"/>
  <c r="AZ45" i="6"/>
  <c r="AW45" i="6"/>
  <c r="BQ44" i="6"/>
  <c r="BI576" i="18" s="1"/>
  <c r="BM44" i="6"/>
  <c r="BE576" i="18" s="1"/>
  <c r="BI44" i="6"/>
  <c r="BA576" i="18" s="1"/>
  <c r="BF44" i="6"/>
  <c r="AX576" i="18" s="1"/>
  <c r="BE44" i="6"/>
  <c r="BD44" i="6"/>
  <c r="AV576" i="18" s="1"/>
  <c r="BA44" i="6"/>
  <c r="AZ44" i="6"/>
  <c r="AY44" i="6"/>
  <c r="AY45" i="6" s="1"/>
  <c r="AX44" i="6"/>
  <c r="AX45" i="6" s="1"/>
  <c r="AW44" i="6"/>
  <c r="AV47" i="6"/>
  <c r="AW48" i="6" s="1"/>
  <c r="AU47" i="6"/>
  <c r="AT47" i="6"/>
  <c r="AS47" i="6"/>
  <c r="AV46" i="6"/>
  <c r="AU46" i="6"/>
  <c r="AT46" i="6"/>
  <c r="AS46" i="6"/>
  <c r="AV45" i="6"/>
  <c r="AT45" i="6"/>
  <c r="AV44" i="6"/>
  <c r="AU44" i="6"/>
  <c r="AT44" i="6"/>
  <c r="AS44" i="6"/>
  <c r="AO45" i="6"/>
  <c r="AR44" i="6"/>
  <c r="AQ44" i="6"/>
  <c r="AQ45" i="6" s="1"/>
  <c r="AP44" i="6"/>
  <c r="AO44" i="6"/>
  <c r="AP45" i="6" s="1"/>
  <c r="AN44" i="6"/>
  <c r="AN45" i="6" s="1"/>
  <c r="AM44" i="6"/>
  <c r="AL44" i="6"/>
  <c r="AM45" i="6" s="1"/>
  <c r="AK44" i="6"/>
  <c r="CO40" i="6"/>
  <c r="CP41" i="6" s="1"/>
  <c r="CN40" i="6"/>
  <c r="AW42" i="6"/>
  <c r="AT42" i="6"/>
  <c r="AS42" i="6"/>
  <c r="AR42" i="6"/>
  <c r="AP42" i="6"/>
  <c r="AZ41" i="6"/>
  <c r="AY41" i="6"/>
  <c r="AY42" i="6" s="1"/>
  <c r="AX41" i="6"/>
  <c r="AX42" i="6" s="1"/>
  <c r="AW41" i="6"/>
  <c r="AV41" i="6"/>
  <c r="AV42" i="6" s="1"/>
  <c r="AU41" i="6"/>
  <c r="AU42" i="6" s="1"/>
  <c r="AT41" i="6"/>
  <c r="AS41" i="6"/>
  <c r="AR41" i="6"/>
  <c r="AQ41" i="6"/>
  <c r="AQ42" i="6" s="1"/>
  <c r="AP41" i="6"/>
  <c r="AO41" i="6"/>
  <c r="AO42" i="6" s="1"/>
  <c r="AN41" i="6"/>
  <c r="AN42" i="6" s="1"/>
  <c r="AM41" i="6"/>
  <c r="AM42" i="6" s="1"/>
  <c r="AL41" i="6"/>
  <c r="AL42" i="6" s="1"/>
  <c r="AK41" i="6"/>
  <c r="AK42" i="6" s="1"/>
  <c r="CU40" i="6"/>
  <c r="CM572" i="18" s="1"/>
  <c r="CS40" i="6"/>
  <c r="CK572" i="18" s="1"/>
  <c r="CQ40" i="6"/>
  <c r="CP40" i="6"/>
  <c r="CP154" i="6" s="1"/>
  <c r="CM40" i="6"/>
  <c r="BT47" i="6"/>
  <c r="BR44" i="6"/>
  <c r="BQ47" i="6"/>
  <c r="BP44" i="6"/>
  <c r="BH576" i="18" s="1"/>
  <c r="BO44" i="6"/>
  <c r="BN44" i="6"/>
  <c r="BL47" i="6"/>
  <c r="BJ44" i="6"/>
  <c r="BG44" i="6"/>
  <c r="AY576" i="18" s="1"/>
  <c r="BF47" i="6"/>
  <c r="BC44" i="6"/>
  <c r="AU576" i="18" s="1"/>
  <c r="BC42" i="6"/>
  <c r="AU574" i="18" s="1"/>
  <c r="BR41" i="6"/>
  <c r="BL41" i="6"/>
  <c r="BJ41" i="6"/>
  <c r="BB573" i="18" s="1"/>
  <c r="BH41" i="6"/>
  <c r="AZ573" i="18" s="1"/>
  <c r="BD41" i="6"/>
  <c r="AV573" i="18" s="1"/>
  <c r="BC41" i="6"/>
  <c r="AU573" i="18" s="1"/>
  <c r="BA41" i="6"/>
  <c r="BQ249" i="5"/>
  <c r="BI214" i="18" s="1"/>
  <c r="BS41" i="6"/>
  <c r="BM47" i="6"/>
  <c r="BB154" i="6"/>
  <c r="AZ154" i="6"/>
  <c r="AR671" i="18" s="1"/>
  <c r="AF40" i="6"/>
  <c r="AF154" i="6" s="1"/>
  <c r="AE40" i="6"/>
  <c r="AE154" i="6" s="1"/>
  <c r="AD40" i="6"/>
  <c r="AD154" i="6" s="1"/>
  <c r="AC40" i="6"/>
  <c r="AC154" i="6" s="1"/>
  <c r="AG155" i="6" s="1"/>
  <c r="CP37" i="6"/>
  <c r="AY38" i="6"/>
  <c r="AX38" i="6"/>
  <c r="BG37" i="6"/>
  <c r="BD37" i="6"/>
  <c r="BC37" i="6"/>
  <c r="BB37" i="6"/>
  <c r="BA37" i="6"/>
  <c r="AZ37" i="6"/>
  <c r="AY37" i="6"/>
  <c r="AX37" i="6"/>
  <c r="AW37" i="6"/>
  <c r="AV37" i="6"/>
  <c r="AU37" i="6"/>
  <c r="AT37" i="6"/>
  <c r="AS37" i="6"/>
  <c r="BB36" i="6"/>
  <c r="CR35" i="6"/>
  <c r="CR36" i="6" s="1"/>
  <c r="CQ35" i="6"/>
  <c r="CQ37" i="6" s="1"/>
  <c r="BJ35" i="6"/>
  <c r="BG35" i="6"/>
  <c r="BF35" i="6"/>
  <c r="BF356" i="6" s="1"/>
  <c r="BF357" i="6" s="1"/>
  <c r="BE35" i="6"/>
  <c r="BD35" i="6"/>
  <c r="BC35" i="6"/>
  <c r="CN32" i="6"/>
  <c r="AX32" i="6"/>
  <c r="AW32" i="6"/>
  <c r="AT32" i="6"/>
  <c r="AR32" i="6"/>
  <c r="AQ32" i="6"/>
  <c r="AP32" i="6"/>
  <c r="AO32" i="6"/>
  <c r="AN32" i="6"/>
  <c r="AR30" i="6"/>
  <c r="CO29" i="6"/>
  <c r="AV31" i="6"/>
  <c r="AW30" i="6"/>
  <c r="AV30" i="6"/>
  <c r="BB29" i="6"/>
  <c r="BB31" i="6" s="1"/>
  <c r="AX29" i="6"/>
  <c r="AX31" i="6" s="1"/>
  <c r="AW29" i="6"/>
  <c r="AV29" i="6"/>
  <c r="AU29" i="6"/>
  <c r="AU31" i="6" s="1"/>
  <c r="AT29" i="6"/>
  <c r="AT31" i="6" s="1"/>
  <c r="AS29" i="6"/>
  <c r="AR27" i="6"/>
  <c r="AX26" i="6"/>
  <c r="AT26" i="6"/>
  <c r="AT27" i="6" s="1"/>
  <c r="AR26" i="6"/>
  <c r="AP26" i="6"/>
  <c r="BB25" i="6"/>
  <c r="AX25" i="6"/>
  <c r="AV25" i="6"/>
  <c r="AV63" i="6" s="1"/>
  <c r="AV66" i="6" s="1"/>
  <c r="AT25" i="6"/>
  <c r="AT63" i="6" s="1"/>
  <c r="AR25" i="6"/>
  <c r="AR63" i="6" s="1"/>
  <c r="AQ25" i="6"/>
  <c r="AP25" i="6"/>
  <c r="AP63" i="6" s="1"/>
  <c r="AO25" i="6"/>
  <c r="AO26" i="6" s="1"/>
  <c r="AN26" i="6"/>
  <c r="AN25" i="6"/>
  <c r="AN63" i="6" s="1"/>
  <c r="AM25" i="6"/>
  <c r="AL25" i="6"/>
  <c r="AK25" i="6"/>
  <c r="CN25" i="6" s="1"/>
  <c r="AJ25" i="6"/>
  <c r="AI25" i="6"/>
  <c r="AI63" i="6" s="1"/>
  <c r="AI70" i="6" s="1"/>
  <c r="AH25" i="6"/>
  <c r="AL26" i="6" s="1"/>
  <c r="AP27" i="6" s="1"/>
  <c r="AG25" i="6"/>
  <c r="CA22" i="6"/>
  <c r="BY22" i="6"/>
  <c r="BW22" i="6"/>
  <c r="BU22" i="6"/>
  <c r="CP12" i="6"/>
  <c r="CO12" i="6"/>
  <c r="CN12" i="6"/>
  <c r="BZ22" i="6"/>
  <c r="BY17" i="6"/>
  <c r="BX22" i="6"/>
  <c r="CA17" i="6"/>
  <c r="BV22" i="6"/>
  <c r="AY16" i="6"/>
  <c r="AS16" i="6"/>
  <c r="AQ16" i="6"/>
  <c r="AQ17" i="6" s="1"/>
  <c r="BT15" i="6"/>
  <c r="BL1244" i="18" s="1"/>
  <c r="BQ15" i="6"/>
  <c r="BQ16" i="6" s="1"/>
  <c r="BN15" i="6"/>
  <c r="BF1244" i="18" s="1"/>
  <c r="BI15" i="6"/>
  <c r="BF15" i="6"/>
  <c r="AX1244" i="18" s="1"/>
  <c r="BE15" i="6"/>
  <c r="AW1244" i="18" s="1"/>
  <c r="BD15" i="6"/>
  <c r="AV1244" i="18" s="1"/>
  <c r="BC15" i="6"/>
  <c r="BA15" i="6"/>
  <c r="AZ15" i="6"/>
  <c r="AR1244" i="18" s="1"/>
  <c r="AY15" i="6"/>
  <c r="AY19" i="6" s="1"/>
  <c r="AX15" i="6"/>
  <c r="AW15" i="6"/>
  <c r="AW16" i="6" s="1"/>
  <c r="AW17" i="6" s="1"/>
  <c r="AV15" i="6"/>
  <c r="AV375" i="5" s="1"/>
  <c r="AU15" i="6"/>
  <c r="AU19" i="6" s="1"/>
  <c r="AS15" i="6"/>
  <c r="AS19" i="6" s="1"/>
  <c r="AR15" i="6"/>
  <c r="AQ15" i="6"/>
  <c r="AQ19" i="6" s="1"/>
  <c r="AP15" i="6"/>
  <c r="AO15" i="6"/>
  <c r="AO16" i="6" s="1"/>
  <c r="AO17" i="6" s="1"/>
  <c r="BV14" i="6"/>
  <c r="BN568" i="18" s="1"/>
  <c r="BF14" i="6"/>
  <c r="AX568" i="18" s="1"/>
  <c r="AY14" i="6"/>
  <c r="AX14" i="6"/>
  <c r="AW14" i="6"/>
  <c r="AV14" i="6"/>
  <c r="AU14" i="6"/>
  <c r="AT14" i="6"/>
  <c r="AS14" i="6"/>
  <c r="AR14" i="6"/>
  <c r="AQ14" i="6"/>
  <c r="AP14" i="6"/>
  <c r="AO14" i="6"/>
  <c r="AW13" i="6"/>
  <c r="AU13" i="6"/>
  <c r="AS13" i="6"/>
  <c r="BW12" i="6"/>
  <c r="BO566" i="18" s="1"/>
  <c r="BE12" i="6"/>
  <c r="AW566" i="18" s="1"/>
  <c r="AY12" i="6"/>
  <c r="AX12" i="6"/>
  <c r="AW12" i="6"/>
  <c r="AV12" i="6"/>
  <c r="AU12" i="6"/>
  <c r="AT12" i="6"/>
  <c r="AT13" i="6" s="1"/>
  <c r="AS12" i="6"/>
  <c r="AR12" i="6"/>
  <c r="AQ12" i="6"/>
  <c r="AP12" i="6"/>
  <c r="AO12" i="6"/>
  <c r="AN12" i="6"/>
  <c r="AM12" i="6"/>
  <c r="AL12" i="6"/>
  <c r="AK12" i="6"/>
  <c r="CR11" i="6"/>
  <c r="CL11" i="6"/>
  <c r="CK11" i="6" s="1"/>
  <c r="CJ11" i="6" s="1"/>
  <c r="BY446" i="5"/>
  <c r="BQ324" i="18" s="1"/>
  <c r="CW11" i="6"/>
  <c r="BW14" i="6"/>
  <c r="BO568" i="18" s="1"/>
  <c r="BP446" i="5"/>
  <c r="BH324" i="18" s="1"/>
  <c r="BO14" i="6"/>
  <c r="BG568" i="18" s="1"/>
  <c r="BL374" i="5"/>
  <c r="CT11" i="6"/>
  <c r="BG14" i="6"/>
  <c r="AY568" i="18" s="1"/>
  <c r="BI16" i="6"/>
  <c r="BA12" i="6"/>
  <c r="AS566" i="18" s="1"/>
  <c r="BA14" i="6"/>
  <c r="AS568" i="18" s="1"/>
  <c r="CN6" i="6"/>
  <c r="CO6" i="6" s="1"/>
  <c r="CP6" i="6" s="1"/>
  <c r="CQ6" i="6" s="1"/>
  <c r="CR6" i="6" s="1"/>
  <c r="CS6" i="6" s="1"/>
  <c r="CT6" i="6" s="1"/>
  <c r="CU6" i="6" s="1"/>
  <c r="CV6" i="6" s="1"/>
  <c r="CW6" i="6" s="1"/>
  <c r="CX6" i="6" s="1"/>
  <c r="CY6" i="6" s="1"/>
  <c r="CZ6" i="6" s="1"/>
  <c r="DA6" i="6" s="1"/>
  <c r="DB6" i="6" s="1"/>
  <c r="DC6" i="6" s="1"/>
  <c r="DD6" i="6" s="1"/>
  <c r="DE6" i="6" s="1"/>
  <c r="DF6" i="6" s="1"/>
  <c r="DF5" i="6"/>
  <c r="DE5" i="6"/>
  <c r="DD5" i="6"/>
  <c r="DC5" i="6"/>
  <c r="DB5" i="6"/>
  <c r="DA5" i="6"/>
  <c r="CZ5" i="6"/>
  <c r="CY5" i="6"/>
  <c r="CX5" i="6"/>
  <c r="CW5" i="6"/>
  <c r="CV5" i="6"/>
  <c r="CU5" i="6"/>
  <c r="CT5" i="6"/>
  <c r="CS5" i="6"/>
  <c r="CR5" i="6"/>
  <c r="CQ5" i="6"/>
  <c r="CP5" i="6"/>
  <c r="CO5" i="6"/>
  <c r="CN5" i="6"/>
  <c r="CM5" i="6"/>
  <c r="CL5" i="6"/>
  <c r="CK5" i="6"/>
  <c r="CJ5" i="6"/>
  <c r="CI5" i="6"/>
  <c r="CH5" i="6"/>
  <c r="N6" i="6"/>
  <c r="M5" i="6"/>
  <c r="DF753" i="5"/>
  <c r="DE753" i="5"/>
  <c r="DD753" i="5"/>
  <c r="DC753" i="5"/>
  <c r="DB753" i="5"/>
  <c r="DA753" i="5"/>
  <c r="CZ753" i="5"/>
  <c r="CY753" i="5"/>
  <c r="CX753" i="5"/>
  <c r="CW753" i="5"/>
  <c r="CV753" i="5"/>
  <c r="CU753" i="5"/>
  <c r="CT753" i="5"/>
  <c r="CS753" i="5"/>
  <c r="CR753" i="5"/>
  <c r="CQ753" i="5"/>
  <c r="CL752" i="5"/>
  <c r="CK752" i="5"/>
  <c r="CJ752" i="5"/>
  <c r="CI752" i="5"/>
  <c r="CH752" i="5"/>
  <c r="AF752" i="5"/>
  <c r="AE752" i="5"/>
  <c r="AD752" i="5"/>
  <c r="AC752" i="5"/>
  <c r="AB752" i="5"/>
  <c r="AA752" i="5"/>
  <c r="Z752" i="5"/>
  <c r="Y752" i="5"/>
  <c r="X752" i="5"/>
  <c r="W752" i="5"/>
  <c r="V752" i="5"/>
  <c r="U752" i="5"/>
  <c r="T752" i="5"/>
  <c r="S752" i="5"/>
  <c r="R752" i="5"/>
  <c r="Q752" i="5"/>
  <c r="P752" i="5"/>
  <c r="O752" i="5"/>
  <c r="N752" i="5"/>
  <c r="M752" i="5"/>
  <c r="CT750" i="5"/>
  <c r="CS750" i="5"/>
  <c r="CR750" i="5"/>
  <c r="CQ750" i="5"/>
  <c r="AZ750" i="5" s="1"/>
  <c r="CP750" i="5"/>
  <c r="CO750" i="5"/>
  <c r="AR750" i="5" s="1"/>
  <c r="AQ750" i="5" s="1"/>
  <c r="CN750" i="5"/>
  <c r="CM750" i="5"/>
  <c r="CL749" i="5"/>
  <c r="CK749" i="5"/>
  <c r="CJ749" i="5"/>
  <c r="CI749" i="5"/>
  <c r="CH749" i="5"/>
  <c r="BH750" i="5"/>
  <c r="BG750" i="5"/>
  <c r="BF750" i="5"/>
  <c r="BE750" i="5"/>
  <c r="BD750" i="5"/>
  <c r="BC750" i="5"/>
  <c r="AV750" i="5"/>
  <c r="AN750" i="5"/>
  <c r="AM750" i="5"/>
  <c r="AJ750" i="5"/>
  <c r="AI750" i="5"/>
  <c r="AH750" i="5"/>
  <c r="AG750" i="5"/>
  <c r="AF749" i="5"/>
  <c r="AE749" i="5"/>
  <c r="AD749" i="5"/>
  <c r="AC749" i="5"/>
  <c r="AB749" i="5"/>
  <c r="AA749" i="5"/>
  <c r="Z749" i="5"/>
  <c r="Y749" i="5"/>
  <c r="X749" i="5"/>
  <c r="W749" i="5"/>
  <c r="V749" i="5"/>
  <c r="U749" i="5"/>
  <c r="T749" i="5"/>
  <c r="S749" i="5"/>
  <c r="R749" i="5"/>
  <c r="Q749" i="5"/>
  <c r="P749" i="5"/>
  <c r="O749" i="5"/>
  <c r="N749" i="5"/>
  <c r="M749" i="5"/>
  <c r="CV746" i="5"/>
  <c r="CU746" i="5"/>
  <c r="CS745" i="5"/>
  <c r="CR745" i="5"/>
  <c r="CS744" i="5"/>
  <c r="CR744" i="5"/>
  <c r="CV743" i="5"/>
  <c r="CU743" i="5"/>
  <c r="CT743" i="5"/>
  <c r="CS743" i="5"/>
  <c r="CR743" i="5"/>
  <c r="CV742" i="5"/>
  <c r="CU742" i="5"/>
  <c r="CT742" i="5"/>
  <c r="CS742" i="5"/>
  <c r="CR742" i="5"/>
  <c r="CS740" i="5"/>
  <c r="CT746" i="5" s="1"/>
  <c r="CR740" i="5"/>
  <c r="CR746" i="5" s="1"/>
  <c r="CQ740" i="5"/>
  <c r="BQ730" i="5"/>
  <c r="BP730" i="5"/>
  <c r="BO730" i="5"/>
  <c r="BQ728" i="5"/>
  <c r="BP728" i="5"/>
  <c r="BO728" i="5"/>
  <c r="BS718" i="5"/>
  <c r="BM718" i="5"/>
  <c r="AX718" i="5"/>
  <c r="AU718" i="5"/>
  <c r="CA717" i="5"/>
  <c r="CA718" i="5" s="1"/>
  <c r="BY717" i="5"/>
  <c r="BY718" i="5" s="1"/>
  <c r="BU717" i="5"/>
  <c r="BT717" i="5"/>
  <c r="BS717" i="5"/>
  <c r="BN717" i="5"/>
  <c r="BN718" i="5" s="1"/>
  <c r="BM717" i="5"/>
  <c r="BK717" i="5"/>
  <c r="BK718" i="5" s="1"/>
  <c r="BI717" i="5"/>
  <c r="BE717" i="5"/>
  <c r="BD717" i="5"/>
  <c r="BC717" i="5"/>
  <c r="BC718" i="5" s="1"/>
  <c r="AZ717" i="5"/>
  <c r="AY717" i="5"/>
  <c r="AY718" i="5" s="1"/>
  <c r="AX717" i="5"/>
  <c r="AW717" i="5"/>
  <c r="AV717" i="5"/>
  <c r="AV718" i="5" s="1"/>
  <c r="AU717" i="5"/>
  <c r="AT717" i="5"/>
  <c r="AS717" i="5"/>
  <c r="AR717" i="5"/>
  <c r="AQ717" i="5"/>
  <c r="AQ718" i="5" s="1"/>
  <c r="BY716" i="5"/>
  <c r="BD716" i="5"/>
  <c r="AY716" i="5"/>
  <c r="AW716" i="5"/>
  <c r="AW718" i="5" s="1"/>
  <c r="AV716" i="5"/>
  <c r="AS716" i="5"/>
  <c r="AS718" i="5" s="1"/>
  <c r="AQ716" i="5"/>
  <c r="BS713" i="5"/>
  <c r="BM713" i="5"/>
  <c r="BH713" i="5"/>
  <c r="BF713" i="5"/>
  <c r="BE713" i="5"/>
  <c r="BC713" i="5"/>
  <c r="CB712" i="5"/>
  <c r="CA712" i="5"/>
  <c r="BZ712" i="5"/>
  <c r="BZ717" i="5" s="1"/>
  <c r="BY712" i="5"/>
  <c r="BX712" i="5"/>
  <c r="BX717" i="5" s="1"/>
  <c r="BX718" i="5" s="1"/>
  <c r="BW712" i="5"/>
  <c r="BV712" i="5"/>
  <c r="BV710" i="5" s="1"/>
  <c r="BV716" i="5" s="1"/>
  <c r="BU712" i="5"/>
  <c r="BT712" i="5"/>
  <c r="BT710" i="5" s="1"/>
  <c r="BS712" i="5"/>
  <c r="BR712" i="5"/>
  <c r="BR717" i="5" s="1"/>
  <c r="BQ712" i="5"/>
  <c r="BQ717" i="5" s="1"/>
  <c r="BP712" i="5"/>
  <c r="BP717" i="5" s="1"/>
  <c r="BO712" i="5"/>
  <c r="BN712" i="5"/>
  <c r="BN710" i="5" s="1"/>
  <c r="BN716" i="5" s="1"/>
  <c r="BM712" i="5"/>
  <c r="BL712" i="5"/>
  <c r="BK712" i="5"/>
  <c r="BJ712" i="5"/>
  <c r="BJ717" i="5" s="1"/>
  <c r="BI712" i="5"/>
  <c r="BH712" i="5"/>
  <c r="BH717" i="5" s="1"/>
  <c r="BH718" i="5" s="1"/>
  <c r="BG712" i="5"/>
  <c r="BG717" i="5" s="1"/>
  <c r="BF712" i="5"/>
  <c r="BF710" i="5" s="1"/>
  <c r="BF716" i="5" s="1"/>
  <c r="BE712" i="5"/>
  <c r="BD712" i="5"/>
  <c r="BD710" i="5" s="1"/>
  <c r="BC712" i="5"/>
  <c r="BB712" i="5"/>
  <c r="BB717" i="5" s="1"/>
  <c r="BA712" i="5"/>
  <c r="BA717" i="5" s="1"/>
  <c r="CW712" i="5"/>
  <c r="CX711" i="5"/>
  <c r="CW711" i="5"/>
  <c r="CV711" i="5"/>
  <c r="CU711" i="5"/>
  <c r="CT711" i="5"/>
  <c r="CS711" i="5"/>
  <c r="CR711" i="5"/>
  <c r="CW710" i="5"/>
  <c r="CV710" i="5"/>
  <c r="CS710" i="5"/>
  <c r="CQ711" i="5"/>
  <c r="CP711" i="5"/>
  <c r="CO711" i="5"/>
  <c r="CA710" i="5"/>
  <c r="CA716" i="5" s="1"/>
  <c r="BZ710" i="5"/>
  <c r="BZ716" i="5" s="1"/>
  <c r="BY710" i="5"/>
  <c r="BX710" i="5"/>
  <c r="BX716" i="5" s="1"/>
  <c r="BU710" i="5"/>
  <c r="BS710" i="5"/>
  <c r="BS716" i="5" s="1"/>
  <c r="BQ710" i="5"/>
  <c r="BQ713" i="5" s="1"/>
  <c r="BP710" i="5"/>
  <c r="BM710" i="5"/>
  <c r="BM716" i="5" s="1"/>
  <c r="BK710" i="5"/>
  <c r="BK716" i="5" s="1"/>
  <c r="BJ710" i="5"/>
  <c r="BI710" i="5"/>
  <c r="BI713" i="5" s="1"/>
  <c r="BH710" i="5"/>
  <c r="BH716" i="5" s="1"/>
  <c r="BG710" i="5"/>
  <c r="BE710" i="5"/>
  <c r="BE716" i="5" s="1"/>
  <c r="BE718" i="5" s="1"/>
  <c r="BC710" i="5"/>
  <c r="BC716" i="5" s="1"/>
  <c r="BB710" i="5"/>
  <c r="BB713" i="5" s="1"/>
  <c r="BA710" i="5"/>
  <c r="AZ710" i="5"/>
  <c r="AY710" i="5"/>
  <c r="AX710" i="5"/>
  <c r="AX716" i="5" s="1"/>
  <c r="AW710" i="5"/>
  <c r="AV710" i="5"/>
  <c r="CP710" i="5" s="1"/>
  <c r="AU710" i="5"/>
  <c r="AU716" i="5" s="1"/>
  <c r="AT710" i="5"/>
  <c r="AT716" i="5" s="1"/>
  <c r="AS710" i="5"/>
  <c r="AR710" i="5"/>
  <c r="AQ710" i="5"/>
  <c r="CT706" i="5"/>
  <c r="CB704" i="5"/>
  <c r="CB703" i="5"/>
  <c r="CB702" i="5"/>
  <c r="BY706" i="5"/>
  <c r="BZ706" i="5" s="1"/>
  <c r="CB706" i="5" s="1"/>
  <c r="BW706" i="5"/>
  <c r="BX706" i="5" s="1"/>
  <c r="BV706" i="5"/>
  <c r="BZ705" i="5"/>
  <c r="CB705" i="5" s="1"/>
  <c r="BY705" i="5"/>
  <c r="BV705" i="5"/>
  <c r="BW705" i="5" s="1"/>
  <c r="BX705" i="5" s="1"/>
  <c r="BO706" i="5"/>
  <c r="BP706" i="5" s="1"/>
  <c r="BN706" i="5"/>
  <c r="BO705" i="5"/>
  <c r="BP705" i="5" s="1"/>
  <c r="BN705" i="5"/>
  <c r="BP704" i="5"/>
  <c r="BN704" i="5"/>
  <c r="BN703" i="5"/>
  <c r="BO703" i="5" s="1"/>
  <c r="BP703" i="5" s="1"/>
  <c r="BN702" i="5"/>
  <c r="BH704" i="5"/>
  <c r="BH703" i="5"/>
  <c r="BH702" i="5"/>
  <c r="BO702" i="5"/>
  <c r="BP702" i="5" s="1"/>
  <c r="BX704" i="5"/>
  <c r="BW704" i="5"/>
  <c r="BV704" i="5"/>
  <c r="BV703" i="5"/>
  <c r="BW703" i="5" s="1"/>
  <c r="BX703" i="5" s="1"/>
  <c r="BV702" i="5"/>
  <c r="BW702" i="5" s="1"/>
  <c r="BX702" i="5" s="1"/>
  <c r="BS706" i="5"/>
  <c r="BT706" i="5" s="1"/>
  <c r="BR706" i="5"/>
  <c r="BS705" i="5"/>
  <c r="BT705" i="5" s="1"/>
  <c r="BR705" i="5"/>
  <c r="BR704" i="5"/>
  <c r="BS704" i="5" s="1"/>
  <c r="BT704" i="5" s="1"/>
  <c r="BT703" i="5"/>
  <c r="BS703" i="5"/>
  <c r="BR703" i="5"/>
  <c r="BR702" i="5"/>
  <c r="BS702" i="5" s="1"/>
  <c r="BT702" i="5" s="1"/>
  <c r="BJ704" i="5"/>
  <c r="BJ703" i="5"/>
  <c r="BK702" i="5"/>
  <c r="BL702" i="5" s="1"/>
  <c r="BJ702" i="5"/>
  <c r="BD704" i="5"/>
  <c r="BC704" i="5"/>
  <c r="BB704" i="5"/>
  <c r="BC703" i="5"/>
  <c r="BD703" i="5" s="1"/>
  <c r="BB703" i="5"/>
  <c r="BD702" i="5"/>
  <c r="BC702" i="5"/>
  <c r="BB702" i="5"/>
  <c r="BX699" i="5"/>
  <c r="BW699" i="5"/>
  <c r="BV699" i="5"/>
  <c r="BU699" i="5"/>
  <c r="BT699" i="5"/>
  <c r="BS699" i="5"/>
  <c r="BR699" i="5"/>
  <c r="BQ699" i="5"/>
  <c r="BP699" i="5"/>
  <c r="BO699" i="5"/>
  <c r="BN699" i="5"/>
  <c r="BL699" i="5"/>
  <c r="BK699" i="5"/>
  <c r="BJ699" i="5"/>
  <c r="BI699" i="5"/>
  <c r="BH699" i="5"/>
  <c r="BG699" i="5"/>
  <c r="BF699" i="5"/>
  <c r="BE699" i="5"/>
  <c r="BD699" i="5"/>
  <c r="BC699" i="5"/>
  <c r="BB699" i="5"/>
  <c r="BA699" i="5"/>
  <c r="CW698" i="5"/>
  <c r="CX697" i="5"/>
  <c r="BX698" i="5"/>
  <c r="BY697" i="5"/>
  <c r="BX697" i="5"/>
  <c r="BW697" i="5"/>
  <c r="BV697" i="5"/>
  <c r="BU697" i="5"/>
  <c r="CW697" i="5" s="1"/>
  <c r="BT697" i="5"/>
  <c r="BS697" i="5"/>
  <c r="BR697" i="5"/>
  <c r="BQ697" i="5"/>
  <c r="BP697" i="5"/>
  <c r="BO697" i="5"/>
  <c r="BL697" i="5"/>
  <c r="BK697" i="5"/>
  <c r="BJ697" i="5"/>
  <c r="BH697" i="5"/>
  <c r="BG697" i="5"/>
  <c r="BF697" i="5"/>
  <c r="BD697" i="5"/>
  <c r="BC697" i="5"/>
  <c r="BB697" i="5"/>
  <c r="DA694" i="5"/>
  <c r="DB694" i="5" s="1"/>
  <c r="DC694" i="5" s="1"/>
  <c r="DD694" i="5" s="1"/>
  <c r="DE694" i="5" s="1"/>
  <c r="DF694" i="5" s="1"/>
  <c r="CY694" i="5"/>
  <c r="CZ694" i="5" s="1"/>
  <c r="CX694" i="5"/>
  <c r="CW694" i="5"/>
  <c r="CV694" i="5"/>
  <c r="CU694" i="5"/>
  <c r="CT694" i="5"/>
  <c r="CS694" i="5"/>
  <c r="CY692" i="5"/>
  <c r="CZ692" i="5" s="1"/>
  <c r="DA692" i="5" s="1"/>
  <c r="CS692" i="5"/>
  <c r="BZ692" i="5"/>
  <c r="BW692" i="5"/>
  <c r="BV692" i="5"/>
  <c r="BS692" i="5"/>
  <c r="BR692" i="5"/>
  <c r="BO692" i="5"/>
  <c r="BP692" i="5" s="1"/>
  <c r="BN692" i="5"/>
  <c r="BL692" i="5"/>
  <c r="CT692" i="5" s="1"/>
  <c r="BK692" i="5"/>
  <c r="BJ692" i="5"/>
  <c r="BG692" i="5"/>
  <c r="BH692" i="5" s="1"/>
  <c r="BF692" i="5"/>
  <c r="BD692" i="5"/>
  <c r="BB692" i="5"/>
  <c r="BC692" i="5" s="1"/>
  <c r="CY690" i="5"/>
  <c r="CX690" i="5"/>
  <c r="CW690" i="5"/>
  <c r="CV690" i="5"/>
  <c r="CU690" i="5"/>
  <c r="CR690" i="5"/>
  <c r="CQ690" i="5"/>
  <c r="CQ696" i="5" s="1"/>
  <c r="CQ698" i="5" s="1"/>
  <c r="CF690" i="5"/>
  <c r="CE690" i="5"/>
  <c r="CD690" i="5"/>
  <c r="CC690" i="5"/>
  <c r="BU690" i="5"/>
  <c r="BQ690" i="5"/>
  <c r="BM690" i="5"/>
  <c r="BI690" i="5"/>
  <c r="BE690" i="5"/>
  <c r="BA690" i="5"/>
  <c r="BL689" i="5"/>
  <c r="BK689" i="5"/>
  <c r="BJ689" i="5"/>
  <c r="BJ688" i="5"/>
  <c r="BZ689" i="5"/>
  <c r="CA689" i="5" s="1"/>
  <c r="CB689" i="5" s="1"/>
  <c r="CB688" i="5"/>
  <c r="BZ688" i="5"/>
  <c r="CA688" i="5" s="1"/>
  <c r="CA687" i="5"/>
  <c r="CB687" i="5" s="1"/>
  <c r="BZ687" i="5"/>
  <c r="BZ686" i="5"/>
  <c r="CA686" i="5" s="1"/>
  <c r="CB686" i="5" s="1"/>
  <c r="BJ686" i="5"/>
  <c r="CF685" i="5"/>
  <c r="CE685" i="5"/>
  <c r="CY685" i="5" s="1"/>
  <c r="CD685" i="5"/>
  <c r="CC685" i="5"/>
  <c r="CA685" i="5"/>
  <c r="CB685" i="5" s="1"/>
  <c r="BZ685" i="5"/>
  <c r="BV689" i="5"/>
  <c r="BW689" i="5" s="1"/>
  <c r="BX689" i="5" s="1"/>
  <c r="BX688" i="5"/>
  <c r="BV688" i="5"/>
  <c r="BW688" i="5" s="1"/>
  <c r="BV687" i="5"/>
  <c r="BW687" i="5" s="1"/>
  <c r="BX687" i="5" s="1"/>
  <c r="BW686" i="5"/>
  <c r="BX686" i="5" s="1"/>
  <c r="BV686" i="5"/>
  <c r="BV685" i="5"/>
  <c r="BW685" i="5" s="1"/>
  <c r="BX685" i="5" s="1"/>
  <c r="BX684" i="5"/>
  <c r="BW684" i="5"/>
  <c r="BV684" i="5"/>
  <c r="CZ689" i="5"/>
  <c r="DA689" i="5" s="1"/>
  <c r="DB689" i="5" s="1"/>
  <c r="DC689" i="5" s="1"/>
  <c r="DD689" i="5" s="1"/>
  <c r="DE689" i="5" s="1"/>
  <c r="DF689" i="5" s="1"/>
  <c r="CY689" i="5"/>
  <c r="DA688" i="5"/>
  <c r="DB688" i="5" s="1"/>
  <c r="DC688" i="5" s="1"/>
  <c r="DD688" i="5" s="1"/>
  <c r="DE688" i="5" s="1"/>
  <c r="DF688" i="5" s="1"/>
  <c r="CZ688" i="5"/>
  <c r="CY688" i="5"/>
  <c r="DA687" i="5"/>
  <c r="DB687" i="5" s="1"/>
  <c r="DC687" i="5" s="1"/>
  <c r="DD687" i="5" s="1"/>
  <c r="DE687" i="5" s="1"/>
  <c r="DF687" i="5" s="1"/>
  <c r="CZ687" i="5"/>
  <c r="CY687" i="5"/>
  <c r="DA686" i="5"/>
  <c r="DB686" i="5" s="1"/>
  <c r="DC686" i="5" s="1"/>
  <c r="DD686" i="5" s="1"/>
  <c r="DE686" i="5" s="1"/>
  <c r="DF686" i="5" s="1"/>
  <c r="CZ686" i="5"/>
  <c r="CY686" i="5"/>
  <c r="DC685" i="5"/>
  <c r="DA684" i="5"/>
  <c r="DB684" i="5" s="1"/>
  <c r="DC684" i="5" s="1"/>
  <c r="DD684" i="5" s="1"/>
  <c r="DE684" i="5" s="1"/>
  <c r="DF684" i="5" s="1"/>
  <c r="CZ684" i="5"/>
  <c r="CY684" i="5"/>
  <c r="DA683" i="5"/>
  <c r="DB683" i="5" s="1"/>
  <c r="CZ683" i="5"/>
  <c r="CY683" i="5"/>
  <c r="CB684" i="5"/>
  <c r="CA684" i="5"/>
  <c r="BZ684" i="5"/>
  <c r="BY683" i="5"/>
  <c r="BW683" i="5"/>
  <c r="BX683" i="5" s="1"/>
  <c r="BV683" i="5"/>
  <c r="CY681" i="5"/>
  <c r="CY680" i="5"/>
  <c r="CS689" i="5"/>
  <c r="CS686" i="5"/>
  <c r="CS682" i="5"/>
  <c r="CC682" i="5"/>
  <c r="CY682" i="5" s="1"/>
  <c r="BZ682" i="5"/>
  <c r="CA682" i="5" s="1"/>
  <c r="CB682" i="5" s="1"/>
  <c r="BL687" i="5"/>
  <c r="CT687" i="5" s="1"/>
  <c r="BK687" i="5"/>
  <c r="BK686" i="5"/>
  <c r="BL686" i="5" s="1"/>
  <c r="BK684" i="5"/>
  <c r="BL683" i="5"/>
  <c r="CT683" i="5" s="1"/>
  <c r="BK683" i="5"/>
  <c r="BK682" i="5"/>
  <c r="BH689" i="5"/>
  <c r="BG689" i="5"/>
  <c r="BF689" i="5"/>
  <c r="BH688" i="5"/>
  <c r="BG688" i="5"/>
  <c r="BF688" i="5"/>
  <c r="BF687" i="5"/>
  <c r="BH686" i="5"/>
  <c r="BF686" i="5"/>
  <c r="BG686" i="5" s="1"/>
  <c r="BF685" i="5"/>
  <c r="BG685" i="5" s="1"/>
  <c r="BF684" i="5"/>
  <c r="BG683" i="5"/>
  <c r="BH683" i="5" s="1"/>
  <c r="BF683" i="5"/>
  <c r="BF682" i="5"/>
  <c r="BG682" i="5" s="1"/>
  <c r="BH682" i="5" s="1"/>
  <c r="BC689" i="5"/>
  <c r="BD689" i="5" s="1"/>
  <c r="BB689" i="5"/>
  <c r="BC688" i="5"/>
  <c r="BD688" i="5" s="1"/>
  <c r="BB688" i="5"/>
  <c r="BB687" i="5"/>
  <c r="BC687" i="5" s="1"/>
  <c r="BD687" i="5" s="1"/>
  <c r="BB686" i="5"/>
  <c r="BC686" i="5" s="1"/>
  <c r="BD686" i="5" s="1"/>
  <c r="BB685" i="5"/>
  <c r="BC685" i="5" s="1"/>
  <c r="BD685" i="5" s="1"/>
  <c r="BD684" i="5"/>
  <c r="BC684" i="5"/>
  <c r="BB684" i="5"/>
  <c r="BC683" i="5"/>
  <c r="BD683" i="5" s="1"/>
  <c r="BB683" i="5"/>
  <c r="BB682" i="5"/>
  <c r="CT681" i="5"/>
  <c r="CT680" i="5"/>
  <c r="DE681" i="5"/>
  <c r="DF681" i="5" s="1"/>
  <c r="CZ681" i="5"/>
  <c r="DA681" i="5" s="1"/>
  <c r="DB681" i="5" s="1"/>
  <c r="DC681" i="5" s="1"/>
  <c r="DD681" i="5" s="1"/>
  <c r="CZ680" i="5"/>
  <c r="CB681" i="5"/>
  <c r="CA681" i="5"/>
  <c r="BZ681" i="5"/>
  <c r="CB680" i="5"/>
  <c r="CA680" i="5"/>
  <c r="BZ680" i="5"/>
  <c r="BV682" i="5"/>
  <c r="BW682" i="5" s="1"/>
  <c r="BX682" i="5" s="1"/>
  <c r="BV681" i="5"/>
  <c r="BV680" i="5"/>
  <c r="BW680" i="5" s="1"/>
  <c r="BX680" i="5" s="1"/>
  <c r="BS689" i="5"/>
  <c r="BT689" i="5" s="1"/>
  <c r="BR689" i="5"/>
  <c r="BR688" i="5"/>
  <c r="BS688" i="5" s="1"/>
  <c r="BT688" i="5" s="1"/>
  <c r="BR687" i="5"/>
  <c r="BS687" i="5" s="1"/>
  <c r="BT687" i="5" s="1"/>
  <c r="BS686" i="5"/>
  <c r="BT686" i="5" s="1"/>
  <c r="BR686" i="5"/>
  <c r="BT685" i="5"/>
  <c r="BS685" i="5"/>
  <c r="BR685" i="5"/>
  <c r="BR684" i="5"/>
  <c r="BS684" i="5" s="1"/>
  <c r="BT684" i="5" s="1"/>
  <c r="BR683" i="5"/>
  <c r="BS683" i="5" s="1"/>
  <c r="BT683" i="5" s="1"/>
  <c r="BR682" i="5"/>
  <c r="BS682" i="5" s="1"/>
  <c r="BT682" i="5" s="1"/>
  <c r="BS681" i="5"/>
  <c r="BT681" i="5" s="1"/>
  <c r="BR681" i="5"/>
  <c r="BS680" i="5"/>
  <c r="BR680" i="5"/>
  <c r="BN689" i="5"/>
  <c r="BO689" i="5" s="1"/>
  <c r="BP689" i="5" s="1"/>
  <c r="BO688" i="5"/>
  <c r="BP688" i="5" s="1"/>
  <c r="BN688" i="5"/>
  <c r="BP687" i="5"/>
  <c r="BO687" i="5"/>
  <c r="BN687" i="5"/>
  <c r="BN686" i="5"/>
  <c r="BO686" i="5" s="1"/>
  <c r="BP686" i="5" s="1"/>
  <c r="BN685" i="5"/>
  <c r="BO685" i="5" s="1"/>
  <c r="BP685" i="5" s="1"/>
  <c r="BN684" i="5"/>
  <c r="BO684" i="5" s="1"/>
  <c r="BP684" i="5" s="1"/>
  <c r="BP683" i="5"/>
  <c r="BO683" i="5"/>
  <c r="BN683" i="5"/>
  <c r="BO682" i="5"/>
  <c r="BP682" i="5" s="1"/>
  <c r="BN682" i="5"/>
  <c r="BN681" i="5"/>
  <c r="BO681" i="5" s="1"/>
  <c r="BP681" i="5" s="1"/>
  <c r="BO680" i="5"/>
  <c r="BN680" i="5"/>
  <c r="CX677" i="5"/>
  <c r="CW677" i="5"/>
  <c r="CR677" i="5"/>
  <c r="CQ677" i="5"/>
  <c r="BZ677" i="5"/>
  <c r="BU677" i="5"/>
  <c r="BM677" i="5"/>
  <c r="BE677" i="5"/>
  <c r="BA677" i="5"/>
  <c r="BN676" i="5"/>
  <c r="BO676" i="5" s="1"/>
  <c r="BP676" i="5" s="1"/>
  <c r="BH676" i="5"/>
  <c r="CS676" i="5" s="1"/>
  <c r="BG676" i="5"/>
  <c r="BF676" i="5"/>
  <c r="CV675" i="5"/>
  <c r="CV677" i="5" s="1"/>
  <c r="CU675" i="5"/>
  <c r="BQ675" i="5"/>
  <c r="BQ677" i="5" s="1"/>
  <c r="BP675" i="5"/>
  <c r="BO675" i="5"/>
  <c r="BN675" i="5"/>
  <c r="BL676" i="5"/>
  <c r="BK676" i="5"/>
  <c r="BJ676" i="5"/>
  <c r="BI675" i="5"/>
  <c r="BF675" i="5"/>
  <c r="BX676" i="5"/>
  <c r="BW676" i="5"/>
  <c r="BV676" i="5"/>
  <c r="BW675" i="5"/>
  <c r="BX675" i="5" s="1"/>
  <c r="BV675" i="5"/>
  <c r="BV674" i="5"/>
  <c r="BW674" i="5" s="1"/>
  <c r="BX674" i="5" s="1"/>
  <c r="CW673" i="5"/>
  <c r="CU673" i="5"/>
  <c r="CB676" i="5"/>
  <c r="BZ676" i="5"/>
  <c r="CA676" i="5" s="1"/>
  <c r="BZ675" i="5"/>
  <c r="CA675" i="5" s="1"/>
  <c r="CB675" i="5" s="1"/>
  <c r="BZ674" i="5"/>
  <c r="CA674" i="5" s="1"/>
  <c r="CB674" i="5" s="1"/>
  <c r="BZ673" i="5"/>
  <c r="CA673" i="5" s="1"/>
  <c r="CB673" i="5" s="1"/>
  <c r="BY673" i="5"/>
  <c r="BV673" i="5"/>
  <c r="BW673" i="5" s="1"/>
  <c r="BX673" i="5" s="1"/>
  <c r="BJ673" i="5"/>
  <c r="BJ672" i="5"/>
  <c r="CA672" i="5"/>
  <c r="CB672" i="5" s="1"/>
  <c r="BZ672" i="5"/>
  <c r="BW672" i="5"/>
  <c r="BX672" i="5" s="1"/>
  <c r="BV672" i="5"/>
  <c r="BX671" i="5"/>
  <c r="BW671" i="5"/>
  <c r="BV671" i="5"/>
  <c r="BX670" i="5"/>
  <c r="BW670" i="5"/>
  <c r="BV670" i="5"/>
  <c r="BJ670" i="5"/>
  <c r="BJ669" i="5"/>
  <c r="CZ676" i="5"/>
  <c r="DA676" i="5" s="1"/>
  <c r="DB676" i="5" s="1"/>
  <c r="DC676" i="5" s="1"/>
  <c r="DD676" i="5" s="1"/>
  <c r="DE676" i="5" s="1"/>
  <c r="DF676" i="5" s="1"/>
  <c r="CY676" i="5"/>
  <c r="CY675" i="5"/>
  <c r="CZ675" i="5" s="1"/>
  <c r="DA675" i="5" s="1"/>
  <c r="DB675" i="5" s="1"/>
  <c r="DC675" i="5" s="1"/>
  <c r="DD675" i="5" s="1"/>
  <c r="DE675" i="5" s="1"/>
  <c r="DF675" i="5" s="1"/>
  <c r="DF674" i="5"/>
  <c r="CZ674" i="5"/>
  <c r="DA674" i="5" s="1"/>
  <c r="DB674" i="5" s="1"/>
  <c r="DC674" i="5" s="1"/>
  <c r="DD674" i="5" s="1"/>
  <c r="DE674" i="5" s="1"/>
  <c r="CY674" i="5"/>
  <c r="DE673" i="5"/>
  <c r="DF673" i="5" s="1"/>
  <c r="DC673" i="5"/>
  <c r="DD673" i="5" s="1"/>
  <c r="CZ673" i="5"/>
  <c r="DA673" i="5" s="1"/>
  <c r="DB673" i="5" s="1"/>
  <c r="CY673" i="5"/>
  <c r="CZ671" i="5"/>
  <c r="DA671" i="5" s="1"/>
  <c r="DB671" i="5" s="1"/>
  <c r="DC671" i="5" s="1"/>
  <c r="DD671" i="5" s="1"/>
  <c r="DE671" i="5" s="1"/>
  <c r="DF671" i="5" s="1"/>
  <c r="CY671" i="5"/>
  <c r="CZ670" i="5"/>
  <c r="CY670" i="5"/>
  <c r="DA669" i="5"/>
  <c r="CZ669" i="5"/>
  <c r="CY669" i="5"/>
  <c r="CT671" i="5"/>
  <c r="BZ671" i="5"/>
  <c r="CA671" i="5" s="1"/>
  <c r="CB671" i="5" s="1"/>
  <c r="CA670" i="5"/>
  <c r="BZ670" i="5"/>
  <c r="CB669" i="5"/>
  <c r="BZ669" i="5"/>
  <c r="CA669" i="5" s="1"/>
  <c r="BY669" i="5"/>
  <c r="BV669" i="5"/>
  <c r="BS676" i="5"/>
  <c r="BT676" i="5" s="1"/>
  <c r="BR676" i="5"/>
  <c r="BR675" i="5"/>
  <c r="BS675" i="5" s="1"/>
  <c r="BT675" i="5" s="1"/>
  <c r="BS674" i="5"/>
  <c r="BT674" i="5" s="1"/>
  <c r="BR674" i="5"/>
  <c r="BT673" i="5"/>
  <c r="BR673" i="5"/>
  <c r="BS673" i="5" s="1"/>
  <c r="BS672" i="5"/>
  <c r="BT672" i="5" s="1"/>
  <c r="BR672" i="5"/>
  <c r="BR671" i="5"/>
  <c r="BS671" i="5" s="1"/>
  <c r="BT671" i="5" s="1"/>
  <c r="BS670" i="5"/>
  <c r="BT670" i="5" s="1"/>
  <c r="BR670" i="5"/>
  <c r="BR669" i="5"/>
  <c r="BP674" i="5"/>
  <c r="BO674" i="5"/>
  <c r="BN674" i="5"/>
  <c r="BN673" i="5"/>
  <c r="BO673" i="5" s="1"/>
  <c r="BO672" i="5"/>
  <c r="BP672" i="5" s="1"/>
  <c r="BN672" i="5"/>
  <c r="BN671" i="5"/>
  <c r="BO671" i="5" s="1"/>
  <c r="BP671" i="5" s="1"/>
  <c r="BO670" i="5"/>
  <c r="BP670" i="5" s="1"/>
  <c r="BN670" i="5"/>
  <c r="BP669" i="5"/>
  <c r="BO669" i="5"/>
  <c r="BN669" i="5"/>
  <c r="BN677" i="5" s="1"/>
  <c r="BK674" i="5"/>
  <c r="BK673" i="5"/>
  <c r="BL673" i="5" s="1"/>
  <c r="BK672" i="5"/>
  <c r="BL671" i="5"/>
  <c r="BK671" i="5"/>
  <c r="BK670" i="5"/>
  <c r="BL670" i="5" s="1"/>
  <c r="CT670" i="5" s="1"/>
  <c r="BK669" i="5"/>
  <c r="BG674" i="5"/>
  <c r="BH674" i="5" s="1"/>
  <c r="BF674" i="5"/>
  <c r="BF673" i="5"/>
  <c r="BG673" i="5" s="1"/>
  <c r="BH673" i="5" s="1"/>
  <c r="CS673" i="5" s="1"/>
  <c r="BG672" i="5"/>
  <c r="BF672" i="5"/>
  <c r="BH671" i="5"/>
  <c r="BG671" i="5"/>
  <c r="BF671" i="5"/>
  <c r="BG670" i="5"/>
  <c r="BH670" i="5" s="1"/>
  <c r="CS670" i="5" s="1"/>
  <c r="BF670" i="5"/>
  <c r="BF669" i="5"/>
  <c r="BC676" i="5"/>
  <c r="BD676" i="5" s="1"/>
  <c r="BB676" i="5"/>
  <c r="BB675" i="5"/>
  <c r="BC675" i="5" s="1"/>
  <c r="BD675" i="5" s="1"/>
  <c r="BC674" i="5"/>
  <c r="BD674" i="5" s="1"/>
  <c r="BB674" i="5"/>
  <c r="BB673" i="5"/>
  <c r="BC673" i="5" s="1"/>
  <c r="BD673" i="5" s="1"/>
  <c r="BC672" i="5"/>
  <c r="BD672" i="5" s="1"/>
  <c r="BB672" i="5"/>
  <c r="BD671" i="5"/>
  <c r="BC671" i="5"/>
  <c r="BB671" i="5"/>
  <c r="BC670" i="5"/>
  <c r="BD670" i="5" s="1"/>
  <c r="BB670" i="5"/>
  <c r="BB669" i="5"/>
  <c r="BQ666" i="5"/>
  <c r="BI666" i="5"/>
  <c r="CW664" i="5"/>
  <c r="CV664" i="5"/>
  <c r="CV666" i="5" s="1"/>
  <c r="CU664" i="5"/>
  <c r="CU666" i="5" s="1"/>
  <c r="CR664" i="5"/>
  <c r="CR666" i="5" s="1"/>
  <c r="CQ664" i="5"/>
  <c r="CQ666" i="5" s="1"/>
  <c r="BU664" i="5"/>
  <c r="BU666" i="5" s="1"/>
  <c r="BQ664" i="5"/>
  <c r="BM664" i="5"/>
  <c r="BM666" i="5" s="1"/>
  <c r="BI664" i="5"/>
  <c r="BE664" i="5"/>
  <c r="BE666" i="5" s="1"/>
  <c r="BE696" i="5" s="1"/>
  <c r="BA664" i="5"/>
  <c r="BA666" i="5" s="1"/>
  <c r="BA696" i="5" s="1"/>
  <c r="CX663" i="5"/>
  <c r="BY663" i="5"/>
  <c r="BZ663" i="5" s="1"/>
  <c r="CA663" i="5" s="1"/>
  <c r="BX663" i="5"/>
  <c r="BW663" i="5"/>
  <c r="BV663" i="5"/>
  <c r="BW662" i="5"/>
  <c r="BX662" i="5" s="1"/>
  <c r="BV662" i="5"/>
  <c r="CT662" i="5"/>
  <c r="CB662" i="5"/>
  <c r="BZ662" i="5"/>
  <c r="CA662" i="5" s="1"/>
  <c r="CA661" i="5"/>
  <c r="CB661" i="5" s="1"/>
  <c r="BY661" i="5"/>
  <c r="BZ661" i="5" s="1"/>
  <c r="BX661" i="5"/>
  <c r="BV661" i="5"/>
  <c r="BW661" i="5" s="1"/>
  <c r="BY660" i="5"/>
  <c r="BY664" i="5" s="1"/>
  <c r="BV660" i="5"/>
  <c r="BT663" i="5"/>
  <c r="BS663" i="5"/>
  <c r="BR663" i="5"/>
  <c r="BS662" i="5"/>
  <c r="BT662" i="5" s="1"/>
  <c r="BR662" i="5"/>
  <c r="BR661" i="5"/>
  <c r="BS661" i="5" s="1"/>
  <c r="BT661" i="5" s="1"/>
  <c r="BR660" i="5"/>
  <c r="BP663" i="5"/>
  <c r="BO663" i="5"/>
  <c r="BN663" i="5"/>
  <c r="BN662" i="5"/>
  <c r="BO662" i="5" s="1"/>
  <c r="BP662" i="5" s="1"/>
  <c r="BN661" i="5"/>
  <c r="BO661" i="5" s="1"/>
  <c r="BP661" i="5" s="1"/>
  <c r="BP660" i="5"/>
  <c r="BP664" i="5" s="1"/>
  <c r="BO660" i="5"/>
  <c r="BN660" i="5"/>
  <c r="BK663" i="5"/>
  <c r="BL663" i="5" s="1"/>
  <c r="CT663" i="5" s="1"/>
  <c r="BJ663" i="5"/>
  <c r="BJ662" i="5"/>
  <c r="BK662" i="5" s="1"/>
  <c r="BL662" i="5" s="1"/>
  <c r="BL661" i="5"/>
  <c r="BK661" i="5"/>
  <c r="BJ661" i="5"/>
  <c r="BJ660" i="5"/>
  <c r="BF663" i="5"/>
  <c r="BH662" i="5"/>
  <c r="BG662" i="5"/>
  <c r="CS662" i="5" s="1"/>
  <c r="BF662" i="5"/>
  <c r="BF661" i="5"/>
  <c r="BG660" i="5"/>
  <c r="BH660" i="5" s="1"/>
  <c r="BF660" i="5"/>
  <c r="BD663" i="5"/>
  <c r="BC663" i="5"/>
  <c r="BB663" i="5"/>
  <c r="BC662" i="5"/>
  <c r="BD662" i="5" s="1"/>
  <c r="BB662" i="5"/>
  <c r="BC661" i="5"/>
  <c r="BD661" i="5" s="1"/>
  <c r="BB661" i="5"/>
  <c r="BB660" i="5"/>
  <c r="CW657" i="5"/>
  <c r="BX657" i="5" s="1"/>
  <c r="BP655" i="5"/>
  <c r="BP654" i="5"/>
  <c r="BP653" i="5"/>
  <c r="BP650" i="5"/>
  <c r="BN657" i="5"/>
  <c r="BP657" i="5" s="1"/>
  <c r="BN656" i="5"/>
  <c r="BP656" i="5" s="1"/>
  <c r="BN655" i="5"/>
  <c r="BN654" i="5"/>
  <c r="BO654" i="5" s="1"/>
  <c r="BN653" i="5"/>
  <c r="BN652" i="5"/>
  <c r="BN651" i="5"/>
  <c r="BO651" i="5" s="1"/>
  <c r="BP651" i="5" s="1"/>
  <c r="BN650" i="5"/>
  <c r="BN649" i="5"/>
  <c r="BO649" i="5" s="1"/>
  <c r="BP649" i="5" s="1"/>
  <c r="BN648" i="5"/>
  <c r="BO648" i="5" s="1"/>
  <c r="BP648" i="5" s="1"/>
  <c r="BN647" i="5"/>
  <c r="BO655" i="5"/>
  <c r="BO653" i="5"/>
  <c r="BO652" i="5"/>
  <c r="BP652" i="5" s="1"/>
  <c r="BJ654" i="5"/>
  <c r="BJ653" i="5"/>
  <c r="BJ652" i="5"/>
  <c r="BJ651" i="5"/>
  <c r="BK651" i="5" s="1"/>
  <c r="BV657" i="5"/>
  <c r="BW657" i="5" s="1"/>
  <c r="BV656" i="5"/>
  <c r="BW656" i="5" s="1"/>
  <c r="BX656" i="5" s="1"/>
  <c r="BW655" i="5"/>
  <c r="BX655" i="5" s="1"/>
  <c r="BV655" i="5"/>
  <c r="BV654" i="5"/>
  <c r="BW654" i="5" s="1"/>
  <c r="BX654" i="5" s="1"/>
  <c r="BW653" i="5"/>
  <c r="BX653" i="5" s="1"/>
  <c r="BV653" i="5"/>
  <c r="BX652" i="5"/>
  <c r="BW652" i="5"/>
  <c r="BV652" i="5"/>
  <c r="BY651" i="5"/>
  <c r="BY666" i="5" s="1"/>
  <c r="BX651" i="5"/>
  <c r="BV651" i="5"/>
  <c r="BW651" i="5" s="1"/>
  <c r="BZ657" i="5"/>
  <c r="CA657" i="5" s="1"/>
  <c r="CB657" i="5" s="1"/>
  <c r="BZ656" i="5"/>
  <c r="CA656" i="5" s="1"/>
  <c r="CB656" i="5" s="1"/>
  <c r="CB655" i="5"/>
  <c r="CA655" i="5"/>
  <c r="BZ655" i="5"/>
  <c r="CB654" i="5"/>
  <c r="CA654" i="5"/>
  <c r="BZ654" i="5"/>
  <c r="BZ653" i="5"/>
  <c r="CA653" i="5" s="1"/>
  <c r="CB653" i="5" s="1"/>
  <c r="BZ652" i="5"/>
  <c r="CA652" i="5" s="1"/>
  <c r="CB652" i="5" s="1"/>
  <c r="CA651" i="5"/>
  <c r="CB651" i="5" s="1"/>
  <c r="BZ651" i="5"/>
  <c r="BZ650" i="5"/>
  <c r="CA650" i="5" s="1"/>
  <c r="CB650" i="5" s="1"/>
  <c r="BZ649" i="5"/>
  <c r="CA649" i="5" s="1"/>
  <c r="CB649" i="5" s="1"/>
  <c r="BO647" i="5"/>
  <c r="BP647" i="5" s="1"/>
  <c r="BJ649" i="5"/>
  <c r="BJ648" i="5"/>
  <c r="BJ647" i="5"/>
  <c r="DE657" i="5"/>
  <c r="DF657" i="5" s="1"/>
  <c r="CY657" i="5"/>
  <c r="CZ657" i="5" s="1"/>
  <c r="DA657" i="5" s="1"/>
  <c r="DB657" i="5" s="1"/>
  <c r="DC657" i="5" s="1"/>
  <c r="DD657" i="5" s="1"/>
  <c r="CY656" i="5"/>
  <c r="CZ656" i="5" s="1"/>
  <c r="DA656" i="5" s="1"/>
  <c r="DB656" i="5" s="1"/>
  <c r="DC656" i="5" s="1"/>
  <c r="DD656" i="5" s="1"/>
  <c r="DE656" i="5" s="1"/>
  <c r="DF656" i="5" s="1"/>
  <c r="CY655" i="5"/>
  <c r="CZ655" i="5" s="1"/>
  <c r="DA655" i="5" s="1"/>
  <c r="DB655" i="5" s="1"/>
  <c r="DC655" i="5" s="1"/>
  <c r="DD655" i="5" s="1"/>
  <c r="DE655" i="5" s="1"/>
  <c r="DF655" i="5" s="1"/>
  <c r="DC654" i="5"/>
  <c r="DD654" i="5" s="1"/>
  <c r="DE654" i="5" s="1"/>
  <c r="DF654" i="5" s="1"/>
  <c r="CY654" i="5"/>
  <c r="CZ654" i="5" s="1"/>
  <c r="DA654" i="5" s="1"/>
  <c r="DB654" i="5" s="1"/>
  <c r="DE653" i="5"/>
  <c r="DF653" i="5" s="1"/>
  <c r="CY653" i="5"/>
  <c r="CZ653" i="5" s="1"/>
  <c r="DA653" i="5" s="1"/>
  <c r="DB653" i="5" s="1"/>
  <c r="DC653" i="5" s="1"/>
  <c r="DD653" i="5" s="1"/>
  <c r="DC652" i="5"/>
  <c r="DD652" i="5" s="1"/>
  <c r="DE652" i="5" s="1"/>
  <c r="DF652" i="5" s="1"/>
  <c r="CY652" i="5"/>
  <c r="CZ652" i="5" s="1"/>
  <c r="DA652" i="5" s="1"/>
  <c r="DB652" i="5" s="1"/>
  <c r="DE651" i="5"/>
  <c r="DF651" i="5" s="1"/>
  <c r="DC651" i="5"/>
  <c r="DD651" i="5" s="1"/>
  <c r="CY651" i="5"/>
  <c r="CZ651" i="5" s="1"/>
  <c r="DA651" i="5" s="1"/>
  <c r="DB651" i="5" s="1"/>
  <c r="DC650" i="5"/>
  <c r="DD650" i="5" s="1"/>
  <c r="DE650" i="5" s="1"/>
  <c r="DF650" i="5" s="1"/>
  <c r="CY650" i="5"/>
  <c r="CZ650" i="5" s="1"/>
  <c r="DA650" i="5" s="1"/>
  <c r="DB650" i="5" s="1"/>
  <c r="DC649" i="5"/>
  <c r="DD649" i="5" s="1"/>
  <c r="DE649" i="5" s="1"/>
  <c r="DF649" i="5" s="1"/>
  <c r="CY649" i="5"/>
  <c r="CZ649" i="5" s="1"/>
  <c r="DA649" i="5" s="1"/>
  <c r="DB649" i="5" s="1"/>
  <c r="CS654" i="5"/>
  <c r="CS650" i="5"/>
  <c r="CA648" i="5"/>
  <c r="CB648" i="5" s="1"/>
  <c r="BZ648" i="5"/>
  <c r="BZ647" i="5"/>
  <c r="CA647" i="5" s="1"/>
  <c r="CB647" i="5" s="1"/>
  <c r="BV650" i="5"/>
  <c r="BW650" i="5" s="1"/>
  <c r="BX650" i="5" s="1"/>
  <c r="BV649" i="5"/>
  <c r="BW649" i="5" s="1"/>
  <c r="BX649" i="5" s="1"/>
  <c r="BX648" i="5"/>
  <c r="BW648" i="5"/>
  <c r="BV648" i="5"/>
  <c r="BV647" i="5"/>
  <c r="BW647" i="5" s="1"/>
  <c r="BX647" i="5" s="1"/>
  <c r="BR657" i="5"/>
  <c r="BS657" i="5" s="1"/>
  <c r="BT657" i="5" s="1"/>
  <c r="BT656" i="5"/>
  <c r="BS656" i="5"/>
  <c r="BR656" i="5"/>
  <c r="BS655" i="5"/>
  <c r="BT655" i="5" s="1"/>
  <c r="BR655" i="5"/>
  <c r="BR654" i="5"/>
  <c r="BS654" i="5" s="1"/>
  <c r="BT654" i="5" s="1"/>
  <c r="BR653" i="5"/>
  <c r="BS653" i="5" s="1"/>
  <c r="BT653" i="5" s="1"/>
  <c r="BR652" i="5"/>
  <c r="BS652" i="5" s="1"/>
  <c r="BT652" i="5" s="1"/>
  <c r="BT651" i="5"/>
  <c r="BS651" i="5"/>
  <c r="BR651" i="5"/>
  <c r="BR650" i="5"/>
  <c r="BS650" i="5" s="1"/>
  <c r="BT650" i="5" s="1"/>
  <c r="BR649" i="5"/>
  <c r="BS649" i="5" s="1"/>
  <c r="BT649" i="5" s="1"/>
  <c r="BT648" i="5"/>
  <c r="BS648" i="5"/>
  <c r="BR648" i="5"/>
  <c r="BS647" i="5"/>
  <c r="BT647" i="5" s="1"/>
  <c r="BR647" i="5"/>
  <c r="BK657" i="5"/>
  <c r="BL656" i="5"/>
  <c r="CT656" i="5" s="1"/>
  <c r="BK656" i="5"/>
  <c r="BK655" i="5"/>
  <c r="BL655" i="5" s="1"/>
  <c r="CT655" i="5" s="1"/>
  <c r="BK653" i="5"/>
  <c r="BL653" i="5" s="1"/>
  <c r="BL652" i="5"/>
  <c r="CT652" i="5" s="1"/>
  <c r="BK652" i="5"/>
  <c r="BL650" i="5"/>
  <c r="CT650" i="5" s="1"/>
  <c r="BK650" i="5"/>
  <c r="BL649" i="5"/>
  <c r="BK649" i="5"/>
  <c r="BL648" i="5"/>
  <c r="CT648" i="5" s="1"/>
  <c r="BK648" i="5"/>
  <c r="BK647" i="5"/>
  <c r="BL647" i="5" s="1"/>
  <c r="CT647" i="5" s="1"/>
  <c r="BF657" i="5"/>
  <c r="BH656" i="5"/>
  <c r="CS656" i="5" s="1"/>
  <c r="BG656" i="5"/>
  <c r="BF656" i="5"/>
  <c r="BF655" i="5"/>
  <c r="BF654" i="5"/>
  <c r="BG654" i="5" s="1"/>
  <c r="BH654" i="5" s="1"/>
  <c r="BH653" i="5"/>
  <c r="CS653" i="5" s="1"/>
  <c r="BG653" i="5"/>
  <c r="BF653" i="5"/>
  <c r="BG652" i="5"/>
  <c r="BF652" i="5"/>
  <c r="BG651" i="5"/>
  <c r="BH651" i="5" s="1"/>
  <c r="BF651" i="5"/>
  <c r="BF650" i="5"/>
  <c r="BG650" i="5" s="1"/>
  <c r="BH650" i="5" s="1"/>
  <c r="BF649" i="5"/>
  <c r="BH648" i="5"/>
  <c r="CS648" i="5" s="1"/>
  <c r="BG648" i="5"/>
  <c r="BF648" i="5"/>
  <c r="BF647" i="5"/>
  <c r="BB657" i="5"/>
  <c r="BC657" i="5" s="1"/>
  <c r="BD657" i="5" s="1"/>
  <c r="BD656" i="5"/>
  <c r="BC656" i="5"/>
  <c r="BB656" i="5"/>
  <c r="BC655" i="5"/>
  <c r="BD655" i="5" s="1"/>
  <c r="BB655" i="5"/>
  <c r="BB654" i="5"/>
  <c r="BC654" i="5" s="1"/>
  <c r="BD654" i="5" s="1"/>
  <c r="BB653" i="5"/>
  <c r="BC653" i="5" s="1"/>
  <c r="BD653" i="5" s="1"/>
  <c r="BB652" i="5"/>
  <c r="BC652" i="5" s="1"/>
  <c r="BD652" i="5" s="1"/>
  <c r="BD651" i="5"/>
  <c r="BC651" i="5"/>
  <c r="BB651" i="5"/>
  <c r="BB650" i="5"/>
  <c r="BC650" i="5" s="1"/>
  <c r="BD650" i="5" s="1"/>
  <c r="BB649" i="5"/>
  <c r="BC649" i="5" s="1"/>
  <c r="BD649" i="5" s="1"/>
  <c r="BD648" i="5"/>
  <c r="BC648" i="5"/>
  <c r="BB648" i="5"/>
  <c r="BC647" i="5"/>
  <c r="BD647" i="5" s="1"/>
  <c r="BB647" i="5"/>
  <c r="CT645" i="5"/>
  <c r="BZ645" i="5"/>
  <c r="BX645" i="5"/>
  <c r="BW645" i="5"/>
  <c r="BV645" i="5"/>
  <c r="BR645" i="5"/>
  <c r="BO645" i="5"/>
  <c r="BN645" i="5"/>
  <c r="BL645" i="5"/>
  <c r="BK645" i="5"/>
  <c r="BJ645" i="5"/>
  <c r="BG645" i="5"/>
  <c r="BF645" i="5"/>
  <c r="BD645" i="5"/>
  <c r="BC645" i="5"/>
  <c r="BB645" i="5"/>
  <c r="CR630" i="5"/>
  <c r="CU629" i="5"/>
  <c r="CR629" i="5"/>
  <c r="CQ629" i="5"/>
  <c r="BE631" i="5"/>
  <c r="BU630" i="5"/>
  <c r="BH630" i="5"/>
  <c r="BE630" i="5"/>
  <c r="CB629" i="5"/>
  <c r="CA629" i="5"/>
  <c r="BZ629" i="5"/>
  <c r="BZ630" i="5" s="1"/>
  <c r="BY629" i="5"/>
  <c r="BX629" i="5"/>
  <c r="BW629" i="5"/>
  <c r="BV629" i="5"/>
  <c r="BU629" i="5"/>
  <c r="BT629" i="5"/>
  <c r="BT630" i="5" s="1"/>
  <c r="BS629" i="5"/>
  <c r="BR629" i="5"/>
  <c r="BR630" i="5" s="1"/>
  <c r="BQ629" i="5"/>
  <c r="BP629" i="5"/>
  <c r="BO629" i="5"/>
  <c r="BN629" i="5"/>
  <c r="BM629" i="5"/>
  <c r="BM630" i="5" s="1"/>
  <c r="BL629" i="5"/>
  <c r="BL630" i="5" s="1"/>
  <c r="BK629" i="5"/>
  <c r="BJ629" i="5"/>
  <c r="BJ630" i="5" s="1"/>
  <c r="BI629" i="5"/>
  <c r="BH629" i="5"/>
  <c r="BG629" i="5"/>
  <c r="BF629" i="5"/>
  <c r="BE629" i="5"/>
  <c r="BD629" i="5"/>
  <c r="BC629" i="5"/>
  <c r="BB629" i="5"/>
  <c r="BA629" i="5"/>
  <c r="BJ628" i="5"/>
  <c r="CA625" i="5"/>
  <c r="BZ625" i="5"/>
  <c r="BY625" i="5"/>
  <c r="BJ625" i="5"/>
  <c r="DD628" i="5"/>
  <c r="DE628" i="5" s="1"/>
  <c r="DF628" i="5" s="1"/>
  <c r="CX628" i="5"/>
  <c r="CW628" i="5"/>
  <c r="CV628" i="5"/>
  <c r="CU628" i="5"/>
  <c r="CT628" i="5"/>
  <c r="CS628" i="5"/>
  <c r="CX627" i="5"/>
  <c r="CW627" i="5"/>
  <c r="CV627" i="5"/>
  <c r="CU627" i="5"/>
  <c r="CT627" i="5"/>
  <c r="CS627" i="5"/>
  <c r="CZ626" i="5"/>
  <c r="DA626" i="5" s="1"/>
  <c r="DB626" i="5" s="1"/>
  <c r="DC626" i="5" s="1"/>
  <c r="DD626" i="5" s="1"/>
  <c r="DE626" i="5" s="1"/>
  <c r="DF626" i="5" s="1"/>
  <c r="CX626" i="5"/>
  <c r="CW626" i="5"/>
  <c r="CV626" i="5"/>
  <c r="CU626" i="5"/>
  <c r="CT626" i="5"/>
  <c r="CS626" i="5"/>
  <c r="CS629" i="5" s="1"/>
  <c r="CY625" i="5"/>
  <c r="CX625" i="5"/>
  <c r="CX629" i="5" s="1"/>
  <c r="CW625" i="5"/>
  <c r="CV625" i="5"/>
  <c r="CU625" i="5"/>
  <c r="CT625" i="5"/>
  <c r="CS625" i="5"/>
  <c r="CX624" i="5"/>
  <c r="CW624" i="5"/>
  <c r="CW629" i="5" s="1"/>
  <c r="CV624" i="5"/>
  <c r="CU624" i="5"/>
  <c r="CT624" i="5"/>
  <c r="CS624" i="5"/>
  <c r="CD628" i="5"/>
  <c r="CE628" i="5" s="1"/>
  <c r="CF628" i="5" s="1"/>
  <c r="CY628" i="5" s="1"/>
  <c r="CZ628" i="5" s="1"/>
  <c r="DA628" i="5" s="1"/>
  <c r="DB628" i="5" s="1"/>
  <c r="DC628" i="5" s="1"/>
  <c r="CC628" i="5"/>
  <c r="CC626" i="5"/>
  <c r="CD626" i="5" s="1"/>
  <c r="CE626" i="5" s="1"/>
  <c r="CF626" i="5" s="1"/>
  <c r="CY626" i="5" s="1"/>
  <c r="CE625" i="5"/>
  <c r="CF625" i="5" s="1"/>
  <c r="CD625" i="5"/>
  <c r="CC625" i="5"/>
  <c r="CC624" i="5"/>
  <c r="DF622" i="5"/>
  <c r="CY622" i="5"/>
  <c r="CZ622" i="5" s="1"/>
  <c r="DA622" i="5" s="1"/>
  <c r="DB622" i="5" s="1"/>
  <c r="DC622" i="5" s="1"/>
  <c r="DD622" i="5" s="1"/>
  <c r="DE622" i="5" s="1"/>
  <c r="CX622" i="5"/>
  <c r="CW622" i="5"/>
  <c r="CV622" i="5"/>
  <c r="CU622" i="5"/>
  <c r="CT622" i="5"/>
  <c r="CS622" i="5"/>
  <c r="CZ621" i="5"/>
  <c r="DA621" i="5" s="1"/>
  <c r="DB621" i="5" s="1"/>
  <c r="DC621" i="5" s="1"/>
  <c r="DD621" i="5" s="1"/>
  <c r="DE621" i="5" s="1"/>
  <c r="DF621" i="5" s="1"/>
  <c r="CX621" i="5"/>
  <c r="CW621" i="5"/>
  <c r="CV621" i="5"/>
  <c r="CU621" i="5"/>
  <c r="CT621" i="5"/>
  <c r="CS621" i="5"/>
  <c r="DA620" i="5"/>
  <c r="DB620" i="5" s="1"/>
  <c r="DC620" i="5" s="1"/>
  <c r="DD620" i="5" s="1"/>
  <c r="DE620" i="5" s="1"/>
  <c r="DF620" i="5" s="1"/>
  <c r="CX620" i="5"/>
  <c r="CW620" i="5"/>
  <c r="CV620" i="5"/>
  <c r="CU620" i="5"/>
  <c r="CT620" i="5"/>
  <c r="CS620" i="5"/>
  <c r="CX619" i="5"/>
  <c r="CW619" i="5"/>
  <c r="CV619" i="5"/>
  <c r="CU619" i="5"/>
  <c r="CT619" i="5"/>
  <c r="CS619" i="5"/>
  <c r="CF622" i="5"/>
  <c r="CE622" i="5"/>
  <c r="CD622" i="5"/>
  <c r="CC622" i="5"/>
  <c r="CF621" i="5"/>
  <c r="CY621" i="5" s="1"/>
  <c r="CC621" i="5"/>
  <c r="CD621" i="5" s="1"/>
  <c r="CE621" i="5" s="1"/>
  <c r="CE620" i="5"/>
  <c r="CF620" i="5" s="1"/>
  <c r="CY620" i="5" s="1"/>
  <c r="CZ620" i="5" s="1"/>
  <c r="CD620" i="5"/>
  <c r="CC620" i="5"/>
  <c r="CC619" i="5"/>
  <c r="CD619" i="5" s="1"/>
  <c r="CE619" i="5" s="1"/>
  <c r="CF619" i="5" s="1"/>
  <c r="CY619" i="5" s="1"/>
  <c r="CZ619" i="5" s="1"/>
  <c r="DA619" i="5" s="1"/>
  <c r="DB619" i="5" s="1"/>
  <c r="DC619" i="5" s="1"/>
  <c r="DD619" i="5" s="1"/>
  <c r="DE619" i="5" s="1"/>
  <c r="DF619" i="5" s="1"/>
  <c r="CR617" i="5"/>
  <c r="BZ617" i="5"/>
  <c r="BW617" i="5"/>
  <c r="BT617" i="5"/>
  <c r="BR617" i="5"/>
  <c r="BO617" i="5"/>
  <c r="BL617" i="5"/>
  <c r="BJ617" i="5"/>
  <c r="BI617" i="5"/>
  <c r="BD617" i="5"/>
  <c r="BD630" i="5" s="1"/>
  <c r="BB617" i="5"/>
  <c r="CB615" i="5"/>
  <c r="CZ616" i="5"/>
  <c r="DA616" i="5" s="1"/>
  <c r="DB616" i="5" s="1"/>
  <c r="DC616" i="5" s="1"/>
  <c r="DD616" i="5" s="1"/>
  <c r="DE616" i="5" s="1"/>
  <c r="DF616" i="5" s="1"/>
  <c r="CX616" i="5"/>
  <c r="CW616" i="5"/>
  <c r="CV616" i="5"/>
  <c r="CU616" i="5"/>
  <c r="CT616" i="5"/>
  <c r="CS616" i="5"/>
  <c r="CW615" i="5"/>
  <c r="CV615" i="5"/>
  <c r="CU615" i="5"/>
  <c r="CT615" i="5"/>
  <c r="CS615" i="5"/>
  <c r="CX614" i="5"/>
  <c r="CW614" i="5"/>
  <c r="CV614" i="5"/>
  <c r="CU614" i="5"/>
  <c r="CT614" i="5"/>
  <c r="CS614" i="5"/>
  <c r="CC616" i="5"/>
  <c r="CD616" i="5" s="1"/>
  <c r="CE616" i="5" s="1"/>
  <c r="CF616" i="5" s="1"/>
  <c r="CY616" i="5" s="1"/>
  <c r="CC614" i="5"/>
  <c r="CS612" i="5"/>
  <c r="CS561" i="5" s="1"/>
  <c r="CR612" i="5"/>
  <c r="CQ612" i="5"/>
  <c r="CQ617" i="5" s="1"/>
  <c r="CQ630" i="5" s="1"/>
  <c r="CB612" i="5"/>
  <c r="CA612" i="5"/>
  <c r="CA617" i="5" s="1"/>
  <c r="BZ612" i="5"/>
  <c r="BY612" i="5"/>
  <c r="BY617" i="5" s="1"/>
  <c r="BY630" i="5" s="1"/>
  <c r="BX612" i="5"/>
  <c r="BX617" i="5" s="1"/>
  <c r="BX630" i="5" s="1"/>
  <c r="BW612" i="5"/>
  <c r="BV612" i="5"/>
  <c r="BU612" i="5"/>
  <c r="BU617" i="5" s="1"/>
  <c r="BT612" i="5"/>
  <c r="BS612" i="5"/>
  <c r="BS617" i="5" s="1"/>
  <c r="BR612" i="5"/>
  <c r="BQ612" i="5"/>
  <c r="BQ617" i="5" s="1"/>
  <c r="BP612" i="5"/>
  <c r="BP617" i="5" s="1"/>
  <c r="BO612" i="5"/>
  <c r="BN612" i="5"/>
  <c r="BM612" i="5"/>
  <c r="BM617" i="5" s="1"/>
  <c r="BL612" i="5"/>
  <c r="BK612" i="5"/>
  <c r="BK617" i="5" s="1"/>
  <c r="BK630" i="5" s="1"/>
  <c r="BJ612" i="5"/>
  <c r="BI612" i="5"/>
  <c r="BH612" i="5"/>
  <c r="BH617" i="5" s="1"/>
  <c r="BG612" i="5"/>
  <c r="BG617" i="5" s="1"/>
  <c r="BG630" i="5" s="1"/>
  <c r="BF612" i="5"/>
  <c r="BF617" i="5" s="1"/>
  <c r="BF630" i="5" s="1"/>
  <c r="BE612" i="5"/>
  <c r="BE617" i="5" s="1"/>
  <c r="BD612" i="5"/>
  <c r="BC612" i="5"/>
  <c r="BC617" i="5" s="1"/>
  <c r="BC630" i="5" s="1"/>
  <c r="BB612" i="5"/>
  <c r="BA612" i="5"/>
  <c r="BA617" i="5" s="1"/>
  <c r="BA630" i="5" s="1"/>
  <c r="CX611" i="5"/>
  <c r="CW611" i="5"/>
  <c r="CV611" i="5"/>
  <c r="CV612" i="5" s="1"/>
  <c r="CU611" i="5"/>
  <c r="CT611" i="5"/>
  <c r="CS611" i="5"/>
  <c r="CX610" i="5"/>
  <c r="CW610" i="5"/>
  <c r="CV610" i="5"/>
  <c r="CU610" i="5"/>
  <c r="CT610" i="5"/>
  <c r="CS610" i="5"/>
  <c r="CX609" i="5"/>
  <c r="CW609" i="5"/>
  <c r="CV609" i="5"/>
  <c r="CU609" i="5"/>
  <c r="CT609" i="5"/>
  <c r="CS609" i="5"/>
  <c r="CX608" i="5"/>
  <c r="CW608" i="5"/>
  <c r="CV608" i="5"/>
  <c r="CU608" i="5"/>
  <c r="CT608" i="5"/>
  <c r="CS608" i="5"/>
  <c r="CX607" i="5"/>
  <c r="CW607" i="5"/>
  <c r="CV607" i="5"/>
  <c r="CV568" i="5" s="1"/>
  <c r="CU607" i="5"/>
  <c r="CU568" i="5" s="1"/>
  <c r="CT607" i="5"/>
  <c r="CS607" i="5"/>
  <c r="CC611" i="5"/>
  <c r="CE610" i="5"/>
  <c r="CF610" i="5" s="1"/>
  <c r="CY610" i="5" s="1"/>
  <c r="CZ610" i="5" s="1"/>
  <c r="DA610" i="5" s="1"/>
  <c r="DB610" i="5" s="1"/>
  <c r="DC610" i="5" s="1"/>
  <c r="DD610" i="5" s="1"/>
  <c r="DE610" i="5" s="1"/>
  <c r="DF610" i="5" s="1"/>
  <c r="CC610" i="5"/>
  <c r="CD610" i="5" s="1"/>
  <c r="CA604" i="5"/>
  <c r="BX604" i="5"/>
  <c r="BV604" i="5"/>
  <c r="BU604" i="5"/>
  <c r="BS604" i="5"/>
  <c r="BP604" i="5"/>
  <c r="BN604" i="5"/>
  <c r="BM604" i="5"/>
  <c r="BM631" i="5" s="1"/>
  <c r="BK604" i="5"/>
  <c r="BK631" i="5" s="1"/>
  <c r="BG604" i="5"/>
  <c r="BG631" i="5" s="1"/>
  <c r="BF604" i="5"/>
  <c r="BF631" i="5" s="1"/>
  <c r="BC604" i="5"/>
  <c r="BC631" i="5" s="1"/>
  <c r="CX603" i="5"/>
  <c r="CW603" i="5"/>
  <c r="CV603" i="5"/>
  <c r="CU603" i="5"/>
  <c r="CT603" i="5"/>
  <c r="CS603" i="5"/>
  <c r="CS604" i="5" s="1"/>
  <c r="BO603" i="5"/>
  <c r="CS601" i="5"/>
  <c r="CS600" i="5"/>
  <c r="CS599" i="5"/>
  <c r="DA602" i="5"/>
  <c r="DB602" i="5" s="1"/>
  <c r="DC602" i="5" s="1"/>
  <c r="DD602" i="5" s="1"/>
  <c r="DE602" i="5" s="1"/>
  <c r="DF602" i="5" s="1"/>
  <c r="CZ602" i="5"/>
  <c r="CX602" i="5"/>
  <c r="CW602" i="5"/>
  <c r="CV602" i="5"/>
  <c r="CU602" i="5"/>
  <c r="CT602" i="5"/>
  <c r="DC601" i="5"/>
  <c r="DD601" i="5" s="1"/>
  <c r="DE601" i="5" s="1"/>
  <c r="DF601" i="5" s="1"/>
  <c r="CX601" i="5"/>
  <c r="CW601" i="5"/>
  <c r="CV601" i="5"/>
  <c r="CU601" i="5"/>
  <c r="CT601" i="5"/>
  <c r="CX600" i="5"/>
  <c r="CW600" i="5"/>
  <c r="CV600" i="5"/>
  <c r="CU600" i="5"/>
  <c r="CT600" i="5"/>
  <c r="CX599" i="5"/>
  <c r="CW599" i="5"/>
  <c r="CV599" i="5"/>
  <c r="CU599" i="5"/>
  <c r="CT599" i="5"/>
  <c r="CC603" i="5"/>
  <c r="CD603" i="5" s="1"/>
  <c r="CE603" i="5" s="1"/>
  <c r="CF603" i="5" s="1"/>
  <c r="CY603" i="5" s="1"/>
  <c r="CZ603" i="5" s="1"/>
  <c r="DA603" i="5" s="1"/>
  <c r="DB603" i="5" s="1"/>
  <c r="DC603" i="5" s="1"/>
  <c r="DD603" i="5" s="1"/>
  <c r="DE603" i="5" s="1"/>
  <c r="DF603" i="5" s="1"/>
  <c r="CC602" i="5"/>
  <c r="CD602" i="5" s="1"/>
  <c r="CE602" i="5" s="1"/>
  <c r="CF602" i="5" s="1"/>
  <c r="CY602" i="5" s="1"/>
  <c r="CD601" i="5"/>
  <c r="CE601" i="5" s="1"/>
  <c r="CF601" i="5" s="1"/>
  <c r="CY601" i="5" s="1"/>
  <c r="CZ601" i="5" s="1"/>
  <c r="DA601" i="5" s="1"/>
  <c r="DB601" i="5" s="1"/>
  <c r="CC601" i="5"/>
  <c r="CE600" i="5"/>
  <c r="CF600" i="5" s="1"/>
  <c r="CY600" i="5" s="1"/>
  <c r="CZ600" i="5" s="1"/>
  <c r="DA600" i="5" s="1"/>
  <c r="DB600" i="5" s="1"/>
  <c r="DC600" i="5" s="1"/>
  <c r="DD600" i="5" s="1"/>
  <c r="DE600" i="5" s="1"/>
  <c r="DF600" i="5" s="1"/>
  <c r="CC600" i="5"/>
  <c r="CD600" i="5" s="1"/>
  <c r="CX597" i="5"/>
  <c r="CW597" i="5"/>
  <c r="CV597" i="5"/>
  <c r="CU597" i="5"/>
  <c r="CT597" i="5"/>
  <c r="CS597" i="5"/>
  <c r="CR597" i="5"/>
  <c r="CQ597" i="5"/>
  <c r="CQ604" i="5" s="1"/>
  <c r="BE596" i="5"/>
  <c r="BE595" i="5"/>
  <c r="BF595" i="5" s="1"/>
  <c r="BB595" i="5"/>
  <c r="BA595" i="5"/>
  <c r="BA596" i="5" s="1"/>
  <c r="CR593" i="5"/>
  <c r="CQ593" i="5"/>
  <c r="CB593" i="5"/>
  <c r="CA593" i="5"/>
  <c r="BZ593" i="5"/>
  <c r="BZ604" i="5" s="1"/>
  <c r="BY593" i="5"/>
  <c r="BY604" i="5" s="1"/>
  <c r="BX593" i="5"/>
  <c r="BW593" i="5"/>
  <c r="BW604" i="5" s="1"/>
  <c r="BV593" i="5"/>
  <c r="BU593" i="5"/>
  <c r="BT593" i="5"/>
  <c r="BS593" i="5"/>
  <c r="BR593" i="5"/>
  <c r="BQ593" i="5"/>
  <c r="BQ604" i="5" s="1"/>
  <c r="BP593" i="5"/>
  <c r="BO593" i="5"/>
  <c r="BO604" i="5" s="1"/>
  <c r="BN593" i="5"/>
  <c r="BM593" i="5"/>
  <c r="BL593" i="5"/>
  <c r="BK593" i="5"/>
  <c r="BJ593" i="5"/>
  <c r="BI593" i="5"/>
  <c r="BI604" i="5" s="1"/>
  <c r="BH593" i="5"/>
  <c r="BH604" i="5" s="1"/>
  <c r="BG593" i="5"/>
  <c r="BF593" i="5"/>
  <c r="BE593" i="5"/>
  <c r="BE604" i="5" s="1"/>
  <c r="BD593" i="5"/>
  <c r="BD604" i="5" s="1"/>
  <c r="BD631" i="5" s="1"/>
  <c r="BC593" i="5"/>
  <c r="BB593" i="5"/>
  <c r="BB604" i="5" s="1"/>
  <c r="BA593" i="5"/>
  <c r="BA604" i="5" s="1"/>
  <c r="CX592" i="5"/>
  <c r="CW592" i="5"/>
  <c r="CV592" i="5"/>
  <c r="CU592" i="5"/>
  <c r="CT592" i="5"/>
  <c r="CS592" i="5"/>
  <c r="CS593" i="5" s="1"/>
  <c r="CX591" i="5"/>
  <c r="CW591" i="5"/>
  <c r="CV591" i="5"/>
  <c r="CU591" i="5"/>
  <c r="CT591" i="5"/>
  <c r="CS591" i="5"/>
  <c r="CX590" i="5"/>
  <c r="CX593" i="5" s="1"/>
  <c r="CW590" i="5"/>
  <c r="CV590" i="5"/>
  <c r="CU590" i="5"/>
  <c r="CT590" i="5"/>
  <c r="CS590" i="5"/>
  <c r="DE589" i="5"/>
  <c r="DF589" i="5" s="1"/>
  <c r="CZ589" i="5"/>
  <c r="DA589" i="5" s="1"/>
  <c r="DB589" i="5" s="1"/>
  <c r="DC589" i="5" s="1"/>
  <c r="DD589" i="5" s="1"/>
  <c r="CX589" i="5"/>
  <c r="CW589" i="5"/>
  <c r="CV589" i="5"/>
  <c r="CU589" i="5"/>
  <c r="CT589" i="5"/>
  <c r="CS589" i="5"/>
  <c r="CY588" i="5"/>
  <c r="CZ588" i="5" s="1"/>
  <c r="DA588" i="5" s="1"/>
  <c r="DB588" i="5" s="1"/>
  <c r="DC588" i="5" s="1"/>
  <c r="DD588" i="5" s="1"/>
  <c r="DE588" i="5" s="1"/>
  <c r="DF588" i="5" s="1"/>
  <c r="CX588" i="5"/>
  <c r="CW588" i="5"/>
  <c r="CV588" i="5"/>
  <c r="CU588" i="5"/>
  <c r="CT588" i="5"/>
  <c r="CS588" i="5"/>
  <c r="CX587" i="5"/>
  <c r="CW587" i="5"/>
  <c r="CV587" i="5"/>
  <c r="CU587" i="5"/>
  <c r="CT587" i="5"/>
  <c r="CS587" i="5"/>
  <c r="CC592" i="5"/>
  <c r="CF589" i="5"/>
  <c r="CY589" i="5" s="1"/>
  <c r="CE589" i="5"/>
  <c r="CC589" i="5"/>
  <c r="CD589" i="5" s="1"/>
  <c r="CC588" i="5"/>
  <c r="CD588" i="5" s="1"/>
  <c r="CE588" i="5" s="1"/>
  <c r="CF588" i="5" s="1"/>
  <c r="CX569" i="5"/>
  <c r="CV569" i="5"/>
  <c r="CU569" i="5"/>
  <c r="CT569" i="5"/>
  <c r="CS569" i="5"/>
  <c r="CR569" i="5"/>
  <c r="CQ569" i="5"/>
  <c r="CX568" i="5"/>
  <c r="CS568" i="5"/>
  <c r="CR568" i="5"/>
  <c r="CQ568" i="5"/>
  <c r="CX567" i="5"/>
  <c r="CW567" i="5"/>
  <c r="CU567" i="5"/>
  <c r="CS567" i="5"/>
  <c r="CR567" i="5"/>
  <c r="CQ567" i="5"/>
  <c r="CQ566" i="5"/>
  <c r="BU570" i="5"/>
  <c r="BM570" i="5"/>
  <c r="BI570" i="5"/>
  <c r="CB569" i="5"/>
  <c r="CA569" i="5"/>
  <c r="BZ569" i="5"/>
  <c r="BY569" i="5"/>
  <c r="BX569" i="5"/>
  <c r="BW569" i="5"/>
  <c r="BW570" i="5" s="1"/>
  <c r="BV569" i="5"/>
  <c r="BU569" i="5"/>
  <c r="BT569" i="5"/>
  <c r="BS569" i="5"/>
  <c r="BR569" i="5"/>
  <c r="BQ569" i="5"/>
  <c r="BP569" i="5"/>
  <c r="BO569" i="5"/>
  <c r="BN569" i="5"/>
  <c r="BM569" i="5"/>
  <c r="BL569" i="5"/>
  <c r="BK569" i="5"/>
  <c r="BJ569" i="5"/>
  <c r="BI569" i="5"/>
  <c r="CB568" i="5"/>
  <c r="CA568" i="5"/>
  <c r="BZ568" i="5"/>
  <c r="BY568" i="5"/>
  <c r="BX568" i="5"/>
  <c r="BW568" i="5"/>
  <c r="BV568" i="5"/>
  <c r="BU568" i="5"/>
  <c r="BT568" i="5"/>
  <c r="BS568" i="5"/>
  <c r="BR568" i="5"/>
  <c r="BQ568" i="5"/>
  <c r="BP568" i="5"/>
  <c r="BO568" i="5"/>
  <c r="BN568" i="5"/>
  <c r="BM568" i="5"/>
  <c r="BL568" i="5"/>
  <c r="BK568" i="5"/>
  <c r="BJ568" i="5"/>
  <c r="BI568" i="5"/>
  <c r="CB567" i="5"/>
  <c r="CA567" i="5"/>
  <c r="BZ567" i="5"/>
  <c r="BY567" i="5"/>
  <c r="BX567" i="5"/>
  <c r="BW567" i="5"/>
  <c r="BV567" i="5"/>
  <c r="BU567" i="5"/>
  <c r="BT567" i="5"/>
  <c r="BS567" i="5"/>
  <c r="BR567" i="5"/>
  <c r="BQ567" i="5"/>
  <c r="BP567" i="5"/>
  <c r="BO567" i="5"/>
  <c r="BN567" i="5"/>
  <c r="BM567" i="5"/>
  <c r="BL567" i="5"/>
  <c r="BK567" i="5"/>
  <c r="BJ567" i="5"/>
  <c r="BI567" i="5"/>
  <c r="CA566" i="5"/>
  <c r="BY566" i="5"/>
  <c r="BW566" i="5"/>
  <c r="BU566" i="5"/>
  <c r="BS566" i="5"/>
  <c r="BS570" i="5" s="1"/>
  <c r="BQ566" i="5"/>
  <c r="BO566" i="5"/>
  <c r="BM566" i="5"/>
  <c r="BK566" i="5"/>
  <c r="BK570" i="5" s="1"/>
  <c r="BI566" i="5"/>
  <c r="CR561" i="5"/>
  <c r="CQ561" i="5"/>
  <c r="CA561" i="5"/>
  <c r="BZ561" i="5"/>
  <c r="BY561" i="5"/>
  <c r="BX561" i="5"/>
  <c r="BW561" i="5"/>
  <c r="BU561" i="5"/>
  <c r="BS561" i="5"/>
  <c r="BQ561" i="5"/>
  <c r="BP561" i="5"/>
  <c r="BO561" i="5"/>
  <c r="BM561" i="5"/>
  <c r="BK561" i="5"/>
  <c r="BI561" i="5"/>
  <c r="DC558" i="5"/>
  <c r="CY558" i="5"/>
  <c r="CX558" i="5"/>
  <c r="CW558" i="5"/>
  <c r="CV558" i="5"/>
  <c r="CU558" i="5"/>
  <c r="CR558" i="5"/>
  <c r="CQ558" i="5"/>
  <c r="CZ557" i="5"/>
  <c r="CY557" i="5"/>
  <c r="CX557" i="5"/>
  <c r="CW557" i="5"/>
  <c r="CV557" i="5"/>
  <c r="CU557" i="5"/>
  <c r="CR557" i="5"/>
  <c r="CQ557" i="5"/>
  <c r="DA556" i="5"/>
  <c r="CZ556" i="5"/>
  <c r="CY556" i="5"/>
  <c r="CX556" i="5"/>
  <c r="CW556" i="5"/>
  <c r="CV556" i="5"/>
  <c r="CU556" i="5"/>
  <c r="CR556" i="5"/>
  <c r="CQ556" i="5"/>
  <c r="CF558" i="5"/>
  <c r="CE558" i="5"/>
  <c r="CD558" i="5"/>
  <c r="CC558" i="5"/>
  <c r="CB558" i="5"/>
  <c r="CA558" i="5"/>
  <c r="BZ558" i="5"/>
  <c r="BY558" i="5"/>
  <c r="BX558" i="5"/>
  <c r="BW558" i="5"/>
  <c r="BV558" i="5"/>
  <c r="BU558" i="5"/>
  <c r="BT558" i="5"/>
  <c r="BS558" i="5"/>
  <c r="BR558" i="5"/>
  <c r="BQ558" i="5"/>
  <c r="BP558" i="5"/>
  <c r="BO558" i="5"/>
  <c r="BN558" i="5"/>
  <c r="BM558" i="5"/>
  <c r="BI558" i="5"/>
  <c r="CF557" i="5"/>
  <c r="CE557" i="5"/>
  <c r="CD557" i="5"/>
  <c r="CC557" i="5"/>
  <c r="BZ557" i="5"/>
  <c r="BY557" i="5"/>
  <c r="BV557" i="5"/>
  <c r="BU557" i="5"/>
  <c r="BR557" i="5"/>
  <c r="BQ557" i="5"/>
  <c r="BO557" i="5"/>
  <c r="BN557" i="5"/>
  <c r="BM557" i="5"/>
  <c r="BK557" i="5"/>
  <c r="BJ557" i="5"/>
  <c r="BI557" i="5"/>
  <c r="CF556" i="5"/>
  <c r="CE556" i="5"/>
  <c r="CD556" i="5"/>
  <c r="CC556" i="5"/>
  <c r="BY556" i="5"/>
  <c r="BX556" i="5"/>
  <c r="BW556" i="5"/>
  <c r="BV556" i="5"/>
  <c r="BU556" i="5"/>
  <c r="BT556" i="5"/>
  <c r="BS556" i="5"/>
  <c r="BR556" i="5"/>
  <c r="BQ556" i="5"/>
  <c r="BP556" i="5"/>
  <c r="BO556" i="5"/>
  <c r="BN556" i="5"/>
  <c r="BM556" i="5"/>
  <c r="BK556" i="5"/>
  <c r="BJ556" i="5"/>
  <c r="BI556" i="5"/>
  <c r="CQ552" i="5"/>
  <c r="CX551" i="5"/>
  <c r="CW551" i="5"/>
  <c r="CS551" i="5"/>
  <c r="CS552" i="5" s="1"/>
  <c r="CR551" i="5"/>
  <c r="CR552" i="5" s="1"/>
  <c r="CQ551" i="5"/>
  <c r="CQ541" i="5"/>
  <c r="CQ540" i="5"/>
  <c r="CQ539" i="5"/>
  <c r="BH540" i="5"/>
  <c r="BG540" i="5"/>
  <c r="BF540" i="5"/>
  <c r="BE540" i="5"/>
  <c r="BD540" i="5"/>
  <c r="BC540" i="5"/>
  <c r="BB540" i="5"/>
  <c r="BA540" i="5"/>
  <c r="AZ540" i="5"/>
  <c r="AY540" i="5"/>
  <c r="AX540" i="5"/>
  <c r="AW540" i="5"/>
  <c r="BH539" i="5"/>
  <c r="BG539" i="5"/>
  <c r="BF539" i="5"/>
  <c r="BE539" i="5"/>
  <c r="BD539" i="5"/>
  <c r="BC539" i="5"/>
  <c r="BB539" i="5"/>
  <c r="BA539" i="5"/>
  <c r="CX541" i="5"/>
  <c r="CW541" i="5"/>
  <c r="CV541" i="5"/>
  <c r="CU541" i="5"/>
  <c r="CR541" i="5"/>
  <c r="CS539" i="5"/>
  <c r="CR539" i="5"/>
  <c r="CB541" i="5"/>
  <c r="CA541" i="5"/>
  <c r="BZ541" i="5"/>
  <c r="BY541" i="5"/>
  <c r="BX541" i="5"/>
  <c r="BW541" i="5"/>
  <c r="BV541" i="5"/>
  <c r="BU541" i="5"/>
  <c r="BT541" i="5"/>
  <c r="BS541" i="5"/>
  <c r="BR541" i="5"/>
  <c r="BQ541" i="5"/>
  <c r="BP541" i="5"/>
  <c r="BO541" i="5"/>
  <c r="BN541" i="5"/>
  <c r="BM541" i="5"/>
  <c r="CB540" i="5"/>
  <c r="CA540" i="5"/>
  <c r="BZ540" i="5"/>
  <c r="BY540" i="5"/>
  <c r="BX540" i="5"/>
  <c r="BW540" i="5"/>
  <c r="BV540" i="5"/>
  <c r="BU540" i="5"/>
  <c r="BT540" i="5"/>
  <c r="BS540" i="5"/>
  <c r="CV540" i="5" s="1"/>
  <c r="BR540" i="5"/>
  <c r="BQ540" i="5"/>
  <c r="BP540" i="5"/>
  <c r="BO540" i="5"/>
  <c r="BN540" i="5"/>
  <c r="BM540" i="5"/>
  <c r="BX539" i="5"/>
  <c r="BW539" i="5"/>
  <c r="BV539" i="5"/>
  <c r="BU539" i="5"/>
  <c r="BT539" i="5"/>
  <c r="BS539" i="5"/>
  <c r="BR539" i="5"/>
  <c r="BQ539" i="5"/>
  <c r="BP539" i="5"/>
  <c r="BO539" i="5"/>
  <c r="BN539" i="5"/>
  <c r="CU539" i="5" s="1"/>
  <c r="BM539" i="5"/>
  <c r="BK541" i="5"/>
  <c r="BJ541" i="5"/>
  <c r="BI541" i="5"/>
  <c r="BL540" i="5"/>
  <c r="BK540" i="5"/>
  <c r="BJ540" i="5"/>
  <c r="BI540" i="5"/>
  <c r="CT540" i="5" s="1"/>
  <c r="BJ539" i="5"/>
  <c r="BI539" i="5"/>
  <c r="CQ529" i="5"/>
  <c r="CV529" i="5"/>
  <c r="CB529" i="5"/>
  <c r="BX529" i="5"/>
  <c r="BV529" i="5"/>
  <c r="BP529" i="5"/>
  <c r="BO529" i="5"/>
  <c r="BN529" i="5"/>
  <c r="BJ529" i="5"/>
  <c r="BF529" i="5"/>
  <c r="DA527" i="5"/>
  <c r="CX526" i="5"/>
  <c r="CW526" i="5"/>
  <c r="CV524" i="5"/>
  <c r="CP524" i="5"/>
  <c r="CO524" i="5"/>
  <c r="CN524" i="5"/>
  <c r="BZ524" i="5"/>
  <c r="BY524" i="5"/>
  <c r="BR524" i="5"/>
  <c r="BO524" i="5"/>
  <c r="BM524" i="5"/>
  <c r="BK524" i="5"/>
  <c r="BI524" i="5"/>
  <c r="BG524" i="5"/>
  <c r="BE524" i="5"/>
  <c r="BD524" i="5"/>
  <c r="BC524" i="5"/>
  <c r="BB524" i="5"/>
  <c r="BA524" i="5"/>
  <c r="AZ524" i="5"/>
  <c r="AY524" i="5"/>
  <c r="AX524" i="5"/>
  <c r="AW524" i="5"/>
  <c r="AV524" i="5"/>
  <c r="AU524" i="5"/>
  <c r="AT524" i="5"/>
  <c r="AS524" i="5"/>
  <c r="AR524" i="5"/>
  <c r="AQ524" i="5"/>
  <c r="AP524" i="5"/>
  <c r="AO524" i="5"/>
  <c r="AN524" i="5"/>
  <c r="AM524" i="5"/>
  <c r="AL524" i="5"/>
  <c r="AK524" i="5"/>
  <c r="CX521" i="5"/>
  <c r="CW521" i="5"/>
  <c r="CV521" i="5"/>
  <c r="CU521" i="5"/>
  <c r="CR521" i="5"/>
  <c r="CQ521" i="5"/>
  <c r="CQ524" i="5" s="1"/>
  <c r="CB521" i="5"/>
  <c r="CA521" i="5"/>
  <c r="CA529" i="5" s="1"/>
  <c r="BZ521" i="5"/>
  <c r="BY521" i="5"/>
  <c r="BY529" i="5" s="1"/>
  <c r="BX521" i="5"/>
  <c r="BW521" i="5"/>
  <c r="BW524" i="5" s="1"/>
  <c r="BV521" i="5"/>
  <c r="BU521" i="5"/>
  <c r="BT521" i="5"/>
  <c r="BS521" i="5"/>
  <c r="BS529" i="5" s="1"/>
  <c r="BR521" i="5"/>
  <c r="BQ521" i="5"/>
  <c r="BP521" i="5"/>
  <c r="BO521" i="5"/>
  <c r="BS524" i="5" s="1"/>
  <c r="BN521" i="5"/>
  <c r="BM521" i="5"/>
  <c r="BM529" i="5" s="1"/>
  <c r="BK521" i="5"/>
  <c r="BK529" i="5" s="1"/>
  <c r="BJ521" i="5"/>
  <c r="BI521" i="5"/>
  <c r="BG521" i="5"/>
  <c r="BG529" i="5" s="1"/>
  <c r="BF521" i="5"/>
  <c r="BF524" i="5" s="1"/>
  <c r="BE521" i="5"/>
  <c r="BE529" i="5" s="1"/>
  <c r="BD521" i="5"/>
  <c r="BC521" i="5"/>
  <c r="BB521" i="5"/>
  <c r="BA521" i="5"/>
  <c r="CR515" i="5"/>
  <c r="AH514" i="5"/>
  <c r="BF515" i="5"/>
  <c r="BB515" i="5"/>
  <c r="BA515" i="5"/>
  <c r="AJ510" i="5"/>
  <c r="AI510" i="5"/>
  <c r="AH510" i="5"/>
  <c r="AH512" i="5" s="1"/>
  <c r="AG510" i="5"/>
  <c r="BQ498" i="5"/>
  <c r="CB496" i="5"/>
  <c r="CA496" i="5"/>
  <c r="BZ496" i="5"/>
  <c r="BY496" i="5"/>
  <c r="BX496" i="5"/>
  <c r="BW496" i="5"/>
  <c r="BV496" i="5"/>
  <c r="BU496" i="5"/>
  <c r="BT496" i="5"/>
  <c r="BS496" i="5"/>
  <c r="BR496" i="5"/>
  <c r="BQ496" i="5"/>
  <c r="BP496" i="5"/>
  <c r="BO496" i="5"/>
  <c r="BN496" i="5"/>
  <c r="BM496" i="5"/>
  <c r="BL496" i="5"/>
  <c r="BK496" i="5"/>
  <c r="BJ496" i="5"/>
  <c r="BI496" i="5"/>
  <c r="BH496" i="5"/>
  <c r="BG496" i="5"/>
  <c r="BF496" i="5"/>
  <c r="CW496" i="5"/>
  <c r="CV496" i="5"/>
  <c r="CW495" i="5"/>
  <c r="CV495" i="5"/>
  <c r="CU495" i="5"/>
  <c r="CU496" i="5" s="1"/>
  <c r="CT495" i="5"/>
  <c r="CS495" i="5"/>
  <c r="CT496" i="5" s="1"/>
  <c r="AR490" i="5"/>
  <c r="AQ490" i="5"/>
  <c r="AP490" i="5"/>
  <c r="AO490" i="5"/>
  <c r="AN490" i="5"/>
  <c r="AM490" i="5"/>
  <c r="AL490" i="5"/>
  <c r="AK490" i="5"/>
  <c r="AX483" i="5"/>
  <c r="AN483" i="5"/>
  <c r="AM483" i="5"/>
  <c r="CO478" i="5"/>
  <c r="AL482" i="5"/>
  <c r="AK482" i="5"/>
  <c r="AX481" i="5"/>
  <c r="AR481" i="5"/>
  <c r="AZ478" i="5"/>
  <c r="AY478" i="5"/>
  <c r="AX478" i="5"/>
  <c r="AW478" i="5"/>
  <c r="AV478" i="5"/>
  <c r="AU478" i="5"/>
  <c r="AU482" i="5" s="1"/>
  <c r="AT478" i="5"/>
  <c r="AS478" i="5"/>
  <c r="AR478" i="5"/>
  <c r="AR483" i="5" s="1"/>
  <c r="AQ478" i="5"/>
  <c r="AP478" i="5"/>
  <c r="AP482" i="5" s="1"/>
  <c r="AO478" i="5"/>
  <c r="AN478" i="5"/>
  <c r="AM478" i="5"/>
  <c r="AM482" i="5" s="1"/>
  <c r="AL478" i="5"/>
  <c r="AK478" i="5"/>
  <c r="AJ478" i="5"/>
  <c r="AI478" i="5"/>
  <c r="AH478" i="5"/>
  <c r="AG478" i="5"/>
  <c r="CP472" i="5"/>
  <c r="AX476" i="5"/>
  <c r="AR476" i="5"/>
  <c r="AO476" i="5"/>
  <c r="AX475" i="5"/>
  <c r="AS475" i="5"/>
  <c r="AO475" i="5"/>
  <c r="AZ472" i="5"/>
  <c r="AZ476" i="5" s="1"/>
  <c r="AY472" i="5"/>
  <c r="AX472" i="5"/>
  <c r="AW472" i="5"/>
  <c r="AW475" i="5" s="1"/>
  <c r="AV472" i="5"/>
  <c r="AU472" i="5"/>
  <c r="AU476" i="5" s="1"/>
  <c r="AT472" i="5"/>
  <c r="AT476" i="5" s="1"/>
  <c r="AS472" i="5"/>
  <c r="AR472" i="5"/>
  <c r="AR475" i="5" s="1"/>
  <c r="AQ472" i="5"/>
  <c r="AP472" i="5"/>
  <c r="AO472" i="5"/>
  <c r="AN472" i="5"/>
  <c r="AM472" i="5"/>
  <c r="AM475" i="5" s="1"/>
  <c r="AL472" i="5"/>
  <c r="AL476" i="5" s="1"/>
  <c r="AK472" i="5"/>
  <c r="AJ472" i="5"/>
  <c r="AK476" i="5" s="1"/>
  <c r="AI472" i="5"/>
  <c r="AH472" i="5"/>
  <c r="AG472" i="5"/>
  <c r="AY470" i="5"/>
  <c r="AU470" i="5"/>
  <c r="AT470" i="5"/>
  <c r="DA469" i="5"/>
  <c r="DB469" i="5" s="1"/>
  <c r="AW469" i="5"/>
  <c r="AZ466" i="5"/>
  <c r="AZ470" i="5" s="1"/>
  <c r="AY466" i="5"/>
  <c r="AX466" i="5"/>
  <c r="AW466" i="5"/>
  <c r="AU466" i="5"/>
  <c r="AT466" i="5"/>
  <c r="AS466" i="5"/>
  <c r="AJ466" i="5"/>
  <c r="AI466" i="5"/>
  <c r="AH466" i="5"/>
  <c r="AG466" i="5"/>
  <c r="CM466" i="5" s="1"/>
  <c r="AH458" i="5"/>
  <c r="AY456" i="5"/>
  <c r="AT456" i="5"/>
  <c r="AQ456" i="5"/>
  <c r="AK456" i="5"/>
  <c r="AY455" i="5"/>
  <c r="AU455" i="5"/>
  <c r="AL455" i="5"/>
  <c r="AZ452" i="5"/>
  <c r="AY452" i="5"/>
  <c r="AX452" i="5"/>
  <c r="AW452" i="5"/>
  <c r="AV452" i="5"/>
  <c r="AU452" i="5"/>
  <c r="AT452" i="5"/>
  <c r="AX455" i="5" s="1"/>
  <c r="AS452" i="5"/>
  <c r="AR452" i="5"/>
  <c r="AQ452" i="5"/>
  <c r="AQ455" i="5" s="1"/>
  <c r="AP452" i="5"/>
  <c r="AO452" i="5"/>
  <c r="AS455" i="5" s="1"/>
  <c r="AN452" i="5"/>
  <c r="AM452" i="5"/>
  <c r="AL452" i="5"/>
  <c r="AL456" i="5" s="1"/>
  <c r="AK452" i="5"/>
  <c r="AJ452" i="5"/>
  <c r="AI452" i="5"/>
  <c r="AH452" i="5"/>
  <c r="AG452" i="5"/>
  <c r="CP446" i="5"/>
  <c r="CA446" i="5"/>
  <c r="BS324" i="18" s="1"/>
  <c r="BZ446" i="5"/>
  <c r="BR324" i="18" s="1"/>
  <c r="BW446" i="5"/>
  <c r="BO324" i="18" s="1"/>
  <c r="BV446" i="5"/>
  <c r="BN324" i="18" s="1"/>
  <c r="BU446" i="5"/>
  <c r="BM324" i="18" s="1"/>
  <c r="BS446" i="5"/>
  <c r="BK324" i="18" s="1"/>
  <c r="BR446" i="5"/>
  <c r="BJ324" i="18" s="1"/>
  <c r="BO446" i="5"/>
  <c r="BG324" i="18" s="1"/>
  <c r="BN446" i="5"/>
  <c r="BF324" i="18" s="1"/>
  <c r="BM446" i="5"/>
  <c r="BE324" i="18" s="1"/>
  <c r="BK446" i="5"/>
  <c r="BC324" i="18" s="1"/>
  <c r="BJ446" i="5"/>
  <c r="BB324" i="18" s="1"/>
  <c r="BG446" i="5"/>
  <c r="AY324" i="18" s="1"/>
  <c r="BF446" i="5"/>
  <c r="AX324" i="18" s="1"/>
  <c r="BE446" i="5"/>
  <c r="AW324" i="18" s="1"/>
  <c r="BC446" i="5"/>
  <c r="AU324" i="18" s="1"/>
  <c r="BB446" i="5"/>
  <c r="AT324" i="18" s="1"/>
  <c r="AY446" i="5"/>
  <c r="AX446" i="5"/>
  <c r="AW446" i="5"/>
  <c r="AV446" i="5"/>
  <c r="AU446" i="5"/>
  <c r="AT446" i="5"/>
  <c r="AS446" i="5"/>
  <c r="AR446" i="5"/>
  <c r="AQ446" i="5"/>
  <c r="AP446" i="5"/>
  <c r="AO446" i="5"/>
  <c r="AX439" i="5"/>
  <c r="AS439" i="5"/>
  <c r="AO439" i="5"/>
  <c r="AX430" i="5"/>
  <c r="AO430" i="5"/>
  <c r="AX421" i="5"/>
  <c r="AO421" i="5"/>
  <c r="CL414" i="5"/>
  <c r="CP414" i="5"/>
  <c r="CO414" i="5"/>
  <c r="CN414" i="5"/>
  <c r="CM414" i="5"/>
  <c r="CI413" i="5"/>
  <c r="CB414" i="5"/>
  <c r="BT307" i="18" s="1"/>
  <c r="CA414" i="5"/>
  <c r="BS307" i="18" s="1"/>
  <c r="BZ414" i="5"/>
  <c r="BR307" i="18" s="1"/>
  <c r="BY414" i="5"/>
  <c r="BQ307" i="18" s="1"/>
  <c r="BX414" i="5"/>
  <c r="BP307" i="18" s="1"/>
  <c r="BW414" i="5"/>
  <c r="BO307" i="18" s="1"/>
  <c r="BV414" i="5"/>
  <c r="BN307" i="18" s="1"/>
  <c r="BU414" i="5"/>
  <c r="BM307" i="18" s="1"/>
  <c r="BT414" i="5"/>
  <c r="BL307" i="18" s="1"/>
  <c r="BS414" i="5"/>
  <c r="BK307" i="18" s="1"/>
  <c r="BR414" i="5"/>
  <c r="BQ414" i="5"/>
  <c r="BP414" i="5"/>
  <c r="BH307" i="18" s="1"/>
  <c r="BO414" i="5"/>
  <c r="BG307" i="18" s="1"/>
  <c r="BN414" i="5"/>
  <c r="BF307" i="18" s="1"/>
  <c r="BM414" i="5"/>
  <c r="BE307" i="18" s="1"/>
  <c r="BL414" i="5"/>
  <c r="BD307" i="18" s="1"/>
  <c r="BK414" i="5"/>
  <c r="BC307" i="18" s="1"/>
  <c r="BJ414" i="5"/>
  <c r="BB307" i="18" s="1"/>
  <c r="BI414" i="5"/>
  <c r="BA307" i="18" s="1"/>
  <c r="BH414" i="5"/>
  <c r="AZ307" i="18" s="1"/>
  <c r="BG414" i="5"/>
  <c r="AY307" i="18" s="1"/>
  <c r="BF414" i="5"/>
  <c r="AX307" i="18" s="1"/>
  <c r="BE414" i="5"/>
  <c r="AW307" i="18" s="1"/>
  <c r="BD414" i="5"/>
  <c r="AV307" i="18" s="1"/>
  <c r="BC414" i="5"/>
  <c r="AU307" i="18" s="1"/>
  <c r="BB414" i="5"/>
  <c r="AT307" i="18" s="1"/>
  <c r="BA414" i="5"/>
  <c r="AS307" i="18" s="1"/>
  <c r="AZ414" i="5"/>
  <c r="AR307" i="18" s="1"/>
  <c r="AY414" i="5"/>
  <c r="AX414" i="5"/>
  <c r="AW414" i="5"/>
  <c r="AV414" i="5"/>
  <c r="AU414" i="5"/>
  <c r="AT414" i="5"/>
  <c r="AS414" i="5"/>
  <c r="AR414" i="5"/>
  <c r="AQ414" i="5"/>
  <c r="AP414" i="5"/>
  <c r="AO414" i="5"/>
  <c r="AN414" i="5"/>
  <c r="AM414" i="5"/>
  <c r="AL414" i="5"/>
  <c r="AK414" i="5"/>
  <c r="AJ414" i="5"/>
  <c r="AI414" i="5"/>
  <c r="AH414" i="5"/>
  <c r="AG414" i="5"/>
  <c r="BT413" i="5"/>
  <c r="BS413" i="5"/>
  <c r="BR413" i="5"/>
  <c r="BQ413" i="5"/>
  <c r="AT413" i="5"/>
  <c r="AL413" i="5"/>
  <c r="AK413" i="5"/>
  <c r="AF414" i="5"/>
  <c r="AE414" i="5"/>
  <c r="AD414" i="5"/>
  <c r="AC414" i="5"/>
  <c r="AD413" i="5"/>
  <c r="S413" i="5"/>
  <c r="Q413" i="5"/>
  <c r="AN400" i="5"/>
  <c r="AL400" i="5"/>
  <c r="AO387" i="5"/>
  <c r="AO379" i="5"/>
  <c r="AL379" i="5"/>
  <c r="AK379" i="5"/>
  <c r="CP374" i="5"/>
  <c r="CO374" i="5"/>
  <c r="BQ375" i="5"/>
  <c r="BI375" i="5"/>
  <c r="BC375" i="5"/>
  <c r="BA375" i="5"/>
  <c r="AY375" i="5"/>
  <c r="AW375" i="5"/>
  <c r="AU375" i="5"/>
  <c r="AS375" i="5"/>
  <c r="AQ375" i="5"/>
  <c r="AO375" i="5"/>
  <c r="CA374" i="5"/>
  <c r="BW374" i="5"/>
  <c r="BV374" i="5"/>
  <c r="BU374" i="5"/>
  <c r="BS374" i="5"/>
  <c r="BO374" i="5"/>
  <c r="BN374" i="5"/>
  <c r="BM374" i="5"/>
  <c r="BK374" i="5"/>
  <c r="BG374" i="5"/>
  <c r="BF374" i="5"/>
  <c r="BE374" i="5"/>
  <c r="BC374" i="5"/>
  <c r="BA374" i="5"/>
  <c r="AY374" i="5"/>
  <c r="AX374" i="5"/>
  <c r="AW374" i="5"/>
  <c r="AV374" i="5"/>
  <c r="AU374" i="5"/>
  <c r="AT374" i="5"/>
  <c r="AS374" i="5"/>
  <c r="AR374" i="5"/>
  <c r="AQ374" i="5"/>
  <c r="AP374" i="5"/>
  <c r="AO374" i="5"/>
  <c r="AN374" i="5"/>
  <c r="AM374" i="5"/>
  <c r="AL374" i="5"/>
  <c r="AP387" i="5" s="1"/>
  <c r="AK374" i="5"/>
  <c r="AJ374" i="5"/>
  <c r="AI374" i="5"/>
  <c r="AH374" i="5"/>
  <c r="AG374" i="5"/>
  <c r="BQ372" i="5"/>
  <c r="BR371" i="5"/>
  <c r="BQ371" i="5"/>
  <c r="BR370" i="5"/>
  <c r="BR372" i="5" s="1"/>
  <c r="BQ370" i="5"/>
  <c r="AZ369" i="5"/>
  <c r="AX369" i="5"/>
  <c r="AV369" i="5"/>
  <c r="AT369" i="5"/>
  <c r="AS369" i="5"/>
  <c r="AR369" i="5"/>
  <c r="AL369" i="5"/>
  <c r="AK369" i="5"/>
  <c r="AJ369" i="5"/>
  <c r="AF369" i="5"/>
  <c r="AD369" i="5"/>
  <c r="AC369" i="5"/>
  <c r="AB369" i="5"/>
  <c r="U369" i="5"/>
  <c r="AT368" i="5"/>
  <c r="AR368" i="5"/>
  <c r="AL368" i="5"/>
  <c r="AE368" i="5"/>
  <c r="AD368" i="5"/>
  <c r="V368" i="5"/>
  <c r="U368" i="5"/>
  <c r="CJ361" i="5"/>
  <c r="BS361" i="5"/>
  <c r="BR361" i="5"/>
  <c r="BQ361" i="5"/>
  <c r="AS361" i="5"/>
  <c r="AS404" i="5" s="1"/>
  <c r="AR361" i="5"/>
  <c r="AD362" i="5"/>
  <c r="AD361" i="5"/>
  <c r="AC361" i="5"/>
  <c r="AC362" i="5" s="1"/>
  <c r="AH353" i="5"/>
  <c r="AD353" i="5"/>
  <c r="AC353" i="5"/>
  <c r="V353" i="5"/>
  <c r="AH351" i="5"/>
  <c r="CK350" i="5"/>
  <c r="AX356" i="5"/>
  <c r="AO356" i="5"/>
  <c r="BT353" i="5"/>
  <c r="BS353" i="5"/>
  <c r="BR353" i="5"/>
  <c r="AS353" i="5"/>
  <c r="AZ352" i="5"/>
  <c r="AX352" i="5"/>
  <c r="AV352" i="5"/>
  <c r="AO352" i="5"/>
  <c r="AK352" i="5"/>
  <c r="BT351" i="5"/>
  <c r="BS351" i="5"/>
  <c r="BR351" i="5"/>
  <c r="AX351" i="5"/>
  <c r="AS351" i="5"/>
  <c r="AP351" i="5"/>
  <c r="AK351" i="5"/>
  <c r="AZ350" i="5"/>
  <c r="AW350" i="5"/>
  <c r="AR350" i="5"/>
  <c r="AP350" i="5"/>
  <c r="AN350" i="5"/>
  <c r="AK350" i="5"/>
  <c r="AF347" i="5"/>
  <c r="AC347" i="5"/>
  <c r="AB347" i="5"/>
  <c r="Z347" i="5"/>
  <c r="X347" i="5"/>
  <c r="U347" i="5"/>
  <c r="CV346" i="5"/>
  <c r="CL347" i="5"/>
  <c r="CL346" i="5"/>
  <c r="CL350" i="5" s="1"/>
  <c r="CK346" i="5"/>
  <c r="CL352" i="5" s="1"/>
  <c r="CJ346" i="5"/>
  <c r="CI346" i="5"/>
  <c r="CH346" i="5"/>
  <c r="AZ346" i="5"/>
  <c r="AY346" i="5"/>
  <c r="AX346" i="5"/>
  <c r="AX387" i="5" s="1"/>
  <c r="AW346" i="5"/>
  <c r="AW379" i="5" s="1"/>
  <c r="AV346" i="5"/>
  <c r="AV379" i="5" s="1"/>
  <c r="AU346" i="5"/>
  <c r="AT346" i="5"/>
  <c r="AS346" i="5"/>
  <c r="AR346" i="5"/>
  <c r="AQ346" i="5"/>
  <c r="AP346" i="5"/>
  <c r="AT379" i="5" s="1"/>
  <c r="AO346" i="5"/>
  <c r="AS352" i="5" s="1"/>
  <c r="AN346" i="5"/>
  <c r="AN379" i="5" s="1"/>
  <c r="AM346" i="5"/>
  <c r="AL346" i="5"/>
  <c r="AK346" i="5"/>
  <c r="AK400" i="5" s="1"/>
  <c r="AJ346" i="5"/>
  <c r="AI346" i="5"/>
  <c r="AH346" i="5"/>
  <c r="AG346" i="5"/>
  <c r="AF346" i="5"/>
  <c r="AE346" i="5"/>
  <c r="AD346" i="5"/>
  <c r="AD347" i="5" s="1"/>
  <c r="AC346" i="5"/>
  <c r="AB346" i="5"/>
  <c r="AA346" i="5"/>
  <c r="Z346" i="5"/>
  <c r="Y346" i="5"/>
  <c r="Y353" i="5" s="1"/>
  <c r="X346" i="5"/>
  <c r="X369" i="5" s="1"/>
  <c r="W346" i="5"/>
  <c r="V346" i="5"/>
  <c r="V347" i="5" s="1"/>
  <c r="U346" i="5"/>
  <c r="AX340" i="5"/>
  <c r="AO340" i="5"/>
  <c r="DD339" i="5"/>
  <c r="DE339" i="5" s="1"/>
  <c r="BO339" i="5"/>
  <c r="AY339" i="5"/>
  <c r="AW339" i="5"/>
  <c r="AS339" i="5"/>
  <c r="AQ339" i="5"/>
  <c r="AO339" i="5"/>
  <c r="AK339" i="5"/>
  <c r="CI337" i="5"/>
  <c r="CH337" i="5"/>
  <c r="AE337" i="5"/>
  <c r="AD337" i="5"/>
  <c r="AC337" i="5"/>
  <c r="AA337" i="5"/>
  <c r="Y337" i="5"/>
  <c r="V337" i="5"/>
  <c r="U337" i="5"/>
  <c r="S337" i="5"/>
  <c r="O337" i="5"/>
  <c r="N337" i="5"/>
  <c r="M337" i="5"/>
  <c r="AQ337" i="5"/>
  <c r="AW336" i="5"/>
  <c r="AU336" i="5"/>
  <c r="AS336" i="5"/>
  <c r="AK336" i="5"/>
  <c r="AG336" i="5"/>
  <c r="AC336" i="5"/>
  <c r="AA336" i="5"/>
  <c r="Q336" i="5"/>
  <c r="CV335" i="5"/>
  <c r="CJ336" i="5"/>
  <c r="CL335" i="5"/>
  <c r="CK335" i="5"/>
  <c r="CJ335" i="5"/>
  <c r="CJ413" i="5" s="1"/>
  <c r="CI335" i="5"/>
  <c r="CI336" i="5" s="1"/>
  <c r="CH335" i="5"/>
  <c r="BH335" i="5"/>
  <c r="AZ291" i="18" s="1"/>
  <c r="AZ335" i="5"/>
  <c r="AY335" i="5"/>
  <c r="AX335" i="5"/>
  <c r="AW335" i="5"/>
  <c r="AV335" i="5"/>
  <c r="AU335" i="5"/>
  <c r="AT335" i="5"/>
  <c r="AS335" i="5"/>
  <c r="AR335" i="5"/>
  <c r="AQ335" i="5"/>
  <c r="AP335" i="5"/>
  <c r="AO335" i="5"/>
  <c r="AN335" i="5"/>
  <c r="AM335" i="5"/>
  <c r="AL335" i="5"/>
  <c r="AK335" i="5"/>
  <c r="AJ335" i="5"/>
  <c r="AI335" i="5"/>
  <c r="AH335" i="5"/>
  <c r="AG335" i="5"/>
  <c r="AF335" i="5"/>
  <c r="AE335" i="5"/>
  <c r="AD335" i="5"/>
  <c r="AC335" i="5"/>
  <c r="AB335" i="5"/>
  <c r="AB361" i="5" s="1"/>
  <c r="AB362" i="5" s="1"/>
  <c r="AA335" i="5"/>
  <c r="AA368" i="5" s="1"/>
  <c r="Z335" i="5"/>
  <c r="Y335" i="5"/>
  <c r="X335" i="5"/>
  <c r="X361" i="5" s="1"/>
  <c r="X362" i="5" s="1"/>
  <c r="W335" i="5"/>
  <c r="V335" i="5"/>
  <c r="U335" i="5"/>
  <c r="U413" i="5" s="1"/>
  <c r="T335" i="5"/>
  <c r="S335" i="5"/>
  <c r="R335" i="5"/>
  <c r="Q335" i="5"/>
  <c r="Q337" i="5" s="1"/>
  <c r="P335" i="5"/>
  <c r="P413" i="5" s="1"/>
  <c r="O335" i="5"/>
  <c r="N335" i="5"/>
  <c r="N413" i="5" s="1"/>
  <c r="M335" i="5"/>
  <c r="M413" i="5" s="1"/>
  <c r="CA326" i="5"/>
  <c r="BX326" i="5"/>
  <c r="BU326" i="5"/>
  <c r="CU324" i="5"/>
  <c r="CU325" i="5" s="1"/>
  <c r="BK325" i="5"/>
  <c r="BG325" i="5"/>
  <c r="BF325" i="5"/>
  <c r="CF324" i="5"/>
  <c r="CF326" i="5" s="1"/>
  <c r="CE324" i="5"/>
  <c r="CE326" i="5" s="1"/>
  <c r="CB324" i="5"/>
  <c r="CB326" i="5" s="1"/>
  <c r="BX324" i="5"/>
  <c r="BW324" i="5"/>
  <c r="BW326" i="5" s="1"/>
  <c r="BV324" i="5"/>
  <c r="BV326" i="5" s="1"/>
  <c r="BU324" i="5"/>
  <c r="BT324" i="5"/>
  <c r="BT326" i="5" s="1"/>
  <c r="BS324" i="5"/>
  <c r="BS325" i="5" s="1"/>
  <c r="BR324" i="5"/>
  <c r="BR325" i="5" s="1"/>
  <c r="BQ324" i="5"/>
  <c r="BQ325" i="5" s="1"/>
  <c r="BP324" i="5"/>
  <c r="BP325" i="5" s="1"/>
  <c r="BO324" i="5"/>
  <c r="BS326" i="5" s="1"/>
  <c r="BM324" i="5"/>
  <c r="BM325" i="5" s="1"/>
  <c r="BJ324" i="5"/>
  <c r="BJ325" i="5" s="1"/>
  <c r="BI324" i="5"/>
  <c r="BI325" i="5" s="1"/>
  <c r="BG324" i="5"/>
  <c r="BE324" i="5"/>
  <c r="BE325" i="5" s="1"/>
  <c r="CY322" i="5"/>
  <c r="CX322" i="5"/>
  <c r="CW322" i="5"/>
  <c r="CV322" i="5"/>
  <c r="CU322" i="5"/>
  <c r="BL322" i="5"/>
  <c r="BL324" i="5" s="1"/>
  <c r="BL325" i="5" s="1"/>
  <c r="BK322" i="5"/>
  <c r="BK324" i="5" s="1"/>
  <c r="BJ322" i="5"/>
  <c r="BI322" i="5"/>
  <c r="BH322" i="5"/>
  <c r="BH324" i="5" s="1"/>
  <c r="BH325" i="5" s="1"/>
  <c r="BG322" i="5"/>
  <c r="BF322" i="5"/>
  <c r="BF324" i="5" s="1"/>
  <c r="BE322" i="5"/>
  <c r="BX320" i="5"/>
  <c r="BW320" i="5"/>
  <c r="BV320" i="5"/>
  <c r="BU320" i="5"/>
  <c r="BT320" i="5"/>
  <c r="BS320" i="5"/>
  <c r="BQ320" i="5"/>
  <c r="BP320" i="5"/>
  <c r="BN320" i="5"/>
  <c r="BM320" i="5"/>
  <c r="BL320" i="5"/>
  <c r="BK320" i="5"/>
  <c r="BJ320" i="5"/>
  <c r="BI320" i="5"/>
  <c r="CW319" i="5"/>
  <c r="CW324" i="5" s="1"/>
  <c r="CV319" i="5"/>
  <c r="CU319" i="5"/>
  <c r="CF319" i="5"/>
  <c r="CE319" i="5"/>
  <c r="CB319" i="5"/>
  <c r="CA319" i="5"/>
  <c r="CA324" i="5" s="1"/>
  <c r="BZ319" i="5"/>
  <c r="BY319" i="5"/>
  <c r="BN319" i="5"/>
  <c r="BI313" i="5"/>
  <c r="BI312" i="5"/>
  <c r="BI309" i="5"/>
  <c r="BN307" i="5"/>
  <c r="BM307" i="5"/>
  <c r="CT306" i="5"/>
  <c r="AM301" i="5"/>
  <c r="AK300" i="5"/>
  <c r="AK301" i="5" s="1"/>
  <c r="AV299" i="5"/>
  <c r="AS299" i="5"/>
  <c r="AM299" i="5"/>
  <c r="CM292" i="5"/>
  <c r="AJ292" i="5"/>
  <c r="AI292" i="5"/>
  <c r="AH292" i="5"/>
  <c r="AG292" i="5"/>
  <c r="BK283" i="5"/>
  <c r="BC240" i="18" s="1"/>
  <c r="BJ283" i="5"/>
  <c r="BB240" i="18" s="1"/>
  <c r="AX283" i="5"/>
  <c r="AW283" i="5"/>
  <c r="AV283" i="5"/>
  <c r="AU283" i="5"/>
  <c r="AT283" i="5"/>
  <c r="AS283" i="5"/>
  <c r="AR283" i="5"/>
  <c r="AQ283" i="5"/>
  <c r="AP283" i="5"/>
  <c r="AO283" i="5"/>
  <c r="AN283" i="5"/>
  <c r="BB277" i="5"/>
  <c r="AT233" i="18" s="1"/>
  <c r="AX277" i="5"/>
  <c r="AV277" i="5"/>
  <c r="AT277" i="5"/>
  <c r="AR277" i="5"/>
  <c r="AQ277" i="5"/>
  <c r="AP277" i="5"/>
  <c r="AO277" i="5"/>
  <c r="AN277" i="5"/>
  <c r="AM277" i="5"/>
  <c r="AL277" i="5"/>
  <c r="AK277" i="5"/>
  <c r="AT271" i="5"/>
  <c r="BG274" i="5"/>
  <c r="BC274" i="5"/>
  <c r="BB274" i="5"/>
  <c r="BG273" i="5"/>
  <c r="BB273" i="5"/>
  <c r="BF273" i="5" s="1"/>
  <c r="BJ272" i="5"/>
  <c r="BG272" i="5"/>
  <c r="BF272" i="5"/>
  <c r="BE272" i="5"/>
  <c r="BD272" i="5"/>
  <c r="BC272" i="5"/>
  <c r="BB272" i="5"/>
  <c r="AZ273" i="5"/>
  <c r="BD273" i="5" s="1"/>
  <c r="AY273" i="5"/>
  <c r="BC273" i="5" s="1"/>
  <c r="AX273" i="5"/>
  <c r="BA272" i="5"/>
  <c r="AZ272" i="5"/>
  <c r="AY272" i="5"/>
  <c r="AX272" i="5"/>
  <c r="AW272" i="5"/>
  <c r="CF269" i="5"/>
  <c r="CE269" i="5"/>
  <c r="CD269" i="5"/>
  <c r="CC269" i="5"/>
  <c r="CB269" i="5"/>
  <c r="CA269" i="5"/>
  <c r="BZ269" i="5"/>
  <c r="BY269" i="5"/>
  <c r="BX269" i="5"/>
  <c r="BW269" i="5"/>
  <c r="BV269" i="5"/>
  <c r="BU269" i="5"/>
  <c r="BT269" i="5"/>
  <c r="BS269" i="5"/>
  <c r="BR269" i="5"/>
  <c r="BQ269" i="5"/>
  <c r="BP269" i="5"/>
  <c r="BO269" i="5"/>
  <c r="BN269" i="5"/>
  <c r="BM269" i="5"/>
  <c r="BL269" i="5"/>
  <c r="BK269" i="5"/>
  <c r="BJ269" i="5"/>
  <c r="BI269" i="5"/>
  <c r="BH269" i="5"/>
  <c r="BG269" i="5"/>
  <c r="BF269" i="5"/>
  <c r="BE269" i="5"/>
  <c r="BD269" i="5"/>
  <c r="BC269" i="5"/>
  <c r="BB269" i="5"/>
  <c r="BA269" i="5"/>
  <c r="AZ269" i="5"/>
  <c r="AY269" i="5"/>
  <c r="AX269" i="5"/>
  <c r="AW269" i="5"/>
  <c r="AV269" i="5"/>
  <c r="AU269" i="5"/>
  <c r="AT269" i="5"/>
  <c r="AS269" i="5"/>
  <c r="AR269" i="5"/>
  <c r="AQ269" i="5"/>
  <c r="AP269" i="5"/>
  <c r="AO269" i="5"/>
  <c r="CO267" i="5"/>
  <c r="BB267" i="5"/>
  <c r="AX267" i="5"/>
  <c r="AX239" i="5" s="1"/>
  <c r="AW267" i="5"/>
  <c r="AV267" i="5"/>
  <c r="AV239" i="5" s="1"/>
  <c r="AT267" i="5"/>
  <c r="AT239" i="5" s="1"/>
  <c r="AR267" i="5"/>
  <c r="AR239" i="5" s="1"/>
  <c r="AR204" i="5" s="1"/>
  <c r="AQ267" i="5"/>
  <c r="AP267" i="5"/>
  <c r="AO267" i="5"/>
  <c r="AN267" i="5"/>
  <c r="CN267" i="5" s="1"/>
  <c r="CS259" i="5"/>
  <c r="CB259" i="5"/>
  <c r="CA259" i="5"/>
  <c r="BZ259" i="5"/>
  <c r="BY259" i="5"/>
  <c r="BX259" i="5"/>
  <c r="BW259" i="5"/>
  <c r="BV259" i="5"/>
  <c r="BU259" i="5"/>
  <c r="BT259" i="5"/>
  <c r="BS259" i="5"/>
  <c r="BR259" i="5"/>
  <c r="BQ259" i="5"/>
  <c r="BP259" i="5"/>
  <c r="BO259" i="5"/>
  <c r="BN259" i="5"/>
  <c r="BM259" i="5"/>
  <c r="BL259" i="5"/>
  <c r="BK259" i="5"/>
  <c r="BJ259" i="5"/>
  <c r="BI259" i="5"/>
  <c r="AR255" i="5"/>
  <c r="DF252" i="5"/>
  <c r="DE252" i="5"/>
  <c r="DD252" i="5"/>
  <c r="DC252" i="5"/>
  <c r="DB252" i="5"/>
  <c r="DA252" i="5"/>
  <c r="CS217" i="18" s="1"/>
  <c r="CO250" i="5"/>
  <c r="CN249" i="5"/>
  <c r="CN250" i="5" s="1"/>
  <c r="AU250" i="5"/>
  <c r="AU251" i="5" s="1"/>
  <c r="AR250" i="5"/>
  <c r="AQ250" i="5"/>
  <c r="AQ255" i="5" s="1"/>
  <c r="AO250" i="5"/>
  <c r="BT249" i="5"/>
  <c r="BL214" i="18" s="1"/>
  <c r="BS249" i="5"/>
  <c r="BS250" i="5" s="1"/>
  <c r="BK215" i="18" s="1"/>
  <c r="BR249" i="5"/>
  <c r="BJ214" i="18" s="1"/>
  <c r="BP249" i="5"/>
  <c r="BO249" i="5"/>
  <c r="BN249" i="5"/>
  <c r="BF214" i="18" s="1"/>
  <c r="BM249" i="5"/>
  <c r="BL249" i="5"/>
  <c r="BD214" i="18" s="1"/>
  <c r="BK249" i="5"/>
  <c r="BJ249" i="5"/>
  <c r="BB214" i="18" s="1"/>
  <c r="BH249" i="5"/>
  <c r="BG249" i="5"/>
  <c r="BF249" i="5"/>
  <c r="AX214" i="18" s="1"/>
  <c r="BE249" i="5"/>
  <c r="AW214" i="18" s="1"/>
  <c r="BD249" i="5"/>
  <c r="BC249" i="5"/>
  <c r="AU214" i="18" s="1"/>
  <c r="BB249" i="5"/>
  <c r="AZ249" i="5"/>
  <c r="AY249" i="5"/>
  <c r="AY250" i="5" s="1"/>
  <c r="AX249" i="5"/>
  <c r="AX250" i="5" s="1"/>
  <c r="AW249" i="5"/>
  <c r="AV249" i="5"/>
  <c r="AU249" i="5"/>
  <c r="AT249" i="5"/>
  <c r="AT250" i="5" s="1"/>
  <c r="AS249" i="5"/>
  <c r="AS250" i="5" s="1"/>
  <c r="AR249" i="5"/>
  <c r="AQ249" i="5"/>
  <c r="AP249" i="5"/>
  <c r="AP250" i="5" s="1"/>
  <c r="AP255" i="5" s="1"/>
  <c r="AO249" i="5"/>
  <c r="CO249" i="5" s="1"/>
  <c r="AN249" i="5"/>
  <c r="AN250" i="5" s="1"/>
  <c r="AM249" i="5"/>
  <c r="AL249" i="5"/>
  <c r="AK249" i="5"/>
  <c r="CM243" i="5"/>
  <c r="BG243" i="5"/>
  <c r="BD243" i="5"/>
  <c r="BA243" i="5"/>
  <c r="AW243" i="5"/>
  <c r="AN243" i="5"/>
  <c r="AM243" i="5"/>
  <c r="AL243" i="5"/>
  <c r="AK243" i="5"/>
  <c r="AJ243" i="5"/>
  <c r="AI243" i="5"/>
  <c r="AH243" i="5"/>
  <c r="AG243" i="5"/>
  <c r="AF243" i="5"/>
  <c r="AE243" i="5"/>
  <c r="AD243" i="5"/>
  <c r="AC243" i="5"/>
  <c r="AB243" i="5"/>
  <c r="AA243" i="5"/>
  <c r="Z243" i="5"/>
  <c r="Y243" i="5"/>
  <c r="X243" i="5"/>
  <c r="W243" i="5"/>
  <c r="V243" i="5"/>
  <c r="U243" i="5"/>
  <c r="CN242" i="5"/>
  <c r="CN243" i="5" s="1"/>
  <c r="BO244" i="5"/>
  <c r="BN244" i="5"/>
  <c r="BL244" i="5"/>
  <c r="BK244" i="5"/>
  <c r="BO243" i="5"/>
  <c r="BK243" i="5"/>
  <c r="BO242" i="5"/>
  <c r="BK242" i="5"/>
  <c r="BJ242" i="5"/>
  <c r="BB209" i="18" s="1"/>
  <c r="BH242" i="5"/>
  <c r="BG242" i="5"/>
  <c r="BD242" i="5"/>
  <c r="BC242" i="5"/>
  <c r="BB242" i="5"/>
  <c r="BA242" i="5"/>
  <c r="AZ242" i="5"/>
  <c r="AZ243" i="5" s="1"/>
  <c r="AY242" i="5"/>
  <c r="AX242" i="5"/>
  <c r="AX243" i="5" s="1"/>
  <c r="AW242" i="5"/>
  <c r="AV242" i="5"/>
  <c r="AU242" i="5"/>
  <c r="AT242" i="5"/>
  <c r="AS242" i="5"/>
  <c r="AR242" i="5"/>
  <c r="AV243" i="5" s="1"/>
  <c r="CL241" i="5"/>
  <c r="CK241" i="5"/>
  <c r="BM242" i="5"/>
  <c r="BE209" i="18" s="1"/>
  <c r="BJ250" i="5"/>
  <c r="BB215" i="18" s="1"/>
  <c r="AW240" i="5"/>
  <c r="AV240" i="5"/>
  <c r="AU240" i="5"/>
  <c r="AT240" i="5"/>
  <c r="AS240" i="5"/>
  <c r="AR240" i="5"/>
  <c r="AQ240" i="5"/>
  <c r="AP240" i="5"/>
  <c r="AO240" i="5"/>
  <c r="AN240" i="5"/>
  <c r="AN238" i="5" s="1"/>
  <c r="AM240" i="5"/>
  <c r="CN240" i="5" s="1"/>
  <c r="AL240" i="5"/>
  <c r="AK240" i="5"/>
  <c r="AM239" i="5"/>
  <c r="AL239" i="5"/>
  <c r="AK239" i="5"/>
  <c r="CX241" i="5"/>
  <c r="CP208" i="18" s="1"/>
  <c r="CP241" i="5"/>
  <c r="CO241" i="5"/>
  <c r="CQ240" i="5"/>
  <c r="CP240" i="5"/>
  <c r="CO240" i="5"/>
  <c r="BW242" i="5"/>
  <c r="BT242" i="5"/>
  <c r="BL209" i="18" s="1"/>
  <c r="BS242" i="5"/>
  <c r="CB283" i="5"/>
  <c r="BT240" i="18" s="1"/>
  <c r="BU242" i="5"/>
  <c r="BM209" i="18" s="1"/>
  <c r="BC240" i="5"/>
  <c r="BB240" i="5"/>
  <c r="AW239" i="5"/>
  <c r="AW204" i="5" s="1"/>
  <c r="AQ239" i="5"/>
  <c r="AP239" i="5"/>
  <c r="AO239" i="5"/>
  <c r="AV238" i="5"/>
  <c r="AV203" i="5" s="1"/>
  <c r="AV180" i="5" s="1"/>
  <c r="AR238" i="5"/>
  <c r="AR203" i="5" s="1"/>
  <c r="AR180" i="5" s="1"/>
  <c r="AQ238" i="5"/>
  <c r="AY227" i="5"/>
  <c r="AY222" i="5"/>
  <c r="DB224" i="5"/>
  <c r="DB225" i="5" s="1"/>
  <c r="CT192" i="18" s="1"/>
  <c r="DA224" i="5"/>
  <c r="DA225" i="5" s="1"/>
  <c r="CS192" i="18" s="1"/>
  <c r="BS222" i="5"/>
  <c r="BK189" i="18" s="1"/>
  <c r="BR222" i="5"/>
  <c r="BQ222" i="5"/>
  <c r="BI189" i="18" s="1"/>
  <c r="BP222" i="5"/>
  <c r="BH189" i="18" s="1"/>
  <c r="BO222" i="5"/>
  <c r="BN222" i="5"/>
  <c r="BF189" i="18" s="1"/>
  <c r="BM222" i="5"/>
  <c r="BE189" i="18" s="1"/>
  <c r="BK222" i="5"/>
  <c r="BC189" i="18" s="1"/>
  <c r="BJ222" i="5"/>
  <c r="BI222" i="5"/>
  <c r="BI188" i="5" s="1"/>
  <c r="BA154" i="18" s="1"/>
  <c r="BH222" i="5"/>
  <c r="BG222" i="5"/>
  <c r="AY189" i="18" s="1"/>
  <c r="BF222" i="5"/>
  <c r="BE222" i="5"/>
  <c r="BC222" i="5"/>
  <c r="AU189" i="18" s="1"/>
  <c r="BB222" i="5"/>
  <c r="BA222" i="5"/>
  <c r="AZ222" i="5"/>
  <c r="AR189" i="18" s="1"/>
  <c r="AX222" i="5"/>
  <c r="AW222" i="5"/>
  <c r="AW188" i="5" s="1"/>
  <c r="AU222" i="5"/>
  <c r="AS222" i="5"/>
  <c r="AR222" i="5"/>
  <c r="AR188" i="5" s="1"/>
  <c r="AQ222" i="5"/>
  <c r="AP222" i="5"/>
  <c r="AP188" i="5" s="1"/>
  <c r="AO222" i="5"/>
  <c r="AN222" i="5"/>
  <c r="AM222" i="5"/>
  <c r="AL222" i="5"/>
  <c r="AK222" i="5"/>
  <c r="CN218" i="5"/>
  <c r="CM218" i="5"/>
  <c r="CL218" i="5"/>
  <c r="CK218" i="5"/>
  <c r="CJ218" i="5"/>
  <c r="AN218" i="5"/>
  <c r="AM218" i="5"/>
  <c r="AL218" i="5"/>
  <c r="AK218" i="5"/>
  <c r="AJ218" i="5"/>
  <c r="AI218" i="5"/>
  <c r="AH218" i="5"/>
  <c r="AG218" i="5"/>
  <c r="AF218" i="5"/>
  <c r="AE218" i="5"/>
  <c r="AD218" i="5"/>
  <c r="AC218" i="5"/>
  <c r="AB218" i="5"/>
  <c r="AA218" i="5"/>
  <c r="Z218" i="5"/>
  <c r="Y218" i="5"/>
  <c r="X218" i="5"/>
  <c r="W218" i="5"/>
  <c r="V218" i="5"/>
  <c r="U218" i="5"/>
  <c r="AY215" i="5"/>
  <c r="AY300" i="5" s="1"/>
  <c r="AY301" i="5" s="1"/>
  <c r="AW215" i="5"/>
  <c r="AU215" i="5"/>
  <c r="AU300" i="5" s="1"/>
  <c r="AU301" i="5" s="1"/>
  <c r="AT215" i="5"/>
  <c r="AT300" i="5" s="1"/>
  <c r="AT301" i="5" s="1"/>
  <c r="AS215" i="5"/>
  <c r="AS300" i="5" s="1"/>
  <c r="AQ215" i="5"/>
  <c r="AQ300" i="5" s="1"/>
  <c r="AQ301" i="5" s="1"/>
  <c r="AM215" i="5"/>
  <c r="AM300" i="5" s="1"/>
  <c r="AK215" i="5"/>
  <c r="AL214" i="5"/>
  <c r="CM208" i="5"/>
  <c r="CL208" i="5"/>
  <c r="CK208" i="5"/>
  <c r="CJ208" i="5"/>
  <c r="AJ209" i="5"/>
  <c r="AV208" i="5"/>
  <c r="AP208" i="5"/>
  <c r="AJ208" i="5"/>
  <c r="AI208" i="5"/>
  <c r="AH208" i="5"/>
  <c r="AG208" i="5"/>
  <c r="AF208" i="5"/>
  <c r="AE208" i="5"/>
  <c r="AD208" i="5"/>
  <c r="AC208" i="5"/>
  <c r="AB208" i="5"/>
  <c r="AA208" i="5"/>
  <c r="Z208" i="5"/>
  <c r="Y208" i="5"/>
  <c r="X208" i="5"/>
  <c r="W208" i="5"/>
  <c r="V208" i="5"/>
  <c r="U208" i="5"/>
  <c r="BU207" i="5"/>
  <c r="BM174" i="18" s="1"/>
  <c r="BT207" i="5"/>
  <c r="BL174" i="18" s="1"/>
  <c r="BM207" i="5"/>
  <c r="BE174" i="18" s="1"/>
  <c r="BD207" i="5"/>
  <c r="BD208" i="5" s="1"/>
  <c r="AZ207" i="5"/>
  <c r="AZ208" i="5" s="1"/>
  <c r="AX207" i="5"/>
  <c r="AX208" i="5" s="1"/>
  <c r="AW207" i="5"/>
  <c r="AW208" i="5" s="1"/>
  <c r="AV207" i="5"/>
  <c r="AU207" i="5"/>
  <c r="AU208" i="5" s="1"/>
  <c r="AT207" i="5"/>
  <c r="AT208" i="5" s="1"/>
  <c r="AS207" i="5"/>
  <c r="AR207" i="5"/>
  <c r="AR208" i="5" s="1"/>
  <c r="AQ207" i="5"/>
  <c r="AQ208" i="5" s="1"/>
  <c r="AP207" i="5"/>
  <c r="AO207" i="5"/>
  <c r="AN207" i="5"/>
  <c r="AN208" i="5" s="1"/>
  <c r="AM207" i="5"/>
  <c r="AM208" i="5" s="1"/>
  <c r="AL207" i="5"/>
  <c r="AL208" i="5" s="1"/>
  <c r="CP206" i="5"/>
  <c r="CO206" i="5"/>
  <c r="CM206" i="5"/>
  <c r="AR206" i="5"/>
  <c r="AK206" i="5"/>
  <c r="AG206" i="5"/>
  <c r="CN204" i="5"/>
  <c r="CM203" i="5"/>
  <c r="CA207" i="5"/>
  <c r="BS174" i="18" s="1"/>
  <c r="BU283" i="5"/>
  <c r="BM240" i="18" s="1"/>
  <c r="BS207" i="5"/>
  <c r="BK174" i="18" s="1"/>
  <c r="BR207" i="5"/>
  <c r="BJ174" i="18" s="1"/>
  <c r="BO283" i="5"/>
  <c r="BG240" i="18" s="1"/>
  <c r="BK207" i="5"/>
  <c r="BC174" i="18" s="1"/>
  <c r="BG206" i="5"/>
  <c r="BG283" i="5" s="1"/>
  <c r="BE206" i="5"/>
  <c r="BD206" i="5"/>
  <c r="BC206" i="5"/>
  <c r="BC207" i="5" s="1"/>
  <c r="BB206" i="5"/>
  <c r="BA206" i="5"/>
  <c r="AZ206" i="5"/>
  <c r="AY206" i="5"/>
  <c r="AY283" i="5" s="1"/>
  <c r="AV204" i="5"/>
  <c r="AQ204" i="5"/>
  <c r="AQ203" i="5"/>
  <c r="AM203" i="5"/>
  <c r="AL203" i="5"/>
  <c r="AJ203" i="5"/>
  <c r="AI203" i="5"/>
  <c r="AH203" i="5"/>
  <c r="AG203" i="5"/>
  <c r="BS188" i="5"/>
  <c r="BK154" i="18" s="1"/>
  <c r="BP188" i="5"/>
  <c r="BH154" i="18" s="1"/>
  <c r="BK188" i="5"/>
  <c r="BC154" i="18" s="1"/>
  <c r="BC188" i="5"/>
  <c r="AU154" i="18" s="1"/>
  <c r="AZ188" i="5"/>
  <c r="AR154" i="18" s="1"/>
  <c r="AY188" i="5"/>
  <c r="AY189" i="5" s="1"/>
  <c r="AU188" i="5"/>
  <c r="AQ188" i="5"/>
  <c r="AN188" i="5"/>
  <c r="AM188" i="5"/>
  <c r="AL188" i="5"/>
  <c r="CM184" i="5"/>
  <c r="CL184" i="5"/>
  <c r="CK184" i="5"/>
  <c r="CJ184" i="5"/>
  <c r="AJ184" i="5"/>
  <c r="AI184" i="5"/>
  <c r="AH184" i="5"/>
  <c r="AG184" i="5"/>
  <c r="AF184" i="5"/>
  <c r="AE184" i="5"/>
  <c r="AD184" i="5"/>
  <c r="AC184" i="5"/>
  <c r="AB184" i="5"/>
  <c r="AA184" i="5"/>
  <c r="Z184" i="5"/>
  <c r="Y184" i="5"/>
  <c r="X184" i="5"/>
  <c r="W184" i="5"/>
  <c r="V184" i="5"/>
  <c r="U184" i="5"/>
  <c r="AY182" i="5"/>
  <c r="AX182" i="5"/>
  <c r="BM181" i="5"/>
  <c r="BE147" i="18" s="1"/>
  <c r="AZ181" i="5"/>
  <c r="AY181" i="5"/>
  <c r="AY299" i="5" s="1"/>
  <c r="AX181" i="5"/>
  <c r="AW181" i="5"/>
  <c r="AV181" i="5"/>
  <c r="AV215" i="5" s="1"/>
  <c r="AV300" i="5" s="1"/>
  <c r="AU181" i="5"/>
  <c r="AU299" i="5" s="1"/>
  <c r="AT181" i="5"/>
  <c r="AT299" i="5" s="1"/>
  <c r="AS181" i="5"/>
  <c r="AR181" i="5"/>
  <c r="AQ181" i="5"/>
  <c r="AQ299" i="5" s="1"/>
  <c r="AP181" i="5"/>
  <c r="AO181" i="5"/>
  <c r="AO299" i="5" s="1"/>
  <c r="AN181" i="5"/>
  <c r="AM181" i="5"/>
  <c r="AL181" i="5"/>
  <c r="AK181" i="5"/>
  <c r="AK299" i="5" s="1"/>
  <c r="AL180" i="5"/>
  <c r="AJ181" i="5"/>
  <c r="AI181" i="5"/>
  <c r="AH181" i="5"/>
  <c r="AG181" i="5"/>
  <c r="AH180" i="5"/>
  <c r="AG180" i="5"/>
  <c r="AG196" i="5" s="1"/>
  <c r="BV174" i="5"/>
  <c r="BN140" i="18" s="1"/>
  <c r="BQ174" i="5"/>
  <c r="BM174" i="5"/>
  <c r="BE140" i="18" s="1"/>
  <c r="BJ174" i="5"/>
  <c r="BB140" i="18" s="1"/>
  <c r="BH174" i="5"/>
  <c r="AZ140" i="18" s="1"/>
  <c r="BF174" i="5"/>
  <c r="AX140" i="18" s="1"/>
  <c r="BA174" i="5"/>
  <c r="AU174" i="5"/>
  <c r="AS174" i="5"/>
  <c r="AO174" i="5"/>
  <c r="CW173" i="5"/>
  <c r="CT173" i="5"/>
  <c r="CS173" i="5"/>
  <c r="CD174" i="5"/>
  <c r="CE174" i="5" s="1"/>
  <c r="BW140" i="18" s="1"/>
  <c r="CD173" i="5"/>
  <c r="CD169" i="5" s="1"/>
  <c r="BV135" i="18" s="1"/>
  <c r="CC173" i="5"/>
  <c r="BU139" i="18" s="1"/>
  <c r="BY173" i="5"/>
  <c r="BX173" i="5"/>
  <c r="BX169" i="5" s="1"/>
  <c r="BW173" i="5"/>
  <c r="BW174" i="5" s="1"/>
  <c r="BS173" i="5"/>
  <c r="BR173" i="5"/>
  <c r="BQ173" i="5"/>
  <c r="BN173" i="5"/>
  <c r="CU173" i="5" s="1"/>
  <c r="BN174" i="5"/>
  <c r="BF140" i="18" s="1"/>
  <c r="BB173" i="5"/>
  <c r="AW173" i="5"/>
  <c r="AU173" i="5"/>
  <c r="AT173" i="5"/>
  <c r="DE172" i="5"/>
  <c r="DD172" i="5"/>
  <c r="DD685" i="5" s="1"/>
  <c r="DD558" i="5" s="1"/>
  <c r="CY172" i="5"/>
  <c r="CR174" i="5"/>
  <c r="CJ140" i="18" s="1"/>
  <c r="BX174" i="5"/>
  <c r="BP140" i="18" s="1"/>
  <c r="BU174" i="5"/>
  <c r="BM140" i="18" s="1"/>
  <c r="BR174" i="5"/>
  <c r="BJ140" i="18" s="1"/>
  <c r="CV172" i="5"/>
  <c r="CN138" i="18" s="1"/>
  <c r="BP174" i="5"/>
  <c r="BH140" i="18" s="1"/>
  <c r="BO174" i="5"/>
  <c r="BG140" i="18" s="1"/>
  <c r="BL174" i="5"/>
  <c r="BD140" i="18" s="1"/>
  <c r="BK174" i="5"/>
  <c r="BC140" i="18" s="1"/>
  <c r="BJ685" i="5"/>
  <c r="BB524" i="18" s="1"/>
  <c r="BG174" i="5"/>
  <c r="AY140" i="18" s="1"/>
  <c r="BE174" i="5"/>
  <c r="AW140" i="18" s="1"/>
  <c r="BD172" i="5"/>
  <c r="AV138" i="18" s="1"/>
  <c r="BC172" i="5"/>
  <c r="BB172" i="5"/>
  <c r="AZ173" i="5"/>
  <c r="AZ169" i="5" s="1"/>
  <c r="AY173" i="5"/>
  <c r="AZ172" i="5"/>
  <c r="AZ174" i="5" s="1"/>
  <c r="AX172" i="5"/>
  <c r="AY172" i="5" s="1"/>
  <c r="AV172" i="5"/>
  <c r="AU172" i="5"/>
  <c r="AT172" i="5"/>
  <c r="AT174" i="5" s="1"/>
  <c r="AP173" i="5"/>
  <c r="AQ173" i="5" s="1"/>
  <c r="AQ172" i="5"/>
  <c r="AQ174" i="5" s="1"/>
  <c r="AP172" i="5"/>
  <c r="CP170" i="5"/>
  <c r="CO170" i="5"/>
  <c r="CN170" i="5"/>
  <c r="CW169" i="5"/>
  <c r="DE168" i="5"/>
  <c r="DF168" i="5" s="1"/>
  <c r="DA168" i="5"/>
  <c r="DB168" i="5" s="1"/>
  <c r="DC168" i="5" s="1"/>
  <c r="DD168" i="5" s="1"/>
  <c r="CR167" i="5"/>
  <c r="CN167" i="5"/>
  <c r="CM167" i="5"/>
  <c r="CA170" i="5"/>
  <c r="BS136" i="18" s="1"/>
  <c r="BU170" i="5"/>
  <c r="BM136" i="18" s="1"/>
  <c r="BQ170" i="5"/>
  <c r="BN170" i="5"/>
  <c r="BM170" i="5"/>
  <c r="BN167" i="5" s="1"/>
  <c r="BF133" i="18" s="1"/>
  <c r="BI170" i="5"/>
  <c r="BA136" i="18" s="1"/>
  <c r="BC170" i="5"/>
  <c r="BB170" i="5"/>
  <c r="BA170" i="5"/>
  <c r="BA168" i="5" s="1"/>
  <c r="AZ170" i="5"/>
  <c r="CQ170" i="5" s="1"/>
  <c r="AY170" i="5"/>
  <c r="AZ167" i="5" s="1"/>
  <c r="AX170" i="5"/>
  <c r="AX168" i="5" s="1"/>
  <c r="AW170" i="5"/>
  <c r="AV170" i="5"/>
  <c r="AU170" i="5"/>
  <c r="AT170" i="5"/>
  <c r="AS170" i="5"/>
  <c r="AR170" i="5"/>
  <c r="AQ170" i="5"/>
  <c r="AR167" i="5" s="1"/>
  <c r="AR168" i="5" s="1"/>
  <c r="AP170" i="5"/>
  <c r="AO170" i="5"/>
  <c r="AP167" i="5" s="1"/>
  <c r="AN170" i="5"/>
  <c r="AM170" i="5"/>
  <c r="AN167" i="5" s="1"/>
  <c r="AN168" i="5" s="1"/>
  <c r="AL170" i="5"/>
  <c r="AL168" i="5" s="1"/>
  <c r="AK170" i="5"/>
  <c r="AL167" i="5" s="1"/>
  <c r="AJ170" i="5"/>
  <c r="CM170" i="5" s="1"/>
  <c r="AI170" i="5"/>
  <c r="AH170" i="5"/>
  <c r="AH168" i="5" s="1"/>
  <c r="AG170" i="5"/>
  <c r="CC169" i="5"/>
  <c r="BU135" i="18" s="1"/>
  <c r="BW169" i="5"/>
  <c r="BV169" i="5"/>
  <c r="BU169" i="5"/>
  <c r="BR169" i="5"/>
  <c r="BQ169" i="5"/>
  <c r="BP169" i="5"/>
  <c r="BO169" i="5"/>
  <c r="BN169" i="5"/>
  <c r="BM169" i="5"/>
  <c r="BL169" i="5"/>
  <c r="BK169" i="5"/>
  <c r="BJ169" i="5"/>
  <c r="BI169" i="5"/>
  <c r="CT169" i="5" s="1"/>
  <c r="BH169" i="5"/>
  <c r="BG169" i="5"/>
  <c r="BF169" i="5"/>
  <c r="BE169" i="5"/>
  <c r="BA169" i="5"/>
  <c r="AY169" i="5"/>
  <c r="AX169" i="5"/>
  <c r="AW169" i="5"/>
  <c r="AV169" i="5"/>
  <c r="AU169" i="5"/>
  <c r="CP169" i="5" s="1"/>
  <c r="AT169" i="5"/>
  <c r="AS169" i="5"/>
  <c r="AR169" i="5"/>
  <c r="AQ169" i="5"/>
  <c r="AP169" i="5"/>
  <c r="AO169" i="5"/>
  <c r="CO169" i="5" s="1"/>
  <c r="AN169" i="5"/>
  <c r="AM169" i="5"/>
  <c r="AL169" i="5"/>
  <c r="AK169" i="5"/>
  <c r="CN169" i="5" s="1"/>
  <c r="AJ169" i="5"/>
  <c r="AI169" i="5"/>
  <c r="AH169" i="5"/>
  <c r="AG169" i="5"/>
  <c r="AM168" i="5"/>
  <c r="AK168" i="5"/>
  <c r="CN168" i="5" s="1"/>
  <c r="AG168" i="5"/>
  <c r="BJ167" i="5"/>
  <c r="BB133" i="18" s="1"/>
  <c r="BC167" i="5"/>
  <c r="BB167" i="5"/>
  <c r="BA167" i="5"/>
  <c r="AX167" i="5"/>
  <c r="AW167" i="5"/>
  <c r="CQ167" i="5" s="1"/>
  <c r="AT167" i="5"/>
  <c r="AS167" i="5"/>
  <c r="AO167" i="5"/>
  <c r="CO167" i="5" s="1"/>
  <c r="AM167" i="5"/>
  <c r="AK167" i="5"/>
  <c r="AH167" i="5"/>
  <c r="AG167" i="5"/>
  <c r="DG153" i="5"/>
  <c r="BX170" i="5"/>
  <c r="BP136" i="18" s="1"/>
  <c r="BP170" i="5"/>
  <c r="BH170" i="5"/>
  <c r="AZ136" i="18" s="1"/>
  <c r="BG170" i="5"/>
  <c r="AY136" i="18" s="1"/>
  <c r="BF170" i="5"/>
  <c r="AX136" i="18" s="1"/>
  <c r="BE170" i="5"/>
  <c r="BF167" i="5" s="1"/>
  <c r="AX133" i="18" s="1"/>
  <c r="BD170" i="5"/>
  <c r="AV136" i="18" s="1"/>
  <c r="CX151" i="5"/>
  <c r="CP123" i="18" s="1"/>
  <c r="BC151" i="5"/>
  <c r="BD151" i="5" s="1"/>
  <c r="AV123" i="18" s="1"/>
  <c r="DG151" i="5"/>
  <c r="CV150" i="5"/>
  <c r="DG150" i="5" s="1"/>
  <c r="CZ145" i="5"/>
  <c r="DA145" i="5" s="1"/>
  <c r="DB145" i="5" s="1"/>
  <c r="DC145" i="5" s="1"/>
  <c r="DD145" i="5" s="1"/>
  <c r="DE145" i="5" s="1"/>
  <c r="DF145" i="5" s="1"/>
  <c r="CY145" i="5"/>
  <c r="CV145" i="5"/>
  <c r="CN119" i="18" s="1"/>
  <c r="CQ145" i="5"/>
  <c r="CW145" i="5"/>
  <c r="CO119" i="18" s="1"/>
  <c r="CU145" i="5"/>
  <c r="CM119" i="18" s="1"/>
  <c r="CS145" i="5"/>
  <c r="CK119" i="18" s="1"/>
  <c r="BA145" i="5"/>
  <c r="CR145" i="5" s="1"/>
  <c r="CJ119" i="18" s="1"/>
  <c r="CN142" i="5"/>
  <c r="CM142" i="5"/>
  <c r="DF141" i="5"/>
  <c r="CY141" i="5"/>
  <c r="CZ141" i="5" s="1"/>
  <c r="DA141" i="5" s="1"/>
  <c r="DB141" i="5" s="1"/>
  <c r="DC141" i="5" s="1"/>
  <c r="DD141" i="5" s="1"/>
  <c r="DE141" i="5" s="1"/>
  <c r="CP141" i="5"/>
  <c r="CO141" i="5"/>
  <c r="CN141" i="5"/>
  <c r="CM141" i="5"/>
  <c r="CX141" i="5"/>
  <c r="CP115" i="18" s="1"/>
  <c r="CU141" i="5"/>
  <c r="CM115" i="18" s="1"/>
  <c r="BA141" i="5"/>
  <c r="AZ141" i="5"/>
  <c r="AY141" i="5"/>
  <c r="CQ141" i="5" s="1"/>
  <c r="CF139" i="5"/>
  <c r="CC139" i="5"/>
  <c r="BV137" i="5"/>
  <c r="BN1333" i="18" s="1"/>
  <c r="BR137" i="5"/>
  <c r="BJ1333" i="18" s="1"/>
  <c r="CF135" i="5"/>
  <c r="CE135" i="5"/>
  <c r="CE139" i="5" s="1"/>
  <c r="CD135" i="5"/>
  <c r="CD139" i="5" s="1"/>
  <c r="CC135" i="5"/>
  <c r="BC134" i="5"/>
  <c r="AU111" i="18" s="1"/>
  <c r="BB134" i="5"/>
  <c r="AT111" i="18" s="1"/>
  <c r="AY134" i="5"/>
  <c r="AX134" i="5"/>
  <c r="AW134" i="5"/>
  <c r="AW752" i="5" s="1"/>
  <c r="AV134" i="5"/>
  <c r="AV752" i="5" s="1"/>
  <c r="AU134" i="5"/>
  <c r="AU131" i="5" s="1"/>
  <c r="AT134" i="5"/>
  <c r="AS134" i="5"/>
  <c r="AS752" i="5" s="1"/>
  <c r="AR134" i="5"/>
  <c r="AR752" i="5" s="1"/>
  <c r="AQ134" i="5"/>
  <c r="AP134" i="5"/>
  <c r="AO134" i="5"/>
  <c r="AO752" i="5" s="1"/>
  <c r="AN134" i="5"/>
  <c r="AN752" i="5" s="1"/>
  <c r="AM134" i="5"/>
  <c r="AL134" i="5"/>
  <c r="AK134" i="5"/>
  <c r="AK752" i="5" s="1"/>
  <c r="AJ134" i="5"/>
  <c r="AJ752" i="5" s="1"/>
  <c r="AI134" i="5"/>
  <c r="AH134" i="5"/>
  <c r="AG134" i="5"/>
  <c r="AG752" i="5" s="1"/>
  <c r="CW132" i="5"/>
  <c r="CV132" i="5"/>
  <c r="BZ137" i="5"/>
  <c r="BR1333" i="18" s="1"/>
  <c r="BW131" i="5"/>
  <c r="BR131" i="5"/>
  <c r="BO131" i="5"/>
  <c r="BK131" i="5"/>
  <c r="BJ131" i="5"/>
  <c r="BB131" i="5"/>
  <c r="AY131" i="5"/>
  <c r="AV131" i="5"/>
  <c r="AS131" i="5"/>
  <c r="AR131" i="5"/>
  <c r="AQ131" i="5"/>
  <c r="AN131" i="5"/>
  <c r="AM131" i="5"/>
  <c r="AK131" i="5"/>
  <c r="AJ131" i="5"/>
  <c r="AI131" i="5"/>
  <c r="AH131" i="5"/>
  <c r="CF129" i="5"/>
  <c r="CE129" i="5"/>
  <c r="CD129" i="5"/>
  <c r="CC129" i="5"/>
  <c r="CX128" i="5"/>
  <c r="CP108" i="18" s="1"/>
  <c r="CP128" i="5"/>
  <c r="CO128" i="5"/>
  <c r="CN128" i="5"/>
  <c r="CM128" i="5"/>
  <c r="CA137" i="5"/>
  <c r="BS1333" i="18" s="1"/>
  <c r="BY137" i="5"/>
  <c r="BQ1333" i="18" s="1"/>
  <c r="BS137" i="5"/>
  <c r="BK1333" i="18" s="1"/>
  <c r="BQ137" i="5"/>
  <c r="BI1333" i="18" s="1"/>
  <c r="CT128" i="5"/>
  <c r="CL108" i="18" s="1"/>
  <c r="AZ128" i="5"/>
  <c r="CQ128" i="5" s="1"/>
  <c r="CE119" i="5"/>
  <c r="BW101" i="18" s="1"/>
  <c r="CF119" i="5"/>
  <c r="BX101" i="18" s="1"/>
  <c r="CD119" i="5"/>
  <c r="BV101" i="18" s="1"/>
  <c r="CV119" i="5"/>
  <c r="CN101" i="18" s="1"/>
  <c r="CT119" i="5"/>
  <c r="CL101" i="18" s="1"/>
  <c r="CR119" i="5"/>
  <c r="CJ101" i="18" s="1"/>
  <c r="BB119" i="5"/>
  <c r="AX119" i="5"/>
  <c r="AX121" i="5" s="1"/>
  <c r="CP119" i="5"/>
  <c r="CO119" i="5"/>
  <c r="CN119" i="5"/>
  <c r="DA118" i="5"/>
  <c r="DB118" i="5" s="1"/>
  <c r="DC118" i="5" s="1"/>
  <c r="DD118" i="5" s="1"/>
  <c r="DE118" i="5" s="1"/>
  <c r="DF118" i="5" s="1"/>
  <c r="CY118" i="5"/>
  <c r="CZ118" i="5" s="1"/>
  <c r="CX118" i="5"/>
  <c r="CW118" i="5"/>
  <c r="CV118" i="5"/>
  <c r="CU118" i="5"/>
  <c r="CT118" i="5"/>
  <c r="CS118" i="5"/>
  <c r="CO118" i="5"/>
  <c r="CN118" i="5"/>
  <c r="CB118" i="5"/>
  <c r="BC118" i="5"/>
  <c r="CR118" i="5" s="1"/>
  <c r="AW118" i="5"/>
  <c r="CQ118" i="5" s="1"/>
  <c r="AV118" i="5"/>
  <c r="AU118" i="5"/>
  <c r="AT118" i="5"/>
  <c r="CP118" i="5" s="1"/>
  <c r="AS118" i="5"/>
  <c r="AR118" i="5"/>
  <c r="CX114" i="5"/>
  <c r="CW114" i="5"/>
  <c r="CV114" i="5"/>
  <c r="CU114" i="5"/>
  <c r="CT114" i="5"/>
  <c r="CS114" i="5"/>
  <c r="CR114" i="5"/>
  <c r="CQ114" i="5"/>
  <c r="CC114" i="5"/>
  <c r="CB114" i="5"/>
  <c r="CA114" i="5"/>
  <c r="BZ114" i="5"/>
  <c r="BY114" i="5"/>
  <c r="BX114" i="5"/>
  <c r="BW114" i="5"/>
  <c r="BV114" i="5"/>
  <c r="BU114" i="5"/>
  <c r="BT114" i="5"/>
  <c r="BS114" i="5"/>
  <c r="BR114" i="5"/>
  <c r="BQ114" i="5"/>
  <c r="BP114" i="5"/>
  <c r="BO114" i="5"/>
  <c r="BN114" i="5"/>
  <c r="BM114" i="5"/>
  <c r="BL114" i="5"/>
  <c r="BK114" i="5"/>
  <c r="BJ114" i="5"/>
  <c r="BI114" i="5"/>
  <c r="BH114" i="5"/>
  <c r="BG114" i="5"/>
  <c r="BF114" i="5"/>
  <c r="BE114" i="5"/>
  <c r="BD114" i="5"/>
  <c r="BC114" i="5"/>
  <c r="BB114" i="5"/>
  <c r="BA114" i="5"/>
  <c r="BZ113" i="5"/>
  <c r="BR94" i="18" s="1"/>
  <c r="BY113" i="5"/>
  <c r="BQ94" i="18" s="1"/>
  <c r="BV113" i="5"/>
  <c r="BN94" i="18" s="1"/>
  <c r="BU113" i="5"/>
  <c r="BM94" i="18" s="1"/>
  <c r="BR113" i="5"/>
  <c r="BJ94" i="18" s="1"/>
  <c r="BN113" i="5"/>
  <c r="BF94" i="18" s="1"/>
  <c r="BJ113" i="5"/>
  <c r="BB94" i="18" s="1"/>
  <c r="BF113" i="5"/>
  <c r="AX94" i="18" s="1"/>
  <c r="BE113" i="5"/>
  <c r="AW94" i="18" s="1"/>
  <c r="BB113" i="5"/>
  <c r="AT94" i="18" s="1"/>
  <c r="AZ111" i="5"/>
  <c r="AY111" i="5"/>
  <c r="CX109" i="5"/>
  <c r="CW109" i="5"/>
  <c r="CV109" i="5"/>
  <c r="CU109" i="5"/>
  <c r="CT109" i="5"/>
  <c r="CS109" i="5"/>
  <c r="CR109" i="5"/>
  <c r="CQ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CA108" i="5"/>
  <c r="BX108" i="5"/>
  <c r="BX110" i="5" s="1"/>
  <c r="BP91" i="18" s="1"/>
  <c r="BT108" i="5"/>
  <c r="BT110" i="5" s="1"/>
  <c r="BL91" i="18" s="1"/>
  <c r="BS108" i="5"/>
  <c r="BQ108" i="5"/>
  <c r="BI89" i="18" s="1"/>
  <c r="BP108" i="5"/>
  <c r="BP110" i="5" s="1"/>
  <c r="BH91" i="18" s="1"/>
  <c r="BL108" i="5"/>
  <c r="BK108" i="5"/>
  <c r="BH108" i="5"/>
  <c r="AZ89" i="18" s="1"/>
  <c r="BD108" i="5"/>
  <c r="BC108" i="5"/>
  <c r="AZ108" i="5"/>
  <c r="AY108" i="5"/>
  <c r="AX108" i="5"/>
  <c r="AW108" i="5"/>
  <c r="AV108" i="5"/>
  <c r="AV111" i="5" s="1"/>
  <c r="AU108" i="5"/>
  <c r="AR108" i="5"/>
  <c r="AN108" i="5"/>
  <c r="AM108" i="5"/>
  <c r="AJ108" i="5"/>
  <c r="CL106" i="5"/>
  <c r="CK106" i="5"/>
  <c r="CJ106" i="5"/>
  <c r="BN106" i="5"/>
  <c r="BF87" i="18" s="1"/>
  <c r="AX106" i="5"/>
  <c r="AW106" i="5"/>
  <c r="AT106" i="5"/>
  <c r="AO106" i="5"/>
  <c r="AH106" i="5"/>
  <c r="CZ105" i="5"/>
  <c r="DA105" i="5" s="1"/>
  <c r="DB105" i="5" s="1"/>
  <c r="DC105" i="5" s="1"/>
  <c r="DD105" i="5" s="1"/>
  <c r="DE105" i="5" s="1"/>
  <c r="DF105" i="5" s="1"/>
  <c r="CY105" i="5"/>
  <c r="CS105" i="5"/>
  <c r="CK86" i="18" s="1"/>
  <c r="CR105" i="5"/>
  <c r="CJ86" i="18" s="1"/>
  <c r="CP105" i="5"/>
  <c r="CO105" i="5"/>
  <c r="CN105" i="5"/>
  <c r="CM105" i="5"/>
  <c r="BZ106" i="5"/>
  <c r="CX105" i="5"/>
  <c r="CP86" i="18" s="1"/>
  <c r="CW105" i="5"/>
  <c r="CO86" i="18" s="1"/>
  <c r="CV105" i="5"/>
  <c r="CN86" i="18" s="1"/>
  <c r="CT105" i="5"/>
  <c r="CL86" i="18" s="1"/>
  <c r="AZ105" i="5"/>
  <c r="AY105" i="5"/>
  <c r="CB539" i="5"/>
  <c r="BT388" i="18" s="1"/>
  <c r="CA539" i="5"/>
  <c r="BS388" i="18" s="1"/>
  <c r="BZ539" i="5"/>
  <c r="BR388" i="18" s="1"/>
  <c r="BY539" i="5"/>
  <c r="BQ388" i="18" s="1"/>
  <c r="BW113" i="5"/>
  <c r="BO94" i="18" s="1"/>
  <c r="BT113" i="5"/>
  <c r="BS113" i="5"/>
  <c r="BK94" i="18" s="1"/>
  <c r="BO113" i="5"/>
  <c r="BG94" i="18" s="1"/>
  <c r="CU104" i="5"/>
  <c r="CM85" i="18" s="1"/>
  <c r="BL113" i="5"/>
  <c r="BK113" i="5"/>
  <c r="BI113" i="5"/>
  <c r="BA94" i="18" s="1"/>
  <c r="BG113" i="5"/>
  <c r="AY94" i="18" s="1"/>
  <c r="CS104" i="5"/>
  <c r="CK85" i="18" s="1"/>
  <c r="BD113" i="5"/>
  <c r="BC113" i="5"/>
  <c r="AU94" i="18" s="1"/>
  <c r="AZ104" i="5"/>
  <c r="CW104" i="5"/>
  <c r="CT104" i="5"/>
  <c r="CL85" i="18" s="1"/>
  <c r="CP104" i="5"/>
  <c r="CO104" i="5"/>
  <c r="CN104" i="5"/>
  <c r="CM104" i="5"/>
  <c r="CQ103" i="5"/>
  <c r="CB106" i="5"/>
  <c r="BZ108" i="5"/>
  <c r="BR89" i="18" s="1"/>
  <c r="BW106" i="5"/>
  <c r="BV108" i="5"/>
  <c r="BN89" i="18" s="1"/>
  <c r="BU106" i="5"/>
  <c r="BM87" i="18" s="1"/>
  <c r="BT106" i="5"/>
  <c r="BO106" i="5"/>
  <c r="BN108" i="5"/>
  <c r="BF89" i="18" s="1"/>
  <c r="BM106" i="5"/>
  <c r="BE87" i="18" s="1"/>
  <c r="BL106" i="5"/>
  <c r="BJ108" i="5"/>
  <c r="BB89" i="18" s="1"/>
  <c r="BG106" i="5"/>
  <c r="BF108" i="5"/>
  <c r="AX89" i="18" s="1"/>
  <c r="CS103" i="5"/>
  <c r="BD106" i="5"/>
  <c r="AV103" i="5"/>
  <c r="AV106" i="5" s="1"/>
  <c r="AU103" i="5"/>
  <c r="AU106" i="5" s="1"/>
  <c r="AU121" i="5" s="1"/>
  <c r="AT103" i="5"/>
  <c r="AT108" i="5" s="1"/>
  <c r="AS103" i="5"/>
  <c r="AR103" i="5"/>
  <c r="AR106" i="5" s="1"/>
  <c r="AR121" i="5" s="1"/>
  <c r="AQ103" i="5"/>
  <c r="AQ106" i="5" s="1"/>
  <c r="AQ121" i="5" s="1"/>
  <c r="AP103" i="5"/>
  <c r="AO103" i="5"/>
  <c r="AN103" i="5"/>
  <c r="AN106" i="5" s="1"/>
  <c r="AN121" i="5" s="1"/>
  <c r="AM103" i="5"/>
  <c r="AM106" i="5" s="1"/>
  <c r="AM121" i="5" s="1"/>
  <c r="AL103" i="5"/>
  <c r="AL108" i="5" s="1"/>
  <c r="AK103" i="5"/>
  <c r="AJ103" i="5"/>
  <c r="AJ106" i="5" s="1"/>
  <c r="AJ121" i="5" s="1"/>
  <c r="AI103" i="5"/>
  <c r="AI106" i="5" s="1"/>
  <c r="AI121" i="5" s="1"/>
  <c r="AH103" i="5"/>
  <c r="AH108" i="5" s="1"/>
  <c r="AG103" i="5"/>
  <c r="CM103" i="5" s="1"/>
  <c r="CM106" i="5" s="1"/>
  <c r="CL88" i="5"/>
  <c r="CK84" i="5"/>
  <c r="CL79" i="5"/>
  <c r="CL87" i="5" s="1"/>
  <c r="CJ77" i="5"/>
  <c r="AN77" i="5"/>
  <c r="AH77" i="5"/>
  <c r="AG77" i="5"/>
  <c r="CL73" i="5"/>
  <c r="CL71" i="5"/>
  <c r="BW71" i="5"/>
  <c r="BS71" i="5"/>
  <c r="BO71" i="5"/>
  <c r="BG71" i="5"/>
  <c r="BC71" i="5"/>
  <c r="AY71" i="5"/>
  <c r="AR71" i="5"/>
  <c r="AI71" i="5"/>
  <c r="AH71" i="5"/>
  <c r="CV70" i="5"/>
  <c r="DG70" i="5" s="1"/>
  <c r="CY57" i="18" s="1"/>
  <c r="CQ70" i="5"/>
  <c r="CP70" i="5"/>
  <c r="CO70" i="5"/>
  <c r="CN70" i="5"/>
  <c r="CM70" i="5"/>
  <c r="CT69" i="5"/>
  <c r="CL56" i="18" s="1"/>
  <c r="CM69" i="5"/>
  <c r="CF70" i="5"/>
  <c r="CF648" i="5" s="1"/>
  <c r="BX489" i="18" s="1"/>
  <c r="CD70" i="5"/>
  <c r="CX70" i="5"/>
  <c r="CP57" i="18" s="1"/>
  <c r="CW70" i="5"/>
  <c r="CO57" i="18" s="1"/>
  <c r="CT70" i="5"/>
  <c r="CL57" i="18" s="1"/>
  <c r="CS70" i="5"/>
  <c r="CK57" i="18" s="1"/>
  <c r="CR70" i="5"/>
  <c r="CJ57" i="18" s="1"/>
  <c r="CW69" i="5"/>
  <c r="CO56" i="18" s="1"/>
  <c r="CS69" i="5"/>
  <c r="CK56" i="18" s="1"/>
  <c r="AZ69" i="5"/>
  <c r="AY69" i="5"/>
  <c r="AX69" i="5"/>
  <c r="AW69" i="5"/>
  <c r="AV69" i="5"/>
  <c r="CP69" i="5" s="1"/>
  <c r="AU69" i="5"/>
  <c r="AT69" i="5"/>
  <c r="AS69" i="5"/>
  <c r="AR69" i="5"/>
  <c r="AQ69" i="5"/>
  <c r="AP69" i="5"/>
  <c r="AO69" i="5"/>
  <c r="AN69" i="5"/>
  <c r="AM69" i="5"/>
  <c r="AL69" i="5"/>
  <c r="AL510" i="5" s="1"/>
  <c r="AK69" i="5"/>
  <c r="CY68" i="5"/>
  <c r="CX68" i="5"/>
  <c r="CW68" i="5"/>
  <c r="CV68" i="5"/>
  <c r="CU68" i="5"/>
  <c r="CT68" i="5"/>
  <c r="CS68" i="5"/>
  <c r="AV65" i="5"/>
  <c r="AV466" i="5" s="1"/>
  <c r="AV64" i="5"/>
  <c r="AR65" i="5"/>
  <c r="AR466" i="5" s="1"/>
  <c r="AQ65" i="5"/>
  <c r="AQ466" i="5" s="1"/>
  <c r="AP65" i="5"/>
  <c r="AP466" i="5" s="1"/>
  <c r="AO65" i="5"/>
  <c r="AO77" i="5" s="1"/>
  <c r="AN65" i="5"/>
  <c r="AN466" i="5" s="1"/>
  <c r="AM65" i="5"/>
  <c r="AM466" i="5" s="1"/>
  <c r="AL65" i="5"/>
  <c r="AL466" i="5" s="1"/>
  <c r="AK65" i="5"/>
  <c r="CL64" i="5"/>
  <c r="CL77" i="5" s="1"/>
  <c r="CK64" i="5"/>
  <c r="CK71" i="5" s="1"/>
  <c r="CK73" i="5" s="1"/>
  <c r="CK83" i="5" s="1"/>
  <c r="CK95" i="5" s="1"/>
  <c r="CJ64" i="5"/>
  <c r="CJ71" i="5" s="1"/>
  <c r="AZ64" i="5"/>
  <c r="AZ71" i="5" s="1"/>
  <c r="AY64" i="5"/>
  <c r="AY458" i="5" s="1"/>
  <c r="AX64" i="5"/>
  <c r="AX458" i="5" s="1"/>
  <c r="AW64" i="5"/>
  <c r="AU64" i="5"/>
  <c r="AT64" i="5"/>
  <c r="AT458" i="5" s="1"/>
  <c r="AS64" i="5"/>
  <c r="AS458" i="5" s="1"/>
  <c r="AR64" i="5"/>
  <c r="AQ64" i="5"/>
  <c r="AP64" i="5"/>
  <c r="AP458" i="5" s="1"/>
  <c r="AO64" i="5"/>
  <c r="AO458" i="5" s="1"/>
  <c r="AN64" i="5"/>
  <c r="AN458" i="5" s="1"/>
  <c r="AM64" i="5"/>
  <c r="AL64" i="5"/>
  <c r="AL458" i="5" s="1"/>
  <c r="AK64" i="5"/>
  <c r="AK458" i="5" s="1"/>
  <c r="AJ64" i="5"/>
  <c r="AJ71" i="5" s="1"/>
  <c r="AI64" i="5"/>
  <c r="AG64" i="5"/>
  <c r="AG458" i="5" s="1"/>
  <c r="CQ67" i="5"/>
  <c r="CQ538" i="5" s="1"/>
  <c r="CQ543" i="5" s="1"/>
  <c r="CP67" i="5"/>
  <c r="CO67" i="5"/>
  <c r="CN67" i="5"/>
  <c r="CM67" i="5"/>
  <c r="CR66" i="5"/>
  <c r="CJ54" i="18" s="1"/>
  <c r="CQ66" i="5"/>
  <c r="CP66" i="5"/>
  <c r="CO66" i="5"/>
  <c r="CN66" i="5"/>
  <c r="CM66" i="5"/>
  <c r="CQ65" i="5"/>
  <c r="CP65" i="5"/>
  <c r="CM65" i="5"/>
  <c r="CS64" i="5"/>
  <c r="CK52" i="18" s="1"/>
  <c r="CR64" i="5"/>
  <c r="CJ52" i="18" s="1"/>
  <c r="CO64" i="5"/>
  <c r="CX63" i="5"/>
  <c r="CP51" i="18" s="1"/>
  <c r="CQ63" i="5"/>
  <c r="CP63" i="5"/>
  <c r="CO63" i="5"/>
  <c r="CN63" i="5"/>
  <c r="CM63" i="5"/>
  <c r="CR62" i="5"/>
  <c r="CQ62" i="5"/>
  <c r="CQ346" i="5" s="1"/>
  <c r="CP62" i="5"/>
  <c r="CP346" i="5" s="1"/>
  <c r="CO62" i="5"/>
  <c r="CO346" i="5" s="1"/>
  <c r="CN62" i="5"/>
  <c r="CN346" i="5" s="1"/>
  <c r="CM62" i="5"/>
  <c r="CM346" i="5" s="1"/>
  <c r="CQ61" i="5"/>
  <c r="CP61" i="5"/>
  <c r="CO61" i="5"/>
  <c r="CN61" i="5"/>
  <c r="CM61" i="5"/>
  <c r="CU67" i="5"/>
  <c r="CU538" i="5" s="1"/>
  <c r="BH478" i="5"/>
  <c r="AZ364" i="18" s="1"/>
  <c r="BG478" i="5"/>
  <c r="AY364" i="18" s="1"/>
  <c r="BF478" i="5"/>
  <c r="AX364" i="18" s="1"/>
  <c r="BD478" i="5"/>
  <c r="AV364" i="18" s="1"/>
  <c r="BC478" i="5"/>
  <c r="AU364" i="18" s="1"/>
  <c r="BB478" i="5"/>
  <c r="AT364" i="18" s="1"/>
  <c r="CB472" i="5"/>
  <c r="BT358" i="18" s="1"/>
  <c r="CA472" i="5"/>
  <c r="BS358" i="18" s="1"/>
  <c r="BZ472" i="5"/>
  <c r="BR358" i="18" s="1"/>
  <c r="BX472" i="5"/>
  <c r="BP358" i="18" s="1"/>
  <c r="BW472" i="5"/>
  <c r="BO358" i="18" s="1"/>
  <c r="BV472" i="5"/>
  <c r="BN358" i="18" s="1"/>
  <c r="BU472" i="5"/>
  <c r="BM358" i="18" s="1"/>
  <c r="BT472" i="5"/>
  <c r="BL358" i="18" s="1"/>
  <c r="BS472" i="5"/>
  <c r="BK358" i="18" s="1"/>
  <c r="BR472" i="5"/>
  <c r="BJ358" i="18" s="1"/>
  <c r="BQ472" i="5"/>
  <c r="BI358" i="18" s="1"/>
  <c r="BP472" i="5"/>
  <c r="BH358" i="18" s="1"/>
  <c r="BO472" i="5"/>
  <c r="BG358" i="18" s="1"/>
  <c r="BN472" i="5"/>
  <c r="BF358" i="18" s="1"/>
  <c r="BL472" i="5"/>
  <c r="BD358" i="18" s="1"/>
  <c r="BK472" i="5"/>
  <c r="BC358" i="18" s="1"/>
  <c r="BJ472" i="5"/>
  <c r="BB358" i="18" s="1"/>
  <c r="BH71" i="5"/>
  <c r="BH77" i="5" s="1"/>
  <c r="AZ63" i="18" s="1"/>
  <c r="BG472" i="5"/>
  <c r="AY358" i="18" s="1"/>
  <c r="BF472" i="5"/>
  <c r="AX358" i="18" s="1"/>
  <c r="BE472" i="5"/>
  <c r="AW358" i="18" s="1"/>
  <c r="BD472" i="5"/>
  <c r="AV358" i="18" s="1"/>
  <c r="BC472" i="5"/>
  <c r="AU358" i="18" s="1"/>
  <c r="BB472" i="5"/>
  <c r="AT358" i="18" s="1"/>
  <c r="BA472" i="5"/>
  <c r="AS358" i="18" s="1"/>
  <c r="CB466" i="5"/>
  <c r="BT352" i="18" s="1"/>
  <c r="CA466" i="5"/>
  <c r="BS352" i="18" s="1"/>
  <c r="BZ466" i="5"/>
  <c r="BR352" i="18" s="1"/>
  <c r="BX466" i="5"/>
  <c r="BP352" i="18" s="1"/>
  <c r="BW466" i="5"/>
  <c r="BO352" i="18" s="1"/>
  <c r="BV466" i="5"/>
  <c r="BN352" i="18" s="1"/>
  <c r="BT466" i="5"/>
  <c r="BL352" i="18" s="1"/>
  <c r="BS466" i="5"/>
  <c r="BK352" i="18" s="1"/>
  <c r="BR466" i="5"/>
  <c r="BJ352" i="18" s="1"/>
  <c r="BP466" i="5"/>
  <c r="BH352" i="18" s="1"/>
  <c r="BO466" i="5"/>
  <c r="BG352" i="18" s="1"/>
  <c r="BN466" i="5"/>
  <c r="BF352" i="18" s="1"/>
  <c r="BL466" i="5"/>
  <c r="BD352" i="18" s="1"/>
  <c r="BK466" i="5"/>
  <c r="BC352" i="18" s="1"/>
  <c r="BJ466" i="5"/>
  <c r="BB352" i="18" s="1"/>
  <c r="BI466" i="5"/>
  <c r="BA352" i="18" s="1"/>
  <c r="BH466" i="5"/>
  <c r="AZ352" i="18" s="1"/>
  <c r="BG466" i="5"/>
  <c r="AY352" i="18" s="1"/>
  <c r="BF466" i="5"/>
  <c r="AX352" i="18" s="1"/>
  <c r="BD466" i="5"/>
  <c r="AV352" i="18" s="1"/>
  <c r="BC466" i="5"/>
  <c r="AU352" i="18" s="1"/>
  <c r="BB466" i="5"/>
  <c r="AT352" i="18" s="1"/>
  <c r="CB458" i="5"/>
  <c r="BT345" i="18" s="1"/>
  <c r="CA458" i="5"/>
  <c r="BS345" i="18" s="1"/>
  <c r="BZ458" i="5"/>
  <c r="BR345" i="18" s="1"/>
  <c r="BX458" i="5"/>
  <c r="BP345" i="18" s="1"/>
  <c r="BW458" i="5"/>
  <c r="BO345" i="18" s="1"/>
  <c r="BV458" i="5"/>
  <c r="BN345" i="18" s="1"/>
  <c r="BU458" i="5"/>
  <c r="BM345" i="18" s="1"/>
  <c r="BS458" i="5"/>
  <c r="BK345" i="18" s="1"/>
  <c r="BR458" i="5"/>
  <c r="BJ345" i="18" s="1"/>
  <c r="BQ458" i="5"/>
  <c r="BI345" i="18" s="1"/>
  <c r="BP458" i="5"/>
  <c r="BH345" i="18" s="1"/>
  <c r="BO458" i="5"/>
  <c r="BG345" i="18" s="1"/>
  <c r="BN458" i="5"/>
  <c r="BF345" i="18" s="1"/>
  <c r="BL458" i="5"/>
  <c r="BD345" i="18" s="1"/>
  <c r="BK458" i="5"/>
  <c r="BC345" i="18" s="1"/>
  <c r="BJ458" i="5"/>
  <c r="BB345" i="18" s="1"/>
  <c r="BH458" i="5"/>
  <c r="AZ345" i="18" s="1"/>
  <c r="BG458" i="5"/>
  <c r="AY345" i="18" s="1"/>
  <c r="BF458" i="5"/>
  <c r="AX345" i="18" s="1"/>
  <c r="BE458" i="5"/>
  <c r="AW345" i="18" s="1"/>
  <c r="BD458" i="5"/>
  <c r="AV345" i="18" s="1"/>
  <c r="BC458" i="5"/>
  <c r="AU345" i="18" s="1"/>
  <c r="BB458" i="5"/>
  <c r="AT345" i="18" s="1"/>
  <c r="BA458" i="5"/>
  <c r="AS345" i="18" s="1"/>
  <c r="CB452" i="5"/>
  <c r="BT339" i="18" s="1"/>
  <c r="CA452" i="5"/>
  <c r="BS339" i="18" s="1"/>
  <c r="BZ452" i="5"/>
  <c r="BR339" i="18" s="1"/>
  <c r="BY452" i="5"/>
  <c r="BQ339" i="18" s="1"/>
  <c r="BX452" i="5"/>
  <c r="BP339" i="18" s="1"/>
  <c r="BW452" i="5"/>
  <c r="BO339" i="18" s="1"/>
  <c r="BV452" i="5"/>
  <c r="BN339" i="18" s="1"/>
  <c r="BT452" i="5"/>
  <c r="BL339" i="18" s="1"/>
  <c r="BS452" i="5"/>
  <c r="BK339" i="18" s="1"/>
  <c r="BR452" i="5"/>
  <c r="BJ339" i="18" s="1"/>
  <c r="BP452" i="5"/>
  <c r="BH339" i="18" s="1"/>
  <c r="BO452" i="5"/>
  <c r="BG339" i="18" s="1"/>
  <c r="BN452" i="5"/>
  <c r="BF339" i="18" s="1"/>
  <c r="BL452" i="5"/>
  <c r="BD339" i="18" s="1"/>
  <c r="BK452" i="5"/>
  <c r="BC339" i="18" s="1"/>
  <c r="BJ452" i="5"/>
  <c r="BB339" i="18" s="1"/>
  <c r="BH452" i="5"/>
  <c r="AZ339" i="18" s="1"/>
  <c r="BG452" i="5"/>
  <c r="AY339" i="18" s="1"/>
  <c r="BF452" i="5"/>
  <c r="AX339" i="18" s="1"/>
  <c r="BD452" i="5"/>
  <c r="AV339" i="18" s="1"/>
  <c r="BC452" i="5"/>
  <c r="AU339" i="18" s="1"/>
  <c r="BB452" i="5"/>
  <c r="AT339" i="18" s="1"/>
  <c r="CB346" i="5"/>
  <c r="BT296" i="18" s="1"/>
  <c r="CA346" i="5"/>
  <c r="BS296" i="18" s="1"/>
  <c r="BZ346" i="5"/>
  <c r="BR296" i="18" s="1"/>
  <c r="BW346" i="5"/>
  <c r="BO296" i="18" s="1"/>
  <c r="BV346" i="5"/>
  <c r="BU346" i="5"/>
  <c r="BM296" i="18" s="1"/>
  <c r="CV62" i="5"/>
  <c r="BP346" i="5"/>
  <c r="BH296" i="18" s="1"/>
  <c r="BO346" i="5"/>
  <c r="BG296" i="18" s="1"/>
  <c r="BL346" i="5"/>
  <c r="BD296" i="18" s="1"/>
  <c r="BK346" i="5"/>
  <c r="BC296" i="18" s="1"/>
  <c r="BJ346" i="5"/>
  <c r="BB296" i="18" s="1"/>
  <c r="BH346" i="5"/>
  <c r="AZ296" i="18" s="1"/>
  <c r="BG346" i="5"/>
  <c r="AY296" i="18" s="1"/>
  <c r="BF346" i="5"/>
  <c r="AX296" i="18" s="1"/>
  <c r="BE346" i="5"/>
  <c r="AW296" i="18" s="1"/>
  <c r="BD346" i="5"/>
  <c r="AV296" i="18" s="1"/>
  <c r="BC346" i="5"/>
  <c r="AU296" i="18" s="1"/>
  <c r="BB346" i="5"/>
  <c r="AT296" i="18" s="1"/>
  <c r="BA346" i="5"/>
  <c r="CA335" i="5"/>
  <c r="BS291" i="18" s="1"/>
  <c r="BZ335" i="5"/>
  <c r="BR291" i="18" s="1"/>
  <c r="BX335" i="5"/>
  <c r="BP291" i="18" s="1"/>
  <c r="BW335" i="5"/>
  <c r="BO291" i="18" s="1"/>
  <c r="BV335" i="5"/>
  <c r="BN291" i="18" s="1"/>
  <c r="BP335" i="5"/>
  <c r="BH291" i="18" s="1"/>
  <c r="BO335" i="5"/>
  <c r="BG291" i="18" s="1"/>
  <c r="BN335" i="5"/>
  <c r="BF291" i="18" s="1"/>
  <c r="BK335" i="5"/>
  <c r="BC291" i="18" s="1"/>
  <c r="BJ335" i="5"/>
  <c r="BB291" i="18" s="1"/>
  <c r="BG335" i="5"/>
  <c r="AY291" i="18" s="1"/>
  <c r="BF335" i="5"/>
  <c r="AX291" i="18" s="1"/>
  <c r="BC335" i="5"/>
  <c r="AU291" i="18" s="1"/>
  <c r="BB335" i="5"/>
  <c r="AT291" i="18" s="1"/>
  <c r="AZ58" i="5"/>
  <c r="CL55" i="5"/>
  <c r="CK55" i="5"/>
  <c r="CI55" i="5"/>
  <c r="CH55" i="5"/>
  <c r="AF55" i="5"/>
  <c r="AE55" i="5"/>
  <c r="AD55" i="5"/>
  <c r="AC55" i="5"/>
  <c r="AB55" i="5"/>
  <c r="AA55" i="5"/>
  <c r="Z55" i="5"/>
  <c r="Y55" i="5"/>
  <c r="X55" i="5"/>
  <c r="W55" i="5"/>
  <c r="V55" i="5"/>
  <c r="U55" i="5"/>
  <c r="T55" i="5"/>
  <c r="S55" i="5"/>
  <c r="R55" i="5"/>
  <c r="Q55" i="5"/>
  <c r="P55" i="5"/>
  <c r="O55" i="5"/>
  <c r="N55" i="5"/>
  <c r="M55" i="5"/>
  <c r="BF52" i="5"/>
  <c r="AX39" i="18" s="1"/>
  <c r="AW52" i="5"/>
  <c r="AW53" i="5" s="1"/>
  <c r="AT52" i="5"/>
  <c r="AO52" i="5"/>
  <c r="AG52" i="5"/>
  <c r="AR49" i="5"/>
  <c r="CL43" i="5"/>
  <c r="CJ43" i="5"/>
  <c r="CI43" i="5"/>
  <c r="AF44" i="5"/>
  <c r="AE44" i="5"/>
  <c r="AD44" i="5"/>
  <c r="AC44" i="5"/>
  <c r="AB44" i="5"/>
  <c r="Y44" i="5"/>
  <c r="V44" i="5"/>
  <c r="U44" i="5"/>
  <c r="T44" i="5"/>
  <c r="S44" i="5"/>
  <c r="R44" i="5"/>
  <c r="Q44" i="5"/>
  <c r="AV43" i="5"/>
  <c r="AG43" i="5"/>
  <c r="AF43" i="5"/>
  <c r="AE43" i="5"/>
  <c r="AD43" i="5"/>
  <c r="AC43" i="5"/>
  <c r="AB43" i="5"/>
  <c r="AA43" i="5"/>
  <c r="Z43" i="5"/>
  <c r="Y43" i="5"/>
  <c r="X43" i="5"/>
  <c r="W43" i="5"/>
  <c r="V43" i="5"/>
  <c r="U43" i="5"/>
  <c r="T43" i="5"/>
  <c r="S43" i="5"/>
  <c r="R43" i="5"/>
  <c r="Q43" i="5"/>
  <c r="CL40" i="5"/>
  <c r="CI40" i="5"/>
  <c r="AF42" i="5"/>
  <c r="AE42" i="5"/>
  <c r="AD42" i="5"/>
  <c r="AC42" i="5"/>
  <c r="AB42" i="5"/>
  <c r="AA42" i="5"/>
  <c r="Z42" i="5"/>
  <c r="Y42" i="5"/>
  <c r="X42" i="5"/>
  <c r="W42" i="5"/>
  <c r="V42" i="5"/>
  <c r="U42" i="5"/>
  <c r="AQ40" i="5"/>
  <c r="AF40" i="5"/>
  <c r="AE40" i="5"/>
  <c r="AE41" i="5" s="1"/>
  <c r="AD40" i="5"/>
  <c r="AD41" i="5" s="1"/>
  <c r="AC40" i="5"/>
  <c r="AC41" i="5" s="1"/>
  <c r="AB40" i="5"/>
  <c r="AB41" i="5" s="1"/>
  <c r="AA40" i="5"/>
  <c r="AA41" i="5" s="1"/>
  <c r="Z40" i="5"/>
  <c r="Z41" i="5" s="1"/>
  <c r="Y40" i="5"/>
  <c r="Y41" i="5" s="1"/>
  <c r="X40" i="5"/>
  <c r="W40" i="5"/>
  <c r="W41" i="5" s="1"/>
  <c r="V40" i="5"/>
  <c r="V41" i="5" s="1"/>
  <c r="U40" i="5"/>
  <c r="U41" i="5" s="1"/>
  <c r="T40" i="5"/>
  <c r="S40" i="5"/>
  <c r="R40" i="5"/>
  <c r="Q40" i="5"/>
  <c r="CJ39" i="5"/>
  <c r="Z44" i="5" s="1"/>
  <c r="AV39" i="5"/>
  <c r="AV55" i="5" s="1"/>
  <c r="AU39" i="5"/>
  <c r="AT39" i="5"/>
  <c r="AQ39" i="5"/>
  <c r="AN39" i="5"/>
  <c r="AM39" i="5"/>
  <c r="AL39" i="5"/>
  <c r="CW37" i="5"/>
  <c r="CV37" i="5"/>
  <c r="CU37" i="5"/>
  <c r="CF37" i="5"/>
  <c r="CE37" i="5"/>
  <c r="CB37" i="5"/>
  <c r="CA37" i="5"/>
  <c r="BZ37" i="5"/>
  <c r="BY37" i="5"/>
  <c r="BX37" i="5"/>
  <c r="BW37" i="5"/>
  <c r="BV37" i="5"/>
  <c r="BU37" i="5"/>
  <c r="BT37" i="5"/>
  <c r="BS37" i="5"/>
  <c r="BR37" i="5"/>
  <c r="BQ37" i="5"/>
  <c r="BP37" i="5"/>
  <c r="BO37" i="5"/>
  <c r="CL31" i="5"/>
  <c r="CK31" i="5"/>
  <c r="CJ31" i="5"/>
  <c r="AW31" i="5"/>
  <c r="AV31" i="5"/>
  <c r="AO31" i="5"/>
  <c r="AN31" i="5"/>
  <c r="AG31" i="5"/>
  <c r="BW29" i="5"/>
  <c r="BV29" i="5"/>
  <c r="BV52" i="5" s="1"/>
  <c r="BN39" i="18" s="1"/>
  <c r="BO29" i="5"/>
  <c r="BG21" i="18" s="1"/>
  <c r="BN29" i="5"/>
  <c r="BG29" i="5"/>
  <c r="AY21" i="18" s="1"/>
  <c r="BF29" i="5"/>
  <c r="AZ29" i="5"/>
  <c r="AZ52" i="5" s="1"/>
  <c r="AY29" i="5"/>
  <c r="AX29" i="5"/>
  <c r="AX58" i="5" s="1"/>
  <c r="AX59" i="5" s="1"/>
  <c r="AW29" i="5"/>
  <c r="AW58" i="5" s="1"/>
  <c r="AV29" i="5"/>
  <c r="AV58" i="5" s="1"/>
  <c r="AU29" i="5"/>
  <c r="AU52" i="5" s="1"/>
  <c r="AT29" i="5"/>
  <c r="AT58" i="5" s="1"/>
  <c r="AS29" i="5"/>
  <c r="AS52" i="5" s="1"/>
  <c r="AS53" i="5" s="1"/>
  <c r="AR29" i="5"/>
  <c r="AR52" i="5" s="1"/>
  <c r="AQ29" i="5"/>
  <c r="AQ52" i="5" s="1"/>
  <c r="AP29" i="5"/>
  <c r="AP58" i="5" s="1"/>
  <c r="AO29" i="5"/>
  <c r="AO58" i="5" s="1"/>
  <c r="AN29" i="5"/>
  <c r="AN58" i="5" s="1"/>
  <c r="AM29" i="5"/>
  <c r="AM58" i="5" s="1"/>
  <c r="AJ29" i="5"/>
  <c r="AJ58" i="5" s="1"/>
  <c r="AH29" i="5"/>
  <c r="AH58" i="5" s="1"/>
  <c r="AG29" i="5"/>
  <c r="AG58" i="5" s="1"/>
  <c r="CU27" i="5"/>
  <c r="CM19" i="18" s="1"/>
  <c r="CT27" i="5"/>
  <c r="CL19" i="18" s="1"/>
  <c r="CQ27" i="5"/>
  <c r="CP27" i="5"/>
  <c r="CO27" i="5"/>
  <c r="CN27" i="5"/>
  <c r="CX27" i="5"/>
  <c r="CP19" i="18" s="1"/>
  <c r="BX29" i="5"/>
  <c r="CV27" i="5"/>
  <c r="DG27" i="5" s="1"/>
  <c r="CY19" i="18" s="1"/>
  <c r="BP29" i="5"/>
  <c r="BH21" i="18" s="1"/>
  <c r="BH29" i="5"/>
  <c r="AZ21" i="18" s="1"/>
  <c r="CR27" i="5"/>
  <c r="CJ19" i="18" s="1"/>
  <c r="AI27" i="5"/>
  <c r="CM27" i="5" s="1"/>
  <c r="AW24" i="5"/>
  <c r="AS24" i="5"/>
  <c r="AS25" i="5" s="1"/>
  <c r="AR24" i="5"/>
  <c r="AO24" i="5"/>
  <c r="AJ24" i="5"/>
  <c r="AG24" i="5"/>
  <c r="AZ21" i="5"/>
  <c r="AZ22" i="5" s="1"/>
  <c r="CL22" i="5"/>
  <c r="CK22" i="5"/>
  <c r="CJ22" i="5"/>
  <c r="CI22" i="5"/>
  <c r="AY22" i="5"/>
  <c r="AX22" i="5"/>
  <c r="AU22" i="5"/>
  <c r="AR22" i="5"/>
  <c r="AQ22" i="5"/>
  <c r="AJ22" i="5"/>
  <c r="AH22" i="5"/>
  <c r="AF22" i="5"/>
  <c r="AE22" i="5"/>
  <c r="AD22" i="5"/>
  <c r="AC22" i="5"/>
  <c r="AB22" i="5"/>
  <c r="AA22" i="5"/>
  <c r="Z22" i="5"/>
  <c r="Y22" i="5"/>
  <c r="X22" i="5"/>
  <c r="W22" i="5"/>
  <c r="V22" i="5"/>
  <c r="U22" i="5"/>
  <c r="T22" i="5"/>
  <c r="S22" i="5"/>
  <c r="R22" i="5"/>
  <c r="Q22" i="5"/>
  <c r="AX21" i="5"/>
  <c r="AX209" i="5" s="1"/>
  <c r="AW21" i="5"/>
  <c r="AW39" i="5" s="1"/>
  <c r="AV21" i="5"/>
  <c r="AV22" i="5" s="1"/>
  <c r="AU21" i="5"/>
  <c r="AU24" i="5" s="1"/>
  <c r="AT21" i="5"/>
  <c r="AS21" i="5"/>
  <c r="AR21" i="5"/>
  <c r="AR39" i="5" s="1"/>
  <c r="AQ21" i="5"/>
  <c r="AP21" i="5"/>
  <c r="AP24" i="5" s="1"/>
  <c r="AO21" i="5"/>
  <c r="AO39" i="5" s="1"/>
  <c r="AN21" i="5"/>
  <c r="AN22" i="5" s="1"/>
  <c r="AM21" i="5"/>
  <c r="AM31" i="5" s="1"/>
  <c r="AL21" i="5"/>
  <c r="AK21" i="5"/>
  <c r="AK24" i="5" s="1"/>
  <c r="AK25" i="5" s="1"/>
  <c r="AJ21" i="5"/>
  <c r="AJ182" i="5" s="1"/>
  <c r="AH21" i="5"/>
  <c r="AG21" i="5"/>
  <c r="AG39" i="5" s="1"/>
  <c r="CP21" i="5"/>
  <c r="CP22" i="5" s="1"/>
  <c r="CO21" i="5"/>
  <c r="CU20" i="5"/>
  <c r="CM1243" i="18" s="1"/>
  <c r="CQ20" i="5"/>
  <c r="CP20" i="5"/>
  <c r="CP181" i="5" s="1"/>
  <c r="CO20" i="5"/>
  <c r="CO181" i="5" s="1"/>
  <c r="CN20" i="5"/>
  <c r="CN181" i="5" s="1"/>
  <c r="CM20" i="5"/>
  <c r="CM181" i="5" s="1"/>
  <c r="BA21" i="5"/>
  <c r="AS13" i="18" s="1"/>
  <c r="CV20" i="5"/>
  <c r="BN181" i="5"/>
  <c r="BF147" i="18" s="1"/>
  <c r="BL181" i="5"/>
  <c r="BD147" i="18" s="1"/>
  <c r="BK181" i="5"/>
  <c r="BK299" i="5" s="1"/>
  <c r="BC257" i="18" s="1"/>
  <c r="BJ181" i="5"/>
  <c r="BB147" i="18" s="1"/>
  <c r="BH181" i="5"/>
  <c r="AZ147" i="18" s="1"/>
  <c r="BG181" i="5"/>
  <c r="AY147" i="18" s="1"/>
  <c r="BF181" i="5"/>
  <c r="AX147" i="18" s="1"/>
  <c r="BE181" i="5"/>
  <c r="AW147" i="18" s="1"/>
  <c r="BD181" i="5"/>
  <c r="AV147" i="18" s="1"/>
  <c r="BC181" i="5"/>
  <c r="AU147" i="18" s="1"/>
  <c r="BB181" i="5"/>
  <c r="AT147" i="18" s="1"/>
  <c r="CX19" i="5"/>
  <c r="CW19" i="5"/>
  <c r="CV19" i="5"/>
  <c r="CX18" i="5"/>
  <c r="CW18" i="5"/>
  <c r="CV18" i="5"/>
  <c r="CX17" i="5"/>
  <c r="CW17" i="5"/>
  <c r="CV17" i="5"/>
  <c r="CT16" i="5"/>
  <c r="CL9" i="18" s="1"/>
  <c r="CQ16" i="5"/>
  <c r="CP16" i="5"/>
  <c r="CO16" i="5"/>
  <c r="CN16" i="5"/>
  <c r="CM16" i="5"/>
  <c r="CM180" i="5" s="1"/>
  <c r="CS15" i="5"/>
  <c r="CK8" i="18" s="1"/>
  <c r="CP15" i="5"/>
  <c r="CP29" i="5" s="1"/>
  <c r="CO15" i="5"/>
  <c r="CO29" i="5" s="1"/>
  <c r="CF18" i="5"/>
  <c r="CE18" i="5"/>
  <c r="CX16" i="5"/>
  <c r="CR16" i="5"/>
  <c r="CJ9" i="18" s="1"/>
  <c r="CB21" i="5"/>
  <c r="BZ29" i="5"/>
  <c r="BR21" i="18" s="1"/>
  <c r="BY29" i="5"/>
  <c r="BQ21" i="18" s="1"/>
  <c r="BX21" i="5"/>
  <c r="BU21" i="5"/>
  <c r="BT21" i="5"/>
  <c r="BR29" i="5"/>
  <c r="BJ21" i="18" s="1"/>
  <c r="CV15" i="5"/>
  <c r="CN8" i="18" s="1"/>
  <c r="BP21" i="5"/>
  <c r="BH13" i="18" s="1"/>
  <c r="BM21" i="5"/>
  <c r="BE13" i="18" s="1"/>
  <c r="BL21" i="5"/>
  <c r="BD13" i="18" s="1"/>
  <c r="BI29" i="5"/>
  <c r="BA21" i="18" s="1"/>
  <c r="BH21" i="5"/>
  <c r="AZ13" i="18" s="1"/>
  <c r="BE21" i="5"/>
  <c r="BD21" i="5"/>
  <c r="BB29" i="5"/>
  <c r="AT21" i="18" s="1"/>
  <c r="BA29" i="5"/>
  <c r="BA52" i="5" s="1"/>
  <c r="AZ15" i="5"/>
  <c r="AY15" i="5"/>
  <c r="AY21" i="5" s="1"/>
  <c r="AX15" i="5"/>
  <c r="CQ15" i="5" s="1"/>
  <c r="AL15" i="5"/>
  <c r="AL29" i="5" s="1"/>
  <c r="AK15" i="5"/>
  <c r="CN15" i="5" s="1"/>
  <c r="AI15" i="5"/>
  <c r="CN12" i="5"/>
  <c r="CN13" i="5" s="1"/>
  <c r="CM12" i="5"/>
  <c r="AS13" i="5"/>
  <c r="BS12" i="5"/>
  <c r="BR12" i="5"/>
  <c r="BJ5" i="18" s="1"/>
  <c r="BP12" i="5"/>
  <c r="BP89" i="6" s="1"/>
  <c r="BH640" i="18" s="1"/>
  <c r="BO12" i="5"/>
  <c r="BN12" i="5"/>
  <c r="BM12" i="5"/>
  <c r="BE5" i="18" s="1"/>
  <c r="BK12" i="5"/>
  <c r="BC5" i="18" s="1"/>
  <c r="BJ12" i="5"/>
  <c r="BB5" i="18" s="1"/>
  <c r="BH12" i="5"/>
  <c r="BH89" i="6" s="1"/>
  <c r="AZ640" i="18" s="1"/>
  <c r="BG12" i="5"/>
  <c r="AY5" i="18" s="1"/>
  <c r="BF12" i="5"/>
  <c r="BE12" i="5"/>
  <c r="BC12" i="5"/>
  <c r="BB12" i="5"/>
  <c r="BB32" i="6" s="1"/>
  <c r="AT587" i="18" s="1"/>
  <c r="AZ12" i="5"/>
  <c r="AR5" i="18" s="1"/>
  <c r="AY12" i="5"/>
  <c r="AX12" i="5"/>
  <c r="AW12" i="5"/>
  <c r="AV12" i="5"/>
  <c r="AU12" i="5"/>
  <c r="AT12" i="5"/>
  <c r="AS12" i="5"/>
  <c r="AR12" i="5"/>
  <c r="AQ12" i="5"/>
  <c r="AP12" i="5"/>
  <c r="AO12" i="5"/>
  <c r="AN12" i="5"/>
  <c r="AM12" i="5"/>
  <c r="AL12" i="5"/>
  <c r="AL13" i="5" s="1"/>
  <c r="AK12" i="5"/>
  <c r="AJ12" i="5"/>
  <c r="AJ354" i="5" s="1"/>
  <c r="AI12" i="5"/>
  <c r="AH12" i="5"/>
  <c r="AH354" i="5" s="1"/>
  <c r="AG12" i="5"/>
  <c r="CN6" i="5"/>
  <c r="CO6" i="5" s="1"/>
  <c r="CP6" i="5" s="1"/>
  <c r="CQ6" i="5" s="1"/>
  <c r="CR6" i="5" s="1"/>
  <c r="CS6" i="5" s="1"/>
  <c r="CT6" i="5" s="1"/>
  <c r="CU6" i="5" s="1"/>
  <c r="CV6" i="5" s="1"/>
  <c r="CW6" i="5" s="1"/>
  <c r="CX6" i="5" s="1"/>
  <c r="CY6" i="5" s="1"/>
  <c r="CZ6" i="5" s="1"/>
  <c r="DA6" i="5" s="1"/>
  <c r="DB6" i="5" s="1"/>
  <c r="DC6" i="5" s="1"/>
  <c r="DD6" i="5" s="1"/>
  <c r="DE6" i="5" s="1"/>
  <c r="DF6" i="5" s="1"/>
  <c r="N6" i="5"/>
  <c r="O6" i="5" s="1"/>
  <c r="P6" i="5" s="1"/>
  <c r="Q6" i="5" s="1"/>
  <c r="R6" i="5" s="1"/>
  <c r="S6" i="5" s="1"/>
  <c r="T6" i="5" s="1"/>
  <c r="U6" i="5" s="1"/>
  <c r="V6" i="5" s="1"/>
  <c r="W6" i="5" s="1"/>
  <c r="X6" i="5" s="1"/>
  <c r="Y6" i="5" s="1"/>
  <c r="Z6" i="5" s="1"/>
  <c r="AA6" i="5" s="1"/>
  <c r="AB6" i="5" s="1"/>
  <c r="AC6" i="5" s="1"/>
  <c r="AD6" i="5" s="1"/>
  <c r="AE6" i="5" s="1"/>
  <c r="AF6" i="5" s="1"/>
  <c r="AG6" i="5" s="1"/>
  <c r="AH6" i="5" s="1"/>
  <c r="AI6" i="5" s="1"/>
  <c r="AJ6" i="5" s="1"/>
  <c r="AK6" i="5" s="1"/>
  <c r="AL6" i="5" s="1"/>
  <c r="AM6" i="5" s="1"/>
  <c r="AN6" i="5" s="1"/>
  <c r="AO6" i="5" s="1"/>
  <c r="AP6" i="5" s="1"/>
  <c r="AQ6" i="5" s="1"/>
  <c r="AR6" i="5" s="1"/>
  <c r="AS6" i="5" s="1"/>
  <c r="AT6" i="5" s="1"/>
  <c r="AU6" i="5" s="1"/>
  <c r="AV6" i="5" s="1"/>
  <c r="AW6" i="5" s="1"/>
  <c r="BI1245" i="18" l="1"/>
  <c r="BU17" i="6"/>
  <c r="BF96" i="6"/>
  <c r="AX647" i="18" s="1"/>
  <c r="AX5" i="18"/>
  <c r="BA53" i="5"/>
  <c r="AS40" i="18" s="1"/>
  <c r="AS39" i="18"/>
  <c r="H12" i="19"/>
  <c r="BM13" i="18"/>
  <c r="CR346" i="5"/>
  <c r="CJ296" i="18" s="1"/>
  <c r="CJ50" i="18"/>
  <c r="BB250" i="5"/>
  <c r="AT215" i="18" s="1"/>
  <c r="AT214" i="18"/>
  <c r="BK250" i="5"/>
  <c r="BC215" i="18" s="1"/>
  <c r="BC214" i="18"/>
  <c r="BA45" i="6"/>
  <c r="AS576" i="18"/>
  <c r="BP88" i="6"/>
  <c r="BH639" i="18" s="1"/>
  <c r="BH638" i="18"/>
  <c r="BT49" i="7"/>
  <c r="CN19" i="18"/>
  <c r="BC96" i="6"/>
  <c r="AU647" i="18" s="1"/>
  <c r="AU5" i="18"/>
  <c r="CS12" i="5"/>
  <c r="CK5" i="18" s="1"/>
  <c r="AW5" i="18"/>
  <c r="BO77" i="6"/>
  <c r="BG614" i="18" s="1"/>
  <c r="BG5" i="18"/>
  <c r="BE31" i="5"/>
  <c r="AW23" i="18" s="1"/>
  <c r="AW13" i="18"/>
  <c r="F12" i="19"/>
  <c r="BL13" i="18"/>
  <c r="AZ24" i="5"/>
  <c r="AR16" i="18" s="1"/>
  <c r="BW52" i="5"/>
  <c r="BO39" i="18" s="1"/>
  <c r="BO21" i="18"/>
  <c r="BW58" i="5"/>
  <c r="BO44" i="18" s="1"/>
  <c r="DG62" i="5"/>
  <c r="CY50" i="18" s="1"/>
  <c r="CN50" i="18"/>
  <c r="BC77" i="5"/>
  <c r="AU63" i="18" s="1"/>
  <c r="AU58" i="18"/>
  <c r="BW77" i="5"/>
  <c r="BO63" i="18" s="1"/>
  <c r="BO58" i="18"/>
  <c r="CB121" i="5"/>
  <c r="BT103" i="18" s="1"/>
  <c r="BT87" i="18"/>
  <c r="BH111" i="5"/>
  <c r="AZ92" i="18" s="1"/>
  <c r="BP111" i="5"/>
  <c r="BH92" i="18" s="1"/>
  <c r="BZ115" i="5"/>
  <c r="BR96" i="18" s="1"/>
  <c r="BQ167" i="5"/>
  <c r="BH136" i="18"/>
  <c r="BI167" i="5"/>
  <c r="CW170" i="5"/>
  <c r="CO136" i="18" s="1"/>
  <c r="BN188" i="5"/>
  <c r="BF154" i="18" s="1"/>
  <c r="BH188" i="5"/>
  <c r="AZ154" i="18" s="1"/>
  <c r="AZ189" i="18"/>
  <c r="BW243" i="5"/>
  <c r="BO210" i="18" s="1"/>
  <c r="BO209" i="18"/>
  <c r="AZ250" i="5"/>
  <c r="AR215" i="18" s="1"/>
  <c r="AR214" i="18"/>
  <c r="CA353" i="5"/>
  <c r="BI22" i="6"/>
  <c r="BA1245" i="18"/>
  <c r="BC19" i="6"/>
  <c r="AU1244" i="18"/>
  <c r="BI19" i="6"/>
  <c r="BA1244" i="18"/>
  <c r="BS42" i="6"/>
  <c r="BK574" i="18" s="1"/>
  <c r="BK573" i="18"/>
  <c r="BR42" i="6"/>
  <c r="BJ574" i="18" s="1"/>
  <c r="BJ573" i="18"/>
  <c r="BN45" i="6"/>
  <c r="BF576" i="18"/>
  <c r="BR45" i="6"/>
  <c r="BJ576" i="18"/>
  <c r="CQ41" i="6"/>
  <c r="CI573" i="18" s="1"/>
  <c r="CI572" i="18"/>
  <c r="BP46" i="6"/>
  <c r="BH577" i="18" s="1"/>
  <c r="BB57" i="6"/>
  <c r="AT619" i="18" s="1"/>
  <c r="AT618" i="18"/>
  <c r="BL19" i="6"/>
  <c r="BD1244" i="18"/>
  <c r="BT89" i="6"/>
  <c r="BL640" i="18" s="1"/>
  <c r="BL5" i="18"/>
  <c r="BN88" i="6"/>
  <c r="BF639" i="18" s="1"/>
  <c r="BF638" i="18"/>
  <c r="AZ88" i="6"/>
  <c r="AR639" i="18" s="1"/>
  <c r="BF89" i="6"/>
  <c r="AX640" i="18" s="1"/>
  <c r="BC94" i="6"/>
  <c r="AU645" i="18" s="1"/>
  <c r="AU644" i="18"/>
  <c r="BD94" i="6"/>
  <c r="AV645" i="18" s="1"/>
  <c r="AV644" i="18"/>
  <c r="BZ94" i="6"/>
  <c r="BR645" i="18" s="1"/>
  <c r="BR644" i="18"/>
  <c r="BI100" i="6"/>
  <c r="BA653" i="18" s="1"/>
  <c r="BH101" i="6"/>
  <c r="AZ654" i="18" s="1"/>
  <c r="CX346" i="6"/>
  <c r="CP880" i="18" s="1"/>
  <c r="CP878" i="18"/>
  <c r="AZ347" i="6"/>
  <c r="AR881" i="18" s="1"/>
  <c r="AR880" i="18"/>
  <c r="BR347" i="6"/>
  <c r="BJ881" i="18" s="1"/>
  <c r="BJ880" i="18"/>
  <c r="BR880" i="18"/>
  <c r="CD347" i="6"/>
  <c r="BV881" i="18" s="1"/>
  <c r="BT21" i="7"/>
  <c r="BX21" i="7"/>
  <c r="BL49" i="7"/>
  <c r="BH70" i="7"/>
  <c r="BP70" i="7"/>
  <c r="BT67" i="7"/>
  <c r="BX57" i="18"/>
  <c r="BH89" i="18"/>
  <c r="BE136" i="18"/>
  <c r="BK214" i="18"/>
  <c r="P12" i="19"/>
  <c r="BT13" i="18"/>
  <c r="BG77" i="5"/>
  <c r="AY63" i="18" s="1"/>
  <c r="AY58" i="18"/>
  <c r="BG121" i="5"/>
  <c r="AY103" i="18" s="1"/>
  <c r="AY87" i="18"/>
  <c r="CA110" i="5"/>
  <c r="BS91" i="18" s="1"/>
  <c r="BS89" i="18"/>
  <c r="BB115" i="5"/>
  <c r="AT96" i="18" s="1"/>
  <c r="BR188" i="5"/>
  <c r="BJ154" i="18" s="1"/>
  <c r="BJ189" i="18"/>
  <c r="BD88" i="6"/>
  <c r="AV639" i="18" s="1"/>
  <c r="AV638" i="18"/>
  <c r="BB88" i="6"/>
  <c r="AT639" i="18" s="1"/>
  <c r="AT638" i="18"/>
  <c r="BA189" i="18"/>
  <c r="BB13" i="5"/>
  <c r="AT6" i="18" s="1"/>
  <c r="AT5" i="18"/>
  <c r="K12" i="19"/>
  <c r="BP13" i="18"/>
  <c r="BX52" i="5"/>
  <c r="BP39" i="18" s="1"/>
  <c r="BP21" i="18"/>
  <c r="BV400" i="5"/>
  <c r="BN1286" i="18" s="1"/>
  <c r="BN296" i="18"/>
  <c r="CU543" i="5"/>
  <c r="CM392" i="18" s="1"/>
  <c r="CM387" i="18"/>
  <c r="CD648" i="5"/>
  <c r="BV489" i="18" s="1"/>
  <c r="BV57" i="18"/>
  <c r="BO77" i="5"/>
  <c r="BG63" i="18" s="1"/>
  <c r="BG58" i="18"/>
  <c r="BD121" i="5"/>
  <c r="AV103" i="18" s="1"/>
  <c r="AV87" i="18"/>
  <c r="BO121" i="5"/>
  <c r="BG103" i="18" s="1"/>
  <c r="BG87" i="18"/>
  <c r="BW121" i="5"/>
  <c r="BO103" i="18" s="1"/>
  <c r="BO87" i="18"/>
  <c r="BD115" i="5"/>
  <c r="AV96" i="18" s="1"/>
  <c r="AV94" i="18"/>
  <c r="BK110" i="5"/>
  <c r="BC91" i="18" s="1"/>
  <c r="BC89" i="18"/>
  <c r="BS110" i="5"/>
  <c r="BK91" i="18" s="1"/>
  <c r="BK89" i="18"/>
  <c r="CB108" i="5"/>
  <c r="BJ115" i="5"/>
  <c r="BB96" i="18" s="1"/>
  <c r="BN168" i="5"/>
  <c r="BF134" i="18" s="1"/>
  <c r="BF136" i="18"/>
  <c r="BE283" i="5"/>
  <c r="AW240" i="18" s="1"/>
  <c r="AW173" i="18"/>
  <c r="BA188" i="5"/>
  <c r="AS154" i="18" s="1"/>
  <c r="AS189" i="18"/>
  <c r="BF188" i="5"/>
  <c r="AX154" i="18" s="1"/>
  <c r="AX189" i="18"/>
  <c r="BJ188" i="5"/>
  <c r="BB154" i="18" s="1"/>
  <c r="BB189" i="18"/>
  <c r="BO188" i="5"/>
  <c r="BG154" i="18" s="1"/>
  <c r="BG189" i="18"/>
  <c r="BS243" i="5"/>
  <c r="BK210" i="18" s="1"/>
  <c r="BK209" i="18"/>
  <c r="BG250" i="5"/>
  <c r="AY215" i="18" s="1"/>
  <c r="AY214" i="18"/>
  <c r="BP250" i="5"/>
  <c r="BH215" i="18" s="1"/>
  <c r="BH214" i="18"/>
  <c r="BC250" i="5"/>
  <c r="BH368" i="5"/>
  <c r="BE369" i="5"/>
  <c r="BR415" i="5"/>
  <c r="BJ308" i="18" s="1"/>
  <c r="BJ307" i="18"/>
  <c r="CL565" i="18"/>
  <c r="CT20" i="7"/>
  <c r="CJ565" i="18"/>
  <c r="CR20" i="7"/>
  <c r="BQ19" i="6"/>
  <c r="BI1244" i="18"/>
  <c r="BB63" i="6"/>
  <c r="AT625" i="18" s="1"/>
  <c r="AT579" i="18"/>
  <c r="BF38" i="6"/>
  <c r="AX593" i="18" s="1"/>
  <c r="BF46" i="6"/>
  <c r="AX577" i="18" s="1"/>
  <c r="BA42" i="6"/>
  <c r="AS574" i="18" s="1"/>
  <c r="AS573" i="18"/>
  <c r="BD42" i="6"/>
  <c r="AV574" i="18" s="1"/>
  <c r="BJ45" i="6"/>
  <c r="BB576" i="18"/>
  <c r="AZ42" i="6"/>
  <c r="AR574" i="18" s="1"/>
  <c r="AR573" i="18"/>
  <c r="BD45" i="6"/>
  <c r="AZ46" i="6"/>
  <c r="AR577" i="18" s="1"/>
  <c r="BF77" i="6"/>
  <c r="AX614" i="18" s="1"/>
  <c r="BC88" i="6"/>
  <c r="AU639" i="18" s="1"/>
  <c r="AU638" i="18"/>
  <c r="CQ93" i="6"/>
  <c r="CI644" i="18" s="1"/>
  <c r="CI643" i="18"/>
  <c r="BB94" i="6"/>
  <c r="AT645" i="18" s="1"/>
  <c r="BE101" i="6"/>
  <c r="AW654" i="18" s="1"/>
  <c r="BV354" i="6"/>
  <c r="BN888" i="18" s="1"/>
  <c r="BJ887" i="18"/>
  <c r="BE54" i="7"/>
  <c r="BE53" i="7" s="1"/>
  <c r="BE21" i="7"/>
  <c r="BE22" i="7" s="1"/>
  <c r="AS21" i="18"/>
  <c r="AZ58" i="18"/>
  <c r="BP89" i="18"/>
  <c r="AW136" i="18"/>
  <c r="BP77" i="6"/>
  <c r="BH614" i="18" s="1"/>
  <c r="BH5" i="18"/>
  <c r="BN58" i="5"/>
  <c r="BF44" i="18" s="1"/>
  <c r="BF21" i="18"/>
  <c r="BE188" i="5"/>
  <c r="AW154" i="18" s="1"/>
  <c r="AW189" i="18"/>
  <c r="BH243" i="5"/>
  <c r="AZ210" i="18" s="1"/>
  <c r="AZ209" i="18"/>
  <c r="BO250" i="5"/>
  <c r="BG215" i="18" s="1"/>
  <c r="BG214" i="18"/>
  <c r="BZ361" i="5"/>
  <c r="BQ415" i="5"/>
  <c r="BI308" i="18" s="1"/>
  <c r="BI307" i="18"/>
  <c r="BB166" i="6"/>
  <c r="AT716" i="18" s="1"/>
  <c r="AT671" i="18"/>
  <c r="BO45" i="6"/>
  <c r="BG576" i="18"/>
  <c r="BB155" i="6"/>
  <c r="AT672" i="18" s="1"/>
  <c r="BL70" i="7"/>
  <c r="BL67" i="7"/>
  <c r="BN89" i="6"/>
  <c r="BF640" i="18" s="1"/>
  <c r="BF5" i="18"/>
  <c r="BS96" i="6"/>
  <c r="BK647" i="18" s="1"/>
  <c r="BK5" i="18"/>
  <c r="BD31" i="5"/>
  <c r="AV23" i="18" s="1"/>
  <c r="AV13" i="18"/>
  <c r="DG20" i="5"/>
  <c r="CN1243" i="18"/>
  <c r="CN12" i="18"/>
  <c r="BF58" i="5"/>
  <c r="AX44" i="18" s="1"/>
  <c r="AX21" i="18"/>
  <c r="BV58" i="5"/>
  <c r="BN44" i="18" s="1"/>
  <c r="BN21" i="18"/>
  <c r="AZ59" i="5"/>
  <c r="AR45" i="18" s="1"/>
  <c r="AR44" i="18"/>
  <c r="BA351" i="5"/>
  <c r="AS301" i="18" s="1"/>
  <c r="AS296" i="18"/>
  <c r="BS77" i="5"/>
  <c r="BK63" i="18" s="1"/>
  <c r="BK58" i="18"/>
  <c r="CS106" i="5"/>
  <c r="CK87" i="18" s="1"/>
  <c r="CK84" i="18"/>
  <c r="BL121" i="5"/>
  <c r="BD103" i="18" s="1"/>
  <c r="BD87" i="18"/>
  <c r="BT121" i="5"/>
  <c r="BL103" i="18" s="1"/>
  <c r="BL87" i="18"/>
  <c r="CW539" i="5"/>
  <c r="CO388" i="18" s="1"/>
  <c r="CO85" i="18"/>
  <c r="BL115" i="5"/>
  <c r="BD96" i="18" s="1"/>
  <c r="BD94" i="18"/>
  <c r="BT115" i="5"/>
  <c r="BL96" i="18" s="1"/>
  <c r="BL94" i="18"/>
  <c r="BC110" i="5"/>
  <c r="AU91" i="18" s="1"/>
  <c r="AU89" i="18"/>
  <c r="BL111" i="5"/>
  <c r="BD92" i="18" s="1"/>
  <c r="BT111" i="5"/>
  <c r="BL92" i="18" s="1"/>
  <c r="BC111" i="5"/>
  <c r="AU92" i="18" s="1"/>
  <c r="CD113" i="5"/>
  <c r="BV94" i="18" s="1"/>
  <c r="BR115" i="5"/>
  <c r="BJ96" i="18" s="1"/>
  <c r="BE167" i="5"/>
  <c r="BY167" i="5"/>
  <c r="CS170" i="5"/>
  <c r="CK136" i="18" s="1"/>
  <c r="BB188" i="5"/>
  <c r="AT154" i="18" s="1"/>
  <c r="AT189" i="18"/>
  <c r="BD250" i="5"/>
  <c r="AV215" i="18" s="1"/>
  <c r="AV214" i="18"/>
  <c r="BH250" i="5"/>
  <c r="AZ215" i="18" s="1"/>
  <c r="AZ214" i="18"/>
  <c r="BM250" i="5"/>
  <c r="BE215" i="18" s="1"/>
  <c r="BE214" i="18"/>
  <c r="BL250" i="5"/>
  <c r="BD215" i="18" s="1"/>
  <c r="BJ368" i="5"/>
  <c r="BG379" i="5"/>
  <c r="AY1271" i="18" s="1"/>
  <c r="CO565" i="18"/>
  <c r="CW20" i="7"/>
  <c r="BA19" i="6"/>
  <c r="AS1244" i="18"/>
  <c r="BA16" i="6"/>
  <c r="AS1245" i="18" s="1"/>
  <c r="BL42" i="6"/>
  <c r="BD574" i="18" s="1"/>
  <c r="BD573" i="18"/>
  <c r="BE45" i="6"/>
  <c r="AW576" i="18"/>
  <c r="BG46" i="6"/>
  <c r="AY577" i="18" s="1"/>
  <c r="BH77" i="6"/>
  <c r="AZ614" i="18" s="1"/>
  <c r="BV94" i="6"/>
  <c r="BN645" i="18" s="1"/>
  <c r="BF41" i="7"/>
  <c r="BF42" i="7" s="1"/>
  <c r="BJ54" i="7"/>
  <c r="BJ53" i="7" s="1"/>
  <c r="BJ41" i="7"/>
  <c r="BJ42" i="7" s="1"/>
  <c r="BN48" i="7"/>
  <c r="BR41" i="7"/>
  <c r="BR42" i="7" s="1"/>
  <c r="AZ5" i="18"/>
  <c r="CM55" i="18"/>
  <c r="BD89" i="18"/>
  <c r="BV347" i="6"/>
  <c r="BN881" i="18" s="1"/>
  <c r="BN880" i="18"/>
  <c r="BD347" i="6"/>
  <c r="AV881" i="18" s="1"/>
  <c r="BF354" i="6"/>
  <c r="AX888" i="18" s="1"/>
  <c r="AX887" i="18"/>
  <c r="BZ354" i="6"/>
  <c r="BR888" i="18" s="1"/>
  <c r="BR887" i="18"/>
  <c r="BS21" i="7"/>
  <c r="CA21" i="7"/>
  <c r="BE44" i="7"/>
  <c r="BT44" i="7"/>
  <c r="BO67" i="7"/>
  <c r="CF327" i="6"/>
  <c r="BX861" i="18" s="1"/>
  <c r="BX858" i="18"/>
  <c r="BH347" i="6"/>
  <c r="AZ881" i="18" s="1"/>
  <c r="AZ880" i="18"/>
  <c r="BR354" i="6"/>
  <c r="BJ888" i="18" s="1"/>
  <c r="BF887" i="18"/>
  <c r="BG21" i="7"/>
  <c r="BN21" i="7"/>
  <c r="BN22" i="7" s="1"/>
  <c r="BR54" i="7"/>
  <c r="BR53" i="7" s="1"/>
  <c r="BV21" i="7"/>
  <c r="CX21" i="7"/>
  <c r="BD41" i="7"/>
  <c r="BD42" i="7" s="1"/>
  <c r="BD46" i="7" s="1"/>
  <c r="BL41" i="7"/>
  <c r="BL42" i="7" s="1"/>
  <c r="BH44" i="7"/>
  <c r="BL44" i="7"/>
  <c r="BP44" i="7"/>
  <c r="BP48" i="7"/>
  <c r="BP49" i="7" s="1"/>
  <c r="BV140" i="18"/>
  <c r="BV139" i="18"/>
  <c r="CS191" i="18"/>
  <c r="CT191" i="18"/>
  <c r="BV700" i="18"/>
  <c r="BL732" i="18"/>
  <c r="BT734" i="18"/>
  <c r="BQ1313" i="18"/>
  <c r="BT188" i="6"/>
  <c r="CO732" i="18"/>
  <c r="BP733" i="18"/>
  <c r="BU723" i="18"/>
  <c r="BU1297" i="18"/>
  <c r="BU174" i="6"/>
  <c r="BL1297" i="18"/>
  <c r="BL723" i="18"/>
  <c r="BU173" i="6"/>
  <c r="BT173" i="6"/>
  <c r="BT171" i="6"/>
  <c r="CV170" i="6"/>
  <c r="CW172" i="6" s="1"/>
  <c r="BT174" i="6"/>
  <c r="BQ1300" i="18"/>
  <c r="BQ726" i="18"/>
  <c r="BX172" i="6"/>
  <c r="BT724" i="18"/>
  <c r="CO723" i="18"/>
  <c r="CO1297" i="18"/>
  <c r="CX172" i="6"/>
  <c r="BU725" i="18"/>
  <c r="BU1299" i="18"/>
  <c r="BP726" i="18"/>
  <c r="BQ725" i="18"/>
  <c r="CV174" i="6"/>
  <c r="BP725" i="18"/>
  <c r="K920" i="18"/>
  <c r="K918" i="18"/>
  <c r="K916" i="18"/>
  <c r="K914" i="18"/>
  <c r="M920" i="18"/>
  <c r="M918" i="18"/>
  <c r="M916" i="18"/>
  <c r="M914" i="18"/>
  <c r="P920" i="18"/>
  <c r="P918" i="18"/>
  <c r="P916" i="18"/>
  <c r="P914" i="18"/>
  <c r="L920" i="18"/>
  <c r="L918" i="18"/>
  <c r="L916" i="18"/>
  <c r="L914" i="18"/>
  <c r="Q920" i="18"/>
  <c r="Q918" i="18"/>
  <c r="Q916" i="18"/>
  <c r="Q914" i="18"/>
  <c r="N920" i="18"/>
  <c r="N918" i="18"/>
  <c r="N916" i="18"/>
  <c r="N914" i="18"/>
  <c r="C920" i="18"/>
  <c r="C918" i="18"/>
  <c r="C914" i="18"/>
  <c r="DA31" i="26"/>
  <c r="DA37" i="26" s="1"/>
  <c r="CQ65" i="16"/>
  <c r="CW67" i="16"/>
  <c r="CQ17" i="16"/>
  <c r="CQ62" i="16"/>
  <c r="CQ63" i="16" s="1"/>
  <c r="CQ66" i="16"/>
  <c r="CS67" i="16"/>
  <c r="Q6" i="7"/>
  <c r="P5" i="7"/>
  <c r="BP54" i="7"/>
  <c r="BP53" i="7" s="1"/>
  <c r="BP57" i="7" s="1"/>
  <c r="BP21" i="7"/>
  <c r="CS30" i="7"/>
  <c r="AY157" i="6"/>
  <c r="AY108" i="6" s="1"/>
  <c r="AY120" i="6" s="1"/>
  <c r="AZ54" i="7"/>
  <c r="AZ53" i="7" s="1"/>
  <c r="AZ21" i="7"/>
  <c r="BH21" i="7"/>
  <c r="BH54" i="7"/>
  <c r="BH53" i="7" s="1"/>
  <c r="BH57" i="7" s="1"/>
  <c r="AN356" i="5"/>
  <c r="AN421" i="5"/>
  <c r="AN439" i="5"/>
  <c r="AN430" i="5"/>
  <c r="AO358" i="5"/>
  <c r="AO357" i="5" s="1"/>
  <c r="BM21" i="7"/>
  <c r="BM22" i="7" s="1"/>
  <c r="BQ21" i="7"/>
  <c r="BU21" i="7"/>
  <c r="BL46" i="7"/>
  <c r="BK48" i="7"/>
  <c r="BK49" i="7" s="1"/>
  <c r="BG54" i="7"/>
  <c r="BG53" i="7" s="1"/>
  <c r="BG41" i="7"/>
  <c r="BG42" i="7" s="1"/>
  <c r="BG46" i="7" s="1"/>
  <c r="BS48" i="7"/>
  <c r="BS49" i="7" s="1"/>
  <c r="BO41" i="7"/>
  <c r="BO42" i="7" s="1"/>
  <c r="BO54" i="7"/>
  <c r="BO53" i="7" s="1"/>
  <c r="BV34" i="7"/>
  <c r="BR37" i="7"/>
  <c r="BR30" i="7" s="1"/>
  <c r="BR31" i="7" s="1"/>
  <c r="AW31" i="7"/>
  <c r="AS31" i="7"/>
  <c r="AS46" i="7" s="1"/>
  <c r="AY149" i="6"/>
  <c r="AY156" i="6"/>
  <c r="AN340" i="5"/>
  <c r="CP37" i="7"/>
  <c r="CP30" i="7" s="1"/>
  <c r="AT30" i="7"/>
  <c r="AT31" i="7" s="1"/>
  <c r="AT46" i="7" s="1"/>
  <c r="CR37" i="7"/>
  <c r="BB30" i="7"/>
  <c r="BB31" i="7" s="1"/>
  <c r="BK30" i="7"/>
  <c r="BK31" i="7" s="1"/>
  <c r="CT37" i="7"/>
  <c r="CT30" i="7" s="1"/>
  <c r="CT31" i="7" s="1"/>
  <c r="AV356" i="5"/>
  <c r="AV358" i="5" s="1"/>
  <c r="AV421" i="5"/>
  <c r="AV430" i="5"/>
  <c r="AV340" i="5"/>
  <c r="AK54" i="7"/>
  <c r="AK53" i="7" s="1"/>
  <c r="AK57" i="7" s="1"/>
  <c r="AK21" i="7"/>
  <c r="AO21" i="7"/>
  <c r="AS430" i="5"/>
  <c r="AS340" i="5"/>
  <c r="AS356" i="5"/>
  <c r="AS421" i="5"/>
  <c r="CO30" i="7"/>
  <c r="BZ35" i="7"/>
  <c r="BC46" i="7"/>
  <c r="AX49" i="7"/>
  <c r="BN70" i="7"/>
  <c r="BN67" i="7"/>
  <c r="BI67" i="7"/>
  <c r="AV149" i="6"/>
  <c r="AN161" i="6"/>
  <c r="AR54" i="7"/>
  <c r="AR53" i="7" s="1"/>
  <c r="AR57" i="7" s="1"/>
  <c r="AR21" i="7"/>
  <c r="BA22" i="7"/>
  <c r="BI22" i="7"/>
  <c r="BI23" i="7" s="1"/>
  <c r="CB21" i="7"/>
  <c r="AV46" i="7"/>
  <c r="CA34" i="7"/>
  <c r="BW30" i="7"/>
  <c r="BW31" i="7" s="1"/>
  <c r="BJ48" i="7"/>
  <c r="BF54" i="7"/>
  <c r="BF53" i="7" s="1"/>
  <c r="BF57" i="7" s="1"/>
  <c r="BN54" i="7"/>
  <c r="BN53" i="7" s="1"/>
  <c r="CU40" i="7"/>
  <c r="BR48" i="7"/>
  <c r="BN41" i="7"/>
  <c r="BN42" i="7" s="1"/>
  <c r="AL42" i="7"/>
  <c r="AT42" i="7"/>
  <c r="AQ49" i="7"/>
  <c r="CU28" i="7"/>
  <c r="BM30" i="7"/>
  <c r="BM31" i="7" s="1"/>
  <c r="AX358" i="5"/>
  <c r="AX359" i="5" s="1"/>
  <c r="AM54" i="7"/>
  <c r="AM53" i="7" s="1"/>
  <c r="AM57" i="7" s="1"/>
  <c r="AM21" i="7"/>
  <c r="AU54" i="7"/>
  <c r="AU53" i="7" s="1"/>
  <c r="AU57" i="7" s="1"/>
  <c r="AU21" i="7"/>
  <c r="BR57" i="7"/>
  <c r="CO21" i="7"/>
  <c r="CN21" i="7"/>
  <c r="BE48" i="7"/>
  <c r="BE49" i="7" s="1"/>
  <c r="BA41" i="7"/>
  <c r="BA42" i="7" s="1"/>
  <c r="BA46" i="7" s="1"/>
  <c r="CR40" i="7"/>
  <c r="BA54" i="7"/>
  <c r="BA53" i="7" s="1"/>
  <c r="BA57" i="7" s="1"/>
  <c r="BE41" i="7"/>
  <c r="BE42" i="7" s="1"/>
  <c r="BE57" i="7" s="1"/>
  <c r="BI54" i="7"/>
  <c r="BI53" i="7" s="1"/>
  <c r="BI41" i="7"/>
  <c r="BI42" i="7" s="1"/>
  <c r="BI46" i="7" s="1"/>
  <c r="CT40" i="7"/>
  <c r="BM48" i="7"/>
  <c r="BQ54" i="7"/>
  <c r="BQ53" i="7" s="1"/>
  <c r="CV40" i="7"/>
  <c r="BQ41" i="7"/>
  <c r="BQ42" i="7" s="1"/>
  <c r="AL48" i="7"/>
  <c r="AL49" i="7" s="1"/>
  <c r="AL44" i="7"/>
  <c r="AT48" i="7"/>
  <c r="AT49" i="7" s="1"/>
  <c r="AX44" i="7"/>
  <c r="BB48" i="7"/>
  <c r="BB49" i="7" s="1"/>
  <c r="BB65" i="7"/>
  <c r="BB44" i="7"/>
  <c r="BB42" i="7"/>
  <c r="BJ65" i="7"/>
  <c r="BJ44" i="7"/>
  <c r="BR65" i="7"/>
  <c r="BR44" i="7"/>
  <c r="CO54" i="7"/>
  <c r="CO53" i="7" s="1"/>
  <c r="CO41" i="7"/>
  <c r="BS70" i="7"/>
  <c r="BS67" i="7"/>
  <c r="AS342" i="5"/>
  <c r="BJ57" i="7"/>
  <c r="BN37" i="7"/>
  <c r="BN30" i="7"/>
  <c r="BN31" i="7" s="1"/>
  <c r="BF44" i="7"/>
  <c r="AZ49" i="7"/>
  <c r="AY54" i="7"/>
  <c r="AY53" i="7" s="1"/>
  <c r="AY57" i="7" s="1"/>
  <c r="AY21" i="7"/>
  <c r="AY22" i="7" s="1"/>
  <c r="BC21" i="7"/>
  <c r="BC22" i="7" s="1"/>
  <c r="BG22" i="7"/>
  <c r="BL21" i="7"/>
  <c r="BL22" i="7" s="1"/>
  <c r="BP37" i="7"/>
  <c r="BP30" i="7"/>
  <c r="BP31" i="7" s="1"/>
  <c r="BT34" i="7"/>
  <c r="BT37" i="7" s="1"/>
  <c r="CP41" i="7"/>
  <c r="AV157" i="6"/>
  <c r="AV108" i="6" s="1"/>
  <c r="AW21" i="7"/>
  <c r="AW22" i="7" s="1"/>
  <c r="BR21" i="7"/>
  <c r="BF37" i="7"/>
  <c r="BF30" i="7"/>
  <c r="CP54" i="7"/>
  <c r="CP53" i="7" s="1"/>
  <c r="AW42" i="7"/>
  <c r="AW57" i="7" s="1"/>
  <c r="BA44" i="7"/>
  <c r="BQ67" i="7"/>
  <c r="BQ68" i="7" s="1"/>
  <c r="BQ70" i="7"/>
  <c r="BQ71" i="7" s="1"/>
  <c r="AS44" i="7"/>
  <c r="AU49" i="7"/>
  <c r="CE94" i="7"/>
  <c r="CV35" i="7"/>
  <c r="BB54" i="7"/>
  <c r="BB53" i="7" s="1"/>
  <c r="BB57" i="7" s="1"/>
  <c r="BO49" i="7"/>
  <c r="AQ57" i="7"/>
  <c r="BD70" i="7"/>
  <c r="BD67" i="7"/>
  <c r="BO31" i="7"/>
  <c r="BO46" i="7" s="1"/>
  <c r="CR30" i="7"/>
  <c r="CR31" i="7" s="1"/>
  <c r="AQ31" i="7"/>
  <c r="AY31" i="7"/>
  <c r="AY46" i="7" s="1"/>
  <c r="BH31" i="7"/>
  <c r="BH46" i="7" s="1"/>
  <c r="BS30" i="7"/>
  <c r="BS31" i="7" s="1"/>
  <c r="BE65" i="7"/>
  <c r="AP54" i="7"/>
  <c r="AP53" i="7" s="1"/>
  <c r="AP57" i="7" s="1"/>
  <c r="AP21" i="7"/>
  <c r="BK21" i="7"/>
  <c r="BK22" i="7" s="1"/>
  <c r="BS22" i="7"/>
  <c r="CW28" i="7"/>
  <c r="AP31" i="7"/>
  <c r="BU34" i="7"/>
  <c r="BX35" i="7"/>
  <c r="CA35" i="7"/>
  <c r="CA37" i="7" s="1"/>
  <c r="AR31" i="7"/>
  <c r="AZ31" i="7"/>
  <c r="AW48" i="7"/>
  <c r="AW44" i="7"/>
  <c r="BM65" i="7"/>
  <c r="BM44" i="7"/>
  <c r="CS35" i="7"/>
  <c r="CN37" i="7"/>
  <c r="CN30" i="7" s="1"/>
  <c r="AZ41" i="7"/>
  <c r="AZ42" i="7" s="1"/>
  <c r="BD48" i="7"/>
  <c r="BP41" i="7"/>
  <c r="BP42" i="7" s="1"/>
  <c r="AM44" i="7"/>
  <c r="AU44" i="7"/>
  <c r="BC44" i="7"/>
  <c r="BK44" i="7"/>
  <c r="BS44" i="7"/>
  <c r="AQ44" i="7"/>
  <c r="BL54" i="7"/>
  <c r="BL53" i="7" s="1"/>
  <c r="BL57" i="7" s="1"/>
  <c r="BU35" i="7"/>
  <c r="BQ37" i="7"/>
  <c r="BC54" i="7"/>
  <c r="BC53" i="7" s="1"/>
  <c r="BC41" i="7"/>
  <c r="BC42" i="7" s="1"/>
  <c r="BK54" i="7"/>
  <c r="BK53" i="7" s="1"/>
  <c r="BK41" i="7"/>
  <c r="BK42" i="7" s="1"/>
  <c r="BS54" i="7"/>
  <c r="BS53" i="7" s="1"/>
  <c r="BS57" i="7" s="1"/>
  <c r="BS41" i="7"/>
  <c r="BS42" i="7" s="1"/>
  <c r="AP48" i="7"/>
  <c r="AP44" i="7"/>
  <c r="BD54" i="7"/>
  <c r="BD53" i="7" s="1"/>
  <c r="BD57" i="7" s="1"/>
  <c r="AZ70" i="7"/>
  <c r="CS37" i="7"/>
  <c r="BT54" i="7"/>
  <c r="BT53" i="7" s="1"/>
  <c r="BT41" i="7"/>
  <c r="BT42" i="7" s="1"/>
  <c r="BG65" i="7"/>
  <c r="BG44" i="7"/>
  <c r="BF67" i="7"/>
  <c r="CD94" i="7"/>
  <c r="CS40" i="7"/>
  <c r="BN44" i="7"/>
  <c r="BF48" i="7"/>
  <c r="BF49" i="7" s="1"/>
  <c r="BC70" i="7"/>
  <c r="BM41" i="7"/>
  <c r="BM42" i="7" s="1"/>
  <c r="BM54" i="7"/>
  <c r="BM53" i="7" s="1"/>
  <c r="BK70" i="7"/>
  <c r="AZ67" i="7"/>
  <c r="BK67" i="7"/>
  <c r="CW374" i="5"/>
  <c r="CW446" i="5"/>
  <c r="CO324" i="18" s="1"/>
  <c r="BA13" i="6"/>
  <c r="AS567" i="18" s="1"/>
  <c r="BM48" i="6"/>
  <c r="BE578" i="18" s="1"/>
  <c r="BN48" i="6"/>
  <c r="BF578" i="18" s="1"/>
  <c r="AX238" i="5"/>
  <c r="AX203" i="5" s="1"/>
  <c r="AX180" i="5" s="1"/>
  <c r="AX204" i="5"/>
  <c r="AX205" i="5" s="1"/>
  <c r="BH12" i="6"/>
  <c r="AZ566" i="18" s="1"/>
  <c r="BH374" i="5"/>
  <c r="CR446" i="5"/>
  <c r="CJ324" i="18" s="1"/>
  <c r="CR374" i="5"/>
  <c r="BE13" i="6"/>
  <c r="AW567" i="18" s="1"/>
  <c r="BY14" i="6"/>
  <c r="BQ568" i="18" s="1"/>
  <c r="BQ14" i="6"/>
  <c r="BI568" i="18" s="1"/>
  <c r="BQ12" i="6"/>
  <c r="BI566" i="18" s="1"/>
  <c r="CV11" i="6"/>
  <c r="BU15" i="6"/>
  <c r="BM1244" i="18" s="1"/>
  <c r="CB12" i="6"/>
  <c r="BT566" i="18" s="1"/>
  <c r="BF19" i="6"/>
  <c r="BF375" i="5"/>
  <c r="CO56" i="6"/>
  <c r="CO32" i="6"/>
  <c r="AR33" i="6"/>
  <c r="AQ33" i="6"/>
  <c r="BA154" i="6"/>
  <c r="AS671" i="18" s="1"/>
  <c r="CR40" i="6"/>
  <c r="CJ572" i="18" s="1"/>
  <c r="BE47" i="6"/>
  <c r="BE48" i="6" s="1"/>
  <c r="AW578" i="18" s="1"/>
  <c r="BF45" i="6"/>
  <c r="CQ222" i="5"/>
  <c r="BA249" i="5"/>
  <c r="AS214" i="18" s="1"/>
  <c r="BI249" i="5"/>
  <c r="BQ374" i="5"/>
  <c r="BQ400" i="5" s="1"/>
  <c r="BI1286" i="18" s="1"/>
  <c r="AZ446" i="5"/>
  <c r="AR324" i="18" s="1"/>
  <c r="BH446" i="5"/>
  <c r="AZ324" i="18" s="1"/>
  <c r="BX446" i="5"/>
  <c r="BP324" i="18" s="1"/>
  <c r="BB14" i="6"/>
  <c r="AT568" i="18" s="1"/>
  <c r="BF12" i="6"/>
  <c r="AX566" i="18" s="1"/>
  <c r="BB374" i="5"/>
  <c r="BB379" i="5" s="1"/>
  <c r="AT1271" i="18" s="1"/>
  <c r="BJ374" i="5"/>
  <c r="BJ14" i="6"/>
  <c r="BB568" i="18" s="1"/>
  <c r="BV15" i="6"/>
  <c r="BN1244" i="18" s="1"/>
  <c r="BR374" i="5"/>
  <c r="BR400" i="5" s="1"/>
  <c r="BV12" i="6"/>
  <c r="BN566" i="18" s="1"/>
  <c r="BZ12" i="6"/>
  <c r="BR566" i="18" s="1"/>
  <c r="BZ14" i="6"/>
  <c r="BR568" i="18" s="1"/>
  <c r="BZ374" i="5"/>
  <c r="BZ404" i="5" s="1"/>
  <c r="BJ12" i="6"/>
  <c r="BB566" i="18" s="1"/>
  <c r="BH14" i="6"/>
  <c r="AZ568" i="18" s="1"/>
  <c r="AX375" i="5"/>
  <c r="AX16" i="6"/>
  <c r="BF16" i="6"/>
  <c r="AX1245" i="18" s="1"/>
  <c r="CP13" i="6"/>
  <c r="CO13" i="6"/>
  <c r="BQ48" i="6"/>
  <c r="BI578" i="18" s="1"/>
  <c r="AS45" i="6"/>
  <c r="AR45" i="6"/>
  <c r="BE46" i="6"/>
  <c r="AW577" i="18" s="1"/>
  <c r="BV135" i="6"/>
  <c r="BV136" i="6" s="1"/>
  <c r="BA446" i="5"/>
  <c r="AS324" i="18" s="1"/>
  <c r="BI446" i="5"/>
  <c r="BA324" i="18" s="1"/>
  <c r="BQ446" i="5"/>
  <c r="BI324" i="18" s="1"/>
  <c r="AP13" i="6"/>
  <c r="AX18" i="6"/>
  <c r="BL12" i="6"/>
  <c r="BD566" i="18" s="1"/>
  <c r="BI14" i="6"/>
  <c r="BA568" i="18" s="1"/>
  <c r="AP19" i="6"/>
  <c r="AP16" i="6"/>
  <c r="AP375" i="5"/>
  <c r="BN16" i="6"/>
  <c r="BF1245" i="18" s="1"/>
  <c r="BN375" i="5"/>
  <c r="AX63" i="6"/>
  <c r="BB26" i="6"/>
  <c r="AO33" i="6"/>
  <c r="BB44" i="6"/>
  <c r="BB47" i="6"/>
  <c r="BB48" i="6" s="1"/>
  <c r="AT578" i="18" s="1"/>
  <c r="AX48" i="6"/>
  <c r="AU56" i="6"/>
  <c r="BM46" i="6"/>
  <c r="BE577" i="18" s="1"/>
  <c r="BM77" i="6"/>
  <c r="BE614" i="18" s="1"/>
  <c r="CU12" i="5"/>
  <c r="O6" i="6"/>
  <c r="N5" i="6"/>
  <c r="BP14" i="6"/>
  <c r="BH568" i="18" s="1"/>
  <c r="BP12" i="6"/>
  <c r="BH566" i="18" s="1"/>
  <c r="BP374" i="5"/>
  <c r="BP387" i="5" s="1"/>
  <c r="BH1279" i="18" s="1"/>
  <c r="BW18" i="6"/>
  <c r="BE16" i="6"/>
  <c r="BE19" i="6"/>
  <c r="BD16" i="6"/>
  <c r="AV1245" i="18" s="1"/>
  <c r="CV40" i="6"/>
  <c r="CN572" i="18" s="1"/>
  <c r="BH42" i="6"/>
  <c r="AZ574" i="18" s="1"/>
  <c r="BH44" i="6"/>
  <c r="AZ576" i="18" s="1"/>
  <c r="BH15" i="6"/>
  <c r="AZ1244" i="18" s="1"/>
  <c r="BE14" i="6"/>
  <c r="AW568" i="18" s="1"/>
  <c r="BD374" i="5"/>
  <c r="BD14" i="6"/>
  <c r="AV568" i="18" s="1"/>
  <c r="BD12" i="6"/>
  <c r="AV566" i="18" s="1"/>
  <c r="BX15" i="6"/>
  <c r="BP1244" i="18" s="1"/>
  <c r="BT374" i="5"/>
  <c r="AZ375" i="5"/>
  <c r="AZ16" i="6"/>
  <c r="AR1245" i="18" s="1"/>
  <c r="AZ19" i="6"/>
  <c r="BP15" i="6"/>
  <c r="BH1244" i="18" s="1"/>
  <c r="BN19" i="6"/>
  <c r="AX27" i="6"/>
  <c r="BE38" i="6"/>
  <c r="AW593" i="18" s="1"/>
  <c r="BQ45" i="6"/>
  <c r="BA316" i="6"/>
  <c r="AS849" i="18" s="1"/>
  <c r="BA124" i="6"/>
  <c r="AS693" i="18" s="1"/>
  <c r="BA101" i="6"/>
  <c r="AS654" i="18" s="1"/>
  <c r="BI12" i="5"/>
  <c r="BR96" i="6"/>
  <c r="BJ647" i="18" s="1"/>
  <c r="BR89" i="6"/>
  <c r="BJ640" i="18" s="1"/>
  <c r="BI374" i="5"/>
  <c r="BM12" i="6"/>
  <c r="BE566" i="18" s="1"/>
  <c r="AR13" i="6"/>
  <c r="AZ12" i="6"/>
  <c r="AR566" i="18" s="1"/>
  <c r="BR12" i="6"/>
  <c r="BJ566" i="18" s="1"/>
  <c r="BR14" i="6"/>
  <c r="BJ568" i="18" s="1"/>
  <c r="AR16" i="6"/>
  <c r="AR375" i="5"/>
  <c r="AR19" i="6"/>
  <c r="BQ22" i="6"/>
  <c r="AV19" i="6"/>
  <c r="AO27" i="6"/>
  <c r="CO25" i="6"/>
  <c r="CT40" i="6"/>
  <c r="CL572" i="18" s="1"/>
  <c r="BR46" i="6"/>
  <c r="BJ577" i="18" s="1"/>
  <c r="AM60" i="6"/>
  <c r="AM61" i="6" s="1"/>
  <c r="AM59" i="6"/>
  <c r="AQ57" i="6"/>
  <c r="AM57" i="6"/>
  <c r="AV116" i="6"/>
  <c r="AT116" i="6"/>
  <c r="BX12" i="6"/>
  <c r="BP566" i="18" s="1"/>
  <c r="BX14" i="6"/>
  <c r="BP568" i="18" s="1"/>
  <c r="BX374" i="5"/>
  <c r="CT446" i="5"/>
  <c r="CL324" i="18" s="1"/>
  <c r="CT374" i="5"/>
  <c r="AV13" i="6"/>
  <c r="AT335" i="6"/>
  <c r="AT64" i="6"/>
  <c r="AT70" i="6"/>
  <c r="AT67" i="6"/>
  <c r="AT68" i="6" s="1"/>
  <c r="BP45" i="6"/>
  <c r="BQ12" i="5"/>
  <c r="BQ46" i="6" s="1"/>
  <c r="BI577" i="18" s="1"/>
  <c r="BK255" i="5"/>
  <c r="BC218" i="18" s="1"/>
  <c r="BK251" i="5"/>
  <c r="BC216" i="18" s="1"/>
  <c r="CB374" i="5"/>
  <c r="CB14" i="6"/>
  <c r="BT568" i="18" s="1"/>
  <c r="BN12" i="6"/>
  <c r="BF566" i="18" s="1"/>
  <c r="BL14" i="6"/>
  <c r="BD568" i="18" s="1"/>
  <c r="AS17" i="6"/>
  <c r="BZ17" i="6"/>
  <c r="AO19" i="6"/>
  <c r="AH63" i="6"/>
  <c r="AH196" i="5" s="1"/>
  <c r="AL197" i="5" s="1"/>
  <c r="CM25" i="6"/>
  <c r="AP33" i="6"/>
  <c r="CM60" i="6"/>
  <c r="BA12" i="5"/>
  <c r="AS5" i="18" s="1"/>
  <c r="BJ96" i="6"/>
  <c r="BB647" i="18" s="1"/>
  <c r="BJ89" i="6"/>
  <c r="BB640" i="18" s="1"/>
  <c r="BJ38" i="6"/>
  <c r="BB593" i="18" s="1"/>
  <c r="CS249" i="5"/>
  <c r="CK214" i="18" s="1"/>
  <c r="BE375" i="5"/>
  <c r="BD446" i="5"/>
  <c r="AV324" i="18" s="1"/>
  <c r="BL446" i="5"/>
  <c r="BD324" i="18" s="1"/>
  <c r="BT446" i="5"/>
  <c r="BL324" i="18" s="1"/>
  <c r="CB446" i="5"/>
  <c r="BT324" i="18" s="1"/>
  <c r="AS18" i="6"/>
  <c r="BT12" i="6"/>
  <c r="BL566" i="18" s="1"/>
  <c r="BT14" i="6"/>
  <c r="BL568" i="18" s="1"/>
  <c r="BT19" i="6"/>
  <c r="BT375" i="5"/>
  <c r="AV16" i="6"/>
  <c r="AV17" i="6" s="1"/>
  <c r="AW19" i="6"/>
  <c r="BG356" i="6"/>
  <c r="BG357" i="6" s="1"/>
  <c r="BG38" i="6"/>
  <c r="AY593" i="18" s="1"/>
  <c r="BK35" i="6"/>
  <c r="BR47" i="6"/>
  <c r="BR48" i="6" s="1"/>
  <c r="BJ578" i="18" s="1"/>
  <c r="BQ41" i="6"/>
  <c r="AZ14" i="6"/>
  <c r="AR568" i="18" s="1"/>
  <c r="CQ11" i="6"/>
  <c r="AZ374" i="5"/>
  <c r="AZ387" i="5" s="1"/>
  <c r="AR1279" i="18" s="1"/>
  <c r="AJ70" i="6"/>
  <c r="AJ67" i="6"/>
  <c r="AN68" i="6" s="1"/>
  <c r="BY12" i="6"/>
  <c r="BQ566" i="18" s="1"/>
  <c r="BI12" i="6"/>
  <c r="BA566" i="18" s="1"/>
  <c r="AU33" i="6"/>
  <c r="AU25" i="6"/>
  <c r="AU30" i="6"/>
  <c r="AU32" i="6"/>
  <c r="AU267" i="5"/>
  <c r="AU239" i="5" s="1"/>
  <c r="AU204" i="5" s="1"/>
  <c r="BM15" i="6"/>
  <c r="BE1244" i="18" s="1"/>
  <c r="BI41" i="6"/>
  <c r="BB96" i="6"/>
  <c r="AT647" i="18" s="1"/>
  <c r="BB38" i="6"/>
  <c r="AT593" i="18" s="1"/>
  <c r="BB46" i="6"/>
  <c r="AT577" i="18" s="1"/>
  <c r="AS188" i="5"/>
  <c r="BY374" i="5"/>
  <c r="BB12" i="6"/>
  <c r="AT566" i="18" s="1"/>
  <c r="BU12" i="6"/>
  <c r="BM566" i="18" s="1"/>
  <c r="BD19" i="6"/>
  <c r="BD375" i="5"/>
  <c r="AY17" i="6"/>
  <c r="BT16" i="6"/>
  <c r="CB22" i="6"/>
  <c r="CB17" i="6"/>
  <c r="AX19" i="6"/>
  <c r="CN26" i="6"/>
  <c r="CN277" i="5"/>
  <c r="AQ63" i="6"/>
  <c r="AQ26" i="6"/>
  <c r="CP29" i="6"/>
  <c r="AS33" i="6" s="1"/>
  <c r="AS25" i="6"/>
  <c r="AS56" i="6"/>
  <c r="AS31" i="6"/>
  <c r="AS30" i="6"/>
  <c r="AS267" i="5"/>
  <c r="AS239" i="5" s="1"/>
  <c r="CP239" i="5" s="1"/>
  <c r="AW31" i="6"/>
  <c r="AS32" i="6"/>
  <c r="AT66" i="6"/>
  <c r="BD38" i="6"/>
  <c r="AV593" i="18" s="1"/>
  <c r="BD96" i="6"/>
  <c r="AV647" i="18" s="1"/>
  <c r="BL16" i="6"/>
  <c r="BD1245" i="18" s="1"/>
  <c r="BL375" i="5"/>
  <c r="CQ103" i="6"/>
  <c r="CI656" i="18" s="1"/>
  <c r="CQ109" i="6"/>
  <c r="CI662" i="18" s="1"/>
  <c r="CQ115" i="6"/>
  <c r="CQ414" i="5"/>
  <c r="CI307" i="18" s="1"/>
  <c r="BA110" i="6"/>
  <c r="AS663" i="18" s="1"/>
  <c r="BA121" i="6"/>
  <c r="AS685" i="18" s="1"/>
  <c r="AK78" i="6"/>
  <c r="AG77" i="6"/>
  <c r="CM74" i="6"/>
  <c r="AK75" i="6"/>
  <c r="AT78" i="6"/>
  <c r="AX75" i="6"/>
  <c r="AT75" i="6"/>
  <c r="AT76" i="6" s="1"/>
  <c r="BB78" i="6"/>
  <c r="BF78" i="6"/>
  <c r="BF75" i="6"/>
  <c r="AX612" i="18" s="1"/>
  <c r="BB75" i="6"/>
  <c r="AT612" i="18" s="1"/>
  <c r="BJ77" i="6"/>
  <c r="BB614" i="18" s="1"/>
  <c r="BJ75" i="6"/>
  <c r="BN78" i="6"/>
  <c r="BJ78" i="6"/>
  <c r="CT74" i="6"/>
  <c r="CL611" i="18" s="1"/>
  <c r="AW76" i="6"/>
  <c r="CV87" i="6"/>
  <c r="CN638" i="18" s="1"/>
  <c r="CA88" i="6"/>
  <c r="BS639" i="18" s="1"/>
  <c r="BT96" i="6"/>
  <c r="BL647" i="18" s="1"/>
  <c r="BE176" i="6"/>
  <c r="BE125" i="6"/>
  <c r="AW694" i="18" s="1"/>
  <c r="BE114" i="6"/>
  <c r="AW667" i="18" s="1"/>
  <c r="BB115" i="6"/>
  <c r="AT668" i="18" s="1"/>
  <c r="BB109" i="6"/>
  <c r="AT662" i="18" s="1"/>
  <c r="BB103" i="6"/>
  <c r="AT656" i="18" s="1"/>
  <c r="CR102" i="6"/>
  <c r="CJ655" i="18" s="1"/>
  <c r="BJ115" i="6"/>
  <c r="BB668" i="18" s="1"/>
  <c r="BJ128" i="6"/>
  <c r="BJ109" i="6"/>
  <c r="BB662" i="18" s="1"/>
  <c r="CT102" i="6"/>
  <c r="CL655" i="18" s="1"/>
  <c r="BJ103" i="6"/>
  <c r="BB656" i="18" s="1"/>
  <c r="BJ104" i="6"/>
  <c r="BB658" i="18" s="1"/>
  <c r="BR109" i="6"/>
  <c r="BV110" i="6" s="1"/>
  <c r="BN663" i="18" s="1"/>
  <c r="BR115" i="6"/>
  <c r="BJ668" i="18" s="1"/>
  <c r="BR103" i="6"/>
  <c r="BJ656" i="18" s="1"/>
  <c r="CV102" i="6"/>
  <c r="CN655" i="18" s="1"/>
  <c r="BZ115" i="6"/>
  <c r="BR668" i="18" s="1"/>
  <c r="BZ109" i="6"/>
  <c r="BR662" i="18" s="1"/>
  <c r="CX102" i="6"/>
  <c r="BZ104" i="6"/>
  <c r="BR658" i="18" s="1"/>
  <c r="BZ103" i="6"/>
  <c r="BR656" i="18" s="1"/>
  <c r="CS103" i="6"/>
  <c r="CK656" i="18" s="1"/>
  <c r="CS100" i="6"/>
  <c r="CK653" i="18" s="1"/>
  <c r="BK103" i="6"/>
  <c r="BC656" i="18" s="1"/>
  <c r="AL110" i="6"/>
  <c r="AP121" i="6"/>
  <c r="AT110" i="6"/>
  <c r="AX121" i="6"/>
  <c r="AX110" i="6"/>
  <c r="AT121" i="6"/>
  <c r="BL12" i="5"/>
  <c r="BL77" i="6" s="1"/>
  <c r="BD614" i="18" s="1"/>
  <c r="AU238" i="5"/>
  <c r="BC14" i="6"/>
  <c r="AU568" i="18" s="1"/>
  <c r="BC12" i="6"/>
  <c r="AU566" i="18" s="1"/>
  <c r="BK14" i="6"/>
  <c r="BC568" i="18" s="1"/>
  <c r="BK12" i="6"/>
  <c r="BC566" i="18" s="1"/>
  <c r="BW15" i="6"/>
  <c r="BO1244" i="18" s="1"/>
  <c r="BS14" i="6"/>
  <c r="BK568" i="18" s="1"/>
  <c r="BS12" i="6"/>
  <c r="CA14" i="6"/>
  <c r="BS568" i="18" s="1"/>
  <c r="CA12" i="6"/>
  <c r="BS566" i="18" s="1"/>
  <c r="AU18" i="6"/>
  <c r="BR15" i="6"/>
  <c r="BJ1244" i="18" s="1"/>
  <c r="AP335" i="6"/>
  <c r="AP64" i="6"/>
  <c r="AP65" i="6" s="1"/>
  <c r="AP67" i="6"/>
  <c r="AP68" i="6" s="1"/>
  <c r="AV26" i="6"/>
  <c r="AV27" i="6" s="1"/>
  <c r="BH47" i="6"/>
  <c r="BT46" i="6"/>
  <c r="BL577" i="18" s="1"/>
  <c r="BA48" i="6"/>
  <c r="AS578" i="18" s="1"/>
  <c r="BB59" i="6"/>
  <c r="BB60" i="6"/>
  <c r="AK70" i="6"/>
  <c r="AK67" i="6"/>
  <c r="AK68" i="6" s="1"/>
  <c r="AL64" i="6"/>
  <c r="AL78" i="6"/>
  <c r="AL75" i="6"/>
  <c r="AP76" i="6" s="1"/>
  <c r="CO77" i="6"/>
  <c r="CO78" i="6"/>
  <c r="CO75" i="6"/>
  <c r="BB77" i="6"/>
  <c r="AT614" i="18" s="1"/>
  <c r="BR78" i="6"/>
  <c r="BC104" i="6"/>
  <c r="AU658" i="18" s="1"/>
  <c r="BC109" i="6"/>
  <c r="AU662" i="18" s="1"/>
  <c r="BK128" i="6"/>
  <c r="BK109" i="6"/>
  <c r="BC662" i="18" s="1"/>
  <c r="BK115" i="6"/>
  <c r="BC668" i="18" s="1"/>
  <c r="BK104" i="6"/>
  <c r="BC658" i="18" s="1"/>
  <c r="BO109" i="6"/>
  <c r="BG662" i="18" s="1"/>
  <c r="BS128" i="6"/>
  <c r="BS115" i="6"/>
  <c r="BK668" i="18" s="1"/>
  <c r="BS109" i="6"/>
  <c r="BK662" i="18" s="1"/>
  <c r="BS103" i="6"/>
  <c r="BK656" i="18" s="1"/>
  <c r="CA109" i="6"/>
  <c r="BS662" i="18" s="1"/>
  <c r="CA103" i="6"/>
  <c r="BS656" i="18" s="1"/>
  <c r="CA104" i="6"/>
  <c r="BP658" i="18" s="1"/>
  <c r="AV77" i="6"/>
  <c r="AV75" i="6"/>
  <c r="AV76" i="6" s="1"/>
  <c r="AV78" i="6"/>
  <c r="BT75" i="6"/>
  <c r="BT77" i="6"/>
  <c r="BL614" i="18" s="1"/>
  <c r="BT78" i="6"/>
  <c r="BU90" i="6"/>
  <c r="BM641" i="18" s="1"/>
  <c r="CW86" i="6"/>
  <c r="BU87" i="6"/>
  <c r="BM638" i="18" s="1"/>
  <c r="AT88" i="6"/>
  <c r="CO96" i="6"/>
  <c r="CO93" i="6"/>
  <c r="CO94" i="6" s="1"/>
  <c r="CO63" i="6"/>
  <c r="AT222" i="5"/>
  <c r="AT188" i="5" s="1"/>
  <c r="AW238" i="5"/>
  <c r="CS11" i="6"/>
  <c r="BM14" i="6"/>
  <c r="BE568" i="18" s="1"/>
  <c r="BY15" i="6"/>
  <c r="BQ1244" i="18" s="1"/>
  <c r="BU14" i="6"/>
  <c r="BM568" i="18" s="1"/>
  <c r="AO18" i="6"/>
  <c r="AW18" i="6"/>
  <c r="BO12" i="6"/>
  <c r="BG566" i="18" s="1"/>
  <c r="AO13" i="6"/>
  <c r="AX13" i="6"/>
  <c r="BN14" i="6"/>
  <c r="BF568" i="18" s="1"/>
  <c r="BJ15" i="6"/>
  <c r="BB1244" i="18" s="1"/>
  <c r="AR335" i="6"/>
  <c r="AR70" i="6"/>
  <c r="AR67" i="6"/>
  <c r="AR68" i="6" s="1"/>
  <c r="AR66" i="6"/>
  <c r="AR64" i="6"/>
  <c r="AV33" i="6"/>
  <c r="AV56" i="6"/>
  <c r="AV32" i="6"/>
  <c r="BC356" i="6"/>
  <c r="BC357" i="6" s="1"/>
  <c r="BC38" i="6"/>
  <c r="AU593" i="18" s="1"/>
  <c r="BF154" i="6"/>
  <c r="AX671" i="18" s="1"/>
  <c r="BF41" i="6"/>
  <c r="BJ47" i="6"/>
  <c r="BJ48" i="6" s="1"/>
  <c r="BB578" i="18" s="1"/>
  <c r="BN154" i="6"/>
  <c r="BF671" i="18" s="1"/>
  <c r="BN41" i="6"/>
  <c r="CN262" i="6"/>
  <c r="CN254" i="6" s="1"/>
  <c r="CN154" i="6"/>
  <c r="CN46" i="6"/>
  <c r="AQ59" i="6"/>
  <c r="AN57" i="6"/>
  <c r="AR58" i="6" s="1"/>
  <c r="AO335" i="6"/>
  <c r="AO64" i="6"/>
  <c r="AO65" i="6" s="1"/>
  <c r="AO67" i="6"/>
  <c r="AO66" i="6"/>
  <c r="AL70" i="6"/>
  <c r="BL75" i="6"/>
  <c r="AH77" i="6"/>
  <c r="BN90" i="6"/>
  <c r="BF641" i="18" s="1"/>
  <c r="BF88" i="6"/>
  <c r="AX639" i="18" s="1"/>
  <c r="BJ88" i="6"/>
  <c r="BB639" i="18" s="1"/>
  <c r="BO96" i="6"/>
  <c r="BG647" i="18" s="1"/>
  <c r="CN63" i="6"/>
  <c r="CN96" i="6"/>
  <c r="CN93" i="6"/>
  <c r="BL113" i="6"/>
  <c r="BD666" i="18" s="1"/>
  <c r="BL316" i="6"/>
  <c r="BD849" i="18" s="1"/>
  <c r="BP100" i="6"/>
  <c r="BH653" i="18" s="1"/>
  <c r="BL124" i="6"/>
  <c r="BD693" i="18" s="1"/>
  <c r="BL101" i="6"/>
  <c r="BD654" i="18" s="1"/>
  <c r="BE41" i="6"/>
  <c r="BL48" i="6"/>
  <c r="BD578" i="18" s="1"/>
  <c r="BD78" i="6"/>
  <c r="BD75" i="6"/>
  <c r="AV612" i="18" s="1"/>
  <c r="BD77" i="6"/>
  <c r="AV614" i="18" s="1"/>
  <c r="AX78" i="6"/>
  <c r="BM90" i="6"/>
  <c r="BE641" i="18" s="1"/>
  <c r="CU86" i="6"/>
  <c r="CM637" i="18" s="1"/>
  <c r="BM89" i="6"/>
  <c r="BE640" i="18" s="1"/>
  <c r="BM87" i="6"/>
  <c r="BE638" i="18" s="1"/>
  <c r="BI316" i="6"/>
  <c r="BA849" i="18" s="1"/>
  <c r="AS116" i="6"/>
  <c r="BA24" i="5"/>
  <c r="BD222" i="5"/>
  <c r="BL222" i="5"/>
  <c r="BT222" i="5"/>
  <c r="CV222" i="5" s="1"/>
  <c r="CU11" i="6"/>
  <c r="BG12" i="6"/>
  <c r="AY566" i="18" s="1"/>
  <c r="AT15" i="6"/>
  <c r="BB15" i="6"/>
  <c r="AT1244" i="18" s="1"/>
  <c r="BA17" i="6"/>
  <c r="AM26" i="6"/>
  <c r="AM63" i="6"/>
  <c r="AW56" i="6"/>
  <c r="AW25" i="6"/>
  <c r="BD356" i="6"/>
  <c r="BD357" i="6" s="1"/>
  <c r="BH35" i="6"/>
  <c r="BG154" i="6"/>
  <c r="AY671" i="18" s="1"/>
  <c r="BG41" i="6"/>
  <c r="BK15" i="6"/>
  <c r="BC1244" i="18" s="1"/>
  <c r="BK47" i="6"/>
  <c r="BS15" i="6"/>
  <c r="BK1244" i="18" s="1"/>
  <c r="BO41" i="6"/>
  <c r="BS47" i="6"/>
  <c r="BT48" i="6" s="1"/>
  <c r="BL578" i="18" s="1"/>
  <c r="CN41" i="6"/>
  <c r="BN46" i="6"/>
  <c r="BF577" i="18" s="1"/>
  <c r="AQ60" i="6"/>
  <c r="AQ61" i="6" s="1"/>
  <c r="AG60" i="6"/>
  <c r="BR77" i="6"/>
  <c r="BJ614" i="18" s="1"/>
  <c r="BH90" i="6"/>
  <c r="AZ641" i="18" s="1"/>
  <c r="BG90" i="6"/>
  <c r="AY641" i="18" s="1"/>
  <c r="BG87" i="6"/>
  <c r="BG89" i="6"/>
  <c r="AY640" i="18" s="1"/>
  <c r="BP90" i="6"/>
  <c r="BH641" i="18" s="1"/>
  <c r="BO87" i="6"/>
  <c r="BO89" i="6"/>
  <c r="BG640" i="18" s="1"/>
  <c r="BX90" i="6"/>
  <c r="BP641" i="18" s="1"/>
  <c r="BW90" i="6"/>
  <c r="BO641" i="18" s="1"/>
  <c r="BH96" i="6"/>
  <c r="AZ647" i="18" s="1"/>
  <c r="BF283" i="6"/>
  <c r="AX805" i="18" s="1"/>
  <c r="BF109" i="6"/>
  <c r="AX662" i="18" s="1"/>
  <c r="BG103" i="6"/>
  <c r="AY656" i="18" s="1"/>
  <c r="BF104" i="6"/>
  <c r="AX658" i="18" s="1"/>
  <c r="BF103" i="6"/>
  <c r="AX656" i="18" s="1"/>
  <c r="BF100" i="6"/>
  <c r="AX653" i="18" s="1"/>
  <c r="BN109" i="6"/>
  <c r="BF662" i="18" s="1"/>
  <c r="BN104" i="6"/>
  <c r="BF658" i="18" s="1"/>
  <c r="BN115" i="6"/>
  <c r="BF668" i="18" s="1"/>
  <c r="BV115" i="6"/>
  <c r="BN668" i="18" s="1"/>
  <c r="CW102" i="6"/>
  <c r="BV104" i="6"/>
  <c r="BN658" i="18" s="1"/>
  <c r="BV103" i="6"/>
  <c r="BN656" i="18" s="1"/>
  <c r="BR104" i="6"/>
  <c r="BJ658" i="18" s="1"/>
  <c r="AP110" i="6"/>
  <c r="AM116" i="6"/>
  <c r="AU116" i="6"/>
  <c r="BF115" i="6"/>
  <c r="AX668" i="18" s="1"/>
  <c r="CV171" i="6"/>
  <c r="CV172" i="6"/>
  <c r="CU181" i="6"/>
  <c r="CM154" i="6"/>
  <c r="CN47" i="6"/>
  <c r="CM46" i="6"/>
  <c r="CL40" i="6"/>
  <c r="BL78" i="6"/>
  <c r="BH75" i="6"/>
  <c r="BE90" i="6"/>
  <c r="AW641" i="18" s="1"/>
  <c r="BF90" i="6"/>
  <c r="AX641" i="18" s="1"/>
  <c r="BE87" i="6"/>
  <c r="CS86" i="6"/>
  <c r="BE89" i="6"/>
  <c r="AW640" i="18" s="1"/>
  <c r="BI94" i="6"/>
  <c r="BA645" i="18" s="1"/>
  <c r="BY135" i="6"/>
  <c r="BY136" i="6" s="1"/>
  <c r="BY110" i="6"/>
  <c r="BQ663" i="18" s="1"/>
  <c r="AK116" i="6"/>
  <c r="AZ96" i="6"/>
  <c r="AR647" i="18" s="1"/>
  <c r="AZ89" i="6"/>
  <c r="AR640" i="18" s="1"/>
  <c r="AZ38" i="6"/>
  <c r="AR593" i="18" s="1"/>
  <c r="AL196" i="5"/>
  <c r="AV222" i="5"/>
  <c r="AV188" i="5" s="1"/>
  <c r="CS414" i="5"/>
  <c r="CK307" i="18" s="1"/>
  <c r="AQ18" i="6"/>
  <c r="AQ13" i="6"/>
  <c r="AY18" i="6"/>
  <c r="AY13" i="6"/>
  <c r="AN70" i="6"/>
  <c r="AN66" i="6"/>
  <c r="AN64" i="6"/>
  <c r="AV335" i="6"/>
  <c r="AV67" i="6"/>
  <c r="AV68" i="6" s="1"/>
  <c r="BE356" i="6"/>
  <c r="BI35" i="6"/>
  <c r="BI154" i="6" s="1"/>
  <c r="BA671" i="18" s="1"/>
  <c r="BE154" i="6"/>
  <c r="AW671" i="18" s="1"/>
  <c r="CS35" i="6"/>
  <c r="BE37" i="6"/>
  <c r="CR37" i="6"/>
  <c r="BJ42" i="6"/>
  <c r="BB574" i="18" s="1"/>
  <c r="BG45" i="6"/>
  <c r="CO154" i="6"/>
  <c r="CO41" i="6"/>
  <c r="CO46" i="6"/>
  <c r="BO46" i="6"/>
  <c r="BG577" i="18" s="1"/>
  <c r="AK60" i="6"/>
  <c r="AK59" i="6"/>
  <c r="AK57" i="6"/>
  <c r="AO58" i="6" s="1"/>
  <c r="AO59" i="6"/>
  <c r="AV64" i="6"/>
  <c r="BR75" i="6"/>
  <c r="BV90" i="6"/>
  <c r="BN641" i="18" s="1"/>
  <c r="CR92" i="6"/>
  <c r="CJ643" i="18" s="1"/>
  <c r="BA93" i="6"/>
  <c r="BB95" i="6"/>
  <c r="AT646" i="18" s="1"/>
  <c r="BJ95" i="6"/>
  <c r="BB646" i="18" s="1"/>
  <c r="BI95" i="6"/>
  <c r="BA646" i="18" s="1"/>
  <c r="BI96" i="6"/>
  <c r="BA647" i="18" s="1"/>
  <c r="BQ96" i="6"/>
  <c r="BI647" i="18" s="1"/>
  <c r="CV92" i="6"/>
  <c r="CN643" i="18" s="1"/>
  <c r="BZ95" i="6"/>
  <c r="BR646" i="18" s="1"/>
  <c r="BY95" i="6"/>
  <c r="BQ646" i="18" s="1"/>
  <c r="CX92" i="6"/>
  <c r="CP643" i="18" s="1"/>
  <c r="CT92" i="6"/>
  <c r="CL643" i="18" s="1"/>
  <c r="BQ95" i="6"/>
  <c r="BI646" i="18" s="1"/>
  <c r="BC103" i="6"/>
  <c r="AU656" i="18" s="1"/>
  <c r="BS104" i="6"/>
  <c r="BK658" i="18" s="1"/>
  <c r="AQ110" i="6"/>
  <c r="AU110" i="6"/>
  <c r="AY110" i="6"/>
  <c r="AY121" i="6"/>
  <c r="AV139" i="6"/>
  <c r="BG15" i="6"/>
  <c r="AY1244" i="18" s="1"/>
  <c r="BO15" i="6"/>
  <c r="BG1244" i="18" s="1"/>
  <c r="AU16" i="6"/>
  <c r="AU17" i="6" s="1"/>
  <c r="BC16" i="6"/>
  <c r="AK26" i="6"/>
  <c r="AX30" i="6"/>
  <c r="AZ166" i="6"/>
  <c r="AR716" i="18" s="1"/>
  <c r="AZ155" i="6"/>
  <c r="AR672" i="18" s="1"/>
  <c r="BH154" i="6"/>
  <c r="AZ671" i="18" s="1"/>
  <c r="BB41" i="6"/>
  <c r="BK41" i="6"/>
  <c r="BT41" i="6"/>
  <c r="BH46" i="6"/>
  <c r="AZ577" i="18" s="1"/>
  <c r="AT56" i="6"/>
  <c r="AJ77" i="6"/>
  <c r="BK96" i="6"/>
  <c r="BC647" i="18" s="1"/>
  <c r="AV94" i="6"/>
  <c r="AZ94" i="6"/>
  <c r="AR645" i="18" s="1"/>
  <c r="BJ94" i="6"/>
  <c r="BB645" i="18" s="1"/>
  <c r="BF94" i="6"/>
  <c r="AX645" i="18" s="1"/>
  <c r="CO115" i="6"/>
  <c r="CM143" i="6"/>
  <c r="AG165" i="6"/>
  <c r="CT191" i="6"/>
  <c r="AT33" i="6"/>
  <c r="BJ154" i="6"/>
  <c r="BB671" i="18" s="1"/>
  <c r="BK44" i="6"/>
  <c r="BS44" i="6"/>
  <c r="AL45" i="6"/>
  <c r="AU45" i="6"/>
  <c r="BJ46" i="6"/>
  <c r="BB577" i="18" s="1"/>
  <c r="CQ74" i="6"/>
  <c r="CI611" i="18" s="1"/>
  <c r="BG77" i="6"/>
  <c r="AY614" i="18" s="1"/>
  <c r="CS74" i="6"/>
  <c r="CK611" i="18" s="1"/>
  <c r="CQ87" i="6"/>
  <c r="CI638" i="18" s="1"/>
  <c r="AO88" i="6"/>
  <c r="AS88" i="6"/>
  <c r="BE96" i="6"/>
  <c r="AW647" i="18" s="1"/>
  <c r="CS92" i="6"/>
  <c r="CK643" i="18" s="1"/>
  <c r="BE95" i="6"/>
  <c r="AW646" i="18" s="1"/>
  <c r="BM96" i="6"/>
  <c r="BE647" i="18" s="1"/>
  <c r="BM95" i="6"/>
  <c r="BE646" i="18" s="1"/>
  <c r="BM93" i="6"/>
  <c r="BN95" i="6"/>
  <c r="BF646" i="18" s="1"/>
  <c r="BV95" i="6"/>
  <c r="BN646" i="18" s="1"/>
  <c r="BU93" i="6"/>
  <c r="CW92" i="6"/>
  <c r="CO643" i="18" s="1"/>
  <c r="CU92" i="6"/>
  <c r="CM643" i="18" s="1"/>
  <c r="BF95" i="6"/>
  <c r="AX646" i="18" s="1"/>
  <c r="BW103" i="6"/>
  <c r="BO656" i="18" s="1"/>
  <c r="CC174" i="6"/>
  <c r="CC172" i="6"/>
  <c r="CD170" i="6"/>
  <c r="CC171" i="6"/>
  <c r="BC154" i="6"/>
  <c r="AU671" i="18" s="1"/>
  <c r="BG47" i="6"/>
  <c r="BG48" i="6" s="1"/>
  <c r="AY578" i="18" s="1"/>
  <c r="BC46" i="6"/>
  <c r="AU577" i="18" s="1"/>
  <c r="BO47" i="6"/>
  <c r="BO48" i="6" s="1"/>
  <c r="BG578" i="18" s="1"/>
  <c r="BK46" i="6"/>
  <c r="BC577" i="18" s="1"/>
  <c r="BS46" i="6"/>
  <c r="BK577" i="18" s="1"/>
  <c r="BT44" i="6"/>
  <c r="BL576" i="18" s="1"/>
  <c r="CN57" i="6"/>
  <c r="AR78" i="6"/>
  <c r="AZ77" i="6"/>
  <c r="AR614" i="18" s="1"/>
  <c r="AZ75" i="6"/>
  <c r="AR612" i="18" s="1"/>
  <c r="AZ78" i="6"/>
  <c r="BP78" i="6"/>
  <c r="BC76" i="6"/>
  <c r="AU613" i="18" s="1"/>
  <c r="AR77" i="6"/>
  <c r="BC89" i="6"/>
  <c r="AU640" i="18" s="1"/>
  <c r="BC90" i="6"/>
  <c r="AU641" i="18" s="1"/>
  <c r="BK90" i="6"/>
  <c r="BC641" i="18" s="1"/>
  <c r="BK87" i="6"/>
  <c r="BC638" i="18" s="1"/>
  <c r="BK89" i="6"/>
  <c r="BC640" i="18" s="1"/>
  <c r="BS87" i="6"/>
  <c r="BS89" i="6"/>
  <c r="BK640" i="18" s="1"/>
  <c r="CR86" i="6"/>
  <c r="CJ637" i="18" s="1"/>
  <c r="BN94" i="6"/>
  <c r="BF645" i="18" s="1"/>
  <c r="BR94" i="6"/>
  <c r="BJ645" i="18" s="1"/>
  <c r="BH176" i="6"/>
  <c r="BH125" i="6"/>
  <c r="AZ694" i="18" s="1"/>
  <c r="AO116" i="6"/>
  <c r="AW116" i="6"/>
  <c r="AO689" i="18" s="1"/>
  <c r="AK155" i="6"/>
  <c r="AK157" i="6" s="1"/>
  <c r="AK108" i="6" s="1"/>
  <c r="AK166" i="6"/>
  <c r="AO155" i="6"/>
  <c r="AO157" i="6" s="1"/>
  <c r="AO108" i="6" s="1"/>
  <c r="AS166" i="6"/>
  <c r="AS155" i="6"/>
  <c r="AS157" i="6" s="1"/>
  <c r="AS108" i="6" s="1"/>
  <c r="BK154" i="6"/>
  <c r="BC671" i="18" s="1"/>
  <c r="BS182" i="6"/>
  <c r="BO183" i="6"/>
  <c r="BX183" i="6"/>
  <c r="BP1308" i="18" s="1"/>
  <c r="CB182" i="6"/>
  <c r="BT1307" i="18" s="1"/>
  <c r="AT30" i="6"/>
  <c r="BB30" i="6"/>
  <c r="BJ356" i="6"/>
  <c r="BJ357" i="6" s="1"/>
  <c r="BN35" i="6"/>
  <c r="BJ37" i="6"/>
  <c r="BD154" i="6"/>
  <c r="AV671" i="18" s="1"/>
  <c r="BP41" i="6"/>
  <c r="BL44" i="6"/>
  <c r="BD46" i="6"/>
  <c r="AV577" i="18" s="1"/>
  <c r="BC47" i="6"/>
  <c r="BD48" i="6" s="1"/>
  <c r="AV578" i="18" s="1"/>
  <c r="AG67" i="6"/>
  <c r="AS78" i="6"/>
  <c r="CP74" i="6"/>
  <c r="CR74" i="6"/>
  <c r="CJ611" i="18" s="1"/>
  <c r="BA75" i="6"/>
  <c r="BI75" i="6"/>
  <c r="CV74" i="6"/>
  <c r="CN611" i="18" s="1"/>
  <c r="BQ77" i="6"/>
  <c r="BI614" i="18" s="1"/>
  <c r="BQ75" i="6"/>
  <c r="AS77" i="6"/>
  <c r="AN78" i="6"/>
  <c r="BD89" i="6"/>
  <c r="AV640" i="18" s="1"/>
  <c r="BH87" i="6"/>
  <c r="AZ638" i="18" s="1"/>
  <c r="BT90" i="6"/>
  <c r="BL641" i="18" s="1"/>
  <c r="BT87" i="6"/>
  <c r="CB87" i="6"/>
  <c r="CB90" i="6"/>
  <c r="BT641" i="18" s="1"/>
  <c r="BL90" i="6"/>
  <c r="BD641" i="18" s="1"/>
  <c r="CN89" i="6"/>
  <c r="CN87" i="6"/>
  <c r="CO88" i="6" s="1"/>
  <c r="BG95" i="6"/>
  <c r="AY646" i="18" s="1"/>
  <c r="BG93" i="6"/>
  <c r="BG96" i="6"/>
  <c r="AY647" i="18" s="1"/>
  <c r="BO95" i="6"/>
  <c r="BG646" i="18" s="1"/>
  <c r="BO93" i="6"/>
  <c r="BG644" i="18" s="1"/>
  <c r="BP95" i="6"/>
  <c r="BH646" i="18" s="1"/>
  <c r="BW95" i="6"/>
  <c r="BO646" i="18" s="1"/>
  <c r="BW93" i="6"/>
  <c r="BX95" i="6"/>
  <c r="BP646" i="18" s="1"/>
  <c r="BH316" i="6"/>
  <c r="AZ849" i="18" s="1"/>
  <c r="BD100" i="6"/>
  <c r="BH124" i="6"/>
  <c r="AZ693" i="18" s="1"/>
  <c r="CP109" i="6"/>
  <c r="CO103" i="6"/>
  <c r="BF37" i="6"/>
  <c r="BM41" i="6"/>
  <c r="CP155" i="6"/>
  <c r="CP166" i="6"/>
  <c r="AI370" i="6"/>
  <c r="AU78" i="6"/>
  <c r="AU77" i="6"/>
  <c r="AU75" i="6"/>
  <c r="BZ87" i="6"/>
  <c r="BP96" i="6"/>
  <c r="BH647" i="18" s="1"/>
  <c r="BH93" i="6"/>
  <c r="CB93" i="6"/>
  <c r="AT94" i="6"/>
  <c r="BT95" i="6"/>
  <c r="BL646" i="18" s="1"/>
  <c r="BE283" i="6"/>
  <c r="AW805" i="18" s="1"/>
  <c r="BE109" i="6"/>
  <c r="AW662" i="18" s="1"/>
  <c r="BI115" i="6"/>
  <c r="BA668" i="18" s="1"/>
  <c r="BE104" i="6"/>
  <c r="AW658" i="18" s="1"/>
  <c r="CU102" i="6"/>
  <c r="BQ109" i="6"/>
  <c r="BI662" i="18" s="1"/>
  <c r="BM115" i="6"/>
  <c r="BE668" i="18" s="1"/>
  <c r="BU115" i="6"/>
  <c r="BM668" i="18" s="1"/>
  <c r="BU109" i="6"/>
  <c r="BM662" i="18" s="1"/>
  <c r="BM103" i="6"/>
  <c r="BE656" i="18" s="1"/>
  <c r="AQ120" i="6"/>
  <c r="AS121" i="6"/>
  <c r="AS110" i="6"/>
  <c r="BX109" i="6"/>
  <c r="BP662" i="18" s="1"/>
  <c r="AW110" i="6"/>
  <c r="AN166" i="6"/>
  <c r="AN155" i="6"/>
  <c r="AN157" i="6" s="1"/>
  <c r="AN108" i="6" s="1"/>
  <c r="AR155" i="6"/>
  <c r="AR157" i="6" s="1"/>
  <c r="AR108" i="6" s="1"/>
  <c r="AV166" i="6"/>
  <c r="BP182" i="6"/>
  <c r="BP183" i="6"/>
  <c r="BY183" i="6"/>
  <c r="BQ1308" i="18" s="1"/>
  <c r="CN74" i="6"/>
  <c r="BE77" i="6"/>
  <c r="AW614" i="18" s="1"/>
  <c r="BE75" i="6"/>
  <c r="CU74" i="6"/>
  <c r="CM611" i="18" s="1"/>
  <c r="BS75" i="6"/>
  <c r="AO77" i="6"/>
  <c r="AY77" i="6"/>
  <c r="CP87" i="6"/>
  <c r="CP88" i="6" s="1"/>
  <c r="BR87" i="6"/>
  <c r="CP93" i="6"/>
  <c r="BT93" i="6"/>
  <c r="BG109" i="6"/>
  <c r="AY662" i="18" s="1"/>
  <c r="BG115" i="6"/>
  <c r="AY668" i="18" s="1"/>
  <c r="BG100" i="6"/>
  <c r="AY653" i="18" s="1"/>
  <c r="BW109" i="6"/>
  <c r="BO662" i="18" s="1"/>
  <c r="BW115" i="6"/>
  <c r="BO668" i="18" s="1"/>
  <c r="BW104" i="6"/>
  <c r="BO658" i="18" s="1"/>
  <c r="BO103" i="6"/>
  <c r="BG656" i="18" s="1"/>
  <c r="BY103" i="6"/>
  <c r="BQ656" i="18" s="1"/>
  <c r="BO104" i="6"/>
  <c r="BG658" i="18" s="1"/>
  <c r="AV120" i="6"/>
  <c r="AU121" i="6"/>
  <c r="BI110" i="6"/>
  <c r="BA663" i="18" s="1"/>
  <c r="AX116" i="6"/>
  <c r="AP689" i="18" s="1"/>
  <c r="BO115" i="6"/>
  <c r="BG668" i="18" s="1"/>
  <c r="AX139" i="6"/>
  <c r="AH166" i="6"/>
  <c r="AH167" i="6" s="1"/>
  <c r="AH155" i="6"/>
  <c r="AL155" i="6"/>
  <c r="CC189" i="6"/>
  <c r="BU1314" i="18" s="1"/>
  <c r="AO76" i="6"/>
  <c r="BE78" i="6"/>
  <c r="BA87" i="6"/>
  <c r="BI89" i="6"/>
  <c r="BA640" i="18" s="1"/>
  <c r="BI87" i="6"/>
  <c r="BQ89" i="6"/>
  <c r="BI640" i="18" s="1"/>
  <c r="BQ87" i="6"/>
  <c r="BI638" i="18" s="1"/>
  <c r="BY87" i="6"/>
  <c r="BB89" i="6"/>
  <c r="AT640" i="18" s="1"/>
  <c r="BQ90" i="6"/>
  <c r="BI641" i="18" s="1"/>
  <c r="BK93" i="6"/>
  <c r="BC95" i="6"/>
  <c r="AU646" i="18" s="1"/>
  <c r="AZ115" i="6"/>
  <c r="AZ109" i="6"/>
  <c r="AR662" i="18" s="1"/>
  <c r="AZ103" i="6"/>
  <c r="AR656" i="18" s="1"/>
  <c r="BH115" i="6"/>
  <c r="AZ668" i="18" s="1"/>
  <c r="BH109" i="6"/>
  <c r="AZ662" i="18" s="1"/>
  <c r="BI103" i="6"/>
  <c r="BA656" i="18" s="1"/>
  <c r="BP109" i="6"/>
  <c r="BH662" i="18" s="1"/>
  <c r="BP103" i="6"/>
  <c r="BH656" i="18" s="1"/>
  <c r="BP104" i="6"/>
  <c r="BH658" i="18" s="1"/>
  <c r="BP115" i="6"/>
  <c r="BH668" i="18" s="1"/>
  <c r="AV330" i="6"/>
  <c r="AR331" i="6"/>
  <c r="AM78" i="6"/>
  <c r="AM77" i="6"/>
  <c r="AQ75" i="6"/>
  <c r="AQ76" i="6" s="1"/>
  <c r="AY75" i="6"/>
  <c r="AY76" i="6" s="1"/>
  <c r="BG75" i="6"/>
  <c r="BO75" i="6"/>
  <c r="BG612" i="18" s="1"/>
  <c r="BK75" i="6"/>
  <c r="AQ77" i="6"/>
  <c r="BD95" i="6"/>
  <c r="AV646" i="18" s="1"/>
  <c r="BL93" i="6"/>
  <c r="BX93" i="6"/>
  <c r="BE316" i="6"/>
  <c r="AW849" i="18" s="1"/>
  <c r="BE124" i="6"/>
  <c r="BE113" i="6"/>
  <c r="AW666" i="18" s="1"/>
  <c r="CN109" i="6"/>
  <c r="CN110" i="6" s="1"/>
  <c r="CN115" i="6"/>
  <c r="CN103" i="6"/>
  <c r="BG104" i="6"/>
  <c r="AY658" i="18" s="1"/>
  <c r="BM121" i="6"/>
  <c r="BE685" i="18" s="1"/>
  <c r="BM110" i="6"/>
  <c r="BE663" i="18" s="1"/>
  <c r="CR324" i="6"/>
  <c r="CJ858" i="18" s="1"/>
  <c r="BA325" i="6"/>
  <c r="AS859" i="18" s="1"/>
  <c r="BE325" i="6"/>
  <c r="AW859" i="18" s="1"/>
  <c r="BA327" i="6"/>
  <c r="AS861" i="18" s="1"/>
  <c r="BE327" i="6"/>
  <c r="AW861" i="18" s="1"/>
  <c r="BI327" i="6"/>
  <c r="BA861" i="18" s="1"/>
  <c r="BI325" i="6"/>
  <c r="BA859" i="18" s="1"/>
  <c r="CT324" i="6"/>
  <c r="CL858" i="18" s="1"/>
  <c r="CV324" i="6"/>
  <c r="CN858" i="18" s="1"/>
  <c r="BU325" i="6"/>
  <c r="BM859" i="18" s="1"/>
  <c r="BU327" i="6"/>
  <c r="BM861" i="18" s="1"/>
  <c r="BQ327" i="6"/>
  <c r="BI861" i="18" s="1"/>
  <c r="BQ325" i="6"/>
  <c r="BI859" i="18" s="1"/>
  <c r="CC324" i="6"/>
  <c r="BU858" i="18" s="1"/>
  <c r="CX324" i="6"/>
  <c r="CP858" i="18" s="1"/>
  <c r="BY327" i="6"/>
  <c r="BQ861" i="18" s="1"/>
  <c r="BY325" i="6"/>
  <c r="BQ859" i="18" s="1"/>
  <c r="AO326" i="6"/>
  <c r="AO328" i="6"/>
  <c r="AS326" i="6"/>
  <c r="AW326" i="6"/>
  <c r="AW328" i="6"/>
  <c r="BX328" i="6"/>
  <c r="BP862" i="18" s="1"/>
  <c r="BX326" i="6"/>
  <c r="BP860" i="18" s="1"/>
  <c r="BN75" i="6"/>
  <c r="BF612" i="18" s="1"/>
  <c r="AL77" i="6"/>
  <c r="BN77" i="6"/>
  <c r="BF614" i="18" s="1"/>
  <c r="BD115" i="6"/>
  <c r="AV668" i="18" s="1"/>
  <c r="BD109" i="6"/>
  <c r="AV662" i="18" s="1"/>
  <c r="BD104" i="6"/>
  <c r="AV658" i="18" s="1"/>
  <c r="BD103" i="6"/>
  <c r="AV656" i="18" s="1"/>
  <c r="BL115" i="6"/>
  <c r="BD668" i="18" s="1"/>
  <c r="BL109" i="6"/>
  <c r="BD662" i="18" s="1"/>
  <c r="BL104" i="6"/>
  <c r="BD658" i="18" s="1"/>
  <c r="BL103" i="6"/>
  <c r="BD656" i="18" s="1"/>
  <c r="BT115" i="6"/>
  <c r="BL668" i="18" s="1"/>
  <c r="BT109" i="6"/>
  <c r="BL662" i="18" s="1"/>
  <c r="BT104" i="6"/>
  <c r="BL658" i="18" s="1"/>
  <c r="BT103" i="6"/>
  <c r="BL656" i="18" s="1"/>
  <c r="CB115" i="6"/>
  <c r="BT668" i="18" s="1"/>
  <c r="CB109" i="6"/>
  <c r="BT662" i="18" s="1"/>
  <c r="CB104" i="6"/>
  <c r="BT658" i="18" s="1"/>
  <c r="CB103" i="6"/>
  <c r="BT656" i="18" s="1"/>
  <c r="AO121" i="6"/>
  <c r="DA152" i="6"/>
  <c r="DA140" i="6"/>
  <c r="DA141" i="6" s="1"/>
  <c r="DB151" i="6"/>
  <c r="CD189" i="6"/>
  <c r="BB221" i="6"/>
  <c r="BB226" i="6"/>
  <c r="BB231" i="6" s="1"/>
  <c r="CQ325" i="6"/>
  <c r="CI859" i="18" s="1"/>
  <c r="CQ327" i="6"/>
  <c r="CI861" i="18" s="1"/>
  <c r="AW139" i="6"/>
  <c r="CW191" i="6"/>
  <c r="CO1316" i="18" s="1"/>
  <c r="CX187" i="6"/>
  <c r="CP1312" i="18" s="1"/>
  <c r="AW216" i="6"/>
  <c r="BA214" i="6"/>
  <c r="AW219" i="6"/>
  <c r="AV368" i="6"/>
  <c r="AV369" i="6" s="1"/>
  <c r="AV360" i="6"/>
  <c r="AI116" i="6"/>
  <c r="AI167" i="6"/>
  <c r="AJ116" i="6"/>
  <c r="AR116" i="6"/>
  <c r="AU139" i="6"/>
  <c r="AJ167" i="6"/>
  <c r="CQ171" i="6"/>
  <c r="CR171" i="6"/>
  <c r="AY214" i="6"/>
  <c r="CP214" i="6"/>
  <c r="CO325" i="6"/>
  <c r="CO327" i="6"/>
  <c r="BC77" i="6"/>
  <c r="AU614" i="18" s="1"/>
  <c r="BK77" i="6"/>
  <c r="BC614" i="18" s="1"/>
  <c r="BS77" i="6"/>
  <c r="BK614" i="18" s="1"/>
  <c r="BC78" i="6"/>
  <c r="BK78" i="6"/>
  <c r="BS78" i="6"/>
  <c r="AV110" i="6"/>
  <c r="CW181" i="6"/>
  <c r="CW171" i="6"/>
  <c r="CX171" i="6"/>
  <c r="CX174" i="6"/>
  <c r="BQ183" i="6"/>
  <c r="CF189" i="6"/>
  <c r="AI155" i="6"/>
  <c r="AW166" i="6"/>
  <c r="CQ154" i="6"/>
  <c r="CI671" i="18" s="1"/>
  <c r="AW155" i="6"/>
  <c r="BL171" i="6"/>
  <c r="BG359" i="6"/>
  <c r="AY892" i="18" s="1"/>
  <c r="AJ155" i="6"/>
  <c r="AP166" i="6"/>
  <c r="AP155" i="6"/>
  <c r="AP157" i="6" s="1"/>
  <c r="AP108" i="6" s="1"/>
  <c r="BL191" i="6"/>
  <c r="BM174" i="6"/>
  <c r="CU174" i="6" s="1"/>
  <c r="BL181" i="6"/>
  <c r="BM183" i="6" s="1"/>
  <c r="BL174" i="6"/>
  <c r="CT174" i="6" s="1"/>
  <c r="BP172" i="6"/>
  <c r="CT170" i="6"/>
  <c r="AQ326" i="6"/>
  <c r="AU326" i="6"/>
  <c r="AU328" i="6"/>
  <c r="AQ328" i="6"/>
  <c r="AY328" i="6"/>
  <c r="AY326" i="6"/>
  <c r="AP333" i="6"/>
  <c r="AP332" i="6"/>
  <c r="AT332" i="6"/>
  <c r="AT333" i="6"/>
  <c r="CW174" i="6"/>
  <c r="BF220" i="6"/>
  <c r="BJ215" i="6"/>
  <c r="AX226" i="6"/>
  <c r="AX221" i="6"/>
  <c r="CP347" i="6"/>
  <c r="BR182" i="6"/>
  <c r="CB183" i="6"/>
  <c r="CA183" i="6"/>
  <c r="CA182" i="6"/>
  <c r="BW182" i="6"/>
  <c r="CX186" i="6"/>
  <c r="BF214" i="6"/>
  <c r="BF216" i="6" s="1"/>
  <c r="BB219" i="6"/>
  <c r="BC327" i="6"/>
  <c r="AU861" i="18" s="1"/>
  <c r="BC325" i="6"/>
  <c r="AU859" i="18" s="1"/>
  <c r="BG327" i="6"/>
  <c r="AY861" i="18" s="1"/>
  <c r="BG325" i="6"/>
  <c r="AY859" i="18" s="1"/>
  <c r="BO327" i="6"/>
  <c r="BG861" i="18" s="1"/>
  <c r="BK327" i="6"/>
  <c r="BC861" i="18" s="1"/>
  <c r="CA327" i="6"/>
  <c r="BS861" i="18" s="1"/>
  <c r="CA325" i="6"/>
  <c r="BS859" i="18" s="1"/>
  <c r="CE324" i="6"/>
  <c r="BU333" i="6"/>
  <c r="BY331" i="6"/>
  <c r="BU332" i="6"/>
  <c r="AH366" i="6"/>
  <c r="AH370" i="6" s="1"/>
  <c r="AH337" i="6"/>
  <c r="AL336" i="6"/>
  <c r="CX345" i="6"/>
  <c r="CP879" i="18" s="1"/>
  <c r="AT368" i="6"/>
  <c r="AJ174" i="6"/>
  <c r="BZ182" i="6"/>
  <c r="BT191" i="6"/>
  <c r="BL1316" i="18" s="1"/>
  <c r="BU189" i="6"/>
  <c r="BT186" i="6"/>
  <c r="CV185" i="6"/>
  <c r="CW186" i="6" s="1"/>
  <c r="BT187" i="6"/>
  <c r="BL1312" i="18" s="1"/>
  <c r="BT189" i="6"/>
  <c r="BL1314" i="18" s="1"/>
  <c r="BT181" i="6"/>
  <c r="BL1306" i="18" s="1"/>
  <c r="BU188" i="6"/>
  <c r="AZ214" i="6"/>
  <c r="AV216" i="6"/>
  <c r="AZ216" i="6" s="1"/>
  <c r="BC215" i="6"/>
  <c r="AY216" i="6"/>
  <c r="BK328" i="6"/>
  <c r="BC862" i="18" s="1"/>
  <c r="BK326" i="6"/>
  <c r="BC860" i="18" s="1"/>
  <c r="CM170" i="6"/>
  <c r="BX187" i="6"/>
  <c r="BP1312" i="18" s="1"/>
  <c r="BA216" i="6"/>
  <c r="BE215" i="6"/>
  <c r="BA220" i="6"/>
  <c r="AO174" i="6"/>
  <c r="CO174" i="6" s="1"/>
  <c r="AN174" i="6"/>
  <c r="CN170" i="6"/>
  <c r="CR234" i="6"/>
  <c r="CQ247" i="6"/>
  <c r="CQ267" i="6" s="1"/>
  <c r="BO328" i="6"/>
  <c r="BG862" i="18" s="1"/>
  <c r="BO326" i="6"/>
  <c r="BG860" i="18" s="1"/>
  <c r="AV328" i="6"/>
  <c r="AV326" i="6"/>
  <c r="BS326" i="6"/>
  <c r="BK860" i="18" s="1"/>
  <c r="BS328" i="6"/>
  <c r="BK862" i="18" s="1"/>
  <c r="AM366" i="6"/>
  <c r="AM367" i="6" s="1"/>
  <c r="AM337" i="6"/>
  <c r="AM336" i="6"/>
  <c r="BT347" i="6"/>
  <c r="BL881" i="18" s="1"/>
  <c r="BT172" i="6"/>
  <c r="CS174" i="6"/>
  <c r="BB325" i="6"/>
  <c r="AT859" i="18" s="1"/>
  <c r="BB327" i="6"/>
  <c r="AT861" i="18" s="1"/>
  <c r="BJ325" i="6"/>
  <c r="BB859" i="18" s="1"/>
  <c r="BN327" i="6"/>
  <c r="BF861" i="18" s="1"/>
  <c r="BN325" i="6"/>
  <c r="BF859" i="18" s="1"/>
  <c r="BR328" i="6"/>
  <c r="BJ862" i="18" s="1"/>
  <c r="BZ325" i="6"/>
  <c r="BR859" i="18" s="1"/>
  <c r="CD324" i="6"/>
  <c r="BZ327" i="6"/>
  <c r="BR861" i="18" s="1"/>
  <c r="CP325" i="6"/>
  <c r="CN335" i="6"/>
  <c r="CU327" i="6"/>
  <c r="CM861" i="18" s="1"/>
  <c r="BF328" i="6"/>
  <c r="AX862" i="18" s="1"/>
  <c r="AU330" i="6"/>
  <c r="AQ331" i="6"/>
  <c r="AN337" i="6"/>
  <c r="AK359" i="6"/>
  <c r="CN353" i="6"/>
  <c r="AK354" i="6"/>
  <c r="AO354" i="6"/>
  <c r="AS359" i="6"/>
  <c r="CP353" i="6"/>
  <c r="AS354" i="6"/>
  <c r="BE359" i="6"/>
  <c r="AW892" i="18" s="1"/>
  <c r="CS353" i="6"/>
  <c r="CK887" i="18" s="1"/>
  <c r="BY354" i="6"/>
  <c r="BQ888" i="18" s="1"/>
  <c r="CN325" i="6"/>
  <c r="CN328" i="6" s="1"/>
  <c r="BP332" i="6"/>
  <c r="BP333" i="6"/>
  <c r="BT331" i="6"/>
  <c r="CQ346" i="6"/>
  <c r="CQ345" i="6"/>
  <c r="CI879" i="18" s="1"/>
  <c r="AO331" i="6"/>
  <c r="AS330" i="6"/>
  <c r="CF345" i="6"/>
  <c r="BX879" i="18" s="1"/>
  <c r="CF353" i="6"/>
  <c r="BX887" i="18" s="1"/>
  <c r="AM368" i="6"/>
  <c r="AM369" i="6" s="1"/>
  <c r="AM360" i="6"/>
  <c r="AU360" i="6"/>
  <c r="AU368" i="6"/>
  <c r="BD327" i="6"/>
  <c r="AV861" i="18" s="1"/>
  <c r="BD325" i="6"/>
  <c r="AV859" i="18" s="1"/>
  <c r="BL327" i="6"/>
  <c r="BD861" i="18" s="1"/>
  <c r="BL325" i="6"/>
  <c r="BD859" i="18" s="1"/>
  <c r="CB353" i="6"/>
  <c r="BT887" i="18" s="1"/>
  <c r="AO360" i="6"/>
  <c r="BV327" i="6"/>
  <c r="BN861" i="18" s="1"/>
  <c r="AR328" i="6"/>
  <c r="AR326" i="6"/>
  <c r="AZ325" i="6"/>
  <c r="AR859" i="18" s="1"/>
  <c r="AN366" i="6"/>
  <c r="AN367" i="6" s="1"/>
  <c r="AN336" i="6"/>
  <c r="CO346" i="6"/>
  <c r="CP345" i="6"/>
  <c r="BN354" i="6"/>
  <c r="BF888" i="18" s="1"/>
  <c r="BW327" i="6"/>
  <c r="BO861" i="18" s="1"/>
  <c r="BW325" i="6"/>
  <c r="BO859" i="18" s="1"/>
  <c r="CW324" i="6"/>
  <c r="CO858" i="18" s="1"/>
  <c r="AK366" i="6"/>
  <c r="AK337" i="6"/>
  <c r="BW331" i="6"/>
  <c r="BS333" i="6"/>
  <c r="BC353" i="6"/>
  <c r="AU887" i="18" s="1"/>
  <c r="BC346" i="6"/>
  <c r="BC348" i="6"/>
  <c r="AU882" i="18" s="1"/>
  <c r="BK353" i="6"/>
  <c r="BC887" i="18" s="1"/>
  <c r="BK345" i="6"/>
  <c r="BC879" i="18" s="1"/>
  <c r="BS353" i="6"/>
  <c r="BK887" i="18" s="1"/>
  <c r="BS345" i="6"/>
  <c r="BK879" i="18" s="1"/>
  <c r="BS348" i="6"/>
  <c r="BK882" i="18" s="1"/>
  <c r="CA353" i="6"/>
  <c r="CA348" i="6"/>
  <c r="BS882" i="18" s="1"/>
  <c r="CA346" i="6"/>
  <c r="BS880" i="18" s="1"/>
  <c r="CA345" i="6"/>
  <c r="BS879" i="18" s="1"/>
  <c r="CE344" i="6"/>
  <c r="BW878" i="18" s="1"/>
  <c r="CO345" i="6"/>
  <c r="BC345" i="6"/>
  <c r="AU879" i="18" s="1"/>
  <c r="BK346" i="6"/>
  <c r="AH359" i="6"/>
  <c r="AH368" i="6" s="1"/>
  <c r="CM353" i="6"/>
  <c r="AH354" i="6"/>
  <c r="AP359" i="6"/>
  <c r="CO353" i="6"/>
  <c r="AP354" i="6"/>
  <c r="AX359" i="6"/>
  <c r="AX354" i="6"/>
  <c r="BP325" i="6"/>
  <c r="BH859" i="18" s="1"/>
  <c r="CB325" i="6"/>
  <c r="BT859" i="18" s="1"/>
  <c r="BB330" i="6"/>
  <c r="AX331" i="6"/>
  <c r="BN331" i="6"/>
  <c r="BJ333" i="6"/>
  <c r="BJ332" i="6"/>
  <c r="BD353" i="6"/>
  <c r="AV887" i="18" s="1"/>
  <c r="BE348" i="6"/>
  <c r="AW882" i="18" s="1"/>
  <c r="BD348" i="6"/>
  <c r="AV882" i="18" s="1"/>
  <c r="BH345" i="6"/>
  <c r="AZ879" i="18" s="1"/>
  <c r="BL353" i="6"/>
  <c r="BD887" i="18" s="1"/>
  <c r="BL345" i="6"/>
  <c r="BD879" i="18" s="1"/>
  <c r="BL346" i="6"/>
  <c r="BL348" i="6"/>
  <c r="BD882" i="18" s="1"/>
  <c r="BT353" i="6"/>
  <c r="BL887" i="18" s="1"/>
  <c r="BT348" i="6"/>
  <c r="BL882" i="18" s="1"/>
  <c r="BX346" i="6"/>
  <c r="CB345" i="6"/>
  <c r="BT879" i="18" s="1"/>
  <c r="CB346" i="6"/>
  <c r="BT880" i="18" s="1"/>
  <c r="BD345" i="6"/>
  <c r="AV879" i="18" s="1"/>
  <c r="BX345" i="6"/>
  <c r="BP879" i="18" s="1"/>
  <c r="DC351" i="6"/>
  <c r="AI359" i="6"/>
  <c r="AI368" i="6" s="1"/>
  <c r="AI354" i="6"/>
  <c r="AM354" i="6"/>
  <c r="AQ354" i="6"/>
  <c r="AU354" i="6"/>
  <c r="AQ359" i="6"/>
  <c r="AY354" i="6"/>
  <c r="AY359" i="6"/>
  <c r="BM327" i="6"/>
  <c r="BE861" i="18" s="1"/>
  <c r="BM325" i="6"/>
  <c r="BE859" i="18" s="1"/>
  <c r="AS328" i="6"/>
  <c r="CD353" i="6"/>
  <c r="BV887" i="18" s="1"/>
  <c r="BE345" i="6"/>
  <c r="AW879" i="18" s="1"/>
  <c r="CD345" i="6"/>
  <c r="BV879" i="18" s="1"/>
  <c r="AX346" i="6"/>
  <c r="AX347" i="6" s="1"/>
  <c r="BU346" i="6"/>
  <c r="BM880" i="18" s="1"/>
  <c r="AX348" i="6"/>
  <c r="BB359" i="6"/>
  <c r="AT892" i="18" s="1"/>
  <c r="BB354" i="6"/>
  <c r="AT888" i="18" s="1"/>
  <c r="BO353" i="6"/>
  <c r="BG887" i="18" s="1"/>
  <c r="AI337" i="6"/>
  <c r="BW346" i="6"/>
  <c r="BW353" i="6"/>
  <c r="BO887" i="18" s="1"/>
  <c r="CR344" i="6"/>
  <c r="CJ878" i="18" s="1"/>
  <c r="BU345" i="6"/>
  <c r="BM879" i="18" s="1"/>
  <c r="AL359" i="6"/>
  <c r="AL354" i="6"/>
  <c r="AT354" i="6"/>
  <c r="AJ366" i="6"/>
  <c r="AJ370" i="6" s="1"/>
  <c r="AJ337" i="6"/>
  <c r="AZ345" i="6"/>
  <c r="AR879" i="18" s="1"/>
  <c r="AZ353" i="6"/>
  <c r="AR887" i="18" s="1"/>
  <c r="BH354" i="6"/>
  <c r="AZ888" i="18" s="1"/>
  <c r="BP348" i="6"/>
  <c r="BH882" i="18" s="1"/>
  <c r="BP346" i="6"/>
  <c r="BP345" i="6"/>
  <c r="BH879" i="18" s="1"/>
  <c r="BX348" i="6"/>
  <c r="BP882" i="18" s="1"/>
  <c r="CU344" i="6"/>
  <c r="CM878" i="18" s="1"/>
  <c r="AX345" i="6"/>
  <c r="BB346" i="6"/>
  <c r="BZ347" i="6"/>
  <c r="BR881" i="18" s="1"/>
  <c r="BA348" i="6"/>
  <c r="AS882" i="18" s="1"/>
  <c r="BA346" i="6"/>
  <c r="BA345" i="6"/>
  <c r="AS879" i="18" s="1"/>
  <c r="BA353" i="6"/>
  <c r="AS887" i="18" s="1"/>
  <c r="BE346" i="6"/>
  <c r="BI348" i="6"/>
  <c r="BA882" i="18" s="1"/>
  <c r="BI346" i="6"/>
  <c r="BA880" i="18" s="1"/>
  <c r="BI345" i="6"/>
  <c r="BA879" i="18" s="1"/>
  <c r="CT344" i="6"/>
  <c r="CL878" i="18" s="1"/>
  <c r="BJ348" i="6"/>
  <c r="BB882" i="18" s="1"/>
  <c r="BQ348" i="6"/>
  <c r="BI882" i="18" s="1"/>
  <c r="BQ346" i="6"/>
  <c r="BQ345" i="6"/>
  <c r="BI879" i="18" s="1"/>
  <c r="BQ353" i="6"/>
  <c r="BY348" i="6"/>
  <c r="BQ882" i="18" s="1"/>
  <c r="BY346" i="6"/>
  <c r="BQ880" i="18" s="1"/>
  <c r="BY345" i="6"/>
  <c r="BQ879" i="18" s="1"/>
  <c r="CC344" i="6"/>
  <c r="BU878" i="18" s="1"/>
  <c r="CV344" i="6"/>
  <c r="CN878" i="18" s="1"/>
  <c r="BW345" i="6"/>
  <c r="BO879" i="18" s="1"/>
  <c r="BO346" i="6"/>
  <c r="AN359" i="6"/>
  <c r="AR360" i="6" s="1"/>
  <c r="AN354" i="6"/>
  <c r="BI353" i="6"/>
  <c r="BA887" i="18" s="1"/>
  <c r="BX353" i="6"/>
  <c r="BP887" i="18" s="1"/>
  <c r="BJ354" i="6"/>
  <c r="BB888" i="18" s="1"/>
  <c r="BF359" i="6"/>
  <c r="AX892" i="18" s="1"/>
  <c r="BV325" i="6"/>
  <c r="BN859" i="18" s="1"/>
  <c r="AL367" i="6"/>
  <c r="AL337" i="6"/>
  <c r="BF348" i="6"/>
  <c r="AX882" i="18" s="1"/>
  <c r="CS344" i="6"/>
  <c r="CK878" i="18" s="1"/>
  <c r="BF345" i="6"/>
  <c r="AX879" i="18" s="1"/>
  <c r="AV347" i="6"/>
  <c r="BF346" i="6"/>
  <c r="AX880" i="18" s="1"/>
  <c r="AG359" i="6"/>
  <c r="AG368" i="6" s="1"/>
  <c r="AW359" i="6"/>
  <c r="AW354" i="6"/>
  <c r="AG366" i="6"/>
  <c r="CM335" i="6"/>
  <c r="CN345" i="6"/>
  <c r="BJ359" i="6"/>
  <c r="BB892" i="18" s="1"/>
  <c r="AX6" i="5"/>
  <c r="BE34" i="5"/>
  <c r="AW26" i="18" s="1"/>
  <c r="AP59" i="5"/>
  <c r="CO22" i="5"/>
  <c r="AN32" i="5"/>
  <c r="AN33" i="5" s="1"/>
  <c r="BV53" i="5"/>
  <c r="BN40" i="18" s="1"/>
  <c r="AT331" i="5"/>
  <c r="AT333" i="5" s="1"/>
  <c r="BR354" i="5"/>
  <c r="BJ302" i="18" s="1"/>
  <c r="BR13" i="5"/>
  <c r="BJ6" i="18" s="1"/>
  <c r="BH639" i="5"/>
  <c r="AZ482" i="18" s="1"/>
  <c r="BH638" i="5"/>
  <c r="AZ481" i="18" s="1"/>
  <c r="BH637" i="5"/>
  <c r="AZ480" i="18" s="1"/>
  <c r="BH636" i="5"/>
  <c r="AZ479" i="18" s="1"/>
  <c r="BH635" i="5"/>
  <c r="AZ478" i="18" s="1"/>
  <c r="BH182" i="5"/>
  <c r="AZ148" i="18" s="1"/>
  <c r="BH31" i="5"/>
  <c r="AZ23" i="18" s="1"/>
  <c r="BH209" i="5"/>
  <c r="AZ176" i="18" s="1"/>
  <c r="BH22" i="5"/>
  <c r="AZ14" i="18" s="1"/>
  <c r="BH39" i="5"/>
  <c r="AZ32" i="18" s="1"/>
  <c r="BP639" i="5"/>
  <c r="BH482" i="18" s="1"/>
  <c r="BP638" i="5"/>
  <c r="BH481" i="18" s="1"/>
  <c r="BP637" i="5"/>
  <c r="BH480" i="18" s="1"/>
  <c r="BP636" i="5"/>
  <c r="BH479" i="18" s="1"/>
  <c r="BP635" i="5"/>
  <c r="BH478" i="18" s="1"/>
  <c r="BP562" i="5"/>
  <c r="BH408" i="18" s="1"/>
  <c r="BP182" i="5"/>
  <c r="BH148" i="18" s="1"/>
  <c r="BP22" i="5"/>
  <c r="BH14" i="18" s="1"/>
  <c r="BP39" i="5"/>
  <c r="BP453" i="5" s="1"/>
  <c r="BX639" i="5"/>
  <c r="BP482" i="18" s="1"/>
  <c r="BX638" i="5"/>
  <c r="BP481" i="18" s="1"/>
  <c r="BX637" i="5"/>
  <c r="BP480" i="18" s="1"/>
  <c r="BX636" i="5"/>
  <c r="BP479" i="18" s="1"/>
  <c r="BX635" i="5"/>
  <c r="BP478" i="18" s="1"/>
  <c r="BX562" i="5"/>
  <c r="BP408" i="18" s="1"/>
  <c r="BX182" i="5"/>
  <c r="BP148" i="18" s="1"/>
  <c r="BX22" i="5"/>
  <c r="BP14" i="18" s="1"/>
  <c r="BX39" i="5"/>
  <c r="BA181" i="5"/>
  <c r="AS147" i="18" s="1"/>
  <c r="CR20" i="5"/>
  <c r="BI181" i="5"/>
  <c r="BA147" i="18" s="1"/>
  <c r="CT20" i="5"/>
  <c r="CX20" i="5"/>
  <c r="AT437" i="5"/>
  <c r="AT428" i="5"/>
  <c r="AT453" i="5"/>
  <c r="AT287" i="5"/>
  <c r="AT332" i="5"/>
  <c r="AT49" i="5"/>
  <c r="AT42" i="5"/>
  <c r="AT55" i="5"/>
  <c r="AQ58" i="5"/>
  <c r="AQ59" i="5" s="1"/>
  <c r="BA478" i="5"/>
  <c r="AS364" i="18" s="1"/>
  <c r="CR67" i="5"/>
  <c r="BY538" i="5"/>
  <c r="BY478" i="5"/>
  <c r="BQ364" i="18" s="1"/>
  <c r="CX67" i="5"/>
  <c r="CV29" i="5"/>
  <c r="CN21" i="18" s="1"/>
  <c r="DG15" i="5"/>
  <c r="CY8" i="18" s="1"/>
  <c r="BB299" i="5"/>
  <c r="AT257" i="18" s="1"/>
  <c r="BB215" i="5"/>
  <c r="BR21" i="5"/>
  <c r="BH24" i="5"/>
  <c r="AZ16" i="18" s="1"/>
  <c r="AU437" i="5"/>
  <c r="AU453" i="5"/>
  <c r="AU454" i="5" s="1"/>
  <c r="AU428" i="5"/>
  <c r="AU287" i="5"/>
  <c r="AU337" i="5"/>
  <c r="AU338" i="5" s="1"/>
  <c r="AU42" i="5"/>
  <c r="AU40" i="5"/>
  <c r="AU41" i="5" s="1"/>
  <c r="AU55" i="5"/>
  <c r="AU56" i="5" s="1"/>
  <c r="AU49" i="5"/>
  <c r="AU43" i="5"/>
  <c r="AR40" i="5"/>
  <c r="CP510" i="5"/>
  <c r="CP518" i="5"/>
  <c r="BQ110" i="5"/>
  <c r="BI91" i="18" s="1"/>
  <c r="CC119" i="5"/>
  <c r="CX119" i="5"/>
  <c r="CP101" i="18" s="1"/>
  <c r="AL752" i="5"/>
  <c r="BF131" i="5"/>
  <c r="AT13" i="5"/>
  <c r="BB58" i="5"/>
  <c r="BF59" i="5" s="1"/>
  <c r="AX45" i="18" s="1"/>
  <c r="BB52" i="5"/>
  <c r="BJ29" i="5"/>
  <c r="BB21" i="18" s="1"/>
  <c r="CT15" i="5"/>
  <c r="CL8" i="18" s="1"/>
  <c r="BR58" i="5"/>
  <c r="BR52" i="5"/>
  <c r="BZ58" i="5"/>
  <c r="BZ52" i="5"/>
  <c r="BF21" i="5"/>
  <c r="AX13" i="18" s="1"/>
  <c r="BN21" i="5"/>
  <c r="BF13" i="18" s="1"/>
  <c r="BV21" i="5"/>
  <c r="CP58" i="5"/>
  <c r="CP59" i="5" s="1"/>
  <c r="CP52" i="5"/>
  <c r="BY21" i="5"/>
  <c r="AO473" i="5"/>
  <c r="AO437" i="5"/>
  <c r="AO428" i="5"/>
  <c r="AO79" i="5"/>
  <c r="AO73" i="5"/>
  <c r="AO337" i="5"/>
  <c r="AO55" i="5"/>
  <c r="AO287" i="5"/>
  <c r="AO42" i="5"/>
  <c r="AO49" i="5"/>
  <c r="AW437" i="5"/>
  <c r="AW467" i="5"/>
  <c r="AW337" i="5"/>
  <c r="AW287" i="5"/>
  <c r="AW428" i="5"/>
  <c r="AW347" i="5"/>
  <c r="AW79" i="5"/>
  <c r="AW73" i="5"/>
  <c r="AW123" i="5" s="1"/>
  <c r="AW55" i="5"/>
  <c r="AW49" i="5"/>
  <c r="AW42" i="5"/>
  <c r="CS27" i="5"/>
  <c r="CK19" i="18" s="1"/>
  <c r="CW27" i="5"/>
  <c r="CO19" i="18" s="1"/>
  <c r="AX52" i="5"/>
  <c r="AX53" i="5" s="1"/>
  <c r="BA58" i="5"/>
  <c r="BE452" i="5"/>
  <c r="AW339" i="18" s="1"/>
  <c r="CS63" i="5"/>
  <c r="CK51" i="18" s="1"/>
  <c r="BM452" i="5"/>
  <c r="BE339" i="18" s="1"/>
  <c r="CU63" i="5"/>
  <c r="CM51" i="18" s="1"/>
  <c r="BU452" i="5"/>
  <c r="BM339" i="18" s="1"/>
  <c r="CW63" i="5"/>
  <c r="CO51" i="18" s="1"/>
  <c r="BD470" i="5"/>
  <c r="AV355" i="18" s="1"/>
  <c r="BD469" i="5"/>
  <c r="BD467" i="5"/>
  <c r="AV353" i="18" s="1"/>
  <c r="BL504" i="5"/>
  <c r="BL470" i="5"/>
  <c r="BD355" i="18" s="1"/>
  <c r="BL469" i="5"/>
  <c r="BL467" i="5"/>
  <c r="BT470" i="5"/>
  <c r="BL355" i="18" s="1"/>
  <c r="BT504" i="5"/>
  <c r="BT469" i="5"/>
  <c r="CB504" i="5"/>
  <c r="CB470" i="5"/>
  <c r="BT355" i="18" s="1"/>
  <c r="CB469" i="5"/>
  <c r="CF466" i="5"/>
  <c r="BX352" i="18" s="1"/>
  <c r="CL83" i="5"/>
  <c r="CL74" i="5"/>
  <c r="AL331" i="5"/>
  <c r="BQ21" i="5"/>
  <c r="AU25" i="5"/>
  <c r="AU53" i="5"/>
  <c r="BI538" i="5"/>
  <c r="BI478" i="5"/>
  <c r="BA364" i="18" s="1"/>
  <c r="CT67" i="5"/>
  <c r="BQ538" i="5"/>
  <c r="BQ478" i="5"/>
  <c r="BI364" i="18" s="1"/>
  <c r="CV67" i="5"/>
  <c r="CN55" i="18" s="1"/>
  <c r="BP510" i="5"/>
  <c r="BH370" i="18" s="1"/>
  <c r="AQ338" i="5"/>
  <c r="BI52" i="5"/>
  <c r="BA39" i="18" s="1"/>
  <c r="BI58" i="5"/>
  <c r="BA44" i="18" s="1"/>
  <c r="BY52" i="5"/>
  <c r="BQ39" i="18" s="1"/>
  <c r="BY58" i="5"/>
  <c r="BQ44" i="18" s="1"/>
  <c r="CO58" i="5"/>
  <c r="CO52" i="5"/>
  <c r="BJ215" i="5"/>
  <c r="BJ299" i="5"/>
  <c r="BB257" i="18" s="1"/>
  <c r="BO52" i="5"/>
  <c r="BG39" i="18" s="1"/>
  <c r="BO58" i="5"/>
  <c r="BG44" i="18" s="1"/>
  <c r="AT752" i="5"/>
  <c r="AT131" i="5"/>
  <c r="BV131" i="5"/>
  <c r="CP167" i="5"/>
  <c r="AS168" i="5"/>
  <c r="CM15" i="5"/>
  <c r="AI21" i="5"/>
  <c r="BC21" i="5"/>
  <c r="AU13" i="18" s="1"/>
  <c r="BC29" i="5"/>
  <c r="AU21" i="18" s="1"/>
  <c r="BK21" i="5"/>
  <c r="BC13" i="18" s="1"/>
  <c r="BK29" i="5"/>
  <c r="BC21" i="18" s="1"/>
  <c r="BS21" i="5"/>
  <c r="BS29" i="5"/>
  <c r="BK21" i="18" s="1"/>
  <c r="CA21" i="5"/>
  <c r="CA29" i="5"/>
  <c r="BS21" i="18" s="1"/>
  <c r="CR15" i="5"/>
  <c r="CJ8" i="18" s="1"/>
  <c r="BZ21" i="5"/>
  <c r="AG473" i="5"/>
  <c r="AG467" i="5"/>
  <c r="AG518" i="5"/>
  <c r="AG453" i="5"/>
  <c r="AG337" i="5"/>
  <c r="AG287" i="5"/>
  <c r="AG73" i="5"/>
  <c r="AG347" i="5"/>
  <c r="AG79" i="5"/>
  <c r="AG55" i="5"/>
  <c r="AG42" i="5"/>
  <c r="AG40" i="5"/>
  <c r="AG41" i="5" s="1"/>
  <c r="AO25" i="5"/>
  <c r="BP24" i="5"/>
  <c r="BH16" i="18" s="1"/>
  <c r="BE466" i="5"/>
  <c r="CS65" i="5"/>
  <c r="CK53" i="18" s="1"/>
  <c r="BM466" i="5"/>
  <c r="BE352" i="18" s="1"/>
  <c r="CU65" i="5"/>
  <c r="CM53" i="18" s="1"/>
  <c r="BU466" i="5"/>
  <c r="CW65" i="5"/>
  <c r="CO53" i="18" s="1"/>
  <c r="AK108" i="5"/>
  <c r="AK106" i="5"/>
  <c r="CN103" i="5"/>
  <c r="CN106" i="5" s="1"/>
  <c r="CP103" i="5"/>
  <c r="CP106" i="5" s="1"/>
  <c r="AS106" i="5"/>
  <c r="AS108" i="5"/>
  <c r="AS111" i="5" s="1"/>
  <c r="BM121" i="5"/>
  <c r="BE103" i="18" s="1"/>
  <c r="BU121" i="5"/>
  <c r="BM103" i="18" s="1"/>
  <c r="AN111" i="5"/>
  <c r="AR111" i="5"/>
  <c r="BV116" i="5"/>
  <c r="BN97" i="18" s="1"/>
  <c r="BV115" i="5"/>
  <c r="BN96" i="18" s="1"/>
  <c r="AO188" i="5"/>
  <c r="CO222" i="5"/>
  <c r="CO188" i="5" s="1"/>
  <c r="CN29" i="5"/>
  <c r="CN21" i="5"/>
  <c r="BD639" i="5"/>
  <c r="AV482" i="18" s="1"/>
  <c r="BD638" i="5"/>
  <c r="AV481" i="18" s="1"/>
  <c r="BD637" i="5"/>
  <c r="AV480" i="18" s="1"/>
  <c r="BD636" i="5"/>
  <c r="AV479" i="18" s="1"/>
  <c r="BD635" i="5"/>
  <c r="AV478" i="18" s="1"/>
  <c r="BD182" i="5"/>
  <c r="AV148" i="18" s="1"/>
  <c r="BD24" i="5"/>
  <c r="BD22" i="5"/>
  <c r="AV14" i="18" s="1"/>
  <c r="BD39" i="5"/>
  <c r="BL639" i="5"/>
  <c r="BD482" i="18" s="1"/>
  <c r="BL638" i="5"/>
  <c r="BD481" i="18" s="1"/>
  <c r="BL637" i="5"/>
  <c r="BD480" i="18" s="1"/>
  <c r="BL636" i="5"/>
  <c r="BD479" i="18" s="1"/>
  <c r="BL635" i="5"/>
  <c r="BD478" i="18" s="1"/>
  <c r="BL182" i="5"/>
  <c r="BD148" i="18" s="1"/>
  <c r="BL209" i="5"/>
  <c r="BD176" i="18" s="1"/>
  <c r="BL39" i="5"/>
  <c r="BD32" i="18" s="1"/>
  <c r="BL22" i="5"/>
  <c r="BD14" i="18" s="1"/>
  <c r="BT639" i="5"/>
  <c r="BL482" i="18" s="1"/>
  <c r="BT638" i="5"/>
  <c r="BL481" i="18" s="1"/>
  <c r="BT637" i="5"/>
  <c r="BL480" i="18" s="1"/>
  <c r="BT636" i="5"/>
  <c r="BL479" i="18" s="1"/>
  <c r="BT635" i="5"/>
  <c r="BL478" i="18" s="1"/>
  <c r="BT562" i="5"/>
  <c r="BL408" i="18" s="1"/>
  <c r="BT182" i="5"/>
  <c r="BL148" i="18" s="1"/>
  <c r="BT24" i="5"/>
  <c r="BL16" i="18" s="1"/>
  <c r="BT22" i="5"/>
  <c r="BL14" i="18" s="1"/>
  <c r="BT39" i="5"/>
  <c r="CB639" i="5"/>
  <c r="CB638" i="5"/>
  <c r="CB637" i="5"/>
  <c r="CB636" i="5"/>
  <c r="CB635" i="5"/>
  <c r="CB209" i="5"/>
  <c r="BT176" i="18" s="1"/>
  <c r="CB182" i="5"/>
  <c r="BT148" i="18" s="1"/>
  <c r="CB39" i="5"/>
  <c r="CB22" i="5"/>
  <c r="BT14" i="18" s="1"/>
  <c r="BA639" i="5"/>
  <c r="AS482" i="18" s="1"/>
  <c r="BA638" i="5"/>
  <c r="AS481" i="18" s="1"/>
  <c r="BA637" i="5"/>
  <c r="AS480" i="18" s="1"/>
  <c r="BA636" i="5"/>
  <c r="AS479" i="18" s="1"/>
  <c r="BA635" i="5"/>
  <c r="AS478" i="18" s="1"/>
  <c r="BA182" i="5"/>
  <c r="AS148" i="18" s="1"/>
  <c r="BA39" i="5"/>
  <c r="AS32" i="18" s="1"/>
  <c r="BA31" i="5"/>
  <c r="AS23" i="18" s="1"/>
  <c r="BA22" i="5"/>
  <c r="AS14" i="18" s="1"/>
  <c r="AY52" i="5"/>
  <c r="AY53" i="5" s="1"/>
  <c r="AY58" i="5"/>
  <c r="AL428" i="5"/>
  <c r="AL437" i="5"/>
  <c r="AL479" i="5"/>
  <c r="AL337" i="5"/>
  <c r="AL338" i="5" s="1"/>
  <c r="AL287" i="5"/>
  <c r="AL40" i="5"/>
  <c r="AL55" i="5"/>
  <c r="AL49" i="5"/>
  <c r="AL50" i="5" s="1"/>
  <c r="AL43" i="5"/>
  <c r="BZ121" i="5"/>
  <c r="BR103" i="18" s="1"/>
  <c r="BT209" i="5"/>
  <c r="BL176" i="18" s="1"/>
  <c r="AZ455" i="5"/>
  <c r="AZ456" i="5"/>
  <c r="AL52" i="5"/>
  <c r="AL58" i="5"/>
  <c r="AL59" i="5" s="1"/>
  <c r="BM639" i="5"/>
  <c r="BE482" i="18" s="1"/>
  <c r="BM638" i="5"/>
  <c r="BE481" i="18" s="1"/>
  <c r="BM637" i="5"/>
  <c r="BE480" i="18" s="1"/>
  <c r="BM635" i="5"/>
  <c r="BE478" i="18" s="1"/>
  <c r="BM636" i="5"/>
  <c r="BE479" i="18" s="1"/>
  <c r="BM562" i="5"/>
  <c r="BE408" i="18" s="1"/>
  <c r="BM182" i="5"/>
  <c r="BE148" i="18" s="1"/>
  <c r="BM39" i="5"/>
  <c r="BM24" i="5"/>
  <c r="BE16" i="18" s="1"/>
  <c r="CO182" i="5"/>
  <c r="CO209" i="5"/>
  <c r="CO39" i="5"/>
  <c r="CO31" i="5"/>
  <c r="AR53" i="5"/>
  <c r="X41" i="5"/>
  <c r="AH52" i="5"/>
  <c r="AL131" i="5"/>
  <c r="BJ13" i="5"/>
  <c r="BB6" i="18" s="1"/>
  <c r="CQ21" i="5"/>
  <c r="CQ29" i="5"/>
  <c r="CU16" i="5"/>
  <c r="CM9" i="18" s="1"/>
  <c r="BI21" i="5"/>
  <c r="BA13" i="18" s="1"/>
  <c r="CP182" i="5"/>
  <c r="CP39" i="5"/>
  <c r="AU332" i="5" s="1"/>
  <c r="CP31" i="5"/>
  <c r="AK209" i="5"/>
  <c r="AK182" i="5"/>
  <c r="AK22" i="5"/>
  <c r="AK39" i="5"/>
  <c r="AK31" i="5"/>
  <c r="AS182" i="5"/>
  <c r="AS209" i="5"/>
  <c r="AS22" i="5"/>
  <c r="AS39" i="5"/>
  <c r="AS459" i="5" s="1"/>
  <c r="AS460" i="5" s="1"/>
  <c r="AS31" i="5"/>
  <c r="AW25" i="5"/>
  <c r="AI29" i="5"/>
  <c r="AN42" i="5"/>
  <c r="BN52" i="5"/>
  <c r="BF39" i="18" s="1"/>
  <c r="BX58" i="5"/>
  <c r="BP44" i="18" s="1"/>
  <c r="BA335" i="5"/>
  <c r="AS291" i="18" s="1"/>
  <c r="BA71" i="5"/>
  <c r="CR61" i="5"/>
  <c r="CJ49" i="18" s="1"/>
  <c r="BI335" i="5"/>
  <c r="BA291" i="18" s="1"/>
  <c r="BI71" i="5"/>
  <c r="CT61" i="5"/>
  <c r="CL49" i="18" s="1"/>
  <c r="BQ71" i="5"/>
  <c r="CV61" i="5"/>
  <c r="CN49" i="18" s="1"/>
  <c r="BY335" i="5"/>
  <c r="BQ291" i="18" s="1"/>
  <c r="BY71" i="5"/>
  <c r="CX61" i="5"/>
  <c r="CP49" i="18" s="1"/>
  <c r="BX242" i="5"/>
  <c r="BX283" i="5"/>
  <c r="BP240" i="18" s="1"/>
  <c r="DG105" i="5"/>
  <c r="CR86" i="18" s="1"/>
  <c r="BN121" i="5"/>
  <c r="BF103" i="18" s="1"/>
  <c r="AR455" i="5"/>
  <c r="AR453" i="5"/>
  <c r="AR456" i="5"/>
  <c r="BE635" i="5"/>
  <c r="AW478" i="18" s="1"/>
  <c r="BE638" i="5"/>
  <c r="AW481" i="18" s="1"/>
  <c r="BE637" i="5"/>
  <c r="AW480" i="18" s="1"/>
  <c r="BE639" i="5"/>
  <c r="AW482" i="18" s="1"/>
  <c r="BE636" i="5"/>
  <c r="AW479" i="18" s="1"/>
  <c r="BE182" i="5"/>
  <c r="AW148" i="18" s="1"/>
  <c r="BE22" i="5"/>
  <c r="AW14" i="18" s="1"/>
  <c r="BE39" i="5"/>
  <c r="AW32" i="18" s="1"/>
  <c r="BE24" i="5"/>
  <c r="BU638" i="5"/>
  <c r="BM481" i="18" s="1"/>
  <c r="BU636" i="5"/>
  <c r="BM479" i="18" s="1"/>
  <c r="BU637" i="5"/>
  <c r="BM480" i="18" s="1"/>
  <c r="BU639" i="5"/>
  <c r="BM482" i="18" s="1"/>
  <c r="BU562" i="5"/>
  <c r="BM408" i="18" s="1"/>
  <c r="BU635" i="5"/>
  <c r="BM478" i="18" s="1"/>
  <c r="BU182" i="5"/>
  <c r="BM148" i="18" s="1"/>
  <c r="BU22" i="5"/>
  <c r="BM14" i="18" s="1"/>
  <c r="BU39" i="5"/>
  <c r="BB21" i="5"/>
  <c r="AT13" i="18" s="1"/>
  <c r="CN299" i="5"/>
  <c r="CN215" i="5"/>
  <c r="CN300" i="5" s="1"/>
  <c r="AR437" i="5"/>
  <c r="AR428" i="5"/>
  <c r="AR479" i="5"/>
  <c r="AR473" i="5"/>
  <c r="AR287" i="5"/>
  <c r="AR347" i="5"/>
  <c r="AR73" i="5"/>
  <c r="AR43" i="5"/>
  <c r="AR55" i="5"/>
  <c r="AV56" i="5" s="1"/>
  <c r="BH52" i="5"/>
  <c r="AZ39" i="18" s="1"/>
  <c r="BH58" i="5"/>
  <c r="AZ44" i="18" s="1"/>
  <c r="BP58" i="5"/>
  <c r="BH44" i="18" s="1"/>
  <c r="BP52" i="5"/>
  <c r="BH39" i="18" s="1"/>
  <c r="AM473" i="5"/>
  <c r="AM453" i="5"/>
  <c r="AM428" i="5"/>
  <c r="AM437" i="5"/>
  <c r="AM287" i="5"/>
  <c r="AM42" i="5"/>
  <c r="AM55" i="5"/>
  <c r="AM49" i="5"/>
  <c r="AM50" i="5" s="1"/>
  <c r="AF41" i="5"/>
  <c r="CT113" i="5"/>
  <c r="CL94" i="18" s="1"/>
  <c r="BI116" i="5"/>
  <c r="BA97" i="18" s="1"/>
  <c r="BI115" i="5"/>
  <c r="BA96" i="18" s="1"/>
  <c r="AK354" i="5"/>
  <c r="AK331" i="5"/>
  <c r="AS354" i="5"/>
  <c r="CP12" i="5"/>
  <c r="CP13" i="5" s="1"/>
  <c r="CT12" i="5"/>
  <c r="BQ354" i="5"/>
  <c r="BI302" i="18" s="1"/>
  <c r="AK13" i="5"/>
  <c r="BQ13" i="5"/>
  <c r="BI6" i="18" s="1"/>
  <c r="AY185" i="5"/>
  <c r="AY31" i="5"/>
  <c r="AY24" i="5"/>
  <c r="AY25" i="5" s="1"/>
  <c r="AY39" i="5"/>
  <c r="BG21" i="5"/>
  <c r="AY13" i="18" s="1"/>
  <c r="BO21" i="5"/>
  <c r="BW21" i="5"/>
  <c r="BJ21" i="5"/>
  <c r="BB13" i="18" s="1"/>
  <c r="AL209" i="5"/>
  <c r="AL182" i="5"/>
  <c r="AL22" i="5"/>
  <c r="AL24" i="5"/>
  <c r="AL25" i="5" s="1"/>
  <c r="AL31" i="5"/>
  <c r="AT209" i="5"/>
  <c r="AT182" i="5"/>
  <c r="AT22" i="5"/>
  <c r="AT24" i="5"/>
  <c r="AT25" i="5" s="1"/>
  <c r="AT31" i="5"/>
  <c r="AP22" i="5"/>
  <c r="AT59" i="5"/>
  <c r="BG52" i="5"/>
  <c r="AY39" i="18" s="1"/>
  <c r="BG58" i="5"/>
  <c r="AY44" i="18" s="1"/>
  <c r="CS29" i="5"/>
  <c r="CK21" i="18" s="1"/>
  <c r="AR42" i="5"/>
  <c r="AP52" i="5"/>
  <c r="AP53" i="5" s="1"/>
  <c r="CU559" i="5"/>
  <c r="CM405" i="18" s="1"/>
  <c r="CU549" i="5"/>
  <c r="CM398" i="18" s="1"/>
  <c r="CP71" i="5"/>
  <c r="CB510" i="5"/>
  <c r="BT370" i="18" s="1"/>
  <c r="BJ510" i="5"/>
  <c r="BB370" i="18" s="1"/>
  <c r="BR510" i="5"/>
  <c r="BJ370" i="18" s="1"/>
  <c r="AH121" i="5"/>
  <c r="CN134" i="5"/>
  <c r="CC113" i="5"/>
  <c r="BU94" i="18" s="1"/>
  <c r="BY116" i="5"/>
  <c r="BQ97" i="18" s="1"/>
  <c r="AM752" i="5"/>
  <c r="AX179" i="5"/>
  <c r="AY243" i="5"/>
  <c r="BC243" i="5"/>
  <c r="AP331" i="5"/>
  <c r="AP354" i="5"/>
  <c r="BF13" i="5"/>
  <c r="AX6" i="18" s="1"/>
  <c r="CW15" i="5"/>
  <c r="CO8" i="18" s="1"/>
  <c r="BN215" i="5"/>
  <c r="BN299" i="5"/>
  <c r="BF257" i="18" s="1"/>
  <c r="AH209" i="5"/>
  <c r="AH182" i="5"/>
  <c r="AQ428" i="5"/>
  <c r="AQ453" i="5"/>
  <c r="AQ454" i="5" s="1"/>
  <c r="AQ437" i="5"/>
  <c r="AQ287" i="5"/>
  <c r="AU58" i="5"/>
  <c r="BE335" i="5"/>
  <c r="AW291" i="18" s="1"/>
  <c r="CS61" i="5"/>
  <c r="CK49" i="18" s="1"/>
  <c r="BE71" i="5"/>
  <c r="BU335" i="5"/>
  <c r="BM291" i="18" s="1"/>
  <c r="CW61" i="5"/>
  <c r="CO49" i="18" s="1"/>
  <c r="BU71" i="5"/>
  <c r="BO400" i="5"/>
  <c r="BG1286" i="18" s="1"/>
  <c r="BO369" i="5"/>
  <c r="BS352" i="5"/>
  <c r="BO350" i="5"/>
  <c r="BG300" i="18" s="1"/>
  <c r="BS379" i="5"/>
  <c r="BK1271" i="18" s="1"/>
  <c r="BO352" i="5"/>
  <c r="BO379" i="5"/>
  <c r="BG1271" i="18" s="1"/>
  <c r="BS350" i="5"/>
  <c r="BK300" i="18" s="1"/>
  <c r="BO354" i="5"/>
  <c r="BG302" i="18" s="1"/>
  <c r="BA466" i="5"/>
  <c r="AS352" i="18" s="1"/>
  <c r="CR65" i="5"/>
  <c r="CJ53" i="18" s="1"/>
  <c r="BQ466" i="5"/>
  <c r="BI352" i="18" s="1"/>
  <c r="CV65" i="5"/>
  <c r="CM71" i="5"/>
  <c r="CO103" i="5"/>
  <c r="CO106" i="5" s="1"/>
  <c r="AO108" i="5"/>
  <c r="AO111" i="5" s="1"/>
  <c r="CV103" i="5"/>
  <c r="CN84" i="18" s="1"/>
  <c r="BQ106" i="5"/>
  <c r="BI87" i="18" s="1"/>
  <c r="BN116" i="5"/>
  <c r="BF97" i="18" s="1"/>
  <c r="BN115" i="5"/>
  <c r="BF96" i="18" s="1"/>
  <c r="CQ119" i="5"/>
  <c r="BY169" i="5"/>
  <c r="BZ173" i="5"/>
  <c r="BE240" i="5"/>
  <c r="AQ331" i="5"/>
  <c r="BO331" i="5"/>
  <c r="BG287" i="18" s="1"/>
  <c r="AQ13" i="5"/>
  <c r="AY13" i="5"/>
  <c r="BG13" i="5"/>
  <c r="AY6" i="18" s="1"/>
  <c r="BO13" i="5"/>
  <c r="BG6" i="18" s="1"/>
  <c r="CX15" i="5"/>
  <c r="CP8" i="18" s="1"/>
  <c r="BG299" i="5"/>
  <c r="AY257" i="18" s="1"/>
  <c r="BG215" i="5"/>
  <c r="CS20" i="5"/>
  <c r="AQ209" i="5"/>
  <c r="AQ182" i="5"/>
  <c r="AH24" i="5"/>
  <c r="AX24" i="5"/>
  <c r="AN59" i="5"/>
  <c r="BD29" i="5"/>
  <c r="AV21" i="18" s="1"/>
  <c r="BL29" i="5"/>
  <c r="BD21" i="18" s="1"/>
  <c r="BT29" i="5"/>
  <c r="BL21" i="18" s="1"/>
  <c r="CB29" i="5"/>
  <c r="BT21" i="18" s="1"/>
  <c r="AJ39" i="5"/>
  <c r="AZ39" i="5"/>
  <c r="AM52" i="5"/>
  <c r="AQ55" i="5"/>
  <c r="AQ56" i="5" s="1"/>
  <c r="BH400" i="5"/>
  <c r="AZ1286" i="18" s="1"/>
  <c r="BH353" i="5"/>
  <c r="BH352" i="5"/>
  <c r="BH351" i="5"/>
  <c r="AZ301" i="18" s="1"/>
  <c r="BH350" i="5"/>
  <c r="AZ300" i="18" s="1"/>
  <c r="BH354" i="5"/>
  <c r="AZ302" i="18" s="1"/>
  <c r="BH369" i="5"/>
  <c r="BH347" i="5"/>
  <c r="AZ297" i="18" s="1"/>
  <c r="BQ353" i="5"/>
  <c r="BT352" i="5"/>
  <c r="BP350" i="5"/>
  <c r="BH300" i="18" s="1"/>
  <c r="BP400" i="5"/>
  <c r="BP353" i="5"/>
  <c r="BP369" i="5"/>
  <c r="BP354" i="5"/>
  <c r="BH302" i="18" s="1"/>
  <c r="BT350" i="5"/>
  <c r="BL300" i="18" s="1"/>
  <c r="BQ351" i="5"/>
  <c r="BI301" i="18" s="1"/>
  <c r="BP351" i="5"/>
  <c r="BH301" i="18" s="1"/>
  <c r="BP352" i="5"/>
  <c r="BX346" i="5"/>
  <c r="BP296" i="18" s="1"/>
  <c r="CW62" i="5"/>
  <c r="CO50" i="18" s="1"/>
  <c r="AM458" i="5"/>
  <c r="AM77" i="5"/>
  <c r="AM79" i="5" s="1"/>
  <c r="CN64" i="5"/>
  <c r="AU458" i="5"/>
  <c r="AU486" i="5" s="1"/>
  <c r="CP64" i="5"/>
  <c r="AU77" i="5"/>
  <c r="AU79" i="5" s="1"/>
  <c r="AU71" i="5"/>
  <c r="AU73" i="5" s="1"/>
  <c r="AK466" i="5"/>
  <c r="CN65" i="5"/>
  <c r="AV458" i="5"/>
  <c r="AV71" i="5"/>
  <c r="AR518" i="5"/>
  <c r="AR519" i="5" s="1"/>
  <c r="AR510" i="5"/>
  <c r="AZ510" i="5"/>
  <c r="BI510" i="5"/>
  <c r="BA370" i="18" s="1"/>
  <c r="AP108" i="5"/>
  <c r="AP111" i="5" s="1"/>
  <c r="AP106" i="5"/>
  <c r="BB108" i="5"/>
  <c r="AT89" i="18" s="1"/>
  <c r="BB106" i="5"/>
  <c r="AT87" i="18" s="1"/>
  <c r="BJ111" i="5"/>
  <c r="BB92" i="18" s="1"/>
  <c r="BJ110" i="5"/>
  <c r="BB91" i="18" s="1"/>
  <c r="BR108" i="5"/>
  <c r="BR106" i="5"/>
  <c r="BJ87" i="18" s="1"/>
  <c r="BZ111" i="5"/>
  <c r="BR92" i="18" s="1"/>
  <c r="BZ110" i="5"/>
  <c r="BR91" i="18" s="1"/>
  <c r="CD108" i="5"/>
  <c r="BV89" i="18" s="1"/>
  <c r="BJ106" i="5"/>
  <c r="BB87" i="18" s="1"/>
  <c r="BD110" i="5"/>
  <c r="AV91" i="18" s="1"/>
  <c r="BY115" i="5"/>
  <c r="BQ96" i="18" s="1"/>
  <c r="CS128" i="5"/>
  <c r="CK108" i="18" s="1"/>
  <c r="BM752" i="5"/>
  <c r="CW128" i="5"/>
  <c r="CO108" i="18" s="1"/>
  <c r="BU137" i="5"/>
  <c r="BM1333" i="18" s="1"/>
  <c r="CS141" i="5"/>
  <c r="CK115" i="18" s="1"/>
  <c r="CW141" i="5"/>
  <c r="CO115" i="18" s="1"/>
  <c r="BJ170" i="5"/>
  <c r="BB136" i="18" s="1"/>
  <c r="BR170" i="5"/>
  <c r="BJ136" i="18" s="1"/>
  <c r="BZ170" i="5"/>
  <c r="BR136" i="18" s="1"/>
  <c r="AV167" i="5"/>
  <c r="AV168" i="5" s="1"/>
  <c r="BD167" i="5"/>
  <c r="CW172" i="5"/>
  <c r="BK215" i="5"/>
  <c r="BL251" i="5"/>
  <c r="BD216" i="18" s="1"/>
  <c r="BL253" i="5"/>
  <c r="BL254" i="5" s="1"/>
  <c r="BL255" i="5"/>
  <c r="BD218" i="18" s="1"/>
  <c r="BH413" i="5"/>
  <c r="AZ306" i="18" s="1"/>
  <c r="BH337" i="5"/>
  <c r="AZ293" i="18" s="1"/>
  <c r="BH361" i="5"/>
  <c r="AX354" i="5"/>
  <c r="AX355" i="5" s="1"/>
  <c r="BN331" i="5"/>
  <c r="BF287" i="18" s="1"/>
  <c r="AP13" i="5"/>
  <c r="AX13" i="5"/>
  <c r="BN13" i="5"/>
  <c r="BF6" i="18" s="1"/>
  <c r="BF299" i="5"/>
  <c r="AX257" i="18" s="1"/>
  <c r="BF215" i="5"/>
  <c r="AP209" i="5"/>
  <c r="AP182" i="5"/>
  <c r="AV40" i="5"/>
  <c r="AV41" i="5" s="1"/>
  <c r="AV42" i="5"/>
  <c r="BM71" i="5"/>
  <c r="BI504" i="5"/>
  <c r="BI470" i="5"/>
  <c r="BA355" i="18" s="1"/>
  <c r="CT466" i="5"/>
  <c r="CL352" i="18" s="1"/>
  <c r="BY466" i="5"/>
  <c r="BQ352" i="18" s="1"/>
  <c r="CX65" i="5"/>
  <c r="CP53" i="18" s="1"/>
  <c r="CL90" i="5"/>
  <c r="BA106" i="5"/>
  <c r="AS87" i="18" s="1"/>
  <c r="BA108" i="5"/>
  <c r="AS89" i="18" s="1"/>
  <c r="CT103" i="5"/>
  <c r="BI108" i="5"/>
  <c r="BA89" i="18" s="1"/>
  <c r="BI106" i="5"/>
  <c r="BA87" i="18" s="1"/>
  <c r="CX103" i="5"/>
  <c r="CP84" i="18" s="1"/>
  <c r="BY106" i="5"/>
  <c r="BQ87" i="18" s="1"/>
  <c r="BY108" i="5"/>
  <c r="BQ89" i="18" s="1"/>
  <c r="BE106" i="5"/>
  <c r="AW87" i="18" s="1"/>
  <c r="AG108" i="5"/>
  <c r="CX540" i="5"/>
  <c r="BE168" i="5"/>
  <c r="AW134" i="18" s="1"/>
  <c r="BC173" i="5"/>
  <c r="BB169" i="5"/>
  <c r="BB174" i="5"/>
  <c r="BM299" i="5"/>
  <c r="BE257" i="18" s="1"/>
  <c r="BM215" i="5"/>
  <c r="BE182" i="18" s="1"/>
  <c r="AR354" i="5"/>
  <c r="BP331" i="5"/>
  <c r="BH287" i="18" s="1"/>
  <c r="AR13" i="5"/>
  <c r="AZ13" i="5"/>
  <c r="AR6" i="18" s="1"/>
  <c r="BH13" i="5"/>
  <c r="AZ6" i="18" s="1"/>
  <c r="BP13" i="5"/>
  <c r="BH6" i="18" s="1"/>
  <c r="CS16" i="5"/>
  <c r="BH299" i="5"/>
  <c r="AZ257" i="18" s="1"/>
  <c r="BH215" i="5"/>
  <c r="AJ185" i="5"/>
  <c r="AJ189" i="5"/>
  <c r="AR182" i="5"/>
  <c r="AR209" i="5"/>
  <c r="AG22" i="5"/>
  <c r="AO22" i="5"/>
  <c r="AW22" i="5"/>
  <c r="AQ24" i="5"/>
  <c r="AW59" i="5"/>
  <c r="BE29" i="5"/>
  <c r="AW21" i="18" s="1"/>
  <c r="BM29" i="5"/>
  <c r="BE21" i="18" s="1"/>
  <c r="BU29" i="5"/>
  <c r="BM21" i="18" s="1"/>
  <c r="AU31" i="5"/>
  <c r="CJ337" i="5"/>
  <c r="CJ73" i="5"/>
  <c r="CJ79" i="5"/>
  <c r="CJ87" i="5" s="1"/>
  <c r="CJ88" i="5" s="1"/>
  <c r="CJ89" i="5" s="1"/>
  <c r="AA44" i="5"/>
  <c r="AQ49" i="5"/>
  <c r="AQ50" i="5" s="1"/>
  <c r="AN52" i="5"/>
  <c r="AV52" i="5"/>
  <c r="AV53" i="5" s="1"/>
  <c r="CJ55" i="5"/>
  <c r="BH483" i="5"/>
  <c r="AZ365" i="18" s="1"/>
  <c r="BH482" i="5"/>
  <c r="BH481" i="5"/>
  <c r="BH479" i="5"/>
  <c r="AZ366" i="18" s="1"/>
  <c r="BP538" i="5"/>
  <c r="BH387" i="18" s="1"/>
  <c r="BP478" i="5"/>
  <c r="BH364" i="18" s="1"/>
  <c r="BX538" i="5"/>
  <c r="BP387" i="18" s="1"/>
  <c r="BX478" i="5"/>
  <c r="BP364" i="18" s="1"/>
  <c r="CN354" i="5"/>
  <c r="CN355" i="5" s="1"/>
  <c r="CN352" i="5"/>
  <c r="CN350" i="5"/>
  <c r="AM71" i="5"/>
  <c r="AM73" i="5" s="1"/>
  <c r="BP71" i="5"/>
  <c r="AV77" i="5"/>
  <c r="AV79" i="5" s="1"/>
  <c r="CX104" i="5"/>
  <c r="AG106" i="5"/>
  <c r="CF108" i="5"/>
  <c r="BX89" i="18" s="1"/>
  <c r="BU115" i="5"/>
  <c r="BM96" i="18" s="1"/>
  <c r="BC131" i="5"/>
  <c r="BS131" i="5"/>
  <c r="CZ172" i="5"/>
  <c r="AX185" i="5"/>
  <c r="AQ180" i="5"/>
  <c r="AQ295" i="5" s="1"/>
  <c r="CP209" i="5"/>
  <c r="CP207" i="5"/>
  <c r="CO239" i="5"/>
  <c r="CO268" i="5" s="1"/>
  <c r="CO269" i="5" s="1"/>
  <c r="AO204" i="5"/>
  <c r="BM255" i="5"/>
  <c r="BE218" i="18" s="1"/>
  <c r="BZ324" i="5"/>
  <c r="BZ326" i="5" s="1"/>
  <c r="CD319" i="5"/>
  <c r="BM335" i="5"/>
  <c r="BE291" i="18" s="1"/>
  <c r="CU103" i="5"/>
  <c r="CM84" i="18" s="1"/>
  <c r="BM108" i="5"/>
  <c r="BE89" i="18" s="1"/>
  <c r="AQ167" i="5"/>
  <c r="AP168" i="5"/>
  <c r="BJ243" i="5"/>
  <c r="BB210" i="18" s="1"/>
  <c r="BD274" i="5"/>
  <c r="BH273" i="5"/>
  <c r="AM331" i="5"/>
  <c r="BS354" i="5"/>
  <c r="AM13" i="5"/>
  <c r="BC13" i="5"/>
  <c r="AU6" i="18" s="1"/>
  <c r="BS13" i="5"/>
  <c r="BK6" i="18" s="1"/>
  <c r="CO12" i="5"/>
  <c r="CO13" i="5" s="1"/>
  <c r="BC299" i="5"/>
  <c r="AU257" i="18" s="1"/>
  <c r="BC215" i="5"/>
  <c r="CW20" i="5"/>
  <c r="AM182" i="5"/>
  <c r="AM209" i="5"/>
  <c r="AP31" i="5"/>
  <c r="AN437" i="5"/>
  <c r="AN479" i="5"/>
  <c r="AN428" i="5"/>
  <c r="AN287" i="5"/>
  <c r="AN347" i="5"/>
  <c r="AR58" i="5"/>
  <c r="AR59" i="5" s="1"/>
  <c r="BH472" i="5"/>
  <c r="CS66" i="5"/>
  <c r="CK54" i="18" s="1"/>
  <c r="BX476" i="5"/>
  <c r="BP361" i="18" s="1"/>
  <c r="BX475" i="5"/>
  <c r="AQ458" i="5"/>
  <c r="AQ77" i="5"/>
  <c r="AQ79" i="5" s="1"/>
  <c r="AQ71" i="5"/>
  <c r="AQ73" i="5" s="1"/>
  <c r="BD510" i="5"/>
  <c r="AV370" i="18" s="1"/>
  <c r="BS510" i="5"/>
  <c r="BK370" i="18" s="1"/>
  <c r="CR104" i="5"/>
  <c r="CJ85" i="18" s="1"/>
  <c r="BA113" i="5"/>
  <c r="CV104" i="5"/>
  <c r="CN85" i="18" s="1"/>
  <c r="BQ113" i="5"/>
  <c r="BI94" i="18" s="1"/>
  <c r="BD111" i="5"/>
  <c r="AV92" i="18" s="1"/>
  <c r="BF168" i="5"/>
  <c r="AX134" i="18" s="1"/>
  <c r="BG167" i="5"/>
  <c r="AJ167" i="5"/>
  <c r="AJ168" i="5" s="1"/>
  <c r="AN354" i="5"/>
  <c r="AN355" i="5" s="1"/>
  <c r="AN331" i="5"/>
  <c r="BT354" i="5"/>
  <c r="BL302" i="18" s="1"/>
  <c r="AN13" i="5"/>
  <c r="AV13" i="5"/>
  <c r="BD13" i="5"/>
  <c r="AV6" i="18" s="1"/>
  <c r="BT13" i="5"/>
  <c r="BL6" i="18" s="1"/>
  <c r="CU15" i="5"/>
  <c r="CM8" i="18" s="1"/>
  <c r="CW16" i="5"/>
  <c r="CO9" i="18" s="1"/>
  <c r="BD299" i="5"/>
  <c r="AV257" i="18" s="1"/>
  <c r="BD215" i="5"/>
  <c r="BL299" i="5"/>
  <c r="BD257" i="18" s="1"/>
  <c r="BL215" i="5"/>
  <c r="CP299" i="5"/>
  <c r="CP215" i="5"/>
  <c r="CP300" i="5" s="1"/>
  <c r="CP301" i="5" s="1"/>
  <c r="AN209" i="5"/>
  <c r="AN182" i="5"/>
  <c r="AV182" i="5"/>
  <c r="AV209" i="5"/>
  <c r="AM24" i="5"/>
  <c r="AK29" i="5"/>
  <c r="BQ29" i="5"/>
  <c r="BI21" i="18" s="1"/>
  <c r="AQ31" i="5"/>
  <c r="CJ40" i="5"/>
  <c r="CJ41" i="5" s="1"/>
  <c r="AQ43" i="5"/>
  <c r="W44" i="5"/>
  <c r="CK43" i="5"/>
  <c r="AJ52" i="5"/>
  <c r="AS58" i="5"/>
  <c r="AS59" i="5" s="1"/>
  <c r="BH455" i="5"/>
  <c r="AZ342" i="18" s="1"/>
  <c r="BH453" i="5"/>
  <c r="AZ340" i="18" s="1"/>
  <c r="BH456" i="5"/>
  <c r="AZ343" i="18" s="1"/>
  <c r="BP486" i="5"/>
  <c r="BH378" i="18" s="1"/>
  <c r="BP455" i="5"/>
  <c r="BH342" i="18" s="1"/>
  <c r="BP456" i="5"/>
  <c r="BH343" i="18" s="1"/>
  <c r="BX486" i="5"/>
  <c r="BP378" i="18" s="1"/>
  <c r="BX455" i="5"/>
  <c r="BP342" i="18" s="1"/>
  <c r="BX456" i="5"/>
  <c r="BP343" i="18" s="1"/>
  <c r="BX453" i="5"/>
  <c r="BP340" i="18" s="1"/>
  <c r="CR352" i="5"/>
  <c r="CR350" i="5"/>
  <c r="CJ300" i="18" s="1"/>
  <c r="CR400" i="5"/>
  <c r="CJ1286" i="18" s="1"/>
  <c r="AJ458" i="5"/>
  <c r="AJ459" i="5" s="1"/>
  <c r="AJ77" i="5"/>
  <c r="AR458" i="5"/>
  <c r="AV463" i="5" s="1"/>
  <c r="AR77" i="5"/>
  <c r="AR79" i="5" s="1"/>
  <c r="AP469" i="5"/>
  <c r="AT469" i="5"/>
  <c r="AP470" i="5"/>
  <c r="AO518" i="5"/>
  <c r="AO510" i="5"/>
  <c r="CO69" i="5"/>
  <c r="AW518" i="5"/>
  <c r="AW510" i="5"/>
  <c r="CQ69" i="5"/>
  <c r="BE510" i="5"/>
  <c r="AW370" i="18" s="1"/>
  <c r="BL510" i="5"/>
  <c r="BD370" i="18" s="1"/>
  <c r="AW121" i="5"/>
  <c r="BE108" i="5"/>
  <c r="CO108" i="5" s="1"/>
  <c r="CG89" i="18" s="1"/>
  <c r="BX111" i="5"/>
  <c r="BP92" i="18" s="1"/>
  <c r="CD104" i="5"/>
  <c r="CM121" i="5"/>
  <c r="BG131" i="5"/>
  <c r="BH167" i="5"/>
  <c r="AZ133" i="18" s="1"/>
  <c r="BO170" i="5"/>
  <c r="BG136" i="18" s="1"/>
  <c r="BW170" i="5"/>
  <c r="BO136" i="18" s="1"/>
  <c r="AQ168" i="5"/>
  <c r="AI295" i="5"/>
  <c r="AI180" i="5"/>
  <c r="AI196" i="5" s="1"/>
  <c r="BW209" i="5"/>
  <c r="BO176" i="18" s="1"/>
  <c r="CW103" i="5"/>
  <c r="BU108" i="5"/>
  <c r="BM89" i="18" s="1"/>
  <c r="AO123" i="5"/>
  <c r="AO121" i="5"/>
  <c r="BE115" i="5"/>
  <c r="AW96" i="18" s="1"/>
  <c r="AU752" i="5"/>
  <c r="BF240" i="5"/>
  <c r="BF274" i="5"/>
  <c r="BJ273" i="5"/>
  <c r="AU331" i="5"/>
  <c r="AU13" i="5"/>
  <c r="BK13" i="5"/>
  <c r="BC6" i="18" s="1"/>
  <c r="CV16" i="5"/>
  <c r="CO299" i="5"/>
  <c r="CO215" i="5"/>
  <c r="CO300" i="5" s="1"/>
  <c r="CO301" i="5" s="1"/>
  <c r="AU182" i="5"/>
  <c r="AU209" i="5"/>
  <c r="AZ209" i="5"/>
  <c r="AZ182" i="5"/>
  <c r="AH31" i="5"/>
  <c r="AX31" i="5"/>
  <c r="AV437" i="5"/>
  <c r="AV428" i="5"/>
  <c r="AV332" i="5"/>
  <c r="AV73" i="5"/>
  <c r="AV287" i="5"/>
  <c r="BP476" i="5"/>
  <c r="BH361" i="18" s="1"/>
  <c r="BP475" i="5"/>
  <c r="CU61" i="5"/>
  <c r="CM49" i="18" s="1"/>
  <c r="CT65" i="5"/>
  <c r="CL53" i="18" s="1"/>
  <c r="AI458" i="5"/>
  <c r="AI77" i="5"/>
  <c r="CM77" i="5" s="1"/>
  <c r="CM64" i="5"/>
  <c r="AZ458" i="5"/>
  <c r="AZ486" i="5" s="1"/>
  <c r="AZ77" i="5"/>
  <c r="AO466" i="5"/>
  <c r="CO65" i="5"/>
  <c r="CO71" i="5" s="1"/>
  <c r="AN518" i="5"/>
  <c r="AN510" i="5"/>
  <c r="AV510" i="5"/>
  <c r="AV518" i="5"/>
  <c r="BQ510" i="5"/>
  <c r="BI370" i="18" s="1"/>
  <c r="CV69" i="5"/>
  <c r="CN56" i="18" s="1"/>
  <c r="BK510" i="5"/>
  <c r="BC370" i="18" s="1"/>
  <c r="BK71" i="5"/>
  <c r="CE70" i="5"/>
  <c r="BX71" i="5"/>
  <c r="AN79" i="5"/>
  <c r="AT121" i="5"/>
  <c r="BF116" i="5"/>
  <c r="AX97" i="18" s="1"/>
  <c r="BF115" i="5"/>
  <c r="AX96" i="18" s="1"/>
  <c r="CT141" i="5"/>
  <c r="CL115" i="18" s="1"/>
  <c r="BV170" i="5"/>
  <c r="BN136" i="18" s="1"/>
  <c r="BR167" i="5"/>
  <c r="BJ133" i="18" s="1"/>
  <c r="BQ168" i="5"/>
  <c r="BI134" i="18" s="1"/>
  <c r="BT173" i="5"/>
  <c r="BT169" i="5" s="1"/>
  <c r="BS169" i="5"/>
  <c r="CV169" i="5" s="1"/>
  <c r="AO331" i="5"/>
  <c r="AW331" i="5"/>
  <c r="AO287" i="18" s="1"/>
  <c r="AW354" i="5"/>
  <c r="AW355" i="5" s="1"/>
  <c r="BE331" i="5"/>
  <c r="AW287" i="18" s="1"/>
  <c r="AO13" i="5"/>
  <c r="AW13" i="5"/>
  <c r="CQ12" i="5"/>
  <c r="CI5" i="18" s="1"/>
  <c r="BE299" i="5"/>
  <c r="AW257" i="18" s="1"/>
  <c r="BE215" i="5"/>
  <c r="AW182" i="18" s="1"/>
  <c r="CS181" i="5"/>
  <c r="AG209" i="5"/>
  <c r="AG182" i="5"/>
  <c r="AO209" i="5"/>
  <c r="AO182" i="5"/>
  <c r="AW209" i="5"/>
  <c r="AW182" i="5"/>
  <c r="AZ23" i="5"/>
  <c r="AN24" i="5"/>
  <c r="AN25" i="5" s="1"/>
  <c r="AV24" i="5"/>
  <c r="AJ31" i="5"/>
  <c r="AN34" i="5" s="1"/>
  <c r="AR31" i="5"/>
  <c r="AZ31" i="5"/>
  <c r="BD32" i="5" s="1"/>
  <c r="AV24" i="18" s="1"/>
  <c r="AH39" i="5"/>
  <c r="AP39" i="5"/>
  <c r="AX39" i="5"/>
  <c r="CK40" i="5"/>
  <c r="CK41" i="5" s="1"/>
  <c r="X44" i="5"/>
  <c r="AN49" i="5"/>
  <c r="AN50" i="5" s="1"/>
  <c r="AV49" i="5"/>
  <c r="AV50" i="5" s="1"/>
  <c r="AN55" i="5"/>
  <c r="BD335" i="5"/>
  <c r="BD71" i="5"/>
  <c r="BL335" i="5"/>
  <c r="BD291" i="18" s="1"/>
  <c r="BL71" i="5"/>
  <c r="BT71" i="5"/>
  <c r="CB335" i="5"/>
  <c r="BT291" i="18" s="1"/>
  <c r="CB71" i="5"/>
  <c r="BA452" i="5"/>
  <c r="AS339" i="18" s="1"/>
  <c r="CR63" i="5"/>
  <c r="CJ51" i="18" s="1"/>
  <c r="BI452" i="5"/>
  <c r="BA339" i="18" s="1"/>
  <c r="CT63" i="5"/>
  <c r="CL51" i="18" s="1"/>
  <c r="BQ452" i="5"/>
  <c r="CV63" i="5"/>
  <c r="BY456" i="5"/>
  <c r="BQ343" i="18" s="1"/>
  <c r="CX452" i="5"/>
  <c r="CP339" i="18" s="1"/>
  <c r="CC452" i="5"/>
  <c r="BU339" i="18" s="1"/>
  <c r="BD462" i="5"/>
  <c r="AV348" i="18" s="1"/>
  <c r="BD461" i="5"/>
  <c r="AV349" i="18" s="1"/>
  <c r="BL500" i="5"/>
  <c r="BL462" i="5"/>
  <c r="BD348" i="18" s="1"/>
  <c r="BL461" i="5"/>
  <c r="BD349" i="18" s="1"/>
  <c r="BL459" i="5"/>
  <c r="BD346" i="18" s="1"/>
  <c r="BT458" i="5"/>
  <c r="BX462" i="5" s="1"/>
  <c r="BP348" i="18" s="1"/>
  <c r="CV64" i="5"/>
  <c r="CB500" i="5"/>
  <c r="CB462" i="5"/>
  <c r="BT348" i="18" s="1"/>
  <c r="CB459" i="5"/>
  <c r="BT346" i="18" s="1"/>
  <c r="CB461" i="5"/>
  <c r="BT349" i="18" s="1"/>
  <c r="BE478" i="5"/>
  <c r="AW364" i="18" s="1"/>
  <c r="CS67" i="5"/>
  <c r="BM478" i="5"/>
  <c r="BE364" i="18" s="1"/>
  <c r="BM538" i="5"/>
  <c r="BU538" i="5"/>
  <c r="BM387" i="18" s="1"/>
  <c r="BU478" i="5"/>
  <c r="BM364" i="18" s="1"/>
  <c r="CW67" i="5"/>
  <c r="CS62" i="5"/>
  <c r="CW66" i="5"/>
  <c r="CO54" i="18" s="1"/>
  <c r="CK96" i="5"/>
  <c r="AK77" i="5"/>
  <c r="AV121" i="5"/>
  <c r="CR103" i="5"/>
  <c r="CJ84" i="18" s="1"/>
  <c r="BC115" i="5"/>
  <c r="AU96" i="18" s="1"/>
  <c r="CN113" i="5"/>
  <c r="BK116" i="5"/>
  <c r="BC97" i="18" s="1"/>
  <c r="BK115" i="5"/>
  <c r="BC96" i="18" s="1"/>
  <c r="BS116" i="5"/>
  <c r="BK97" i="18" s="1"/>
  <c r="BS115" i="5"/>
  <c r="BK96" i="18" s="1"/>
  <c r="CU119" i="5"/>
  <c r="CM101" i="18" s="1"/>
  <c r="CU128" i="5"/>
  <c r="CM108" i="18" s="1"/>
  <c r="AH752" i="5"/>
  <c r="AP752" i="5"/>
  <c r="AP131" i="5"/>
  <c r="CO134" i="5"/>
  <c r="AX752" i="5"/>
  <c r="AX131" i="5"/>
  <c r="BN131" i="5"/>
  <c r="CR141" i="5"/>
  <c r="CJ115" i="18" s="1"/>
  <c r="AI167" i="5"/>
  <c r="AI168" i="5" s="1"/>
  <c r="CM168" i="5" s="1"/>
  <c r="AY167" i="5"/>
  <c r="BO167" i="5"/>
  <c r="BG133" i="18" s="1"/>
  <c r="AY168" i="5"/>
  <c r="CB167" i="5"/>
  <c r="BT133" i="18" s="1"/>
  <c r="AR215" i="5"/>
  <c r="AR300" i="5" s="1"/>
  <c r="AR299" i="5"/>
  <c r="AZ299" i="5"/>
  <c r="AZ215" i="5"/>
  <c r="AZ300" i="5" s="1"/>
  <c r="BH283" i="5"/>
  <c r="AZ240" i="18" s="1"/>
  <c r="BH207" i="5"/>
  <c r="BL207" i="5"/>
  <c r="BP209" i="5"/>
  <c r="BH176" i="18" s="1"/>
  <c r="BP207" i="5"/>
  <c r="BH174" i="18" s="1"/>
  <c r="BX207" i="5"/>
  <c r="CB207" i="5"/>
  <c r="CW206" i="5"/>
  <c r="CO173" i="18" s="1"/>
  <c r="BX209" i="5"/>
  <c r="BP176" i="18" s="1"/>
  <c r="BR71" i="5"/>
  <c r="BD354" i="5"/>
  <c r="AV302" i="18" s="1"/>
  <c r="BD351" i="5"/>
  <c r="AV301" i="18" s="1"/>
  <c r="BD353" i="5"/>
  <c r="BD369" i="5"/>
  <c r="BD400" i="5"/>
  <c r="AV1286" i="18" s="1"/>
  <c r="BD352" i="5"/>
  <c r="BD350" i="5"/>
  <c r="AV300" i="18" s="1"/>
  <c r="BL400" i="5"/>
  <c r="BD1286" i="18" s="1"/>
  <c r="BL351" i="5"/>
  <c r="BD301" i="18" s="1"/>
  <c r="BL347" i="5"/>
  <c r="BD297" i="18" s="1"/>
  <c r="BL350" i="5"/>
  <c r="BD300" i="18" s="1"/>
  <c r="BL352" i="5"/>
  <c r="BL353" i="5"/>
  <c r="BL369" i="5"/>
  <c r="CB400" i="5"/>
  <c r="BT1286" i="18" s="1"/>
  <c r="CB347" i="5"/>
  <c r="CB353" i="5"/>
  <c r="CB351" i="5"/>
  <c r="BT301" i="18" s="1"/>
  <c r="BH500" i="5"/>
  <c r="BH461" i="5"/>
  <c r="AZ349" i="18" s="1"/>
  <c r="BH459" i="5"/>
  <c r="AZ346" i="18" s="1"/>
  <c r="BP461" i="5"/>
  <c r="BH349" i="18" s="1"/>
  <c r="BP459" i="5"/>
  <c r="BP500" i="5"/>
  <c r="BP462" i="5"/>
  <c r="BH348" i="18" s="1"/>
  <c r="BX500" i="5"/>
  <c r="BX461" i="5"/>
  <c r="BP349" i="18" s="1"/>
  <c r="BD476" i="5"/>
  <c r="AV361" i="18" s="1"/>
  <c r="BD475" i="5"/>
  <c r="BD473" i="5"/>
  <c r="AV359" i="18" s="1"/>
  <c r="BL476" i="5"/>
  <c r="BD361" i="18" s="1"/>
  <c r="BL473" i="5"/>
  <c r="BD359" i="18" s="1"/>
  <c r="BT476" i="5"/>
  <c r="BL361" i="18" s="1"/>
  <c r="BT475" i="5"/>
  <c r="CB476" i="5"/>
  <c r="BT361" i="18" s="1"/>
  <c r="CB475" i="5"/>
  <c r="CB473" i="5"/>
  <c r="BT359" i="18" s="1"/>
  <c r="CO400" i="5"/>
  <c r="CO354" i="5"/>
  <c r="CO350" i="5"/>
  <c r="CO352" i="5"/>
  <c r="CO379" i="5"/>
  <c r="AN462" i="5"/>
  <c r="AN459" i="5"/>
  <c r="AN460" i="5" s="1"/>
  <c r="AN461" i="5"/>
  <c r="AW458" i="5"/>
  <c r="AW486" i="5" s="1"/>
  <c r="CQ64" i="5"/>
  <c r="CQ71" i="5" s="1"/>
  <c r="AW71" i="5"/>
  <c r="AL467" i="5"/>
  <c r="AL468" i="5" s="1"/>
  <c r="AL470" i="5"/>
  <c r="AL469" i="5"/>
  <c r="AV470" i="5"/>
  <c r="AV467" i="5"/>
  <c r="AV468" i="5" s="1"/>
  <c r="AZ469" i="5"/>
  <c r="AV469" i="5"/>
  <c r="AK510" i="5"/>
  <c r="CN69" i="5"/>
  <c r="AS510" i="5"/>
  <c r="BA510" i="5"/>
  <c r="AS370" i="18" s="1"/>
  <c r="BA518" i="5"/>
  <c r="CR69" i="5"/>
  <c r="CJ56" i="18" s="1"/>
  <c r="BX510" i="5"/>
  <c r="BP370" i="18" s="1"/>
  <c r="BG510" i="5"/>
  <c r="AY370" i="18" s="1"/>
  <c r="BO510" i="5"/>
  <c r="BG370" i="18" s="1"/>
  <c r="BW510" i="5"/>
  <c r="BO370" i="18" s="1"/>
  <c r="AW77" i="5"/>
  <c r="AL111" i="5"/>
  <c r="AT111" i="5"/>
  <c r="BF111" i="5"/>
  <c r="AX92" i="18" s="1"/>
  <c r="BF110" i="5"/>
  <c r="AX91" i="18" s="1"/>
  <c r="BN111" i="5"/>
  <c r="BF92" i="18" s="1"/>
  <c r="BN110" i="5"/>
  <c r="BF91" i="18" s="1"/>
  <c r="BV111" i="5"/>
  <c r="BN92" i="18" s="1"/>
  <c r="BV110" i="5"/>
  <c r="BN91" i="18" s="1"/>
  <c r="BG115" i="5"/>
  <c r="AY96" i="18" s="1"/>
  <c r="BG116" i="5"/>
  <c r="AY97" i="18" s="1"/>
  <c r="BO115" i="5"/>
  <c r="BG96" i="18" s="1"/>
  <c r="BO116" i="5"/>
  <c r="BG97" i="18" s="1"/>
  <c r="BW115" i="5"/>
  <c r="BO96" i="18" s="1"/>
  <c r="BW116" i="5"/>
  <c r="BO97" i="18" s="1"/>
  <c r="AY106" i="5"/>
  <c r="CQ105" i="5"/>
  <c r="BF106" i="5"/>
  <c r="AX87" i="18" s="1"/>
  <c r="BV106" i="5"/>
  <c r="BN87" i="18" s="1"/>
  <c r="CK108" i="5"/>
  <c r="CC89" i="18" s="1"/>
  <c r="BL110" i="5"/>
  <c r="BD91" i="18" s="1"/>
  <c r="CX132" i="5"/>
  <c r="AI752" i="5"/>
  <c r="AQ752" i="5"/>
  <c r="AY752" i="5"/>
  <c r="CV141" i="5"/>
  <c r="CN115" i="18" s="1"/>
  <c r="BK170" i="5"/>
  <c r="BC136" i="18" s="1"/>
  <c r="BS170" i="5"/>
  <c r="BK136" i="18" s="1"/>
  <c r="BI168" i="5"/>
  <c r="BA134" i="18" s="1"/>
  <c r="AN299" i="5"/>
  <c r="AN215" i="5"/>
  <c r="AN300" i="5" s="1"/>
  <c r="AV301" i="5"/>
  <c r="CS222" i="5"/>
  <c r="BG188" i="5"/>
  <c r="AY154" i="18" s="1"/>
  <c r="AR214" i="5"/>
  <c r="AR196" i="5"/>
  <c r="AX251" i="5"/>
  <c r="AX252" i="5" s="1"/>
  <c r="R413" i="5"/>
  <c r="V336" i="5"/>
  <c r="R336" i="5"/>
  <c r="R337" i="5"/>
  <c r="Z361" i="5"/>
  <c r="Z362" i="5" s="1"/>
  <c r="Z363" i="5" s="1"/>
  <c r="Z413" i="5"/>
  <c r="Z368" i="5"/>
  <c r="Z337" i="5"/>
  <c r="AH413" i="5"/>
  <c r="AH361" i="5"/>
  <c r="AH337" i="5"/>
  <c r="AH336" i="5"/>
  <c r="AH368" i="5"/>
  <c r="AL336" i="5"/>
  <c r="CM335" i="5"/>
  <c r="AP413" i="5"/>
  <c r="AP361" i="5"/>
  <c r="AP368" i="5"/>
  <c r="AT336" i="5"/>
  <c r="AP337" i="5"/>
  <c r="AP338" i="5" s="1"/>
  <c r="AP336" i="5"/>
  <c r="AX413" i="5"/>
  <c r="AX361" i="5"/>
  <c r="AX339" i="5"/>
  <c r="AX368" i="5"/>
  <c r="CQ335" i="5"/>
  <c r="CK413" i="5"/>
  <c r="CK361" i="5"/>
  <c r="CK362" i="5" s="1"/>
  <c r="CK336" i="5"/>
  <c r="CK337" i="5"/>
  <c r="Z336" i="5"/>
  <c r="AX336" i="5"/>
  <c r="AX342" i="5" s="1"/>
  <c r="AX341" i="5" s="1"/>
  <c r="BE354" i="5"/>
  <c r="AW302" i="18" s="1"/>
  <c r="BE351" i="5"/>
  <c r="AW301" i="18" s="1"/>
  <c r="BE350" i="5"/>
  <c r="AW300" i="18" s="1"/>
  <c r="BE379" i="5"/>
  <c r="AW1271" i="18" s="1"/>
  <c r="BE352" i="5"/>
  <c r="BE400" i="5"/>
  <c r="AW1286" i="18" s="1"/>
  <c r="BE353" i="5"/>
  <c r="CU62" i="5"/>
  <c r="CM50" i="18" s="1"/>
  <c r="BM346" i="5"/>
  <c r="BE296" i="18" s="1"/>
  <c r="BU400" i="5"/>
  <c r="BU351" i="5"/>
  <c r="BM301" i="18" s="1"/>
  <c r="BU347" i="5"/>
  <c r="BM297" i="18" s="1"/>
  <c r="BU353" i="5"/>
  <c r="BU350" i="5"/>
  <c r="BM300" i="18" s="1"/>
  <c r="CW346" i="5"/>
  <c r="CO296" i="18" s="1"/>
  <c r="BU379" i="5"/>
  <c r="BM1271" i="18" s="1"/>
  <c r="BU352" i="5"/>
  <c r="BA459" i="5"/>
  <c r="AS346" i="18" s="1"/>
  <c r="BA462" i="5"/>
  <c r="AS348" i="18" s="1"/>
  <c r="CR458" i="5"/>
  <c r="CJ345" i="18" s="1"/>
  <c r="BI458" i="5"/>
  <c r="BA345" i="18" s="1"/>
  <c r="CT64" i="5"/>
  <c r="CL52" i="18" s="1"/>
  <c r="BQ500" i="5"/>
  <c r="BQ461" i="5"/>
  <c r="BI349" i="18" s="1"/>
  <c r="BY458" i="5"/>
  <c r="BQ345" i="18" s="1"/>
  <c r="CX64" i="5"/>
  <c r="CP52" i="18" s="1"/>
  <c r="CS472" i="5"/>
  <c r="CK358" i="18" s="1"/>
  <c r="BE475" i="5"/>
  <c r="BE476" i="5"/>
  <c r="AW361" i="18" s="1"/>
  <c r="BM472" i="5"/>
  <c r="BE358" i="18" s="1"/>
  <c r="CU66" i="5"/>
  <c r="CM54" i="18" s="1"/>
  <c r="CW472" i="5"/>
  <c r="CO358" i="18" s="1"/>
  <c r="BU475" i="5"/>
  <c r="BU476" i="5"/>
  <c r="BM361" i="18" s="1"/>
  <c r="BU473" i="5"/>
  <c r="BM359" i="18" s="1"/>
  <c r="CQ549" i="5"/>
  <c r="CQ559" i="5"/>
  <c r="BM510" i="5"/>
  <c r="BE370" i="18" s="1"/>
  <c r="CU69" i="5"/>
  <c r="CM56" i="18" s="1"/>
  <c r="BY510" i="5"/>
  <c r="BQ370" i="18" s="1"/>
  <c r="CU70" i="5"/>
  <c r="CM57" i="18" s="1"/>
  <c r="CK74" i="5"/>
  <c r="AZ106" i="5"/>
  <c r="CQ104" i="5"/>
  <c r="CQ106" i="5" s="1"/>
  <c r="BH113" i="5"/>
  <c r="BH106" i="5"/>
  <c r="AZ87" i="18" s="1"/>
  <c r="BP113" i="5"/>
  <c r="BH94" i="18" s="1"/>
  <c r="BP106" i="5"/>
  <c r="BH87" i="18" s="1"/>
  <c r="BX113" i="5"/>
  <c r="BP94" i="18" s="1"/>
  <c r="BX106" i="5"/>
  <c r="BP87" i="18" s="1"/>
  <c r="CM113" i="5"/>
  <c r="CE94" i="18" s="1"/>
  <c r="BR116" i="5"/>
  <c r="BJ97" i="18" s="1"/>
  <c r="CO113" i="5"/>
  <c r="CG94" i="18" s="1"/>
  <c r="BD752" i="5"/>
  <c r="BL752" i="5"/>
  <c r="BT752" i="5"/>
  <c r="BT137" i="5"/>
  <c r="BL1333" i="18" s="1"/>
  <c r="CB137" i="5"/>
  <c r="BT1333" i="18" s="1"/>
  <c r="BC174" i="5"/>
  <c r="BT174" i="5"/>
  <c r="BL140" i="18" s="1"/>
  <c r="CQ173" i="5"/>
  <c r="CQ174" i="5" s="1"/>
  <c r="AV214" i="5"/>
  <c r="AV296" i="5" s="1"/>
  <c r="AV297" i="5" s="1"/>
  <c r="AV196" i="5"/>
  <c r="AV197" i="5" s="1"/>
  <c r="BF250" i="5"/>
  <c r="AX215" i="18" s="1"/>
  <c r="BF242" i="5"/>
  <c r="BJ244" i="5"/>
  <c r="BF206" i="5"/>
  <c r="AX173" i="18" s="1"/>
  <c r="AT204" i="5"/>
  <c r="AT238" i="5"/>
  <c r="BB239" i="5"/>
  <c r="BB204" i="5" s="1"/>
  <c r="BH462" i="5"/>
  <c r="AZ348" i="18" s="1"/>
  <c r="BA400" i="5"/>
  <c r="AS1286" i="18" s="1"/>
  <c r="BA352" i="5"/>
  <c r="BA369" i="5"/>
  <c r="BA379" i="5"/>
  <c r="AS1271" i="18" s="1"/>
  <c r="BA353" i="5"/>
  <c r="BA350" i="5"/>
  <c r="AS300" i="18" s="1"/>
  <c r="BI346" i="5"/>
  <c r="BA296" i="18" s="1"/>
  <c r="CT62" i="5"/>
  <c r="CL50" i="18" s="1"/>
  <c r="BY346" i="5"/>
  <c r="BQ296" i="18" s="1"/>
  <c r="CX62" i="5"/>
  <c r="CP50" i="18" s="1"/>
  <c r="BE500" i="5"/>
  <c r="BE462" i="5"/>
  <c r="AW348" i="18" s="1"/>
  <c r="BE461" i="5"/>
  <c r="AW349" i="18" s="1"/>
  <c r="CS458" i="5"/>
  <c r="CK345" i="18" s="1"/>
  <c r="BM458" i="5"/>
  <c r="BE345" i="18" s="1"/>
  <c r="CU64" i="5"/>
  <c r="CM52" i="18" s="1"/>
  <c r="BU500" i="5"/>
  <c r="CW458" i="5"/>
  <c r="CO345" i="18" s="1"/>
  <c r="BU459" i="5"/>
  <c r="BM346" i="18" s="1"/>
  <c r="BU462" i="5"/>
  <c r="BM348" i="18" s="1"/>
  <c r="BA475" i="5"/>
  <c r="BA473" i="5"/>
  <c r="AS359" i="18" s="1"/>
  <c r="BA476" i="5"/>
  <c r="AS361" i="18" s="1"/>
  <c r="CR472" i="5"/>
  <c r="CJ358" i="18" s="1"/>
  <c r="BI472" i="5"/>
  <c r="BA358" i="18" s="1"/>
  <c r="CT66" i="5"/>
  <c r="CL54" i="18" s="1"/>
  <c r="BQ476" i="5"/>
  <c r="BI361" i="18" s="1"/>
  <c r="BQ475" i="5"/>
  <c r="CV472" i="5"/>
  <c r="CN358" i="18" s="1"/>
  <c r="BY472" i="5"/>
  <c r="BQ358" i="18" s="1"/>
  <c r="CX66" i="5"/>
  <c r="CP54" i="18" s="1"/>
  <c r="BT510" i="5"/>
  <c r="BL370" i="18" s="1"/>
  <c r="AN71" i="5"/>
  <c r="AN73" i="5" s="1"/>
  <c r="BC106" i="5"/>
  <c r="AU87" i="18" s="1"/>
  <c r="BK106" i="5"/>
  <c r="BC87" i="18" s="1"/>
  <c r="BS106" i="5"/>
  <c r="BK87" i="18" s="1"/>
  <c r="CA106" i="5"/>
  <c r="BS87" i="18" s="1"/>
  <c r="AW111" i="5"/>
  <c r="BJ116" i="5"/>
  <c r="BB97" i="18" s="1"/>
  <c r="BZ116" i="5"/>
  <c r="BR97" i="18" s="1"/>
  <c r="AZ752" i="5"/>
  <c r="AZ134" i="5"/>
  <c r="CQ134" i="5" s="1"/>
  <c r="BH752" i="5"/>
  <c r="BX137" i="5"/>
  <c r="BP1333" i="18" s="1"/>
  <c r="CT145" i="5"/>
  <c r="CL119" i="18" s="1"/>
  <c r="CX145" i="5"/>
  <c r="CP119" i="18" s="1"/>
  <c r="BV167" i="5"/>
  <c r="BN133" i="18" s="1"/>
  <c r="AS301" i="5"/>
  <c r="CT241" i="5"/>
  <c r="CL208" i="18" s="1"/>
  <c r="BP244" i="5"/>
  <c r="BL283" i="5"/>
  <c r="BD240" i="18" s="1"/>
  <c r="BL242" i="5"/>
  <c r="W353" i="5"/>
  <c r="W369" i="5"/>
  <c r="W347" i="5"/>
  <c r="AE353" i="5"/>
  <c r="AE369" i="5"/>
  <c r="AE347" i="5"/>
  <c r="AF353" i="5"/>
  <c r="AM354" i="5"/>
  <c r="AM351" i="5"/>
  <c r="AM347" i="5"/>
  <c r="AM350" i="5"/>
  <c r="AM379" i="5"/>
  <c r="AM369" i="5"/>
  <c r="AM352" i="5"/>
  <c r="AM400" i="5"/>
  <c r="AM353" i="5"/>
  <c r="AN351" i="5"/>
  <c r="AU354" i="5"/>
  <c r="AU351" i="5"/>
  <c r="AU353" i="5"/>
  <c r="AU350" i="5"/>
  <c r="AU352" i="5"/>
  <c r="AV353" i="5"/>
  <c r="AU400" i="5"/>
  <c r="AU347" i="5"/>
  <c r="AU369" i="5"/>
  <c r="AU379" i="5"/>
  <c r="AY350" i="5"/>
  <c r="BP336" i="5"/>
  <c r="BH292" i="18" s="1"/>
  <c r="BP413" i="5"/>
  <c r="BH306" i="18" s="1"/>
  <c r="BP361" i="5"/>
  <c r="BP339" i="5"/>
  <c r="BP368" i="5"/>
  <c r="BT336" i="5"/>
  <c r="BL292" i="18" s="1"/>
  <c r="BT339" i="5"/>
  <c r="BX337" i="5"/>
  <c r="BP293" i="18" s="1"/>
  <c r="BX336" i="5"/>
  <c r="BP292" i="18" s="1"/>
  <c r="BX413" i="5"/>
  <c r="BP306" i="18" s="1"/>
  <c r="BX339" i="5"/>
  <c r="BD486" i="5"/>
  <c r="AV378" i="18" s="1"/>
  <c r="BD456" i="5"/>
  <c r="AV343" i="18" s="1"/>
  <c r="BD455" i="5"/>
  <c r="AV342" i="18" s="1"/>
  <c r="BL456" i="5"/>
  <c r="BD343" i="18" s="1"/>
  <c r="BL455" i="5"/>
  <c r="BD342" i="18" s="1"/>
  <c r="BL486" i="5"/>
  <c r="BD378" i="18" s="1"/>
  <c r="BL453" i="5"/>
  <c r="BD340" i="18" s="1"/>
  <c r="BT456" i="5"/>
  <c r="BL343" i="18" s="1"/>
  <c r="BT455" i="5"/>
  <c r="BL342" i="18" s="1"/>
  <c r="CB456" i="5"/>
  <c r="BT343" i="18" s="1"/>
  <c r="CB486" i="5"/>
  <c r="BT378" i="18" s="1"/>
  <c r="CB455" i="5"/>
  <c r="BT342" i="18" s="1"/>
  <c r="CF452" i="5"/>
  <c r="BX339" i="18" s="1"/>
  <c r="BH504" i="5"/>
  <c r="BH469" i="5"/>
  <c r="BH467" i="5"/>
  <c r="AZ353" i="18" s="1"/>
  <c r="BH470" i="5"/>
  <c r="AZ355" i="18" s="1"/>
  <c r="BP469" i="5"/>
  <c r="BP504" i="5"/>
  <c r="BP470" i="5"/>
  <c r="BH355" i="18" s="1"/>
  <c r="BX504" i="5"/>
  <c r="BX470" i="5"/>
  <c r="BP355" i="18" s="1"/>
  <c r="BX469" i="5"/>
  <c r="BD481" i="5"/>
  <c r="BD482" i="5"/>
  <c r="BD483" i="5"/>
  <c r="AV365" i="18" s="1"/>
  <c r="BD479" i="5"/>
  <c r="AV366" i="18" s="1"/>
  <c r="BL478" i="5"/>
  <c r="BD364" i="18" s="1"/>
  <c r="BL538" i="5"/>
  <c r="BD387" i="18" s="1"/>
  <c r="BT538" i="5"/>
  <c r="BL387" i="18" s="1"/>
  <c r="BT478" i="5"/>
  <c r="BL364" i="18" s="1"/>
  <c r="CB478" i="5"/>
  <c r="BT364" i="18" s="1"/>
  <c r="CB538" i="5"/>
  <c r="BT387" i="18" s="1"/>
  <c r="CW64" i="5"/>
  <c r="CO52" i="18" s="1"/>
  <c r="CV66" i="5"/>
  <c r="AT459" i="5"/>
  <c r="AT460" i="5" s="1"/>
  <c r="BH518" i="5"/>
  <c r="AZ372" i="18" s="1"/>
  <c r="BH510" i="5"/>
  <c r="AZ370" i="18" s="1"/>
  <c r="BU510" i="5"/>
  <c r="BM370" i="18" s="1"/>
  <c r="AS77" i="5"/>
  <c r="CU105" i="5"/>
  <c r="CM86" i="18" s="1"/>
  <c r="AL106" i="5"/>
  <c r="AX111" i="5"/>
  <c r="BH110" i="5"/>
  <c r="AZ91" i="18" s="1"/>
  <c r="BM113" i="5"/>
  <c r="BE94" i="18" s="1"/>
  <c r="BT116" i="5"/>
  <c r="BL97" i="18" s="1"/>
  <c r="CS119" i="5"/>
  <c r="CK101" i="18" s="1"/>
  <c r="CW119" i="5"/>
  <c r="CO101" i="18" s="1"/>
  <c r="BA134" i="5"/>
  <c r="AS111" i="18" s="1"/>
  <c r="CR128" i="5"/>
  <c r="CJ108" i="18" s="1"/>
  <c r="BI752" i="5"/>
  <c r="CV128" i="5"/>
  <c r="CN108" i="18" s="1"/>
  <c r="CS169" i="5"/>
  <c r="CU169" i="5"/>
  <c r="AT168" i="5"/>
  <c r="AU167" i="5"/>
  <c r="AU168" i="5" s="1"/>
  <c r="BB168" i="5"/>
  <c r="CV174" i="5"/>
  <c r="CN140" i="18" s="1"/>
  <c r="CX172" i="5"/>
  <c r="CP138" i="18" s="1"/>
  <c r="BY174" i="5"/>
  <c r="BQ140" i="18" s="1"/>
  <c r="DE685" i="5"/>
  <c r="DE558" i="5" s="1"/>
  <c r="DF172" i="5"/>
  <c r="CV173" i="5"/>
  <c r="BB207" i="5"/>
  <c r="BB208" i="5" s="1"/>
  <c r="BB283" i="5"/>
  <c r="BS208" i="5"/>
  <c r="BK175" i="18" s="1"/>
  <c r="AR295" i="5"/>
  <c r="CW325" i="5"/>
  <c r="AP339" i="5"/>
  <c r="AM387" i="5"/>
  <c r="AU387" i="5"/>
  <c r="AY387" i="5"/>
  <c r="BC387" i="5"/>
  <c r="AU1279" i="18" s="1"/>
  <c r="BK387" i="5"/>
  <c r="BC1279" i="18" s="1"/>
  <c r="BS400" i="5"/>
  <c r="BK1286" i="18" s="1"/>
  <c r="BS387" i="5"/>
  <c r="BK1279" i="18" s="1"/>
  <c r="CA387" i="5"/>
  <c r="BS1279" i="18" s="1"/>
  <c r="AO381" i="5"/>
  <c r="AO380" i="5"/>
  <c r="BB339" i="5"/>
  <c r="BB413" i="5"/>
  <c r="AT306" i="18" s="1"/>
  <c r="BB368" i="5"/>
  <c r="BB336" i="5"/>
  <c r="AT292" i="18" s="1"/>
  <c r="BB361" i="5"/>
  <c r="BJ413" i="5"/>
  <c r="BB306" i="18" s="1"/>
  <c r="BJ339" i="5"/>
  <c r="BJ336" i="5"/>
  <c r="BB292" i="18" s="1"/>
  <c r="BJ361" i="5"/>
  <c r="BZ413" i="5"/>
  <c r="BR306" i="18" s="1"/>
  <c r="BZ339" i="5"/>
  <c r="BZ336" i="5"/>
  <c r="BR292" i="18" s="1"/>
  <c r="CD335" i="5"/>
  <c r="BV291" i="18" s="1"/>
  <c r="BB354" i="5"/>
  <c r="AT302" i="18" s="1"/>
  <c r="BB353" i="5"/>
  <c r="BB352" i="5"/>
  <c r="BB351" i="5"/>
  <c r="AT301" i="18" s="1"/>
  <c r="BB350" i="5"/>
  <c r="AT300" i="18" s="1"/>
  <c r="BB369" i="5"/>
  <c r="BJ354" i="5"/>
  <c r="BB302" i="18" s="1"/>
  <c r="BJ353" i="5"/>
  <c r="BJ352" i="5"/>
  <c r="BJ351" i="5"/>
  <c r="BB301" i="18" s="1"/>
  <c r="BJ350" i="5"/>
  <c r="BB300" i="18" s="1"/>
  <c r="BJ369" i="5"/>
  <c r="BZ352" i="5"/>
  <c r="BZ351" i="5"/>
  <c r="BR301" i="18" s="1"/>
  <c r="BZ350" i="5"/>
  <c r="BR300" i="18" s="1"/>
  <c r="BB486" i="5"/>
  <c r="AT378" i="18" s="1"/>
  <c r="BB455" i="5"/>
  <c r="AT342" i="18" s="1"/>
  <c r="BJ486" i="5"/>
  <c r="BB378" i="18" s="1"/>
  <c r="BJ455" i="5"/>
  <c r="BB342" i="18" s="1"/>
  <c r="BJ456" i="5"/>
  <c r="BB343" i="18" s="1"/>
  <c r="BR455" i="5"/>
  <c r="BJ342" i="18" s="1"/>
  <c r="BR486" i="5"/>
  <c r="BJ378" i="18" s="1"/>
  <c r="BZ486" i="5"/>
  <c r="BR378" i="18" s="1"/>
  <c r="CD452" i="5"/>
  <c r="BV339" i="18" s="1"/>
  <c r="BZ456" i="5"/>
  <c r="BR343" i="18" s="1"/>
  <c r="BZ455" i="5"/>
  <c r="BR342" i="18" s="1"/>
  <c r="BB461" i="5"/>
  <c r="AT349" i="18" s="1"/>
  <c r="BB462" i="5"/>
  <c r="AT348" i="18" s="1"/>
  <c r="BJ500" i="5"/>
  <c r="BJ462" i="5"/>
  <c r="BB348" i="18" s="1"/>
  <c r="BJ461" i="5"/>
  <c r="BB349" i="18" s="1"/>
  <c r="BR500" i="5"/>
  <c r="BR461" i="5"/>
  <c r="BJ349" i="18" s="1"/>
  <c r="BR462" i="5"/>
  <c r="BJ348" i="18" s="1"/>
  <c r="BZ500" i="5"/>
  <c r="BZ462" i="5"/>
  <c r="BR348" i="18" s="1"/>
  <c r="BZ461" i="5"/>
  <c r="BR349" i="18" s="1"/>
  <c r="BB470" i="5"/>
  <c r="AT355" i="18" s="1"/>
  <c r="BB469" i="5"/>
  <c r="BJ504" i="5"/>
  <c r="BJ470" i="5"/>
  <c r="BB355" i="18" s="1"/>
  <c r="BJ469" i="5"/>
  <c r="BR504" i="5"/>
  <c r="BR469" i="5"/>
  <c r="BR470" i="5"/>
  <c r="BJ355" i="18" s="1"/>
  <c r="CD466" i="5"/>
  <c r="BV352" i="18" s="1"/>
  <c r="BZ504" i="5"/>
  <c r="BZ470" i="5"/>
  <c r="BR355" i="18" s="1"/>
  <c r="BZ469" i="5"/>
  <c r="BB476" i="5"/>
  <c r="AT361" i="18" s="1"/>
  <c r="BB475" i="5"/>
  <c r="BJ476" i="5"/>
  <c r="BB361" i="18" s="1"/>
  <c r="BJ475" i="5"/>
  <c r="BR476" i="5"/>
  <c r="BJ361" i="18" s="1"/>
  <c r="BR475" i="5"/>
  <c r="BZ476" i="5"/>
  <c r="BR361" i="18" s="1"/>
  <c r="BZ475" i="5"/>
  <c r="BB483" i="5"/>
  <c r="AT365" i="18" s="1"/>
  <c r="BB481" i="5"/>
  <c r="BJ478" i="5"/>
  <c r="BB364" i="18" s="1"/>
  <c r="BJ538" i="5"/>
  <c r="BB387" i="18" s="1"/>
  <c r="BR538" i="5"/>
  <c r="BJ387" i="18" s="1"/>
  <c r="BR478" i="5"/>
  <c r="BJ364" i="18" s="1"/>
  <c r="BZ538" i="5"/>
  <c r="BR387" i="18" s="1"/>
  <c r="BZ478" i="5"/>
  <c r="BR364" i="18" s="1"/>
  <c r="CP400" i="5"/>
  <c r="CP401" i="5" s="1"/>
  <c r="CP352" i="5"/>
  <c r="CP379" i="5"/>
  <c r="CP347" i="5"/>
  <c r="CP387" i="5"/>
  <c r="CP350" i="5"/>
  <c r="AO459" i="5"/>
  <c r="AO462" i="5"/>
  <c r="AO461" i="5"/>
  <c r="AX462" i="5"/>
  <c r="AM469" i="5"/>
  <c r="AM470" i="5"/>
  <c r="AM467" i="5"/>
  <c r="AL514" i="5"/>
  <c r="AL513" i="5"/>
  <c r="AL511" i="5"/>
  <c r="AT510" i="5"/>
  <c r="AT518" i="5"/>
  <c r="AT519" i="5" s="1"/>
  <c r="BB510" i="5"/>
  <c r="AT370" i="18" s="1"/>
  <c r="CC70" i="5"/>
  <c r="BU57" i="18" s="1"/>
  <c r="AG71" i="5"/>
  <c r="AO71" i="5"/>
  <c r="AL77" i="5"/>
  <c r="AL79" i="5" s="1"/>
  <c r="AT77" i="5"/>
  <c r="AT79" i="5" s="1"/>
  <c r="CK77" i="5"/>
  <c r="CK79" i="5" s="1"/>
  <c r="CK87" i="5" s="1"/>
  <c r="CL92" i="5" s="1"/>
  <c r="CA113" i="5"/>
  <c r="BS94" i="18" s="1"/>
  <c r="BF752" i="5"/>
  <c r="BN752" i="5"/>
  <c r="BV752" i="5"/>
  <c r="AO168" i="5"/>
  <c r="AZ168" i="5"/>
  <c r="CT172" i="5"/>
  <c r="BI174" i="5"/>
  <c r="BA140" i="18" s="1"/>
  <c r="BZ174" i="5"/>
  <c r="BR140" i="18" s="1"/>
  <c r="AP174" i="5"/>
  <c r="AX188" i="5"/>
  <c r="AX189" i="5" s="1"/>
  <c r="AJ180" i="5"/>
  <c r="AJ196" i="5" s="1"/>
  <c r="BD283" i="5"/>
  <c r="BD209" i="5"/>
  <c r="AV176" i="18" s="1"/>
  <c r="BM209" i="5"/>
  <c r="BE176" i="18" s="1"/>
  <c r="AO215" i="5"/>
  <c r="AO300" i="5" s="1"/>
  <c r="AO301" i="5" s="1"/>
  <c r="AP204" i="5"/>
  <c r="AP238" i="5"/>
  <c r="BR283" i="5"/>
  <c r="BJ240" i="18" s="1"/>
  <c r="BR250" i="5"/>
  <c r="CV241" i="5"/>
  <c r="CN208" i="18" s="1"/>
  <c r="BR242" i="5"/>
  <c r="BJ209" i="18" s="1"/>
  <c r="BZ242" i="5"/>
  <c r="BR209" i="18" s="1"/>
  <c r="AR251" i="5"/>
  <c r="BC413" i="5"/>
  <c r="AU306" i="18" s="1"/>
  <c r="BC368" i="5"/>
  <c r="BC361" i="5"/>
  <c r="BC336" i="5"/>
  <c r="AU292" i="18" s="1"/>
  <c r="BC339" i="5"/>
  <c r="BK413" i="5"/>
  <c r="BC306" i="18" s="1"/>
  <c r="BK368" i="5"/>
  <c r="BK361" i="5"/>
  <c r="BK339" i="5"/>
  <c r="CA413" i="5"/>
  <c r="BS306" i="18" s="1"/>
  <c r="CA361" i="5"/>
  <c r="CA339" i="5"/>
  <c r="CE335" i="5"/>
  <c r="BW291" i="18" s="1"/>
  <c r="CA336" i="5"/>
  <c r="BS292" i="18" s="1"/>
  <c r="BC400" i="5"/>
  <c r="AU1286" i="18" s="1"/>
  <c r="BC379" i="5"/>
  <c r="BC354" i="5"/>
  <c r="BC351" i="5"/>
  <c r="AU301" i="18" s="1"/>
  <c r="BC350" i="5"/>
  <c r="AU300" i="18" s="1"/>
  <c r="BC369" i="5"/>
  <c r="BC352" i="5"/>
  <c r="BC353" i="5"/>
  <c r="BK400" i="5"/>
  <c r="BC1286" i="18" s="1"/>
  <c r="BK369" i="5"/>
  <c r="BK352" i="5"/>
  <c r="BK379" i="5"/>
  <c r="BC1271" i="18" s="1"/>
  <c r="BK350" i="5"/>
  <c r="BC300" i="18" s="1"/>
  <c r="BK351" i="5"/>
  <c r="BC301" i="18" s="1"/>
  <c r="BK353" i="5"/>
  <c r="BK354" i="5"/>
  <c r="BC302" i="18" s="1"/>
  <c r="CA352" i="5"/>
  <c r="CA351" i="5"/>
  <c r="BS301" i="18" s="1"/>
  <c r="CA350" i="5"/>
  <c r="BS300" i="18" s="1"/>
  <c r="CA379" i="5"/>
  <c r="BS1271" i="18" s="1"/>
  <c r="CA400" i="5"/>
  <c r="BS1286" i="18" s="1"/>
  <c r="BC486" i="5"/>
  <c r="AU378" i="18" s="1"/>
  <c r="BC455" i="5"/>
  <c r="AU342" i="18" s="1"/>
  <c r="BC456" i="5"/>
  <c r="AU343" i="18" s="1"/>
  <c r="BK456" i="5"/>
  <c r="BC343" i="18" s="1"/>
  <c r="BK455" i="5"/>
  <c r="BC342" i="18" s="1"/>
  <c r="BK486" i="5"/>
  <c r="BC378" i="18" s="1"/>
  <c r="BS486" i="5"/>
  <c r="BK378" i="18" s="1"/>
  <c r="BS455" i="5"/>
  <c r="BK342" i="18" s="1"/>
  <c r="BS456" i="5"/>
  <c r="BK343" i="18" s="1"/>
  <c r="CA486" i="5"/>
  <c r="BS378" i="18" s="1"/>
  <c r="CE452" i="5"/>
  <c r="BW339" i="18" s="1"/>
  <c r="CA456" i="5"/>
  <c r="BS343" i="18" s="1"/>
  <c r="CA455" i="5"/>
  <c r="BS342" i="18" s="1"/>
  <c r="BC461" i="5"/>
  <c r="AU349" i="18" s="1"/>
  <c r="BC462" i="5"/>
  <c r="AU348" i="18" s="1"/>
  <c r="BK500" i="5"/>
  <c r="BK461" i="5"/>
  <c r="BC349" i="18" s="1"/>
  <c r="BK462" i="5"/>
  <c r="BC348" i="18" s="1"/>
  <c r="BS500" i="5"/>
  <c r="BS462" i="5"/>
  <c r="BK348" i="18" s="1"/>
  <c r="BS461" i="5"/>
  <c r="BK349" i="18" s="1"/>
  <c r="CA500" i="5"/>
  <c r="CA461" i="5"/>
  <c r="BS349" i="18" s="1"/>
  <c r="CA462" i="5"/>
  <c r="BS348" i="18" s="1"/>
  <c r="BC469" i="5"/>
  <c r="BC470" i="5"/>
  <c r="AU355" i="18" s="1"/>
  <c r="BK504" i="5"/>
  <c r="BK469" i="5"/>
  <c r="BK470" i="5"/>
  <c r="BC355" i="18" s="1"/>
  <c r="BS469" i="5"/>
  <c r="BS504" i="5"/>
  <c r="BS470" i="5"/>
  <c r="BK355" i="18" s="1"/>
  <c r="CA504" i="5"/>
  <c r="CA469" i="5"/>
  <c r="CE466" i="5"/>
  <c r="BW352" i="18" s="1"/>
  <c r="CA470" i="5"/>
  <c r="BS355" i="18" s="1"/>
  <c r="BC475" i="5"/>
  <c r="BC476" i="5"/>
  <c r="AU361" i="18" s="1"/>
  <c r="BK475" i="5"/>
  <c r="BK476" i="5"/>
  <c r="BC361" i="18" s="1"/>
  <c r="BS475" i="5"/>
  <c r="BS476" i="5"/>
  <c r="BK361" i="18" s="1"/>
  <c r="CA476" i="5"/>
  <c r="BS361" i="18" s="1"/>
  <c r="CA475" i="5"/>
  <c r="BC482" i="5"/>
  <c r="BC481" i="5"/>
  <c r="BC483" i="5"/>
  <c r="AU365" i="18" s="1"/>
  <c r="BK538" i="5"/>
  <c r="BC387" i="18" s="1"/>
  <c r="BK478" i="5"/>
  <c r="BC364" i="18" s="1"/>
  <c r="BS538" i="5"/>
  <c r="BK387" i="18" s="1"/>
  <c r="BS478" i="5"/>
  <c r="BK364" i="18" s="1"/>
  <c r="CA538" i="5"/>
  <c r="BS387" i="18" s="1"/>
  <c r="CA478" i="5"/>
  <c r="BS364" i="18" s="1"/>
  <c r="CQ354" i="5"/>
  <c r="CI302" i="18" s="1"/>
  <c r="CQ350" i="5"/>
  <c r="CQ352" i="5"/>
  <c r="AG459" i="5"/>
  <c r="AP459" i="5"/>
  <c r="AP460" i="5" s="1"/>
  <c r="AP461" i="5"/>
  <c r="AP462" i="5"/>
  <c r="AY459" i="5"/>
  <c r="AY461" i="5"/>
  <c r="AY462" i="5"/>
  <c r="AN470" i="5"/>
  <c r="AN469" i="5"/>
  <c r="AN467" i="5"/>
  <c r="AM518" i="5"/>
  <c r="AM510" i="5"/>
  <c r="AU518" i="5"/>
  <c r="AU510" i="5"/>
  <c r="BC510" i="5"/>
  <c r="AU370" i="18" s="1"/>
  <c r="AP71" i="5"/>
  <c r="AX71" i="5"/>
  <c r="BF71" i="5"/>
  <c r="BN71" i="5"/>
  <c r="BV71" i="5"/>
  <c r="AI108" i="5"/>
  <c r="AM111" i="5" s="1"/>
  <c r="AQ108" i="5"/>
  <c r="BG108" i="5"/>
  <c r="BO108" i="5"/>
  <c r="BG89" i="18" s="1"/>
  <c r="BW108" i="5"/>
  <c r="BO89" i="18" s="1"/>
  <c r="CE108" i="5"/>
  <c r="BW89" i="18" s="1"/>
  <c r="BG752" i="5"/>
  <c r="BO752" i="5"/>
  <c r="BW752" i="5"/>
  <c r="AG131" i="5"/>
  <c r="AO131" i="5"/>
  <c r="AW131" i="5"/>
  <c r="CM134" i="5"/>
  <c r="AW168" i="5"/>
  <c r="BS174" i="5"/>
  <c r="BK140" i="18" s="1"/>
  <c r="AL299" i="5"/>
  <c r="AL215" i="5"/>
  <c r="AL300" i="5" s="1"/>
  <c r="AL301" i="5" s="1"/>
  <c r="CX283" i="5"/>
  <c r="CP240" i="18" s="1"/>
  <c r="AV250" i="5"/>
  <c r="CP249" i="5"/>
  <c r="BD255" i="5"/>
  <c r="AV218" i="18" s="1"/>
  <c r="CO277" i="5"/>
  <c r="BZ283" i="5"/>
  <c r="BR240" i="18" s="1"/>
  <c r="AR362" i="5"/>
  <c r="AR404" i="5"/>
  <c r="AL518" i="5"/>
  <c r="BF413" i="5"/>
  <c r="AX306" i="18" s="1"/>
  <c r="BF361" i="5"/>
  <c r="BF368" i="5"/>
  <c r="BF339" i="5"/>
  <c r="BF336" i="5"/>
  <c r="AX292" i="18" s="1"/>
  <c r="BR339" i="5"/>
  <c r="BN339" i="5"/>
  <c r="BN336" i="5"/>
  <c r="BF292" i="18" s="1"/>
  <c r="BR336" i="5"/>
  <c r="BJ292" i="18" s="1"/>
  <c r="BN368" i="5"/>
  <c r="BV413" i="5"/>
  <c r="BN306" i="18" s="1"/>
  <c r="BV336" i="5"/>
  <c r="BN292" i="18" s="1"/>
  <c r="BV361" i="5"/>
  <c r="BV339" i="5"/>
  <c r="BF350" i="5"/>
  <c r="AX300" i="18" s="1"/>
  <c r="BF353" i="5"/>
  <c r="BF369" i="5"/>
  <c r="BF352" i="5"/>
  <c r="BF354" i="5"/>
  <c r="AX302" i="18" s="1"/>
  <c r="BF400" i="5"/>
  <c r="AX1286" i="18" s="1"/>
  <c r="BF351" i="5"/>
  <c r="AX301" i="18" s="1"/>
  <c r="BN346" i="5"/>
  <c r="BV351" i="5"/>
  <c r="BN301" i="18" s="1"/>
  <c r="BV352" i="5"/>
  <c r="BV353" i="5"/>
  <c r="BV350" i="5"/>
  <c r="BN300" i="18" s="1"/>
  <c r="BF486" i="5"/>
  <c r="AX378" i="18" s="1"/>
  <c r="BF455" i="5"/>
  <c r="AX342" i="18" s="1"/>
  <c r="BN486" i="5"/>
  <c r="BF378" i="18" s="1"/>
  <c r="BN455" i="5"/>
  <c r="BF342" i="18" s="1"/>
  <c r="BN456" i="5"/>
  <c r="BF343" i="18" s="1"/>
  <c r="BV486" i="5"/>
  <c r="BN378" i="18" s="1"/>
  <c r="BV455" i="5"/>
  <c r="BN342" i="18" s="1"/>
  <c r="BF500" i="5"/>
  <c r="BF462" i="5"/>
  <c r="AX348" i="18" s="1"/>
  <c r="BF461" i="5"/>
  <c r="AX349" i="18" s="1"/>
  <c r="BN462" i="5"/>
  <c r="BF348" i="18" s="1"/>
  <c r="BN500" i="5"/>
  <c r="BV500" i="5"/>
  <c r="BV461" i="5"/>
  <c r="BN349" i="18" s="1"/>
  <c r="BV462" i="5"/>
  <c r="BN348" i="18" s="1"/>
  <c r="BF504" i="5"/>
  <c r="BF469" i="5"/>
  <c r="BN469" i="5"/>
  <c r="BN470" i="5"/>
  <c r="BF355" i="18" s="1"/>
  <c r="BN504" i="5"/>
  <c r="BV504" i="5"/>
  <c r="BV469" i="5"/>
  <c r="BF476" i="5"/>
  <c r="AX361" i="18" s="1"/>
  <c r="BF475" i="5"/>
  <c r="BN475" i="5"/>
  <c r="BV475" i="5"/>
  <c r="BV476" i="5"/>
  <c r="BN361" i="18" s="1"/>
  <c r="BF482" i="5"/>
  <c r="BF483" i="5"/>
  <c r="AX365" i="18" s="1"/>
  <c r="BF481" i="5"/>
  <c r="BN538" i="5"/>
  <c r="BF387" i="18" s="1"/>
  <c r="BN478" i="5"/>
  <c r="BF364" i="18" s="1"/>
  <c r="BV538" i="5"/>
  <c r="BN387" i="18" s="1"/>
  <c r="BV478" i="5"/>
  <c r="BN364" i="18" s="1"/>
  <c r="AK461" i="5"/>
  <c r="CN458" i="5"/>
  <c r="AK462" i="5"/>
  <c r="AS461" i="5"/>
  <c r="AS462" i="5"/>
  <c r="AQ469" i="5"/>
  <c r="AQ467" i="5"/>
  <c r="AQ468" i="5" s="1"/>
  <c r="AQ470" i="5"/>
  <c r="AP510" i="5"/>
  <c r="AP518" i="5"/>
  <c r="AP519" i="5" s="1"/>
  <c r="AX518" i="5"/>
  <c r="AX510" i="5"/>
  <c r="BF510" i="5"/>
  <c r="AX370" i="18" s="1"/>
  <c r="BN510" i="5"/>
  <c r="BF370" i="18" s="1"/>
  <c r="BV510" i="5"/>
  <c r="BN370" i="18" s="1"/>
  <c r="CM510" i="5"/>
  <c r="AK71" i="5"/>
  <c r="AS71" i="5"/>
  <c r="AP77" i="5"/>
  <c r="CO77" i="5" s="1"/>
  <c r="AX77" i="5"/>
  <c r="BB752" i="5"/>
  <c r="BJ752" i="5"/>
  <c r="BR752" i="5"/>
  <c r="CN752" i="5"/>
  <c r="CP134" i="5"/>
  <c r="CP752" i="5" s="1"/>
  <c r="BW137" i="5"/>
  <c r="BO1333" i="18" s="1"/>
  <c r="BH168" i="5"/>
  <c r="AZ134" i="18" s="1"/>
  <c r="CU170" i="5"/>
  <c r="CM136" i="18" s="1"/>
  <c r="CW153" i="5"/>
  <c r="CO125" i="18" s="1"/>
  <c r="CR170" i="5"/>
  <c r="CJ136" i="18" s="1"/>
  <c r="CU172" i="5"/>
  <c r="CS172" i="5"/>
  <c r="CF174" i="5"/>
  <c r="CE173" i="5"/>
  <c r="AW174" i="5"/>
  <c r="AX214" i="5"/>
  <c r="AX196" i="5"/>
  <c r="AW299" i="5"/>
  <c r="CQ181" i="5"/>
  <c r="CQ299" i="5" s="1"/>
  <c r="AX295" i="5"/>
  <c r="BV207" i="5"/>
  <c r="AQ278" i="5"/>
  <c r="AY255" i="5"/>
  <c r="AY251" i="5"/>
  <c r="AY252" i="5" s="1"/>
  <c r="BO251" i="5"/>
  <c r="AU255" i="5"/>
  <c r="CR272" i="5"/>
  <c r="BA273" i="5"/>
  <c r="BE273" i="5" s="1"/>
  <c r="BK336" i="5"/>
  <c r="BC292" i="18" s="1"/>
  <c r="BG368" i="5"/>
  <c r="BG361" i="5"/>
  <c r="BG392" i="5" s="1"/>
  <c r="BG413" i="5"/>
  <c r="AY306" i="18" s="1"/>
  <c r="BG339" i="5"/>
  <c r="BG336" i="5"/>
  <c r="AY292" i="18" s="1"/>
  <c r="BO413" i="5"/>
  <c r="BG306" i="18" s="1"/>
  <c r="BO368" i="5"/>
  <c r="BO361" i="5"/>
  <c r="BS392" i="5" s="1"/>
  <c r="BS339" i="5"/>
  <c r="BO336" i="5"/>
  <c r="BG292" i="18" s="1"/>
  <c r="BS336" i="5"/>
  <c r="BK292" i="18" s="1"/>
  <c r="BW413" i="5"/>
  <c r="BO306" i="18" s="1"/>
  <c r="BW361" i="5"/>
  <c r="BW339" i="5"/>
  <c r="BW336" i="5"/>
  <c r="BO292" i="18" s="1"/>
  <c r="BG400" i="5"/>
  <c r="AY1286" i="18" s="1"/>
  <c r="BG369" i="5"/>
  <c r="BG350" i="5"/>
  <c r="AY300" i="18" s="1"/>
  <c r="BG353" i="5"/>
  <c r="BG354" i="5"/>
  <c r="AY302" i="18" s="1"/>
  <c r="BG352" i="5"/>
  <c r="BG351" i="5"/>
  <c r="AY301" i="18" s="1"/>
  <c r="BW400" i="5"/>
  <c r="BO1286" i="18" s="1"/>
  <c r="BW379" i="5"/>
  <c r="BO1271" i="18" s="1"/>
  <c r="BW353" i="5"/>
  <c r="BW350" i="5"/>
  <c r="BO300" i="18" s="1"/>
  <c r="BW351" i="5"/>
  <c r="BO301" i="18" s="1"/>
  <c r="BW352" i="5"/>
  <c r="BG486" i="5"/>
  <c r="AY378" i="18" s="1"/>
  <c r="BG456" i="5"/>
  <c r="AY343" i="18" s="1"/>
  <c r="BG455" i="5"/>
  <c r="AY342" i="18" s="1"/>
  <c r="BO486" i="5"/>
  <c r="BG378" i="18" s="1"/>
  <c r="BO456" i="5"/>
  <c r="BG343" i="18" s="1"/>
  <c r="BO455" i="5"/>
  <c r="BG342" i="18" s="1"/>
  <c r="BW486" i="5"/>
  <c r="BO378" i="18" s="1"/>
  <c r="BW455" i="5"/>
  <c r="BO342" i="18" s="1"/>
  <c r="BW456" i="5"/>
  <c r="BO343" i="18" s="1"/>
  <c r="BG500" i="5"/>
  <c r="BG462" i="5"/>
  <c r="AY348" i="18" s="1"/>
  <c r="BG461" i="5"/>
  <c r="AY349" i="18" s="1"/>
  <c r="BO500" i="5"/>
  <c r="BO462" i="5"/>
  <c r="BG348" i="18" s="1"/>
  <c r="BO461" i="5"/>
  <c r="BG349" i="18" s="1"/>
  <c r="BW500" i="5"/>
  <c r="BW462" i="5"/>
  <c r="BO348" i="18" s="1"/>
  <c r="BW461" i="5"/>
  <c r="BO349" i="18" s="1"/>
  <c r="BG504" i="5"/>
  <c r="BG469" i="5"/>
  <c r="BG470" i="5"/>
  <c r="AY355" i="18" s="1"/>
  <c r="BO504" i="5"/>
  <c r="BO469" i="5"/>
  <c r="BO470" i="5"/>
  <c r="BG355" i="18" s="1"/>
  <c r="BW504" i="5"/>
  <c r="BW469" i="5"/>
  <c r="BW470" i="5"/>
  <c r="BO355" i="18" s="1"/>
  <c r="BG476" i="5"/>
  <c r="AY361" i="18" s="1"/>
  <c r="BG475" i="5"/>
  <c r="BO476" i="5"/>
  <c r="BG361" i="18" s="1"/>
  <c r="BO475" i="5"/>
  <c r="BW475" i="5"/>
  <c r="BW476" i="5"/>
  <c r="BO361" i="18" s="1"/>
  <c r="BG483" i="5"/>
  <c r="AY365" i="18" s="1"/>
  <c r="BG481" i="5"/>
  <c r="BG482" i="5"/>
  <c r="BO538" i="5"/>
  <c r="BG387" i="18" s="1"/>
  <c r="BO478" i="5"/>
  <c r="BG364" i="18" s="1"/>
  <c r="BW538" i="5"/>
  <c r="BO387" i="18" s="1"/>
  <c r="BW478" i="5"/>
  <c r="BO364" i="18" s="1"/>
  <c r="CM350" i="5"/>
  <c r="CM352" i="5"/>
  <c r="CM354" i="5"/>
  <c r="AL462" i="5"/>
  <c r="AL461" i="5"/>
  <c r="AL459" i="5"/>
  <c r="AT461" i="5"/>
  <c r="AT462" i="5"/>
  <c r="AR469" i="5"/>
  <c r="AR467" i="5"/>
  <c r="AR470" i="5"/>
  <c r="AQ518" i="5"/>
  <c r="AQ510" i="5"/>
  <c r="AY518" i="5"/>
  <c r="AY519" i="5" s="1"/>
  <c r="AY510" i="5"/>
  <c r="AL71" i="5"/>
  <c r="AL73" i="5" s="1"/>
  <c r="AT71" i="5"/>
  <c r="AT73" i="5" s="1"/>
  <c r="BB71" i="5"/>
  <c r="BJ71" i="5"/>
  <c r="BZ71" i="5"/>
  <c r="AY77" i="5"/>
  <c r="BC752" i="5"/>
  <c r="BK752" i="5"/>
  <c r="BS752" i="5"/>
  <c r="CO752" i="5"/>
  <c r="CX153" i="5"/>
  <c r="CP125" i="18" s="1"/>
  <c r="CM169" i="5"/>
  <c r="CQ169" i="5"/>
  <c r="BY170" i="5"/>
  <c r="BQ136" i="18" s="1"/>
  <c r="BA207" i="5"/>
  <c r="BA208" i="5" s="1"/>
  <c r="BA283" i="5"/>
  <c r="CR206" i="5"/>
  <c r="BA209" i="5"/>
  <c r="AS176" i="18" s="1"/>
  <c r="BE207" i="5"/>
  <c r="AW174" i="18" s="1"/>
  <c r="BN207" i="5"/>
  <c r="BZ207" i="5"/>
  <c r="BR174" i="18" s="1"/>
  <c r="AW300" i="5"/>
  <c r="AW301" i="5" s="1"/>
  <c r="AR296" i="5"/>
  <c r="AR278" i="5"/>
  <c r="AX278" i="5"/>
  <c r="BP251" i="5"/>
  <c r="BP253" i="5"/>
  <c r="AT380" i="5"/>
  <c r="AP390" i="5"/>
  <c r="AL381" i="5"/>
  <c r="AL380" i="5"/>
  <c r="AT419" i="5"/>
  <c r="AX420" i="5"/>
  <c r="AT415" i="5"/>
  <c r="AY174" i="5"/>
  <c r="AX174" i="5"/>
  <c r="AH295" i="5"/>
  <c r="AZ283" i="5"/>
  <c r="BI207" i="5"/>
  <c r="CT206" i="5"/>
  <c r="CL173" i="18" s="1"/>
  <c r="CV206" i="5"/>
  <c r="CN173" i="18" s="1"/>
  <c r="BQ207" i="5"/>
  <c r="BY283" i="5"/>
  <c r="BQ240" i="18" s="1"/>
  <c r="BY207" i="5"/>
  <c r="CB242" i="5"/>
  <c r="AN278" i="5"/>
  <c r="AN203" i="5"/>
  <c r="AW250" i="5"/>
  <c r="CQ249" i="5"/>
  <c r="CI214" i="18" s="1"/>
  <c r="CU249" i="5"/>
  <c r="CM214" i="18" s="1"/>
  <c r="AB363" i="5"/>
  <c r="BS404" i="5"/>
  <c r="AD415" i="5"/>
  <c r="AD419" i="5"/>
  <c r="AY183" i="5"/>
  <c r="AL295" i="5"/>
  <c r="AL238" i="5"/>
  <c r="AS208" i="5"/>
  <c r="BT250" i="5"/>
  <c r="BL215" i="18" s="1"/>
  <c r="BT283" i="5"/>
  <c r="BL240" i="18" s="1"/>
  <c r="CO283" i="5"/>
  <c r="CO242" i="5"/>
  <c r="CO243" i="5" s="1"/>
  <c r="CN239" i="5"/>
  <c r="CN238" i="5" s="1"/>
  <c r="AR243" i="5"/>
  <c r="BH251" i="5"/>
  <c r="AZ216" i="18" s="1"/>
  <c r="BH255" i="5"/>
  <c r="AZ218" i="18" s="1"/>
  <c r="BE250" i="5"/>
  <c r="AW215" i="18" s="1"/>
  <c r="BG240" i="5"/>
  <c r="BK273" i="5"/>
  <c r="P337" i="5"/>
  <c r="CJ347" i="5"/>
  <c r="CN222" i="5"/>
  <c r="CN188" i="5" s="1"/>
  <c r="AK188" i="5"/>
  <c r="AX296" i="5"/>
  <c r="AX297" i="5" s="1"/>
  <c r="CP250" i="5"/>
  <c r="CP283" i="5"/>
  <c r="CP242" i="5"/>
  <c r="CP243" i="5" s="1"/>
  <c r="BN250" i="5"/>
  <c r="BF215" i="18" s="1"/>
  <c r="CU241" i="5"/>
  <c r="CM208" i="18" s="1"/>
  <c r="BN242" i="5"/>
  <c r="BN283" i="5"/>
  <c r="BF240" i="18" s="1"/>
  <c r="AS255" i="5"/>
  <c r="CV249" i="5"/>
  <c r="CN214" i="18" s="1"/>
  <c r="CO251" i="5"/>
  <c r="AS251" i="5"/>
  <c r="AO255" i="5"/>
  <c r="X413" i="5"/>
  <c r="X368" i="5"/>
  <c r="X337" i="5"/>
  <c r="X336" i="5"/>
  <c r="AF413" i="5"/>
  <c r="AF361" i="5"/>
  <c r="AF362" i="5" s="1"/>
  <c r="AF363" i="5" s="1"/>
  <c r="AF337" i="5"/>
  <c r="AF336" i="5"/>
  <c r="AN413" i="5"/>
  <c r="AN361" i="5"/>
  <c r="AN339" i="5"/>
  <c r="AN337" i="5"/>
  <c r="AN338" i="5" s="1"/>
  <c r="AN368" i="5"/>
  <c r="AN336" i="5"/>
  <c r="AV361" i="5"/>
  <c r="AV413" i="5"/>
  <c r="AV339" i="5"/>
  <c r="AV336" i="5"/>
  <c r="AV337" i="5"/>
  <c r="AV368" i="5"/>
  <c r="AZ339" i="5"/>
  <c r="CP335" i="5"/>
  <c r="AP299" i="5"/>
  <c r="AP215" i="5"/>
  <c r="AP300" i="5" s="1"/>
  <c r="AX299" i="5"/>
  <c r="AX215" i="5"/>
  <c r="AX300" i="5" s="1"/>
  <c r="AX301" i="5" s="1"/>
  <c r="BN209" i="5"/>
  <c r="BF176" i="18" s="1"/>
  <c r="CM295" i="5"/>
  <c r="CN206" i="5"/>
  <c r="AK207" i="5"/>
  <c r="AK208" i="5" s="1"/>
  <c r="AK203" i="5"/>
  <c r="CX206" i="5"/>
  <c r="CP173" i="18" s="1"/>
  <c r="CU222" i="5"/>
  <c r="BM188" i="5"/>
  <c r="BE154" i="18" s="1"/>
  <c r="BV242" i="5"/>
  <c r="BB243" i="5"/>
  <c r="AT251" i="5"/>
  <c r="BK253" i="5"/>
  <c r="BK254" i="5" s="1"/>
  <c r="BD240" i="5"/>
  <c r="BQ283" i="5"/>
  <c r="BI240" i="18" s="1"/>
  <c r="BN324" i="5"/>
  <c r="BN325" i="5" s="1"/>
  <c r="BR320" i="5"/>
  <c r="CW320" i="5"/>
  <c r="CV320" i="5"/>
  <c r="CV324" i="5"/>
  <c r="AF368" i="5"/>
  <c r="AN456" i="5"/>
  <c r="AN455" i="5"/>
  <c r="AN453" i="5"/>
  <c r="AV456" i="5"/>
  <c r="AV455" i="5"/>
  <c r="AV453" i="5"/>
  <c r="AV454" i="5" s="1"/>
  <c r="AV486" i="5"/>
  <c r="AX479" i="5"/>
  <c r="AX480" i="5" s="1"/>
  <c r="AY207" i="5"/>
  <c r="AY208" i="5" s="1"/>
  <c r="BG207" i="5"/>
  <c r="BG208" i="5" s="1"/>
  <c r="BO207" i="5"/>
  <c r="BW207" i="5"/>
  <c r="BK209" i="5"/>
  <c r="BC176" i="18" s="1"/>
  <c r="CA209" i="5"/>
  <c r="BS176" i="18" s="1"/>
  <c r="CA283" i="5"/>
  <c r="BS240" i="18" s="1"/>
  <c r="BE242" i="5"/>
  <c r="BI244" i="5"/>
  <c r="CV413" i="5"/>
  <c r="CV361" i="5"/>
  <c r="AS358" i="5"/>
  <c r="AS359" i="5" s="1"/>
  <c r="AW381" i="5"/>
  <c r="AM295" i="5"/>
  <c r="BE209" i="5"/>
  <c r="AW176" i="18" s="1"/>
  <c r="BU209" i="5"/>
  <c r="BM176" i="18" s="1"/>
  <c r="CT222" i="5"/>
  <c r="AV278" i="5"/>
  <c r="BP283" i="5"/>
  <c r="BH240" i="18" s="1"/>
  <c r="BQ250" i="5"/>
  <c r="BI215" i="18" s="1"/>
  <c r="BG251" i="5"/>
  <c r="CQ272" i="5"/>
  <c r="CQ273" i="5" s="1"/>
  <c r="BC283" i="5"/>
  <c r="BS283" i="5"/>
  <c r="BK240" i="18" s="1"/>
  <c r="BO325" i="5"/>
  <c r="CL413" i="5"/>
  <c r="CL415" i="5" s="1"/>
  <c r="CL361" i="5"/>
  <c r="CL362" i="5" s="1"/>
  <c r="CL363" i="5" s="1"/>
  <c r="CL336" i="5"/>
  <c r="AA369" i="5"/>
  <c r="AA361" i="5"/>
  <c r="AA362" i="5" s="1"/>
  <c r="AB353" i="5"/>
  <c r="AA413" i="5"/>
  <c r="AA353" i="5"/>
  <c r="AA347" i="5"/>
  <c r="AI400" i="5"/>
  <c r="AI402" i="5" s="1"/>
  <c r="AI369" i="5"/>
  <c r="AI354" i="5"/>
  <c r="AI361" i="5"/>
  <c r="AJ353" i="5"/>
  <c r="AI353" i="5"/>
  <c r="AI351" i="5"/>
  <c r="AI379" i="5"/>
  <c r="AQ400" i="5"/>
  <c r="AQ369" i="5"/>
  <c r="AQ379" i="5"/>
  <c r="AQ352" i="5"/>
  <c r="AQ354" i="5"/>
  <c r="AQ355" i="5" s="1"/>
  <c r="AQ351" i="5"/>
  <c r="AQ347" i="5"/>
  <c r="AR351" i="5"/>
  <c r="AQ350" i="5"/>
  <c r="AQ361" i="5"/>
  <c r="AR353" i="5"/>
  <c r="AY400" i="5"/>
  <c r="AY369" i="5"/>
  <c r="AY361" i="5"/>
  <c r="AY353" i="5"/>
  <c r="AY352" i="5"/>
  <c r="AY379" i="5"/>
  <c r="AZ353" i="5"/>
  <c r="AY347" i="5"/>
  <c r="AY354" i="5"/>
  <c r="AY355" i="5" s="1"/>
  <c r="CJ362" i="5"/>
  <c r="BT415" i="5"/>
  <c r="BL308" i="18" s="1"/>
  <c r="AV295" i="5"/>
  <c r="CU206" i="5"/>
  <c r="CM173" i="18" s="1"/>
  <c r="AM238" i="5"/>
  <c r="BV283" i="5"/>
  <c r="BN240" i="18" s="1"/>
  <c r="AO238" i="5"/>
  <c r="BI283" i="5"/>
  <c r="BA240" i="18" s="1"/>
  <c r="BM244" i="5"/>
  <c r="BI242" i="5"/>
  <c r="AT255" i="5"/>
  <c r="AD336" i="5"/>
  <c r="CL337" i="5"/>
  <c r="AQ353" i="5"/>
  <c r="AN402" i="5"/>
  <c r="AN401" i="5"/>
  <c r="AK419" i="5"/>
  <c r="AO420" i="5"/>
  <c r="AK415" i="5"/>
  <c r="BL170" i="5"/>
  <c r="BD136" i="18" s="1"/>
  <c r="BT170" i="5"/>
  <c r="BL136" i="18" s="1"/>
  <c r="CB170" i="5"/>
  <c r="BT136" i="18" s="1"/>
  <c r="BJ690" i="5"/>
  <c r="BB529" i="18" s="1"/>
  <c r="BK685" i="5"/>
  <c r="BC524" i="18" s="1"/>
  <c r="BJ558" i="5"/>
  <c r="BB404" i="18" s="1"/>
  <c r="AM180" i="5"/>
  <c r="BQ188" i="5"/>
  <c r="BI154" i="18" s="1"/>
  <c r="AG295" i="5"/>
  <c r="AY209" i="5"/>
  <c r="BG209" i="5"/>
  <c r="AY176" i="18" s="1"/>
  <c r="DC224" i="5"/>
  <c r="CU191" i="18" s="1"/>
  <c r="BW283" i="5"/>
  <c r="BO240" i="18" s="1"/>
  <c r="CA242" i="5"/>
  <c r="CW241" i="5"/>
  <c r="CO208" i="18" s="1"/>
  <c r="BP242" i="5"/>
  <c r="O413" i="5"/>
  <c r="S336" i="5"/>
  <c r="W413" i="5"/>
  <c r="W361" i="5"/>
  <c r="W362" i="5" s="1"/>
  <c r="W368" i="5"/>
  <c r="W337" i="5"/>
  <c r="W336" i="5"/>
  <c r="AE413" i="5"/>
  <c r="AE361" i="5"/>
  <c r="AE362" i="5" s="1"/>
  <c r="AI336" i="5"/>
  <c r="AE336" i="5"/>
  <c r="AM413" i="5"/>
  <c r="AM361" i="5"/>
  <c r="AM339" i="5"/>
  <c r="AM336" i="5"/>
  <c r="AM337" i="5"/>
  <c r="CN335" i="5"/>
  <c r="AM368" i="5"/>
  <c r="AQ336" i="5"/>
  <c r="AU413" i="5"/>
  <c r="AU368" i="5"/>
  <c r="AU361" i="5"/>
  <c r="AU339" i="5"/>
  <c r="AY336" i="5"/>
  <c r="AK402" i="5"/>
  <c r="AY351" i="5"/>
  <c r="AK381" i="5"/>
  <c r="AK380" i="5"/>
  <c r="AL415" i="5"/>
  <c r="AL419" i="5"/>
  <c r="BQ242" i="5"/>
  <c r="BY242" i="5"/>
  <c r="BM283" i="5"/>
  <c r="BE240" i="18" s="1"/>
  <c r="CX319" i="5"/>
  <c r="BY324" i="5"/>
  <c r="BY326" i="5" s="1"/>
  <c r="Y413" i="5"/>
  <c r="Y361" i="5"/>
  <c r="Y362" i="5" s="1"/>
  <c r="Y363" i="5" s="1"/>
  <c r="AG413" i="5"/>
  <c r="AG368" i="5"/>
  <c r="AS343" i="5"/>
  <c r="AS341" i="5"/>
  <c r="AO361" i="5"/>
  <c r="AW413" i="5"/>
  <c r="AW361" i="5"/>
  <c r="AW392" i="5" s="1"/>
  <c r="AO336" i="5"/>
  <c r="AO342" i="5" s="1"/>
  <c r="AO341" i="5" s="1"/>
  <c r="AR339" i="5"/>
  <c r="AO351" i="5"/>
  <c r="AS357" i="5"/>
  <c r="AW368" i="5"/>
  <c r="AW387" i="5"/>
  <c r="BE387" i="5"/>
  <c r="AW1279" i="18" s="1"/>
  <c r="BM387" i="5"/>
  <c r="BE1279" i="18" s="1"/>
  <c r="BU387" i="5"/>
  <c r="BM1279" i="18" s="1"/>
  <c r="AS383" i="5"/>
  <c r="AO413" i="5"/>
  <c r="AI413" i="5"/>
  <c r="AQ413" i="5"/>
  <c r="AY413" i="5"/>
  <c r="AO347" i="5"/>
  <c r="AQ387" i="5"/>
  <c r="BO387" i="5"/>
  <c r="BG1279" i="18" s="1"/>
  <c r="BW387" i="5"/>
  <c r="BO1279" i="18" s="1"/>
  <c r="AO456" i="5"/>
  <c r="AP456" i="5"/>
  <c r="AO455" i="5"/>
  <c r="CO452" i="5"/>
  <c r="AO453" i="5"/>
  <c r="AX456" i="5"/>
  <c r="AW456" i="5"/>
  <c r="AW453" i="5"/>
  <c r="CQ452" i="5"/>
  <c r="AW455" i="5"/>
  <c r="T413" i="5"/>
  <c r="T337" i="5"/>
  <c r="T336" i="5"/>
  <c r="AB337" i="5"/>
  <c r="AB336" i="5"/>
  <c r="AB413" i="5"/>
  <c r="AB368" i="5"/>
  <c r="AJ337" i="5"/>
  <c r="AJ336" i="5"/>
  <c r="AJ413" i="5"/>
  <c r="AJ361" i="5"/>
  <c r="AJ368" i="5"/>
  <c r="AR413" i="5"/>
  <c r="AR337" i="5"/>
  <c r="AR338" i="5" s="1"/>
  <c r="AR336" i="5"/>
  <c r="AZ413" i="5"/>
  <c r="AZ336" i="5"/>
  <c r="AZ368" i="5"/>
  <c r="Y369" i="5"/>
  <c r="Y347" i="5"/>
  <c r="AG400" i="5"/>
  <c r="AK401" i="5" s="1"/>
  <c r="AG354" i="5"/>
  <c r="AG379" i="5"/>
  <c r="AG369" i="5"/>
  <c r="AG353" i="5"/>
  <c r="AG351" i="5"/>
  <c r="AO400" i="5"/>
  <c r="AS379" i="5"/>
  <c r="AO350" i="5"/>
  <c r="AO353" i="5"/>
  <c r="AS350" i="5"/>
  <c r="AW400" i="5"/>
  <c r="AW353" i="5"/>
  <c r="AW369" i="5"/>
  <c r="AW352" i="5"/>
  <c r="AG361" i="5"/>
  <c r="AO369" i="5"/>
  <c r="BL387" i="5"/>
  <c r="BD1279" i="18" s="1"/>
  <c r="BG387" i="5"/>
  <c r="AY1279" i="18" s="1"/>
  <c r="AM455" i="5"/>
  <c r="AP453" i="5"/>
  <c r="CO481" i="5"/>
  <c r="CC319" i="5"/>
  <c r="U361" i="5"/>
  <c r="U362" i="5" s="1"/>
  <c r="U336" i="5"/>
  <c r="AC413" i="5"/>
  <c r="AC368" i="5"/>
  <c r="AK368" i="5"/>
  <c r="AK361" i="5"/>
  <c r="AS368" i="5"/>
  <c r="AS413" i="5"/>
  <c r="CO335" i="5"/>
  <c r="Y336" i="5"/>
  <c r="Z369" i="5"/>
  <c r="Z353" i="5"/>
  <c r="AH400" i="5"/>
  <c r="AH379" i="5"/>
  <c r="AH369" i="5"/>
  <c r="AH347" i="5"/>
  <c r="AP353" i="5"/>
  <c r="AP379" i="5"/>
  <c r="AP369" i="5"/>
  <c r="AP352" i="5"/>
  <c r="AP400" i="5"/>
  <c r="AX400" i="5"/>
  <c r="AX350" i="5"/>
  <c r="AX353" i="5"/>
  <c r="AX379" i="5"/>
  <c r="AW351" i="5"/>
  <c r="AO354" i="5"/>
  <c r="AZ361" i="5"/>
  <c r="Y368" i="5"/>
  <c r="AO368" i="5"/>
  <c r="BI387" i="5"/>
  <c r="BA1279" i="18" s="1"/>
  <c r="AL402" i="5"/>
  <c r="AL401" i="5"/>
  <c r="AX463" i="5"/>
  <c r="V413" i="5"/>
  <c r="AL339" i="5"/>
  <c r="AT339" i="5"/>
  <c r="CH413" i="5"/>
  <c r="AT337" i="5"/>
  <c r="AT338" i="5" s="1"/>
  <c r="AX343" i="5"/>
  <c r="AJ400" i="5"/>
  <c r="AJ379" i="5"/>
  <c r="AJ381" i="5" s="1"/>
  <c r="AJ351" i="5"/>
  <c r="AR400" i="5"/>
  <c r="AR379" i="5"/>
  <c r="AZ379" i="5"/>
  <c r="AR1271" i="18" s="1"/>
  <c r="CK347" i="5"/>
  <c r="AZ347" i="5"/>
  <c r="AZ351" i="5"/>
  <c r="AN352" i="5"/>
  <c r="AK353" i="5"/>
  <c r="AZ354" i="5"/>
  <c r="AR302" i="18" s="1"/>
  <c r="X353" i="5"/>
  <c r="AT361" i="5"/>
  <c r="AT392" i="5" s="1"/>
  <c r="V369" i="5"/>
  <c r="AN369" i="5"/>
  <c r="AX392" i="5"/>
  <c r="BF387" i="5"/>
  <c r="AX1279" i="18" s="1"/>
  <c r="AL354" i="5"/>
  <c r="AL355" i="5" s="1"/>
  <c r="AL353" i="5"/>
  <c r="AL352" i="5"/>
  <c r="AL351" i="5"/>
  <c r="AL350" i="5"/>
  <c r="AL347" i="5"/>
  <c r="AT400" i="5"/>
  <c r="AT354" i="5"/>
  <c r="AT355" i="5" s="1"/>
  <c r="AT353" i="5"/>
  <c r="AT352" i="5"/>
  <c r="AT351" i="5"/>
  <c r="AT350" i="5"/>
  <c r="AT347" i="5"/>
  <c r="AV350" i="5"/>
  <c r="AN353" i="5"/>
  <c r="AN387" i="5"/>
  <c r="AO390" i="5" s="1"/>
  <c r="AV387" i="5"/>
  <c r="AR387" i="5"/>
  <c r="BD387" i="5"/>
  <c r="AV1279" i="18" s="1"/>
  <c r="BH387" i="5"/>
  <c r="AZ1279" i="18" s="1"/>
  <c r="AV400" i="5"/>
  <c r="AS463" i="5"/>
  <c r="CK352" i="5"/>
  <c r="AL361" i="5"/>
  <c r="AK387" i="5"/>
  <c r="AO388" i="5" s="1"/>
  <c r="AO389" i="5" s="1"/>
  <c r="AS400" i="5"/>
  <c r="AS392" i="5"/>
  <c r="BA387" i="5"/>
  <c r="AS1279" i="18" s="1"/>
  <c r="AO463" i="5"/>
  <c r="AN380" i="5"/>
  <c r="AN381" i="5"/>
  <c r="AV380" i="5"/>
  <c r="AV381" i="5"/>
  <c r="AV347" i="5"/>
  <c r="AV351" i="5"/>
  <c r="AR352" i="5"/>
  <c r="AV354" i="5"/>
  <c r="AV355" i="5" s="1"/>
  <c r="V361" i="5"/>
  <c r="V362" i="5" s="1"/>
  <c r="AL387" i="5"/>
  <c r="AP388" i="5" s="1"/>
  <c r="AP389" i="5" s="1"/>
  <c r="AT387" i="5"/>
  <c r="AS387" i="5"/>
  <c r="AI368" i="5"/>
  <c r="AQ368" i="5"/>
  <c r="AY368" i="5"/>
  <c r="AQ483" i="5"/>
  <c r="AU483" i="5"/>
  <c r="AQ482" i="5"/>
  <c r="AQ479" i="5"/>
  <c r="AQ481" i="5"/>
  <c r="AR482" i="5"/>
  <c r="AY483" i="5"/>
  <c r="AY482" i="5"/>
  <c r="AY481" i="5"/>
  <c r="AY479" i="5"/>
  <c r="AY480" i="5" s="1"/>
  <c r="CW552" i="5"/>
  <c r="BS415" i="5"/>
  <c r="BK308" i="18" s="1"/>
  <c r="CM452" i="5"/>
  <c r="AW470" i="5"/>
  <c r="CQ466" i="5"/>
  <c r="AX470" i="5"/>
  <c r="BJ532" i="5"/>
  <c r="BN532" i="5"/>
  <c r="AY486" i="5"/>
  <c r="AS476" i="5"/>
  <c r="AK455" i="5"/>
  <c r="AS486" i="5"/>
  <c r="AS489" i="5" s="1"/>
  <c r="AS490" i="5" s="1"/>
  <c r="AS456" i="5"/>
  <c r="CP452" i="5"/>
  <c r="AK453" i="5"/>
  <c r="AM456" i="5"/>
  <c r="AH467" i="5"/>
  <c r="AP475" i="5"/>
  <c r="AP473" i="5"/>
  <c r="AP476" i="5"/>
  <c r="CP473" i="5"/>
  <c r="CM478" i="5"/>
  <c r="AG479" i="5"/>
  <c r="AK481" i="5"/>
  <c r="AT486" i="5"/>
  <c r="AU456" i="5"/>
  <c r="AT455" i="5"/>
  <c r="AL453" i="5"/>
  <c r="AU467" i="5"/>
  <c r="AQ475" i="5"/>
  <c r="AQ473" i="5"/>
  <c r="AQ476" i="5"/>
  <c r="AY475" i="5"/>
  <c r="AY476" i="5"/>
  <c r="AI514" i="5"/>
  <c r="AI512" i="5"/>
  <c r="AJ514" i="5"/>
  <c r="BM532" i="5"/>
  <c r="CS566" i="5"/>
  <c r="CS570" i="5" s="1"/>
  <c r="CN452" i="5"/>
  <c r="AP455" i="5"/>
  <c r="AJ467" i="5"/>
  <c r="AZ475" i="5"/>
  <c r="AH453" i="5"/>
  <c r="AY469" i="5"/>
  <c r="CN472" i="5"/>
  <c r="AU475" i="5"/>
  <c r="AL483" i="5"/>
  <c r="AL481" i="5"/>
  <c r="AT482" i="5"/>
  <c r="AT481" i="5"/>
  <c r="AT479" i="5"/>
  <c r="AP479" i="5"/>
  <c r="AP480" i="5" s="1"/>
  <c r="AT483" i="5"/>
  <c r="AS467" i="5"/>
  <c r="CP466" i="5"/>
  <c r="AM476" i="5"/>
  <c r="AN482" i="5"/>
  <c r="AN481" i="5"/>
  <c r="AV483" i="5"/>
  <c r="AV481" i="5"/>
  <c r="AV479" i="5"/>
  <c r="AV480" i="5" s="1"/>
  <c r="AZ483" i="5"/>
  <c r="AT467" i="5"/>
  <c r="AU473" i="5"/>
  <c r="AU474" i="5" s="1"/>
  <c r="BO532" i="5"/>
  <c r="AU469" i="5"/>
  <c r="AP483" i="5"/>
  <c r="AP481" i="5"/>
  <c r="CQ478" i="5"/>
  <c r="AX482" i="5"/>
  <c r="AV482" i="5"/>
  <c r="CQ522" i="5"/>
  <c r="CQ523" i="5" s="1"/>
  <c r="CB532" i="5"/>
  <c r="AX486" i="5"/>
  <c r="AX453" i="5"/>
  <c r="AX454" i="5" s="1"/>
  <c r="AS470" i="5"/>
  <c r="CM472" i="5"/>
  <c r="AW473" i="5"/>
  <c r="AK475" i="5"/>
  <c r="AO482" i="5"/>
  <c r="AW482" i="5"/>
  <c r="BT524" i="5"/>
  <c r="BT529" i="5"/>
  <c r="CB524" i="5"/>
  <c r="CU529" i="5"/>
  <c r="CX552" i="5"/>
  <c r="CX561" i="5"/>
  <c r="BJ604" i="5"/>
  <c r="BJ561" i="5"/>
  <c r="BR604" i="5"/>
  <c r="BR561" i="5"/>
  <c r="BZ631" i="5"/>
  <c r="BZ566" i="5"/>
  <c r="BZ570" i="5" s="1"/>
  <c r="BH652" i="5"/>
  <c r="CS652" i="5" s="1"/>
  <c r="AX469" i="5"/>
  <c r="AN476" i="5"/>
  <c r="AV476" i="5"/>
  <c r="AZ481" i="5"/>
  <c r="CY526" i="5"/>
  <c r="CC526" i="5" s="1"/>
  <c r="CX529" i="5"/>
  <c r="DA526" i="5"/>
  <c r="CZ526" i="5"/>
  <c r="CD526" i="5" s="1"/>
  <c r="CO472" i="5"/>
  <c r="CQ472" i="5"/>
  <c r="AW476" i="5"/>
  <c r="AK483" i="5"/>
  <c r="CP478" i="5"/>
  <c r="AS481" i="5"/>
  <c r="AS482" i="5"/>
  <c r="AK479" i="5"/>
  <c r="AK480" i="5" s="1"/>
  <c r="AZ482" i="5"/>
  <c r="CN478" i="5"/>
  <c r="AS483" i="5"/>
  <c r="BW529" i="5"/>
  <c r="CT567" i="5"/>
  <c r="CT551" i="5"/>
  <c r="CT552" i="5" s="1"/>
  <c r="CU593" i="5"/>
  <c r="CU561" i="5" s="1"/>
  <c r="CX604" i="5"/>
  <c r="CU612" i="5"/>
  <c r="CU551" i="5"/>
  <c r="CU552" i="5" s="1"/>
  <c r="AJ512" i="5"/>
  <c r="BU522" i="5"/>
  <c r="BM561" i="18" s="1"/>
  <c r="CW529" i="5"/>
  <c r="CW524" i="5"/>
  <c r="BQ570" i="5"/>
  <c r="BN566" i="5"/>
  <c r="BN570" i="5" s="1"/>
  <c r="CU630" i="5"/>
  <c r="BU524" i="5"/>
  <c r="BU529" i="5"/>
  <c r="BY532" i="5" s="1"/>
  <c r="CS540" i="5"/>
  <c r="CD592" i="5"/>
  <c r="CU617" i="5"/>
  <c r="BI529" i="5"/>
  <c r="BQ529" i="5"/>
  <c r="BQ524" i="5"/>
  <c r="CR529" i="5"/>
  <c r="CR524" i="5"/>
  <c r="CX524" i="5"/>
  <c r="CU540" i="5"/>
  <c r="CW540" i="5"/>
  <c r="BY570" i="5"/>
  <c r="BJ524" i="5"/>
  <c r="BR529" i="5"/>
  <c r="BZ529" i="5"/>
  <c r="CV713" i="5"/>
  <c r="CV593" i="5"/>
  <c r="CV561" i="5" s="1"/>
  <c r="CV567" i="5"/>
  <c r="CV552" i="5"/>
  <c r="BX631" i="5"/>
  <c r="BX566" i="5"/>
  <c r="BX570" i="5" s="1"/>
  <c r="BL657" i="5"/>
  <c r="CT657" i="5" s="1"/>
  <c r="AL473" i="5"/>
  <c r="AT473" i="5"/>
  <c r="AT474" i="5" s="1"/>
  <c r="AL475" i="5"/>
  <c r="AT475" i="5"/>
  <c r="AM479" i="5"/>
  <c r="AU479" i="5"/>
  <c r="AU480" i="5" s="1"/>
  <c r="AM481" i="5"/>
  <c r="AU481" i="5"/>
  <c r="AO483" i="5"/>
  <c r="AW483" i="5"/>
  <c r="BN524" i="5"/>
  <c r="BV524" i="5"/>
  <c r="BP566" i="5"/>
  <c r="BP570" i="5" s="1"/>
  <c r="BS645" i="5"/>
  <c r="AN473" i="5"/>
  <c r="AV473" i="5"/>
  <c r="AV474" i="5" s="1"/>
  <c r="AN475" i="5"/>
  <c r="AV475" i="5"/>
  <c r="AO479" i="5"/>
  <c r="AW479" i="5"/>
  <c r="AO481" i="5"/>
  <c r="AW481" i="5"/>
  <c r="BX524" i="5"/>
  <c r="CQ570" i="5"/>
  <c r="CT593" i="5"/>
  <c r="CT604" i="5" s="1"/>
  <c r="BI631" i="5"/>
  <c r="BU631" i="5"/>
  <c r="BK532" i="5"/>
  <c r="BS532" i="5"/>
  <c r="CA524" i="5"/>
  <c r="CR540" i="5"/>
  <c r="CA570" i="5"/>
  <c r="CW713" i="5"/>
  <c r="CW593" i="5"/>
  <c r="CW604" i="5" s="1"/>
  <c r="BL604" i="5"/>
  <c r="BL561" i="5"/>
  <c r="BL562" i="5" s="1"/>
  <c r="BD408" i="18" s="1"/>
  <c r="BT604" i="5"/>
  <c r="BT561" i="5"/>
  <c r="CB604" i="5"/>
  <c r="CB561" i="5"/>
  <c r="CB562" i="5" s="1"/>
  <c r="BT408" i="18" s="1"/>
  <c r="CW569" i="5"/>
  <c r="CC615" i="5"/>
  <c r="CD615" i="5" s="1"/>
  <c r="CE615" i="5" s="1"/>
  <c r="CF615" i="5" s="1"/>
  <c r="CY615" i="5" s="1"/>
  <c r="CZ615" i="5" s="1"/>
  <c r="DA615" i="5" s="1"/>
  <c r="DB615" i="5" s="1"/>
  <c r="DC615" i="5" s="1"/>
  <c r="DD615" i="5" s="1"/>
  <c r="DE615" i="5" s="1"/>
  <c r="DF615" i="5" s="1"/>
  <c r="CB617" i="5"/>
  <c r="CX615" i="5"/>
  <c r="BU543" i="5"/>
  <c r="BM392" i="18" s="1"/>
  <c r="BF677" i="5"/>
  <c r="BG669" i="5"/>
  <c r="CB670" i="5"/>
  <c r="CB557" i="5" s="1"/>
  <c r="CA557" i="5"/>
  <c r="BO570" i="5"/>
  <c r="CW568" i="5"/>
  <c r="BF596" i="5"/>
  <c r="BG595" i="5"/>
  <c r="BV566" i="5"/>
  <c r="BV570" i="5" s="1"/>
  <c r="CT568" i="5"/>
  <c r="BN617" i="5"/>
  <c r="BN630" i="5" s="1"/>
  <c r="BN631" i="5" s="1"/>
  <c r="BN561" i="5"/>
  <c r="BV617" i="5"/>
  <c r="BV630" i="5" s="1"/>
  <c r="BV631" i="5" s="1"/>
  <c r="BV561" i="5"/>
  <c r="CS617" i="5"/>
  <c r="CS630" i="5" s="1"/>
  <c r="CS631" i="5" s="1"/>
  <c r="CW630" i="5"/>
  <c r="BI630" i="5"/>
  <c r="BH631" i="5"/>
  <c r="CQ631" i="5"/>
  <c r="CD624" i="5"/>
  <c r="CB630" i="5"/>
  <c r="BG647" i="5"/>
  <c r="BG663" i="5"/>
  <c r="BH663" i="5" s="1"/>
  <c r="CX664" i="5"/>
  <c r="CX666" i="5" s="1"/>
  <c r="CB663" i="5"/>
  <c r="BG684" i="5"/>
  <c r="BH684" i="5" s="1"/>
  <c r="BH690" i="5" s="1"/>
  <c r="BA631" i="5"/>
  <c r="BY631" i="5"/>
  <c r="BB596" i="5"/>
  <c r="BC595" i="5"/>
  <c r="CW612" i="5"/>
  <c r="CW617" i="5" s="1"/>
  <c r="DC683" i="5"/>
  <c r="DB556" i="5"/>
  <c r="CR604" i="5"/>
  <c r="CC663" i="5"/>
  <c r="CD611" i="5"/>
  <c r="BB630" i="5"/>
  <c r="BB631" i="5" s="1"/>
  <c r="BS630" i="5"/>
  <c r="CA630" i="5"/>
  <c r="CA631" i="5" s="1"/>
  <c r="BI696" i="5"/>
  <c r="CA677" i="5"/>
  <c r="CT617" i="5"/>
  <c r="DA670" i="5"/>
  <c r="DA680" i="5"/>
  <c r="BX692" i="5"/>
  <c r="BS631" i="5"/>
  <c r="CD614" i="5"/>
  <c r="BP630" i="5"/>
  <c r="BP631" i="5" s="1"/>
  <c r="CT654" i="5"/>
  <c r="BK654" i="5"/>
  <c r="BL654" i="5" s="1"/>
  <c r="BQ630" i="5"/>
  <c r="BQ631" i="5" s="1"/>
  <c r="CX612" i="5"/>
  <c r="CT629" i="5"/>
  <c r="BH645" i="5"/>
  <c r="CS651" i="5"/>
  <c r="BG661" i="5"/>
  <c r="BH661" i="5" s="1"/>
  <c r="BH664" i="5" s="1"/>
  <c r="CA645" i="5"/>
  <c r="BG649" i="5"/>
  <c r="BH649" i="5" s="1"/>
  <c r="BG657" i="5"/>
  <c r="BH657" i="5" s="1"/>
  <c r="CS657" i="5"/>
  <c r="AR716" i="5"/>
  <c r="AR718" i="5" s="1"/>
  <c r="CO710" i="5"/>
  <c r="AZ716" i="5"/>
  <c r="AZ718" i="5" s="1"/>
  <c r="CQ710" i="5"/>
  <c r="BJ713" i="5"/>
  <c r="BJ716" i="5"/>
  <c r="BL651" i="5"/>
  <c r="CT651" i="5" s="1"/>
  <c r="BA697" i="5"/>
  <c r="CR697" i="5"/>
  <c r="CQ699" i="5"/>
  <c r="CT612" i="5"/>
  <c r="CV617" i="5"/>
  <c r="BO630" i="5"/>
  <c r="BO631" i="5" s="1"/>
  <c r="BW630" i="5"/>
  <c r="BW631" i="5" s="1"/>
  <c r="CS655" i="5"/>
  <c r="BG655" i="5"/>
  <c r="BH655" i="5" s="1"/>
  <c r="CT676" i="5"/>
  <c r="BH685" i="5"/>
  <c r="CS685" i="5" s="1"/>
  <c r="CS558" i="5" s="1"/>
  <c r="BM696" i="5"/>
  <c r="CV629" i="5"/>
  <c r="BP645" i="5"/>
  <c r="BP666" i="5" s="1"/>
  <c r="CT649" i="5"/>
  <c r="BZ660" i="5"/>
  <c r="CS671" i="5"/>
  <c r="BK677" i="5"/>
  <c r="BL669" i="5"/>
  <c r="CT669" i="5"/>
  <c r="BO677" i="5"/>
  <c r="CS716" i="5"/>
  <c r="CT653" i="5"/>
  <c r="BF664" i="5"/>
  <c r="CS660" i="5"/>
  <c r="BJ664" i="5"/>
  <c r="BJ666" i="5" s="1"/>
  <c r="BK660" i="5"/>
  <c r="BR664" i="5"/>
  <c r="BR666" i="5" s="1"/>
  <c r="BS660" i="5"/>
  <c r="BY690" i="5"/>
  <c r="BZ683" i="5"/>
  <c r="BZ690" i="5" s="1"/>
  <c r="CX696" i="5"/>
  <c r="CX698" i="5" s="1"/>
  <c r="CS746" i="5"/>
  <c r="CT661" i="5"/>
  <c r="BO664" i="5"/>
  <c r="BO666" i="5" s="1"/>
  <c r="BH672" i="5"/>
  <c r="BH521" i="5" s="1"/>
  <c r="CB677" i="5"/>
  <c r="DB669" i="5"/>
  <c r="BO690" i="5"/>
  <c r="BP680" i="5"/>
  <c r="BP690" i="5" s="1"/>
  <c r="CS688" i="5"/>
  <c r="BP718" i="5"/>
  <c r="BF666" i="5"/>
  <c r="BB677" i="5"/>
  <c r="BC669" i="5"/>
  <c r="BN690" i="5"/>
  <c r="BO710" i="5"/>
  <c r="BO717" i="5"/>
  <c r="BW717" i="5"/>
  <c r="BW710" i="5"/>
  <c r="BV664" i="5"/>
  <c r="CW666" i="5"/>
  <c r="CT672" i="5"/>
  <c r="BL672" i="5"/>
  <c r="BR677" i="5"/>
  <c r="BR696" i="5" s="1"/>
  <c r="BS669" i="5"/>
  <c r="CU677" i="5"/>
  <c r="BP673" i="5"/>
  <c r="BP557" i="5" s="1"/>
  <c r="CS675" i="5"/>
  <c r="BG675" i="5"/>
  <c r="BH675" i="5" s="1"/>
  <c r="BS690" i="5"/>
  <c r="BT680" i="5"/>
  <c r="BT690" i="5" s="1"/>
  <c r="BL682" i="5"/>
  <c r="CT682" i="5" s="1"/>
  <c r="CP712" i="5"/>
  <c r="CP716" i="5" s="1"/>
  <c r="BA718" i="5"/>
  <c r="BQ716" i="5"/>
  <c r="BQ718" i="5" s="1"/>
  <c r="AL750" i="5"/>
  <c r="AK750" i="5"/>
  <c r="BB664" i="5"/>
  <c r="BB666" i="5" s="1"/>
  <c r="BB696" i="5" s="1"/>
  <c r="BC660" i="5"/>
  <c r="BW660" i="5"/>
  <c r="BV677" i="5"/>
  <c r="BW669" i="5"/>
  <c r="BI677" i="5"/>
  <c r="BJ675" i="5"/>
  <c r="BK675" i="5" s="1"/>
  <c r="BL675" i="5" s="1"/>
  <c r="BX690" i="5"/>
  <c r="BG687" i="5"/>
  <c r="BH687" i="5" s="1"/>
  <c r="CT689" i="5"/>
  <c r="BT692" i="5"/>
  <c r="CW699" i="5"/>
  <c r="BG713" i="5"/>
  <c r="BG716" i="5"/>
  <c r="BG718" i="5" s="1"/>
  <c r="AT750" i="5"/>
  <c r="AS750" i="5"/>
  <c r="AU750" i="5"/>
  <c r="CU750" i="5"/>
  <c r="CV750" i="5" s="1"/>
  <c r="CW750" i="5" s="1"/>
  <c r="CX750" i="5" s="1"/>
  <c r="CY750" i="5" s="1"/>
  <c r="CZ750" i="5" s="1"/>
  <c r="DA750" i="5" s="1"/>
  <c r="DB750" i="5" s="1"/>
  <c r="DC750" i="5" s="1"/>
  <c r="DD750" i="5" s="1"/>
  <c r="DE750" i="5" s="1"/>
  <c r="DF750" i="5" s="1"/>
  <c r="BL750" i="5"/>
  <c r="BV666" i="5"/>
  <c r="BN664" i="5"/>
  <c r="BN666" i="5" s="1"/>
  <c r="CS674" i="5"/>
  <c r="BW681" i="5"/>
  <c r="BX681" i="5" s="1"/>
  <c r="BV690" i="5"/>
  <c r="BB690" i="5"/>
  <c r="BC682" i="5"/>
  <c r="BU696" i="5"/>
  <c r="BU716" i="5"/>
  <c r="BU718" i="5" s="1"/>
  <c r="BU713" i="5"/>
  <c r="CS713" i="5"/>
  <c r="CS712" i="5"/>
  <c r="CS717" i="5" s="1"/>
  <c r="BL684" i="5"/>
  <c r="CT684" i="5" s="1"/>
  <c r="BQ696" i="5"/>
  <c r="CA692" i="5"/>
  <c r="BK713" i="5"/>
  <c r="BY677" i="5"/>
  <c r="CT673" i="5"/>
  <c r="BF690" i="5"/>
  <c r="BK703" i="5"/>
  <c r="BA713" i="5"/>
  <c r="BA716" i="5"/>
  <c r="CV712" i="5"/>
  <c r="CV717" i="5" s="1"/>
  <c r="CT686" i="5"/>
  <c r="BK688" i="5"/>
  <c r="BL688" i="5" s="1"/>
  <c r="BW690" i="5"/>
  <c r="CU696" i="5"/>
  <c r="DB692" i="5"/>
  <c r="CW716" i="5"/>
  <c r="BD713" i="5"/>
  <c r="CR710" i="5"/>
  <c r="BL710" i="5"/>
  <c r="BL717" i="5"/>
  <c r="BT713" i="5"/>
  <c r="BT716" i="5"/>
  <c r="CB710" i="5"/>
  <c r="CB717" i="5"/>
  <c r="BB750" i="5"/>
  <c r="BA750" i="5"/>
  <c r="BL674" i="5"/>
  <c r="CT674" i="5" s="1"/>
  <c r="CR696" i="5"/>
  <c r="CR698" i="5" s="1"/>
  <c r="BR690" i="5"/>
  <c r="CS683" i="5"/>
  <c r="CV696" i="5"/>
  <c r="BP716" i="5"/>
  <c r="BP713" i="5"/>
  <c r="CU710" i="5"/>
  <c r="BD718" i="5"/>
  <c r="BT718" i="5"/>
  <c r="AX750" i="5"/>
  <c r="AW750" i="5"/>
  <c r="AY750" i="5"/>
  <c r="BF717" i="5"/>
  <c r="BF718" i="5" s="1"/>
  <c r="BK704" i="5"/>
  <c r="BL704" i="5" s="1"/>
  <c r="CT704" i="5" s="1"/>
  <c r="BJ718" i="5"/>
  <c r="BZ718" i="5"/>
  <c r="BV713" i="5"/>
  <c r="BB716" i="5"/>
  <c r="BB718" i="5" s="1"/>
  <c r="CT702" i="5"/>
  <c r="BR710" i="5"/>
  <c r="BN713" i="5"/>
  <c r="BV717" i="5"/>
  <c r="BV718" i="5" s="1"/>
  <c r="CW717" i="5"/>
  <c r="BI716" i="5"/>
  <c r="BI718" i="5" s="1"/>
  <c r="AT718" i="5"/>
  <c r="AP750" i="5"/>
  <c r="AO750" i="5"/>
  <c r="M915" i="18"/>
  <c r="L915" i="18"/>
  <c r="N915" i="18"/>
  <c r="C915" i="18"/>
  <c r="CV188" i="5" l="1"/>
  <c r="CN154" i="18" s="1"/>
  <c r="CN189" i="18"/>
  <c r="BV401" i="5"/>
  <c r="BN1287" i="18" s="1"/>
  <c r="BJ1286" i="18"/>
  <c r="BP454" i="5"/>
  <c r="BH341" i="18" s="1"/>
  <c r="BH340" i="18"/>
  <c r="CA243" i="5"/>
  <c r="BS210" i="18" s="1"/>
  <c r="BS209" i="18"/>
  <c r="BJ77" i="5"/>
  <c r="BB63" i="18" s="1"/>
  <c r="BB58" i="18"/>
  <c r="BO252" i="5"/>
  <c r="BG217" i="18" s="1"/>
  <c r="BG216" i="18"/>
  <c r="CQ108" i="5"/>
  <c r="CI89" i="18" s="1"/>
  <c r="AY89" i="18"/>
  <c r="CF347" i="5"/>
  <c r="BX297" i="18" s="1"/>
  <c r="BT297" i="18"/>
  <c r="BY486" i="5"/>
  <c r="BQ378" i="18" s="1"/>
  <c r="BF300" i="5"/>
  <c r="AX182" i="18"/>
  <c r="BQ402" i="5"/>
  <c r="BI1288" i="18" s="1"/>
  <c r="BH1286" i="18"/>
  <c r="DG65" i="5"/>
  <c r="CY53" i="18" s="1"/>
  <c r="CN53" i="18"/>
  <c r="BA77" i="5"/>
  <c r="AS63" i="18" s="1"/>
  <c r="AS58" i="18"/>
  <c r="CF638" i="5"/>
  <c r="BX481" i="18" s="1"/>
  <c r="BT481" i="18"/>
  <c r="BD25" i="5"/>
  <c r="AV17" i="18" s="1"/>
  <c r="AV16" i="18"/>
  <c r="N12" i="19"/>
  <c r="BR13" i="18"/>
  <c r="CT538" i="5"/>
  <c r="CL387" i="18" s="1"/>
  <c r="CL55" i="18"/>
  <c r="BR59" i="5"/>
  <c r="BJ45" i="18" s="1"/>
  <c r="BJ44" i="18"/>
  <c r="BX94" i="6"/>
  <c r="BP645" i="18" s="1"/>
  <c r="BP644" i="18"/>
  <c r="BK94" i="6"/>
  <c r="BC645" i="18" s="1"/>
  <c r="BC644" i="18"/>
  <c r="BM42" i="6"/>
  <c r="BE574" i="18" s="1"/>
  <c r="BE573" i="18"/>
  <c r="BW94" i="6"/>
  <c r="BO645" i="18" s="1"/>
  <c r="BO644" i="18"/>
  <c r="CB88" i="6"/>
  <c r="BT639" i="18" s="1"/>
  <c r="BT638" i="18"/>
  <c r="BA76" i="6"/>
  <c r="AS613" i="18" s="1"/>
  <c r="AS612" i="18"/>
  <c r="BB42" i="6"/>
  <c r="AT574" i="18" s="1"/>
  <c r="AT573" i="18"/>
  <c r="BH76" i="6"/>
  <c r="AZ613" i="18" s="1"/>
  <c r="AZ612" i="18"/>
  <c r="BO88" i="6"/>
  <c r="BG639" i="18" s="1"/>
  <c r="BG638" i="18"/>
  <c r="BG42" i="6"/>
  <c r="AY574" i="18" s="1"/>
  <c r="AY573" i="18"/>
  <c r="CM565" i="18"/>
  <c r="CU20" i="7"/>
  <c r="CU21" i="7" s="1"/>
  <c r="BB61" i="6"/>
  <c r="AT622" i="18" s="1"/>
  <c r="AT621" i="18"/>
  <c r="AW1302" i="18"/>
  <c r="AW728" i="18"/>
  <c r="H30" i="19"/>
  <c r="K924" i="18" s="1"/>
  <c r="K904" i="18"/>
  <c r="AZ400" i="5"/>
  <c r="AR1286" i="18" s="1"/>
  <c r="BV387" i="5"/>
  <c r="BN1279" i="18" s="1"/>
  <c r="BR404" i="5"/>
  <c r="AY216" i="18"/>
  <c r="CT188" i="5"/>
  <c r="CL154" i="18" s="1"/>
  <c r="CL189" i="18"/>
  <c r="BS253" i="5"/>
  <c r="BI208" i="5"/>
  <c r="BA175" i="18" s="1"/>
  <c r="BA174" i="18"/>
  <c r="BZ77" i="5"/>
  <c r="BR63" i="18" s="1"/>
  <c r="BR58" i="18"/>
  <c r="BK1281" i="18"/>
  <c r="BK1259" i="18"/>
  <c r="BO253" i="5"/>
  <c r="BN461" i="5"/>
  <c r="BF349" i="18" s="1"/>
  <c r="BV379" i="5"/>
  <c r="BN1271" i="18" s="1"/>
  <c r="BV77" i="5"/>
  <c r="BN63" i="18" s="1"/>
  <c r="BN58" i="18"/>
  <c r="CT174" i="5"/>
  <c r="CL140" i="18" s="1"/>
  <c r="CL138" i="18"/>
  <c r="BC255" i="5"/>
  <c r="AU218" i="18" s="1"/>
  <c r="DG66" i="5"/>
  <c r="CY54" i="18" s="1"/>
  <c r="CN54" i="18"/>
  <c r="BT486" i="5"/>
  <c r="BL378" i="18" s="1"/>
  <c r="BL243" i="5"/>
  <c r="BD210" i="18" s="1"/>
  <c r="BD209" i="18"/>
  <c r="BE459" i="5"/>
  <c r="BF283" i="5"/>
  <c r="AX240" i="18" s="1"/>
  <c r="CQ113" i="5"/>
  <c r="CI94" i="18" s="1"/>
  <c r="AZ94" i="18"/>
  <c r="BE473" i="5"/>
  <c r="CV458" i="5"/>
  <c r="CN345" i="18" s="1"/>
  <c r="BB251" i="5"/>
  <c r="AT216" i="18" s="1"/>
  <c r="CB350" i="5"/>
  <c r="BT300" i="18" s="1"/>
  <c r="BR77" i="5"/>
  <c r="BJ63" i="18" s="1"/>
  <c r="BJ58" i="18"/>
  <c r="BX208" i="5"/>
  <c r="BP175" i="18" s="1"/>
  <c r="BP174" i="18"/>
  <c r="BH208" i="5"/>
  <c r="AZ175" i="18" s="1"/>
  <c r="AZ174" i="18"/>
  <c r="CS346" i="5"/>
  <c r="CK296" i="18" s="1"/>
  <c r="CK50" i="18"/>
  <c r="BM543" i="5"/>
  <c r="BE387" i="18"/>
  <c r="DG64" i="5"/>
  <c r="CY52" i="18" s="1"/>
  <c r="CN52" i="18"/>
  <c r="DG63" i="5"/>
  <c r="CY51" i="18" s="1"/>
  <c r="CN51" i="18"/>
  <c r="BT77" i="5"/>
  <c r="BL63" i="18" s="1"/>
  <c r="BL58" i="18"/>
  <c r="BH336" i="5"/>
  <c r="AZ292" i="18" s="1"/>
  <c r="AV291" i="18"/>
  <c r="BP77" i="5"/>
  <c r="BH63" i="18" s="1"/>
  <c r="BH58" i="18"/>
  <c r="CS21" i="5"/>
  <c r="CK9" i="18"/>
  <c r="BM77" i="5"/>
  <c r="BE63" i="18" s="1"/>
  <c r="BE58" i="18"/>
  <c r="AY331" i="5"/>
  <c r="AQ287" i="18" s="1"/>
  <c r="BN300" i="5"/>
  <c r="BF182" i="18"/>
  <c r="BE25" i="5"/>
  <c r="AW17" i="18" s="1"/>
  <c r="AW16" i="18"/>
  <c r="BQ77" i="5"/>
  <c r="BI63" i="18" s="1"/>
  <c r="BI58" i="18"/>
  <c r="BM530" i="5"/>
  <c r="BE32" i="18"/>
  <c r="CF637" i="5"/>
  <c r="BX480" i="18" s="1"/>
  <c r="BT480" i="18"/>
  <c r="O12" i="19"/>
  <c r="BS13" i="18"/>
  <c r="BQ543" i="5"/>
  <c r="BU544" i="5" s="1"/>
  <c r="BM393" i="18" s="1"/>
  <c r="BI387" i="18"/>
  <c r="BV59" i="5"/>
  <c r="BN45" i="18" s="1"/>
  <c r="M12" i="19"/>
  <c r="BQ13" i="18"/>
  <c r="BR53" i="5"/>
  <c r="BJ40" i="18" s="1"/>
  <c r="BJ39" i="18"/>
  <c r="BB53" i="5"/>
  <c r="AT40" i="18" s="1"/>
  <c r="AT39" i="18"/>
  <c r="BQ111" i="5"/>
  <c r="BI92" i="18" s="1"/>
  <c r="BB300" i="5"/>
  <c r="AT182" i="18"/>
  <c r="CR538" i="5"/>
  <c r="CJ55" i="18"/>
  <c r="CL1243" i="18"/>
  <c r="CL12" i="18"/>
  <c r="BX473" i="5"/>
  <c r="BP359" i="18" s="1"/>
  <c r="K13" i="19"/>
  <c r="BP32" i="18"/>
  <c r="BO347" i="6"/>
  <c r="BG881" i="18" s="1"/>
  <c r="BG880" i="18"/>
  <c r="BE347" i="6"/>
  <c r="AW881" i="18" s="1"/>
  <c r="AW880" i="18"/>
  <c r="BW347" i="6"/>
  <c r="BO881" i="18" s="1"/>
  <c r="BO880" i="18"/>
  <c r="BX347" i="6"/>
  <c r="BP881" i="18" s="1"/>
  <c r="BP880" i="18"/>
  <c r="BL347" i="6"/>
  <c r="BD881" i="18" s="1"/>
  <c r="BD880" i="18"/>
  <c r="CQ353" i="6"/>
  <c r="CI887" i="18" s="1"/>
  <c r="BK347" i="6"/>
  <c r="BC881" i="18" s="1"/>
  <c r="BC880" i="18"/>
  <c r="CF348" i="6"/>
  <c r="BX882" i="18" s="1"/>
  <c r="BH328" i="6"/>
  <c r="AZ862" i="18" s="1"/>
  <c r="BF326" i="6"/>
  <c r="AX860" i="18" s="1"/>
  <c r="BT328" i="6"/>
  <c r="BL862" i="18" s="1"/>
  <c r="BL96" i="6"/>
  <c r="BD647" i="18" s="1"/>
  <c r="BI88" i="6"/>
  <c r="BA639" i="18" s="1"/>
  <c r="BA638" i="18"/>
  <c r="BT94" i="6"/>
  <c r="BL645" i="18" s="1"/>
  <c r="BL644" i="18"/>
  <c r="BE76" i="6"/>
  <c r="AW613" i="18" s="1"/>
  <c r="AW612" i="18"/>
  <c r="BN128" i="6"/>
  <c r="CM655" i="18"/>
  <c r="BH94" i="6"/>
  <c r="AZ645" i="18" s="1"/>
  <c r="AZ644" i="18"/>
  <c r="BL89" i="6"/>
  <c r="BD640" i="18" s="1"/>
  <c r="BI76" i="6"/>
  <c r="BA613" i="18" s="1"/>
  <c r="BA612" i="18"/>
  <c r="BL45" i="6"/>
  <c r="BD576" i="18"/>
  <c r="BK42" i="6"/>
  <c r="BC574" i="18" s="1"/>
  <c r="BC573" i="18"/>
  <c r="BR76" i="6"/>
  <c r="BJ613" i="18" s="1"/>
  <c r="BJ612" i="18"/>
  <c r="BY121" i="6"/>
  <c r="BQ685" i="18" s="1"/>
  <c r="BG88" i="6"/>
  <c r="AY639" i="18" s="1"/>
  <c r="AY638" i="18"/>
  <c r="BD188" i="5"/>
  <c r="AV154" i="18" s="1"/>
  <c r="AV189" i="18"/>
  <c r="BM100" i="6"/>
  <c r="BE653" i="18" s="1"/>
  <c r="BL76" i="6"/>
  <c r="BD613" i="18" s="1"/>
  <c r="BD612" i="18"/>
  <c r="CK565" i="18"/>
  <c r="CS20" i="7"/>
  <c r="CX87" i="6"/>
  <c r="CP638" i="18" s="1"/>
  <c r="CO637" i="18"/>
  <c r="BT76" i="6"/>
  <c r="BL613" i="18" s="1"/>
  <c r="BL612" i="18"/>
  <c r="BR128" i="6"/>
  <c r="BQ42" i="6"/>
  <c r="BI574" i="18" s="1"/>
  <c r="BI573" i="18"/>
  <c r="CB387" i="5"/>
  <c r="BT1279" i="18" s="1"/>
  <c r="BO1246" i="18"/>
  <c r="BO569" i="18"/>
  <c r="BB45" i="6"/>
  <c r="AT576" i="18"/>
  <c r="BN387" i="5"/>
  <c r="BF1279" i="18" s="1"/>
  <c r="CT249" i="5"/>
  <c r="CL214" i="18" s="1"/>
  <c r="BA214" i="18"/>
  <c r="BA18" i="6"/>
  <c r="BC57" i="7"/>
  <c r="BI49" i="7"/>
  <c r="AZ46" i="7"/>
  <c r="BP46" i="7"/>
  <c r="BC251" i="5"/>
  <c r="AU216" i="18" s="1"/>
  <c r="AU215" i="18"/>
  <c r="CB110" i="5"/>
  <c r="BT91" i="18" s="1"/>
  <c r="BT89" i="18"/>
  <c r="K30" i="19"/>
  <c r="N924" i="18" s="1"/>
  <c r="N904" i="18"/>
  <c r="CT167" i="5"/>
  <c r="CL133" i="18" s="1"/>
  <c r="BA133" i="18"/>
  <c r="BI243" i="5"/>
  <c r="BA210" i="18" s="1"/>
  <c r="BA209" i="18"/>
  <c r="BV243" i="5"/>
  <c r="BN210" i="18" s="1"/>
  <c r="BN209" i="18"/>
  <c r="BP252" i="5"/>
  <c r="BH217" i="18" s="1"/>
  <c r="BH216" i="18"/>
  <c r="BF174" i="18"/>
  <c r="BN77" i="5"/>
  <c r="BF63" i="18" s="1"/>
  <c r="BF58" i="18"/>
  <c r="CS188" i="5"/>
  <c r="CK154" i="18" s="1"/>
  <c r="CK189" i="18"/>
  <c r="CW538" i="5"/>
  <c r="CO387" i="18" s="1"/>
  <c r="CO55" i="18"/>
  <c r="CS299" i="5"/>
  <c r="CK257" i="18" s="1"/>
  <c r="CK147" i="18"/>
  <c r="BX77" i="5"/>
  <c r="BP63" i="18" s="1"/>
  <c r="BP58" i="18"/>
  <c r="BD300" i="5"/>
  <c r="AV182" i="18"/>
  <c r="BE116" i="5"/>
  <c r="AW97" i="18" s="1"/>
  <c r="AS94" i="18"/>
  <c r="CO1243" i="18"/>
  <c r="CO12" i="18"/>
  <c r="BE77" i="5"/>
  <c r="AW63" i="18" s="1"/>
  <c r="AW58" i="18"/>
  <c r="BY77" i="5"/>
  <c r="BQ63" i="18" s="1"/>
  <c r="BQ58" i="18"/>
  <c r="BL468" i="5"/>
  <c r="BD354" i="18" s="1"/>
  <c r="BD353" i="18"/>
  <c r="BP530" i="5"/>
  <c r="BH32" i="18"/>
  <c r="BQ347" i="6"/>
  <c r="BI881" i="18" s="1"/>
  <c r="BI880" i="18"/>
  <c r="BK76" i="6"/>
  <c r="BC613" i="18" s="1"/>
  <c r="BC612" i="18"/>
  <c r="BQ76" i="6"/>
  <c r="BI613" i="18" s="1"/>
  <c r="BI612" i="18"/>
  <c r="BA94" i="6"/>
  <c r="AS645" i="18" s="1"/>
  <c r="AS644" i="18"/>
  <c r="BZ387" i="5"/>
  <c r="BR1279" i="18" s="1"/>
  <c r="BY243" i="5"/>
  <c r="BQ210" i="18" s="1"/>
  <c r="BQ209" i="18"/>
  <c r="BE243" i="5"/>
  <c r="AW210" i="18" s="1"/>
  <c r="AW209" i="18"/>
  <c r="BW208" i="5"/>
  <c r="BO175" i="18" s="1"/>
  <c r="BO174" i="18"/>
  <c r="BN243" i="5"/>
  <c r="BF210" i="18" s="1"/>
  <c r="BF209" i="18"/>
  <c r="CB243" i="5"/>
  <c r="BT210" i="18" s="1"/>
  <c r="BT209" i="18"/>
  <c r="AZ255" i="5"/>
  <c r="AR218" i="18" s="1"/>
  <c r="BJ209" i="5"/>
  <c r="BB176" i="18" s="1"/>
  <c r="BB77" i="5"/>
  <c r="AT63" i="18" s="1"/>
  <c r="AT58" i="18"/>
  <c r="AY1281" i="18"/>
  <c r="AY1259" i="18"/>
  <c r="CS174" i="5"/>
  <c r="CK140" i="18" s="1"/>
  <c r="CK138" i="18"/>
  <c r="BN361" i="5"/>
  <c r="BF296" i="18"/>
  <c r="BD251" i="5"/>
  <c r="AV216" i="18" s="1"/>
  <c r="BF77" i="5"/>
  <c r="AX63" i="18" s="1"/>
  <c r="AX58" i="18"/>
  <c r="BC355" i="5"/>
  <c r="AU302" i="18"/>
  <c r="BB482" i="5"/>
  <c r="BX361" i="5"/>
  <c r="BQ462" i="5"/>
  <c r="BI348" i="18" s="1"/>
  <c r="BV402" i="5"/>
  <c r="BN1288" i="18" s="1"/>
  <c r="BM1286" i="18"/>
  <c r="CB352" i="5"/>
  <c r="BL354" i="5"/>
  <c r="CS538" i="5"/>
  <c r="CK387" i="18" s="1"/>
  <c r="CK55" i="18"/>
  <c r="CB77" i="5"/>
  <c r="BT63" i="18" s="1"/>
  <c r="BT58" i="18"/>
  <c r="CE648" i="5"/>
  <c r="BW489" i="18" s="1"/>
  <c r="BW57" i="18"/>
  <c r="BL13" i="5"/>
  <c r="BD6" i="18" s="1"/>
  <c r="BC300" i="5"/>
  <c r="AU182" i="18"/>
  <c r="CX539" i="5"/>
  <c r="CP388" i="18" s="1"/>
  <c r="CP85" i="18"/>
  <c r="BH300" i="5"/>
  <c r="AZ182" i="18"/>
  <c r="BH331" i="5"/>
  <c r="AZ287" i="18" s="1"/>
  <c r="BK300" i="5"/>
  <c r="BC182" i="18"/>
  <c r="CV108" i="5"/>
  <c r="CN89" i="18" s="1"/>
  <c r="BJ89" i="18"/>
  <c r="CK1243" i="18"/>
  <c r="CK12" i="18"/>
  <c r="BU77" i="5"/>
  <c r="BM63" i="18" s="1"/>
  <c r="BM58" i="18"/>
  <c r="J12" i="19"/>
  <c r="BO13" i="18"/>
  <c r="BI77" i="5"/>
  <c r="BA63" i="18" s="1"/>
  <c r="BA58" i="18"/>
  <c r="CF635" i="5"/>
  <c r="BX478" i="18" s="1"/>
  <c r="BT478" i="18"/>
  <c r="CF639" i="5"/>
  <c r="BX482" i="18" s="1"/>
  <c r="BT482" i="18"/>
  <c r="CS121" i="5"/>
  <c r="CK103" i="18" s="1"/>
  <c r="BV470" i="5"/>
  <c r="BN355" i="18" s="1"/>
  <c r="BM352" i="18"/>
  <c r="BI469" i="5"/>
  <c r="AW352" i="18"/>
  <c r="BS209" i="5"/>
  <c r="BK176" i="18" s="1"/>
  <c r="E12" i="19"/>
  <c r="BK13" i="18"/>
  <c r="C12" i="19"/>
  <c r="BI13" i="18"/>
  <c r="BA59" i="5"/>
  <c r="AS45" i="18" s="1"/>
  <c r="AS44" i="18"/>
  <c r="BZ53" i="5"/>
  <c r="BR40" i="18" s="1"/>
  <c r="BR39" i="18"/>
  <c r="CY119" i="5"/>
  <c r="BU101" i="18"/>
  <c r="CJ1243" i="18"/>
  <c r="CJ12" i="18"/>
  <c r="BB347" i="6"/>
  <c r="AT881" i="18" s="1"/>
  <c r="AT880" i="18"/>
  <c r="CU353" i="6"/>
  <c r="CM887" i="18" s="1"/>
  <c r="BC347" i="6"/>
  <c r="AU881" i="18" s="1"/>
  <c r="AU880" i="18"/>
  <c r="CQ347" i="6"/>
  <c r="CI881" i="18" s="1"/>
  <c r="CI880" i="18"/>
  <c r="CE327" i="6"/>
  <c r="BW861" i="18" s="1"/>
  <c r="BW858" i="18"/>
  <c r="BE126" i="6"/>
  <c r="AW695" i="18" s="1"/>
  <c r="AW693" i="18"/>
  <c r="BL94" i="6"/>
  <c r="BD645" i="18" s="1"/>
  <c r="BD644" i="18"/>
  <c r="CQ94" i="6"/>
  <c r="CI645" i="18" s="1"/>
  <c r="BA88" i="6"/>
  <c r="AS639" i="18" s="1"/>
  <c r="AS638" i="18"/>
  <c r="BR88" i="6"/>
  <c r="BJ639" i="18" s="1"/>
  <c r="BJ638" i="18"/>
  <c r="BS76" i="6"/>
  <c r="BK613" i="18" s="1"/>
  <c r="BK612" i="18"/>
  <c r="BZ88" i="6"/>
  <c r="BR639" i="18" s="1"/>
  <c r="BR638" i="18"/>
  <c r="BH113" i="6"/>
  <c r="AZ666" i="18" s="1"/>
  <c r="AV653" i="18"/>
  <c r="BT88" i="6"/>
  <c r="BL639" i="18" s="1"/>
  <c r="BL638" i="18"/>
  <c r="BS88" i="6"/>
  <c r="BK639" i="18" s="1"/>
  <c r="BK638" i="18"/>
  <c r="BM94" i="6"/>
  <c r="BE645" i="18" s="1"/>
  <c r="BE644" i="18"/>
  <c r="BS45" i="6"/>
  <c r="BK576" i="18"/>
  <c r="BG347" i="6"/>
  <c r="AY881" i="18" s="1"/>
  <c r="CS41" i="6"/>
  <c r="CK573" i="18" s="1"/>
  <c r="BE88" i="6"/>
  <c r="AW639" i="18" s="1"/>
  <c r="AW638" i="18"/>
  <c r="BX128" i="6"/>
  <c r="CO655" i="18"/>
  <c r="BT188" i="5"/>
  <c r="BL154" i="18" s="1"/>
  <c r="BL189" i="18"/>
  <c r="BI113" i="6"/>
  <c r="BA666" i="18" s="1"/>
  <c r="BE42" i="6"/>
  <c r="AW574" i="18" s="1"/>
  <c r="AW573" i="18"/>
  <c r="BF42" i="6"/>
  <c r="AX574" i="18" s="1"/>
  <c r="AX573" i="18"/>
  <c r="BP255" i="5"/>
  <c r="BH218" i="18" s="1"/>
  <c r="BS94" i="6"/>
  <c r="BK645" i="18" s="1"/>
  <c r="BQ94" i="6"/>
  <c r="BI645" i="18" s="1"/>
  <c r="BI42" i="6"/>
  <c r="BA574" i="18" s="1"/>
  <c r="BA573" i="18"/>
  <c r="CI565" i="18"/>
  <c r="CQ20" i="7"/>
  <c r="BI13" i="5"/>
  <c r="BA6" i="18" s="1"/>
  <c r="BA5" i="18"/>
  <c r="BT392" i="5"/>
  <c r="CM5" i="18"/>
  <c r="BB27" i="6"/>
  <c r="AT581" i="18" s="1"/>
  <c r="AT580" i="18"/>
  <c r="CQ188" i="5"/>
  <c r="CI154" i="18" s="1"/>
  <c r="CI189" i="18"/>
  <c r="BH379" i="5"/>
  <c r="AZ1271" i="18" s="1"/>
  <c r="BL50" i="7"/>
  <c r="BM23" i="7"/>
  <c r="CX167" i="5"/>
  <c r="CP133" i="18" s="1"/>
  <c r="BQ133" i="18"/>
  <c r="P30" i="19"/>
  <c r="S904" i="18"/>
  <c r="CV167" i="5"/>
  <c r="CN133" i="18" s="1"/>
  <c r="BI133" i="18"/>
  <c r="BQ208" i="5"/>
  <c r="BI175" i="18" s="1"/>
  <c r="BI174" i="18"/>
  <c r="BV208" i="5"/>
  <c r="BN175" i="18" s="1"/>
  <c r="BN174" i="18"/>
  <c r="BP460" i="5"/>
  <c r="BH347" i="18" s="1"/>
  <c r="BH346" i="18"/>
  <c r="CN116" i="5"/>
  <c r="CF97" i="18" s="1"/>
  <c r="CF94" i="18"/>
  <c r="BU461" i="5"/>
  <c r="BM349" i="18" s="1"/>
  <c r="BL345" i="18"/>
  <c r="BR456" i="5"/>
  <c r="BJ343" i="18" s="1"/>
  <c r="BI339" i="18"/>
  <c r="BL77" i="5"/>
  <c r="BD63" i="18" s="1"/>
  <c r="BD58" i="18"/>
  <c r="CD539" i="5"/>
  <c r="BV388" i="18" s="1"/>
  <c r="BV85" i="18"/>
  <c r="BS355" i="5"/>
  <c r="BK302" i="18"/>
  <c r="CT13" i="5"/>
  <c r="CL6" i="18" s="1"/>
  <c r="CL5" i="18"/>
  <c r="BJ300" i="5"/>
  <c r="BB258" i="18" s="1"/>
  <c r="BB182" i="18"/>
  <c r="BB59" i="5"/>
  <c r="AT45" i="18" s="1"/>
  <c r="AT44" i="18"/>
  <c r="CX538" i="5"/>
  <c r="CP387" i="18" s="1"/>
  <c r="CP55" i="18"/>
  <c r="BY88" i="6"/>
  <c r="BQ639" i="18" s="1"/>
  <c r="BQ638" i="18"/>
  <c r="BP42" i="6"/>
  <c r="BH574" i="18" s="1"/>
  <c r="BH573" i="18"/>
  <c r="AZ1302" i="18"/>
  <c r="AZ728" i="18"/>
  <c r="CT87" i="6"/>
  <c r="CL638" i="18" s="1"/>
  <c r="CK637" i="18"/>
  <c r="BO42" i="6"/>
  <c r="BG574" i="18" s="1"/>
  <c r="BG573" i="18"/>
  <c r="BA25" i="5"/>
  <c r="AS17" i="18" s="1"/>
  <c r="AS16" i="18"/>
  <c r="BH48" i="6"/>
  <c r="AZ578" i="18" s="1"/>
  <c r="BL46" i="6"/>
  <c r="BD577" i="18" s="1"/>
  <c r="BD5" i="18"/>
  <c r="BZ128" i="6"/>
  <c r="CP655" i="18"/>
  <c r="BR1290" i="18"/>
  <c r="BR1261" i="18"/>
  <c r="AZ392" i="5"/>
  <c r="BQ243" i="5"/>
  <c r="BI210" i="18" s="1"/>
  <c r="BI209" i="18"/>
  <c r="BP243" i="5"/>
  <c r="BH210" i="18" s="1"/>
  <c r="BH209" i="18"/>
  <c r="BS251" i="5"/>
  <c r="BK216" i="18" s="1"/>
  <c r="BO208" i="5"/>
  <c r="BG175" i="18" s="1"/>
  <c r="BG174" i="18"/>
  <c r="CU188" i="5"/>
  <c r="CM154" i="18" s="1"/>
  <c r="CM189" i="18"/>
  <c r="BM243" i="5"/>
  <c r="BE210" i="18" s="1"/>
  <c r="BK1290" i="18"/>
  <c r="BK1261" i="18"/>
  <c r="BY208" i="5"/>
  <c r="BQ175" i="18" s="1"/>
  <c r="BQ174" i="18"/>
  <c r="AZ251" i="5"/>
  <c r="AR216" i="18" s="1"/>
  <c r="BJ207" i="5"/>
  <c r="BB174" i="18" s="1"/>
  <c r="CU174" i="5"/>
  <c r="CM140" i="18" s="1"/>
  <c r="CM138" i="18"/>
  <c r="BG380" i="5"/>
  <c r="AY1272" i="18" s="1"/>
  <c r="AU1271" i="18"/>
  <c r="BK392" i="5"/>
  <c r="BK393" i="5" s="1"/>
  <c r="BS255" i="5"/>
  <c r="BK218" i="18" s="1"/>
  <c r="BJ215" i="18"/>
  <c r="BF243" i="5"/>
  <c r="AX210" i="18" s="1"/>
  <c r="AX209" i="18"/>
  <c r="BA519" i="5"/>
  <c r="AS372" i="18"/>
  <c r="BD379" i="5"/>
  <c r="AV1271" i="18" s="1"/>
  <c r="CB208" i="5"/>
  <c r="BT175" i="18" s="1"/>
  <c r="BT174" i="18"/>
  <c r="BL208" i="5"/>
  <c r="BD175" i="18" s="1"/>
  <c r="BD174" i="18"/>
  <c r="BD77" i="5"/>
  <c r="AV63" i="18" s="1"/>
  <c r="AV58" i="18"/>
  <c r="BK77" i="5"/>
  <c r="BC63" i="18" s="1"/>
  <c r="BC58" i="18"/>
  <c r="DG16" i="5"/>
  <c r="CY9" i="18" s="1"/>
  <c r="CN9" i="18"/>
  <c r="CW106" i="5"/>
  <c r="CO87" i="18" s="1"/>
  <c r="CO84" i="18"/>
  <c r="CN108" i="5"/>
  <c r="CF89" i="18" s="1"/>
  <c r="AW89" i="18"/>
  <c r="BE518" i="5"/>
  <c r="AW372" i="18" s="1"/>
  <c r="BL300" i="5"/>
  <c r="BD258" i="18" s="1"/>
  <c r="BD182" i="18"/>
  <c r="BG168" i="5"/>
  <c r="AY134" i="18" s="1"/>
  <c r="AY133" i="18"/>
  <c r="BH486" i="5"/>
  <c r="AZ378" i="18" s="1"/>
  <c r="AZ358" i="18"/>
  <c r="AZ331" i="5"/>
  <c r="AR287" i="18" s="1"/>
  <c r="CP389" i="18"/>
  <c r="CX15" i="26"/>
  <c r="CX13" i="16"/>
  <c r="CQ1210" i="18" s="1"/>
  <c r="CX15" i="27"/>
  <c r="CT106" i="5"/>
  <c r="CL87" i="18" s="1"/>
  <c r="CL84" i="18"/>
  <c r="CW174" i="5"/>
  <c r="CO140" i="18" s="1"/>
  <c r="CO138" i="18"/>
  <c r="BG300" i="5"/>
  <c r="AY182" i="18"/>
  <c r="BG331" i="5"/>
  <c r="AY287" i="18" s="1"/>
  <c r="BF331" i="5"/>
  <c r="AX287" i="18" s="1"/>
  <c r="BO209" i="5"/>
  <c r="BG176" i="18" s="1"/>
  <c r="BG13" i="18"/>
  <c r="H13" i="19"/>
  <c r="BM32" i="18"/>
  <c r="BX243" i="5"/>
  <c r="BP210" i="18" s="1"/>
  <c r="BP209" i="18"/>
  <c r="CB530" i="5"/>
  <c r="P13" i="19"/>
  <c r="BT32" i="18"/>
  <c r="CF636" i="5"/>
  <c r="BX479" i="18" s="1"/>
  <c r="BT479" i="18"/>
  <c r="F13" i="19"/>
  <c r="BL32" i="18"/>
  <c r="BL24" i="5"/>
  <c r="BD518" i="5"/>
  <c r="AV372" i="18" s="1"/>
  <c r="AV32" i="18"/>
  <c r="BI543" i="5"/>
  <c r="BA387" i="18"/>
  <c r="BV209" i="5"/>
  <c r="BN176" i="18" s="1"/>
  <c r="I12" i="19"/>
  <c r="BN13" i="18"/>
  <c r="BZ59" i="5"/>
  <c r="BR45" i="18" s="1"/>
  <c r="BR44" i="18"/>
  <c r="D12" i="19"/>
  <c r="BJ13" i="18"/>
  <c r="CV21" i="5"/>
  <c r="BY543" i="5"/>
  <c r="BQ392" i="18" s="1"/>
  <c r="BQ387" i="18"/>
  <c r="CP1243" i="18"/>
  <c r="CP12" i="18"/>
  <c r="BU354" i="6"/>
  <c r="BM888" i="18" s="1"/>
  <c r="BI887" i="18"/>
  <c r="BA347" i="6"/>
  <c r="AS881" i="18" s="1"/>
  <c r="AS880" i="18"/>
  <c r="BP347" i="6"/>
  <c r="BH881" i="18" s="1"/>
  <c r="BH880" i="18"/>
  <c r="CD348" i="6"/>
  <c r="BV882" i="18" s="1"/>
  <c r="CX353" i="6"/>
  <c r="CP887" i="18" s="1"/>
  <c r="BS887" i="18"/>
  <c r="BH326" i="6"/>
  <c r="AZ860" i="18" s="1"/>
  <c r="CD327" i="6"/>
  <c r="BV861" i="18" s="1"/>
  <c r="BV858" i="18"/>
  <c r="BM347" i="6"/>
  <c r="BE881" i="18" s="1"/>
  <c r="BG76" i="6"/>
  <c r="AY613" i="18" s="1"/>
  <c r="AY612" i="18"/>
  <c r="AZ116" i="6"/>
  <c r="AR689" i="18" s="1"/>
  <c r="AR668" i="18"/>
  <c r="CB94" i="6"/>
  <c r="BT645" i="18" s="1"/>
  <c r="BT644" i="18"/>
  <c r="BG94" i="6"/>
  <c r="AY645" i="18" s="1"/>
  <c r="AY644" i="18"/>
  <c r="BU94" i="6"/>
  <c r="BM645" i="18" s="1"/>
  <c r="BM644" i="18"/>
  <c r="CQ89" i="6"/>
  <c r="CI640" i="18" s="1"/>
  <c r="BK45" i="6"/>
  <c r="BC576" i="18"/>
  <c r="BT42" i="6"/>
  <c r="BL574" i="18" s="1"/>
  <c r="BL573" i="18"/>
  <c r="BC17" i="6"/>
  <c r="AU1245" i="18"/>
  <c r="CS46" i="6"/>
  <c r="CK577" i="18" s="1"/>
  <c r="BL188" i="5"/>
  <c r="BD154" i="18" s="1"/>
  <c r="BD189" i="18"/>
  <c r="BI101" i="6"/>
  <c r="BA654" i="18" s="1"/>
  <c r="BI124" i="6"/>
  <c r="BA693" i="18" s="1"/>
  <c r="BN42" i="6"/>
  <c r="BF574" i="18" s="1"/>
  <c r="BF573" i="18"/>
  <c r="BB67" i="6"/>
  <c r="AT629" i="18" s="1"/>
  <c r="BW13" i="6"/>
  <c r="BO567" i="18" s="1"/>
  <c r="BK566" i="18"/>
  <c r="BV121" i="6"/>
  <c r="BN685" i="18" s="1"/>
  <c r="BJ662" i="18"/>
  <c r="BJ76" i="6"/>
  <c r="BB613" i="18" s="1"/>
  <c r="BB612" i="18"/>
  <c r="AY116" i="6"/>
  <c r="AQ689" i="18" s="1"/>
  <c r="CI668" i="18"/>
  <c r="BX17" i="6"/>
  <c r="BL1245" i="18"/>
  <c r="CV12" i="5"/>
  <c r="CV13" i="5" s="1"/>
  <c r="CN6" i="18" s="1"/>
  <c r="BI5" i="18"/>
  <c r="BE17" i="6"/>
  <c r="AW1245" i="18"/>
  <c r="CW12" i="6"/>
  <c r="CO566" i="18" s="1"/>
  <c r="CN565" i="18"/>
  <c r="CV20" i="7"/>
  <c r="CV21" i="7" s="1"/>
  <c r="BR46" i="7"/>
  <c r="CS167" i="5"/>
  <c r="CK133" i="18" s="1"/>
  <c r="AW133" i="18"/>
  <c r="CR1243" i="18"/>
  <c r="CY12" i="18"/>
  <c r="F30" i="19"/>
  <c r="F904" i="18"/>
  <c r="CF173" i="5"/>
  <c r="BX140" i="18"/>
  <c r="CE169" i="5"/>
  <c r="BW139" i="18"/>
  <c r="CO734" i="18"/>
  <c r="CO1311" i="18"/>
  <c r="BM1314" i="18"/>
  <c r="CP734" i="18"/>
  <c r="CP1311" i="18"/>
  <c r="BL1313" i="18"/>
  <c r="BL733" i="18"/>
  <c r="BM733" i="18"/>
  <c r="BM1313" i="18"/>
  <c r="CN1310" i="18"/>
  <c r="CN732" i="18"/>
  <c r="CW187" i="6"/>
  <c r="CF190" i="6" s="1"/>
  <c r="BX1315" i="18" s="1"/>
  <c r="BL1311" i="18"/>
  <c r="BL734" i="18"/>
  <c r="CO1298" i="18"/>
  <c r="CO724" i="18"/>
  <c r="BV723" i="18"/>
  <c r="BV1297" i="18"/>
  <c r="BL1298" i="18"/>
  <c r="BL724" i="18"/>
  <c r="CO1300" i="18"/>
  <c r="CO726" i="18"/>
  <c r="CX183" i="6"/>
  <c r="CP1308" i="18" s="1"/>
  <c r="CO1306" i="18"/>
  <c r="CN1300" i="18"/>
  <c r="CN726" i="18"/>
  <c r="BL1299" i="18"/>
  <c r="BL725" i="18"/>
  <c r="BM1300" i="18"/>
  <c r="BM726" i="18"/>
  <c r="CP1300" i="18"/>
  <c r="CP726" i="18"/>
  <c r="BU1300" i="18"/>
  <c r="BU726" i="18"/>
  <c r="CN724" i="18"/>
  <c r="CN1298" i="18"/>
  <c r="BL1300" i="18"/>
  <c r="BL726" i="18"/>
  <c r="BM1299" i="18"/>
  <c r="BM725" i="18"/>
  <c r="CP1298" i="18"/>
  <c r="CP724" i="18"/>
  <c r="BU1298" i="18"/>
  <c r="BU724" i="18"/>
  <c r="CN1297" i="18"/>
  <c r="CN723" i="18"/>
  <c r="R920" i="18"/>
  <c r="R918" i="18"/>
  <c r="R916" i="18"/>
  <c r="R914" i="18"/>
  <c r="D920" i="18"/>
  <c r="D918" i="18"/>
  <c r="D914" i="18"/>
  <c r="E920" i="18"/>
  <c r="E918" i="18"/>
  <c r="E914" i="18"/>
  <c r="S920" i="18"/>
  <c r="S918" i="18"/>
  <c r="S916" i="18"/>
  <c r="S914" i="18"/>
  <c r="I915" i="18"/>
  <c r="K915" i="18"/>
  <c r="Q915" i="18"/>
  <c r="P915" i="18"/>
  <c r="CQ21" i="16"/>
  <c r="CQ18" i="16"/>
  <c r="AW421" i="5"/>
  <c r="AW463" i="5" s="1"/>
  <c r="AW439" i="5"/>
  <c r="AW340" i="5"/>
  <c r="AW342" i="5" s="1"/>
  <c r="AW430" i="5"/>
  <c r="AW356" i="5"/>
  <c r="CP31" i="7"/>
  <c r="CQ31" i="7"/>
  <c r="AV359" i="5"/>
  <c r="AV357" i="5"/>
  <c r="CT42" i="6"/>
  <c r="CT42" i="7"/>
  <c r="BT50" i="7"/>
  <c r="BR49" i="7"/>
  <c r="BZ34" i="7"/>
  <c r="CS31" i="7"/>
  <c r="AP342" i="5"/>
  <c r="AP341" i="5" s="1"/>
  <c r="BK57" i="7"/>
  <c r="CV34" i="7"/>
  <c r="BN46" i="7"/>
  <c r="CR54" i="7"/>
  <c r="CR53" i="7" s="1"/>
  <c r="CR41" i="7"/>
  <c r="CR43" i="7" s="1"/>
  <c r="AX31" i="7"/>
  <c r="AL149" i="6"/>
  <c r="AL156" i="6"/>
  <c r="AL161" i="6"/>
  <c r="CU54" i="7"/>
  <c r="CU53" i="7" s="1"/>
  <c r="CU41" i="7"/>
  <c r="AL57" i="7"/>
  <c r="AV342" i="5"/>
  <c r="AO120" i="6"/>
  <c r="CS54" i="7"/>
  <c r="CS53" i="7" s="1"/>
  <c r="CS41" i="7"/>
  <c r="AP49" i="7"/>
  <c r="BM67" i="7"/>
  <c r="BM70" i="7"/>
  <c r="CW34" i="7"/>
  <c r="BY34" i="7"/>
  <c r="BU30" i="7"/>
  <c r="AP421" i="5"/>
  <c r="AP439" i="5"/>
  <c r="AP430" i="5"/>
  <c r="AP340" i="5"/>
  <c r="AP356" i="5"/>
  <c r="AY439" i="5"/>
  <c r="AY430" i="5"/>
  <c r="AY356" i="5"/>
  <c r="AY358" i="5" s="1"/>
  <c r="AY421" i="5"/>
  <c r="AY340" i="5"/>
  <c r="CU37" i="7"/>
  <c r="CU30" i="7" s="1"/>
  <c r="CU31" i="7" s="1"/>
  <c r="BQ57" i="7"/>
  <c r="BM46" i="7"/>
  <c r="BN57" i="7"/>
  <c r="BI68" i="7"/>
  <c r="AK439" i="5"/>
  <c r="AK356" i="5"/>
  <c r="AK358" i="5" s="1"/>
  <c r="AK430" i="5"/>
  <c r="AK340" i="5"/>
  <c r="AK342" i="5" s="1"/>
  <c r="AK421" i="5"/>
  <c r="BE46" i="7"/>
  <c r="BP22" i="7"/>
  <c r="BP23" i="7" s="1"/>
  <c r="BX34" i="7"/>
  <c r="BX37" i="7" s="1"/>
  <c r="BT30" i="7"/>
  <c r="BT31" i="7" s="1"/>
  <c r="BJ67" i="7"/>
  <c r="BJ68" i="7" s="1"/>
  <c r="BJ70" i="7"/>
  <c r="AT149" i="6"/>
  <c r="AT161" i="6"/>
  <c r="AT156" i="6"/>
  <c r="AT157" i="6" s="1"/>
  <c r="AT108" i="6" s="1"/>
  <c r="AX120" i="6" s="1"/>
  <c r="AR358" i="5"/>
  <c r="AR359" i="5" s="1"/>
  <c r="AX357" i="5"/>
  <c r="AP358" i="5"/>
  <c r="AQ342" i="5"/>
  <c r="BE67" i="7"/>
  <c r="BF68" i="7" s="1"/>
  <c r="BE70" i="7"/>
  <c r="AW161" i="6"/>
  <c r="AW149" i="6"/>
  <c r="AW156" i="6"/>
  <c r="AW157" i="6" s="1"/>
  <c r="AW108" i="6" s="1"/>
  <c r="AW120" i="6" s="1"/>
  <c r="BO22" i="7"/>
  <c r="BO23" i="7" s="1"/>
  <c r="AW358" i="5"/>
  <c r="AO364" i="5"/>
  <c r="AQ358" i="5"/>
  <c r="BM57" i="7"/>
  <c r="BT57" i="7"/>
  <c r="CV37" i="7"/>
  <c r="BQ30" i="7"/>
  <c r="BQ31" i="7" s="1"/>
  <c r="BQ46" i="7" s="1"/>
  <c r="AW49" i="7"/>
  <c r="BA49" i="7"/>
  <c r="BS46" i="7"/>
  <c r="CT54" i="7"/>
  <c r="CT53" i="7" s="1"/>
  <c r="CT41" i="7"/>
  <c r="AU340" i="5"/>
  <c r="AU342" i="5" s="1"/>
  <c r="AU356" i="5"/>
  <c r="AU358" i="5" s="1"/>
  <c r="AU421" i="5"/>
  <c r="AU439" i="5"/>
  <c r="AU430" i="5"/>
  <c r="BL71" i="7"/>
  <c r="BJ49" i="7"/>
  <c r="BN49" i="7"/>
  <c r="CO31" i="7"/>
  <c r="BK46" i="7"/>
  <c r="BO57" i="7"/>
  <c r="BH22" i="7"/>
  <c r="CR42" i="7"/>
  <c r="CR42" i="6"/>
  <c r="BR22" i="7"/>
  <c r="BR23" i="7" s="1"/>
  <c r="BG57" i="7"/>
  <c r="BB67" i="7"/>
  <c r="BC68" i="7" s="1"/>
  <c r="BB70" i="7"/>
  <c r="BD71" i="7" s="1"/>
  <c r="BM49" i="7"/>
  <c r="BP50" i="7"/>
  <c r="BQ49" i="7"/>
  <c r="BV37" i="7"/>
  <c r="BV30" i="7" s="1"/>
  <c r="BV31" i="7" s="1"/>
  <c r="AN358" i="5"/>
  <c r="AO359" i="5"/>
  <c r="AL157" i="6"/>
  <c r="AL108" i="6" s="1"/>
  <c r="BU37" i="7"/>
  <c r="CW35" i="7"/>
  <c r="BY35" i="7"/>
  <c r="BF31" i="7"/>
  <c r="BJ31" i="7"/>
  <c r="BW22" i="7"/>
  <c r="BW23" i="7" s="1"/>
  <c r="AR439" i="5"/>
  <c r="AR430" i="5"/>
  <c r="AR340" i="5"/>
  <c r="AR342" i="5" s="1"/>
  <c r="AR421" i="5"/>
  <c r="AR463" i="5" s="1"/>
  <c r="AR356" i="5"/>
  <c r="BN68" i="7"/>
  <c r="BB46" i="7"/>
  <c r="BB22" i="7"/>
  <c r="AW46" i="7"/>
  <c r="AZ22" i="7"/>
  <c r="R6" i="7"/>
  <c r="Q5" i="7"/>
  <c r="BG67" i="7"/>
  <c r="BG70" i="7"/>
  <c r="BS68" i="7"/>
  <c r="CV41" i="7"/>
  <c r="CV54" i="7"/>
  <c r="CV53" i="7" s="1"/>
  <c r="BK23" i="7"/>
  <c r="BS71" i="7"/>
  <c r="BD49" i="7"/>
  <c r="BH49" i="7"/>
  <c r="CU22" i="7"/>
  <c r="AY342" i="5"/>
  <c r="AY341" i="5" s="1"/>
  <c r="AN342" i="5"/>
  <c r="AR120" i="6"/>
  <c r="AQ439" i="5"/>
  <c r="AQ430" i="5"/>
  <c r="AQ356" i="5"/>
  <c r="AQ340" i="5"/>
  <c r="AQ421" i="5"/>
  <c r="AQ463" i="5" s="1"/>
  <c r="BL23" i="7"/>
  <c r="BR67" i="7"/>
  <c r="BR68" i="7" s="1"/>
  <c r="BR70" i="7"/>
  <c r="BR71" i="7" s="1"/>
  <c r="BI57" i="7"/>
  <c r="AM340" i="5"/>
  <c r="AM342" i="5" s="1"/>
  <c r="AM356" i="5"/>
  <c r="AM358" i="5" s="1"/>
  <c r="AM421" i="5"/>
  <c r="AM439" i="5"/>
  <c r="AM430" i="5"/>
  <c r="AT57" i="7"/>
  <c r="CE34" i="7"/>
  <c r="CA30" i="7"/>
  <c r="CA31" i="7" s="1"/>
  <c r="BN71" i="7"/>
  <c r="AZ57" i="7"/>
  <c r="BI166" i="6"/>
  <c r="BA716" i="18" s="1"/>
  <c r="BI155" i="6"/>
  <c r="BA672" i="18" s="1"/>
  <c r="BF226" i="6"/>
  <c r="BF231" i="6" s="1"/>
  <c r="BF221" i="6"/>
  <c r="CN273" i="6"/>
  <c r="BL354" i="6"/>
  <c r="BD888" i="18" s="1"/>
  <c r="BZ326" i="6"/>
  <c r="BR860" i="18" s="1"/>
  <c r="CD328" i="6"/>
  <c r="BV862" i="18" s="1"/>
  <c r="CD326" i="6"/>
  <c r="BV860" i="18" s="1"/>
  <c r="BZ328" i="6"/>
  <c r="BR862" i="18" s="1"/>
  <c r="BU328" i="6"/>
  <c r="BM862" i="18" s="1"/>
  <c r="BU326" i="6"/>
  <c r="BM860" i="18" s="1"/>
  <c r="BF316" i="6"/>
  <c r="AX849" i="18" s="1"/>
  <c r="BF124" i="6"/>
  <c r="AX693" i="18" s="1"/>
  <c r="BB100" i="6"/>
  <c r="BJ100" i="6"/>
  <c r="BB653" i="18" s="1"/>
  <c r="AO336" i="6"/>
  <c r="CO335" i="6"/>
  <c r="AO366" i="6"/>
  <c r="AO367" i="6" s="1"/>
  <c r="CO76" i="6"/>
  <c r="AQ335" i="6"/>
  <c r="AQ70" i="6" s="1"/>
  <c r="AQ67" i="6"/>
  <c r="AQ66" i="6"/>
  <c r="AQ64" i="6"/>
  <c r="AQ65" i="6" s="1"/>
  <c r="O5" i="6"/>
  <c r="P6" i="6"/>
  <c r="BU375" i="5"/>
  <c r="BU19" i="6"/>
  <c r="BJ387" i="5"/>
  <c r="BB1279" i="18" s="1"/>
  <c r="BV326" i="6"/>
  <c r="BN860" i="18" s="1"/>
  <c r="BV328" i="6"/>
  <c r="BN862" i="18" s="1"/>
  <c r="CR353" i="6"/>
  <c r="CJ887" i="18" s="1"/>
  <c r="BA359" i="6"/>
  <c r="AS892" i="18" s="1"/>
  <c r="BA354" i="6"/>
  <c r="AS888" i="18" s="1"/>
  <c r="AL368" i="6"/>
  <c r="AL369" i="6" s="1"/>
  <c r="AL360" i="6"/>
  <c r="AK368" i="6"/>
  <c r="AK360" i="6"/>
  <c r="CR327" i="6"/>
  <c r="CJ861" i="18" s="1"/>
  <c r="CR325" i="6"/>
  <c r="CJ859" i="18" s="1"/>
  <c r="CS325" i="6"/>
  <c r="CK859" i="18" s="1"/>
  <c r="AZ330" i="6"/>
  <c r="BD330" i="6" s="1"/>
  <c r="AV331" i="6"/>
  <c r="BW128" i="6"/>
  <c r="CQ88" i="6"/>
  <c r="CI639" i="18" s="1"/>
  <c r="AT57" i="6"/>
  <c r="AT58" i="6" s="1"/>
  <c r="AT60" i="6"/>
  <c r="AT59" i="6"/>
  <c r="AX57" i="6"/>
  <c r="BC121" i="6"/>
  <c r="AU685" i="18" s="1"/>
  <c r="BC110" i="6"/>
  <c r="AU663" i="18" s="1"/>
  <c r="AP366" i="6"/>
  <c r="AP367" i="6" s="1"/>
  <c r="AP336" i="6"/>
  <c r="BM16" i="6"/>
  <c r="BE1245" i="18" s="1"/>
  <c r="BM19" i="6"/>
  <c r="BM375" i="5"/>
  <c r="BI13" i="6"/>
  <c r="BA567" i="18" s="1"/>
  <c r="BI18" i="6"/>
  <c r="BA38" i="6"/>
  <c r="AS593" i="18" s="1"/>
  <c r="BA13" i="5"/>
  <c r="AS6" i="18" s="1"/>
  <c r="AT65" i="6"/>
  <c r="AQ58" i="6"/>
  <c r="AZ18" i="6"/>
  <c r="AZ13" i="6"/>
  <c r="AR567" i="18" s="1"/>
  <c r="BT404" i="5"/>
  <c r="BT400" i="5"/>
  <c r="BL1286" i="18" s="1"/>
  <c r="AX335" i="6"/>
  <c r="AX67" i="6"/>
  <c r="AX68" i="6" s="1"/>
  <c r="AX70" i="6"/>
  <c r="AX66" i="6"/>
  <c r="AX64" i="6"/>
  <c r="AX65" i="6" s="1"/>
  <c r="BL18" i="6"/>
  <c r="BL13" i="6"/>
  <c r="BD567" i="18" s="1"/>
  <c r="CR249" i="5"/>
  <c r="CJ214" i="18" s="1"/>
  <c r="BA250" i="5"/>
  <c r="AS215" i="18" s="1"/>
  <c r="BB392" i="5"/>
  <c r="BF379" i="5"/>
  <c r="AX1271" i="18" s="1"/>
  <c r="CB379" i="5"/>
  <c r="BM13" i="5"/>
  <c r="BE6" i="18" s="1"/>
  <c r="CR12" i="5"/>
  <c r="CJ5" i="18" s="1"/>
  <c r="BF368" i="6"/>
  <c r="AX607" i="18" s="1"/>
  <c r="BF360" i="6"/>
  <c r="AX893" i="18" s="1"/>
  <c r="CV346" i="6"/>
  <c r="CN880" i="18" s="1"/>
  <c r="CV345" i="6"/>
  <c r="CN879" i="18" s="1"/>
  <c r="AZ359" i="6"/>
  <c r="AR892" i="18" s="1"/>
  <c r="AZ354" i="6"/>
  <c r="AR888" i="18" s="1"/>
  <c r="BM326" i="6"/>
  <c r="BE860" i="18" s="1"/>
  <c r="BM328" i="6"/>
  <c r="BE862" i="18" s="1"/>
  <c r="CF328" i="6"/>
  <c r="BX862" i="18" s="1"/>
  <c r="CF326" i="6"/>
  <c r="BX860" i="18" s="1"/>
  <c r="CB328" i="6"/>
  <c r="BT862" i="18" s="1"/>
  <c r="CB326" i="6"/>
  <c r="BT860" i="18" s="1"/>
  <c r="BS354" i="6"/>
  <c r="BK888" i="18" s="1"/>
  <c r="CB354" i="6"/>
  <c r="BT888" i="18" s="1"/>
  <c r="BE360" i="6"/>
  <c r="AW893" i="18" s="1"/>
  <c r="BE368" i="6"/>
  <c r="AW607" i="18" s="1"/>
  <c r="CN366" i="6"/>
  <c r="CN337" i="6"/>
  <c r="CN330" i="6"/>
  <c r="CN331" i="6" s="1"/>
  <c r="CN332" i="6" s="1"/>
  <c r="CN336" i="6"/>
  <c r="BN328" i="6"/>
  <c r="BF862" i="18" s="1"/>
  <c r="BN326" i="6"/>
  <c r="BF860" i="18" s="1"/>
  <c r="BR326" i="6"/>
  <c r="BJ860" i="18" s="1"/>
  <c r="CO328" i="6"/>
  <c r="CO326" i="6"/>
  <c r="AY139" i="6"/>
  <c r="CE190" i="6"/>
  <c r="BW1315" i="18" s="1"/>
  <c r="CA190" i="6"/>
  <c r="BS1315" i="18" s="1"/>
  <c r="BW190" i="6"/>
  <c r="BO1315" i="18" s="1"/>
  <c r="BX190" i="6"/>
  <c r="BP1315" i="18" s="1"/>
  <c r="BV190" i="6"/>
  <c r="BN1315" i="18" s="1"/>
  <c r="BZ190" i="6"/>
  <c r="BR1315" i="18" s="1"/>
  <c r="CT325" i="6"/>
  <c r="CL859" i="18" s="1"/>
  <c r="CT327" i="6"/>
  <c r="CL861" i="18" s="1"/>
  <c r="BP116" i="6"/>
  <c r="BH689" i="18" s="1"/>
  <c r="BO128" i="6"/>
  <c r="CP110" i="6"/>
  <c r="CP121" i="6"/>
  <c r="BH88" i="6"/>
  <c r="AZ639" i="18" s="1"/>
  <c r="BL88" i="6"/>
  <c r="BD639" i="18" s="1"/>
  <c r="AZ139" i="6"/>
  <c r="CT93" i="6"/>
  <c r="CL644" i="18" s="1"/>
  <c r="CT96" i="6"/>
  <c r="CL647" i="18" s="1"/>
  <c r="CM166" i="6"/>
  <c r="CM167" i="6" s="1"/>
  <c r="BG155" i="6"/>
  <c r="AY672" i="18" s="1"/>
  <c r="BG166" i="6"/>
  <c r="AY716" i="18" s="1"/>
  <c r="BB16" i="6"/>
  <c r="BF17" i="6" s="1"/>
  <c r="BB19" i="6"/>
  <c r="BB375" i="5"/>
  <c r="AR65" i="6"/>
  <c r="CS12" i="6"/>
  <c r="CK566" i="18" s="1"/>
  <c r="CS374" i="5"/>
  <c r="CS387" i="5" s="1"/>
  <c r="CK1279" i="18" s="1"/>
  <c r="CS446" i="5"/>
  <c r="CK324" i="18" s="1"/>
  <c r="BB64" i="6"/>
  <c r="BW19" i="6"/>
  <c r="BW375" i="5"/>
  <c r="BZ121" i="6"/>
  <c r="BR685" i="18" s="1"/>
  <c r="BZ110" i="6"/>
  <c r="BR663" i="18" s="1"/>
  <c r="BZ135" i="6"/>
  <c r="BZ136" i="6" s="1"/>
  <c r="AX76" i="6"/>
  <c r="BL22" i="6"/>
  <c r="BY18" i="6"/>
  <c r="BY13" i="6"/>
  <c r="BQ567" i="18" s="1"/>
  <c r="AT366" i="6"/>
  <c r="AT367" i="6" s="1"/>
  <c r="AT336" i="6"/>
  <c r="BX18" i="6"/>
  <c r="BX13" i="6"/>
  <c r="BP567" i="18" s="1"/>
  <c r="BX375" i="5"/>
  <c r="BX19" i="6"/>
  <c r="BZ13" i="6"/>
  <c r="BR567" i="18" s="1"/>
  <c r="BZ18" i="6"/>
  <c r="BF18" i="6"/>
  <c r="BF13" i="6"/>
  <c r="AX567" i="18" s="1"/>
  <c r="BQ18" i="6"/>
  <c r="BQ13" i="6"/>
  <c r="BI567" i="18" s="1"/>
  <c r="BH13" i="6"/>
  <c r="AZ567" i="18" s="1"/>
  <c r="BB387" i="5"/>
  <c r="AT1279" i="18" s="1"/>
  <c r="BX392" i="5"/>
  <c r="CR222" i="5"/>
  <c r="BZ400" i="5"/>
  <c r="BR1286" i="18" s="1"/>
  <c r="BJ400" i="5"/>
  <c r="BB1286" i="18" s="1"/>
  <c r="BB400" i="5"/>
  <c r="AT1286" i="18" s="1"/>
  <c r="BE13" i="5"/>
  <c r="AW6" i="18" s="1"/>
  <c r="BA331" i="5"/>
  <c r="AS287" i="18" s="1"/>
  <c r="CM366" i="6"/>
  <c r="CM330" i="6"/>
  <c r="CC353" i="6"/>
  <c r="BU887" i="18" s="1"/>
  <c r="CY344" i="6"/>
  <c r="CQ878" i="18" s="1"/>
  <c r="CC348" i="6"/>
  <c r="BU882" i="18" s="1"/>
  <c r="CC345" i="6"/>
  <c r="BU879" i="18" s="1"/>
  <c r="CU345" i="6"/>
  <c r="CM879" i="18" s="1"/>
  <c r="CU346" i="6"/>
  <c r="CM880" i="18" s="1"/>
  <c r="CR346" i="6"/>
  <c r="CR345" i="6"/>
  <c r="CJ879" i="18" s="1"/>
  <c r="BU347" i="6"/>
  <c r="BM881" i="18" s="1"/>
  <c r="BP328" i="6"/>
  <c r="BH862" i="18" s="1"/>
  <c r="BP326" i="6"/>
  <c r="BH860" i="18" s="1"/>
  <c r="CO359" i="6"/>
  <c r="CO354" i="6"/>
  <c r="CE353" i="6"/>
  <c r="BW887" i="18" s="1"/>
  <c r="CE348" i="6"/>
  <c r="BW882" i="18" s="1"/>
  <c r="CE345" i="6"/>
  <c r="BW879" i="18" s="1"/>
  <c r="AK367" i="6"/>
  <c r="BL326" i="6"/>
  <c r="BD860" i="18" s="1"/>
  <c r="BL328" i="6"/>
  <c r="BD862" i="18" s="1"/>
  <c r="CW345" i="6"/>
  <c r="CO879" i="18" s="1"/>
  <c r="CS327" i="6"/>
  <c r="CK861" i="18" s="1"/>
  <c r="AQ333" i="6"/>
  <c r="AQ332" i="6"/>
  <c r="BT326" i="6"/>
  <c r="BL860" i="18" s="1"/>
  <c r="BT182" i="6"/>
  <c r="BL1307" i="18" s="1"/>
  <c r="BT183" i="6"/>
  <c r="BL1308" i="18" s="1"/>
  <c r="BU183" i="6"/>
  <c r="BM1308" i="18" s="1"/>
  <c r="BG326" i="6"/>
  <c r="AY860" i="18" s="1"/>
  <c r="BG328" i="6"/>
  <c r="AY862" i="18" s="1"/>
  <c r="CT181" i="6"/>
  <c r="CT183" i="6" s="1"/>
  <c r="CT171" i="6"/>
  <c r="AP120" i="6"/>
  <c r="AT120" i="6"/>
  <c r="CP224" i="6"/>
  <c r="CD190" i="6"/>
  <c r="BV1315" i="18" s="1"/>
  <c r="CB128" i="6"/>
  <c r="CX327" i="6"/>
  <c r="CP861" i="18" s="1"/>
  <c r="CX325" i="6"/>
  <c r="CP859" i="18" s="1"/>
  <c r="BI326" i="6"/>
  <c r="BA860" i="18" s="1"/>
  <c r="BI328" i="6"/>
  <c r="BA862" i="18" s="1"/>
  <c r="BA89" i="6"/>
  <c r="AS640" i="18" s="1"/>
  <c r="AH159" i="6"/>
  <c r="AH168" i="6"/>
  <c r="BG124" i="6"/>
  <c r="AY693" i="18" s="1"/>
  <c r="BK100" i="6"/>
  <c r="BC653" i="18" s="1"/>
  <c r="BC100" i="6"/>
  <c r="BG316" i="6"/>
  <c r="AY849" i="18" s="1"/>
  <c r="BG101" i="6"/>
  <c r="AY654" i="18" s="1"/>
  <c r="BH126" i="6"/>
  <c r="AZ695" i="18" s="1"/>
  <c r="BI77" i="6"/>
  <c r="BA614" i="18" s="1"/>
  <c r="BD166" i="6"/>
  <c r="AV716" i="18" s="1"/>
  <c r="BD155" i="6"/>
  <c r="AV672" i="18" s="1"/>
  <c r="BX182" i="6"/>
  <c r="BP1307" i="18" s="1"/>
  <c r="BK88" i="6"/>
  <c r="BC639" i="18" s="1"/>
  <c r="BT45" i="6"/>
  <c r="BC166" i="6"/>
  <c r="AU716" i="18" s="1"/>
  <c r="BC155" i="6"/>
  <c r="AU672" i="18" s="1"/>
  <c r="CU93" i="6"/>
  <c r="CU96" i="6"/>
  <c r="CM647" i="18" s="1"/>
  <c r="CS75" i="6"/>
  <c r="CK612" i="18" s="1"/>
  <c r="CS77" i="6"/>
  <c r="CK614" i="18" s="1"/>
  <c r="CS78" i="6"/>
  <c r="CX93" i="6"/>
  <c r="CP644" i="18" s="1"/>
  <c r="AV65" i="6"/>
  <c r="CU183" i="6"/>
  <c r="BS48" i="6"/>
  <c r="BK578" i="18" s="1"/>
  <c r="BH356" i="6"/>
  <c r="CS356" i="6" s="1"/>
  <c r="BH37" i="6"/>
  <c r="BH272" i="5"/>
  <c r="BH38" i="6"/>
  <c r="AZ593" i="18" s="1"/>
  <c r="BL35" i="6"/>
  <c r="AT19" i="6"/>
  <c r="AT375" i="5"/>
  <c r="AT16" i="6"/>
  <c r="BY94" i="6"/>
  <c r="BQ645" i="18" s="1"/>
  <c r="BD76" i="6"/>
  <c r="AV613" i="18" s="1"/>
  <c r="CN70" i="6"/>
  <c r="CN67" i="6"/>
  <c r="BO13" i="6"/>
  <c r="BG567" i="18" s="1"/>
  <c r="BQ404" i="5"/>
  <c r="BU88" i="6"/>
  <c r="BM639" i="18" s="1"/>
  <c r="BO110" i="6"/>
  <c r="BG663" i="18" s="1"/>
  <c r="BO121" i="6"/>
  <c r="BG685" i="18" s="1"/>
  <c r="BB66" i="6"/>
  <c r="AT627" i="18" s="1"/>
  <c r="BR19" i="6"/>
  <c r="BR16" i="6"/>
  <c r="BJ1245" i="18" s="1"/>
  <c r="BR375" i="5"/>
  <c r="BK13" i="6"/>
  <c r="BC567" i="18" s="1"/>
  <c r="CS316" i="6"/>
  <c r="CK849" i="18" s="1"/>
  <c r="CS124" i="6"/>
  <c r="CK693" i="18" s="1"/>
  <c r="CR115" i="6"/>
  <c r="CR109" i="6"/>
  <c r="CJ662" i="18" s="1"/>
  <c r="CR103" i="6"/>
  <c r="CJ656" i="18" s="1"/>
  <c r="CR414" i="5"/>
  <c r="CJ307" i="18" s="1"/>
  <c r="BM18" i="6"/>
  <c r="BM13" i="6"/>
  <c r="BE567" i="18" s="1"/>
  <c r="BD18" i="6"/>
  <c r="BD13" i="6"/>
  <c r="AV567" i="18" s="1"/>
  <c r="CV41" i="6"/>
  <c r="CN573" i="18" s="1"/>
  <c r="BV88" i="6"/>
  <c r="BN639" i="18" s="1"/>
  <c r="AX17" i="6"/>
  <c r="CF347" i="6"/>
  <c r="BX881" i="18" s="1"/>
  <c r="CB347" i="6"/>
  <c r="BT881" i="18" s="1"/>
  <c r="CQ359" i="6"/>
  <c r="CI892" i="18" s="1"/>
  <c r="CQ354" i="6"/>
  <c r="CI888" i="18" s="1"/>
  <c r="BT110" i="6"/>
  <c r="BL663" i="18" s="1"/>
  <c r="BT121" i="6"/>
  <c r="BL685" i="18" s="1"/>
  <c r="BX121" i="6"/>
  <c r="BP685" i="18" s="1"/>
  <c r="BX135" i="6"/>
  <c r="BX136" i="6" s="1"/>
  <c r="BX110" i="6"/>
  <c r="BP663" i="18" s="1"/>
  <c r="CO121" i="6"/>
  <c r="BG16" i="6"/>
  <c r="AY1245" i="18" s="1"/>
  <c r="BG19" i="6"/>
  <c r="BG375" i="5"/>
  <c r="AV60" i="6"/>
  <c r="AV61" i="6" s="1"/>
  <c r="AV59" i="6"/>
  <c r="AV57" i="6"/>
  <c r="AV58" i="6" s="1"/>
  <c r="CQ241" i="6"/>
  <c r="CI766" i="18" s="1"/>
  <c r="CQ12" i="6"/>
  <c r="CI566" i="18" s="1"/>
  <c r="CQ374" i="5"/>
  <c r="CQ446" i="5"/>
  <c r="CI324" i="18" s="1"/>
  <c r="BR13" i="6"/>
  <c r="BJ567" i="18" s="1"/>
  <c r="BR18" i="6"/>
  <c r="BM45" i="6"/>
  <c r="BF347" i="6"/>
  <c r="AX881" i="18" s="1"/>
  <c r="BJ347" i="6"/>
  <c r="BB881" i="18" s="1"/>
  <c r="BD116" i="6"/>
  <c r="AV689" i="18" s="1"/>
  <c r="CV325" i="6"/>
  <c r="CN859" i="18" s="1"/>
  <c r="CV327" i="6"/>
  <c r="CN861" i="18" s="1"/>
  <c r="BR121" i="6"/>
  <c r="BJ685" i="18" s="1"/>
  <c r="BR110" i="6"/>
  <c r="BJ663" i="18" s="1"/>
  <c r="BW354" i="6"/>
  <c r="BO888" i="18" s="1"/>
  <c r="CW353" i="6"/>
  <c r="CO887" i="18" s="1"/>
  <c r="DD351" i="6"/>
  <c r="BK354" i="6"/>
  <c r="BC888" i="18" s="1"/>
  <c r="AU331" i="6"/>
  <c r="AY330" i="6"/>
  <c r="AU216" i="6"/>
  <c r="BY332" i="6"/>
  <c r="BY333" i="6"/>
  <c r="CC331" i="6"/>
  <c r="BN215" i="6"/>
  <c r="BJ220" i="6"/>
  <c r="AY219" i="6"/>
  <c r="BC214" i="6"/>
  <c r="AY29" i="6"/>
  <c r="BL110" i="6"/>
  <c r="BD663" i="18" s="1"/>
  <c r="BL121" i="6"/>
  <c r="BD685" i="18" s="1"/>
  <c r="CY324" i="6"/>
  <c r="CQ858" i="18" s="1"/>
  <c r="CC327" i="6"/>
  <c r="BU861" i="18" s="1"/>
  <c r="AZ121" i="6"/>
  <c r="AR685" i="18" s="1"/>
  <c r="AZ110" i="6"/>
  <c r="AR663" i="18" s="1"/>
  <c r="BB139" i="6"/>
  <c r="CN78" i="6"/>
  <c r="CN75" i="6"/>
  <c r="CN77" i="6"/>
  <c r="CN60" i="6"/>
  <c r="CN61" i="6" s="1"/>
  <c r="CW93" i="6"/>
  <c r="CO644" i="18" s="1"/>
  <c r="AN72" i="6"/>
  <c r="AN71" i="6"/>
  <c r="BF121" i="6"/>
  <c r="AX685" i="18" s="1"/>
  <c r="BF110" i="6"/>
  <c r="AX663" i="18" s="1"/>
  <c r="BM88" i="6"/>
  <c r="BE639" i="18" s="1"/>
  <c r="BL176" i="6"/>
  <c r="BL114" i="6"/>
  <c r="BD667" i="18" s="1"/>
  <c r="BL125" i="6"/>
  <c r="BL108" i="6"/>
  <c r="BD661" i="18" s="1"/>
  <c r="BL291" i="6"/>
  <c r="BD811" i="18" s="1"/>
  <c r="BF155" i="6"/>
  <c r="AX672" i="18" s="1"/>
  <c r="BF166" i="6"/>
  <c r="AX716" i="18" s="1"/>
  <c r="AS60" i="6"/>
  <c r="AS61" i="6" s="1"/>
  <c r="AS59" i="6"/>
  <c r="AS57" i="6"/>
  <c r="AS58" i="6" s="1"/>
  <c r="CT89" i="6"/>
  <c r="CL640" i="18" s="1"/>
  <c r="BI48" i="6"/>
  <c r="BA578" i="18" s="1"/>
  <c r="BN22" i="6"/>
  <c r="AV279" i="5"/>
  <c r="BF355" i="5"/>
  <c r="AU203" i="5"/>
  <c r="CS345" i="6"/>
  <c r="CK879" i="18" s="1"/>
  <c r="CS346" i="6"/>
  <c r="CT353" i="6"/>
  <c r="CL887" i="18" s="1"/>
  <c r="BM354" i="6"/>
  <c r="BE888" i="18" s="1"/>
  <c r="BI354" i="6"/>
  <c r="BA888" i="18" s="1"/>
  <c r="CC347" i="6"/>
  <c r="BU881" i="18" s="1"/>
  <c r="BY347" i="6"/>
  <c r="BQ881" i="18" s="1"/>
  <c r="CR356" i="6"/>
  <c r="CR357" i="6" s="1"/>
  <c r="BP354" i="6"/>
  <c r="BH888" i="18" s="1"/>
  <c r="CA347" i="6"/>
  <c r="BS881" i="18" s="1"/>
  <c r="CE347" i="6"/>
  <c r="BW881" i="18" s="1"/>
  <c r="BW328" i="6"/>
  <c r="BO862" i="18" s="1"/>
  <c r="BW326" i="6"/>
  <c r="BO860" i="18" s="1"/>
  <c r="AZ328" i="6"/>
  <c r="AR862" i="18" s="1"/>
  <c r="AZ326" i="6"/>
  <c r="AR860" i="18" s="1"/>
  <c r="BD328" i="6"/>
  <c r="AV862" i="18" s="1"/>
  <c r="BD326" i="6"/>
  <c r="AV860" i="18" s="1"/>
  <c r="CF354" i="6"/>
  <c r="BX888" i="18" s="1"/>
  <c r="AS368" i="6"/>
  <c r="AS369" i="6" s="1"/>
  <c r="AS360" i="6"/>
  <c r="CP328" i="6"/>
  <c r="CP326" i="6"/>
  <c r="CR247" i="6"/>
  <c r="CR235" i="6"/>
  <c r="CS234" i="6"/>
  <c r="BA221" i="6"/>
  <c r="BA226" i="6"/>
  <c r="BA231" i="6" s="1"/>
  <c r="BC220" i="6"/>
  <c r="BC216" i="6"/>
  <c r="BG215" i="6"/>
  <c r="BC328" i="6"/>
  <c r="AU862" i="18" s="1"/>
  <c r="BC326" i="6"/>
  <c r="AU860" i="18" s="1"/>
  <c r="CX182" i="6"/>
  <c r="CP1307" i="18" s="1"/>
  <c r="BA139" i="6"/>
  <c r="DC151" i="6"/>
  <c r="DB140" i="6"/>
  <c r="DB141" i="6" s="1"/>
  <c r="DB152" i="6"/>
  <c r="BQ326" i="6"/>
  <c r="BI860" i="18" s="1"/>
  <c r="BQ328" i="6"/>
  <c r="BI862" i="18" s="1"/>
  <c r="BO76" i="6"/>
  <c r="BG613" i="18" s="1"/>
  <c r="BG121" i="6"/>
  <c r="AY685" i="18" s="1"/>
  <c r="BG110" i="6"/>
  <c r="AY663" i="18" s="1"/>
  <c r="CU75" i="6"/>
  <c r="CM612" i="18" s="1"/>
  <c r="CU78" i="6"/>
  <c r="CU77" i="6"/>
  <c r="CM614" i="18" s="1"/>
  <c r="BU110" i="6"/>
  <c r="BM663" i="18" s="1"/>
  <c r="BU135" i="6"/>
  <c r="BU136" i="6" s="1"/>
  <c r="BU121" i="6"/>
  <c r="BM685" i="18" s="1"/>
  <c r="BI283" i="6"/>
  <c r="BA805" i="18" s="1"/>
  <c r="BA283" i="6"/>
  <c r="AS805" i="18" s="1"/>
  <c r="AU76" i="6"/>
  <c r="BO94" i="6"/>
  <c r="BG645" i="18" s="1"/>
  <c r="BN356" i="6"/>
  <c r="BN37" i="6"/>
  <c r="BR35" i="6"/>
  <c r="BN272" i="5"/>
  <c r="BN38" i="6"/>
  <c r="BF593" i="18" s="1"/>
  <c r="AZ76" i="6"/>
  <c r="AR613" i="18" s="1"/>
  <c r="CD174" i="6"/>
  <c r="CD171" i="6"/>
  <c r="CD172" i="6"/>
  <c r="CE170" i="6"/>
  <c r="CS93" i="6"/>
  <c r="CK644" i="18" s="1"/>
  <c r="CS96" i="6"/>
  <c r="CK647" i="18" s="1"/>
  <c r="CQ78" i="6"/>
  <c r="CQ77" i="6"/>
  <c r="CI614" i="18" s="1"/>
  <c r="CQ75" i="6"/>
  <c r="BJ166" i="6"/>
  <c r="BB716" i="18" s="1"/>
  <c r="BJ155" i="6"/>
  <c r="BB672" i="18" s="1"/>
  <c r="CM165" i="6"/>
  <c r="CM364" i="6" s="1"/>
  <c r="BE166" i="6"/>
  <c r="AW716" i="18" s="1"/>
  <c r="BE155" i="6"/>
  <c r="AW672" i="18" s="1"/>
  <c r="CS154" i="6"/>
  <c r="CK671" i="18" s="1"/>
  <c r="CU171" i="6"/>
  <c r="BN121" i="6"/>
  <c r="BF685" i="18" s="1"/>
  <c r="BN110" i="6"/>
  <c r="BF663" i="18" s="1"/>
  <c r="BB283" i="6"/>
  <c r="BJ283" i="6"/>
  <c r="BB805" i="18" s="1"/>
  <c r="BS19" i="6"/>
  <c r="BS16" i="6"/>
  <c r="BK1245" i="18" s="1"/>
  <c r="BS375" i="5"/>
  <c r="AW26" i="6"/>
  <c r="AW27" i="6" s="1"/>
  <c r="AW63" i="6"/>
  <c r="AW277" i="5"/>
  <c r="CU12" i="6"/>
  <c r="CM566" i="18" s="1"/>
  <c r="CU446" i="5"/>
  <c r="CM324" i="18" s="1"/>
  <c r="CU374" i="5"/>
  <c r="BI291" i="6"/>
  <c r="BA811" i="18" s="1"/>
  <c r="BI176" i="6"/>
  <c r="BI114" i="6"/>
  <c r="BA667" i="18" s="1"/>
  <c r="BI125" i="6"/>
  <c r="BI108" i="6"/>
  <c r="BA661" i="18" s="1"/>
  <c r="AO70" i="6"/>
  <c r="CN155" i="6"/>
  <c r="CN166" i="6"/>
  <c r="AR72" i="6"/>
  <c r="AR71" i="6"/>
  <c r="CA128" i="6"/>
  <c r="BX88" i="6"/>
  <c r="BP639" i="18" s="1"/>
  <c r="BC45" i="6"/>
  <c r="CA13" i="6"/>
  <c r="BS567" i="18" s="1"/>
  <c r="CA18" i="6"/>
  <c r="BC18" i="6"/>
  <c r="BC13" i="6"/>
  <c r="AU567" i="18" s="1"/>
  <c r="CS115" i="6"/>
  <c r="BB121" i="6"/>
  <c r="AT685" i="18" s="1"/>
  <c r="BB110" i="6"/>
  <c r="AT663" i="18" s="1"/>
  <c r="BE94" i="6"/>
  <c r="AW645" i="18" s="1"/>
  <c r="BF76" i="6"/>
  <c r="AX613" i="18" s="1"/>
  <c r="AS63" i="6"/>
  <c r="AS26" i="6"/>
  <c r="AS27" i="6" s="1"/>
  <c r="AS277" i="5"/>
  <c r="BB13" i="6"/>
  <c r="AT567" i="18" s="1"/>
  <c r="BK356" i="6"/>
  <c r="BK357" i="6" s="1"/>
  <c r="BK38" i="6"/>
  <c r="BC593" i="18" s="1"/>
  <c r="BO35" i="6"/>
  <c r="BK37" i="6"/>
  <c r="BK272" i="5"/>
  <c r="BT13" i="6"/>
  <c r="BL567" i="18" s="1"/>
  <c r="BT18" i="6"/>
  <c r="BN13" i="6"/>
  <c r="BF567" i="18" s="1"/>
  <c r="BN18" i="6"/>
  <c r="BP16" i="6"/>
  <c r="BH1245" i="18" s="1"/>
  <c r="BP375" i="5"/>
  <c r="BP19" i="6"/>
  <c r="BP13" i="6"/>
  <c r="BH567" i="18" s="1"/>
  <c r="BP76" i="6"/>
  <c r="BH613" i="18" s="1"/>
  <c r="CU46" i="6"/>
  <c r="CM577" i="18" s="1"/>
  <c r="CN354" i="6"/>
  <c r="CN359" i="6"/>
  <c r="AZ219" i="6"/>
  <c r="BD214" i="6"/>
  <c r="AZ29" i="6"/>
  <c r="BD110" i="6"/>
  <c r="AV663" i="18" s="1"/>
  <c r="BD121" i="6"/>
  <c r="AV685" i="18" s="1"/>
  <c r="BA328" i="6"/>
  <c r="AS862" i="18" s="1"/>
  <c r="BA326" i="6"/>
  <c r="AS860" i="18" s="1"/>
  <c r="AR332" i="6"/>
  <c r="AR333" i="6"/>
  <c r="BW135" i="6"/>
  <c r="BW136" i="6" s="1"/>
  <c r="BW110" i="6"/>
  <c r="BO663" i="18" s="1"/>
  <c r="BW121" i="6"/>
  <c r="BO685" i="18" s="1"/>
  <c r="CR96" i="6"/>
  <c r="CJ647" i="18" s="1"/>
  <c r="CR93" i="6"/>
  <c r="CW109" i="6"/>
  <c r="CO662" i="18" s="1"/>
  <c r="BU128" i="6"/>
  <c r="CW103" i="6"/>
  <c r="CO656" i="18" s="1"/>
  <c r="CW115" i="6"/>
  <c r="CW414" i="5"/>
  <c r="CO307" i="18" s="1"/>
  <c r="BV128" i="6"/>
  <c r="CW259" i="5"/>
  <c r="BK19" i="6"/>
  <c r="BK16" i="6"/>
  <c r="BC1245" i="18" s="1"/>
  <c r="BK375" i="5"/>
  <c r="BT22" i="6"/>
  <c r="AT71" i="6"/>
  <c r="BF330" i="6"/>
  <c r="BB335" i="6"/>
  <c r="AT869" i="18" s="1"/>
  <c r="AO333" i="6"/>
  <c r="AO332" i="6"/>
  <c r="AV366" i="6"/>
  <c r="AV367" i="6" s="1"/>
  <c r="AV336" i="6"/>
  <c r="AV70" i="6"/>
  <c r="BN166" i="6"/>
  <c r="BF716" i="18" s="1"/>
  <c r="BN155" i="6"/>
  <c r="BF672" i="18" s="1"/>
  <c r="BX387" i="5"/>
  <c r="BP1279" i="18" s="1"/>
  <c r="BX393" i="5"/>
  <c r="AR279" i="5"/>
  <c r="BJ379" i="5"/>
  <c r="BL379" i="5"/>
  <c r="BD1271" i="18" s="1"/>
  <c r="BL331" i="5"/>
  <c r="BD287" i="18" s="1"/>
  <c r="CT346" i="6"/>
  <c r="CT345" i="6"/>
  <c r="CL879" i="18" s="1"/>
  <c r="BT354" i="6"/>
  <c r="BL888" i="18" s="1"/>
  <c r="AP360" i="6"/>
  <c r="AP368" i="6"/>
  <c r="AP369" i="6" s="1"/>
  <c r="CW327" i="6"/>
  <c r="CO861" i="18" s="1"/>
  <c r="CW325" i="6"/>
  <c r="CO859" i="18" s="1"/>
  <c r="CW346" i="6"/>
  <c r="CO880" i="18" s="1"/>
  <c r="CQ166" i="6"/>
  <c r="CI716" i="18" s="1"/>
  <c r="CQ155" i="6"/>
  <c r="CI672" i="18" s="1"/>
  <c r="CB110" i="6"/>
  <c r="BT663" i="18" s="1"/>
  <c r="CB121" i="6"/>
  <c r="BT685" i="18" s="1"/>
  <c r="CB135" i="6"/>
  <c r="CB136" i="6" s="1"/>
  <c r="BE121" i="6"/>
  <c r="AW685" i="18" s="1"/>
  <c r="BE110" i="6"/>
  <c r="AW663" i="18" s="1"/>
  <c r="BI121" i="6"/>
  <c r="BA685" i="18" s="1"/>
  <c r="BD316" i="6"/>
  <c r="AV849" i="18" s="1"/>
  <c r="BD124" i="6"/>
  <c r="AV693" i="18" s="1"/>
  <c r="BD101" i="6"/>
  <c r="AV654" i="18" s="1"/>
  <c r="AG364" i="6"/>
  <c r="AG370" i="6" s="1"/>
  <c r="AG167" i="6"/>
  <c r="CS37" i="6"/>
  <c r="CS36" i="6"/>
  <c r="CS38" i="6"/>
  <c r="CK593" i="18" s="1"/>
  <c r="BM76" i="6"/>
  <c r="BE613" i="18" s="1"/>
  <c r="BG13" i="6"/>
  <c r="AY567" i="18" s="1"/>
  <c r="AW278" i="5"/>
  <c r="CA121" i="6"/>
  <c r="BS685" i="18" s="1"/>
  <c r="CA110" i="6"/>
  <c r="BS663" i="18" s="1"/>
  <c r="CA135" i="6"/>
  <c r="CA136" i="6" s="1"/>
  <c r="BB68" i="6"/>
  <c r="BB76" i="6"/>
  <c r="AT613" i="18" s="1"/>
  <c r="BU18" i="6"/>
  <c r="BU13" i="6"/>
  <c r="BM567" i="18" s="1"/>
  <c r="AV18" i="6"/>
  <c r="BA176" i="6"/>
  <c r="BA125" i="6"/>
  <c r="AS694" i="18" s="1"/>
  <c r="BE108" i="6"/>
  <c r="AW661" i="18" s="1"/>
  <c r="BV18" i="6"/>
  <c r="BV13" i="6"/>
  <c r="BN567" i="18" s="1"/>
  <c r="CO57" i="6"/>
  <c r="CO58" i="6" s="1"/>
  <c r="CO60" i="6"/>
  <c r="CO59" i="6"/>
  <c r="BI250" i="5"/>
  <c r="CP267" i="5"/>
  <c r="CP268" i="5" s="1"/>
  <c r="CP269" i="5" s="1"/>
  <c r="BZ392" i="5"/>
  <c r="BZ379" i="5"/>
  <c r="AS204" i="5"/>
  <c r="CP204" i="5" s="1"/>
  <c r="BA354" i="5"/>
  <c r="BK331" i="5"/>
  <c r="BC287" i="18" s="1"/>
  <c r="BP355" i="5"/>
  <c r="BP379" i="5"/>
  <c r="BH1271" i="18" s="1"/>
  <c r="BI347" i="6"/>
  <c r="BA881" i="18" s="1"/>
  <c r="AQ368" i="6"/>
  <c r="AQ369" i="6" s="1"/>
  <c r="AQ360" i="6"/>
  <c r="CM359" i="6"/>
  <c r="CM368" i="6" s="1"/>
  <c r="CM370" i="6" s="1"/>
  <c r="CM354" i="6"/>
  <c r="BB328" i="6"/>
  <c r="AT862" i="18" s="1"/>
  <c r="BB326" i="6"/>
  <c r="AT860" i="18" s="1"/>
  <c r="CV191" i="6"/>
  <c r="CN1316" i="18" s="1"/>
  <c r="CV186" i="6"/>
  <c r="CV187" i="6"/>
  <c r="CN1312" i="18" s="1"/>
  <c r="CV181" i="6"/>
  <c r="CN1306" i="18" s="1"/>
  <c r="BG368" i="6"/>
  <c r="AY607" i="18" s="1"/>
  <c r="BA219" i="6"/>
  <c r="BE214" i="6"/>
  <c r="BA29" i="6"/>
  <c r="BP121" i="6"/>
  <c r="BH685" i="18" s="1"/>
  <c r="BP110" i="6"/>
  <c r="BH663" i="18" s="1"/>
  <c r="BQ88" i="6"/>
  <c r="BI639" i="18" s="1"/>
  <c r="CC190" i="6"/>
  <c r="BU1315" i="18" s="1"/>
  <c r="CC185" i="6"/>
  <c r="BU116" i="6"/>
  <c r="BM689" i="18" s="1"/>
  <c r="CR75" i="6"/>
  <c r="CJ612" i="18" s="1"/>
  <c r="CR78" i="6"/>
  <c r="CR77" i="6"/>
  <c r="CJ614" i="18" s="1"/>
  <c r="BC48" i="6"/>
  <c r="AU578" i="18" s="1"/>
  <c r="BK166" i="6"/>
  <c r="BC716" i="18" s="1"/>
  <c r="BK155" i="6"/>
  <c r="BC672" i="18" s="1"/>
  <c r="AX59" i="6"/>
  <c r="AQ116" i="6"/>
  <c r="AP116" i="6"/>
  <c r="BI356" i="6"/>
  <c r="BI37" i="6"/>
  <c r="BI38" i="6"/>
  <c r="BA593" i="18" s="1"/>
  <c r="BI272" i="5"/>
  <c r="BM35" i="6"/>
  <c r="CS87" i="6"/>
  <c r="CK638" i="18" s="1"/>
  <c r="CS89" i="6"/>
  <c r="CK640" i="18" s="1"/>
  <c r="AW60" i="6"/>
  <c r="AW61" i="6" s="1"/>
  <c r="AW59" i="6"/>
  <c r="AW57" i="6"/>
  <c r="BP124" i="6"/>
  <c r="BH693" i="18" s="1"/>
  <c r="BP113" i="6"/>
  <c r="BH666" i="18" s="1"/>
  <c r="BP101" i="6"/>
  <c r="BH654" i="18" s="1"/>
  <c r="BT100" i="6"/>
  <c r="BL653" i="18" s="1"/>
  <c r="AO68" i="6"/>
  <c r="CO262" i="6"/>
  <c r="CO254" i="6" s="1"/>
  <c r="CN238" i="6"/>
  <c r="AR366" i="6"/>
  <c r="AR367" i="6" s="1"/>
  <c r="AR336" i="6"/>
  <c r="BK121" i="6"/>
  <c r="BC685" i="18" s="1"/>
  <c r="BK110" i="6"/>
  <c r="BC663" i="18" s="1"/>
  <c r="CS109" i="6"/>
  <c r="CK662" i="18" s="1"/>
  <c r="BQ128" i="6"/>
  <c r="CV115" i="6"/>
  <c r="BT128" i="6"/>
  <c r="CV103" i="6"/>
  <c r="CN656" i="18" s="1"/>
  <c r="CV109" i="6"/>
  <c r="CN662" i="18" s="1"/>
  <c r="CV414" i="5"/>
  <c r="CV259" i="5"/>
  <c r="CT115" i="6"/>
  <c r="BI128" i="6"/>
  <c r="BL128" i="6"/>
  <c r="CT109" i="6"/>
  <c r="CL662" i="18" s="1"/>
  <c r="CT103" i="6"/>
  <c r="CL656" i="18" s="1"/>
  <c r="CT259" i="5"/>
  <c r="CT414" i="5"/>
  <c r="CL307" i="18" s="1"/>
  <c r="CT75" i="6"/>
  <c r="CT78" i="6"/>
  <c r="CT77" i="6"/>
  <c r="CL614" i="18" s="1"/>
  <c r="CL74" i="6"/>
  <c r="CM78" i="6"/>
  <c r="CM77" i="6"/>
  <c r="CQ110" i="6"/>
  <c r="CI663" i="18" s="1"/>
  <c r="CQ121" i="6"/>
  <c r="CI685" i="18" s="1"/>
  <c r="BF48" i="6"/>
  <c r="AX578" i="18" s="1"/>
  <c r="CP32" i="6"/>
  <c r="CP31" i="6"/>
  <c r="CP56" i="6"/>
  <c r="CP30" i="6"/>
  <c r="CP25" i="6"/>
  <c r="CM254" i="6"/>
  <c r="CM273" i="6" s="1"/>
  <c r="CM63" i="6"/>
  <c r="CM337" i="6" s="1"/>
  <c r="CT46" i="6"/>
  <c r="CL577" i="18" s="1"/>
  <c r="CT41" i="6"/>
  <c r="CU41" i="6"/>
  <c r="CM573" i="18" s="1"/>
  <c r="AR17" i="6"/>
  <c r="AR18" i="6"/>
  <c r="BA126" i="6"/>
  <c r="AS695" i="18" s="1"/>
  <c r="AU57" i="6"/>
  <c r="AU58" i="6" s="1"/>
  <c r="AU60" i="6"/>
  <c r="AU61" i="6" s="1"/>
  <c r="AU59" i="6"/>
  <c r="AP17" i="6"/>
  <c r="AP18" i="6"/>
  <c r="BJ13" i="6"/>
  <c r="BB567" i="18" s="1"/>
  <c r="BV375" i="5"/>
  <c r="BV19" i="6"/>
  <c r="BA46" i="6"/>
  <c r="AS577" i="18" s="1"/>
  <c r="BE18" i="6"/>
  <c r="BP48" i="6"/>
  <c r="BH578" i="18" s="1"/>
  <c r="BJ368" i="6"/>
  <c r="BJ360" i="6"/>
  <c r="BB893" i="18" s="1"/>
  <c r="AX333" i="6"/>
  <c r="BB333" i="6"/>
  <c r="BB332" i="6"/>
  <c r="AX332" i="6"/>
  <c r="AW330" i="6"/>
  <c r="AS331" i="6"/>
  <c r="BJ214" i="6"/>
  <c r="BJ216" i="6" s="1"/>
  <c r="BF219" i="6"/>
  <c r="BF29" i="6"/>
  <c r="BQ121" i="6"/>
  <c r="BI685" i="18" s="1"/>
  <c r="BQ110" i="6"/>
  <c r="BI663" i="18" s="1"/>
  <c r="CV75" i="6"/>
  <c r="CV73" i="6"/>
  <c r="CN634" i="18" s="1"/>
  <c r="CV78" i="6"/>
  <c r="BS13" i="6"/>
  <c r="BK567" i="18" s="1"/>
  <c r="CR12" i="6"/>
  <c r="CJ566" i="18" s="1"/>
  <c r="BH45" i="6"/>
  <c r="BI45" i="6"/>
  <c r="CR154" i="6"/>
  <c r="CJ671" i="18" s="1"/>
  <c r="BA166" i="6"/>
  <c r="AS716" i="18" s="1"/>
  <c r="BA155" i="6"/>
  <c r="AS672" i="18" s="1"/>
  <c r="BB368" i="6"/>
  <c r="AT607" i="18" s="1"/>
  <c r="BB360" i="6"/>
  <c r="AT893" i="18" s="1"/>
  <c r="AX368" i="6"/>
  <c r="AX369" i="6" s="1"/>
  <c r="AX360" i="6"/>
  <c r="BW332" i="6"/>
  <c r="CA331" i="6"/>
  <c r="BW333" i="6"/>
  <c r="BE354" i="6"/>
  <c r="AW888" i="18" s="1"/>
  <c r="BS347" i="6"/>
  <c r="BK881" i="18" s="1"/>
  <c r="CC328" i="6"/>
  <c r="BU862" i="18" s="1"/>
  <c r="BY328" i="6"/>
  <c r="BQ862" i="18" s="1"/>
  <c r="CC326" i="6"/>
  <c r="BU860" i="18" s="1"/>
  <c r="BY326" i="6"/>
  <c r="BQ860" i="18" s="1"/>
  <c r="BH121" i="6"/>
  <c r="AZ685" i="18" s="1"/>
  <c r="BH110" i="6"/>
  <c r="AZ663" i="18" s="1"/>
  <c r="CU115" i="6"/>
  <c r="CU109" i="6"/>
  <c r="CM662" i="18" s="1"/>
  <c r="BM128" i="6"/>
  <c r="CU103" i="6"/>
  <c r="CM656" i="18" s="1"/>
  <c r="CU414" i="5"/>
  <c r="CM307" i="18" s="1"/>
  <c r="CU259" i="5"/>
  <c r="CP78" i="6"/>
  <c r="CP77" i="6"/>
  <c r="CP75" i="6"/>
  <c r="CP76" i="6" s="1"/>
  <c r="AK72" i="6"/>
  <c r="AK71" i="6"/>
  <c r="BY128" i="6"/>
  <c r="CX115" i="6"/>
  <c r="CX103" i="6"/>
  <c r="CP656" i="18" s="1"/>
  <c r="CX109" i="6"/>
  <c r="CP662" i="18" s="1"/>
  <c r="CX259" i="5"/>
  <c r="CX414" i="5"/>
  <c r="CP307" i="18" s="1"/>
  <c r="CV12" i="6"/>
  <c r="CN566" i="18" s="1"/>
  <c r="CV446" i="5"/>
  <c r="CN324" i="18" s="1"/>
  <c r="CV374" i="5"/>
  <c r="CV400" i="5" s="1"/>
  <c r="CN1286" i="18" s="1"/>
  <c r="BX354" i="6"/>
  <c r="BP888" i="18" s="1"/>
  <c r="AY368" i="6"/>
  <c r="AY369" i="6" s="1"/>
  <c r="AY360" i="6"/>
  <c r="BD354" i="6"/>
  <c r="AV888" i="18" s="1"/>
  <c r="BD359" i="6"/>
  <c r="AV892" i="18" s="1"/>
  <c r="CP359" i="6"/>
  <c r="CP354" i="6"/>
  <c r="BJ328" i="6"/>
  <c r="BB862" i="18" s="1"/>
  <c r="BJ326" i="6"/>
  <c r="BB860" i="18" s="1"/>
  <c r="BE220" i="6"/>
  <c r="BE216" i="6"/>
  <c r="BI215" i="6"/>
  <c r="AT360" i="6"/>
  <c r="CQ214" i="6"/>
  <c r="BN76" i="6"/>
  <c r="BF613" i="18" s="1"/>
  <c r="BG116" i="6"/>
  <c r="AY689" i="18" s="1"/>
  <c r="CA94" i="6"/>
  <c r="BS645" i="18" s="1"/>
  <c r="CO155" i="6"/>
  <c r="CO166" i="6"/>
  <c r="CW87" i="6"/>
  <c r="BZ116" i="6"/>
  <c r="BR689" i="18" s="1"/>
  <c r="BI17" i="6"/>
  <c r="BW88" i="6"/>
  <c r="BO639" i="18" s="1"/>
  <c r="BT387" i="5"/>
  <c r="BL1279" i="18" s="1"/>
  <c r="AW203" i="5"/>
  <c r="AS238" i="5"/>
  <c r="BP254" i="5"/>
  <c r="BO254" i="5"/>
  <c r="CQ13" i="5"/>
  <c r="CI6" i="18" s="1"/>
  <c r="CQ96" i="6"/>
  <c r="CI647" i="18" s="1"/>
  <c r="CQ46" i="6"/>
  <c r="CI577" i="18" s="1"/>
  <c r="CQ38" i="6"/>
  <c r="CI593" i="18" s="1"/>
  <c r="BM331" i="5"/>
  <c r="BE287" i="18" s="1"/>
  <c r="BT379" i="5"/>
  <c r="BL1271" i="18" s="1"/>
  <c r="AW360" i="6"/>
  <c r="AW368" i="6"/>
  <c r="AW369" i="6" s="1"/>
  <c r="AN368" i="6"/>
  <c r="AN360" i="6"/>
  <c r="BQ354" i="6"/>
  <c r="BI888" i="18" s="1"/>
  <c r="CV353" i="6"/>
  <c r="CN887" i="18" s="1"/>
  <c r="BO354" i="6"/>
  <c r="BG888" i="18" s="1"/>
  <c r="CD354" i="6"/>
  <c r="BV888" i="18" s="1"/>
  <c r="BN332" i="6"/>
  <c r="BR331" i="6"/>
  <c r="BN333" i="6"/>
  <c r="CA354" i="6"/>
  <c r="BS888" i="18" s="1"/>
  <c r="BC359" i="6"/>
  <c r="AU892" i="18" s="1"/>
  <c r="BC354" i="6"/>
  <c r="AU888" i="18" s="1"/>
  <c r="AU369" i="6"/>
  <c r="BT333" i="6"/>
  <c r="BX331" i="6"/>
  <c r="BT332" i="6"/>
  <c r="CU325" i="6"/>
  <c r="CM859" i="18" s="1"/>
  <c r="AZ221" i="6"/>
  <c r="AZ215" i="6"/>
  <c r="CE328" i="6"/>
  <c r="BW862" i="18" s="1"/>
  <c r="CA328" i="6"/>
  <c r="BS862" i="18" s="1"/>
  <c r="CE326" i="6"/>
  <c r="BW860" i="18" s="1"/>
  <c r="CA326" i="6"/>
  <c r="BS860" i="18" s="1"/>
  <c r="BG354" i="6"/>
  <c r="AY888" i="18" s="1"/>
  <c r="AJ159" i="6"/>
  <c r="AJ168" i="6"/>
  <c r="AI168" i="6"/>
  <c r="AI159" i="6"/>
  <c r="CQ216" i="6"/>
  <c r="AW221" i="6"/>
  <c r="AW226" i="6"/>
  <c r="CQ326" i="6"/>
  <c r="CI860" i="18" s="1"/>
  <c r="CQ328" i="6"/>
  <c r="CI862" i="18" s="1"/>
  <c r="BE328" i="6"/>
  <c r="AW862" i="18" s="1"/>
  <c r="BE326" i="6"/>
  <c r="AW860" i="18" s="1"/>
  <c r="AN116" i="6"/>
  <c r="AL116" i="6"/>
  <c r="BP128" i="6"/>
  <c r="BY190" i="6"/>
  <c r="BQ1315" i="18" s="1"/>
  <c r="CP94" i="6"/>
  <c r="BP94" i="6"/>
  <c r="BH645" i="18" s="1"/>
  <c r="BA77" i="6"/>
  <c r="AS614" i="18" s="1"/>
  <c r="AS120" i="6"/>
  <c r="CO110" i="6"/>
  <c r="CR89" i="6"/>
  <c r="CJ640" i="18" s="1"/>
  <c r="CR87" i="6"/>
  <c r="BH166" i="6"/>
  <c r="AZ716" i="18" s="1"/>
  <c r="BH155" i="6"/>
  <c r="AZ672" i="18" s="1"/>
  <c r="BO16" i="6"/>
  <c r="BG1245" i="18" s="1"/>
  <c r="BO19" i="6"/>
  <c r="BO375" i="5"/>
  <c r="CV93" i="6"/>
  <c r="BA96" i="6"/>
  <c r="AS647" i="18" s="1"/>
  <c r="AK61" i="6"/>
  <c r="AO61" i="6"/>
  <c r="BE357" i="6"/>
  <c r="CL154" i="6"/>
  <c r="CM155" i="6" s="1"/>
  <c r="CL25" i="6"/>
  <c r="CM26" i="6" s="1"/>
  <c r="CK40" i="6"/>
  <c r="CJ40" i="6" s="1"/>
  <c r="CU172" i="6"/>
  <c r="BF101" i="6"/>
  <c r="AX654" i="18" s="1"/>
  <c r="BK48" i="6"/>
  <c r="BC578" i="18" s="1"/>
  <c r="AM67" i="6"/>
  <c r="AM68" i="6" s="1"/>
  <c r="AM66" i="6"/>
  <c r="AM70" i="6"/>
  <c r="AM64" i="6"/>
  <c r="BM124" i="6"/>
  <c r="BE693" i="18" s="1"/>
  <c r="BM101" i="6"/>
  <c r="BE654" i="18" s="1"/>
  <c r="BM113" i="6"/>
  <c r="BE666" i="18" s="1"/>
  <c r="BQ100" i="6"/>
  <c r="BI653" i="18" s="1"/>
  <c r="CU87" i="6"/>
  <c r="CU89" i="6"/>
  <c r="CM640" i="18" s="1"/>
  <c r="BJ375" i="5"/>
  <c r="BJ16" i="6"/>
  <c r="BB1245" i="18" s="1"/>
  <c r="BJ19" i="6"/>
  <c r="BY19" i="6"/>
  <c r="BY375" i="5"/>
  <c r="CO64" i="6"/>
  <c r="CO67" i="6"/>
  <c r="CO68" i="6" s="1"/>
  <c r="CO66" i="6"/>
  <c r="BS121" i="6"/>
  <c r="BK685" i="18" s="1"/>
  <c r="BS110" i="6"/>
  <c r="BK663" i="18" s="1"/>
  <c r="AP70" i="6"/>
  <c r="BJ110" i="6"/>
  <c r="BB663" i="18" s="1"/>
  <c r="BJ121" i="6"/>
  <c r="BB685" i="18" s="1"/>
  <c r="AQ27" i="6"/>
  <c r="CP222" i="5"/>
  <c r="CP188" i="5" s="1"/>
  <c r="BI46" i="6"/>
  <c r="BA577" i="18" s="1"/>
  <c r="AU63" i="6"/>
  <c r="AU277" i="5"/>
  <c r="AU278" i="5" s="1"/>
  <c r="AU279" i="5" s="1"/>
  <c r="AU26" i="6"/>
  <c r="AU27" i="6" s="1"/>
  <c r="AH67" i="6"/>
  <c r="AL68" i="6" s="1"/>
  <c r="AH70" i="6"/>
  <c r="AL72" i="6" s="1"/>
  <c r="AL66" i="6"/>
  <c r="CT12" i="6"/>
  <c r="CL566" i="18" s="1"/>
  <c r="CO26" i="6"/>
  <c r="CO27" i="6" s="1"/>
  <c r="AZ17" i="6"/>
  <c r="BH375" i="5"/>
  <c r="BH19" i="6"/>
  <c r="BH16" i="6"/>
  <c r="BD17" i="6"/>
  <c r="CX12" i="6"/>
  <c r="CP566" i="18" s="1"/>
  <c r="CX446" i="5"/>
  <c r="CP324" i="18" s="1"/>
  <c r="CX374" i="5"/>
  <c r="CR41" i="6"/>
  <c r="CR46" i="6"/>
  <c r="CJ577" i="18" s="1"/>
  <c r="CB13" i="6"/>
  <c r="BT567" i="18" s="1"/>
  <c r="CB18" i="6"/>
  <c r="BN543" i="5"/>
  <c r="BF392" i="18" s="1"/>
  <c r="CN278" i="5"/>
  <c r="CN203" i="5"/>
  <c r="AL83" i="5"/>
  <c r="AL74" i="5"/>
  <c r="CQ131" i="5"/>
  <c r="CQ752" i="5"/>
  <c r="AW143" i="5"/>
  <c r="AW129" i="5"/>
  <c r="BR543" i="5"/>
  <c r="BJ392" i="18" s="1"/>
  <c r="BN383" i="5"/>
  <c r="BF1275" i="18" s="1"/>
  <c r="BN404" i="5"/>
  <c r="BR383" i="5"/>
  <c r="BJ1275" i="18" s="1"/>
  <c r="BN392" i="5"/>
  <c r="BR392" i="5"/>
  <c r="CQ110" i="5"/>
  <c r="CI91" i="18" s="1"/>
  <c r="AT80" i="5"/>
  <c r="AT87" i="5"/>
  <c r="AN74" i="5"/>
  <c r="AN83" i="5"/>
  <c r="AN123" i="5"/>
  <c r="BH489" i="5"/>
  <c r="AZ381" i="18" s="1"/>
  <c r="BH488" i="5"/>
  <c r="AZ380" i="18" s="1"/>
  <c r="BH487" i="5"/>
  <c r="AZ379" i="18" s="1"/>
  <c r="CS638" i="5"/>
  <c r="CK481" i="18" s="1"/>
  <c r="CS639" i="5"/>
  <c r="CK482" i="18" s="1"/>
  <c r="CS562" i="5"/>
  <c r="CK408" i="18" s="1"/>
  <c r="CS22" i="5"/>
  <c r="CK14" i="18" s="1"/>
  <c r="CS24" i="5"/>
  <c r="CK16" i="18" s="1"/>
  <c r="CS39" i="5"/>
  <c r="CK32" i="18" s="1"/>
  <c r="CS31" i="5"/>
  <c r="CK23" i="18" s="1"/>
  <c r="CS637" i="5"/>
  <c r="CK480" i="18" s="1"/>
  <c r="CS635" i="5"/>
  <c r="CK478" i="18" s="1"/>
  <c r="CS636" i="5"/>
  <c r="CK479" i="18" s="1"/>
  <c r="AU74" i="5"/>
  <c r="AU83" i="5"/>
  <c r="AU123" i="5"/>
  <c r="BO543" i="5"/>
  <c r="BG392" i="18" s="1"/>
  <c r="AL80" i="5"/>
  <c r="AL87" i="5"/>
  <c r="AR87" i="5"/>
  <c r="AR80" i="5"/>
  <c r="AR124" i="5"/>
  <c r="CV110" i="5"/>
  <c r="CN91" i="18" s="1"/>
  <c r="AU87" i="5"/>
  <c r="AU80" i="5"/>
  <c r="AU124" i="5"/>
  <c r="BJ543" i="5"/>
  <c r="BB392" i="18" s="1"/>
  <c r="AW488" i="5"/>
  <c r="AW487" i="5"/>
  <c r="AW489" i="5"/>
  <c r="AW490" i="5" s="1"/>
  <c r="AQ83" i="5"/>
  <c r="AQ123" i="5"/>
  <c r="AQ74" i="5"/>
  <c r="AQ75" i="5" s="1"/>
  <c r="AV87" i="5"/>
  <c r="AV80" i="5"/>
  <c r="AV81" i="5" s="1"/>
  <c r="CW631" i="5"/>
  <c r="CW566" i="5"/>
  <c r="CW570" i="5" s="1"/>
  <c r="AT395" i="5"/>
  <c r="CT631" i="5"/>
  <c r="CT566" i="5"/>
  <c r="CT570" i="5" s="1"/>
  <c r="CQ115" i="5"/>
  <c r="CI96" i="18" s="1"/>
  <c r="AM74" i="5"/>
  <c r="AM83" i="5"/>
  <c r="AM123" i="5"/>
  <c r="CT556" i="5"/>
  <c r="BZ696" i="5"/>
  <c r="CQ121" i="5"/>
  <c r="AM87" i="5"/>
  <c r="AM124" i="5"/>
  <c r="AM80" i="5"/>
  <c r="BW696" i="5"/>
  <c r="AQ87" i="5"/>
  <c r="AQ80" i="5"/>
  <c r="AQ81" i="5" s="1"/>
  <c r="AQ124" i="5"/>
  <c r="AU489" i="5"/>
  <c r="AU490" i="5" s="1"/>
  <c r="AU488" i="5"/>
  <c r="AZ489" i="5"/>
  <c r="AZ490" i="5" s="1"/>
  <c r="AZ488" i="5"/>
  <c r="AZ487" i="5"/>
  <c r="AW393" i="5"/>
  <c r="AW395" i="5"/>
  <c r="AT83" i="5"/>
  <c r="AT74" i="5"/>
  <c r="AT123" i="5"/>
  <c r="BD33" i="5"/>
  <c r="AV25" i="18" s="1"/>
  <c r="BP131" i="5"/>
  <c r="CB692" i="5"/>
  <c r="BT660" i="5"/>
  <c r="BT664" i="5" s="1"/>
  <c r="BS664" i="5"/>
  <c r="BS666" i="5" s="1"/>
  <c r="BP543" i="5"/>
  <c r="BH392" i="18" s="1"/>
  <c r="CQ712" i="5"/>
  <c r="CQ717" i="5" s="1"/>
  <c r="CE624" i="5"/>
  <c r="BW532" i="5"/>
  <c r="CX532" i="5"/>
  <c r="AZ395" i="5"/>
  <c r="AZ393" i="5"/>
  <c r="AX393" i="5"/>
  <c r="AX395" i="5"/>
  <c r="AO407" i="5"/>
  <c r="AO365" i="5"/>
  <c r="BR405" i="5"/>
  <c r="CP413" i="5"/>
  <c r="CP336" i="5"/>
  <c r="CP361" i="5"/>
  <c r="CP337" i="5"/>
  <c r="CP338" i="5" s="1"/>
  <c r="CP339" i="5"/>
  <c r="AN404" i="5"/>
  <c r="AN383" i="5"/>
  <c r="AN362" i="5"/>
  <c r="CU250" i="5"/>
  <c r="CM215" i="18" s="1"/>
  <c r="CU283" i="5"/>
  <c r="CM240" i="18" s="1"/>
  <c r="CU242" i="5"/>
  <c r="CM209" i="18" s="1"/>
  <c r="AT416" i="5"/>
  <c r="CN459" i="5"/>
  <c r="CN462" i="5"/>
  <c r="AQ111" i="5"/>
  <c r="AU111" i="5"/>
  <c r="BX115" i="5"/>
  <c r="BP96" i="18" s="1"/>
  <c r="CB113" i="5"/>
  <c r="BT94" i="18" s="1"/>
  <c r="BX116" i="5"/>
  <c r="BP97" i="18" s="1"/>
  <c r="CB402" i="5"/>
  <c r="BT1288" i="18" s="1"/>
  <c r="BD402" i="5"/>
  <c r="AV1288" i="18" s="1"/>
  <c r="BD401" i="5"/>
  <c r="AV1287" i="18" s="1"/>
  <c r="AR301" i="5"/>
  <c r="CN77" i="5"/>
  <c r="BU482" i="5"/>
  <c r="BU481" i="5"/>
  <c r="BU479" i="5"/>
  <c r="BM366" i="18" s="1"/>
  <c r="BU483" i="5"/>
  <c r="BM365" i="18" s="1"/>
  <c r="CW478" i="5"/>
  <c r="BL502" i="5"/>
  <c r="BL501" i="5"/>
  <c r="AX428" i="5"/>
  <c r="AX437" i="5"/>
  <c r="AX287" i="5"/>
  <c r="AX347" i="5"/>
  <c r="AX79" i="5"/>
  <c r="AX55" i="5"/>
  <c r="AX56" i="5" s="1"/>
  <c r="AX43" i="5"/>
  <c r="AX73" i="5"/>
  <c r="AX42" i="5"/>
  <c r="AX40" i="5"/>
  <c r="AX49" i="5"/>
  <c r="AX50" i="5" s="1"/>
  <c r="AX44" i="5"/>
  <c r="AN519" i="5"/>
  <c r="BU111" i="5"/>
  <c r="BM92" i="18" s="1"/>
  <c r="CW108" i="5"/>
  <c r="CO89" i="18" s="1"/>
  <c r="BU110" i="5"/>
  <c r="BM91" i="18" s="1"/>
  <c r="AJ179" i="5"/>
  <c r="CT121" i="5"/>
  <c r="CL103" i="18" s="1"/>
  <c r="BH404" i="5"/>
  <c r="BH362" i="5"/>
  <c r="CW137" i="5"/>
  <c r="CO1333" i="18" s="1"/>
  <c r="AZ479" i="5"/>
  <c r="AZ480" i="5" s="1"/>
  <c r="AZ437" i="5"/>
  <c r="AZ467" i="5"/>
  <c r="AZ468" i="5" s="1"/>
  <c r="AZ428" i="5"/>
  <c r="AZ287" i="5"/>
  <c r="AZ73" i="5"/>
  <c r="AZ79" i="5"/>
  <c r="AZ43" i="5"/>
  <c r="AZ55" i="5"/>
  <c r="AZ56" i="5" s="1"/>
  <c r="AZ49" i="5"/>
  <c r="AZ40" i="5"/>
  <c r="AZ41" i="5" s="1"/>
  <c r="AZ42" i="5"/>
  <c r="AZ44" i="5"/>
  <c r="BO351" i="5"/>
  <c r="BG301" i="18" s="1"/>
  <c r="AH185" i="5"/>
  <c r="AH189" i="5"/>
  <c r="AH179" i="5"/>
  <c r="AK355" i="5"/>
  <c r="BU185" i="5"/>
  <c r="BM151" i="18" s="1"/>
  <c r="BI413" i="5"/>
  <c r="BA306" i="18" s="1"/>
  <c r="BI368" i="5"/>
  <c r="CT335" i="5"/>
  <c r="CL291" i="18" s="1"/>
  <c r="BI361" i="5"/>
  <c r="BI336" i="5"/>
  <c r="BA292" i="18" s="1"/>
  <c r="BI339" i="5"/>
  <c r="AK437" i="5"/>
  <c r="AO438" i="5" s="1"/>
  <c r="AO440" i="5" s="1"/>
  <c r="AK428" i="5"/>
  <c r="AK347" i="5"/>
  <c r="AK287" i="5"/>
  <c r="AK73" i="5"/>
  <c r="AK79" i="5"/>
  <c r="AK42" i="5"/>
  <c r="AK40" i="5"/>
  <c r="AK41" i="5" s="1"/>
  <c r="AK43" i="5"/>
  <c r="AK55" i="5"/>
  <c r="AK56" i="5" s="1"/>
  <c r="AK49" i="5"/>
  <c r="AK50" i="5" s="1"/>
  <c r="AK123" i="5"/>
  <c r="AK121" i="5"/>
  <c r="CA58" i="5"/>
  <c r="CA52" i="5"/>
  <c r="CL95" i="5"/>
  <c r="CL84" i="5"/>
  <c r="CL85" i="5" s="1"/>
  <c r="AW44" i="5"/>
  <c r="AO289" i="5"/>
  <c r="AO216" i="5"/>
  <c r="AU216" i="5"/>
  <c r="AU289" i="5"/>
  <c r="AT447" i="5"/>
  <c r="AT438" i="5"/>
  <c r="BI299" i="5"/>
  <c r="BA257" i="18" s="1"/>
  <c r="CT181" i="5"/>
  <c r="BI215" i="5"/>
  <c r="BA182" i="18" s="1"/>
  <c r="BH34" i="5"/>
  <c r="AZ26" i="18" s="1"/>
  <c r="BH32" i="5"/>
  <c r="BR713" i="5"/>
  <c r="BR716" i="5"/>
  <c r="BR718" i="5" s="1"/>
  <c r="BL703" i="5"/>
  <c r="BK539" i="5"/>
  <c r="BM750" i="5"/>
  <c r="BN750" i="5" s="1"/>
  <c r="BO750" i="5" s="1"/>
  <c r="BP750" i="5" s="1"/>
  <c r="BQ750" i="5" s="1"/>
  <c r="BR750" i="5" s="1"/>
  <c r="BS750" i="5" s="1"/>
  <c r="BT750" i="5" s="1"/>
  <c r="BU750" i="5" s="1"/>
  <c r="BV750" i="5" s="1"/>
  <c r="BW750" i="5" s="1"/>
  <c r="BX750" i="5" s="1"/>
  <c r="BY750" i="5" s="1"/>
  <c r="BZ750" i="5" s="1"/>
  <c r="CA750" i="5" s="1"/>
  <c r="CB750" i="5" s="1"/>
  <c r="CC750" i="5" s="1"/>
  <c r="CD750" i="5" s="1"/>
  <c r="CE750" i="5" s="1"/>
  <c r="CF750" i="5" s="1"/>
  <c r="BJ750" i="5"/>
  <c r="BK750" i="5"/>
  <c r="BI750" i="5"/>
  <c r="CT675" i="5"/>
  <c r="BW713" i="5"/>
  <c r="BW716" i="5"/>
  <c r="BW718" i="5" s="1"/>
  <c r="DC669" i="5"/>
  <c r="CT677" i="5"/>
  <c r="CT557" i="5"/>
  <c r="CV630" i="5"/>
  <c r="CO712" i="5"/>
  <c r="CO717" i="5" s="1"/>
  <c r="CO716" i="5"/>
  <c r="BK690" i="5"/>
  <c r="BC529" i="18" s="1"/>
  <c r="CE614" i="5"/>
  <c r="BH647" i="5"/>
  <c r="CU604" i="5"/>
  <c r="CX617" i="5"/>
  <c r="CX630" i="5" s="1"/>
  <c r="CN483" i="5"/>
  <c r="CN479" i="5"/>
  <c r="CN481" i="5"/>
  <c r="CQ475" i="5"/>
  <c r="CV532" i="5"/>
  <c r="AX488" i="5"/>
  <c r="AX489" i="5"/>
  <c r="AX490" i="5" s="1"/>
  <c r="AX487" i="5"/>
  <c r="CQ481" i="5"/>
  <c r="CQ483" i="5"/>
  <c r="CQ479" i="5"/>
  <c r="CQ480" i="5" s="1"/>
  <c r="BR402" i="5"/>
  <c r="BJ1288" i="18" s="1"/>
  <c r="BB390" i="5"/>
  <c r="BB388" i="5"/>
  <c r="CB390" i="5"/>
  <c r="CB388" i="5"/>
  <c r="BT1280" i="18" s="1"/>
  <c r="AY463" i="5"/>
  <c r="BV390" i="5"/>
  <c r="AN357" i="5"/>
  <c r="AN359" i="5"/>
  <c r="AO355" i="5"/>
  <c r="AP401" i="5"/>
  <c r="AP402" i="5"/>
  <c r="AP454" i="5"/>
  <c r="AO401" i="5"/>
  <c r="AO402" i="5"/>
  <c r="AV420" i="5"/>
  <c r="AV423" i="5" s="1"/>
  <c r="AR419" i="5"/>
  <c r="AR415" i="5"/>
  <c r="BO388" i="5"/>
  <c r="BO390" i="5"/>
  <c r="AU415" i="5"/>
  <c r="AY420" i="5"/>
  <c r="AY423" i="5" s="1"/>
  <c r="AU423" i="5"/>
  <c r="AU419" i="5"/>
  <c r="DD224" i="5"/>
  <c r="CV191" i="18" s="1"/>
  <c r="DC225" i="5"/>
  <c r="CU192" i="18" s="1"/>
  <c r="CU207" i="5"/>
  <c r="CM174" i="18" s="1"/>
  <c r="AY401" i="5"/>
  <c r="AY402" i="5"/>
  <c r="AS278" i="5"/>
  <c r="AS203" i="5"/>
  <c r="BH252" i="5"/>
  <c r="AZ217" i="18" s="1"/>
  <c r="AL241" i="5"/>
  <c r="AL278" i="5"/>
  <c r="AL296" i="5"/>
  <c r="AL297" i="5" s="1"/>
  <c r="BS383" i="5"/>
  <c r="BK1275" i="18" s="1"/>
  <c r="AR297" i="5"/>
  <c r="BW506" i="5"/>
  <c r="BW505" i="5"/>
  <c r="BO502" i="5"/>
  <c r="BO501" i="5"/>
  <c r="BG488" i="5"/>
  <c r="AY380" i="18" s="1"/>
  <c r="BG487" i="5"/>
  <c r="AY379" i="18" s="1"/>
  <c r="BT243" i="5"/>
  <c r="BL210" i="18" s="1"/>
  <c r="CW150" i="5"/>
  <c r="BV483" i="5"/>
  <c r="BN365" i="18" s="1"/>
  <c r="BV481" i="5"/>
  <c r="BV482" i="5"/>
  <c r="BV501" i="5"/>
  <c r="BV502" i="5"/>
  <c r="AR405" i="5"/>
  <c r="CQ168" i="5"/>
  <c r="AU519" i="5"/>
  <c r="BS482" i="5"/>
  <c r="BS481" i="5"/>
  <c r="BS483" i="5"/>
  <c r="BK365" i="18" s="1"/>
  <c r="CA505" i="5"/>
  <c r="CA506" i="5"/>
  <c r="BK505" i="5"/>
  <c r="BK506" i="5"/>
  <c r="CA487" i="5"/>
  <c r="BS379" i="18" s="1"/>
  <c r="CA488" i="5"/>
  <c r="BS380" i="18" s="1"/>
  <c r="BC380" i="5"/>
  <c r="AU1272" i="18" s="1"/>
  <c r="BC381" i="5"/>
  <c r="AU1273" i="18" s="1"/>
  <c r="CA415" i="5"/>
  <c r="BS308" i="18" s="1"/>
  <c r="CA419" i="5"/>
  <c r="BS312" i="18" s="1"/>
  <c r="BR243" i="5"/>
  <c r="BJ210" i="18" s="1"/>
  <c r="AJ295" i="5"/>
  <c r="AX464" i="5"/>
  <c r="CD65" i="5"/>
  <c r="BV53" i="18" s="1"/>
  <c r="BZ502" i="5"/>
  <c r="BZ501" i="5"/>
  <c r="CD456" i="5"/>
  <c r="BV343" i="18" s="1"/>
  <c r="CD63" i="5"/>
  <c r="BV51" i="18" s="1"/>
  <c r="BS388" i="5"/>
  <c r="BK1280" i="18" s="1"/>
  <c r="AU388" i="5"/>
  <c r="AU390" i="5"/>
  <c r="BP506" i="5"/>
  <c r="BP505" i="5"/>
  <c r="CB453" i="5"/>
  <c r="BL454" i="5"/>
  <c r="BD341" i="18" s="1"/>
  <c r="BP337" i="5"/>
  <c r="BH293" i="18" s="1"/>
  <c r="AM402" i="5"/>
  <c r="AM401" i="5"/>
  <c r="AM355" i="5"/>
  <c r="BF209" i="5"/>
  <c r="AX176" i="18" s="1"/>
  <c r="CS206" i="5"/>
  <c r="CK173" i="18" s="1"/>
  <c r="BF207" i="5"/>
  <c r="BP121" i="5"/>
  <c r="BH103" i="18" s="1"/>
  <c r="AX364" i="5"/>
  <c r="BC252" i="5"/>
  <c r="AU217" i="18" s="1"/>
  <c r="CQ77" i="5"/>
  <c r="AK518" i="5"/>
  <c r="AK519" i="5" s="1"/>
  <c r="BD347" i="5"/>
  <c r="AV297" i="18" s="1"/>
  <c r="BD459" i="5"/>
  <c r="AN56" i="5"/>
  <c r="AP437" i="5"/>
  <c r="AP428" i="5"/>
  <c r="AP332" i="5"/>
  <c r="AP347" i="5"/>
  <c r="AP287" i="5"/>
  <c r="AP79" i="5"/>
  <c r="AP73" i="5"/>
  <c r="AP43" i="5"/>
  <c r="AP42" i="5"/>
  <c r="AP40" i="5"/>
  <c r="AP41" i="5" s="1"/>
  <c r="AP49" i="5"/>
  <c r="AP50" i="5" s="1"/>
  <c r="AP55" i="5"/>
  <c r="AP56" i="5" s="1"/>
  <c r="AQ42" i="5"/>
  <c r="AW189" i="5"/>
  <c r="AW190" i="5" s="1"/>
  <c r="AW185" i="5"/>
  <c r="AW183" i="5"/>
  <c r="BE300" i="5"/>
  <c r="CS215" i="5"/>
  <c r="CK182" i="18" s="1"/>
  <c r="AT126" i="5"/>
  <c r="AT124" i="5"/>
  <c r="CU71" i="5"/>
  <c r="CM58" i="18" s="1"/>
  <c r="AV429" i="5"/>
  <c r="AV431" i="5" s="1"/>
  <c r="BM208" i="5"/>
  <c r="BE175" i="18" s="1"/>
  <c r="CW121" i="5"/>
  <c r="CO103" i="18" s="1"/>
  <c r="CQ518" i="5"/>
  <c r="CQ519" i="5" s="1"/>
  <c r="AP467" i="5"/>
  <c r="AP468" i="5" s="1"/>
  <c r="AQ34" i="5"/>
  <c r="AQ32" i="5"/>
  <c r="CU335" i="5"/>
  <c r="CM291" i="18" s="1"/>
  <c r="BM368" i="5"/>
  <c r="BM361" i="5"/>
  <c r="BQ339" i="5"/>
  <c r="BM336" i="5"/>
  <c r="BE292" i="18" s="1"/>
  <c r="BM339" i="5"/>
  <c r="BM337" i="5"/>
  <c r="BE293" i="18" s="1"/>
  <c r="BM413" i="5"/>
  <c r="BE306" i="18" s="1"/>
  <c r="BQ336" i="5"/>
  <c r="BI292" i="18" s="1"/>
  <c r="CJ83" i="5"/>
  <c r="CJ74" i="5"/>
  <c r="AQ25" i="5"/>
  <c r="BD173" i="5"/>
  <c r="BC169" i="5"/>
  <c r="BC168" i="5" s="1"/>
  <c r="CL108" i="5"/>
  <c r="BA111" i="5"/>
  <c r="AS92" i="18" s="1"/>
  <c r="CJ108" i="5"/>
  <c r="CB89" i="18" s="1"/>
  <c r="BA110" i="5"/>
  <c r="AS91" i="18" s="1"/>
  <c r="AP189" i="5"/>
  <c r="AP183" i="5"/>
  <c r="AP185" i="5"/>
  <c r="BJ121" i="5"/>
  <c r="BB103" i="18" s="1"/>
  <c r="BB121" i="5"/>
  <c r="AT103" i="18" s="1"/>
  <c r="AZ518" i="5"/>
  <c r="AZ519" i="5" s="1"/>
  <c r="BX379" i="5"/>
  <c r="BP1271" i="18" s="1"/>
  <c r="BX353" i="5"/>
  <c r="BX350" i="5"/>
  <c r="BP300" i="18" s="1"/>
  <c r="BX352" i="5"/>
  <c r="BX351" i="5"/>
  <c r="BP301" i="18" s="1"/>
  <c r="BX347" i="5"/>
  <c r="BP297" i="18" s="1"/>
  <c r="BX400" i="5"/>
  <c r="BP380" i="5"/>
  <c r="BH1272" i="18" s="1"/>
  <c r="BP381" i="5"/>
  <c r="BH1273" i="18" s="1"/>
  <c r="AJ518" i="5"/>
  <c r="AJ479" i="5"/>
  <c r="AJ473" i="5"/>
  <c r="AN474" i="5" s="1"/>
  <c r="AJ347" i="5"/>
  <c r="AJ287" i="5"/>
  <c r="AJ73" i="5"/>
  <c r="AJ79" i="5"/>
  <c r="AJ43" i="5"/>
  <c r="AJ40" i="5"/>
  <c r="AJ41" i="5" s="1"/>
  <c r="AJ55" i="5"/>
  <c r="AJ42" i="5"/>
  <c r="AJ453" i="5"/>
  <c r="AN43" i="5"/>
  <c r="CX29" i="5"/>
  <c r="CP21" i="18" s="1"/>
  <c r="CX21" i="5"/>
  <c r="BO401" i="5"/>
  <c r="BG1287" i="18" s="1"/>
  <c r="AN40" i="5"/>
  <c r="AN41" i="5" s="1"/>
  <c r="CS52" i="5"/>
  <c r="CK39" i="18" s="1"/>
  <c r="CS58" i="5"/>
  <c r="CK44" i="18" s="1"/>
  <c r="AT189" i="5"/>
  <c r="AT183" i="5"/>
  <c r="AT184" i="5" s="1"/>
  <c r="AT185" i="5"/>
  <c r="AX183" i="5"/>
  <c r="BI331" i="5"/>
  <c r="BA287" i="18" s="1"/>
  <c r="BP53" i="5"/>
  <c r="BH40" i="18" s="1"/>
  <c r="AR74" i="5"/>
  <c r="AR75" i="5" s="1"/>
  <c r="AR123" i="5"/>
  <c r="AR83" i="5"/>
  <c r="CN301" i="5"/>
  <c r="CR71" i="5"/>
  <c r="CJ58" i="18" s="1"/>
  <c r="CR77" i="5"/>
  <c r="CJ63" i="18" s="1"/>
  <c r="CL41" i="5"/>
  <c r="CO189" i="5"/>
  <c r="CO185" i="5"/>
  <c r="BA34" i="5"/>
  <c r="AS26" i="18" s="1"/>
  <c r="BA32" i="5"/>
  <c r="AS24" i="18" s="1"/>
  <c r="BT25" i="5"/>
  <c r="BL17" i="18" s="1"/>
  <c r="AK111" i="5"/>
  <c r="AO43" i="5"/>
  <c r="CA638" i="5"/>
  <c r="CA636" i="5"/>
  <c r="CA635" i="5"/>
  <c r="CA637" i="5"/>
  <c r="CA562" i="5"/>
  <c r="BS408" i="18" s="1"/>
  <c r="CA639" i="5"/>
  <c r="CA182" i="5"/>
  <c r="BS148" i="18" s="1"/>
  <c r="CA22" i="5"/>
  <c r="BS14" i="18" s="1"/>
  <c r="CA39" i="5"/>
  <c r="CM29" i="5"/>
  <c r="CM21" i="5"/>
  <c r="CN22" i="5" s="1"/>
  <c r="CO53" i="5"/>
  <c r="AT53" i="5"/>
  <c r="BT506" i="5"/>
  <c r="BT505" i="5"/>
  <c r="AO56" i="5"/>
  <c r="BY639" i="5"/>
  <c r="BY637" i="5"/>
  <c r="BY635" i="5"/>
  <c r="BY638" i="5"/>
  <c r="BY636" i="5"/>
  <c r="BY562" i="5"/>
  <c r="BQ408" i="18" s="1"/>
  <c r="BY209" i="5"/>
  <c r="BQ176" i="18" s="1"/>
  <c r="BY182" i="5"/>
  <c r="BQ148" i="18" s="1"/>
  <c r="BY39" i="5"/>
  <c r="BY22" i="5"/>
  <c r="BQ14" i="18" s="1"/>
  <c r="AU50" i="5"/>
  <c r="BH185" i="5"/>
  <c r="AZ151" i="18" s="1"/>
  <c r="BH189" i="5"/>
  <c r="BH183" i="5"/>
  <c r="AZ149" i="18" s="1"/>
  <c r="BE32" i="5"/>
  <c r="CW543" i="5"/>
  <c r="CO392" i="18" s="1"/>
  <c r="BN696" i="5"/>
  <c r="BH666" i="5"/>
  <c r="DB680" i="5"/>
  <c r="BC596" i="5"/>
  <c r="BC515" i="5"/>
  <c r="BD595" i="5"/>
  <c r="BT390" i="5"/>
  <c r="BT388" i="5"/>
  <c r="BL1280" i="18" s="1"/>
  <c r="AS390" i="5"/>
  <c r="AS388" i="5"/>
  <c r="AS389" i="5" s="1"/>
  <c r="AL404" i="5"/>
  <c r="AL405" i="5" s="1"/>
  <c r="AL383" i="5"/>
  <c r="AL385" i="5" s="1"/>
  <c r="AL362" i="5"/>
  <c r="AZ355" i="5"/>
  <c r="AR401" i="5"/>
  <c r="AR402" i="5"/>
  <c r="AK404" i="5"/>
  <c r="AK383" i="5"/>
  <c r="AK362" i="5"/>
  <c r="AK363" i="5" s="1"/>
  <c r="BW388" i="5"/>
  <c r="BW390" i="5"/>
  <c r="AU404" i="5"/>
  <c r="AU362" i="5"/>
  <c r="AU363" i="5" s="1"/>
  <c r="AU383" i="5"/>
  <c r="AE415" i="5"/>
  <c r="AE419" i="5"/>
  <c r="BM167" i="5"/>
  <c r="BE133" i="18" s="1"/>
  <c r="CT170" i="5"/>
  <c r="CL136" i="18" s="1"/>
  <c r="AY404" i="5"/>
  <c r="AY405" i="5" s="1"/>
  <c r="AY362" i="5"/>
  <c r="AY363" i="5" s="1"/>
  <c r="AY383" i="5"/>
  <c r="AO392" i="5"/>
  <c r="CN283" i="5"/>
  <c r="CN209" i="5"/>
  <c r="CN207" i="5"/>
  <c r="CN208" i="5" s="1"/>
  <c r="AV419" i="5"/>
  <c r="AV415" i="5"/>
  <c r="AV416" i="5" s="1"/>
  <c r="BT395" i="5"/>
  <c r="CO207" i="5"/>
  <c r="AQ514" i="5"/>
  <c r="AQ512" i="5"/>
  <c r="AQ513" i="5"/>
  <c r="AQ511" i="5"/>
  <c r="BO483" i="5"/>
  <c r="BG365" i="18" s="1"/>
  <c r="BO481" i="5"/>
  <c r="BO482" i="5"/>
  <c r="AY464" i="5"/>
  <c r="CA482" i="5"/>
  <c r="CA481" i="5"/>
  <c r="CA479" i="5"/>
  <c r="BS366" i="18" s="1"/>
  <c r="CA483" i="5"/>
  <c r="BS365" i="18" s="1"/>
  <c r="CE478" i="5"/>
  <c r="BW364" i="18" s="1"/>
  <c r="CE470" i="5"/>
  <c r="BW355" i="18" s="1"/>
  <c r="CE65" i="5"/>
  <c r="BW53" i="18" s="1"/>
  <c r="BK402" i="5"/>
  <c r="BC1288" i="18" s="1"/>
  <c r="BK401" i="5"/>
  <c r="BC1287" i="18" s="1"/>
  <c r="CA404" i="5"/>
  <c r="CA383" i="5"/>
  <c r="BS1275" i="18" s="1"/>
  <c r="CA362" i="5"/>
  <c r="CA392" i="5"/>
  <c r="BC392" i="5"/>
  <c r="BL481" i="5"/>
  <c r="BL479" i="5"/>
  <c r="BL483" i="5"/>
  <c r="BD365" i="18" s="1"/>
  <c r="BL482" i="5"/>
  <c r="BX505" i="5"/>
  <c r="BX506" i="5"/>
  <c r="BP415" i="5"/>
  <c r="AU402" i="5"/>
  <c r="AU401" i="5"/>
  <c r="AM349" i="5"/>
  <c r="BC121" i="5"/>
  <c r="AU103" i="18" s="1"/>
  <c r="BA401" i="5"/>
  <c r="AS1287" i="18" s="1"/>
  <c r="BF255" i="5"/>
  <c r="AX218" i="18" s="1"/>
  <c r="BJ253" i="5"/>
  <c r="BJ254" i="5" s="1"/>
  <c r="BF251" i="5"/>
  <c r="BX121" i="5"/>
  <c r="BP103" i="18" s="1"/>
  <c r="CK75" i="5"/>
  <c r="BM475" i="5"/>
  <c r="BM473" i="5"/>
  <c r="BE359" i="18" s="1"/>
  <c r="BM476" i="5"/>
  <c r="BE361" i="18" s="1"/>
  <c r="CU472" i="5"/>
  <c r="CM358" i="18" s="1"/>
  <c r="CQ413" i="5"/>
  <c r="CQ361" i="5"/>
  <c r="CQ339" i="5"/>
  <c r="CQ336" i="5"/>
  <c r="AP343" i="5"/>
  <c r="CM413" i="5"/>
  <c r="CM415" i="5" s="1"/>
  <c r="CM416" i="5" s="1"/>
  <c r="CM336" i="5"/>
  <c r="CM361" i="5"/>
  <c r="AH419" i="5"/>
  <c r="AH415" i="5"/>
  <c r="AH416" i="5" s="1"/>
  <c r="BV121" i="5"/>
  <c r="BN103" i="18" s="1"/>
  <c r="BG516" i="5"/>
  <c r="BG517" i="5" s="1"/>
  <c r="BG514" i="5"/>
  <c r="BG513" i="5"/>
  <c r="BG512" i="5"/>
  <c r="BG511" i="5"/>
  <c r="AY371" i="18" s="1"/>
  <c r="CN510" i="5"/>
  <c r="CF473" i="5"/>
  <c r="BL348" i="5"/>
  <c r="BD299" i="18" s="1"/>
  <c r="BD380" i="5"/>
  <c r="AV1272" i="18" s="1"/>
  <c r="BD381" i="5"/>
  <c r="AV1273" i="18" s="1"/>
  <c r="AV126" i="5"/>
  <c r="AV124" i="5"/>
  <c r="BY488" i="5"/>
  <c r="BQ380" i="18" s="1"/>
  <c r="BA486" i="5"/>
  <c r="BA455" i="5"/>
  <c r="AS342" i="18" s="1"/>
  <c r="BA453" i="5"/>
  <c r="CR452" i="5"/>
  <c r="CJ339" i="18" s="1"/>
  <c r="BA456" i="5"/>
  <c r="AS343" i="18" s="1"/>
  <c r="AN514" i="5"/>
  <c r="AN513" i="5"/>
  <c r="AN512" i="5"/>
  <c r="AN511" i="5"/>
  <c r="AV74" i="5"/>
  <c r="AV83" i="5"/>
  <c r="AO143" i="5"/>
  <c r="AO129" i="5"/>
  <c r="AW124" i="5"/>
  <c r="CS510" i="5"/>
  <c r="CK370" i="18" s="1"/>
  <c r="BE513" i="5"/>
  <c r="BE514" i="5"/>
  <c r="BE512" i="5"/>
  <c r="BE511" i="5"/>
  <c r="AW371" i="18" s="1"/>
  <c r="AN185" i="5"/>
  <c r="AN183" i="5"/>
  <c r="AN184" i="5" s="1"/>
  <c r="AN189" i="5"/>
  <c r="AN190" i="5" s="1"/>
  <c r="AN191" i="5" s="1"/>
  <c r="AN348" i="5"/>
  <c r="AN349" i="5"/>
  <c r="AQ196" i="5"/>
  <c r="AQ214" i="5"/>
  <c r="AQ296" i="5" s="1"/>
  <c r="AQ297" i="5" s="1"/>
  <c r="CT108" i="5"/>
  <c r="CL89" i="18" s="1"/>
  <c r="BI111" i="5"/>
  <c r="BA92" i="18" s="1"/>
  <c r="BI110" i="5"/>
  <c r="BA91" i="18" s="1"/>
  <c r="CU134" i="5"/>
  <c r="BM131" i="5"/>
  <c r="CN466" i="5"/>
  <c r="AK467" i="5"/>
  <c r="AK468" i="5" s="1"/>
  <c r="AK470" i="5"/>
  <c r="AK469" i="5"/>
  <c r="CN71" i="5"/>
  <c r="AM53" i="5"/>
  <c r="AY333" i="5"/>
  <c r="AQ289" i="18" s="1"/>
  <c r="CO121" i="5"/>
  <c r="CO123" i="5"/>
  <c r="BO380" i="5"/>
  <c r="BG1272" i="18" s="1"/>
  <c r="BE339" i="5"/>
  <c r="BE336" i="5"/>
  <c r="AW292" i="18" s="1"/>
  <c r="BE413" i="5"/>
  <c r="AW306" i="18" s="1"/>
  <c r="BE368" i="5"/>
  <c r="CS335" i="5"/>
  <c r="CK291" i="18" s="1"/>
  <c r="BE361" i="5"/>
  <c r="BE337" i="5"/>
  <c r="AW293" i="18" s="1"/>
  <c r="AQ429" i="5"/>
  <c r="CB513" i="5"/>
  <c r="CB511" i="5"/>
  <c r="BT371" i="18" s="1"/>
  <c r="AY34" i="5"/>
  <c r="AY32" i="5"/>
  <c r="AR429" i="5"/>
  <c r="AR431" i="5" s="1"/>
  <c r="AR432" i="5" s="1"/>
  <c r="AR433" i="5" s="1"/>
  <c r="AV432" i="5"/>
  <c r="AV433" i="5" s="1"/>
  <c r="CT77" i="5"/>
  <c r="CL63" i="18" s="1"/>
  <c r="AK34" i="5"/>
  <c r="AK32" i="5"/>
  <c r="AK33" i="5" s="1"/>
  <c r="AO34" i="5"/>
  <c r="AO32" i="5"/>
  <c r="AO33" i="5" s="1"/>
  <c r="CP183" i="5"/>
  <c r="CP185" i="5"/>
  <c r="CP189" i="5"/>
  <c r="CO428" i="5"/>
  <c r="CO287" i="5"/>
  <c r="CO437" i="5"/>
  <c r="CO79" i="5"/>
  <c r="CO73" i="5"/>
  <c r="CO55" i="5"/>
  <c r="CO49" i="5"/>
  <c r="CO43" i="5"/>
  <c r="AL216" i="5"/>
  <c r="AQ53" i="5"/>
  <c r="BT428" i="5"/>
  <c r="BL1036" i="18" s="1"/>
  <c r="BT347" i="5"/>
  <c r="BT362" i="5"/>
  <c r="BT337" i="5"/>
  <c r="BL293" i="18" s="1"/>
  <c r="BT73" i="5"/>
  <c r="BL60" i="18" s="1"/>
  <c r="BT49" i="5"/>
  <c r="BL37" i="18" s="1"/>
  <c r="BT40" i="5"/>
  <c r="BL33" i="18" s="1"/>
  <c r="BT79" i="5"/>
  <c r="BL70" i="18" s="1"/>
  <c r="BT43" i="5"/>
  <c r="BL35" i="18" s="1"/>
  <c r="BT258" i="5"/>
  <c r="BT260" i="5" s="1"/>
  <c r="BX45" i="5"/>
  <c r="BP1317" i="18" s="1"/>
  <c r="BT55" i="5"/>
  <c r="BD185" i="5"/>
  <c r="AV151" i="18" s="1"/>
  <c r="BD183" i="5"/>
  <c r="AV149" i="18" s="1"/>
  <c r="BD189" i="5"/>
  <c r="AV155" i="18" s="1"/>
  <c r="CN121" i="5"/>
  <c r="BC635" i="5"/>
  <c r="AU478" i="18" s="1"/>
  <c r="BC639" i="5"/>
  <c r="AU482" i="18" s="1"/>
  <c r="BC637" i="5"/>
  <c r="AU480" i="18" s="1"/>
  <c r="BC636" i="5"/>
  <c r="AU479" i="18" s="1"/>
  <c r="BC638" i="5"/>
  <c r="AU481" i="18" s="1"/>
  <c r="BC182" i="5"/>
  <c r="AU148" i="18" s="1"/>
  <c r="BC24" i="5"/>
  <c r="BC22" i="5"/>
  <c r="AU14" i="18" s="1"/>
  <c r="BC31" i="5"/>
  <c r="AU23" i="18" s="1"/>
  <c r="BC39" i="5"/>
  <c r="BI482" i="5"/>
  <c r="BI481" i="5"/>
  <c r="BI483" i="5"/>
  <c r="BA365" i="18" s="1"/>
  <c r="CT478" i="5"/>
  <c r="CL75" i="5"/>
  <c r="BT467" i="5"/>
  <c r="BL353" i="18" s="1"/>
  <c r="BE486" i="5"/>
  <c r="AW378" i="18" s="1"/>
  <c r="CS452" i="5"/>
  <c r="CK339" i="18" s="1"/>
  <c r="BE455" i="5"/>
  <c r="AW342" i="18" s="1"/>
  <c r="BE456" i="5"/>
  <c r="AW343" i="18" s="1"/>
  <c r="BE453" i="5"/>
  <c r="AW289" i="5"/>
  <c r="AW216" i="5"/>
  <c r="AO447" i="5"/>
  <c r="BJ52" i="5"/>
  <c r="BJ58" i="5"/>
  <c r="BB44" i="18" s="1"/>
  <c r="CC478" i="5"/>
  <c r="BU364" i="18" s="1"/>
  <c r="CX478" i="5"/>
  <c r="BY481" i="5"/>
  <c r="BY482" i="5"/>
  <c r="BY483" i="5"/>
  <c r="BQ365" i="18" s="1"/>
  <c r="AT429" i="5"/>
  <c r="CS556" i="5"/>
  <c r="CX710" i="5"/>
  <c r="CB716" i="5"/>
  <c r="CB718" i="5" s="1"/>
  <c r="DC692" i="5"/>
  <c r="BV543" i="5"/>
  <c r="BN392" i="18" s="1"/>
  <c r="BL556" i="5"/>
  <c r="BC677" i="5"/>
  <c r="BD669" i="5"/>
  <c r="BD677" i="5" s="1"/>
  <c r="BO696" i="5"/>
  <c r="CW696" i="5"/>
  <c r="CT630" i="5"/>
  <c r="CR631" i="5"/>
  <c r="CR566" i="5"/>
  <c r="CR570" i="5" s="1"/>
  <c r="CS663" i="5"/>
  <c r="BU559" i="5"/>
  <c r="BM405" i="18" s="1"/>
  <c r="CB631" i="5"/>
  <c r="CB566" i="5"/>
  <c r="CB570" i="5" s="1"/>
  <c r="AL474" i="5"/>
  <c r="CV604" i="5"/>
  <c r="CR532" i="5"/>
  <c r="BT522" i="5"/>
  <c r="BL561" i="18" s="1"/>
  <c r="AT480" i="5"/>
  <c r="AT489" i="5"/>
  <c r="AT490" i="5" s="1"/>
  <c r="AT488" i="5"/>
  <c r="AP474" i="5"/>
  <c r="BH388" i="5"/>
  <c r="AZ1280" i="18" s="1"/>
  <c r="BH390" i="5"/>
  <c r="BX388" i="5"/>
  <c r="BX390" i="5"/>
  <c r="AN392" i="5"/>
  <c r="AP392" i="5"/>
  <c r="AZ404" i="5"/>
  <c r="AZ362" i="5"/>
  <c r="AZ383" i="5"/>
  <c r="AR1275" i="18" s="1"/>
  <c r="AX402" i="5"/>
  <c r="AX401" i="5"/>
  <c r="CO479" i="5"/>
  <c r="AW359" i="5"/>
  <c r="AW357" i="5"/>
  <c r="AS380" i="5"/>
  <c r="AS381" i="5"/>
  <c r="CQ455" i="5"/>
  <c r="BO392" i="5"/>
  <c r="AI419" i="5"/>
  <c r="AM420" i="5"/>
  <c r="AI415" i="5"/>
  <c r="AI416" i="5" s="1"/>
  <c r="AW388" i="5"/>
  <c r="AW389" i="5" s="1"/>
  <c r="AW390" i="5"/>
  <c r="AW404" i="5"/>
  <c r="AW405" i="5" s="1"/>
  <c r="AW362" i="5"/>
  <c r="AW383" i="5"/>
  <c r="AL416" i="5"/>
  <c r="AD363" i="5"/>
  <c r="AM196" i="5"/>
  <c r="AM197" i="5" s="1"/>
  <c r="AM214" i="5"/>
  <c r="AM296" i="5"/>
  <c r="AM297" i="5" s="1"/>
  <c r="AM278" i="5"/>
  <c r="AM241" i="5"/>
  <c r="BT419" i="5"/>
  <c r="BL312" i="18" s="1"/>
  <c r="AY349" i="5"/>
  <c r="AY348" i="5"/>
  <c r="AC363" i="5"/>
  <c r="AV489" i="5"/>
  <c r="AV490" i="5" s="1"/>
  <c r="AV488" i="5"/>
  <c r="CV326" i="5"/>
  <c r="CV325" i="5"/>
  <c r="AV383" i="5"/>
  <c r="AV404" i="5"/>
  <c r="AV405" i="5" s="1"/>
  <c r="AV362" i="5"/>
  <c r="AV363" i="5" s="1"/>
  <c r="AN415" i="5"/>
  <c r="AN419" i="5"/>
  <c r="BN255" i="5"/>
  <c r="BF218" i="18" s="1"/>
  <c r="BN253" i="5"/>
  <c r="BN254" i="5" s="1"/>
  <c r="BN251" i="5"/>
  <c r="BF216" i="18" s="1"/>
  <c r="BK274" i="5"/>
  <c r="BO273" i="5"/>
  <c r="BK240" i="5"/>
  <c r="BC208" i="5"/>
  <c r="AT381" i="5"/>
  <c r="AQ519" i="5"/>
  <c r="BW487" i="5"/>
  <c r="BO379" i="18" s="1"/>
  <c r="BW488" i="5"/>
  <c r="BO380" i="18" s="1"/>
  <c r="BW380" i="5"/>
  <c r="BO1272" i="18" s="1"/>
  <c r="BE274" i="5"/>
  <c r="BI273" i="5"/>
  <c r="CP131" i="5"/>
  <c r="BF511" i="5"/>
  <c r="AX371" i="18" s="1"/>
  <c r="BF514" i="5"/>
  <c r="BF516" i="5"/>
  <c r="BF517" i="5" s="1"/>
  <c r="BF512" i="5"/>
  <c r="BF513" i="5"/>
  <c r="BR352" i="5"/>
  <c r="BR350" i="5"/>
  <c r="BJ300" i="18" s="1"/>
  <c r="BN379" i="5"/>
  <c r="BN354" i="5"/>
  <c r="BN351" i="5"/>
  <c r="BF301" i="18" s="1"/>
  <c r="BN400" i="5"/>
  <c r="BN350" i="5"/>
  <c r="BF300" i="18" s="1"/>
  <c r="BR379" i="5"/>
  <c r="BN353" i="5"/>
  <c r="BN369" i="5"/>
  <c r="BN352" i="5"/>
  <c r="BV383" i="5"/>
  <c r="BN1275" i="18" s="1"/>
  <c r="BV404" i="5"/>
  <c r="AR392" i="5"/>
  <c r="AU513" i="5"/>
  <c r="AU511" i="5"/>
  <c r="AU509" i="5"/>
  <c r="AU512" i="5"/>
  <c r="AU514" i="5"/>
  <c r="CE456" i="5"/>
  <c r="BW343" i="18" s="1"/>
  <c r="CE63" i="5"/>
  <c r="BW51" i="18" s="1"/>
  <c r="CA380" i="5"/>
  <c r="BS1272" i="18" s="1"/>
  <c r="BK415" i="5"/>
  <c r="BC308" i="18" s="1"/>
  <c r="BK419" i="5"/>
  <c r="BC312" i="18" s="1"/>
  <c r="BC415" i="5"/>
  <c r="AU308" i="18" s="1"/>
  <c r="BC419" i="5"/>
  <c r="AU312" i="18" s="1"/>
  <c r="CO168" i="5"/>
  <c r="AT514" i="5"/>
  <c r="AT513" i="5"/>
  <c r="AT512" i="5"/>
  <c r="AT511" i="5"/>
  <c r="AT509" i="5"/>
  <c r="AX461" i="5"/>
  <c r="BZ482" i="5"/>
  <c r="BZ483" i="5"/>
  <c r="BR365" i="18" s="1"/>
  <c r="CD478" i="5"/>
  <c r="BV364" i="18" s="1"/>
  <c r="BZ481" i="5"/>
  <c r="BZ506" i="5"/>
  <c r="BZ505" i="5"/>
  <c r="BZ401" i="5"/>
  <c r="BR1287" i="18" s="1"/>
  <c r="CD336" i="5"/>
  <c r="BV292" i="18" s="1"/>
  <c r="CD61" i="5"/>
  <c r="BV49" i="18" s="1"/>
  <c r="CA390" i="5"/>
  <c r="CA388" i="5"/>
  <c r="BS1280" i="18" s="1"/>
  <c r="AY388" i="5"/>
  <c r="AY389" i="5" s="1"/>
  <c r="AY390" i="5"/>
  <c r="BQ131" i="5"/>
  <c r="CV134" i="5"/>
  <c r="CN111" i="18" s="1"/>
  <c r="AL123" i="5"/>
  <c r="AL121" i="5"/>
  <c r="BD480" i="5"/>
  <c r="AV367" i="18" s="1"/>
  <c r="CF456" i="5"/>
  <c r="BX343" i="18" s="1"/>
  <c r="CF63" i="5"/>
  <c r="BX51" i="18" s="1"/>
  <c r="BT488" i="5"/>
  <c r="BL380" i="18" s="1"/>
  <c r="BD487" i="5"/>
  <c r="AV379" i="18" s="1"/>
  <c r="BD488" i="5"/>
  <c r="AV380" i="18" s="1"/>
  <c r="BD489" i="5"/>
  <c r="AV381" i="18" s="1"/>
  <c r="AZ131" i="5"/>
  <c r="BE401" i="5"/>
  <c r="AW1287" i="18" s="1"/>
  <c r="BE402" i="5"/>
  <c r="AW1288" i="18" s="1"/>
  <c r="BF121" i="5"/>
  <c r="AX103" i="18" s="1"/>
  <c r="BX514" i="5"/>
  <c r="BX512" i="5"/>
  <c r="BX513" i="5"/>
  <c r="BX511" i="5"/>
  <c r="BP371" i="18" s="1"/>
  <c r="AK513" i="5"/>
  <c r="AK511" i="5"/>
  <c r="AK512" i="5"/>
  <c r="AK514" i="5"/>
  <c r="BD361" i="5"/>
  <c r="BH383" i="5" s="1"/>
  <c r="AZ1275" i="18" s="1"/>
  <c r="BD368" i="5"/>
  <c r="BD336" i="5"/>
  <c r="AV292" i="18" s="1"/>
  <c r="BD413" i="5"/>
  <c r="AV306" i="18" s="1"/>
  <c r="BD337" i="5"/>
  <c r="AV293" i="18" s="1"/>
  <c r="BD339" i="5"/>
  <c r="BK514" i="5"/>
  <c r="BK512" i="5"/>
  <c r="BK513" i="5"/>
  <c r="BK511" i="5"/>
  <c r="BC371" i="18" s="1"/>
  <c r="AU183" i="5"/>
  <c r="AU189" i="5"/>
  <c r="AU185" i="5"/>
  <c r="BX167" i="5"/>
  <c r="BE519" i="5"/>
  <c r="BH454" i="5"/>
  <c r="AZ341" i="18" s="1"/>
  <c r="BS512" i="5"/>
  <c r="BS514" i="5"/>
  <c r="BS513" i="5"/>
  <c r="BS511" i="5"/>
  <c r="BK371" i="18" s="1"/>
  <c r="AN216" i="5"/>
  <c r="AN289" i="5"/>
  <c r="BY470" i="5"/>
  <c r="BQ355" i="18" s="1"/>
  <c r="BY504" i="5"/>
  <c r="CC466" i="5"/>
  <c r="BU352" i="18" s="1"/>
  <c r="CX466" i="5"/>
  <c r="CP352" i="18" s="1"/>
  <c r="BY469" i="5"/>
  <c r="CA167" i="5"/>
  <c r="BS133" i="18" s="1"/>
  <c r="AZ512" i="5"/>
  <c r="AZ514" i="5"/>
  <c r="AZ513" i="5"/>
  <c r="AZ511" i="5"/>
  <c r="AX25" i="5"/>
  <c r="AU59" i="5"/>
  <c r="BJ639" i="5"/>
  <c r="BB482" i="18" s="1"/>
  <c r="BJ637" i="5"/>
  <c r="BB480" i="18" s="1"/>
  <c r="BJ636" i="5"/>
  <c r="BB479" i="18" s="1"/>
  <c r="BJ635" i="5"/>
  <c r="BB478" i="18" s="1"/>
  <c r="BJ638" i="5"/>
  <c r="BB481" i="18" s="1"/>
  <c r="BJ562" i="5"/>
  <c r="BB408" i="18" s="1"/>
  <c r="BJ182" i="5"/>
  <c r="BB148" i="18" s="1"/>
  <c r="BJ24" i="5"/>
  <c r="BB16" i="18" s="1"/>
  <c r="BJ22" i="5"/>
  <c r="BB14" i="18" s="1"/>
  <c r="BJ39" i="5"/>
  <c r="BB32" i="18" s="1"/>
  <c r="CT115" i="5"/>
  <c r="CL96" i="18" s="1"/>
  <c r="AZ53" i="5"/>
  <c r="AR447" i="5"/>
  <c r="AR438" i="5"/>
  <c r="AR440" i="5" s="1"/>
  <c r="AR441" i="5" s="1"/>
  <c r="AR442" i="5" s="1"/>
  <c r="BE522" i="5"/>
  <c r="BE530" i="5"/>
  <c r="BE437" i="5"/>
  <c r="AW1041" i="18" s="1"/>
  <c r="BE428" i="5"/>
  <c r="AW1036" i="18" s="1"/>
  <c r="BE287" i="5"/>
  <c r="AW244" i="18" s="1"/>
  <c r="BE79" i="5"/>
  <c r="AW70" i="18" s="1"/>
  <c r="BE73" i="5"/>
  <c r="AW60" i="18" s="1"/>
  <c r="BE55" i="5"/>
  <c r="AW42" i="18" s="1"/>
  <c r="BE42" i="5"/>
  <c r="BE40" i="5"/>
  <c r="BE49" i="5"/>
  <c r="AW37" i="18" s="1"/>
  <c r="BE43" i="5"/>
  <c r="AW35" i="18" s="1"/>
  <c r="CU13" i="5"/>
  <c r="CM6" i="18" s="1"/>
  <c r="AI52" i="5"/>
  <c r="AI58" i="5"/>
  <c r="AM59" i="5" s="1"/>
  <c r="BI638" i="5"/>
  <c r="BA481" i="18" s="1"/>
  <c r="BI636" i="5"/>
  <c r="BA479" i="18" s="1"/>
  <c r="BI639" i="5"/>
  <c r="BA482" i="18" s="1"/>
  <c r="BI635" i="5"/>
  <c r="BA478" i="18" s="1"/>
  <c r="BI637" i="5"/>
  <c r="BA480" i="18" s="1"/>
  <c r="BI562" i="5"/>
  <c r="BA408" i="18" s="1"/>
  <c r="BI182" i="5"/>
  <c r="BA148" i="18" s="1"/>
  <c r="BI209" i="5"/>
  <c r="BA176" i="18" s="1"/>
  <c r="BI39" i="5"/>
  <c r="BI31" i="5"/>
  <c r="BA23" i="18" s="1"/>
  <c r="BI22" i="5"/>
  <c r="BA14" i="18" s="1"/>
  <c r="BI24" i="5"/>
  <c r="BE504" i="5"/>
  <c r="BI506" i="5" s="1"/>
  <c r="BE470" i="5"/>
  <c r="AW355" i="18" s="1"/>
  <c r="CS466" i="5"/>
  <c r="CK352" i="18" s="1"/>
  <c r="BE469" i="5"/>
  <c r="BE467" i="5"/>
  <c r="AI209" i="5"/>
  <c r="AI182" i="5"/>
  <c r="AI31" i="5"/>
  <c r="AI24" i="5"/>
  <c r="AI39" i="5"/>
  <c r="AI459" i="5" s="1"/>
  <c r="AM22" i="5"/>
  <c r="AI22" i="5"/>
  <c r="BJ301" i="5"/>
  <c r="BB259" i="18" s="1"/>
  <c r="BI559" i="5"/>
  <c r="BA405" i="18" s="1"/>
  <c r="AW338" i="5"/>
  <c r="BF639" i="5"/>
  <c r="AX482" i="18" s="1"/>
  <c r="BF638" i="5"/>
  <c r="AX481" i="18" s="1"/>
  <c r="BF637" i="5"/>
  <c r="AX480" i="18" s="1"/>
  <c r="BF636" i="5"/>
  <c r="AX479" i="18" s="1"/>
  <c r="BF635" i="5"/>
  <c r="AX478" i="18" s="1"/>
  <c r="BF39" i="5"/>
  <c r="AX32" i="18" s="1"/>
  <c r="BF182" i="5"/>
  <c r="AX148" i="18" s="1"/>
  <c r="BF31" i="5"/>
  <c r="AX23" i="18" s="1"/>
  <c r="BF22" i="5"/>
  <c r="AX14" i="18" s="1"/>
  <c r="BF24" i="5"/>
  <c r="AX16" i="18" s="1"/>
  <c r="AU44" i="5"/>
  <c r="AT44" i="5"/>
  <c r="CU713" i="5"/>
  <c r="CU712" i="5"/>
  <c r="CU717" i="5" s="1"/>
  <c r="CR699" i="5"/>
  <c r="BE697" i="5"/>
  <c r="CS697" i="5" s="1"/>
  <c r="BD682" i="5"/>
  <c r="BD690" i="5" s="1"/>
  <c r="BC690" i="5"/>
  <c r="CS687" i="5"/>
  <c r="BJ677" i="5"/>
  <c r="BJ696" i="5" s="1"/>
  <c r="BB533" i="18" s="1"/>
  <c r="BF696" i="5"/>
  <c r="BK664" i="5"/>
  <c r="BK666" i="5" s="1"/>
  <c r="BL660" i="5"/>
  <c r="BL677" i="5"/>
  <c r="BL557" i="5"/>
  <c r="CB645" i="5"/>
  <c r="BP677" i="5"/>
  <c r="BP696" i="5" s="1"/>
  <c r="DB670" i="5"/>
  <c r="DC670" i="5" s="1"/>
  <c r="DD670" i="5" s="1"/>
  <c r="DE670" i="5" s="1"/>
  <c r="DF670" i="5" s="1"/>
  <c r="DA557" i="5"/>
  <c r="CS647" i="5"/>
  <c r="BT631" i="5"/>
  <c r="BT566" i="5"/>
  <c r="BT570" i="5" s="1"/>
  <c r="BZ530" i="5"/>
  <c r="BZ532" i="5"/>
  <c r="CE592" i="5"/>
  <c r="CX631" i="5"/>
  <c r="CX566" i="5"/>
  <c r="CX570" i="5" s="1"/>
  <c r="CO475" i="5"/>
  <c r="CO473" i="5"/>
  <c r="CP469" i="5"/>
  <c r="CP467" i="5"/>
  <c r="AZ473" i="5"/>
  <c r="AZ474" i="5" s="1"/>
  <c r="AQ474" i="5"/>
  <c r="AY488" i="5"/>
  <c r="AY489" i="5"/>
  <c r="AY490" i="5" s="1"/>
  <c r="AY487" i="5"/>
  <c r="CQ469" i="5"/>
  <c r="CQ467" i="5"/>
  <c r="CQ468" i="5" s="1"/>
  <c r="AZ401" i="5"/>
  <c r="AR1287" i="18" s="1"/>
  <c r="AT388" i="5"/>
  <c r="AT389" i="5" s="1"/>
  <c r="AT390" i="5"/>
  <c r="AV349" i="5"/>
  <c r="AV348" i="5"/>
  <c r="BD388" i="5"/>
  <c r="BD390" i="5"/>
  <c r="BV392" i="5"/>
  <c r="AJ402" i="5"/>
  <c r="AH381" i="5"/>
  <c r="CO413" i="5"/>
  <c r="CO337" i="5"/>
  <c r="CO339" i="5"/>
  <c r="CO336" i="5"/>
  <c r="CO361" i="5"/>
  <c r="AC415" i="5"/>
  <c r="AC419" i="5"/>
  <c r="BG388" i="5"/>
  <c r="AY1280" i="18" s="1"/>
  <c r="BG390" i="5"/>
  <c r="AZ390" i="5"/>
  <c r="AO415" i="5"/>
  <c r="AO416" i="5" s="1"/>
  <c r="AO419" i="5"/>
  <c r="AO423" i="5"/>
  <c r="AS420" i="5"/>
  <c r="AS423" i="5" s="1"/>
  <c r="BU390" i="5"/>
  <c r="AG419" i="5"/>
  <c r="AG415" i="5"/>
  <c r="AG416" i="5" s="1"/>
  <c r="AK420" i="5"/>
  <c r="AK423" i="5" s="1"/>
  <c r="AM362" i="5"/>
  <c r="AM404" i="5"/>
  <c r="AM383" i="5"/>
  <c r="CW242" i="5"/>
  <c r="CO209" i="18" s="1"/>
  <c r="CW283" i="5"/>
  <c r="CO240" i="18" s="1"/>
  <c r="CX242" i="5"/>
  <c r="CP209" i="18" s="1"/>
  <c r="BL685" i="5"/>
  <c r="BD524" i="18" s="1"/>
  <c r="BK558" i="5"/>
  <c r="BC404" i="18" s="1"/>
  <c r="AY381" i="5"/>
  <c r="AY380" i="5"/>
  <c r="BQ255" i="5"/>
  <c r="BI218" i="18" s="1"/>
  <c r="BQ251" i="5"/>
  <c r="BI216" i="18" s="1"/>
  <c r="AW380" i="5"/>
  <c r="BS254" i="5"/>
  <c r="AV338" i="5"/>
  <c r="CQ215" i="5"/>
  <c r="BJ208" i="5"/>
  <c r="BB175" i="18" s="1"/>
  <c r="BY168" i="5"/>
  <c r="BQ134" i="18" s="1"/>
  <c r="BZ167" i="5"/>
  <c r="BR133" i="18" s="1"/>
  <c r="AR468" i="5"/>
  <c r="BG355" i="5"/>
  <c r="AX514" i="5"/>
  <c r="AX513" i="5"/>
  <c r="AX511" i="5"/>
  <c r="AX512" i="5"/>
  <c r="AS464" i="5"/>
  <c r="BF470" i="5"/>
  <c r="AX355" i="18" s="1"/>
  <c r="BN487" i="5"/>
  <c r="BF379" i="18" s="1"/>
  <c r="BF381" i="5"/>
  <c r="AX1273" i="18" s="1"/>
  <c r="BF380" i="5"/>
  <c r="AX1272" i="18" s="1"/>
  <c r="BV419" i="5"/>
  <c r="BN312" i="18" s="1"/>
  <c r="BV415" i="5"/>
  <c r="AR383" i="5"/>
  <c r="AV251" i="5"/>
  <c r="AV252" i="5" s="1"/>
  <c r="AV255" i="5"/>
  <c r="BU549" i="5"/>
  <c r="BM398" i="18" s="1"/>
  <c r="AM514" i="5"/>
  <c r="AM512" i="5"/>
  <c r="AM513" i="5"/>
  <c r="AM511" i="5"/>
  <c r="CA501" i="5"/>
  <c r="CA502" i="5"/>
  <c r="BK501" i="5"/>
  <c r="BK502" i="5"/>
  <c r="BC401" i="5"/>
  <c r="AU1287" i="18" s="1"/>
  <c r="AP278" i="5"/>
  <c r="AP279" i="5" s="1"/>
  <c r="AP203" i="5"/>
  <c r="AL512" i="5"/>
  <c r="AX459" i="5"/>
  <c r="AX460" i="5" s="1"/>
  <c r="CP354" i="5"/>
  <c r="CP355" i="5" s="1"/>
  <c r="BR483" i="5"/>
  <c r="BJ365" i="18" s="1"/>
  <c r="BR482" i="5"/>
  <c r="BR481" i="5"/>
  <c r="BJ506" i="5"/>
  <c r="BJ505" i="5"/>
  <c r="BJ502" i="5"/>
  <c r="BJ501" i="5"/>
  <c r="BZ488" i="5"/>
  <c r="BR380" i="18" s="1"/>
  <c r="BZ487" i="5"/>
  <c r="BR379" i="18" s="1"/>
  <c r="BJ487" i="5"/>
  <c r="BB379" i="18" s="1"/>
  <c r="BJ355" i="5"/>
  <c r="BB419" i="5"/>
  <c r="AT312" i="18" s="1"/>
  <c r="BB415" i="5"/>
  <c r="AU392" i="5"/>
  <c r="CW326" i="5"/>
  <c r="CA208" i="5"/>
  <c r="BS175" i="18" s="1"/>
  <c r="DF685" i="5"/>
  <c r="DF558" i="5" s="1"/>
  <c r="CV137" i="5"/>
  <c r="CN1333" i="18" s="1"/>
  <c r="DG128" i="5"/>
  <c r="CR108" i="18" s="1"/>
  <c r="BA131" i="5"/>
  <c r="CR134" i="5"/>
  <c r="CJ111" i="18" s="1"/>
  <c r="CP77" i="5"/>
  <c r="CP79" i="5" s="1"/>
  <c r="BP467" i="5"/>
  <c r="BL487" i="5"/>
  <c r="BD379" i="18" s="1"/>
  <c r="BL489" i="5"/>
  <c r="BL488" i="5"/>
  <c r="BD380" i="18" s="1"/>
  <c r="CS108" i="5"/>
  <c r="CK89" i="18" s="1"/>
  <c r="BT514" i="5"/>
  <c r="BT513" i="5"/>
  <c r="BT512" i="5"/>
  <c r="BT511" i="5"/>
  <c r="BL371" i="18" s="1"/>
  <c r="CT472" i="5"/>
  <c r="CL358" i="18" s="1"/>
  <c r="BI476" i="5"/>
  <c r="BA361" i="18" s="1"/>
  <c r="BI475" i="5"/>
  <c r="BZ383" i="5"/>
  <c r="BR1275" i="18" s="1"/>
  <c r="BL131" i="5"/>
  <c r="BP115" i="5"/>
  <c r="BH96" i="18" s="1"/>
  <c r="BP116" i="5"/>
  <c r="BH97" i="18" s="1"/>
  <c r="BY511" i="5"/>
  <c r="BQ371" i="18" s="1"/>
  <c r="BY512" i="5"/>
  <c r="BY513" i="5"/>
  <c r="BY514" i="5"/>
  <c r="BE380" i="5"/>
  <c r="AW1272" i="18" s="1"/>
  <c r="BE381" i="5"/>
  <c r="AW1273" i="18" s="1"/>
  <c r="AX337" i="5"/>
  <c r="AX338" i="5" s="1"/>
  <c r="BB252" i="5"/>
  <c r="AT217" i="18" s="1"/>
  <c r="BT167" i="5"/>
  <c r="BL133" i="18" s="1"/>
  <c r="AY121" i="5"/>
  <c r="CO355" i="5"/>
  <c r="BT473" i="5"/>
  <c r="BP502" i="5"/>
  <c r="BP501" i="5"/>
  <c r="CW207" i="5"/>
  <c r="CO174" i="18" s="1"/>
  <c r="BM559" i="5"/>
  <c r="BE405" i="18" s="1"/>
  <c r="BM544" i="5"/>
  <c r="BE393" i="18" s="1"/>
  <c r="CB501" i="5"/>
  <c r="CB502" i="5"/>
  <c r="AH518" i="5"/>
  <c r="AH473" i="5"/>
  <c r="AH459" i="5"/>
  <c r="AH479" i="5"/>
  <c r="AL480" i="5" s="1"/>
  <c r="AH287" i="5"/>
  <c r="AH79" i="5"/>
  <c r="AH124" i="5" s="1"/>
  <c r="AH73" i="5"/>
  <c r="AH43" i="5"/>
  <c r="AH42" i="5"/>
  <c r="AH40" i="5"/>
  <c r="AH41" i="5" s="1"/>
  <c r="AH55" i="5"/>
  <c r="CX137" i="5"/>
  <c r="CP1333" i="18" s="1"/>
  <c r="DG69" i="5"/>
  <c r="CY56" i="18" s="1"/>
  <c r="AO470" i="5"/>
  <c r="CO466" i="5"/>
  <c r="AS469" i="5"/>
  <c r="AO467" i="5"/>
  <c r="AO468" i="5" s="1"/>
  <c r="AO469" i="5"/>
  <c r="BP473" i="5"/>
  <c r="AV447" i="5"/>
  <c r="AV448" i="5" s="1"/>
  <c r="AV438" i="5"/>
  <c r="AV440" i="5" s="1"/>
  <c r="AV441" i="5" s="1"/>
  <c r="AV442" i="5" s="1"/>
  <c r="BU208" i="5"/>
  <c r="BM175" i="18" s="1"/>
  <c r="BP167" i="5"/>
  <c r="BO168" i="5"/>
  <c r="BG134" i="18" s="1"/>
  <c r="AW513" i="5"/>
  <c r="AW511" i="5"/>
  <c r="AW512" i="5"/>
  <c r="CQ510" i="5"/>
  <c r="AW514" i="5"/>
  <c r="BX489" i="5"/>
  <c r="BX488" i="5"/>
  <c r="BP380" i="18" s="1"/>
  <c r="BQ52" i="5"/>
  <c r="BI39" i="18" s="1"/>
  <c r="BQ58" i="5"/>
  <c r="BI44" i="18" s="1"/>
  <c r="AV331" i="5"/>
  <c r="AV333" i="5" s="1"/>
  <c r="AN480" i="5"/>
  <c r="CD324" i="5"/>
  <c r="CD326" i="5" s="1"/>
  <c r="CD18" i="5"/>
  <c r="CD37" i="5"/>
  <c r="CZ685" i="5"/>
  <c r="DA172" i="5"/>
  <c r="CW113" i="5"/>
  <c r="CO94" i="18" s="1"/>
  <c r="BX482" i="5"/>
  <c r="BX479" i="5"/>
  <c r="BP366" i="18" s="1"/>
  <c r="BX483" i="5"/>
  <c r="BP365" i="18" s="1"/>
  <c r="BX481" i="5"/>
  <c r="BE123" i="5"/>
  <c r="AW105" i="18" s="1"/>
  <c r="BE121" i="5"/>
  <c r="AW103" i="18" s="1"/>
  <c r="BA121" i="5"/>
  <c r="AS103" i="18" s="1"/>
  <c r="CT469" i="5"/>
  <c r="BR168" i="5"/>
  <c r="BJ134" i="18" s="1"/>
  <c r="BS167" i="5"/>
  <c r="CD103" i="5"/>
  <c r="BB111" i="5"/>
  <c r="AT92" i="18" s="1"/>
  <c r="BB110" i="5"/>
  <c r="AT91" i="18" s="1"/>
  <c r="CM108" i="5"/>
  <c r="CE89" i="18" s="1"/>
  <c r="AR514" i="5"/>
  <c r="AR513" i="5"/>
  <c r="AR512" i="5"/>
  <c r="AR511" i="5"/>
  <c r="BP388" i="5"/>
  <c r="BH1280" i="18" s="1"/>
  <c r="BP390" i="5"/>
  <c r="CB58" i="5"/>
  <c r="CB52" i="5"/>
  <c r="AQ183" i="5"/>
  <c r="AQ179" i="5"/>
  <c r="AQ189" i="5"/>
  <c r="AQ185" i="5"/>
  <c r="BQ504" i="5"/>
  <c r="CV466" i="5"/>
  <c r="CN352" i="18" s="1"/>
  <c r="BQ470" i="5"/>
  <c r="BI355" i="18" s="1"/>
  <c r="BQ469" i="5"/>
  <c r="AP355" i="5"/>
  <c r="BR514" i="5"/>
  <c r="BR513" i="5"/>
  <c r="BR512" i="5"/>
  <c r="BR511" i="5"/>
  <c r="BJ371" i="18" s="1"/>
  <c r="BW639" i="5"/>
  <c r="BO482" i="18" s="1"/>
  <c r="BW638" i="5"/>
  <c r="BO481" i="18" s="1"/>
  <c r="BW637" i="5"/>
  <c r="BO480" i="18" s="1"/>
  <c r="BW636" i="5"/>
  <c r="BO479" i="18" s="1"/>
  <c r="BW635" i="5"/>
  <c r="BO478" i="18" s="1"/>
  <c r="BW562" i="5"/>
  <c r="BO408" i="18" s="1"/>
  <c r="BW182" i="5"/>
  <c r="BO148" i="18" s="1"/>
  <c r="BW22" i="5"/>
  <c r="BO14" i="18" s="1"/>
  <c r="BW39" i="5"/>
  <c r="CR13" i="5"/>
  <c r="CJ6" i="18" s="1"/>
  <c r="AM216" i="5"/>
  <c r="AR332" i="5"/>
  <c r="BE189" i="5"/>
  <c r="AW155" i="18" s="1"/>
  <c r="BE183" i="5"/>
  <c r="BE185" i="5"/>
  <c r="AW151" i="18" s="1"/>
  <c r="AR454" i="5"/>
  <c r="AS32" i="5"/>
  <c r="AS33" i="5" s="1"/>
  <c r="AS34" i="5"/>
  <c r="AW34" i="5"/>
  <c r="AW32" i="5"/>
  <c r="AW33" i="5" s="1"/>
  <c r="AK189" i="5"/>
  <c r="AK183" i="5"/>
  <c r="AK184" i="5" s="1"/>
  <c r="AK185" i="5"/>
  <c r="BM25" i="5"/>
  <c r="BE17" i="18" s="1"/>
  <c r="BA522" i="5"/>
  <c r="AS561" i="18" s="1"/>
  <c r="BA428" i="5"/>
  <c r="AS1036" i="18" s="1"/>
  <c r="BA437" i="5"/>
  <c r="AS1041" i="18" s="1"/>
  <c r="BA287" i="5"/>
  <c r="AS244" i="18" s="1"/>
  <c r="BA73" i="5"/>
  <c r="AS60" i="18" s="1"/>
  <c r="BA42" i="5"/>
  <c r="BA40" i="5"/>
  <c r="AS33" i="18" s="1"/>
  <c r="BA55" i="5"/>
  <c r="BA43" i="5"/>
  <c r="AS35" i="18" s="1"/>
  <c r="BA49" i="5"/>
  <c r="BA347" i="5"/>
  <c r="AS297" i="18" s="1"/>
  <c r="BT185" i="5"/>
  <c r="BL151" i="18" s="1"/>
  <c r="BT189" i="5"/>
  <c r="BT183" i="5"/>
  <c r="BL428" i="5"/>
  <c r="BD1036" i="18" s="1"/>
  <c r="BL258" i="5"/>
  <c r="BL260" i="5" s="1"/>
  <c r="BL73" i="5"/>
  <c r="BD60" i="18" s="1"/>
  <c r="BL79" i="5"/>
  <c r="BD70" i="18" s="1"/>
  <c r="BL49" i="5"/>
  <c r="BL43" i="5"/>
  <c r="BD35" i="18" s="1"/>
  <c r="BL40" i="5"/>
  <c r="BD33" i="18" s="1"/>
  <c r="BL55" i="5"/>
  <c r="BD42" i="18" s="1"/>
  <c r="AG80" i="5"/>
  <c r="AG87" i="5"/>
  <c r="AG88" i="5" s="1"/>
  <c r="BS58" i="5"/>
  <c r="BK44" i="18" s="1"/>
  <c r="BS52" i="5"/>
  <c r="BK39" i="18" s="1"/>
  <c r="CS13" i="5"/>
  <c r="CK6" i="18" s="1"/>
  <c r="BP513" i="5"/>
  <c r="BP511" i="5"/>
  <c r="BH371" i="18" s="1"/>
  <c r="BP514" i="5"/>
  <c r="BP512" i="5"/>
  <c r="CF470" i="5"/>
  <c r="BX355" i="18" s="1"/>
  <c r="CF65" i="5"/>
  <c r="BX53" i="18" s="1"/>
  <c r="AW468" i="5"/>
  <c r="AO338" i="5"/>
  <c r="CP53" i="5"/>
  <c r="AU429" i="5"/>
  <c r="AU431" i="5" s="1"/>
  <c r="AU432" i="5" s="1"/>
  <c r="AU433" i="5" s="1"/>
  <c r="CR478" i="5"/>
  <c r="BA483" i="5"/>
  <c r="AS365" i="18" s="1"/>
  <c r="BA479" i="5"/>
  <c r="BA481" i="5"/>
  <c r="BA482" i="5"/>
  <c r="CR181" i="5"/>
  <c r="BA299" i="5"/>
  <c r="AS257" i="18" s="1"/>
  <c r="BA215" i="5"/>
  <c r="AS182" i="18" s="1"/>
  <c r="BJ331" i="5"/>
  <c r="BB287" i="18" s="1"/>
  <c r="AR25" i="5"/>
  <c r="AY6" i="5"/>
  <c r="CC697" i="5"/>
  <c r="CY697" i="5" s="1"/>
  <c r="CX699" i="5"/>
  <c r="CA532" i="5"/>
  <c r="BR566" i="5"/>
  <c r="BR570" i="5" s="1"/>
  <c r="BR631" i="5"/>
  <c r="AZ349" i="5"/>
  <c r="AZ348" i="5"/>
  <c r="AX381" i="5"/>
  <c r="AX380" i="5"/>
  <c r="AS419" i="5"/>
  <c r="AS415" i="5"/>
  <c r="AW420" i="5"/>
  <c r="AW423" i="5" s="1"/>
  <c r="AQ404" i="5"/>
  <c r="AQ405" i="5" s="1"/>
  <c r="AQ383" i="5"/>
  <c r="AQ362" i="5"/>
  <c r="AQ363" i="5" s="1"/>
  <c r="AI404" i="5"/>
  <c r="AI362" i="5"/>
  <c r="AI363" i="5" s="1"/>
  <c r="BO404" i="5"/>
  <c r="BO383" i="5"/>
  <c r="BG1275" i="18" s="1"/>
  <c r="BN481" i="5"/>
  <c r="BN482" i="5"/>
  <c r="BN483" i="5"/>
  <c r="BF365" i="18" s="1"/>
  <c r="BN501" i="5"/>
  <c r="BN502" i="5"/>
  <c r="CP380" i="5"/>
  <c r="BJ401" i="5"/>
  <c r="BB1287" i="18" s="1"/>
  <c r="BS401" i="5"/>
  <c r="BK1287" i="18" s="1"/>
  <c r="BS402" i="5"/>
  <c r="BK1288" i="18" s="1"/>
  <c r="CB483" i="5"/>
  <c r="BT365" i="18" s="1"/>
  <c r="CB481" i="5"/>
  <c r="CF478" i="5"/>
  <c r="BX364" i="18" s="1"/>
  <c r="CB479" i="5"/>
  <c r="CB482" i="5"/>
  <c r="CB487" i="5"/>
  <c r="BT379" i="18" s="1"/>
  <c r="CB489" i="5"/>
  <c r="BT381" i="18" s="1"/>
  <c r="CB488" i="5"/>
  <c r="BT380" i="18" s="1"/>
  <c r="AU380" i="5"/>
  <c r="AU381" i="5"/>
  <c r="BP752" i="5"/>
  <c r="CR475" i="5"/>
  <c r="BH121" i="5"/>
  <c r="AZ103" i="18" s="1"/>
  <c r="AX34" i="5"/>
  <c r="AX32" i="5"/>
  <c r="AK52" i="5"/>
  <c r="AK58" i="5"/>
  <c r="BD514" i="5"/>
  <c r="BD513" i="5"/>
  <c r="BD512" i="5"/>
  <c r="BD511" i="5"/>
  <c r="AV371" i="18" s="1"/>
  <c r="CO204" i="5"/>
  <c r="CF103" i="5"/>
  <c r="BX84" i="18" s="1"/>
  <c r="AU34" i="5"/>
  <c r="AU32" i="5"/>
  <c r="AU33" i="5" s="1"/>
  <c r="CS168" i="5"/>
  <c r="CK134" i="18" s="1"/>
  <c r="AU461" i="5"/>
  <c r="AU462" i="5"/>
  <c r="AU459" i="5"/>
  <c r="BT58" i="5"/>
  <c r="BT52" i="5"/>
  <c r="BL39" i="18" s="1"/>
  <c r="CW71" i="5"/>
  <c r="CO58" i="18" s="1"/>
  <c r="CC104" i="5"/>
  <c r="BU85" i="18" s="1"/>
  <c r="CC115" i="5"/>
  <c r="BU96" i="18" s="1"/>
  <c r="BM522" i="5"/>
  <c r="BE561" i="18" s="1"/>
  <c r="BM428" i="5"/>
  <c r="BE1036" i="18" s="1"/>
  <c r="BM258" i="5"/>
  <c r="BM260" i="5" s="1"/>
  <c r="BM79" i="5"/>
  <c r="BE70" i="18" s="1"/>
  <c r="BM73" i="5"/>
  <c r="BE60" i="18" s="1"/>
  <c r="BM55" i="5"/>
  <c r="BE42" i="18" s="1"/>
  <c r="BM43" i="5"/>
  <c r="BE35" i="18" s="1"/>
  <c r="BM42" i="5"/>
  <c r="BQ45" i="5"/>
  <c r="BI1317" i="18" s="1"/>
  <c r="BM49" i="5"/>
  <c r="BE37" i="18" s="1"/>
  <c r="AL56" i="5"/>
  <c r="BS639" i="5"/>
  <c r="BK482" i="18" s="1"/>
  <c r="BS637" i="5"/>
  <c r="BK480" i="18" s="1"/>
  <c r="BS635" i="5"/>
  <c r="BK478" i="18" s="1"/>
  <c r="BS636" i="5"/>
  <c r="BK479" i="18" s="1"/>
  <c r="BS638" i="5"/>
  <c r="BK481" i="18" s="1"/>
  <c r="BS562" i="5"/>
  <c r="BK408" i="18" s="1"/>
  <c r="BS182" i="5"/>
  <c r="BK148" i="18" s="1"/>
  <c r="BS24" i="5"/>
  <c r="BK16" i="18" s="1"/>
  <c r="BS22" i="5"/>
  <c r="BK14" i="18" s="1"/>
  <c r="BS39" i="5"/>
  <c r="CP168" i="5"/>
  <c r="CV538" i="5"/>
  <c r="DG67" i="5"/>
  <c r="CY55" i="18" s="1"/>
  <c r="BU486" i="5"/>
  <c r="BM378" i="18" s="1"/>
  <c r="BU455" i="5"/>
  <c r="BM342" i="18" s="1"/>
  <c r="BU456" i="5"/>
  <c r="BM343" i="18" s="1"/>
  <c r="CW452" i="5"/>
  <c r="BU453" i="5"/>
  <c r="BM340" i="18" s="1"/>
  <c r="AW83" i="5"/>
  <c r="AW74" i="5"/>
  <c r="AW438" i="5"/>
  <c r="AW440" i="5" s="1"/>
  <c r="AW447" i="5"/>
  <c r="AO83" i="5"/>
  <c r="AO74" i="5"/>
  <c r="CV562" i="5"/>
  <c r="CN408" i="18" s="1"/>
  <c r="DG21" i="5"/>
  <c r="CY13" i="18" s="1"/>
  <c r="BX522" i="5"/>
  <c r="BP561" i="18" s="1"/>
  <c r="BX530" i="5"/>
  <c r="BX428" i="5"/>
  <c r="BP1036" i="18" s="1"/>
  <c r="BX258" i="5"/>
  <c r="BX260" i="5" s="1"/>
  <c r="BX73" i="5"/>
  <c r="BX79" i="5"/>
  <c r="BP70" i="18" s="1"/>
  <c r="CB45" i="5"/>
  <c r="BT1317" i="18" s="1"/>
  <c r="BX55" i="5"/>
  <c r="BX43" i="5"/>
  <c r="BP35" i="18" s="1"/>
  <c r="BX40" i="5"/>
  <c r="BP33" i="18" s="1"/>
  <c r="BG690" i="5"/>
  <c r="BV696" i="5"/>
  <c r="BH524" i="5"/>
  <c r="BH529" i="5"/>
  <c r="BH530" i="5" s="1"/>
  <c r="BH522" i="5"/>
  <c r="AZ561" i="18" s="1"/>
  <c r="CV636" i="5"/>
  <c r="CN479" i="18" s="1"/>
  <c r="BQ532" i="5"/>
  <c r="CP474" i="5"/>
  <c r="AS393" i="5"/>
  <c r="BI390" i="5"/>
  <c r="BI388" i="5"/>
  <c r="BA1280" i="18" s="1"/>
  <c r="BL388" i="5"/>
  <c r="BD1280" i="18" s="1"/>
  <c r="BL390" i="5"/>
  <c r="AS384" i="5"/>
  <c r="CN413" i="5"/>
  <c r="CN336" i="5"/>
  <c r="CN337" i="5"/>
  <c r="CN361" i="5"/>
  <c r="AY392" i="5"/>
  <c r="AA363" i="5"/>
  <c r="BC209" i="5"/>
  <c r="AU176" i="18" s="1"/>
  <c r="CX209" i="5"/>
  <c r="CP176" i="18" s="1"/>
  <c r="CX207" i="5"/>
  <c r="BG255" i="5"/>
  <c r="AY218" i="18" s="1"/>
  <c r="CP253" i="5"/>
  <c r="CP254" i="5" s="1"/>
  <c r="CP251" i="5"/>
  <c r="CP252" i="5" s="1"/>
  <c r="BO488" i="5"/>
  <c r="BG380" i="18" s="1"/>
  <c r="BO487" i="5"/>
  <c r="BG379" i="18" s="1"/>
  <c r="BW383" i="5"/>
  <c r="BO1275" i="18" s="1"/>
  <c r="BW404" i="5"/>
  <c r="BG404" i="5"/>
  <c r="BG383" i="5"/>
  <c r="AY1275" i="18" s="1"/>
  <c r="CP458" i="5"/>
  <c r="BV456" i="5"/>
  <c r="BN343" i="18" s="1"/>
  <c r="BF402" i="5"/>
  <c r="AX1288" i="18" s="1"/>
  <c r="BN413" i="5"/>
  <c r="BF306" i="18" s="1"/>
  <c r="AN468" i="5"/>
  <c r="CQ355" i="5"/>
  <c r="BS505" i="5"/>
  <c r="BS506" i="5"/>
  <c r="BK380" i="5"/>
  <c r="BC1272" i="18" s="1"/>
  <c r="CE336" i="5"/>
  <c r="BW292" i="18" s="1"/>
  <c r="CE61" i="5"/>
  <c r="BW49" i="18" s="1"/>
  <c r="CV283" i="5"/>
  <c r="CN240" i="18" s="1"/>
  <c r="CV242" i="5"/>
  <c r="CV250" i="5"/>
  <c r="CN215" i="18" s="1"/>
  <c r="BZ510" i="5"/>
  <c r="BR370" i="18" s="1"/>
  <c r="CX69" i="5"/>
  <c r="CP56" i="18" s="1"/>
  <c r="AO464" i="5"/>
  <c r="BK388" i="5"/>
  <c r="BC1280" i="18" s="1"/>
  <c r="BK208" i="5"/>
  <c r="BC175" i="18" s="1"/>
  <c r="BQ752" i="5"/>
  <c r="CU113" i="5"/>
  <c r="CM94" i="18" s="1"/>
  <c r="BM115" i="5"/>
  <c r="BE96" i="18" s="1"/>
  <c r="BM116" i="5"/>
  <c r="BE97" i="18" s="1"/>
  <c r="BT482" i="5"/>
  <c r="BT481" i="5"/>
  <c r="BT483" i="5"/>
  <c r="BL365" i="18" s="1"/>
  <c r="BT479" i="5"/>
  <c r="BL366" i="18" s="1"/>
  <c r="BX467" i="5"/>
  <c r="BP353" i="18" s="1"/>
  <c r="AQ419" i="5"/>
  <c r="AU420" i="5"/>
  <c r="AQ415" i="5"/>
  <c r="AQ416" i="5" s="1"/>
  <c r="BW677" i="5"/>
  <c r="BX669" i="5"/>
  <c r="BW557" i="5"/>
  <c r="BT669" i="5"/>
  <c r="BS677" i="5"/>
  <c r="BS557" i="5"/>
  <c r="AS468" i="5"/>
  <c r="BN390" i="5"/>
  <c r="AJ362" i="5"/>
  <c r="AJ363" i="5" s="1"/>
  <c r="AJ404" i="5"/>
  <c r="AQ390" i="5"/>
  <c r="AQ388" i="5"/>
  <c r="AQ389" i="5" s="1"/>
  <c r="AX519" i="5"/>
  <c r="AN87" i="5"/>
  <c r="AN80" i="5"/>
  <c r="AN124" i="5"/>
  <c r="BH476" i="5"/>
  <c r="AZ361" i="18" s="1"/>
  <c r="BH473" i="5"/>
  <c r="BH475" i="5"/>
  <c r="BY111" i="5"/>
  <c r="BQ92" i="18" s="1"/>
  <c r="CX108" i="5"/>
  <c r="CP89" i="18" s="1"/>
  <c r="BY110" i="5"/>
  <c r="BQ91" i="18" s="1"/>
  <c r="CC108" i="5"/>
  <c r="BU89" i="18" s="1"/>
  <c r="BU131" i="5"/>
  <c r="AP121" i="5"/>
  <c r="AL34" i="5"/>
  <c r="AL32" i="5"/>
  <c r="AL33" i="5" s="1"/>
  <c r="BO639" i="5"/>
  <c r="BG482" i="18" s="1"/>
  <c r="BO638" i="5"/>
  <c r="BG481" i="18" s="1"/>
  <c r="BO637" i="5"/>
  <c r="BG480" i="18" s="1"/>
  <c r="BO636" i="5"/>
  <c r="BG479" i="18" s="1"/>
  <c r="BO635" i="5"/>
  <c r="BG478" i="18" s="1"/>
  <c r="BO562" i="5"/>
  <c r="BG408" i="18" s="1"/>
  <c r="BO182" i="5"/>
  <c r="BG148" i="18" s="1"/>
  <c r="BO24" i="5"/>
  <c r="BG16" i="18" s="1"/>
  <c r="BO39" i="5"/>
  <c r="BG32" i="18" s="1"/>
  <c r="BO22" i="5"/>
  <c r="BG14" i="18" s="1"/>
  <c r="BB639" i="5"/>
  <c r="AT482" i="18" s="1"/>
  <c r="BB638" i="5"/>
  <c r="AT481" i="18" s="1"/>
  <c r="BB637" i="5"/>
  <c r="AT480" i="18" s="1"/>
  <c r="BB636" i="5"/>
  <c r="AT479" i="18" s="1"/>
  <c r="BB635" i="5"/>
  <c r="AT478" i="18" s="1"/>
  <c r="BB182" i="5"/>
  <c r="AT148" i="18" s="1"/>
  <c r="BB24" i="5"/>
  <c r="BB31" i="5"/>
  <c r="AT23" i="18" s="1"/>
  <c r="BB22" i="5"/>
  <c r="AT14" i="18" s="1"/>
  <c r="BB39" i="5"/>
  <c r="AT32" i="18" s="1"/>
  <c r="BY413" i="5"/>
  <c r="BQ306" i="18" s="1"/>
  <c r="BY361" i="5"/>
  <c r="BY336" i="5"/>
  <c r="BQ292" i="18" s="1"/>
  <c r="CX335" i="5"/>
  <c r="CP291" i="18" s="1"/>
  <c r="CC335" i="5"/>
  <c r="BU291" i="18" s="1"/>
  <c r="BY339" i="5"/>
  <c r="AS479" i="5"/>
  <c r="AS480" i="5" s="1"/>
  <c r="AS473" i="5"/>
  <c r="AS474" i="5" s="1"/>
  <c r="AS437" i="5"/>
  <c r="AS428" i="5"/>
  <c r="AS347" i="5"/>
  <c r="AS287" i="5"/>
  <c r="AS337" i="5"/>
  <c r="AS338" i="5" s="1"/>
  <c r="AS332" i="5"/>
  <c r="AS362" i="5"/>
  <c r="AS363" i="5" s="1"/>
  <c r="AS73" i="5"/>
  <c r="AS79" i="5"/>
  <c r="AS42" i="5"/>
  <c r="AS40" i="5"/>
  <c r="AS43" i="5"/>
  <c r="AS55" i="5"/>
  <c r="AS56" i="5" s="1"/>
  <c r="AS44" i="5"/>
  <c r="AS49" i="5"/>
  <c r="AS50" i="5" s="1"/>
  <c r="AW43" i="5"/>
  <c r="BA189" i="5"/>
  <c r="AS155" i="18" s="1"/>
  <c r="BA185" i="5"/>
  <c r="AS151" i="18" s="1"/>
  <c r="BA183" i="5"/>
  <c r="BP25" i="5"/>
  <c r="BH17" i="18" s="1"/>
  <c r="CV718" i="5"/>
  <c r="BO713" i="5"/>
  <c r="BO716" i="5"/>
  <c r="BO718" i="5" s="1"/>
  <c r="CS684" i="5"/>
  <c r="BL631" i="5"/>
  <c r="BL566" i="5"/>
  <c r="BL570" i="5" s="1"/>
  <c r="CV522" i="5"/>
  <c r="CN561" i="18" s="1"/>
  <c r="BV532" i="5"/>
  <c r="BR532" i="5"/>
  <c r="AK454" i="5"/>
  <c r="AP381" i="5"/>
  <c r="AP380" i="5"/>
  <c r="AN420" i="5"/>
  <c r="AN423" i="5" s="1"/>
  <c r="AJ419" i="5"/>
  <c r="AJ415" i="5"/>
  <c r="AJ416" i="5" s="1"/>
  <c r="BM388" i="5"/>
  <c r="BM390" i="5"/>
  <c r="AO404" i="5"/>
  <c r="AO362" i="5"/>
  <c r="AO383" i="5"/>
  <c r="AF415" i="5"/>
  <c r="AF419" i="5"/>
  <c r="AW255" i="5"/>
  <c r="AW251" i="5"/>
  <c r="AW252" i="5" s="1"/>
  <c r="BV514" i="5"/>
  <c r="BV512" i="5"/>
  <c r="BV513" i="5"/>
  <c r="BV511" i="5"/>
  <c r="BN371" i="18" s="1"/>
  <c r="BN476" i="5"/>
  <c r="BF361" i="18" s="1"/>
  <c r="BF456" i="5"/>
  <c r="AX343" i="18" s="1"/>
  <c r="BF383" i="5"/>
  <c r="AX1275" i="18" s="1"/>
  <c r="BF362" i="5"/>
  <c r="BF404" i="5"/>
  <c r="AU180" i="5"/>
  <c r="AU179" i="5" s="1"/>
  <c r="AU295" i="5"/>
  <c r="BW110" i="5"/>
  <c r="BO91" i="18" s="1"/>
  <c r="BW111" i="5"/>
  <c r="BO92" i="18" s="1"/>
  <c r="CA111" i="5"/>
  <c r="BS92" i="18" s="1"/>
  <c r="BH131" i="5"/>
  <c r="CX472" i="5"/>
  <c r="BY475" i="5"/>
  <c r="BY476" i="5"/>
  <c r="BQ361" i="18" s="1"/>
  <c r="CX346" i="5"/>
  <c r="CP296" i="18" s="1"/>
  <c r="BY379" i="5"/>
  <c r="BQ1271" i="18" s="1"/>
  <c r="BY353" i="5"/>
  <c r="BY350" i="5"/>
  <c r="BQ300" i="18" s="1"/>
  <c r="BY400" i="5"/>
  <c r="BQ1286" i="18" s="1"/>
  <c r="BY351" i="5"/>
  <c r="BQ301" i="18" s="1"/>
  <c r="BY352" i="5"/>
  <c r="BY387" i="5"/>
  <c r="BQ1279" i="18" s="1"/>
  <c r="AT203" i="5"/>
  <c r="AT278" i="5"/>
  <c r="AT279" i="5" s="1"/>
  <c r="BH115" i="5"/>
  <c r="AZ96" i="18" s="1"/>
  <c r="BH116" i="5"/>
  <c r="AZ97" i="18" s="1"/>
  <c r="CS113" i="5"/>
  <c r="CR113" i="5"/>
  <c r="CJ94" i="18" s="1"/>
  <c r="BL116" i="5"/>
  <c r="BD97" i="18" s="1"/>
  <c r="BI500" i="5"/>
  <c r="CT458" i="5"/>
  <c r="CL345" i="18" s="1"/>
  <c r="BI461" i="5"/>
  <c r="BA349" i="18" s="1"/>
  <c r="BI462" i="5"/>
  <c r="BA348" i="18" s="1"/>
  <c r="BM379" i="5"/>
  <c r="BE1271" i="18" s="1"/>
  <c r="BM354" i="5"/>
  <c r="BE302" i="18" s="1"/>
  <c r="BM351" i="5"/>
  <c r="BE301" i="18" s="1"/>
  <c r="BQ352" i="5"/>
  <c r="BM353" i="5"/>
  <c r="BM352" i="5"/>
  <c r="BM400" i="5"/>
  <c r="BE1286" i="18" s="1"/>
  <c r="CU346" i="5"/>
  <c r="CM296" i="18" s="1"/>
  <c r="BM369" i="5"/>
  <c r="BQ379" i="5"/>
  <c r="BQ350" i="5"/>
  <c r="BI300" i="18" s="1"/>
  <c r="BM350" i="5"/>
  <c r="BE300" i="18" s="1"/>
  <c r="BQ387" i="5"/>
  <c r="BI1279" i="18" s="1"/>
  <c r="AX255" i="5"/>
  <c r="BO514" i="5"/>
  <c r="BO513" i="5"/>
  <c r="BO512" i="5"/>
  <c r="BO511" i="5"/>
  <c r="BG371" i="18" s="1"/>
  <c r="AR34" i="5"/>
  <c r="AR32" i="5"/>
  <c r="AR33" i="5" s="1"/>
  <c r="AV34" i="5"/>
  <c r="AV32" i="5"/>
  <c r="AV33" i="5" s="1"/>
  <c r="AP34" i="5"/>
  <c r="AP32" i="5"/>
  <c r="AP33" i="5" s="1"/>
  <c r="BP482" i="5"/>
  <c r="BP479" i="5"/>
  <c r="BP481" i="5"/>
  <c r="BP483" i="5"/>
  <c r="BH365" i="18" s="1"/>
  <c r="BU58" i="5"/>
  <c r="BU52" i="5"/>
  <c r="AR355" i="5"/>
  <c r="BY121" i="5"/>
  <c r="BQ103" i="18" s="1"/>
  <c r="BE131" i="5"/>
  <c r="CS134" i="5"/>
  <c r="BL58" i="5"/>
  <c r="BP59" i="5" s="1"/>
  <c r="BH45" i="18" s="1"/>
  <c r="BL52" i="5"/>
  <c r="BA467" i="5"/>
  <c r="BA470" i="5"/>
  <c r="AS355" i="18" s="1"/>
  <c r="CR466" i="5"/>
  <c r="CJ352" i="18" s="1"/>
  <c r="BA469" i="5"/>
  <c r="BU413" i="5"/>
  <c r="BM306" i="18" s="1"/>
  <c r="BU361" i="5"/>
  <c r="BU337" i="5"/>
  <c r="BM293" i="18" s="1"/>
  <c r="CW335" i="5"/>
  <c r="CO291" i="18" s="1"/>
  <c r="BU339" i="5"/>
  <c r="BU336" i="5"/>
  <c r="BM292" i="18" s="1"/>
  <c r="AQ447" i="5"/>
  <c r="AQ438" i="5"/>
  <c r="AQ440" i="5" s="1"/>
  <c r="AQ441" i="5"/>
  <c r="AQ442" i="5" s="1"/>
  <c r="AR289" i="5"/>
  <c r="AR216" i="5"/>
  <c r="CV71" i="5"/>
  <c r="DG61" i="5"/>
  <c r="CY49" i="18" s="1"/>
  <c r="CP34" i="5"/>
  <c r="CP32" i="5"/>
  <c r="CP33" i="5" s="1"/>
  <c r="CQ639" i="5"/>
  <c r="CQ638" i="5"/>
  <c r="CQ637" i="5"/>
  <c r="CQ636" i="5"/>
  <c r="CQ635" i="5"/>
  <c r="CQ562" i="5"/>
  <c r="CQ39" i="5"/>
  <c r="CQ473" i="5" s="1"/>
  <c r="CQ474" i="5" s="1"/>
  <c r="CQ31" i="5"/>
  <c r="CQ22" i="5"/>
  <c r="CQ24" i="5"/>
  <c r="BM22" i="5"/>
  <c r="BE14" i="18" s="1"/>
  <c r="CB428" i="5"/>
  <c r="BT1036" i="18" s="1"/>
  <c r="CB258" i="5"/>
  <c r="CB260" i="5" s="1"/>
  <c r="CB261" i="5" s="1"/>
  <c r="CB73" i="5"/>
  <c r="BT60" i="18" s="1"/>
  <c r="CB79" i="5"/>
  <c r="BT70" i="18" s="1"/>
  <c r="CB43" i="5"/>
  <c r="BT35" i="18" s="1"/>
  <c r="CB42" i="5"/>
  <c r="CB40" i="5"/>
  <c r="BT33" i="18" s="1"/>
  <c r="CB55" i="5"/>
  <c r="BD522" i="5"/>
  <c r="AV561" i="18" s="1"/>
  <c r="BD437" i="5"/>
  <c r="AV1041" i="18" s="1"/>
  <c r="BD428" i="5"/>
  <c r="AV1036" i="18" s="1"/>
  <c r="BD287" i="5"/>
  <c r="AV244" i="18" s="1"/>
  <c r="BD73" i="5"/>
  <c r="AV60" i="18" s="1"/>
  <c r="BD49" i="5"/>
  <c r="AV37" i="18" s="1"/>
  <c r="BD55" i="5"/>
  <c r="AV42" i="18" s="1"/>
  <c r="BD40" i="5"/>
  <c r="BD43" i="5"/>
  <c r="AV35" i="18" s="1"/>
  <c r="BU504" i="5"/>
  <c r="BU470" i="5"/>
  <c r="BM355" i="18" s="1"/>
  <c r="CW466" i="5"/>
  <c r="CO352" i="18" s="1"/>
  <c r="BU467" i="5"/>
  <c r="BU469" i="5"/>
  <c r="CR21" i="5"/>
  <c r="CR29" i="5"/>
  <c r="CJ21" i="18" s="1"/>
  <c r="CV478" i="5"/>
  <c r="BQ483" i="5"/>
  <c r="BI365" i="18" s="1"/>
  <c r="BQ482" i="5"/>
  <c r="BQ479" i="5"/>
  <c r="BI366" i="18" s="1"/>
  <c r="BQ481" i="5"/>
  <c r="CB467" i="5"/>
  <c r="BT353" i="18" s="1"/>
  <c r="AW80" i="5"/>
  <c r="AW87" i="5"/>
  <c r="AO332" i="5"/>
  <c r="AO333" i="5" s="1"/>
  <c r="CV58" i="5"/>
  <c r="CN44" i="18" s="1"/>
  <c r="DG29" i="5"/>
  <c r="CY21" i="18" s="1"/>
  <c r="CV52" i="5"/>
  <c r="CN39" i="18" s="1"/>
  <c r="AR50" i="5"/>
  <c r="CR712" i="5"/>
  <c r="CR717" i="5" s="1"/>
  <c r="CR713" i="5"/>
  <c r="CR716" i="5"/>
  <c r="CT688" i="5"/>
  <c r="CV716" i="5"/>
  <c r="CS718" i="5"/>
  <c r="BX660" i="5"/>
  <c r="BX664" i="5" s="1"/>
  <c r="BX666" i="5" s="1"/>
  <c r="BW664" i="5"/>
  <c r="BW666" i="5" s="1"/>
  <c r="CP717" i="5"/>
  <c r="CP718" i="5" s="1"/>
  <c r="BL541" i="5"/>
  <c r="BL521" i="5"/>
  <c r="CS672" i="5"/>
  <c r="BY696" i="5"/>
  <c r="BY698" i="5" s="1"/>
  <c r="BZ664" i="5"/>
  <c r="BZ666" i="5" s="1"/>
  <c r="CA660" i="5"/>
  <c r="CS649" i="5"/>
  <c r="CV638" i="5"/>
  <c r="CN481" i="18" s="1"/>
  <c r="CD663" i="5"/>
  <c r="CE611" i="5"/>
  <c r="CE114" i="5"/>
  <c r="CD114" i="5"/>
  <c r="CD115" i="5" s="1"/>
  <c r="BV96" i="18" s="1"/>
  <c r="BG596" i="5"/>
  <c r="BG515" i="5"/>
  <c r="BH595" i="5"/>
  <c r="BG677" i="5"/>
  <c r="BH669" i="5"/>
  <c r="CW561" i="5"/>
  <c r="CT561" i="5"/>
  <c r="BU532" i="5"/>
  <c r="BU530" i="5"/>
  <c r="CW532" i="5"/>
  <c r="BJ631" i="5"/>
  <c r="BJ566" i="5"/>
  <c r="BJ570" i="5" s="1"/>
  <c r="CB522" i="5"/>
  <c r="BT561" i="18" s="1"/>
  <c r="AK473" i="5"/>
  <c r="AK474" i="5" s="1"/>
  <c r="AL454" i="5"/>
  <c r="CP475" i="5"/>
  <c r="CP453" i="5"/>
  <c r="CP454" i="5" s="1"/>
  <c r="CP455" i="5"/>
  <c r="AS453" i="5"/>
  <c r="AS454" i="5" s="1"/>
  <c r="AQ480" i="5"/>
  <c r="BZ388" i="5"/>
  <c r="BR1280" i="18" s="1"/>
  <c r="BZ390" i="5"/>
  <c r="AS402" i="5"/>
  <c r="AS401" i="5"/>
  <c r="AV388" i="5"/>
  <c r="AV389" i="5" s="1"/>
  <c r="AZ388" i="5"/>
  <c r="AR1280" i="18" s="1"/>
  <c r="AV390" i="5"/>
  <c r="AT402" i="5"/>
  <c r="AT401" i="5"/>
  <c r="BF390" i="5"/>
  <c r="BF388" i="5"/>
  <c r="AX1280" i="18" s="1"/>
  <c r="AZ380" i="5"/>
  <c r="AR1272" i="18" s="1"/>
  <c r="AZ381" i="5"/>
  <c r="AR1273" i="18" s="1"/>
  <c r="AH402" i="5"/>
  <c r="AK337" i="5"/>
  <c r="AK338" i="5" s="1"/>
  <c r="CC324" i="5"/>
  <c r="CC326" i="5" s="1"/>
  <c r="CY319" i="5"/>
  <c r="CC37" i="5"/>
  <c r="CC18" i="5"/>
  <c r="AZ337" i="5"/>
  <c r="AZ338" i="5" s="1"/>
  <c r="AO454" i="5"/>
  <c r="AO349" i="5"/>
  <c r="AO348" i="5"/>
  <c r="AS364" i="5"/>
  <c r="BJ251" i="5"/>
  <c r="BB216" i="18" s="1"/>
  <c r="AW180" i="5"/>
  <c r="AW179" i="5" s="1"/>
  <c r="CX170" i="5"/>
  <c r="CP136" i="18" s="1"/>
  <c r="CC167" i="5"/>
  <c r="BU133" i="18" s="1"/>
  <c r="AO203" i="5"/>
  <c r="AO278" i="5"/>
  <c r="AQ401" i="5"/>
  <c r="AQ402" i="5"/>
  <c r="BU243" i="5"/>
  <c r="BM210" i="18" s="1"/>
  <c r="AK238" i="5"/>
  <c r="AK180" i="5"/>
  <c r="AP301" i="5"/>
  <c r="AN180" i="5"/>
  <c r="AN179" i="5" s="1"/>
  <c r="CV209" i="5"/>
  <c r="CN176" i="18" s="1"/>
  <c r="CV207" i="5"/>
  <c r="AX388" i="5"/>
  <c r="AX389" i="5" s="1"/>
  <c r="BB238" i="5"/>
  <c r="BZ208" i="5"/>
  <c r="BR175" i="18" s="1"/>
  <c r="AY514" i="5"/>
  <c r="AY512" i="5"/>
  <c r="AY511" i="5"/>
  <c r="AY513" i="5"/>
  <c r="BW483" i="5"/>
  <c r="BO365" i="18" s="1"/>
  <c r="BW481" i="5"/>
  <c r="BW482" i="5"/>
  <c r="BO506" i="5"/>
  <c r="BO505" i="5"/>
  <c r="BW502" i="5"/>
  <c r="BW501" i="5"/>
  <c r="BW415" i="5"/>
  <c r="BW419" i="5"/>
  <c r="BO312" i="18" s="1"/>
  <c r="BO415" i="5"/>
  <c r="BG308" i="18" s="1"/>
  <c r="BS419" i="5"/>
  <c r="BK312" i="18" s="1"/>
  <c r="BO419" i="5"/>
  <c r="BG312" i="18" s="1"/>
  <c r="BO255" i="5"/>
  <c r="BG218" i="18" s="1"/>
  <c r="AP512" i="5"/>
  <c r="AP513" i="5"/>
  <c r="AP511" i="5"/>
  <c r="AP514" i="5"/>
  <c r="AK459" i="5"/>
  <c r="AK460" i="5" s="1"/>
  <c r="BV505" i="5"/>
  <c r="BV506" i="5"/>
  <c r="BF415" i="5"/>
  <c r="AX308" i="18" s="1"/>
  <c r="BF419" i="5"/>
  <c r="AX312" i="18" s="1"/>
  <c r="BO110" i="5"/>
  <c r="BG91" i="18" s="1"/>
  <c r="BS111" i="5"/>
  <c r="BK92" i="18" s="1"/>
  <c r="BO111" i="5"/>
  <c r="BG92" i="18" s="1"/>
  <c r="BS501" i="5"/>
  <c r="BS502" i="5"/>
  <c r="BS489" i="5"/>
  <c r="BK381" i="18" s="1"/>
  <c r="BS487" i="5"/>
  <c r="BK379" i="18" s="1"/>
  <c r="BS488" i="5"/>
  <c r="BK380" i="18" s="1"/>
  <c r="BC487" i="5"/>
  <c r="AU379" i="18" s="1"/>
  <c r="BC488" i="5"/>
  <c r="AU380" i="18" s="1"/>
  <c r="BR255" i="5"/>
  <c r="BJ218" i="18" s="1"/>
  <c r="BR251" i="5"/>
  <c r="BR253" i="5"/>
  <c r="CA116" i="5"/>
  <c r="BS97" i="18" s="1"/>
  <c r="CE113" i="5"/>
  <c r="BW94" i="18" s="1"/>
  <c r="CA115" i="5"/>
  <c r="BS96" i="18" s="1"/>
  <c r="BB516" i="5"/>
  <c r="BB517" i="5" s="1"/>
  <c r="BB514" i="5"/>
  <c r="BB513" i="5"/>
  <c r="BB512" i="5"/>
  <c r="BB511" i="5"/>
  <c r="AT371" i="18" s="1"/>
  <c r="BJ481" i="5"/>
  <c r="BJ483" i="5"/>
  <c r="BB365" i="18" s="1"/>
  <c r="BJ482" i="5"/>
  <c r="BB456" i="5"/>
  <c r="AT343" i="18" s="1"/>
  <c r="BB355" i="5"/>
  <c r="BZ419" i="5"/>
  <c r="BR312" i="18" s="1"/>
  <c r="BZ415" i="5"/>
  <c r="BB383" i="5"/>
  <c r="AT1275" i="18" s="1"/>
  <c r="BB404" i="5"/>
  <c r="AM392" i="5"/>
  <c r="BI131" i="5"/>
  <c r="CT134" i="5"/>
  <c r="CL111" i="18" s="1"/>
  <c r="BA752" i="5"/>
  <c r="BH514" i="5"/>
  <c r="BH512" i="5"/>
  <c r="BH511" i="5"/>
  <c r="AZ371" i="18" s="1"/>
  <c r="BH513" i="5"/>
  <c r="BH468" i="5"/>
  <c r="AZ354" i="18" s="1"/>
  <c r="BT453" i="5"/>
  <c r="BX454" i="5" s="1"/>
  <c r="BP341" i="18" s="1"/>
  <c r="BD453" i="5"/>
  <c r="AV340" i="18" s="1"/>
  <c r="BX362" i="5"/>
  <c r="BX383" i="5"/>
  <c r="BP1275" i="18" s="1"/>
  <c r="BX404" i="5"/>
  <c r="AU349" i="5"/>
  <c r="AU348" i="5"/>
  <c r="AU355" i="5"/>
  <c r="AM380" i="5"/>
  <c r="AM381" i="5"/>
  <c r="BS121" i="5"/>
  <c r="BK103" i="18" s="1"/>
  <c r="CV475" i="5"/>
  <c r="BA474" i="5"/>
  <c r="AS360" i="18" s="1"/>
  <c r="BM500" i="5"/>
  <c r="BQ501" i="5" s="1"/>
  <c r="CU458" i="5"/>
  <c r="CM345" i="18" s="1"/>
  <c r="BM461" i="5"/>
  <c r="BE349" i="18" s="1"/>
  <c r="BM462" i="5"/>
  <c r="BE348" i="18" s="1"/>
  <c r="BM459" i="5"/>
  <c r="BE346" i="18" s="1"/>
  <c r="CW475" i="5"/>
  <c r="BY500" i="5"/>
  <c r="CX458" i="5"/>
  <c r="CP345" i="18" s="1"/>
  <c r="BY462" i="5"/>
  <c r="BQ348" i="18" s="1"/>
  <c r="BY461" i="5"/>
  <c r="BQ349" i="18" s="1"/>
  <c r="BE347" i="5"/>
  <c r="AW297" i="18" s="1"/>
  <c r="CK363" i="5"/>
  <c r="AX383" i="5"/>
  <c r="AX404" i="5"/>
  <c r="AX362" i="5"/>
  <c r="AX363" i="5" s="1"/>
  <c r="AP383" i="5"/>
  <c r="AP404" i="5"/>
  <c r="AP362" i="5"/>
  <c r="AP363" i="5" s="1"/>
  <c r="AN301" i="5"/>
  <c r="AS514" i="5"/>
  <c r="AS513" i="5"/>
  <c r="AS511" i="5"/>
  <c r="AS512" i="5"/>
  <c r="BL474" i="5"/>
  <c r="BD360" i="18" s="1"/>
  <c r="BX459" i="5"/>
  <c r="BD355" i="5"/>
  <c r="AZ301" i="5"/>
  <c r="CR106" i="5"/>
  <c r="CJ87" i="18" s="1"/>
  <c r="BE482" i="5"/>
  <c r="BE481" i="5"/>
  <c r="BE479" i="5"/>
  <c r="BE483" i="5"/>
  <c r="AW365" i="18" s="1"/>
  <c r="CS478" i="5"/>
  <c r="BL460" i="5"/>
  <c r="BD347" i="18" s="1"/>
  <c r="BY455" i="5"/>
  <c r="BQ342" i="18" s="1"/>
  <c r="BI486" i="5"/>
  <c r="BI456" i="5"/>
  <c r="BA343" i="18" s="1"/>
  <c r="CT452" i="5"/>
  <c r="CL339" i="18" s="1"/>
  <c r="BI455" i="5"/>
  <c r="BA342" i="18" s="1"/>
  <c r="AG189" i="5"/>
  <c r="AG185" i="5"/>
  <c r="AG179" i="5"/>
  <c r="AV519" i="5"/>
  <c r="AZ185" i="5"/>
  <c r="AZ183" i="5"/>
  <c r="AZ184" i="5" s="1"/>
  <c r="AZ189" i="5"/>
  <c r="AR155" i="18" s="1"/>
  <c r="CP113" i="5"/>
  <c r="BL514" i="5"/>
  <c r="BL513" i="5"/>
  <c r="BL512" i="5"/>
  <c r="BL511" i="5"/>
  <c r="BD371" i="18" s="1"/>
  <c r="AO512" i="5"/>
  <c r="AO514" i="5"/>
  <c r="AO513" i="5"/>
  <c r="AO511" i="5"/>
  <c r="BL301" i="5"/>
  <c r="BD259" i="18" s="1"/>
  <c r="CV539" i="5"/>
  <c r="CN388" i="18" s="1"/>
  <c r="DG104" i="5"/>
  <c r="CR85" i="18" s="1"/>
  <c r="BL273" i="5"/>
  <c r="BH274" i="5"/>
  <c r="CU106" i="5"/>
  <c r="CM87" i="18" s="1"/>
  <c r="BM58" i="5"/>
  <c r="BM52" i="5"/>
  <c r="AR331" i="5"/>
  <c r="AR333" i="5" s="1"/>
  <c r="BM300" i="5"/>
  <c r="CX106" i="5"/>
  <c r="CP87" i="18" s="1"/>
  <c r="BH339" i="5"/>
  <c r="BU752" i="5"/>
  <c r="BR121" i="5"/>
  <c r="BJ103" i="18" s="1"/>
  <c r="AV462" i="5"/>
  <c r="AV464" i="5" s="1"/>
  <c r="AV459" i="5"/>
  <c r="AV460" i="5" s="1"/>
  <c r="AV461" i="5"/>
  <c r="BT401" i="5"/>
  <c r="BL1287" i="18" s="1"/>
  <c r="BP401" i="5"/>
  <c r="BH1287" i="18" s="1"/>
  <c r="BP402" i="5"/>
  <c r="BH1288" i="18" s="1"/>
  <c r="BH355" i="5"/>
  <c r="BH401" i="5"/>
  <c r="AZ1287" i="18" s="1"/>
  <c r="BH402" i="5"/>
  <c r="AZ1288" i="18" s="1"/>
  <c r="BD58" i="5"/>
  <c r="BD52" i="5"/>
  <c r="AO208" i="5"/>
  <c r="CV106" i="5"/>
  <c r="CN87" i="18" s="1"/>
  <c r="DG103" i="5"/>
  <c r="CR84" i="18" s="1"/>
  <c r="BO355" i="5"/>
  <c r="CS77" i="5"/>
  <c r="CK63" i="18" s="1"/>
  <c r="AQ332" i="5"/>
  <c r="AQ333" i="5" s="1"/>
  <c r="BJ514" i="5"/>
  <c r="BJ513" i="5"/>
  <c r="BJ512" i="5"/>
  <c r="BJ511" i="5"/>
  <c r="BB371" i="18" s="1"/>
  <c r="AY437" i="5"/>
  <c r="AY473" i="5"/>
  <c r="AY474" i="5" s="1"/>
  <c r="AY453" i="5"/>
  <c r="AY454" i="5" s="1"/>
  <c r="AY428" i="5"/>
  <c r="AY332" i="5"/>
  <c r="AY467" i="5"/>
  <c r="AY468" i="5" s="1"/>
  <c r="AY287" i="5"/>
  <c r="AY337" i="5"/>
  <c r="AY338" i="5" s="1"/>
  <c r="AY79" i="5"/>
  <c r="AY43" i="5"/>
  <c r="AY49" i="5"/>
  <c r="AY50" i="5" s="1"/>
  <c r="AY55" i="5"/>
  <c r="AY56" i="5" s="1"/>
  <c r="AY73" i="5"/>
  <c r="AY123" i="5" s="1"/>
  <c r="AY42" i="5"/>
  <c r="AY40" i="5"/>
  <c r="AY41" i="5" s="1"/>
  <c r="AS331" i="5"/>
  <c r="AR474" i="5"/>
  <c r="BN53" i="5"/>
  <c r="BF40" i="18" s="1"/>
  <c r="CP437" i="5"/>
  <c r="CP428" i="5"/>
  <c r="CP287" i="5"/>
  <c r="CP73" i="5"/>
  <c r="CP49" i="5"/>
  <c r="CP55" i="5"/>
  <c r="CP56" i="5" s="1"/>
  <c r="CP40" i="5"/>
  <c r="CP43" i="5"/>
  <c r="CO24" i="5"/>
  <c r="CO25" i="5" s="1"/>
  <c r="BM189" i="5"/>
  <c r="BE155" i="18" s="1"/>
  <c r="BM183" i="5"/>
  <c r="BE149" i="18" s="1"/>
  <c r="BM185" i="5"/>
  <c r="BE151" i="18" s="1"/>
  <c r="AL53" i="5"/>
  <c r="AL42" i="5"/>
  <c r="AY59" i="5"/>
  <c r="BL185" i="5"/>
  <c r="BD151" i="18" s="1"/>
  <c r="BL189" i="5"/>
  <c r="BD155" i="18" s="1"/>
  <c r="BL183" i="5"/>
  <c r="CN182" i="5"/>
  <c r="CN24" i="5"/>
  <c r="CN39" i="5"/>
  <c r="CN31" i="5"/>
  <c r="AS123" i="5"/>
  <c r="AS121" i="5"/>
  <c r="AP25" i="5"/>
  <c r="AG288" i="5"/>
  <c r="AG289" i="5"/>
  <c r="BK638" i="5"/>
  <c r="BC481" i="18" s="1"/>
  <c r="BK636" i="5"/>
  <c r="BC479" i="18" s="1"/>
  <c r="BK637" i="5"/>
  <c r="BC480" i="18" s="1"/>
  <c r="BK635" i="5"/>
  <c r="BC478" i="18" s="1"/>
  <c r="BK639" i="5"/>
  <c r="BC482" i="18" s="1"/>
  <c r="BK562" i="5"/>
  <c r="BC408" i="18" s="1"/>
  <c r="BK182" i="5"/>
  <c r="BC148" i="18" s="1"/>
  <c r="BK22" i="5"/>
  <c r="BC14" i="18" s="1"/>
  <c r="BK24" i="5"/>
  <c r="BC16" i="18" s="1"/>
  <c r="BK39" i="5"/>
  <c r="BQ544" i="5"/>
  <c r="BI393" i="18" s="1"/>
  <c r="BQ639" i="5"/>
  <c r="BI482" i="18" s="1"/>
  <c r="BQ638" i="5"/>
  <c r="BI481" i="18" s="1"/>
  <c r="BQ637" i="5"/>
  <c r="BI480" i="18" s="1"/>
  <c r="BQ636" i="5"/>
  <c r="BI479" i="18" s="1"/>
  <c r="BQ635" i="5"/>
  <c r="BI478" i="18" s="1"/>
  <c r="BQ562" i="5"/>
  <c r="BI408" i="18" s="1"/>
  <c r="BQ209" i="5"/>
  <c r="BI176" i="18" s="1"/>
  <c r="BQ182" i="5"/>
  <c r="BI148" i="18" s="1"/>
  <c r="BQ39" i="5"/>
  <c r="BQ467" i="5" s="1"/>
  <c r="BQ24" i="5"/>
  <c r="BQ22" i="5"/>
  <c r="BI14" i="18" s="1"/>
  <c r="BM486" i="5"/>
  <c r="BE378" i="18" s="1"/>
  <c r="BM455" i="5"/>
  <c r="BE342" i="18" s="1"/>
  <c r="BM453" i="5"/>
  <c r="BE340" i="18" s="1"/>
  <c r="BM456" i="5"/>
  <c r="BE343" i="18" s="1"/>
  <c r="CU452" i="5"/>
  <c r="CM339" i="18" s="1"/>
  <c r="AW349" i="5"/>
  <c r="AW348" i="5"/>
  <c r="AO50" i="5"/>
  <c r="AO80" i="5"/>
  <c r="AO87" i="5"/>
  <c r="BH25" i="5"/>
  <c r="AZ17" i="18" s="1"/>
  <c r="AT43" i="5"/>
  <c r="AT289" i="5"/>
  <c r="AT216" i="5"/>
  <c r="BX185" i="5"/>
  <c r="BP151" i="18" s="1"/>
  <c r="BX183" i="5"/>
  <c r="BP149" i="18" s="1"/>
  <c r="BH437" i="5"/>
  <c r="AZ1041" i="18" s="1"/>
  <c r="BH287" i="5"/>
  <c r="AZ244" i="18" s="1"/>
  <c r="BH332" i="5"/>
  <c r="BH428" i="5"/>
  <c r="AZ1036" i="18" s="1"/>
  <c r="BH73" i="5"/>
  <c r="AZ60" i="18" s="1"/>
  <c r="BL312" i="5"/>
  <c r="BD270" i="18" s="1"/>
  <c r="BH79" i="5"/>
  <c r="AZ70" i="18" s="1"/>
  <c r="BH43" i="5"/>
  <c r="AZ35" i="18" s="1"/>
  <c r="BH55" i="5"/>
  <c r="AZ42" i="18" s="1"/>
  <c r="BH40" i="5"/>
  <c r="AZ33" i="18" s="1"/>
  <c r="BH42" i="5"/>
  <c r="BH49" i="5"/>
  <c r="AZ37" i="18" s="1"/>
  <c r="BF53" i="5"/>
  <c r="AX40" i="18" s="1"/>
  <c r="BT645" i="5"/>
  <c r="AL392" i="5"/>
  <c r="BA390" i="5"/>
  <c r="BA388" i="5"/>
  <c r="AS1280" i="18" s="1"/>
  <c r="AT383" i="5"/>
  <c r="AT404" i="5"/>
  <c r="AT405" i="5" s="1"/>
  <c r="AT362" i="5"/>
  <c r="AT363" i="5" s="1"/>
  <c r="AW401" i="5"/>
  <c r="AW402" i="5"/>
  <c r="AW415" i="5"/>
  <c r="AW416" i="5" s="1"/>
  <c r="AW419" i="5"/>
  <c r="AM415" i="5"/>
  <c r="AM416" i="5" s="1"/>
  <c r="AQ420" i="5"/>
  <c r="AQ423" i="5" s="1"/>
  <c r="AM423" i="5"/>
  <c r="AM419" i="5"/>
  <c r="AQ380" i="5"/>
  <c r="AQ381" i="5"/>
  <c r="AY184" i="5"/>
  <c r="BE208" i="5"/>
  <c r="AW175" i="18" s="1"/>
  <c r="BW402" i="5"/>
  <c r="BO1288" i="18" s="1"/>
  <c r="BW401" i="5"/>
  <c r="BO1287" i="18" s="1"/>
  <c r="BG415" i="5"/>
  <c r="AY308" i="18" s="1"/>
  <c r="BG419" i="5"/>
  <c r="AY312" i="18" s="1"/>
  <c r="AQ279" i="5"/>
  <c r="AR363" i="5"/>
  <c r="CE103" i="5"/>
  <c r="BW84" i="18" s="1"/>
  <c r="BK482" i="5"/>
  <c r="BK481" i="5"/>
  <c r="BK479" i="5"/>
  <c r="BC366" i="18" s="1"/>
  <c r="BK483" i="5"/>
  <c r="BC365" i="18" s="1"/>
  <c r="CC648" i="5"/>
  <c r="BU489" i="18" s="1"/>
  <c r="CY70" i="5"/>
  <c r="BR487" i="5"/>
  <c r="BJ379" i="18" s="1"/>
  <c r="BJ419" i="5"/>
  <c r="BB312" i="18" s="1"/>
  <c r="BJ415" i="5"/>
  <c r="AQ392" i="5"/>
  <c r="BU512" i="5"/>
  <c r="BU514" i="5"/>
  <c r="BU513" i="5"/>
  <c r="CW510" i="5"/>
  <c r="CO370" i="18" s="1"/>
  <c r="BU511" i="5"/>
  <c r="BM371" i="18" s="1"/>
  <c r="BU502" i="5"/>
  <c r="BU501" i="5"/>
  <c r="BA381" i="5"/>
  <c r="AS1273" i="18" s="1"/>
  <c r="BA380" i="5"/>
  <c r="AS1272" i="18" s="1"/>
  <c r="CS475" i="5"/>
  <c r="CS473" i="5"/>
  <c r="CK359" i="18" s="1"/>
  <c r="BU401" i="5"/>
  <c r="BM1287" i="18" s="1"/>
  <c r="BU402" i="5"/>
  <c r="BM1288" i="18" s="1"/>
  <c r="BW514" i="5"/>
  <c r="BW513" i="5"/>
  <c r="BW512" i="5"/>
  <c r="BW511" i="5"/>
  <c r="BO371" i="18" s="1"/>
  <c r="AW462" i="5"/>
  <c r="AW464" i="5" s="1"/>
  <c r="AW459" i="5"/>
  <c r="AW460" i="5" s="1"/>
  <c r="CQ458" i="5"/>
  <c r="AW461" i="5"/>
  <c r="CB348" i="5"/>
  <c r="BT299" i="18" s="1"/>
  <c r="BL380" i="5"/>
  <c r="BD1272" i="18" s="1"/>
  <c r="BL381" i="5"/>
  <c r="BD1273" i="18" s="1"/>
  <c r="BM482" i="5"/>
  <c r="BM481" i="5"/>
  <c r="BM479" i="5"/>
  <c r="BE366" i="18" s="1"/>
  <c r="BM483" i="5"/>
  <c r="BE365" i="18" s="1"/>
  <c r="CU478" i="5"/>
  <c r="BQ486" i="5"/>
  <c r="BQ453" i="5"/>
  <c r="BQ455" i="5"/>
  <c r="BI342" i="18" s="1"/>
  <c r="CV452" i="5"/>
  <c r="CN339" i="18" s="1"/>
  <c r="BQ456" i="5"/>
  <c r="BI343" i="18" s="1"/>
  <c r="CB413" i="5"/>
  <c r="BT306" i="18" s="1"/>
  <c r="CB361" i="5"/>
  <c r="CB339" i="5"/>
  <c r="CB337" i="5"/>
  <c r="CB336" i="5"/>
  <c r="BT292" i="18" s="1"/>
  <c r="CF335" i="5"/>
  <c r="BX291" i="18" s="1"/>
  <c r="AZ34" i="5"/>
  <c r="AZ32" i="5"/>
  <c r="AO189" i="5"/>
  <c r="AO185" i="5"/>
  <c r="AO183" i="5"/>
  <c r="AO184" i="5" s="1"/>
  <c r="CU29" i="5"/>
  <c r="CM21" i="18" s="1"/>
  <c r="CU21" i="5"/>
  <c r="CU209" i="5" s="1"/>
  <c r="CM176" i="18" s="1"/>
  <c r="BH415" i="5"/>
  <c r="AZ308" i="18" s="1"/>
  <c r="BS380" i="5"/>
  <c r="BK1272" i="18" s="1"/>
  <c r="AQ289" i="5"/>
  <c r="AQ216" i="5"/>
  <c r="AP333" i="5"/>
  <c r="AR349" i="5"/>
  <c r="AR348" i="5"/>
  <c r="BA413" i="5"/>
  <c r="AS306" i="18" s="1"/>
  <c r="BA368" i="5"/>
  <c r="BA339" i="5"/>
  <c r="BA337" i="5"/>
  <c r="BA336" i="5"/>
  <c r="AS292" i="18" s="1"/>
  <c r="BA361" i="5"/>
  <c r="CR335" i="5"/>
  <c r="CJ291" i="18" s="1"/>
  <c r="CQ58" i="5"/>
  <c r="CQ52" i="5"/>
  <c r="CQ53" i="5" s="1"/>
  <c r="BZ639" i="5"/>
  <c r="BZ635" i="5"/>
  <c r="BZ562" i="5"/>
  <c r="BR408" i="18" s="1"/>
  <c r="BZ637" i="5"/>
  <c r="BZ636" i="5"/>
  <c r="BZ638" i="5"/>
  <c r="BZ182" i="5"/>
  <c r="BR148" i="18" s="1"/>
  <c r="BZ22" i="5"/>
  <c r="BR14" i="18" s="1"/>
  <c r="BZ39" i="5"/>
  <c r="BZ489" i="5" s="1"/>
  <c r="BL713" i="5"/>
  <c r="CT710" i="5"/>
  <c r="BL716" i="5"/>
  <c r="BL718" i="5" s="1"/>
  <c r="CA683" i="5"/>
  <c r="BZ556" i="5"/>
  <c r="CS661" i="5"/>
  <c r="CS664" i="5" s="1"/>
  <c r="DD683" i="5"/>
  <c r="DC556" i="5"/>
  <c r="AU468" i="5"/>
  <c r="AK392" i="5"/>
  <c r="AR390" i="5"/>
  <c r="AR388" i="5"/>
  <c r="AR389" i="5" s="1"/>
  <c r="AN454" i="5"/>
  <c r="BZ209" i="5"/>
  <c r="BR176" i="18" s="1"/>
  <c r="CM131" i="5"/>
  <c r="BX415" i="5"/>
  <c r="BX419" i="5"/>
  <c r="BP312" i="18" s="1"/>
  <c r="CA121" i="5"/>
  <c r="BS103" i="18" s="1"/>
  <c r="CO116" i="5"/>
  <c r="CG97" i="18" s="1"/>
  <c r="CU510" i="5"/>
  <c r="CM370" i="18" s="1"/>
  <c r="BM511" i="5"/>
  <c r="BE371" i="18" s="1"/>
  <c r="BM513" i="5"/>
  <c r="BM512" i="5"/>
  <c r="BM514" i="5"/>
  <c r="CW379" i="5"/>
  <c r="CO1271" i="18" s="1"/>
  <c r="CW352" i="5"/>
  <c r="CW400" i="5"/>
  <c r="CW350" i="5"/>
  <c r="CO300" i="18" s="1"/>
  <c r="BL167" i="5"/>
  <c r="BA511" i="5"/>
  <c r="AS371" i="18" s="1"/>
  <c r="BA516" i="5"/>
  <c r="BA517" i="5" s="1"/>
  <c r="BA513" i="5"/>
  <c r="CR510" i="5"/>
  <c r="CJ370" i="18" s="1"/>
  <c r="BA512" i="5"/>
  <c r="BA514" i="5"/>
  <c r="BL401" i="5"/>
  <c r="BD1287" i="18" s="1"/>
  <c r="BL402" i="5"/>
  <c r="BD1288" i="18" s="1"/>
  <c r="BT500" i="5"/>
  <c r="BX501" i="5" s="1"/>
  <c r="BT462" i="5"/>
  <c r="BL348" i="18" s="1"/>
  <c r="BT461" i="5"/>
  <c r="BL349" i="18" s="1"/>
  <c r="BT459" i="5"/>
  <c r="AV44" i="5"/>
  <c r="BW167" i="5"/>
  <c r="BV168" i="5"/>
  <c r="BN134" i="18" s="1"/>
  <c r="CV510" i="5"/>
  <c r="CN370" i="18" s="1"/>
  <c r="BQ513" i="5"/>
  <c r="BQ511" i="5"/>
  <c r="BI371" i="18" s="1"/>
  <c r="BQ514" i="5"/>
  <c r="BQ512" i="5"/>
  <c r="AZ461" i="5"/>
  <c r="AZ459" i="5"/>
  <c r="AZ462" i="5"/>
  <c r="AU333" i="5"/>
  <c r="CO518" i="5"/>
  <c r="CP519" i="5" s="1"/>
  <c r="CO510" i="5"/>
  <c r="CP513" i="5" s="1"/>
  <c r="AR461" i="5"/>
  <c r="AR459" i="5"/>
  <c r="AR460" i="5" s="1"/>
  <c r="AR462" i="5"/>
  <c r="AM25" i="5"/>
  <c r="BQ115" i="5"/>
  <c r="BI96" i="18" s="1"/>
  <c r="BQ116" i="5"/>
  <c r="BI97" i="18" s="1"/>
  <c r="CV113" i="5"/>
  <c r="CN94" i="18" s="1"/>
  <c r="BU116" i="5"/>
  <c r="BM97" i="18" s="1"/>
  <c r="BM111" i="5"/>
  <c r="BE92" i="18" s="1"/>
  <c r="BM110" i="5"/>
  <c r="BE91" i="18" s="1"/>
  <c r="CU108" i="5"/>
  <c r="CM89" i="18" s="1"/>
  <c r="AG123" i="5"/>
  <c r="AG121" i="5"/>
  <c r="AN53" i="5"/>
  <c r="BK167" i="5"/>
  <c r="BJ168" i="5"/>
  <c r="BB134" i="18" s="1"/>
  <c r="BH380" i="5"/>
  <c r="AZ1272" i="18" s="1"/>
  <c r="BH381" i="5"/>
  <c r="AZ1273" i="18" s="1"/>
  <c r="BQ121" i="5"/>
  <c r="BI103" i="18" s="1"/>
  <c r="BO353" i="5"/>
  <c r="CW29" i="5"/>
  <c r="CO21" i="18" s="1"/>
  <c r="CW21" i="5"/>
  <c r="BG639" i="5"/>
  <c r="AY482" i="18" s="1"/>
  <c r="BG638" i="5"/>
  <c r="AY481" i="18" s="1"/>
  <c r="BG637" i="5"/>
  <c r="AY480" i="18" s="1"/>
  <c r="BG636" i="5"/>
  <c r="AY479" i="18" s="1"/>
  <c r="BG635" i="5"/>
  <c r="AY478" i="18" s="1"/>
  <c r="BG182" i="5"/>
  <c r="AY148" i="18" s="1"/>
  <c r="BG31" i="5"/>
  <c r="AY23" i="18" s="1"/>
  <c r="BG24" i="5"/>
  <c r="BG22" i="5"/>
  <c r="AY14" i="18" s="1"/>
  <c r="BG39" i="5"/>
  <c r="AY32" i="18" s="1"/>
  <c r="CM752" i="5"/>
  <c r="BH53" i="5"/>
  <c r="AZ40" i="18" s="1"/>
  <c r="AL41" i="5"/>
  <c r="AG74" i="5"/>
  <c r="AG83" i="5"/>
  <c r="BK52" i="5"/>
  <c r="BK58" i="5"/>
  <c r="BY53" i="5"/>
  <c r="BQ40" i="18" s="1"/>
  <c r="AO44" i="5"/>
  <c r="BV639" i="5"/>
  <c r="BN482" i="18" s="1"/>
  <c r="BV638" i="5"/>
  <c r="BN481" i="18" s="1"/>
  <c r="BV637" i="5"/>
  <c r="BN480" i="18" s="1"/>
  <c r="BV636" i="5"/>
  <c r="BN479" i="18" s="1"/>
  <c r="BV635" i="5"/>
  <c r="BN478" i="18" s="1"/>
  <c r="BV562" i="5"/>
  <c r="BN408" i="18" s="1"/>
  <c r="BV182" i="5"/>
  <c r="BN148" i="18" s="1"/>
  <c r="BV39" i="5"/>
  <c r="BV22" i="5"/>
  <c r="BN14" i="18" s="1"/>
  <c r="AU447" i="5"/>
  <c r="AU448" i="5" s="1"/>
  <c r="AU438" i="5"/>
  <c r="AU440" i="5" s="1"/>
  <c r="AU441" i="5" s="1"/>
  <c r="AU442" i="5" s="1"/>
  <c r="AU443" i="5" s="1"/>
  <c r="AT56" i="5"/>
  <c r="BP522" i="5"/>
  <c r="BH561" i="18" s="1"/>
  <c r="BP428" i="5"/>
  <c r="BH1036" i="18" s="1"/>
  <c r="BP258" i="5"/>
  <c r="BP260" i="5" s="1"/>
  <c r="BP73" i="5"/>
  <c r="BP55" i="5"/>
  <c r="BT45" i="5"/>
  <c r="BL1317" i="18" s="1"/>
  <c r="BP43" i="5"/>
  <c r="BH35" i="18" s="1"/>
  <c r="BP42" i="5"/>
  <c r="BP40" i="5"/>
  <c r="BH33" i="18" s="1"/>
  <c r="BP49" i="5"/>
  <c r="BH37" i="18" s="1"/>
  <c r="BP79" i="5"/>
  <c r="BH70" i="18" s="1"/>
  <c r="CW718" i="5"/>
  <c r="BD660" i="5"/>
  <c r="BD664" i="5" s="1"/>
  <c r="BD666" i="5" s="1"/>
  <c r="BD696" i="5" s="1"/>
  <c r="BC664" i="5"/>
  <c r="BC666" i="5" s="1"/>
  <c r="BC696" i="5" s="1"/>
  <c r="CT521" i="5"/>
  <c r="CT541" i="5"/>
  <c r="BG664" i="5"/>
  <c r="BG666" i="5" s="1"/>
  <c r="BG696" i="5" s="1"/>
  <c r="CS690" i="5"/>
  <c r="CV639" i="5"/>
  <c r="CN482" i="18" s="1"/>
  <c r="CS645" i="5"/>
  <c r="CV635" i="5"/>
  <c r="CN478" i="18" s="1"/>
  <c r="CX543" i="5"/>
  <c r="AO480" i="5"/>
  <c r="BI532" i="5"/>
  <c r="CP483" i="5"/>
  <c r="CP479" i="5"/>
  <c r="CP480" i="5" s="1"/>
  <c r="CP481" i="5"/>
  <c r="CE526" i="5"/>
  <c r="CF526" i="5"/>
  <c r="BX532" i="5"/>
  <c r="BT530" i="5"/>
  <c r="BT531" i="5" s="1"/>
  <c r="BT532" i="5"/>
  <c r="CN475" i="5"/>
  <c r="CN473" i="5"/>
  <c r="CN455" i="5"/>
  <c r="CN453" i="5"/>
  <c r="AX473" i="5"/>
  <c r="AX474" i="5" s="1"/>
  <c r="BR387" i="5"/>
  <c r="AV402" i="5"/>
  <c r="AV401" i="5"/>
  <c r="AV392" i="5"/>
  <c r="AL349" i="5"/>
  <c r="AL348" i="5"/>
  <c r="BF392" i="5"/>
  <c r="AR380" i="5"/>
  <c r="AR381" i="5"/>
  <c r="BT402" i="5"/>
  <c r="BL1288" i="18" s="1"/>
  <c r="AO343" i="5"/>
  <c r="CO483" i="5"/>
  <c r="AG404" i="5"/>
  <c r="AG362" i="5"/>
  <c r="AG363" i="5" s="1"/>
  <c r="AZ415" i="5"/>
  <c r="AZ419" i="5"/>
  <c r="AX467" i="5"/>
  <c r="AX468" i="5" s="1"/>
  <c r="CO453" i="5"/>
  <c r="CO455" i="5"/>
  <c r="BW392" i="5"/>
  <c r="AY419" i="5"/>
  <c r="AY415" i="5"/>
  <c r="AY416" i="5" s="1"/>
  <c r="BE388" i="5"/>
  <c r="AW1280" i="18" s="1"/>
  <c r="BE390" i="5"/>
  <c r="CX320" i="5"/>
  <c r="CX324" i="5"/>
  <c r="CX37" i="5"/>
  <c r="AY343" i="5"/>
  <c r="AE363" i="5"/>
  <c r="BT168" i="5"/>
  <c r="BL134" i="18" s="1"/>
  <c r="CV170" i="5"/>
  <c r="CN136" i="18" s="1"/>
  <c r="BU167" i="5"/>
  <c r="BM133" i="18" s="1"/>
  <c r="AQ349" i="5"/>
  <c r="AQ348" i="5"/>
  <c r="AI381" i="5"/>
  <c r="BE255" i="5"/>
  <c r="AW218" i="18" s="1"/>
  <c r="CO238" i="5"/>
  <c r="BT251" i="5"/>
  <c r="BT255" i="5"/>
  <c r="BL218" i="18" s="1"/>
  <c r="BT253" i="5"/>
  <c r="BT254" i="5" s="1"/>
  <c r="CT207" i="5"/>
  <c r="CL174" i="18" s="1"/>
  <c r="AX390" i="5"/>
  <c r="CR240" i="5"/>
  <c r="CR273" i="5" s="1"/>
  <c r="CR274" i="5" s="1"/>
  <c r="BR208" i="5"/>
  <c r="BJ175" i="18" s="1"/>
  <c r="BY549" i="5"/>
  <c r="BQ398" i="18" s="1"/>
  <c r="AL460" i="5"/>
  <c r="BG402" i="5"/>
  <c r="AY1288" i="18" s="1"/>
  <c r="BG401" i="5"/>
  <c r="AY1287" i="18" s="1"/>
  <c r="BN513" i="5"/>
  <c r="BN511" i="5"/>
  <c r="BF371" i="18" s="1"/>
  <c r="BN512" i="5"/>
  <c r="BN514" i="5"/>
  <c r="BN505" i="5"/>
  <c r="BN506" i="5"/>
  <c r="BV489" i="5"/>
  <c r="BN381" i="18" s="1"/>
  <c r="BV487" i="5"/>
  <c r="BN379" i="18" s="1"/>
  <c r="BV488" i="5"/>
  <c r="BN380" i="18" s="1"/>
  <c r="BF487" i="5"/>
  <c r="AX379" i="18" s="1"/>
  <c r="BF488" i="5"/>
  <c r="AX380" i="18" s="1"/>
  <c r="AL519" i="5"/>
  <c r="CY173" i="5"/>
  <c r="BG110" i="5"/>
  <c r="AY91" i="18" s="1"/>
  <c r="BG111" i="5"/>
  <c r="AY92" i="18" s="1"/>
  <c r="BK111" i="5"/>
  <c r="BC92" i="18" s="1"/>
  <c r="CR108" i="5"/>
  <c r="CJ89" i="18" s="1"/>
  <c r="BC513" i="5"/>
  <c r="BC516" i="5"/>
  <c r="BC517" i="5" s="1"/>
  <c r="BC514" i="5"/>
  <c r="BC512" i="5"/>
  <c r="BC511" i="5"/>
  <c r="AU371" i="18" s="1"/>
  <c r="CM458" i="5"/>
  <c r="BK488" i="5"/>
  <c r="BC380" i="18" s="1"/>
  <c r="BK487" i="5"/>
  <c r="BC379" i="18" s="1"/>
  <c r="BK489" i="5"/>
  <c r="CA401" i="5"/>
  <c r="BS1287" i="18" s="1"/>
  <c r="CA402" i="5"/>
  <c r="BS1288" i="18" s="1"/>
  <c r="BK355" i="5"/>
  <c r="BK404" i="5"/>
  <c r="BK383" i="5"/>
  <c r="BC1275" i="18" s="1"/>
  <c r="BC383" i="5"/>
  <c r="AU1275" i="18" s="1"/>
  <c r="BC404" i="5"/>
  <c r="BC362" i="5"/>
  <c r="BC363" i="5" s="1"/>
  <c r="BZ243" i="5"/>
  <c r="BR210" i="18" s="1"/>
  <c r="CK91" i="5"/>
  <c r="CK92" i="5"/>
  <c r="CK88" i="5"/>
  <c r="CK90" i="5"/>
  <c r="CO458" i="5"/>
  <c r="BR505" i="5"/>
  <c r="BR506" i="5"/>
  <c r="BR501" i="5"/>
  <c r="BR502" i="5"/>
  <c r="BB487" i="5"/>
  <c r="AT379" i="18" s="1"/>
  <c r="BZ353" i="5"/>
  <c r="BB381" i="5"/>
  <c r="AT1273" i="18" s="1"/>
  <c r="BB380" i="5"/>
  <c r="AT1272" i="18" s="1"/>
  <c r="BJ383" i="5"/>
  <c r="BB1275" i="18" s="1"/>
  <c r="BJ404" i="5"/>
  <c r="BJ392" i="5"/>
  <c r="BC388" i="5"/>
  <c r="BC390" i="5"/>
  <c r="BB209" i="5"/>
  <c r="AT176" i="18" s="1"/>
  <c r="BP404" i="5"/>
  <c r="BT383" i="5"/>
  <c r="BL1275" i="18" s="1"/>
  <c r="BP362" i="5"/>
  <c r="CT283" i="5"/>
  <c r="CL240" i="18" s="1"/>
  <c r="CT250" i="5"/>
  <c r="CL215" i="18" s="1"/>
  <c r="BK121" i="5"/>
  <c r="BC103" i="18" s="1"/>
  <c r="CS462" i="5"/>
  <c r="CK348" i="18" s="1"/>
  <c r="CS459" i="5"/>
  <c r="CK346" i="18" s="1"/>
  <c r="BI352" i="5"/>
  <c r="BI369" i="5"/>
  <c r="BI400" i="5"/>
  <c r="BA1286" i="18" s="1"/>
  <c r="BI379" i="5"/>
  <c r="BA1271" i="18" s="1"/>
  <c r="BI354" i="5"/>
  <c r="BI351" i="5"/>
  <c r="BA301" i="18" s="1"/>
  <c r="CT346" i="5"/>
  <c r="CL296" i="18" s="1"/>
  <c r="BI350" i="5"/>
  <c r="BA300" i="18" s="1"/>
  <c r="BI353" i="5"/>
  <c r="BT131" i="5"/>
  <c r="BD131" i="5"/>
  <c r="AZ121" i="5"/>
  <c r="AZ123" i="5"/>
  <c r="BA461" i="5"/>
  <c r="AS349" i="18" s="1"/>
  <c r="BM347" i="5"/>
  <c r="BE297" i="18" s="1"/>
  <c r="AX415" i="5"/>
  <c r="AX416" i="5" s="1"/>
  <c r="AX423" i="5"/>
  <c r="AX419" i="5"/>
  <c r="AP419" i="5"/>
  <c r="AP415" i="5"/>
  <c r="AP416" i="5" s="1"/>
  <c r="AH404" i="5"/>
  <c r="AH362" i="5"/>
  <c r="AH363" i="5" s="1"/>
  <c r="CK111" i="5"/>
  <c r="CC92" i="18" s="1"/>
  <c r="AS518" i="5"/>
  <c r="AS519" i="5" s="1"/>
  <c r="CO347" i="5"/>
  <c r="BL475" i="5"/>
  <c r="BP208" i="5"/>
  <c r="BH175" i="18" s="1"/>
  <c r="BT208" i="5"/>
  <c r="BL175" i="18" s="1"/>
  <c r="CO131" i="5"/>
  <c r="AV123" i="5"/>
  <c r="CS400" i="5"/>
  <c r="CS354" i="5"/>
  <c r="CK302" i="18" s="1"/>
  <c r="CS350" i="5"/>
  <c r="CK300" i="18" s="1"/>
  <c r="CS352" i="5"/>
  <c r="CS347" i="5"/>
  <c r="CK297" i="18" s="1"/>
  <c r="CS379" i="5"/>
  <c r="CK1271" i="18" s="1"/>
  <c r="CY452" i="5"/>
  <c r="CQ339" i="18" s="1"/>
  <c r="CC456" i="5"/>
  <c r="BU343" i="18" s="1"/>
  <c r="CC63" i="5"/>
  <c r="BU51" i="18" s="1"/>
  <c r="BL361" i="5"/>
  <c r="BP383" i="5" s="1"/>
  <c r="BH1275" i="18" s="1"/>
  <c r="BL368" i="5"/>
  <c r="BL413" i="5"/>
  <c r="BL337" i="5"/>
  <c r="BL336" i="5"/>
  <c r="BD292" i="18" s="1"/>
  <c r="BL339" i="5"/>
  <c r="AV25" i="5"/>
  <c r="AZ25" i="5"/>
  <c r="AR17" i="18" s="1"/>
  <c r="CA510" i="5"/>
  <c r="BS370" i="18" s="1"/>
  <c r="CA71" i="5"/>
  <c r="AV514" i="5"/>
  <c r="AV513" i="5"/>
  <c r="AV512" i="5"/>
  <c r="AV511" i="5"/>
  <c r="AV509" i="5"/>
  <c r="AV289" i="5"/>
  <c r="AV216" i="5"/>
  <c r="BJ274" i="5"/>
  <c r="BN273" i="5"/>
  <c r="BJ240" i="5"/>
  <c r="AO126" i="5"/>
  <c r="AO124" i="5"/>
  <c r="CP108" i="5"/>
  <c r="CQ111" i="5" s="1"/>
  <c r="CI92" i="18" s="1"/>
  <c r="BE111" i="5"/>
  <c r="AW92" i="18" s="1"/>
  <c r="BE110" i="5"/>
  <c r="AW91" i="18" s="1"/>
  <c r="AO519" i="5"/>
  <c r="BP489" i="5"/>
  <c r="BP488" i="5"/>
  <c r="BH380" i="18" s="1"/>
  <c r="BP487" i="5"/>
  <c r="BH379" i="18" s="1"/>
  <c r="AV185" i="5"/>
  <c r="AV183" i="5"/>
  <c r="AV179" i="5"/>
  <c r="AV189" i="5"/>
  <c r="AV190" i="5" s="1"/>
  <c r="AV191" i="5" s="1"/>
  <c r="BT355" i="5"/>
  <c r="CL113" i="5"/>
  <c r="CD94" i="18" s="1"/>
  <c r="CJ113" i="5"/>
  <c r="CB94" i="18" s="1"/>
  <c r="BA115" i="5"/>
  <c r="AS96" i="18" s="1"/>
  <c r="CK113" i="5"/>
  <c r="CC94" i="18" s="1"/>
  <c r="AQ459" i="5"/>
  <c r="AQ460" i="5" s="1"/>
  <c r="AQ462" i="5"/>
  <c r="AU463" i="5"/>
  <c r="AQ461" i="5"/>
  <c r="AM183" i="5"/>
  <c r="AM184" i="5" s="1"/>
  <c r="AM179" i="5"/>
  <c r="AM189" i="5"/>
  <c r="AM185" i="5"/>
  <c r="BG381" i="5"/>
  <c r="AY1273" i="18" s="1"/>
  <c r="BH480" i="5"/>
  <c r="AZ367" i="18" s="1"/>
  <c r="BE58" i="5"/>
  <c r="BE52" i="5"/>
  <c r="AR185" i="5"/>
  <c r="AR179" i="5"/>
  <c r="AR189" i="5"/>
  <c r="AR190" i="5" s="1"/>
  <c r="AR191" i="5" s="1"/>
  <c r="AR183" i="5"/>
  <c r="AR184" i="5" s="1"/>
  <c r="BI121" i="5"/>
  <c r="BA103" i="18" s="1"/>
  <c r="CL91" i="5"/>
  <c r="CU77" i="5"/>
  <c r="CM63" i="18" s="1"/>
  <c r="AX331" i="5"/>
  <c r="AP287" i="18" s="1"/>
  <c r="BL252" i="5"/>
  <c r="BD217" i="18" s="1"/>
  <c r="BE752" i="5"/>
  <c r="BR111" i="5"/>
  <c r="BJ92" i="18" s="1"/>
  <c r="BR110" i="5"/>
  <c r="BJ91" i="18" s="1"/>
  <c r="CT510" i="5"/>
  <c r="CL370" i="18" s="1"/>
  <c r="BI514" i="5"/>
  <c r="BI512" i="5"/>
  <c r="BI513" i="5"/>
  <c r="BI511" i="5"/>
  <c r="BA371" i="18" s="1"/>
  <c r="AM462" i="5"/>
  <c r="AM461" i="5"/>
  <c r="AM459" i="5"/>
  <c r="BP347" i="5"/>
  <c r="BH297" i="18" s="1"/>
  <c r="AV59" i="5"/>
  <c r="CA173" i="5"/>
  <c r="BZ169" i="5"/>
  <c r="BZ168" i="5" s="1"/>
  <c r="CS71" i="5"/>
  <c r="CK58" i="18" s="1"/>
  <c r="AX291" i="5"/>
  <c r="AX199" i="5"/>
  <c r="CN131" i="5"/>
  <c r="AT34" i="5"/>
  <c r="AT32" i="5"/>
  <c r="AT33" i="5" s="1"/>
  <c r="AL185" i="5"/>
  <c r="AL189" i="5"/>
  <c r="AL179" i="5"/>
  <c r="AL183" i="5"/>
  <c r="AL184" i="5" s="1"/>
  <c r="BQ355" i="5"/>
  <c r="AS355" i="5"/>
  <c r="AR56" i="5"/>
  <c r="AR480" i="5"/>
  <c r="BU428" i="5"/>
  <c r="BM1036" i="18" s="1"/>
  <c r="BU258" i="5"/>
  <c r="BU260" i="5" s="1"/>
  <c r="BU73" i="5"/>
  <c r="BM60" i="18" s="1"/>
  <c r="BU55" i="5"/>
  <c r="BU43" i="5"/>
  <c r="BM35" i="18" s="1"/>
  <c r="BU42" i="5"/>
  <c r="BU40" i="5"/>
  <c r="BM33" i="18" s="1"/>
  <c r="BY45" i="5"/>
  <c r="BQ1317" i="18" s="1"/>
  <c r="CT71" i="5"/>
  <c r="CL58" i="18" s="1"/>
  <c r="AS189" i="5"/>
  <c r="AS183" i="5"/>
  <c r="AS184" i="5" s="1"/>
  <c r="AS185" i="5"/>
  <c r="CP24" i="5"/>
  <c r="BK252" i="5"/>
  <c r="BC217" i="18" s="1"/>
  <c r="CO32" i="5"/>
  <c r="CO34" i="5"/>
  <c r="AZ453" i="5"/>
  <c r="AZ454" i="5" s="1"/>
  <c r="CB185" i="5"/>
  <c r="BT151" i="18" s="1"/>
  <c r="CB183" i="5"/>
  <c r="CN58" i="5"/>
  <c r="CN52" i="5"/>
  <c r="CP121" i="5"/>
  <c r="CP123" i="5"/>
  <c r="BM504" i="5"/>
  <c r="BM470" i="5"/>
  <c r="BE355" i="18" s="1"/>
  <c r="BM469" i="5"/>
  <c r="BM467" i="5"/>
  <c r="BE353" i="18" s="1"/>
  <c r="CU466" i="5"/>
  <c r="CM352" i="18" s="1"/>
  <c r="BC58" i="5"/>
  <c r="BC52" i="5"/>
  <c r="CB506" i="5"/>
  <c r="CB505" i="5"/>
  <c r="BL506" i="5"/>
  <c r="BL505" i="5"/>
  <c r="AW40" i="5"/>
  <c r="AW41" i="5" s="1"/>
  <c r="AW429" i="5"/>
  <c r="AW431" i="5" s="1"/>
  <c r="AO40" i="5"/>
  <c r="AO429" i="5"/>
  <c r="AO431" i="5" s="1"/>
  <c r="BN639" i="5"/>
  <c r="BF482" i="18" s="1"/>
  <c r="BN638" i="5"/>
  <c r="BF481" i="18" s="1"/>
  <c r="BN637" i="5"/>
  <c r="BF480" i="18" s="1"/>
  <c r="BN636" i="5"/>
  <c r="BF479" i="18" s="1"/>
  <c r="BN635" i="5"/>
  <c r="BF478" i="18" s="1"/>
  <c r="BN562" i="5"/>
  <c r="BF408" i="18" s="1"/>
  <c r="BN39" i="5"/>
  <c r="BN24" i="5"/>
  <c r="BN182" i="5"/>
  <c r="BF148" i="18" s="1"/>
  <c r="BN22" i="5"/>
  <c r="BF14" i="18" s="1"/>
  <c r="CT29" i="5"/>
  <c r="CL21" i="18" s="1"/>
  <c r="CT21" i="5"/>
  <c r="BR639" i="5"/>
  <c r="BJ482" i="18" s="1"/>
  <c r="BR638" i="5"/>
  <c r="BJ481" i="18" s="1"/>
  <c r="BR637" i="5"/>
  <c r="BJ480" i="18" s="1"/>
  <c r="BR636" i="5"/>
  <c r="BJ479" i="18" s="1"/>
  <c r="BR635" i="5"/>
  <c r="BJ478" i="18" s="1"/>
  <c r="BR562" i="5"/>
  <c r="BJ408" i="18" s="1"/>
  <c r="BR182" i="5"/>
  <c r="BJ148" i="18" s="1"/>
  <c r="BR209" i="5"/>
  <c r="BJ176" i="18" s="1"/>
  <c r="BR24" i="5"/>
  <c r="BJ16" i="18" s="1"/>
  <c r="BR39" i="5"/>
  <c r="BR22" i="5"/>
  <c r="BJ14" i="18" s="1"/>
  <c r="AT40" i="5"/>
  <c r="AT41" i="5" s="1"/>
  <c r="AT454" i="5"/>
  <c r="BP185" i="5"/>
  <c r="BH151" i="18" s="1"/>
  <c r="BP189" i="5"/>
  <c r="BP183" i="5"/>
  <c r="BD34" i="5"/>
  <c r="AV26" i="18" s="1"/>
  <c r="R915" i="18"/>
  <c r="D915" i="18"/>
  <c r="E915" i="18"/>
  <c r="S924" i="18"/>
  <c r="BQ468" i="5" l="1"/>
  <c r="BI354" i="18" s="1"/>
  <c r="BI353" i="18"/>
  <c r="BC1282" i="18"/>
  <c r="BC1260" i="18"/>
  <c r="BC304" i="18"/>
  <c r="BZ490" i="5"/>
  <c r="BR382" i="18" s="1"/>
  <c r="BR381" i="18"/>
  <c r="BE59" i="5"/>
  <c r="AW45" i="18" s="1"/>
  <c r="AW44" i="18"/>
  <c r="BT252" i="5"/>
  <c r="BL217" i="18" s="1"/>
  <c r="BL216" i="18"/>
  <c r="AZ416" i="5"/>
  <c r="AR309" i="18" s="1"/>
  <c r="AR308" i="18"/>
  <c r="BP123" i="5"/>
  <c r="BH105" i="18" s="1"/>
  <c r="BH60" i="18"/>
  <c r="BL168" i="5"/>
  <c r="BD134" i="18" s="1"/>
  <c r="BD133" i="18"/>
  <c r="CB338" i="5"/>
  <c r="BT294" i="18" s="1"/>
  <c r="BT293" i="18"/>
  <c r="BH333" i="5"/>
  <c r="AZ289" i="18" s="1"/>
  <c r="AZ288" i="18"/>
  <c r="CV543" i="5"/>
  <c r="CN392" i="18" s="1"/>
  <c r="CN387" i="18"/>
  <c r="BI530" i="5"/>
  <c r="BI531" i="5" s="1"/>
  <c r="BA32" i="18"/>
  <c r="BW389" i="5"/>
  <c r="BO1280" i="18"/>
  <c r="CC638" i="5"/>
  <c r="BU481" i="18" s="1"/>
  <c r="BQ481" i="18"/>
  <c r="CE638" i="5"/>
  <c r="BW481" i="18" s="1"/>
  <c r="BS481" i="18"/>
  <c r="AZ1290" i="18"/>
  <c r="AZ1261" i="18"/>
  <c r="CR43" i="6"/>
  <c r="CJ573" i="18"/>
  <c r="CR88" i="6"/>
  <c r="CJ639" i="18" s="1"/>
  <c r="CJ638" i="18"/>
  <c r="BJ369" i="6"/>
  <c r="BB608" i="18" s="1"/>
  <c r="BB607" i="18"/>
  <c r="AS1302" i="18"/>
  <c r="AS728" i="18"/>
  <c r="BP1282" i="18"/>
  <c r="BP1260" i="18"/>
  <c r="BP304" i="18"/>
  <c r="BI1246" i="18"/>
  <c r="BI569" i="18"/>
  <c r="CZ119" i="5"/>
  <c r="DA119" i="5" s="1"/>
  <c r="DB119" i="5" s="1"/>
  <c r="DC119" i="5" s="1"/>
  <c r="DD119" i="5" s="1"/>
  <c r="DE119" i="5" s="1"/>
  <c r="DF119" i="5" s="1"/>
  <c r="CQ101" i="18"/>
  <c r="CR543" i="5"/>
  <c r="CJ387" i="18"/>
  <c r="BP184" i="5"/>
  <c r="BH150" i="18" s="1"/>
  <c r="BH149" i="18"/>
  <c r="CT9" i="16"/>
  <c r="CT11" i="27"/>
  <c r="CL13" i="18"/>
  <c r="CT11" i="26"/>
  <c r="CT12" i="26" s="1"/>
  <c r="BN25" i="5"/>
  <c r="BF17" i="18" s="1"/>
  <c r="BF16" i="18"/>
  <c r="BC53" i="5"/>
  <c r="AU40" i="18" s="1"/>
  <c r="AU39" i="18"/>
  <c r="BA251" i="5"/>
  <c r="AS216" i="18" s="1"/>
  <c r="BH1290" i="18"/>
  <c r="BH1261" i="18"/>
  <c r="BC389" i="5"/>
  <c r="AU1280" i="18"/>
  <c r="BB401" i="5"/>
  <c r="AT1287" i="18" s="1"/>
  <c r="CT209" i="5"/>
  <c r="CL176" i="18" s="1"/>
  <c r="BV479" i="5"/>
  <c r="BN366" i="18" s="1"/>
  <c r="I13" i="19"/>
  <c r="BN32" i="18"/>
  <c r="CQ59" i="5"/>
  <c r="CI45" i="18" s="1"/>
  <c r="CI44" i="18"/>
  <c r="BA338" i="5"/>
  <c r="AS294" i="18" s="1"/>
  <c r="AS293" i="18"/>
  <c r="BH419" i="5"/>
  <c r="AZ312" i="18" s="1"/>
  <c r="CM364" i="18"/>
  <c r="CU16" i="26"/>
  <c r="CU14" i="16"/>
  <c r="CN1213" i="18" s="1"/>
  <c r="CU16" i="27"/>
  <c r="BL42" i="5"/>
  <c r="BC32" i="18"/>
  <c r="BI505" i="5"/>
  <c r="BM53" i="5"/>
  <c r="BE40" i="18" s="1"/>
  <c r="BE39" i="18"/>
  <c r="CP116" i="5"/>
  <c r="CH97" i="18" s="1"/>
  <c r="CH94" i="18"/>
  <c r="BE480" i="5"/>
  <c r="AW367" i="18" s="1"/>
  <c r="AW366" i="18"/>
  <c r="BZ416" i="5"/>
  <c r="BR309" i="18" s="1"/>
  <c r="BR308" i="18"/>
  <c r="BR252" i="5"/>
  <c r="BJ217" i="18" s="1"/>
  <c r="BJ216" i="18"/>
  <c r="BS252" i="5"/>
  <c r="BK217" i="18" s="1"/>
  <c r="CR11" i="26"/>
  <c r="CR12" i="26" s="1"/>
  <c r="CJ13" i="18"/>
  <c r="CR9" i="16"/>
  <c r="CR11" i="27"/>
  <c r="CR12" i="27" s="1"/>
  <c r="BD79" i="5"/>
  <c r="AV70" i="18" s="1"/>
  <c r="P14" i="19"/>
  <c r="BT42" i="18"/>
  <c r="CS752" i="5"/>
  <c r="CK111" i="18"/>
  <c r="BU53" i="5"/>
  <c r="BM40" i="18" s="1"/>
  <c r="BM39" i="18"/>
  <c r="BP480" i="5"/>
  <c r="BH367" i="18" s="1"/>
  <c r="BH366" i="18"/>
  <c r="BU380" i="5"/>
  <c r="BM1272" i="18" s="1"/>
  <c r="BI1271" i="18"/>
  <c r="CT116" i="5"/>
  <c r="CL97" i="18" s="1"/>
  <c r="CK94" i="18"/>
  <c r="BA184" i="5"/>
  <c r="AS150" i="18" s="1"/>
  <c r="AS149" i="18"/>
  <c r="BH474" i="5"/>
  <c r="AZ360" i="18" s="1"/>
  <c r="AZ359" i="18"/>
  <c r="BF401" i="5"/>
  <c r="AX1287" i="18" s="1"/>
  <c r="BU381" i="5"/>
  <c r="BM1273" i="18" s="1"/>
  <c r="BA480" i="5"/>
  <c r="AS367" i="18" s="1"/>
  <c r="AS366" i="18"/>
  <c r="BT190" i="5"/>
  <c r="BL155" i="18"/>
  <c r="BA79" i="5"/>
  <c r="AS70" i="18" s="1"/>
  <c r="BE184" i="5"/>
  <c r="AW150" i="18" s="1"/>
  <c r="AW149" i="18"/>
  <c r="CB59" i="5"/>
  <c r="BT45" i="18" s="1"/>
  <c r="BT44" i="18"/>
  <c r="CD106" i="5"/>
  <c r="BV87" i="18" s="1"/>
  <c r="BV84" i="18"/>
  <c r="BX490" i="5"/>
  <c r="BP382" i="18" s="1"/>
  <c r="BP381" i="18"/>
  <c r="BP468" i="5"/>
  <c r="BH354" i="18" s="1"/>
  <c r="BH353" i="18"/>
  <c r="DG12" i="5"/>
  <c r="CY5" i="18" s="1"/>
  <c r="BI25" i="5"/>
  <c r="BA17" i="18" s="1"/>
  <c r="BA16" i="18"/>
  <c r="BT487" i="5"/>
  <c r="BL379" i="18" s="1"/>
  <c r="BD252" i="5"/>
  <c r="AV217" i="18" s="1"/>
  <c r="BV380" i="5"/>
  <c r="BN1272" i="18" s="1"/>
  <c r="BJ1271" i="18"/>
  <c r="BN355" i="5"/>
  <c r="BF302" i="18"/>
  <c r="AZ405" i="5"/>
  <c r="AR1290" i="18"/>
  <c r="AR1261" i="18"/>
  <c r="BX389" i="5"/>
  <c r="BP1280" i="18"/>
  <c r="BL690" i="5"/>
  <c r="BD529" i="18" s="1"/>
  <c r="CL364" i="18"/>
  <c r="CT16" i="27"/>
  <c r="CT16" i="26"/>
  <c r="CT14" i="16"/>
  <c r="CM1213" i="18" s="1"/>
  <c r="BC489" i="5"/>
  <c r="AU32" i="18"/>
  <c r="BU349" i="5"/>
  <c r="BM298" i="18" s="1"/>
  <c r="BL297" i="18"/>
  <c r="CB474" i="5"/>
  <c r="BT360" i="18" s="1"/>
  <c r="BF252" i="5"/>
  <c r="AX217" i="18" s="1"/>
  <c r="AX216" i="18"/>
  <c r="BA402" i="5"/>
  <c r="AS1288" i="18" s="1"/>
  <c r="BE33" i="5"/>
  <c r="AW25" i="18" s="1"/>
  <c r="AW24" i="18"/>
  <c r="CC635" i="5"/>
  <c r="BU478" i="18" s="1"/>
  <c r="BQ478" i="18"/>
  <c r="CE637" i="5"/>
  <c r="BW480" i="18" s="1"/>
  <c r="BS480" i="18"/>
  <c r="BE301" i="5"/>
  <c r="AW259" i="18" s="1"/>
  <c r="AW258" i="18"/>
  <c r="CW462" i="5"/>
  <c r="CO348" i="18" s="1"/>
  <c r="CX150" i="5"/>
  <c r="CP122" i="18" s="1"/>
  <c r="CO122" i="18"/>
  <c r="BG489" i="5"/>
  <c r="AY381" i="18" s="1"/>
  <c r="CT299" i="5"/>
  <c r="CL257" i="18" s="1"/>
  <c r="CL147" i="18"/>
  <c r="BY559" i="5"/>
  <c r="BQ405" i="18" s="1"/>
  <c r="CO364" i="18"/>
  <c r="CW16" i="27"/>
  <c r="CW16" i="26"/>
  <c r="CW14" i="16"/>
  <c r="CP1213" i="18" s="1"/>
  <c r="BJ388" i="5"/>
  <c r="BB1280" i="18" s="1"/>
  <c r="BF1290" i="18"/>
  <c r="BF1261" i="18"/>
  <c r="BT1246" i="18"/>
  <c r="BT569" i="18"/>
  <c r="BL17" i="6"/>
  <c r="AZ1245" i="18"/>
  <c r="CV94" i="6"/>
  <c r="CN645" i="18" s="1"/>
  <c r="CN644" i="18"/>
  <c r="CB116" i="6"/>
  <c r="BT689" i="18" s="1"/>
  <c r="CP668" i="18"/>
  <c r="BN116" i="6"/>
  <c r="BF689" i="18" s="1"/>
  <c r="CM668" i="18"/>
  <c r="CT43" i="6"/>
  <c r="CL573" i="18"/>
  <c r="CA381" i="5"/>
  <c r="BS1273" i="18" s="1"/>
  <c r="BR1271" i="18"/>
  <c r="BN1246" i="18"/>
  <c r="BN569" i="18"/>
  <c r="BF1246" i="18"/>
  <c r="BF569" i="18"/>
  <c r="BS1246" i="18"/>
  <c r="BS569" i="18"/>
  <c r="CS347" i="6"/>
  <c r="CK881" i="18" s="1"/>
  <c r="CK880" i="18"/>
  <c r="BJ1246" i="18"/>
  <c r="BJ569" i="18"/>
  <c r="CU94" i="6"/>
  <c r="CM645" i="18" s="1"/>
  <c r="CM644" i="18"/>
  <c r="CR347" i="6"/>
  <c r="CJ881" i="18" s="1"/>
  <c r="CJ880" i="18"/>
  <c r="BP1246" i="18"/>
  <c r="BP569" i="18"/>
  <c r="BQ1246" i="18"/>
  <c r="BQ569" i="18"/>
  <c r="BB65" i="6"/>
  <c r="AT626" i="18"/>
  <c r="CB380" i="5"/>
  <c r="BT1272" i="18" s="1"/>
  <c r="BT1271" i="18"/>
  <c r="BA1246" i="18"/>
  <c r="BA569" i="18"/>
  <c r="CV11" i="26"/>
  <c r="CN13" i="18"/>
  <c r="CV9" i="16"/>
  <c r="CV11" i="27"/>
  <c r="CV637" i="5"/>
  <c r="CN480" i="18" s="1"/>
  <c r="BL25" i="5"/>
  <c r="BD17" i="18" s="1"/>
  <c r="BD16" i="18"/>
  <c r="AR1281" i="18"/>
  <c r="AR1259" i="18"/>
  <c r="CR21" i="7"/>
  <c r="CR22" i="7" s="1"/>
  <c r="CQ54" i="7"/>
  <c r="CQ53" i="7" s="1"/>
  <c r="CQ21" i="7"/>
  <c r="CQ22" i="7" s="1"/>
  <c r="BH301" i="5"/>
  <c r="AZ259" i="18" s="1"/>
  <c r="AZ258" i="18"/>
  <c r="BC301" i="5"/>
  <c r="AU259" i="18" s="1"/>
  <c r="AU258" i="18"/>
  <c r="BL355" i="5"/>
  <c r="BD302" i="18"/>
  <c r="M30" i="19"/>
  <c r="P924" i="18" s="1"/>
  <c r="P904" i="18"/>
  <c r="CS522" i="5"/>
  <c r="CK561" i="18" s="1"/>
  <c r="CK13" i="18"/>
  <c r="CS11" i="26"/>
  <c r="CS12" i="26" s="1"/>
  <c r="CS9" i="16"/>
  <c r="CS11" i="27"/>
  <c r="CS12" i="27" s="1"/>
  <c r="BE392" i="18"/>
  <c r="BM549" i="5"/>
  <c r="BE398" i="18" s="1"/>
  <c r="BE474" i="5"/>
  <c r="AW360" i="18" s="1"/>
  <c r="AW359" i="18"/>
  <c r="BE460" i="5"/>
  <c r="AW347" i="18" s="1"/>
  <c r="AW346" i="18"/>
  <c r="BG252" i="5"/>
  <c r="AY217" i="18" s="1"/>
  <c r="BI355" i="5"/>
  <c r="BA302" i="18"/>
  <c r="BG395" i="5"/>
  <c r="AX1281" i="18"/>
  <c r="AX1259" i="18"/>
  <c r="BK53" i="5"/>
  <c r="BC40" i="18" s="1"/>
  <c r="BC39" i="18"/>
  <c r="BG25" i="5"/>
  <c r="AY17" i="18" s="1"/>
  <c r="AY16" i="18"/>
  <c r="CW209" i="5"/>
  <c r="CO176" i="18" s="1"/>
  <c r="X12" i="19"/>
  <c r="CO13" i="18"/>
  <c r="CW11" i="26"/>
  <c r="CW12" i="26" s="1"/>
  <c r="CW9" i="16"/>
  <c r="CW11" i="27"/>
  <c r="CW12" i="27" s="1"/>
  <c r="CD637" i="5"/>
  <c r="BV480" i="18" s="1"/>
  <c r="BR480" i="18"/>
  <c r="BL184" i="5"/>
  <c r="BD150" i="18" s="1"/>
  <c r="BD149" i="18"/>
  <c r="BD59" i="5"/>
  <c r="AV45" i="18" s="1"/>
  <c r="AV44" i="18"/>
  <c r="BJ488" i="5"/>
  <c r="BB380" i="18" s="1"/>
  <c r="BA378" i="18"/>
  <c r="BX405" i="5"/>
  <c r="BP1290" i="18"/>
  <c r="BP1261" i="18"/>
  <c r="BD41" i="5"/>
  <c r="AV34" i="18" s="1"/>
  <c r="AV33" i="18"/>
  <c r="BM389" i="5"/>
  <c r="BE1280" i="18"/>
  <c r="BW405" i="5"/>
  <c r="BO1290" i="18"/>
  <c r="BO1261" i="18"/>
  <c r="BX123" i="5"/>
  <c r="BP105" i="18" s="1"/>
  <c r="BP60" i="18"/>
  <c r="BT59" i="5"/>
  <c r="BL45" i="18" s="1"/>
  <c r="BL44" i="18"/>
  <c r="BT184" i="5"/>
  <c r="BL150" i="18" s="1"/>
  <c r="BL149" i="18"/>
  <c r="BP474" i="5"/>
  <c r="BH360" i="18" s="1"/>
  <c r="BH359" i="18"/>
  <c r="BZ393" i="5"/>
  <c r="BN1281" i="18"/>
  <c r="BN1259" i="18"/>
  <c r="BE468" i="5"/>
  <c r="AW354" i="18" s="1"/>
  <c r="AW353" i="18"/>
  <c r="BV405" i="5"/>
  <c r="BN1290" i="18"/>
  <c r="BN1261" i="18"/>
  <c r="BC25" i="5"/>
  <c r="AU17" i="18" s="1"/>
  <c r="AU16" i="18"/>
  <c r="AZ50" i="5"/>
  <c r="AR38" i="18" s="1"/>
  <c r="AR37" i="18"/>
  <c r="BM251" i="5"/>
  <c r="BE216" i="18" s="1"/>
  <c r="BA215" i="18"/>
  <c r="AU1246" i="18"/>
  <c r="AU569" i="18"/>
  <c r="BD1302" i="18"/>
  <c r="BD728" i="18"/>
  <c r="BP1281" i="18"/>
  <c r="BP1259" i="18"/>
  <c r="AR1246" i="18"/>
  <c r="AR569" i="18"/>
  <c r="CN5" i="18"/>
  <c r="BT331" i="5"/>
  <c r="BL287" i="18" s="1"/>
  <c r="BR331" i="5"/>
  <c r="BJ287" i="18" s="1"/>
  <c r="CV89" i="6"/>
  <c r="CN640" i="18" s="1"/>
  <c r="CV354" i="5"/>
  <c r="CN302" i="18" s="1"/>
  <c r="BQ331" i="5"/>
  <c r="BI287" i="18" s="1"/>
  <c r="BS331" i="5"/>
  <c r="BK287" i="18" s="1"/>
  <c r="H31" i="19"/>
  <c r="K925" i="18" s="1"/>
  <c r="K905" i="18"/>
  <c r="BP190" i="5"/>
  <c r="BH156" i="18" s="1"/>
  <c r="BH155" i="18"/>
  <c r="BN479" i="5"/>
  <c r="BF366" i="18" s="1"/>
  <c r="BF32" i="18"/>
  <c r="BC59" i="5"/>
  <c r="AU45" i="18" s="1"/>
  <c r="AU44" i="18"/>
  <c r="BU79" i="5"/>
  <c r="BM70" i="18" s="1"/>
  <c r="BP490" i="5"/>
  <c r="BH381" i="18"/>
  <c r="CP111" i="5"/>
  <c r="CH92" i="18" s="1"/>
  <c r="CH89" i="18"/>
  <c r="BL338" i="5"/>
  <c r="BD294" i="18" s="1"/>
  <c r="BD293" i="18"/>
  <c r="CS401" i="5"/>
  <c r="CK1287" i="18" s="1"/>
  <c r="CK1286" i="18"/>
  <c r="BH519" i="5"/>
  <c r="BK395" i="5"/>
  <c r="BB1281" i="18"/>
  <c r="BB1259" i="18"/>
  <c r="BB402" i="5"/>
  <c r="AT1288" i="18" s="1"/>
  <c r="BC1290" i="18"/>
  <c r="BC1261" i="18"/>
  <c r="BK490" i="5"/>
  <c r="BC382" i="18" s="1"/>
  <c r="BC381" i="18"/>
  <c r="BS390" i="5"/>
  <c r="BJ1279" i="18"/>
  <c r="CX549" i="5"/>
  <c r="CP398" i="18" s="1"/>
  <c r="CP392" i="18"/>
  <c r="BW168" i="5"/>
  <c r="BO134" i="18" s="1"/>
  <c r="BO133" i="18"/>
  <c r="CW401" i="5"/>
  <c r="CO1287" i="18" s="1"/>
  <c r="CO1286" i="18"/>
  <c r="BX416" i="5"/>
  <c r="BP309" i="18" s="1"/>
  <c r="BP308" i="18"/>
  <c r="CD638" i="5"/>
  <c r="BV481" i="18" s="1"/>
  <c r="BR481" i="18"/>
  <c r="CD635" i="5"/>
  <c r="BV478" i="18" s="1"/>
  <c r="BR478" i="18"/>
  <c r="CO111" i="5"/>
  <c r="CG92" i="18" s="1"/>
  <c r="CZ70" i="5"/>
  <c r="CR57" i="18" s="1"/>
  <c r="CQ57" i="18"/>
  <c r="BQ530" i="5"/>
  <c r="BQ531" i="5" s="1"/>
  <c r="C13" i="19"/>
  <c r="BI32" i="18"/>
  <c r="BM59" i="5"/>
  <c r="BE45" i="18" s="1"/>
  <c r="BE44" i="18"/>
  <c r="BB362" i="5"/>
  <c r="CV208" i="5"/>
  <c r="CN175" i="18" s="1"/>
  <c r="CN174" i="18"/>
  <c r="CQ25" i="5"/>
  <c r="CI17" i="18" s="1"/>
  <c r="CI16" i="18"/>
  <c r="BA468" i="5"/>
  <c r="AS354" i="18" s="1"/>
  <c r="AS353" i="18"/>
  <c r="BY59" i="5"/>
  <c r="BQ45" i="18" s="1"/>
  <c r="BM44" i="18"/>
  <c r="BK390" i="5"/>
  <c r="BG362" i="5"/>
  <c r="CV24" i="5"/>
  <c r="CN16" i="18" s="1"/>
  <c r="E13" i="19"/>
  <c r="BK32" i="18"/>
  <c r="BG1290" i="18"/>
  <c r="BG1261" i="18"/>
  <c r="CR299" i="5"/>
  <c r="CJ257" i="18" s="1"/>
  <c r="CJ147" i="18"/>
  <c r="BL50" i="5"/>
  <c r="BD38" i="18" s="1"/>
  <c r="BD37" i="18"/>
  <c r="BA56" i="5"/>
  <c r="AS43" i="18" s="1"/>
  <c r="AS42" i="18"/>
  <c r="CW77" i="5"/>
  <c r="CO63" i="18" s="1"/>
  <c r="BT381" i="5"/>
  <c r="BL1273" i="18" s="1"/>
  <c r="BS168" i="5"/>
  <c r="BK133" i="18"/>
  <c r="BA123" i="5"/>
  <c r="AS105" i="18" s="1"/>
  <c r="BX474" i="5"/>
  <c r="BP360" i="18" s="1"/>
  <c r="BL359" i="18"/>
  <c r="BC402" i="5"/>
  <c r="AU1288" i="18" s="1"/>
  <c r="BD389" i="5"/>
  <c r="AV1280" i="18"/>
  <c r="BE41" i="5"/>
  <c r="AW34" i="18" s="1"/>
  <c r="AW33" i="18"/>
  <c r="BX168" i="5"/>
  <c r="BP134" i="18" s="1"/>
  <c r="BP133" i="18"/>
  <c r="BO381" i="5"/>
  <c r="BG1273" i="18" s="1"/>
  <c r="BF1271" i="18"/>
  <c r="BW381" i="5"/>
  <c r="BO1273" i="18" s="1"/>
  <c r="BS393" i="5"/>
  <c r="BG1281" i="18"/>
  <c r="BG1259" i="18"/>
  <c r="BJ53" i="5"/>
  <c r="BB40" i="18" s="1"/>
  <c r="BB39" i="18"/>
  <c r="BE454" i="5"/>
  <c r="AW341" i="18" s="1"/>
  <c r="AW340" i="18"/>
  <c r="CU752" i="5"/>
  <c r="CM111" i="18"/>
  <c r="BA454" i="5"/>
  <c r="AS341" i="18" s="1"/>
  <c r="AS340" i="18"/>
  <c r="BT416" i="5"/>
  <c r="BL309" i="18" s="1"/>
  <c r="BH308" i="18"/>
  <c r="BG393" i="5"/>
  <c r="AU1281" i="18"/>
  <c r="AU1259" i="18"/>
  <c r="BS1290" i="18"/>
  <c r="BS1261" i="18"/>
  <c r="BO479" i="5"/>
  <c r="BG366" i="18" s="1"/>
  <c r="CC637" i="5"/>
  <c r="BU480" i="18" s="1"/>
  <c r="BQ480" i="18"/>
  <c r="CE635" i="5"/>
  <c r="BW478" i="18" s="1"/>
  <c r="BS478" i="18"/>
  <c r="Y12" i="19"/>
  <c r="CX9" i="16"/>
  <c r="CX11" i="27"/>
  <c r="CX12" i="27" s="1"/>
  <c r="CP13" i="18"/>
  <c r="CX11" i="26"/>
  <c r="CX12" i="26" s="1"/>
  <c r="BF208" i="5"/>
  <c r="AX175" i="18" s="1"/>
  <c r="AX174" i="18"/>
  <c r="CD470" i="5"/>
  <c r="BV355" i="18" s="1"/>
  <c r="BS479" i="5"/>
  <c r="CW549" i="5"/>
  <c r="CO398" i="18" s="1"/>
  <c r="BO389" i="5"/>
  <c r="BG1280" i="18"/>
  <c r="BB389" i="5"/>
  <c r="AT1280" i="18"/>
  <c r="BH33" i="5"/>
  <c r="AZ25" i="18" s="1"/>
  <c r="AZ24" i="18"/>
  <c r="BY544" i="5"/>
  <c r="BQ393" i="18" s="1"/>
  <c r="CA53" i="5"/>
  <c r="BS40" i="18" s="1"/>
  <c r="BS39" i="18"/>
  <c r="BJ1262" i="18"/>
  <c r="BJ1291" i="18"/>
  <c r="BJ390" i="5"/>
  <c r="BS395" i="5"/>
  <c r="BJ1281" i="18"/>
  <c r="BJ1259" i="18"/>
  <c r="CU88" i="6"/>
  <c r="CM639" i="18" s="1"/>
  <c r="CM638" i="18"/>
  <c r="CV96" i="6"/>
  <c r="CN647" i="18" s="1"/>
  <c r="CW88" i="6"/>
  <c r="CO639" i="18" s="1"/>
  <c r="CO638" i="18"/>
  <c r="CV77" i="6"/>
  <c r="CN614" i="18" s="1"/>
  <c r="AW1246" i="18"/>
  <c r="AW569" i="18"/>
  <c r="BJ18" i="6"/>
  <c r="BK116" i="6"/>
  <c r="BC689" i="18" s="1"/>
  <c r="CL668" i="18"/>
  <c r="CW387" i="5"/>
  <c r="CO1279" i="18" s="1"/>
  <c r="BR1281" i="18"/>
  <c r="BR1259" i="18"/>
  <c r="BK381" i="5"/>
  <c r="BC1273" i="18" s="1"/>
  <c r="BB1271" i="18"/>
  <c r="BE116" i="6"/>
  <c r="AW689" i="18" s="1"/>
  <c r="CK668" i="18"/>
  <c r="BI177" i="6"/>
  <c r="BA1302" i="18"/>
  <c r="BA728" i="18"/>
  <c r="BC283" i="6"/>
  <c r="AT805" i="18"/>
  <c r="BL126" i="6"/>
  <c r="BD695" i="18" s="1"/>
  <c r="BD694" i="18"/>
  <c r="CV46" i="6"/>
  <c r="CN577" i="18" s="1"/>
  <c r="BE1246" i="18"/>
  <c r="BE569" i="18"/>
  <c r="BK18" i="6"/>
  <c r="BG113" i="6"/>
  <c r="AY666" i="18" s="1"/>
  <c r="AU653" i="18"/>
  <c r="AX1246" i="18"/>
  <c r="AX569" i="18"/>
  <c r="BL1290" i="18"/>
  <c r="BL1261" i="18"/>
  <c r="CV88" i="6"/>
  <c r="CN639" i="18" s="1"/>
  <c r="BF113" i="6"/>
  <c r="AX666" i="18" s="1"/>
  <c r="AT653" i="18"/>
  <c r="BC71" i="7"/>
  <c r="BL68" i="7"/>
  <c r="BA392" i="18"/>
  <c r="BI549" i="5"/>
  <c r="BA398" i="18" s="1"/>
  <c r="BG301" i="5"/>
  <c r="AY259" i="18" s="1"/>
  <c r="AY258" i="18"/>
  <c r="BT393" i="5"/>
  <c r="BL1281" i="18"/>
  <c r="BL1259" i="18"/>
  <c r="C30" i="19"/>
  <c r="C924" i="18" s="1"/>
  <c r="C904" i="18"/>
  <c r="J30" i="19"/>
  <c r="M924" i="18" s="1"/>
  <c r="M904" i="18"/>
  <c r="BK301" i="5"/>
  <c r="BC259" i="18" s="1"/>
  <c r="BC258" i="18"/>
  <c r="CW21" i="7"/>
  <c r="BB301" i="5"/>
  <c r="AT259" i="18" s="1"/>
  <c r="AT258" i="18"/>
  <c r="O30" i="19"/>
  <c r="R924" i="18" s="1"/>
  <c r="R904" i="18"/>
  <c r="BJ1290" i="18"/>
  <c r="BJ1261" i="18"/>
  <c r="N30" i="19"/>
  <c r="Q924" i="18" s="1"/>
  <c r="Q904" i="18"/>
  <c r="BF301" i="5"/>
  <c r="AX259" i="18" s="1"/>
  <c r="AX258" i="18"/>
  <c r="CB184" i="5"/>
  <c r="BT150" i="18" s="1"/>
  <c r="BT149" i="18"/>
  <c r="H14" i="19"/>
  <c r="BM42" i="18"/>
  <c r="BT460" i="5"/>
  <c r="BL347" i="18" s="1"/>
  <c r="BL346" i="18"/>
  <c r="BR488" i="5"/>
  <c r="BJ380" i="18" s="1"/>
  <c r="BI378" i="18"/>
  <c r="BQ25" i="5"/>
  <c r="BI17" i="18" s="1"/>
  <c r="BI16" i="18"/>
  <c r="BT454" i="5"/>
  <c r="BL341" i="18" s="1"/>
  <c r="BL340" i="18"/>
  <c r="BL59" i="5"/>
  <c r="BD45" i="18" s="1"/>
  <c r="BD44" i="18"/>
  <c r="CX486" i="5"/>
  <c r="CP378" i="18" s="1"/>
  <c r="CP358" i="18"/>
  <c r="K14" i="19"/>
  <c r="BP42" i="18"/>
  <c r="BA50" i="5"/>
  <c r="AS38" i="18" s="1"/>
  <c r="AS37" i="18"/>
  <c r="CB53" i="5"/>
  <c r="BT40" i="18" s="1"/>
  <c r="BT39" i="18"/>
  <c r="BP168" i="5"/>
  <c r="BH134" i="18" s="1"/>
  <c r="BH133" i="18"/>
  <c r="BV416" i="5"/>
  <c r="BN309" i="18" s="1"/>
  <c r="BN308" i="18"/>
  <c r="BB488" i="5"/>
  <c r="AT380" i="18" s="1"/>
  <c r="AS378" i="18"/>
  <c r="CF474" i="5"/>
  <c r="BX360" i="18" s="1"/>
  <c r="BX359" i="18"/>
  <c r="BL480" i="5"/>
  <c r="BD367" i="18" s="1"/>
  <c r="BD366" i="18"/>
  <c r="CV415" i="5"/>
  <c r="CN308" i="18" s="1"/>
  <c r="CN307" i="18"/>
  <c r="BQ116" i="6"/>
  <c r="BI689" i="18" s="1"/>
  <c r="CN668" i="18"/>
  <c r="BI126" i="6"/>
  <c r="BA695" i="18" s="1"/>
  <c r="BA694" i="18"/>
  <c r="CQ76" i="6"/>
  <c r="CI613" i="18" s="1"/>
  <c r="CI612" i="18"/>
  <c r="AV1246" i="18"/>
  <c r="AV569" i="18"/>
  <c r="BB17" i="6"/>
  <c r="AT1245" i="18"/>
  <c r="BC1281" i="18"/>
  <c r="BC1259" i="18"/>
  <c r="E30" i="19"/>
  <c r="E924" i="18" s="1"/>
  <c r="E904" i="18"/>
  <c r="BI392" i="18"/>
  <c r="BQ549" i="5"/>
  <c r="BI398" i="18" s="1"/>
  <c r="BN301" i="5"/>
  <c r="BF259" i="18" s="1"/>
  <c r="BF258" i="18"/>
  <c r="BR489" i="5"/>
  <c r="BJ381" i="18" s="1"/>
  <c r="D13" i="19"/>
  <c r="BJ32" i="18"/>
  <c r="CD168" i="5"/>
  <c r="BV134" i="18" s="1"/>
  <c r="BR134" i="18"/>
  <c r="BE53" i="5"/>
  <c r="AW40" i="18" s="1"/>
  <c r="AW39" i="18"/>
  <c r="CA77" i="5"/>
  <c r="BS58" i="18"/>
  <c r="BP419" i="5"/>
  <c r="BH312" i="18" s="1"/>
  <c r="BD306" i="18"/>
  <c r="BJ405" i="5"/>
  <c r="BB1290" i="18"/>
  <c r="BB1261" i="18"/>
  <c r="BB489" i="5"/>
  <c r="AT381" i="18" s="1"/>
  <c r="BC405" i="5"/>
  <c r="AU1290" i="18"/>
  <c r="AU1261" i="18"/>
  <c r="BF489" i="5"/>
  <c r="AX381" i="18" s="1"/>
  <c r="BE251" i="5"/>
  <c r="AW216" i="18" s="1"/>
  <c r="BX395" i="5"/>
  <c r="BO1281" i="18"/>
  <c r="BO1259" i="18"/>
  <c r="BP56" i="5"/>
  <c r="BH43" i="18" s="1"/>
  <c r="BH42" i="18"/>
  <c r="BK59" i="5"/>
  <c r="BC45" i="18" s="1"/>
  <c r="BC44" i="18"/>
  <c r="BK168" i="5"/>
  <c r="BC134" i="18" s="1"/>
  <c r="BC133" i="18"/>
  <c r="BZ405" i="5"/>
  <c r="BZ479" i="5"/>
  <c r="N13" i="19"/>
  <c r="BR32" i="18"/>
  <c r="CD636" i="5"/>
  <c r="BV479" i="18" s="1"/>
  <c r="BR479" i="18"/>
  <c r="CD639" i="5"/>
  <c r="BV482" i="18" s="1"/>
  <c r="BR482" i="18"/>
  <c r="BH348" i="5"/>
  <c r="AZ299" i="18" s="1"/>
  <c r="CV22" i="5"/>
  <c r="CN14" i="18" s="1"/>
  <c r="CU9" i="16"/>
  <c r="CU11" i="27"/>
  <c r="CU12" i="27" s="1"/>
  <c r="CU11" i="26"/>
  <c r="CM13" i="18"/>
  <c r="BQ454" i="5"/>
  <c r="BI341" i="18" s="1"/>
  <c r="BI340" i="18"/>
  <c r="BJ416" i="5"/>
  <c r="BB309" i="18" s="1"/>
  <c r="BB308" i="18"/>
  <c r="BQ559" i="5"/>
  <c r="BI405" i="18" s="1"/>
  <c r="CV77" i="5"/>
  <c r="CN63" i="18" s="1"/>
  <c r="BD53" i="5"/>
  <c r="AV40" i="18" s="1"/>
  <c r="AV39" i="18"/>
  <c r="BM301" i="5"/>
  <c r="BE259" i="18" s="1"/>
  <c r="BE258" i="18"/>
  <c r="CK364" i="18"/>
  <c r="CS16" i="27"/>
  <c r="CS16" i="26"/>
  <c r="CS14" i="16"/>
  <c r="CL1213" i="18" s="1"/>
  <c r="CB460" i="5"/>
  <c r="BT347" i="18" s="1"/>
  <c r="BP346" i="18"/>
  <c r="BB405" i="5"/>
  <c r="AT1290" i="18"/>
  <c r="AT1261" i="18"/>
  <c r="BW416" i="5"/>
  <c r="BO309" i="18" s="1"/>
  <c r="BO308" i="18"/>
  <c r="CN364" i="18"/>
  <c r="CV16" i="26"/>
  <c r="CV14" i="16"/>
  <c r="CO1213" i="18" s="1"/>
  <c r="CV16" i="27"/>
  <c r="BU468" i="5"/>
  <c r="BM354" i="18" s="1"/>
  <c r="BM353" i="18"/>
  <c r="DG71" i="5"/>
  <c r="CY58" i="18" s="1"/>
  <c r="CN58" i="18"/>
  <c r="BL53" i="5"/>
  <c r="BD40" i="18" s="1"/>
  <c r="BD39" i="18"/>
  <c r="AX1290" i="18"/>
  <c r="AX1261" i="18"/>
  <c r="BB25" i="5"/>
  <c r="AT17" i="18" s="1"/>
  <c r="AT16" i="18"/>
  <c r="BN388" i="5"/>
  <c r="BF1280" i="18" s="1"/>
  <c r="CV243" i="5"/>
  <c r="CN210" i="18" s="1"/>
  <c r="CN209" i="18"/>
  <c r="AY1290" i="18"/>
  <c r="AY1261" i="18"/>
  <c r="CX208" i="5"/>
  <c r="CP175" i="18" s="1"/>
  <c r="CP174" i="18"/>
  <c r="BX531" i="5"/>
  <c r="CX455" i="5"/>
  <c r="CP342" i="18" s="1"/>
  <c r="CO339" i="18"/>
  <c r="BG53" i="5"/>
  <c r="AY40" i="18" s="1"/>
  <c r="CB480" i="5"/>
  <c r="BT367" i="18" s="1"/>
  <c r="BT366" i="18"/>
  <c r="BV381" i="5"/>
  <c r="BN1273" i="18" s="1"/>
  <c r="BO362" i="5"/>
  <c r="CJ364" i="18"/>
  <c r="CR16" i="26"/>
  <c r="CR14" i="16"/>
  <c r="CK1213" i="18" s="1"/>
  <c r="CR16" i="27"/>
  <c r="BL437" i="5"/>
  <c r="BD1041" i="18" s="1"/>
  <c r="BW530" i="5"/>
  <c r="J13" i="19"/>
  <c r="BO32" i="18"/>
  <c r="BT380" i="5"/>
  <c r="BL1272" i="18" s="1"/>
  <c r="BX487" i="5"/>
  <c r="BP379" i="18" s="1"/>
  <c r="BL490" i="5"/>
  <c r="BD382" i="18" s="1"/>
  <c r="BD381" i="18"/>
  <c r="BB416" i="5"/>
  <c r="AT309" i="18" s="1"/>
  <c r="AT308" i="18"/>
  <c r="AZ402" i="5"/>
  <c r="AR1288" i="18" s="1"/>
  <c r="BE523" i="5"/>
  <c r="AW561" i="18"/>
  <c r="BT489" i="5"/>
  <c r="BL381" i="18" s="1"/>
  <c r="BV362" i="5"/>
  <c r="BO402" i="5"/>
  <c r="BG1288" i="18" s="1"/>
  <c r="BF1286" i="18"/>
  <c r="CP364" i="18"/>
  <c r="CX16" i="27"/>
  <c r="CX16" i="26"/>
  <c r="CX14" i="16"/>
  <c r="CQ1213" i="18" s="1"/>
  <c r="F14" i="19"/>
  <c r="BL42" i="18"/>
  <c r="BX338" i="5"/>
  <c r="BP294" i="18" s="1"/>
  <c r="BS1281" i="18"/>
  <c r="BS1259" i="18"/>
  <c r="BH190" i="5"/>
  <c r="AZ156" i="18" s="1"/>
  <c r="AZ155" i="18"/>
  <c r="BY347" i="5"/>
  <c r="M13" i="19"/>
  <c r="BQ32" i="18"/>
  <c r="CC636" i="5"/>
  <c r="BU479" i="18" s="1"/>
  <c r="BQ479" i="18"/>
  <c r="CC639" i="5"/>
  <c r="BU482" i="18" s="1"/>
  <c r="BQ482" i="18"/>
  <c r="O13" i="19"/>
  <c r="BS32" i="18"/>
  <c r="CE639" i="5"/>
  <c r="BW482" i="18" s="1"/>
  <c r="BS482" i="18"/>
  <c r="CE636" i="5"/>
  <c r="BW479" i="18" s="1"/>
  <c r="BS479" i="18"/>
  <c r="CX71" i="5"/>
  <c r="CP58" i="18" s="1"/>
  <c r="CB401" i="5"/>
  <c r="BT1287" i="18" s="1"/>
  <c r="BP1286" i="18"/>
  <c r="CL111" i="5"/>
  <c r="CD92" i="18" s="1"/>
  <c r="CD89" i="18"/>
  <c r="BD460" i="5"/>
  <c r="AV347" i="18" s="1"/>
  <c r="AV346" i="18"/>
  <c r="CB454" i="5"/>
  <c r="BT341" i="18" s="1"/>
  <c r="BT340" i="18"/>
  <c r="CA489" i="5"/>
  <c r="BS381" i="18" s="1"/>
  <c r="CA59" i="5"/>
  <c r="BS45" i="18" s="1"/>
  <c r="BS44" i="18"/>
  <c r="AR1282" i="18"/>
  <c r="AR1260" i="18"/>
  <c r="AR304" i="18"/>
  <c r="CV111" i="5"/>
  <c r="CN92" i="18" s="1"/>
  <c r="BF1281" i="18"/>
  <c r="BF1259" i="18"/>
  <c r="CV76" i="6"/>
  <c r="CN613" i="18" s="1"/>
  <c r="CN612" i="18"/>
  <c r="CT76" i="6"/>
  <c r="CL613" i="18" s="1"/>
  <c r="CL612" i="18"/>
  <c r="BG360" i="6"/>
  <c r="AY893" i="18" s="1"/>
  <c r="BA355" i="5"/>
  <c r="AS302" i="18"/>
  <c r="BM1246" i="18"/>
  <c r="BM569" i="18"/>
  <c r="BU57" i="7"/>
  <c r="CT347" i="6"/>
  <c r="CL881" i="18" s="1"/>
  <c r="CL880" i="18"/>
  <c r="BX116" i="6"/>
  <c r="BP689" i="18" s="1"/>
  <c r="CO668" i="18"/>
  <c r="CR94" i="6"/>
  <c r="CJ645" i="18" s="1"/>
  <c r="CJ644" i="18"/>
  <c r="BX42" i="6"/>
  <c r="BL1246" i="18"/>
  <c r="BL569" i="18"/>
  <c r="BE355" i="5"/>
  <c r="BN17" i="6"/>
  <c r="BU42" i="6"/>
  <c r="BB116" i="6"/>
  <c r="AT689" i="18" s="1"/>
  <c r="CJ668" i="18"/>
  <c r="BI1290" i="18"/>
  <c r="BI1261" i="18"/>
  <c r="BI116" i="6"/>
  <c r="BA689" i="18" s="1"/>
  <c r="CR188" i="5"/>
  <c r="CJ154" i="18" s="1"/>
  <c r="CJ189" i="18"/>
  <c r="BR1246" i="18"/>
  <c r="BR569" i="18"/>
  <c r="BB393" i="5"/>
  <c r="AT1281" i="18"/>
  <c r="AT1259" i="18"/>
  <c r="BD1246" i="18"/>
  <c r="BD569" i="18"/>
  <c r="BJ116" i="6"/>
  <c r="BB689" i="18" s="1"/>
  <c r="BJ71" i="7"/>
  <c r="D30" i="19"/>
  <c r="D924" i="18" s="1"/>
  <c r="D904" i="18"/>
  <c r="I30" i="19"/>
  <c r="L924" i="18" s="1"/>
  <c r="L904" i="18"/>
  <c r="F31" i="19"/>
  <c r="F905" i="18"/>
  <c r="P31" i="19"/>
  <c r="S925" i="18" s="1"/>
  <c r="S905" i="18"/>
  <c r="BD301" i="5"/>
  <c r="AV259" i="18" s="1"/>
  <c r="AV258" i="18"/>
  <c r="BN208" i="5"/>
  <c r="BF175" i="18" s="1"/>
  <c r="AS1246" i="18"/>
  <c r="AS569" i="18"/>
  <c r="CS21" i="7"/>
  <c r="CT21" i="7"/>
  <c r="CT22" i="7" s="1"/>
  <c r="CT23" i="7" s="1"/>
  <c r="K31" i="19"/>
  <c r="N925" i="18" s="1"/>
  <c r="N905" i="18"/>
  <c r="CY174" i="5"/>
  <c r="CQ139" i="18"/>
  <c r="CY169" i="5"/>
  <c r="CQ135" i="18" s="1"/>
  <c r="BW135" i="18"/>
  <c r="CF169" i="5"/>
  <c r="BX135" i="18" s="1"/>
  <c r="BX139" i="18"/>
  <c r="BU190" i="6"/>
  <c r="BM1315" i="18" s="1"/>
  <c r="BU1310" i="18"/>
  <c r="BU732" i="18"/>
  <c r="CO1312" i="18"/>
  <c r="CB190" i="6"/>
  <c r="BT1315" i="18" s="1"/>
  <c r="CN1311" i="18"/>
  <c r="CN734" i="18"/>
  <c r="BW1297" i="18"/>
  <c r="BW723" i="18"/>
  <c r="BV1298" i="18"/>
  <c r="BV724" i="18"/>
  <c r="BV1300" i="18"/>
  <c r="BV726" i="18"/>
  <c r="F920" i="18"/>
  <c r="F918" i="18"/>
  <c r="F914" i="18"/>
  <c r="U915" i="18"/>
  <c r="S915" i="18"/>
  <c r="AY357" i="5"/>
  <c r="AY359" i="5"/>
  <c r="BV22" i="7"/>
  <c r="BV23" i="7" s="1"/>
  <c r="AU357" i="5"/>
  <c r="AU359" i="5"/>
  <c r="AY364" i="5"/>
  <c r="AY397" i="5" s="1"/>
  <c r="AR341" i="5"/>
  <c r="AR343" i="5"/>
  <c r="AM359" i="5"/>
  <c r="AM357" i="5"/>
  <c r="AM343" i="5"/>
  <c r="AM341" i="5"/>
  <c r="AM364" i="5" s="1"/>
  <c r="AM365" i="5" s="1"/>
  <c r="AP364" i="5"/>
  <c r="BF46" i="7"/>
  <c r="BF22" i="7"/>
  <c r="BU31" i="7"/>
  <c r="AL430" i="5"/>
  <c r="AL340" i="5"/>
  <c r="AL342" i="5" s="1"/>
  <c r="AL356" i="5"/>
  <c r="AL358" i="5" s="1"/>
  <c r="AL439" i="5"/>
  <c r="AL421" i="5"/>
  <c r="AL420" i="5" s="1"/>
  <c r="AL423" i="5" s="1"/>
  <c r="AQ341" i="5"/>
  <c r="AQ364" i="5" s="1"/>
  <c r="AQ365" i="5" s="1"/>
  <c r="AQ366" i="5" s="1"/>
  <c r="AQ343" i="5"/>
  <c r="AQ464" i="5"/>
  <c r="BG71" i="7"/>
  <c r="BI71" i="7"/>
  <c r="BH71" i="7"/>
  <c r="AP359" i="5"/>
  <c r="AP357" i="5"/>
  <c r="CR48" i="7"/>
  <c r="CP42" i="7"/>
  <c r="CP42" i="6"/>
  <c r="CP43" i="6" s="1"/>
  <c r="CA22" i="7"/>
  <c r="CA23" i="7" s="1"/>
  <c r="BD68" i="7"/>
  <c r="BG68" i="7"/>
  <c r="BH68" i="7"/>
  <c r="CW37" i="7"/>
  <c r="CW30" i="7" s="1"/>
  <c r="CW31" i="7" s="1"/>
  <c r="AK343" i="5"/>
  <c r="AK341" i="5"/>
  <c r="AK364" i="5" s="1"/>
  <c r="AK365" i="5" s="1"/>
  <c r="AO366" i="5" s="1"/>
  <c r="BM71" i="7"/>
  <c r="BO71" i="7"/>
  <c r="BP71" i="7"/>
  <c r="CR57" i="7"/>
  <c r="BS23" i="7"/>
  <c r="AV434" i="5"/>
  <c r="CX35" i="7"/>
  <c r="BY37" i="7"/>
  <c r="CQ42" i="7"/>
  <c r="CQ42" i="6"/>
  <c r="CQ43" i="6" s="1"/>
  <c r="CI575" i="18" s="1"/>
  <c r="BT46" i="7"/>
  <c r="BT22" i="7"/>
  <c r="BT23" i="7" s="1"/>
  <c r="BM68" i="7"/>
  <c r="BO68" i="7"/>
  <c r="BP68" i="7"/>
  <c r="AR357" i="5"/>
  <c r="S6" i="7"/>
  <c r="R5" i="7"/>
  <c r="CR149" i="6"/>
  <c r="CR161" i="6"/>
  <c r="CO42" i="7"/>
  <c r="CO42" i="6"/>
  <c r="CO43" i="6" s="1"/>
  <c r="AU343" i="5"/>
  <c r="AU341" i="5"/>
  <c r="AU364" i="5" s="1"/>
  <c r="AQ357" i="5"/>
  <c r="AQ359" i="5"/>
  <c r="BE71" i="7"/>
  <c r="BF71" i="7"/>
  <c r="BX30" i="7"/>
  <c r="BX31" i="7" s="1"/>
  <c r="CB34" i="7"/>
  <c r="AK357" i="5"/>
  <c r="AK359" i="5"/>
  <c r="CU42" i="7"/>
  <c r="CU43" i="7" s="1"/>
  <c r="CU42" i="6"/>
  <c r="CU43" i="6" s="1"/>
  <c r="CM575" i="18" s="1"/>
  <c r="CV30" i="7"/>
  <c r="CV31" i="7" s="1"/>
  <c r="CS42" i="7"/>
  <c r="CS42" i="6"/>
  <c r="CS43" i="6" s="1"/>
  <c r="CK575" i="18" s="1"/>
  <c r="AW341" i="5"/>
  <c r="AW343" i="5"/>
  <c r="AN343" i="5"/>
  <c r="AN341" i="5"/>
  <c r="AN364" i="5" s="1"/>
  <c r="AN365" i="5" s="1"/>
  <c r="BQ22" i="7"/>
  <c r="BQ23" i="7" s="1"/>
  <c r="CC34" i="7"/>
  <c r="BY30" i="7"/>
  <c r="BY31" i="7" s="1"/>
  <c r="CX34" i="7"/>
  <c r="CE37" i="7"/>
  <c r="AR464" i="5"/>
  <c r="AR420" i="5"/>
  <c r="AR423" i="5" s="1"/>
  <c r="CT43" i="7"/>
  <c r="BE68" i="7"/>
  <c r="CS43" i="7"/>
  <c r="AV341" i="5"/>
  <c r="AV364" i="5" s="1"/>
  <c r="AV407" i="5" s="1"/>
  <c r="AV343" i="5"/>
  <c r="CD34" i="7"/>
  <c r="BT71" i="7"/>
  <c r="AX46" i="7"/>
  <c r="AX22" i="7"/>
  <c r="CT149" i="6"/>
  <c r="CT161" i="6"/>
  <c r="AW364" i="5"/>
  <c r="AQ431" i="5"/>
  <c r="AQ432" i="5" s="1"/>
  <c r="AQ433" i="5" s="1"/>
  <c r="AT340" i="5"/>
  <c r="AT342" i="5" s="1"/>
  <c r="AT356" i="5"/>
  <c r="AT358" i="5" s="1"/>
  <c r="AT439" i="5"/>
  <c r="AT440" i="5" s="1"/>
  <c r="AT441" i="5" s="1"/>
  <c r="AT442" i="5" s="1"/>
  <c r="AT443" i="5" s="1"/>
  <c r="AT421" i="5"/>
  <c r="AT430" i="5"/>
  <c r="AT431" i="5" s="1"/>
  <c r="AT432" i="5" s="1"/>
  <c r="AT433" i="5" s="1"/>
  <c r="BT68" i="7"/>
  <c r="BJ46" i="7"/>
  <c r="BJ22" i="7"/>
  <c r="CT57" i="7"/>
  <c r="BK71" i="7"/>
  <c r="BZ37" i="7"/>
  <c r="BZ30" i="7" s="1"/>
  <c r="BZ31" i="7" s="1"/>
  <c r="AP420" i="5"/>
  <c r="AP423" i="5" s="1"/>
  <c r="AP424" i="5" s="1"/>
  <c r="AP463" i="5"/>
  <c r="AP464" i="5" s="1"/>
  <c r="CS57" i="7"/>
  <c r="BK68" i="7"/>
  <c r="CO273" i="6"/>
  <c r="AQ71" i="6"/>
  <c r="AQ72" i="6"/>
  <c r="CS357" i="6"/>
  <c r="CS359" i="6"/>
  <c r="CK892" i="18" s="1"/>
  <c r="BJ221" i="6"/>
  <c r="BJ226" i="6"/>
  <c r="BJ231" i="6" s="1"/>
  <c r="BX332" i="6"/>
  <c r="BX333" i="6"/>
  <c r="CB331" i="6"/>
  <c r="Q6" i="6"/>
  <c r="P5" i="6"/>
  <c r="BI357" i="6"/>
  <c r="AT17" i="6"/>
  <c r="AT18" i="6"/>
  <c r="CO368" i="6"/>
  <c r="CO369" i="6" s="1"/>
  <c r="CO360" i="6"/>
  <c r="CM168" i="6"/>
  <c r="CM159" i="6"/>
  <c r="BC139" i="6"/>
  <c r="AZ368" i="6"/>
  <c r="AZ360" i="6"/>
  <c r="AR893" i="18" s="1"/>
  <c r="BT116" i="6"/>
  <c r="BL689" i="18" s="1"/>
  <c r="CO366" i="6"/>
  <c r="CO367" i="6" s="1"/>
  <c r="CO330" i="6"/>
  <c r="CO331" i="6" s="1"/>
  <c r="CO337" i="6"/>
  <c r="CO336" i="6"/>
  <c r="CS380" i="5"/>
  <c r="CK1272" i="18" s="1"/>
  <c r="BI59" i="5"/>
  <c r="BA45" i="18" s="1"/>
  <c r="BK389" i="5"/>
  <c r="AK190" i="5"/>
  <c r="AK191" i="5" s="1"/>
  <c r="BF25" i="5"/>
  <c r="AX17" i="18" s="1"/>
  <c r="BQ124" i="6"/>
  <c r="BI693" i="18" s="1"/>
  <c r="BQ113" i="6"/>
  <c r="BI666" i="18" s="1"/>
  <c r="BU100" i="6"/>
  <c r="BM653" i="18" s="1"/>
  <c r="BQ101" i="6"/>
  <c r="BI654" i="18" s="1"/>
  <c r="BO17" i="6"/>
  <c r="BO22" i="6"/>
  <c r="AN369" i="6"/>
  <c r="AR369" i="6"/>
  <c r="CR13" i="6"/>
  <c r="CJ567" i="18" s="1"/>
  <c r="CS110" i="6"/>
  <c r="CK663" i="18" s="1"/>
  <c r="CS121" i="6"/>
  <c r="CK685" i="18" s="1"/>
  <c r="BT113" i="6"/>
  <c r="BL666" i="18" s="1"/>
  <c r="BT124" i="6"/>
  <c r="BL693" i="18" s="1"/>
  <c r="BT101" i="6"/>
  <c r="BL654" i="18" s="1"/>
  <c r="BX100" i="6"/>
  <c r="BP653" i="18" s="1"/>
  <c r="CV182" i="6"/>
  <c r="CN1307" i="18" s="1"/>
  <c r="CV183" i="6"/>
  <c r="CN1308" i="18" s="1"/>
  <c r="CO61" i="6"/>
  <c r="AO71" i="6"/>
  <c r="AO72" i="6"/>
  <c r="BS17" i="6"/>
  <c r="BS22" i="6"/>
  <c r="BW17" i="6"/>
  <c r="BL116" i="6"/>
  <c r="BD689" i="18" s="1"/>
  <c r="BI359" i="6"/>
  <c r="BA892" i="18" s="1"/>
  <c r="BR215" i="6"/>
  <c r="BN220" i="6"/>
  <c r="AU332" i="6"/>
  <c r="AU333" i="6"/>
  <c r="CQ400" i="5"/>
  <c r="CI1286" i="18" s="1"/>
  <c r="CQ387" i="5"/>
  <c r="CR379" i="5"/>
  <c r="CQ379" i="5"/>
  <c r="CR387" i="5"/>
  <c r="CJ1279" i="18" s="1"/>
  <c r="BG17" i="6"/>
  <c r="BG22" i="6"/>
  <c r="BY42" i="6"/>
  <c r="AL71" i="6"/>
  <c r="BG125" i="6"/>
  <c r="AY694" i="18" s="1"/>
  <c r="BG176" i="6"/>
  <c r="CT328" i="6"/>
  <c r="CL862" i="18" s="1"/>
  <c r="CT326" i="6"/>
  <c r="CL860" i="18" s="1"/>
  <c r="BA255" i="5"/>
  <c r="AS218" i="18" s="1"/>
  <c r="BB255" i="5"/>
  <c r="AT218" i="18" s="1"/>
  <c r="AX366" i="6"/>
  <c r="AX367" i="6" s="1"/>
  <c r="AX336" i="6"/>
  <c r="BR254" i="5"/>
  <c r="BZ381" i="5"/>
  <c r="BR1273" i="18" s="1"/>
  <c r="BX261" i="5"/>
  <c r="BX262" i="5" s="1"/>
  <c r="AT190" i="5"/>
  <c r="CV404" i="5"/>
  <c r="CR44" i="6"/>
  <c r="CJ576" i="18" s="1"/>
  <c r="CR47" i="6"/>
  <c r="AP71" i="6"/>
  <c r="AP72" i="6"/>
  <c r="BM116" i="6"/>
  <c r="BE689" i="18" s="1"/>
  <c r="CQ219" i="6"/>
  <c r="CQ224" i="6"/>
  <c r="CX121" i="6"/>
  <c r="CP685" i="18" s="1"/>
  <c r="CX110" i="6"/>
  <c r="CP663" i="18" s="1"/>
  <c r="CU121" i="6"/>
  <c r="CM685" i="18" s="1"/>
  <c r="CU110" i="6"/>
  <c r="CM663" i="18" s="1"/>
  <c r="BB369" i="6"/>
  <c r="AT608" i="18" s="1"/>
  <c r="BR116" i="6"/>
  <c r="BJ689" i="18" s="1"/>
  <c r="AS333" i="6"/>
  <c r="AS332" i="6"/>
  <c r="CP251" i="6"/>
  <c r="CP26" i="6"/>
  <c r="CP27" i="6" s="1"/>
  <c r="CP63" i="6"/>
  <c r="BP176" i="6"/>
  <c r="BP114" i="6"/>
  <c r="BH667" i="18" s="1"/>
  <c r="BP125" i="6"/>
  <c r="BP108" i="6"/>
  <c r="CS88" i="6"/>
  <c r="CK639" i="18" s="1"/>
  <c r="CR76" i="6"/>
  <c r="CJ613" i="18" s="1"/>
  <c r="BA56" i="6"/>
  <c r="AS618" i="18" s="1"/>
  <c r="BA30" i="6"/>
  <c r="BA267" i="5"/>
  <c r="BA31" i="6"/>
  <c r="BA32" i="6"/>
  <c r="AS587" i="18" s="1"/>
  <c r="BA25" i="6"/>
  <c r="AS579" i="18" s="1"/>
  <c r="BR190" i="6"/>
  <c r="BJ1315" i="18" s="1"/>
  <c r="BQ190" i="6"/>
  <c r="BI1315" i="18" s="1"/>
  <c r="BS190" i="6"/>
  <c r="BK1315" i="18" s="1"/>
  <c r="AG168" i="6"/>
  <c r="AG159" i="6"/>
  <c r="BT190" i="6"/>
  <c r="BL1315" i="18" s="1"/>
  <c r="AT72" i="6"/>
  <c r="AZ32" i="6"/>
  <c r="AR587" i="18" s="1"/>
  <c r="AZ31" i="6"/>
  <c r="AZ30" i="6"/>
  <c r="AZ56" i="6"/>
  <c r="AR618" i="18" s="1"/>
  <c r="AZ25" i="6"/>
  <c r="AR579" i="18" s="1"/>
  <c r="AZ267" i="5"/>
  <c r="AZ239" i="5" s="1"/>
  <c r="BB18" i="6"/>
  <c r="CY327" i="6"/>
  <c r="CQ861" i="18" s="1"/>
  <c r="CY325" i="6"/>
  <c r="CQ859" i="18" s="1"/>
  <c r="CQ13" i="6"/>
  <c r="CI567" i="18" s="1"/>
  <c r="BE177" i="6"/>
  <c r="CN64" i="6"/>
  <c r="CU182" i="6"/>
  <c r="CS76" i="6"/>
  <c r="CK613" i="18" s="1"/>
  <c r="CY345" i="6"/>
  <c r="CQ879" i="18" s="1"/>
  <c r="CY346" i="6"/>
  <c r="CQ880" i="18" s="1"/>
  <c r="CN367" i="6"/>
  <c r="CV347" i="6"/>
  <c r="CN881" i="18" s="1"/>
  <c r="AK369" i="6"/>
  <c r="AO369" i="6"/>
  <c r="BJ316" i="6"/>
  <c r="BB849" i="18" s="1"/>
  <c r="BJ124" i="6"/>
  <c r="BB693" i="18" s="1"/>
  <c r="BN100" i="6"/>
  <c r="BF653" i="18" s="1"/>
  <c r="BJ113" i="6"/>
  <c r="BB666" i="18" s="1"/>
  <c r="CT100" i="6"/>
  <c r="CL653" i="18" s="1"/>
  <c r="BJ101" i="6"/>
  <c r="BB654" i="18" s="1"/>
  <c r="CQ221" i="6"/>
  <c r="CQ226" i="6"/>
  <c r="BR333" i="6"/>
  <c r="BR332" i="6"/>
  <c r="BV331" i="6"/>
  <c r="BJ255" i="5"/>
  <c r="BB218" i="18" s="1"/>
  <c r="BM253" i="5"/>
  <c r="BM254" i="5" s="1"/>
  <c r="BE139" i="6"/>
  <c r="BA143" i="6"/>
  <c r="AS703" i="18" s="1"/>
  <c r="AU215" i="6"/>
  <c r="CP216" i="6"/>
  <c r="BE226" i="6"/>
  <c r="BE231" i="6" s="1"/>
  <c r="BE221" i="6"/>
  <c r="BN214" i="6"/>
  <c r="BJ219" i="6"/>
  <c r="BJ29" i="6"/>
  <c r="BP22" i="6"/>
  <c r="BP17" i="6"/>
  <c r="CS166" i="6"/>
  <c r="CK716" i="18" s="1"/>
  <c r="CS155" i="6"/>
  <c r="CK672" i="18" s="1"/>
  <c r="BN357" i="6"/>
  <c r="BN359" i="6"/>
  <c r="BF892" i="18" s="1"/>
  <c r="BL177" i="6"/>
  <c r="BG416" i="5"/>
  <c r="AY309" i="18" s="1"/>
  <c r="BJ380" i="5"/>
  <c r="BB1272" i="18" s="1"/>
  <c r="BM176" i="6"/>
  <c r="BM125" i="6"/>
  <c r="BE694" i="18" s="1"/>
  <c r="BM108" i="6"/>
  <c r="BM114" i="6"/>
  <c r="BE667" i="18" s="1"/>
  <c r="BA330" i="6"/>
  <c r="AW331" i="6"/>
  <c r="CT44" i="6"/>
  <c r="CL576" i="18" s="1"/>
  <c r="CT47" i="6"/>
  <c r="BD219" i="6"/>
  <c r="BH214" i="6"/>
  <c r="BD29" i="6"/>
  <c r="CU13" i="6"/>
  <c r="CM567" i="18" s="1"/>
  <c r="CU76" i="6"/>
  <c r="CM613" i="18" s="1"/>
  <c r="CC333" i="6"/>
  <c r="CC332" i="6"/>
  <c r="CN66" i="6"/>
  <c r="CS13" i="6"/>
  <c r="CK567" i="18" s="1"/>
  <c r="BE369" i="6"/>
  <c r="AW608" i="18" s="1"/>
  <c r="AQ68" i="6"/>
  <c r="CN274" i="6"/>
  <c r="AS190" i="5"/>
  <c r="BI251" i="5"/>
  <c r="BX59" i="5"/>
  <c r="BP45" i="18" s="1"/>
  <c r="CP190" i="5"/>
  <c r="AU335" i="6"/>
  <c r="AU67" i="6"/>
  <c r="AU68" i="6" s="1"/>
  <c r="AU66" i="6"/>
  <c r="AU70" i="6"/>
  <c r="AU64" i="6"/>
  <c r="AU65" i="6" s="1"/>
  <c r="BM126" i="6"/>
  <c r="BE695" i="18" s="1"/>
  <c r="BW116" i="6"/>
  <c r="BO689" i="18" s="1"/>
  <c r="CW182" i="6"/>
  <c r="CO1307" i="18" s="1"/>
  <c r="BY116" i="6"/>
  <c r="BQ689" i="18" s="1"/>
  <c r="CA116" i="6"/>
  <c r="BS689" i="18" s="1"/>
  <c r="CP60" i="6"/>
  <c r="CP61" i="6" s="1"/>
  <c r="CP59" i="6"/>
  <c r="CP57" i="6"/>
  <c r="CP58" i="6" s="1"/>
  <c r="CK74" i="6"/>
  <c r="CL78" i="6" s="1"/>
  <c r="CV121" i="6"/>
  <c r="CN685" i="18" s="1"/>
  <c r="CV110" i="6"/>
  <c r="CN663" i="18" s="1"/>
  <c r="CT272" i="5"/>
  <c r="BO116" i="6"/>
  <c r="BG689" i="18" s="1"/>
  <c r="BI214" i="6"/>
  <c r="BE219" i="6"/>
  <c r="BE29" i="6"/>
  <c r="CW326" i="6"/>
  <c r="CO860" i="18" s="1"/>
  <c r="CW328" i="6"/>
  <c r="CO862" i="18" s="1"/>
  <c r="BT17" i="6"/>
  <c r="BP18" i="6"/>
  <c r="CP277" i="5"/>
  <c r="BI120" i="6"/>
  <c r="BA684" i="18" s="1"/>
  <c r="AT369" i="6"/>
  <c r="CT354" i="6"/>
  <c r="CL888" i="18" s="1"/>
  <c r="CU354" i="6"/>
  <c r="CM888" i="18" s="1"/>
  <c r="CX94" i="6"/>
  <c r="CP645" i="18" s="1"/>
  <c r="BC316" i="6"/>
  <c r="AU849" i="18" s="1"/>
  <c r="BC124" i="6"/>
  <c r="AU693" i="18" s="1"/>
  <c r="BC101" i="6"/>
  <c r="CX328" i="6"/>
  <c r="CP862" i="18" s="1"/>
  <c r="CX326" i="6"/>
  <c r="CP860" i="18" s="1"/>
  <c r="BF369" i="6"/>
  <c r="AX608" i="18" s="1"/>
  <c r="BD335" i="6"/>
  <c r="AV869" i="18" s="1"/>
  <c r="BH330" i="6"/>
  <c r="CX88" i="6"/>
  <c r="CP639" i="18" s="1"/>
  <c r="BH22" i="6"/>
  <c r="BH17" i="6"/>
  <c r="AM72" i="6"/>
  <c r="AM71" i="6"/>
  <c r="CM70" i="6"/>
  <c r="CN71" i="6" s="1"/>
  <c r="CM67" i="6"/>
  <c r="CN68" i="6" s="1"/>
  <c r="CM196" i="5"/>
  <c r="AV72" i="6"/>
  <c r="AV71" i="6"/>
  <c r="BH18" i="6"/>
  <c r="AX71" i="6"/>
  <c r="AX72" i="6"/>
  <c r="AT61" i="6"/>
  <c r="AX61" i="6"/>
  <c r="CR359" i="6"/>
  <c r="CJ892" i="18" s="1"/>
  <c r="CR354" i="6"/>
  <c r="CJ888" i="18" s="1"/>
  <c r="BQ253" i="5"/>
  <c r="AQ197" i="5"/>
  <c r="CW354" i="6"/>
  <c r="CO888" i="18" s="1"/>
  <c r="BK405" i="5"/>
  <c r="BS381" i="5"/>
  <c r="BK1273" i="18" s="1"/>
  <c r="BC360" i="6"/>
  <c r="AU893" i="18" s="1"/>
  <c r="BC368" i="6"/>
  <c r="BS18" i="6"/>
  <c r="BS116" i="6"/>
  <c r="BK689" i="18" s="1"/>
  <c r="CT234" i="6"/>
  <c r="CS247" i="6"/>
  <c r="CS235" i="6"/>
  <c r="BK359" i="6"/>
  <c r="BC892" i="18" s="1"/>
  <c r="CQ368" i="6"/>
  <c r="CI607" i="18" s="1"/>
  <c r="CQ360" i="6"/>
  <c r="CI893" i="18" s="1"/>
  <c r="CY353" i="6"/>
  <c r="CQ887" i="18" s="1"/>
  <c r="CC354" i="6"/>
  <c r="BU888" i="18" s="1"/>
  <c r="BB316" i="6"/>
  <c r="AT849" i="18" s="1"/>
  <c r="BB124" i="6"/>
  <c r="AT693" i="18" s="1"/>
  <c r="BB101" i="6"/>
  <c r="CR100" i="6"/>
  <c r="CJ653" i="18" s="1"/>
  <c r="CX354" i="6"/>
  <c r="CP888" i="18" s="1"/>
  <c r="BI255" i="5"/>
  <c r="BA218" i="18" s="1"/>
  <c r="BL389" i="5"/>
  <c r="AQ190" i="5"/>
  <c r="BQ59" i="5"/>
  <c r="BI45" i="18" s="1"/>
  <c r="BZ380" i="5"/>
  <c r="BR1272" i="18" s="1"/>
  <c r="CB381" i="5"/>
  <c r="BT1273" i="18" s="1"/>
  <c r="CX13" i="6"/>
  <c r="CP567" i="18" s="1"/>
  <c r="BJ22" i="6"/>
  <c r="BJ17" i="6"/>
  <c r="CW183" i="6"/>
  <c r="CO1308" i="18" s="1"/>
  <c r="CU328" i="6"/>
  <c r="CM862" i="18" s="1"/>
  <c r="CU326" i="6"/>
  <c r="CM860" i="18" s="1"/>
  <c r="CP368" i="6"/>
  <c r="CP369" i="6" s="1"/>
  <c r="CP360" i="6"/>
  <c r="CE331" i="6"/>
  <c r="CA332" i="6"/>
  <c r="CA333" i="6"/>
  <c r="BF116" i="6"/>
  <c r="AX689" i="18" s="1"/>
  <c r="AW58" i="6"/>
  <c r="CC187" i="6"/>
  <c r="BU1312" i="18" s="1"/>
  <c r="CD185" i="6"/>
  <c r="CC186" i="6"/>
  <c r="CC191" i="6"/>
  <c r="BU1316" i="18" s="1"/>
  <c r="CC188" i="6"/>
  <c r="CC181" i="6"/>
  <c r="BU1306" i="18" s="1"/>
  <c r="CR214" i="6"/>
  <c r="BG18" i="6"/>
  <c r="BD125" i="6"/>
  <c r="AV694" i="18" s="1"/>
  <c r="BD176" i="6"/>
  <c r="BH108" i="6"/>
  <c r="AZ661" i="18" s="1"/>
  <c r="BH114" i="6"/>
  <c r="AZ667" i="18" s="1"/>
  <c r="BB366" i="6"/>
  <c r="BB336" i="6"/>
  <c r="AT870" i="18" s="1"/>
  <c r="BB337" i="6"/>
  <c r="AT871" i="18" s="1"/>
  <c r="BB70" i="6"/>
  <c r="AT631" i="18" s="1"/>
  <c r="CN360" i="6"/>
  <c r="CN368" i="6"/>
  <c r="CN369" i="6" s="1"/>
  <c r="AW335" i="6"/>
  <c r="AW64" i="6"/>
  <c r="AW66" i="6"/>
  <c r="AW67" i="6"/>
  <c r="CS94" i="6"/>
  <c r="CK645" i="18" s="1"/>
  <c r="DC152" i="6"/>
  <c r="DC140" i="6"/>
  <c r="DC141" i="6" s="1"/>
  <c r="DD151" i="6"/>
  <c r="BK215" i="6"/>
  <c r="BG220" i="6"/>
  <c r="CR267" i="6"/>
  <c r="CR261" i="6"/>
  <c r="BL120" i="6"/>
  <c r="BD684" i="18" s="1"/>
  <c r="AY56" i="6"/>
  <c r="AY32" i="6"/>
  <c r="AY31" i="6"/>
  <c r="AY25" i="6"/>
  <c r="AY30" i="6"/>
  <c r="CQ29" i="6"/>
  <c r="AY267" i="5"/>
  <c r="CR121" i="6"/>
  <c r="CJ685" i="18" s="1"/>
  <c r="CR110" i="6"/>
  <c r="CJ663" i="18" s="1"/>
  <c r="CS272" i="5"/>
  <c r="BH240" i="5"/>
  <c r="BK316" i="6"/>
  <c r="BC849" i="18" s="1"/>
  <c r="BK124" i="6"/>
  <c r="BC693" i="18" s="1"/>
  <c r="BO100" i="6"/>
  <c r="BG653" i="18" s="1"/>
  <c r="BK113" i="6"/>
  <c r="BC666" i="18" s="1"/>
  <c r="BK101" i="6"/>
  <c r="BC654" i="18" s="1"/>
  <c r="CT94" i="6"/>
  <c r="CL645" i="18" s="1"/>
  <c r="BB331" i="5"/>
  <c r="AT287" i="18" s="1"/>
  <c r="BC331" i="5"/>
  <c r="AU287" i="18" s="1"/>
  <c r="BD331" i="5"/>
  <c r="AV287" i="18" s="1"/>
  <c r="CR354" i="5"/>
  <c r="CR38" i="6"/>
  <c r="CJ593" i="18" s="1"/>
  <c r="AX58" i="6"/>
  <c r="BB58" i="6"/>
  <c r="CS328" i="6"/>
  <c r="CK862" i="18" s="1"/>
  <c r="CS326" i="6"/>
  <c r="CK860" i="18" s="1"/>
  <c r="AQ366" i="6"/>
  <c r="AQ367" i="6" s="1"/>
  <c r="AQ336" i="6"/>
  <c r="CT88" i="6"/>
  <c r="CL639" i="18" s="1"/>
  <c r="CV13" i="6"/>
  <c r="CN567" i="18" s="1"/>
  <c r="BO356" i="6"/>
  <c r="BS35" i="6"/>
  <c r="BO37" i="6"/>
  <c r="BO38" i="6"/>
  <c r="BG593" i="18" s="1"/>
  <c r="BO272" i="5"/>
  <c r="BO154" i="6"/>
  <c r="BG671" i="18" s="1"/>
  <c r="CV328" i="6"/>
  <c r="CN862" i="18" s="1"/>
  <c r="CV326" i="6"/>
  <c r="CN860" i="18" s="1"/>
  <c r="BH357" i="6"/>
  <c r="BH359" i="6"/>
  <c r="AZ892" i="18" s="1"/>
  <c r="CO65" i="6"/>
  <c r="AY331" i="6"/>
  <c r="BC330" i="6"/>
  <c r="CW13" i="6"/>
  <c r="CO567" i="18" s="1"/>
  <c r="BO59" i="5"/>
  <c r="BG45" i="18" s="1"/>
  <c r="AW191" i="5"/>
  <c r="BF176" i="6"/>
  <c r="BF125" i="6"/>
  <c r="BF114" i="6"/>
  <c r="AX667" i="18" s="1"/>
  <c r="CS101" i="6"/>
  <c r="CK654" i="18" s="1"/>
  <c r="AZ225" i="6"/>
  <c r="BD230" i="6" s="1"/>
  <c r="BD215" i="6"/>
  <c r="AZ220" i="6"/>
  <c r="CQ215" i="6"/>
  <c r="BM356" i="6"/>
  <c r="CU35" i="6"/>
  <c r="BQ35" i="6"/>
  <c r="BM38" i="6"/>
  <c r="BE593" i="18" s="1"/>
  <c r="BM272" i="5"/>
  <c r="BM37" i="6"/>
  <c r="BM154" i="6"/>
  <c r="BE671" i="18" s="1"/>
  <c r="CW347" i="6"/>
  <c r="CO881" i="18" s="1"/>
  <c r="CX347" i="6"/>
  <c r="CP881" i="18" s="1"/>
  <c r="BL356" i="6"/>
  <c r="CT356" i="6" s="1"/>
  <c r="BL38" i="6"/>
  <c r="BD593" i="18" s="1"/>
  <c r="BP35" i="6"/>
  <c r="BL37" i="6"/>
  <c r="BL272" i="5"/>
  <c r="BL154" i="6"/>
  <c r="BD671" i="18" s="1"/>
  <c r="AV333" i="6"/>
  <c r="AZ332" i="6"/>
  <c r="AV332" i="6"/>
  <c r="AZ333" i="6"/>
  <c r="BI253" i="5"/>
  <c r="BI254" i="5" s="1"/>
  <c r="BE389" i="5"/>
  <c r="BH50" i="5"/>
  <c r="AZ38" i="18" s="1"/>
  <c r="BI389" i="5"/>
  <c r="BO405" i="5"/>
  <c r="BP389" i="5"/>
  <c r="BN252" i="5"/>
  <c r="BF217" i="18" s="1"/>
  <c r="BR355" i="5"/>
  <c r="CT13" i="6"/>
  <c r="CL567" i="18" s="1"/>
  <c r="CO70" i="6"/>
  <c r="CV354" i="6"/>
  <c r="CN888" i="18" s="1"/>
  <c r="BI216" i="6"/>
  <c r="BM215" i="6"/>
  <c r="BI220" i="6"/>
  <c r="BD368" i="6"/>
  <c r="AV607" i="18" s="1"/>
  <c r="BD360" i="6"/>
  <c r="AV893" i="18" s="1"/>
  <c r="CR166" i="6"/>
  <c r="CJ716" i="18" s="1"/>
  <c r="CR155" i="6"/>
  <c r="CJ672" i="18" s="1"/>
  <c r="BF56" i="6"/>
  <c r="AX618" i="18" s="1"/>
  <c r="BF32" i="6"/>
  <c r="AX587" i="18" s="1"/>
  <c r="BF31" i="6"/>
  <c r="BF30" i="6"/>
  <c r="BF25" i="6"/>
  <c r="AX579" i="18" s="1"/>
  <c r="BF267" i="5"/>
  <c r="BF239" i="5" s="1"/>
  <c r="CT110" i="6"/>
  <c r="CL663" i="18" s="1"/>
  <c r="CT121" i="6"/>
  <c r="CL685" i="18" s="1"/>
  <c r="CT35" i="6"/>
  <c r="BD126" i="6"/>
  <c r="AV695" i="18" s="1"/>
  <c r="BV116" i="6"/>
  <c r="BN689" i="18" s="1"/>
  <c r="BJ330" i="6"/>
  <c r="BF335" i="6"/>
  <c r="AX869" i="18" s="1"/>
  <c r="BK17" i="6"/>
  <c r="BK22" i="6"/>
  <c r="CW121" i="6"/>
  <c r="CO685" i="18" s="1"/>
  <c r="CW110" i="6"/>
  <c r="CO663" i="18" s="1"/>
  <c r="AS335" i="6"/>
  <c r="AS70" i="6" s="1"/>
  <c r="AS66" i="6"/>
  <c r="AS64" i="6"/>
  <c r="AS65" i="6" s="1"/>
  <c r="AS67" i="6"/>
  <c r="AS68" i="6" s="1"/>
  <c r="CE172" i="6"/>
  <c r="CE174" i="6"/>
  <c r="CE171" i="6"/>
  <c r="CF170" i="6"/>
  <c r="BR356" i="6"/>
  <c r="BV35" i="6"/>
  <c r="BR37" i="6"/>
  <c r="BR38" i="6"/>
  <c r="BJ593" i="18" s="1"/>
  <c r="BR272" i="5"/>
  <c r="BR154" i="6"/>
  <c r="BJ671" i="18" s="1"/>
  <c r="BC226" i="6"/>
  <c r="BC231" i="6" s="1"/>
  <c r="BC221" i="6"/>
  <c r="CW94" i="6"/>
  <c r="CO645" i="18" s="1"/>
  <c r="BB143" i="6"/>
  <c r="AT703" i="18" s="1"/>
  <c r="BF139" i="6"/>
  <c r="BG214" i="6"/>
  <c r="BG216" i="6" s="1"/>
  <c r="BC219" i="6"/>
  <c r="BC29" i="6"/>
  <c r="AY221" i="6"/>
  <c r="DE351" i="6"/>
  <c r="BV42" i="6"/>
  <c r="BA116" i="6"/>
  <c r="AS689" i="18" s="1"/>
  <c r="BC116" i="6"/>
  <c r="AU689" i="18" s="1"/>
  <c r="BR22" i="6"/>
  <c r="BR17" i="6"/>
  <c r="BV17" i="6"/>
  <c r="BO18" i="6"/>
  <c r="BG126" i="6"/>
  <c r="AY695" i="18" s="1"/>
  <c r="CE354" i="6"/>
  <c r="BW888" i="18" s="1"/>
  <c r="CU347" i="6"/>
  <c r="CM881" i="18" s="1"/>
  <c r="BD139" i="6"/>
  <c r="BH116" i="6"/>
  <c r="AZ689" i="18" s="1"/>
  <c r="BM22" i="6"/>
  <c r="BM17" i="6"/>
  <c r="BQ17" i="6"/>
  <c r="CR328" i="6"/>
  <c r="CJ862" i="18" s="1"/>
  <c r="CR326" i="6"/>
  <c r="CJ860" i="18" s="1"/>
  <c r="BA368" i="6"/>
  <c r="BA360" i="6"/>
  <c r="AS893" i="18" s="1"/>
  <c r="CS354" i="6"/>
  <c r="CK888" i="18" s="1"/>
  <c r="AY129" i="5"/>
  <c r="AY143" i="5"/>
  <c r="CX489" i="5"/>
  <c r="CP381" i="18" s="1"/>
  <c r="AN291" i="5"/>
  <c r="AN199" i="5"/>
  <c r="AW291" i="5"/>
  <c r="AW199" i="5"/>
  <c r="AQ424" i="5"/>
  <c r="AQ422" i="5"/>
  <c r="BS543" i="5"/>
  <c r="BK392" i="18" s="1"/>
  <c r="BH385" i="5"/>
  <c r="AZ1277" i="18" s="1"/>
  <c r="BY349" i="5"/>
  <c r="BQ298" i="18" s="1"/>
  <c r="BY348" i="5"/>
  <c r="BQ299" i="18" s="1"/>
  <c r="AH146" i="5"/>
  <c r="AH156" i="5" s="1"/>
  <c r="AH135" i="5"/>
  <c r="Z112" i="18" s="1"/>
  <c r="BP129" i="5"/>
  <c r="BH109" i="18" s="1"/>
  <c r="BP143" i="5"/>
  <c r="BH117" i="18" s="1"/>
  <c r="AU291" i="5"/>
  <c r="AU199" i="5"/>
  <c r="CP80" i="5"/>
  <c r="CP87" i="5"/>
  <c r="AV422" i="5"/>
  <c r="AV424" i="5"/>
  <c r="AY424" i="5"/>
  <c r="AY422" i="5"/>
  <c r="BQ502" i="5"/>
  <c r="BI473" i="5"/>
  <c r="AM385" i="5"/>
  <c r="BE216" i="5"/>
  <c r="AW183" i="18" s="1"/>
  <c r="BE289" i="5"/>
  <c r="AW246" i="18" s="1"/>
  <c r="BA460" i="5"/>
  <c r="AS347" i="18" s="1"/>
  <c r="AW384" i="5"/>
  <c r="AW385" i="5"/>
  <c r="DD692" i="5"/>
  <c r="CO80" i="5"/>
  <c r="CO87" i="5"/>
  <c r="CS361" i="5"/>
  <c r="CS337" i="5"/>
  <c r="CS413" i="5"/>
  <c r="CK306" i="18" s="1"/>
  <c r="CS339" i="5"/>
  <c r="CS336" i="5"/>
  <c r="CK292" i="18" s="1"/>
  <c r="CO208" i="5"/>
  <c r="CA416" i="5"/>
  <c r="BS309" i="18" s="1"/>
  <c r="DE224" i="5"/>
  <c r="CW191" i="18" s="1"/>
  <c r="DD225" i="5"/>
  <c r="CV192" i="18" s="1"/>
  <c r="BI404" i="5"/>
  <c r="BI362" i="5"/>
  <c r="BI392" i="5"/>
  <c r="BI383" i="5"/>
  <c r="BA1275" i="18" s="1"/>
  <c r="AZ289" i="5"/>
  <c r="AZ216" i="5"/>
  <c r="AX429" i="5"/>
  <c r="AX431" i="5" s="1"/>
  <c r="AX432" i="5" s="1"/>
  <c r="AX433" i="5" s="1"/>
  <c r="AN405" i="5"/>
  <c r="AM95" i="5"/>
  <c r="AM84" i="5"/>
  <c r="AM126" i="5"/>
  <c r="CP25" i="5"/>
  <c r="AM460" i="5"/>
  <c r="CL116" i="5"/>
  <c r="CD97" i="18" s="1"/>
  <c r="CY63" i="5"/>
  <c r="CQ51" i="18" s="1"/>
  <c r="BJ384" i="5"/>
  <c r="BB1276" i="18" s="1"/>
  <c r="BB490" i="5"/>
  <c r="AT382" i="18" s="1"/>
  <c r="BF490" i="5"/>
  <c r="AX382" i="18" s="1"/>
  <c r="CW167" i="5"/>
  <c r="CO133" i="18" s="1"/>
  <c r="BU168" i="5"/>
  <c r="BR390" i="5"/>
  <c r="BR388" i="5"/>
  <c r="AG84" i="5"/>
  <c r="AG95" i="5"/>
  <c r="AG96" i="5" s="1"/>
  <c r="BG530" i="5"/>
  <c r="BG522" i="5"/>
  <c r="AY561" i="18" s="1"/>
  <c r="BG437" i="5"/>
  <c r="AY1041" i="18" s="1"/>
  <c r="BG332" i="5"/>
  <c r="BG428" i="5"/>
  <c r="AY1036" i="18" s="1"/>
  <c r="BK312" i="5"/>
  <c r="BC270" i="18" s="1"/>
  <c r="BG287" i="5"/>
  <c r="AY244" i="18" s="1"/>
  <c r="BG79" i="5"/>
  <c r="AY70" i="18" s="1"/>
  <c r="BG55" i="5"/>
  <c r="BG73" i="5"/>
  <c r="AY60" i="18" s="1"/>
  <c r="BG43" i="5"/>
  <c r="AY35" i="18" s="1"/>
  <c r="BG49" i="5"/>
  <c r="AY37" i="18" s="1"/>
  <c r="BG40" i="5"/>
  <c r="AY33" i="18" s="1"/>
  <c r="BG42" i="5"/>
  <c r="BG518" i="5"/>
  <c r="BG453" i="5"/>
  <c r="BG479" i="5"/>
  <c r="AY366" i="18" s="1"/>
  <c r="BG473" i="5"/>
  <c r="AY359" i="18" s="1"/>
  <c r="BG337" i="5"/>
  <c r="AY293" i="18" s="1"/>
  <c r="BG459" i="5"/>
  <c r="AY346" i="18" s="1"/>
  <c r="BG347" i="5"/>
  <c r="AY297" i="18" s="1"/>
  <c r="BG467" i="5"/>
  <c r="CU111" i="5"/>
  <c r="CM92" i="18" s="1"/>
  <c r="CU110" i="5"/>
  <c r="CM91" i="18" s="1"/>
  <c r="AZ460" i="5"/>
  <c r="AQ288" i="5"/>
  <c r="AQ234" i="5"/>
  <c r="AQ223" i="5"/>
  <c r="AQ217" i="5"/>
  <c r="AQ218" i="5" s="1"/>
  <c r="AQ213" i="5"/>
  <c r="CV486" i="5"/>
  <c r="CN378" i="18" s="1"/>
  <c r="CV455" i="5"/>
  <c r="CN342" i="18" s="1"/>
  <c r="AT385" i="5"/>
  <c r="AT384" i="5"/>
  <c r="BH87" i="5"/>
  <c r="AZ75" i="18" s="1"/>
  <c r="BH80" i="5"/>
  <c r="AZ71" i="18" s="1"/>
  <c r="CP511" i="5"/>
  <c r="BK183" i="5"/>
  <c r="BK189" i="5"/>
  <c r="BC155" i="18" s="1"/>
  <c r="BK185" i="5"/>
  <c r="BC151" i="18" s="1"/>
  <c r="CX121" i="5"/>
  <c r="CP103" i="18" s="1"/>
  <c r="AZ190" i="5"/>
  <c r="CS481" i="5"/>
  <c r="CS479" i="5"/>
  <c r="CK366" i="18" s="1"/>
  <c r="CS483" i="5"/>
  <c r="CK365" i="18" s="1"/>
  <c r="BH460" i="5"/>
  <c r="AZ347" i="18" s="1"/>
  <c r="AO460" i="5"/>
  <c r="CE104" i="5"/>
  <c r="CE115" i="5"/>
  <c r="BW96" i="18" s="1"/>
  <c r="BY699" i="5"/>
  <c r="BZ697" i="5"/>
  <c r="CW469" i="5"/>
  <c r="BQ380" i="5"/>
  <c r="BI1272" i="18" s="1"/>
  <c r="BQ381" i="5"/>
  <c r="BI1273" i="18" s="1"/>
  <c r="BM355" i="5"/>
  <c r="BF363" i="5"/>
  <c r="AO405" i="5"/>
  <c r="AS405" i="5"/>
  <c r="AS429" i="5"/>
  <c r="AS431" i="5" s="1"/>
  <c r="AS432" i="5" s="1"/>
  <c r="AS433" i="5" s="1"/>
  <c r="AW432" i="5"/>
  <c r="AW433" i="5" s="1"/>
  <c r="BO428" i="5"/>
  <c r="BG1036" i="18" s="1"/>
  <c r="BO258" i="5"/>
  <c r="BO260" i="5" s="1"/>
  <c r="BO79" i="5"/>
  <c r="BG70" i="18" s="1"/>
  <c r="BO73" i="5"/>
  <c r="BG60" i="18" s="1"/>
  <c r="BO55" i="5"/>
  <c r="BG42" i="18" s="1"/>
  <c r="BO49" i="5"/>
  <c r="BG37" i="18" s="1"/>
  <c r="BO42" i="5"/>
  <c r="BO43" i="5"/>
  <c r="BG35" i="18" s="1"/>
  <c r="BO40" i="5"/>
  <c r="BG33" i="18" s="1"/>
  <c r="BS45" i="5"/>
  <c r="BK1317" i="18" s="1"/>
  <c r="BO347" i="5"/>
  <c r="BG297" i="18" s="1"/>
  <c r="BO467" i="5"/>
  <c r="BG353" i="18" s="1"/>
  <c r="BO473" i="5"/>
  <c r="BG359" i="18" s="1"/>
  <c r="BO530" i="5"/>
  <c r="BO337" i="5"/>
  <c r="BO459" i="5"/>
  <c r="BO453" i="5"/>
  <c r="BG340" i="18" s="1"/>
  <c r="BO522" i="5"/>
  <c r="BG561" i="18" s="1"/>
  <c r="CC103" i="5"/>
  <c r="BU84" i="18" s="1"/>
  <c r="CY108" i="5"/>
  <c r="CQ89" i="18" s="1"/>
  <c r="BX677" i="5"/>
  <c r="BX696" i="5" s="1"/>
  <c r="BX557" i="5"/>
  <c r="BT480" i="5"/>
  <c r="BL367" i="18" s="1"/>
  <c r="BG405" i="5"/>
  <c r="BX56" i="5"/>
  <c r="BP43" i="18" s="1"/>
  <c r="BM573" i="5"/>
  <c r="BE419" i="18" s="1"/>
  <c r="BM80" i="5"/>
  <c r="BE71" i="18" s="1"/>
  <c r="BM87" i="5"/>
  <c r="BE75" i="18" s="1"/>
  <c r="AU460" i="5"/>
  <c r="AK53" i="5"/>
  <c r="AO53" i="5"/>
  <c r="CR483" i="5"/>
  <c r="CJ365" i="18" s="1"/>
  <c r="CR481" i="5"/>
  <c r="CR479" i="5"/>
  <c r="BA74" i="5"/>
  <c r="BA83" i="5"/>
  <c r="AS73" i="18" s="1"/>
  <c r="AM288" i="5"/>
  <c r="AM223" i="5"/>
  <c r="AM213" i="5"/>
  <c r="AM234" i="5"/>
  <c r="CV469" i="5"/>
  <c r="BX480" i="5"/>
  <c r="BP367" i="18" s="1"/>
  <c r="BQ53" i="5"/>
  <c r="BI40" i="18" s="1"/>
  <c r="AY126" i="5"/>
  <c r="AY124" i="5"/>
  <c r="CT475" i="5"/>
  <c r="AP180" i="5"/>
  <c r="AP295" i="5" s="1"/>
  <c r="BL558" i="5"/>
  <c r="BD404" i="18" s="1"/>
  <c r="CT685" i="5"/>
  <c r="CL524" i="18" s="1"/>
  <c r="AM405" i="5"/>
  <c r="AO424" i="5"/>
  <c r="AO422" i="5"/>
  <c r="BF522" i="5"/>
  <c r="AX561" i="18" s="1"/>
  <c r="BF428" i="5"/>
  <c r="AX1036" i="18" s="1"/>
  <c r="BF437" i="5"/>
  <c r="AX1041" i="18" s="1"/>
  <c r="BJ312" i="5"/>
  <c r="BF332" i="5"/>
  <c r="BF287" i="5"/>
  <c r="AX244" i="18" s="1"/>
  <c r="BF79" i="5"/>
  <c r="AX70" i="18" s="1"/>
  <c r="BF73" i="5"/>
  <c r="AX60" i="18" s="1"/>
  <c r="BF43" i="5"/>
  <c r="AX35" i="18" s="1"/>
  <c r="BF55" i="5"/>
  <c r="AX42" i="18" s="1"/>
  <c r="BF42" i="5"/>
  <c r="BF40" i="5"/>
  <c r="AX33" i="18" s="1"/>
  <c r="BF49" i="5"/>
  <c r="AX37" i="18" s="1"/>
  <c r="BF459" i="5"/>
  <c r="AX346" i="18" s="1"/>
  <c r="BF479" i="5"/>
  <c r="BF467" i="5"/>
  <c r="AX353" i="18" s="1"/>
  <c r="BF347" i="5"/>
  <c r="AX297" i="18" s="1"/>
  <c r="BF453" i="5"/>
  <c r="AX340" i="18" s="1"/>
  <c r="BF530" i="5"/>
  <c r="BF337" i="5"/>
  <c r="BF473" i="5"/>
  <c r="AX359" i="18" s="1"/>
  <c r="BF518" i="5"/>
  <c r="AX372" i="18" s="1"/>
  <c r="AM34" i="5"/>
  <c r="AM32" i="5"/>
  <c r="AM33" i="5" s="1"/>
  <c r="BE332" i="5"/>
  <c r="CX469" i="5"/>
  <c r="AN288" i="5"/>
  <c r="AN234" i="5"/>
  <c r="AN223" i="5"/>
  <c r="BT490" i="5"/>
  <c r="BL382" i="18" s="1"/>
  <c r="AL126" i="5"/>
  <c r="AL124" i="5"/>
  <c r="AW363" i="5"/>
  <c r="BE487" i="5"/>
  <c r="AW379" i="18" s="1"/>
  <c r="BE488" i="5"/>
  <c r="AW380" i="18" s="1"/>
  <c r="BE489" i="5"/>
  <c r="BT261" i="5"/>
  <c r="CO438" i="5"/>
  <c r="CO129" i="5"/>
  <c r="CO143" i="5"/>
  <c r="CT111" i="5"/>
  <c r="CL92" i="18" s="1"/>
  <c r="CT110" i="5"/>
  <c r="CL91" i="18" s="1"/>
  <c r="AV75" i="5"/>
  <c r="CR486" i="5"/>
  <c r="CJ378" i="18" s="1"/>
  <c r="CR455" i="5"/>
  <c r="CJ342" i="18" s="1"/>
  <c r="AP407" i="5"/>
  <c r="AP365" i="5"/>
  <c r="CQ419" i="5"/>
  <c r="CQ415" i="5"/>
  <c r="CI308" i="18" s="1"/>
  <c r="CE482" i="5"/>
  <c r="CE481" i="5"/>
  <c r="CE67" i="5"/>
  <c r="AU405" i="5"/>
  <c r="BD596" i="5"/>
  <c r="BD515" i="5"/>
  <c r="BD516" i="5" s="1"/>
  <c r="BD517" i="5" s="1"/>
  <c r="BE515" i="5"/>
  <c r="BE516" i="5" s="1"/>
  <c r="BE517" i="5" s="1"/>
  <c r="CW544" i="5"/>
  <c r="CO393" i="18" s="1"/>
  <c r="CW559" i="5"/>
  <c r="CO405" i="18" s="1"/>
  <c r="AP429" i="5"/>
  <c r="AP431" i="5" s="1"/>
  <c r="AP432" i="5" s="1"/>
  <c r="AP433" i="5" s="1"/>
  <c r="AU389" i="5"/>
  <c r="AW454" i="5"/>
  <c r="AK348" i="5"/>
  <c r="AK349" i="5"/>
  <c r="AZ332" i="5"/>
  <c r="AZ333" i="5" s="1"/>
  <c r="AR289" i="18" s="1"/>
  <c r="BH392" i="5"/>
  <c r="CW110" i="5"/>
  <c r="CO91" i="18" s="1"/>
  <c r="CW111" i="5"/>
  <c r="CO92" i="18" s="1"/>
  <c r="BP559" i="5"/>
  <c r="BH405" i="18" s="1"/>
  <c r="BP549" i="5"/>
  <c r="BH398" i="18" s="1"/>
  <c r="AW394" i="5"/>
  <c r="AQ93" i="5"/>
  <c r="AQ92" i="5"/>
  <c r="AQ91" i="5"/>
  <c r="AQ90" i="5"/>
  <c r="AQ88" i="5"/>
  <c r="AM146" i="5"/>
  <c r="AM156" i="5" s="1"/>
  <c r="AM135" i="5"/>
  <c r="AE112" i="18" s="1"/>
  <c r="AU81" i="5"/>
  <c r="AU95" i="5"/>
  <c r="AU126" i="5"/>
  <c r="AU84" i="5"/>
  <c r="BH490" i="5"/>
  <c r="AZ382" i="18" s="1"/>
  <c r="BN522" i="5"/>
  <c r="BF561" i="18" s="1"/>
  <c r="BN428" i="5"/>
  <c r="BF1036" i="18" s="1"/>
  <c r="BN530" i="5"/>
  <c r="BN258" i="5"/>
  <c r="BN260" i="5" s="1"/>
  <c r="BN332" i="5"/>
  <c r="BN79" i="5"/>
  <c r="BF70" i="18" s="1"/>
  <c r="BN43" i="5"/>
  <c r="BF35" i="18" s="1"/>
  <c r="BN42" i="5"/>
  <c r="BN40" i="5"/>
  <c r="BF33" i="18" s="1"/>
  <c r="BN55" i="5"/>
  <c r="BF42" i="18" s="1"/>
  <c r="BN73" i="5"/>
  <c r="BF60" i="18" s="1"/>
  <c r="BN49" i="5"/>
  <c r="BF37" i="18" s="1"/>
  <c r="BR45" i="5"/>
  <c r="BJ1317" i="18" s="1"/>
  <c r="BN473" i="5"/>
  <c r="BN459" i="5"/>
  <c r="BF346" i="18" s="1"/>
  <c r="BN467" i="5"/>
  <c r="BF353" i="18" s="1"/>
  <c r="BN337" i="5"/>
  <c r="BN347" i="5"/>
  <c r="BF297" i="18" s="1"/>
  <c r="BN453" i="5"/>
  <c r="BM506" i="5"/>
  <c r="BM505" i="5"/>
  <c r="AV291" i="5"/>
  <c r="AV199" i="5"/>
  <c r="CA511" i="5"/>
  <c r="BS371" i="18" s="1"/>
  <c r="CA513" i="5"/>
  <c r="CA514" i="5"/>
  <c r="CA512" i="5"/>
  <c r="BI402" i="5"/>
  <c r="BA1288" i="18" s="1"/>
  <c r="BI401" i="5"/>
  <c r="BA1287" i="18" s="1"/>
  <c r="BP573" i="5"/>
  <c r="BH419" i="18" s="1"/>
  <c r="BP87" i="5"/>
  <c r="BH75" i="18" s="1"/>
  <c r="BP80" i="5"/>
  <c r="BH71" i="18" s="1"/>
  <c r="CT712" i="5"/>
  <c r="CT717" i="5" s="1"/>
  <c r="CT713" i="5"/>
  <c r="BA419" i="5"/>
  <c r="AS312" i="18" s="1"/>
  <c r="BA415" i="5"/>
  <c r="BH429" i="5"/>
  <c r="DG106" i="5"/>
  <c r="CR87" i="18" s="1"/>
  <c r="CV121" i="5"/>
  <c r="CN103" i="18" s="1"/>
  <c r="AK196" i="5"/>
  <c r="AK197" i="5" s="1"/>
  <c r="AK214" i="5"/>
  <c r="AW214" i="5"/>
  <c r="AW196" i="5"/>
  <c r="CB56" i="5"/>
  <c r="BT43" i="18" s="1"/>
  <c r="BM401" i="5"/>
  <c r="BE1287" i="18" s="1"/>
  <c r="BM402" i="5"/>
  <c r="BE1288" i="18" s="1"/>
  <c r="BQ401" i="5"/>
  <c r="BI1287" i="18" s="1"/>
  <c r="BR530" i="5"/>
  <c r="BR531" i="5" s="1"/>
  <c r="CV559" i="5"/>
  <c r="CN405" i="18" s="1"/>
  <c r="CV549" i="5"/>
  <c r="CN398" i="18" s="1"/>
  <c r="CV544" i="5"/>
  <c r="CN393" i="18" s="1"/>
  <c r="BE124" i="5"/>
  <c r="AW106" i="18" s="1"/>
  <c r="AH80" i="5"/>
  <c r="AH87" i="5"/>
  <c r="AH88" i="5" s="1"/>
  <c r="BR479" i="5"/>
  <c r="AR384" i="5"/>
  <c r="AR385" i="5"/>
  <c r="BI437" i="5"/>
  <c r="BA1041" i="18" s="1"/>
  <c r="BI428" i="5"/>
  <c r="BA1036" i="18" s="1"/>
  <c r="BI287" i="5"/>
  <c r="BA244" i="18" s="1"/>
  <c r="BM312" i="5"/>
  <c r="BE270" i="18" s="1"/>
  <c r="BI258" i="5"/>
  <c r="BI260" i="5" s="1"/>
  <c r="BM261" i="5" s="1"/>
  <c r="BI73" i="5"/>
  <c r="BA60" i="18" s="1"/>
  <c r="BI79" i="5"/>
  <c r="CT39" i="5"/>
  <c r="CL32" i="18" s="1"/>
  <c r="BI44" i="5"/>
  <c r="BA36" i="18" s="1"/>
  <c r="BI43" i="5"/>
  <c r="BA35" i="18" s="1"/>
  <c r="BI42" i="5"/>
  <c r="BI40" i="5"/>
  <c r="BA33" i="18" s="1"/>
  <c r="BI55" i="5"/>
  <c r="BI49" i="5"/>
  <c r="BI467" i="5"/>
  <c r="BI522" i="5"/>
  <c r="BJ258" i="5"/>
  <c r="BJ260" i="5" s="1"/>
  <c r="BJ428" i="5"/>
  <c r="BB1036" i="18" s="1"/>
  <c r="BJ79" i="5"/>
  <c r="BB70" i="18" s="1"/>
  <c r="BJ332" i="5"/>
  <c r="BJ73" i="5"/>
  <c r="BB60" i="18" s="1"/>
  <c r="BJ49" i="5"/>
  <c r="BB37" i="18" s="1"/>
  <c r="BJ55" i="5"/>
  <c r="BJ42" i="5"/>
  <c r="BJ43" i="5"/>
  <c r="BB35" i="18" s="1"/>
  <c r="BJ44" i="5"/>
  <c r="BB36" i="18" s="1"/>
  <c r="BJ40" i="5"/>
  <c r="BB33" i="18" s="1"/>
  <c r="BJ530" i="5"/>
  <c r="BJ337" i="5"/>
  <c r="BB293" i="18" s="1"/>
  <c r="BJ347" i="5"/>
  <c r="BB297" i="18" s="1"/>
  <c r="BJ453" i="5"/>
  <c r="BB340" i="18" s="1"/>
  <c r="BJ473" i="5"/>
  <c r="BJ522" i="5"/>
  <c r="BJ459" i="5"/>
  <c r="BJ467" i="5"/>
  <c r="AJ87" i="5"/>
  <c r="AJ88" i="5" s="1"/>
  <c r="AJ124" i="5"/>
  <c r="AJ80" i="5"/>
  <c r="CU413" i="5"/>
  <c r="CM306" i="18" s="1"/>
  <c r="CU361" i="5"/>
  <c r="CU339" i="5"/>
  <c r="CV339" i="5"/>
  <c r="CU336" i="5"/>
  <c r="CM292" i="18" s="1"/>
  <c r="CV336" i="5"/>
  <c r="CN292" i="18" s="1"/>
  <c r="AT146" i="5"/>
  <c r="AT156" i="5" s="1"/>
  <c r="AT135" i="5"/>
  <c r="AL112" i="18" s="1"/>
  <c r="AR424" i="5"/>
  <c r="AR422" i="5"/>
  <c r="CT539" i="5"/>
  <c r="CP404" i="5"/>
  <c r="CP383" i="5"/>
  <c r="CP362" i="5"/>
  <c r="CP392" i="5"/>
  <c r="CT52" i="5"/>
  <c r="CT58" i="5"/>
  <c r="CU469" i="5"/>
  <c r="BP348" i="5"/>
  <c r="BH299" i="18" s="1"/>
  <c r="CT511" i="5"/>
  <c r="CL371" i="18" s="1"/>
  <c r="CT513" i="5"/>
  <c r="AM291" i="5"/>
  <c r="AM199" i="5"/>
  <c r="BL383" i="5"/>
  <c r="BL404" i="5"/>
  <c r="BL362" i="5"/>
  <c r="BL363" i="5" s="1"/>
  <c r="BL392" i="5"/>
  <c r="BP392" i="5"/>
  <c r="AX422" i="5"/>
  <c r="AX424" i="5"/>
  <c r="BI347" i="5"/>
  <c r="BA297" i="18" s="1"/>
  <c r="CS450" i="5"/>
  <c r="CK337" i="18" s="1"/>
  <c r="CK89" i="5"/>
  <c r="CL89" i="5"/>
  <c r="BK384" i="5"/>
  <c r="BC1276" i="18" s="1"/>
  <c r="BK385" i="5"/>
  <c r="BC1277" i="18" s="1"/>
  <c r="CR110" i="5"/>
  <c r="CJ91" i="18" s="1"/>
  <c r="CR111" i="5"/>
  <c r="CJ92" i="18" s="1"/>
  <c r="CO278" i="5"/>
  <c r="CO279" i="5" s="1"/>
  <c r="AQ407" i="5"/>
  <c r="BP429" i="5"/>
  <c r="AG143" i="5"/>
  <c r="AG129" i="5"/>
  <c r="CV511" i="5"/>
  <c r="CN371" i="18" s="1"/>
  <c r="CV513" i="5"/>
  <c r="BT502" i="5"/>
  <c r="BT501" i="5"/>
  <c r="AW519" i="5"/>
  <c r="CF336" i="5"/>
  <c r="BX292" i="18" s="1"/>
  <c r="CF61" i="5"/>
  <c r="BX49" i="18" s="1"/>
  <c r="BK480" i="5"/>
  <c r="BC367" i="18" s="1"/>
  <c r="BX184" i="5"/>
  <c r="BP150" i="18" s="1"/>
  <c r="BQ189" i="5"/>
  <c r="BQ183" i="5"/>
  <c r="BQ185" i="5"/>
  <c r="BI151" i="18" s="1"/>
  <c r="CN437" i="5"/>
  <c r="CN428" i="5"/>
  <c r="CN287" i="5"/>
  <c r="CN73" i="5"/>
  <c r="CN55" i="5"/>
  <c r="CN49" i="5"/>
  <c r="CO50" i="5" s="1"/>
  <c r="CN79" i="5"/>
  <c r="AN332" i="5"/>
  <c r="AN333" i="5" s="1"/>
  <c r="CN347" i="5"/>
  <c r="AM332" i="5"/>
  <c r="AM333" i="5" s="1"/>
  <c r="AL332" i="5"/>
  <c r="AL333" i="5" s="1"/>
  <c r="CP83" i="5"/>
  <c r="CP126" i="5" s="1"/>
  <c r="CP74" i="5"/>
  <c r="CU121" i="5"/>
  <c r="CM103" i="18" s="1"/>
  <c r="BE349" i="5"/>
  <c r="AW298" i="18" s="1"/>
  <c r="BE348" i="5"/>
  <c r="AW299" i="18" s="1"/>
  <c r="BY501" i="5"/>
  <c r="BY502" i="5"/>
  <c r="BM502" i="5"/>
  <c r="BM501" i="5"/>
  <c r="CT131" i="5"/>
  <c r="CT752" i="5"/>
  <c r="AW480" i="5"/>
  <c r="BZ543" i="5"/>
  <c r="BR392" i="18" s="1"/>
  <c r="BQ480" i="5"/>
  <c r="BI367" i="18" s="1"/>
  <c r="BD56" i="5"/>
  <c r="AV43" i="18" s="1"/>
  <c r="CS131" i="5"/>
  <c r="BI501" i="5"/>
  <c r="BI502" i="5"/>
  <c r="BY402" i="5"/>
  <c r="BQ1288" i="18" s="1"/>
  <c r="BY401" i="5"/>
  <c r="BQ1287" i="18" s="1"/>
  <c r="CX475" i="5"/>
  <c r="BF405" i="5"/>
  <c r="AO363" i="5"/>
  <c r="AS41" i="5"/>
  <c r="AS348" i="5"/>
  <c r="AS349" i="5"/>
  <c r="BY337" i="5"/>
  <c r="BB34" i="5"/>
  <c r="AT26" i="18" s="1"/>
  <c r="BB32" i="5"/>
  <c r="BX468" i="5"/>
  <c r="BP354" i="18" s="1"/>
  <c r="BZ514" i="5"/>
  <c r="BZ513" i="5"/>
  <c r="BZ512" i="5"/>
  <c r="BZ511" i="5"/>
  <c r="BR371" i="18" s="1"/>
  <c r="BG363" i="5"/>
  <c r="AZ252" i="5"/>
  <c r="AR217" i="18" s="1"/>
  <c r="AY393" i="5"/>
  <c r="AY394" i="5" s="1"/>
  <c r="AY395" i="5"/>
  <c r="AW474" i="5"/>
  <c r="AO84" i="5"/>
  <c r="AO95" i="5"/>
  <c r="BS522" i="5"/>
  <c r="BS428" i="5"/>
  <c r="BK1036" i="18" s="1"/>
  <c r="BS347" i="5"/>
  <c r="BS337" i="5"/>
  <c r="BK293" i="18" s="1"/>
  <c r="BS362" i="5"/>
  <c r="BS73" i="5"/>
  <c r="BK60" i="18" s="1"/>
  <c r="BS258" i="5"/>
  <c r="BS260" i="5" s="1"/>
  <c r="BS49" i="5"/>
  <c r="BS55" i="5"/>
  <c r="BW45" i="5"/>
  <c r="BO1317" i="18" s="1"/>
  <c r="BS40" i="5"/>
  <c r="BK33" i="18" s="1"/>
  <c r="BS79" i="5"/>
  <c r="BK70" i="18" s="1"/>
  <c r="BS42" i="5"/>
  <c r="BS43" i="5"/>
  <c r="BK35" i="18" s="1"/>
  <c r="BS459" i="5"/>
  <c r="BK346" i="18" s="1"/>
  <c r="BS473" i="5"/>
  <c r="BS530" i="5"/>
  <c r="BS531" i="5" s="1"/>
  <c r="BS453" i="5"/>
  <c r="BS467" i="5"/>
  <c r="AK59" i="5"/>
  <c r="AO59" i="5"/>
  <c r="CO59" i="5"/>
  <c r="BL41" i="5"/>
  <c r="BD34" i="18" s="1"/>
  <c r="BA80" i="5"/>
  <c r="BA87" i="5"/>
  <c r="AS75" i="18" s="1"/>
  <c r="CX510" i="5"/>
  <c r="CP370" i="18" s="1"/>
  <c r="CO419" i="5"/>
  <c r="CO415" i="5"/>
  <c r="BF183" i="5"/>
  <c r="AX149" i="18" s="1"/>
  <c r="BF189" i="5"/>
  <c r="AX155" i="18" s="1"/>
  <c r="BF185" i="5"/>
  <c r="AX151" i="18" s="1"/>
  <c r="AV443" i="5"/>
  <c r="BD338" i="5"/>
  <c r="AV294" i="18" s="1"/>
  <c r="CA389" i="5"/>
  <c r="AN424" i="5"/>
  <c r="AN422" i="5"/>
  <c r="BO393" i="5"/>
  <c r="BO395" i="5"/>
  <c r="CS486" i="5"/>
  <c r="CS455" i="5"/>
  <c r="CK342" i="18" s="1"/>
  <c r="CS453" i="5"/>
  <c r="CK340" i="18" s="1"/>
  <c r="BT574" i="5"/>
  <c r="BL420" i="18" s="1"/>
  <c r="BT74" i="5"/>
  <c r="BT83" i="5"/>
  <c r="BL73" i="18" s="1"/>
  <c r="BT123" i="5"/>
  <c r="BL105" i="18" s="1"/>
  <c r="AV84" i="5"/>
  <c r="AV95" i="5"/>
  <c r="CN511" i="5"/>
  <c r="CN513" i="5"/>
  <c r="CA393" i="5"/>
  <c r="CA395" i="5"/>
  <c r="BO480" i="5"/>
  <c r="BG367" i="18" s="1"/>
  <c r="AX184" i="5"/>
  <c r="BP338" i="5"/>
  <c r="BH294" i="18" s="1"/>
  <c r="AK216" i="5"/>
  <c r="AX83" i="5"/>
  <c r="AX74" i="5"/>
  <c r="AX75" i="5" s="1"/>
  <c r="AX123" i="5"/>
  <c r="AT349" i="5"/>
  <c r="AU146" i="5"/>
  <c r="AU156" i="5" s="1"/>
  <c r="AU135" i="5"/>
  <c r="AM112" i="18" s="1"/>
  <c r="AL81" i="5"/>
  <c r="AU143" i="5"/>
  <c r="AU129" i="5"/>
  <c r="BN183" i="5"/>
  <c r="BF149" i="18" s="1"/>
  <c r="BN185" i="5"/>
  <c r="BF151" i="18" s="1"/>
  <c r="BN189" i="5"/>
  <c r="BF155" i="18" s="1"/>
  <c r="AL291" i="5"/>
  <c r="AL199" i="5"/>
  <c r="AQ44" i="5"/>
  <c r="BN274" i="5"/>
  <c r="BR273" i="5"/>
  <c r="BN240" i="5"/>
  <c r="BM349" i="5"/>
  <c r="BE298" i="18" s="1"/>
  <c r="BE252" i="5"/>
  <c r="AW217" i="18" s="1"/>
  <c r="BF393" i="5"/>
  <c r="CS666" i="5"/>
  <c r="CU511" i="5"/>
  <c r="CM371" i="18" s="1"/>
  <c r="CU513" i="5"/>
  <c r="CB683" i="5"/>
  <c r="CA556" i="5"/>
  <c r="CA690" i="5"/>
  <c r="BZ185" i="5"/>
  <c r="BR151" i="18" s="1"/>
  <c r="BZ183" i="5"/>
  <c r="BR149" i="18" s="1"/>
  <c r="CQ462" i="5"/>
  <c r="CQ459" i="5"/>
  <c r="BA389" i="5"/>
  <c r="BP312" i="5"/>
  <c r="BH270" i="18" s="1"/>
  <c r="BL313" i="5"/>
  <c r="BD271" i="18" s="1"/>
  <c r="BL309" i="5"/>
  <c r="BD267" i="18" s="1"/>
  <c r="BL36" i="5"/>
  <c r="AO88" i="5"/>
  <c r="AO93" i="5"/>
  <c r="CP216" i="5"/>
  <c r="CP289" i="5"/>
  <c r="AS333" i="5"/>
  <c r="AY87" i="5"/>
  <c r="AY80" i="5"/>
  <c r="AY81" i="5" s="1"/>
  <c r="AY438" i="5"/>
  <c r="AY440" i="5" s="1"/>
  <c r="AY441" i="5" s="1"/>
  <c r="AY442" i="5" s="1"/>
  <c r="AY443" i="5" s="1"/>
  <c r="AY444" i="5" s="1"/>
  <c r="AY447" i="5"/>
  <c r="AY448" i="5" s="1"/>
  <c r="BP273" i="5"/>
  <c r="BL274" i="5"/>
  <c r="BL240" i="5"/>
  <c r="BI453" i="5"/>
  <c r="BX460" i="5"/>
  <c r="BP347" i="18" s="1"/>
  <c r="AP405" i="5"/>
  <c r="CR462" i="5"/>
  <c r="CJ348" i="18" s="1"/>
  <c r="BB278" i="5"/>
  <c r="BB203" i="5"/>
  <c r="AZ389" i="5"/>
  <c r="CE663" i="5"/>
  <c r="CF611" i="5"/>
  <c r="CF114" i="5"/>
  <c r="CS521" i="5"/>
  <c r="CS541" i="5"/>
  <c r="BD50" i="5"/>
  <c r="AV38" i="18" s="1"/>
  <c r="CB573" i="5"/>
  <c r="BT419" i="18" s="1"/>
  <c r="CB87" i="5"/>
  <c r="BT75" i="18" s="1"/>
  <c r="CB80" i="5"/>
  <c r="BT71" i="18" s="1"/>
  <c r="CB124" i="5"/>
  <c r="BT106" i="18" s="1"/>
  <c r="CR116" i="5"/>
  <c r="CJ97" i="18" s="1"/>
  <c r="CR115" i="5"/>
  <c r="CJ96" i="18" s="1"/>
  <c r="BY388" i="5"/>
  <c r="BQ1280" i="18" s="1"/>
  <c r="BY390" i="5"/>
  <c r="BF384" i="5"/>
  <c r="AX1276" i="18" s="1"/>
  <c r="BA190" i="5"/>
  <c r="AS80" i="5"/>
  <c r="AS81" i="5" s="1"/>
  <c r="AS87" i="5"/>
  <c r="AT93" i="5" s="1"/>
  <c r="AS447" i="5"/>
  <c r="AS448" i="5" s="1"/>
  <c r="AW441" i="5"/>
  <c r="AW442" i="5" s="1"/>
  <c r="AS438" i="5"/>
  <c r="AS440" i="5" s="1"/>
  <c r="AS441" i="5" s="1"/>
  <c r="AS442" i="5" s="1"/>
  <c r="CX339" i="5"/>
  <c r="CX336" i="5"/>
  <c r="CP292" i="18" s="1"/>
  <c r="CX361" i="5"/>
  <c r="CX413" i="5"/>
  <c r="CP306" i="18" s="1"/>
  <c r="BB189" i="5"/>
  <c r="BB185" i="5"/>
  <c r="AT151" i="18" s="1"/>
  <c r="BB183" i="5"/>
  <c r="BO25" i="5"/>
  <c r="BG17" i="18" s="1"/>
  <c r="AN146" i="5"/>
  <c r="AN156" i="5" s="1"/>
  <c r="AN135" i="5"/>
  <c r="AF112" i="18" s="1"/>
  <c r="BN389" i="5"/>
  <c r="CV251" i="5"/>
  <c r="CN216" i="18" s="1"/>
  <c r="CV253" i="5"/>
  <c r="BN415" i="5"/>
  <c r="BF308" i="18" s="1"/>
  <c r="BR419" i="5"/>
  <c r="BJ312" i="18" s="1"/>
  <c r="BN419" i="5"/>
  <c r="BF312" i="18" s="1"/>
  <c r="BW362" i="5"/>
  <c r="CN362" i="5"/>
  <c r="BU488" i="5"/>
  <c r="BM380" i="18" s="1"/>
  <c r="BU487" i="5"/>
  <c r="BM379" i="18" s="1"/>
  <c r="BU489" i="5"/>
  <c r="BM381" i="18" s="1"/>
  <c r="BS25" i="5"/>
  <c r="BK17" i="18" s="1"/>
  <c r="BM40" i="5"/>
  <c r="BE33" i="18" s="1"/>
  <c r="CC539" i="5"/>
  <c r="BU388" i="18" s="1"/>
  <c r="AU464" i="5"/>
  <c r="AX33" i="5"/>
  <c r="CF481" i="5"/>
  <c r="CF482" i="5"/>
  <c r="CF67" i="5"/>
  <c r="AS416" i="5"/>
  <c r="CR215" i="5"/>
  <c r="CJ182" i="18" s="1"/>
  <c r="BA300" i="5"/>
  <c r="BS53" i="5"/>
  <c r="BK40" i="18" s="1"/>
  <c r="BW53" i="5"/>
  <c r="BO40" i="18" s="1"/>
  <c r="BL429" i="5"/>
  <c r="BA348" i="5"/>
  <c r="AS299" i="18" s="1"/>
  <c r="BA349" i="5"/>
  <c r="AS298" i="18" s="1"/>
  <c r="BA289" i="5"/>
  <c r="AS246" i="18" s="1"/>
  <c r="BA216" i="5"/>
  <c r="AS183" i="18" s="1"/>
  <c r="AK179" i="5"/>
  <c r="BQ505" i="5"/>
  <c r="BQ506" i="5"/>
  <c r="CM111" i="5"/>
  <c r="CE92" i="18" s="1"/>
  <c r="BA126" i="5"/>
  <c r="AS1331" i="18" s="1"/>
  <c r="BA124" i="5"/>
  <c r="AS106" i="18" s="1"/>
  <c r="CW208" i="5"/>
  <c r="CO175" i="18" s="1"/>
  <c r="AU393" i="5"/>
  <c r="AU395" i="5"/>
  <c r="BJ489" i="5"/>
  <c r="CX243" i="5"/>
  <c r="CP210" i="18" s="1"/>
  <c r="AM363" i="5"/>
  <c r="CF592" i="5"/>
  <c r="AI179" i="5"/>
  <c r="AI189" i="5"/>
  <c r="AM190" i="5" s="1"/>
  <c r="AI185" i="5"/>
  <c r="BE50" i="5"/>
  <c r="AW38" i="18" s="1"/>
  <c r="BE429" i="5"/>
  <c r="CC470" i="5"/>
  <c r="BU355" i="18" s="1"/>
  <c r="CY466" i="5"/>
  <c r="CQ352" i="18" s="1"/>
  <c r="CC65" i="5"/>
  <c r="BD419" i="5"/>
  <c r="AV312" i="18" s="1"/>
  <c r="BD415" i="5"/>
  <c r="AL143" i="5"/>
  <c r="AL129" i="5"/>
  <c r="BR381" i="5"/>
  <c r="BJ1273" i="18" s="1"/>
  <c r="BR380" i="5"/>
  <c r="BJ1272" i="18" s="1"/>
  <c r="BW489" i="5"/>
  <c r="BO240" i="5"/>
  <c r="BO274" i="5"/>
  <c r="BS273" i="5"/>
  <c r="AN416" i="5"/>
  <c r="CQ453" i="5"/>
  <c r="CQ454" i="5" s="1"/>
  <c r="AZ384" i="5"/>
  <c r="AR1276" i="18" s="1"/>
  <c r="AZ385" i="5"/>
  <c r="AR1277" i="18" s="1"/>
  <c r="BH389" i="5"/>
  <c r="CV631" i="5"/>
  <c r="CV566" i="5"/>
  <c r="CV570" i="5" s="1"/>
  <c r="CX713" i="5"/>
  <c r="CX712" i="5"/>
  <c r="CX717" i="5" s="1"/>
  <c r="BY479" i="5"/>
  <c r="BD468" i="5"/>
  <c r="AV354" i="18" s="1"/>
  <c r="BD190" i="5"/>
  <c r="BT338" i="5"/>
  <c r="BL294" i="18" s="1"/>
  <c r="AL288" i="5"/>
  <c r="AL223" i="5"/>
  <c r="AL213" i="5"/>
  <c r="AL234" i="5"/>
  <c r="CO216" i="5"/>
  <c r="CO289" i="5"/>
  <c r="AY33" i="5"/>
  <c r="BE415" i="5"/>
  <c r="AW308" i="18" s="1"/>
  <c r="BE419" i="5"/>
  <c r="AW312" i="18" s="1"/>
  <c r="CO124" i="5"/>
  <c r="CN469" i="5"/>
  <c r="CN467" i="5"/>
  <c r="CA385" i="5"/>
  <c r="BS1277" i="18" s="1"/>
  <c r="CA384" i="5"/>
  <c r="BS1276" i="18" s="1"/>
  <c r="AL363" i="5"/>
  <c r="AT50" i="5"/>
  <c r="AR95" i="5"/>
  <c r="AR84" i="5"/>
  <c r="AR126" i="5"/>
  <c r="CJ84" i="5"/>
  <c r="CK85" i="5" s="1"/>
  <c r="CJ95" i="5"/>
  <c r="BM404" i="5"/>
  <c r="BM383" i="5"/>
  <c r="BM362" i="5"/>
  <c r="BQ392" i="5"/>
  <c r="BM392" i="5"/>
  <c r="BQ383" i="5"/>
  <c r="BI1275" i="18" s="1"/>
  <c r="AQ33" i="5"/>
  <c r="AW184" i="5"/>
  <c r="AP447" i="5"/>
  <c r="AP438" i="5"/>
  <c r="AP440" i="5" s="1"/>
  <c r="AP441" i="5" s="1"/>
  <c r="AP442" i="5" s="1"/>
  <c r="BS389" i="5"/>
  <c r="AR416" i="5"/>
  <c r="CB389" i="5"/>
  <c r="CF614" i="5"/>
  <c r="DB557" i="5"/>
  <c r="BI300" i="5"/>
  <c r="CT215" i="5"/>
  <c r="CL182" i="18" s="1"/>
  <c r="CL99" i="5"/>
  <c r="CL98" i="5"/>
  <c r="CL100" i="5"/>
  <c r="CL96" i="5"/>
  <c r="CL97" i="5" s="1"/>
  <c r="AK332" i="5"/>
  <c r="AK333" i="5" s="1"/>
  <c r="BI337" i="5"/>
  <c r="AZ429" i="5"/>
  <c r="CF113" i="5"/>
  <c r="BX94" i="18" s="1"/>
  <c r="CB115" i="5"/>
  <c r="BT96" i="18" s="1"/>
  <c r="CX113" i="5"/>
  <c r="CP94" i="18" s="1"/>
  <c r="AM93" i="5"/>
  <c r="AM88" i="5"/>
  <c r="AU93" i="5"/>
  <c r="AU92" i="5"/>
  <c r="AU91" i="5"/>
  <c r="AU90" i="5"/>
  <c r="AU88" i="5"/>
  <c r="AU89" i="5" s="1"/>
  <c r="AU75" i="5"/>
  <c r="AN143" i="5"/>
  <c r="AN129" i="5"/>
  <c r="BR393" i="5"/>
  <c r="AL84" i="5"/>
  <c r="AL95" i="5"/>
  <c r="BU56" i="5"/>
  <c r="BM43" i="18" s="1"/>
  <c r="AL190" i="5"/>
  <c r="AL191" i="5" s="1"/>
  <c r="BI380" i="5"/>
  <c r="BA1272" i="18" s="1"/>
  <c r="BI381" i="5"/>
  <c r="BA1273" i="18" s="1"/>
  <c r="BP385" i="5"/>
  <c r="BH1277" i="18" s="1"/>
  <c r="CX325" i="5"/>
  <c r="CX326" i="5"/>
  <c r="BW393" i="5"/>
  <c r="BW395" i="5"/>
  <c r="CW562" i="5"/>
  <c r="CO408" i="18" s="1"/>
  <c r="CW22" i="5"/>
  <c r="CO14" i="18" s="1"/>
  <c r="CW638" i="5"/>
  <c r="CO481" i="18" s="1"/>
  <c r="CW637" i="5"/>
  <c r="CO480" i="18" s="1"/>
  <c r="CW639" i="5"/>
  <c r="CO482" i="18" s="1"/>
  <c r="CW635" i="5"/>
  <c r="CO478" i="18" s="1"/>
  <c r="CW636" i="5"/>
  <c r="CO479" i="18" s="1"/>
  <c r="CW522" i="5"/>
  <c r="AQ395" i="5"/>
  <c r="AQ393" i="5"/>
  <c r="AQ394" i="5" s="1"/>
  <c r="CZ648" i="5"/>
  <c r="DA70" i="5"/>
  <c r="CS57" i="18" s="1"/>
  <c r="AW422" i="5"/>
  <c r="AW424" i="5"/>
  <c r="BH74" i="5"/>
  <c r="AZ61" i="18" s="1"/>
  <c r="BH83" i="5"/>
  <c r="AZ73" i="18" s="1"/>
  <c r="BM489" i="5"/>
  <c r="BE381" i="18" s="1"/>
  <c r="BM487" i="5"/>
  <c r="BE379" i="18" s="1"/>
  <c r="BM488" i="5"/>
  <c r="BE380" i="18" s="1"/>
  <c r="AS126" i="5"/>
  <c r="AS124" i="5"/>
  <c r="CN185" i="5"/>
  <c r="CN183" i="5"/>
  <c r="CN184" i="5" s="1"/>
  <c r="CN189" i="5"/>
  <c r="CO190" i="5" s="1"/>
  <c r="CP191" i="5" s="1"/>
  <c r="CP429" i="5"/>
  <c r="AP385" i="5"/>
  <c r="AP384" i="5"/>
  <c r="BY459" i="5"/>
  <c r="BB363" i="5"/>
  <c r="AO295" i="5"/>
  <c r="CO203" i="5"/>
  <c r="AO180" i="5"/>
  <c r="AW295" i="5"/>
  <c r="BH677" i="5"/>
  <c r="CS669" i="5"/>
  <c r="BL522" i="5"/>
  <c r="BL524" i="5"/>
  <c r="BL529" i="5"/>
  <c r="BP524" i="5"/>
  <c r="CV483" i="5"/>
  <c r="CN365" i="18" s="1"/>
  <c r="CV481" i="5"/>
  <c r="BU506" i="5"/>
  <c r="BU505" i="5"/>
  <c r="CB574" i="5"/>
  <c r="BT420" i="18" s="1"/>
  <c r="CB74" i="5"/>
  <c r="BT61" i="18" s="1"/>
  <c r="CB83" i="5"/>
  <c r="BT73" i="18" s="1"/>
  <c r="CB123" i="5"/>
  <c r="BT105" i="18" s="1"/>
  <c r="CR469" i="5"/>
  <c r="CU400" i="5"/>
  <c r="CM1286" i="18" s="1"/>
  <c r="CU352" i="5"/>
  <c r="CU379" i="5"/>
  <c r="CM1271" i="18" s="1"/>
  <c r="CU354" i="5"/>
  <c r="CM302" i="18" s="1"/>
  <c r="CV352" i="5"/>
  <c r="CV350" i="5"/>
  <c r="CN300" i="18" s="1"/>
  <c r="CU350" i="5"/>
  <c r="CM300" i="18" s="1"/>
  <c r="CU387" i="5"/>
  <c r="CM1279" i="18" s="1"/>
  <c r="CV379" i="5"/>
  <c r="CN1271" i="18" s="1"/>
  <c r="CV387" i="5"/>
  <c r="CN1279" i="18" s="1"/>
  <c r="BM381" i="5"/>
  <c r="BE1273" i="18" s="1"/>
  <c r="BM380" i="5"/>
  <c r="BE1272" i="18" s="1"/>
  <c r="CS115" i="5"/>
  <c r="CK96" i="18" s="1"/>
  <c r="CS116" i="5"/>
  <c r="CK97" i="18" s="1"/>
  <c r="BY381" i="5"/>
  <c r="BQ1273" i="18" s="1"/>
  <c r="BY380" i="5"/>
  <c r="BQ1272" i="18" s="1"/>
  <c r="AS74" i="5"/>
  <c r="AS75" i="5" s="1"/>
  <c r="AS83" i="5"/>
  <c r="BO183" i="5"/>
  <c r="BG149" i="18" s="1"/>
  <c r="BO185" i="5"/>
  <c r="BG151" i="18" s="1"/>
  <c r="BO189" i="5"/>
  <c r="CX111" i="5"/>
  <c r="CP92" i="18" s="1"/>
  <c r="DG108" i="5"/>
  <c r="CR89" i="18" s="1"/>
  <c r="CX110" i="5"/>
  <c r="CP91" i="18" s="1"/>
  <c r="AN81" i="5"/>
  <c r="BX429" i="5"/>
  <c r="BS183" i="5"/>
  <c r="BS189" i="5"/>
  <c r="BK155" i="18" s="1"/>
  <c r="BS185" i="5"/>
  <c r="BK151" i="18" s="1"/>
  <c r="BS59" i="5"/>
  <c r="BK45" i="18" s="1"/>
  <c r="BW59" i="5"/>
  <c r="BO45" i="18" s="1"/>
  <c r="BL447" i="5"/>
  <c r="BL438" i="5"/>
  <c r="BD1042" i="18" s="1"/>
  <c r="BW522" i="5"/>
  <c r="BW428" i="5"/>
  <c r="BO1036" i="18" s="1"/>
  <c r="BW258" i="5"/>
  <c r="BW260" i="5" s="1"/>
  <c r="BW261" i="5" s="1"/>
  <c r="BW79" i="5"/>
  <c r="BO70" i="18" s="1"/>
  <c r="BW55" i="5"/>
  <c r="BW43" i="5"/>
  <c r="BO35" i="18" s="1"/>
  <c r="BW73" i="5"/>
  <c r="BO60" i="18" s="1"/>
  <c r="BW42" i="5"/>
  <c r="BW40" i="5"/>
  <c r="BO33" i="18" s="1"/>
  <c r="CA45" i="5"/>
  <c r="BS1317" i="18" s="1"/>
  <c r="BW467" i="5"/>
  <c r="BW473" i="5"/>
  <c r="BW459" i="5"/>
  <c r="BW453" i="5"/>
  <c r="BW337" i="5"/>
  <c r="BO293" i="18" s="1"/>
  <c r="BW347" i="5"/>
  <c r="BA143" i="5"/>
  <c r="AS117" i="18" s="1"/>
  <c r="BA129" i="5"/>
  <c r="AS109" i="18" s="1"/>
  <c r="CW115" i="5"/>
  <c r="CO96" i="18" s="1"/>
  <c r="CW116" i="5"/>
  <c r="CO97" i="18" s="1"/>
  <c r="AH83" i="5"/>
  <c r="AH74" i="5"/>
  <c r="AL75" i="5" s="1"/>
  <c r="AH123" i="5"/>
  <c r="AK422" i="5"/>
  <c r="AK424" i="5"/>
  <c r="CO404" i="5"/>
  <c r="CO362" i="5"/>
  <c r="CO363" i="5" s="1"/>
  <c r="BV393" i="5"/>
  <c r="BL664" i="5"/>
  <c r="BL666" i="5" s="1"/>
  <c r="CT660" i="5"/>
  <c r="CT664" i="5" s="1"/>
  <c r="CT666" i="5" s="1"/>
  <c r="BI34" i="5"/>
  <c r="BA26" i="18" s="1"/>
  <c r="BI32" i="5"/>
  <c r="BI518" i="5"/>
  <c r="BE447" i="5"/>
  <c r="BE438" i="5"/>
  <c r="AW1042" i="18" s="1"/>
  <c r="BY505" i="5"/>
  <c r="BY506" i="5"/>
  <c r="BF124" i="5"/>
  <c r="AX106" i="18" s="1"/>
  <c r="CD481" i="5"/>
  <c r="CD482" i="5"/>
  <c r="CD67" i="5"/>
  <c r="AR395" i="5"/>
  <c r="AR393" i="5"/>
  <c r="AR394" i="5" s="1"/>
  <c r="BI274" i="5"/>
  <c r="BM273" i="5"/>
  <c r="BI240" i="5"/>
  <c r="AZ363" i="5"/>
  <c r="AW223" i="5"/>
  <c r="AW234" i="5"/>
  <c r="AW288" i="5"/>
  <c r="AW217" i="5"/>
  <c r="AW213" i="5"/>
  <c r="BT468" i="5"/>
  <c r="BL354" i="18" s="1"/>
  <c r="BC522" i="5"/>
  <c r="AU561" i="18" s="1"/>
  <c r="BC437" i="5"/>
  <c r="AU1041" i="18" s="1"/>
  <c r="BC428" i="5"/>
  <c r="AU1036" i="18" s="1"/>
  <c r="BC287" i="5"/>
  <c r="AU244" i="18" s="1"/>
  <c r="BC73" i="5"/>
  <c r="AU60" i="18" s="1"/>
  <c r="BC42" i="5"/>
  <c r="BC40" i="5"/>
  <c r="BC49" i="5"/>
  <c r="BC43" i="5"/>
  <c r="AU35" i="18" s="1"/>
  <c r="BC79" i="5"/>
  <c r="AU70" i="18" s="1"/>
  <c r="BC55" i="5"/>
  <c r="BC479" i="5"/>
  <c r="BC459" i="5"/>
  <c r="BC467" i="5"/>
  <c r="BC347" i="5"/>
  <c r="AU297" i="18" s="1"/>
  <c r="BC337" i="5"/>
  <c r="BC453" i="5"/>
  <c r="BC473" i="5"/>
  <c r="BC518" i="5"/>
  <c r="BD184" i="5"/>
  <c r="AV150" i="18" s="1"/>
  <c r="BT573" i="5"/>
  <c r="BL419" i="18" s="1"/>
  <c r="BT87" i="5"/>
  <c r="BT80" i="5"/>
  <c r="BT124" i="5"/>
  <c r="BL106" i="18" s="1"/>
  <c r="CO40" i="5"/>
  <c r="CO429" i="5"/>
  <c r="AX190" i="5"/>
  <c r="AX191" i="5" s="1"/>
  <c r="CS511" i="5"/>
  <c r="CK371" i="18" s="1"/>
  <c r="CS513" i="5"/>
  <c r="AV146" i="5"/>
  <c r="AV156" i="5" s="1"/>
  <c r="AV135" i="5"/>
  <c r="AN112" i="18" s="1"/>
  <c r="BX502" i="5"/>
  <c r="AL424" i="5"/>
  <c r="AL422" i="5"/>
  <c r="BX124" i="5"/>
  <c r="BP106" i="18" s="1"/>
  <c r="CA405" i="5"/>
  <c r="CU167" i="5"/>
  <c r="CM133" i="18" s="1"/>
  <c r="BM168" i="5"/>
  <c r="CA183" i="5"/>
  <c r="BS149" i="18" s="1"/>
  <c r="CA185" i="5"/>
  <c r="BS151" i="18" s="1"/>
  <c r="CO183" i="5"/>
  <c r="AR129" i="5"/>
  <c r="AR143" i="5"/>
  <c r="CX562" i="5"/>
  <c r="CP408" i="18" s="1"/>
  <c r="CX22" i="5"/>
  <c r="CP14" i="18" s="1"/>
  <c r="CX636" i="5"/>
  <c r="CP479" i="18" s="1"/>
  <c r="CX635" i="5"/>
  <c r="CP478" i="18" s="1"/>
  <c r="CX638" i="5"/>
  <c r="CP481" i="18" s="1"/>
  <c r="CX639" i="5"/>
  <c r="CP482" i="18" s="1"/>
  <c r="CX522" i="5"/>
  <c r="CP561" i="18" s="1"/>
  <c r="CX637" i="5"/>
  <c r="CP480" i="18" s="1"/>
  <c r="BJ124" i="5"/>
  <c r="BB106" i="18" s="1"/>
  <c r="BP124" i="5"/>
  <c r="BH106" i="18" s="1"/>
  <c r="DD669" i="5"/>
  <c r="DC557" i="5"/>
  <c r="AO432" i="5"/>
  <c r="AO433" i="5" s="1"/>
  <c r="CT413" i="5"/>
  <c r="CL306" i="18" s="1"/>
  <c r="CT339" i="5"/>
  <c r="CT336" i="5"/>
  <c r="CL292" i="18" s="1"/>
  <c r="CT361" i="5"/>
  <c r="CT337" i="5"/>
  <c r="CL293" i="18" s="1"/>
  <c r="AH291" i="5"/>
  <c r="AH199" i="5"/>
  <c r="AH193" i="5"/>
  <c r="AX80" i="5"/>
  <c r="AX81" i="5" s="1"/>
  <c r="AX87" i="5"/>
  <c r="AX124" i="5"/>
  <c r="CW481" i="5"/>
  <c r="CW483" i="5"/>
  <c r="CO365" i="18" s="1"/>
  <c r="CF624" i="5"/>
  <c r="BK394" i="5"/>
  <c r="CQ116" i="5"/>
  <c r="CI97" i="18" s="1"/>
  <c r="AN84" i="5"/>
  <c r="AN95" i="5"/>
  <c r="AN126" i="5"/>
  <c r="BN393" i="5"/>
  <c r="BN395" i="5"/>
  <c r="BR544" i="5"/>
  <c r="BJ393" i="18" s="1"/>
  <c r="BR559" i="5"/>
  <c r="BJ405" i="18" s="1"/>
  <c r="BR549" i="5"/>
  <c r="BJ398" i="18" s="1"/>
  <c r="CN180" i="5"/>
  <c r="CN295" i="5" s="1"/>
  <c r="AV288" i="5"/>
  <c r="AV234" i="5"/>
  <c r="AV223" i="5"/>
  <c r="AV217" i="5"/>
  <c r="AV213" i="5"/>
  <c r="CY455" i="5"/>
  <c r="CW58" i="5"/>
  <c r="CW52" i="5"/>
  <c r="CO513" i="5"/>
  <c r="CO511" i="5"/>
  <c r="CR413" i="5"/>
  <c r="CJ306" i="18" s="1"/>
  <c r="CR336" i="5"/>
  <c r="CJ292" i="18" s="1"/>
  <c r="CR361" i="5"/>
  <c r="CR339" i="5"/>
  <c r="CR337" i="5"/>
  <c r="CP438" i="5"/>
  <c r="BX384" i="5"/>
  <c r="BP1276" i="18" s="1"/>
  <c r="BX385" i="5"/>
  <c r="BP1277" i="18" s="1"/>
  <c r="AR234" i="5"/>
  <c r="AR217" i="5"/>
  <c r="AR218" i="5" s="1"/>
  <c r="AR213" i="5"/>
  <c r="AR223" i="5"/>
  <c r="AR288" i="5"/>
  <c r="AN93" i="5"/>
  <c r="AN88" i="5"/>
  <c r="BW384" i="5"/>
  <c r="BO1276" i="18" s="1"/>
  <c r="BW385" i="5"/>
  <c r="BO1277" i="18" s="1"/>
  <c r="BO384" i="5"/>
  <c r="BG1276" i="18" s="1"/>
  <c r="BO385" i="5"/>
  <c r="BG1277" i="18" s="1"/>
  <c r="CC168" i="5"/>
  <c r="DG134" i="5"/>
  <c r="CR111" i="18" s="1"/>
  <c r="CV131" i="5"/>
  <c r="BK416" i="5"/>
  <c r="BC309" i="18" s="1"/>
  <c r="BN402" i="5"/>
  <c r="BF1288" i="18" s="1"/>
  <c r="BN401" i="5"/>
  <c r="BF1287" i="18" s="1"/>
  <c r="BT523" i="5"/>
  <c r="BT47" i="5"/>
  <c r="BL1319" i="18" s="1"/>
  <c r="BT41" i="5"/>
  <c r="BL34" i="18" s="1"/>
  <c r="AU434" i="5"/>
  <c r="BA487" i="5"/>
  <c r="AS379" i="18" s="1"/>
  <c r="BA489" i="5"/>
  <c r="BA488" i="5"/>
  <c r="AS380" i="18" s="1"/>
  <c r="BY522" i="5"/>
  <c r="BQ561" i="18" s="1"/>
  <c r="BY428" i="5"/>
  <c r="BQ1036" i="18" s="1"/>
  <c r="BY258" i="5"/>
  <c r="BY260" i="5" s="1"/>
  <c r="BY261" i="5" s="1"/>
  <c r="BY73" i="5"/>
  <c r="BQ60" i="18" s="1"/>
  <c r="BY79" i="5"/>
  <c r="BQ70" i="18" s="1"/>
  <c r="BY55" i="5"/>
  <c r="CX39" i="5"/>
  <c r="CX473" i="5" s="1"/>
  <c r="CP359" i="18" s="1"/>
  <c r="BY43" i="5"/>
  <c r="BQ35" i="18" s="1"/>
  <c r="BY42" i="5"/>
  <c r="BY40" i="5"/>
  <c r="BQ33" i="18" s="1"/>
  <c r="BY453" i="5"/>
  <c r="BY530" i="5"/>
  <c r="BY531" i="5" s="1"/>
  <c r="CX58" i="5"/>
  <c r="CP44" i="18" s="1"/>
  <c r="CX52" i="5"/>
  <c r="AP83" i="5"/>
  <c r="AP126" i="5" s="1"/>
  <c r="AP74" i="5"/>
  <c r="AP75" i="5" s="1"/>
  <c r="BS385" i="5"/>
  <c r="BK1277" i="18" s="1"/>
  <c r="BS384" i="5"/>
  <c r="BK1276" i="18" s="1"/>
  <c r="AU422" i="5"/>
  <c r="AU424" i="5"/>
  <c r="AU425" i="5" s="1"/>
  <c r="AO441" i="5"/>
  <c r="AO442" i="5" s="1"/>
  <c r="CU251" i="5"/>
  <c r="CM216" i="18" s="1"/>
  <c r="BR25" i="5"/>
  <c r="BJ17" i="18" s="1"/>
  <c r="BI53" i="5"/>
  <c r="BA40" i="18" s="1"/>
  <c r="BU573" i="5"/>
  <c r="BM419" i="18" s="1"/>
  <c r="BU80" i="5"/>
  <c r="BM71" i="18" s="1"/>
  <c r="BU87" i="5"/>
  <c r="CB173" i="5"/>
  <c r="CA169" i="5"/>
  <c r="CA168" i="5" s="1"/>
  <c r="CX173" i="5"/>
  <c r="CX174" i="5" s="1"/>
  <c r="CP140" i="18" s="1"/>
  <c r="CA174" i="5"/>
  <c r="BS140" i="18" s="1"/>
  <c r="BP574" i="5"/>
  <c r="BH420" i="18" s="1"/>
  <c r="BP74" i="5"/>
  <c r="BH61" i="18" s="1"/>
  <c r="BP83" i="5"/>
  <c r="BH73" i="18" s="1"/>
  <c r="BV522" i="5"/>
  <c r="BV428" i="5"/>
  <c r="BN1036" i="18" s="1"/>
  <c r="BV258" i="5"/>
  <c r="BV260" i="5" s="1"/>
  <c r="BV79" i="5"/>
  <c r="BN70" i="18" s="1"/>
  <c r="BV73" i="5"/>
  <c r="BN60" i="18" s="1"/>
  <c r="BV43" i="5"/>
  <c r="BN35" i="18" s="1"/>
  <c r="BV42" i="5"/>
  <c r="BV40" i="5"/>
  <c r="BN33" i="18" s="1"/>
  <c r="BV55" i="5"/>
  <c r="BZ45" i="5"/>
  <c r="BR1317" i="18" s="1"/>
  <c r="BV337" i="5"/>
  <c r="BN293" i="18" s="1"/>
  <c r="BV459" i="5"/>
  <c r="BN346" i="18" s="1"/>
  <c r="BV453" i="5"/>
  <c r="BV530" i="5"/>
  <c r="BV467" i="5"/>
  <c r="BN353" i="18" s="1"/>
  <c r="BV347" i="5"/>
  <c r="BN297" i="18" s="1"/>
  <c r="BV473" i="5"/>
  <c r="BN359" i="18" s="1"/>
  <c r="BA383" i="5"/>
  <c r="AS1275" i="18" s="1"/>
  <c r="BA362" i="5"/>
  <c r="BA363" i="5" s="1"/>
  <c r="BA404" i="5"/>
  <c r="BA392" i="5"/>
  <c r="CP41" i="5"/>
  <c r="AY83" i="5"/>
  <c r="AY74" i="5"/>
  <c r="AY75" i="5" s="1"/>
  <c r="BX363" i="5"/>
  <c r="BB385" i="5"/>
  <c r="AT1277" i="18" s="1"/>
  <c r="BB384" i="5"/>
  <c r="AT1276" i="18" s="1"/>
  <c r="CY18" i="5"/>
  <c r="CR718" i="5"/>
  <c r="CR58" i="5"/>
  <c r="CR52" i="5"/>
  <c r="BD216" i="5"/>
  <c r="AV183" i="18" s="1"/>
  <c r="BD289" i="5"/>
  <c r="AV246" i="18" s="1"/>
  <c r="BY415" i="5"/>
  <c r="BY419" i="5"/>
  <c r="BQ312" i="18" s="1"/>
  <c r="BX47" i="5"/>
  <c r="BP1319" i="18" s="1"/>
  <c r="BX41" i="5"/>
  <c r="BP34" i="18" s="1"/>
  <c r="AW84" i="5"/>
  <c r="AW95" i="5"/>
  <c r="BM44" i="5"/>
  <c r="BE36" i="18" s="1"/>
  <c r="CV752" i="5"/>
  <c r="BE56" i="5"/>
  <c r="AW43" i="18" s="1"/>
  <c r="BD383" i="5"/>
  <c r="BD404" i="5"/>
  <c r="BD362" i="5"/>
  <c r="BD363" i="5" s="1"/>
  <c r="BD392" i="5"/>
  <c r="AP393" i="5"/>
  <c r="AP394" i="5" s="1"/>
  <c r="AP395" i="5"/>
  <c r="CC482" i="5"/>
  <c r="CC481" i="5"/>
  <c r="CY478" i="5"/>
  <c r="CC67" i="5"/>
  <c r="BU55" i="18" s="1"/>
  <c r="BT348" i="5"/>
  <c r="BL299" i="18" s="1"/>
  <c r="CB512" i="5"/>
  <c r="DC680" i="5"/>
  <c r="CM182" i="5"/>
  <c r="CM209" i="5"/>
  <c r="CM22" i="5"/>
  <c r="CM31" i="5"/>
  <c r="CM24" i="5"/>
  <c r="CN25" i="5" s="1"/>
  <c r="CM39" i="5"/>
  <c r="CM362" i="5" s="1"/>
  <c r="AJ74" i="5"/>
  <c r="AN75" i="5" s="1"/>
  <c r="AJ83" i="5"/>
  <c r="AJ123" i="5"/>
  <c r="BM419" i="5"/>
  <c r="BE312" i="18" s="1"/>
  <c r="BM415" i="5"/>
  <c r="BE308" i="18" s="1"/>
  <c r="BQ419" i="5"/>
  <c r="BI312" i="18" s="1"/>
  <c r="AP80" i="5"/>
  <c r="AP81" i="5" s="1"/>
  <c r="AP87" i="5"/>
  <c r="BL539" i="5"/>
  <c r="CT703" i="5"/>
  <c r="BI419" i="5"/>
  <c r="BA312" i="18" s="1"/>
  <c r="BI415" i="5"/>
  <c r="BU480" i="5"/>
  <c r="BM367" i="18" s="1"/>
  <c r="BJ559" i="5"/>
  <c r="BB405" i="18" s="1"/>
  <c r="BJ549" i="5"/>
  <c r="BB398" i="18" s="1"/>
  <c r="BN362" i="5"/>
  <c r="AR41" i="5"/>
  <c r="CP124" i="5"/>
  <c r="AR291" i="5"/>
  <c r="AR199" i="5"/>
  <c r="AR200" i="5" s="1"/>
  <c r="CK116" i="5"/>
  <c r="CC97" i="18" s="1"/>
  <c r="BA252" i="5"/>
  <c r="AS217" i="18" s="1"/>
  <c r="BL419" i="5"/>
  <c r="BD312" i="18" s="1"/>
  <c r="BL415" i="5"/>
  <c r="BP416" i="5" s="1"/>
  <c r="BH309" i="18" s="1"/>
  <c r="AV143" i="5"/>
  <c r="AV129" i="5"/>
  <c r="AZ124" i="5"/>
  <c r="BP405" i="5"/>
  <c r="BT405" i="5"/>
  <c r="BJ395" i="5"/>
  <c r="BJ393" i="5"/>
  <c r="CO459" i="5"/>
  <c r="CO462" i="5"/>
  <c r="BC385" i="5"/>
  <c r="AU1277" i="18" s="1"/>
  <c r="BC384" i="5"/>
  <c r="AU1276" i="18" s="1"/>
  <c r="AV393" i="5"/>
  <c r="AV395" i="5"/>
  <c r="BP41" i="5"/>
  <c r="BH34" i="18" s="1"/>
  <c r="BV183" i="5"/>
  <c r="BN149" i="18" s="1"/>
  <c r="BV185" i="5"/>
  <c r="BN151" i="18" s="1"/>
  <c r="CU562" i="5"/>
  <c r="CM408" i="18" s="1"/>
  <c r="CU22" i="5"/>
  <c r="CM14" i="18" s="1"/>
  <c r="CU24" i="5"/>
  <c r="CM16" i="18" s="1"/>
  <c r="CU636" i="5"/>
  <c r="CM479" i="18" s="1"/>
  <c r="CU635" i="5"/>
  <c r="CM478" i="18" s="1"/>
  <c r="CU522" i="5"/>
  <c r="CU639" i="5"/>
  <c r="CM482" i="18" s="1"/>
  <c r="CU637" i="5"/>
  <c r="CM480" i="18" s="1"/>
  <c r="CU638" i="5"/>
  <c r="CM481" i="18" s="1"/>
  <c r="AZ33" i="5"/>
  <c r="CB404" i="5"/>
  <c r="CB383" i="5"/>
  <c r="BT1275" i="18" s="1"/>
  <c r="CB392" i="5"/>
  <c r="CB362" i="5"/>
  <c r="CB363" i="5" s="1"/>
  <c r="CU481" i="5"/>
  <c r="CU483" i="5"/>
  <c r="CM365" i="18" s="1"/>
  <c r="CF348" i="5"/>
  <c r="BX299" i="18" s="1"/>
  <c r="CW513" i="5"/>
  <c r="CW511" i="5"/>
  <c r="CO371" i="18" s="1"/>
  <c r="AM422" i="5"/>
  <c r="AM424" i="5"/>
  <c r="BH41" i="5"/>
  <c r="AZ34" i="18" s="1"/>
  <c r="BH216" i="5"/>
  <c r="AZ183" i="18" s="1"/>
  <c r="BH289" i="5"/>
  <c r="AZ246" i="18" s="1"/>
  <c r="BK522" i="5"/>
  <c r="BK428" i="5"/>
  <c r="BC1036" i="18" s="1"/>
  <c r="BK437" i="5"/>
  <c r="BC1041" i="18" s="1"/>
  <c r="BK287" i="5"/>
  <c r="BC244" i="18" s="1"/>
  <c r="BK332" i="5"/>
  <c r="BK258" i="5"/>
  <c r="BK260" i="5" s="1"/>
  <c r="BK73" i="5"/>
  <c r="BC60" i="18" s="1"/>
  <c r="BK49" i="5"/>
  <c r="BC37" i="18" s="1"/>
  <c r="BK79" i="5"/>
  <c r="BK43" i="5"/>
  <c r="BC35" i="18" s="1"/>
  <c r="BK44" i="5"/>
  <c r="BC36" i="18" s="1"/>
  <c r="BK40" i="5"/>
  <c r="BC33" i="18" s="1"/>
  <c r="BK55" i="5"/>
  <c r="BC42" i="18" s="1"/>
  <c r="BK42" i="5"/>
  <c r="BK467" i="5"/>
  <c r="BC353" i="18" s="1"/>
  <c r="BK530" i="5"/>
  <c r="BK347" i="5"/>
  <c r="BC297" i="18" s="1"/>
  <c r="BK337" i="5"/>
  <c r="BK473" i="5"/>
  <c r="BK453" i="5"/>
  <c r="BC340" i="18" s="1"/>
  <c r="BK459" i="5"/>
  <c r="BL190" i="5"/>
  <c r="DG77" i="5"/>
  <c r="CY63" i="18" s="1"/>
  <c r="BI488" i="5"/>
  <c r="BA380" i="18" s="1"/>
  <c r="BI489" i="5"/>
  <c r="BI487" i="5"/>
  <c r="BA379" i="18" s="1"/>
  <c r="CR121" i="5"/>
  <c r="CJ103" i="18" s="1"/>
  <c r="AX385" i="5"/>
  <c r="AX384" i="5"/>
  <c r="BD454" i="5"/>
  <c r="AV341" i="18" s="1"/>
  <c r="BF416" i="5"/>
  <c r="AX309" i="18" s="1"/>
  <c r="BW479" i="5"/>
  <c r="AN214" i="5"/>
  <c r="AN296" i="5" s="1"/>
  <c r="AN196" i="5"/>
  <c r="AK295" i="5"/>
  <c r="BW543" i="5"/>
  <c r="BO392" i="18" s="1"/>
  <c r="AR44" i="5"/>
  <c r="CB468" i="5"/>
  <c r="BT354" i="18" s="1"/>
  <c r="CR639" i="5"/>
  <c r="CJ482" i="18" s="1"/>
  <c r="CR638" i="5"/>
  <c r="CJ481" i="18" s="1"/>
  <c r="CR637" i="5"/>
  <c r="CJ480" i="18" s="1"/>
  <c r="CR636" i="5"/>
  <c r="CJ479" i="18" s="1"/>
  <c r="CR635" i="5"/>
  <c r="CJ478" i="18" s="1"/>
  <c r="CR562" i="5"/>
  <c r="CJ408" i="18" s="1"/>
  <c r="CR22" i="5"/>
  <c r="CJ14" i="18" s="1"/>
  <c r="CR24" i="5"/>
  <c r="CR39" i="5"/>
  <c r="CJ32" i="18" s="1"/>
  <c r="CR31" i="5"/>
  <c r="CJ23" i="18" s="1"/>
  <c r="CR522" i="5"/>
  <c r="BD87" i="5"/>
  <c r="AV75" i="18" s="1"/>
  <c r="BD124" i="5"/>
  <c r="AV106" i="18" s="1"/>
  <c r="BD80" i="5"/>
  <c r="BD429" i="5"/>
  <c r="CB429" i="5"/>
  <c r="CQ428" i="5"/>
  <c r="CQ437" i="5"/>
  <c r="CQ287" i="5"/>
  <c r="CQ79" i="5"/>
  <c r="CQ73" i="5"/>
  <c r="CQ40" i="5"/>
  <c r="CQ41" i="5" s="1"/>
  <c r="CQ55" i="5"/>
  <c r="CQ56" i="5" s="1"/>
  <c r="CQ49" i="5"/>
  <c r="CQ43" i="5"/>
  <c r="CQ530" i="5"/>
  <c r="CQ531" i="5" s="1"/>
  <c r="CQ347" i="5"/>
  <c r="CQ348" i="5" s="1"/>
  <c r="AW332" i="5"/>
  <c r="AW333" i="5" s="1"/>
  <c r="AO289" i="18" s="1"/>
  <c r="BU404" i="5"/>
  <c r="BU383" i="5"/>
  <c r="BM1275" i="18" s="1"/>
  <c r="BU362" i="5"/>
  <c r="BU392" i="5"/>
  <c r="CT462" i="5"/>
  <c r="CL348" i="18" s="1"/>
  <c r="CT459" i="5"/>
  <c r="CL346" i="18" s="1"/>
  <c r="BY473" i="5"/>
  <c r="BQ359" i="18" s="1"/>
  <c r="CV523" i="5"/>
  <c r="BB522" i="5"/>
  <c r="AT561" i="18" s="1"/>
  <c r="BB428" i="5"/>
  <c r="AT1036" i="18" s="1"/>
  <c r="BB437" i="5"/>
  <c r="AT1041" i="18" s="1"/>
  <c r="BB287" i="5"/>
  <c r="AT244" i="18" s="1"/>
  <c r="BB79" i="5"/>
  <c r="AT70" i="18" s="1"/>
  <c r="BB42" i="5"/>
  <c r="BB40" i="5"/>
  <c r="BB49" i="5"/>
  <c r="BB44" i="5"/>
  <c r="AT36" i="18" s="1"/>
  <c r="BB43" i="5"/>
  <c r="AT35" i="18" s="1"/>
  <c r="BB73" i="5"/>
  <c r="AT60" i="18" s="1"/>
  <c r="BB55" i="5"/>
  <c r="BB479" i="5"/>
  <c r="BB518" i="5"/>
  <c r="BB453" i="5"/>
  <c r="BB467" i="5"/>
  <c r="BB337" i="5"/>
  <c r="BB459" i="5"/>
  <c r="BB473" i="5"/>
  <c r="BB347" i="5"/>
  <c r="AT297" i="18" s="1"/>
  <c r="BS696" i="5"/>
  <c r="CX518" i="5"/>
  <c r="CP372" i="18" s="1"/>
  <c r="CP462" i="5"/>
  <c r="CP459" i="5"/>
  <c r="CN415" i="5"/>
  <c r="CN416" i="5" s="1"/>
  <c r="AS395" i="5"/>
  <c r="BH523" i="5"/>
  <c r="BX42" i="5"/>
  <c r="BX574" i="5"/>
  <c r="BP420" i="18" s="1"/>
  <c r="BX74" i="5"/>
  <c r="BX83" i="5"/>
  <c r="BP73" i="18" s="1"/>
  <c r="BX523" i="5"/>
  <c r="BU454" i="5"/>
  <c r="BM341" i="18" s="1"/>
  <c r="CU39" i="5"/>
  <c r="BO44" i="5" s="1"/>
  <c r="BG36" i="18" s="1"/>
  <c r="BM523" i="5"/>
  <c r="BH123" i="5"/>
  <c r="AZ105" i="18" s="1"/>
  <c r="CB490" i="5"/>
  <c r="BT382" i="18" s="1"/>
  <c r="BL574" i="5"/>
  <c r="BD420" i="18" s="1"/>
  <c r="BL74" i="5"/>
  <c r="BL83" i="5"/>
  <c r="BD73" i="18" s="1"/>
  <c r="BL123" i="5"/>
  <c r="BD105" i="18" s="1"/>
  <c r="BA41" i="5"/>
  <c r="AS34" i="18" s="1"/>
  <c r="BE190" i="5"/>
  <c r="BG59" i="5"/>
  <c r="AY45" i="18" s="1"/>
  <c r="AQ184" i="5"/>
  <c r="CZ558" i="5"/>
  <c r="CZ625" i="5"/>
  <c r="CZ690" i="5"/>
  <c r="CQ513" i="5"/>
  <c r="CQ511" i="5"/>
  <c r="BN488" i="5"/>
  <c r="BF380" i="18" s="1"/>
  <c r="CQ300" i="5"/>
  <c r="CQ301" i="5" s="1"/>
  <c r="CQ233" i="5"/>
  <c r="CW243" i="5"/>
  <c r="CO210" i="18" s="1"/>
  <c r="CO474" i="5"/>
  <c r="CU718" i="5"/>
  <c r="CS467" i="5"/>
  <c r="CK353" i="18" s="1"/>
  <c r="CS469" i="5"/>
  <c r="BI189" i="5"/>
  <c r="BI185" i="5"/>
  <c r="BA151" i="18" s="1"/>
  <c r="BI183" i="5"/>
  <c r="BE83" i="5"/>
  <c r="BE74" i="5"/>
  <c r="BJ25" i="5"/>
  <c r="BB17" i="18" s="1"/>
  <c r="BD490" i="5"/>
  <c r="AV382" i="18" s="1"/>
  <c r="BV384" i="5"/>
  <c r="BN1276" i="18" s="1"/>
  <c r="AV384" i="5"/>
  <c r="AV385" i="5"/>
  <c r="AM289" i="5"/>
  <c r="AM283" i="5"/>
  <c r="AM250" i="5"/>
  <c r="AQ251" i="5" s="1"/>
  <c r="AU252" i="5" s="1"/>
  <c r="AQ242" i="5"/>
  <c r="BJ59" i="5"/>
  <c r="BB45" i="18" s="1"/>
  <c r="BN59" i="5"/>
  <c r="BF45" i="18" s="1"/>
  <c r="BI479" i="5"/>
  <c r="BT56" i="5"/>
  <c r="BL43" i="18" s="1"/>
  <c r="CO56" i="5"/>
  <c r="CP184" i="5"/>
  <c r="BE338" i="5"/>
  <c r="AW294" i="18" s="1"/>
  <c r="BY487" i="5"/>
  <c r="BQ379" i="18" s="1"/>
  <c r="BV124" i="5"/>
  <c r="BN106" i="18" s="1"/>
  <c r="CQ337" i="5"/>
  <c r="CQ338" i="5" s="1"/>
  <c r="AO393" i="5"/>
  <c r="AO394" i="5" s="1"/>
  <c r="AO395" i="5"/>
  <c r="AK405" i="5"/>
  <c r="BH696" i="5"/>
  <c r="CS696" i="5" s="1"/>
  <c r="CS698" i="5" s="1"/>
  <c r="BH184" i="5"/>
  <c r="AZ150" i="18" s="1"/>
  <c r="BY183" i="5"/>
  <c r="BQ149" i="18" s="1"/>
  <c r="BY185" i="5"/>
  <c r="BQ151" i="18" s="1"/>
  <c r="CM58" i="5"/>
  <c r="CN59" i="5" s="1"/>
  <c r="CM52" i="5"/>
  <c r="CN53" i="5" s="1"/>
  <c r="CS53" i="5"/>
  <c r="CK40" i="18" s="1"/>
  <c r="AJ289" i="5"/>
  <c r="AJ288" i="5"/>
  <c r="BX402" i="5"/>
  <c r="BP1288" i="18" s="1"/>
  <c r="BX401" i="5"/>
  <c r="BP1287" i="18" s="1"/>
  <c r="AP184" i="5"/>
  <c r="BD169" i="5"/>
  <c r="BD168" i="5" s="1"/>
  <c r="BD174" i="5"/>
  <c r="AV140" i="18" s="1"/>
  <c r="BM338" i="5"/>
  <c r="BE294" i="18" s="1"/>
  <c r="AP289" i="5"/>
  <c r="AP216" i="5"/>
  <c r="BD348" i="5"/>
  <c r="AV299" i="18" s="1"/>
  <c r="BD349" i="5"/>
  <c r="AV298" i="18" s="1"/>
  <c r="AY460" i="5"/>
  <c r="AS279" i="5"/>
  <c r="AW279" i="5"/>
  <c r="CU208" i="5"/>
  <c r="CM175" i="18" s="1"/>
  <c r="AU416" i="5"/>
  <c r="CO718" i="5"/>
  <c r="AO234" i="5"/>
  <c r="AO223" i="5"/>
  <c r="AO288" i="5"/>
  <c r="AK124" i="5"/>
  <c r="AK80" i="5"/>
  <c r="AK81" i="5" s="1"/>
  <c r="AK87" i="5"/>
  <c r="AL93" i="5" s="1"/>
  <c r="AZ87" i="5"/>
  <c r="AZ80" i="5"/>
  <c r="AZ81" i="5" s="1"/>
  <c r="AX41" i="5"/>
  <c r="AX332" i="5"/>
  <c r="AX333" i="5" s="1"/>
  <c r="AP289" i="18" s="1"/>
  <c r="BD474" i="5"/>
  <c r="AV360" i="18" s="1"/>
  <c r="AN363" i="5"/>
  <c r="CP419" i="5"/>
  <c r="CP415" i="5"/>
  <c r="CQ718" i="5"/>
  <c r="AT75" i="5"/>
  <c r="CQ124" i="5"/>
  <c r="AQ129" i="5"/>
  <c r="AQ143" i="5"/>
  <c r="AR81" i="5"/>
  <c r="CB531" i="5"/>
  <c r="CS32" i="5"/>
  <c r="CK24" i="18" s="1"/>
  <c r="CS34" i="5"/>
  <c r="CK26" i="18" s="1"/>
  <c r="AT81" i="5"/>
  <c r="BN405" i="5"/>
  <c r="BN559" i="5"/>
  <c r="BF405" i="18" s="1"/>
  <c r="BN544" i="5"/>
  <c r="BF393" i="18" s="1"/>
  <c r="BN549" i="5"/>
  <c r="BF398" i="18" s="1"/>
  <c r="BR347" i="5"/>
  <c r="BJ297" i="18" s="1"/>
  <c r="BR258" i="5"/>
  <c r="BR260" i="5" s="1"/>
  <c r="BR337" i="5"/>
  <c r="BR79" i="5"/>
  <c r="BJ70" i="18" s="1"/>
  <c r="BV45" i="5"/>
  <c r="BN1317" i="18" s="1"/>
  <c r="BR49" i="5"/>
  <c r="BR55" i="5"/>
  <c r="BR73" i="5"/>
  <c r="BJ60" i="18" s="1"/>
  <c r="BR43" i="5"/>
  <c r="BJ35" i="18" s="1"/>
  <c r="BR40" i="5"/>
  <c r="BJ33" i="18" s="1"/>
  <c r="BR428" i="5"/>
  <c r="BJ1036" i="18" s="1"/>
  <c r="BR42" i="5"/>
  <c r="BR453" i="5"/>
  <c r="BJ340" i="18" s="1"/>
  <c r="BR459" i="5"/>
  <c r="BR467" i="5"/>
  <c r="BR473" i="5"/>
  <c r="BR362" i="5"/>
  <c r="BR522" i="5"/>
  <c r="BU574" i="5"/>
  <c r="BM420" i="18" s="1"/>
  <c r="BU83" i="5"/>
  <c r="BM73" i="18" s="1"/>
  <c r="BU74" i="5"/>
  <c r="BM61" i="18" s="1"/>
  <c r="BU123" i="5"/>
  <c r="BM105" i="18" s="1"/>
  <c r="CO348" i="5"/>
  <c r="BP363" i="5"/>
  <c r="BV490" i="5"/>
  <c r="BN382" i="18" s="1"/>
  <c r="BG34" i="5"/>
  <c r="AY26" i="18" s="1"/>
  <c r="BG32" i="5"/>
  <c r="AY24" i="18" s="1"/>
  <c r="BQ489" i="5"/>
  <c r="BQ487" i="5"/>
  <c r="BI379" i="18" s="1"/>
  <c r="BQ488" i="5"/>
  <c r="BI380" i="18" s="1"/>
  <c r="CY648" i="5"/>
  <c r="CQ489" i="18" s="1"/>
  <c r="CC599" i="5"/>
  <c r="BU443" i="18" s="1"/>
  <c r="AT288" i="5"/>
  <c r="AT234" i="5"/>
  <c r="AT223" i="5"/>
  <c r="AS129" i="5"/>
  <c r="AS143" i="5"/>
  <c r="AY289" i="5"/>
  <c r="AY216" i="5"/>
  <c r="CT455" i="5"/>
  <c r="CL342" i="18" s="1"/>
  <c r="CT453" i="5"/>
  <c r="CT486" i="5"/>
  <c r="AW92" i="5"/>
  <c r="AW88" i="5"/>
  <c r="AW93" i="5"/>
  <c r="BD74" i="5"/>
  <c r="AV61" i="18" s="1"/>
  <c r="BD83" i="5"/>
  <c r="AV73" i="18" s="1"/>
  <c r="BD123" i="5"/>
  <c r="AV105" i="18" s="1"/>
  <c r="CW413" i="5"/>
  <c r="CO306" i="18" s="1"/>
  <c r="CW361" i="5"/>
  <c r="CW339" i="5"/>
  <c r="CW336" i="5"/>
  <c r="CO292" i="18" s="1"/>
  <c r="CX347" i="5"/>
  <c r="CP297" i="18" s="1"/>
  <c r="CX350" i="5"/>
  <c r="CP300" i="18" s="1"/>
  <c r="CX379" i="5"/>
  <c r="CX400" i="5"/>
  <c r="CX352" i="5"/>
  <c r="CX387" i="5"/>
  <c r="BY404" i="5"/>
  <c r="BY362" i="5"/>
  <c r="BY363" i="5" s="1"/>
  <c r="BY383" i="5"/>
  <c r="BY392" i="5"/>
  <c r="AP124" i="5"/>
  <c r="AW75" i="5"/>
  <c r="AS424" i="5"/>
  <c r="AS425" i="5" s="1"/>
  <c r="AS422" i="5"/>
  <c r="BA447" i="5"/>
  <c r="BA448" i="5" s="1"/>
  <c r="BA438" i="5"/>
  <c r="AS1042" i="18" s="1"/>
  <c r="BN489" i="5"/>
  <c r="BF381" i="18" s="1"/>
  <c r="BK696" i="5"/>
  <c r="BC533" i="18" s="1"/>
  <c r="BK543" i="5"/>
  <c r="CX483" i="5"/>
  <c r="CP365" i="18" s="1"/>
  <c r="CX481" i="5"/>
  <c r="CX479" i="5"/>
  <c r="CP366" i="18" s="1"/>
  <c r="BC34" i="5"/>
  <c r="AU26" i="18" s="1"/>
  <c r="BC32" i="5"/>
  <c r="BT363" i="5"/>
  <c r="AW146" i="5"/>
  <c r="AW135" i="5"/>
  <c r="AO112" i="18" s="1"/>
  <c r="AZ438" i="5"/>
  <c r="AZ447" i="5"/>
  <c r="AZ448" i="5" s="1"/>
  <c r="AX349" i="5"/>
  <c r="AX348" i="5"/>
  <c r="CN450" i="5"/>
  <c r="BZ698" i="5"/>
  <c r="AV93" i="5"/>
  <c r="AV92" i="5"/>
  <c r="AV91" i="5"/>
  <c r="AV90" i="5"/>
  <c r="AV88" i="5"/>
  <c r="BO559" i="5"/>
  <c r="BG405" i="18" s="1"/>
  <c r="BO549" i="5"/>
  <c r="BG398" i="18" s="1"/>
  <c r="BR385" i="5"/>
  <c r="BJ1277" i="18" s="1"/>
  <c r="BR384" i="5"/>
  <c r="BJ1276" i="18" s="1"/>
  <c r="AO41" i="5"/>
  <c r="CP129" i="5"/>
  <c r="CP143" i="5"/>
  <c r="CW39" i="5"/>
  <c r="AV184" i="5"/>
  <c r="AZ129" i="5"/>
  <c r="AZ143" i="5"/>
  <c r="BT384" i="5"/>
  <c r="BL1276" i="18" s="1"/>
  <c r="BT385" i="5"/>
  <c r="BL1277" i="18" s="1"/>
  <c r="CO454" i="5"/>
  <c r="BP50" i="5"/>
  <c r="BH38" i="18" s="1"/>
  <c r="BG183" i="5"/>
  <c r="AY149" i="18" s="1"/>
  <c r="BG185" i="5"/>
  <c r="AY151" i="18" s="1"/>
  <c r="BG189" i="5"/>
  <c r="AY155" i="18" s="1"/>
  <c r="CV115" i="5"/>
  <c r="CN96" i="18" s="1"/>
  <c r="CV116" i="5"/>
  <c r="CN97" i="18" s="1"/>
  <c r="AO190" i="5"/>
  <c r="AO191" i="5" s="1"/>
  <c r="BO53" i="5"/>
  <c r="BG40" i="18" s="1"/>
  <c r="BU124" i="5"/>
  <c r="BM106" i="18" s="1"/>
  <c r="AX405" i="5"/>
  <c r="BJ479" i="5"/>
  <c r="BO416" i="5"/>
  <c r="BG309" i="18" s="1"/>
  <c r="AK296" i="5"/>
  <c r="AK297" i="5" s="1"/>
  <c r="AK278" i="5"/>
  <c r="AO279" i="5" s="1"/>
  <c r="AK241" i="5"/>
  <c r="BJ252" i="5"/>
  <c r="BB217" i="18" s="1"/>
  <c r="BF389" i="5"/>
  <c r="BH596" i="5"/>
  <c r="CS596" i="5" s="1"/>
  <c r="CS595" i="5"/>
  <c r="BH515" i="5"/>
  <c r="BH516" i="5" s="1"/>
  <c r="BH517" i="5" s="1"/>
  <c r="AW81" i="5"/>
  <c r="CB47" i="5"/>
  <c r="BT1319" i="18" s="1"/>
  <c r="CB41" i="5"/>
  <c r="BT34" i="18" s="1"/>
  <c r="CQ34" i="5"/>
  <c r="CQ32" i="5"/>
  <c r="CQ33" i="5" s="1"/>
  <c r="BQ388" i="5"/>
  <c r="BQ390" i="5"/>
  <c r="AP123" i="5"/>
  <c r="BX573" i="5"/>
  <c r="BP419" i="18" s="1"/>
  <c r="BX87" i="5"/>
  <c r="BP75" i="18" s="1"/>
  <c r="BX80" i="5"/>
  <c r="BL573" i="5"/>
  <c r="BD419" i="18" s="1"/>
  <c r="BL87" i="5"/>
  <c r="BD75" i="18" s="1"/>
  <c r="BL80" i="5"/>
  <c r="BD71" i="18" s="1"/>
  <c r="BL124" i="5"/>
  <c r="BD106" i="18" s="1"/>
  <c r="BA429" i="5"/>
  <c r="AQ291" i="5"/>
  <c r="AQ199" i="5"/>
  <c r="CD121" i="5"/>
  <c r="BV103" i="18" s="1"/>
  <c r="BE143" i="5"/>
  <c r="AW117" i="18" s="1"/>
  <c r="BE129" i="5"/>
  <c r="AW109" i="18" s="1"/>
  <c r="DA685" i="5"/>
  <c r="DB172" i="5"/>
  <c r="AH288" i="5"/>
  <c r="AH289" i="5"/>
  <c r="BT474" i="5"/>
  <c r="BL360" i="18" s="1"/>
  <c r="BZ384" i="5"/>
  <c r="BR1276" i="18" s="1"/>
  <c r="AT468" i="5"/>
  <c r="BY467" i="5"/>
  <c r="AU190" i="5"/>
  <c r="AU191" i="5" s="1"/>
  <c r="AY190" i="5"/>
  <c r="AW407" i="5"/>
  <c r="AW365" i="5"/>
  <c r="AW397" i="5"/>
  <c r="BV559" i="5"/>
  <c r="BN405" i="18" s="1"/>
  <c r="BV544" i="5"/>
  <c r="BN393" i="18" s="1"/>
  <c r="BV549" i="5"/>
  <c r="BN398" i="18" s="1"/>
  <c r="CN124" i="5"/>
  <c r="BT42" i="5"/>
  <c r="CU131" i="5"/>
  <c r="AW126" i="5"/>
  <c r="BY489" i="5"/>
  <c r="BQ381" i="18" s="1"/>
  <c r="CU473" i="5"/>
  <c r="CM359" i="18" s="1"/>
  <c r="CU475" i="5"/>
  <c r="BJ381" i="5"/>
  <c r="BB1273" i="18" s="1"/>
  <c r="BG490" i="5"/>
  <c r="AY382" i="18" s="1"/>
  <c r="AS180" i="5"/>
  <c r="CP203" i="5"/>
  <c r="AU288" i="5"/>
  <c r="AU223" i="5"/>
  <c r="AU217" i="5"/>
  <c r="AU234" i="5"/>
  <c r="AX289" i="5"/>
  <c r="AX216" i="5"/>
  <c r="BJ389" i="5"/>
  <c r="AT143" i="5"/>
  <c r="AT129" i="5"/>
  <c r="AR146" i="5"/>
  <c r="AR156" i="5" s="1"/>
  <c r="AR135" i="5"/>
  <c r="AJ112" i="18" s="1"/>
  <c r="AT92" i="5"/>
  <c r="AT90" i="5"/>
  <c r="AT88" i="5"/>
  <c r="AT91" i="5"/>
  <c r="AW749" i="5"/>
  <c r="AW155" i="5"/>
  <c r="BR185" i="5"/>
  <c r="BJ151" i="18" s="1"/>
  <c r="BR189" i="5"/>
  <c r="BR183" i="5"/>
  <c r="CT562" i="5"/>
  <c r="CL408" i="18" s="1"/>
  <c r="CT22" i="5"/>
  <c r="CL14" i="18" s="1"/>
  <c r="CT24" i="5"/>
  <c r="CT636" i="5"/>
  <c r="CL479" i="18" s="1"/>
  <c r="CT638" i="5"/>
  <c r="CL481" i="18" s="1"/>
  <c r="CT639" i="5"/>
  <c r="CL482" i="18" s="1"/>
  <c r="CT637" i="5"/>
  <c r="CL480" i="18" s="1"/>
  <c r="CT635" i="5"/>
  <c r="CL478" i="18" s="1"/>
  <c r="BU47" i="5"/>
  <c r="BM1319" i="18" s="1"/>
  <c r="AO146" i="5"/>
  <c r="AO156" i="5" s="1"/>
  <c r="AO135" i="5"/>
  <c r="AG112" i="18" s="1"/>
  <c r="CM116" i="5"/>
  <c r="CE97" i="18" s="1"/>
  <c r="CT400" i="5"/>
  <c r="CT354" i="5"/>
  <c r="CT350" i="5"/>
  <c r="CL300" i="18" s="1"/>
  <c r="CT352" i="5"/>
  <c r="CT379" i="5"/>
  <c r="CT347" i="5"/>
  <c r="CT387" i="5"/>
  <c r="BJ362" i="5"/>
  <c r="BJ363" i="5" s="1"/>
  <c r="BK362" i="5"/>
  <c r="BK363" i="5" s="1"/>
  <c r="CX559" i="5"/>
  <c r="CP405" i="18" s="1"/>
  <c r="CX544" i="5"/>
  <c r="CP393" i="18" s="1"/>
  <c r="CT529" i="5"/>
  <c r="CT522" i="5"/>
  <c r="CL561" i="18" s="1"/>
  <c r="CT524" i="5"/>
  <c r="CU524" i="5"/>
  <c r="BP261" i="5"/>
  <c r="AG126" i="5"/>
  <c r="AG124" i="5"/>
  <c r="CR516" i="5"/>
  <c r="CR517" i="5" s="1"/>
  <c r="CR513" i="5"/>
  <c r="CR511" i="5"/>
  <c r="CJ371" i="18" s="1"/>
  <c r="AK416" i="5"/>
  <c r="DE683" i="5"/>
  <c r="DD556" i="5"/>
  <c r="BZ428" i="5"/>
  <c r="BR1036" i="18" s="1"/>
  <c r="BZ258" i="5"/>
  <c r="BZ260" i="5" s="1"/>
  <c r="BZ332" i="5"/>
  <c r="BR288" i="18" s="1"/>
  <c r="BZ79" i="5"/>
  <c r="BR70" i="18" s="1"/>
  <c r="BZ73" i="5"/>
  <c r="BR60" i="18" s="1"/>
  <c r="BZ55" i="5"/>
  <c r="BZ40" i="5"/>
  <c r="BR33" i="18" s="1"/>
  <c r="BZ42" i="5"/>
  <c r="BZ43" i="5"/>
  <c r="BR35" i="18" s="1"/>
  <c r="BZ362" i="5"/>
  <c r="BZ363" i="5" s="1"/>
  <c r="BZ522" i="5"/>
  <c r="BR561" i="18" s="1"/>
  <c r="BZ347" i="5"/>
  <c r="BZ459" i="5"/>
  <c r="BZ467" i="5"/>
  <c r="BZ473" i="5"/>
  <c r="BR359" i="18" s="1"/>
  <c r="BZ337" i="5"/>
  <c r="BZ453" i="5"/>
  <c r="CU58" i="5"/>
  <c r="CM44" i="18" s="1"/>
  <c r="CU52" i="5"/>
  <c r="CB419" i="5"/>
  <c r="BT312" i="18" s="1"/>
  <c r="CB415" i="5"/>
  <c r="BT666" i="5"/>
  <c r="BH56" i="5"/>
  <c r="AZ43" i="18" s="1"/>
  <c r="BH438" i="5"/>
  <c r="AZ1042" i="18" s="1"/>
  <c r="BH447" i="5"/>
  <c r="CU486" i="5"/>
  <c r="CM378" i="18" s="1"/>
  <c r="CU453" i="5"/>
  <c r="CU455" i="5"/>
  <c r="CM342" i="18" s="1"/>
  <c r="BQ522" i="5"/>
  <c r="BI561" i="18" s="1"/>
  <c r="BQ362" i="5"/>
  <c r="BQ363" i="5" s="1"/>
  <c r="BQ428" i="5"/>
  <c r="BI1036" i="18" s="1"/>
  <c r="BQ347" i="5"/>
  <c r="BI297" i="18" s="1"/>
  <c r="BQ337" i="5"/>
  <c r="BQ258" i="5"/>
  <c r="BQ260" i="5" s="1"/>
  <c r="BQ261" i="5" s="1"/>
  <c r="BQ73" i="5"/>
  <c r="BI60" i="18" s="1"/>
  <c r="BQ79" i="5"/>
  <c r="BU45" i="5"/>
  <c r="BM1317" i="18" s="1"/>
  <c r="BQ44" i="5"/>
  <c r="BI36" i="18" s="1"/>
  <c r="BQ43" i="5"/>
  <c r="BI35" i="18" s="1"/>
  <c r="BQ42" i="5"/>
  <c r="BQ40" i="5"/>
  <c r="BI33" i="18" s="1"/>
  <c r="BQ55" i="5"/>
  <c r="BQ49" i="5"/>
  <c r="CV39" i="5"/>
  <c r="BQ473" i="5"/>
  <c r="BI359" i="18" s="1"/>
  <c r="BQ459" i="5"/>
  <c r="BI346" i="18" s="1"/>
  <c r="BK25" i="5"/>
  <c r="BC17" i="18" s="1"/>
  <c r="CN34" i="5"/>
  <c r="CN32" i="5"/>
  <c r="CN33" i="5" s="1"/>
  <c r="CP50" i="5"/>
  <c r="AY44" i="5"/>
  <c r="AY429" i="5"/>
  <c r="AY431" i="5" s="1"/>
  <c r="AY432" i="5" s="1"/>
  <c r="AY433" i="5" s="1"/>
  <c r="AY434" i="5" s="1"/>
  <c r="CP208" i="5"/>
  <c r="AG291" i="5"/>
  <c r="AG193" i="5"/>
  <c r="AG199" i="5"/>
  <c r="CX459" i="5"/>
  <c r="CP346" i="18" s="1"/>
  <c r="CX462" i="5"/>
  <c r="CP348" i="18" s="1"/>
  <c r="CU462" i="5"/>
  <c r="CM348" i="18" s="1"/>
  <c r="CU459" i="5"/>
  <c r="CM346" i="18" s="1"/>
  <c r="CR209" i="5"/>
  <c r="CJ176" i="18" s="1"/>
  <c r="AN295" i="5"/>
  <c r="CY167" i="5"/>
  <c r="CQ133" i="18" s="1"/>
  <c r="AS407" i="5"/>
  <c r="AS408" i="5" s="1"/>
  <c r="AS365" i="5"/>
  <c r="AS366" i="5" s="1"/>
  <c r="AS397" i="5"/>
  <c r="CZ319" i="5"/>
  <c r="CY324" i="5"/>
  <c r="CY320" i="5"/>
  <c r="CZ320" i="5" s="1"/>
  <c r="DA320" i="5" s="1"/>
  <c r="DB320" i="5" s="1"/>
  <c r="DC320" i="5" s="1"/>
  <c r="DD320" i="5" s="1"/>
  <c r="DE320" i="5" s="1"/>
  <c r="DF320" i="5" s="1"/>
  <c r="CY37" i="5"/>
  <c r="CB523" i="5"/>
  <c r="CF522" i="5"/>
  <c r="CA664" i="5"/>
  <c r="CA666" i="5" s="1"/>
  <c r="CB660" i="5"/>
  <c r="CB664" i="5" s="1"/>
  <c r="CB666" i="5" s="1"/>
  <c r="BX543" i="5"/>
  <c r="BP392" i="18" s="1"/>
  <c r="BD42" i="5"/>
  <c r="BD438" i="5"/>
  <c r="AV1042" i="18" s="1"/>
  <c r="BD447" i="5"/>
  <c r="BU419" i="5"/>
  <c r="BM312" i="18" s="1"/>
  <c r="BU415" i="5"/>
  <c r="BU59" i="5"/>
  <c r="BM45" i="18" s="1"/>
  <c r="BI459" i="5"/>
  <c r="BM460" i="5" s="1"/>
  <c r="BE347" i="18" s="1"/>
  <c r="AT180" i="5"/>
  <c r="AU196" i="5"/>
  <c r="AU197" i="5" s="1"/>
  <c r="AU214" i="5"/>
  <c r="AU296" i="5" s="1"/>
  <c r="AU297" i="5" s="1"/>
  <c r="AO385" i="5"/>
  <c r="AO384" i="5"/>
  <c r="AS289" i="5"/>
  <c r="AS216" i="5"/>
  <c r="CY335" i="5"/>
  <c r="CQ291" i="18" s="1"/>
  <c r="CC336" i="5"/>
  <c r="BU292" i="18" s="1"/>
  <c r="CC61" i="5"/>
  <c r="BU49" i="18" s="1"/>
  <c r="BT677" i="5"/>
  <c r="BT557" i="5"/>
  <c r="CU116" i="5"/>
  <c r="CM97" i="18" s="1"/>
  <c r="CU115" i="5"/>
  <c r="CM96" i="18" s="1"/>
  <c r="BG385" i="5"/>
  <c r="AY1277" i="18" s="1"/>
  <c r="BG384" i="5"/>
  <c r="AY1276" i="18" s="1"/>
  <c r="BO489" i="5"/>
  <c r="AS385" i="5"/>
  <c r="AO75" i="5"/>
  <c r="CW486" i="5"/>
  <c r="CO378" i="18" s="1"/>
  <c r="CW455" i="5"/>
  <c r="CO342" i="18" s="1"/>
  <c r="BM574" i="5"/>
  <c r="BE420" i="18" s="1"/>
  <c r="BM83" i="5"/>
  <c r="BE73" i="18" s="1"/>
  <c r="BM74" i="5"/>
  <c r="BE61" i="18" s="1"/>
  <c r="BM123" i="5"/>
  <c r="BE105" i="18" s="1"/>
  <c r="BH59" i="5"/>
  <c r="AZ45" i="18" s="1"/>
  <c r="BT53" i="5"/>
  <c r="BL40" i="18" s="1"/>
  <c r="BX53" i="5"/>
  <c r="BP40" i="18" s="1"/>
  <c r="BH126" i="5"/>
  <c r="AZ1331" i="18" s="1"/>
  <c r="BH124" i="5"/>
  <c r="AZ106" i="18" s="1"/>
  <c r="BJ402" i="5"/>
  <c r="BB1288" i="18" s="1"/>
  <c r="AQ384" i="5"/>
  <c r="AQ385" i="5"/>
  <c r="AZ6" i="5"/>
  <c r="AW56" i="5"/>
  <c r="BL56" i="5"/>
  <c r="BD43" i="18" s="1"/>
  <c r="BL287" i="5"/>
  <c r="BD244" i="18" s="1"/>
  <c r="BW183" i="5"/>
  <c r="BO149" i="18" s="1"/>
  <c r="BW185" i="5"/>
  <c r="BO151" i="18" s="1"/>
  <c r="BH338" i="5"/>
  <c r="AZ294" i="18" s="1"/>
  <c r="CO469" i="5"/>
  <c r="CO467" i="5"/>
  <c r="CO468" i="5" s="1"/>
  <c r="CS111" i="5"/>
  <c r="CK92" i="18" s="1"/>
  <c r="CS110" i="5"/>
  <c r="CK91" i="18" s="1"/>
  <c r="CR131" i="5"/>
  <c r="BU388" i="5"/>
  <c r="BG389" i="5"/>
  <c r="CO338" i="5"/>
  <c r="CU716" i="5"/>
  <c r="BF34" i="5"/>
  <c r="AX26" i="18" s="1"/>
  <c r="BF32" i="5"/>
  <c r="AX24" i="18" s="1"/>
  <c r="AO474" i="5"/>
  <c r="AI518" i="5"/>
  <c r="AM519" i="5" s="1"/>
  <c r="AI467" i="5"/>
  <c r="AM468" i="5" s="1"/>
  <c r="AI473" i="5"/>
  <c r="AM474" i="5" s="1"/>
  <c r="AI337" i="5"/>
  <c r="AM338" i="5" s="1"/>
  <c r="AI287" i="5"/>
  <c r="AI479" i="5"/>
  <c r="AM480" i="5" s="1"/>
  <c r="AI73" i="5"/>
  <c r="AI43" i="5"/>
  <c r="AI79" i="5"/>
  <c r="AI55" i="5"/>
  <c r="AM56" i="5" s="1"/>
  <c r="AI40" i="5"/>
  <c r="AI41" i="5" s="1"/>
  <c r="AI42" i="5"/>
  <c r="AM43" i="5"/>
  <c r="AI453" i="5"/>
  <c r="AM454" i="5" s="1"/>
  <c r="AM40" i="5"/>
  <c r="AI347" i="5"/>
  <c r="AM348" i="5" s="1"/>
  <c r="BE80" i="5"/>
  <c r="BE87" i="5"/>
  <c r="AW75" i="18" s="1"/>
  <c r="BJ185" i="5"/>
  <c r="BB151" i="18" s="1"/>
  <c r="BJ183" i="5"/>
  <c r="BJ189" i="5"/>
  <c r="BB155" i="18" s="1"/>
  <c r="AU184" i="5"/>
  <c r="BZ402" i="5"/>
  <c r="BR1288" i="18" s="1"/>
  <c r="BC416" i="5"/>
  <c r="AU309" i="18" s="1"/>
  <c r="BN381" i="5"/>
  <c r="BF1273" i="18" s="1"/>
  <c r="BN380" i="5"/>
  <c r="BF1272" i="18" s="1"/>
  <c r="BS405" i="5"/>
  <c r="CO480" i="5"/>
  <c r="BS416" i="5"/>
  <c r="BK309" i="18" s="1"/>
  <c r="CT479" i="5"/>
  <c r="CL366" i="18" s="1"/>
  <c r="CT483" i="5"/>
  <c r="CL365" i="18" s="1"/>
  <c r="CT481" i="5"/>
  <c r="BC183" i="5"/>
  <c r="BC185" i="5"/>
  <c r="AU151" i="18" s="1"/>
  <c r="BC189" i="5"/>
  <c r="BM124" i="5"/>
  <c r="BE106" i="18" s="1"/>
  <c r="BT50" i="5"/>
  <c r="BL38" i="18" s="1"/>
  <c r="BT429" i="5"/>
  <c r="CO83" i="5"/>
  <c r="CO74" i="5"/>
  <c r="CB514" i="5"/>
  <c r="BE404" i="5"/>
  <c r="BE383" i="5"/>
  <c r="AW1275" i="18" s="1"/>
  <c r="BE362" i="5"/>
  <c r="BE392" i="5"/>
  <c r="AO749" i="5"/>
  <c r="AO155" i="5"/>
  <c r="CN518" i="5"/>
  <c r="CQ383" i="5"/>
  <c r="CQ404" i="5"/>
  <c r="CQ362" i="5"/>
  <c r="CQ392" i="5"/>
  <c r="BM474" i="5"/>
  <c r="BE360" i="18" s="1"/>
  <c r="BC395" i="5"/>
  <c r="BC393" i="5"/>
  <c r="AX279" i="5"/>
  <c r="AY385" i="5"/>
  <c r="AY384" i="5"/>
  <c r="AU384" i="5"/>
  <c r="AU385" i="5"/>
  <c r="BT389" i="5"/>
  <c r="AW50" i="5"/>
  <c r="CA428" i="5"/>
  <c r="BS1036" i="18" s="1"/>
  <c r="CA332" i="5"/>
  <c r="BS288" i="18" s="1"/>
  <c r="CA258" i="5"/>
  <c r="CA260" i="5" s="1"/>
  <c r="CA73" i="5"/>
  <c r="BS60" i="18" s="1"/>
  <c r="CA79" i="5"/>
  <c r="CA55" i="5"/>
  <c r="CA42" i="5"/>
  <c r="CA43" i="5"/>
  <c r="BS35" i="18" s="1"/>
  <c r="CA40" i="5"/>
  <c r="BS33" i="18" s="1"/>
  <c r="CA453" i="5"/>
  <c r="CA337" i="5"/>
  <c r="BS293" i="18" s="1"/>
  <c r="CA467" i="5"/>
  <c r="CA473" i="5"/>
  <c r="BS359" i="18" s="1"/>
  <c r="CA530" i="5"/>
  <c r="CA531" i="5" s="1"/>
  <c r="CA522" i="5"/>
  <c r="BS561" i="18" s="1"/>
  <c r="CA347" i="5"/>
  <c r="CA459" i="5"/>
  <c r="BA33" i="5"/>
  <c r="AS25" i="18" s="1"/>
  <c r="BX348" i="5"/>
  <c r="BP299" i="18" s="1"/>
  <c r="BX380" i="5"/>
  <c r="BP1272" i="18" s="1"/>
  <c r="BX381" i="5"/>
  <c r="BP1273" i="18" s="1"/>
  <c r="AP190" i="5"/>
  <c r="AP191" i="5" s="1"/>
  <c r="CS300" i="5"/>
  <c r="CS233" i="5"/>
  <c r="CK200" i="18" s="1"/>
  <c r="AP44" i="5"/>
  <c r="AP348" i="5"/>
  <c r="AP349" i="5"/>
  <c r="AX407" i="5"/>
  <c r="AX365" i="5"/>
  <c r="CS207" i="5"/>
  <c r="CK174" i="18" s="1"/>
  <c r="CS209" i="5"/>
  <c r="CK176" i="18" s="1"/>
  <c r="CR752" i="5"/>
  <c r="CP348" i="5"/>
  <c r="AL250" i="5"/>
  <c r="AP251" i="5" s="1"/>
  <c r="AT252" i="5" s="1"/>
  <c r="AL283" i="5"/>
  <c r="AL289" i="5"/>
  <c r="AP242" i="5"/>
  <c r="BV388" i="5"/>
  <c r="BR401" i="5"/>
  <c r="BJ1287" i="18" s="1"/>
  <c r="CU631" i="5"/>
  <c r="CU566" i="5"/>
  <c r="CU570" i="5" s="1"/>
  <c r="AT448" i="5"/>
  <c r="AK129" i="5"/>
  <c r="AK143" i="5"/>
  <c r="AK74" i="5"/>
  <c r="AK75" i="5" s="1"/>
  <c r="AK83" i="5"/>
  <c r="BU183" i="5"/>
  <c r="AZ74" i="5"/>
  <c r="AZ75" i="5" s="1"/>
  <c r="AZ83" i="5"/>
  <c r="AZ126" i="5" s="1"/>
  <c r="AJ291" i="5"/>
  <c r="AJ199" i="5"/>
  <c r="AJ193" i="5"/>
  <c r="AX447" i="5"/>
  <c r="AX448" i="5" s="1"/>
  <c r="AX438" i="5"/>
  <c r="AX440" i="5" s="1"/>
  <c r="AX441" i="5" s="1"/>
  <c r="AX442" i="5" s="1"/>
  <c r="CV462" i="5"/>
  <c r="CN348" i="18" s="1"/>
  <c r="AN385" i="5"/>
  <c r="AT348" i="5"/>
  <c r="CQ716" i="5"/>
  <c r="AT84" i="5"/>
  <c r="AT95" i="5"/>
  <c r="AQ146" i="5"/>
  <c r="AQ156" i="5" s="1"/>
  <c r="AQ157" i="5" s="1"/>
  <c r="AQ135" i="5"/>
  <c r="AI112" i="18" s="1"/>
  <c r="AM143" i="5"/>
  <c r="AM129" i="5"/>
  <c r="AT393" i="5"/>
  <c r="AQ95" i="5"/>
  <c r="AQ84" i="5"/>
  <c r="AQ85" i="5" s="1"/>
  <c r="AQ126" i="5"/>
  <c r="BD519" i="5"/>
  <c r="AR93" i="5"/>
  <c r="AR92" i="5"/>
  <c r="AR91" i="5"/>
  <c r="AR90" i="5"/>
  <c r="AR88" i="5"/>
  <c r="AL92" i="5"/>
  <c r="AL91" i="5"/>
  <c r="AL90" i="5"/>
  <c r="AL88" i="5"/>
  <c r="AL89" i="5" s="1"/>
  <c r="CN111" i="5"/>
  <c r="CF92" i="18" s="1"/>
  <c r="CS428" i="5"/>
  <c r="CK1036" i="18" s="1"/>
  <c r="CS437" i="5"/>
  <c r="CK1041" i="18" s="1"/>
  <c r="AT272" i="5"/>
  <c r="CS73" i="5"/>
  <c r="CK60" i="18" s="1"/>
  <c r="CS79" i="5"/>
  <c r="CK70" i="18" s="1"/>
  <c r="CS258" i="5"/>
  <c r="CS260" i="5" s="1"/>
  <c r="CS40" i="5"/>
  <c r="CK33" i="18" s="1"/>
  <c r="CS43" i="5"/>
  <c r="CK35" i="18" s="1"/>
  <c r="CS49" i="5"/>
  <c r="CK37" i="18" s="1"/>
  <c r="CS55" i="5"/>
  <c r="CK42" i="18" s="1"/>
  <c r="CS518" i="5"/>
  <c r="CK372" i="18" s="1"/>
  <c r="BN384" i="5"/>
  <c r="BF1276" i="18" s="1"/>
  <c r="F924" i="18"/>
  <c r="CA468" i="5" l="1"/>
  <c r="BS354" i="18" s="1"/>
  <c r="BS353" i="18"/>
  <c r="BU416" i="5"/>
  <c r="BM309" i="18" s="1"/>
  <c r="BM308" i="18"/>
  <c r="N14" i="19"/>
  <c r="BR42" i="18"/>
  <c r="CT388" i="5"/>
  <c r="CL1280" i="18" s="1"/>
  <c r="CL1279" i="18"/>
  <c r="BR184" i="5"/>
  <c r="BJ150" i="18" s="1"/>
  <c r="BJ149" i="18"/>
  <c r="BZ385" i="5"/>
  <c r="BR1277" i="18" s="1"/>
  <c r="BQ1275" i="18"/>
  <c r="CR25" i="5"/>
  <c r="CJ17" i="18" s="1"/>
  <c r="CJ16" i="18"/>
  <c r="J14" i="19"/>
  <c r="BO42" i="18"/>
  <c r="BW394" i="5"/>
  <c r="BO1282" i="18"/>
  <c r="BO1260" i="18"/>
  <c r="BO304" i="18"/>
  <c r="BE1290" i="18"/>
  <c r="BE1261" i="18"/>
  <c r="BT75" i="5"/>
  <c r="BL61" i="18"/>
  <c r="BJ460" i="5"/>
  <c r="BB347" i="18" s="1"/>
  <c r="BB346" i="18"/>
  <c r="CE538" i="5"/>
  <c r="BW387" i="18" s="1"/>
  <c r="BW55" i="18"/>
  <c r="CR480" i="5"/>
  <c r="CJ367" i="18" s="1"/>
  <c r="CJ366" i="18"/>
  <c r="BG454" i="5"/>
  <c r="AY341" i="18" s="1"/>
  <c r="AY340" i="18"/>
  <c r="BG333" i="5"/>
  <c r="AY289" i="18" s="1"/>
  <c r="AY288" i="18"/>
  <c r="CQ380" i="5"/>
  <c r="CI1272" i="18" s="1"/>
  <c r="CI1271" i="18"/>
  <c r="BC1246" i="18"/>
  <c r="BC569" i="18"/>
  <c r="BB1246" i="18"/>
  <c r="BB569" i="18"/>
  <c r="CX10" i="16"/>
  <c r="CQ1207" i="18" s="1"/>
  <c r="CQ1206" i="18"/>
  <c r="BK1282" i="18"/>
  <c r="BK1260" i="18"/>
  <c r="BK304" i="18"/>
  <c r="CR10" i="16"/>
  <c r="CK1207" i="18" s="1"/>
  <c r="CK1206" i="18"/>
  <c r="BU184" i="5"/>
  <c r="BM150" i="18" s="1"/>
  <c r="BM149" i="18"/>
  <c r="CS301" i="5"/>
  <c r="CK259" i="18" s="1"/>
  <c r="CK258" i="18"/>
  <c r="CQ384" i="5"/>
  <c r="CI1276" i="18" s="1"/>
  <c r="CI1275" i="18"/>
  <c r="AW1281" i="18"/>
  <c r="AW1259" i="18"/>
  <c r="BC184" i="5"/>
  <c r="AU150" i="18" s="1"/>
  <c r="AU149" i="18"/>
  <c r="BE81" i="5"/>
  <c r="AW72" i="18" s="1"/>
  <c r="AW71" i="18"/>
  <c r="BO490" i="5"/>
  <c r="BG381" i="18"/>
  <c r="BQ332" i="5"/>
  <c r="CN32" i="18"/>
  <c r="BQ338" i="5"/>
  <c r="BI294" i="18" s="1"/>
  <c r="BI293" i="18"/>
  <c r="CB416" i="5"/>
  <c r="BT309" i="18" s="1"/>
  <c r="BT308" i="18"/>
  <c r="BZ454" i="5"/>
  <c r="BR341" i="18" s="1"/>
  <c r="BR340" i="18"/>
  <c r="BZ460" i="5"/>
  <c r="BR347" i="18" s="1"/>
  <c r="BR346" i="18"/>
  <c r="CT348" i="5"/>
  <c r="CL299" i="18" s="1"/>
  <c r="CL297" i="18"/>
  <c r="CT355" i="5"/>
  <c r="CL302" i="18"/>
  <c r="CT25" i="5"/>
  <c r="CL17" i="18" s="1"/>
  <c r="CL16" i="18"/>
  <c r="BR190" i="5"/>
  <c r="BJ156" i="18" s="1"/>
  <c r="BJ155" i="18"/>
  <c r="BX81" i="5"/>
  <c r="BP72" i="18" s="1"/>
  <c r="BP71" i="18"/>
  <c r="BN480" i="5"/>
  <c r="BF367" i="18" s="1"/>
  <c r="BB366" i="18"/>
  <c r="BC124" i="5"/>
  <c r="AU106" i="18" s="1"/>
  <c r="BC33" i="5"/>
  <c r="AU25" i="18" s="1"/>
  <c r="AU24" i="18"/>
  <c r="BQ490" i="5"/>
  <c r="BI381" i="18"/>
  <c r="BR474" i="5"/>
  <c r="BJ360" i="18" s="1"/>
  <c r="BJ359" i="18"/>
  <c r="BF1262" i="18"/>
  <c r="BF1291" i="18"/>
  <c r="BI480" i="5"/>
  <c r="BA367" i="18" s="1"/>
  <c r="BA366" i="18"/>
  <c r="BE75" i="5"/>
  <c r="AW61" i="18"/>
  <c r="BI190" i="5"/>
  <c r="BA156" i="18" s="1"/>
  <c r="BA155" i="18"/>
  <c r="BE191" i="5"/>
  <c r="AW157" i="18" s="1"/>
  <c r="AW156" i="18"/>
  <c r="BL75" i="5"/>
  <c r="BD61" i="18"/>
  <c r="BB474" i="5"/>
  <c r="AT360" i="18" s="1"/>
  <c r="AT359" i="18"/>
  <c r="BB454" i="5"/>
  <c r="AT341" i="18" s="1"/>
  <c r="AT340" i="18"/>
  <c r="BB41" i="5"/>
  <c r="AT34" i="18" s="1"/>
  <c r="AT33" i="18"/>
  <c r="CR523" i="5"/>
  <c r="CJ561" i="18"/>
  <c r="BL191" i="5"/>
  <c r="BD157" i="18" s="1"/>
  <c r="BD156" i="18"/>
  <c r="BK338" i="5"/>
  <c r="BC294" i="18" s="1"/>
  <c r="BC293" i="18"/>
  <c r="CU523" i="5"/>
  <c r="CM561" i="18"/>
  <c r="CQ364" i="18"/>
  <c r="CY14" i="16"/>
  <c r="CR1213" i="18" s="1"/>
  <c r="BH384" i="5"/>
  <c r="AZ1276" i="18" s="1"/>
  <c r="AV1275" i="18"/>
  <c r="CR53" i="5"/>
  <c r="CJ40" i="18" s="1"/>
  <c r="CJ39" i="18"/>
  <c r="BV523" i="5"/>
  <c r="BN561" i="18"/>
  <c r="H15" i="19"/>
  <c r="BM75" i="18"/>
  <c r="BY454" i="5"/>
  <c r="BQ341" i="18" s="1"/>
  <c r="BQ340" i="18"/>
  <c r="CC170" i="5"/>
  <c r="BU136" i="18" s="1"/>
  <c r="BU134" i="18"/>
  <c r="BF1282" i="18"/>
  <c r="BF1260" i="18"/>
  <c r="BF304" i="18"/>
  <c r="BS1291" i="18"/>
  <c r="BS1262" i="18"/>
  <c r="BC454" i="5"/>
  <c r="AU341" i="18" s="1"/>
  <c r="AU340" i="18"/>
  <c r="BC460" i="5"/>
  <c r="AU347" i="18" s="1"/>
  <c r="AU346" i="18"/>
  <c r="BQ252" i="5"/>
  <c r="BI217" i="18" s="1"/>
  <c r="BX349" i="5"/>
  <c r="BP298" i="18" s="1"/>
  <c r="BO297" i="18"/>
  <c r="BW474" i="5"/>
  <c r="BO360" i="18" s="1"/>
  <c r="BO359" i="18"/>
  <c r="BW523" i="5"/>
  <c r="BO561" i="18"/>
  <c r="BI301" i="5"/>
  <c r="BA259" i="18" s="1"/>
  <c r="BA258" i="18"/>
  <c r="BR395" i="5"/>
  <c r="BI1281" i="18"/>
  <c r="BI1259" i="18"/>
  <c r="BY480" i="5"/>
  <c r="BQ367" i="18" s="1"/>
  <c r="BQ366" i="18"/>
  <c r="CY65" i="5"/>
  <c r="CQ53" i="18" s="1"/>
  <c r="BU53" i="18"/>
  <c r="BA301" i="5"/>
  <c r="AS259" i="18" s="1"/>
  <c r="AS258" i="18"/>
  <c r="BB279" i="5"/>
  <c r="AT235" i="18" s="1"/>
  <c r="AT234" i="18"/>
  <c r="BI454" i="5"/>
  <c r="BA341" i="18" s="1"/>
  <c r="BA340" i="18"/>
  <c r="BF394" i="5"/>
  <c r="AX1282" i="18"/>
  <c r="AX1260" i="18"/>
  <c r="AX304" i="18"/>
  <c r="BS1282" i="18"/>
  <c r="BS1260" i="18"/>
  <c r="BS304" i="18"/>
  <c r="BS454" i="5"/>
  <c r="BK341" i="18" s="1"/>
  <c r="BK340" i="18"/>
  <c r="BT349" i="5"/>
  <c r="BL298" i="18" s="1"/>
  <c r="BK297" i="18"/>
  <c r="BB33" i="5"/>
  <c r="AT25" i="18" s="1"/>
  <c r="AT24" i="18"/>
  <c r="BQ190" i="5"/>
  <c r="BI156" i="18" s="1"/>
  <c r="BI155" i="18"/>
  <c r="BJ523" i="5"/>
  <c r="BB561" i="18"/>
  <c r="BI56" i="5"/>
  <c r="BA43" i="18" s="1"/>
  <c r="BA42" i="18"/>
  <c r="BA416" i="5"/>
  <c r="AS309" i="18" s="1"/>
  <c r="AS308" i="18"/>
  <c r="BB124" i="5"/>
  <c r="AT106" i="18" s="1"/>
  <c r="BE490" i="5"/>
  <c r="AW382" i="18" s="1"/>
  <c r="AW381" i="18"/>
  <c r="BE333" i="5"/>
  <c r="AW289" i="18" s="1"/>
  <c r="AW288" i="18"/>
  <c r="BF333" i="5"/>
  <c r="AX289" i="18" s="1"/>
  <c r="AX288" i="18"/>
  <c r="BG519" i="5"/>
  <c r="AY372" i="18"/>
  <c r="BA1281" i="18"/>
  <c r="BA1259" i="18"/>
  <c r="BX129" i="5"/>
  <c r="BP109" i="18" s="1"/>
  <c r="CX487" i="5"/>
  <c r="CP379" i="18" s="1"/>
  <c r="BG1246" i="18"/>
  <c r="BG569" i="18"/>
  <c r="AX1302" i="18"/>
  <c r="AX728" i="18"/>
  <c r="AV1302" i="18"/>
  <c r="AV728" i="18"/>
  <c r="CB262" i="5"/>
  <c r="BQ254" i="5"/>
  <c r="BH1246" i="18"/>
  <c r="BH569" i="18"/>
  <c r="BE1302" i="18"/>
  <c r="BE728" i="18"/>
  <c r="BP126" i="6"/>
  <c r="BH695" i="18" s="1"/>
  <c r="BH694" i="18"/>
  <c r="AY1302" i="18"/>
  <c r="AY728" i="18"/>
  <c r="CR380" i="5"/>
  <c r="CJ1272" i="18" s="1"/>
  <c r="CJ1271" i="18"/>
  <c r="BB394" i="5"/>
  <c r="AT1282" i="18"/>
  <c r="AT1260" i="18"/>
  <c r="AT304" i="18"/>
  <c r="J31" i="19"/>
  <c r="M925" i="18" s="1"/>
  <c r="M905" i="18"/>
  <c r="AT1262" i="18"/>
  <c r="AT1291" i="18"/>
  <c r="CU10" i="16"/>
  <c r="CN1207" i="18" s="1"/>
  <c r="CN1206" i="18"/>
  <c r="N31" i="19"/>
  <c r="Q925" i="18" s="1"/>
  <c r="Q905" i="18"/>
  <c r="AU1291" i="18"/>
  <c r="AU1262" i="18"/>
  <c r="BB1291" i="18"/>
  <c r="BB1262" i="18"/>
  <c r="CX77" i="5"/>
  <c r="CP63" i="18" s="1"/>
  <c r="BS63" i="18"/>
  <c r="BS480" i="5"/>
  <c r="BK367" i="18" s="1"/>
  <c r="BK366" i="18"/>
  <c r="N40" i="19"/>
  <c r="Q935" i="18" s="1"/>
  <c r="Y30" i="19"/>
  <c r="T904" i="18"/>
  <c r="CV12" i="26"/>
  <c r="CL575" i="18"/>
  <c r="CT15" i="6"/>
  <c r="BC490" i="5"/>
  <c r="AU382" i="18" s="1"/>
  <c r="AU381" i="18"/>
  <c r="BT191" i="5"/>
  <c r="BL157" i="18" s="1"/>
  <c r="BL156" i="18"/>
  <c r="P32" i="19"/>
  <c r="S926" i="18" s="1"/>
  <c r="S906" i="18"/>
  <c r="CQ405" i="5"/>
  <c r="CI1261" i="18"/>
  <c r="CI1290" i="18"/>
  <c r="BU389" i="5"/>
  <c r="BM1280" i="18"/>
  <c r="CF523" i="5"/>
  <c r="BX561" i="18"/>
  <c r="CT454" i="5"/>
  <c r="CL341" i="18" s="1"/>
  <c r="CL340" i="18"/>
  <c r="BB56" i="5"/>
  <c r="AT43" i="18" s="1"/>
  <c r="AT42" i="18"/>
  <c r="CQ50" i="5"/>
  <c r="CI38" i="18" s="1"/>
  <c r="CI37" i="18"/>
  <c r="BK474" i="5"/>
  <c r="BC360" i="18" s="1"/>
  <c r="BC359" i="18"/>
  <c r="BD405" i="5"/>
  <c r="AV1290" i="18"/>
  <c r="AV1261" i="18"/>
  <c r="CW59" i="5"/>
  <c r="CO45" i="18" s="1"/>
  <c r="CO44" i="18"/>
  <c r="F15" i="19"/>
  <c r="BL75" i="18"/>
  <c r="BC468" i="5"/>
  <c r="AU354" i="18" s="1"/>
  <c r="AU353" i="18"/>
  <c r="BV394" i="5"/>
  <c r="BN1282" i="18"/>
  <c r="BN1260" i="18"/>
  <c r="BN304" i="18"/>
  <c r="BW460" i="5"/>
  <c r="BO347" i="18" s="1"/>
  <c r="BO346" i="18"/>
  <c r="BS184" i="5"/>
  <c r="BK150" i="18" s="1"/>
  <c r="BK149" i="18"/>
  <c r="BE1281" i="18"/>
  <c r="BE1259" i="18"/>
  <c r="CF538" i="5"/>
  <c r="BX387" i="18" s="1"/>
  <c r="BX55" i="18"/>
  <c r="BB190" i="5"/>
  <c r="AT156" i="18" s="1"/>
  <c r="AT155" i="18"/>
  <c r="BS50" i="5"/>
  <c r="BK38" i="18" s="1"/>
  <c r="BK37" i="18"/>
  <c r="AX1291" i="18"/>
  <c r="AX1262" i="18"/>
  <c r="BQ184" i="5"/>
  <c r="BI150" i="18" s="1"/>
  <c r="BI149" i="18"/>
  <c r="BI50" i="5"/>
  <c r="BA38" i="18" s="1"/>
  <c r="BA37" i="18"/>
  <c r="BF126" i="6"/>
  <c r="AX695" i="18" s="1"/>
  <c r="AX694" i="18"/>
  <c r="AZ1246" i="18"/>
  <c r="AZ569" i="18"/>
  <c r="BG108" i="6"/>
  <c r="AY661" i="18" s="1"/>
  <c r="AU654" i="18"/>
  <c r="BI252" i="5"/>
  <c r="BA217" i="18" s="1"/>
  <c r="BA216" i="18"/>
  <c r="BQ574" i="18"/>
  <c r="BY42" i="7"/>
  <c r="CB42" i="6"/>
  <c r="BP574" i="18"/>
  <c r="BX42" i="7"/>
  <c r="CW10" i="16"/>
  <c r="CP1207" i="18" s="1"/>
  <c r="CP1206" i="18"/>
  <c r="AT273" i="5"/>
  <c r="AL229" i="18" s="1"/>
  <c r="AL228" i="18"/>
  <c r="BV389" i="5"/>
  <c r="BN1280" i="18"/>
  <c r="CA454" i="5"/>
  <c r="BS341" i="18" s="1"/>
  <c r="BS340" i="18"/>
  <c r="O14" i="19"/>
  <c r="BS42" i="18"/>
  <c r="CQ393" i="5"/>
  <c r="CI1281" i="18"/>
  <c r="CI1259" i="18"/>
  <c r="BJ184" i="5"/>
  <c r="BB150" i="18" s="1"/>
  <c r="BB149" i="18"/>
  <c r="BI460" i="5"/>
  <c r="BA347" i="18" s="1"/>
  <c r="BA346" i="18"/>
  <c r="BZ389" i="5"/>
  <c r="BQ50" i="5"/>
  <c r="BI38" i="18" s="1"/>
  <c r="BI37" i="18"/>
  <c r="BQ124" i="5"/>
  <c r="BI106" i="18" s="1"/>
  <c r="BI70" i="18"/>
  <c r="BZ338" i="5"/>
  <c r="BR294" i="18" s="1"/>
  <c r="BR293" i="18"/>
  <c r="CD347" i="5"/>
  <c r="BV297" i="18" s="1"/>
  <c r="BR297" i="18"/>
  <c r="CT380" i="5"/>
  <c r="CL1272" i="18" s="1"/>
  <c r="CL1271" i="18"/>
  <c r="CT401" i="5"/>
  <c r="CL1287" i="18" s="1"/>
  <c r="CL1286" i="18"/>
  <c r="BU41" i="5"/>
  <c r="BM34" i="18" s="1"/>
  <c r="BQ389" i="5"/>
  <c r="BI1280" i="18"/>
  <c r="BW332" i="5"/>
  <c r="BO288" i="18" s="1"/>
  <c r="X13" i="19"/>
  <c r="CO32" i="18"/>
  <c r="BO544" i="5"/>
  <c r="BG393" i="18" s="1"/>
  <c r="BC392" i="18"/>
  <c r="BQ1290" i="18"/>
  <c r="BQ1261" i="18"/>
  <c r="BR468" i="5"/>
  <c r="BJ354" i="18" s="1"/>
  <c r="BJ353" i="18"/>
  <c r="D14" i="19"/>
  <c r="BJ42" i="18"/>
  <c r="CR168" i="5"/>
  <c r="CJ134" i="18" s="1"/>
  <c r="AV134" i="18"/>
  <c r="BE126" i="5"/>
  <c r="AW1331" i="18" s="1"/>
  <c r="AW73" i="18"/>
  <c r="BO332" i="5"/>
  <c r="CM32" i="18"/>
  <c r="BX75" i="5"/>
  <c r="BP61" i="18"/>
  <c r="BB460" i="5"/>
  <c r="AT347" i="18" s="1"/>
  <c r="AT346" i="18"/>
  <c r="BB519" i="5"/>
  <c r="AT372" i="18"/>
  <c r="BD81" i="5"/>
  <c r="AV72" i="18" s="1"/>
  <c r="AV71" i="18"/>
  <c r="BI490" i="5"/>
  <c r="BA382" i="18" s="1"/>
  <c r="BA381" i="18"/>
  <c r="BK460" i="5"/>
  <c r="BC347" i="18" s="1"/>
  <c r="BC346" i="18"/>
  <c r="BK124" i="5"/>
  <c r="BC106" i="18" s="1"/>
  <c r="BC70" i="18"/>
  <c r="BK333" i="5"/>
  <c r="BC289" i="18" s="1"/>
  <c r="BC288" i="18"/>
  <c r="BK523" i="5"/>
  <c r="BC561" i="18"/>
  <c r="BT1281" i="18"/>
  <c r="BT1259" i="18"/>
  <c r="BL1291" i="18"/>
  <c r="BL1262" i="18"/>
  <c r="AV1281" i="18"/>
  <c r="AV1259" i="18"/>
  <c r="BY416" i="5"/>
  <c r="BQ309" i="18" s="1"/>
  <c r="BQ308" i="18"/>
  <c r="CR59" i="5"/>
  <c r="CJ45" i="18" s="1"/>
  <c r="CJ44" i="18"/>
  <c r="BV332" i="5"/>
  <c r="BN288" i="18" s="1"/>
  <c r="CX53" i="5"/>
  <c r="CP40" i="18" s="1"/>
  <c r="CP39" i="18"/>
  <c r="Y13" i="19"/>
  <c r="CP32" i="18"/>
  <c r="BA490" i="5"/>
  <c r="AS382" i="18" s="1"/>
  <c r="AS381" i="18"/>
  <c r="CZ455" i="5"/>
  <c r="CQ342" i="18"/>
  <c r="BC338" i="5"/>
  <c r="AU294" i="18" s="1"/>
  <c r="AU293" i="18"/>
  <c r="BC480" i="5"/>
  <c r="AU367" i="18" s="1"/>
  <c r="AU366" i="18"/>
  <c r="BC44" i="5"/>
  <c r="AU36" i="18" s="1"/>
  <c r="BW468" i="5"/>
  <c r="BO354" i="18" s="1"/>
  <c r="BO353" i="18"/>
  <c r="BO190" i="5"/>
  <c r="BG156" i="18" s="1"/>
  <c r="BG155" i="18"/>
  <c r="BI338" i="5"/>
  <c r="BA294" i="18" s="1"/>
  <c r="BA293" i="18"/>
  <c r="BW490" i="5"/>
  <c r="BO382" i="18" s="1"/>
  <c r="BO381" i="18"/>
  <c r="BB184" i="5"/>
  <c r="AT150" i="18" s="1"/>
  <c r="AT149" i="18"/>
  <c r="BL31" i="5"/>
  <c r="BD23" i="18" s="1"/>
  <c r="BD28" i="18"/>
  <c r="BO394" i="5"/>
  <c r="BG1282" i="18"/>
  <c r="BG1260" i="18"/>
  <c r="BG304" i="18"/>
  <c r="BL405" i="5"/>
  <c r="BD1290" i="18"/>
  <c r="BD1261" i="18"/>
  <c r="CT59" i="5"/>
  <c r="CL45" i="18" s="1"/>
  <c r="CL44" i="18"/>
  <c r="BJ474" i="5"/>
  <c r="BB360" i="18" s="1"/>
  <c r="BB359" i="18"/>
  <c r="BJ333" i="5"/>
  <c r="BB289" i="18" s="1"/>
  <c r="BB288" i="18"/>
  <c r="BI523" i="5"/>
  <c r="BA561" i="18"/>
  <c r="BN454" i="5"/>
  <c r="BF341" i="18" s="1"/>
  <c r="BF340" i="18"/>
  <c r="AZ1281" i="18"/>
  <c r="AZ1259" i="18"/>
  <c r="BF338" i="5"/>
  <c r="AX294" i="18" s="1"/>
  <c r="AX293" i="18"/>
  <c r="BJ437" i="5"/>
  <c r="BB1041" i="18" s="1"/>
  <c r="BB270" i="18"/>
  <c r="AZ191" i="5"/>
  <c r="AR157" i="18" s="1"/>
  <c r="AR156" i="18"/>
  <c r="BK184" i="5"/>
  <c r="BC150" i="18" s="1"/>
  <c r="BC149" i="18"/>
  <c r="BG468" i="5"/>
  <c r="AY354" i="18" s="1"/>
  <c r="AY353" i="18"/>
  <c r="BR389" i="5"/>
  <c r="BJ1280" i="18"/>
  <c r="BI363" i="5"/>
  <c r="BI474" i="5"/>
  <c r="BA360" i="18" s="1"/>
  <c r="BA359" i="18"/>
  <c r="BM531" i="5"/>
  <c r="BX143" i="5"/>
  <c r="BP117" i="18" s="1"/>
  <c r="BA369" i="6"/>
  <c r="AS608" i="18" s="1"/>
  <c r="AS607" i="18"/>
  <c r="BG1291" i="18"/>
  <c r="BG1262" i="18"/>
  <c r="BB367" i="6"/>
  <c r="AT606" i="18" s="1"/>
  <c r="AT605" i="18"/>
  <c r="BF108" i="6"/>
  <c r="AX661" i="18" s="1"/>
  <c r="AT654" i="18"/>
  <c r="BW42" i="6"/>
  <c r="BK1246" i="18"/>
  <c r="BK569" i="18"/>
  <c r="BC1291" i="18"/>
  <c r="BC1262" i="18"/>
  <c r="BI178" i="6"/>
  <c r="AW1303" i="18"/>
  <c r="AW729" i="18"/>
  <c r="AT1246" i="18"/>
  <c r="AT569" i="18"/>
  <c r="CN1290" i="18"/>
  <c r="CN1261" i="18"/>
  <c r="CQ388" i="5"/>
  <c r="CI1280" i="18" s="1"/>
  <c r="CI1279" i="18"/>
  <c r="M31" i="19"/>
  <c r="P925" i="18" s="1"/>
  <c r="P905" i="18"/>
  <c r="F32" i="19"/>
  <c r="F926" i="18" s="1"/>
  <c r="F906" i="18"/>
  <c r="BZ480" i="5"/>
  <c r="BR367" i="18" s="1"/>
  <c r="BR366" i="18"/>
  <c r="H32" i="19"/>
  <c r="K926" i="18" s="1"/>
  <c r="K906" i="18"/>
  <c r="BA1303" i="18"/>
  <c r="BA729" i="18"/>
  <c r="BP492" i="5"/>
  <c r="BP493" i="5" s="1"/>
  <c r="BH382" i="18"/>
  <c r="BP1291" i="18"/>
  <c r="BP1262" i="18"/>
  <c r="CL1206" i="18"/>
  <c r="CS10" i="16"/>
  <c r="CL1207" i="18" s="1"/>
  <c r="CV12" i="27"/>
  <c r="CT12" i="27"/>
  <c r="CR15" i="6"/>
  <c r="CJ575" i="18"/>
  <c r="CE347" i="5"/>
  <c r="BW297" i="18" s="1"/>
  <c r="BS297" i="18"/>
  <c r="AW1290" i="18"/>
  <c r="AW1261" i="18"/>
  <c r="BZ468" i="5"/>
  <c r="BR354" i="18" s="1"/>
  <c r="BR353" i="18"/>
  <c r="BB468" i="5"/>
  <c r="AT354" i="18" s="1"/>
  <c r="AT353" i="18"/>
  <c r="BB50" i="5"/>
  <c r="AT38" i="18" s="1"/>
  <c r="AT37" i="18"/>
  <c r="BV395" i="5"/>
  <c r="BM1281" i="18"/>
  <c r="BM1259" i="18"/>
  <c r="CB405" i="5"/>
  <c r="BT1290" i="18"/>
  <c r="BT1261" i="18"/>
  <c r="BJ394" i="5"/>
  <c r="BB1282" i="18"/>
  <c r="BB1260" i="18"/>
  <c r="BB304" i="18"/>
  <c r="BA405" i="5"/>
  <c r="AS1290" i="18"/>
  <c r="AS1261" i="18"/>
  <c r="CR338" i="5"/>
  <c r="CJ294" i="18" s="1"/>
  <c r="CJ293" i="18"/>
  <c r="BC474" i="5"/>
  <c r="AU360" i="18" s="1"/>
  <c r="AU359" i="18"/>
  <c r="BC41" i="5"/>
  <c r="AU34" i="18" s="1"/>
  <c r="AU33" i="18"/>
  <c r="BI33" i="5"/>
  <c r="BA25" i="18" s="1"/>
  <c r="BA24" i="18"/>
  <c r="BJ490" i="5"/>
  <c r="BB382" i="18" s="1"/>
  <c r="BB381" i="18"/>
  <c r="CS489" i="5"/>
  <c r="CK381" i="18" s="1"/>
  <c r="CK378" i="18"/>
  <c r="BS468" i="5"/>
  <c r="BK354" i="18" s="1"/>
  <c r="BK353" i="18"/>
  <c r="BD1281" i="18"/>
  <c r="BD1259" i="18"/>
  <c r="BR480" i="5"/>
  <c r="BJ367" i="18" s="1"/>
  <c r="BJ366" i="18"/>
  <c r="BN338" i="5"/>
  <c r="BF294" i="18" s="1"/>
  <c r="BF293" i="18"/>
  <c r="BN333" i="5"/>
  <c r="BF289" i="18" s="1"/>
  <c r="BF288" i="18"/>
  <c r="BO338" i="5"/>
  <c r="BG294" i="18" s="1"/>
  <c r="BG293" i="18"/>
  <c r="CE539" i="5"/>
  <c r="BW388" i="18" s="1"/>
  <c r="BW85" i="18"/>
  <c r="CW168" i="5"/>
  <c r="CO134" i="18" s="1"/>
  <c r="BM134" i="18"/>
  <c r="BR490" i="5"/>
  <c r="BD1303" i="18"/>
  <c r="BD729" i="18"/>
  <c r="BP120" i="6"/>
  <c r="BH684" i="18" s="1"/>
  <c r="BH661" i="18"/>
  <c r="O31" i="19"/>
  <c r="R925" i="18" s="1"/>
  <c r="R905" i="18"/>
  <c r="K32" i="19"/>
  <c r="N926" i="18" s="1"/>
  <c r="N906" i="18"/>
  <c r="BL1282" i="18"/>
  <c r="BL1260" i="18"/>
  <c r="BL304" i="18"/>
  <c r="BR1282" i="18"/>
  <c r="BR1260" i="18"/>
  <c r="BR304" i="18"/>
  <c r="CA460" i="5"/>
  <c r="BS347" i="18" s="1"/>
  <c r="BS346" i="18"/>
  <c r="CA124" i="5"/>
  <c r="BS106" i="18" s="1"/>
  <c r="BS70" i="18"/>
  <c r="BC394" i="5"/>
  <c r="AU1282" i="18"/>
  <c r="AU1260" i="18"/>
  <c r="AU304" i="18"/>
  <c r="BC190" i="5"/>
  <c r="AU155" i="18"/>
  <c r="BK1291" i="18"/>
  <c r="BK1262" i="18"/>
  <c r="C14" i="19"/>
  <c r="BI42" i="18"/>
  <c r="CU454" i="5"/>
  <c r="CM341" i="18" s="1"/>
  <c r="CM340" i="18"/>
  <c r="CV53" i="5"/>
  <c r="CN40" i="18" s="1"/>
  <c r="CM39" i="18"/>
  <c r="BY468" i="5"/>
  <c r="BQ354" i="18" s="1"/>
  <c r="BQ353" i="18"/>
  <c r="AW156" i="5"/>
  <c r="AO128" i="18" s="1"/>
  <c r="AO120" i="18"/>
  <c r="BQ1281" i="18"/>
  <c r="BQ1259" i="18"/>
  <c r="CT489" i="5"/>
  <c r="CL378" i="18"/>
  <c r="BR523" i="5"/>
  <c r="BJ561" i="18"/>
  <c r="BR460" i="5"/>
  <c r="BJ347" i="18" s="1"/>
  <c r="BJ346" i="18"/>
  <c r="BR50" i="5"/>
  <c r="BJ38" i="18" s="1"/>
  <c r="BJ37" i="18"/>
  <c r="BR338" i="5"/>
  <c r="BJ294" i="18" s="1"/>
  <c r="BJ293" i="18"/>
  <c r="BI184" i="5"/>
  <c r="BA150" i="18" s="1"/>
  <c r="BA149" i="18"/>
  <c r="BB338" i="5"/>
  <c r="AT294" i="18" s="1"/>
  <c r="AT293" i="18"/>
  <c r="BB480" i="5"/>
  <c r="AT367" i="18" s="1"/>
  <c r="AT366" i="18"/>
  <c r="BU405" i="5"/>
  <c r="BM1290" i="18"/>
  <c r="BM1261" i="18"/>
  <c r="BU531" i="5"/>
  <c r="BW480" i="5"/>
  <c r="BO367" i="18" s="1"/>
  <c r="BO366" i="18"/>
  <c r="BH1291" i="18"/>
  <c r="BH1262" i="18"/>
  <c r="BL416" i="5"/>
  <c r="BD309" i="18" s="1"/>
  <c r="BD308" i="18"/>
  <c r="BN363" i="5"/>
  <c r="BI416" i="5"/>
  <c r="BA309" i="18" s="1"/>
  <c r="BA308" i="18"/>
  <c r="AS1281" i="18"/>
  <c r="AS1259" i="18"/>
  <c r="BV454" i="5"/>
  <c r="BN341" i="18" s="1"/>
  <c r="BN340" i="18"/>
  <c r="I14" i="19"/>
  <c r="BN42" i="18"/>
  <c r="CE168" i="5"/>
  <c r="BW134" i="18" s="1"/>
  <c r="BS134" i="18"/>
  <c r="M14" i="19"/>
  <c r="BQ42" i="18"/>
  <c r="CW53" i="5"/>
  <c r="CO40" i="18" s="1"/>
  <c r="CO39" i="18"/>
  <c r="CU168" i="5"/>
  <c r="CM134" i="18" s="1"/>
  <c r="BE134" i="18"/>
  <c r="BT81" i="5"/>
  <c r="BL72" i="18" s="1"/>
  <c r="BL71" i="18"/>
  <c r="BC519" i="5"/>
  <c r="AU372" i="18"/>
  <c r="BC56" i="5"/>
  <c r="AU43" i="18" s="1"/>
  <c r="AU42" i="18"/>
  <c r="BC50" i="5"/>
  <c r="AU38" i="18" s="1"/>
  <c r="AU37" i="18"/>
  <c r="CD538" i="5"/>
  <c r="BV387" i="18" s="1"/>
  <c r="BV55" i="18"/>
  <c r="BI519" i="5"/>
  <c r="BA372" i="18"/>
  <c r="BW454" i="5"/>
  <c r="BO341" i="18" s="1"/>
  <c r="BO340" i="18"/>
  <c r="BL523" i="5"/>
  <c r="BD561" i="18"/>
  <c r="BY460" i="5"/>
  <c r="BQ347" i="18" s="1"/>
  <c r="BQ346" i="18"/>
  <c r="CW523" i="5"/>
  <c r="CO561" i="18"/>
  <c r="BJ1282" i="18"/>
  <c r="BJ1260" i="18"/>
  <c r="BJ304" i="18"/>
  <c r="BN385" i="5"/>
  <c r="BF1277" i="18" s="1"/>
  <c r="BE1275" i="18"/>
  <c r="BH191" i="5"/>
  <c r="AZ157" i="18" s="1"/>
  <c r="AV156" i="18"/>
  <c r="BD416" i="5"/>
  <c r="AV309" i="18" s="1"/>
  <c r="AV308" i="18"/>
  <c r="CX337" i="5"/>
  <c r="CP293" i="18" s="1"/>
  <c r="BA191" i="5"/>
  <c r="AS157" i="18" s="1"/>
  <c r="AS156" i="18"/>
  <c r="BM348" i="5"/>
  <c r="BE299" i="18" s="1"/>
  <c r="BU429" i="5"/>
  <c r="BA81" i="5"/>
  <c r="AS72" i="18" s="1"/>
  <c r="AS71" i="18"/>
  <c r="BS474" i="5"/>
  <c r="BK360" i="18" s="1"/>
  <c r="BK359" i="18"/>
  <c r="E14" i="19"/>
  <c r="BK42" i="18"/>
  <c r="BS363" i="5"/>
  <c r="BS523" i="5"/>
  <c r="BK561" i="18"/>
  <c r="BY338" i="5"/>
  <c r="BQ294" i="18" s="1"/>
  <c r="BQ293" i="18"/>
  <c r="BM184" i="5"/>
  <c r="BE150" i="18" s="1"/>
  <c r="BH416" i="5"/>
  <c r="AZ309" i="18" s="1"/>
  <c r="BH1281" i="18"/>
  <c r="BH1259" i="18"/>
  <c r="BP384" i="5"/>
  <c r="BH1276" i="18" s="1"/>
  <c r="BD1275" i="18"/>
  <c r="CT53" i="5"/>
  <c r="CL40" i="18" s="1"/>
  <c r="CL39" i="18"/>
  <c r="BJ468" i="5"/>
  <c r="BB354" i="18" s="1"/>
  <c r="BB353" i="18"/>
  <c r="BJ56" i="5"/>
  <c r="BB43" i="18" s="1"/>
  <c r="BB42" i="18"/>
  <c r="BI468" i="5"/>
  <c r="BA354" i="18" s="1"/>
  <c r="BA353" i="18"/>
  <c r="BI124" i="5"/>
  <c r="BA106" i="18" s="1"/>
  <c r="BA70" i="18"/>
  <c r="BN474" i="5"/>
  <c r="BF360" i="18" s="1"/>
  <c r="BF359" i="18"/>
  <c r="CR453" i="5"/>
  <c r="CJ340" i="18" s="1"/>
  <c r="CX467" i="5"/>
  <c r="CP353" i="18" s="1"/>
  <c r="BF480" i="5"/>
  <c r="AX367" i="18" s="1"/>
  <c r="AX366" i="18"/>
  <c r="BA75" i="5"/>
  <c r="AS61" i="18"/>
  <c r="AY1291" i="18"/>
  <c r="AY1262" i="18"/>
  <c r="BO460" i="5"/>
  <c r="BG347" i="18" s="1"/>
  <c r="BG346" i="18"/>
  <c r="BG56" i="5"/>
  <c r="AY43" i="18" s="1"/>
  <c r="AY42" i="18"/>
  <c r="BA1290" i="18"/>
  <c r="BA1261" i="18"/>
  <c r="CS338" i="5"/>
  <c r="CK294" i="18" s="1"/>
  <c r="CK293" i="18"/>
  <c r="CT168" i="5"/>
  <c r="CL134" i="18" s="1"/>
  <c r="BZ42" i="6"/>
  <c r="BN574" i="18"/>
  <c r="BV42" i="7"/>
  <c r="BV46" i="7" s="1"/>
  <c r="CR355" i="5"/>
  <c r="CJ302" i="18"/>
  <c r="AY1246" i="18"/>
  <c r="AY569" i="18"/>
  <c r="CS355" i="5"/>
  <c r="BC369" i="6"/>
  <c r="AU608" i="18" s="1"/>
  <c r="AU607" i="18"/>
  <c r="BM120" i="6"/>
  <c r="BE684" i="18" s="1"/>
  <c r="BE661" i="18"/>
  <c r="BH1302" i="18"/>
  <c r="BH728" i="18"/>
  <c r="AZ369" i="6"/>
  <c r="AR608" i="18" s="1"/>
  <c r="AR607" i="18"/>
  <c r="CU23" i="7"/>
  <c r="BM574" i="18"/>
  <c r="BU42" i="7"/>
  <c r="CC347" i="5"/>
  <c r="BU297" i="18" s="1"/>
  <c r="BQ297" i="18"/>
  <c r="CU12" i="26"/>
  <c r="BR1291" i="18"/>
  <c r="BR1262" i="18"/>
  <c r="D31" i="19"/>
  <c r="D925" i="18" s="1"/>
  <c r="D905" i="18"/>
  <c r="BG283" i="6"/>
  <c r="AU805" i="18"/>
  <c r="AY1282" i="18"/>
  <c r="AY1260" i="18"/>
  <c r="AY304" i="18"/>
  <c r="CV168" i="5"/>
  <c r="CN134" i="18" s="1"/>
  <c r="BK134" i="18"/>
  <c r="E31" i="19"/>
  <c r="E925" i="18" s="1"/>
  <c r="E905" i="18"/>
  <c r="C31" i="19"/>
  <c r="C925" i="18" s="1"/>
  <c r="C905" i="18"/>
  <c r="BN1291" i="18"/>
  <c r="BN1262" i="18"/>
  <c r="BO1291" i="18"/>
  <c r="BO1262" i="18"/>
  <c r="I40" i="19"/>
  <c r="X30" i="19"/>
  <c r="I904" i="18"/>
  <c r="CV10" i="16"/>
  <c r="CO1207" i="18" s="1"/>
  <c r="CO1206" i="18"/>
  <c r="AR1291" i="18"/>
  <c r="AR1262" i="18"/>
  <c r="I31" i="19"/>
  <c r="L925" i="18" s="1"/>
  <c r="L905" i="18"/>
  <c r="CT10" i="16"/>
  <c r="CM1207" i="18" s="1"/>
  <c r="CM1206" i="18"/>
  <c r="CJ392" i="18"/>
  <c r="CR549" i="5"/>
  <c r="CJ398" i="18" s="1"/>
  <c r="CR559" i="5"/>
  <c r="CJ405" i="18" s="1"/>
  <c r="CR544" i="5"/>
  <c r="CJ393" i="18" s="1"/>
  <c r="CZ174" i="5"/>
  <c r="CQ140" i="18"/>
  <c r="BV1310" i="18"/>
  <c r="BV732" i="18"/>
  <c r="BU733" i="18"/>
  <c r="BU1313" i="18"/>
  <c r="BU734" i="18"/>
  <c r="BU1311" i="18"/>
  <c r="BW1298" i="18"/>
  <c r="BW724" i="18"/>
  <c r="BW1300" i="18"/>
  <c r="BW726" i="18"/>
  <c r="BX1297" i="18"/>
  <c r="BX723" i="18"/>
  <c r="CX388" i="5"/>
  <c r="CP1280" i="18" s="1"/>
  <c r="CP1279" i="18"/>
  <c r="CX401" i="5"/>
  <c r="CP1287" i="18" s="1"/>
  <c r="CP1286" i="18"/>
  <c r="CX380" i="5"/>
  <c r="CP1272" i="18" s="1"/>
  <c r="CP1271" i="18"/>
  <c r="T915" i="18"/>
  <c r="R936" i="18"/>
  <c r="F925" i="18"/>
  <c r="F915" i="18"/>
  <c r="CW42" i="7"/>
  <c r="CW42" i="6"/>
  <c r="CW22" i="7"/>
  <c r="AP397" i="5"/>
  <c r="CU44" i="7"/>
  <c r="CU48" i="7"/>
  <c r="BZ22" i="7"/>
  <c r="BZ23" i="7" s="1"/>
  <c r="CU47" i="6"/>
  <c r="CU15" i="6"/>
  <c r="CM1244" i="18" s="1"/>
  <c r="CU44" i="6"/>
  <c r="CM576" i="18" s="1"/>
  <c r="AP422" i="5"/>
  <c r="AT359" i="5"/>
  <c r="AT357" i="5"/>
  <c r="AO397" i="5"/>
  <c r="AU407" i="5"/>
  <c r="AU365" i="5"/>
  <c r="AU366" i="5" s="1"/>
  <c r="AY365" i="5"/>
  <c r="AY366" i="5" s="1"/>
  <c r="AT343" i="5"/>
  <c r="AT341" i="5"/>
  <c r="AT364" i="5" s="1"/>
  <c r="CT44" i="7"/>
  <c r="CT48" i="7"/>
  <c r="CU57" i="7"/>
  <c r="AL343" i="5"/>
  <c r="AL341" i="5"/>
  <c r="AL364" i="5" s="1"/>
  <c r="AL365" i="5" s="1"/>
  <c r="AP366" i="5" s="1"/>
  <c r="AS398" i="5"/>
  <c r="CV42" i="7"/>
  <c r="CV42" i="6"/>
  <c r="CV43" i="6" s="1"/>
  <c r="CN575" i="18" s="1"/>
  <c r="CV22" i="7"/>
  <c r="CV23" i="7" s="1"/>
  <c r="AW366" i="5"/>
  <c r="AT463" i="5"/>
  <c r="AT464" i="5" s="1"/>
  <c r="AT420" i="5"/>
  <c r="AT423" i="5" s="1"/>
  <c r="CP47" i="6"/>
  <c r="CP15" i="6"/>
  <c r="CP44" i="6"/>
  <c r="AY407" i="5"/>
  <c r="AY408" i="5" s="1"/>
  <c r="AU397" i="5"/>
  <c r="AY398" i="5" s="1"/>
  <c r="BJ23" i="7"/>
  <c r="BN23" i="7"/>
  <c r="CX30" i="7"/>
  <c r="CX31" i="7" s="1"/>
  <c r="CB30" i="7"/>
  <c r="CB31" i="7" s="1"/>
  <c r="CB37" i="7"/>
  <c r="CF34" i="7"/>
  <c r="CO15" i="6"/>
  <c r="CO47" i="6"/>
  <c r="CQ44" i="6"/>
  <c r="CI576" i="18" s="1"/>
  <c r="CQ15" i="6"/>
  <c r="CI1244" i="18" s="1"/>
  <c r="CQ47" i="6"/>
  <c r="AU408" i="5"/>
  <c r="CU149" i="6"/>
  <c r="CU161" i="6"/>
  <c r="CP149" i="6"/>
  <c r="CP161" i="6"/>
  <c r="CP43" i="7"/>
  <c r="CP57" i="7"/>
  <c r="AV425" i="5"/>
  <c r="AY435" i="5"/>
  <c r="AV365" i="5"/>
  <c r="AQ397" i="5"/>
  <c r="CD37" i="7"/>
  <c r="BY46" i="7"/>
  <c r="BY22" i="7"/>
  <c r="CS47" i="6"/>
  <c r="CS15" i="6"/>
  <c r="CK1244" i="18" s="1"/>
  <c r="CS44" i="6"/>
  <c r="CK576" i="18" s="1"/>
  <c r="BX46" i="7"/>
  <c r="BX22" i="7"/>
  <c r="BX23" i="7" s="1"/>
  <c r="CO161" i="6"/>
  <c r="CO149" i="6"/>
  <c r="CO43" i="7"/>
  <c r="CO57" i="7"/>
  <c r="AR364" i="5"/>
  <c r="AV397" i="5" s="1"/>
  <c r="CQ161" i="6"/>
  <c r="CQ149" i="6"/>
  <c r="CQ43" i="7"/>
  <c r="CQ57" i="7"/>
  <c r="BU46" i="7"/>
  <c r="BU22" i="7"/>
  <c r="BU23" i="7" s="1"/>
  <c r="AW398" i="5"/>
  <c r="CS44" i="7"/>
  <c r="CS48" i="7"/>
  <c r="CS49" i="7" s="1"/>
  <c r="S5" i="7"/>
  <c r="T6" i="7"/>
  <c r="AL359" i="5"/>
  <c r="AL357" i="5"/>
  <c r="CC37" i="7"/>
  <c r="CS149" i="6"/>
  <c r="CS161" i="6"/>
  <c r="CX37" i="7"/>
  <c r="AS72" i="6"/>
  <c r="AS71" i="6"/>
  <c r="BG221" i="6"/>
  <c r="BG226" i="6"/>
  <c r="BG231" i="6" s="1"/>
  <c r="CT357" i="6"/>
  <c r="CT359" i="6"/>
  <c r="CL892" i="18" s="1"/>
  <c r="CP66" i="6"/>
  <c r="CP67" i="6"/>
  <c r="CP68" i="6" s="1"/>
  <c r="CP64" i="6"/>
  <c r="CP65" i="6" s="1"/>
  <c r="CS368" i="6"/>
  <c r="CK607" i="18" s="1"/>
  <c r="CS360" i="6"/>
  <c r="CK893" i="18" s="1"/>
  <c r="BF204" i="5"/>
  <c r="BF238" i="5"/>
  <c r="AX205" i="18" s="1"/>
  <c r="CS291" i="6"/>
  <c r="CS176" i="6"/>
  <c r="CS125" i="6"/>
  <c r="BH368" i="6"/>
  <c r="BH360" i="6"/>
  <c r="AZ893" i="18" s="1"/>
  <c r="DD152" i="6"/>
  <c r="DE151" i="6"/>
  <c r="DD140" i="6"/>
  <c r="DD141" i="6" s="1"/>
  <c r="CR224" i="6"/>
  <c r="CR229" i="6" s="1"/>
  <c r="CR219" i="6"/>
  <c r="BV261" i="5"/>
  <c r="BO261" i="5"/>
  <c r="BD143" i="6"/>
  <c r="AV703" i="18" s="1"/>
  <c r="BH139" i="6"/>
  <c r="BC31" i="6"/>
  <c r="BC267" i="5"/>
  <c r="BC239" i="5" s="1"/>
  <c r="BC32" i="6"/>
  <c r="AU587" i="18" s="1"/>
  <c r="BC30" i="6"/>
  <c r="BC25" i="6"/>
  <c r="AU579" i="18" s="1"/>
  <c r="BC56" i="6"/>
  <c r="AU618" i="18" s="1"/>
  <c r="BJ335" i="6"/>
  <c r="BB869" i="18" s="1"/>
  <c r="BN330" i="6"/>
  <c r="BF63" i="6"/>
  <c r="AX625" i="18" s="1"/>
  <c r="BF26" i="6"/>
  <c r="BF277" i="5"/>
  <c r="AX233" i="18" s="1"/>
  <c r="CO71" i="6"/>
  <c r="CO72" i="6"/>
  <c r="CU37" i="6"/>
  <c r="CU36" i="6"/>
  <c r="CU38" i="6"/>
  <c r="CM593" i="18" s="1"/>
  <c r="BO357" i="6"/>
  <c r="BO359" i="6"/>
  <c r="BG892" i="18" s="1"/>
  <c r="CS240" i="5"/>
  <c r="CS273" i="5" s="1"/>
  <c r="CS274" i="5" s="1"/>
  <c r="AW366" i="6"/>
  <c r="AW336" i="6"/>
  <c r="CC182" i="6"/>
  <c r="BU1307" i="18" s="1"/>
  <c r="CC183" i="6"/>
  <c r="BU1308" i="18" s="1"/>
  <c r="CY354" i="6"/>
  <c r="CQ888" i="18" s="1"/>
  <c r="CS267" i="6"/>
  <c r="CS261" i="6"/>
  <c r="BD366" i="6"/>
  <c r="AV605" i="18" s="1"/>
  <c r="AU72" i="6"/>
  <c r="AU71" i="6"/>
  <c r="BD32" i="6"/>
  <c r="AV587" i="18" s="1"/>
  <c r="BD31" i="6"/>
  <c r="BD267" i="5"/>
  <c r="BD239" i="5" s="1"/>
  <c r="BD56" i="6"/>
  <c r="AV618" i="18" s="1"/>
  <c r="BD30" i="6"/>
  <c r="BD25" i="6"/>
  <c r="AV579" i="18" s="1"/>
  <c r="CS147" i="6"/>
  <c r="BI139" i="6"/>
  <c r="BE143" i="6"/>
  <c r="AW703" i="18" s="1"/>
  <c r="CY347" i="6"/>
  <c r="CQ881" i="18" s="1"/>
  <c r="CZ346" i="6"/>
  <c r="CR880" i="18" s="1"/>
  <c r="BA26" i="6"/>
  <c r="BA277" i="5"/>
  <c r="AS233" i="18" s="1"/>
  <c r="BA63" i="6"/>
  <c r="AS625" i="18" s="1"/>
  <c r="BC143" i="6"/>
  <c r="AU703" i="18" s="1"/>
  <c r="BG139" i="6"/>
  <c r="AW408" i="5"/>
  <c r="CP416" i="5"/>
  <c r="CU380" i="5"/>
  <c r="CM1272" i="18" s="1"/>
  <c r="AN226" i="5"/>
  <c r="BR166" i="6"/>
  <c r="BJ716" i="18" s="1"/>
  <c r="BR155" i="6"/>
  <c r="BJ672" i="18" s="1"/>
  <c r="BD369" i="6"/>
  <c r="AV608" i="18" s="1"/>
  <c r="CU356" i="6"/>
  <c r="BM357" i="6"/>
  <c r="BM359" i="6"/>
  <c r="BE892" i="18" s="1"/>
  <c r="AY26" i="6"/>
  <c r="AY27" i="6" s="1"/>
  <c r="AY277" i="5"/>
  <c r="AY63" i="6"/>
  <c r="CQ25" i="6"/>
  <c r="CI579" i="18" s="1"/>
  <c r="CR316" i="6"/>
  <c r="CJ849" i="18" s="1"/>
  <c r="CR124" i="6"/>
  <c r="CJ693" i="18" s="1"/>
  <c r="CS107" i="6"/>
  <c r="CK660" i="18" s="1"/>
  <c r="CS113" i="6"/>
  <c r="CK666" i="18" s="1"/>
  <c r="CT247" i="6"/>
  <c r="CT235" i="6"/>
  <c r="CU234" i="6"/>
  <c r="CR368" i="6"/>
  <c r="CR360" i="6"/>
  <c r="CJ893" i="18" s="1"/>
  <c r="BE25" i="6"/>
  <c r="AW579" i="18" s="1"/>
  <c r="BE31" i="6"/>
  <c r="BE267" i="5"/>
  <c r="BE30" i="6"/>
  <c r="CS29" i="6"/>
  <c r="BE32" i="6"/>
  <c r="AW587" i="18" s="1"/>
  <c r="BE56" i="6"/>
  <c r="AW618" i="18" s="1"/>
  <c r="AZ238" i="5"/>
  <c r="AZ204" i="5"/>
  <c r="CR29" i="6"/>
  <c r="BQ125" i="6"/>
  <c r="BI694" i="18" s="1"/>
  <c r="BQ176" i="6"/>
  <c r="BQ114" i="6"/>
  <c r="BI667" i="18" s="1"/>
  <c r="BQ108" i="6"/>
  <c r="Q5" i="6"/>
  <c r="R6" i="6"/>
  <c r="BR357" i="6"/>
  <c r="BR359" i="6"/>
  <c r="BJ892" i="18" s="1"/>
  <c r="AW332" i="6"/>
  <c r="BA333" i="6"/>
  <c r="AW333" i="6"/>
  <c r="BA332" i="6"/>
  <c r="BN368" i="6"/>
  <c r="BN360" i="6"/>
  <c r="BF893" i="18" s="1"/>
  <c r="CF171" i="6"/>
  <c r="CF174" i="6"/>
  <c r="CY170" i="6"/>
  <c r="CF172" i="6"/>
  <c r="BQ356" i="6"/>
  <c r="CV35" i="6"/>
  <c r="BQ37" i="6"/>
  <c r="BQ38" i="6"/>
  <c r="BI593" i="18" s="1"/>
  <c r="BQ272" i="5"/>
  <c r="BU35" i="6"/>
  <c r="BQ154" i="6"/>
  <c r="BI671" i="18" s="1"/>
  <c r="CQ32" i="6"/>
  <c r="CI587" i="18" s="1"/>
  <c r="AX33" i="6"/>
  <c r="CQ31" i="6"/>
  <c r="CQ30" i="6"/>
  <c r="AW33" i="6"/>
  <c r="BA60" i="6"/>
  <c r="BA59" i="6"/>
  <c r="BA57" i="6"/>
  <c r="CR56" i="6"/>
  <c r="CJ618" i="18" s="1"/>
  <c r="BL155" i="6"/>
  <c r="BD672" i="18" s="1"/>
  <c r="BL166" i="6"/>
  <c r="BD716" i="18" s="1"/>
  <c r="CT154" i="6"/>
  <c r="CL671" i="18" s="1"/>
  <c r="CN72" i="6"/>
  <c r="BE448" i="5"/>
  <c r="BE416" i="5"/>
  <c r="AW309" i="18" s="1"/>
  <c r="BN261" i="5"/>
  <c r="BG50" i="5"/>
  <c r="AY38" i="18" s="1"/>
  <c r="CT37" i="6"/>
  <c r="CT38" i="6"/>
  <c r="CL593" i="18" s="1"/>
  <c r="CT36" i="6"/>
  <c r="BM166" i="6"/>
  <c r="BE716" i="18" s="1"/>
  <c r="BM155" i="6"/>
  <c r="BE672" i="18" s="1"/>
  <c r="CQ246" i="6"/>
  <c r="CQ220" i="6"/>
  <c r="CQ225" i="6"/>
  <c r="BG330" i="6"/>
  <c r="BC335" i="6"/>
  <c r="AU869" i="18" s="1"/>
  <c r="BO155" i="6"/>
  <c r="BG672" i="18" s="1"/>
  <c r="BO166" i="6"/>
  <c r="BG716" i="18" s="1"/>
  <c r="AY33" i="6"/>
  <c r="AW68" i="6"/>
  <c r="BB71" i="6"/>
  <c r="AT632" i="18" s="1"/>
  <c r="BB72" i="6"/>
  <c r="AT633" i="18" s="1"/>
  <c r="BH177" i="6"/>
  <c r="AU366" i="6"/>
  <c r="AU367" i="6" s="1"/>
  <c r="AU336" i="6"/>
  <c r="CT316" i="6"/>
  <c r="CL849" i="18" s="1"/>
  <c r="CT107" i="6"/>
  <c r="CT124" i="6"/>
  <c r="CL693" i="18" s="1"/>
  <c r="CT113" i="6"/>
  <c r="CL666" i="18" s="1"/>
  <c r="CZ325" i="6"/>
  <c r="CR859" i="18" s="1"/>
  <c r="CY326" i="6"/>
  <c r="CQ860" i="18" s="1"/>
  <c r="CY328" i="6"/>
  <c r="CQ862" i="18" s="1"/>
  <c r="AZ59" i="6"/>
  <c r="AZ57" i="6"/>
  <c r="AZ60" i="6"/>
  <c r="BV215" i="6"/>
  <c r="BR220" i="6"/>
  <c r="BT176" i="6"/>
  <c r="BT114" i="6"/>
  <c r="BL667" i="18" s="1"/>
  <c r="BT108" i="6"/>
  <c r="BT125" i="6"/>
  <c r="AY220" i="6"/>
  <c r="AY225" i="6"/>
  <c r="BC230" i="6" s="1"/>
  <c r="CP215" i="6"/>
  <c r="CR401" i="5"/>
  <c r="CJ1287" i="18" s="1"/>
  <c r="CQ401" i="5"/>
  <c r="CI1287" i="18" s="1"/>
  <c r="CB333" i="6"/>
  <c r="CB332" i="6"/>
  <c r="CF331" i="6"/>
  <c r="BF366" i="6"/>
  <c r="BF337" i="6"/>
  <c r="AX871" i="18" s="1"/>
  <c r="BF336" i="6"/>
  <c r="AX870" i="18" s="1"/>
  <c r="AW65" i="6"/>
  <c r="BH335" i="6"/>
  <c r="AZ869" i="18" s="1"/>
  <c r="BL330" i="6"/>
  <c r="BR214" i="6"/>
  <c r="BN219" i="6"/>
  <c r="BN29" i="6"/>
  <c r="AM226" i="5"/>
  <c r="BK214" i="6"/>
  <c r="BG219" i="6"/>
  <c r="BG29" i="6"/>
  <c r="BB176" i="6"/>
  <c r="BB125" i="6"/>
  <c r="AT694" i="18" s="1"/>
  <c r="CR101" i="6"/>
  <c r="CJ654" i="18" s="1"/>
  <c r="BN216" i="6"/>
  <c r="BX113" i="6"/>
  <c r="BP666" i="18" s="1"/>
  <c r="BX124" i="6"/>
  <c r="BP693" i="18" s="1"/>
  <c r="BX101" i="6"/>
  <c r="BP654" i="18" s="1"/>
  <c r="CB100" i="6"/>
  <c r="BT653" i="18" s="1"/>
  <c r="BU124" i="6"/>
  <c r="BM693" i="18" s="1"/>
  <c r="BY100" i="6"/>
  <c r="BQ653" i="18" s="1"/>
  <c r="BU113" i="6"/>
  <c r="BM666" i="18" s="1"/>
  <c r="BU101" i="6"/>
  <c r="BM654" i="18" s="1"/>
  <c r="CS59" i="5"/>
  <c r="CK45" i="18" s="1"/>
  <c r="AQ200" i="5"/>
  <c r="CU25" i="5"/>
  <c r="CM17" i="18" s="1"/>
  <c r="CX59" i="5"/>
  <c r="CP45" i="18" s="1"/>
  <c r="BJ139" i="6"/>
  <c r="BF143" i="6"/>
  <c r="AX703" i="18" s="1"/>
  <c r="BF60" i="6"/>
  <c r="BF59" i="6"/>
  <c r="BF57" i="6"/>
  <c r="BM220" i="6"/>
  <c r="BM216" i="6"/>
  <c r="BQ215" i="6"/>
  <c r="BC333" i="6"/>
  <c r="BC332" i="6"/>
  <c r="AY332" i="6"/>
  <c r="AY333" i="6"/>
  <c r="BO124" i="6"/>
  <c r="BG693" i="18" s="1"/>
  <c r="BS100" i="6"/>
  <c r="BK653" i="18" s="1"/>
  <c r="BO113" i="6"/>
  <c r="BG666" i="18" s="1"/>
  <c r="BO101" i="6"/>
  <c r="BG654" i="18" s="1"/>
  <c r="CD186" i="6"/>
  <c r="CD187" i="6"/>
  <c r="BV1312" i="18" s="1"/>
  <c r="CD188" i="6"/>
  <c r="CE185" i="6"/>
  <c r="CD191" i="6"/>
  <c r="BV1316" i="18" s="1"/>
  <c r="CD181" i="6"/>
  <c r="BV1306" i="18" s="1"/>
  <c r="CE333" i="6"/>
  <c r="CE332" i="6"/>
  <c r="CQ369" i="6"/>
  <c r="CI608" i="18" s="1"/>
  <c r="BC176" i="6"/>
  <c r="BC125" i="6"/>
  <c r="CS214" i="6"/>
  <c r="BV332" i="6"/>
  <c r="BV333" i="6"/>
  <c r="BZ331" i="6"/>
  <c r="AZ33" i="6"/>
  <c r="BG114" i="6"/>
  <c r="AY667" i="18" s="1"/>
  <c r="BI368" i="6"/>
  <c r="BI360" i="6"/>
  <c r="BA893" i="18" s="1"/>
  <c r="AY239" i="5"/>
  <c r="CQ267" i="5"/>
  <c r="BL357" i="6"/>
  <c r="BL359" i="6"/>
  <c r="BD892" i="18" s="1"/>
  <c r="BS356" i="6"/>
  <c r="BS38" i="6"/>
  <c r="BK593" i="18" s="1"/>
  <c r="BS37" i="6"/>
  <c r="BS272" i="5"/>
  <c r="BS240" i="5" s="1"/>
  <c r="BW35" i="6"/>
  <c r="BS154" i="6"/>
  <c r="BK671" i="18" s="1"/>
  <c r="BE330" i="6"/>
  <c r="BA335" i="6"/>
  <c r="AS869" i="18" s="1"/>
  <c r="BA165" i="6"/>
  <c r="AS715" i="18" s="1"/>
  <c r="CR143" i="6"/>
  <c r="CJ703" i="18" s="1"/>
  <c r="BY405" i="5"/>
  <c r="BP191" i="5"/>
  <c r="BH157" i="18" s="1"/>
  <c r="AS366" i="6"/>
  <c r="AS367" i="6" s="1"/>
  <c r="CP335" i="6"/>
  <c r="AS336" i="6"/>
  <c r="BK291" i="6"/>
  <c r="BC811" i="18" s="1"/>
  <c r="BK176" i="6"/>
  <c r="BK108" i="6"/>
  <c r="BK114" i="6"/>
  <c r="BC667" i="18" s="1"/>
  <c r="BK125" i="6"/>
  <c r="BH219" i="6"/>
  <c r="BL214" i="6"/>
  <c r="BH29" i="6"/>
  <c r="BJ176" i="6"/>
  <c r="BJ291" i="6"/>
  <c r="BB811" i="18" s="1"/>
  <c r="BJ125" i="6"/>
  <c r="BJ114" i="6"/>
  <c r="BB667" i="18" s="1"/>
  <c r="BJ108" i="6"/>
  <c r="CT101" i="6"/>
  <c r="CL654" i="18" s="1"/>
  <c r="AZ63" i="6"/>
  <c r="AR625" i="18" s="1"/>
  <c r="AZ26" i="6"/>
  <c r="AZ277" i="5"/>
  <c r="AR233" i="18" s="1"/>
  <c r="CR388" i="5"/>
  <c r="CS388" i="5"/>
  <c r="CO333" i="6"/>
  <c r="CO332" i="6"/>
  <c r="BM252" i="5"/>
  <c r="BE217" i="18" s="1"/>
  <c r="CA261" i="5"/>
  <c r="CA262" i="5" s="1"/>
  <c r="AY191" i="5"/>
  <c r="AS191" i="5"/>
  <c r="BH405" i="5"/>
  <c r="BD191" i="5"/>
  <c r="AV157" i="18" s="1"/>
  <c r="BI405" i="5"/>
  <c r="BG394" i="5"/>
  <c r="DF351" i="6"/>
  <c r="BB165" i="6"/>
  <c r="AT715" i="18" s="1"/>
  <c r="BV356" i="6"/>
  <c r="BV37" i="6"/>
  <c r="BZ35" i="6"/>
  <c r="BV272" i="5"/>
  <c r="BI221" i="6"/>
  <c r="BI226" i="6"/>
  <c r="BI231" i="6" s="1"/>
  <c r="BP356" i="6"/>
  <c r="BP38" i="6"/>
  <c r="BH593" i="18" s="1"/>
  <c r="BT35" i="6"/>
  <c r="BP37" i="6"/>
  <c r="BP272" i="5"/>
  <c r="CU272" i="5" s="1"/>
  <c r="BP154" i="6"/>
  <c r="BH671" i="18" s="1"/>
  <c r="BH215" i="6"/>
  <c r="BD216" i="6"/>
  <c r="BD220" i="6"/>
  <c r="CR215" i="6"/>
  <c r="AY59" i="6"/>
  <c r="AY57" i="6"/>
  <c r="AY58" i="6" s="1"/>
  <c r="AY60" i="6"/>
  <c r="AY61" i="6" s="1"/>
  <c r="CQ56" i="6"/>
  <c r="CI618" i="18" s="1"/>
  <c r="BK220" i="6"/>
  <c r="BO215" i="6"/>
  <c r="AW70" i="6"/>
  <c r="BK368" i="6"/>
  <c r="BK360" i="6"/>
  <c r="BC893" i="18" s="1"/>
  <c r="BG369" i="6"/>
  <c r="AY608" i="18" s="1"/>
  <c r="BI219" i="6"/>
  <c r="CT214" i="6"/>
  <c r="BM214" i="6"/>
  <c r="BI29" i="6"/>
  <c r="CJ74" i="6"/>
  <c r="CK78" i="6" s="1"/>
  <c r="BM177" i="6"/>
  <c r="BM179" i="6"/>
  <c r="BL178" i="6"/>
  <c r="BJ31" i="6"/>
  <c r="BJ30" i="6"/>
  <c r="BJ56" i="6"/>
  <c r="BB618" i="18" s="1"/>
  <c r="BJ32" i="6"/>
  <c r="BB587" i="18" s="1"/>
  <c r="BJ25" i="6"/>
  <c r="BB579" i="18" s="1"/>
  <c r="BJ267" i="5"/>
  <c r="BJ239" i="5" s="1"/>
  <c r="BN113" i="6"/>
  <c r="BF666" i="18" s="1"/>
  <c r="BN124" i="6"/>
  <c r="BF693" i="18" s="1"/>
  <c r="BR100" i="6"/>
  <c r="BJ653" i="18" s="1"/>
  <c r="BN101" i="6"/>
  <c r="BF654" i="18" s="1"/>
  <c r="CU100" i="6"/>
  <c r="CM653" i="18" s="1"/>
  <c r="BA239" i="5"/>
  <c r="BP177" i="6"/>
  <c r="BQ126" i="6"/>
  <c r="BI695" i="18" s="1"/>
  <c r="CO274" i="6"/>
  <c r="CP274" i="6"/>
  <c r="CM363" i="5"/>
  <c r="CY663" i="5"/>
  <c r="CD167" i="5"/>
  <c r="CC153" i="5"/>
  <c r="BU125" i="18" s="1"/>
  <c r="BK146" i="5"/>
  <c r="BK135" i="5"/>
  <c r="BC112" i="18" s="1"/>
  <c r="AM191" i="5"/>
  <c r="AQ191" i="5"/>
  <c r="BJ438" i="5"/>
  <c r="BB1042" i="18" s="1"/>
  <c r="CB543" i="5"/>
  <c r="BT392" i="18" s="1"/>
  <c r="BQ146" i="5"/>
  <c r="BQ135" i="5"/>
  <c r="BI112" i="18" s="1"/>
  <c r="BI146" i="5"/>
  <c r="BI135" i="5"/>
  <c r="BA112" i="18" s="1"/>
  <c r="BI697" i="5"/>
  <c r="CT697" i="5" s="1"/>
  <c r="CS699" i="5"/>
  <c r="CS574" i="5"/>
  <c r="CK420" i="18" s="1"/>
  <c r="CS83" i="5"/>
  <c r="CK73" i="18" s="1"/>
  <c r="CS74" i="5"/>
  <c r="CK61" i="18" s="1"/>
  <c r="CS123" i="5"/>
  <c r="AT100" i="5"/>
  <c r="AT96" i="5"/>
  <c r="CA474" i="5"/>
  <c r="BS360" i="18" s="1"/>
  <c r="CE473" i="5"/>
  <c r="BE384" i="5"/>
  <c r="AW1276" i="18" s="1"/>
  <c r="BE385" i="5"/>
  <c r="AW1277" i="18" s="1"/>
  <c r="BM146" i="5"/>
  <c r="BM135" i="5"/>
  <c r="BE112" i="18" s="1"/>
  <c r="AI288" i="5"/>
  <c r="AI289" i="5"/>
  <c r="BQ56" i="5"/>
  <c r="BI43" i="18" s="1"/>
  <c r="BQ574" i="5"/>
  <c r="BI420" i="18" s="1"/>
  <c r="BQ74" i="5"/>
  <c r="BQ83" i="5"/>
  <c r="BI73" i="18" s="1"/>
  <c r="BQ123" i="5"/>
  <c r="BI105" i="18" s="1"/>
  <c r="CU59" i="5"/>
  <c r="CM45" i="18" s="1"/>
  <c r="BZ56" i="5"/>
  <c r="BR43" i="18" s="1"/>
  <c r="AZ749" i="5"/>
  <c r="AZ155" i="5"/>
  <c r="AY288" i="5"/>
  <c r="AY223" i="5"/>
  <c r="AY217" i="5"/>
  <c r="AY218" i="5" s="1"/>
  <c r="AY234" i="5"/>
  <c r="BR429" i="5"/>
  <c r="BR349" i="5"/>
  <c r="BJ298" i="18" s="1"/>
  <c r="BR348" i="5"/>
  <c r="BJ299" i="18" s="1"/>
  <c r="AP234" i="5"/>
  <c r="AP223" i="5"/>
  <c r="AT224" i="5" s="1"/>
  <c r="AP217" i="5"/>
  <c r="AP218" i="5" s="1"/>
  <c r="AP213" i="5"/>
  <c r="AP288" i="5"/>
  <c r="AQ243" i="5"/>
  <c r="AU243" i="5"/>
  <c r="BI191" i="5"/>
  <c r="BA157" i="18" s="1"/>
  <c r="CQ429" i="5"/>
  <c r="BD288" i="5"/>
  <c r="AV245" i="18" s="1"/>
  <c r="BD234" i="5"/>
  <c r="AV201" i="18" s="1"/>
  <c r="BD217" i="5"/>
  <c r="BD223" i="5"/>
  <c r="AV190" i="18" s="1"/>
  <c r="BV474" i="5"/>
  <c r="BN360" i="18" s="1"/>
  <c r="CT543" i="5"/>
  <c r="CL392" i="18" s="1"/>
  <c r="AS84" i="5"/>
  <c r="AS85" i="5" s="1"/>
  <c r="AS95" i="5"/>
  <c r="AW100" i="5" s="1"/>
  <c r="CJ96" i="5"/>
  <c r="CK97" i="5" s="1"/>
  <c r="CK98" i="5"/>
  <c r="CK100" i="5"/>
  <c r="CK99" i="5"/>
  <c r="CP288" i="5"/>
  <c r="CP223" i="5"/>
  <c r="CP234" i="5"/>
  <c r="CP217" i="5"/>
  <c r="CQ460" i="5"/>
  <c r="CQ450" i="5"/>
  <c r="AK288" i="5"/>
  <c r="AK223" i="5"/>
  <c r="AL226" i="5" s="1"/>
  <c r="AK213" i="5"/>
  <c r="AK234" i="5"/>
  <c r="CN289" i="5"/>
  <c r="CN216" i="5"/>
  <c r="CP363" i="5"/>
  <c r="BE146" i="5"/>
  <c r="BE135" i="5"/>
  <c r="AW112" i="18" s="1"/>
  <c r="CT718" i="5"/>
  <c r="CR454" i="5"/>
  <c r="CJ341" i="18" s="1"/>
  <c r="BO56" i="5"/>
  <c r="BG43" i="18" s="1"/>
  <c r="AT85" i="5"/>
  <c r="AX443" i="5"/>
  <c r="AX444" i="5" s="1"/>
  <c r="AK84" i="5"/>
  <c r="AK85" i="5" s="1"/>
  <c r="AK95" i="5"/>
  <c r="AO99" i="5" s="1"/>
  <c r="CA56" i="5"/>
  <c r="BS43" i="18" s="1"/>
  <c r="BE405" i="5"/>
  <c r="BE93" i="5"/>
  <c r="AW81" i="18" s="1"/>
  <c r="BE91" i="5"/>
  <c r="AW79" i="18" s="1"/>
  <c r="BE92" i="5"/>
  <c r="AW80" i="18" s="1"/>
  <c r="BE90" i="5"/>
  <c r="AW78" i="18" s="1"/>
  <c r="BE88" i="5"/>
  <c r="BM129" i="5"/>
  <c r="BE109" i="18" s="1"/>
  <c r="BM143" i="5"/>
  <c r="BE117" i="18" s="1"/>
  <c r="BQ47" i="5"/>
  <c r="BI1319" i="18" s="1"/>
  <c r="BQ41" i="5"/>
  <c r="BI34" i="18" s="1"/>
  <c r="BZ349" i="5"/>
  <c r="BR298" i="18" s="1"/>
  <c r="BZ348" i="5"/>
  <c r="BR299" i="18" s="1"/>
  <c r="BZ261" i="5"/>
  <c r="CV25" i="5"/>
  <c r="CN17" i="18" s="1"/>
  <c r="BY393" i="5"/>
  <c r="BY395" i="5"/>
  <c r="BZ395" i="5"/>
  <c r="CD599" i="5"/>
  <c r="BV443" i="18" s="1"/>
  <c r="BP523" i="5"/>
  <c r="BR47" i="5"/>
  <c r="BJ1319" i="18" s="1"/>
  <c r="BR41" i="5"/>
  <c r="BJ34" i="18" s="1"/>
  <c r="BY184" i="5"/>
  <c r="BQ150" i="18" s="1"/>
  <c r="BO363" i="5"/>
  <c r="BB447" i="5"/>
  <c r="BB448" i="5" s="1"/>
  <c r="BB438" i="5"/>
  <c r="AT1042" i="18" s="1"/>
  <c r="BU395" i="5"/>
  <c r="BU393" i="5"/>
  <c r="CR32" i="5"/>
  <c r="CR34" i="5"/>
  <c r="CJ26" i="18" s="1"/>
  <c r="AN197" i="5"/>
  <c r="AR197" i="5"/>
  <c r="BK454" i="5"/>
  <c r="BC341" i="18" s="1"/>
  <c r="BK41" i="5"/>
  <c r="BC34" i="18" s="1"/>
  <c r="CB395" i="5"/>
  <c r="CB393" i="5"/>
  <c r="CP146" i="5"/>
  <c r="CP156" i="5" s="1"/>
  <c r="CP157" i="5" s="1"/>
  <c r="CP135" i="5"/>
  <c r="AP93" i="5"/>
  <c r="AP92" i="5"/>
  <c r="AP91" i="5"/>
  <c r="AP90" i="5"/>
  <c r="AP88" i="5"/>
  <c r="AP89" i="5" s="1"/>
  <c r="AJ129" i="5"/>
  <c r="AJ143" i="5"/>
  <c r="CM189" i="5"/>
  <c r="CN190" i="5" s="1"/>
  <c r="CM185" i="5"/>
  <c r="CM179" i="5"/>
  <c r="AS394" i="5"/>
  <c r="AY95" i="5"/>
  <c r="AY84" i="5"/>
  <c r="AY85" i="5" s="1"/>
  <c r="BV348" i="5"/>
  <c r="BN299" i="18" s="1"/>
  <c r="BV349" i="5"/>
  <c r="BN298" i="18" s="1"/>
  <c r="BP84" i="5"/>
  <c r="BH74" i="18" s="1"/>
  <c r="BP95" i="5"/>
  <c r="BH1321" i="18" s="1"/>
  <c r="BY429" i="5"/>
  <c r="AN90" i="5"/>
  <c r="AV218" i="5"/>
  <c r="CW479" i="5"/>
  <c r="CT338" i="5"/>
  <c r="CL294" i="18" s="1"/>
  <c r="BP126" i="5"/>
  <c r="BH1331" i="18" s="1"/>
  <c r="BX134" i="5"/>
  <c r="BP111" i="18" s="1"/>
  <c r="BC348" i="5"/>
  <c r="AU299" i="18" s="1"/>
  <c r="BC349" i="5"/>
  <c r="AU298" i="18" s="1"/>
  <c r="CT240" i="5"/>
  <c r="CT273" i="5" s="1"/>
  <c r="CT274" i="5" s="1"/>
  <c r="BL696" i="5"/>
  <c r="BL543" i="5"/>
  <c r="BD392" i="18" s="1"/>
  <c r="BW56" i="5"/>
  <c r="BO43" i="18" s="1"/>
  <c r="CV380" i="5"/>
  <c r="CN1272" i="18" s="1"/>
  <c r="CB143" i="5"/>
  <c r="BT117" i="18" s="1"/>
  <c r="CB129" i="5"/>
  <c r="BT109" i="18" s="1"/>
  <c r="BH75" i="5"/>
  <c r="BR394" i="5"/>
  <c r="CN363" i="5"/>
  <c r="CV252" i="5"/>
  <c r="CN217" i="18" s="1"/>
  <c r="AS443" i="5"/>
  <c r="CB81" i="5"/>
  <c r="BT72" i="18" s="1"/>
  <c r="BM190" i="5"/>
  <c r="CM459" i="5"/>
  <c r="BN184" i="5"/>
  <c r="BF150" i="18" s="1"/>
  <c r="AV101" i="5"/>
  <c r="AV100" i="5"/>
  <c r="AV98" i="5"/>
  <c r="AV96" i="5"/>
  <c r="AV99" i="5"/>
  <c r="CO416" i="5"/>
  <c r="AO85" i="5"/>
  <c r="BM480" i="5"/>
  <c r="BE367" i="18" s="1"/>
  <c r="BI349" i="5"/>
  <c r="BA298" i="18" s="1"/>
  <c r="BI348" i="5"/>
  <c r="BA299" i="18" s="1"/>
  <c r="CU467" i="5"/>
  <c r="CM353" i="18" s="1"/>
  <c r="CU415" i="5"/>
  <c r="CM308" i="18" s="1"/>
  <c r="CU419" i="5"/>
  <c r="CM312" i="18" s="1"/>
  <c r="CV419" i="5"/>
  <c r="CN312" i="18" s="1"/>
  <c r="BJ338" i="5"/>
  <c r="BB294" i="18" s="1"/>
  <c r="BJ50" i="5"/>
  <c r="BB38" i="18" s="1"/>
  <c r="CT428" i="5"/>
  <c r="CL1036" i="18" s="1"/>
  <c r="CT258" i="5"/>
  <c r="CT260" i="5" s="1"/>
  <c r="CT261" i="5" s="1"/>
  <c r="CT79" i="5"/>
  <c r="CL70" i="18" s="1"/>
  <c r="CT55" i="5"/>
  <c r="CT73" i="5"/>
  <c r="CL60" i="18" s="1"/>
  <c r="CT43" i="5"/>
  <c r="CL35" i="18" s="1"/>
  <c r="CT40" i="5"/>
  <c r="CT49" i="5"/>
  <c r="CT518" i="5"/>
  <c r="BL44" i="5"/>
  <c r="BD36" i="18" s="1"/>
  <c r="CT467" i="5"/>
  <c r="BL332" i="5"/>
  <c r="BI447" i="5"/>
  <c r="BI448" i="5" s="1"/>
  <c r="BI438" i="5"/>
  <c r="BA1042" i="18" s="1"/>
  <c r="CW380" i="5"/>
  <c r="CO1272" i="18" s="1"/>
  <c r="BN44" i="5"/>
  <c r="BF36" i="18" s="1"/>
  <c r="BN523" i="5"/>
  <c r="AU101" i="5"/>
  <c r="AU100" i="5"/>
  <c r="AU99" i="5"/>
  <c r="AU98" i="5"/>
  <c r="AU96" i="5"/>
  <c r="AT434" i="5"/>
  <c r="CQ416" i="5"/>
  <c r="CI309" i="18" s="1"/>
  <c r="AN213" i="5"/>
  <c r="BF519" i="5"/>
  <c r="BF460" i="5"/>
  <c r="AX347" i="18" s="1"/>
  <c r="BF80" i="5"/>
  <c r="BF87" i="5"/>
  <c r="AX75" i="18" s="1"/>
  <c r="AO425" i="5"/>
  <c r="BO523" i="5"/>
  <c r="AW434" i="5"/>
  <c r="BH92" i="5"/>
  <c r="AZ80" i="18" s="1"/>
  <c r="BH91" i="5"/>
  <c r="AZ79" i="18" s="1"/>
  <c r="BH90" i="5"/>
  <c r="AZ78" i="18" s="1"/>
  <c r="BH88" i="5"/>
  <c r="AZ76" i="18" s="1"/>
  <c r="BG474" i="5"/>
  <c r="AY360" i="18" s="1"/>
  <c r="BG447" i="5"/>
  <c r="BG438" i="5"/>
  <c r="AY1042" i="18" s="1"/>
  <c r="BI384" i="5"/>
  <c r="BA1276" i="18" s="1"/>
  <c r="BI385" i="5"/>
  <c r="BA1277" i="18" s="1"/>
  <c r="CS419" i="5"/>
  <c r="CK312" i="18" s="1"/>
  <c r="CS415" i="5"/>
  <c r="CK308" i="18" s="1"/>
  <c r="DE692" i="5"/>
  <c r="BV480" i="5"/>
  <c r="BN367" i="18" s="1"/>
  <c r="CO84" i="5"/>
  <c r="CO95" i="5"/>
  <c r="CN146" i="5"/>
  <c r="CN156" i="5" s="1"/>
  <c r="CN135" i="5"/>
  <c r="CP749" i="5"/>
  <c r="CP155" i="5"/>
  <c r="AT226" i="5"/>
  <c r="BR574" i="5"/>
  <c r="BJ420" i="18" s="1"/>
  <c r="BR83" i="5"/>
  <c r="BJ73" i="18" s="1"/>
  <c r="BR74" i="5"/>
  <c r="BR123" i="5"/>
  <c r="BJ105" i="18" s="1"/>
  <c r="AK93" i="5"/>
  <c r="AK92" i="5"/>
  <c r="AK91" i="5"/>
  <c r="AK90" i="5"/>
  <c r="AK88" i="5"/>
  <c r="AK89" i="5" s="1"/>
  <c r="BK349" i="5"/>
  <c r="BC298" i="18" s="1"/>
  <c r="BK348" i="5"/>
  <c r="BC299" i="18" s="1"/>
  <c r="BL349" i="5"/>
  <c r="BD298" i="18" s="1"/>
  <c r="CC538" i="5"/>
  <c r="BU387" i="18" s="1"/>
  <c r="CY67" i="5"/>
  <c r="CY624" i="5"/>
  <c r="BJ146" i="5"/>
  <c r="BJ135" i="5"/>
  <c r="BB112" i="18" s="1"/>
  <c r="BC74" i="5"/>
  <c r="BC83" i="5"/>
  <c r="AU73" i="18" s="1"/>
  <c r="BC123" i="5"/>
  <c r="AU105" i="18" s="1"/>
  <c r="BW349" i="5"/>
  <c r="BO298" i="18" s="1"/>
  <c r="BW348" i="5"/>
  <c r="BO299" i="18" s="1"/>
  <c r="CU401" i="5"/>
  <c r="CM1287" i="18" s="1"/>
  <c r="CV401" i="5"/>
  <c r="CN1287" i="18" s="1"/>
  <c r="AN749" i="5"/>
  <c r="AN155" i="5"/>
  <c r="CO126" i="5"/>
  <c r="CO288" i="5"/>
  <c r="CO234" i="5"/>
  <c r="CO223" i="5"/>
  <c r="CO217" i="5"/>
  <c r="CO218" i="5" s="1"/>
  <c r="AS93" i="5"/>
  <c r="AS92" i="5"/>
  <c r="AS91" i="5"/>
  <c r="AS90" i="5"/>
  <c r="AS88" i="5"/>
  <c r="AS89" i="5" s="1"/>
  <c r="BS56" i="5"/>
  <c r="BK43" i="18" s="1"/>
  <c r="BZ544" i="5"/>
  <c r="BR393" i="18" s="1"/>
  <c r="BZ559" i="5"/>
  <c r="BR405" i="18" s="1"/>
  <c r="BZ549" i="5"/>
  <c r="BR398" i="18" s="1"/>
  <c r="CN40" i="5"/>
  <c r="BP393" i="5"/>
  <c r="BP395" i="5"/>
  <c r="BA6" i="5"/>
  <c r="AS288" i="5"/>
  <c r="AS223" i="5"/>
  <c r="AS234" i="5"/>
  <c r="AS217" i="5"/>
  <c r="AU213" i="5"/>
  <c r="AW91" i="5"/>
  <c r="BU577" i="5"/>
  <c r="CQ146" i="5"/>
  <c r="CQ156" i="5" s="1"/>
  <c r="CQ135" i="5"/>
  <c r="CR169" i="5"/>
  <c r="BL579" i="5"/>
  <c r="BL577" i="5"/>
  <c r="BD423" i="18" s="1"/>
  <c r="BB83" i="5"/>
  <c r="AT73" i="18" s="1"/>
  <c r="BB74" i="5"/>
  <c r="BB123" i="5"/>
  <c r="AT105" i="18" s="1"/>
  <c r="BB216" i="5"/>
  <c r="AT183" i="18" s="1"/>
  <c r="BB289" i="5"/>
  <c r="AT246" i="18" s="1"/>
  <c r="BK56" i="5"/>
  <c r="BC43" i="18" s="1"/>
  <c r="BD393" i="5"/>
  <c r="BD395" i="5"/>
  <c r="BV56" i="5"/>
  <c r="BN43" i="18" s="1"/>
  <c r="BV574" i="5"/>
  <c r="BN420" i="18" s="1"/>
  <c r="BV83" i="5"/>
  <c r="BN73" i="18" s="1"/>
  <c r="BV74" i="5"/>
  <c r="BN61" i="18" s="1"/>
  <c r="BV123" i="5"/>
  <c r="BN105" i="18" s="1"/>
  <c r="BU537" i="5"/>
  <c r="BM386" i="18" s="1"/>
  <c r="BU88" i="5"/>
  <c r="BM76" i="18" s="1"/>
  <c r="BU93" i="5"/>
  <c r="BM81" i="18" s="1"/>
  <c r="AN89" i="5"/>
  <c r="AV292" i="5"/>
  <c r="AV293" i="5" s="1"/>
  <c r="AV193" i="5"/>
  <c r="AV229" i="5"/>
  <c r="AN85" i="5"/>
  <c r="BP146" i="5"/>
  <c r="BP135" i="5"/>
  <c r="BH112" i="18" s="1"/>
  <c r="BT146" i="5"/>
  <c r="BT135" i="5"/>
  <c r="BL112" i="18" s="1"/>
  <c r="BC447" i="5"/>
  <c r="BC448" i="5" s="1"/>
  <c r="BC438" i="5"/>
  <c r="AU1042" i="18" s="1"/>
  <c r="CV388" i="5"/>
  <c r="CW388" i="5"/>
  <c r="BH95" i="5"/>
  <c r="AZ1321" i="18" s="1"/>
  <c r="BH84" i="5"/>
  <c r="AZ74" i="18" s="1"/>
  <c r="BA146" i="5"/>
  <c r="BA135" i="5"/>
  <c r="AS112" i="18" s="1"/>
  <c r="BB191" i="5"/>
  <c r="AT157" i="18" s="1"/>
  <c r="BL34" i="5"/>
  <c r="BD26" i="18" s="1"/>
  <c r="BL32" i="5"/>
  <c r="BL518" i="5"/>
  <c r="CB556" i="5"/>
  <c r="CB690" i="5"/>
  <c r="CB696" i="5" s="1"/>
  <c r="AO101" i="5"/>
  <c r="AO98" i="5"/>
  <c r="AO96" i="5"/>
  <c r="AN44" i="5"/>
  <c r="BL384" i="5"/>
  <c r="BD1276" i="18" s="1"/>
  <c r="BL385" i="5"/>
  <c r="BD1277" i="18" s="1"/>
  <c r="CU404" i="5"/>
  <c r="CU383" i="5"/>
  <c r="CM1275" i="18" s="1"/>
  <c r="CU362" i="5"/>
  <c r="CU392" i="5"/>
  <c r="CV383" i="5"/>
  <c r="CN1275" i="18" s="1"/>
  <c r="CV392" i="5"/>
  <c r="BJ349" i="5"/>
  <c r="BB298" i="18" s="1"/>
  <c r="BJ348" i="5"/>
  <c r="BB299" i="18" s="1"/>
  <c r="BI429" i="5"/>
  <c r="AP425" i="5"/>
  <c r="BN429" i="5"/>
  <c r="BF83" i="5"/>
  <c r="AX73" i="18" s="1"/>
  <c r="BF74" i="5"/>
  <c r="AX61" i="18" s="1"/>
  <c r="BF123" i="5"/>
  <c r="AX105" i="18" s="1"/>
  <c r="AP196" i="5"/>
  <c r="AP197" i="5" s="1"/>
  <c r="AP214" i="5"/>
  <c r="AP296" i="5" s="1"/>
  <c r="AP297" i="5" s="1"/>
  <c r="AP179" i="5"/>
  <c r="BO348" i="5"/>
  <c r="BG299" i="18" s="1"/>
  <c r="BO349" i="5"/>
  <c r="BG298" i="18" s="1"/>
  <c r="BH81" i="5"/>
  <c r="AZ72" i="18" s="1"/>
  <c r="BG338" i="5"/>
  <c r="AY294" i="18" s="1"/>
  <c r="BS544" i="5"/>
  <c r="BK393" i="18" s="1"/>
  <c r="BS559" i="5"/>
  <c r="BK405" i="18" s="1"/>
  <c r="BS549" i="5"/>
  <c r="BK398" i="18" s="1"/>
  <c r="CS438" i="5"/>
  <c r="CK1042" i="18" s="1"/>
  <c r="CS447" i="5"/>
  <c r="AR89" i="5"/>
  <c r="AQ100" i="5"/>
  <c r="AQ99" i="5"/>
  <c r="AQ98" i="5"/>
  <c r="AQ96" i="5"/>
  <c r="AP243" i="5"/>
  <c r="AT243" i="5"/>
  <c r="CA338" i="5"/>
  <c r="BS294" i="18" s="1"/>
  <c r="CA429" i="5"/>
  <c r="AI44" i="5"/>
  <c r="CY61" i="5"/>
  <c r="CQ49" i="18" s="1"/>
  <c r="CU460" i="5"/>
  <c r="CM347" i="18" s="1"/>
  <c r="CU450" i="5"/>
  <c r="CM337" i="18" s="1"/>
  <c r="BQ262" i="5"/>
  <c r="BQ523" i="5"/>
  <c r="BU523" i="5"/>
  <c r="BT696" i="5"/>
  <c r="BT547" i="5"/>
  <c r="BL396" i="18" s="1"/>
  <c r="BT543" i="5"/>
  <c r="BL392" i="18" s="1"/>
  <c r="CD522" i="5"/>
  <c r="BZ523" i="5"/>
  <c r="BZ429" i="5"/>
  <c r="CT530" i="5"/>
  <c r="CU532" i="5"/>
  <c r="AT749" i="5"/>
  <c r="AT155" i="5"/>
  <c r="AU218" i="5"/>
  <c r="AO242" i="5"/>
  <c r="AK289" i="5"/>
  <c r="AK283" i="5"/>
  <c r="AK250" i="5"/>
  <c r="AO251" i="5" s="1"/>
  <c r="AS252" i="5" s="1"/>
  <c r="BG184" i="5"/>
  <c r="AY150" i="18" s="1"/>
  <c r="BN490" i="5"/>
  <c r="BF382" i="18" s="1"/>
  <c r="BY385" i="5"/>
  <c r="BQ1277" i="18" s="1"/>
  <c r="BY384" i="5"/>
  <c r="BQ1276" i="18" s="1"/>
  <c r="CW404" i="5"/>
  <c r="CW383" i="5"/>
  <c r="CW362" i="5"/>
  <c r="CW363" i="5" s="1"/>
  <c r="CW392" i="5"/>
  <c r="AS749" i="5"/>
  <c r="AS155" i="5"/>
  <c r="BR363" i="5"/>
  <c r="BR44" i="5"/>
  <c r="BJ36" i="18" s="1"/>
  <c r="BR573" i="5"/>
  <c r="BJ419" i="18" s="1"/>
  <c r="BR80" i="5"/>
  <c r="BR87" i="5"/>
  <c r="CS33" i="5"/>
  <c r="CK25" i="18" s="1"/>
  <c r="AO217" i="5"/>
  <c r="AO218" i="5" s="1"/>
  <c r="BX95" i="5"/>
  <c r="BX84" i="5"/>
  <c r="CP450" i="5"/>
  <c r="CP460" i="5"/>
  <c r="BB429" i="5"/>
  <c r="BU363" i="5"/>
  <c r="CR437" i="5"/>
  <c r="CJ1041" i="18" s="1"/>
  <c r="CR428" i="5"/>
  <c r="CR287" i="5"/>
  <c r="CJ244" i="18" s="1"/>
  <c r="CR73" i="5"/>
  <c r="CJ60" i="18" s="1"/>
  <c r="CR79" i="5"/>
  <c r="CJ70" i="18" s="1"/>
  <c r="CR40" i="5"/>
  <c r="CR43" i="5"/>
  <c r="CJ35" i="18" s="1"/>
  <c r="CR55" i="5"/>
  <c r="CR49" i="5"/>
  <c r="CR347" i="5"/>
  <c r="CJ297" i="18" s="1"/>
  <c r="CR518" i="5"/>
  <c r="BH44" i="5"/>
  <c r="AZ36" i="18" s="1"/>
  <c r="BA332" i="5"/>
  <c r="BD332" i="5"/>
  <c r="CR530" i="5"/>
  <c r="CR531" i="5" s="1"/>
  <c r="BE44" i="5"/>
  <c r="AW36" i="18" s="1"/>
  <c r="BA44" i="5"/>
  <c r="AS36" i="18" s="1"/>
  <c r="CR473" i="5"/>
  <c r="CJ359" i="18" s="1"/>
  <c r="BD44" i="5"/>
  <c r="AV36" i="18" s="1"/>
  <c r="CR459" i="5"/>
  <c r="CJ346" i="18" s="1"/>
  <c r="AN297" i="5"/>
  <c r="BK216" i="5"/>
  <c r="BC183" i="18" s="1"/>
  <c r="BK289" i="5"/>
  <c r="BC246" i="18" s="1"/>
  <c r="CB384" i="5"/>
  <c r="BT1276" i="18" s="1"/>
  <c r="CB385" i="5"/>
  <c r="BT1277" i="18" s="1"/>
  <c r="AJ84" i="5"/>
  <c r="AJ126" i="5"/>
  <c r="AJ95" i="5"/>
  <c r="AN99" i="5" s="1"/>
  <c r="BV468" i="5"/>
  <c r="BN354" i="18" s="1"/>
  <c r="BV573" i="5"/>
  <c r="BN419" i="18" s="1"/>
  <c r="BV80" i="5"/>
  <c r="BN71" i="18" s="1"/>
  <c r="BV87" i="5"/>
  <c r="BP75" i="5"/>
  <c r="CX428" i="5"/>
  <c r="CP1036" i="18" s="1"/>
  <c r="CX258" i="5"/>
  <c r="CX260" i="5" s="1"/>
  <c r="CX79" i="5"/>
  <c r="CP70" i="18" s="1"/>
  <c r="CX55" i="5"/>
  <c r="CX73" i="5"/>
  <c r="CP60" i="18" s="1"/>
  <c r="CX40" i="5"/>
  <c r="CP33" i="18" s="1"/>
  <c r="CX43" i="5"/>
  <c r="CP35" i="18" s="1"/>
  <c r="CX453" i="5"/>
  <c r="CB332" i="5"/>
  <c r="BT288" i="18" s="1"/>
  <c r="CX530" i="5"/>
  <c r="AN91" i="5"/>
  <c r="CR362" i="5"/>
  <c r="CR363" i="5" s="1"/>
  <c r="CR404" i="5"/>
  <c r="CR383" i="5"/>
  <c r="CR392" i="5"/>
  <c r="AV226" i="5"/>
  <c r="AV224" i="5"/>
  <c r="AL44" i="5"/>
  <c r="AX146" i="5"/>
  <c r="AX135" i="5"/>
  <c r="AP112" i="18" s="1"/>
  <c r="DE669" i="5"/>
  <c r="DD557" i="5"/>
  <c r="CA184" i="5"/>
  <c r="BS150" i="18" s="1"/>
  <c r="BX126" i="5"/>
  <c r="BP1331" i="18" s="1"/>
  <c r="BT537" i="5"/>
  <c r="BL386" i="18" s="1"/>
  <c r="BT92" i="5"/>
  <c r="BL80" i="18" s="1"/>
  <c r="BT91" i="5"/>
  <c r="BL79" i="18" s="1"/>
  <c r="BT90" i="5"/>
  <c r="BL78" i="18" s="1"/>
  <c r="BT88" i="5"/>
  <c r="BL76" i="18" s="1"/>
  <c r="BM274" i="5"/>
  <c r="BQ273" i="5"/>
  <c r="BM240" i="5"/>
  <c r="CP468" i="5"/>
  <c r="BW429" i="5"/>
  <c r="BS190" i="5"/>
  <c r="CU388" i="5"/>
  <c r="CU347" i="5"/>
  <c r="CB84" i="5"/>
  <c r="CB95" i="5"/>
  <c r="CB126" i="5"/>
  <c r="BT1331" i="18" s="1"/>
  <c r="AO214" i="5"/>
  <c r="AO196" i="5"/>
  <c r="AO197" i="5" s="1"/>
  <c r="AO179" i="5"/>
  <c r="AS146" i="5"/>
  <c r="AS156" i="5" s="1"/>
  <c r="AS157" i="5" s="1"/>
  <c r="AS135" i="5"/>
  <c r="AK112" i="18" s="1"/>
  <c r="AW425" i="5"/>
  <c r="AW426" i="5" s="1"/>
  <c r="BQ385" i="5"/>
  <c r="BI1277" i="18" s="1"/>
  <c r="BQ384" i="5"/>
  <c r="BI1276" i="18" s="1"/>
  <c r="BW363" i="5"/>
  <c r="AW443" i="5"/>
  <c r="BY389" i="5"/>
  <c r="CB537" i="5"/>
  <c r="CB92" i="5"/>
  <c r="BT80" i="18" s="1"/>
  <c r="CB91" i="5"/>
  <c r="BT79" i="18" s="1"/>
  <c r="CB90" i="5"/>
  <c r="BT78" i="18" s="1"/>
  <c r="CB88" i="5"/>
  <c r="BT76" i="18" s="1"/>
  <c r="CF663" i="5"/>
  <c r="CY611" i="5"/>
  <c r="BB180" i="5"/>
  <c r="AT146" i="18" s="1"/>
  <c r="BB205" i="5"/>
  <c r="BZ184" i="5"/>
  <c r="BR150" i="18" s="1"/>
  <c r="AL200" i="5"/>
  <c r="AU157" i="5"/>
  <c r="AV85" i="5"/>
  <c r="BS460" i="5"/>
  <c r="BK347" i="18" s="1"/>
  <c r="BS332" i="5"/>
  <c r="CP75" i="5"/>
  <c r="CN43" i="5"/>
  <c r="CP405" i="5"/>
  <c r="CU337" i="5"/>
  <c r="BV363" i="5"/>
  <c r="BJ531" i="5"/>
  <c r="BJ574" i="5"/>
  <c r="BB420" i="18" s="1"/>
  <c r="BJ83" i="5"/>
  <c r="BB73" i="18" s="1"/>
  <c r="BJ74" i="5"/>
  <c r="BJ123" i="5"/>
  <c r="BB105" i="18" s="1"/>
  <c r="BI573" i="5"/>
  <c r="BA419" i="18" s="1"/>
  <c r="BI80" i="5"/>
  <c r="BI87" i="5"/>
  <c r="BM90" i="5" s="1"/>
  <c r="BE78" i="18" s="1"/>
  <c r="BM429" i="5"/>
  <c r="BP81" i="5"/>
  <c r="BH72" i="18" s="1"/>
  <c r="BN50" i="5"/>
  <c r="BF38" i="18" s="1"/>
  <c r="BN573" i="5"/>
  <c r="BF419" i="18" s="1"/>
  <c r="BN80" i="5"/>
  <c r="BN87" i="5"/>
  <c r="BF75" i="18" s="1"/>
  <c r="BN124" i="5"/>
  <c r="BF106" i="18" s="1"/>
  <c r="CR489" i="5"/>
  <c r="BT262" i="5"/>
  <c r="AL146" i="5"/>
  <c r="AL156" i="5" s="1"/>
  <c r="AL157" i="5" s="1"/>
  <c r="AL135" i="5"/>
  <c r="AD112" i="18" s="1"/>
  <c r="BF474" i="5"/>
  <c r="AX360" i="18" s="1"/>
  <c r="BF44" i="5"/>
  <c r="AX36" i="18" s="1"/>
  <c r="BF216" i="5"/>
  <c r="AX183" i="18" s="1"/>
  <c r="BF289" i="5"/>
  <c r="AX246" i="18" s="1"/>
  <c r="CT473" i="5"/>
  <c r="BA84" i="5"/>
  <c r="BA95" i="5"/>
  <c r="AS1321" i="18" s="1"/>
  <c r="BO454" i="5"/>
  <c r="BG341" i="18" s="1"/>
  <c r="BO41" i="5"/>
  <c r="BG34" i="18" s="1"/>
  <c r="BO574" i="5"/>
  <c r="BG420" i="18" s="1"/>
  <c r="BO83" i="5"/>
  <c r="BG73" i="18" s="1"/>
  <c r="BO123" i="5"/>
  <c r="BG105" i="18" s="1"/>
  <c r="BO74" i="5"/>
  <c r="BG61" i="18" s="1"/>
  <c r="AS434" i="5"/>
  <c r="BK190" i="5"/>
  <c r="AQ292" i="5"/>
  <c r="AQ293" i="5" s="1"/>
  <c r="AQ229" i="5"/>
  <c r="AQ193" i="5"/>
  <c r="BG480" i="5"/>
  <c r="AY367" i="18" s="1"/>
  <c r="BG83" i="5"/>
  <c r="AY73" i="18" s="1"/>
  <c r="BG123" i="5"/>
  <c r="AY105" i="18" s="1"/>
  <c r="BG74" i="5"/>
  <c r="BG523" i="5"/>
  <c r="BI395" i="5"/>
  <c r="BI393" i="5"/>
  <c r="AK44" i="5"/>
  <c r="BP749" i="5"/>
  <c r="BP155" i="5"/>
  <c r="BH127" i="18" s="1"/>
  <c r="BS394" i="5"/>
  <c r="AT394" i="5"/>
  <c r="AK749" i="5"/>
  <c r="AK155" i="5"/>
  <c r="BW184" i="5"/>
  <c r="BO150" i="18" s="1"/>
  <c r="BM84" i="5"/>
  <c r="BE74" i="18" s="1"/>
  <c r="BM95" i="5"/>
  <c r="BE1321" i="18" s="1"/>
  <c r="BM126" i="5"/>
  <c r="BE1331" i="18" s="1"/>
  <c r="BX544" i="5"/>
  <c r="BP393" i="18" s="1"/>
  <c r="BX559" i="5"/>
  <c r="BP405" i="18" s="1"/>
  <c r="BX549" i="5"/>
  <c r="BP398" i="18" s="1"/>
  <c r="CY325" i="5"/>
  <c r="CZ325" i="5" s="1"/>
  <c r="DA325" i="5" s="1"/>
  <c r="DB325" i="5" s="1"/>
  <c r="DC325" i="5" s="1"/>
  <c r="DD325" i="5" s="1"/>
  <c r="DE325" i="5" s="1"/>
  <c r="DF325" i="5" s="1"/>
  <c r="CY326" i="5"/>
  <c r="BQ460" i="5"/>
  <c r="BI347" i="18" s="1"/>
  <c r="BU460" i="5"/>
  <c r="BM347" i="18" s="1"/>
  <c r="AT89" i="5"/>
  <c r="AU224" i="5"/>
  <c r="AU226" i="5"/>
  <c r="DB685" i="5"/>
  <c r="BX537" i="5"/>
  <c r="BX92" i="5"/>
  <c r="BP80" i="18" s="1"/>
  <c r="BX91" i="5"/>
  <c r="BP79" i="18" s="1"/>
  <c r="BX90" i="5"/>
  <c r="BP78" i="18" s="1"/>
  <c r="BX88" i="5"/>
  <c r="BP76" i="18" s="1"/>
  <c r="CW258" i="5"/>
  <c r="CW260" i="5" s="1"/>
  <c r="CW428" i="5"/>
  <c r="CO1036" i="18" s="1"/>
  <c r="CW79" i="5"/>
  <c r="CO70" i="18" s="1"/>
  <c r="CW73" i="5"/>
  <c r="CO60" i="18" s="1"/>
  <c r="CW55" i="5"/>
  <c r="CW43" i="5"/>
  <c r="CO35" i="18" s="1"/>
  <c r="CW40" i="5"/>
  <c r="CW518" i="5"/>
  <c r="CO372" i="18" s="1"/>
  <c r="CW347" i="5"/>
  <c r="CO297" i="18" s="1"/>
  <c r="CW530" i="5"/>
  <c r="CW473" i="5"/>
  <c r="CO359" i="18" s="1"/>
  <c r="BU44" i="5"/>
  <c r="BM36" i="18" s="1"/>
  <c r="BX44" i="5"/>
  <c r="BP36" i="18" s="1"/>
  <c r="CW459" i="5"/>
  <c r="CO346" i="18" s="1"/>
  <c r="BX332" i="5"/>
  <c r="BP288" i="18" s="1"/>
  <c r="BU332" i="5"/>
  <c r="BM288" i="18" s="1"/>
  <c r="CA697" i="5"/>
  <c r="BZ699" i="5"/>
  <c r="BC146" i="5"/>
  <c r="BC135" i="5"/>
  <c r="AU112" i="18" s="1"/>
  <c r="AS426" i="5"/>
  <c r="CW337" i="5"/>
  <c r="AW90" i="5"/>
  <c r="AZ93" i="5"/>
  <c r="AZ92" i="5"/>
  <c r="AZ91" i="5"/>
  <c r="AZ90" i="5"/>
  <c r="AZ88" i="5"/>
  <c r="AZ89" i="5" s="1"/>
  <c r="AO226" i="5"/>
  <c r="AO224" i="5"/>
  <c r="BV146" i="5"/>
  <c r="BV135" i="5"/>
  <c r="BN112" i="18" s="1"/>
  <c r="BH129" i="5"/>
  <c r="AZ109" i="18" s="1"/>
  <c r="BH143" i="5"/>
  <c r="AZ117" i="18" s="1"/>
  <c r="BU385" i="5"/>
  <c r="BM1277" i="18" s="1"/>
  <c r="BU384" i="5"/>
  <c r="BM1276" i="18" s="1"/>
  <c r="BK447" i="5"/>
  <c r="BK448" i="5" s="1"/>
  <c r="BK438" i="5"/>
  <c r="BC1042" i="18" s="1"/>
  <c r="AV394" i="5"/>
  <c r="CO460" i="5"/>
  <c r="CO450" i="5"/>
  <c r="AZ146" i="5"/>
  <c r="AZ135" i="5"/>
  <c r="AR112" i="18" s="1"/>
  <c r="BD384" i="5"/>
  <c r="AV1276" i="18" s="1"/>
  <c r="BD385" i="5"/>
  <c r="AV1277" i="18" s="1"/>
  <c r="BA395" i="5"/>
  <c r="BA393" i="5"/>
  <c r="BB395" i="5"/>
  <c r="BV531" i="5"/>
  <c r="BP577" i="5"/>
  <c r="BH423" i="18" s="1"/>
  <c r="BP579" i="5"/>
  <c r="AP84" i="5"/>
  <c r="AP85" i="5" s="1"/>
  <c r="AP95" i="5"/>
  <c r="AQ101" i="5" s="1"/>
  <c r="BY56" i="5"/>
  <c r="BQ43" i="18" s="1"/>
  <c r="BY523" i="5"/>
  <c r="CC522" i="5"/>
  <c r="AN92" i="5"/>
  <c r="AX91" i="5"/>
  <c r="AX93" i="5"/>
  <c r="AX92" i="5"/>
  <c r="AX90" i="5"/>
  <c r="AX88" i="5"/>
  <c r="AX89" i="5" s="1"/>
  <c r="CT404" i="5"/>
  <c r="CT362" i="5"/>
  <c r="CT383" i="5"/>
  <c r="CL1275" i="18" s="1"/>
  <c r="CT392" i="5"/>
  <c r="AW229" i="5"/>
  <c r="AW292" i="5"/>
  <c r="AW293" i="5" s="1"/>
  <c r="AW193" i="5"/>
  <c r="BA749" i="5"/>
  <c r="BA155" i="5"/>
  <c r="AS127" i="18" s="1"/>
  <c r="BW41" i="5"/>
  <c r="BO34" i="18" s="1"/>
  <c r="BW47" i="5"/>
  <c r="BO1319" i="18" s="1"/>
  <c r="CB75" i="5"/>
  <c r="BL530" i="5"/>
  <c r="BL532" i="5"/>
  <c r="BP532" i="5"/>
  <c r="CO295" i="5"/>
  <c r="CO180" i="5"/>
  <c r="DG113" i="5"/>
  <c r="CR94" i="18" s="1"/>
  <c r="CX116" i="5"/>
  <c r="CP97" i="18" s="1"/>
  <c r="CX115" i="5"/>
  <c r="CP96" i="18" s="1"/>
  <c r="CY614" i="5"/>
  <c r="BM393" i="5"/>
  <c r="BM395" i="5"/>
  <c r="BM41" i="5"/>
  <c r="BE34" i="18" s="1"/>
  <c r="CX415" i="5"/>
  <c r="CP308" i="18" s="1"/>
  <c r="CX419" i="5"/>
  <c r="CP312" i="18" s="1"/>
  <c r="AO91" i="5"/>
  <c r="BT312" i="5"/>
  <c r="BL270" i="18" s="1"/>
  <c r="BP306" i="5"/>
  <c r="BH264" i="18" s="1"/>
  <c r="BP36" i="5"/>
  <c r="BH28" i="18" s="1"/>
  <c r="BP437" i="5"/>
  <c r="BH1041" i="18" s="1"/>
  <c r="BP287" i="5"/>
  <c r="CS25" i="5"/>
  <c r="CK17" i="18" s="1"/>
  <c r="BT129" i="5"/>
  <c r="BL109" i="18" s="1"/>
  <c r="BT143" i="5"/>
  <c r="BL117" i="18" s="1"/>
  <c r="BS338" i="5"/>
  <c r="BK294" i="18" s="1"/>
  <c r="CP95" i="5"/>
  <c r="CP84" i="5"/>
  <c r="CP85" i="5" s="1"/>
  <c r="CN87" i="5"/>
  <c r="CN80" i="5"/>
  <c r="AJ146" i="5"/>
  <c r="AJ156" i="5" s="1"/>
  <c r="AN157" i="5" s="1"/>
  <c r="AJ135" i="5"/>
  <c r="AB112" i="18" s="1"/>
  <c r="BJ41" i="5"/>
  <c r="BB34" i="18" s="1"/>
  <c r="BI574" i="5"/>
  <c r="BA420" i="18" s="1"/>
  <c r="BI74" i="5"/>
  <c r="BI83" i="5"/>
  <c r="BA73" i="18" s="1"/>
  <c r="BI123" i="5"/>
  <c r="BA105" i="18" s="1"/>
  <c r="BP537" i="5"/>
  <c r="BH386" i="18" s="1"/>
  <c r="BP92" i="5"/>
  <c r="BH80" i="18" s="1"/>
  <c r="BP91" i="5"/>
  <c r="BH79" i="18" s="1"/>
  <c r="BP90" i="5"/>
  <c r="BH78" i="18" s="1"/>
  <c r="BP88" i="5"/>
  <c r="BN574" i="5"/>
  <c r="BF420" i="18" s="1"/>
  <c r="BN83" i="5"/>
  <c r="BF73" i="18" s="1"/>
  <c r="BN74" i="5"/>
  <c r="BF61" i="18" s="1"/>
  <c r="BN123" i="5"/>
  <c r="BF105" i="18" s="1"/>
  <c r="BB146" i="5"/>
  <c r="BB135" i="5"/>
  <c r="AT112" i="18" s="1"/>
  <c r="BF50" i="5"/>
  <c r="AX38" i="18" s="1"/>
  <c r="CT558" i="5"/>
  <c r="CL404" i="18" s="1"/>
  <c r="CT690" i="5"/>
  <c r="CL529" i="18" s="1"/>
  <c r="BM537" i="5"/>
  <c r="BE386" i="18" s="1"/>
  <c r="BM93" i="5"/>
  <c r="BE81" i="18" s="1"/>
  <c r="BM88" i="5"/>
  <c r="BE76" i="18" s="1"/>
  <c r="BO573" i="5"/>
  <c r="BG419" i="18" s="1"/>
  <c r="BO87" i="5"/>
  <c r="BO80" i="5"/>
  <c r="BG71" i="18" s="1"/>
  <c r="BO124" i="5"/>
  <c r="BG106" i="18" s="1"/>
  <c r="CW467" i="5"/>
  <c r="CO353" i="18" s="1"/>
  <c r="AM101" i="5"/>
  <c r="AM96" i="5"/>
  <c r="AM41" i="5"/>
  <c r="AQ41" i="5"/>
  <c r="AI87" i="5"/>
  <c r="AI80" i="5"/>
  <c r="AM81" i="5" s="1"/>
  <c r="AI124" i="5"/>
  <c r="BH146" i="5"/>
  <c r="BH135" i="5"/>
  <c r="AZ112" i="18" s="1"/>
  <c r="AX288" i="5"/>
  <c r="AX217" i="5"/>
  <c r="AX213" i="5"/>
  <c r="AX234" i="5"/>
  <c r="AX223" i="5"/>
  <c r="CW415" i="5"/>
  <c r="CW419" i="5"/>
  <c r="CO312" i="18" s="1"/>
  <c r="BE84" i="5"/>
  <c r="BE95" i="5"/>
  <c r="AW1321" i="18" s="1"/>
  <c r="BK429" i="5"/>
  <c r="BY573" i="5"/>
  <c r="BQ419" i="18" s="1"/>
  <c r="BY80" i="5"/>
  <c r="BY87" i="5"/>
  <c r="BQ75" i="18" s="1"/>
  <c r="AW218" i="5"/>
  <c r="BQ393" i="5"/>
  <c r="BQ395" i="5"/>
  <c r="BT84" i="5"/>
  <c r="BT95" i="5"/>
  <c r="BL1321" i="18" s="1"/>
  <c r="BT126" i="5"/>
  <c r="BL1331" i="18" s="1"/>
  <c r="BN349" i="5"/>
  <c r="BF298" i="18" s="1"/>
  <c r="BN348" i="5"/>
  <c r="BF299" i="18" s="1"/>
  <c r="BF41" i="5"/>
  <c r="AX34" i="18" s="1"/>
  <c r="CT312" i="5"/>
  <c r="CL270" i="18" s="1"/>
  <c r="BJ313" i="5"/>
  <c r="BB271" i="18" s="1"/>
  <c r="BJ309" i="5"/>
  <c r="BB267" i="18" s="1"/>
  <c r="BJ36" i="5"/>
  <c r="AQ226" i="5"/>
  <c r="AQ224" i="5"/>
  <c r="CS404" i="5"/>
  <c r="CS362" i="5"/>
  <c r="CS383" i="5"/>
  <c r="CS392" i="5"/>
  <c r="BZ394" i="5"/>
  <c r="AM749" i="5"/>
  <c r="AM155" i="5"/>
  <c r="CA349" i="5"/>
  <c r="BS298" i="18" s="1"/>
  <c r="CA348" i="5"/>
  <c r="BS299" i="18" s="1"/>
  <c r="CB349" i="5"/>
  <c r="BT298" i="18" s="1"/>
  <c r="CA573" i="5"/>
  <c r="BS419" i="18" s="1"/>
  <c r="CA87" i="5"/>
  <c r="CA80" i="5"/>
  <c r="CW453" i="5"/>
  <c r="CO340" i="18" s="1"/>
  <c r="CY339" i="5"/>
  <c r="CY336" i="5"/>
  <c r="CQ292" i="18" s="1"/>
  <c r="CZ335" i="5"/>
  <c r="CR291" i="18" s="1"/>
  <c r="CA543" i="5"/>
  <c r="BS392" i="18" s="1"/>
  <c r="CU487" i="5"/>
  <c r="CM379" i="18" s="1"/>
  <c r="CU489" i="5"/>
  <c r="BZ574" i="5"/>
  <c r="BR420" i="18" s="1"/>
  <c r="BZ83" i="5"/>
  <c r="BR73" i="18" s="1"/>
  <c r="BZ74" i="5"/>
  <c r="BZ123" i="5"/>
  <c r="BU143" i="5"/>
  <c r="BM117" i="18" s="1"/>
  <c r="BU129" i="5"/>
  <c r="BM109" i="18" s="1"/>
  <c r="BV385" i="5"/>
  <c r="BN1277" i="18" s="1"/>
  <c r="BL143" i="5"/>
  <c r="BD117" i="18" s="1"/>
  <c r="BL129" i="5"/>
  <c r="BD109" i="18" s="1"/>
  <c r="CC473" i="5"/>
  <c r="BY474" i="5"/>
  <c r="BQ360" i="18" s="1"/>
  <c r="BW544" i="5"/>
  <c r="BO393" i="18" s="1"/>
  <c r="BW559" i="5"/>
  <c r="BO405" i="18" s="1"/>
  <c r="BW549" i="5"/>
  <c r="BO398" i="18" s="1"/>
  <c r="BK531" i="5"/>
  <c r="AV749" i="5"/>
  <c r="AV155" i="5"/>
  <c r="BM416" i="5"/>
  <c r="BE309" i="18" s="1"/>
  <c r="BQ416" i="5"/>
  <c r="BI309" i="18" s="1"/>
  <c r="DC690" i="5"/>
  <c r="DD680" i="5"/>
  <c r="CY481" i="5"/>
  <c r="CY483" i="5"/>
  <c r="BY574" i="5"/>
  <c r="BQ420" i="18" s="1"/>
  <c r="BY74" i="5"/>
  <c r="BY83" i="5"/>
  <c r="BQ73" i="18" s="1"/>
  <c r="BY123" i="5"/>
  <c r="BN394" i="5"/>
  <c r="BC289" i="5"/>
  <c r="AU246" i="18" s="1"/>
  <c r="BC216" i="5"/>
  <c r="AU183" i="18" s="1"/>
  <c r="BW44" i="5"/>
  <c r="BO36" i="18" s="1"/>
  <c r="BY124" i="5"/>
  <c r="BQ106" i="18" s="1"/>
  <c r="BM363" i="5"/>
  <c r="CX718" i="5"/>
  <c r="BU490" i="5"/>
  <c r="BM382" i="18" s="1"/>
  <c r="AO89" i="5"/>
  <c r="CS543" i="5"/>
  <c r="CK392" i="18" s="1"/>
  <c r="AX129" i="5"/>
  <c r="AX143" i="5"/>
  <c r="BF190" i="5"/>
  <c r="BM50" i="5"/>
  <c r="BE38" i="18" s="1"/>
  <c r="BS573" i="5"/>
  <c r="BK419" i="18" s="1"/>
  <c r="BS87" i="5"/>
  <c r="BS80" i="5"/>
  <c r="AR425" i="5"/>
  <c r="AV426" i="5" s="1"/>
  <c r="BJ429" i="5"/>
  <c r="BM313" i="5"/>
  <c r="BE271" i="18" s="1"/>
  <c r="BN312" i="5"/>
  <c r="BF270" i="18" s="1"/>
  <c r="BM309" i="5"/>
  <c r="BQ312" i="5"/>
  <c r="BI270" i="18" s="1"/>
  <c r="BM36" i="5"/>
  <c r="BM437" i="5"/>
  <c r="BE1041" i="18" s="1"/>
  <c r="BM287" i="5"/>
  <c r="BE244" i="18" s="1"/>
  <c r="AW296" i="5"/>
  <c r="AW297" i="5" s="1"/>
  <c r="BN56" i="5"/>
  <c r="BF43" i="18" s="1"/>
  <c r="BF454" i="5"/>
  <c r="AX341" i="18" s="1"/>
  <c r="BF438" i="5"/>
  <c r="AX1042" i="18" s="1"/>
  <c r="BF447" i="5"/>
  <c r="BF448" i="5" s="1"/>
  <c r="CV467" i="5"/>
  <c r="BO531" i="5"/>
  <c r="BM454" i="5"/>
  <c r="BE341" i="18" s="1"/>
  <c r="CO92" i="5"/>
  <c r="CO88" i="5"/>
  <c r="AY425" i="5"/>
  <c r="AY426" i="5" s="1"/>
  <c r="AZ84" i="5"/>
  <c r="AZ85" i="5" s="1"/>
  <c r="AZ95" i="5"/>
  <c r="CE522" i="5"/>
  <c r="CA523" i="5"/>
  <c r="CA44" i="5"/>
  <c r="BS36" i="18" s="1"/>
  <c r="CA574" i="5"/>
  <c r="BS420" i="18" s="1"/>
  <c r="CA74" i="5"/>
  <c r="BS61" i="18" s="1"/>
  <c r="CA83" i="5"/>
  <c r="BS73" i="18" s="1"/>
  <c r="CA123" i="5"/>
  <c r="BE393" i="5"/>
  <c r="BE395" i="5"/>
  <c r="BJ190" i="5"/>
  <c r="BB156" i="18" s="1"/>
  <c r="AI74" i="5"/>
  <c r="AM75" i="5" s="1"/>
  <c r="AI123" i="5"/>
  <c r="AI83" i="5"/>
  <c r="BF33" i="5"/>
  <c r="AX25" i="18" s="1"/>
  <c r="AT214" i="5"/>
  <c r="AT196" i="5"/>
  <c r="AT179" i="5"/>
  <c r="BD448" i="5"/>
  <c r="CX460" i="5"/>
  <c r="CP347" i="18" s="1"/>
  <c r="CX450" i="5"/>
  <c r="CP337" i="18" s="1"/>
  <c r="BH448" i="5"/>
  <c r="BZ474" i="5"/>
  <c r="BR360" i="18" s="1"/>
  <c r="CD473" i="5"/>
  <c r="BZ41" i="5"/>
  <c r="BR34" i="18" s="1"/>
  <c r="BZ47" i="5"/>
  <c r="BR1319" i="18" s="1"/>
  <c r="BZ573" i="5"/>
  <c r="BR419" i="18" s="1"/>
  <c r="BZ80" i="5"/>
  <c r="BZ87" i="5"/>
  <c r="BR75" i="18" s="1"/>
  <c r="BZ124" i="5"/>
  <c r="BR106" i="18" s="1"/>
  <c r="CO33" i="5"/>
  <c r="AS196" i="5"/>
  <c r="AS197" i="5" s="1"/>
  <c r="AS214" i="5"/>
  <c r="AS296" i="5" s="1"/>
  <c r="AS179" i="5"/>
  <c r="BE749" i="5"/>
  <c r="BE155" i="5"/>
  <c r="AW127" i="18" s="1"/>
  <c r="BL81" i="5"/>
  <c r="BD72" i="18" s="1"/>
  <c r="BI595" i="5"/>
  <c r="CS515" i="5"/>
  <c r="CS516" i="5" s="1"/>
  <c r="CS517" i="5" s="1"/>
  <c r="BJ480" i="5"/>
  <c r="BB367" i="18" s="1"/>
  <c r="AV89" i="5"/>
  <c r="AW157" i="5"/>
  <c r="AO129" i="18" s="1"/>
  <c r="BK559" i="5"/>
  <c r="BC405" i="18" s="1"/>
  <c r="BK549" i="5"/>
  <c r="BC398" i="18" s="1"/>
  <c r="BD84" i="5"/>
  <c r="BD126" i="5"/>
  <c r="AV1331" i="18" s="1"/>
  <c r="BD95" i="5"/>
  <c r="AV1321" i="18" s="1"/>
  <c r="AT217" i="5"/>
  <c r="AT218" i="5" s="1"/>
  <c r="BU75" i="5"/>
  <c r="BR454" i="5"/>
  <c r="BJ341" i="18" s="1"/>
  <c r="BR56" i="5"/>
  <c r="BJ43" i="18" s="1"/>
  <c r="BR261" i="5"/>
  <c r="AQ749" i="5"/>
  <c r="AQ155" i="5"/>
  <c r="AK146" i="5"/>
  <c r="AK156" i="5" s="1"/>
  <c r="AK135" i="5"/>
  <c r="AC112" i="18" s="1"/>
  <c r="DA625" i="5"/>
  <c r="DB625" i="5" s="1"/>
  <c r="DC625" i="5" s="1"/>
  <c r="DD625" i="5" s="1"/>
  <c r="DE625" i="5" s="1"/>
  <c r="DF625" i="5" s="1"/>
  <c r="BL84" i="5"/>
  <c r="BL95" i="5"/>
  <c r="BD1321" i="18" s="1"/>
  <c r="BL126" i="5"/>
  <c r="BD1331" i="18" s="1"/>
  <c r="BM56" i="5"/>
  <c r="BE43" i="18" s="1"/>
  <c r="BB80" i="5"/>
  <c r="BB87" i="5"/>
  <c r="AT75" i="18" s="1"/>
  <c r="BD146" i="5"/>
  <c r="BD135" i="5"/>
  <c r="AV112" i="18" s="1"/>
  <c r="BK468" i="5"/>
  <c r="BC354" i="18" s="1"/>
  <c r="BK50" i="5"/>
  <c r="BC38" i="18" s="1"/>
  <c r="BZ531" i="5"/>
  <c r="AW85" i="5"/>
  <c r="BU338" i="5"/>
  <c r="BM294" i="18" s="1"/>
  <c r="BA384" i="5"/>
  <c r="AS1276" i="18" s="1"/>
  <c r="BA385" i="5"/>
  <c r="AS1277" i="18" s="1"/>
  <c r="BV338" i="5"/>
  <c r="BN294" i="18" s="1"/>
  <c r="AR226" i="5"/>
  <c r="AR224" i="5"/>
  <c r="CE106" i="5"/>
  <c r="BW87" i="18" s="1"/>
  <c r="AZ394" i="5"/>
  <c r="CO184" i="5"/>
  <c r="CA480" i="5"/>
  <c r="BS367" i="18" s="1"/>
  <c r="BC87" i="5"/>
  <c r="AU75" i="18" s="1"/>
  <c r="BC80" i="5"/>
  <c r="BC332" i="5"/>
  <c r="AH84" i="5"/>
  <c r="AL85" i="5" s="1"/>
  <c r="AH95" i="5"/>
  <c r="AL100" i="5" s="1"/>
  <c r="AH126" i="5"/>
  <c r="BW574" i="5"/>
  <c r="BO420" i="18" s="1"/>
  <c r="BW83" i="5"/>
  <c r="BO73" i="18" s="1"/>
  <c r="BW74" i="5"/>
  <c r="BW123" i="5"/>
  <c r="BO105" i="18" s="1"/>
  <c r="BL448" i="5"/>
  <c r="CU355" i="5"/>
  <c r="CV355" i="5"/>
  <c r="CS677" i="5"/>
  <c r="CS557" i="5"/>
  <c r="BM490" i="5"/>
  <c r="BE382" i="18" s="1"/>
  <c r="DA648" i="5"/>
  <c r="DB70" i="5"/>
  <c r="CT57" i="18" s="1"/>
  <c r="DH70" i="5"/>
  <c r="CZ57" i="18" s="1"/>
  <c r="BH363" i="5"/>
  <c r="BM384" i="5"/>
  <c r="BE1276" i="18" s="1"/>
  <c r="BM385" i="5"/>
  <c r="BE1277" i="18" s="1"/>
  <c r="AR101" i="5"/>
  <c r="AR100" i="5"/>
  <c r="AR99" i="5"/>
  <c r="AR98" i="5"/>
  <c r="AR96" i="5"/>
  <c r="AR97" i="5" s="1"/>
  <c r="AL292" i="5"/>
  <c r="AL293" i="5" s="1"/>
  <c r="AL193" i="5"/>
  <c r="AL194" i="5" s="1"/>
  <c r="AL229" i="5"/>
  <c r="CX716" i="5"/>
  <c r="CY469" i="5"/>
  <c r="CZ466" i="5"/>
  <c r="CY592" i="5"/>
  <c r="CZ592" i="5" s="1"/>
  <c r="AU394" i="5"/>
  <c r="BA288" i="5"/>
  <c r="AS245" i="18" s="1"/>
  <c r="BA223" i="5"/>
  <c r="AS190" i="18" s="1"/>
  <c r="BA234" i="5"/>
  <c r="AS201" i="18" s="1"/>
  <c r="BA217" i="5"/>
  <c r="BN416" i="5"/>
  <c r="BF309" i="18" s="1"/>
  <c r="BR416" i="5"/>
  <c r="BJ309" i="18" s="1"/>
  <c r="BT273" i="5"/>
  <c r="BP274" i="5"/>
  <c r="BP240" i="5"/>
  <c r="AO90" i="5"/>
  <c r="CA696" i="5"/>
  <c r="CA698" i="5" s="1"/>
  <c r="BF395" i="5"/>
  <c r="BN190" i="5"/>
  <c r="CA394" i="5"/>
  <c r="BT577" i="5"/>
  <c r="BL423" i="18" s="1"/>
  <c r="BF184" i="5"/>
  <c r="AX150" i="18" s="1"/>
  <c r="BS41" i="5"/>
  <c r="BK34" i="18" s="1"/>
  <c r="BS47" i="5"/>
  <c r="BK1319" i="18" s="1"/>
  <c r="BS261" i="5"/>
  <c r="BS262" i="5" s="1"/>
  <c r="BS429" i="5"/>
  <c r="AG749" i="5"/>
  <c r="AG155" i="5"/>
  <c r="CA490" i="5"/>
  <c r="BS382" i="18" s="1"/>
  <c r="BJ287" i="5"/>
  <c r="BB244" i="18" s="1"/>
  <c r="BI216" i="5"/>
  <c r="BA183" i="18" s="1"/>
  <c r="BI289" i="5"/>
  <c r="BA246" i="18" s="1"/>
  <c r="AV200" i="5"/>
  <c r="BN468" i="5"/>
  <c r="BF354" i="18" s="1"/>
  <c r="BN41" i="5"/>
  <c r="BF34" i="18" s="1"/>
  <c r="CO749" i="5"/>
  <c r="CO155" i="5"/>
  <c r="BF349" i="5"/>
  <c r="AX298" i="18" s="1"/>
  <c r="BF348" i="5"/>
  <c r="AX299" i="18" s="1"/>
  <c r="BF56" i="5"/>
  <c r="AX43" i="18" s="1"/>
  <c r="BF429" i="5"/>
  <c r="CY111" i="5"/>
  <c r="CQ92" i="18" s="1"/>
  <c r="CZ108" i="5"/>
  <c r="DH108" i="5"/>
  <c r="CS89" i="18" s="1"/>
  <c r="BO474" i="5"/>
  <c r="BG360" i="18" s="1"/>
  <c r="BO50" i="5"/>
  <c r="BG38" i="18" s="1"/>
  <c r="BG349" i="5"/>
  <c r="AY298" i="18" s="1"/>
  <c r="BG348" i="5"/>
  <c r="AY299" i="18" s="1"/>
  <c r="BH349" i="5"/>
  <c r="AZ298" i="18" s="1"/>
  <c r="BG41" i="5"/>
  <c r="AY34" i="18" s="1"/>
  <c r="BO312" i="5"/>
  <c r="BG270" i="18" s="1"/>
  <c r="BK309" i="5"/>
  <c r="BC267" i="18" s="1"/>
  <c r="BK313" i="5"/>
  <c r="BC271" i="18" s="1"/>
  <c r="BK36" i="5"/>
  <c r="AX434" i="5"/>
  <c r="AX435" i="5" s="1"/>
  <c r="DF224" i="5"/>
  <c r="DE225" i="5"/>
  <c r="CW192" i="18" s="1"/>
  <c r="CO81" i="5"/>
  <c r="BE288" i="5"/>
  <c r="AW245" i="18" s="1"/>
  <c r="BE223" i="5"/>
  <c r="AW190" i="18" s="1"/>
  <c r="BE234" i="5"/>
  <c r="AW201" i="18" s="1"/>
  <c r="BE217" i="5"/>
  <c r="CP81" i="5"/>
  <c r="BX749" i="5"/>
  <c r="BX155" i="5"/>
  <c r="BP127" i="18" s="1"/>
  <c r="AY749" i="5"/>
  <c r="AY155" i="5"/>
  <c r="CA41" i="5"/>
  <c r="BS34" i="18" s="1"/>
  <c r="CA47" i="5"/>
  <c r="BS1319" i="18" s="1"/>
  <c r="BL216" i="5"/>
  <c r="BD183" i="18" s="1"/>
  <c r="BL289" i="5"/>
  <c r="BD246" i="18" s="1"/>
  <c r="BM577" i="5"/>
  <c r="DA319" i="5"/>
  <c r="CZ37" i="5"/>
  <c r="CZ18" i="5"/>
  <c r="BQ474" i="5"/>
  <c r="BI360" i="18" s="1"/>
  <c r="BU474" i="5"/>
  <c r="BM360" i="18" s="1"/>
  <c r="AG146" i="5"/>
  <c r="AG156" i="5" s="1"/>
  <c r="AG135" i="5"/>
  <c r="Y112" i="18" s="1"/>
  <c r="DA558" i="5"/>
  <c r="DA690" i="5"/>
  <c r="BX577" i="5"/>
  <c r="CQ574" i="5"/>
  <c r="CQ74" i="5"/>
  <c r="CQ75" i="5" s="1"/>
  <c r="CQ83" i="5"/>
  <c r="CQ123" i="5"/>
  <c r="CM79" i="5"/>
  <c r="CM73" i="5"/>
  <c r="CM55" i="5"/>
  <c r="CN56" i="5" s="1"/>
  <c r="CM287" i="5"/>
  <c r="CM43" i="5"/>
  <c r="CM40" i="5"/>
  <c r="CM41" i="5" s="1"/>
  <c r="CM49" i="5"/>
  <c r="CN50" i="5" s="1"/>
  <c r="CM347" i="5"/>
  <c r="CM518" i="5"/>
  <c r="CN519" i="5" s="1"/>
  <c r="CM467" i="5"/>
  <c r="CN468" i="5" s="1"/>
  <c r="AG44" i="5"/>
  <c r="CM473" i="5"/>
  <c r="CN474" i="5" s="1"/>
  <c r="AJ44" i="5"/>
  <c r="CM337" i="5"/>
  <c r="CN338" i="5" s="1"/>
  <c r="AH44" i="5"/>
  <c r="CM479" i="5"/>
  <c r="CN480" i="5" s="1"/>
  <c r="CM453" i="5"/>
  <c r="CN454" i="5" s="1"/>
  <c r="BV47" i="5"/>
  <c r="BN1319" i="18" s="1"/>
  <c r="BV41" i="5"/>
  <c r="BN34" i="18" s="1"/>
  <c r="BY47" i="5"/>
  <c r="BQ1319" i="18" s="1"/>
  <c r="BY41" i="5"/>
  <c r="BQ34" i="18" s="1"/>
  <c r="AR749" i="5"/>
  <c r="AR155" i="5"/>
  <c r="BF146" i="5"/>
  <c r="BF135" i="5"/>
  <c r="AX112" i="18" s="1"/>
  <c r="AH129" i="5"/>
  <c r="AH143" i="5"/>
  <c r="BW573" i="5"/>
  <c r="BO419" i="18" s="1"/>
  <c r="BW87" i="5"/>
  <c r="BW80" i="5"/>
  <c r="BW124" i="5"/>
  <c r="BO106" i="18" s="1"/>
  <c r="CB577" i="5"/>
  <c r="BT423" i="18" s="1"/>
  <c r="CX404" i="5"/>
  <c r="CX383" i="5"/>
  <c r="CP1275" i="18" s="1"/>
  <c r="CX362" i="5"/>
  <c r="CX392" i="5"/>
  <c r="CX511" i="5"/>
  <c r="CP371" i="18" s="1"/>
  <c r="CX513" i="5"/>
  <c r="BJ573" i="5"/>
  <c r="BB419" i="18" s="1"/>
  <c r="BJ80" i="5"/>
  <c r="BB71" i="18" s="1"/>
  <c r="BJ87" i="5"/>
  <c r="BB75" i="18" s="1"/>
  <c r="AY146" i="5"/>
  <c r="AY135" i="5"/>
  <c r="AQ112" i="18" s="1"/>
  <c r="CS480" i="5"/>
  <c r="CK367" i="18" s="1"/>
  <c r="BG87" i="5"/>
  <c r="AY75" i="18" s="1"/>
  <c r="BG80" i="5"/>
  <c r="BG124" i="5"/>
  <c r="AY106" i="18" s="1"/>
  <c r="CS41" i="5"/>
  <c r="CK34" i="18" s="1"/>
  <c r="CV530" i="5"/>
  <c r="CV428" i="5"/>
  <c r="CN1036" i="18" s="1"/>
  <c r="CV258" i="5"/>
  <c r="CV260" i="5" s="1"/>
  <c r="CV73" i="5"/>
  <c r="CN60" i="18" s="1"/>
  <c r="CV337" i="5"/>
  <c r="CN293" i="18" s="1"/>
  <c r="DG39" i="5"/>
  <c r="CY32" i="18" s="1"/>
  <c r="CV49" i="5"/>
  <c r="CN37" i="18" s="1"/>
  <c r="CV55" i="5"/>
  <c r="CV40" i="5"/>
  <c r="CV43" i="5"/>
  <c r="CN35" i="18" s="1"/>
  <c r="CV347" i="5"/>
  <c r="CV362" i="5"/>
  <c r="BT44" i="5"/>
  <c r="BL36" i="18" s="1"/>
  <c r="CV518" i="5"/>
  <c r="CN372" i="18" s="1"/>
  <c r="CV473" i="5"/>
  <c r="CV459" i="5"/>
  <c r="CN346" i="18" s="1"/>
  <c r="BT332" i="5"/>
  <c r="BQ348" i="5"/>
  <c r="BI299" i="18" s="1"/>
  <c r="BQ349" i="5"/>
  <c r="BI298" i="18" s="1"/>
  <c r="BU348" i="5"/>
  <c r="BM299" i="18" s="1"/>
  <c r="DF683" i="5"/>
  <c r="DF556" i="5" s="1"/>
  <c r="DE556" i="5"/>
  <c r="CP238" i="5"/>
  <c r="CP180" i="5"/>
  <c r="BL146" i="5"/>
  <c r="BL135" i="5"/>
  <c r="BD112" i="18" s="1"/>
  <c r="AP143" i="5"/>
  <c r="AP129" i="5"/>
  <c r="BD129" i="5"/>
  <c r="AV109" i="18" s="1"/>
  <c r="BD143" i="5"/>
  <c r="AV117" i="18" s="1"/>
  <c r="AX394" i="5"/>
  <c r="CX519" i="5"/>
  <c r="CQ573" i="5"/>
  <c r="CQ80" i="5"/>
  <c r="CQ81" i="5" s="1"/>
  <c r="CQ87" i="5"/>
  <c r="BK573" i="5"/>
  <c r="BC419" i="18" s="1"/>
  <c r="BK87" i="5"/>
  <c r="BC75" i="18" s="1"/>
  <c r="BK80" i="5"/>
  <c r="BC71" i="18" s="1"/>
  <c r="AW101" i="5"/>
  <c r="AW96" i="5"/>
  <c r="BV460" i="5"/>
  <c r="BN347" i="18" s="1"/>
  <c r="CR419" i="5"/>
  <c r="CJ312" i="18" s="1"/>
  <c r="CR415" i="5"/>
  <c r="CN196" i="5"/>
  <c r="CN197" i="5" s="1"/>
  <c r="CN214" i="5"/>
  <c r="CN296" i="5" s="1"/>
  <c r="CN297" i="5" s="1"/>
  <c r="BW338" i="5"/>
  <c r="BO294" i="18" s="1"/>
  <c r="CF115" i="5"/>
  <c r="BX96" i="18" s="1"/>
  <c r="CF104" i="5"/>
  <c r="BX85" i="18" s="1"/>
  <c r="CY113" i="5"/>
  <c r="CQ94" i="18" s="1"/>
  <c r="AR85" i="5"/>
  <c r="CO146" i="5"/>
  <c r="CO156" i="5" s="1"/>
  <c r="CO135" i="5"/>
  <c r="AI291" i="5"/>
  <c r="AI199" i="5"/>
  <c r="AM200" i="5" s="1"/>
  <c r="AI193" i="5"/>
  <c r="AK291" i="5"/>
  <c r="AK199" i="5"/>
  <c r="AK200" i="5" s="1"/>
  <c r="CV59" i="5"/>
  <c r="CN45" i="18" s="1"/>
  <c r="AY93" i="5"/>
  <c r="AY92" i="5"/>
  <c r="AY91" i="5"/>
  <c r="AY90" i="5"/>
  <c r="AY88" i="5"/>
  <c r="AY89" i="5" s="1"/>
  <c r="AU749" i="5"/>
  <c r="AU155" i="5"/>
  <c r="BA93" i="5"/>
  <c r="AS81" i="18" s="1"/>
  <c r="BA92" i="5"/>
  <c r="AS80" i="18" s="1"/>
  <c r="BA91" i="5"/>
  <c r="AS79" i="18" s="1"/>
  <c r="BA90" i="5"/>
  <c r="AS78" i="18" s="1"/>
  <c r="BA88" i="5"/>
  <c r="BS349" i="5"/>
  <c r="BK298" i="18" s="1"/>
  <c r="BS348" i="5"/>
  <c r="BK299" i="18" s="1"/>
  <c r="BL395" i="5"/>
  <c r="BL393" i="5"/>
  <c r="AT191" i="5"/>
  <c r="BI41" i="5"/>
  <c r="BA34" i="18" s="1"/>
  <c r="DG121" i="5"/>
  <c r="CR103" i="18" s="1"/>
  <c r="CV124" i="5"/>
  <c r="CN106" i="18" s="1"/>
  <c r="BH393" i="5"/>
  <c r="BH395" i="5"/>
  <c r="CV453" i="5"/>
  <c r="BG289" i="5"/>
  <c r="AY246" i="18" s="1"/>
  <c r="BG216" i="5"/>
  <c r="AY183" i="18" s="1"/>
  <c r="CP91" i="5"/>
  <c r="CP92" i="5"/>
  <c r="CP90" i="5"/>
  <c r="CP88" i="5"/>
  <c r="CP89" i="5" s="1"/>
  <c r="BW531" i="5"/>
  <c r="CS573" i="5"/>
  <c r="CK419" i="18" s="1"/>
  <c r="CS87" i="5"/>
  <c r="CK75" i="18" s="1"/>
  <c r="CS80" i="5"/>
  <c r="CK71" i="18" s="1"/>
  <c r="CS124" i="5"/>
  <c r="CK106" i="18" s="1"/>
  <c r="CQ363" i="5"/>
  <c r="BE363" i="5"/>
  <c r="CT480" i="5"/>
  <c r="CL367" i="18" s="1"/>
  <c r="AM44" i="5"/>
  <c r="CW487" i="5"/>
  <c r="CO379" i="18" s="1"/>
  <c r="CW489" i="5"/>
  <c r="CO381" i="18" s="1"/>
  <c r="AT295" i="5"/>
  <c r="BQ573" i="5"/>
  <c r="BI419" i="18" s="1"/>
  <c r="BQ80" i="5"/>
  <c r="BQ87" i="5"/>
  <c r="CV79" i="5"/>
  <c r="CN70" i="18" s="1"/>
  <c r="BQ429" i="5"/>
  <c r="CU53" i="5"/>
  <c r="CM40" i="18" s="1"/>
  <c r="BZ44" i="5"/>
  <c r="BR36" i="18" s="1"/>
  <c r="AR157" i="5"/>
  <c r="AS295" i="5"/>
  <c r="BY490" i="5"/>
  <c r="BQ382" i="18" s="1"/>
  <c r="BL537" i="5"/>
  <c r="BL93" i="5"/>
  <c r="BD81" i="18" s="1"/>
  <c r="BL92" i="5"/>
  <c r="BD80" i="18" s="1"/>
  <c r="BL91" i="5"/>
  <c r="BD79" i="18" s="1"/>
  <c r="BL90" i="5"/>
  <c r="BD78" i="18" s="1"/>
  <c r="BL88" i="5"/>
  <c r="BS124" i="5"/>
  <c r="BK106" i="18" s="1"/>
  <c r="BU146" i="5"/>
  <c r="BU135" i="5"/>
  <c r="BM112" i="18" s="1"/>
  <c r="BG190" i="5"/>
  <c r="AP146" i="5"/>
  <c r="AP156" i="5" s="1"/>
  <c r="AP157" i="5" s="1"/>
  <c r="AP135" i="5"/>
  <c r="AH112" i="18" s="1"/>
  <c r="BD75" i="5"/>
  <c r="BG33" i="5"/>
  <c r="AY25" i="18" s="1"/>
  <c r="BU84" i="5"/>
  <c r="BM74" i="18" s="1"/>
  <c r="BU95" i="5"/>
  <c r="BM1321" i="18" s="1"/>
  <c r="BU126" i="5"/>
  <c r="BM1331" i="18" s="1"/>
  <c r="BR332" i="5"/>
  <c r="AK126" i="5"/>
  <c r="CU428" i="5"/>
  <c r="CM1036" i="18" s="1"/>
  <c r="CU258" i="5"/>
  <c r="CU260" i="5" s="1"/>
  <c r="CU261" i="5" s="1"/>
  <c r="CU262" i="5" s="1"/>
  <c r="CU73" i="5"/>
  <c r="CM60" i="18" s="1"/>
  <c r="CU79" i="5"/>
  <c r="CU40" i="5"/>
  <c r="CM33" i="18" s="1"/>
  <c r="CU43" i="5"/>
  <c r="CM35" i="18" s="1"/>
  <c r="CU49" i="5"/>
  <c r="CM37" i="18" s="1"/>
  <c r="CU55" i="5"/>
  <c r="CM42" i="18" s="1"/>
  <c r="BM332" i="5"/>
  <c r="CU518" i="5"/>
  <c r="BP332" i="5"/>
  <c r="BP44" i="5"/>
  <c r="BH36" i="18" s="1"/>
  <c r="CU530" i="5"/>
  <c r="BB349" i="5"/>
  <c r="AT298" i="18" s="1"/>
  <c r="BB348" i="5"/>
  <c r="AT299" i="18" s="1"/>
  <c r="BB332" i="5"/>
  <c r="CT460" i="5"/>
  <c r="CL347" i="18" s="1"/>
  <c r="CT450" i="5"/>
  <c r="CL337" i="18" s="1"/>
  <c r="CQ438" i="5"/>
  <c r="CQ447" i="5"/>
  <c r="BD93" i="5"/>
  <c r="AV81" i="18" s="1"/>
  <c r="BD92" i="5"/>
  <c r="AV80" i="18" s="1"/>
  <c r="BD91" i="5"/>
  <c r="AV79" i="18" s="1"/>
  <c r="BD90" i="5"/>
  <c r="AV78" i="18" s="1"/>
  <c r="BD88" i="5"/>
  <c r="BK574" i="5"/>
  <c r="BC420" i="18" s="1"/>
  <c r="BK74" i="5"/>
  <c r="BK83" i="5"/>
  <c r="BC73" i="18" s="1"/>
  <c r="BK123" i="5"/>
  <c r="BC105" i="18" s="1"/>
  <c r="BH234" i="5"/>
  <c r="AZ201" i="18" s="1"/>
  <c r="BH217" i="5"/>
  <c r="AZ184" i="18" s="1"/>
  <c r="BH223" i="5"/>
  <c r="AZ190" i="18" s="1"/>
  <c r="BH288" i="5"/>
  <c r="AZ245" i="18" s="1"/>
  <c r="CU479" i="5"/>
  <c r="BV184" i="5"/>
  <c r="BN150" i="18" s="1"/>
  <c r="BU261" i="5"/>
  <c r="BU262" i="5" s="1"/>
  <c r="CO519" i="5"/>
  <c r="BV44" i="5"/>
  <c r="BN36" i="18" s="1"/>
  <c r="BV429" i="5"/>
  <c r="CB169" i="5"/>
  <c r="CB174" i="5"/>
  <c r="BT140" i="18" s="1"/>
  <c r="BY332" i="5"/>
  <c r="BQ288" i="18" s="1"/>
  <c r="AR229" i="5"/>
  <c r="AR193" i="5"/>
  <c r="AR292" i="5"/>
  <c r="AR293" i="5" s="1"/>
  <c r="AN101" i="5"/>
  <c r="AN98" i="5"/>
  <c r="AN96" i="5"/>
  <c r="CT419" i="5"/>
  <c r="CL312" i="18" s="1"/>
  <c r="CT415" i="5"/>
  <c r="CL308" i="18" s="1"/>
  <c r="CX523" i="5"/>
  <c r="AV157" i="5"/>
  <c r="CO41" i="5"/>
  <c r="BC429" i="5"/>
  <c r="AW226" i="5"/>
  <c r="BW262" i="5"/>
  <c r="BO184" i="5"/>
  <c r="BG150" i="18" s="1"/>
  <c r="CR467" i="5"/>
  <c r="CV479" i="5"/>
  <c r="BS490" i="5"/>
  <c r="BK382" i="18" s="1"/>
  <c r="CN179" i="5"/>
  <c r="AO81" i="5"/>
  <c r="CT208" i="5"/>
  <c r="CL175" i="18" s="1"/>
  <c r="AL98" i="5"/>
  <c r="AL96" i="5"/>
  <c r="CT300" i="5"/>
  <c r="CT233" i="5"/>
  <c r="CL200" i="18" s="1"/>
  <c r="BM405" i="5"/>
  <c r="BQ405" i="5"/>
  <c r="BS274" i="5"/>
  <c r="BW273" i="5"/>
  <c r="AL749" i="5"/>
  <c r="AL155" i="5"/>
  <c r="CR233" i="5"/>
  <c r="CJ200" i="18" s="1"/>
  <c r="CR300" i="5"/>
  <c r="BF385" i="5"/>
  <c r="AX1277" i="18" s="1"/>
  <c r="CS524" i="5"/>
  <c r="CS529" i="5"/>
  <c r="CS523" i="5"/>
  <c r="BR124" i="5"/>
  <c r="BJ106" i="18" s="1"/>
  <c r="AO92" i="5"/>
  <c r="BR274" i="5"/>
  <c r="BV273" i="5"/>
  <c r="BR240" i="5"/>
  <c r="AX84" i="5"/>
  <c r="AX85" i="5" s="1"/>
  <c r="AX95" i="5"/>
  <c r="AX126" i="5"/>
  <c r="CS454" i="5"/>
  <c r="CK341" i="18" s="1"/>
  <c r="BS44" i="5"/>
  <c r="BK36" i="18" s="1"/>
  <c r="BS574" i="5"/>
  <c r="BK420" i="18" s="1"/>
  <c r="BS74" i="5"/>
  <c r="BS83" i="5"/>
  <c r="BK73" i="18" s="1"/>
  <c r="BS123" i="5"/>
  <c r="BK105" i="18" s="1"/>
  <c r="CN348" i="5"/>
  <c r="CN83" i="5"/>
  <c r="CN74" i="5"/>
  <c r="CN123" i="5"/>
  <c r="BP349" i="5"/>
  <c r="BH298" i="18" s="1"/>
  <c r="BJ454" i="5"/>
  <c r="BB341" i="18" s="1"/>
  <c r="BI332" i="5"/>
  <c r="CT716" i="5"/>
  <c r="BN460" i="5"/>
  <c r="BF347" i="18" s="1"/>
  <c r="BN531" i="5"/>
  <c r="AU85" i="5"/>
  <c r="AQ89" i="5"/>
  <c r="CA363" i="5"/>
  <c r="BF468" i="5"/>
  <c r="AX354" i="18" s="1"/>
  <c r="BF523" i="5"/>
  <c r="AM292" i="5"/>
  <c r="AM293" i="5" s="1"/>
  <c r="AM229" i="5"/>
  <c r="AM193" i="5"/>
  <c r="AM194" i="5" s="1"/>
  <c r="AW448" i="5"/>
  <c r="CC106" i="5"/>
  <c r="BU87" i="18" s="1"/>
  <c r="CY103" i="5"/>
  <c r="CQ84" i="18" s="1"/>
  <c r="BO468" i="5"/>
  <c r="BG354" i="18" s="1"/>
  <c r="BO429" i="5"/>
  <c r="CV487" i="5"/>
  <c r="CN379" i="18" s="1"/>
  <c r="CV489" i="5"/>
  <c r="BG460" i="5"/>
  <c r="AY347" i="18" s="1"/>
  <c r="BG44" i="5"/>
  <c r="AY36" i="18" s="1"/>
  <c r="BG429" i="5"/>
  <c r="BJ385" i="5"/>
  <c r="BB1277" i="18" s="1"/>
  <c r="BM468" i="5"/>
  <c r="BE354" i="18" s="1"/>
  <c r="AZ234" i="5"/>
  <c r="AZ288" i="5"/>
  <c r="AZ217" i="5"/>
  <c r="AZ218" i="5" s="1"/>
  <c r="AZ223" i="5"/>
  <c r="AR190" i="18" s="1"/>
  <c r="AU200" i="5"/>
  <c r="CC349" i="5"/>
  <c r="BU298" i="18" s="1"/>
  <c r="CC348" i="5"/>
  <c r="BU299" i="18" s="1"/>
  <c r="AQ425" i="5"/>
  <c r="AU426" i="5" s="1"/>
  <c r="AN200" i="5"/>
  <c r="CV490" i="5" l="1"/>
  <c r="CN382" i="18" s="1"/>
  <c r="CN381" i="18"/>
  <c r="CT301" i="5"/>
  <c r="CL259" i="18" s="1"/>
  <c r="CL258" i="18"/>
  <c r="CU519" i="5"/>
  <c r="CM372" i="18"/>
  <c r="BU90" i="5"/>
  <c r="BM78" i="18" s="1"/>
  <c r="C15" i="19"/>
  <c r="BI75" i="18"/>
  <c r="BG81" i="5"/>
  <c r="AY72" i="18" s="1"/>
  <c r="AY71" i="18"/>
  <c r="BC81" i="5"/>
  <c r="AU72" i="18" s="1"/>
  <c r="AU71" i="18"/>
  <c r="CS384" i="5"/>
  <c r="CK1276" i="18" s="1"/>
  <c r="CK1275" i="18"/>
  <c r="BI1282" i="18"/>
  <c r="BI1260" i="18"/>
  <c r="BI304" i="18"/>
  <c r="BH156" i="5"/>
  <c r="AZ128" i="18" s="1"/>
  <c r="AZ120" i="18"/>
  <c r="BE1282" i="18"/>
  <c r="BE1260" i="18"/>
  <c r="BE304" i="18"/>
  <c r="X14" i="19"/>
  <c r="CO42" i="18"/>
  <c r="CT474" i="5"/>
  <c r="CL360" i="18" s="1"/>
  <c r="CL359" i="18"/>
  <c r="P15" i="19"/>
  <c r="BT1321" i="18"/>
  <c r="BX85" i="5"/>
  <c r="BP74" i="18"/>
  <c r="CM1261" i="18"/>
  <c r="CM1290" i="18"/>
  <c r="BD394" i="5"/>
  <c r="AV1282" i="18"/>
  <c r="AV1260" i="18"/>
  <c r="AV304" i="18"/>
  <c r="CT468" i="5"/>
  <c r="CL354" i="18" s="1"/>
  <c r="CL353" i="18"/>
  <c r="AW1291" i="18"/>
  <c r="AW1262" i="18"/>
  <c r="BQ75" i="5"/>
  <c r="BI61" i="18"/>
  <c r="BI156" i="5"/>
  <c r="BA120" i="18"/>
  <c r="BK369" i="6"/>
  <c r="BC608" i="18" s="1"/>
  <c r="BC607" i="18"/>
  <c r="CS389" i="5"/>
  <c r="CK1280" i="18"/>
  <c r="BJ126" i="6"/>
  <c r="BB695" i="18" s="1"/>
  <c r="BB694" i="18"/>
  <c r="BK120" i="6"/>
  <c r="BC684" i="18" s="1"/>
  <c r="BC661" i="18"/>
  <c r="AT1302" i="18"/>
  <c r="AT728" i="18"/>
  <c r="CK1302" i="18"/>
  <c r="CK728" i="18"/>
  <c r="BT1291" i="18"/>
  <c r="BT1262" i="18"/>
  <c r="BT574" i="18"/>
  <c r="CB42" i="7"/>
  <c r="F16" i="19"/>
  <c r="F33" i="19"/>
  <c r="F34" i="19" s="1"/>
  <c r="F908" i="18"/>
  <c r="BQ333" i="5"/>
  <c r="BI289" i="18" s="1"/>
  <c r="BI288" i="18"/>
  <c r="BI333" i="5"/>
  <c r="BA289" i="18" s="1"/>
  <c r="BA288" i="18"/>
  <c r="BE1291" i="18"/>
  <c r="BE1262" i="18"/>
  <c r="BB333" i="5"/>
  <c r="AT289" i="18" s="1"/>
  <c r="AT288" i="18"/>
  <c r="CU124" i="5"/>
  <c r="CM106" i="18" s="1"/>
  <c r="CM70" i="18"/>
  <c r="CV56" i="5"/>
  <c r="CN43" i="18" s="1"/>
  <c r="CN42" i="18"/>
  <c r="BW81" i="5"/>
  <c r="BO72" i="18" s="1"/>
  <c r="BO71" i="18"/>
  <c r="BX579" i="5"/>
  <c r="BP423" i="18"/>
  <c r="BE218" i="5"/>
  <c r="AW185" i="18" s="1"/>
  <c r="AW184" i="18"/>
  <c r="BK31" i="5"/>
  <c r="BC23" i="18" s="1"/>
  <c r="BC28" i="18"/>
  <c r="BR191" i="5"/>
  <c r="BJ157" i="18" s="1"/>
  <c r="BF156" i="18"/>
  <c r="BS81" i="5"/>
  <c r="BK72" i="18" s="1"/>
  <c r="BK71" i="18"/>
  <c r="BF191" i="5"/>
  <c r="AX157" i="18" s="1"/>
  <c r="AX156" i="18"/>
  <c r="CX348" i="5"/>
  <c r="CP299" i="18" s="1"/>
  <c r="CA81" i="5"/>
  <c r="BS72" i="18" s="1"/>
  <c r="BS71" i="18"/>
  <c r="CK1290" i="18"/>
  <c r="CK1261" i="18"/>
  <c r="BT85" i="5"/>
  <c r="BL74" i="18"/>
  <c r="BP89" i="5"/>
  <c r="BH77" i="18" s="1"/>
  <c r="BH76" i="18"/>
  <c r="BP289" i="5"/>
  <c r="BH246" i="18" s="1"/>
  <c r="BH244" i="18"/>
  <c r="CL1281" i="18"/>
  <c r="CL1259" i="18"/>
  <c r="BP580" i="5"/>
  <c r="BH426" i="18" s="1"/>
  <c r="BH425" i="18"/>
  <c r="BA394" i="5"/>
  <c r="AS1282" i="18"/>
  <c r="AS1260" i="18"/>
  <c r="AS304" i="18"/>
  <c r="BV156" i="5"/>
  <c r="BN120" i="18"/>
  <c r="BC156" i="5"/>
  <c r="AU128" i="18" s="1"/>
  <c r="AU120" i="18"/>
  <c r="CW41" i="5"/>
  <c r="CO34" i="18" s="1"/>
  <c r="CO33" i="18"/>
  <c r="BK191" i="5"/>
  <c r="BC157" i="18" s="1"/>
  <c r="BC156" i="18"/>
  <c r="CU348" i="5"/>
  <c r="CM299" i="18" s="1"/>
  <c r="CM297" i="18"/>
  <c r="CR405" i="5"/>
  <c r="CJ1290" i="18"/>
  <c r="CJ1261" i="18"/>
  <c r="BD333" i="5"/>
  <c r="AV289" i="18" s="1"/>
  <c r="AV288" i="18"/>
  <c r="CR41" i="5"/>
  <c r="CJ34" i="18" s="1"/>
  <c r="CJ33" i="18"/>
  <c r="CS429" i="5"/>
  <c r="CJ1036" i="18"/>
  <c r="CW405" i="5"/>
  <c r="CO1290" i="18"/>
  <c r="CO1261" i="18"/>
  <c r="CD523" i="5"/>
  <c r="BV561" i="18"/>
  <c r="CU363" i="5"/>
  <c r="BL33" i="5"/>
  <c r="BD25" i="18" s="1"/>
  <c r="BD24" i="18"/>
  <c r="BA156" i="5"/>
  <c r="AS120" i="18"/>
  <c r="CV389" i="5"/>
  <c r="CN1280" i="18"/>
  <c r="BT156" i="5"/>
  <c r="BL120" i="18"/>
  <c r="CT519" i="5"/>
  <c r="CL372" i="18"/>
  <c r="CT437" i="5"/>
  <c r="CL1041" i="18" s="1"/>
  <c r="BM191" i="5"/>
  <c r="BE157" i="18" s="1"/>
  <c r="BE156" i="18"/>
  <c r="CW480" i="5"/>
  <c r="CO367" i="18" s="1"/>
  <c r="CO366" i="18"/>
  <c r="BM1282" i="18"/>
  <c r="BM1260" i="18"/>
  <c r="BM304" i="18"/>
  <c r="BQ1282" i="18"/>
  <c r="BQ1260" i="18"/>
  <c r="BQ304" i="18"/>
  <c r="BD218" i="5"/>
  <c r="AV185" i="18" s="1"/>
  <c r="AV184" i="18"/>
  <c r="BM156" i="5"/>
  <c r="BE120" i="18"/>
  <c r="BQ156" i="5"/>
  <c r="BI120" i="18"/>
  <c r="BD1304" i="18"/>
  <c r="BD730" i="18"/>
  <c r="BJ120" i="6"/>
  <c r="BB684" i="18" s="1"/>
  <c r="BB661" i="18"/>
  <c r="BB1302" i="18"/>
  <c r="BB728" i="18"/>
  <c r="BK126" i="6"/>
  <c r="BC695" i="18" s="1"/>
  <c r="BC694" i="18"/>
  <c r="BC126" i="6"/>
  <c r="AU695" i="18" s="1"/>
  <c r="AU694" i="18"/>
  <c r="BF61" i="6"/>
  <c r="AX622" i="18" s="1"/>
  <c r="AX621" i="18"/>
  <c r="BF367" i="6"/>
  <c r="AX606" i="18" s="1"/>
  <c r="AX605" i="18"/>
  <c r="AZ58" i="6"/>
  <c r="AR619" i="18"/>
  <c r="AZ1303" i="18"/>
  <c r="AZ729" i="18"/>
  <c r="BA61" i="6"/>
  <c r="AS622" i="18" s="1"/>
  <c r="AS621" i="18"/>
  <c r="BF27" i="6"/>
  <c r="AX581" i="18" s="1"/>
  <c r="AX580" i="18"/>
  <c r="BH369" i="6"/>
  <c r="AZ608" i="18" s="1"/>
  <c r="AZ607" i="18"/>
  <c r="CT49" i="7"/>
  <c r="BK283" i="6"/>
  <c r="BC805" i="18" s="1"/>
  <c r="AY805" i="18"/>
  <c r="E32" i="19"/>
  <c r="E926" i="18" s="1"/>
  <c r="E906" i="18"/>
  <c r="M32" i="19"/>
  <c r="P926" i="18" s="1"/>
  <c r="P906" i="18"/>
  <c r="I32" i="19"/>
  <c r="L926" i="18" s="1"/>
  <c r="L906" i="18"/>
  <c r="BR492" i="5"/>
  <c r="BR493" i="5" s="1"/>
  <c r="BJ382" i="18"/>
  <c r="BO492" i="5"/>
  <c r="BO493" i="5" s="1"/>
  <c r="BG382" i="18"/>
  <c r="CR468" i="5"/>
  <c r="CJ354" i="18" s="1"/>
  <c r="CJ353" i="18"/>
  <c r="BL547" i="5"/>
  <c r="BD396" i="18" s="1"/>
  <c r="BD386" i="18"/>
  <c r="BD1282" i="18"/>
  <c r="BD1260" i="18"/>
  <c r="BD304" i="18"/>
  <c r="AW1282" i="18"/>
  <c r="AW1260" i="18"/>
  <c r="AW304" i="18"/>
  <c r="BJ75" i="5"/>
  <c r="BB61" i="18"/>
  <c r="BS191" i="5"/>
  <c r="BK157" i="18" s="1"/>
  <c r="BK156" i="18"/>
  <c r="AX156" i="5"/>
  <c r="AP120" i="18"/>
  <c r="I15" i="19"/>
  <c r="BN75" i="18"/>
  <c r="BU579" i="5"/>
  <c r="BM423" i="18"/>
  <c r="CT41" i="5"/>
  <c r="CL34" i="18" s="1"/>
  <c r="CL33" i="18"/>
  <c r="BM178" i="6"/>
  <c r="BE1303" i="18"/>
  <c r="BE729" i="18"/>
  <c r="BA58" i="6"/>
  <c r="AS619" i="18"/>
  <c r="BN369" i="6"/>
  <c r="BF608" i="18" s="1"/>
  <c r="BF607" i="18"/>
  <c r="BR574" i="18"/>
  <c r="BZ42" i="7"/>
  <c r="BZ46" i="7" s="1"/>
  <c r="DA455" i="5"/>
  <c r="CZ452" i="5"/>
  <c r="BS75" i="5"/>
  <c r="BK61" i="18"/>
  <c r="CR301" i="5"/>
  <c r="CJ259" i="18" s="1"/>
  <c r="CJ258" i="18"/>
  <c r="CV480" i="5"/>
  <c r="CN367" i="18" s="1"/>
  <c r="CN366" i="18"/>
  <c r="BK75" i="5"/>
  <c r="BC61" i="18"/>
  <c r="BP333" i="5"/>
  <c r="BH289" i="18" s="1"/>
  <c r="BH288" i="18"/>
  <c r="BR333" i="5"/>
  <c r="BJ289" i="18" s="1"/>
  <c r="BJ288" i="18"/>
  <c r="BG191" i="5"/>
  <c r="AY157" i="18" s="1"/>
  <c r="AY156" i="18"/>
  <c r="BL89" i="5"/>
  <c r="BD77" i="18" s="1"/>
  <c r="BD76" i="18"/>
  <c r="AZ1282" i="18"/>
  <c r="AZ1260" i="18"/>
  <c r="AZ304" i="18"/>
  <c r="CR416" i="5"/>
  <c r="CJ309" i="18" s="1"/>
  <c r="CJ308" i="18"/>
  <c r="CV474" i="5"/>
  <c r="CN360" i="18" s="1"/>
  <c r="CN359" i="18"/>
  <c r="CV348" i="5"/>
  <c r="CN299" i="18" s="1"/>
  <c r="CN297" i="18"/>
  <c r="CV261" i="5"/>
  <c r="CV262" i="5" s="1"/>
  <c r="CB579" i="5"/>
  <c r="J15" i="19"/>
  <c r="BO75" i="18"/>
  <c r="BT579" i="5"/>
  <c r="BA218" i="5"/>
  <c r="AS185" i="18" s="1"/>
  <c r="AS184" i="18"/>
  <c r="BC333" i="5"/>
  <c r="AU289" i="18" s="1"/>
  <c r="AU288" i="18"/>
  <c r="BB81" i="5"/>
  <c r="AT72" i="18" s="1"/>
  <c r="AT71" i="18"/>
  <c r="BL85" i="5"/>
  <c r="BD74" i="18"/>
  <c r="CE523" i="5"/>
  <c r="BW561" i="18"/>
  <c r="CV468" i="5"/>
  <c r="CN354" i="18" s="1"/>
  <c r="CN353" i="18"/>
  <c r="BM31" i="5"/>
  <c r="BE23" i="18" s="1"/>
  <c r="BE28" i="18"/>
  <c r="BT93" i="5"/>
  <c r="BL81" i="18" s="1"/>
  <c r="E15" i="19"/>
  <c r="BK75" i="18"/>
  <c r="BY143" i="5"/>
  <c r="BQ117" i="18" s="1"/>
  <c r="BQ105" i="18"/>
  <c r="CZ483" i="5"/>
  <c r="DA483" i="5" s="1"/>
  <c r="DB483" i="5" s="1"/>
  <c r="DC483" i="5" s="1"/>
  <c r="DD483" i="5" s="1"/>
  <c r="DE483" i="5" s="1"/>
  <c r="DF483" i="5" s="1"/>
  <c r="CQ365" i="18"/>
  <c r="BZ143" i="5"/>
  <c r="BR117" i="18" s="1"/>
  <c r="BR105" i="18"/>
  <c r="CU490" i="5"/>
  <c r="CM382" i="18" s="1"/>
  <c r="CM381" i="18"/>
  <c r="CB93" i="5"/>
  <c r="BT81" i="18" s="1"/>
  <c r="BS75" i="18"/>
  <c r="CK1281" i="18"/>
  <c r="CK1259" i="18"/>
  <c r="BY81" i="5"/>
  <c r="BQ72" i="18" s="1"/>
  <c r="BQ71" i="18"/>
  <c r="BE85" i="5"/>
  <c r="AW74" i="18"/>
  <c r="BP93" i="5"/>
  <c r="BH81" i="18" s="1"/>
  <c r="BG75" i="18"/>
  <c r="AZ156" i="5"/>
  <c r="AR120" i="18"/>
  <c r="CW338" i="5"/>
  <c r="CO294" i="18" s="1"/>
  <c r="CO293" i="18"/>
  <c r="BG75" i="5"/>
  <c r="AY61" i="18"/>
  <c r="BA85" i="5"/>
  <c r="AS74" i="18"/>
  <c r="BN81" i="5"/>
  <c r="BF72" i="18" s="1"/>
  <c r="BF71" i="18"/>
  <c r="CB547" i="5"/>
  <c r="BT396" i="18" s="1"/>
  <c r="BT386" i="18"/>
  <c r="CU389" i="5"/>
  <c r="CM1280" i="18"/>
  <c r="CX454" i="5"/>
  <c r="CP341" i="18" s="1"/>
  <c r="CP340" i="18"/>
  <c r="Y14" i="19"/>
  <c r="CP42" i="18"/>
  <c r="BA333" i="5"/>
  <c r="AS289" i="18" s="1"/>
  <c r="AS288" i="18"/>
  <c r="CR50" i="5"/>
  <c r="CJ38" i="18" s="1"/>
  <c r="CJ37" i="18"/>
  <c r="CO1281" i="18"/>
  <c r="CO1259" i="18"/>
  <c r="CN1281" i="18"/>
  <c r="CN1259" i="18"/>
  <c r="BJ156" i="5"/>
  <c r="BB128" i="18" s="1"/>
  <c r="BB120" i="18"/>
  <c r="BF81" i="5"/>
  <c r="AX72" i="18" s="1"/>
  <c r="AX71" i="18"/>
  <c r="BL333" i="5"/>
  <c r="BD289" i="18" s="1"/>
  <c r="BD288" i="18"/>
  <c r="CT50" i="5"/>
  <c r="CL38" i="18" s="1"/>
  <c r="CL37" i="18"/>
  <c r="CT56" i="5"/>
  <c r="CL43" i="18" s="1"/>
  <c r="CL42" i="18"/>
  <c r="CT696" i="5"/>
  <c r="BD533" i="18"/>
  <c r="BE89" i="5"/>
  <c r="AW77" i="18" s="1"/>
  <c r="AW76" i="18"/>
  <c r="BE156" i="5"/>
  <c r="AW128" i="18" s="1"/>
  <c r="AW120" i="18"/>
  <c r="BA1291" i="18"/>
  <c r="BA1262" i="18"/>
  <c r="AZ27" i="6"/>
  <c r="AR581" i="18" s="1"/>
  <c r="AR580" i="18"/>
  <c r="BQ1291" i="18"/>
  <c r="BQ1262" i="18"/>
  <c r="BI369" i="6"/>
  <c r="BA608" i="18" s="1"/>
  <c r="BA607" i="18"/>
  <c r="BG177" i="6"/>
  <c r="AU1302" i="18"/>
  <c r="AU728" i="18"/>
  <c r="BT126" i="6"/>
  <c r="BL695" i="18" s="1"/>
  <c r="BL694" i="18"/>
  <c r="BI1302" i="18"/>
  <c r="BI728" i="18"/>
  <c r="CQ277" i="5"/>
  <c r="CI233" i="18" s="1"/>
  <c r="BA27" i="6"/>
  <c r="AS581" i="18" s="1"/>
  <c r="AS580" i="18"/>
  <c r="CS126" i="6"/>
  <c r="CK695" i="18" s="1"/>
  <c r="CK694" i="18"/>
  <c r="BM1291" i="18"/>
  <c r="BM1262" i="18"/>
  <c r="CT490" i="5"/>
  <c r="CL382" i="18" s="1"/>
  <c r="CL381" i="18"/>
  <c r="C32" i="19"/>
  <c r="C926" i="18" s="1"/>
  <c r="C906" i="18"/>
  <c r="BC191" i="5"/>
  <c r="AU157" i="18" s="1"/>
  <c r="AU156" i="18"/>
  <c r="CJ1244" i="18"/>
  <c r="CR19" i="6"/>
  <c r="CR16" i="6"/>
  <c r="CR375" i="5"/>
  <c r="D32" i="19"/>
  <c r="D926" i="18" s="1"/>
  <c r="D906" i="18"/>
  <c r="I41" i="19"/>
  <c r="X31" i="19"/>
  <c r="I905" i="18"/>
  <c r="CI1282" i="18"/>
  <c r="CI1260" i="18"/>
  <c r="CI304" i="18"/>
  <c r="CL1244" i="18"/>
  <c r="CT19" i="6"/>
  <c r="CT16" i="6"/>
  <c r="CT375" i="5"/>
  <c r="BQ492" i="5"/>
  <c r="BQ493" i="5" s="1"/>
  <c r="BI382" i="18"/>
  <c r="J32" i="19"/>
  <c r="M926" i="18" s="1"/>
  <c r="M906" i="18"/>
  <c r="CU480" i="5"/>
  <c r="CM367" i="18" s="1"/>
  <c r="CM366" i="18"/>
  <c r="BA89" i="5"/>
  <c r="AS77" i="18" s="1"/>
  <c r="AS76" i="18"/>
  <c r="AY156" i="5"/>
  <c r="AQ120" i="18"/>
  <c r="BF156" i="5"/>
  <c r="AX120" i="18"/>
  <c r="BM579" i="5"/>
  <c r="BE423" i="18"/>
  <c r="BD85" i="5"/>
  <c r="AV74" i="18"/>
  <c r="CC474" i="5"/>
  <c r="BU360" i="18" s="1"/>
  <c r="BU359" i="18"/>
  <c r="BZ75" i="5"/>
  <c r="BR61" i="18"/>
  <c r="CC523" i="5"/>
  <c r="BU561" i="18"/>
  <c r="BA1260" i="18"/>
  <c r="BA1282" i="18"/>
  <c r="BA304" i="18"/>
  <c r="CS490" i="5"/>
  <c r="CK382" i="18" s="1"/>
  <c r="CJ381" i="18"/>
  <c r="BM91" i="5"/>
  <c r="BE79" i="18" s="1"/>
  <c r="BA75" i="18"/>
  <c r="CR393" i="5"/>
  <c r="CJ1281" i="18"/>
  <c r="CJ1259" i="18"/>
  <c r="CR56" i="5"/>
  <c r="CJ43" i="18" s="1"/>
  <c r="CJ42" i="18"/>
  <c r="D15" i="19"/>
  <c r="BJ75" i="18"/>
  <c r="BP156" i="5"/>
  <c r="BH120" i="18"/>
  <c r="BL580" i="5"/>
  <c r="BD426" i="18" s="1"/>
  <c r="BD425" i="18"/>
  <c r="BR75" i="5"/>
  <c r="BJ61" i="18"/>
  <c r="BF58" i="6"/>
  <c r="AX619" i="18"/>
  <c r="BT120" i="6"/>
  <c r="BL684" i="18" s="1"/>
  <c r="BL661" i="18"/>
  <c r="CK1247" i="18"/>
  <c r="CK707" i="18"/>
  <c r="BA1304" i="18"/>
  <c r="BA730" i="18"/>
  <c r="N41" i="19"/>
  <c r="Q936" i="18" s="1"/>
  <c r="Y31" i="19"/>
  <c r="T905" i="18"/>
  <c r="CI1291" i="18"/>
  <c r="CI1262" i="18"/>
  <c r="BI1291" i="18"/>
  <c r="BI1262" i="18"/>
  <c r="BD89" i="5"/>
  <c r="AV77" i="18" s="1"/>
  <c r="AV76" i="18"/>
  <c r="BM333" i="5"/>
  <c r="BE289" i="18" s="1"/>
  <c r="BE288" i="18"/>
  <c r="BU156" i="5"/>
  <c r="BM120" i="18"/>
  <c r="BQ81" i="5"/>
  <c r="BI72" i="18" s="1"/>
  <c r="BI71" i="18"/>
  <c r="CV454" i="5"/>
  <c r="CN341" i="18" s="1"/>
  <c r="CN340" i="18"/>
  <c r="BL156" i="5"/>
  <c r="BD128" i="18" s="1"/>
  <c r="BD120" i="18"/>
  <c r="BT333" i="5"/>
  <c r="BL289" i="18" s="1"/>
  <c r="BL288" i="18"/>
  <c r="CV41" i="5"/>
  <c r="CN34" i="18" s="1"/>
  <c r="CN33" i="18"/>
  <c r="CV531" i="5"/>
  <c r="CX468" i="5"/>
  <c r="CP354" i="18" s="1"/>
  <c r="BW75" i="5"/>
  <c r="BO61" i="18"/>
  <c r="BD156" i="5"/>
  <c r="AV120" i="18"/>
  <c r="BR262" i="5"/>
  <c r="BZ81" i="5"/>
  <c r="BR72" i="18" s="1"/>
  <c r="BR71" i="18"/>
  <c r="CD474" i="5"/>
  <c r="BV360" i="18" s="1"/>
  <c r="BV359" i="18"/>
  <c r="CA143" i="5"/>
  <c r="BS117" i="18" s="1"/>
  <c r="BS105" i="18"/>
  <c r="BM310" i="5"/>
  <c r="BE268" i="18" s="1"/>
  <c r="BE267" i="18"/>
  <c r="BY75" i="5"/>
  <c r="BQ61" i="18"/>
  <c r="BJ31" i="5"/>
  <c r="BB23" i="18" s="1"/>
  <c r="BB28" i="18"/>
  <c r="CW416" i="5"/>
  <c r="CO309" i="18" s="1"/>
  <c r="CO308" i="18"/>
  <c r="BB156" i="5"/>
  <c r="AT120" i="18"/>
  <c r="BI75" i="5"/>
  <c r="BA61" i="18"/>
  <c r="CL1290" i="18"/>
  <c r="CL1261" i="18"/>
  <c r="BX547" i="5"/>
  <c r="BP396" i="18" s="1"/>
  <c r="BP386" i="18"/>
  <c r="BI81" i="5"/>
  <c r="BA72" i="18" s="1"/>
  <c r="BA71" i="18"/>
  <c r="CU338" i="5"/>
  <c r="CM294" i="18" s="1"/>
  <c r="CM293" i="18"/>
  <c r="BS333" i="5"/>
  <c r="BK289" i="18" s="1"/>
  <c r="BK288" i="18"/>
  <c r="CB85" i="5"/>
  <c r="BT74" i="18"/>
  <c r="CR384" i="5"/>
  <c r="CJ1276" i="18" s="1"/>
  <c r="CJ1275" i="18"/>
  <c r="CR519" i="5"/>
  <c r="CJ372" i="18"/>
  <c r="K15" i="19"/>
  <c r="BP1321" i="18"/>
  <c r="BR81" i="5"/>
  <c r="BJ72" i="18" s="1"/>
  <c r="BJ71" i="18"/>
  <c r="CW384" i="5"/>
  <c r="CO1276" i="18" s="1"/>
  <c r="CO1275" i="18"/>
  <c r="CU393" i="5"/>
  <c r="CM1281" i="18"/>
  <c r="CM1259" i="18"/>
  <c r="BL519" i="5"/>
  <c r="BD372" i="18"/>
  <c r="CW389" i="5"/>
  <c r="CO1280" i="18"/>
  <c r="BB75" i="5"/>
  <c r="AT61" i="18"/>
  <c r="BH1282" i="18"/>
  <c r="BH1260" i="18"/>
  <c r="BH304" i="18"/>
  <c r="BC75" i="5"/>
  <c r="AU61" i="18"/>
  <c r="CY538" i="5"/>
  <c r="CQ387" i="18" s="1"/>
  <c r="CQ55" i="18"/>
  <c r="BG448" i="5"/>
  <c r="CB394" i="5"/>
  <c r="BT1282" i="18"/>
  <c r="BT1260" i="18"/>
  <c r="BT304" i="18"/>
  <c r="CR124" i="5"/>
  <c r="CJ106" i="18" s="1"/>
  <c r="CR33" i="5"/>
  <c r="CJ25" i="18" s="1"/>
  <c r="CJ24" i="18"/>
  <c r="CE474" i="5"/>
  <c r="BW360" i="18" s="1"/>
  <c r="BW359" i="18"/>
  <c r="CS60" i="16"/>
  <c r="CK105" i="18"/>
  <c r="BJ447" i="5"/>
  <c r="BJ448" i="5" s="1"/>
  <c r="BK156" i="5"/>
  <c r="BC128" i="18" s="1"/>
  <c r="BC120" i="18"/>
  <c r="BP178" i="6"/>
  <c r="BH1303" i="18"/>
  <c r="BH729" i="18"/>
  <c r="AZ1291" i="18"/>
  <c r="AZ1262" i="18"/>
  <c r="CR389" i="5"/>
  <c r="CJ1280" i="18"/>
  <c r="BC1302" i="18"/>
  <c r="BC728" i="18"/>
  <c r="AZ61" i="6"/>
  <c r="AR622" i="18" s="1"/>
  <c r="AR621" i="18"/>
  <c r="CT119" i="6"/>
  <c r="CL683" i="18" s="1"/>
  <c r="CL660" i="18"/>
  <c r="BB126" i="6"/>
  <c r="AT695" i="18" s="1"/>
  <c r="BQ120" i="6"/>
  <c r="BI684" i="18" s="1"/>
  <c r="BI661" i="18"/>
  <c r="CR369" i="6"/>
  <c r="CJ608" i="18" s="1"/>
  <c r="CJ607" i="18"/>
  <c r="CK811" i="18"/>
  <c r="CK813" i="18"/>
  <c r="CW23" i="7"/>
  <c r="AS1291" i="18"/>
  <c r="AS1262" i="18"/>
  <c r="CA42" i="6"/>
  <c r="BO574" i="18"/>
  <c r="BW42" i="7"/>
  <c r="BW46" i="7" s="1"/>
  <c r="BD1291" i="18"/>
  <c r="BD1262" i="18"/>
  <c r="BO333" i="5"/>
  <c r="BG289" i="18" s="1"/>
  <c r="BG288" i="18"/>
  <c r="O32" i="19"/>
  <c r="R926" i="18" s="1"/>
  <c r="R906" i="18"/>
  <c r="AV1291" i="18"/>
  <c r="AV1262" i="18"/>
  <c r="H33" i="19"/>
  <c r="H34" i="19" s="1"/>
  <c r="H16" i="19"/>
  <c r="K908" i="18"/>
  <c r="N32" i="19"/>
  <c r="Q926" i="18" s="1"/>
  <c r="Q906" i="18"/>
  <c r="CD170" i="5"/>
  <c r="BV133" i="18"/>
  <c r="DA174" i="5"/>
  <c r="CR140" i="18"/>
  <c r="CZ173" i="5"/>
  <c r="DF225" i="5"/>
  <c r="CX192" i="18" s="1"/>
  <c r="CX191" i="18"/>
  <c r="BW732" i="18"/>
  <c r="BW1310" i="18"/>
  <c r="BV733" i="18"/>
  <c r="BV1313" i="18"/>
  <c r="BV734" i="18"/>
  <c r="BV1311" i="18"/>
  <c r="CQ1297" i="18"/>
  <c r="CQ723" i="18"/>
  <c r="CY174" i="6"/>
  <c r="BX1300" i="18"/>
  <c r="BX726" i="18"/>
  <c r="BL728" i="18"/>
  <c r="BL1302" i="18"/>
  <c r="BX724" i="18"/>
  <c r="BX1298" i="18"/>
  <c r="CP1281" i="18"/>
  <c r="CP1259" i="18"/>
  <c r="CX405" i="5"/>
  <c r="CP1290" i="18"/>
  <c r="CP1261" i="18"/>
  <c r="I920" i="18"/>
  <c r="I918" i="18"/>
  <c r="I914" i="18"/>
  <c r="CO340" i="5"/>
  <c r="CO342" i="5" s="1"/>
  <c r="CO430" i="5"/>
  <c r="CO431" i="5" s="1"/>
  <c r="CO432" i="5" s="1"/>
  <c r="CO433" i="5" s="1"/>
  <c r="CO421" i="5"/>
  <c r="CO356" i="5"/>
  <c r="CO358" i="5" s="1"/>
  <c r="CO439" i="5"/>
  <c r="CO440" i="5" s="1"/>
  <c r="CO441" i="5" s="1"/>
  <c r="CO442" i="5" s="1"/>
  <c r="CO19" i="6"/>
  <c r="CO16" i="6"/>
  <c r="CO375" i="5"/>
  <c r="AU398" i="5"/>
  <c r="BY23" i="7"/>
  <c r="CF37" i="7"/>
  <c r="CU19" i="6"/>
  <c r="CU16" i="6"/>
  <c r="CM1245" i="18" s="1"/>
  <c r="CU375" i="5"/>
  <c r="AW435" i="5"/>
  <c r="U6" i="7"/>
  <c r="T5" i="7"/>
  <c r="CB46" i="7"/>
  <c r="CB22" i="7"/>
  <c r="CB23" i="7" s="1"/>
  <c r="CW161" i="6"/>
  <c r="CW149" i="6"/>
  <c r="CQ44" i="7"/>
  <c r="CQ48" i="7"/>
  <c r="CR44" i="7"/>
  <c r="CP44" i="7"/>
  <c r="CP48" i="7"/>
  <c r="CX42" i="7"/>
  <c r="CX42" i="6"/>
  <c r="CX22" i="7"/>
  <c r="CX23" i="7" s="1"/>
  <c r="CP16" i="6"/>
  <c r="CP19" i="6"/>
  <c r="CP375" i="5"/>
  <c r="CV161" i="6"/>
  <c r="CV149" i="6"/>
  <c r="CV43" i="7"/>
  <c r="CV57" i="7"/>
  <c r="CS19" i="6"/>
  <c r="CS16" i="6"/>
  <c r="CK1245" i="18" s="1"/>
  <c r="CS375" i="5"/>
  <c r="CP340" i="5"/>
  <c r="CP342" i="5" s="1"/>
  <c r="CP439" i="5"/>
  <c r="CP440" i="5" s="1"/>
  <c r="CP441" i="5" s="1"/>
  <c r="CP442" i="5" s="1"/>
  <c r="CP421" i="5"/>
  <c r="CP356" i="5"/>
  <c r="CP358" i="5" s="1"/>
  <c r="CP430" i="5"/>
  <c r="CP431" i="5" s="1"/>
  <c r="CP432" i="5" s="1"/>
  <c r="CP433" i="5" s="1"/>
  <c r="AW444" i="5"/>
  <c r="CY37" i="7"/>
  <c r="CZ37" i="7" s="1"/>
  <c r="DA37" i="7" s="1"/>
  <c r="DB37" i="7" s="1"/>
  <c r="DC37" i="7" s="1"/>
  <c r="DD37" i="7" s="1"/>
  <c r="DE37" i="7" s="1"/>
  <c r="DF37" i="7" s="1"/>
  <c r="CQ16" i="6"/>
  <c r="CI1245" i="18" s="1"/>
  <c r="CQ375" i="5"/>
  <c r="CQ19" i="6"/>
  <c r="AT407" i="5"/>
  <c r="AT365" i="5"/>
  <c r="AT397" i="5"/>
  <c r="AT398" i="5" s="1"/>
  <c r="AX397" i="5"/>
  <c r="CU49" i="7"/>
  <c r="AR397" i="5"/>
  <c r="AV398" i="5" s="1"/>
  <c r="AR365" i="5"/>
  <c r="AR366" i="5" s="1"/>
  <c r="AR407" i="5"/>
  <c r="AV408" i="5" s="1"/>
  <c r="CV15" i="6"/>
  <c r="CN1244" i="18" s="1"/>
  <c r="CV44" i="6"/>
  <c r="CN576" i="18" s="1"/>
  <c r="CV47" i="6"/>
  <c r="CY34" i="7"/>
  <c r="AT424" i="5"/>
  <c r="AT422" i="5"/>
  <c r="CT224" i="6"/>
  <c r="CT229" i="6" s="1"/>
  <c r="CT219" i="6"/>
  <c r="AZ335" i="6"/>
  <c r="AR869" i="18" s="1"/>
  <c r="AZ70" i="6"/>
  <c r="AR631" i="18" s="1"/>
  <c r="AZ64" i="6"/>
  <c r="AZ67" i="6"/>
  <c r="AZ66" i="6"/>
  <c r="AR627" i="18" s="1"/>
  <c r="CR165" i="6"/>
  <c r="CR139" i="6"/>
  <c r="CJ699" i="18" s="1"/>
  <c r="AY238" i="5"/>
  <c r="AY204" i="5"/>
  <c r="CQ204" i="5" s="1"/>
  <c r="CQ239" i="5"/>
  <c r="CQ268" i="5" s="1"/>
  <c r="CQ269" i="5" s="1"/>
  <c r="CR176" i="6"/>
  <c r="CR125" i="6"/>
  <c r="CR147" i="6"/>
  <c r="CR31" i="6"/>
  <c r="CR30" i="6"/>
  <c r="CR32" i="6"/>
  <c r="CJ587" i="18" s="1"/>
  <c r="BB33" i="6"/>
  <c r="BA33" i="6"/>
  <c r="CU357" i="6"/>
  <c r="CU359" i="6"/>
  <c r="CM892" i="18" s="1"/>
  <c r="CS148" i="6"/>
  <c r="CT150" i="6"/>
  <c r="CL1250" i="18" s="1"/>
  <c r="CS287" i="6"/>
  <c r="CK809" i="18" s="1"/>
  <c r="BL215" i="6"/>
  <c r="BH216" i="6"/>
  <c r="BH220" i="6"/>
  <c r="CS215" i="6"/>
  <c r="BK219" i="6"/>
  <c r="BO214" i="6"/>
  <c r="BK29" i="6"/>
  <c r="CT29" i="6" s="1"/>
  <c r="BD277" i="5"/>
  <c r="AV233" i="18" s="1"/>
  <c r="BD26" i="6"/>
  <c r="BD63" i="6"/>
  <c r="AV625" i="18" s="1"/>
  <c r="BC204" i="5"/>
  <c r="BC238" i="5"/>
  <c r="DF151" i="6"/>
  <c r="DE152" i="6"/>
  <c r="DE140" i="6"/>
  <c r="DE141" i="6" s="1"/>
  <c r="BJ204" i="5"/>
  <c r="BJ238" i="5"/>
  <c r="BB205" i="18" s="1"/>
  <c r="BO176" i="6"/>
  <c r="BO125" i="6"/>
  <c r="BO108" i="6"/>
  <c r="BO114" i="6"/>
  <c r="BG667" i="18" s="1"/>
  <c r="BQ216" i="6"/>
  <c r="BU215" i="6"/>
  <c r="BQ220" i="6"/>
  <c r="BJ143" i="6"/>
  <c r="BB703" i="18" s="1"/>
  <c r="BN139" i="6"/>
  <c r="CV37" i="6"/>
  <c r="CV38" i="6"/>
  <c r="CN593" i="18" s="1"/>
  <c r="CV36" i="6"/>
  <c r="AZ278" i="5"/>
  <c r="AZ203" i="5"/>
  <c r="BE239" i="5"/>
  <c r="CQ251" i="6"/>
  <c r="CI773" i="18" s="1"/>
  <c r="CQ26" i="6"/>
  <c r="CR25" i="6"/>
  <c r="CJ579" i="18" s="1"/>
  <c r="BF66" i="6"/>
  <c r="AX627" i="18" s="1"/>
  <c r="BF67" i="6"/>
  <c r="BF70" i="6"/>
  <c r="AX631" i="18" s="1"/>
  <c r="BF64" i="6"/>
  <c r="BF278" i="5"/>
  <c r="BF203" i="5"/>
  <c r="AX170" i="18" s="1"/>
  <c r="BL394" i="5"/>
  <c r="CX416" i="5"/>
  <c r="CP309" i="18" s="1"/>
  <c r="CT393" i="5"/>
  <c r="CR267" i="5"/>
  <c r="BJ63" i="6"/>
  <c r="BB625" i="18" s="1"/>
  <c r="BJ277" i="5"/>
  <c r="BB233" i="18" s="1"/>
  <c r="BJ26" i="6"/>
  <c r="BA364" i="6"/>
  <c r="AS603" i="18" s="1"/>
  <c r="BA167" i="6"/>
  <c r="AS717" i="18" s="1"/>
  <c r="BS357" i="6"/>
  <c r="BS359" i="6"/>
  <c r="BK892" i="18" s="1"/>
  <c r="BU176" i="6"/>
  <c r="BU125" i="6"/>
  <c r="BM694" i="18" s="1"/>
  <c r="BU114" i="6"/>
  <c r="BM667" i="18" s="1"/>
  <c r="BU108" i="6"/>
  <c r="BQ357" i="6"/>
  <c r="BQ359" i="6"/>
  <c r="BI892" i="18" s="1"/>
  <c r="AY335" i="6"/>
  <c r="AY64" i="6"/>
  <c r="AY65" i="6" s="1"/>
  <c r="AY67" i="6"/>
  <c r="AY68" i="6" s="1"/>
  <c r="AY66" i="6"/>
  <c r="AY70" i="6"/>
  <c r="CQ63" i="6"/>
  <c r="CI625" i="18" s="1"/>
  <c r="BD57" i="6"/>
  <c r="BD59" i="6"/>
  <c r="BD60" i="6"/>
  <c r="BR330" i="6"/>
  <c r="BN335" i="6"/>
  <c r="BF869" i="18" s="1"/>
  <c r="BC33" i="6"/>
  <c r="BF205" i="5"/>
  <c r="AX172" i="18" s="1"/>
  <c r="BP214" i="6"/>
  <c r="BL219" i="6"/>
  <c r="BL29" i="6"/>
  <c r="CB113" i="6"/>
  <c r="BT666" i="18" s="1"/>
  <c r="CB124" i="6"/>
  <c r="BT693" i="18" s="1"/>
  <c r="CB101" i="6"/>
  <c r="BT654" i="18" s="1"/>
  <c r="CF100" i="6"/>
  <c r="BX653" i="18" s="1"/>
  <c r="BP330" i="6"/>
  <c r="BL335" i="6"/>
  <c r="BD869" i="18" s="1"/>
  <c r="BB364" i="6"/>
  <c r="AT603" i="18" s="1"/>
  <c r="BB167" i="6"/>
  <c r="AT717" i="18" s="1"/>
  <c r="BZ332" i="6"/>
  <c r="BZ333" i="6"/>
  <c r="CD331" i="6"/>
  <c r="CT261" i="6"/>
  <c r="CT267" i="6"/>
  <c r="BO360" i="6"/>
  <c r="BG893" i="18" s="1"/>
  <c r="BO368" i="6"/>
  <c r="BA204" i="5"/>
  <c r="BA238" i="5"/>
  <c r="CR239" i="5"/>
  <c r="CR268" i="5" s="1"/>
  <c r="CR269" i="5" s="1"/>
  <c r="BP166" i="6"/>
  <c r="BH716" i="18" s="1"/>
  <c r="BP155" i="6"/>
  <c r="BH672" i="18" s="1"/>
  <c r="BL368" i="6"/>
  <c r="BL360" i="6"/>
  <c r="BD893" i="18" s="1"/>
  <c r="CS224" i="6"/>
  <c r="CS229" i="6" s="1"/>
  <c r="CS219" i="6"/>
  <c r="CS285" i="6"/>
  <c r="CK807" i="18" s="1"/>
  <c r="BM226" i="6"/>
  <c r="BM231" i="6" s="1"/>
  <c r="BM221" i="6"/>
  <c r="BT177" i="6"/>
  <c r="BR368" i="6"/>
  <c r="BR360" i="6"/>
  <c r="BJ893" i="18" s="1"/>
  <c r="DA346" i="6"/>
  <c r="CS880" i="18" s="1"/>
  <c r="CZ347" i="6"/>
  <c r="CR881" i="18" s="1"/>
  <c r="CZ344" i="6"/>
  <c r="CR878" i="18" s="1"/>
  <c r="BH143" i="6"/>
  <c r="AZ703" i="18" s="1"/>
  <c r="BL139" i="6"/>
  <c r="CX393" i="5"/>
  <c r="BZ262" i="5"/>
  <c r="CU316" i="6"/>
  <c r="CM849" i="18" s="1"/>
  <c r="CU124" i="6"/>
  <c r="CM693" i="18" s="1"/>
  <c r="CU113" i="6"/>
  <c r="CM666" i="18" s="1"/>
  <c r="CU107" i="6"/>
  <c r="BJ59" i="6"/>
  <c r="BJ57" i="6"/>
  <c r="BJ60" i="6"/>
  <c r="AW72" i="6"/>
  <c r="AW71" i="6"/>
  <c r="BK177" i="6"/>
  <c r="BK179" i="6"/>
  <c r="BL179" i="6"/>
  <c r="BE335" i="6"/>
  <c r="AW869" i="18" s="1"/>
  <c r="BI330" i="6"/>
  <c r="BN32" i="6"/>
  <c r="BF587" i="18" s="1"/>
  <c r="BN31" i="6"/>
  <c r="BN30" i="6"/>
  <c r="BN56" i="6"/>
  <c r="BF618" i="18" s="1"/>
  <c r="BN267" i="5"/>
  <c r="BN239" i="5" s="1"/>
  <c r="BN25" i="6"/>
  <c r="BF579" i="18" s="1"/>
  <c r="CP246" i="6"/>
  <c r="CP254" i="6" s="1"/>
  <c r="CZ328" i="6"/>
  <c r="CR862" i="18" s="1"/>
  <c r="CZ326" i="6"/>
  <c r="CR860" i="18" s="1"/>
  <c r="DA325" i="6"/>
  <c r="CS859" i="18" s="1"/>
  <c r="CZ324" i="6"/>
  <c r="CR858" i="18" s="1"/>
  <c r="BC366" i="6"/>
  <c r="AU605" i="18" s="1"/>
  <c r="BC336" i="6"/>
  <c r="AU870" i="18" s="1"/>
  <c r="CU154" i="6"/>
  <c r="CM671" i="18" s="1"/>
  <c r="BQ166" i="6"/>
  <c r="BI716" i="18" s="1"/>
  <c r="BQ155" i="6"/>
  <c r="BI672" i="18" s="1"/>
  <c r="BE60" i="6"/>
  <c r="BE59" i="6"/>
  <c r="BE57" i="6"/>
  <c r="BC165" i="6"/>
  <c r="AU715" i="18" s="1"/>
  <c r="BC57" i="6"/>
  <c r="BC60" i="6"/>
  <c r="BC59" i="6"/>
  <c r="BD165" i="6"/>
  <c r="AV715" i="18" s="1"/>
  <c r="BD226" i="6"/>
  <c r="BD231" i="6" s="1"/>
  <c r="BD221" i="6"/>
  <c r="CP366" i="6"/>
  <c r="CP367" i="6" s="1"/>
  <c r="CP336" i="6"/>
  <c r="CP337" i="6"/>
  <c r="CP330" i="6"/>
  <c r="CP331" i="6" s="1"/>
  <c r="CP70" i="6"/>
  <c r="CQ60" i="6"/>
  <c r="CQ59" i="6"/>
  <c r="CQ57" i="6"/>
  <c r="BX176" i="6"/>
  <c r="BX108" i="6"/>
  <c r="BX114" i="6"/>
  <c r="BP667" i="18" s="1"/>
  <c r="BX125" i="6"/>
  <c r="CR335" i="6"/>
  <c r="CJ869" i="18" s="1"/>
  <c r="BA366" i="6"/>
  <c r="AS605" i="18" s="1"/>
  <c r="BA337" i="6"/>
  <c r="AS871" i="18" s="1"/>
  <c r="BA336" i="6"/>
  <c r="AS870" i="18" s="1"/>
  <c r="CD182" i="6"/>
  <c r="BV1307" i="18" s="1"/>
  <c r="CD183" i="6"/>
  <c r="BV1308" i="18" s="1"/>
  <c r="BN226" i="6"/>
  <c r="BN231" i="6" s="1"/>
  <c r="BN221" i="6"/>
  <c r="CR57" i="6"/>
  <c r="CJ619" i="18" s="1"/>
  <c r="CR59" i="6"/>
  <c r="CR60" i="6"/>
  <c r="BK139" i="6"/>
  <c r="BG143" i="6"/>
  <c r="AY703" i="18" s="1"/>
  <c r="CS405" i="5"/>
  <c r="CT405" i="5"/>
  <c r="BY394" i="5"/>
  <c r="BN176" i="6"/>
  <c r="BN125" i="6"/>
  <c r="BF694" i="18" s="1"/>
  <c r="BN114" i="6"/>
  <c r="BF667" i="18" s="1"/>
  <c r="BN108" i="6"/>
  <c r="CU101" i="6"/>
  <c r="CM654" i="18" s="1"/>
  <c r="BI56" i="6"/>
  <c r="BA618" i="18" s="1"/>
  <c r="BI32" i="6"/>
  <c r="BA587" i="18" s="1"/>
  <c r="BI267" i="5"/>
  <c r="BI30" i="6"/>
  <c r="BI31" i="6"/>
  <c r="BI25" i="6"/>
  <c r="BA579" i="18" s="1"/>
  <c r="BO216" i="6"/>
  <c r="BS215" i="6"/>
  <c r="BO220" i="6"/>
  <c r="CR225" i="6"/>
  <c r="CR230" i="6" s="1"/>
  <c r="CR286" i="6"/>
  <c r="CJ808" i="18" s="1"/>
  <c r="CR246" i="6"/>
  <c r="CR220" i="6"/>
  <c r="CR216" i="6"/>
  <c r="BZ356" i="6"/>
  <c r="CD35" i="6"/>
  <c r="BZ37" i="6"/>
  <c r="BZ272" i="5"/>
  <c r="BJ177" i="6"/>
  <c r="BJ179" i="6"/>
  <c r="BS155" i="6"/>
  <c r="BK672" i="18" s="1"/>
  <c r="BS166" i="6"/>
  <c r="BK716" i="18" s="1"/>
  <c r="CE191" i="6"/>
  <c r="BW1316" i="18" s="1"/>
  <c r="CF185" i="6"/>
  <c r="CE188" i="6"/>
  <c r="CE186" i="6"/>
  <c r="CE187" i="6"/>
  <c r="BW1312" i="18" s="1"/>
  <c r="CE181" i="6"/>
  <c r="BW1306" i="18" s="1"/>
  <c r="BY124" i="6"/>
  <c r="BQ693" i="18" s="1"/>
  <c r="BY113" i="6"/>
  <c r="BQ666" i="18" s="1"/>
  <c r="CC100" i="6"/>
  <c r="BU653" i="18" s="1"/>
  <c r="BY101" i="6"/>
  <c r="BQ654" i="18" s="1"/>
  <c r="BG32" i="6"/>
  <c r="AY587" i="18" s="1"/>
  <c r="BG30" i="6"/>
  <c r="BG25" i="6"/>
  <c r="AY579" i="18" s="1"/>
  <c r="BG33" i="6"/>
  <c r="BG267" i="5"/>
  <c r="BG239" i="5" s="1"/>
  <c r="BG31" i="6"/>
  <c r="BG56" i="6"/>
  <c r="AY618" i="18" s="1"/>
  <c r="BV220" i="6"/>
  <c r="BV216" i="6"/>
  <c r="BZ215" i="6"/>
  <c r="BG335" i="6"/>
  <c r="AY869" i="18" s="1"/>
  <c r="BK330" i="6"/>
  <c r="CT166" i="6"/>
  <c r="CL716" i="18" s="1"/>
  <c r="CT155" i="6"/>
  <c r="CL672" i="18" s="1"/>
  <c r="CT147" i="6"/>
  <c r="BU356" i="6"/>
  <c r="BU37" i="6"/>
  <c r="BY35" i="6"/>
  <c r="BU272" i="5"/>
  <c r="CY172" i="6"/>
  <c r="CY171" i="6"/>
  <c r="BM360" i="6"/>
  <c r="BE893" i="18" s="1"/>
  <c r="BM368" i="6"/>
  <c r="BE165" i="6"/>
  <c r="AW715" i="18" s="1"/>
  <c r="BE144" i="6"/>
  <c r="AW704" i="18" s="1"/>
  <c r="BE145" i="6"/>
  <c r="AW705" i="18" s="1"/>
  <c r="AW367" i="6"/>
  <c r="BC63" i="6"/>
  <c r="AU625" i="18" s="1"/>
  <c r="BC26" i="6"/>
  <c r="BC277" i="5"/>
  <c r="AU233" i="18" s="1"/>
  <c r="CS108" i="6"/>
  <c r="CK661" i="18" s="1"/>
  <c r="CP224" i="5"/>
  <c r="BN126" i="6"/>
  <c r="BF695" i="18" s="1"/>
  <c r="BV357" i="6"/>
  <c r="BV359" i="6"/>
  <c r="BN892" i="18" s="1"/>
  <c r="CS30" i="6"/>
  <c r="CS31" i="6"/>
  <c r="CS32" i="6"/>
  <c r="CK587" i="18" s="1"/>
  <c r="BF33" i="6"/>
  <c r="BA70" i="6"/>
  <c r="AS631" i="18" s="1"/>
  <c r="BA67" i="6"/>
  <c r="BA66" i="6"/>
  <c r="AS627" i="18" s="1"/>
  <c r="BA64" i="6"/>
  <c r="BP357" i="6"/>
  <c r="BP359" i="6"/>
  <c r="BH892" i="18" s="1"/>
  <c r="CT291" i="6"/>
  <c r="CT176" i="6"/>
  <c r="CT125" i="6"/>
  <c r="CL694" i="18" s="1"/>
  <c r="CT108" i="6"/>
  <c r="CT114" i="6"/>
  <c r="CL667" i="18" s="1"/>
  <c r="BF165" i="6"/>
  <c r="AX715" i="18" s="1"/>
  <c r="BF144" i="6"/>
  <c r="AX704" i="18" s="1"/>
  <c r="BF145" i="6"/>
  <c r="AX705" i="18" s="1"/>
  <c r="BH366" i="6"/>
  <c r="BH336" i="6"/>
  <c r="AZ870" i="18" s="1"/>
  <c r="CT368" i="6"/>
  <c r="CT360" i="6"/>
  <c r="CL893" i="18" s="1"/>
  <c r="BS124" i="6"/>
  <c r="BK693" i="18" s="1"/>
  <c r="BS113" i="6"/>
  <c r="BK666" i="18" s="1"/>
  <c r="BW100" i="6"/>
  <c r="BO653" i="18" s="1"/>
  <c r="BS101" i="6"/>
  <c r="BK654" i="18" s="1"/>
  <c r="CT389" i="5"/>
  <c r="BQ179" i="6"/>
  <c r="BQ177" i="6"/>
  <c r="BE26" i="6"/>
  <c r="BE63" i="6"/>
  <c r="AW625" i="18" s="1"/>
  <c r="BE277" i="5"/>
  <c r="AW233" i="18" s="1"/>
  <c r="BD204" i="5"/>
  <c r="BD238" i="5"/>
  <c r="BJ366" i="6"/>
  <c r="BJ336" i="6"/>
  <c r="BB870" i="18" s="1"/>
  <c r="BJ337" i="6"/>
  <c r="BB871" i="18" s="1"/>
  <c r="CX384" i="5"/>
  <c r="CP1276" i="18" s="1"/>
  <c r="BE394" i="5"/>
  <c r="BQ394" i="5"/>
  <c r="CS50" i="5"/>
  <c r="CK38" i="18" s="1"/>
  <c r="BR124" i="6"/>
  <c r="BJ693" i="18" s="1"/>
  <c r="BR113" i="6"/>
  <c r="BJ666" i="18" s="1"/>
  <c r="BV100" i="6"/>
  <c r="BN653" i="18" s="1"/>
  <c r="BR101" i="6"/>
  <c r="BJ654" i="18" s="1"/>
  <c r="CV100" i="6"/>
  <c r="CN653" i="18" s="1"/>
  <c r="BM219" i="6"/>
  <c r="BQ214" i="6"/>
  <c r="BM29" i="6"/>
  <c r="BK216" i="6"/>
  <c r="BT356" i="6"/>
  <c r="CV356" i="6" s="1"/>
  <c r="BT38" i="6"/>
  <c r="BL593" i="18" s="1"/>
  <c r="BX35" i="6"/>
  <c r="BT37" i="6"/>
  <c r="BT272" i="5"/>
  <c r="BT154" i="6"/>
  <c r="BL671" i="18" s="1"/>
  <c r="BH56" i="6"/>
  <c r="AZ618" i="18" s="1"/>
  <c r="BH32" i="6"/>
  <c r="AZ587" i="18" s="1"/>
  <c r="BH31" i="6"/>
  <c r="BH30" i="6"/>
  <c r="BH33" i="6"/>
  <c r="BH25" i="6"/>
  <c r="AZ579" i="18" s="1"/>
  <c r="BH267" i="5"/>
  <c r="BH239" i="5" s="1"/>
  <c r="BW356" i="6"/>
  <c r="CA35" i="6"/>
  <c r="BW37" i="6"/>
  <c r="BW272" i="5"/>
  <c r="BW240" i="5" s="1"/>
  <c r="BU126" i="6"/>
  <c r="BM695" i="18" s="1"/>
  <c r="BV214" i="6"/>
  <c r="BR219" i="6"/>
  <c r="BR29" i="6"/>
  <c r="CF332" i="6"/>
  <c r="CF333" i="6"/>
  <c r="BR216" i="6"/>
  <c r="BF177" i="6"/>
  <c r="CV272" i="5"/>
  <c r="R5" i="6"/>
  <c r="S6" i="6"/>
  <c r="BE33" i="6"/>
  <c r="CU235" i="6"/>
  <c r="CU247" i="6"/>
  <c r="CV234" i="6"/>
  <c r="BM139" i="6"/>
  <c r="BI143" i="6"/>
  <c r="BA703" i="18" s="1"/>
  <c r="BD33" i="6"/>
  <c r="CS114" i="6"/>
  <c r="CK667" i="18" s="1"/>
  <c r="CS369" i="6"/>
  <c r="CK608" i="18" s="1"/>
  <c r="CU146" i="5"/>
  <c r="CU135" i="5"/>
  <c r="CM112" i="18" s="1"/>
  <c r="CN191" i="5"/>
  <c r="CO191" i="5"/>
  <c r="CE121" i="5"/>
  <c r="BW103" i="18" s="1"/>
  <c r="CY116" i="5"/>
  <c r="CQ97" i="18" s="1"/>
  <c r="CZ113" i="5"/>
  <c r="DH113" i="5"/>
  <c r="CS94" i="18" s="1"/>
  <c r="AP749" i="5"/>
  <c r="AP155" i="5"/>
  <c r="CB697" i="5"/>
  <c r="CA699" i="5"/>
  <c r="BM289" i="5"/>
  <c r="BE246" i="18" s="1"/>
  <c r="BM216" i="5"/>
  <c r="BE183" i="18" s="1"/>
  <c r="AX749" i="5"/>
  <c r="AX155" i="5"/>
  <c r="BC234" i="5"/>
  <c r="AU201" i="18" s="1"/>
  <c r="BC223" i="5"/>
  <c r="AU190" i="18" s="1"/>
  <c r="BC217" i="5"/>
  <c r="BC288" i="5"/>
  <c r="AU245" i="18" s="1"/>
  <c r="AI88" i="5"/>
  <c r="AM89" i="5" s="1"/>
  <c r="AM90" i="5"/>
  <c r="AM92" i="5"/>
  <c r="AM91" i="5"/>
  <c r="CN90" i="5"/>
  <c r="CN92" i="5"/>
  <c r="CN88" i="5"/>
  <c r="CW474" i="5"/>
  <c r="CO360" i="18" s="1"/>
  <c r="BN537" i="5"/>
  <c r="BF386" i="18" s="1"/>
  <c r="BN92" i="5"/>
  <c r="BF80" i="18" s="1"/>
  <c r="BN88" i="5"/>
  <c r="BF76" i="18" s="1"/>
  <c r="BN90" i="5"/>
  <c r="BF78" i="18" s="1"/>
  <c r="BN93" i="5"/>
  <c r="BF81" i="18" s="1"/>
  <c r="BN91" i="5"/>
  <c r="BF79" i="18" s="1"/>
  <c r="BB6" i="5"/>
  <c r="CS416" i="5"/>
  <c r="CK309" i="18" s="1"/>
  <c r="CT523" i="5"/>
  <c r="AR194" i="5"/>
  <c r="CU50" i="5"/>
  <c r="CM38" i="18" s="1"/>
  <c r="BS146" i="5"/>
  <c r="BS135" i="5"/>
  <c r="BK112" i="18" s="1"/>
  <c r="CV519" i="5"/>
  <c r="CM74" i="5"/>
  <c r="CM75" i="5" s="1"/>
  <c r="CM83" i="5"/>
  <c r="CM123" i="5"/>
  <c r="DA592" i="5"/>
  <c r="AK157" i="5"/>
  <c r="CA749" i="5"/>
  <c r="CE348" i="5"/>
  <c r="BW299" i="18" s="1"/>
  <c r="CE349" i="5"/>
  <c r="BW298" i="18" s="1"/>
  <c r="CF349" i="5"/>
  <c r="BX298" i="18" s="1"/>
  <c r="CT313" i="5"/>
  <c r="CL271" i="18" s="1"/>
  <c r="CT309" i="5"/>
  <c r="CL267" i="18" s="1"/>
  <c r="CT36" i="5"/>
  <c r="AX218" i="5"/>
  <c r="BH749" i="5"/>
  <c r="BH155" i="5"/>
  <c r="AZ127" i="18" s="1"/>
  <c r="CW531" i="5"/>
  <c r="CB698" i="5"/>
  <c r="CB699" i="5" s="1"/>
  <c r="BV143" i="5"/>
  <c r="BN117" i="18" s="1"/>
  <c r="BV129" i="5"/>
  <c r="BN109" i="18" s="1"/>
  <c r="BJ157" i="5"/>
  <c r="BB129" i="18" s="1"/>
  <c r="BR84" i="5"/>
  <c r="BJ74" i="18" s="1"/>
  <c r="BR95" i="5"/>
  <c r="BJ1321" i="18" s="1"/>
  <c r="BR126" i="5"/>
  <c r="BJ1331" i="18" s="1"/>
  <c r="BX131" i="5"/>
  <c r="BX752" i="5"/>
  <c r="CW134" i="5"/>
  <c r="CO111" i="18" s="1"/>
  <c r="CS519" i="5"/>
  <c r="CP218" i="5"/>
  <c r="AP229" i="5"/>
  <c r="AP230" i="5" s="1"/>
  <c r="AP292" i="5"/>
  <c r="AP193" i="5"/>
  <c r="AP194" i="5" s="1"/>
  <c r="CS143" i="5"/>
  <c r="CK117" i="18" s="1"/>
  <c r="CS129" i="5"/>
  <c r="CK109" i="18" s="1"/>
  <c r="BS577" i="5"/>
  <c r="BK423" i="18" s="1"/>
  <c r="BW274" i="5"/>
  <c r="CA273" i="5"/>
  <c r="AL101" i="5"/>
  <c r="BK95" i="5"/>
  <c r="BC1321" i="18" s="1"/>
  <c r="BK84" i="5"/>
  <c r="BC74" i="18" s="1"/>
  <c r="BK126" i="5"/>
  <c r="BC1331" i="18" s="1"/>
  <c r="CU531" i="5"/>
  <c r="CW490" i="5"/>
  <c r="CO382" i="18" s="1"/>
  <c r="BG217" i="5"/>
  <c r="AY184" i="18" s="1"/>
  <c r="BG223" i="5"/>
  <c r="AY190" i="18" s="1"/>
  <c r="BG234" i="5"/>
  <c r="AY201" i="18" s="1"/>
  <c r="BG288" i="5"/>
  <c r="AY245" i="18" s="1"/>
  <c r="BV262" i="5"/>
  <c r="BK81" i="5"/>
  <c r="BC72" i="18" s="1"/>
  <c r="BL157" i="5"/>
  <c r="BD129" i="18" s="1"/>
  <c r="BM81" i="5"/>
  <c r="BE72" i="18" s="1"/>
  <c r="AH749" i="5"/>
  <c r="AH155" i="5"/>
  <c r="CM80" i="5"/>
  <c r="CM87" i="5"/>
  <c r="CM124" i="5"/>
  <c r="BI288" i="5"/>
  <c r="BA245" i="18" s="1"/>
  <c r="BI223" i="5"/>
  <c r="BA190" i="18" s="1"/>
  <c r="BI217" i="5"/>
  <c r="BI234" i="5"/>
  <c r="BA201" i="18" s="1"/>
  <c r="BI45" i="5"/>
  <c r="DA466" i="5"/>
  <c r="CZ65" i="5"/>
  <c r="CR53" i="18" s="1"/>
  <c r="BW577" i="5"/>
  <c r="BO423" i="18" s="1"/>
  <c r="BD99" i="5"/>
  <c r="AV1325" i="18" s="1"/>
  <c r="BD100" i="5"/>
  <c r="AV1326" i="18" s="1"/>
  <c r="BD98" i="5"/>
  <c r="AV1324" i="18" s="1"/>
  <c r="BD96" i="5"/>
  <c r="CA95" i="5"/>
  <c r="CA84" i="5"/>
  <c r="CA126" i="5"/>
  <c r="BS1331" i="18" s="1"/>
  <c r="BM34" i="5"/>
  <c r="BE26" i="18" s="1"/>
  <c r="BM32" i="5"/>
  <c r="BM518" i="5"/>
  <c r="CS549" i="5"/>
  <c r="CK398" i="18" s="1"/>
  <c r="CS559" i="5"/>
  <c r="CK405" i="18" s="1"/>
  <c r="CS544" i="5"/>
  <c r="CK393" i="18" s="1"/>
  <c r="CZ478" i="5"/>
  <c r="CZ14" i="16" s="1"/>
  <c r="CS1213" i="18" s="1"/>
  <c r="CA559" i="5"/>
  <c r="BS405" i="18" s="1"/>
  <c r="CA544" i="5"/>
  <c r="BS393" i="18" s="1"/>
  <c r="CA549" i="5"/>
  <c r="BS398" i="18" s="1"/>
  <c r="BY537" i="5"/>
  <c r="BQ386" i="18" s="1"/>
  <c r="BY93" i="5"/>
  <c r="BQ81" i="18" s="1"/>
  <c r="BY92" i="5"/>
  <c r="BQ80" i="18" s="1"/>
  <c r="BY91" i="5"/>
  <c r="BQ79" i="18" s="1"/>
  <c r="BY90" i="5"/>
  <c r="BQ78" i="18" s="1"/>
  <c r="BY88" i="5"/>
  <c r="BO146" i="5"/>
  <c r="BO135" i="5"/>
  <c r="BG112" i="18" s="1"/>
  <c r="CP99" i="5"/>
  <c r="CP96" i="5"/>
  <c r="CP100" i="5"/>
  <c r="CP98" i="5"/>
  <c r="BP309" i="5"/>
  <c r="BP307" i="5"/>
  <c r="BH265" i="18" s="1"/>
  <c r="BP181" i="5"/>
  <c r="BH147" i="18" s="1"/>
  <c r="BL531" i="5"/>
  <c r="BP531" i="5"/>
  <c r="CW348" i="5"/>
  <c r="CO299" i="18" s="1"/>
  <c r="CW574" i="5"/>
  <c r="CO420" i="18" s="1"/>
  <c r="CW83" i="5"/>
  <c r="CO73" i="18" s="1"/>
  <c r="CW74" i="5"/>
  <c r="CW123" i="5"/>
  <c r="BA100" i="5"/>
  <c r="AS1326" i="18" s="1"/>
  <c r="BA99" i="5"/>
  <c r="AS1325" i="18" s="1"/>
  <c r="BA98" i="5"/>
  <c r="AS1324" i="18" s="1"/>
  <c r="BA96" i="5"/>
  <c r="BA101" i="5"/>
  <c r="AS1327" i="18" s="1"/>
  <c r="BB214" i="5"/>
  <c r="BB196" i="5"/>
  <c r="BB179" i="5"/>
  <c r="AT145" i="18" s="1"/>
  <c r="BQ274" i="5"/>
  <c r="BU273" i="5"/>
  <c r="BQ240" i="5"/>
  <c r="CX261" i="5"/>
  <c r="BK288" i="5"/>
  <c r="BC245" i="18" s="1"/>
  <c r="BK234" i="5"/>
  <c r="BC201" i="18" s="1"/>
  <c r="BK217" i="5"/>
  <c r="BK223" i="5"/>
  <c r="BC190" i="18" s="1"/>
  <c r="BK45" i="5"/>
  <c r="AW89" i="5"/>
  <c r="CX480" i="5"/>
  <c r="CP367" i="18" s="1"/>
  <c r="AP291" i="5"/>
  <c r="AP199" i="5"/>
  <c r="AP200" i="5" s="1"/>
  <c r="CV393" i="5"/>
  <c r="DG392" i="5"/>
  <c r="BH85" i="5"/>
  <c r="BY262" i="5"/>
  <c r="BV75" i="5"/>
  <c r="AS218" i="5"/>
  <c r="CN41" i="5"/>
  <c r="BR577" i="5"/>
  <c r="CO96" i="5"/>
  <c r="CT573" i="5"/>
  <c r="CL419" i="18" s="1"/>
  <c r="CT80" i="5"/>
  <c r="CT124" i="5"/>
  <c r="CL106" i="18" s="1"/>
  <c r="BL559" i="5"/>
  <c r="BD405" i="18" s="1"/>
  <c r="BL546" i="5"/>
  <c r="BD395" i="18" s="1"/>
  <c r="BL542" i="5"/>
  <c r="BD391" i="18" s="1"/>
  <c r="BL549" i="5"/>
  <c r="BD398" i="18" s="1"/>
  <c r="BP544" i="5"/>
  <c r="BH393" i="18" s="1"/>
  <c r="BX146" i="5"/>
  <c r="CD348" i="5"/>
  <c r="BV299" i="18" s="1"/>
  <c r="CD349" i="5"/>
  <c r="BV298" i="18" s="1"/>
  <c r="BM749" i="5"/>
  <c r="BM155" i="5"/>
  <c r="BE127" i="18" s="1"/>
  <c r="CX474" i="5"/>
  <c r="CP360" i="18" s="1"/>
  <c r="BD224" i="5"/>
  <c r="AV191" i="18" s="1"/>
  <c r="BS95" i="5"/>
  <c r="BK1321" i="18" s="1"/>
  <c r="BS84" i="5"/>
  <c r="BK74" i="18" s="1"/>
  <c r="BS126" i="5"/>
  <c r="BK1331" i="18" s="1"/>
  <c r="CU429" i="5"/>
  <c r="BG93" i="5"/>
  <c r="AY81" i="18" s="1"/>
  <c r="BG92" i="5"/>
  <c r="AY80" i="18" s="1"/>
  <c r="BG91" i="5"/>
  <c r="AY79" i="18" s="1"/>
  <c r="BG90" i="5"/>
  <c r="AY78" i="18" s="1"/>
  <c r="BG88" i="5"/>
  <c r="AY76" i="18" s="1"/>
  <c r="BW537" i="5"/>
  <c r="BO386" i="18" s="1"/>
  <c r="BW93" i="5"/>
  <c r="BO81" i="18" s="1"/>
  <c r="BW92" i="5"/>
  <c r="BO80" i="18" s="1"/>
  <c r="BW91" i="5"/>
  <c r="BO79" i="18" s="1"/>
  <c r="BW90" i="5"/>
  <c r="BO78" i="18" s="1"/>
  <c r="BW88" i="5"/>
  <c r="BO76" i="18" s="1"/>
  <c r="BO306" i="5"/>
  <c r="BG264" i="18" s="1"/>
  <c r="BO36" i="5"/>
  <c r="BG28" i="18" s="1"/>
  <c r="BS312" i="5"/>
  <c r="BK270" i="18" s="1"/>
  <c r="BO287" i="5"/>
  <c r="BO437" i="5"/>
  <c r="BG1041" i="18" s="1"/>
  <c r="DA108" i="5"/>
  <c r="CZ103" i="5"/>
  <c r="AT197" i="5"/>
  <c r="AX197" i="5"/>
  <c r="AZ101" i="5"/>
  <c r="AZ100" i="5"/>
  <c r="AZ99" i="5"/>
  <c r="AZ98" i="5"/>
  <c r="AZ96" i="5"/>
  <c r="AZ97" i="5" s="1"/>
  <c r="AX292" i="5"/>
  <c r="AX293" i="5" s="1"/>
  <c r="AX229" i="5"/>
  <c r="AX193" i="5"/>
  <c r="BP447" i="5"/>
  <c r="BP448" i="5" s="1"/>
  <c r="BP438" i="5"/>
  <c r="BH1042" i="18" s="1"/>
  <c r="BC157" i="5"/>
  <c r="AU129" i="18" s="1"/>
  <c r="BI537" i="5"/>
  <c r="BA386" i="18" s="1"/>
  <c r="BI93" i="5"/>
  <c r="BA81" i="18" s="1"/>
  <c r="BI92" i="5"/>
  <c r="BA80" i="18" s="1"/>
  <c r="BI91" i="5"/>
  <c r="BA79" i="18" s="1"/>
  <c r="BI90" i="5"/>
  <c r="BA78" i="18" s="1"/>
  <c r="BI88" i="5"/>
  <c r="CT87" i="5"/>
  <c r="CL75" i="18" s="1"/>
  <c r="CX56" i="5"/>
  <c r="CP43" i="18" s="1"/>
  <c r="AT157" i="5"/>
  <c r="BU547" i="5"/>
  <c r="BM396" i="18" s="1"/>
  <c r="BU546" i="5"/>
  <c r="BM395" i="18" s="1"/>
  <c r="BU542" i="5"/>
  <c r="BM391" i="18" s="1"/>
  <c r="AU292" i="5"/>
  <c r="AU293" i="5" s="1"/>
  <c r="AU229" i="5"/>
  <c r="AU230" i="5" s="1"/>
  <c r="AU193" i="5"/>
  <c r="AU194" i="5" s="1"/>
  <c r="AN193" i="5"/>
  <c r="AN194" i="5" s="1"/>
  <c r="AN292" i="5"/>
  <c r="AN293" i="5" s="1"/>
  <c r="AN229" i="5"/>
  <c r="AR230" i="5" s="1"/>
  <c r="CT574" i="5"/>
  <c r="CL420" i="18" s="1"/>
  <c r="CT83" i="5"/>
  <c r="CL73" i="18" s="1"/>
  <c r="CT74" i="5"/>
  <c r="CT123" i="5"/>
  <c r="CS530" i="5"/>
  <c r="CS531" i="5" s="1"/>
  <c r="CS532" i="5"/>
  <c r="CN291" i="5"/>
  <c r="CN199" i="5"/>
  <c r="BK143" i="5"/>
  <c r="BC117" i="18" s="1"/>
  <c r="BK129" i="5"/>
  <c r="BC109" i="18" s="1"/>
  <c r="CS146" i="5"/>
  <c r="CS135" i="5"/>
  <c r="CK112" i="18" s="1"/>
  <c r="CF539" i="5"/>
  <c r="BX388" i="18" s="1"/>
  <c r="CF106" i="5"/>
  <c r="BX87" i="18" s="1"/>
  <c r="CY104" i="5"/>
  <c r="CV50" i="5"/>
  <c r="CN38" i="18" s="1"/>
  <c r="BW95" i="5"/>
  <c r="BO1321" i="18" s="1"/>
  <c r="BW84" i="5"/>
  <c r="BO74" i="18" s="1"/>
  <c r="BW126" i="5"/>
  <c r="BO1331" i="18" s="1"/>
  <c r="BB93" i="5"/>
  <c r="AT81" i="18" s="1"/>
  <c r="BB92" i="5"/>
  <c r="AT80" i="18" s="1"/>
  <c r="BB91" i="5"/>
  <c r="AT79" i="18" s="1"/>
  <c r="BB90" i="5"/>
  <c r="AT78" i="18" s="1"/>
  <c r="BB88" i="5"/>
  <c r="BI596" i="5"/>
  <c r="BJ595" i="5"/>
  <c r="BI515" i="5"/>
  <c r="BI516" i="5" s="1"/>
  <c r="BI517" i="5" s="1"/>
  <c r="AT296" i="5"/>
  <c r="AT297" i="5" s="1"/>
  <c r="AT213" i="5"/>
  <c r="BM438" i="5"/>
  <c r="BE1042" i="18" s="1"/>
  <c r="BM447" i="5"/>
  <c r="BM448" i="5" s="1"/>
  <c r="BU749" i="5"/>
  <c r="BU155" i="5"/>
  <c r="BM127" i="18" s="1"/>
  <c r="CS363" i="5"/>
  <c r="CW468" i="5"/>
  <c r="CO354" i="18" s="1"/>
  <c r="BI577" i="5"/>
  <c r="BP216" i="5"/>
  <c r="BH183" i="18" s="1"/>
  <c r="BP31" i="5"/>
  <c r="BH23" i="18" s="1"/>
  <c r="CZ614" i="5"/>
  <c r="AP100" i="5"/>
  <c r="AP99" i="5"/>
  <c r="AP98" i="5"/>
  <c r="AP96" i="5"/>
  <c r="AP97" i="5" s="1"/>
  <c r="AP101" i="5"/>
  <c r="CW56" i="5"/>
  <c r="CO43" i="18" s="1"/>
  <c r="AU225" i="5"/>
  <c r="BM101" i="5"/>
  <c r="BE1327" i="18" s="1"/>
  <c r="BM96" i="5"/>
  <c r="BE1322" i="18" s="1"/>
  <c r="CU240" i="5"/>
  <c r="CU273" i="5" s="1"/>
  <c r="CU274" i="5" s="1"/>
  <c r="CX573" i="5"/>
  <c r="CP419" i="18" s="1"/>
  <c r="CX80" i="5"/>
  <c r="CX87" i="5"/>
  <c r="CP75" i="18" s="1"/>
  <c r="BP394" i="5"/>
  <c r="AV97" i="5"/>
  <c r="AJ749" i="5"/>
  <c r="AJ155" i="5"/>
  <c r="CR146" i="5"/>
  <c r="CR135" i="5"/>
  <c r="CJ112" i="18" s="1"/>
  <c r="AZ224" i="5"/>
  <c r="AZ226" i="5"/>
  <c r="AR193" i="18" s="1"/>
  <c r="CY106" i="5"/>
  <c r="CQ87" i="18" s="1"/>
  <c r="CN129" i="5"/>
  <c r="CN143" i="5"/>
  <c r="BZ273" i="5"/>
  <c r="BV274" i="5"/>
  <c r="BV240" i="5"/>
  <c r="AN97" i="5"/>
  <c r="CU41" i="5"/>
  <c r="CM34" i="18" s="1"/>
  <c r="CV573" i="5"/>
  <c r="CN419" i="18" s="1"/>
  <c r="CV87" i="5"/>
  <c r="CN75" i="18" s="1"/>
  <c r="DG79" i="5"/>
  <c r="CR70" i="18" s="1"/>
  <c r="CV80" i="5"/>
  <c r="CN71" i="18" s="1"/>
  <c r="CS537" i="5"/>
  <c r="CS542" i="5" s="1"/>
  <c r="CK391" i="18" s="1"/>
  <c r="CS88" i="5"/>
  <c r="CK76" i="18" s="1"/>
  <c r="BK537" i="5"/>
  <c r="BC386" i="18" s="1"/>
  <c r="BK93" i="5"/>
  <c r="BC81" i="18" s="1"/>
  <c r="BK92" i="5"/>
  <c r="BC80" i="18" s="1"/>
  <c r="BK91" i="5"/>
  <c r="BC79" i="18" s="1"/>
  <c r="BK90" i="5"/>
  <c r="BC78" i="18" s="1"/>
  <c r="BK88" i="5"/>
  <c r="BD749" i="5"/>
  <c r="BD155" i="5"/>
  <c r="AV127" i="18" s="1"/>
  <c r="CU474" i="5"/>
  <c r="CM360" i="18" s="1"/>
  <c r="CV363" i="5"/>
  <c r="CV338" i="5"/>
  <c r="CN294" i="18" s="1"/>
  <c r="BJ216" i="5"/>
  <c r="BB183" i="18" s="1"/>
  <c r="BJ289" i="5"/>
  <c r="BB246" i="18" s="1"/>
  <c r="BN191" i="5"/>
  <c r="BF157" i="18" s="1"/>
  <c r="BC93" i="5"/>
  <c r="AU81" i="18" s="1"/>
  <c r="BC92" i="5"/>
  <c r="AU80" i="18" s="1"/>
  <c r="BC91" i="5"/>
  <c r="AU79" i="18" s="1"/>
  <c r="BC90" i="5"/>
  <c r="AU78" i="18" s="1"/>
  <c r="BC88" i="5"/>
  <c r="BZ537" i="5"/>
  <c r="BR386" i="18" s="1"/>
  <c r="BZ92" i="5"/>
  <c r="BR80" i="18" s="1"/>
  <c r="BZ90" i="5"/>
  <c r="BR78" i="18" s="1"/>
  <c r="BZ88" i="5"/>
  <c r="BR76" i="18" s="1"/>
  <c r="BZ93" i="5"/>
  <c r="BR81" i="18" s="1"/>
  <c r="BZ91" i="5"/>
  <c r="BR79" i="18" s="1"/>
  <c r="AI95" i="5"/>
  <c r="AI84" i="5"/>
  <c r="AM85" i="5" s="1"/>
  <c r="AI126" i="5"/>
  <c r="CA75" i="5"/>
  <c r="BQ306" i="5"/>
  <c r="BI264" i="18" s="1"/>
  <c r="BU312" i="5"/>
  <c r="BM270" i="18" s="1"/>
  <c r="BQ36" i="5"/>
  <c r="BI28" i="18" s="1"/>
  <c r="BQ287" i="5"/>
  <c r="BQ437" i="5"/>
  <c r="BI1041" i="18" s="1"/>
  <c r="BZ749" i="5"/>
  <c r="BZ155" i="5"/>
  <c r="BR127" i="18" s="1"/>
  <c r="CZ336" i="5"/>
  <c r="CR292" i="18" s="1"/>
  <c r="DA335" i="5"/>
  <c r="CS291" i="18" s="1"/>
  <c r="CZ61" i="5"/>
  <c r="CR49" i="18" s="1"/>
  <c r="CW454" i="5"/>
  <c r="CO341" i="18" s="1"/>
  <c r="CX490" i="5"/>
  <c r="CP382" i="18" s="1"/>
  <c r="BO81" i="5"/>
  <c r="BG72" i="18" s="1"/>
  <c r="BM547" i="5"/>
  <c r="BE396" i="18" s="1"/>
  <c r="BM546" i="5"/>
  <c r="BE395" i="18" s="1"/>
  <c r="BM542" i="5"/>
  <c r="BE391" i="18" s="1"/>
  <c r="BT306" i="5"/>
  <c r="BL264" i="18" s="1"/>
  <c r="BX312" i="5"/>
  <c r="BP270" i="18" s="1"/>
  <c r="BT36" i="5"/>
  <c r="BL28" i="18" s="1"/>
  <c r="BT287" i="5"/>
  <c r="BT437" i="5"/>
  <c r="BL1041" i="18" s="1"/>
  <c r="CW519" i="5"/>
  <c r="CW573" i="5"/>
  <c r="CO419" i="18" s="1"/>
  <c r="CW87" i="5"/>
  <c r="CO75" i="18" s="1"/>
  <c r="CW80" i="5"/>
  <c r="CO71" i="18" s="1"/>
  <c r="CW124" i="5"/>
  <c r="CO106" i="18" s="1"/>
  <c r="BX93" i="5"/>
  <c r="BP81" i="18" s="1"/>
  <c r="BX546" i="5"/>
  <c r="BP395" i="18" s="1"/>
  <c r="BG129" i="5"/>
  <c r="AY109" i="18" s="1"/>
  <c r="BG143" i="5"/>
  <c r="AY117" i="18" s="1"/>
  <c r="BO75" i="5"/>
  <c r="BJ143" i="5"/>
  <c r="BB117" i="18" s="1"/>
  <c r="BJ129" i="5"/>
  <c r="BB109" i="18" s="1"/>
  <c r="BB295" i="5"/>
  <c r="AT253" i="18" s="1"/>
  <c r="AO291" i="5"/>
  <c r="AO199" i="5"/>
  <c r="AO200" i="5" s="1"/>
  <c r="BX148" i="5"/>
  <c r="BX138" i="5"/>
  <c r="CX41" i="5"/>
  <c r="CP34" i="18" s="1"/>
  <c r="CR573" i="5"/>
  <c r="CJ419" i="18" s="1"/>
  <c r="CR87" i="5"/>
  <c r="CR80" i="5"/>
  <c r="BR537" i="5"/>
  <c r="BJ386" i="18" s="1"/>
  <c r="BR93" i="5"/>
  <c r="BJ81" i="18" s="1"/>
  <c r="BR92" i="5"/>
  <c r="BJ80" i="18" s="1"/>
  <c r="BR91" i="5"/>
  <c r="BJ79" i="18" s="1"/>
  <c r="BR90" i="5"/>
  <c r="BJ78" i="18" s="1"/>
  <c r="BR88" i="5"/>
  <c r="CW393" i="5"/>
  <c r="AO157" i="5"/>
  <c r="BT559" i="5"/>
  <c r="BL405" i="18" s="1"/>
  <c r="BT542" i="5"/>
  <c r="BL391" i="18" s="1"/>
  <c r="BT546" i="5"/>
  <c r="BL395" i="18" s="1"/>
  <c r="BT544" i="5"/>
  <c r="BL393" i="18" s="1"/>
  <c r="BT549" i="5"/>
  <c r="BL398" i="18" s="1"/>
  <c r="AQ97" i="5"/>
  <c r="CS56" i="5"/>
  <c r="CK43" i="18" s="1"/>
  <c r="CV384" i="5"/>
  <c r="CN1276" i="18" s="1"/>
  <c r="BH100" i="5"/>
  <c r="AZ1326" i="18" s="1"/>
  <c r="BH99" i="5"/>
  <c r="AZ1325" i="18" s="1"/>
  <c r="BH98" i="5"/>
  <c r="AZ1324" i="18" s="1"/>
  <c r="BH96" i="5"/>
  <c r="AZ1322" i="18" s="1"/>
  <c r="BU91" i="5"/>
  <c r="BM79" i="18" s="1"/>
  <c r="BV84" i="5"/>
  <c r="BV95" i="5"/>
  <c r="BN1321" i="18" s="1"/>
  <c r="BV126" i="5"/>
  <c r="BN1331" i="18" s="1"/>
  <c r="BB288" i="5"/>
  <c r="AT245" i="18" s="1"/>
  <c r="BB234" i="5"/>
  <c r="AT201" i="18" s="1"/>
  <c r="BB217" i="5"/>
  <c r="BB223" i="5"/>
  <c r="AT190" i="18" s="1"/>
  <c r="CQ157" i="5"/>
  <c r="AS213" i="5"/>
  <c r="CZ624" i="5"/>
  <c r="CO85" i="5"/>
  <c r="BH89" i="5"/>
  <c r="AZ77" i="18" s="1"/>
  <c r="AU97" i="5"/>
  <c r="CU416" i="5"/>
  <c r="CM309" i="18" s="1"/>
  <c r="CV416" i="5"/>
  <c r="CN309" i="18" s="1"/>
  <c r="BE157" i="5"/>
  <c r="AW129" i="18" s="1"/>
  <c r="AP226" i="5"/>
  <c r="AP224" i="5"/>
  <c r="AT225" i="5" s="1"/>
  <c r="BQ129" i="5"/>
  <c r="BI109" i="18" s="1"/>
  <c r="BQ143" i="5"/>
  <c r="BI117" i="18" s="1"/>
  <c r="CS84" i="5"/>
  <c r="CK74" i="18" s="1"/>
  <c r="CS95" i="5"/>
  <c r="CS126" i="5"/>
  <c r="CK1331" i="18" s="1"/>
  <c r="CC121" i="5"/>
  <c r="BU103" i="18" s="1"/>
  <c r="BK577" i="5"/>
  <c r="BC423" i="18" s="1"/>
  <c r="CU573" i="5"/>
  <c r="CM419" i="18" s="1"/>
  <c r="CU80" i="5"/>
  <c r="CU87" i="5"/>
  <c r="CM75" i="18" s="1"/>
  <c r="BU148" i="5"/>
  <c r="BU138" i="5"/>
  <c r="AW97" i="5"/>
  <c r="CP214" i="5"/>
  <c r="CP213" i="5" s="1"/>
  <c r="CP196" i="5"/>
  <c r="CP179" i="5"/>
  <c r="CV574" i="5"/>
  <c r="CN420" i="18" s="1"/>
  <c r="CV74" i="5"/>
  <c r="CN61" i="18" s="1"/>
  <c r="CV83" i="5"/>
  <c r="CN73" i="18" s="1"/>
  <c r="DG73" i="5"/>
  <c r="CY60" i="18" s="1"/>
  <c r="CV123" i="5"/>
  <c r="BT274" i="5"/>
  <c r="BX273" i="5"/>
  <c r="BT240" i="5"/>
  <c r="AI143" i="5"/>
  <c r="AI129" i="5"/>
  <c r="DE680" i="5"/>
  <c r="DD690" i="5"/>
  <c r="BT749" i="5"/>
  <c r="BT155" i="5"/>
  <c r="BL127" i="18" s="1"/>
  <c r="CW429" i="5"/>
  <c r="BX542" i="5"/>
  <c r="BP391" i="18" s="1"/>
  <c r="AJ101" i="5"/>
  <c r="AJ96" i="5"/>
  <c r="AO97" i="5"/>
  <c r="BV579" i="5"/>
  <c r="BV577" i="5"/>
  <c r="BN423" i="18" s="1"/>
  <c r="BF93" i="5"/>
  <c r="AX81" i="18" s="1"/>
  <c r="BF92" i="5"/>
  <c r="AX80" i="18" s="1"/>
  <c r="BF91" i="5"/>
  <c r="AX79" i="18" s="1"/>
  <c r="BF90" i="5"/>
  <c r="AX78" i="18" s="1"/>
  <c r="BF88" i="5"/>
  <c r="AX76" i="18" s="1"/>
  <c r="CT438" i="5"/>
  <c r="CL1042" i="18" s="1"/>
  <c r="CT447" i="5"/>
  <c r="CT448" i="5" s="1"/>
  <c r="AY100" i="5"/>
  <c r="AY99" i="5"/>
  <c r="AY98" i="5"/>
  <c r="AY96" i="5"/>
  <c r="AY97" i="5" s="1"/>
  <c r="AY101" i="5"/>
  <c r="AY224" i="5"/>
  <c r="AY225" i="5" s="1"/>
  <c r="AY226" i="5"/>
  <c r="BQ84" i="5"/>
  <c r="BQ95" i="5"/>
  <c r="BI1321" i="18" s="1"/>
  <c r="BQ126" i="5"/>
  <c r="BI1331" i="18" s="1"/>
  <c r="AT101" i="5"/>
  <c r="AL99" i="5"/>
  <c r="BH224" i="5"/>
  <c r="CU574" i="5"/>
  <c r="CM420" i="18" s="1"/>
  <c r="CU74" i="5"/>
  <c r="CM61" i="18" s="1"/>
  <c r="CU83" i="5"/>
  <c r="CM73" i="18" s="1"/>
  <c r="CU123" i="5"/>
  <c r="CQ537" i="5"/>
  <c r="CQ92" i="5"/>
  <c r="CQ88" i="5"/>
  <c r="CQ89" i="5" s="1"/>
  <c r="CQ90" i="5"/>
  <c r="CQ91" i="5"/>
  <c r="CX389" i="5"/>
  <c r="CO90" i="5"/>
  <c r="CU312" i="5"/>
  <c r="CM270" i="18" s="1"/>
  <c r="BY84" i="5"/>
  <c r="BY95" i="5"/>
  <c r="BY126" i="5"/>
  <c r="BQ1331" i="18" s="1"/>
  <c r="BL749" i="5"/>
  <c r="BL155" i="5"/>
  <c r="BD127" i="18" s="1"/>
  <c r="BH157" i="5"/>
  <c r="AZ129" i="18" s="1"/>
  <c r="BN75" i="5"/>
  <c r="BP547" i="5"/>
  <c r="BH396" i="18" s="1"/>
  <c r="BP546" i="5"/>
  <c r="BH395" i="18" s="1"/>
  <c r="BP542" i="5"/>
  <c r="BH391" i="18" s="1"/>
  <c r="CW460" i="5"/>
  <c r="CO347" i="18" s="1"/>
  <c r="CW450" i="5"/>
  <c r="CO337" i="18" s="1"/>
  <c r="CW261" i="5"/>
  <c r="CW262" i="5" s="1"/>
  <c r="CZ611" i="5"/>
  <c r="CZ114" i="5"/>
  <c r="CY114" i="5"/>
  <c r="CY115" i="5" s="1"/>
  <c r="CQ96" i="18" s="1"/>
  <c r="AV225" i="5"/>
  <c r="CT429" i="5"/>
  <c r="BU81" i="5"/>
  <c r="BM72" i="18" s="1"/>
  <c r="AX100" i="5"/>
  <c r="AX99" i="5"/>
  <c r="AX98" i="5"/>
  <c r="AX96" i="5"/>
  <c r="AX97" i="5" s="1"/>
  <c r="AX101" i="5"/>
  <c r="BR146" i="5"/>
  <c r="BR135" i="5"/>
  <c r="BJ112" i="18" s="1"/>
  <c r="BU85" i="5"/>
  <c r="BH394" i="5"/>
  <c r="CO157" i="5"/>
  <c r="CP295" i="5"/>
  <c r="BG146" i="5"/>
  <c r="BG135" i="5"/>
  <c r="AY112" i="18" s="1"/>
  <c r="BJ537" i="5"/>
  <c r="BB386" i="18" s="1"/>
  <c r="BJ93" i="5"/>
  <c r="BB81" i="18" s="1"/>
  <c r="BJ91" i="5"/>
  <c r="BB79" i="18" s="1"/>
  <c r="BJ88" i="5"/>
  <c r="BJ90" i="5"/>
  <c r="BB78" i="18" s="1"/>
  <c r="BJ92" i="5"/>
  <c r="BB80" i="18" s="1"/>
  <c r="BW146" i="5"/>
  <c r="BW135" i="5"/>
  <c r="BO112" i="18" s="1"/>
  <c r="DA324" i="5"/>
  <c r="DA322" i="5"/>
  <c r="DA37" i="5"/>
  <c r="DH37" i="5" s="1"/>
  <c r="DB319" i="5"/>
  <c r="DA18" i="5"/>
  <c r="DB648" i="5"/>
  <c r="DC70" i="5"/>
  <c r="CU57" i="18" s="1"/>
  <c r="AS291" i="5"/>
  <c r="AS199" i="5"/>
  <c r="BJ191" i="5"/>
  <c r="BB157" i="18" s="1"/>
  <c r="CO91" i="5"/>
  <c r="BN309" i="5"/>
  <c r="BN314" i="5"/>
  <c r="BF272" i="18" s="1"/>
  <c r="BR312" i="5"/>
  <c r="BN313" i="5"/>
  <c r="BF271" i="18" s="1"/>
  <c r="BN36" i="5"/>
  <c r="BN437" i="5"/>
  <c r="BF1041" i="18" s="1"/>
  <c r="BN287" i="5"/>
  <c r="BF244" i="18" s="1"/>
  <c r="CX338" i="5"/>
  <c r="CP294" i="18" s="1"/>
  <c r="BZ577" i="5"/>
  <c r="CA537" i="5"/>
  <c r="CA93" i="5"/>
  <c r="BS81" i="18" s="1"/>
  <c r="CA92" i="5"/>
  <c r="BS80" i="18" s="1"/>
  <c r="CA91" i="5"/>
  <c r="BS79" i="18" s="1"/>
  <c r="CA90" i="5"/>
  <c r="BS78" i="18" s="1"/>
  <c r="CA88" i="5"/>
  <c r="BJ34" i="5"/>
  <c r="BB26" i="18" s="1"/>
  <c r="BJ32" i="5"/>
  <c r="BJ518" i="5"/>
  <c r="BT101" i="5"/>
  <c r="BL1327" i="18" s="1"/>
  <c r="BT100" i="5"/>
  <c r="BL1326" i="18" s="1"/>
  <c r="BT98" i="5"/>
  <c r="BL1324" i="18" s="1"/>
  <c r="BT96" i="5"/>
  <c r="BT99" i="5"/>
  <c r="BL1325" i="18" s="1"/>
  <c r="BO191" i="5"/>
  <c r="BG157" i="18" s="1"/>
  <c r="AX224" i="5"/>
  <c r="AX225" i="5" s="1"/>
  <c r="AX226" i="5"/>
  <c r="AI146" i="5"/>
  <c r="AI156" i="5" s="1"/>
  <c r="AM157" i="5" s="1"/>
  <c r="AI135" i="5"/>
  <c r="AA112" i="18" s="1"/>
  <c r="BN84" i="5"/>
  <c r="BN95" i="5"/>
  <c r="BF1321" i="18" s="1"/>
  <c r="BN126" i="5"/>
  <c r="BF1331" i="18" s="1"/>
  <c r="BI143" i="5"/>
  <c r="BA117" i="18" s="1"/>
  <c r="BI129" i="5"/>
  <c r="BA109" i="18" s="1"/>
  <c r="CO196" i="5"/>
  <c r="CO197" i="5" s="1"/>
  <c r="CO214" i="5"/>
  <c r="CO179" i="5"/>
  <c r="CT384" i="5"/>
  <c r="CL1276" i="18" s="1"/>
  <c r="CO75" i="5"/>
  <c r="AQ194" i="5"/>
  <c r="BO579" i="5"/>
  <c r="BO577" i="5"/>
  <c r="BG423" i="18" s="1"/>
  <c r="BJ577" i="5"/>
  <c r="CB148" i="5"/>
  <c r="CB138" i="5"/>
  <c r="BT1334" i="18" s="1"/>
  <c r="CX574" i="5"/>
  <c r="CP420" i="18" s="1"/>
  <c r="CX83" i="5"/>
  <c r="CP73" i="18" s="1"/>
  <c r="CX74" i="5"/>
  <c r="CP61" i="18" s="1"/>
  <c r="CX123" i="5"/>
  <c r="BV537" i="5"/>
  <c r="BN386" i="18" s="1"/>
  <c r="BV93" i="5"/>
  <c r="BN81" i="18" s="1"/>
  <c r="BV92" i="5"/>
  <c r="BN80" i="18" s="1"/>
  <c r="BV91" i="5"/>
  <c r="BN79" i="18" s="1"/>
  <c r="BV90" i="5"/>
  <c r="BN78" i="18" s="1"/>
  <c r="BV88" i="5"/>
  <c r="CR474" i="5"/>
  <c r="CJ360" i="18" s="1"/>
  <c r="CS474" i="5"/>
  <c r="CK360" i="18" s="1"/>
  <c r="CR348" i="5"/>
  <c r="CJ299" i="18" s="1"/>
  <c r="CS348" i="5"/>
  <c r="CK299" i="18" s="1"/>
  <c r="CR429" i="5"/>
  <c r="BX101" i="5"/>
  <c r="BP1327" i="18" s="1"/>
  <c r="BX100" i="5"/>
  <c r="BP1326" i="18" s="1"/>
  <c r="BX99" i="5"/>
  <c r="BP1325" i="18" s="1"/>
  <c r="BX98" i="5"/>
  <c r="BP1324" i="18" s="1"/>
  <c r="BX96" i="5"/>
  <c r="CT532" i="5"/>
  <c r="BM75" i="5"/>
  <c r="BF75" i="5"/>
  <c r="CU384" i="5"/>
  <c r="CM1276" i="18" s="1"/>
  <c r="AV230" i="5"/>
  <c r="BB84" i="5"/>
  <c r="BB95" i="5"/>
  <c r="AT1321" i="18" s="1"/>
  <c r="BB126" i="5"/>
  <c r="AT1331" i="18" s="1"/>
  <c r="AW197" i="5"/>
  <c r="BC95" i="5"/>
  <c r="AU1321" i="18" s="1"/>
  <c r="BC84" i="5"/>
  <c r="BC126" i="5"/>
  <c r="AU1331" i="18" s="1"/>
  <c r="DF692" i="5"/>
  <c r="CM450" i="5"/>
  <c r="CN460" i="5"/>
  <c r="CB749" i="5"/>
  <c r="CB155" i="5"/>
  <c r="BT127" i="18" s="1"/>
  <c r="BP100" i="5"/>
  <c r="BH1326" i="18" s="1"/>
  <c r="BP99" i="5"/>
  <c r="BH1325" i="18" s="1"/>
  <c r="BP98" i="5"/>
  <c r="BH1324" i="18" s="1"/>
  <c r="BP96" i="5"/>
  <c r="BH1322" i="18" s="1"/>
  <c r="CM291" i="5"/>
  <c r="CM199" i="5"/>
  <c r="CX124" i="5"/>
  <c r="CP106" i="18" s="1"/>
  <c r="CN288" i="5"/>
  <c r="CN234" i="5"/>
  <c r="CN213" i="5"/>
  <c r="CN223" i="5"/>
  <c r="CO224" i="5" s="1"/>
  <c r="CP225" i="5" s="1"/>
  <c r="CT559" i="5"/>
  <c r="CL405" i="18" s="1"/>
  <c r="CT549" i="5"/>
  <c r="CL398" i="18" s="1"/>
  <c r="CT544" i="5"/>
  <c r="CL393" i="18" s="1"/>
  <c r="CU544" i="5"/>
  <c r="CM393" i="18" s="1"/>
  <c r="BQ577" i="5"/>
  <c r="BI423" i="18" s="1"/>
  <c r="BQ579" i="5"/>
  <c r="AT98" i="5"/>
  <c r="CB559" i="5"/>
  <c r="BT405" i="18" s="1"/>
  <c r="CB546" i="5"/>
  <c r="BT395" i="18" s="1"/>
  <c r="CB542" i="5"/>
  <c r="BT391" i="18" s="1"/>
  <c r="CB544" i="5"/>
  <c r="BT393" i="18" s="1"/>
  <c r="CB549" i="5"/>
  <c r="BT398" i="18" s="1"/>
  <c r="CE167" i="5"/>
  <c r="CM368" i="5"/>
  <c r="BQ537" i="5"/>
  <c r="BI386" i="18" s="1"/>
  <c r="BQ93" i="5"/>
  <c r="BI81" i="18" s="1"/>
  <c r="BQ92" i="5"/>
  <c r="BI80" i="18" s="1"/>
  <c r="BQ91" i="5"/>
  <c r="BI79" i="18" s="1"/>
  <c r="BQ90" i="5"/>
  <c r="BI78" i="18" s="1"/>
  <c r="BQ88" i="5"/>
  <c r="CQ143" i="5"/>
  <c r="CQ129" i="5"/>
  <c r="BL288" i="5"/>
  <c r="BD245" i="18" s="1"/>
  <c r="BL234" i="5"/>
  <c r="BD201" i="18" s="1"/>
  <c r="BL217" i="5"/>
  <c r="BL45" i="5"/>
  <c r="BL223" i="5"/>
  <c r="BD190" i="18" s="1"/>
  <c r="AH96" i="5"/>
  <c r="AL97" i="5" s="1"/>
  <c r="AH101" i="5"/>
  <c r="CA577" i="5"/>
  <c r="BS537" i="5"/>
  <c r="BK386" i="18" s="1"/>
  <c r="BS93" i="5"/>
  <c r="BK81" i="18" s="1"/>
  <c r="BS92" i="5"/>
  <c r="BK80" i="18" s="1"/>
  <c r="BS91" i="5"/>
  <c r="BK79" i="18" s="1"/>
  <c r="BS90" i="5"/>
  <c r="BK78" i="18" s="1"/>
  <c r="BS88" i="5"/>
  <c r="BK76" i="18" s="1"/>
  <c r="BY749" i="5"/>
  <c r="BY155" i="5"/>
  <c r="BQ127" i="18" s="1"/>
  <c r="BO537" i="5"/>
  <c r="BG386" i="18" s="1"/>
  <c r="BO93" i="5"/>
  <c r="BG81" i="18" s="1"/>
  <c r="BO92" i="5"/>
  <c r="BG80" i="18" s="1"/>
  <c r="BO91" i="5"/>
  <c r="BG79" i="18" s="1"/>
  <c r="BO90" i="5"/>
  <c r="BG78" i="18" s="1"/>
  <c r="BO88" i="5"/>
  <c r="BN129" i="5"/>
  <c r="BF109" i="18" s="1"/>
  <c r="BN143" i="5"/>
  <c r="BF117" i="18" s="1"/>
  <c r="BG95" i="5"/>
  <c r="BG84" i="5"/>
  <c r="AY74" i="18" s="1"/>
  <c r="BG126" i="5"/>
  <c r="AY1331" i="18" s="1"/>
  <c r="BO143" i="5"/>
  <c r="BG117" i="18" s="1"/>
  <c r="BO129" i="5"/>
  <c r="BG109" i="18" s="1"/>
  <c r="T925" i="18"/>
  <c r="CX429" i="5"/>
  <c r="CR460" i="5"/>
  <c r="CJ347" i="18" s="1"/>
  <c r="CR450" i="5"/>
  <c r="CJ337" i="18" s="1"/>
  <c r="CS460" i="5"/>
  <c r="CK347" i="18" s="1"/>
  <c r="CR574" i="5"/>
  <c r="CJ420" i="18" s="1"/>
  <c r="CR83" i="5"/>
  <c r="CJ73" i="18" s="1"/>
  <c r="CR74" i="5"/>
  <c r="CR123" i="5"/>
  <c r="BB143" i="5"/>
  <c r="AT117" i="18" s="1"/>
  <c r="BB129" i="5"/>
  <c r="AT109" i="18" s="1"/>
  <c r="AK292" i="5"/>
  <c r="AK293" i="5" s="1"/>
  <c r="AK229" i="5"/>
  <c r="AK193" i="5"/>
  <c r="AK194" i="5" s="1"/>
  <c r="AS100" i="5"/>
  <c r="AS98" i="5"/>
  <c r="AS96" i="5"/>
  <c r="AS97" i="5" s="1"/>
  <c r="AS101" i="5"/>
  <c r="AS99" i="5"/>
  <c r="CS577" i="5"/>
  <c r="CN84" i="5"/>
  <c r="CN95" i="5"/>
  <c r="CN126" i="5"/>
  <c r="AN100" i="5"/>
  <c r="BU101" i="5"/>
  <c r="BM1327" i="18" s="1"/>
  <c r="BU98" i="5"/>
  <c r="BM1324" i="18" s="1"/>
  <c r="BU96" i="5"/>
  <c r="BM1322" i="18" s="1"/>
  <c r="AW98" i="5"/>
  <c r="CP278" i="5"/>
  <c r="CP279" i="5" s="1"/>
  <c r="CQ95" i="5"/>
  <c r="CQ84" i="5"/>
  <c r="CQ85" i="5" s="1"/>
  <c r="CQ126" i="5"/>
  <c r="BK34" i="5"/>
  <c r="BC26" i="18" s="1"/>
  <c r="BK32" i="5"/>
  <c r="BK518" i="5"/>
  <c r="BA226" i="5"/>
  <c r="AS193" i="18" s="1"/>
  <c r="BA224" i="5"/>
  <c r="BL101" i="5"/>
  <c r="BD1327" i="18" s="1"/>
  <c r="BL99" i="5"/>
  <c r="BD1325" i="18" s="1"/>
  <c r="BL98" i="5"/>
  <c r="BD1324" i="18" s="1"/>
  <c r="BL96" i="5"/>
  <c r="BL100" i="5"/>
  <c r="BD1326" i="18" s="1"/>
  <c r="BZ84" i="5"/>
  <c r="BR74" i="18" s="1"/>
  <c r="BZ95" i="5"/>
  <c r="BZ126" i="5"/>
  <c r="BR1331" i="18" s="1"/>
  <c r="BT148" i="5"/>
  <c r="BT138" i="5"/>
  <c r="I925" i="18"/>
  <c r="BI394" i="5"/>
  <c r="BO95" i="5"/>
  <c r="BG1321" i="18" s="1"/>
  <c r="BO84" i="5"/>
  <c r="BO126" i="5"/>
  <c r="BG1331" i="18" s="1"/>
  <c r="BJ84" i="5"/>
  <c r="BB74" i="18" s="1"/>
  <c r="BJ95" i="5"/>
  <c r="BB1321" i="18" s="1"/>
  <c r="BJ126" i="5"/>
  <c r="BB1331" i="18" s="1"/>
  <c r="AO296" i="5"/>
  <c r="AO297" i="5" s="1"/>
  <c r="AO213" i="5"/>
  <c r="BT89" i="5"/>
  <c r="BL77" i="18" s="1"/>
  <c r="BF143" i="5"/>
  <c r="AX117" i="18" s="1"/>
  <c r="BF129" i="5"/>
  <c r="AX109" i="18" s="1"/>
  <c r="AS226" i="5"/>
  <c r="AS224" i="5"/>
  <c r="AS225" i="5" s="1"/>
  <c r="BC143" i="5"/>
  <c r="AU117" i="18" s="1"/>
  <c r="BC129" i="5"/>
  <c r="AU109" i="18" s="1"/>
  <c r="CU468" i="5"/>
  <c r="CM354" i="18" s="1"/>
  <c r="CE599" i="5"/>
  <c r="BW443" i="18" s="1"/>
  <c r="AK100" i="5"/>
  <c r="AK99" i="5"/>
  <c r="AK98" i="5"/>
  <c r="AK96" i="5"/>
  <c r="AK97" i="5" s="1"/>
  <c r="AK101" i="5"/>
  <c r="AT97" i="5"/>
  <c r="CC151" i="5"/>
  <c r="BU123" i="18" s="1"/>
  <c r="BS143" i="5"/>
  <c r="BK117" i="18" s="1"/>
  <c r="BS129" i="5"/>
  <c r="BK109" i="18" s="1"/>
  <c r="AW224" i="5"/>
  <c r="CT416" i="5"/>
  <c r="CL309" i="18" s="1"/>
  <c r="CB168" i="5"/>
  <c r="BT134" i="18" s="1"/>
  <c r="CX169" i="5"/>
  <c r="BH218" i="5"/>
  <c r="AZ185" i="18" s="1"/>
  <c r="CU56" i="5"/>
  <c r="CM43" i="18" s="1"/>
  <c r="CV146" i="5"/>
  <c r="CN120" i="18" s="1"/>
  <c r="DG124" i="5"/>
  <c r="CR106" i="18" s="1"/>
  <c r="CV135" i="5"/>
  <c r="CN112" i="18" s="1"/>
  <c r="AW99" i="5"/>
  <c r="CV450" i="5"/>
  <c r="CN337" i="18" s="1"/>
  <c r="CV460" i="5"/>
  <c r="CN347" i="18" s="1"/>
  <c r="CV429" i="5"/>
  <c r="BJ81" i="5"/>
  <c r="BB72" i="18" s="1"/>
  <c r="CX363" i="5"/>
  <c r="CM289" i="5"/>
  <c r="CM216" i="5"/>
  <c r="CQ577" i="5"/>
  <c r="CQ579" i="5" s="1"/>
  <c r="CQ580" i="5" s="1"/>
  <c r="CZ324" i="5"/>
  <c r="BE226" i="5"/>
  <c r="AW193" i="18" s="1"/>
  <c r="BE224" i="5"/>
  <c r="AW191" i="18" s="1"/>
  <c r="BQ191" i="5"/>
  <c r="BI157" i="18" s="1"/>
  <c r="BW129" i="5"/>
  <c r="BO109" i="18" s="1"/>
  <c r="BW143" i="5"/>
  <c r="BO117" i="18" s="1"/>
  <c r="AS297" i="5"/>
  <c r="AT291" i="5"/>
  <c r="AT199" i="5"/>
  <c r="BY577" i="5"/>
  <c r="BQ423" i="18" s="1"/>
  <c r="CS393" i="5"/>
  <c r="BE101" i="5"/>
  <c r="AW1327" i="18" s="1"/>
  <c r="BE100" i="5"/>
  <c r="AW1326" i="18" s="1"/>
  <c r="BE99" i="5"/>
  <c r="AW1325" i="18" s="1"/>
  <c r="BE98" i="5"/>
  <c r="AW1324" i="18" s="1"/>
  <c r="BE96" i="5"/>
  <c r="BM92" i="5"/>
  <c r="BE80" i="18" s="1"/>
  <c r="BN577" i="5"/>
  <c r="BI84" i="5"/>
  <c r="BI95" i="5"/>
  <c r="BM100" i="5" s="1"/>
  <c r="BE1326" i="18" s="1"/>
  <c r="BI126" i="5"/>
  <c r="BA1331" i="18" s="1"/>
  <c r="CN81" i="5"/>
  <c r="BM394" i="5"/>
  <c r="CT363" i="5"/>
  <c r="BX89" i="5"/>
  <c r="BP77" i="18" s="1"/>
  <c r="DB558" i="5"/>
  <c r="DB690" i="5"/>
  <c r="AQ230" i="5"/>
  <c r="BF217" i="5"/>
  <c r="BF223" i="5"/>
  <c r="AX190" i="18" s="1"/>
  <c r="BF288" i="5"/>
  <c r="AX245" i="18" s="1"/>
  <c r="BF234" i="5"/>
  <c r="AX201" i="18" s="1"/>
  <c r="BN146" i="5"/>
  <c r="BN135" i="5"/>
  <c r="BF112" i="18" s="1"/>
  <c r="CB89" i="5"/>
  <c r="BT77" i="18" s="1"/>
  <c r="CB101" i="5"/>
  <c r="BT1327" i="18" s="1"/>
  <c r="CB100" i="5"/>
  <c r="BT1326" i="18" s="1"/>
  <c r="CB98" i="5"/>
  <c r="BT1324" i="18" s="1"/>
  <c r="CB96" i="5"/>
  <c r="BT1322" i="18" s="1"/>
  <c r="CB99" i="5"/>
  <c r="BT1325" i="18" s="1"/>
  <c r="DF669" i="5"/>
  <c r="DE557" i="5"/>
  <c r="CX531" i="5"/>
  <c r="BV81" i="5"/>
  <c r="BN72" i="18" s="1"/>
  <c r="CR438" i="5"/>
  <c r="CJ1042" i="18" s="1"/>
  <c r="CR447" i="5"/>
  <c r="CS448" i="5" s="1"/>
  <c r="CS468" i="5"/>
  <c r="CK354" i="18" s="1"/>
  <c r="AO243" i="5"/>
  <c r="AS243" i="5"/>
  <c r="BF84" i="5"/>
  <c r="BF95" i="5"/>
  <c r="AX1321" i="18" s="1"/>
  <c r="BF126" i="5"/>
  <c r="AX1331" i="18" s="1"/>
  <c r="CU405" i="5"/>
  <c r="CV405" i="5"/>
  <c r="AO100" i="5"/>
  <c r="AV194" i="5"/>
  <c r="BU92" i="5"/>
  <c r="BM80" i="18" s="1"/>
  <c r="BT394" i="5"/>
  <c r="BX394" i="5"/>
  <c r="BR143" i="5"/>
  <c r="BJ117" i="18" s="1"/>
  <c r="BR129" i="5"/>
  <c r="BJ109" i="18" s="1"/>
  <c r="BH93" i="5"/>
  <c r="AZ81" i="18" s="1"/>
  <c r="BP85" i="5"/>
  <c r="BU394" i="5"/>
  <c r="AT99" i="5"/>
  <c r="I924" i="18"/>
  <c r="I916" i="18"/>
  <c r="BT159" i="5" l="1"/>
  <c r="BL1328" i="18" s="1"/>
  <c r="BL1336" i="18"/>
  <c r="BK33" i="5"/>
  <c r="BC25" i="18" s="1"/>
  <c r="BC24" i="18"/>
  <c r="CA579" i="5"/>
  <c r="BS423" i="18"/>
  <c r="BB85" i="5"/>
  <c r="AT74" i="18"/>
  <c r="BV89" i="5"/>
  <c r="BN77" i="18" s="1"/>
  <c r="BN76" i="18"/>
  <c r="BJ519" i="5"/>
  <c r="BB372" i="18"/>
  <c r="BQ289" i="5"/>
  <c r="BI246" i="18" s="1"/>
  <c r="BI244" i="18"/>
  <c r="BR579" i="5"/>
  <c r="BJ423" i="18"/>
  <c r="BB197" i="5"/>
  <c r="AT163" i="18" s="1"/>
  <c r="AT162" i="18"/>
  <c r="BP310" i="5"/>
  <c r="BH268" i="18" s="1"/>
  <c r="BH267" i="18"/>
  <c r="BS156" i="5"/>
  <c r="BK120" i="18"/>
  <c r="BQ178" i="6"/>
  <c r="BI1303" i="18"/>
  <c r="BI729" i="18"/>
  <c r="BF1302" i="18"/>
  <c r="BF728" i="18"/>
  <c r="CQ61" i="6"/>
  <c r="CI622" i="18" s="1"/>
  <c r="CI621" i="18"/>
  <c r="BE61" i="6"/>
  <c r="AW622" i="18" s="1"/>
  <c r="AW621" i="18"/>
  <c r="BD61" i="6"/>
  <c r="AV622" i="18" s="1"/>
  <c r="AV621" i="18"/>
  <c r="BP157" i="5"/>
  <c r="BH129" i="18" s="1"/>
  <c r="BH128" i="18"/>
  <c r="C33" i="19"/>
  <c r="C34" i="19" s="1"/>
  <c r="C16" i="19"/>
  <c r="C908" i="18"/>
  <c r="BI85" i="5"/>
  <c r="BA74" i="18"/>
  <c r="CS394" i="5"/>
  <c r="CK1282" i="18"/>
  <c r="CK1260" i="18"/>
  <c r="CK304" i="18"/>
  <c r="BL97" i="5"/>
  <c r="BD1323" i="18" s="1"/>
  <c r="BD1322" i="18"/>
  <c r="BA225" i="5"/>
  <c r="AS192" i="18" s="1"/>
  <c r="AS191" i="18"/>
  <c r="CR60" i="16"/>
  <c r="CJ105" i="18"/>
  <c r="BL218" i="5"/>
  <c r="BD185" i="18" s="1"/>
  <c r="BD184" i="18"/>
  <c r="BN85" i="5"/>
  <c r="BF74" i="18"/>
  <c r="BJ33" i="5"/>
  <c r="BB25" i="18" s="1"/>
  <c r="BB24" i="18"/>
  <c r="BZ579" i="5"/>
  <c r="BR423" i="18"/>
  <c r="BN31" i="5"/>
  <c r="BF23" i="18" s="1"/>
  <c r="BF28" i="18"/>
  <c r="BN310" i="5"/>
  <c r="BF268" i="18" s="1"/>
  <c r="BF267" i="18"/>
  <c r="BJ89" i="5"/>
  <c r="BB77" i="18" s="1"/>
  <c r="BB76" i="18"/>
  <c r="M15" i="19"/>
  <c r="BQ1321" i="18"/>
  <c r="BQ85" i="5"/>
  <c r="BI74" i="18"/>
  <c r="CV60" i="16"/>
  <c r="CN105" i="18"/>
  <c r="CU81" i="5"/>
  <c r="CM72" i="18" s="1"/>
  <c r="CM71" i="18"/>
  <c r="CX81" i="5"/>
  <c r="CP72" i="18" s="1"/>
  <c r="CP71" i="18"/>
  <c r="BM98" i="5"/>
  <c r="BE1324" i="18" s="1"/>
  <c r="CT81" i="5"/>
  <c r="CL72" i="18" s="1"/>
  <c r="CL71" i="18"/>
  <c r="CV394" i="5"/>
  <c r="CN1282" i="18"/>
  <c r="CN1260" i="18"/>
  <c r="CN304" i="18"/>
  <c r="BB296" i="5"/>
  <c r="AT254" i="18" s="1"/>
  <c r="AT181" i="18"/>
  <c r="BM519" i="5"/>
  <c r="BE372" i="18"/>
  <c r="CA85" i="5"/>
  <c r="BS74" i="18"/>
  <c r="BI218" i="5"/>
  <c r="BA185" i="18" s="1"/>
  <c r="BA184" i="18"/>
  <c r="CT31" i="5"/>
  <c r="CL23" i="18" s="1"/>
  <c r="CL28" i="18"/>
  <c r="BC218" i="5"/>
  <c r="AU185" i="18" s="1"/>
  <c r="AU184" i="18"/>
  <c r="CT126" i="6"/>
  <c r="CL695" i="18" s="1"/>
  <c r="BJ367" i="6"/>
  <c r="BB606" i="18" s="1"/>
  <c r="BB605" i="18"/>
  <c r="CT177" i="6"/>
  <c r="CL1302" i="18"/>
  <c r="CL728" i="18"/>
  <c r="BA65" i="6"/>
  <c r="AS626" i="18"/>
  <c r="BM369" i="6"/>
  <c r="BE608" i="18" s="1"/>
  <c r="BE607" i="18"/>
  <c r="CT285" i="6"/>
  <c r="CL807" i="18" s="1"/>
  <c r="CL1247" i="18"/>
  <c r="CL707" i="18"/>
  <c r="BB1303" i="18"/>
  <c r="BB729" i="18"/>
  <c r="BN120" i="6"/>
  <c r="BF684" i="18" s="1"/>
  <c r="BF661" i="18"/>
  <c r="CR277" i="5"/>
  <c r="CJ233" i="18" s="1"/>
  <c r="BE58" i="6"/>
  <c r="AW619" i="18"/>
  <c r="BK178" i="6"/>
  <c r="BC1303" i="18"/>
  <c r="BC729" i="18"/>
  <c r="BJ58" i="6"/>
  <c r="BB619" i="18"/>
  <c r="BO369" i="6"/>
  <c r="BG608" i="18" s="1"/>
  <c r="BG607" i="18"/>
  <c r="CQ27" i="6"/>
  <c r="CI581" i="18" s="1"/>
  <c r="CI580" i="18"/>
  <c r="AZ279" i="5"/>
  <c r="AR235" i="18" s="1"/>
  <c r="AR234" i="18"/>
  <c r="BG1302" i="18"/>
  <c r="BG728" i="18"/>
  <c r="CS151" i="6"/>
  <c r="CK708" i="18" s="1"/>
  <c r="CK1248" i="18"/>
  <c r="CJ1247" i="18"/>
  <c r="CJ707" i="18"/>
  <c r="BH1304" i="18"/>
  <c r="BH730" i="18"/>
  <c r="AY1303" i="18"/>
  <c r="AY729" i="18"/>
  <c r="J16" i="19"/>
  <c r="J33" i="19"/>
  <c r="J34" i="19" s="1"/>
  <c r="M908" i="18"/>
  <c r="CZ63" i="5"/>
  <c r="CR51" i="18" s="1"/>
  <c r="DA452" i="5"/>
  <c r="I16" i="19"/>
  <c r="I33" i="19"/>
  <c r="I34" i="19" s="1"/>
  <c r="L908" i="18"/>
  <c r="BX580" i="5"/>
  <c r="BP426" i="18" s="1"/>
  <c r="BP425" i="18"/>
  <c r="BE97" i="5"/>
  <c r="AW1323" i="18" s="1"/>
  <c r="AW1322" i="18"/>
  <c r="BJ579" i="5"/>
  <c r="BB423" i="18"/>
  <c r="CA547" i="5"/>
  <c r="BS396" i="18" s="1"/>
  <c r="BS386" i="18"/>
  <c r="BR156" i="5"/>
  <c r="BJ120" i="18"/>
  <c r="BH225" i="5"/>
  <c r="AZ192" i="18" s="1"/>
  <c r="AZ191" i="18"/>
  <c r="BV580" i="5"/>
  <c r="BN426" i="18" s="1"/>
  <c r="BN425" i="18"/>
  <c r="BV85" i="5"/>
  <c r="BN74" i="18"/>
  <c r="BR89" i="5"/>
  <c r="BJ77" i="18" s="1"/>
  <c r="BJ76" i="18"/>
  <c r="BT289" i="5"/>
  <c r="BL246" i="18" s="1"/>
  <c r="BL244" i="18"/>
  <c r="AZ225" i="5"/>
  <c r="AR192" i="18" s="1"/>
  <c r="AR191" i="18"/>
  <c r="BO289" i="5"/>
  <c r="BG246" i="18" s="1"/>
  <c r="BG244" i="18"/>
  <c r="AX1303" i="18"/>
  <c r="AX729" i="18"/>
  <c r="BX120" i="6"/>
  <c r="BP684" i="18" s="1"/>
  <c r="BP661" i="18"/>
  <c r="CM1282" i="18"/>
  <c r="CM1260" i="18"/>
  <c r="CM304" i="18"/>
  <c r="AY157" i="5"/>
  <c r="AQ129" i="18" s="1"/>
  <c r="AQ128" i="18"/>
  <c r="C17" i="19"/>
  <c r="BI128" i="18"/>
  <c r="CN1291" i="18"/>
  <c r="CN1262" i="18"/>
  <c r="BF85" i="5"/>
  <c r="AX74" i="18"/>
  <c r="BN579" i="5"/>
  <c r="BF423" i="18"/>
  <c r="BY579" i="5"/>
  <c r="N15" i="19"/>
  <c r="BR1321" i="18"/>
  <c r="CS579" i="5"/>
  <c r="CK423" i="18"/>
  <c r="CR75" i="5"/>
  <c r="CJ61" i="18"/>
  <c r="BH101" i="5"/>
  <c r="AZ1327" i="18" s="1"/>
  <c r="AY1321" i="18"/>
  <c r="BO89" i="5"/>
  <c r="BG77" i="18" s="1"/>
  <c r="BG76" i="18"/>
  <c r="BQ89" i="5"/>
  <c r="BI77" i="18" s="1"/>
  <c r="BI76" i="18"/>
  <c r="BX97" i="5"/>
  <c r="BP1323" i="18" s="1"/>
  <c r="BP1322" i="18"/>
  <c r="CP105" i="18"/>
  <c r="CX60" i="16"/>
  <c r="BO580" i="5"/>
  <c r="BG426" i="18" s="1"/>
  <c r="BG425" i="18"/>
  <c r="BW156" i="5"/>
  <c r="BO120" i="18"/>
  <c r="BG156" i="5"/>
  <c r="AY120" i="18"/>
  <c r="BY85" i="5"/>
  <c r="BQ74" i="18"/>
  <c r="BU139" i="5"/>
  <c r="BM1335" i="18" s="1"/>
  <c r="BM1334" i="18"/>
  <c r="CR81" i="5"/>
  <c r="CJ72" i="18" s="1"/>
  <c r="CJ71" i="18"/>
  <c r="BX139" i="5"/>
  <c r="BP1335" i="18" s="1"/>
  <c r="BP1334" i="18"/>
  <c r="BC89" i="5"/>
  <c r="AU77" i="18" s="1"/>
  <c r="AU76" i="18"/>
  <c r="CS547" i="5"/>
  <c r="CK396" i="18" s="1"/>
  <c r="CK386" i="18"/>
  <c r="BI579" i="5"/>
  <c r="BA423" i="18"/>
  <c r="BB89" i="5"/>
  <c r="AT77" i="18" s="1"/>
  <c r="AT76" i="18"/>
  <c r="CL105" i="18"/>
  <c r="CT60" i="16"/>
  <c r="BI89" i="5"/>
  <c r="BA77" i="18" s="1"/>
  <c r="BA76" i="18"/>
  <c r="BX156" i="5"/>
  <c r="BP120" i="18"/>
  <c r="BT157" i="5"/>
  <c r="BL129" i="18" s="1"/>
  <c r="BK46" i="5"/>
  <c r="BC1317" i="18"/>
  <c r="BO156" i="5"/>
  <c r="BS157" i="5" s="1"/>
  <c r="BK129" i="18" s="1"/>
  <c r="BG120" i="18"/>
  <c r="BM33" i="5"/>
  <c r="BE25" i="18" s="1"/>
  <c r="BE24" i="18"/>
  <c r="O15" i="19"/>
  <c r="BS1321" i="18"/>
  <c r="CT216" i="5"/>
  <c r="CL183" i="18" s="1"/>
  <c r="BS579" i="5"/>
  <c r="CS25" i="6"/>
  <c r="CK579" i="18" s="1"/>
  <c r="BH367" i="6"/>
  <c r="AZ606" i="18" s="1"/>
  <c r="AZ605" i="18"/>
  <c r="CL813" i="18"/>
  <c r="CL811" i="18"/>
  <c r="CL1291" i="18"/>
  <c r="CL1262" i="18"/>
  <c r="CR61" i="6"/>
  <c r="CJ622" i="18" s="1"/>
  <c r="CJ621" i="18"/>
  <c r="BX126" i="6"/>
  <c r="BP695" i="18" s="1"/>
  <c r="BP694" i="18"/>
  <c r="CQ58" i="6"/>
  <c r="CI619" i="18"/>
  <c r="BC61" i="6"/>
  <c r="AU622" i="18" s="1"/>
  <c r="AU621" i="18"/>
  <c r="CS56" i="6"/>
  <c r="CK618" i="18" s="1"/>
  <c r="BD58" i="6"/>
  <c r="AV619" i="18"/>
  <c r="BM1302" i="18"/>
  <c r="BM728" i="18"/>
  <c r="BF68" i="6"/>
  <c r="AX629" i="18"/>
  <c r="BD27" i="6"/>
  <c r="AV581" i="18" s="1"/>
  <c r="AV580" i="18"/>
  <c r="CR126" i="6"/>
  <c r="CJ695" i="18" s="1"/>
  <c r="CJ694" i="18"/>
  <c r="AZ68" i="6"/>
  <c r="AR629" i="18"/>
  <c r="BS574" i="18"/>
  <c r="CA42" i="7"/>
  <c r="CA46" i="7" s="1"/>
  <c r="CS62" i="16"/>
  <c r="CS63" i="16" s="1"/>
  <c r="CS65" i="16"/>
  <c r="CS66" i="16" s="1"/>
  <c r="K16" i="19"/>
  <c r="K33" i="19"/>
  <c r="K34" i="19" s="1"/>
  <c r="N908" i="18"/>
  <c r="BB157" i="5"/>
  <c r="AT129" i="18" s="1"/>
  <c r="AT128" i="18"/>
  <c r="D16" i="19"/>
  <c r="D33" i="19"/>
  <c r="D34" i="19" s="1"/>
  <c r="D908" i="18"/>
  <c r="BF157" i="5"/>
  <c r="AX129" i="18" s="1"/>
  <c r="AX128" i="18"/>
  <c r="CL1245" i="18"/>
  <c r="CT18" i="6"/>
  <c r="CB580" i="5"/>
  <c r="BT426" i="18" s="1"/>
  <c r="BT425" i="18"/>
  <c r="DB455" i="5"/>
  <c r="DC455" i="5" s="1"/>
  <c r="DD455" i="5" s="1"/>
  <c r="DE455" i="5" s="1"/>
  <c r="DF455" i="5" s="1"/>
  <c r="BM157" i="5"/>
  <c r="BE129" i="18" s="1"/>
  <c r="BE128" i="18"/>
  <c r="I17" i="19"/>
  <c r="BN128" i="18"/>
  <c r="BM99" i="5"/>
  <c r="BE1325" i="18" s="1"/>
  <c r="BA1321" i="18"/>
  <c r="BL46" i="5"/>
  <c r="BD1317" i="18"/>
  <c r="BQ580" i="5"/>
  <c r="BI426" i="18" s="1"/>
  <c r="BI425" i="18"/>
  <c r="BT97" i="5"/>
  <c r="BL1323" i="18" s="1"/>
  <c r="BL1322" i="18"/>
  <c r="BK218" i="5"/>
  <c r="BC185" i="18" s="1"/>
  <c r="BC184" i="18"/>
  <c r="CW75" i="5"/>
  <c r="CO61" i="18"/>
  <c r="CT369" i="6"/>
  <c r="CL608" i="18" s="1"/>
  <c r="CL607" i="18"/>
  <c r="BJ61" i="6"/>
  <c r="BB622" i="18" s="1"/>
  <c r="BB621" i="18"/>
  <c r="BF65" i="6"/>
  <c r="AX626" i="18"/>
  <c r="BO126" i="6"/>
  <c r="BG695" i="18" s="1"/>
  <c r="BG694" i="18"/>
  <c r="CR167" i="6"/>
  <c r="CJ717" i="18" s="1"/>
  <c r="CJ715" i="18"/>
  <c r="BM580" i="5"/>
  <c r="BE426" i="18" s="1"/>
  <c r="BE425" i="18"/>
  <c r="CJ1291" i="18"/>
  <c r="CJ1262" i="18"/>
  <c r="BI157" i="5"/>
  <c r="BA129" i="18" s="1"/>
  <c r="BA128" i="18"/>
  <c r="P16" i="19"/>
  <c r="P33" i="19"/>
  <c r="P34" i="19" s="1"/>
  <c r="S908" i="18"/>
  <c r="I42" i="19"/>
  <c r="X32" i="19"/>
  <c r="I906" i="18"/>
  <c r="CM1291" i="18"/>
  <c r="CM1262" i="18"/>
  <c r="BN156" i="5"/>
  <c r="BF120" i="18"/>
  <c r="BF218" i="5"/>
  <c r="AX185" i="18" s="1"/>
  <c r="AX184" i="18"/>
  <c r="BO85" i="5"/>
  <c r="BG74" i="18"/>
  <c r="BT139" i="5"/>
  <c r="BL1335" i="18" s="1"/>
  <c r="BL1334" i="18"/>
  <c r="BK519" i="5"/>
  <c r="BC372" i="18"/>
  <c r="BC85" i="5"/>
  <c r="AU74" i="18"/>
  <c r="CB159" i="5"/>
  <c r="BT1336" i="18"/>
  <c r="CA89" i="5"/>
  <c r="BS77" i="18" s="1"/>
  <c r="BS76" i="18"/>
  <c r="CV312" i="5"/>
  <c r="CN270" i="18" s="1"/>
  <c r="BJ270" i="18"/>
  <c r="BQ157" i="5"/>
  <c r="BI129" i="18" s="1"/>
  <c r="CM105" i="18"/>
  <c r="CU60" i="16"/>
  <c r="BH226" i="5"/>
  <c r="AZ193" i="18" s="1"/>
  <c r="BU159" i="5"/>
  <c r="BM1328" i="18" s="1"/>
  <c r="BM1336" i="18"/>
  <c r="BK579" i="5"/>
  <c r="CK1321" i="18"/>
  <c r="CS14" i="26"/>
  <c r="CS14" i="27"/>
  <c r="CS12" i="16"/>
  <c r="BB218" i="5"/>
  <c r="AT185" i="18" s="1"/>
  <c r="AT184" i="18"/>
  <c r="CO1260" i="18"/>
  <c r="CO1282" i="18"/>
  <c r="CO304" i="18"/>
  <c r="CS92" i="5"/>
  <c r="CK80" i="18" s="1"/>
  <c r="CJ75" i="18"/>
  <c r="BX159" i="5"/>
  <c r="BP1336" i="18"/>
  <c r="BK89" i="5"/>
  <c r="BC77" i="18" s="1"/>
  <c r="BC76" i="18"/>
  <c r="CR156" i="5"/>
  <c r="CJ120" i="18"/>
  <c r="CY539" i="5"/>
  <c r="CQ388" i="18" s="1"/>
  <c r="CQ85" i="18"/>
  <c r="CS156" i="5"/>
  <c r="CK128" i="18" s="1"/>
  <c r="CK120" i="18"/>
  <c r="CT75" i="5"/>
  <c r="CL61" i="18"/>
  <c r="CS75" i="5"/>
  <c r="BA97" i="5"/>
  <c r="AS1323" i="18" s="1"/>
  <c r="AS1322" i="18"/>
  <c r="CW60" i="16"/>
  <c r="CO105" i="18"/>
  <c r="BY89" i="5"/>
  <c r="BQ77" i="18" s="1"/>
  <c r="BQ76" i="18"/>
  <c r="BD97" i="5"/>
  <c r="AV1323" i="18" s="1"/>
  <c r="AV1322" i="18"/>
  <c r="BW579" i="5"/>
  <c r="BI46" i="5"/>
  <c r="BA1317" i="18"/>
  <c r="CA155" i="5"/>
  <c r="BS127" i="18" s="1"/>
  <c r="CU156" i="5"/>
  <c r="CM128" i="18" s="1"/>
  <c r="CM120" i="18"/>
  <c r="BE27" i="6"/>
  <c r="AW581" i="18" s="1"/>
  <c r="AW580" i="18"/>
  <c r="CT120" i="6"/>
  <c r="CL684" i="18" s="1"/>
  <c r="CL661" i="18"/>
  <c r="BA68" i="6"/>
  <c r="AS629" i="18"/>
  <c r="BC27" i="6"/>
  <c r="AU581" i="18" s="1"/>
  <c r="AU580" i="18"/>
  <c r="CK1291" i="18"/>
  <c r="CK1262" i="18"/>
  <c r="BC58" i="6"/>
  <c r="AU619" i="18"/>
  <c r="CU119" i="6"/>
  <c r="CM683" i="18" s="1"/>
  <c r="CM660" i="18"/>
  <c r="BR369" i="6"/>
  <c r="BJ608" i="18" s="1"/>
  <c r="BJ607" i="18"/>
  <c r="BL369" i="6"/>
  <c r="BD608" i="18" s="1"/>
  <c r="BD607" i="18"/>
  <c r="BU120" i="6"/>
  <c r="BM684" i="18" s="1"/>
  <c r="BM661" i="18"/>
  <c r="BJ27" i="6"/>
  <c r="BB581" i="18" s="1"/>
  <c r="BB580" i="18"/>
  <c r="CU394" i="5"/>
  <c r="CL1282" i="18"/>
  <c r="CL1260" i="18"/>
  <c r="CL304" i="18"/>
  <c r="BF279" i="5"/>
  <c r="AX235" i="18" s="1"/>
  <c r="AX234" i="18"/>
  <c r="BO120" i="6"/>
  <c r="BG684" i="18" s="1"/>
  <c r="BG661" i="18"/>
  <c r="CJ1302" i="18"/>
  <c r="CJ728" i="18"/>
  <c r="AZ65" i="6"/>
  <c r="AR626" i="18"/>
  <c r="BD157" i="5"/>
  <c r="AV129" i="18" s="1"/>
  <c r="AV128" i="18"/>
  <c r="BU157" i="5"/>
  <c r="BM129" i="18" s="1"/>
  <c r="H17" i="19"/>
  <c r="BM128" i="18"/>
  <c r="CR394" i="5"/>
  <c r="CJ1282" i="18"/>
  <c r="CJ1260" i="18"/>
  <c r="CJ304" i="18"/>
  <c r="CJ1245" i="18"/>
  <c r="CR18" i="6"/>
  <c r="CT698" i="5"/>
  <c r="CL533" i="18"/>
  <c r="N42" i="19"/>
  <c r="Q937" i="18" s="1"/>
  <c r="Y32" i="19"/>
  <c r="T906" i="18"/>
  <c r="AZ157" i="5"/>
  <c r="AR129" i="18" s="1"/>
  <c r="AR128" i="18"/>
  <c r="E16" i="19"/>
  <c r="E33" i="19"/>
  <c r="E34" i="19" s="1"/>
  <c r="E908" i="18"/>
  <c r="BT580" i="5"/>
  <c r="BL426" i="18" s="1"/>
  <c r="BL425" i="18"/>
  <c r="BE1304" i="18"/>
  <c r="BE730" i="18"/>
  <c r="BU580" i="5"/>
  <c r="BM426" i="18" s="1"/>
  <c r="BM425" i="18"/>
  <c r="AX157" i="5"/>
  <c r="AP129" i="18" s="1"/>
  <c r="AP128" i="18"/>
  <c r="BS493" i="5"/>
  <c r="F17" i="19"/>
  <c r="BL128" i="18"/>
  <c r="BA157" i="5"/>
  <c r="AS129" i="18" s="1"/>
  <c r="AS128" i="18"/>
  <c r="CO1291" i="18"/>
  <c r="CO1262" i="18"/>
  <c r="CE170" i="5"/>
  <c r="BW133" i="18"/>
  <c r="DB174" i="5"/>
  <c r="CS140" i="18"/>
  <c r="DA173" i="5"/>
  <c r="CZ169" i="5"/>
  <c r="CR135" i="18" s="1"/>
  <c r="CR139" i="18"/>
  <c r="BV136" i="18"/>
  <c r="CD153" i="5"/>
  <c r="BV125" i="18" s="1"/>
  <c r="BW734" i="18"/>
  <c r="BW1311" i="18"/>
  <c r="BW733" i="18"/>
  <c r="BW1313" i="18"/>
  <c r="BX1310" i="18"/>
  <c r="BX732" i="18"/>
  <c r="BP1302" i="18"/>
  <c r="BP728" i="18"/>
  <c r="BT178" i="6"/>
  <c r="BL1303" i="18"/>
  <c r="BL729" i="18"/>
  <c r="CQ1300" i="18"/>
  <c r="CQ726" i="18"/>
  <c r="CZ171" i="6"/>
  <c r="CQ1298" i="18"/>
  <c r="CQ724" i="18"/>
  <c r="CP1282" i="18"/>
  <c r="CP1260" i="18"/>
  <c r="CP304" i="18"/>
  <c r="CP1262" i="18"/>
  <c r="CP1291" i="18"/>
  <c r="T920" i="18"/>
  <c r="T918" i="18"/>
  <c r="T914" i="18"/>
  <c r="F928" i="18"/>
  <c r="CO18" i="6"/>
  <c r="CO17" i="6"/>
  <c r="CV19" i="6"/>
  <c r="CV375" i="5"/>
  <c r="CV16" i="6"/>
  <c r="CN1245" i="18" s="1"/>
  <c r="AT366" i="5"/>
  <c r="AX366" i="5"/>
  <c r="CP359" i="5"/>
  <c r="CP357" i="5"/>
  <c r="CV44" i="7"/>
  <c r="CV48" i="7"/>
  <c r="CV49" i="7" s="1"/>
  <c r="CU18" i="6"/>
  <c r="CU17" i="6"/>
  <c r="AT408" i="5"/>
  <c r="AX408" i="5"/>
  <c r="CP463" i="5"/>
  <c r="CP464" i="5" s="1"/>
  <c r="CP420" i="5"/>
  <c r="CP423" i="5" s="1"/>
  <c r="CP443" i="5"/>
  <c r="CO357" i="5"/>
  <c r="CO359" i="5"/>
  <c r="CX149" i="6"/>
  <c r="CX161" i="6"/>
  <c r="AT425" i="5"/>
  <c r="AT426" i="5" s="1"/>
  <c r="AX425" i="5"/>
  <c r="CP343" i="5"/>
  <c r="CP341" i="5"/>
  <c r="CP364" i="5" s="1"/>
  <c r="CP397" i="5"/>
  <c r="CO463" i="5"/>
  <c r="CO464" i="5" s="1"/>
  <c r="CO420" i="5"/>
  <c r="CO423" i="5" s="1"/>
  <c r="AV366" i="5"/>
  <c r="CQ17" i="6"/>
  <c r="CR17" i="6"/>
  <c r="CQ18" i="6"/>
  <c r="CQ49" i="7"/>
  <c r="CR49" i="7"/>
  <c r="CP434" i="5"/>
  <c r="CZ34" i="7"/>
  <c r="CS17" i="6"/>
  <c r="CT17" i="6"/>
  <c r="CS18" i="6"/>
  <c r="CP17" i="6"/>
  <c r="CP18" i="6"/>
  <c r="V6" i="7"/>
  <c r="U5" i="7"/>
  <c r="CO343" i="5"/>
  <c r="CO341" i="5"/>
  <c r="CO364" i="5" s="1"/>
  <c r="AX398" i="5"/>
  <c r="CT31" i="6"/>
  <c r="CT30" i="6"/>
  <c r="CT32" i="6"/>
  <c r="CL587" i="18" s="1"/>
  <c r="BJ33" i="6"/>
  <c r="BI33" i="6"/>
  <c r="CV357" i="6"/>
  <c r="CV359" i="6"/>
  <c r="CN892" i="18" s="1"/>
  <c r="CT307" i="6"/>
  <c r="CL840" i="18" s="1"/>
  <c r="CV316" i="6"/>
  <c r="CN849" i="18" s="1"/>
  <c r="CV113" i="6"/>
  <c r="CN666" i="18" s="1"/>
  <c r="CV107" i="6"/>
  <c r="CN660" i="18" s="1"/>
  <c r="CV124" i="6"/>
  <c r="CN693" i="18" s="1"/>
  <c r="BE64" i="6"/>
  <c r="BE67" i="6"/>
  <c r="AW629" i="18" s="1"/>
  <c r="BE70" i="6"/>
  <c r="AW631" i="18" s="1"/>
  <c r="BE66" i="6"/>
  <c r="AW627" i="18" s="1"/>
  <c r="BZ216" i="6"/>
  <c r="CD215" i="6"/>
  <c r="BZ220" i="6"/>
  <c r="BN204" i="5"/>
  <c r="BN238" i="5"/>
  <c r="BF205" i="18" s="1"/>
  <c r="CR238" i="5"/>
  <c r="BA278" i="5"/>
  <c r="BA203" i="5"/>
  <c r="BA370" i="6"/>
  <c r="AS609" i="18" s="1"/>
  <c r="BN143" i="6"/>
  <c r="BF703" i="18" s="1"/>
  <c r="BR139" i="6"/>
  <c r="S5" i="6"/>
  <c r="T6" i="6"/>
  <c r="BH59" i="6"/>
  <c r="BH57" i="6"/>
  <c r="BH60" i="6"/>
  <c r="BM25" i="6"/>
  <c r="BE579" i="18" s="1"/>
  <c r="BM267" i="5"/>
  <c r="BM30" i="6"/>
  <c r="BM32" i="6"/>
  <c r="BE587" i="18" s="1"/>
  <c r="BM31" i="6"/>
  <c r="BM56" i="6"/>
  <c r="BE618" i="18" s="1"/>
  <c r="CS26" i="6"/>
  <c r="BV226" i="6"/>
  <c r="BV221" i="6"/>
  <c r="BJ178" i="6"/>
  <c r="CP72" i="6"/>
  <c r="CP71" i="6"/>
  <c r="CR204" i="5"/>
  <c r="BF72" i="6"/>
  <c r="AX633" i="18" s="1"/>
  <c r="BF71" i="6"/>
  <c r="AX632" i="18" s="1"/>
  <c r="BO179" i="6"/>
  <c r="BO177" i="6"/>
  <c r="BP179" i="6"/>
  <c r="BS214" i="6"/>
  <c r="BO219" i="6"/>
  <c r="BO29" i="6"/>
  <c r="AZ71" i="6"/>
  <c r="AR632" i="18" s="1"/>
  <c r="AZ72" i="6"/>
  <c r="AR633" i="18" s="1"/>
  <c r="BE225" i="5"/>
  <c r="AW192" i="18" s="1"/>
  <c r="BD225" i="5"/>
  <c r="AV192" i="18" s="1"/>
  <c r="BV219" i="6"/>
  <c r="BV29" i="6"/>
  <c r="BZ214" i="6"/>
  <c r="BH63" i="6"/>
  <c r="AZ625" i="18" s="1"/>
  <c r="BH277" i="5"/>
  <c r="AZ233" i="18" s="1"/>
  <c r="BH26" i="6"/>
  <c r="CU214" i="6"/>
  <c r="BP368" i="6"/>
  <c r="BP360" i="6"/>
  <c r="BH893" i="18" s="1"/>
  <c r="BE364" i="6"/>
  <c r="AW603" i="18" s="1"/>
  <c r="BE167" i="6"/>
  <c r="AW717" i="18" s="1"/>
  <c r="CW272" i="5"/>
  <c r="CR58" i="6"/>
  <c r="CR366" i="6"/>
  <c r="CJ605" i="18" s="1"/>
  <c r="BA367" i="6"/>
  <c r="AS606" i="18" s="1"/>
  <c r="BX177" i="6"/>
  <c r="CU166" i="6"/>
  <c r="CM716" i="18" s="1"/>
  <c r="CU155" i="6"/>
  <c r="CM672" i="18" s="1"/>
  <c r="CU147" i="6"/>
  <c r="BL366" i="6"/>
  <c r="BL336" i="6"/>
  <c r="BD870" i="18" s="1"/>
  <c r="BT214" i="6"/>
  <c r="BP219" i="6"/>
  <c r="BP29" i="6"/>
  <c r="BU177" i="6"/>
  <c r="BU179" i="6"/>
  <c r="CR251" i="6"/>
  <c r="CJ773" i="18" s="1"/>
  <c r="CR51" i="6"/>
  <c r="CJ597" i="18" s="1"/>
  <c r="CR26" i="6"/>
  <c r="BC205" i="5"/>
  <c r="CV247" i="6"/>
  <c r="CW234" i="6"/>
  <c r="CV235" i="6"/>
  <c r="BX356" i="6"/>
  <c r="CB35" i="6"/>
  <c r="CX35" i="6" s="1"/>
  <c r="BX37" i="6"/>
  <c r="BX272" i="5"/>
  <c r="BY356" i="6"/>
  <c r="BY272" i="5"/>
  <c r="CC35" i="6"/>
  <c r="BY37" i="6"/>
  <c r="BG204" i="5"/>
  <c r="BG238" i="5"/>
  <c r="CD356" i="6"/>
  <c r="CD37" i="6"/>
  <c r="CD272" i="5"/>
  <c r="BS216" i="6"/>
  <c r="BW215" i="6"/>
  <c r="BS220" i="6"/>
  <c r="BI60" i="6"/>
  <c r="BA621" i="18" s="1"/>
  <c r="BI59" i="6"/>
  <c r="BI57" i="6"/>
  <c r="CR330" i="6"/>
  <c r="CJ864" i="18" s="1"/>
  <c r="CP332" i="6"/>
  <c r="CP333" i="6"/>
  <c r="CP245" i="6"/>
  <c r="CP256" i="6"/>
  <c r="CP255" i="6"/>
  <c r="BL143" i="6"/>
  <c r="BD703" i="18" s="1"/>
  <c r="BP139" i="6"/>
  <c r="BB159" i="6"/>
  <c r="AT711" i="18" s="1"/>
  <c r="BB168" i="6"/>
  <c r="AT718" i="18" s="1"/>
  <c r="BP335" i="6"/>
  <c r="BH869" i="18" s="1"/>
  <c r="BT330" i="6"/>
  <c r="CQ64" i="6"/>
  <c r="CQ66" i="6"/>
  <c r="CI627" i="18" s="1"/>
  <c r="CQ67" i="6"/>
  <c r="BS368" i="6"/>
  <c r="BS360" i="6"/>
  <c r="BK893" i="18" s="1"/>
  <c r="BQ221" i="6"/>
  <c r="BQ226" i="6"/>
  <c r="BQ231" i="6" s="1"/>
  <c r="BD67" i="6"/>
  <c r="BD66" i="6"/>
  <c r="AV627" i="18" s="1"/>
  <c r="BD64" i="6"/>
  <c r="BD70" i="6"/>
  <c r="AV631" i="18" s="1"/>
  <c r="BD337" i="6"/>
  <c r="AV871" i="18" s="1"/>
  <c r="BH221" i="6"/>
  <c r="BH226" i="6"/>
  <c r="CR159" i="6"/>
  <c r="CJ711" i="18" s="1"/>
  <c r="CR168" i="6"/>
  <c r="CJ718" i="18" s="1"/>
  <c r="CU267" i="6"/>
  <c r="CU261" i="6"/>
  <c r="BR114" i="6"/>
  <c r="BJ667" i="18" s="1"/>
  <c r="BR176" i="6"/>
  <c r="BR108" i="6"/>
  <c r="BR125" i="6"/>
  <c r="BJ694" i="18" s="1"/>
  <c r="CV101" i="6"/>
  <c r="CN654" i="18" s="1"/>
  <c r="BF364" i="6"/>
  <c r="AX603" i="18" s="1"/>
  <c r="BF167" i="6"/>
  <c r="AX717" i="18" s="1"/>
  <c r="BC67" i="6"/>
  <c r="AU629" i="18" s="1"/>
  <c r="BC66" i="6"/>
  <c r="AU627" i="18" s="1"/>
  <c r="BC64" i="6"/>
  <c r="BC70" i="6"/>
  <c r="AU631" i="18" s="1"/>
  <c r="CW35" i="6"/>
  <c r="BO330" i="6"/>
  <c r="BK335" i="6"/>
  <c r="BC869" i="18" s="1"/>
  <c r="BZ357" i="6"/>
  <c r="BZ359" i="6"/>
  <c r="BR892" i="18" s="1"/>
  <c r="BO226" i="6"/>
  <c r="BO221" i="6"/>
  <c r="BD364" i="6"/>
  <c r="AV603" i="18" s="1"/>
  <c r="BD167" i="6"/>
  <c r="AV717" i="18" s="1"/>
  <c r="CS60" i="6"/>
  <c r="CS57" i="6"/>
  <c r="CK619" i="18" s="1"/>
  <c r="CS59" i="6"/>
  <c r="BC337" i="6"/>
  <c r="AU871" i="18" s="1"/>
  <c r="BH165" i="6"/>
  <c r="AZ715" i="18" s="1"/>
  <c r="BH145" i="6"/>
  <c r="AZ705" i="18" s="1"/>
  <c r="BH144" i="6"/>
  <c r="AZ704" i="18" s="1"/>
  <c r="BB370" i="6"/>
  <c r="AT609" i="18" s="1"/>
  <c r="CF113" i="6"/>
  <c r="BX666" i="18" s="1"/>
  <c r="AY71" i="6"/>
  <c r="AY72" i="6"/>
  <c r="CQ266" i="6"/>
  <c r="BF180" i="5"/>
  <c r="AX146" i="18" s="1"/>
  <c r="BF295" i="5"/>
  <c r="AX253" i="18" s="1"/>
  <c r="BL220" i="6"/>
  <c r="BL216" i="6"/>
  <c r="BP215" i="6"/>
  <c r="CT215" i="6"/>
  <c r="BB297" i="5"/>
  <c r="AT255" i="18" s="1"/>
  <c r="BR226" i="6"/>
  <c r="BR221" i="6"/>
  <c r="BT357" i="6"/>
  <c r="BT359" i="6"/>
  <c r="BL892" i="18" s="1"/>
  <c r="BV113" i="6"/>
  <c r="BN666" i="18" s="1"/>
  <c r="BZ100" i="6"/>
  <c r="BR653" i="18" s="1"/>
  <c r="BV124" i="6"/>
  <c r="BN693" i="18" s="1"/>
  <c r="BV101" i="6"/>
  <c r="BN654" i="18" s="1"/>
  <c r="CW100" i="6"/>
  <c r="CO653" i="18" s="1"/>
  <c r="CR63" i="6"/>
  <c r="CJ625" i="18" s="1"/>
  <c r="BV360" i="6"/>
  <c r="BN893" i="18" s="1"/>
  <c r="BV368" i="6"/>
  <c r="BG336" i="6"/>
  <c r="AY870" i="18" s="1"/>
  <c r="BG366" i="6"/>
  <c r="BG26" i="6"/>
  <c r="BG63" i="6"/>
  <c r="AY625" i="18" s="1"/>
  <c r="BG277" i="5"/>
  <c r="CE182" i="6"/>
  <c r="BW1307" i="18" s="1"/>
  <c r="CE183" i="6"/>
  <c r="BW1308" i="18" s="1"/>
  <c r="CR226" i="6"/>
  <c r="CR231" i="6" s="1"/>
  <c r="CR221" i="6"/>
  <c r="BI26" i="6"/>
  <c r="BI277" i="5"/>
  <c r="BA233" i="18" s="1"/>
  <c r="BI63" i="6"/>
  <c r="BA625" i="18" s="1"/>
  <c r="CU291" i="6"/>
  <c r="CU176" i="6"/>
  <c r="CU125" i="6"/>
  <c r="CM694" i="18" s="1"/>
  <c r="CU114" i="6"/>
  <c r="CM667" i="18" s="1"/>
  <c r="CU108" i="6"/>
  <c r="BG144" i="6"/>
  <c r="AY704" i="18" s="1"/>
  <c r="BG165" i="6"/>
  <c r="AY715" i="18" s="1"/>
  <c r="BG145" i="6"/>
  <c r="AY705" i="18" s="1"/>
  <c r="BN63" i="6"/>
  <c r="BF625" i="18" s="1"/>
  <c r="BN26" i="6"/>
  <c r="BN277" i="5"/>
  <c r="BF233" i="18" s="1"/>
  <c r="BI335" i="6"/>
  <c r="BA869" i="18" s="1"/>
  <c r="BM330" i="6"/>
  <c r="CZ353" i="6"/>
  <c r="CR887" i="18" s="1"/>
  <c r="CZ345" i="6"/>
  <c r="CR879" i="18" s="1"/>
  <c r="DA344" i="6"/>
  <c r="CS878" i="18" s="1"/>
  <c r="CB176" i="6"/>
  <c r="CB114" i="6"/>
  <c r="BT667" i="18" s="1"/>
  <c r="CB125" i="6"/>
  <c r="BT694" i="18" s="1"/>
  <c r="CB108" i="6"/>
  <c r="BT661" i="18" s="1"/>
  <c r="CF101" i="6"/>
  <c r="BX654" i="18" s="1"/>
  <c r="BN366" i="6"/>
  <c r="BN337" i="6"/>
  <c r="BF871" i="18" s="1"/>
  <c r="BN336" i="6"/>
  <c r="BF870" i="18" s="1"/>
  <c r="BA168" i="6"/>
  <c r="AS718" i="18" s="1"/>
  <c r="BA159" i="6"/>
  <c r="AS711" i="18" s="1"/>
  <c r="CQ254" i="6"/>
  <c r="CI777" i="18" s="1"/>
  <c r="BD278" i="5"/>
  <c r="BD203" i="5"/>
  <c r="BD180" i="5" s="1"/>
  <c r="AV146" i="18" s="1"/>
  <c r="BS176" i="6"/>
  <c r="BS125" i="6"/>
  <c r="BK694" i="18" s="1"/>
  <c r="BS108" i="6"/>
  <c r="BS114" i="6"/>
  <c r="BK667" i="18" s="1"/>
  <c r="BO139" i="6"/>
  <c r="BK143" i="6"/>
  <c r="BC703" i="18" s="1"/>
  <c r="CS307" i="6"/>
  <c r="CK840" i="18" s="1"/>
  <c r="BR335" i="6"/>
  <c r="BJ869" i="18" s="1"/>
  <c r="BV330" i="6"/>
  <c r="BK33" i="6"/>
  <c r="BK32" i="6"/>
  <c r="BC587" i="18" s="1"/>
  <c r="BK267" i="5"/>
  <c r="BK239" i="5" s="1"/>
  <c r="BK56" i="6"/>
  <c r="BC618" i="18" s="1"/>
  <c r="BK30" i="6"/>
  <c r="BK31" i="6"/>
  <c r="BK25" i="6"/>
  <c r="BC579" i="18" s="1"/>
  <c r="CA356" i="6"/>
  <c r="CA37" i="6"/>
  <c r="CE35" i="6"/>
  <c r="CA272" i="5"/>
  <c r="CR266" i="6"/>
  <c r="CR260" i="6"/>
  <c r="CZ327" i="6"/>
  <c r="CR861" i="18" s="1"/>
  <c r="DA324" i="6"/>
  <c r="CS858" i="18" s="1"/>
  <c r="BE204" i="5"/>
  <c r="CS239" i="5"/>
  <c r="CS268" i="5" s="1"/>
  <c r="CS269" i="5" s="1"/>
  <c r="BE238" i="5"/>
  <c r="AW205" i="18" s="1"/>
  <c r="BI165" i="6"/>
  <c r="BA715" i="18" s="1"/>
  <c r="CT143" i="6"/>
  <c r="CL703" i="18" s="1"/>
  <c r="BI145" i="6"/>
  <c r="BA705" i="18" s="1"/>
  <c r="BI144" i="6"/>
  <c r="BA704" i="18" s="1"/>
  <c r="BR31" i="6"/>
  <c r="BR30" i="6"/>
  <c r="BR25" i="6"/>
  <c r="BJ579" i="18" s="1"/>
  <c r="BR32" i="6"/>
  <c r="BJ587" i="18" s="1"/>
  <c r="BR267" i="5"/>
  <c r="BR56" i="6"/>
  <c r="BJ618" i="18" s="1"/>
  <c r="BW357" i="6"/>
  <c r="BW359" i="6"/>
  <c r="BO892" i="18" s="1"/>
  <c r="BT155" i="6"/>
  <c r="BL672" i="18" s="1"/>
  <c r="BT166" i="6"/>
  <c r="BL716" i="18" s="1"/>
  <c r="BQ219" i="6"/>
  <c r="CV214" i="6"/>
  <c r="BU214" i="6"/>
  <c r="BQ29" i="6"/>
  <c r="BA72" i="6"/>
  <c r="AS633" i="18" s="1"/>
  <c r="BA71" i="6"/>
  <c r="AS632" i="18" s="1"/>
  <c r="CS143" i="6"/>
  <c r="CK703" i="18" s="1"/>
  <c r="CZ170" i="6"/>
  <c r="CU150" i="6"/>
  <c r="CM1250" i="18" s="1"/>
  <c r="CT148" i="6"/>
  <c r="CT287" i="6"/>
  <c r="CL809" i="18" s="1"/>
  <c r="BY176" i="6"/>
  <c r="BY114" i="6"/>
  <c r="BQ667" i="18" s="1"/>
  <c r="CC101" i="6"/>
  <c r="BU654" i="18" s="1"/>
  <c r="BY125" i="6"/>
  <c r="BY108" i="6"/>
  <c r="BQ661" i="18" s="1"/>
  <c r="BC364" i="6"/>
  <c r="AU603" i="18" s="1"/>
  <c r="BC167" i="6"/>
  <c r="AU717" i="18" s="1"/>
  <c r="CV154" i="6"/>
  <c r="CN671" i="18" s="1"/>
  <c r="DB325" i="6"/>
  <c r="CT859" i="18" s="1"/>
  <c r="DA326" i="6"/>
  <c r="CS860" i="18" s="1"/>
  <c r="DA328" i="6"/>
  <c r="CS862" i="18" s="1"/>
  <c r="CD333" i="6"/>
  <c r="CD332" i="6"/>
  <c r="BL33" i="6"/>
  <c r="BL32" i="6"/>
  <c r="BD587" i="18" s="1"/>
  <c r="BL267" i="5"/>
  <c r="BL239" i="5" s="1"/>
  <c r="BL31" i="6"/>
  <c r="BL30" i="6"/>
  <c r="BL25" i="6"/>
  <c r="BD579" i="18" s="1"/>
  <c r="BL56" i="6"/>
  <c r="BD618" i="18" s="1"/>
  <c r="AY366" i="6"/>
  <c r="AY336" i="6"/>
  <c r="CQ335" i="6"/>
  <c r="CI869" i="18" s="1"/>
  <c r="AZ205" i="5"/>
  <c r="AZ180" i="5"/>
  <c r="BJ203" i="5"/>
  <c r="BB170" i="18" s="1"/>
  <c r="BJ278" i="5"/>
  <c r="DF140" i="6"/>
  <c r="DF152" i="6"/>
  <c r="CS150" i="6"/>
  <c r="CK1250" i="18" s="1"/>
  <c r="CR287" i="6"/>
  <c r="CJ809" i="18" s="1"/>
  <c r="CR285" i="6"/>
  <c r="CJ807" i="18" s="1"/>
  <c r="AZ366" i="6"/>
  <c r="AR605" i="18" s="1"/>
  <c r="AZ336" i="6"/>
  <c r="AR870" i="18" s="1"/>
  <c r="BD336" i="6"/>
  <c r="AV870" i="18" s="1"/>
  <c r="BK221" i="6"/>
  <c r="BK226" i="6"/>
  <c r="BK231" i="6" s="1"/>
  <c r="BE366" i="6"/>
  <c r="AW605" i="18" s="1"/>
  <c r="BE337" i="6"/>
  <c r="AW871" i="18" s="1"/>
  <c r="BE336" i="6"/>
  <c r="AW870" i="18" s="1"/>
  <c r="CS335" i="6"/>
  <c r="CK869" i="18" s="1"/>
  <c r="CS267" i="5"/>
  <c r="CP296" i="5"/>
  <c r="CP297" i="5" s="1"/>
  <c r="CX262" i="5"/>
  <c r="BR126" i="6"/>
  <c r="BJ695" i="18" s="1"/>
  <c r="BW124" i="6"/>
  <c r="BO693" i="18" s="1"/>
  <c r="CA100" i="6"/>
  <c r="BS653" i="18" s="1"/>
  <c r="BW113" i="6"/>
  <c r="BO666" i="18" s="1"/>
  <c r="BW101" i="6"/>
  <c r="BO654" i="18" s="1"/>
  <c r="CW356" i="6"/>
  <c r="BU357" i="6"/>
  <c r="BU359" i="6"/>
  <c r="BM892" i="18" s="1"/>
  <c r="BN60" i="6"/>
  <c r="BN59" i="6"/>
  <c r="BN57" i="6"/>
  <c r="DA347" i="6"/>
  <c r="CS881" i="18" s="1"/>
  <c r="DB346" i="6"/>
  <c r="CT880" i="18" s="1"/>
  <c r="BJ145" i="6"/>
  <c r="BB705" i="18" s="1"/>
  <c r="BJ144" i="6"/>
  <c r="BB704" i="18" s="1"/>
  <c r="BJ165" i="6"/>
  <c r="BB715" i="18" s="1"/>
  <c r="AY203" i="5"/>
  <c r="AY278" i="5"/>
  <c r="AY279" i="5" s="1"/>
  <c r="CQ238" i="5"/>
  <c r="BQ139" i="6"/>
  <c r="BM143" i="6"/>
  <c r="BE703" i="18" s="1"/>
  <c r="BH204" i="5"/>
  <c r="BH238" i="5"/>
  <c r="AZ205" i="18" s="1"/>
  <c r="CT313" i="6"/>
  <c r="CL844" i="18" s="1"/>
  <c r="CT302" i="6"/>
  <c r="CL821" i="18" s="1"/>
  <c r="BG60" i="6"/>
  <c r="AY621" i="18" s="1"/>
  <c r="BG59" i="6"/>
  <c r="BG57" i="6"/>
  <c r="AY619" i="18" s="1"/>
  <c r="CC113" i="6"/>
  <c r="BU666" i="18" s="1"/>
  <c r="CY185" i="6"/>
  <c r="CF188" i="6"/>
  <c r="CF186" i="6"/>
  <c r="CF187" i="6"/>
  <c r="BX1312" i="18" s="1"/>
  <c r="CF191" i="6"/>
  <c r="BX1316" i="18" s="1"/>
  <c r="CF181" i="6"/>
  <c r="BX1306" i="18" s="1"/>
  <c r="BI239" i="5"/>
  <c r="BN179" i="6"/>
  <c r="BN177" i="6"/>
  <c r="CS177" i="6"/>
  <c r="BQ360" i="6"/>
  <c r="BI893" i="18" s="1"/>
  <c r="BQ368" i="6"/>
  <c r="BJ70" i="6"/>
  <c r="BB631" i="18" s="1"/>
  <c r="BJ67" i="6"/>
  <c r="BJ66" i="6"/>
  <c r="BB627" i="18" s="1"/>
  <c r="BJ64" i="6"/>
  <c r="BU220" i="6"/>
  <c r="BY215" i="6"/>
  <c r="BC278" i="5"/>
  <c r="BC203" i="5"/>
  <c r="CS246" i="6"/>
  <c r="CS225" i="6"/>
  <c r="CS286" i="6"/>
  <c r="CK808" i="18" s="1"/>
  <c r="CS216" i="6"/>
  <c r="CS220" i="6"/>
  <c r="CU360" i="6"/>
  <c r="CM893" i="18" s="1"/>
  <c r="CU368" i="6"/>
  <c r="CM607" i="18" s="1"/>
  <c r="CV314" i="5"/>
  <c r="CV36" i="5"/>
  <c r="CV437" i="5"/>
  <c r="CN1041" i="18" s="1"/>
  <c r="BF226" i="5"/>
  <c r="AX193" i="18" s="1"/>
  <c r="BF224" i="5"/>
  <c r="AX191" i="18" s="1"/>
  <c r="BT162" i="5"/>
  <c r="BT163" i="5"/>
  <c r="CN96" i="5"/>
  <c r="CN98" i="5"/>
  <c r="BR547" i="5"/>
  <c r="BJ396" i="18" s="1"/>
  <c r="BR542" i="5"/>
  <c r="BJ391" i="18" s="1"/>
  <c r="BR546" i="5"/>
  <c r="BJ395" i="18" s="1"/>
  <c r="BT447" i="5"/>
  <c r="BT448" i="5" s="1"/>
  <c r="BT438" i="5"/>
  <c r="BL1042" i="18" s="1"/>
  <c r="BQ447" i="5"/>
  <c r="BQ448" i="5" s="1"/>
  <c r="BQ438" i="5"/>
  <c r="BI1042" i="18" s="1"/>
  <c r="BZ547" i="5"/>
  <c r="BR396" i="18" s="1"/>
  <c r="BZ542" i="5"/>
  <c r="BR391" i="18" s="1"/>
  <c r="BZ546" i="5"/>
  <c r="BR395" i="18" s="1"/>
  <c r="BK547" i="5"/>
  <c r="BC396" i="18" s="1"/>
  <c r="BK546" i="5"/>
  <c r="BC395" i="18" s="1"/>
  <c r="BK542" i="5"/>
  <c r="BC391" i="18" s="1"/>
  <c r="BO438" i="5"/>
  <c r="BG1042" i="18" s="1"/>
  <c r="BO447" i="5"/>
  <c r="BO448" i="5" s="1"/>
  <c r="BZ148" i="5"/>
  <c r="BZ138" i="5"/>
  <c r="BR1334" i="18" s="1"/>
  <c r="CN85" i="5"/>
  <c r="CF167" i="5"/>
  <c r="BX133" i="18" s="1"/>
  <c r="CB273" i="5"/>
  <c r="BX274" i="5"/>
  <c r="BX240" i="5"/>
  <c r="CS96" i="5"/>
  <c r="CK1322" i="18" s="1"/>
  <c r="CS99" i="5"/>
  <c r="CK1325" i="18" s="1"/>
  <c r="CW394" i="5"/>
  <c r="CO99" i="5"/>
  <c r="DB466" i="5"/>
  <c r="DA65" i="5"/>
  <c r="BF100" i="5"/>
  <c r="AX1326" i="18" s="1"/>
  <c r="BF99" i="5"/>
  <c r="AX1325" i="18" s="1"/>
  <c r="BF98" i="5"/>
  <c r="AX1324" i="18" s="1"/>
  <c r="BF96" i="5"/>
  <c r="BF101" i="5"/>
  <c r="AX1327" i="18" s="1"/>
  <c r="CT531" i="5"/>
  <c r="CQ99" i="5"/>
  <c r="CQ96" i="5"/>
  <c r="CQ97" i="5" s="1"/>
  <c r="CQ100" i="5"/>
  <c r="CQ98" i="5"/>
  <c r="BB100" i="5"/>
  <c r="AT1326" i="18" s="1"/>
  <c r="BB99" i="5"/>
  <c r="AT1325" i="18" s="1"/>
  <c r="BB98" i="5"/>
  <c r="AT1324" i="18" s="1"/>
  <c r="BB96" i="5"/>
  <c r="BB101" i="5"/>
  <c r="AT1327" i="18" s="1"/>
  <c r="CX95" i="5"/>
  <c r="CX84" i="5"/>
  <c r="CX126" i="5"/>
  <c r="CP1331" i="18" s="1"/>
  <c r="BZ89" i="5"/>
  <c r="BR77" i="18" s="1"/>
  <c r="BS85" i="5"/>
  <c r="BN547" i="5"/>
  <c r="BF396" i="18" s="1"/>
  <c r="BN546" i="5"/>
  <c r="BF395" i="18" s="1"/>
  <c r="BN542" i="5"/>
  <c r="BF391" i="18" s="1"/>
  <c r="CZ104" i="5"/>
  <c r="CZ539" i="5" s="1"/>
  <c r="CZ115" i="5"/>
  <c r="DA113" i="5"/>
  <c r="CB97" i="5"/>
  <c r="BT1323" i="18" s="1"/>
  <c r="BW749" i="5"/>
  <c r="BW155" i="5"/>
  <c r="BO127" i="18" s="1"/>
  <c r="CF168" i="5"/>
  <c r="CX168" i="5"/>
  <c r="CP134" i="18" s="1"/>
  <c r="BO100" i="5"/>
  <c r="BG1326" i="18" s="1"/>
  <c r="BO99" i="5"/>
  <c r="BG1325" i="18" s="1"/>
  <c r="BO98" i="5"/>
  <c r="BG1324" i="18" s="1"/>
  <c r="BO96" i="5"/>
  <c r="BG1322" i="18" s="1"/>
  <c r="BO101" i="5"/>
  <c r="BG1327" i="18" s="1"/>
  <c r="BQ547" i="5"/>
  <c r="BI396" i="18" s="1"/>
  <c r="BQ542" i="5"/>
  <c r="BI391" i="18" s="1"/>
  <c r="BQ546" i="5"/>
  <c r="BI395" i="18" s="1"/>
  <c r="BP101" i="5"/>
  <c r="BH1327" i="18" s="1"/>
  <c r="CX577" i="5"/>
  <c r="CP423" i="18" s="1"/>
  <c r="CO291" i="5"/>
  <c r="CO199" i="5"/>
  <c r="CO200" i="5" s="1"/>
  <c r="BM89" i="5"/>
  <c r="BE77" i="18" s="1"/>
  <c r="BN216" i="5"/>
  <c r="BF183" i="18" s="1"/>
  <c r="BN289" i="5"/>
  <c r="BF246" i="18" s="1"/>
  <c r="BR157" i="5"/>
  <c r="BJ129" i="18" s="1"/>
  <c r="CU75" i="5"/>
  <c r="BF89" i="5"/>
  <c r="AX77" i="18" s="1"/>
  <c r="CP197" i="5"/>
  <c r="BV148" i="5"/>
  <c r="BV138" i="5"/>
  <c r="BX160" i="5"/>
  <c r="BP1329" i="18" s="1"/>
  <c r="BX163" i="5"/>
  <c r="BX162" i="5"/>
  <c r="BG749" i="5"/>
  <c r="BG155" i="5"/>
  <c r="AY127" i="18" s="1"/>
  <c r="CO89" i="5"/>
  <c r="BP234" i="5"/>
  <c r="BH201" i="18" s="1"/>
  <c r="BP288" i="5"/>
  <c r="BH245" i="18" s="1"/>
  <c r="BP217" i="5"/>
  <c r="BP223" i="5"/>
  <c r="BH190" i="18" s="1"/>
  <c r="BP45" i="5"/>
  <c r="BJ596" i="5"/>
  <c r="BK595" i="5"/>
  <c r="BJ515" i="5"/>
  <c r="BJ516" i="5" s="1"/>
  <c r="BJ517" i="5" s="1"/>
  <c r="BW85" i="5"/>
  <c r="CN200" i="5"/>
  <c r="CT95" i="5"/>
  <c r="CT84" i="5"/>
  <c r="CT126" i="5"/>
  <c r="CL1331" i="18" s="1"/>
  <c r="BI547" i="5"/>
  <c r="BA396" i="18" s="1"/>
  <c r="BI546" i="5"/>
  <c r="BA395" i="18" s="1"/>
  <c r="BI542" i="5"/>
  <c r="BA391" i="18" s="1"/>
  <c r="DB108" i="5"/>
  <c r="DA103" i="5"/>
  <c r="BW89" i="5"/>
  <c r="BO77" i="18" s="1"/>
  <c r="BS101" i="5"/>
  <c r="BK1327" i="18" s="1"/>
  <c r="BS100" i="5"/>
  <c r="BK1326" i="18" s="1"/>
  <c r="BS99" i="5"/>
  <c r="BK1325" i="18" s="1"/>
  <c r="BS98" i="5"/>
  <c r="BK1324" i="18" s="1"/>
  <c r="BS96" i="5"/>
  <c r="CT146" i="5"/>
  <c r="CT135" i="5"/>
  <c r="CL112" i="18" s="1"/>
  <c r="BB291" i="5"/>
  <c r="AT249" i="18" s="1"/>
  <c r="BB199" i="5"/>
  <c r="AT165" i="18" s="1"/>
  <c r="BM85" i="5"/>
  <c r="CA101" i="5"/>
  <c r="BS1327" i="18" s="1"/>
  <c r="CA100" i="5"/>
  <c r="BS1326" i="18" s="1"/>
  <c r="CA99" i="5"/>
  <c r="BS1325" i="18" s="1"/>
  <c r="CA98" i="5"/>
  <c r="BS1324" i="18" s="1"/>
  <c r="CA96" i="5"/>
  <c r="BS1322" i="18" s="1"/>
  <c r="CM90" i="5"/>
  <c r="CM92" i="5"/>
  <c r="CM88" i="5"/>
  <c r="CM89" i="5" s="1"/>
  <c r="CM91" i="5"/>
  <c r="BG218" i="5"/>
  <c r="AY185" i="18" s="1"/>
  <c r="BC6" i="5"/>
  <c r="BM234" i="5"/>
  <c r="BE201" i="18" s="1"/>
  <c r="BM288" i="5"/>
  <c r="BE245" i="18" s="1"/>
  <c r="BM223" i="5"/>
  <c r="BE190" i="18" s="1"/>
  <c r="BM217" i="5"/>
  <c r="BM45" i="5"/>
  <c r="BN749" i="5"/>
  <c r="BN155" i="5"/>
  <c r="BF127" i="18" s="1"/>
  <c r="BL224" i="5"/>
  <c r="BL226" i="5"/>
  <c r="BD193" i="18" s="1"/>
  <c r="CX537" i="5"/>
  <c r="CP386" i="18" s="1"/>
  <c r="CX91" i="5"/>
  <c r="CP79" i="18" s="1"/>
  <c r="CX90" i="5"/>
  <c r="CP78" i="18" s="1"/>
  <c r="CX88" i="5"/>
  <c r="CP76" i="18" s="1"/>
  <c r="CX92" i="5"/>
  <c r="CP80" i="18" s="1"/>
  <c r="CW135" i="5"/>
  <c r="CO112" i="18" s="1"/>
  <c r="CW131" i="5"/>
  <c r="CW752" i="5"/>
  <c r="BO749" i="5"/>
  <c r="BO155" i="5"/>
  <c r="BG127" i="18" s="1"/>
  <c r="BJ547" i="5"/>
  <c r="BB396" i="18" s="1"/>
  <c r="BJ542" i="5"/>
  <c r="BB391" i="18" s="1"/>
  <c r="BJ546" i="5"/>
  <c r="BB395" i="18" s="1"/>
  <c r="CD273" i="5"/>
  <c r="BZ240" i="5"/>
  <c r="BZ274" i="5"/>
  <c r="CT223" i="5"/>
  <c r="CL190" i="18" s="1"/>
  <c r="CT287" i="5"/>
  <c r="CA274" i="5"/>
  <c r="CE273" i="5"/>
  <c r="CA240" i="5"/>
  <c r="BV749" i="5"/>
  <c r="BV155" i="5"/>
  <c r="BN127" i="18" s="1"/>
  <c r="BS749" i="5"/>
  <c r="BS155" i="5"/>
  <c r="BK127" i="18" s="1"/>
  <c r="CR143" i="5"/>
  <c r="CJ117" i="18" s="1"/>
  <c r="CR129" i="5"/>
  <c r="CJ109" i="18" s="1"/>
  <c r="CU84" i="5"/>
  <c r="CM74" i="18" s="1"/>
  <c r="CU95" i="5"/>
  <c r="CU126" i="5"/>
  <c r="CM1331" i="18" s="1"/>
  <c r="BQ100" i="5"/>
  <c r="BI1326" i="18" s="1"/>
  <c r="BQ99" i="5"/>
  <c r="BI1325" i="18" s="1"/>
  <c r="BQ98" i="5"/>
  <c r="BI1324" i="18" s="1"/>
  <c r="BQ96" i="5"/>
  <c r="BQ101" i="5"/>
  <c r="BI1327" i="18" s="1"/>
  <c r="DF680" i="5"/>
  <c r="DF690" i="5" s="1"/>
  <c r="DE690" i="5"/>
  <c r="CP291" i="5"/>
  <c r="CP199" i="5"/>
  <c r="AS292" i="5"/>
  <c r="AS293" i="5" s="1"/>
  <c r="AS229" i="5"/>
  <c r="AS193" i="5"/>
  <c r="BJ234" i="5"/>
  <c r="BB201" i="18" s="1"/>
  <c r="BJ288" i="5"/>
  <c r="BB245" i="18" s="1"/>
  <c r="BJ223" i="5"/>
  <c r="BB190" i="18" s="1"/>
  <c r="BJ217" i="5"/>
  <c r="BJ45" i="5"/>
  <c r="CS91" i="5"/>
  <c r="CK79" i="18" s="1"/>
  <c r="BP34" i="5"/>
  <c r="BH26" i="18" s="1"/>
  <c r="BP32" i="5"/>
  <c r="BP518" i="5"/>
  <c r="BW148" i="5"/>
  <c r="BW138" i="5"/>
  <c r="CZ106" i="5"/>
  <c r="CZ481" i="5"/>
  <c r="DA478" i="5"/>
  <c r="DA14" i="16" s="1"/>
  <c r="CT1213" i="18" s="1"/>
  <c r="CZ67" i="5"/>
  <c r="CM146" i="5"/>
  <c r="CM156" i="5" s="1"/>
  <c r="CN157" i="5" s="1"/>
  <c r="CM135" i="5"/>
  <c r="BK101" i="5"/>
  <c r="BC1327" i="18" s="1"/>
  <c r="BK100" i="5"/>
  <c r="BC1326" i="18" s="1"/>
  <c r="BK99" i="5"/>
  <c r="BC1325" i="18" s="1"/>
  <c r="BK98" i="5"/>
  <c r="BC1324" i="18" s="1"/>
  <c r="BK96" i="5"/>
  <c r="BR85" i="5"/>
  <c r="DB592" i="5"/>
  <c r="CM288" i="5"/>
  <c r="CL216" i="5"/>
  <c r="CD151" i="5"/>
  <c r="BC749" i="5"/>
  <c r="BC155" i="5"/>
  <c r="AU127" i="18" s="1"/>
  <c r="AO229" i="5"/>
  <c r="AO230" i="5" s="1"/>
  <c r="AO292" i="5"/>
  <c r="AO293" i="5" s="1"/>
  <c r="AO193" i="5"/>
  <c r="AO194" i="5" s="1"/>
  <c r="CR84" i="5"/>
  <c r="CR95" i="5"/>
  <c r="CR126" i="5"/>
  <c r="CJ1331" i="18" s="1"/>
  <c r="BO547" i="5"/>
  <c r="BG396" i="18" s="1"/>
  <c r="BO546" i="5"/>
  <c r="BG395" i="18" s="1"/>
  <c r="BO542" i="5"/>
  <c r="BG391" i="18" s="1"/>
  <c r="CQ749" i="5"/>
  <c r="CQ155" i="5"/>
  <c r="CB135" i="5"/>
  <c r="CB139" i="5"/>
  <c r="BT1335" i="18" s="1"/>
  <c r="CO296" i="5"/>
  <c r="CO297" i="5" s="1"/>
  <c r="CO213" i="5"/>
  <c r="BN438" i="5"/>
  <c r="BF1042" i="18" s="1"/>
  <c r="BN447" i="5"/>
  <c r="BN448" i="5" s="1"/>
  <c r="AS200" i="5"/>
  <c r="AW200" i="5"/>
  <c r="DA326" i="5"/>
  <c r="CT394" i="5"/>
  <c r="BY148" i="5"/>
  <c r="BY138" i="5"/>
  <c r="BQ1334" i="18" s="1"/>
  <c r="CU577" i="5"/>
  <c r="AI749" i="5"/>
  <c r="AI155" i="5"/>
  <c r="CP292" i="5"/>
  <c r="CP229" i="5"/>
  <c r="CP193" i="5"/>
  <c r="BV100" i="5"/>
  <c r="BN1326" i="18" s="1"/>
  <c r="BV99" i="5"/>
  <c r="BN1325" i="18" s="1"/>
  <c r="BV98" i="5"/>
  <c r="BN1324" i="18" s="1"/>
  <c r="BV96" i="5"/>
  <c r="BN1322" i="18" s="1"/>
  <c r="BV101" i="5"/>
  <c r="BN1327" i="18" s="1"/>
  <c r="DA336" i="5"/>
  <c r="CS292" i="18" s="1"/>
  <c r="DB335" i="5"/>
  <c r="CT291" i="18" s="1"/>
  <c r="DA61" i="5"/>
  <c r="CS49" i="18" s="1"/>
  <c r="CV81" i="5"/>
  <c r="CN72" i="18" s="1"/>
  <c r="BM97" i="5"/>
  <c r="BE1323" i="18" s="1"/>
  <c r="BW100" i="5"/>
  <c r="BO1326" i="18" s="1"/>
  <c r="BW99" i="5"/>
  <c r="BO1325" i="18" s="1"/>
  <c r="BW98" i="5"/>
  <c r="BO1324" i="18" s="1"/>
  <c r="BW96" i="5"/>
  <c r="BW101" i="5"/>
  <c r="BO1327" i="18" s="1"/>
  <c r="CS157" i="5"/>
  <c r="CK129" i="18" s="1"/>
  <c r="CT577" i="5"/>
  <c r="CL423" i="18" s="1"/>
  <c r="CT579" i="5"/>
  <c r="BK224" i="5"/>
  <c r="BC191" i="18" s="1"/>
  <c r="CW143" i="5"/>
  <c r="CO117" i="18" s="1"/>
  <c r="CW129" i="5"/>
  <c r="CO109" i="18" s="1"/>
  <c r="BP299" i="5"/>
  <c r="BH257" i="18" s="1"/>
  <c r="BP215" i="5"/>
  <c r="BY547" i="5"/>
  <c r="BQ396" i="18" s="1"/>
  <c r="BY542" i="5"/>
  <c r="BQ391" i="18" s="1"/>
  <c r="BY546" i="5"/>
  <c r="BQ395" i="18" s="1"/>
  <c r="CS81" i="5"/>
  <c r="CK72" i="18" s="1"/>
  <c r="CT32" i="5"/>
  <c r="CT34" i="5"/>
  <c r="CL26" i="18" s="1"/>
  <c r="CM129" i="5"/>
  <c r="CM143" i="5"/>
  <c r="CN91" i="5"/>
  <c r="CR577" i="5"/>
  <c r="BN34" i="5"/>
  <c r="BF26" i="18" s="1"/>
  <c r="BN32" i="5"/>
  <c r="BN518" i="5"/>
  <c r="BY100" i="5"/>
  <c r="BQ1326" i="18" s="1"/>
  <c r="BY98" i="5"/>
  <c r="BQ1324" i="18" s="1"/>
  <c r="BY96" i="5"/>
  <c r="BY101" i="5"/>
  <c r="BQ1327" i="18" s="1"/>
  <c r="BY99" i="5"/>
  <c r="BQ1325" i="18" s="1"/>
  <c r="CM84" i="5"/>
  <c r="CM85" i="5" s="1"/>
  <c r="CM95" i="5"/>
  <c r="CM126" i="5"/>
  <c r="DC648" i="5"/>
  <c r="DD70" i="5"/>
  <c r="CV57" i="18" s="1"/>
  <c r="CV537" i="5"/>
  <c r="CN386" i="18" s="1"/>
  <c r="CV90" i="5"/>
  <c r="CN78" i="18" s="1"/>
  <c r="DG87" i="5"/>
  <c r="CR75" i="18" s="1"/>
  <c r="CV92" i="5"/>
  <c r="CN80" i="18" s="1"/>
  <c r="CV88" i="5"/>
  <c r="CN76" i="18" s="1"/>
  <c r="CV91" i="5"/>
  <c r="CN79" i="18" s="1"/>
  <c r="DG146" i="5"/>
  <c r="CR120" i="18" s="1"/>
  <c r="CV156" i="5"/>
  <c r="CN128" i="18" s="1"/>
  <c r="BJ100" i="5"/>
  <c r="BB1326" i="18" s="1"/>
  <c r="BJ99" i="5"/>
  <c r="BB1325" i="18" s="1"/>
  <c r="BJ98" i="5"/>
  <c r="BB1324" i="18" s="1"/>
  <c r="BJ96" i="5"/>
  <c r="BB1322" i="18" s="1"/>
  <c r="BJ101" i="5"/>
  <c r="BB1327" i="18" s="1"/>
  <c r="BZ100" i="5"/>
  <c r="BR1326" i="18" s="1"/>
  <c r="BZ99" i="5"/>
  <c r="BR1325" i="18" s="1"/>
  <c r="BZ98" i="5"/>
  <c r="BR1324" i="18" s="1"/>
  <c r="BZ96" i="5"/>
  <c r="BZ101" i="5"/>
  <c r="BR1327" i="18" s="1"/>
  <c r="BI749" i="5"/>
  <c r="BI155" i="5"/>
  <c r="BA127" i="18" s="1"/>
  <c r="BV312" i="5"/>
  <c r="BN270" i="18" s="1"/>
  <c r="BR306" i="5"/>
  <c r="BJ264" i="18" s="1"/>
  <c r="BR36" i="5"/>
  <c r="BJ28" i="18" s="1"/>
  <c r="BR287" i="5"/>
  <c r="BR437" i="5"/>
  <c r="BJ1041" i="18" s="1"/>
  <c r="BU163" i="5"/>
  <c r="BU162" i="5"/>
  <c r="DA624" i="5"/>
  <c r="BH97" i="5"/>
  <c r="AZ1323" i="18" s="1"/>
  <c r="CW146" i="5"/>
  <c r="BT31" i="5"/>
  <c r="BL23" i="18" s="1"/>
  <c r="BT216" i="5"/>
  <c r="BL183" i="18" s="1"/>
  <c r="AI96" i="5"/>
  <c r="AM97" i="5" s="1"/>
  <c r="AI101" i="5"/>
  <c r="AM98" i="5"/>
  <c r="AM100" i="5"/>
  <c r="AM99" i="5"/>
  <c r="CS90" i="5"/>
  <c r="CK78" i="18" s="1"/>
  <c r="BS306" i="5"/>
  <c r="BK264" i="18" s="1"/>
  <c r="BW312" i="5"/>
  <c r="BO270" i="18" s="1"/>
  <c r="BS36" i="5"/>
  <c r="BK28" i="18" s="1"/>
  <c r="BS437" i="5"/>
  <c r="BK1041" i="18" s="1"/>
  <c r="BS287" i="5"/>
  <c r="CO98" i="5"/>
  <c r="CA546" i="5"/>
  <c r="BS395" i="18" s="1"/>
  <c r="BC226" i="5"/>
  <c r="AU193" i="18" s="1"/>
  <c r="BC224" i="5"/>
  <c r="DF557" i="5"/>
  <c r="BI99" i="5"/>
  <c r="BA1325" i="18" s="1"/>
  <c r="BI101" i="5"/>
  <c r="BA1327" i="18" s="1"/>
  <c r="BI96" i="5"/>
  <c r="BI98" i="5"/>
  <c r="BA1324" i="18" s="1"/>
  <c r="BI100" i="5"/>
  <c r="BA1326" i="18" s="1"/>
  <c r="AT200" i="5"/>
  <c r="AX200" i="5"/>
  <c r="AW225" i="5"/>
  <c r="CF599" i="5"/>
  <c r="BX443" i="18" s="1"/>
  <c r="BJ85" i="5"/>
  <c r="BZ85" i="5"/>
  <c r="BU99" i="5"/>
  <c r="BM1325" i="18" s="1"/>
  <c r="BG85" i="5"/>
  <c r="BS89" i="5"/>
  <c r="BK77" i="18" s="1"/>
  <c r="CX143" i="5"/>
  <c r="CP117" i="18" s="1"/>
  <c r="CX129" i="5"/>
  <c r="CP109" i="18" s="1"/>
  <c r="CX394" i="5"/>
  <c r="CZ663" i="5"/>
  <c r="DA611" i="5"/>
  <c r="DA114" i="5" s="1"/>
  <c r="CQ547" i="5"/>
  <c r="CQ542" i="5"/>
  <c r="CQ546" i="5"/>
  <c r="CV75" i="5"/>
  <c r="CU537" i="5"/>
  <c r="CM386" i="18" s="1"/>
  <c r="CU90" i="5"/>
  <c r="CM78" i="18" s="1"/>
  <c r="CU92" i="5"/>
  <c r="CM80" i="18" s="1"/>
  <c r="CU88" i="5"/>
  <c r="CM76" i="18" s="1"/>
  <c r="CU91" i="5"/>
  <c r="CM79" i="18" s="1"/>
  <c r="CN75" i="5"/>
  <c r="BQ749" i="5"/>
  <c r="BQ155" i="5"/>
  <c r="BI127" i="18" s="1"/>
  <c r="CW81" i="5"/>
  <c r="CO72" i="18" s="1"/>
  <c r="BX306" i="5"/>
  <c r="BP264" i="18" s="1"/>
  <c r="CB312" i="5"/>
  <c r="BT270" i="18" s="1"/>
  <c r="BX36" i="5"/>
  <c r="BP28" i="18" s="1"/>
  <c r="BX287" i="5"/>
  <c r="BX437" i="5"/>
  <c r="BP1041" i="18" s="1"/>
  <c r="BY312" i="5"/>
  <c r="BQ270" i="18" s="1"/>
  <c r="BU306" i="5"/>
  <c r="BM264" i="18" s="1"/>
  <c r="BU36" i="5"/>
  <c r="BM28" i="18" s="1"/>
  <c r="BU437" i="5"/>
  <c r="BM1041" i="18" s="1"/>
  <c r="BU287" i="5"/>
  <c r="AT292" i="5"/>
  <c r="AT293" i="5" s="1"/>
  <c r="AT193" i="5"/>
  <c r="AT194" i="5" s="1"/>
  <c r="AT229" i="5"/>
  <c r="AT230" i="5" s="1"/>
  <c r="BK157" i="5"/>
  <c r="BC129" i="18" s="1"/>
  <c r="BO31" i="5"/>
  <c r="BG23" i="18" s="1"/>
  <c r="BO216" i="5"/>
  <c r="BG183" i="18" s="1"/>
  <c r="BW547" i="5"/>
  <c r="BO396" i="18" s="1"/>
  <c r="BW542" i="5"/>
  <c r="BO391" i="18" s="1"/>
  <c r="BW546" i="5"/>
  <c r="BO395" i="18" s="1"/>
  <c r="CO97" i="5"/>
  <c r="CV240" i="5"/>
  <c r="CV273" i="5" s="1"/>
  <c r="CV274" i="5" s="1"/>
  <c r="CA542" i="5"/>
  <c r="BS391" i="18" s="1"/>
  <c r="BR148" i="5"/>
  <c r="BR138" i="5"/>
  <c r="BN89" i="5"/>
  <c r="BF77" i="18" s="1"/>
  <c r="BS547" i="5"/>
  <c r="BK396" i="18" s="1"/>
  <c r="BS546" i="5"/>
  <c r="BK395" i="18" s="1"/>
  <c r="BS542" i="5"/>
  <c r="BK391" i="18" s="1"/>
  <c r="CB160" i="5"/>
  <c r="BT1329" i="18" s="1"/>
  <c r="DG123" i="5"/>
  <c r="CR105" i="18" s="1"/>
  <c r="CV129" i="5"/>
  <c r="CN109" i="18" s="1"/>
  <c r="CV143" i="5"/>
  <c r="CN117" i="18" s="1"/>
  <c r="CT537" i="5"/>
  <c r="CL386" i="18" s="1"/>
  <c r="CT91" i="5"/>
  <c r="CL79" i="18" s="1"/>
  <c r="CT88" i="5"/>
  <c r="CT90" i="5"/>
  <c r="CL78" i="18" s="1"/>
  <c r="CT92" i="5"/>
  <c r="CL80" i="18" s="1"/>
  <c r="BB213" i="5"/>
  <c r="AT180" i="18" s="1"/>
  <c r="CW84" i="5"/>
  <c r="CO74" i="18" s="1"/>
  <c r="CW95" i="5"/>
  <c r="CW126" i="5"/>
  <c r="CO1331" i="18" s="1"/>
  <c r="BU89" i="5"/>
  <c r="BM77" i="18" s="1"/>
  <c r="BP97" i="5"/>
  <c r="BH1323" i="18" s="1"/>
  <c r="BC101" i="5"/>
  <c r="AU1327" i="18" s="1"/>
  <c r="BC100" i="5"/>
  <c r="AU1326" i="18" s="1"/>
  <c r="BC99" i="5"/>
  <c r="AU1325" i="18" s="1"/>
  <c r="BC98" i="5"/>
  <c r="AU1324" i="18" s="1"/>
  <c r="BC96" i="5"/>
  <c r="BV547" i="5"/>
  <c r="BN396" i="18" s="1"/>
  <c r="BV542" i="5"/>
  <c r="BN391" i="18" s="1"/>
  <c r="BV546" i="5"/>
  <c r="BN395" i="18" s="1"/>
  <c r="BW157" i="5"/>
  <c r="BO129" i="18" s="1"/>
  <c r="CU314" i="5"/>
  <c r="CU36" i="5"/>
  <c r="CU437" i="5"/>
  <c r="CM1041" i="18" s="1"/>
  <c r="CV84" i="5"/>
  <c r="DG83" i="5"/>
  <c r="CR73" i="18" s="1"/>
  <c r="CV95" i="5"/>
  <c r="CV126" i="5"/>
  <c r="CN1331" i="18" s="1"/>
  <c r="BB226" i="5"/>
  <c r="AT193" i="18" s="1"/>
  <c r="BB224" i="5"/>
  <c r="CR537" i="5"/>
  <c r="CJ386" i="18" s="1"/>
  <c r="CR92" i="5"/>
  <c r="CJ80" i="18" s="1"/>
  <c r="CR88" i="5"/>
  <c r="CR90" i="5"/>
  <c r="CJ78" i="18" s="1"/>
  <c r="CR91" i="5"/>
  <c r="CJ79" i="18" s="1"/>
  <c r="BQ31" i="5"/>
  <c r="BI23" i="18" s="1"/>
  <c r="BQ216" i="5"/>
  <c r="BI183" i="18" s="1"/>
  <c r="CN749" i="5"/>
  <c r="CN155" i="5"/>
  <c r="BK749" i="5"/>
  <c r="BK155" i="5"/>
  <c r="BC127" i="18" s="1"/>
  <c r="CW577" i="5"/>
  <c r="BI226" i="5"/>
  <c r="BA193" i="18" s="1"/>
  <c r="BI224" i="5"/>
  <c r="CS749" i="5"/>
  <c r="CS155" i="5"/>
  <c r="CK127" i="18" s="1"/>
  <c r="BR749" i="5"/>
  <c r="BR155" i="5"/>
  <c r="BJ127" i="18" s="1"/>
  <c r="CZ326" i="5"/>
  <c r="CZ322" i="5"/>
  <c r="BF749" i="5"/>
  <c r="BF155" i="5"/>
  <c r="AX127" i="18" s="1"/>
  <c r="BU100" i="5"/>
  <c r="BM1326" i="18" s="1"/>
  <c r="BB749" i="5"/>
  <c r="BB155" i="5"/>
  <c r="AT127" i="18" s="1"/>
  <c r="BG100" i="5"/>
  <c r="AY1326" i="18" s="1"/>
  <c r="BG99" i="5"/>
  <c r="AY1325" i="18" s="1"/>
  <c r="BG98" i="5"/>
  <c r="AY1324" i="18" s="1"/>
  <c r="BG96" i="5"/>
  <c r="AY1322" i="18" s="1"/>
  <c r="BG101" i="5"/>
  <c r="AY1327" i="18" s="1"/>
  <c r="CN292" i="5"/>
  <c r="CN293" i="5" s="1"/>
  <c r="CN229" i="5"/>
  <c r="CN193" i="5"/>
  <c r="CX75" i="5"/>
  <c r="BN100" i="5"/>
  <c r="BF1326" i="18" s="1"/>
  <c r="BN99" i="5"/>
  <c r="BF1325" i="18" s="1"/>
  <c r="BN98" i="5"/>
  <c r="BF1324" i="18" s="1"/>
  <c r="BN96" i="5"/>
  <c r="BN101" i="5"/>
  <c r="BF1327" i="18" s="1"/>
  <c r="DB324" i="5"/>
  <c r="DB326" i="5" s="1"/>
  <c r="DB322" i="5"/>
  <c r="DC319" i="5"/>
  <c r="DB37" i="5"/>
  <c r="DB18" i="5"/>
  <c r="CU143" i="5"/>
  <c r="CM117" i="18" s="1"/>
  <c r="CU129" i="5"/>
  <c r="CM109" i="18" s="1"/>
  <c r="BQ148" i="5"/>
  <c r="BQ138" i="5"/>
  <c r="CV577" i="5"/>
  <c r="CN423" i="18" s="1"/>
  <c r="CV579" i="5"/>
  <c r="BJ749" i="5"/>
  <c r="BJ155" i="5"/>
  <c r="BB127" i="18" s="1"/>
  <c r="CW537" i="5"/>
  <c r="CO386" i="18" s="1"/>
  <c r="CW91" i="5"/>
  <c r="CO79" i="18" s="1"/>
  <c r="CW90" i="5"/>
  <c r="CO78" i="18" s="1"/>
  <c r="CW88" i="5"/>
  <c r="CW92" i="5"/>
  <c r="CO80" i="18" s="1"/>
  <c r="BT307" i="5"/>
  <c r="BL265" i="18" s="1"/>
  <c r="BT309" i="5"/>
  <c r="BT181" i="5"/>
  <c r="BL147" i="18" s="1"/>
  <c r="BQ307" i="5"/>
  <c r="BI265" i="18" s="1"/>
  <c r="BQ309" i="5"/>
  <c r="BQ181" i="5"/>
  <c r="BI147" i="18" s="1"/>
  <c r="CS89" i="5"/>
  <c r="CK77" i="18" s="1"/>
  <c r="CY121" i="5"/>
  <c r="CQ103" i="18" s="1"/>
  <c r="DA614" i="5"/>
  <c r="CF121" i="5"/>
  <c r="BX103" i="18" s="1"/>
  <c r="CT129" i="5"/>
  <c r="CL109" i="18" s="1"/>
  <c r="CT143" i="5"/>
  <c r="CL117" i="18" s="1"/>
  <c r="BO309" i="5"/>
  <c r="BO307" i="5"/>
  <c r="BG265" i="18" s="1"/>
  <c r="CU306" i="5"/>
  <c r="CM264" i="18" s="1"/>
  <c r="BO181" i="5"/>
  <c r="BG147" i="18" s="1"/>
  <c r="BG89" i="5"/>
  <c r="AY77" i="18" s="1"/>
  <c r="BS148" i="5"/>
  <c r="BS138" i="5"/>
  <c r="BD226" i="5"/>
  <c r="AV193" i="18" s="1"/>
  <c r="CO100" i="5"/>
  <c r="BU274" i="5"/>
  <c r="BY273" i="5"/>
  <c r="BU240" i="5"/>
  <c r="CP97" i="5"/>
  <c r="CS546" i="5"/>
  <c r="CK395" i="18" s="1"/>
  <c r="CA148" i="5"/>
  <c r="CA138" i="5"/>
  <c r="BS1334" i="18" s="1"/>
  <c r="BD101" i="5"/>
  <c r="AV1327" i="18" s="1"/>
  <c r="BG226" i="5"/>
  <c r="AY193" i="18" s="1"/>
  <c r="BG224" i="5"/>
  <c r="AY191" i="18" s="1"/>
  <c r="BK85" i="5"/>
  <c r="AP293" i="5"/>
  <c r="BR100" i="5"/>
  <c r="BJ1326" i="18" s="1"/>
  <c r="BR99" i="5"/>
  <c r="BJ1325" i="18" s="1"/>
  <c r="BR98" i="5"/>
  <c r="BJ1324" i="18" s="1"/>
  <c r="BR96" i="5"/>
  <c r="BR101" i="5"/>
  <c r="BJ1327" i="18" s="1"/>
  <c r="R941" i="18"/>
  <c r="R939" i="18"/>
  <c r="R935" i="18"/>
  <c r="T924" i="18"/>
  <c r="T916" i="18"/>
  <c r="I926" i="18"/>
  <c r="CV580" i="5" l="1"/>
  <c r="CN426" i="18" s="1"/>
  <c r="CN425" i="18"/>
  <c r="X15" i="19"/>
  <c r="CO1321" i="18"/>
  <c r="CW14" i="26"/>
  <c r="CW14" i="27"/>
  <c r="CW12" i="16"/>
  <c r="BR289" i="5"/>
  <c r="BJ246" i="18" s="1"/>
  <c r="BJ244" i="18"/>
  <c r="BM46" i="5"/>
  <c r="BE1317" i="18"/>
  <c r="CY168" i="5"/>
  <c r="CQ134" i="18" s="1"/>
  <c r="BX134" i="18"/>
  <c r="BG27" i="6"/>
  <c r="AY581" i="18" s="1"/>
  <c r="AY580" i="18"/>
  <c r="BC65" i="6"/>
  <c r="AU626" i="18"/>
  <c r="BS369" i="6"/>
  <c r="BK608" i="18" s="1"/>
  <c r="BK607" i="18"/>
  <c r="CR27" i="6"/>
  <c r="CJ581" i="18" s="1"/>
  <c r="CJ580" i="18"/>
  <c r="CS27" i="6"/>
  <c r="CK581" i="18" s="1"/>
  <c r="CK580" i="18"/>
  <c r="CJ1246" i="18"/>
  <c r="CJ569" i="18"/>
  <c r="O16" i="19"/>
  <c r="O33" i="19"/>
  <c r="O34" i="19" s="1"/>
  <c r="R908" i="18"/>
  <c r="BY580" i="5"/>
  <c r="BQ426" i="18" s="1"/>
  <c r="BQ425" i="18"/>
  <c r="CN1321" i="18"/>
  <c r="CV14" i="27"/>
  <c r="CV14" i="26"/>
  <c r="CV12" i="16"/>
  <c r="CU31" i="5"/>
  <c r="CM23" i="18" s="1"/>
  <c r="CM28" i="18"/>
  <c r="CT89" i="5"/>
  <c r="CL77" i="18" s="1"/>
  <c r="CL76" i="18"/>
  <c r="BR159" i="5"/>
  <c r="BJ1328" i="18" s="1"/>
  <c r="BJ1336" i="18"/>
  <c r="BI97" i="5"/>
  <c r="BA1323" i="18" s="1"/>
  <c r="BA1322" i="18"/>
  <c r="BC225" i="5"/>
  <c r="AU192" i="18" s="1"/>
  <c r="AU191" i="18"/>
  <c r="BS289" i="5"/>
  <c r="BK246" i="18" s="1"/>
  <c r="BK244" i="18"/>
  <c r="CR579" i="5"/>
  <c r="CJ423" i="18"/>
  <c r="BY159" i="5"/>
  <c r="BQ1336" i="18"/>
  <c r="CZ538" i="5"/>
  <c r="CR55" i="18"/>
  <c r="BW139" i="5"/>
  <c r="BO1335" i="18" s="1"/>
  <c r="BO1334" i="18"/>
  <c r="CM1321" i="18"/>
  <c r="CU12" i="16"/>
  <c r="CU14" i="27"/>
  <c r="CU14" i="26"/>
  <c r="BL225" i="5"/>
  <c r="BD192" i="18" s="1"/>
  <c r="BD191" i="18"/>
  <c r="BM218" i="5"/>
  <c r="BE185" i="18" s="1"/>
  <c r="BE184" i="18"/>
  <c r="BS97" i="5"/>
  <c r="BK1323" i="18" s="1"/>
  <c r="BK1322" i="18"/>
  <c r="CT85" i="5"/>
  <c r="CL74" i="18"/>
  <c r="BV159" i="5"/>
  <c r="BN1328" i="18" s="1"/>
  <c r="BN1336" i="18"/>
  <c r="CX579" i="5"/>
  <c r="CV31" i="5"/>
  <c r="CN23" i="18" s="1"/>
  <c r="CN28" i="18"/>
  <c r="BF1303" i="18"/>
  <c r="BF729" i="18"/>
  <c r="CS296" i="6"/>
  <c r="CK817" i="18" s="1"/>
  <c r="BS120" i="6"/>
  <c r="BK684" i="18" s="1"/>
  <c r="BK661" i="18"/>
  <c r="BD279" i="5"/>
  <c r="AV235" i="18" s="1"/>
  <c r="AV234" i="18"/>
  <c r="BN367" i="6"/>
  <c r="BF606" i="18" s="1"/>
  <c r="BF605" i="18"/>
  <c r="BN27" i="6"/>
  <c r="BF581" i="18" s="1"/>
  <c r="BF580" i="18"/>
  <c r="CU177" i="6"/>
  <c r="CM1302" i="18"/>
  <c r="CM728" i="18"/>
  <c r="BI27" i="6"/>
  <c r="BA581" i="18" s="1"/>
  <c r="BA580" i="18"/>
  <c r="BG367" i="6"/>
  <c r="AY606" i="18" s="1"/>
  <c r="AY605" i="18"/>
  <c r="CS61" i="6"/>
  <c r="CK622" i="18" s="1"/>
  <c r="CK621" i="18"/>
  <c r="CQ68" i="6"/>
  <c r="CI629" i="18"/>
  <c r="BI58" i="6"/>
  <c r="BA619" i="18"/>
  <c r="BL367" i="6"/>
  <c r="BD606" i="18" s="1"/>
  <c r="BD605" i="18"/>
  <c r="BP369" i="6"/>
  <c r="BH608" i="18" s="1"/>
  <c r="BH607" i="18"/>
  <c r="BO178" i="6"/>
  <c r="BG1303" i="18"/>
  <c r="BG729" i="18"/>
  <c r="CS251" i="6"/>
  <c r="CK773" i="18" s="1"/>
  <c r="BH58" i="6"/>
  <c r="AZ619" i="18"/>
  <c r="BA279" i="5"/>
  <c r="AS235" i="18" s="1"/>
  <c r="AS234" i="18"/>
  <c r="BM285" i="6"/>
  <c r="BE807" i="18" s="1"/>
  <c r="CM1246" i="18"/>
  <c r="CM569" i="18"/>
  <c r="BI47" i="5"/>
  <c r="BA1319" i="18" s="1"/>
  <c r="BA1318" i="18"/>
  <c r="CS27" i="26"/>
  <c r="CS19" i="26"/>
  <c r="BL47" i="5"/>
  <c r="BD1319" i="18" s="1"/>
  <c r="BD1318" i="18"/>
  <c r="I35" i="19"/>
  <c r="L930" i="18" s="1"/>
  <c r="L910" i="18"/>
  <c r="CL1246" i="18"/>
  <c r="CL569" i="18"/>
  <c r="BS580" i="5"/>
  <c r="BK426" i="18" s="1"/>
  <c r="BK425" i="18"/>
  <c r="BX157" i="5"/>
  <c r="BP129" i="18" s="1"/>
  <c r="BP128" i="18"/>
  <c r="BI580" i="5"/>
  <c r="BA426" i="18" s="1"/>
  <c r="BA425" i="18"/>
  <c r="J17" i="19"/>
  <c r="BO128" i="18"/>
  <c r="CS580" i="5"/>
  <c r="CK426" i="18" s="1"/>
  <c r="CK425" i="18"/>
  <c r="D17" i="19"/>
  <c r="BJ128" i="18"/>
  <c r="BV157" i="5"/>
  <c r="BN129" i="18" s="1"/>
  <c r="BJ580" i="5"/>
  <c r="BB426" i="18" s="1"/>
  <c r="BB425" i="18"/>
  <c r="DA63" i="5"/>
  <c r="DB452" i="5"/>
  <c r="BI1304" i="18"/>
  <c r="BI730" i="18"/>
  <c r="BR580" i="5"/>
  <c r="BJ426" i="18" s="1"/>
  <c r="BJ425" i="18"/>
  <c r="BO310" i="5"/>
  <c r="BG268" i="18" s="1"/>
  <c r="BG267" i="18"/>
  <c r="BN97" i="5"/>
  <c r="BF1323" i="18" s="1"/>
  <c r="BF1322" i="18"/>
  <c r="BI225" i="5"/>
  <c r="BA192" i="18" s="1"/>
  <c r="BA191" i="18"/>
  <c r="BC97" i="5"/>
  <c r="AU1323" i="18" s="1"/>
  <c r="AU1322" i="18"/>
  <c r="CT580" i="5"/>
  <c r="CL426" i="18" s="1"/>
  <c r="CL425" i="18"/>
  <c r="BW97" i="5"/>
  <c r="BO1323" i="18" s="1"/>
  <c r="BO1322" i="18"/>
  <c r="BJ218" i="5"/>
  <c r="BB185" i="18" s="1"/>
  <c r="BB184" i="18"/>
  <c r="DH65" i="5"/>
  <c r="CZ53" i="18" s="1"/>
  <c r="CS53" i="18"/>
  <c r="BJ68" i="6"/>
  <c r="BB629" i="18"/>
  <c r="BJ279" i="5"/>
  <c r="BB235" i="18" s="1"/>
  <c r="BB234" i="18"/>
  <c r="CT151" i="6"/>
  <c r="CL708" i="18" s="1"/>
  <c r="CL1248" i="18"/>
  <c r="BJ1302" i="18"/>
  <c r="BJ728" i="18"/>
  <c r="BM1303" i="18"/>
  <c r="BM729" i="18"/>
  <c r="F35" i="19"/>
  <c r="F930" i="18" s="1"/>
  <c r="F910" i="18"/>
  <c r="CW62" i="16"/>
  <c r="CW63" i="16" s="1"/>
  <c r="CX61" i="16" s="1"/>
  <c r="CW65" i="16"/>
  <c r="CW66" i="16" s="1"/>
  <c r="CT62" i="16"/>
  <c r="CT63" i="16" s="1"/>
  <c r="CT65" i="16"/>
  <c r="CT66" i="16" s="1"/>
  <c r="C35" i="19"/>
  <c r="C930" i="18" s="1"/>
  <c r="C910" i="18"/>
  <c r="CA159" i="5"/>
  <c r="BS1336" i="18"/>
  <c r="BS139" i="5"/>
  <c r="BK1335" i="18" s="1"/>
  <c r="BK1334" i="18"/>
  <c r="CW89" i="5"/>
  <c r="CO77" i="18" s="1"/>
  <c r="CO76" i="18"/>
  <c r="BQ139" i="5"/>
  <c r="BI1335" i="18" s="1"/>
  <c r="BI1334" i="18"/>
  <c r="CW579" i="5"/>
  <c r="CO423" i="18"/>
  <c r="BB225" i="5"/>
  <c r="AT192" i="18" s="1"/>
  <c r="AT191" i="18"/>
  <c r="BU289" i="5"/>
  <c r="BM246" i="18" s="1"/>
  <c r="BM244" i="18"/>
  <c r="CW156" i="5"/>
  <c r="CO120" i="18"/>
  <c r="BN519" i="5"/>
  <c r="BF372" i="18"/>
  <c r="CT33" i="5"/>
  <c r="CL25" i="18" s="1"/>
  <c r="CL24" i="18"/>
  <c r="CS100" i="5"/>
  <c r="CK1326" i="18" s="1"/>
  <c r="CJ1321" i="18"/>
  <c r="CR14" i="27"/>
  <c r="CR14" i="26"/>
  <c r="CR12" i="16"/>
  <c r="BK97" i="5"/>
  <c r="BC1323" i="18" s="1"/>
  <c r="BC1322" i="18"/>
  <c r="BW159" i="5"/>
  <c r="BO1328" i="18" s="1"/>
  <c r="BO1336" i="18"/>
  <c r="CL1321" i="18"/>
  <c r="CT12" i="16"/>
  <c r="CT14" i="26"/>
  <c r="CT14" i="27"/>
  <c r="BP218" i="5"/>
  <c r="BH185" i="18" s="1"/>
  <c r="BH184" i="18"/>
  <c r="BB97" i="5"/>
  <c r="AT1323" i="18" s="1"/>
  <c r="AT1322" i="18"/>
  <c r="BZ159" i="5"/>
  <c r="BR1336" i="18"/>
  <c r="BJ65" i="6"/>
  <c r="BB626" i="18"/>
  <c r="BQ369" i="6"/>
  <c r="BI608" i="18" s="1"/>
  <c r="BI607" i="18"/>
  <c r="BN61" i="6"/>
  <c r="BF622" i="18" s="1"/>
  <c r="BF621" i="18"/>
  <c r="BQ1302" i="18"/>
  <c r="BQ728" i="18"/>
  <c r="CS309" i="6"/>
  <c r="CK842" i="18" s="1"/>
  <c r="BT1302" i="18"/>
  <c r="BT728" i="18"/>
  <c r="CU120" i="6"/>
  <c r="CM684" i="18" s="1"/>
  <c r="CM661" i="18"/>
  <c r="CM813" i="18"/>
  <c r="CM811" i="18"/>
  <c r="CS277" i="5"/>
  <c r="CK233" i="18" s="1"/>
  <c r="AY233" i="18"/>
  <c r="BD65" i="6"/>
  <c r="AV626" i="18"/>
  <c r="CU126" i="6"/>
  <c r="CM695" i="18" s="1"/>
  <c r="CM1247" i="18"/>
  <c r="CM707" i="18"/>
  <c r="CT296" i="6"/>
  <c r="CL817" i="18" s="1"/>
  <c r="CI1246" i="18"/>
  <c r="CI569" i="18"/>
  <c r="BW580" i="5"/>
  <c r="BO426" i="18" s="1"/>
  <c r="BO425" i="18"/>
  <c r="BK47" i="5"/>
  <c r="BC1319" i="18" s="1"/>
  <c r="BC1318" i="18"/>
  <c r="BN580" i="5"/>
  <c r="BF426" i="18" s="1"/>
  <c r="BF425" i="18"/>
  <c r="BC1304" i="18"/>
  <c r="BC730" i="18"/>
  <c r="BR97" i="5"/>
  <c r="BJ1323" i="18" s="1"/>
  <c r="BJ1322" i="18"/>
  <c r="BQ310" i="5"/>
  <c r="BI268" i="18" s="1"/>
  <c r="BI267" i="18"/>
  <c r="BR139" i="5"/>
  <c r="BJ1335" i="18" s="1"/>
  <c r="BJ1334" i="18"/>
  <c r="BX289" i="5"/>
  <c r="BP246" i="18" s="1"/>
  <c r="BP244" i="18"/>
  <c r="BP33" i="5"/>
  <c r="BH25" i="18" s="1"/>
  <c r="BH24" i="18"/>
  <c r="BQ97" i="5"/>
  <c r="BI1323" i="18" s="1"/>
  <c r="BI1322" i="18"/>
  <c r="CT289" i="5"/>
  <c r="CL246" i="18" s="1"/>
  <c r="CL244" i="18"/>
  <c r="CT156" i="5"/>
  <c r="CL120" i="18"/>
  <c r="BP46" i="5"/>
  <c r="BH1317" i="18"/>
  <c r="BV139" i="5"/>
  <c r="BN1335" i="18" s="1"/>
  <c r="BN1334" i="18"/>
  <c r="Y15" i="19"/>
  <c r="CP1321" i="18"/>
  <c r="CX12" i="16"/>
  <c r="CX14" i="26"/>
  <c r="CX14" i="27"/>
  <c r="BF97" i="5"/>
  <c r="AX1323" i="18" s="1"/>
  <c r="AX1322" i="18"/>
  <c r="CK1303" i="18"/>
  <c r="CK729" i="18"/>
  <c r="BN58" i="6"/>
  <c r="BF619" i="18"/>
  <c r="BD68" i="6"/>
  <c r="AV629" i="18"/>
  <c r="BB1304" i="18"/>
  <c r="BB730" i="18"/>
  <c r="BH61" i="6"/>
  <c r="AZ622" i="18" s="1"/>
  <c r="AZ621" i="18"/>
  <c r="CS27" i="27"/>
  <c r="CS19" i="27"/>
  <c r="BO157" i="5"/>
  <c r="BG129" i="18" s="1"/>
  <c r="BG128" i="18"/>
  <c r="CX62" i="16"/>
  <c r="CX65" i="16" s="1"/>
  <c r="CX67" i="16" s="1"/>
  <c r="BS159" i="5"/>
  <c r="BK1328" i="18" s="1"/>
  <c r="BK1336" i="18"/>
  <c r="BT310" i="5"/>
  <c r="BL268" i="18" s="1"/>
  <c r="BL267" i="18"/>
  <c r="BQ159" i="5"/>
  <c r="BI1328" i="18" s="1"/>
  <c r="BI1336" i="18"/>
  <c r="CR89" i="5"/>
  <c r="CJ77" i="18" s="1"/>
  <c r="CJ76" i="18"/>
  <c r="CV85" i="5"/>
  <c r="CN74" i="18"/>
  <c r="BZ97" i="5"/>
  <c r="BR1323" i="18" s="1"/>
  <c r="BR1322" i="18"/>
  <c r="BY97" i="5"/>
  <c r="BQ1323" i="18" s="1"/>
  <c r="BQ1322" i="18"/>
  <c r="BN33" i="5"/>
  <c r="BF25" i="18" s="1"/>
  <c r="BF24" i="18"/>
  <c r="BP300" i="5"/>
  <c r="BH182" i="18"/>
  <c r="CU579" i="5"/>
  <c r="CM423" i="18"/>
  <c r="CB134" i="5"/>
  <c r="BT111" i="18" s="1"/>
  <c r="BT112" i="18"/>
  <c r="CR85" i="5"/>
  <c r="CJ74" i="18"/>
  <c r="BP519" i="5"/>
  <c r="BH372" i="18"/>
  <c r="BJ46" i="5"/>
  <c r="BB1317" i="18"/>
  <c r="CX85" i="5"/>
  <c r="CP74" i="18"/>
  <c r="BC279" i="5"/>
  <c r="AU235" i="18" s="1"/>
  <c r="AU234" i="18"/>
  <c r="BY126" i="6"/>
  <c r="BQ695" i="18" s="1"/>
  <c r="BQ694" i="18"/>
  <c r="BK1302" i="18"/>
  <c r="BK728" i="18"/>
  <c r="CS298" i="6"/>
  <c r="CK819" i="18" s="1"/>
  <c r="BV369" i="6"/>
  <c r="BN608" i="18" s="1"/>
  <c r="BN607" i="18"/>
  <c r="BR120" i="6"/>
  <c r="BJ684" i="18" s="1"/>
  <c r="BJ661" i="18"/>
  <c r="CQ65" i="6"/>
  <c r="CI626" i="18"/>
  <c r="BH27" i="6"/>
  <c r="AZ581" i="18" s="1"/>
  <c r="AZ580" i="18"/>
  <c r="CS51" i="6"/>
  <c r="CK597" i="18" s="1"/>
  <c r="BE65" i="6"/>
  <c r="AW626" i="18"/>
  <c r="CK1246" i="18"/>
  <c r="CK569" i="18"/>
  <c r="CL535" i="18"/>
  <c r="CT699" i="5"/>
  <c r="CL536" i="18" s="1"/>
  <c r="BM697" i="5"/>
  <c r="CU697" i="5"/>
  <c r="H35" i="19"/>
  <c r="K930" i="18" s="1"/>
  <c r="K910" i="18"/>
  <c r="CR157" i="5"/>
  <c r="CJ129" i="18" s="1"/>
  <c r="CJ128" i="18"/>
  <c r="K17" i="19"/>
  <c r="BP1328" i="18"/>
  <c r="CL1209" i="18"/>
  <c r="CS17" i="16"/>
  <c r="CS20" i="16"/>
  <c r="CL1223" i="18" s="1"/>
  <c r="BK580" i="5"/>
  <c r="BC426" i="18" s="1"/>
  <c r="BC425" i="18"/>
  <c r="CU62" i="16"/>
  <c r="CU63" i="16" s="1"/>
  <c r="CU65" i="16"/>
  <c r="CU66" i="16" s="1"/>
  <c r="P17" i="19"/>
  <c r="BT1328" i="18"/>
  <c r="BN157" i="5"/>
  <c r="BF129" i="18" s="1"/>
  <c r="BF128" i="18"/>
  <c r="BG157" i="5"/>
  <c r="AY129" i="18" s="1"/>
  <c r="AY128" i="18"/>
  <c r="N16" i="19"/>
  <c r="N33" i="19"/>
  <c r="N34" i="19" s="1"/>
  <c r="Q908" i="18"/>
  <c r="CL1303" i="18"/>
  <c r="CL729" i="18"/>
  <c r="CV62" i="16"/>
  <c r="CV63" i="16" s="1"/>
  <c r="M16" i="19"/>
  <c r="M33" i="19"/>
  <c r="M34" i="19" s="1"/>
  <c r="P908" i="18"/>
  <c r="BZ580" i="5"/>
  <c r="BR426" i="18" s="1"/>
  <c r="BR425" i="18"/>
  <c r="CR62" i="16"/>
  <c r="CR63" i="16" s="1"/>
  <c r="CR65" i="16"/>
  <c r="CR66" i="16" s="1"/>
  <c r="E17" i="19"/>
  <c r="BK128" i="18"/>
  <c r="CA580" i="5"/>
  <c r="BS426" i="18" s="1"/>
  <c r="BS425" i="18"/>
  <c r="DC174" i="5"/>
  <c r="CT140" i="18"/>
  <c r="DB173" i="5"/>
  <c r="BV123" i="18"/>
  <c r="DA169" i="5"/>
  <c r="CS135" i="18" s="1"/>
  <c r="CS139" i="18"/>
  <c r="BW136" i="18"/>
  <c r="CE153" i="5"/>
  <c r="BW125" i="18" s="1"/>
  <c r="CC102" i="6"/>
  <c r="BU655" i="18" s="1"/>
  <c r="BX1313" i="18"/>
  <c r="BX733" i="18"/>
  <c r="CQ732" i="18"/>
  <c r="CQ1310" i="18"/>
  <c r="BX1311" i="18"/>
  <c r="BX734" i="18"/>
  <c r="BX178" i="6"/>
  <c r="BP1303" i="18"/>
  <c r="BP729" i="18"/>
  <c r="DA171" i="6"/>
  <c r="CR724" i="18"/>
  <c r="CR1298" i="18"/>
  <c r="CR1297" i="18"/>
  <c r="CR723" i="18"/>
  <c r="BL1304" i="18"/>
  <c r="BL730" i="18"/>
  <c r="U920" i="18"/>
  <c r="U918" i="18"/>
  <c r="U914" i="18"/>
  <c r="K928" i="18"/>
  <c r="D928" i="18"/>
  <c r="R928" i="18"/>
  <c r="P928" i="18"/>
  <c r="E928" i="18"/>
  <c r="L928" i="18"/>
  <c r="M928" i="18"/>
  <c r="C928" i="18"/>
  <c r="S928" i="18"/>
  <c r="N928" i="18"/>
  <c r="AX426" i="5"/>
  <c r="CV18" i="6"/>
  <c r="CV17" i="6"/>
  <c r="CO365" i="5"/>
  <c r="CO407" i="5"/>
  <c r="CP365" i="5"/>
  <c r="CP366" i="5" s="1"/>
  <c r="CP407" i="5"/>
  <c r="DA34" i="7"/>
  <c r="CO424" i="5"/>
  <c r="CO422" i="5"/>
  <c r="W6" i="7"/>
  <c r="V5" i="7"/>
  <c r="CP422" i="5"/>
  <c r="CP424" i="5"/>
  <c r="CP425" i="5" s="1"/>
  <c r="BJ161" i="6"/>
  <c r="BJ156" i="6"/>
  <c r="BB673" i="18" s="1"/>
  <c r="BJ149" i="6"/>
  <c r="BB1249" i="18" s="1"/>
  <c r="BO156" i="6"/>
  <c r="BG673" i="18" s="1"/>
  <c r="BO149" i="6"/>
  <c r="BG1249" i="18" s="1"/>
  <c r="BO161" i="6"/>
  <c r="BM165" i="6"/>
  <c r="BE715" i="18" s="1"/>
  <c r="BM145" i="6"/>
  <c r="BE705" i="18" s="1"/>
  <c r="BM144" i="6"/>
  <c r="BE704" i="18" s="1"/>
  <c r="BX156" i="6"/>
  <c r="BP673" i="18" s="1"/>
  <c r="BX149" i="6"/>
  <c r="BP1249" i="18" s="1"/>
  <c r="BX161" i="6"/>
  <c r="BP366" i="6"/>
  <c r="BH605" i="18" s="1"/>
  <c r="BP336" i="6"/>
  <c r="BH870" i="18" s="1"/>
  <c r="CP249" i="6"/>
  <c r="CA215" i="6"/>
  <c r="BW220" i="6"/>
  <c r="BW216" i="6"/>
  <c r="CV119" i="6"/>
  <c r="CN683" i="18" s="1"/>
  <c r="BY149" i="6"/>
  <c r="BQ1249" i="18" s="1"/>
  <c r="BY161" i="6"/>
  <c r="BY156" i="6"/>
  <c r="BQ673" i="18" s="1"/>
  <c r="BY214" i="6"/>
  <c r="BU219" i="6"/>
  <c r="BU29" i="6"/>
  <c r="BU216" i="6"/>
  <c r="BR239" i="5"/>
  <c r="BD168" i="6"/>
  <c r="AV718" i="18" s="1"/>
  <c r="BD159" i="6"/>
  <c r="AV711" i="18" s="1"/>
  <c r="CT152" i="6"/>
  <c r="CL709" i="18" s="1"/>
  <c r="CA161" i="6"/>
  <c r="CA156" i="6"/>
  <c r="BS673" i="18" s="1"/>
  <c r="CA149" i="6"/>
  <c r="BS1249" i="18" s="1"/>
  <c r="CU369" i="6"/>
  <c r="CM608" i="18" s="1"/>
  <c r="CR64" i="6"/>
  <c r="CJ626" i="18" s="1"/>
  <c r="CR70" i="6"/>
  <c r="CJ631" i="18" s="1"/>
  <c r="CR67" i="6"/>
  <c r="CJ629" i="18" s="1"/>
  <c r="CR66" i="6"/>
  <c r="CJ627" i="18" s="1"/>
  <c r="CR337" i="6"/>
  <c r="CJ871" i="18" s="1"/>
  <c r="BW156" i="6"/>
  <c r="BO673" i="18" s="1"/>
  <c r="BW161" i="6"/>
  <c r="BW149" i="6"/>
  <c r="BO1249" i="18" s="1"/>
  <c r="BG156" i="6"/>
  <c r="AY673" i="18" s="1"/>
  <c r="BG149" i="6"/>
  <c r="AY1249" i="18" s="1"/>
  <c r="BG161" i="6"/>
  <c r="CX36" i="6"/>
  <c r="CX37" i="6"/>
  <c r="CU148" i="6"/>
  <c r="CM1248" i="18" s="1"/>
  <c r="CV150" i="6"/>
  <c r="CN1250" i="18" s="1"/>
  <c r="CU287" i="6"/>
  <c r="CM809" i="18" s="1"/>
  <c r="BV231" i="6"/>
  <c r="BM239" i="5"/>
  <c r="CU267" i="5"/>
  <c r="BK63" i="6"/>
  <c r="BC625" i="18" s="1"/>
  <c r="BK277" i="5"/>
  <c r="BC233" i="18" s="1"/>
  <c r="BK26" i="6"/>
  <c r="BC580" i="18" s="1"/>
  <c r="CT25" i="6"/>
  <c r="CL579" i="18" s="1"/>
  <c r="BR366" i="6"/>
  <c r="BJ605" i="18" s="1"/>
  <c r="BR336" i="6"/>
  <c r="BJ870" i="18" s="1"/>
  <c r="BI70" i="6"/>
  <c r="BA631" i="18" s="1"/>
  <c r="BI66" i="6"/>
  <c r="BA627" i="18" s="1"/>
  <c r="BI64" i="6"/>
  <c r="BA626" i="18" s="1"/>
  <c r="BI67" i="6"/>
  <c r="BA629" i="18" s="1"/>
  <c r="BQ56" i="6"/>
  <c r="BI618" i="18" s="1"/>
  <c r="CV29" i="6"/>
  <c r="BQ31" i="6"/>
  <c r="BQ30" i="6"/>
  <c r="BQ267" i="5"/>
  <c r="BQ32" i="6"/>
  <c r="BI587" i="18" s="1"/>
  <c r="BQ25" i="6"/>
  <c r="BI579" i="18" s="1"/>
  <c r="BR59" i="6"/>
  <c r="BR57" i="6"/>
  <c r="BJ619" i="18" s="1"/>
  <c r="BV56" i="6"/>
  <c r="BN618" i="18" s="1"/>
  <c r="BR60" i="6"/>
  <c r="BJ621" i="18" s="1"/>
  <c r="CT165" i="6"/>
  <c r="CL715" i="18" s="1"/>
  <c r="CT144" i="6"/>
  <c r="CL704" i="18" s="1"/>
  <c r="CT139" i="6"/>
  <c r="CL699" i="18" s="1"/>
  <c r="CT145" i="6"/>
  <c r="CL705" i="18" s="1"/>
  <c r="BK366" i="6"/>
  <c r="BC605" i="18" s="1"/>
  <c r="BK336" i="6"/>
  <c r="BC870" i="18" s="1"/>
  <c r="BF365" i="6"/>
  <c r="AX604" i="18" s="1"/>
  <c r="BF370" i="6"/>
  <c r="AX609" i="18" s="1"/>
  <c r="BG58" i="6"/>
  <c r="DF141" i="6"/>
  <c r="BL57" i="6"/>
  <c r="BD619" i="18" s="1"/>
  <c r="BL60" i="6"/>
  <c r="BD621" i="18" s="1"/>
  <c r="BL59" i="6"/>
  <c r="CC120" i="6"/>
  <c r="BU684" i="18" s="1"/>
  <c r="BY120" i="6"/>
  <c r="BQ684" i="18" s="1"/>
  <c r="CV219" i="6"/>
  <c r="CV224" i="6"/>
  <c r="BI364" i="6"/>
  <c r="BA603" i="18" s="1"/>
  <c r="BI167" i="6"/>
  <c r="BA717" i="18" s="1"/>
  <c r="BG364" i="6"/>
  <c r="BG167" i="6"/>
  <c r="AY717" i="18" s="1"/>
  <c r="BG67" i="6"/>
  <c r="AY629" i="18" s="1"/>
  <c r="BG70" i="6"/>
  <c r="AY631" i="18" s="1"/>
  <c r="BG66" i="6"/>
  <c r="AY627" i="18" s="1"/>
  <c r="BG64" i="6"/>
  <c r="AY626" i="18" s="1"/>
  <c r="BG337" i="6"/>
  <c r="AY871" i="18" s="1"/>
  <c r="CS63" i="6"/>
  <c r="CK625" i="18" s="1"/>
  <c r="CW316" i="6"/>
  <c r="CO849" i="18" s="1"/>
  <c r="CW113" i="6"/>
  <c r="CO666" i="18" s="1"/>
  <c r="CW124" i="6"/>
  <c r="CO693" i="18" s="1"/>
  <c r="CW107" i="6"/>
  <c r="CO660" i="18" s="1"/>
  <c r="BR231" i="6"/>
  <c r="BF179" i="5"/>
  <c r="AX145" i="18" s="1"/>
  <c r="BF214" i="5"/>
  <c r="AX181" i="18" s="1"/>
  <c r="BF196" i="5"/>
  <c r="BH231" i="6"/>
  <c r="BH64" i="6"/>
  <c r="AZ626" i="18" s="1"/>
  <c r="BH67" i="6"/>
  <c r="AZ629" i="18" s="1"/>
  <c r="BH70" i="6"/>
  <c r="AZ631" i="18" s="1"/>
  <c r="BH66" i="6"/>
  <c r="AZ627" i="18" s="1"/>
  <c r="BH337" i="6"/>
  <c r="AZ871" i="18" s="1"/>
  <c r="BZ226" i="6"/>
  <c r="BZ221" i="6"/>
  <c r="BZ161" i="6"/>
  <c r="BZ156" i="6"/>
  <c r="BR673" i="18" s="1"/>
  <c r="BZ149" i="6"/>
  <c r="BR1249" i="18" s="1"/>
  <c r="CT178" i="6"/>
  <c r="CB126" i="6"/>
  <c r="BT695" i="18" s="1"/>
  <c r="BL277" i="5"/>
  <c r="BD233" i="18" s="1"/>
  <c r="BL26" i="6"/>
  <c r="BD580" i="18" s="1"/>
  <c r="BL63" i="6"/>
  <c r="BD625" i="18" s="1"/>
  <c r="BK165" i="6"/>
  <c r="BC715" i="18" s="1"/>
  <c r="BK145" i="6"/>
  <c r="BC705" i="18" s="1"/>
  <c r="BK144" i="6"/>
  <c r="BC704" i="18" s="1"/>
  <c r="CZ354" i="6"/>
  <c r="CR888" i="18" s="1"/>
  <c r="CX234" i="6"/>
  <c r="CW235" i="6"/>
  <c r="CW247" i="6"/>
  <c r="BU178" i="6"/>
  <c r="BE168" i="6"/>
  <c r="AW718" i="18" s="1"/>
  <c r="BE159" i="6"/>
  <c r="AW711" i="18" s="1"/>
  <c r="CD214" i="6"/>
  <c r="CD216" i="6" s="1"/>
  <c r="BZ219" i="6"/>
  <c r="BZ29" i="6"/>
  <c r="BA180" i="5"/>
  <c r="CR203" i="5"/>
  <c r="BA205" i="5"/>
  <c r="CQ241" i="5"/>
  <c r="CQ278" i="5"/>
  <c r="CS330" i="6"/>
  <c r="CK864" i="18" s="1"/>
  <c r="CS337" i="6"/>
  <c r="CK871" i="18" s="1"/>
  <c r="CS336" i="6"/>
  <c r="CK870" i="18" s="1"/>
  <c r="BJ180" i="5"/>
  <c r="BJ205" i="5"/>
  <c r="BB172" i="18" s="1"/>
  <c r="CB149" i="6"/>
  <c r="BT1249" i="18" s="1"/>
  <c r="CB156" i="6"/>
  <c r="BT673" i="18" s="1"/>
  <c r="CB161" i="6"/>
  <c r="BU439" i="5"/>
  <c r="BM1043" i="18" s="1"/>
  <c r="BU421" i="5"/>
  <c r="BM313" i="18" s="1"/>
  <c r="BU356" i="5"/>
  <c r="BU358" i="5" s="1"/>
  <c r="BU340" i="5"/>
  <c r="BU342" i="5" s="1"/>
  <c r="BU430" i="5"/>
  <c r="BU431" i="5" s="1"/>
  <c r="BU432" i="5" s="1"/>
  <c r="BU433" i="5" s="1"/>
  <c r="BM1037" i="18" s="1"/>
  <c r="CS297" i="6"/>
  <c r="CK818" i="18" s="1"/>
  <c r="CS308" i="6"/>
  <c r="CK841" i="18" s="1"/>
  <c r="BN178" i="6"/>
  <c r="CS144" i="6"/>
  <c r="CK704" i="18" s="1"/>
  <c r="CS145" i="6"/>
  <c r="CK705" i="18" s="1"/>
  <c r="CS139" i="6"/>
  <c r="CK699" i="18" s="1"/>
  <c r="CS165" i="6"/>
  <c r="CK715" i="18" s="1"/>
  <c r="BZ368" i="6"/>
  <c r="BR607" i="18" s="1"/>
  <c r="BZ360" i="6"/>
  <c r="BR893" i="18" s="1"/>
  <c r="CD357" i="6"/>
  <c r="CD359" i="6"/>
  <c r="BV892" i="18" s="1"/>
  <c r="BY357" i="6"/>
  <c r="CX356" i="6"/>
  <c r="BY359" i="6"/>
  <c r="BQ892" i="18" s="1"/>
  <c r="U6" i="6"/>
  <c r="T5" i="6"/>
  <c r="BE68" i="6"/>
  <c r="AZ367" i="6"/>
  <c r="AR606" i="18" s="1"/>
  <c r="BD367" i="6"/>
  <c r="AV606" i="18" s="1"/>
  <c r="BK204" i="5"/>
  <c r="BK238" i="5"/>
  <c r="CF176" i="6"/>
  <c r="CF114" i="6"/>
  <c r="BX667" i="18" s="1"/>
  <c r="CF102" i="6"/>
  <c r="BX655" i="18" s="1"/>
  <c r="BP32" i="6"/>
  <c r="BH587" i="18" s="1"/>
  <c r="BP56" i="6"/>
  <c r="BH618" i="18" s="1"/>
  <c r="BP31" i="6"/>
  <c r="BP30" i="6"/>
  <c r="BP25" i="6"/>
  <c r="BH579" i="18" s="1"/>
  <c r="BP267" i="5"/>
  <c r="CU29" i="6"/>
  <c r="BU161" i="6"/>
  <c r="BU156" i="6"/>
  <c r="BM673" i="18" s="1"/>
  <c r="BU149" i="6"/>
  <c r="BM1249" i="18" s="1"/>
  <c r="CS230" i="6"/>
  <c r="AY205" i="5"/>
  <c r="AY180" i="5"/>
  <c r="AY295" i="5"/>
  <c r="CQ203" i="5"/>
  <c r="CQ205" i="5"/>
  <c r="BL204" i="5"/>
  <c r="BL238" i="5"/>
  <c r="BD205" i="18" s="1"/>
  <c r="CV155" i="6"/>
  <c r="CN672" i="18" s="1"/>
  <c r="CV166" i="6"/>
  <c r="CN716" i="18" s="1"/>
  <c r="CV147" i="6"/>
  <c r="CS204" i="5"/>
  <c r="CQ258" i="6"/>
  <c r="CI781" i="18" s="1"/>
  <c r="CQ256" i="6"/>
  <c r="CI779" i="18" s="1"/>
  <c r="CQ273" i="6"/>
  <c r="CI795" i="18" s="1"/>
  <c r="CQ275" i="6"/>
  <c r="CI797" i="18" s="1"/>
  <c r="CQ245" i="6"/>
  <c r="CI769" i="18" s="1"/>
  <c r="CR254" i="6"/>
  <c r="CJ777" i="18" s="1"/>
  <c r="CQ255" i="6"/>
  <c r="CI778" i="18" s="1"/>
  <c r="BC68" i="6"/>
  <c r="BT219" i="6"/>
  <c r="BX214" i="6"/>
  <c r="BT29" i="6"/>
  <c r="BN203" i="5"/>
  <c r="BF170" i="18" s="1"/>
  <c r="BN278" i="5"/>
  <c r="BG61" i="6"/>
  <c r="AY622" i="18" s="1"/>
  <c r="CA124" i="6"/>
  <c r="BS693" i="18" s="1"/>
  <c r="CA113" i="6"/>
  <c r="BS666" i="18" s="1"/>
  <c r="CE100" i="6"/>
  <c r="BW653" i="18" s="1"/>
  <c r="CA101" i="6"/>
  <c r="BS654" i="18" s="1"/>
  <c r="CS238" i="5"/>
  <c r="CK205" i="18" s="1"/>
  <c r="BE278" i="5"/>
  <c r="BE203" i="5"/>
  <c r="AW170" i="18" s="1"/>
  <c r="CE356" i="6"/>
  <c r="CE37" i="6"/>
  <c r="CE272" i="5"/>
  <c r="BO143" i="6"/>
  <c r="BG703" i="18" s="1"/>
  <c r="BS139" i="6"/>
  <c r="BM335" i="6"/>
  <c r="BE869" i="18" s="1"/>
  <c r="BQ330" i="6"/>
  <c r="BR179" i="6"/>
  <c r="BR177" i="6"/>
  <c r="BT139" i="6"/>
  <c r="BP143" i="6"/>
  <c r="BH703" i="18" s="1"/>
  <c r="BE72" i="6"/>
  <c r="AW633" i="18" s="1"/>
  <c r="BE71" i="6"/>
  <c r="AW632" i="18" s="1"/>
  <c r="BV161" i="6"/>
  <c r="BV156" i="6"/>
  <c r="BN673" i="18" s="1"/>
  <c r="BV149" i="6"/>
  <c r="BN1249" i="18" s="1"/>
  <c r="CS266" i="6"/>
  <c r="CS260" i="6"/>
  <c r="CT267" i="5"/>
  <c r="BH203" i="5"/>
  <c r="BH278" i="5"/>
  <c r="BE367" i="6"/>
  <c r="AW606" i="18" s="1"/>
  <c r="CS366" i="6"/>
  <c r="CK605" i="18" s="1"/>
  <c r="BS126" i="6"/>
  <c r="BK695" i="18" s="1"/>
  <c r="CS58" i="6"/>
  <c r="BI61" i="6"/>
  <c r="BA622" i="18" s="1"/>
  <c r="BR143" i="6"/>
  <c r="BJ703" i="18" s="1"/>
  <c r="BV139" i="6"/>
  <c r="AX230" i="5"/>
  <c r="BC180" i="5"/>
  <c r="CY186" i="6"/>
  <c r="CY191" i="6"/>
  <c r="CQ1316" i="18" s="1"/>
  <c r="CY187" i="6"/>
  <c r="CQ1312" i="18" s="1"/>
  <c r="CY181" i="6"/>
  <c r="CQ1306" i="18" s="1"/>
  <c r="BQ143" i="6"/>
  <c r="BI703" i="18" s="1"/>
  <c r="BU139" i="6"/>
  <c r="BJ364" i="6"/>
  <c r="BB603" i="18" s="1"/>
  <c r="BJ167" i="6"/>
  <c r="BB717" i="18" s="1"/>
  <c r="BU360" i="6"/>
  <c r="BM893" i="18" s="1"/>
  <c r="BU368" i="6"/>
  <c r="BM607" i="18" s="1"/>
  <c r="AZ214" i="5"/>
  <c r="AZ196" i="5"/>
  <c r="AZ179" i="5"/>
  <c r="AZ295" i="5"/>
  <c r="DB328" i="6"/>
  <c r="CT862" i="18" s="1"/>
  <c r="DC325" i="6"/>
  <c r="CU859" i="18" s="1"/>
  <c r="DB326" i="6"/>
  <c r="CT860" i="18" s="1"/>
  <c r="CC176" i="6"/>
  <c r="CC125" i="6"/>
  <c r="BU694" i="18" s="1"/>
  <c r="CC114" i="6"/>
  <c r="BU667" i="18" s="1"/>
  <c r="DA170" i="6"/>
  <c r="CZ172" i="6"/>
  <c r="BR63" i="6"/>
  <c r="BR277" i="5"/>
  <c r="BJ233" i="18" s="1"/>
  <c r="BR26" i="6"/>
  <c r="BJ580" i="18" s="1"/>
  <c r="DB324" i="6"/>
  <c r="CT858" i="18" s="1"/>
  <c r="DA327" i="6"/>
  <c r="CS861" i="18" s="1"/>
  <c r="CA357" i="6"/>
  <c r="CA359" i="6"/>
  <c r="BS892" i="18" s="1"/>
  <c r="BZ330" i="6"/>
  <c r="BV335" i="6"/>
  <c r="BN869" i="18" s="1"/>
  <c r="CB120" i="6"/>
  <c r="BT684" i="18" s="1"/>
  <c r="CF120" i="6"/>
  <c r="BX684" i="18" s="1"/>
  <c r="BI366" i="6"/>
  <c r="BA605" i="18" s="1"/>
  <c r="BI337" i="6"/>
  <c r="BA871" i="18" s="1"/>
  <c r="BI336" i="6"/>
  <c r="BA870" i="18" s="1"/>
  <c r="CT335" i="6"/>
  <c r="CL869" i="18" s="1"/>
  <c r="BV176" i="6"/>
  <c r="BV125" i="6"/>
  <c r="BN694" i="18" s="1"/>
  <c r="BV108" i="6"/>
  <c r="BN661" i="18" s="1"/>
  <c r="BV114" i="6"/>
  <c r="BN667" i="18" s="1"/>
  <c r="CW101" i="6"/>
  <c r="CO654" i="18" s="1"/>
  <c r="BF168" i="6"/>
  <c r="AX718" i="18" s="1"/>
  <c r="BF159" i="6"/>
  <c r="AX711" i="18" s="1"/>
  <c r="BD72" i="6"/>
  <c r="AV633" i="18" s="1"/>
  <c r="BD71" i="6"/>
  <c r="AV632" i="18" s="1"/>
  <c r="BG203" i="5"/>
  <c r="BG205" i="5" s="1"/>
  <c r="BG278" i="5"/>
  <c r="CV267" i="6"/>
  <c r="CV261" i="6"/>
  <c r="BE365" i="6"/>
  <c r="AW604" i="18" s="1"/>
  <c r="BE370" i="6"/>
  <c r="AW609" i="18" s="1"/>
  <c r="BV31" i="6"/>
  <c r="BV30" i="6"/>
  <c r="BV267" i="5"/>
  <c r="BO32" i="6"/>
  <c r="BG587" i="18" s="1"/>
  <c r="BO33" i="6"/>
  <c r="BO31" i="6"/>
  <c r="BO25" i="6"/>
  <c r="BO30" i="6"/>
  <c r="BO267" i="5"/>
  <c r="BO56" i="6"/>
  <c r="BG618" i="18" s="1"/>
  <c r="CR278" i="5"/>
  <c r="CR241" i="5"/>
  <c r="BJ72" i="6"/>
  <c r="BB633" i="18" s="1"/>
  <c r="BJ71" i="6"/>
  <c r="BB632" i="18" s="1"/>
  <c r="BI204" i="5"/>
  <c r="CT239" i="5"/>
  <c r="CT268" i="5" s="1"/>
  <c r="BI238" i="5"/>
  <c r="BA205" i="18" s="1"/>
  <c r="CW357" i="6"/>
  <c r="CW359" i="6"/>
  <c r="CO892" i="18" s="1"/>
  <c r="CQ337" i="6"/>
  <c r="CI871" i="18" s="1"/>
  <c r="CQ336" i="6"/>
  <c r="CI870" i="18" s="1"/>
  <c r="CQ330" i="6"/>
  <c r="BC168" i="6"/>
  <c r="AU718" i="18" s="1"/>
  <c r="BC159" i="6"/>
  <c r="AU711" i="18" s="1"/>
  <c r="BS179" i="6"/>
  <c r="BS177" i="6"/>
  <c r="BT179" i="6"/>
  <c r="BZ113" i="6"/>
  <c r="BR666" i="18" s="1"/>
  <c r="BZ124" i="6"/>
  <c r="BR693" i="18" s="1"/>
  <c r="CD100" i="6"/>
  <c r="BV653" i="18" s="1"/>
  <c r="BZ101" i="6"/>
  <c r="BR654" i="18" s="1"/>
  <c r="CX100" i="6"/>
  <c r="CP653" i="18" s="1"/>
  <c r="CT286" i="6"/>
  <c r="CL808" i="18" s="1"/>
  <c r="CT216" i="6"/>
  <c r="CT225" i="6"/>
  <c r="CT246" i="6"/>
  <c r="CT220" i="6"/>
  <c r="BD370" i="6"/>
  <c r="AV609" i="18" s="1"/>
  <c r="BO335" i="6"/>
  <c r="BG869" i="18" s="1"/>
  <c r="BS330" i="6"/>
  <c r="BD205" i="5"/>
  <c r="CQ70" i="6"/>
  <c r="CI631" i="18" s="1"/>
  <c r="BL144" i="6"/>
  <c r="BD704" i="18" s="1"/>
  <c r="BL145" i="6"/>
  <c r="BD705" i="18" s="1"/>
  <c r="BL165" i="6"/>
  <c r="BD715" i="18" s="1"/>
  <c r="BS221" i="6"/>
  <c r="BS226" i="6"/>
  <c r="BS219" i="6"/>
  <c r="BW214" i="6"/>
  <c r="BS29" i="6"/>
  <c r="BM63" i="6"/>
  <c r="BE625" i="18" s="1"/>
  <c r="BM26" i="6"/>
  <c r="BE580" i="18" s="1"/>
  <c r="BM277" i="5"/>
  <c r="BE233" i="18" s="1"/>
  <c r="BN165" i="6"/>
  <c r="BF715" i="18" s="1"/>
  <c r="BN144" i="6"/>
  <c r="BF704" i="18" s="1"/>
  <c r="BN145" i="6"/>
  <c r="BF705" i="18" s="1"/>
  <c r="BN205" i="5"/>
  <c r="BF172" i="18" s="1"/>
  <c r="BG225" i="5"/>
  <c r="AY192" i="18" s="1"/>
  <c r="BY220" i="6"/>
  <c r="BY216" i="6"/>
  <c r="CC215" i="6"/>
  <c r="CF182" i="6"/>
  <c r="BX1307" i="18" s="1"/>
  <c r="CF183" i="6"/>
  <c r="BX1308" i="18" s="1"/>
  <c r="CC109" i="6"/>
  <c r="BU662" i="18" s="1"/>
  <c r="CC115" i="6"/>
  <c r="BU668" i="18" s="1"/>
  <c r="CC259" i="5"/>
  <c r="DB347" i="6"/>
  <c r="CT881" i="18" s="1"/>
  <c r="DC346" i="6"/>
  <c r="CU880" i="18" s="1"/>
  <c r="BW125" i="6"/>
  <c r="BO694" i="18" s="1"/>
  <c r="BW114" i="6"/>
  <c r="BO667" i="18" s="1"/>
  <c r="BW176" i="6"/>
  <c r="BW108" i="6"/>
  <c r="BO661" i="18" s="1"/>
  <c r="BC370" i="6"/>
  <c r="BY177" i="6"/>
  <c r="BY179" i="6"/>
  <c r="BW360" i="6"/>
  <c r="BO893" i="18" s="1"/>
  <c r="BW368" i="6"/>
  <c r="BO607" i="18" s="1"/>
  <c r="BD295" i="5"/>
  <c r="AV253" i="18" s="1"/>
  <c r="BD214" i="5"/>
  <c r="AV181" i="18" s="1"/>
  <c r="BD196" i="5"/>
  <c r="BD179" i="5"/>
  <c r="AV145" i="18" s="1"/>
  <c r="CB177" i="6"/>
  <c r="BN67" i="6"/>
  <c r="BF629" i="18" s="1"/>
  <c r="BN66" i="6"/>
  <c r="BF627" i="18" s="1"/>
  <c r="BN64" i="6"/>
  <c r="BF626" i="18" s="1"/>
  <c r="BN70" i="6"/>
  <c r="BF631" i="18" s="1"/>
  <c r="BT215" i="6"/>
  <c r="BP220" i="6"/>
  <c r="BP216" i="6"/>
  <c r="CU215" i="6"/>
  <c r="BH364" i="6"/>
  <c r="AZ603" i="18" s="1"/>
  <c r="BH167" i="6"/>
  <c r="AZ717" i="18" s="1"/>
  <c r="CW36" i="6"/>
  <c r="CW37" i="6"/>
  <c r="CV291" i="6"/>
  <c r="CV176" i="6"/>
  <c r="CV125" i="6"/>
  <c r="CN694" i="18" s="1"/>
  <c r="CV114" i="6"/>
  <c r="CN667" i="18" s="1"/>
  <c r="CV108" i="6"/>
  <c r="CN661" i="18" s="1"/>
  <c r="CR336" i="6"/>
  <c r="CJ870" i="18" s="1"/>
  <c r="CB356" i="6"/>
  <c r="CB37" i="6"/>
  <c r="CF35" i="6"/>
  <c r="CY35" i="6" s="1"/>
  <c r="CB272" i="5"/>
  <c r="CU285" i="6"/>
  <c r="CM807" i="18" s="1"/>
  <c r="CU224" i="6"/>
  <c r="CU219" i="6"/>
  <c r="BM57" i="6"/>
  <c r="BE619" i="18" s="1"/>
  <c r="CU56" i="6"/>
  <c r="CM618" i="18" s="1"/>
  <c r="BM60" i="6"/>
  <c r="BE621" i="18" s="1"/>
  <c r="BM59" i="6"/>
  <c r="CS221" i="6"/>
  <c r="CS226" i="6"/>
  <c r="CC124" i="6"/>
  <c r="BU693" i="18" s="1"/>
  <c r="AY367" i="6"/>
  <c r="CQ366" i="6"/>
  <c r="CT309" i="6"/>
  <c r="CL842" i="18" s="1"/>
  <c r="BM287" i="6"/>
  <c r="BE809" i="18" s="1"/>
  <c r="CT298" i="6"/>
  <c r="CL819" i="18" s="1"/>
  <c r="BK57" i="6"/>
  <c r="BC619" i="18" s="1"/>
  <c r="BK60" i="6"/>
  <c r="BC621" i="18" s="1"/>
  <c r="BK59" i="6"/>
  <c r="DA345" i="6"/>
  <c r="CS879" i="18" s="1"/>
  <c r="DB344" i="6"/>
  <c r="CT878" i="18" s="1"/>
  <c r="DA353" i="6"/>
  <c r="CS887" i="18" s="1"/>
  <c r="BC367" i="6"/>
  <c r="AU606" i="18" s="1"/>
  <c r="CU302" i="6"/>
  <c r="CM821" i="18" s="1"/>
  <c r="CU313" i="6"/>
  <c r="CM844" i="18" s="1"/>
  <c r="BT360" i="6"/>
  <c r="BL893" i="18" s="1"/>
  <c r="BT368" i="6"/>
  <c r="BL607" i="18" s="1"/>
  <c r="BL226" i="6"/>
  <c r="BL221" i="6"/>
  <c r="BO231" i="6"/>
  <c r="BC72" i="6"/>
  <c r="AU633" i="18" s="1"/>
  <c r="BC71" i="6"/>
  <c r="AU632" i="18" s="1"/>
  <c r="BX330" i="6"/>
  <c r="BT335" i="6"/>
  <c r="BL869" i="18" s="1"/>
  <c r="CT56" i="6"/>
  <c r="CL618" i="18" s="1"/>
  <c r="CC356" i="6"/>
  <c r="CC272" i="5"/>
  <c r="CC37" i="6"/>
  <c r="BX357" i="6"/>
  <c r="BX359" i="6"/>
  <c r="BP892" i="18" s="1"/>
  <c r="CR364" i="6"/>
  <c r="CJ603" i="18" s="1"/>
  <c r="CD220" i="6"/>
  <c r="CV126" i="6"/>
  <c r="CN695" i="18" s="1"/>
  <c r="CV360" i="6"/>
  <c r="CN893" i="18" s="1"/>
  <c r="CV368" i="6"/>
  <c r="CN607" i="18" s="1"/>
  <c r="BT299" i="5"/>
  <c r="BL257" i="18" s="1"/>
  <c r="BT215" i="5"/>
  <c r="CR547" i="5"/>
  <c r="CJ396" i="18" s="1"/>
  <c r="CR542" i="5"/>
  <c r="CJ391" i="18" s="1"/>
  <c r="CR546" i="5"/>
  <c r="CJ395" i="18" s="1"/>
  <c r="BR163" i="5"/>
  <c r="BR162" i="5"/>
  <c r="CU307" i="5"/>
  <c r="CM265" i="18" s="1"/>
  <c r="CU309" i="5"/>
  <c r="CV157" i="5"/>
  <c r="CN129" i="18" s="1"/>
  <c r="DG156" i="5"/>
  <c r="CR128" i="18" s="1"/>
  <c r="BW163" i="5"/>
  <c r="BW160" i="5"/>
  <c r="BO1329" i="18" s="1"/>
  <c r="BW162" i="5"/>
  <c r="BJ226" i="5"/>
  <c r="BB193" i="18" s="1"/>
  <c r="BJ224" i="5"/>
  <c r="CU99" i="5"/>
  <c r="CM1325" i="18" s="1"/>
  <c r="CU98" i="5"/>
  <c r="CM1324" i="18" s="1"/>
  <c r="CU96" i="5"/>
  <c r="CM1322" i="18" s="1"/>
  <c r="CU100" i="5"/>
  <c r="CM1326" i="18" s="1"/>
  <c r="BM224" i="5"/>
  <c r="BM226" i="5"/>
  <c r="BE193" i="18" s="1"/>
  <c r="CT99" i="5"/>
  <c r="CL1325" i="18" s="1"/>
  <c r="CT98" i="5"/>
  <c r="CL1324" i="18" s="1"/>
  <c r="CT96" i="5"/>
  <c r="CT100" i="5"/>
  <c r="CL1326" i="18" s="1"/>
  <c r="BP224" i="5"/>
  <c r="BF225" i="5"/>
  <c r="AX192" i="18" s="1"/>
  <c r="CA129" i="5"/>
  <c r="BS109" i="18" s="1"/>
  <c r="CA135" i="5"/>
  <c r="DB614" i="5"/>
  <c r="BQ299" i="5"/>
  <c r="BI257" i="18" s="1"/>
  <c r="BQ215" i="5"/>
  <c r="BI182" i="18" s="1"/>
  <c r="CU749" i="5"/>
  <c r="CU155" i="5"/>
  <c r="CM127" i="18" s="1"/>
  <c r="BQ223" i="5"/>
  <c r="BI190" i="18" s="1"/>
  <c r="BQ234" i="5"/>
  <c r="BI201" i="18" s="1"/>
  <c r="BQ288" i="5"/>
  <c r="BI245" i="18" s="1"/>
  <c r="BQ217" i="5"/>
  <c r="BQ244" i="5"/>
  <c r="BQ245" i="5" s="1"/>
  <c r="BX216" i="5"/>
  <c r="BP183" i="18" s="1"/>
  <c r="BX31" i="5"/>
  <c r="BP23" i="18" s="1"/>
  <c r="BT288" i="5"/>
  <c r="BL245" i="18" s="1"/>
  <c r="BT234" i="5"/>
  <c r="BL201" i="18" s="1"/>
  <c r="BT217" i="5"/>
  <c r="BT223" i="5"/>
  <c r="BL190" i="18" s="1"/>
  <c r="BT244" i="5"/>
  <c r="BT245" i="5" s="1"/>
  <c r="CS85" i="5"/>
  <c r="BZ312" i="5"/>
  <c r="BR270" i="18" s="1"/>
  <c r="BV306" i="5"/>
  <c r="BN264" i="18" s="1"/>
  <c r="BV36" i="5"/>
  <c r="BN28" i="18" s="1"/>
  <c r="BV437" i="5"/>
  <c r="BN1041" i="18" s="1"/>
  <c r="BV287" i="5"/>
  <c r="BJ97" i="5"/>
  <c r="BB1323" i="18" s="1"/>
  <c r="CM749" i="5"/>
  <c r="CM155" i="5"/>
  <c r="DC335" i="5"/>
  <c r="CU291" i="18" s="1"/>
  <c r="DB336" i="5"/>
  <c r="CT292" i="18" s="1"/>
  <c r="DB61" i="5"/>
  <c r="CT49" i="18" s="1"/>
  <c r="DC592" i="5"/>
  <c r="CU85" i="5"/>
  <c r="DH103" i="5"/>
  <c r="CS84" i="18" s="1"/>
  <c r="BZ160" i="5"/>
  <c r="BR1329" i="18" s="1"/>
  <c r="BO299" i="5"/>
  <c r="BG257" i="18" s="1"/>
  <c r="BO215" i="5"/>
  <c r="BG182" i="18" s="1"/>
  <c r="CU181" i="5"/>
  <c r="BQ162" i="5"/>
  <c r="BQ163" i="5"/>
  <c r="CU34" i="5"/>
  <c r="CM26" i="18" s="1"/>
  <c r="CU32" i="5"/>
  <c r="BX438" i="5"/>
  <c r="BP1042" i="18" s="1"/>
  <c r="BX447" i="5"/>
  <c r="BX448" i="5" s="1"/>
  <c r="CA312" i="5"/>
  <c r="BW306" i="5"/>
  <c r="BO264" i="18" s="1"/>
  <c r="BW36" i="5"/>
  <c r="BO28" i="18" s="1"/>
  <c r="BW437" i="5"/>
  <c r="BO1041" i="18" s="1"/>
  <c r="BW287" i="5"/>
  <c r="BR31" i="5"/>
  <c r="BJ23" i="18" s="1"/>
  <c r="BR216" i="5"/>
  <c r="BJ183" i="18" s="1"/>
  <c r="CM99" i="5"/>
  <c r="CM100" i="5"/>
  <c r="CM96" i="5"/>
  <c r="CM97" i="5" s="1"/>
  <c r="CM98" i="5"/>
  <c r="CX547" i="5"/>
  <c r="CP396" i="18" s="1"/>
  <c r="CX546" i="5"/>
  <c r="CP395" i="18" s="1"/>
  <c r="CX542" i="5"/>
  <c r="CP391" i="18" s="1"/>
  <c r="DA115" i="5"/>
  <c r="DB113" i="5"/>
  <c r="DA104" i="5"/>
  <c r="DA106" i="5" s="1"/>
  <c r="CU313" i="5"/>
  <c r="CM271" i="18" s="1"/>
  <c r="BS307" i="5"/>
  <c r="BK265" i="18" s="1"/>
  <c r="BS309" i="5"/>
  <c r="BS181" i="5"/>
  <c r="BK147" i="18" s="1"/>
  <c r="DB624" i="5"/>
  <c r="BR309" i="5"/>
  <c r="BR307" i="5"/>
  <c r="BJ265" i="18" s="1"/>
  <c r="BR181" i="5"/>
  <c r="BJ147" i="18" s="1"/>
  <c r="DH61" i="5"/>
  <c r="CZ49" i="18" s="1"/>
  <c r="DC466" i="5"/>
  <c r="DB65" i="5"/>
  <c r="CT53" i="18" s="1"/>
  <c r="BZ139" i="5"/>
  <c r="BR1335" i="18" s="1"/>
  <c r="BZ135" i="5"/>
  <c r="BZ129" i="5"/>
  <c r="BR109" i="18" s="1"/>
  <c r="CA160" i="5"/>
  <c r="BS1329" i="18" s="1"/>
  <c r="CV306" i="5"/>
  <c r="CN264" i="18" s="1"/>
  <c r="BQ34" i="5"/>
  <c r="BI26" i="18" s="1"/>
  <c r="BQ32" i="5"/>
  <c r="BQ518" i="5"/>
  <c r="DG126" i="5"/>
  <c r="CY1331" i="18" s="1"/>
  <c r="CV148" i="5"/>
  <c r="CV138" i="5"/>
  <c r="BU447" i="5"/>
  <c r="BU448" i="5" s="1"/>
  <c r="BU438" i="5"/>
  <c r="BM1042" i="18" s="1"/>
  <c r="CB306" i="5"/>
  <c r="BT264" i="18" s="1"/>
  <c r="CF312" i="5"/>
  <c r="BX270" i="18" s="1"/>
  <c r="CB36" i="5"/>
  <c r="BT28" i="18" s="1"/>
  <c r="CB437" i="5"/>
  <c r="BT1041" i="18" s="1"/>
  <c r="CU89" i="5"/>
  <c r="CM77" i="18" s="1"/>
  <c r="BT34" i="5"/>
  <c r="BL26" i="18" s="1"/>
  <c r="BT32" i="5"/>
  <c r="BT518" i="5"/>
  <c r="BU160" i="5"/>
  <c r="BM1329" i="18" s="1"/>
  <c r="CV547" i="5"/>
  <c r="CN396" i="18" s="1"/>
  <c r="CV542" i="5"/>
  <c r="CN391" i="18" s="1"/>
  <c r="CV546" i="5"/>
  <c r="CN395" i="18" s="1"/>
  <c r="BV97" i="5"/>
  <c r="BN1323" i="18" s="1"/>
  <c r="BY129" i="5"/>
  <c r="BQ109" i="18" s="1"/>
  <c r="BY135" i="5"/>
  <c r="CR98" i="5"/>
  <c r="CJ1324" i="18" s="1"/>
  <c r="CR100" i="5"/>
  <c r="CJ1326" i="18" s="1"/>
  <c r="CR96" i="5"/>
  <c r="CR99" i="5"/>
  <c r="CJ1325" i="18" s="1"/>
  <c r="CA205" i="5"/>
  <c r="CU157" i="5"/>
  <c r="CM129" i="18" s="1"/>
  <c r="DB103" i="5"/>
  <c r="DC108" i="5"/>
  <c r="BO97" i="5"/>
  <c r="BG1323" i="18" s="1"/>
  <c r="CX148" i="5"/>
  <c r="CX138" i="5"/>
  <c r="CP1334" i="18" s="1"/>
  <c r="CS98" i="5"/>
  <c r="CK1324" i="18" s="1"/>
  <c r="CN89" i="5"/>
  <c r="CN99" i="5"/>
  <c r="BO34" i="5"/>
  <c r="BG26" i="18" s="1"/>
  <c r="BO32" i="5"/>
  <c r="BO518" i="5"/>
  <c r="DB478" i="5"/>
  <c r="DB14" i="16" s="1"/>
  <c r="CU1213" i="18" s="1"/>
  <c r="DA481" i="5"/>
  <c r="DA67" i="5"/>
  <c r="CS55" i="18" s="1"/>
  <c r="BD6" i="5"/>
  <c r="CX99" i="5"/>
  <c r="CP1325" i="18" s="1"/>
  <c r="CX100" i="5"/>
  <c r="CP1326" i="18" s="1"/>
  <c r="CX96" i="5"/>
  <c r="CX98" i="5"/>
  <c r="CP1324" i="18" s="1"/>
  <c r="CV34" i="5"/>
  <c r="CN26" i="18" s="1"/>
  <c r="DG31" i="5"/>
  <c r="CY23" i="18" s="1"/>
  <c r="CV32" i="5"/>
  <c r="CN24" i="18" s="1"/>
  <c r="CW240" i="5"/>
  <c r="CW273" i="5" s="1"/>
  <c r="CW274" i="5" s="1"/>
  <c r="BS162" i="5"/>
  <c r="BS163" i="5"/>
  <c r="CW85" i="5"/>
  <c r="CW306" i="5"/>
  <c r="CO264" i="18" s="1"/>
  <c r="BU307" i="5"/>
  <c r="BM265" i="18" s="1"/>
  <c r="BU309" i="5"/>
  <c r="BU181" i="5"/>
  <c r="BM147" i="18" s="1"/>
  <c r="CU547" i="5"/>
  <c r="CM396" i="18" s="1"/>
  <c r="CU542" i="5"/>
  <c r="CM391" i="18" s="1"/>
  <c r="CU546" i="5"/>
  <c r="CM395" i="18" s="1"/>
  <c r="BS438" i="5"/>
  <c r="BK1042" i="18" s="1"/>
  <c r="BS447" i="5"/>
  <c r="BS448" i="5" s="1"/>
  <c r="BR438" i="5"/>
  <c r="BJ1042" i="18" s="1"/>
  <c r="BR447" i="5"/>
  <c r="BR448" i="5" s="1"/>
  <c r="BK225" i="5"/>
  <c r="BC192" i="18" s="1"/>
  <c r="CP293" i="5"/>
  <c r="BU97" i="5"/>
  <c r="BM1323" i="18" s="1"/>
  <c r="CA97" i="5"/>
  <c r="BS1323" i="18" s="1"/>
  <c r="BB200" i="5"/>
  <c r="AT166" i="18" s="1"/>
  <c r="BL595" i="5"/>
  <c r="BK596" i="5"/>
  <c r="BK515" i="5"/>
  <c r="BK516" i="5" s="1"/>
  <c r="BK517" i="5" s="1"/>
  <c r="CB274" i="5"/>
  <c r="CF273" i="5"/>
  <c r="CB240" i="5"/>
  <c r="CN100" i="5"/>
  <c r="CT749" i="5"/>
  <c r="CT155" i="5"/>
  <c r="CL127" i="18" s="1"/>
  <c r="DG95" i="5"/>
  <c r="CY1321" i="18" s="1"/>
  <c r="CV100" i="5"/>
  <c r="CN1326" i="18" s="1"/>
  <c r="CV96" i="5"/>
  <c r="CN1322" i="18" s="1"/>
  <c r="CV98" i="5"/>
  <c r="CN1324" i="18" s="1"/>
  <c r="CV99" i="5"/>
  <c r="CN1325" i="18" s="1"/>
  <c r="CW148" i="5"/>
  <c r="CW138" i="5"/>
  <c r="CT547" i="5"/>
  <c r="CL396" i="18" s="1"/>
  <c r="CT542" i="5"/>
  <c r="CL391" i="18" s="1"/>
  <c r="CT546" i="5"/>
  <c r="CL395" i="18" s="1"/>
  <c r="BO288" i="5"/>
  <c r="BG245" i="18" s="1"/>
  <c r="BO217" i="5"/>
  <c r="BO223" i="5"/>
  <c r="BG190" i="18" s="1"/>
  <c r="BO234" i="5"/>
  <c r="BG201" i="18" s="1"/>
  <c r="BO45" i="5"/>
  <c r="BU216" i="5"/>
  <c r="BM183" i="18" s="1"/>
  <c r="BU31" i="5"/>
  <c r="BM23" i="18" s="1"/>
  <c r="BX309" i="5"/>
  <c r="BX307" i="5"/>
  <c r="BP265" i="18" s="1"/>
  <c r="BX181" i="5"/>
  <c r="BP147" i="18" s="1"/>
  <c r="DA663" i="5"/>
  <c r="DB611" i="5"/>
  <c r="DB114" i="5"/>
  <c r="CX749" i="5"/>
  <c r="CX155" i="5"/>
  <c r="CP127" i="18" s="1"/>
  <c r="DD648" i="5"/>
  <c r="DE70" i="5"/>
  <c r="CW57" i="18" s="1"/>
  <c r="CP194" i="5"/>
  <c r="BY160" i="5"/>
  <c r="BQ1329" i="18" s="1"/>
  <c r="CO292" i="5"/>
  <c r="CO293" i="5" s="1"/>
  <c r="CO229" i="5"/>
  <c r="CO230" i="5" s="1"/>
  <c r="CO193" i="5"/>
  <c r="CO194" i="5" s="1"/>
  <c r="AS194" i="5"/>
  <c r="AW194" i="5"/>
  <c r="CR749" i="5"/>
  <c r="CR155" i="5"/>
  <c r="CJ127" i="18" s="1"/>
  <c r="CE240" i="5"/>
  <c r="CE274" i="5"/>
  <c r="BZ205" i="5"/>
  <c r="AX194" i="5"/>
  <c r="CV447" i="5"/>
  <c r="CV438" i="5"/>
  <c r="CN1042" i="18" s="1"/>
  <c r="DC322" i="5"/>
  <c r="DD319" i="5"/>
  <c r="DC324" i="5"/>
  <c r="DC326" i="5" s="1"/>
  <c r="DC37" i="5"/>
  <c r="DC18" i="5"/>
  <c r="BG97" i="5"/>
  <c r="AY1323" i="18" s="1"/>
  <c r="CW100" i="5"/>
  <c r="CO1326" i="18" s="1"/>
  <c r="CW96" i="5"/>
  <c r="CW98" i="5"/>
  <c r="CO1324" i="18" s="1"/>
  <c r="CW99" i="5"/>
  <c r="CO1325" i="18" s="1"/>
  <c r="CV749" i="5"/>
  <c r="DG143" i="5"/>
  <c r="CR117" i="18" s="1"/>
  <c r="CV155" i="5"/>
  <c r="CN127" i="18" s="1"/>
  <c r="CW312" i="5"/>
  <c r="CO270" i="18" s="1"/>
  <c r="CW749" i="5"/>
  <c r="CW155" i="5"/>
  <c r="CO127" i="18" s="1"/>
  <c r="CK216" i="5"/>
  <c r="CL287" i="5"/>
  <c r="AS230" i="5"/>
  <c r="AW230" i="5"/>
  <c r="CD240" i="5"/>
  <c r="CD274" i="5"/>
  <c r="CX89" i="5"/>
  <c r="CP77" i="18" s="1"/>
  <c r="CN97" i="5"/>
  <c r="CC273" i="5"/>
  <c r="BY274" i="5"/>
  <c r="BY240" i="5"/>
  <c r="CW547" i="5"/>
  <c r="CO396" i="18" s="1"/>
  <c r="CW542" i="5"/>
  <c r="CO391" i="18" s="1"/>
  <c r="CW546" i="5"/>
  <c r="CO395" i="18" s="1"/>
  <c r="CU447" i="5"/>
  <c r="CU448" i="5" s="1"/>
  <c r="CU438" i="5"/>
  <c r="CM1042" i="18" s="1"/>
  <c r="BB229" i="5"/>
  <c r="BB193" i="5"/>
  <c r="BB292" i="5"/>
  <c r="AT250" i="18" s="1"/>
  <c r="CC312" i="5"/>
  <c r="BY306" i="5"/>
  <c r="BQ264" i="18" s="1"/>
  <c r="BY36" i="5"/>
  <c r="BQ28" i="18" s="1"/>
  <c r="BY437" i="5"/>
  <c r="BQ1041" i="18" s="1"/>
  <c r="CY599" i="5"/>
  <c r="CQ443" i="18" s="1"/>
  <c r="BS31" i="5"/>
  <c r="BK23" i="18" s="1"/>
  <c r="BS216" i="5"/>
  <c r="BK183" i="18" s="1"/>
  <c r="CV89" i="5"/>
  <c r="CN77" i="18" s="1"/>
  <c r="BK226" i="5"/>
  <c r="BC193" i="18" s="1"/>
  <c r="CB131" i="5"/>
  <c r="CB752" i="5"/>
  <c r="CB146" i="5"/>
  <c r="CZ121" i="5"/>
  <c r="CP200" i="5"/>
  <c r="CT288" i="5"/>
  <c r="CL245" i="18" s="1"/>
  <c r="CU216" i="5"/>
  <c r="CM183" i="18" s="1"/>
  <c r="BV163" i="5"/>
  <c r="BV162" i="5"/>
  <c r="BV160" i="5"/>
  <c r="BN1329" i="18" s="1"/>
  <c r="BN288" i="5"/>
  <c r="BF245" i="18" s="1"/>
  <c r="BN217" i="5"/>
  <c r="BN234" i="5"/>
  <c r="BF201" i="18" s="1"/>
  <c r="BN223" i="5"/>
  <c r="BF190" i="18" s="1"/>
  <c r="BN45" i="5"/>
  <c r="CF170" i="5"/>
  <c r="BX136" i="18" s="1"/>
  <c r="U916" i="18"/>
  <c r="R937" i="18"/>
  <c r="T926" i="18"/>
  <c r="BB194" i="5" l="1"/>
  <c r="AT160" i="18" s="1"/>
  <c r="AT159" i="18"/>
  <c r="BO218" i="5"/>
  <c r="BG185" i="18" s="1"/>
  <c r="BG184" i="18"/>
  <c r="BO519" i="5"/>
  <c r="BG372" i="18"/>
  <c r="BT519" i="5"/>
  <c r="BL372" i="18"/>
  <c r="BR310" i="5"/>
  <c r="BJ268" i="18" s="1"/>
  <c r="BJ267" i="18"/>
  <c r="CV181" i="5"/>
  <c r="BT300" i="5"/>
  <c r="BL182" i="18"/>
  <c r="BQ1303" i="18"/>
  <c r="BQ729" i="18"/>
  <c r="BK1303" i="18"/>
  <c r="BK729" i="18"/>
  <c r="CR331" i="6"/>
  <c r="CJ865" i="18" s="1"/>
  <c r="CI864" i="18"/>
  <c r="BN1302" i="18"/>
  <c r="BN728" i="18"/>
  <c r="BH205" i="5"/>
  <c r="AZ172" i="18" s="1"/>
  <c r="AZ170" i="18"/>
  <c r="BN279" i="5"/>
  <c r="BF235" i="18" s="1"/>
  <c r="BF234" i="18"/>
  <c r="BW126" i="6"/>
  <c r="BO695" i="18" s="1"/>
  <c r="BV126" i="6"/>
  <c r="BN695" i="18" s="1"/>
  <c r="BM1304" i="18"/>
  <c r="BM730" i="18"/>
  <c r="CL1304" i="18"/>
  <c r="CL730" i="18"/>
  <c r="BF197" i="5"/>
  <c r="AX163" i="18" s="1"/>
  <c r="AX162" i="18"/>
  <c r="K35" i="19"/>
  <c r="N930" i="18" s="1"/>
  <c r="N910" i="18"/>
  <c r="BJ47" i="5"/>
  <c r="BB1319" i="18" s="1"/>
  <c r="BB1318" i="18"/>
  <c r="CU580" i="5"/>
  <c r="CM426" i="18" s="1"/>
  <c r="CM425" i="18"/>
  <c r="CX19" i="27"/>
  <c r="CX27" i="27"/>
  <c r="N43" i="19"/>
  <c r="Q939" i="18" s="1"/>
  <c r="Y16" i="19"/>
  <c r="N44" i="19" s="1"/>
  <c r="Y33" i="19"/>
  <c r="Y34" i="19" s="1"/>
  <c r="T908" i="18"/>
  <c r="BP47" i="5"/>
  <c r="BH1319" i="18" s="1"/>
  <c r="BH1318" i="18"/>
  <c r="CT27" i="27"/>
  <c r="CT19" i="27"/>
  <c r="CR20" i="16"/>
  <c r="CK1223" i="18" s="1"/>
  <c r="CK1209" i="18"/>
  <c r="CR17" i="16"/>
  <c r="CW580" i="5"/>
  <c r="CO426" i="18" s="1"/>
  <c r="CO425" i="18"/>
  <c r="O17" i="19"/>
  <c r="BS1328" i="18"/>
  <c r="DH63" i="5"/>
  <c r="CZ51" i="18" s="1"/>
  <c r="CS51" i="18"/>
  <c r="BG1304" i="18"/>
  <c r="BG730" i="18"/>
  <c r="CU17" i="16"/>
  <c r="CN1209" i="18"/>
  <c r="CU20" i="16"/>
  <c r="CN1223" i="18" s="1"/>
  <c r="CV19" i="27"/>
  <c r="CV27" i="27"/>
  <c r="BB230" i="5"/>
  <c r="AT197" i="18" s="1"/>
  <c r="AT196" i="18"/>
  <c r="BO46" i="5"/>
  <c r="BG1317" i="18"/>
  <c r="CW139" i="5"/>
  <c r="CO1335" i="18" s="1"/>
  <c r="CO1334" i="18"/>
  <c r="CX97" i="5"/>
  <c r="CP1323" i="18" s="1"/>
  <c r="CP1322" i="18"/>
  <c r="BO33" i="5"/>
  <c r="BG25" i="18" s="1"/>
  <c r="BG24" i="18"/>
  <c r="BY134" i="5"/>
  <c r="BQ111" i="18" s="1"/>
  <c r="BQ112" i="18"/>
  <c r="BT33" i="5"/>
  <c r="BL25" i="18" s="1"/>
  <c r="BL24" i="18"/>
  <c r="BQ519" i="5"/>
  <c r="BI372" i="18"/>
  <c r="CU33" i="5"/>
  <c r="CM25" i="18" s="1"/>
  <c r="CM24" i="18"/>
  <c r="CU299" i="5"/>
  <c r="CM257" i="18" s="1"/>
  <c r="CM147" i="18"/>
  <c r="BQ218" i="5"/>
  <c r="BI185" i="18" s="1"/>
  <c r="BI184" i="18"/>
  <c r="CT97" i="5"/>
  <c r="CL1323" i="18" s="1"/>
  <c r="CL1322" i="18"/>
  <c r="BM225" i="5"/>
  <c r="BE192" i="18" s="1"/>
  <c r="BE191" i="18"/>
  <c r="CU310" i="5"/>
  <c r="CM268" i="18" s="1"/>
  <c r="CM267" i="18"/>
  <c r="CR370" i="6"/>
  <c r="CJ609" i="18" s="1"/>
  <c r="AU609" i="18"/>
  <c r="BE279" i="5"/>
  <c r="AW235" i="18" s="1"/>
  <c r="AW234" i="18"/>
  <c r="BF1304" i="18"/>
  <c r="BF730" i="18"/>
  <c r="CL1214" i="18"/>
  <c r="CS18" i="16"/>
  <c r="CL1216" i="18" s="1"/>
  <c r="CS21" i="16"/>
  <c r="CL1224" i="18" s="1"/>
  <c r="CU698" i="5"/>
  <c r="CM534" i="18"/>
  <c r="CX19" i="26"/>
  <c r="CX27" i="26"/>
  <c r="CT19" i="26"/>
  <c r="CT27" i="26"/>
  <c r="CR19" i="26"/>
  <c r="CR27" i="26"/>
  <c r="D35" i="19"/>
  <c r="D930" i="18" s="1"/>
  <c r="D910" i="18"/>
  <c r="J35" i="19"/>
  <c r="M930" i="18" s="1"/>
  <c r="M910" i="18"/>
  <c r="CU178" i="6"/>
  <c r="CM1303" i="18"/>
  <c r="CM729" i="18"/>
  <c r="CR580" i="5"/>
  <c r="CJ426" i="18" s="1"/>
  <c r="CJ425" i="18"/>
  <c r="CP1209" i="18"/>
  <c r="CW20" i="16"/>
  <c r="CP1223" i="18" s="1"/>
  <c r="CW17" i="16"/>
  <c r="I43" i="19"/>
  <c r="X33" i="19"/>
  <c r="X34" i="19" s="1"/>
  <c r="I908" i="18"/>
  <c r="X16" i="19"/>
  <c r="I44" i="19" s="1"/>
  <c r="BN218" i="5"/>
  <c r="BF185" i="18" s="1"/>
  <c r="BF184" i="18"/>
  <c r="CC36" i="5"/>
  <c r="BU28" i="18" s="1"/>
  <c r="BU270" i="18"/>
  <c r="CW97" i="5"/>
  <c r="CO1323" i="18" s="1"/>
  <c r="CO1322" i="18"/>
  <c r="BX310" i="5"/>
  <c r="BP268" i="18" s="1"/>
  <c r="BP267" i="18"/>
  <c r="CW159" i="5"/>
  <c r="CW162" i="5" s="1"/>
  <c r="CO1336" i="18"/>
  <c r="BU310" i="5"/>
  <c r="BM268" i="18" s="1"/>
  <c r="BM267" i="18"/>
  <c r="CR97" i="5"/>
  <c r="CJ1323" i="18" s="1"/>
  <c r="CJ1322" i="18"/>
  <c r="CV139" i="5"/>
  <c r="CN1335" i="18" s="1"/>
  <c r="CN1334" i="18"/>
  <c r="BQ33" i="5"/>
  <c r="BI25" i="18" s="1"/>
  <c r="BI24" i="18"/>
  <c r="BW289" i="5"/>
  <c r="BO246" i="18" s="1"/>
  <c r="BO244" i="18"/>
  <c r="CX312" i="5"/>
  <c r="CP270" i="18" s="1"/>
  <c r="BS270" i="18"/>
  <c r="BP226" i="5"/>
  <c r="BH193" i="18" s="1"/>
  <c r="BJ225" i="5"/>
  <c r="BB192" i="18" s="1"/>
  <c r="BB191" i="18"/>
  <c r="CR367" i="6"/>
  <c r="CJ606" i="18" s="1"/>
  <c r="CI605" i="18"/>
  <c r="BD197" i="5"/>
  <c r="AV163" i="18" s="1"/>
  <c r="AV162" i="18"/>
  <c r="BG279" i="5"/>
  <c r="AY235" i="18" s="1"/>
  <c r="AY234" i="18"/>
  <c r="AZ197" i="5"/>
  <c r="AR163" i="18" s="1"/>
  <c r="AR162" i="18"/>
  <c r="BC295" i="5"/>
  <c r="AU253" i="18" s="1"/>
  <c r="AU146" i="18"/>
  <c r="CN1247" i="18"/>
  <c r="CN707" i="18"/>
  <c r="BJ295" i="5"/>
  <c r="BB253" i="18" s="1"/>
  <c r="BB146" i="18"/>
  <c r="CQ279" i="5"/>
  <c r="CI235" i="18" s="1"/>
  <c r="CI234" i="18"/>
  <c r="BA295" i="5"/>
  <c r="AS253" i="18" s="1"/>
  <c r="AS146" i="18"/>
  <c r="BM698" i="5"/>
  <c r="BE534" i="18"/>
  <c r="BP301" i="5"/>
  <c r="BH259" i="18" s="1"/>
  <c r="BH258" i="18"/>
  <c r="CS20" i="27"/>
  <c r="CS28" i="27"/>
  <c r="CX20" i="16"/>
  <c r="CQ1223" i="18" s="1"/>
  <c r="CQ1209" i="18"/>
  <c r="CX17" i="16"/>
  <c r="CT157" i="5"/>
  <c r="CL129" i="18" s="1"/>
  <c r="CL128" i="18"/>
  <c r="CT20" i="16"/>
  <c r="CM1223" i="18" s="1"/>
  <c r="CM1209" i="18"/>
  <c r="CT17" i="16"/>
  <c r="CR19" i="27"/>
  <c r="CR27" i="27"/>
  <c r="CW157" i="5"/>
  <c r="CO129" i="18" s="1"/>
  <c r="CO128" i="18"/>
  <c r="CX63" i="16"/>
  <c r="CY61" i="16" s="1"/>
  <c r="CS20" i="26"/>
  <c r="CS28" i="26"/>
  <c r="CU27" i="26"/>
  <c r="CU19" i="26"/>
  <c r="CV17" i="16"/>
  <c r="CO1209" i="18"/>
  <c r="CV20" i="16"/>
  <c r="CO1223" i="18" s="1"/>
  <c r="BM47" i="5"/>
  <c r="BE1319" i="18" s="1"/>
  <c r="BE1318" i="18"/>
  <c r="CW19" i="27"/>
  <c r="CW27" i="27"/>
  <c r="BN46" i="5"/>
  <c r="BF1317" i="18"/>
  <c r="CB156" i="5"/>
  <c r="BT128" i="18" s="1"/>
  <c r="BT120" i="18"/>
  <c r="CX159" i="5"/>
  <c r="CP1336" i="18"/>
  <c r="CV159" i="5"/>
  <c r="CN1328" i="18" s="1"/>
  <c r="CN1336" i="18"/>
  <c r="BZ134" i="5"/>
  <c r="BR111" i="18" s="1"/>
  <c r="BR112" i="18"/>
  <c r="BS310" i="5"/>
  <c r="BK268" i="18" s="1"/>
  <c r="BK267" i="18"/>
  <c r="BV289" i="5"/>
  <c r="BN246" i="18" s="1"/>
  <c r="BN244" i="18"/>
  <c r="BT218" i="5"/>
  <c r="BL185" i="18" s="1"/>
  <c r="BL184" i="18"/>
  <c r="CA134" i="5"/>
  <c r="BS111" i="18" s="1"/>
  <c r="BS112" i="18"/>
  <c r="BP225" i="5"/>
  <c r="BH192" i="18" s="1"/>
  <c r="BH191" i="18"/>
  <c r="CN811" i="18"/>
  <c r="CN813" i="18"/>
  <c r="BO1302" i="18"/>
  <c r="BO728" i="18"/>
  <c r="CR279" i="5"/>
  <c r="CJ235" i="18" s="1"/>
  <c r="CJ234" i="18"/>
  <c r="CU25" i="6"/>
  <c r="CM579" i="18" s="1"/>
  <c r="BG579" i="18"/>
  <c r="BR337" i="6"/>
  <c r="BJ871" i="18" s="1"/>
  <c r="BJ625" i="18"/>
  <c r="BH279" i="5"/>
  <c r="AZ235" i="18" s="1"/>
  <c r="AZ234" i="18"/>
  <c r="BJ1303" i="18"/>
  <c r="BJ729" i="18"/>
  <c r="CS364" i="6"/>
  <c r="CK603" i="18" s="1"/>
  <c r="AY603" i="18"/>
  <c r="CN1246" i="18"/>
  <c r="CN569" i="18"/>
  <c r="E35" i="19"/>
  <c r="E930" i="18" s="1"/>
  <c r="E910" i="18"/>
  <c r="CV65" i="16"/>
  <c r="CV66" i="16" s="1"/>
  <c r="P35" i="19"/>
  <c r="S930" i="18" s="1"/>
  <c r="S910" i="18"/>
  <c r="N17" i="19"/>
  <c r="BR1328" i="18"/>
  <c r="DC452" i="5"/>
  <c r="DB63" i="5"/>
  <c r="CT51" i="18" s="1"/>
  <c r="CX580" i="5"/>
  <c r="CP426" i="18" s="1"/>
  <c r="CP425" i="18"/>
  <c r="CU27" i="27"/>
  <c r="CU19" i="27"/>
  <c r="M17" i="19"/>
  <c r="BQ1328" i="18"/>
  <c r="CV27" i="26"/>
  <c r="CV19" i="26"/>
  <c r="CW19" i="26"/>
  <c r="CW27" i="26"/>
  <c r="CC414" i="5"/>
  <c r="BU307" i="18" s="1"/>
  <c r="CC104" i="6"/>
  <c r="BU658" i="18" s="1"/>
  <c r="CC103" i="6"/>
  <c r="BU656" i="18" s="1"/>
  <c r="CE151" i="5"/>
  <c r="BW123" i="18" s="1"/>
  <c r="DB169" i="5"/>
  <c r="CT135" i="18" s="1"/>
  <c r="CT139" i="18"/>
  <c r="CU140" i="18"/>
  <c r="DC173" i="5"/>
  <c r="DD174" i="5"/>
  <c r="CQ1311" i="18"/>
  <c r="CQ734" i="18"/>
  <c r="BT1303" i="18"/>
  <c r="BT729" i="18"/>
  <c r="CS723" i="18"/>
  <c r="CS1297" i="18"/>
  <c r="BX1302" i="18"/>
  <c r="BX728" i="18"/>
  <c r="DB171" i="6"/>
  <c r="CS724" i="18"/>
  <c r="CS1298" i="18"/>
  <c r="CN1302" i="18"/>
  <c r="CN728" i="18"/>
  <c r="BU1302" i="18"/>
  <c r="BU728" i="18"/>
  <c r="BP1304" i="18"/>
  <c r="BP730" i="18"/>
  <c r="Q928" i="18"/>
  <c r="DB34" i="7"/>
  <c r="W5" i="7"/>
  <c r="X6" i="7"/>
  <c r="CP408" i="5"/>
  <c r="CU251" i="6"/>
  <c r="CM773" i="18" s="1"/>
  <c r="CU26" i="6"/>
  <c r="CM580" i="18" s="1"/>
  <c r="CR295" i="5"/>
  <c r="CJ253" i="18" s="1"/>
  <c r="CS365" i="6"/>
  <c r="CK604" i="18" s="1"/>
  <c r="CY36" i="6"/>
  <c r="CY37" i="6"/>
  <c r="CD226" i="6"/>
  <c r="CD221" i="6"/>
  <c r="BX368" i="6"/>
  <c r="BP607" i="18" s="1"/>
  <c r="BX360" i="6"/>
  <c r="BP893" i="18" s="1"/>
  <c r="BT369" i="6"/>
  <c r="BL608" i="18" s="1"/>
  <c r="BD291" i="5"/>
  <c r="AV249" i="18" s="1"/>
  <c r="BD199" i="5"/>
  <c r="AV165" i="18" s="1"/>
  <c r="BP60" i="6"/>
  <c r="BH621" i="18" s="1"/>
  <c r="BP59" i="6"/>
  <c r="BP57" i="6"/>
  <c r="BH619" i="18" s="1"/>
  <c r="BF199" i="5"/>
  <c r="BF291" i="5"/>
  <c r="AX249" i="18" s="1"/>
  <c r="BI65" i="6"/>
  <c r="BR161" i="6"/>
  <c r="BR149" i="6"/>
  <c r="BJ1249" i="18" s="1"/>
  <c r="BR156" i="6"/>
  <c r="BJ673" i="18" s="1"/>
  <c r="CC126" i="6"/>
  <c r="BU695" i="18" s="1"/>
  <c r="CA360" i="6"/>
  <c r="BS893" i="18" s="1"/>
  <c r="CA368" i="6"/>
  <c r="BS607" i="18" s="1"/>
  <c r="CX357" i="6"/>
  <c r="CX359" i="6"/>
  <c r="CP892" i="18" s="1"/>
  <c r="BS430" i="5"/>
  <c r="BS431" i="5" s="1"/>
  <c r="BS432" i="5" s="1"/>
  <c r="BS433" i="5" s="1"/>
  <c r="BK1037" i="18" s="1"/>
  <c r="BS340" i="5"/>
  <c r="BS342" i="5" s="1"/>
  <c r="BS356" i="5"/>
  <c r="BS358" i="5" s="1"/>
  <c r="BS421" i="5"/>
  <c r="BK313" i="18" s="1"/>
  <c r="BS439" i="5"/>
  <c r="BK1043" i="18" s="1"/>
  <c r="BL149" i="6"/>
  <c r="BD1249" i="18" s="1"/>
  <c r="BL161" i="6"/>
  <c r="BL156" i="6"/>
  <c r="BD673" i="18" s="1"/>
  <c r="BQ439" i="5"/>
  <c r="BI1043" i="18" s="1"/>
  <c r="BQ421" i="5"/>
  <c r="BI313" i="18" s="1"/>
  <c r="BQ356" i="5"/>
  <c r="BQ358" i="5" s="1"/>
  <c r="BQ340" i="5"/>
  <c r="BQ342" i="5" s="1"/>
  <c r="BQ430" i="5"/>
  <c r="BQ431" i="5" s="1"/>
  <c r="BQ432" i="5" s="1"/>
  <c r="BQ433" i="5" s="1"/>
  <c r="BI1037" i="18" s="1"/>
  <c r="BK61" i="6"/>
  <c r="BC622" i="18" s="1"/>
  <c r="CS231" i="6"/>
  <c r="CB357" i="6"/>
  <c r="CB359" i="6"/>
  <c r="BT892" i="18" s="1"/>
  <c r="BN72" i="6"/>
  <c r="BF633" i="18" s="1"/>
  <c r="BN71" i="6"/>
  <c r="BF632" i="18" s="1"/>
  <c r="BD296" i="5"/>
  <c r="BD213" i="5"/>
  <c r="AV180" i="18" s="1"/>
  <c r="BW120" i="6"/>
  <c r="BO684" i="18" s="1"/>
  <c r="CC220" i="6"/>
  <c r="CC216" i="6"/>
  <c r="BS33" i="6"/>
  <c r="BS31" i="6"/>
  <c r="BS30" i="6"/>
  <c r="BS267" i="5"/>
  <c r="CV267" i="5" s="1"/>
  <c r="BS56" i="6"/>
  <c r="BK618" i="18" s="1"/>
  <c r="BS32" i="6"/>
  <c r="BK587" i="18" s="1"/>
  <c r="BS25" i="6"/>
  <c r="BK579" i="18" s="1"/>
  <c r="CQ72" i="6"/>
  <c r="CI633" i="18" s="1"/>
  <c r="CQ71" i="6"/>
  <c r="CI632" i="18" s="1"/>
  <c r="CT230" i="6"/>
  <c r="BF160" i="6"/>
  <c r="AX712" i="18" s="1"/>
  <c r="AZ199" i="5"/>
  <c r="AZ291" i="5"/>
  <c r="BJ365" i="6"/>
  <c r="BB604" i="18" s="1"/>
  <c r="BJ370" i="6"/>
  <c r="BB609" i="18" s="1"/>
  <c r="CS367" i="6"/>
  <c r="CK606" i="18" s="1"/>
  <c r="BQ335" i="6"/>
  <c r="BI869" i="18" s="1"/>
  <c r="BU330" i="6"/>
  <c r="BE180" i="5"/>
  <c r="AW146" i="18" s="1"/>
  <c r="CS203" i="5"/>
  <c r="CK170" i="18" s="1"/>
  <c r="BE205" i="5"/>
  <c r="CU31" i="6"/>
  <c r="CU30" i="6"/>
  <c r="CU32" i="6"/>
  <c r="CM587" i="18" s="1"/>
  <c r="BN33" i="6"/>
  <c r="BM33" i="6"/>
  <c r="CF109" i="6"/>
  <c r="BX662" i="18" s="1"/>
  <c r="CF115" i="6"/>
  <c r="CF414" i="5"/>
  <c r="BX307" i="18" s="1"/>
  <c r="CF259" i="5"/>
  <c r="CF124" i="6"/>
  <c r="BX693" i="18" s="1"/>
  <c r="CS331" i="6"/>
  <c r="CK865" i="18" s="1"/>
  <c r="BZ31" i="6"/>
  <c r="BZ30" i="6"/>
  <c r="BZ267" i="5"/>
  <c r="CW261" i="6"/>
  <c r="CW267" i="6"/>
  <c r="BH68" i="6"/>
  <c r="BG65" i="6"/>
  <c r="BI365" i="6"/>
  <c r="BA604" i="18" s="1"/>
  <c r="BI370" i="6"/>
  <c r="BA609" i="18" s="1"/>
  <c r="BF371" i="6"/>
  <c r="AX610" i="18" s="1"/>
  <c r="CT140" i="6"/>
  <c r="CL700" i="18" s="1"/>
  <c r="BQ60" i="6"/>
  <c r="BI621" i="18" s="1"/>
  <c r="BQ59" i="6"/>
  <c r="BQ57" i="6"/>
  <c r="BI619" i="18" s="1"/>
  <c r="BU56" i="6"/>
  <c r="BM618" i="18" s="1"/>
  <c r="CV56" i="6"/>
  <c r="CN618" i="18" s="1"/>
  <c r="BI72" i="6"/>
  <c r="BA633" i="18" s="1"/>
  <c r="BI71" i="6"/>
  <c r="BA632" i="18" s="1"/>
  <c r="BK67" i="6"/>
  <c r="BC629" i="18" s="1"/>
  <c r="BK66" i="6"/>
  <c r="BC627" i="18" s="1"/>
  <c r="BK70" i="6"/>
  <c r="BC631" i="18" s="1"/>
  <c r="BK64" i="6"/>
  <c r="BC626" i="18" s="1"/>
  <c r="CU298" i="6"/>
  <c r="CM819" i="18" s="1"/>
  <c r="CU309" i="6"/>
  <c r="CM842" i="18" s="1"/>
  <c r="BF149" i="6"/>
  <c r="AX1249" i="18" s="1"/>
  <c r="BF161" i="6"/>
  <c r="BF156" i="6"/>
  <c r="AX673" i="18" s="1"/>
  <c r="CR72" i="6"/>
  <c r="CJ633" i="18" s="1"/>
  <c r="CR71" i="6"/>
  <c r="CJ632" i="18" s="1"/>
  <c r="BW221" i="6"/>
  <c r="BW226" i="6"/>
  <c r="BM156" i="6"/>
  <c r="BE673" i="18" s="1"/>
  <c r="BM149" i="6"/>
  <c r="BE1249" i="18" s="1"/>
  <c r="BM161" i="6"/>
  <c r="BE161" i="6"/>
  <c r="BE156" i="6"/>
  <c r="AW673" i="18" s="1"/>
  <c r="BE149" i="6"/>
  <c r="AW1249" i="18" s="1"/>
  <c r="BQ161" i="6"/>
  <c r="BQ149" i="6"/>
  <c r="BI1249" i="18" s="1"/>
  <c r="BQ156" i="6"/>
  <c r="BI673" i="18" s="1"/>
  <c r="BP156" i="6"/>
  <c r="BH673" i="18" s="1"/>
  <c r="BP161" i="6"/>
  <c r="BP149" i="6"/>
  <c r="BH1249" i="18" s="1"/>
  <c r="BK58" i="6"/>
  <c r="CU229" i="6"/>
  <c r="BN65" i="6"/>
  <c r="BW179" i="6"/>
  <c r="BW177" i="6"/>
  <c r="BX179" i="6"/>
  <c r="BY221" i="6"/>
  <c r="BY226" i="6"/>
  <c r="BN364" i="6"/>
  <c r="BF603" i="18" s="1"/>
  <c r="BN167" i="6"/>
  <c r="BF717" i="18" s="1"/>
  <c r="CA214" i="6"/>
  <c r="BW219" i="6"/>
  <c r="BW29" i="6"/>
  <c r="CT226" i="6"/>
  <c r="CT221" i="6"/>
  <c r="CR250" i="5"/>
  <c r="CJ215" i="18" s="1"/>
  <c r="CR242" i="5"/>
  <c r="CR283" i="5"/>
  <c r="CR289" i="5"/>
  <c r="CJ246" i="18" s="1"/>
  <c r="BY139" i="6"/>
  <c r="BU143" i="6"/>
  <c r="BM703" i="18" s="1"/>
  <c r="CU335" i="6"/>
  <c r="CM869" i="18" s="1"/>
  <c r="BM366" i="6"/>
  <c r="BE605" i="18" s="1"/>
  <c r="BM337" i="6"/>
  <c r="BE871" i="18" s="1"/>
  <c r="BM336" i="6"/>
  <c r="BE870" i="18" s="1"/>
  <c r="CQ259" i="6"/>
  <c r="CI782" i="18" s="1"/>
  <c r="CQ206" i="5"/>
  <c r="CQ283" i="5" s="1"/>
  <c r="BP239" i="5"/>
  <c r="BH65" i="6"/>
  <c r="CW119" i="6"/>
  <c r="CO683" i="18" s="1"/>
  <c r="BL61" i="6"/>
  <c r="BD622" i="18" s="1"/>
  <c r="BQ26" i="6"/>
  <c r="BI580" i="18" s="1"/>
  <c r="BQ63" i="6"/>
  <c r="BI625" i="18" s="1"/>
  <c r="BQ277" i="5"/>
  <c r="BI233" i="18" s="1"/>
  <c r="CR65" i="6"/>
  <c r="BU226" i="6"/>
  <c r="BU221" i="6"/>
  <c r="BP367" i="6"/>
  <c r="BH606" i="18" s="1"/>
  <c r="BR430" i="5"/>
  <c r="BR431" i="5" s="1"/>
  <c r="BR432" i="5" s="1"/>
  <c r="BR433" i="5" s="1"/>
  <c r="BJ1037" i="18" s="1"/>
  <c r="BR340" i="5"/>
  <c r="BR342" i="5" s="1"/>
  <c r="BR439" i="5"/>
  <c r="BJ1043" i="18" s="1"/>
  <c r="BR356" i="5"/>
  <c r="BR358" i="5" s="1"/>
  <c r="BR421" i="5"/>
  <c r="BJ313" i="18" s="1"/>
  <c r="CV369" i="6"/>
  <c r="CN608" i="18" s="1"/>
  <c r="CT204" i="5"/>
  <c r="BV177" i="6"/>
  <c r="BV179" i="6"/>
  <c r="BL278" i="5"/>
  <c r="BL203" i="5"/>
  <c r="BD170" i="18" s="1"/>
  <c r="BY360" i="6"/>
  <c r="BQ893" i="18" s="1"/>
  <c r="BY368" i="6"/>
  <c r="BQ607" i="18" s="1"/>
  <c r="BL27" i="6"/>
  <c r="BD581" i="18" s="1"/>
  <c r="BV58" i="6"/>
  <c r="BR58" i="6"/>
  <c r="BN156" i="6"/>
  <c r="BF673" i="18" s="1"/>
  <c r="BN161" i="6"/>
  <c r="BN149" i="6"/>
  <c r="BF1249" i="18" s="1"/>
  <c r="BA439" i="5"/>
  <c r="BA421" i="5"/>
  <c r="AS313" i="18" s="1"/>
  <c r="BA356" i="5"/>
  <c r="BA358" i="5" s="1"/>
  <c r="BA340" i="5"/>
  <c r="BA342" i="5" s="1"/>
  <c r="BA430" i="5"/>
  <c r="BA431" i="5" s="1"/>
  <c r="BA432" i="5" s="1"/>
  <c r="BA433" i="5" s="1"/>
  <c r="CT266" i="6"/>
  <c r="CT260" i="6"/>
  <c r="BE371" i="6"/>
  <c r="AW610" i="18" s="1"/>
  <c r="DA172" i="6"/>
  <c r="DB170" i="6"/>
  <c r="BC214" i="5"/>
  <c r="AU181" i="18" s="1"/>
  <c r="BC179" i="5"/>
  <c r="AU145" i="18" s="1"/>
  <c r="BC196" i="5"/>
  <c r="BI159" i="6"/>
  <c r="BA711" i="18" s="1"/>
  <c r="BI168" i="6"/>
  <c r="BA718" i="18" s="1"/>
  <c r="CV31" i="6"/>
  <c r="CV30" i="6"/>
  <c r="CV32" i="6"/>
  <c r="CN587" i="18" s="1"/>
  <c r="BR33" i="6"/>
  <c r="BM364" i="6"/>
  <c r="BE603" i="18" s="1"/>
  <c r="BM167" i="6"/>
  <c r="BE717" i="18" s="1"/>
  <c r="BB161" i="6"/>
  <c r="BB156" i="6"/>
  <c r="AT673" i="18" s="1"/>
  <c r="BB149" i="6"/>
  <c r="AT1249" i="18" s="1"/>
  <c r="CU307" i="6"/>
  <c r="CM840" i="18" s="1"/>
  <c r="CU296" i="6"/>
  <c r="CM817" i="18" s="1"/>
  <c r="BS335" i="6"/>
  <c r="BK869" i="18" s="1"/>
  <c r="BW330" i="6"/>
  <c r="BS178" i="6"/>
  <c r="CW291" i="6"/>
  <c r="CW176" i="6"/>
  <c r="CW125" i="6"/>
  <c r="CO694" i="18" s="1"/>
  <c r="CW114" i="6"/>
  <c r="CO667" i="18" s="1"/>
  <c r="CW108" i="6"/>
  <c r="CO661" i="18" s="1"/>
  <c r="BQ165" i="6"/>
  <c r="BI715" i="18" s="1"/>
  <c r="BQ144" i="6"/>
  <c r="BI704" i="18" s="1"/>
  <c r="BQ145" i="6"/>
  <c r="BI705" i="18" s="1"/>
  <c r="CR256" i="6"/>
  <c r="CJ779" i="18" s="1"/>
  <c r="CR273" i="6"/>
  <c r="CJ795" i="18" s="1"/>
  <c r="CR245" i="6"/>
  <c r="CJ769" i="18" s="1"/>
  <c r="CR275" i="6"/>
  <c r="CJ797" i="18" s="1"/>
  <c r="BP63" i="6"/>
  <c r="BH625" i="18" s="1"/>
  <c r="BP26" i="6"/>
  <c r="BH580" i="18" s="1"/>
  <c r="BP277" i="5"/>
  <c r="BH233" i="18" s="1"/>
  <c r="CD219" i="6"/>
  <c r="CD29" i="6"/>
  <c r="BG71" i="6"/>
  <c r="AY632" i="18" s="1"/>
  <c r="BG72" i="6"/>
  <c r="AY633" i="18" s="1"/>
  <c r="BG157" i="6"/>
  <c r="AY674" i="18" s="1"/>
  <c r="BS149" i="6"/>
  <c r="BK1249" i="18" s="1"/>
  <c r="BS161" i="6"/>
  <c r="BS156" i="6"/>
  <c r="BK673" i="18" s="1"/>
  <c r="BO157" i="6"/>
  <c r="BG674" i="18" s="1"/>
  <c r="BK161" i="6"/>
  <c r="BK156" i="6"/>
  <c r="BC673" i="18" s="1"/>
  <c r="BK149" i="6"/>
  <c r="BC1249" i="18" s="1"/>
  <c r="BM439" i="5"/>
  <c r="BE1043" i="18" s="1"/>
  <c r="BM421" i="5"/>
  <c r="BE313" i="18" s="1"/>
  <c r="BM356" i="5"/>
  <c r="BM358" i="5" s="1"/>
  <c r="BM340" i="5"/>
  <c r="BM342" i="5" s="1"/>
  <c r="BM430" i="5"/>
  <c r="BM431" i="5" s="1"/>
  <c r="BM432" i="5" s="1"/>
  <c r="BM433" i="5" s="1"/>
  <c r="BE1037" i="18" s="1"/>
  <c r="BS440" i="5"/>
  <c r="BH365" i="6"/>
  <c r="AZ604" i="18" s="1"/>
  <c r="BH370" i="6"/>
  <c r="AZ609" i="18" s="1"/>
  <c r="BN68" i="6"/>
  <c r="BS231" i="6"/>
  <c r="BO366" i="6"/>
  <c r="BG605" i="18" s="1"/>
  <c r="BO336" i="6"/>
  <c r="BG870" i="18" s="1"/>
  <c r="CX316" i="6"/>
  <c r="CP849" i="18" s="1"/>
  <c r="CX124" i="6"/>
  <c r="CP693" i="18" s="1"/>
  <c r="CX107" i="6"/>
  <c r="CP660" i="18" s="1"/>
  <c r="CX113" i="6"/>
  <c r="CP666" i="18" s="1"/>
  <c r="BO60" i="6"/>
  <c r="BG621" i="18" s="1"/>
  <c r="BO57" i="6"/>
  <c r="BG619" i="18" s="1"/>
  <c r="BO59" i="6"/>
  <c r="BV239" i="5"/>
  <c r="BR27" i="6"/>
  <c r="BJ581" i="18" s="1"/>
  <c r="CC177" i="6"/>
  <c r="CC179" i="6"/>
  <c r="CY182" i="6"/>
  <c r="CQ1307" i="18" s="1"/>
  <c r="CY183" i="6"/>
  <c r="CQ1308" i="18" s="1"/>
  <c r="BH295" i="5"/>
  <c r="AZ253" i="18" s="1"/>
  <c r="BH180" i="5"/>
  <c r="AZ146" i="18" s="1"/>
  <c r="BP144" i="6"/>
  <c r="BH704" i="18" s="1"/>
  <c r="BP145" i="6"/>
  <c r="BH705" i="18" s="1"/>
  <c r="BP165" i="6"/>
  <c r="BH715" i="18" s="1"/>
  <c r="BO165" i="6"/>
  <c r="BG715" i="18" s="1"/>
  <c r="BO144" i="6"/>
  <c r="BG704" i="18" s="1"/>
  <c r="BO145" i="6"/>
  <c r="BG705" i="18" s="1"/>
  <c r="CA176" i="6"/>
  <c r="CA108" i="6"/>
  <c r="BS661" i="18" s="1"/>
  <c r="CA125" i="6"/>
  <c r="BS694" i="18" s="1"/>
  <c r="CA114" i="6"/>
  <c r="BS667" i="18" s="1"/>
  <c r="CE101" i="6"/>
  <c r="BW654" i="18" s="1"/>
  <c r="CQ249" i="6"/>
  <c r="CQ265" i="6"/>
  <c r="CI788" i="18" s="1"/>
  <c r="CV148" i="6"/>
  <c r="CN1248" i="18" s="1"/>
  <c r="CW150" i="6"/>
  <c r="CO1250" i="18" s="1"/>
  <c r="CV287" i="6"/>
  <c r="CN809" i="18" s="1"/>
  <c r="AY196" i="5"/>
  <c r="AY197" i="5" s="1"/>
  <c r="CQ180" i="5"/>
  <c r="CQ196" i="5" s="1"/>
  <c r="AY179" i="5"/>
  <c r="AY214" i="5"/>
  <c r="BP33" i="6"/>
  <c r="CF125" i="6"/>
  <c r="BX694" i="18" s="1"/>
  <c r="CR205" i="5"/>
  <c r="BE160" i="6"/>
  <c r="AW712" i="18" s="1"/>
  <c r="CY234" i="6"/>
  <c r="CX235" i="6"/>
  <c r="CX247" i="6"/>
  <c r="BG68" i="6"/>
  <c r="BK337" i="6"/>
  <c r="BC871" i="18" s="1"/>
  <c r="BM204" i="5"/>
  <c r="CU239" i="5"/>
  <c r="CU268" i="5" s="1"/>
  <c r="BM238" i="5"/>
  <c r="BE205" i="18" s="1"/>
  <c r="BC161" i="6"/>
  <c r="BC149" i="6"/>
  <c r="AU1249" i="18" s="1"/>
  <c r="BC156" i="6"/>
  <c r="AU673" i="18" s="1"/>
  <c r="CV302" i="6"/>
  <c r="CN821" i="18" s="1"/>
  <c r="CV313" i="6"/>
  <c r="CN844" i="18" s="1"/>
  <c r="CS167" i="6"/>
  <c r="CK717" i="18" s="1"/>
  <c r="BU463" i="5"/>
  <c r="BU464" i="5" s="1"/>
  <c r="BU420" i="5"/>
  <c r="BU423" i="5" s="1"/>
  <c r="BM316" i="18" s="1"/>
  <c r="BG365" i="6"/>
  <c r="AY604" i="18" s="1"/>
  <c r="BG370" i="6"/>
  <c r="AY609" i="18" s="1"/>
  <c r="BL439" i="5"/>
  <c r="BD1043" i="18" s="1"/>
  <c r="BL340" i="5"/>
  <c r="BL342" i="5" s="1"/>
  <c r="BL430" i="5"/>
  <c r="BL431" i="5" s="1"/>
  <c r="BL432" i="5" s="1"/>
  <c r="BL433" i="5" s="1"/>
  <c r="BL421" i="5"/>
  <c r="BD313" i="18" s="1"/>
  <c r="BL356" i="5"/>
  <c r="BL358" i="5" s="1"/>
  <c r="BM58" i="6"/>
  <c r="BT220" i="6"/>
  <c r="BX215" i="6"/>
  <c r="BT216" i="6"/>
  <c r="CV215" i="6"/>
  <c r="CQ331" i="6"/>
  <c r="CI865" i="18" s="1"/>
  <c r="BA161" i="6"/>
  <c r="BA156" i="6"/>
  <c r="AS673" i="18" s="1"/>
  <c r="BA149" i="6"/>
  <c r="AS1249" i="18" s="1"/>
  <c r="BH71" i="6"/>
  <c r="AZ632" i="18" s="1"/>
  <c r="BH72" i="6"/>
  <c r="AZ633" i="18" s="1"/>
  <c r="BD149" i="6"/>
  <c r="AV1249" i="18" s="1"/>
  <c r="BD156" i="6"/>
  <c r="AV673" i="18" s="1"/>
  <c r="BD161" i="6"/>
  <c r="AZ156" i="6"/>
  <c r="AR673" i="18" s="1"/>
  <c r="AZ149" i="6"/>
  <c r="AR1249" i="18" s="1"/>
  <c r="AZ161" i="6"/>
  <c r="CP230" i="5"/>
  <c r="CY272" i="5"/>
  <c r="BJ298" i="6"/>
  <c r="BB819" i="18" s="1"/>
  <c r="BL298" i="6"/>
  <c r="BD819" i="18" s="1"/>
  <c r="BK298" i="6"/>
  <c r="BC819" i="18" s="1"/>
  <c r="CV120" i="6"/>
  <c r="CN684" i="18" s="1"/>
  <c r="BH159" i="6"/>
  <c r="AZ711" i="18" s="1"/>
  <c r="BH168" i="6"/>
  <c r="AZ718" i="18" s="1"/>
  <c r="BW369" i="6"/>
  <c r="BO608" i="18" s="1"/>
  <c r="CT297" i="6"/>
  <c r="CL818" i="18" s="1"/>
  <c r="CT308" i="6"/>
  <c r="CL841" i="18" s="1"/>
  <c r="BM286" i="6"/>
  <c r="BE808" i="18" s="1"/>
  <c r="CW360" i="6"/>
  <c r="CO893" i="18" s="1"/>
  <c r="CW368" i="6"/>
  <c r="CO607" i="18" s="1"/>
  <c r="BI367" i="6"/>
  <c r="BA606" i="18" s="1"/>
  <c r="CT366" i="6"/>
  <c r="CL605" i="18" s="1"/>
  <c r="AZ296" i="5"/>
  <c r="AZ297" i="5" s="1"/>
  <c r="AZ213" i="5"/>
  <c r="BW139" i="6"/>
  <c r="BS143" i="6"/>
  <c r="BK703" i="18" s="1"/>
  <c r="BN180" i="5"/>
  <c r="BF146" i="18" s="1"/>
  <c r="BN295" i="5"/>
  <c r="BF253" i="18" s="1"/>
  <c r="CF177" i="6"/>
  <c r="CQ242" i="5"/>
  <c r="CQ243" i="5" s="1"/>
  <c r="CQ250" i="5"/>
  <c r="CI215" i="18" s="1"/>
  <c r="CQ289" i="5"/>
  <c r="CV229" i="6"/>
  <c r="CT167" i="6"/>
  <c r="CL717" i="18" s="1"/>
  <c r="BQ33" i="6"/>
  <c r="BU267" i="5"/>
  <c r="BU30" i="6"/>
  <c r="BU31" i="6"/>
  <c r="BO439" i="5"/>
  <c r="BG1043" i="18" s="1"/>
  <c r="BO421" i="5"/>
  <c r="BG313" i="18" s="1"/>
  <c r="BO356" i="5"/>
  <c r="BO358" i="5" s="1"/>
  <c r="BO340" i="5"/>
  <c r="BO342" i="5" s="1"/>
  <c r="BO430" i="5"/>
  <c r="BO431" i="5" s="1"/>
  <c r="BO432" i="5" s="1"/>
  <c r="BO433" i="5" s="1"/>
  <c r="BG1037" i="18" s="1"/>
  <c r="BI149" i="6"/>
  <c r="BA1249" i="18" s="1"/>
  <c r="BI156" i="6"/>
  <c r="BA673" i="18" s="1"/>
  <c r="BI161" i="6"/>
  <c r="BH439" i="5"/>
  <c r="BH421" i="5"/>
  <c r="AZ313" i="18" s="1"/>
  <c r="BH356" i="5"/>
  <c r="BH358" i="5" s="1"/>
  <c r="BH340" i="5"/>
  <c r="BH342" i="5" s="1"/>
  <c r="BH430" i="5"/>
  <c r="BH431" i="5" s="1"/>
  <c r="BH432" i="5" s="1"/>
  <c r="BH433" i="5" s="1"/>
  <c r="AZ1037" i="18" s="1"/>
  <c r="BU440" i="5"/>
  <c r="CC357" i="6"/>
  <c r="CC359" i="6"/>
  <c r="BU892" i="18" s="1"/>
  <c r="DA354" i="6"/>
  <c r="CS888" i="18" s="1"/>
  <c r="CU246" i="6"/>
  <c r="CU286" i="6"/>
  <c r="CM808" i="18" s="1"/>
  <c r="CU225" i="6"/>
  <c r="CU220" i="6"/>
  <c r="CU216" i="6"/>
  <c r="DC347" i="6"/>
  <c r="CU881" i="18" s="1"/>
  <c r="DD346" i="6"/>
  <c r="CV880" i="18" s="1"/>
  <c r="BM27" i="6"/>
  <c r="BE581" i="18" s="1"/>
  <c r="BZ176" i="6"/>
  <c r="BZ114" i="6"/>
  <c r="BR667" i="18" s="1"/>
  <c r="CD101" i="6"/>
  <c r="BV654" i="18" s="1"/>
  <c r="BZ108" i="6"/>
  <c r="BR661" i="18" s="1"/>
  <c r="BZ125" i="6"/>
  <c r="BR694" i="18" s="1"/>
  <c r="CX101" i="6"/>
  <c r="CP654" i="18" s="1"/>
  <c r="BI203" i="5"/>
  <c r="BA170" i="18" s="1"/>
  <c r="BI278" i="5"/>
  <c r="CT238" i="5"/>
  <c r="CL205" i="18" s="1"/>
  <c r="BO239" i="5"/>
  <c r="BV120" i="6"/>
  <c r="BN684" i="18" s="1"/>
  <c r="BV143" i="6"/>
  <c r="BN703" i="18" s="1"/>
  <c r="BZ139" i="6"/>
  <c r="BX139" i="6"/>
  <c r="BT143" i="6"/>
  <c r="BL703" i="18" s="1"/>
  <c r="CE113" i="6"/>
  <c r="BW666" i="18" s="1"/>
  <c r="BT33" i="6"/>
  <c r="BT32" i="6"/>
  <c r="BL587" i="18" s="1"/>
  <c r="BT30" i="6"/>
  <c r="BT56" i="6"/>
  <c r="BL618" i="18" s="1"/>
  <c r="BT25" i="6"/>
  <c r="BL579" i="18" s="1"/>
  <c r="BT267" i="5"/>
  <c r="BT31" i="6"/>
  <c r="BK278" i="5"/>
  <c r="BK203" i="5"/>
  <c r="BU343" i="5"/>
  <c r="BU341" i="5"/>
  <c r="CX272" i="5"/>
  <c r="BK364" i="6"/>
  <c r="BC603" i="18" s="1"/>
  <c r="BK167" i="6"/>
  <c r="BC717" i="18" s="1"/>
  <c r="BZ231" i="6"/>
  <c r="CT277" i="5"/>
  <c r="CL233" i="18" s="1"/>
  <c r="CV285" i="6"/>
  <c r="CN807" i="18" s="1"/>
  <c r="BR61" i="6"/>
  <c r="BJ622" i="18" s="1"/>
  <c r="BR67" i="6"/>
  <c r="BJ629" i="18" s="1"/>
  <c r="BQ239" i="5"/>
  <c r="CT63" i="6"/>
  <c r="CL625" i="18" s="1"/>
  <c r="BR367" i="6"/>
  <c r="BJ606" i="18" s="1"/>
  <c r="BY219" i="6"/>
  <c r="CC214" i="6"/>
  <c r="BY29" i="6"/>
  <c r="BJ157" i="6"/>
  <c r="BB674" i="18" s="1"/>
  <c r="BT366" i="6"/>
  <c r="BL605" i="18" s="1"/>
  <c r="BT336" i="6"/>
  <c r="BL870" i="18" s="1"/>
  <c r="CU60" i="6"/>
  <c r="CM621" i="18" s="1"/>
  <c r="CU59" i="6"/>
  <c r="CU57" i="6"/>
  <c r="CM619" i="18" s="1"/>
  <c r="BO26" i="6"/>
  <c r="BG580" i="18" s="1"/>
  <c r="BO63" i="6"/>
  <c r="BO277" i="5"/>
  <c r="BG233" i="18" s="1"/>
  <c r="BZ335" i="6"/>
  <c r="BR869" i="18" s="1"/>
  <c r="CD330" i="6"/>
  <c r="BA179" i="5"/>
  <c r="AS145" i="18" s="1"/>
  <c r="CR180" i="5"/>
  <c r="BA196" i="5"/>
  <c r="BA214" i="5"/>
  <c r="AS181" i="18" s="1"/>
  <c r="BK27" i="6"/>
  <c r="BC581" i="18" s="1"/>
  <c r="BX335" i="6"/>
  <c r="BP869" i="18" s="1"/>
  <c r="CB330" i="6"/>
  <c r="CT330" i="6"/>
  <c r="CL864" i="18" s="1"/>
  <c r="CT336" i="6"/>
  <c r="CL870" i="18" s="1"/>
  <c r="BJ159" i="6"/>
  <c r="BB711" i="18" s="1"/>
  <c r="BJ168" i="6"/>
  <c r="BB718" i="18" s="1"/>
  <c r="CE357" i="6"/>
  <c r="CE359" i="6"/>
  <c r="BW892" i="18" s="1"/>
  <c r="BL205" i="5"/>
  <c r="BD172" i="18" s="1"/>
  <c r="CS140" i="6"/>
  <c r="CK700" i="18" s="1"/>
  <c r="CR68" i="6"/>
  <c r="BR204" i="5"/>
  <c r="BR238" i="5"/>
  <c r="BJ205" i="18" s="1"/>
  <c r="DB327" i="6"/>
  <c r="CT861" i="18" s="1"/>
  <c r="DC324" i="6"/>
  <c r="CU858" i="18" s="1"/>
  <c r="CS241" i="5"/>
  <c r="CK208" i="18" s="1"/>
  <c r="CS278" i="5"/>
  <c r="CD368" i="6"/>
  <c r="BV607" i="18" s="1"/>
  <c r="CD360" i="6"/>
  <c r="BV893" i="18" s="1"/>
  <c r="CW126" i="6"/>
  <c r="CO695" i="18" s="1"/>
  <c r="BL58" i="6"/>
  <c r="CU151" i="6"/>
  <c r="CM708" i="18" s="1"/>
  <c r="CA216" i="6"/>
  <c r="CE215" i="6"/>
  <c r="CA220" i="6"/>
  <c r="BT149" i="6"/>
  <c r="BL1249" i="18" s="1"/>
  <c r="BT161" i="6"/>
  <c r="BT156" i="6"/>
  <c r="BL673" i="18" s="1"/>
  <c r="BH161" i="6"/>
  <c r="BH149" i="6"/>
  <c r="AZ1249" i="18" s="1"/>
  <c r="BH156" i="6"/>
  <c r="AZ673" i="18" s="1"/>
  <c r="CR255" i="6"/>
  <c r="CJ778" i="18" s="1"/>
  <c r="CT60" i="6"/>
  <c r="CL621" i="18" s="1"/>
  <c r="CT59" i="6"/>
  <c r="CT57" i="6"/>
  <c r="CL619" i="18" s="1"/>
  <c r="BL231" i="6"/>
  <c r="DC344" i="6"/>
  <c r="CU878" i="18" s="1"/>
  <c r="DB345" i="6"/>
  <c r="CT879" i="18" s="1"/>
  <c r="DB353" i="6"/>
  <c r="CT887" i="18" s="1"/>
  <c r="CQ367" i="6"/>
  <c r="CI606" i="18" s="1"/>
  <c r="BM61" i="6"/>
  <c r="BE622" i="18" s="1"/>
  <c r="CF356" i="6"/>
  <c r="CY356" i="6" s="1"/>
  <c r="CF272" i="5"/>
  <c r="CF37" i="6"/>
  <c r="CV177" i="6"/>
  <c r="BP226" i="6"/>
  <c r="BP221" i="6"/>
  <c r="CB178" i="6"/>
  <c r="BY178" i="6"/>
  <c r="CC135" i="6"/>
  <c r="CC136" i="6" s="1"/>
  <c r="CC121" i="6"/>
  <c r="BU685" i="18" s="1"/>
  <c r="CC110" i="6"/>
  <c r="BU663" i="18" s="1"/>
  <c r="BM64" i="6"/>
  <c r="BE626" i="18" s="1"/>
  <c r="BM67" i="6"/>
  <c r="BE629" i="18" s="1"/>
  <c r="BM66" i="6"/>
  <c r="BE627" i="18" s="1"/>
  <c r="BM70" i="6"/>
  <c r="BE631" i="18" s="1"/>
  <c r="BL364" i="6"/>
  <c r="BD603" i="18" s="1"/>
  <c r="BL167" i="6"/>
  <c r="BD717" i="18" s="1"/>
  <c r="CD113" i="6"/>
  <c r="BV666" i="18" s="1"/>
  <c r="CD102" i="6"/>
  <c r="BV655" i="18" s="1"/>
  <c r="CY100" i="6"/>
  <c r="CQ653" i="18" s="1"/>
  <c r="CU269" i="5"/>
  <c r="CT269" i="5"/>
  <c r="BG180" i="5"/>
  <c r="AY146" i="18" s="1"/>
  <c r="BV366" i="6"/>
  <c r="BN605" i="18" s="1"/>
  <c r="BV336" i="6"/>
  <c r="BN870" i="18" s="1"/>
  <c r="BR66" i="6"/>
  <c r="BJ627" i="18" s="1"/>
  <c r="BR70" i="6"/>
  <c r="BJ631" i="18" s="1"/>
  <c r="BV63" i="6"/>
  <c r="BR64" i="6"/>
  <c r="BJ626" i="18" s="1"/>
  <c r="DD325" i="6"/>
  <c r="CV859" i="18" s="1"/>
  <c r="DC328" i="6"/>
  <c r="CU862" i="18" s="1"/>
  <c r="DC326" i="6"/>
  <c r="CU860" i="18" s="1"/>
  <c r="BU369" i="6"/>
  <c r="BM608" i="18" s="1"/>
  <c r="BR145" i="6"/>
  <c r="BJ705" i="18" s="1"/>
  <c r="BR144" i="6"/>
  <c r="BJ704" i="18" s="1"/>
  <c r="BR165" i="6"/>
  <c r="BJ715" i="18" s="1"/>
  <c r="BR178" i="6"/>
  <c r="CB214" i="6"/>
  <c r="BX219" i="6"/>
  <c r="BX29" i="6"/>
  <c r="CQ274" i="6"/>
  <c r="CI796" i="18" s="1"/>
  <c r="BK205" i="5"/>
  <c r="BC172" i="18" s="1"/>
  <c r="U5" i="6"/>
  <c r="V6" i="6"/>
  <c r="BZ369" i="6"/>
  <c r="BR608" i="18" s="1"/>
  <c r="BU357" i="5"/>
  <c r="BU359" i="5"/>
  <c r="BJ214" i="5"/>
  <c r="BB181" i="18" s="1"/>
  <c r="BJ196" i="5"/>
  <c r="BJ179" i="5"/>
  <c r="BB145" i="18" s="1"/>
  <c r="BL64" i="6"/>
  <c r="BD626" i="18" s="1"/>
  <c r="BL70" i="6"/>
  <c r="BD631" i="18" s="1"/>
  <c r="BL67" i="6"/>
  <c r="BD629" i="18" s="1"/>
  <c r="BL66" i="6"/>
  <c r="BD627" i="18" s="1"/>
  <c r="BL337" i="6"/>
  <c r="BD871" i="18" s="1"/>
  <c r="BF296" i="5"/>
  <c r="BF213" i="5"/>
  <c r="AX180" i="18" s="1"/>
  <c r="CS70" i="6"/>
  <c r="CK631" i="18" s="1"/>
  <c r="CS67" i="6"/>
  <c r="CK629" i="18" s="1"/>
  <c r="CS64" i="6"/>
  <c r="CK626" i="18" s="1"/>
  <c r="CS66" i="6"/>
  <c r="CK627" i="18" s="1"/>
  <c r="BG168" i="6"/>
  <c r="AY718" i="18" s="1"/>
  <c r="BG159" i="6"/>
  <c r="AY711" i="18" s="1"/>
  <c r="BK367" i="6"/>
  <c r="BC606" i="18" s="1"/>
  <c r="BZ56" i="6"/>
  <c r="BR618" i="18" s="1"/>
  <c r="BV59" i="6"/>
  <c r="BI68" i="6"/>
  <c r="CT251" i="6"/>
  <c r="CL773" i="18" s="1"/>
  <c r="CT26" i="6"/>
  <c r="CL580" i="18" s="1"/>
  <c r="CT51" i="6"/>
  <c r="CL597" i="18" s="1"/>
  <c r="CW214" i="6"/>
  <c r="CU143" i="6"/>
  <c r="CM703" i="18" s="1"/>
  <c r="CX437" i="5"/>
  <c r="CP1041" i="18" s="1"/>
  <c r="BU299" i="5"/>
  <c r="BM257" i="18" s="1"/>
  <c r="BU215" i="5"/>
  <c r="BM182" i="18" s="1"/>
  <c r="CF306" i="5"/>
  <c r="BX264" i="18" s="1"/>
  <c r="CF36" i="5"/>
  <c r="BX28" i="18" s="1"/>
  <c r="DD592" i="5"/>
  <c r="BQ300" i="5"/>
  <c r="BV447" i="5"/>
  <c r="BV448" i="5" s="1"/>
  <c r="BV438" i="5"/>
  <c r="BN1042" i="18" s="1"/>
  <c r="BN224" i="5"/>
  <c r="BN226" i="5"/>
  <c r="BF193" i="18" s="1"/>
  <c r="CU217" i="5"/>
  <c r="CM184" i="18" s="1"/>
  <c r="CU223" i="5"/>
  <c r="CU287" i="5"/>
  <c r="CB157" i="5"/>
  <c r="BT129" i="18" s="1"/>
  <c r="CB162" i="5"/>
  <c r="CB163" i="5"/>
  <c r="BU288" i="5"/>
  <c r="BM245" i="18" s="1"/>
  <c r="BU234" i="5"/>
  <c r="BM201" i="18" s="1"/>
  <c r="BU217" i="5"/>
  <c r="BU244" i="5"/>
  <c r="BU245" i="5" s="1"/>
  <c r="BR299" i="5"/>
  <c r="BJ257" i="18" s="1"/>
  <c r="BR215" i="5"/>
  <c r="BR288" i="5"/>
  <c r="BJ245" i="18" s="1"/>
  <c r="BR234" i="5"/>
  <c r="BJ201" i="18" s="1"/>
  <c r="BR217" i="5"/>
  <c r="BR223" i="5"/>
  <c r="BJ190" i="18" s="1"/>
  <c r="BR244" i="5"/>
  <c r="BR245" i="5" s="1"/>
  <c r="DC336" i="5"/>
  <c r="CU292" i="18" s="1"/>
  <c r="DD335" i="5"/>
  <c r="CV291" i="18" s="1"/>
  <c r="DC61" i="5"/>
  <c r="CU49" i="18" s="1"/>
  <c r="BV31" i="5"/>
  <c r="BN23" i="18" s="1"/>
  <c r="BV216" i="5"/>
  <c r="BN183" i="18" s="1"/>
  <c r="BS234" i="5"/>
  <c r="BK201" i="18" s="1"/>
  <c r="BS288" i="5"/>
  <c r="BK245" i="18" s="1"/>
  <c r="BS223" i="5"/>
  <c r="BK190" i="18" s="1"/>
  <c r="BS217" i="5"/>
  <c r="BS244" i="5"/>
  <c r="BS245" i="5" s="1"/>
  <c r="BY309" i="5"/>
  <c r="BY307" i="5"/>
  <c r="BQ265" i="18" s="1"/>
  <c r="BY181" i="5"/>
  <c r="BQ147" i="18" s="1"/>
  <c r="CX240" i="5"/>
  <c r="CW307" i="5"/>
  <c r="CO265" i="18" s="1"/>
  <c r="CW309" i="5"/>
  <c r="DC478" i="5"/>
  <c r="DC14" i="16" s="1"/>
  <c r="CV1213" i="18" s="1"/>
  <c r="DB481" i="5"/>
  <c r="DB67" i="5"/>
  <c r="CV163" i="5"/>
  <c r="CV162" i="5"/>
  <c r="DA539" i="5"/>
  <c r="DH104" i="5"/>
  <c r="CS85" i="18" s="1"/>
  <c r="BR34" i="5"/>
  <c r="BJ26" i="18" s="1"/>
  <c r="BR32" i="5"/>
  <c r="BR518" i="5"/>
  <c r="BV309" i="5"/>
  <c r="BV307" i="5"/>
  <c r="BN265" i="18" s="1"/>
  <c r="BV181" i="5"/>
  <c r="BN147" i="18" s="1"/>
  <c r="DC614" i="5"/>
  <c r="CE205" i="5"/>
  <c r="DA538" i="5"/>
  <c r="DH67" i="5"/>
  <c r="CZ55" i="18" s="1"/>
  <c r="BY131" i="5"/>
  <c r="CX134" i="5"/>
  <c r="CP111" i="18" s="1"/>
  <c r="BY752" i="5"/>
  <c r="BY146" i="5"/>
  <c r="CV309" i="5"/>
  <c r="CV307" i="5"/>
  <c r="CN265" i="18" s="1"/>
  <c r="CV313" i="5"/>
  <c r="CN271" i="18" s="1"/>
  <c r="BY216" i="5"/>
  <c r="BQ183" i="18" s="1"/>
  <c r="BY31" i="5"/>
  <c r="BQ23" i="18" s="1"/>
  <c r="DD466" i="5"/>
  <c r="DC65" i="5"/>
  <c r="CU53" i="18" s="1"/>
  <c r="BS34" i="5"/>
  <c r="BK26" i="18" s="1"/>
  <c r="BS32" i="5"/>
  <c r="BS518" i="5"/>
  <c r="CW314" i="5"/>
  <c r="CW313" i="5"/>
  <c r="CO271" i="18" s="1"/>
  <c r="CW36" i="5"/>
  <c r="CW437" i="5"/>
  <c r="CO1041" i="18" s="1"/>
  <c r="DB663" i="5"/>
  <c r="DC611" i="5"/>
  <c r="DC114" i="5"/>
  <c r="DC113" i="5"/>
  <c r="DB104" i="5"/>
  <c r="DB539" i="5" s="1"/>
  <c r="DB115" i="5"/>
  <c r="CZ599" i="5"/>
  <c r="CC274" i="5"/>
  <c r="CC240" i="5"/>
  <c r="CJ216" i="5"/>
  <c r="CJ287" i="5" s="1"/>
  <c r="CK287" i="5"/>
  <c r="DG155" i="5"/>
  <c r="CR127" i="18" s="1"/>
  <c r="BO226" i="5"/>
  <c r="BG193" i="18" s="1"/>
  <c r="BO224" i="5"/>
  <c r="CV33" i="5"/>
  <c r="CN25" i="18" s="1"/>
  <c r="BZ131" i="5"/>
  <c r="BZ752" i="5"/>
  <c r="BZ146" i="5"/>
  <c r="BW447" i="5"/>
  <c r="BW448" i="5" s="1"/>
  <c r="BW438" i="5"/>
  <c r="BO1042" i="18" s="1"/>
  <c r="BX34" i="5"/>
  <c r="BP26" i="18" s="1"/>
  <c r="BX32" i="5"/>
  <c r="BX518" i="5"/>
  <c r="BQ226" i="5"/>
  <c r="BI193" i="18" s="1"/>
  <c r="BQ224" i="5"/>
  <c r="CA131" i="5"/>
  <c r="CA752" i="5"/>
  <c r="CA146" i="5"/>
  <c r="DD324" i="5"/>
  <c r="DD326" i="5" s="1"/>
  <c r="DE319" i="5"/>
  <c r="DD18" i="5"/>
  <c r="DD37" i="5"/>
  <c r="CF274" i="5"/>
  <c r="CF240" i="5"/>
  <c r="CA306" i="5"/>
  <c r="BS264" i="18" s="1"/>
  <c r="CE312" i="5"/>
  <c r="CA36" i="5"/>
  <c r="BS28" i="18" s="1"/>
  <c r="CA437" i="5"/>
  <c r="BS1041" i="18" s="1"/>
  <c r="BU34" i="5"/>
  <c r="BM26" i="18" s="1"/>
  <c r="BU32" i="5"/>
  <c r="BU518" i="5"/>
  <c r="CB307" i="5"/>
  <c r="BT265" i="18" s="1"/>
  <c r="CB309" i="5"/>
  <c r="CB181" i="5"/>
  <c r="BT147" i="18" s="1"/>
  <c r="BO300" i="5"/>
  <c r="CU215" i="5"/>
  <c r="CM182" i="18" s="1"/>
  <c r="CV448" i="5"/>
  <c r="DD108" i="5"/>
  <c r="DC103" i="5"/>
  <c r="CD312" i="5"/>
  <c r="BV270" i="18" s="1"/>
  <c r="BZ306" i="5"/>
  <c r="BR264" i="18" s="1"/>
  <c r="BZ36" i="5"/>
  <c r="BR28" i="18" s="1"/>
  <c r="BZ437" i="5"/>
  <c r="BR1041" i="18" s="1"/>
  <c r="CV216" i="5"/>
  <c r="CN183" i="18" s="1"/>
  <c r="CU97" i="5"/>
  <c r="CM1323" i="18" s="1"/>
  <c r="DE648" i="5"/>
  <c r="DF70" i="5"/>
  <c r="BX215" i="5"/>
  <c r="BX299" i="5"/>
  <c r="BP257" i="18" s="1"/>
  <c r="CB447" i="5"/>
  <c r="CB448" i="5" s="1"/>
  <c r="CB438" i="5"/>
  <c r="BT1042" i="18" s="1"/>
  <c r="DC624" i="5"/>
  <c r="BW216" i="5"/>
  <c r="BO183" i="18" s="1"/>
  <c r="BW31" i="5"/>
  <c r="BO23" i="18" s="1"/>
  <c r="BX234" i="5"/>
  <c r="BP201" i="18" s="1"/>
  <c r="BX217" i="5"/>
  <c r="BX288" i="5"/>
  <c r="BP245" i="18" s="1"/>
  <c r="BX244" i="5"/>
  <c r="BX245" i="5" s="1"/>
  <c r="BY447" i="5"/>
  <c r="BY448" i="5" s="1"/>
  <c r="BY438" i="5"/>
  <c r="BQ1042" i="18" s="1"/>
  <c r="CD205" i="5"/>
  <c r="CC306" i="5"/>
  <c r="BU264" i="18" s="1"/>
  <c r="CT595" i="5"/>
  <c r="CT515" i="5" s="1"/>
  <c r="CT516" i="5" s="1"/>
  <c r="CT517" i="5" s="1"/>
  <c r="BL596" i="5"/>
  <c r="CT596" i="5" s="1"/>
  <c r="BL515" i="5"/>
  <c r="BL516" i="5" s="1"/>
  <c r="BL517" i="5" s="1"/>
  <c r="BM595" i="5"/>
  <c r="DA121" i="5"/>
  <c r="DH106" i="5"/>
  <c r="CS87" i="18" s="1"/>
  <c r="CY170" i="5"/>
  <c r="CQ136" i="18" s="1"/>
  <c r="CF153" i="5"/>
  <c r="BB293" i="5"/>
  <c r="AT251" i="18" s="1"/>
  <c r="CV97" i="5"/>
  <c r="CN1323" i="18" s="1"/>
  <c r="CB205" i="5"/>
  <c r="BE6" i="5"/>
  <c r="BY139" i="5"/>
  <c r="BQ1335" i="18" s="1"/>
  <c r="CB216" i="5"/>
  <c r="BT183" i="18" s="1"/>
  <c r="CB31" i="5"/>
  <c r="BT23" i="18" s="1"/>
  <c r="CS97" i="5"/>
  <c r="CK1323" i="18" s="1"/>
  <c r="BS299" i="5"/>
  <c r="BK257" i="18" s="1"/>
  <c r="BS215" i="5"/>
  <c r="BW309" i="5"/>
  <c r="BW307" i="5"/>
  <c r="BO265" i="18" s="1"/>
  <c r="BW181" i="5"/>
  <c r="BO147" i="18" s="1"/>
  <c r="BT224" i="5"/>
  <c r="BT226" i="5"/>
  <c r="BL193" i="18" s="1"/>
  <c r="CA139" i="5"/>
  <c r="BS1335" i="18" s="1"/>
  <c r="BT225" i="5" l="1"/>
  <c r="BL192" i="18" s="1"/>
  <c r="BL191" i="18"/>
  <c r="BS300" i="5"/>
  <c r="BK182" i="18"/>
  <c r="BX218" i="5"/>
  <c r="BP185" i="18" s="1"/>
  <c r="BP184" i="18"/>
  <c r="BO301" i="5"/>
  <c r="BG259" i="18" s="1"/>
  <c r="BG258" i="18"/>
  <c r="DB538" i="5"/>
  <c r="CT55" i="18"/>
  <c r="BU218" i="5"/>
  <c r="BM185" i="18" s="1"/>
  <c r="BM184" i="18"/>
  <c r="BQ1304" i="18"/>
  <c r="BQ730" i="18"/>
  <c r="BS1302" i="18"/>
  <c r="BS728" i="18"/>
  <c r="BS441" i="5"/>
  <c r="BK1044" i="18"/>
  <c r="CW28" i="26"/>
  <c r="CW20" i="26"/>
  <c r="N35" i="19"/>
  <c r="Q930" i="18" s="1"/>
  <c r="Q910" i="18"/>
  <c r="O35" i="19"/>
  <c r="R930" i="18" s="1"/>
  <c r="R910" i="18"/>
  <c r="CV299" i="5"/>
  <c r="CN257" i="18" s="1"/>
  <c r="CN147" i="18"/>
  <c r="BW310" i="5"/>
  <c r="BO268" i="18" s="1"/>
  <c r="BO267" i="18"/>
  <c r="DB106" i="5"/>
  <c r="BX33" i="5"/>
  <c r="BP25" i="18" s="1"/>
  <c r="BP24" i="18"/>
  <c r="BZ156" i="5"/>
  <c r="BR128" i="18" s="1"/>
  <c r="BR120" i="18"/>
  <c r="BO225" i="5"/>
  <c r="BG192" i="18" s="1"/>
  <c r="BG191" i="18"/>
  <c r="BY156" i="5"/>
  <c r="BQ128" i="18" s="1"/>
  <c r="BQ120" i="18"/>
  <c r="CW310" i="5"/>
  <c r="CO268" i="18" s="1"/>
  <c r="CO267" i="18"/>
  <c r="CU224" i="5"/>
  <c r="CM191" i="18" s="1"/>
  <c r="CM190" i="18"/>
  <c r="BF297" i="5"/>
  <c r="AX255" i="18" s="1"/>
  <c r="AX254" i="18"/>
  <c r="BV337" i="6"/>
  <c r="BN871" i="18" s="1"/>
  <c r="BN625" i="18"/>
  <c r="BA197" i="5"/>
  <c r="AS163" i="18" s="1"/>
  <c r="AS162" i="18"/>
  <c r="BU364" i="5"/>
  <c r="CV143" i="6"/>
  <c r="CN703" i="18" s="1"/>
  <c r="BN1303" i="18"/>
  <c r="BN729" i="18"/>
  <c r="CS205" i="5"/>
  <c r="CK172" i="18" s="1"/>
  <c r="AW172" i="18"/>
  <c r="Y17" i="19"/>
  <c r="CP1328" i="18"/>
  <c r="BN47" i="5"/>
  <c r="BF1319" i="18" s="1"/>
  <c r="BF1318" i="18"/>
  <c r="CU28" i="26"/>
  <c r="CU20" i="26"/>
  <c r="CR20" i="27"/>
  <c r="CR28" i="27"/>
  <c r="BO47" i="5"/>
  <c r="BG1319" i="18" s="1"/>
  <c r="BG1318" i="18"/>
  <c r="CV20" i="27"/>
  <c r="CV28" i="27"/>
  <c r="CK1214" i="18"/>
  <c r="CR21" i="16"/>
  <c r="CK1224" i="18" s="1"/>
  <c r="CR18" i="16"/>
  <c r="CK1216" i="18" s="1"/>
  <c r="CX20" i="27"/>
  <c r="CX28" i="27"/>
  <c r="BT301" i="5"/>
  <c r="BL259" i="18" s="1"/>
  <c r="BL258" i="18"/>
  <c r="BU519" i="5"/>
  <c r="BM372" i="18"/>
  <c r="BY310" i="5"/>
  <c r="BQ268" i="18" s="1"/>
  <c r="BQ267" i="18"/>
  <c r="BR300" i="5"/>
  <c r="BJ258" i="18" s="1"/>
  <c r="BJ182" i="18"/>
  <c r="CR196" i="5"/>
  <c r="CJ146" i="18"/>
  <c r="BL279" i="5"/>
  <c r="BD235" i="18" s="1"/>
  <c r="BD234" i="18"/>
  <c r="AZ200" i="5"/>
  <c r="AR166" i="18" s="1"/>
  <c r="AR165" i="18"/>
  <c r="M35" i="19"/>
  <c r="P930" i="18" s="1"/>
  <c r="P910" i="18"/>
  <c r="X17" i="19"/>
  <c r="CO1328" i="18"/>
  <c r="CT28" i="26"/>
  <c r="CT20" i="26"/>
  <c r="BX300" i="5"/>
  <c r="BP182" i="18"/>
  <c r="BU33" i="5"/>
  <c r="BM25" i="18" s="1"/>
  <c r="BM24" i="18"/>
  <c r="CY312" i="5"/>
  <c r="CQ270" i="18" s="1"/>
  <c r="BW270" i="18"/>
  <c r="CA156" i="5"/>
  <c r="BS128" i="18" s="1"/>
  <c r="BS120" i="18"/>
  <c r="BS519" i="5"/>
  <c r="BK372" i="18"/>
  <c r="CW163" i="5"/>
  <c r="BR519" i="5"/>
  <c r="BJ372" i="18"/>
  <c r="BR218" i="5"/>
  <c r="BJ185" i="18" s="1"/>
  <c r="BJ184" i="18"/>
  <c r="BQ301" i="5"/>
  <c r="BI259" i="18" s="1"/>
  <c r="BI258" i="18"/>
  <c r="CX36" i="5"/>
  <c r="BG295" i="5"/>
  <c r="AY253" i="18" s="1"/>
  <c r="BO337" i="6"/>
  <c r="BG871" i="18" s="1"/>
  <c r="BG625" i="18"/>
  <c r="BR1302" i="18"/>
  <c r="BR728" i="18"/>
  <c r="BU441" i="5"/>
  <c r="BM1044" i="18"/>
  <c r="CQ197" i="5"/>
  <c r="CI163" i="18" s="1"/>
  <c r="CI162" i="18"/>
  <c r="CO811" i="18"/>
  <c r="CO813" i="18"/>
  <c r="CA126" i="6"/>
  <c r="BS695" i="18" s="1"/>
  <c r="CV20" i="26"/>
  <c r="CV28" i="26"/>
  <c r="CU20" i="27"/>
  <c r="CU28" i="27"/>
  <c r="CW20" i="27"/>
  <c r="CW28" i="27"/>
  <c r="CQ1214" i="18"/>
  <c r="CX18" i="16"/>
  <c r="CQ1216" i="18" s="1"/>
  <c r="CX21" i="16"/>
  <c r="CQ1224" i="18" s="1"/>
  <c r="BE535" i="18"/>
  <c r="BN697" i="5"/>
  <c r="BF534" i="18" s="1"/>
  <c r="BM699" i="5"/>
  <c r="BE536" i="18" s="1"/>
  <c r="CP1214" i="18"/>
  <c r="CW21" i="16"/>
  <c r="CP1224" i="18" s="1"/>
  <c r="CW18" i="16"/>
  <c r="CP1216" i="18" s="1"/>
  <c r="BQ225" i="5"/>
  <c r="BI192" i="18" s="1"/>
  <c r="BI191" i="18"/>
  <c r="BV310" i="5"/>
  <c r="BN268" i="18" s="1"/>
  <c r="BN267" i="18"/>
  <c r="CS279" i="5"/>
  <c r="CK235" i="18" s="1"/>
  <c r="CK234" i="18"/>
  <c r="BO1303" i="18"/>
  <c r="BO729" i="18"/>
  <c r="BD297" i="5"/>
  <c r="AV255" i="18" s="1"/>
  <c r="AV254" i="18"/>
  <c r="CM1214" i="18"/>
  <c r="CT21" i="16"/>
  <c r="CM1224" i="18" s="1"/>
  <c r="CT18" i="16"/>
  <c r="CM1216" i="18" s="1"/>
  <c r="CM1304" i="18"/>
  <c r="CM730" i="18"/>
  <c r="CM535" i="18"/>
  <c r="CU699" i="5"/>
  <c r="CM536" i="18" s="1"/>
  <c r="CV697" i="5"/>
  <c r="DF648" i="5"/>
  <c r="CX57" i="18"/>
  <c r="CB310" i="5"/>
  <c r="BT268" i="18" s="1"/>
  <c r="BT267" i="18"/>
  <c r="BX519" i="5"/>
  <c r="BP372" i="18"/>
  <c r="CW31" i="5"/>
  <c r="CO23" i="18" s="1"/>
  <c r="CO28" i="18"/>
  <c r="BS33" i="5"/>
  <c r="BK25" i="18" s="1"/>
  <c r="BK24" i="18"/>
  <c r="CV310" i="5"/>
  <c r="CN268" i="18" s="1"/>
  <c r="CN267" i="18"/>
  <c r="CW160" i="5"/>
  <c r="CO1329" i="18" s="1"/>
  <c r="BR33" i="5"/>
  <c r="BJ25" i="18" s="1"/>
  <c r="BJ24" i="18"/>
  <c r="BS218" i="5"/>
  <c r="BK185" i="18" s="1"/>
  <c r="BK184" i="18"/>
  <c r="CX160" i="5"/>
  <c r="CP1329" i="18" s="1"/>
  <c r="CU289" i="5"/>
  <c r="CM246" i="18" s="1"/>
  <c r="CM244" i="18"/>
  <c r="BN225" i="5"/>
  <c r="BF192" i="18" s="1"/>
  <c r="BF191" i="18"/>
  <c r="CW181" i="5"/>
  <c r="CX314" i="5"/>
  <c r="BJ197" i="5"/>
  <c r="BB163" i="18" s="1"/>
  <c r="BB162" i="18"/>
  <c r="BJ1304" i="18"/>
  <c r="BJ730" i="18"/>
  <c r="BK279" i="5"/>
  <c r="BC235" i="18" s="1"/>
  <c r="BC234" i="18"/>
  <c r="BI279" i="5"/>
  <c r="BA235" i="18" s="1"/>
  <c r="BA234" i="18"/>
  <c r="BH440" i="5"/>
  <c r="AZ1043" i="18"/>
  <c r="BL434" i="5"/>
  <c r="BD1038" i="18" s="1"/>
  <c r="BD1037" i="18"/>
  <c r="BK1304" i="18"/>
  <c r="BK730" i="18"/>
  <c r="BC197" i="5"/>
  <c r="AU163" i="18" s="1"/>
  <c r="AU162" i="18"/>
  <c r="BA434" i="5"/>
  <c r="AS1037" i="18"/>
  <c r="BA440" i="5"/>
  <c r="AS1043" i="18"/>
  <c r="BF200" i="5"/>
  <c r="AX166" i="18" s="1"/>
  <c r="AX165" i="18"/>
  <c r="BZ126" i="6"/>
  <c r="BR695" i="18" s="1"/>
  <c r="DC63" i="5"/>
  <c r="CU51" i="18" s="1"/>
  <c r="DD452" i="5"/>
  <c r="CO1214" i="18"/>
  <c r="CV21" i="16"/>
  <c r="CO1224" i="18" s="1"/>
  <c r="CV18" i="16"/>
  <c r="CO1216" i="18" s="1"/>
  <c r="CR20" i="26"/>
  <c r="CR28" i="26"/>
  <c r="CX20" i="26"/>
  <c r="CX28" i="26"/>
  <c r="CN1214" i="18"/>
  <c r="CU21" i="16"/>
  <c r="CN1224" i="18" s="1"/>
  <c r="CU18" i="16"/>
  <c r="CN1216" i="18" s="1"/>
  <c r="CT20" i="27"/>
  <c r="CT28" i="27"/>
  <c r="BX125" i="18"/>
  <c r="L35" i="16"/>
  <c r="E1233" i="18" s="1"/>
  <c r="L37" i="27"/>
  <c r="L37" i="26"/>
  <c r="CV140" i="18"/>
  <c r="DD173" i="5"/>
  <c r="DE174" i="5"/>
  <c r="DC169" i="5"/>
  <c r="CU135" i="18" s="1"/>
  <c r="CU139" i="18"/>
  <c r="BX665" i="18"/>
  <c r="BX668" i="18"/>
  <c r="CN1303" i="18"/>
  <c r="CN729" i="18"/>
  <c r="BX1303" i="18"/>
  <c r="BX729" i="18"/>
  <c r="BU729" i="18"/>
  <c r="BU1303" i="18"/>
  <c r="CO1302" i="18"/>
  <c r="CO728" i="18"/>
  <c r="BT1304" i="18"/>
  <c r="BT730" i="18"/>
  <c r="CT723" i="18"/>
  <c r="CT1297" i="18"/>
  <c r="DC171" i="6"/>
  <c r="CT1298" i="18"/>
  <c r="CT724" i="18"/>
  <c r="V920" i="18"/>
  <c r="V918" i="18"/>
  <c r="V916" i="18"/>
  <c r="V914" i="18"/>
  <c r="I928" i="18"/>
  <c r="T928" i="18"/>
  <c r="Y6" i="7"/>
  <c r="X5" i="7"/>
  <c r="DC34" i="7"/>
  <c r="BQ434" i="5"/>
  <c r="BI1038" i="18" s="1"/>
  <c r="CY357" i="6"/>
  <c r="CY359" i="6"/>
  <c r="CQ892" i="18" s="1"/>
  <c r="BG160" i="6"/>
  <c r="AY712" i="18" s="1"/>
  <c r="CB219" i="6"/>
  <c r="CF214" i="6"/>
  <c r="CY214" i="6" s="1"/>
  <c r="CB29" i="6"/>
  <c r="CT331" i="6"/>
  <c r="CL865" i="18" s="1"/>
  <c r="BZ143" i="6"/>
  <c r="BR703" i="18" s="1"/>
  <c r="CD139" i="6"/>
  <c r="BV699" i="18" s="1"/>
  <c r="BO343" i="5"/>
  <c r="BO341" i="5"/>
  <c r="BP70" i="6"/>
  <c r="BH631" i="18" s="1"/>
  <c r="BP66" i="6"/>
  <c r="BH627" i="18" s="1"/>
  <c r="BP64" i="6"/>
  <c r="BH626" i="18" s="1"/>
  <c r="BP337" i="6"/>
  <c r="BH871" i="18" s="1"/>
  <c r="BW33" i="6"/>
  <c r="BW31" i="6"/>
  <c r="BW267" i="5"/>
  <c r="CW267" i="5" s="1"/>
  <c r="BW30" i="6"/>
  <c r="CW219" i="6"/>
  <c r="CW224" i="6"/>
  <c r="BM68" i="6"/>
  <c r="BV165" i="6"/>
  <c r="BN715" i="18" s="1"/>
  <c r="BV145" i="6"/>
  <c r="BN705" i="18" s="1"/>
  <c r="BV144" i="6"/>
  <c r="BN704" i="18" s="1"/>
  <c r="CX291" i="6"/>
  <c r="CX176" i="6"/>
  <c r="CX114" i="6"/>
  <c r="CP667" i="18" s="1"/>
  <c r="CX125" i="6"/>
  <c r="CP694" i="18" s="1"/>
  <c r="CX108" i="6"/>
  <c r="CP661" i="18" s="1"/>
  <c r="CC360" i="6"/>
  <c r="BU893" i="18" s="1"/>
  <c r="CC368" i="6"/>
  <c r="BU607" i="18" s="1"/>
  <c r="CW29" i="6"/>
  <c r="CE176" i="6"/>
  <c r="CE114" i="6"/>
  <c r="BW667" i="18" s="1"/>
  <c r="CX119" i="6"/>
  <c r="CP683" i="18" s="1"/>
  <c r="BI439" i="5"/>
  <c r="BI421" i="5"/>
  <c r="BA313" i="18" s="1"/>
  <c r="BI356" i="5"/>
  <c r="BI358" i="5" s="1"/>
  <c r="BI340" i="5"/>
  <c r="BI342" i="5" s="1"/>
  <c r="BI430" i="5"/>
  <c r="BI431" i="5" s="1"/>
  <c r="BI432" i="5" s="1"/>
  <c r="BI433" i="5" s="1"/>
  <c r="CV165" i="6"/>
  <c r="CN715" i="18" s="1"/>
  <c r="CV139" i="6"/>
  <c r="CN699" i="18" s="1"/>
  <c r="CV144" i="6"/>
  <c r="CN704" i="18" s="1"/>
  <c r="CV145" i="6"/>
  <c r="CN705" i="18" s="1"/>
  <c r="BK65" i="6"/>
  <c r="BS277" i="5"/>
  <c r="BK233" i="18" s="1"/>
  <c r="BS26" i="6"/>
  <c r="BK580" i="18" s="1"/>
  <c r="BS63" i="6"/>
  <c r="BP439" i="5"/>
  <c r="BH1043" i="18" s="1"/>
  <c r="BP421" i="5"/>
  <c r="BH313" i="18" s="1"/>
  <c r="BP356" i="5"/>
  <c r="BP358" i="5" s="1"/>
  <c r="BP340" i="5"/>
  <c r="BP342" i="5" s="1"/>
  <c r="BP430" i="5"/>
  <c r="BP431" i="5" s="1"/>
  <c r="BP432" i="5" s="1"/>
  <c r="BP433" i="5" s="1"/>
  <c r="BE439" i="5"/>
  <c r="BE421" i="5"/>
  <c r="AW313" i="18" s="1"/>
  <c r="BE356" i="5"/>
  <c r="BE358" i="5" s="1"/>
  <c r="BE340" i="5"/>
  <c r="BE342" i="5" s="1"/>
  <c r="BE430" i="5"/>
  <c r="BE431" i="5" s="1"/>
  <c r="BE432" i="5" s="1"/>
  <c r="BE433" i="5" s="1"/>
  <c r="BM65" i="6"/>
  <c r="CV178" i="6"/>
  <c r="CD369" i="6"/>
  <c r="BV608" i="18" s="1"/>
  <c r="CB335" i="6"/>
  <c r="BT869" i="18" s="1"/>
  <c r="CF330" i="6"/>
  <c r="BT367" i="6"/>
  <c r="BL606" i="18" s="1"/>
  <c r="CX214" i="6"/>
  <c r="BU365" i="5"/>
  <c r="BU407" i="5"/>
  <c r="BT239" i="5"/>
  <c r="CE102" i="6"/>
  <c r="BW655" i="18" s="1"/>
  <c r="CU230" i="6"/>
  <c r="BO463" i="5"/>
  <c r="BO464" i="5" s="1"/>
  <c r="BO420" i="5"/>
  <c r="BO423" i="5" s="1"/>
  <c r="BG316" i="18" s="1"/>
  <c r="BU239" i="5"/>
  <c r="CT367" i="6"/>
  <c r="CL606" i="18" s="1"/>
  <c r="CQ333" i="6"/>
  <c r="CI867" i="18" s="1"/>
  <c r="CQ332" i="6"/>
  <c r="CI866" i="18" s="1"/>
  <c r="BL357" i="5"/>
  <c r="BL359" i="5"/>
  <c r="AY296" i="5"/>
  <c r="AY297" i="5" s="1"/>
  <c r="AY213" i="5"/>
  <c r="CQ214" i="5"/>
  <c r="BV204" i="5"/>
  <c r="BV238" i="5"/>
  <c r="BN205" i="18" s="1"/>
  <c r="CX126" i="6"/>
  <c r="CP695" i="18" s="1"/>
  <c r="BK157" i="6"/>
  <c r="BC674" i="18" s="1"/>
  <c r="BQ364" i="6"/>
  <c r="BI603" i="18" s="1"/>
  <c r="BQ167" i="6"/>
  <c r="BI717" i="18" s="1"/>
  <c r="BC296" i="5"/>
  <c r="BC213" i="5"/>
  <c r="AU180" i="18" s="1"/>
  <c r="BQ27" i="6"/>
  <c r="BI581" i="18" s="1"/>
  <c r="CR243" i="5"/>
  <c r="CA219" i="6"/>
  <c r="CE214" i="6"/>
  <c r="CA29" i="6"/>
  <c r="BQ157" i="6"/>
  <c r="BI674" i="18" s="1"/>
  <c r="BM157" i="6"/>
  <c r="BE674" i="18" s="1"/>
  <c r="BF157" i="6"/>
  <c r="AX674" i="18" s="1"/>
  <c r="BK72" i="6"/>
  <c r="BC633" i="18" s="1"/>
  <c r="BK71" i="6"/>
  <c r="BC632" i="18" s="1"/>
  <c r="BY56" i="6"/>
  <c r="BQ618" i="18" s="1"/>
  <c r="BU59" i="6"/>
  <c r="BF162" i="6"/>
  <c r="CC221" i="6"/>
  <c r="CC226" i="6"/>
  <c r="BP67" i="6"/>
  <c r="BH629" i="18" s="1"/>
  <c r="BP61" i="6"/>
  <c r="BH622" i="18" s="1"/>
  <c r="BK430" i="5"/>
  <c r="BK431" i="5" s="1"/>
  <c r="BK432" i="5" s="1"/>
  <c r="BK433" i="5" s="1"/>
  <c r="BK421" i="5"/>
  <c r="BC313" i="18" s="1"/>
  <c r="BK439" i="5"/>
  <c r="BK340" i="5"/>
  <c r="BK342" i="5" s="1"/>
  <c r="BK356" i="5"/>
  <c r="BK358" i="5" s="1"/>
  <c r="BZ59" i="6"/>
  <c r="CD56" i="6"/>
  <c r="BV618" i="18" s="1"/>
  <c r="BL168" i="6"/>
  <c r="BD718" i="18" s="1"/>
  <c r="BL159" i="6"/>
  <c r="BD711" i="18" s="1"/>
  <c r="CT58" i="6"/>
  <c r="BT157" i="6"/>
  <c r="BL674" i="18" s="1"/>
  <c r="CU152" i="6"/>
  <c r="CM709" i="18" s="1"/>
  <c r="BX366" i="6"/>
  <c r="BP605" i="18" s="1"/>
  <c r="BX336" i="6"/>
  <c r="BP870" i="18" s="1"/>
  <c r="CD335" i="6"/>
  <c r="BV869" i="18" s="1"/>
  <c r="CC219" i="6"/>
  <c r="CC29" i="6"/>
  <c r="BT277" i="5"/>
  <c r="BL233" i="18" s="1"/>
  <c r="BT26" i="6"/>
  <c r="BL580" i="18" s="1"/>
  <c r="BT63" i="6"/>
  <c r="BL625" i="18" s="1"/>
  <c r="CU297" i="6"/>
  <c r="CM818" i="18" s="1"/>
  <c r="CU308" i="6"/>
  <c r="CM841" i="18" s="1"/>
  <c r="BI157" i="6"/>
  <c r="BA674" i="18" s="1"/>
  <c r="BO440" i="5"/>
  <c r="BN214" i="5"/>
  <c r="BF181" i="18" s="1"/>
  <c r="BN196" i="5"/>
  <c r="BN179" i="5"/>
  <c r="BF145" i="18" s="1"/>
  <c r="CV286" i="6"/>
  <c r="CN808" i="18" s="1"/>
  <c r="CV216" i="6"/>
  <c r="CV225" i="6"/>
  <c r="CV246" i="6"/>
  <c r="CV220" i="6"/>
  <c r="BL463" i="5"/>
  <c r="BL464" i="5" s="1"/>
  <c r="BL420" i="5"/>
  <c r="BL423" i="5" s="1"/>
  <c r="BD316" i="18" s="1"/>
  <c r="BU424" i="5"/>
  <c r="BM317" i="18" s="1"/>
  <c r="BU422" i="5"/>
  <c r="CY235" i="6"/>
  <c r="CY247" i="6"/>
  <c r="CZ234" i="6"/>
  <c r="AY291" i="5"/>
  <c r="AY199" i="5"/>
  <c r="AY200" i="5" s="1"/>
  <c r="CQ179" i="5"/>
  <c r="CV151" i="6"/>
  <c r="CN708" i="18" s="1"/>
  <c r="BP364" i="6"/>
  <c r="BH603" i="18" s="1"/>
  <c r="BP167" i="6"/>
  <c r="BH717" i="18" s="1"/>
  <c r="CU277" i="5"/>
  <c r="CM233" i="18" s="1"/>
  <c r="CD31" i="6"/>
  <c r="CD30" i="6"/>
  <c r="CD267" i="5"/>
  <c r="CR283" i="6"/>
  <c r="CJ805" i="18" s="1"/>
  <c r="CR265" i="6"/>
  <c r="CJ788" i="18" s="1"/>
  <c r="CR248" i="6"/>
  <c r="BB157" i="6"/>
  <c r="AT674" i="18" s="1"/>
  <c r="BR463" i="5"/>
  <c r="BR464" i="5" s="1"/>
  <c r="BR420" i="5"/>
  <c r="BR423" i="5" s="1"/>
  <c r="BJ316" i="18" s="1"/>
  <c r="CV25" i="6"/>
  <c r="CN579" i="18" s="1"/>
  <c r="BP204" i="5"/>
  <c r="BP238" i="5"/>
  <c r="BH205" i="18" s="1"/>
  <c r="BM367" i="6"/>
  <c r="BE606" i="18" s="1"/>
  <c r="CU366" i="6"/>
  <c r="CM605" i="18" s="1"/>
  <c r="CR253" i="5"/>
  <c r="CR251" i="5"/>
  <c r="BU58" i="6"/>
  <c r="BQ58" i="6"/>
  <c r="BI371" i="6"/>
  <c r="BA610" i="18" s="1"/>
  <c r="BS59" i="6"/>
  <c r="BW56" i="6"/>
  <c r="BO618" i="18" s="1"/>
  <c r="BS57" i="6"/>
  <c r="BK619" i="18" s="1"/>
  <c r="BS60" i="6"/>
  <c r="BK621" i="18" s="1"/>
  <c r="BQ343" i="5"/>
  <c r="BQ341" i="5"/>
  <c r="BX369" i="6"/>
  <c r="BP608" i="18" s="1"/>
  <c r="CZ36" i="6"/>
  <c r="CR332" i="6"/>
  <c r="CJ866" i="18" s="1"/>
  <c r="BN421" i="5"/>
  <c r="BF313" i="18" s="1"/>
  <c r="BN439" i="5"/>
  <c r="BF1043" i="18" s="1"/>
  <c r="BN430" i="5"/>
  <c r="BN431" i="5" s="1"/>
  <c r="BN432" i="5" s="1"/>
  <c r="BN433" i="5" s="1"/>
  <c r="BN356" i="5"/>
  <c r="BN358" i="5" s="1"/>
  <c r="BN340" i="5"/>
  <c r="BN342" i="5" s="1"/>
  <c r="W6" i="6"/>
  <c r="V5" i="6"/>
  <c r="BK365" i="6"/>
  <c r="BC604" i="18" s="1"/>
  <c r="BK370" i="6"/>
  <c r="BC609" i="18" s="1"/>
  <c r="BI180" i="5"/>
  <c r="BA146" i="18" s="1"/>
  <c r="CT203" i="5"/>
  <c r="CL170" i="18" s="1"/>
  <c r="BH463" i="5"/>
  <c r="BH464" i="5" s="1"/>
  <c r="BH420" i="5"/>
  <c r="BH423" i="5" s="1"/>
  <c r="AZ316" i="18" s="1"/>
  <c r="BH160" i="6"/>
  <c r="AZ712" i="18" s="1"/>
  <c r="CW313" i="6"/>
  <c r="CO844" i="18" s="1"/>
  <c r="CW302" i="6"/>
  <c r="CO821" i="18" s="1"/>
  <c r="BU335" i="6"/>
  <c r="BM869" i="18" s="1"/>
  <c r="BY330" i="6"/>
  <c r="BP58" i="6"/>
  <c r="CA221" i="6"/>
  <c r="CA226" i="6"/>
  <c r="CX29" i="6"/>
  <c r="BY31" i="6"/>
  <c r="BY267" i="5"/>
  <c r="BY33" i="6"/>
  <c r="BY30" i="6"/>
  <c r="BO359" i="5"/>
  <c r="BO357" i="5"/>
  <c r="BC291" i="5"/>
  <c r="AU249" i="18" s="1"/>
  <c r="BC199" i="5"/>
  <c r="AU165" i="18" s="1"/>
  <c r="BQ70" i="6"/>
  <c r="BI631" i="18" s="1"/>
  <c r="BQ64" i="6"/>
  <c r="BI626" i="18" s="1"/>
  <c r="BU63" i="6"/>
  <c r="BQ66" i="6"/>
  <c r="BI627" i="18" s="1"/>
  <c r="BP157" i="6"/>
  <c r="BH674" i="18" s="1"/>
  <c r="CX368" i="6"/>
  <c r="CP607" i="18" s="1"/>
  <c r="CX360" i="6"/>
  <c r="CP893" i="18" s="1"/>
  <c r="BL68" i="6"/>
  <c r="BJ160" i="6"/>
  <c r="BB712" i="18" s="1"/>
  <c r="CU58" i="6"/>
  <c r="BQ204" i="5"/>
  <c r="BQ238" i="5"/>
  <c r="BI205" i="18" s="1"/>
  <c r="CT159" i="6"/>
  <c r="CL711" i="18" s="1"/>
  <c r="CT168" i="6"/>
  <c r="CL718" i="18" s="1"/>
  <c r="BM343" i="5"/>
  <c r="BM341" i="5"/>
  <c r="BN168" i="6"/>
  <c r="BF718" i="18" s="1"/>
  <c r="BN159" i="6"/>
  <c r="BF711" i="18" s="1"/>
  <c r="CA369" i="6"/>
  <c r="BS608" i="18" s="1"/>
  <c r="BC430" i="5"/>
  <c r="BC431" i="5" s="1"/>
  <c r="BC432" i="5" s="1"/>
  <c r="BC433" i="5" s="1"/>
  <c r="BC340" i="5"/>
  <c r="BC342" i="5" s="1"/>
  <c r="BC356" i="5"/>
  <c r="BC358" i="5" s="1"/>
  <c r="BC421" i="5"/>
  <c r="AU313" i="18" s="1"/>
  <c r="BC439" i="5"/>
  <c r="CX273" i="5"/>
  <c r="CX274" i="5" s="1"/>
  <c r="CS68" i="6"/>
  <c r="BL72" i="6"/>
  <c r="BD633" i="18" s="1"/>
  <c r="BL71" i="6"/>
  <c r="BD632" i="18" s="1"/>
  <c r="BR364" i="6"/>
  <c r="BJ603" i="18" s="1"/>
  <c r="BR167" i="6"/>
  <c r="BJ717" i="18" s="1"/>
  <c r="DE325" i="6"/>
  <c r="CW859" i="18" s="1"/>
  <c r="DD326" i="6"/>
  <c r="CV860" i="18" s="1"/>
  <c r="DD328" i="6"/>
  <c r="CV862" i="18" s="1"/>
  <c r="DB354" i="6"/>
  <c r="CT888" i="18" s="1"/>
  <c r="CT61" i="6"/>
  <c r="CL622" i="18" s="1"/>
  <c r="CT67" i="6"/>
  <c r="CL629" i="18" s="1"/>
  <c r="BT165" i="6"/>
  <c r="BL715" i="18" s="1"/>
  <c r="BT145" i="6"/>
  <c r="BL705" i="18" s="1"/>
  <c r="BT144" i="6"/>
  <c r="BL704" i="18" s="1"/>
  <c r="BO204" i="5"/>
  <c r="BO238" i="5"/>
  <c r="CD125" i="6"/>
  <c r="BV694" i="18" s="1"/>
  <c r="CD114" i="6"/>
  <c r="BV667" i="18" s="1"/>
  <c r="CD176" i="6"/>
  <c r="CY101" i="6"/>
  <c r="CQ654" i="18" s="1"/>
  <c r="DE346" i="6"/>
  <c r="CW880" i="18" s="1"/>
  <c r="DD347" i="6"/>
  <c r="CV881" i="18" s="1"/>
  <c r="BS145" i="6"/>
  <c r="BK705" i="18" s="1"/>
  <c r="BS165" i="6"/>
  <c r="BK715" i="18" s="1"/>
  <c r="BS144" i="6"/>
  <c r="BK704" i="18" s="1"/>
  <c r="CW369" i="6"/>
  <c r="CO608" i="18" s="1"/>
  <c r="BL287" i="6"/>
  <c r="BD809" i="18" s="1"/>
  <c r="BT221" i="6"/>
  <c r="BT226" i="6"/>
  <c r="BL341" i="5"/>
  <c r="BL343" i="5"/>
  <c r="BE162" i="6"/>
  <c r="CA177" i="6"/>
  <c r="CA179" i="6"/>
  <c r="CB179" i="6"/>
  <c r="BO58" i="6"/>
  <c r="BM359" i="5"/>
  <c r="BM357" i="5"/>
  <c r="BF356" i="5"/>
  <c r="BF358" i="5" s="1"/>
  <c r="BF439" i="5"/>
  <c r="BF421" i="5"/>
  <c r="AX313" i="18" s="1"/>
  <c r="BF340" i="5"/>
  <c r="BF342" i="5" s="1"/>
  <c r="BF430" i="5"/>
  <c r="BF431" i="5" s="1"/>
  <c r="BF432" i="5" s="1"/>
  <c r="BF433" i="5" s="1"/>
  <c r="AX1037" i="18" s="1"/>
  <c r="CA330" i="6"/>
  <c r="BW335" i="6"/>
  <c r="BO869" i="18" s="1"/>
  <c r="DB172" i="6"/>
  <c r="DC170" i="6"/>
  <c r="BV178" i="6"/>
  <c r="CQ295" i="5"/>
  <c r="BN365" i="6"/>
  <c r="BF604" i="18" s="1"/>
  <c r="BN370" i="6"/>
  <c r="BF609" i="18" s="1"/>
  <c r="BR440" i="5"/>
  <c r="BW231" i="6"/>
  <c r="BQ61" i="6"/>
  <c r="BI622" i="18" s="1"/>
  <c r="BQ67" i="6"/>
  <c r="BI629" i="18" s="1"/>
  <c r="CT364" i="6"/>
  <c r="CL603" i="18" s="1"/>
  <c r="BJ371" i="6"/>
  <c r="BB610" i="18" s="1"/>
  <c r="BQ463" i="5"/>
  <c r="BQ464" i="5" s="1"/>
  <c r="BQ420" i="5"/>
  <c r="BQ423" i="5" s="1"/>
  <c r="BI316" i="18" s="1"/>
  <c r="BS359" i="5"/>
  <c r="BS357" i="5"/>
  <c r="BD200" i="5"/>
  <c r="AV166" i="18" s="1"/>
  <c r="CD115" i="6"/>
  <c r="BV668" i="18" s="1"/>
  <c r="CD109" i="6"/>
  <c r="BV662" i="18" s="1"/>
  <c r="CD103" i="6"/>
  <c r="BV656" i="18" s="1"/>
  <c r="CD104" i="6"/>
  <c r="BV658" i="18" s="1"/>
  <c r="CD414" i="5"/>
  <c r="BV307" i="18" s="1"/>
  <c r="CD259" i="5"/>
  <c r="BH157" i="6"/>
  <c r="AZ674" i="18" s="1"/>
  <c r="BR278" i="5"/>
  <c r="BR203" i="5"/>
  <c r="BO27" i="6"/>
  <c r="BG581" i="18" s="1"/>
  <c r="CV296" i="6"/>
  <c r="CN817" i="18" s="1"/>
  <c r="CV307" i="6"/>
  <c r="CN840" i="18" s="1"/>
  <c r="BR157" i="6"/>
  <c r="BJ674" i="18" s="1"/>
  <c r="BJ430" i="5"/>
  <c r="BJ431" i="5" s="1"/>
  <c r="BJ432" i="5" s="1"/>
  <c r="BJ433" i="5" s="1"/>
  <c r="BB1037" i="18" s="1"/>
  <c r="BJ421" i="5"/>
  <c r="BB313" i="18" s="1"/>
  <c r="BJ439" i="5"/>
  <c r="BJ356" i="5"/>
  <c r="BJ358" i="5" s="1"/>
  <c r="BJ340" i="5"/>
  <c r="BJ342" i="5" s="1"/>
  <c r="BA291" i="5"/>
  <c r="BA199" i="5"/>
  <c r="CR179" i="5"/>
  <c r="CJ145" i="18" s="1"/>
  <c r="CT66" i="6"/>
  <c r="CL627" i="18" s="1"/>
  <c r="CT70" i="6"/>
  <c r="CL631" i="18" s="1"/>
  <c r="CT64" i="6"/>
  <c r="CL626" i="18" s="1"/>
  <c r="CQ251" i="5"/>
  <c r="CQ253" i="5"/>
  <c r="CQ254" i="5" s="1"/>
  <c r="BM203" i="5"/>
  <c r="BE170" i="18" s="1"/>
  <c r="BM278" i="5"/>
  <c r="BQ366" i="6"/>
  <c r="BI605" i="18" s="1"/>
  <c r="CV335" i="6"/>
  <c r="CN869" i="18" s="1"/>
  <c r="BQ337" i="6"/>
  <c r="BI871" i="18" s="1"/>
  <c r="BQ336" i="6"/>
  <c r="BI870" i="18" s="1"/>
  <c r="CT27" i="6"/>
  <c r="CL581" i="18" s="1"/>
  <c r="CS65" i="6"/>
  <c r="BL365" i="6"/>
  <c r="BD604" i="18" s="1"/>
  <c r="BL370" i="6"/>
  <c r="BD609" i="18" s="1"/>
  <c r="CS250" i="5"/>
  <c r="CK215" i="18" s="1"/>
  <c r="CS242" i="5"/>
  <c r="CS283" i="5"/>
  <c r="CK240" i="18" s="1"/>
  <c r="CT242" i="5"/>
  <c r="CL209" i="18" s="1"/>
  <c r="BT57" i="6"/>
  <c r="BL619" i="18" s="1"/>
  <c r="BX56" i="6"/>
  <c r="BP618" i="18" s="1"/>
  <c r="BT60" i="6"/>
  <c r="BL621" i="18" s="1"/>
  <c r="BT59" i="6"/>
  <c r="CD120" i="6"/>
  <c r="BV684" i="18" s="1"/>
  <c r="BZ120" i="6"/>
  <c r="BR684" i="18" s="1"/>
  <c r="BK287" i="6"/>
  <c r="BC809" i="18" s="1"/>
  <c r="AZ157" i="6"/>
  <c r="AR674" i="18" s="1"/>
  <c r="CW120" i="6"/>
  <c r="CO684" i="18" s="1"/>
  <c r="BY369" i="6"/>
  <c r="BQ608" i="18" s="1"/>
  <c r="BU231" i="6"/>
  <c r="CU336" i="6"/>
  <c r="CM870" i="18" s="1"/>
  <c r="CU330" i="6"/>
  <c r="CM864" i="18" s="1"/>
  <c r="BW178" i="6"/>
  <c r="BK68" i="6"/>
  <c r="CF121" i="6"/>
  <c r="BX685" i="18" s="1"/>
  <c r="CF110" i="6"/>
  <c r="BX663" i="18" s="1"/>
  <c r="BS239" i="5"/>
  <c r="CB368" i="6"/>
  <c r="BT607" i="18" s="1"/>
  <c r="CB360" i="6"/>
  <c r="BT893" i="18" s="1"/>
  <c r="BS463" i="5"/>
  <c r="BS464" i="5" s="1"/>
  <c r="BS420" i="5"/>
  <c r="BS423" i="5" s="1"/>
  <c r="BK316" i="18" s="1"/>
  <c r="BT356" i="5"/>
  <c r="BT358" i="5" s="1"/>
  <c r="BT340" i="5"/>
  <c r="BT342" i="5" s="1"/>
  <c r="BT430" i="5"/>
  <c r="BT431" i="5" s="1"/>
  <c r="BT432" i="5" s="1"/>
  <c r="BT433" i="5" s="1"/>
  <c r="BL1037" i="18" s="1"/>
  <c r="BT421" i="5"/>
  <c r="BL313" i="18" s="1"/>
  <c r="BT439" i="5"/>
  <c r="BL1043" i="18" s="1"/>
  <c r="BD356" i="5"/>
  <c r="BD358" i="5" s="1"/>
  <c r="BD421" i="5"/>
  <c r="AV313" i="18" s="1"/>
  <c r="BD340" i="5"/>
  <c r="BD342" i="5" s="1"/>
  <c r="BD439" i="5"/>
  <c r="BD430" i="5"/>
  <c r="BD431" i="5" s="1"/>
  <c r="BD432" i="5" s="1"/>
  <c r="BD433" i="5" s="1"/>
  <c r="AV1037" i="18" s="1"/>
  <c r="CS72" i="6"/>
  <c r="CK633" i="18" s="1"/>
  <c r="CS71" i="6"/>
  <c r="CK632" i="18" s="1"/>
  <c r="BL65" i="6"/>
  <c r="BX31" i="6"/>
  <c r="BX30" i="6"/>
  <c r="BX33" i="6"/>
  <c r="BX267" i="5"/>
  <c r="BV367" i="6"/>
  <c r="BN606" i="18" s="1"/>
  <c r="CY316" i="6"/>
  <c r="CQ849" i="18" s="1"/>
  <c r="CY113" i="6"/>
  <c r="CQ666" i="18" s="1"/>
  <c r="CZ100" i="6"/>
  <c r="CR653" i="18" s="1"/>
  <c r="CY107" i="6"/>
  <c r="CQ660" i="18" s="1"/>
  <c r="CU63" i="6"/>
  <c r="CM625" i="18" s="1"/>
  <c r="CR259" i="6"/>
  <c r="CJ782" i="18" s="1"/>
  <c r="DC327" i="6"/>
  <c r="CU861" i="18" s="1"/>
  <c r="DD324" i="6"/>
  <c r="CV858" i="18" s="1"/>
  <c r="BA213" i="5"/>
  <c r="AS180" i="18" s="1"/>
  <c r="CR214" i="5"/>
  <c r="BA296" i="5"/>
  <c r="AS254" i="18" s="1"/>
  <c r="CU61" i="6"/>
  <c r="CM622" i="18" s="1"/>
  <c r="BR68" i="6"/>
  <c r="CB139" i="6"/>
  <c r="BX143" i="6"/>
  <c r="BP703" i="18" s="1"/>
  <c r="CT278" i="5"/>
  <c r="BH341" i="5"/>
  <c r="BH343" i="5"/>
  <c r="BW143" i="6"/>
  <c r="BO703" i="18" s="1"/>
  <c r="CA139" i="6"/>
  <c r="BJ287" i="6"/>
  <c r="BB809" i="18" s="1"/>
  <c r="CB215" i="6"/>
  <c r="BX216" i="6"/>
  <c r="BX220" i="6"/>
  <c r="CW215" i="6"/>
  <c r="BL440" i="5"/>
  <c r="CS159" i="6"/>
  <c r="CK711" i="18" s="1"/>
  <c r="CS168" i="6"/>
  <c r="CK718" i="18" s="1"/>
  <c r="BC157" i="6"/>
  <c r="AU674" i="18" s="1"/>
  <c r="CV298" i="6"/>
  <c r="CN819" i="18" s="1"/>
  <c r="CV309" i="6"/>
  <c r="CN842" i="18" s="1"/>
  <c r="BH179" i="5"/>
  <c r="AZ145" i="18" s="1"/>
  <c r="BH214" i="5"/>
  <c r="AZ181" i="18" s="1"/>
  <c r="BH196" i="5"/>
  <c r="CC178" i="6"/>
  <c r="BO61" i="6"/>
  <c r="BG622" i="18" s="1"/>
  <c r="BM463" i="5"/>
  <c r="BM464" i="5" s="1"/>
  <c r="BM420" i="5"/>
  <c r="BM423" i="5" s="1"/>
  <c r="BE316" i="18" s="1"/>
  <c r="BS366" i="6"/>
  <c r="BK605" i="18" s="1"/>
  <c r="BS336" i="6"/>
  <c r="BK870" i="18" s="1"/>
  <c r="BM168" i="6"/>
  <c r="BE718" i="18" s="1"/>
  <c r="BM159" i="6"/>
  <c r="BE711" i="18" s="1"/>
  <c r="BA343" i="5"/>
  <c r="BA341" i="5"/>
  <c r="BL180" i="5"/>
  <c r="BD146" i="18" s="1"/>
  <c r="BI205" i="5"/>
  <c r="BR341" i="5"/>
  <c r="BR343" i="5"/>
  <c r="BU145" i="6"/>
  <c r="BM705" i="18" s="1"/>
  <c r="BU144" i="6"/>
  <c r="BM704" i="18" s="1"/>
  <c r="BU165" i="6"/>
  <c r="BM715" i="18" s="1"/>
  <c r="CT231" i="6"/>
  <c r="AZ439" i="5"/>
  <c r="AZ421" i="5"/>
  <c r="AR313" i="18" s="1"/>
  <c r="AZ356" i="5"/>
  <c r="AZ358" i="5" s="1"/>
  <c r="AZ340" i="5"/>
  <c r="AZ342" i="5" s="1"/>
  <c r="AZ430" i="5"/>
  <c r="AZ431" i="5" s="1"/>
  <c r="AZ432" i="5" s="1"/>
  <c r="AZ433" i="5" s="1"/>
  <c r="BE157" i="6"/>
  <c r="AW674" i="18" s="1"/>
  <c r="BZ239" i="5"/>
  <c r="CF126" i="6"/>
  <c r="BX695" i="18" s="1"/>
  <c r="BE295" i="5"/>
  <c r="BE214" i="5"/>
  <c r="AW181" i="18" s="1"/>
  <c r="BE179" i="5"/>
  <c r="AW145" i="18" s="1"/>
  <c r="BE196" i="5"/>
  <c r="CS180" i="5"/>
  <c r="BD292" i="5"/>
  <c r="BD229" i="5"/>
  <c r="AV196" i="18" s="1"/>
  <c r="BD193" i="5"/>
  <c r="AV159" i="18" s="1"/>
  <c r="BQ440" i="5"/>
  <c r="BS343" i="5"/>
  <c r="BS341" i="5"/>
  <c r="BS364" i="5" s="1"/>
  <c r="CD231" i="6"/>
  <c r="CU27" i="6"/>
  <c r="CM581" i="18" s="1"/>
  <c r="BG439" i="5"/>
  <c r="BG421" i="5"/>
  <c r="AY313" i="18" s="1"/>
  <c r="BG356" i="5"/>
  <c r="BG358" i="5" s="1"/>
  <c r="BG340" i="5"/>
  <c r="BG342" i="5" s="1"/>
  <c r="BG430" i="5"/>
  <c r="BG431" i="5" s="1"/>
  <c r="BG432" i="5" s="1"/>
  <c r="BG433" i="5" s="1"/>
  <c r="AY1037" i="18" s="1"/>
  <c r="CU165" i="6"/>
  <c r="CM715" i="18" s="1"/>
  <c r="CU139" i="6"/>
  <c r="CM699" i="18" s="1"/>
  <c r="CU145" i="6"/>
  <c r="CM705" i="18" s="1"/>
  <c r="CU144" i="6"/>
  <c r="CM704" i="18" s="1"/>
  <c r="BV66" i="6"/>
  <c r="BN627" i="18" s="1"/>
  <c r="BV70" i="6"/>
  <c r="BN631" i="18" s="1"/>
  <c r="BZ63" i="6"/>
  <c r="BR625" i="18" s="1"/>
  <c r="CE220" i="6"/>
  <c r="CE216" i="6"/>
  <c r="CE360" i="6"/>
  <c r="BW893" i="18" s="1"/>
  <c r="CE368" i="6"/>
  <c r="BW607" i="18" s="1"/>
  <c r="CU226" i="6"/>
  <c r="CU221" i="6"/>
  <c r="BG371" i="6"/>
  <c r="AY610" i="18" s="1"/>
  <c r="CX261" i="6"/>
  <c r="CX267" i="6"/>
  <c r="BS157" i="6"/>
  <c r="BK674" i="18" s="1"/>
  <c r="BA420" i="5"/>
  <c r="BA423" i="5" s="1"/>
  <c r="AS316" i="18" s="1"/>
  <c r="BA463" i="5"/>
  <c r="BA464" i="5" s="1"/>
  <c r="BJ296" i="5"/>
  <c r="BJ213" i="5"/>
  <c r="BB180" i="18" s="1"/>
  <c r="BR71" i="6"/>
  <c r="BJ632" i="18" s="1"/>
  <c r="BR72" i="6"/>
  <c r="BJ633" i="18" s="1"/>
  <c r="CF178" i="6"/>
  <c r="BM284" i="6"/>
  <c r="BE806" i="18" s="1"/>
  <c r="BO364" i="6"/>
  <c r="BO167" i="6"/>
  <c r="BG717" i="18" s="1"/>
  <c r="BH371" i="6"/>
  <c r="AZ610" i="18" s="1"/>
  <c r="CS370" i="6"/>
  <c r="CK609" i="18" s="1"/>
  <c r="CV59" i="6"/>
  <c r="CV60" i="6"/>
  <c r="CN621" i="18" s="1"/>
  <c r="CV57" i="6"/>
  <c r="CN619" i="18" s="1"/>
  <c r="BV74" i="6"/>
  <c r="BN611" i="18" s="1"/>
  <c r="BZ366" i="6"/>
  <c r="BR605" i="18" s="1"/>
  <c r="BZ336" i="6"/>
  <c r="BR870" i="18" s="1"/>
  <c r="BK180" i="5"/>
  <c r="CU260" i="6"/>
  <c r="CU266" i="6"/>
  <c r="CA120" i="6"/>
  <c r="BS684" i="18" s="1"/>
  <c r="CE120" i="6"/>
  <c r="BW684" i="18" s="1"/>
  <c r="CR274" i="6"/>
  <c r="CJ796" i="18" s="1"/>
  <c r="BN157" i="6"/>
  <c r="BF674" i="18" s="1"/>
  <c r="BR359" i="5"/>
  <c r="BR357" i="5"/>
  <c r="CQ207" i="5"/>
  <c r="CQ208" i="5" s="1"/>
  <c r="CQ209" i="5"/>
  <c r="CR207" i="5"/>
  <c r="CS332" i="6"/>
  <c r="CK866" i="18" s="1"/>
  <c r="CS333" i="6"/>
  <c r="CK867" i="18" s="1"/>
  <c r="BQ357" i="5"/>
  <c r="BQ359" i="5"/>
  <c r="CR333" i="6"/>
  <c r="CJ867" i="18" s="1"/>
  <c r="BB430" i="5"/>
  <c r="BB431" i="5" s="1"/>
  <c r="BB432" i="5" s="1"/>
  <c r="BB433" i="5" s="1"/>
  <c r="BB340" i="5"/>
  <c r="BB342" i="5" s="1"/>
  <c r="BB356" i="5"/>
  <c r="BB358" i="5" s="1"/>
  <c r="BB439" i="5"/>
  <c r="BB421" i="5"/>
  <c r="AT313" i="18" s="1"/>
  <c r="BF292" i="5"/>
  <c r="BF229" i="5"/>
  <c r="BF193" i="5"/>
  <c r="BJ199" i="5"/>
  <c r="BJ291" i="5"/>
  <c r="BB249" i="18" s="1"/>
  <c r="BV65" i="6"/>
  <c r="BR65" i="6"/>
  <c r="BG179" i="5"/>
  <c r="AY145" i="18" s="1"/>
  <c r="BG196" i="5"/>
  <c r="BG214" i="5"/>
  <c r="AY181" i="18" s="1"/>
  <c r="CD124" i="6"/>
  <c r="BV693" i="18" s="1"/>
  <c r="BM71" i="6"/>
  <c r="BE632" i="18" s="1"/>
  <c r="BM72" i="6"/>
  <c r="BE633" i="18" s="1"/>
  <c r="BP231" i="6"/>
  <c r="CF357" i="6"/>
  <c r="CF359" i="6"/>
  <c r="BX892" i="18" s="1"/>
  <c r="DC345" i="6"/>
  <c r="CU879" i="18" s="1"/>
  <c r="DD344" i="6"/>
  <c r="CV878" i="18" s="1"/>
  <c r="DC353" i="6"/>
  <c r="CU887" i="18" s="1"/>
  <c r="CT337" i="6"/>
  <c r="CL871" i="18" s="1"/>
  <c r="BO66" i="6"/>
  <c r="BG627" i="18" s="1"/>
  <c r="BO64" i="6"/>
  <c r="BG626" i="18" s="1"/>
  <c r="BO67" i="6"/>
  <c r="BG629" i="18" s="1"/>
  <c r="BO70" i="6"/>
  <c r="BG631" i="18" s="1"/>
  <c r="BK168" i="6"/>
  <c r="BC718" i="18" s="1"/>
  <c r="BK159" i="6"/>
  <c r="BC711" i="18" s="1"/>
  <c r="BZ179" i="6"/>
  <c r="BZ177" i="6"/>
  <c r="BH359" i="5"/>
  <c r="BH357" i="5"/>
  <c r="AZ292" i="5"/>
  <c r="AZ293" i="5" s="1"/>
  <c r="AZ229" i="5"/>
  <c r="AZ193" i="5"/>
  <c r="AZ194" i="5" s="1"/>
  <c r="BD157" i="6"/>
  <c r="AV674" i="18" s="1"/>
  <c r="BA157" i="6"/>
  <c r="AS674" i="18" s="1"/>
  <c r="BU434" i="5"/>
  <c r="BO367" i="6"/>
  <c r="BG606" i="18" s="1"/>
  <c r="BM440" i="5"/>
  <c r="BP27" i="6"/>
  <c r="BH581" i="18" s="1"/>
  <c r="CW177" i="6"/>
  <c r="BM365" i="6"/>
  <c r="BE604" i="18" s="1"/>
  <c r="BM370" i="6"/>
  <c r="BE609" i="18" s="1"/>
  <c r="BI160" i="6"/>
  <c r="BA712" i="18" s="1"/>
  <c r="BA359" i="5"/>
  <c r="BA357" i="5"/>
  <c r="CC139" i="6"/>
  <c r="BY143" i="6"/>
  <c r="BQ703" i="18" s="1"/>
  <c r="BY231" i="6"/>
  <c r="CT141" i="6"/>
  <c r="CL701" i="18" s="1"/>
  <c r="BL157" i="6"/>
  <c r="BD674" i="18" s="1"/>
  <c r="BS434" i="5"/>
  <c r="BK1038" i="18" s="1"/>
  <c r="CB34" i="5"/>
  <c r="BT26" i="18" s="1"/>
  <c r="CB32" i="5"/>
  <c r="CB518" i="5"/>
  <c r="DH121" i="5"/>
  <c r="CS103" i="18" s="1"/>
  <c r="DC104" i="5"/>
  <c r="DC539" i="5" s="1"/>
  <c r="DC115" i="5"/>
  <c r="DD113" i="5"/>
  <c r="BY34" i="5"/>
  <c r="BQ26" i="18" s="1"/>
  <c r="BY32" i="5"/>
  <c r="BY518" i="5"/>
  <c r="DC481" i="5"/>
  <c r="DD478" i="5"/>
  <c r="DD14" i="16" s="1"/>
  <c r="CW1213" i="18" s="1"/>
  <c r="DC67" i="5"/>
  <c r="BN595" i="5"/>
  <c r="BM596" i="5"/>
  <c r="BM515" i="5"/>
  <c r="BM516" i="5" s="1"/>
  <c r="BM517" i="5" s="1"/>
  <c r="BV34" i="5"/>
  <c r="BN26" i="18" s="1"/>
  <c r="BV32" i="5"/>
  <c r="BV518" i="5"/>
  <c r="BW299" i="5"/>
  <c r="BO257" i="18" s="1"/>
  <c r="BW215" i="5"/>
  <c r="CD306" i="5"/>
  <c r="BV264" i="18" s="1"/>
  <c r="CD36" i="5"/>
  <c r="BV28" i="18" s="1"/>
  <c r="DC663" i="5"/>
  <c r="DD611" i="5"/>
  <c r="DD114" i="5" s="1"/>
  <c r="CX135" i="5"/>
  <c r="CX131" i="5"/>
  <c r="CX752" i="5"/>
  <c r="CX146" i="5"/>
  <c r="BS226" i="5"/>
  <c r="BK193" i="18" s="1"/>
  <c r="BS224" i="5"/>
  <c r="CU288" i="5"/>
  <c r="CM245" i="18" s="1"/>
  <c r="CV215" i="5"/>
  <c r="CN182" i="18" s="1"/>
  <c r="CX447" i="5"/>
  <c r="CX438" i="5"/>
  <c r="CP1042" i="18" s="1"/>
  <c r="BZ216" i="5"/>
  <c r="BR183" i="18" s="1"/>
  <c r="BZ31" i="5"/>
  <c r="BR23" i="18" s="1"/>
  <c r="DE108" i="5"/>
  <c r="DD103" i="5"/>
  <c r="CW32" i="5"/>
  <c r="CW34" i="5"/>
  <c r="CO26" i="18" s="1"/>
  <c r="BY157" i="5"/>
  <c r="BQ129" i="18" s="1"/>
  <c r="BY162" i="5"/>
  <c r="BY163" i="5"/>
  <c r="BV234" i="5"/>
  <c r="BN201" i="18" s="1"/>
  <c r="BV217" i="5"/>
  <c r="BV288" i="5"/>
  <c r="BN245" i="18" s="1"/>
  <c r="BV244" i="5"/>
  <c r="BV245" i="5" s="1"/>
  <c r="CB288" i="5"/>
  <c r="BT245" i="18" s="1"/>
  <c r="CB234" i="5"/>
  <c r="BT201" i="18" s="1"/>
  <c r="CB217" i="5"/>
  <c r="CB287" i="5"/>
  <c r="CB244" i="5"/>
  <c r="CB245" i="5" s="1"/>
  <c r="BZ307" i="5"/>
  <c r="BR265" i="18" s="1"/>
  <c r="BZ309" i="5"/>
  <c r="BZ181" i="5"/>
  <c r="BR147" i="18" s="1"/>
  <c r="BY234" i="5"/>
  <c r="BQ201" i="18" s="1"/>
  <c r="BY217" i="5"/>
  <c r="BY287" i="5"/>
  <c r="BY244" i="5"/>
  <c r="BY245" i="5" s="1"/>
  <c r="CY153" i="5"/>
  <c r="CF151" i="5"/>
  <c r="CU300" i="5"/>
  <c r="CU233" i="5"/>
  <c r="CM200" i="18" s="1"/>
  <c r="CA438" i="5"/>
  <c r="BS1042" i="18" s="1"/>
  <c r="CA447" i="5"/>
  <c r="CA448" i="5" s="1"/>
  <c r="DF319" i="5"/>
  <c r="DE322" i="5"/>
  <c r="DE324" i="5"/>
  <c r="DE326" i="5" s="1"/>
  <c r="DE18" i="5"/>
  <c r="DE37" i="5"/>
  <c r="DE466" i="5"/>
  <c r="DD65" i="5"/>
  <c r="CV53" i="18" s="1"/>
  <c r="DD614" i="5"/>
  <c r="BY299" i="5"/>
  <c r="BQ257" i="18" s="1"/>
  <c r="CC181" i="5"/>
  <c r="BU147" i="18" s="1"/>
  <c r="BY215" i="5"/>
  <c r="BQ182" i="18" s="1"/>
  <c r="BR301" i="5"/>
  <c r="BJ259" i="18" s="1"/>
  <c r="CZ167" i="5"/>
  <c r="DB121" i="5"/>
  <c r="BZ157" i="5"/>
  <c r="BR129" i="18" s="1"/>
  <c r="BZ162" i="5"/>
  <c r="BZ163" i="5"/>
  <c r="DA599" i="5"/>
  <c r="BF6" i="5"/>
  <c r="CB215" i="5"/>
  <c r="CB299" i="5"/>
  <c r="BT257" i="18" s="1"/>
  <c r="CF181" i="5"/>
  <c r="BX147" i="18" s="1"/>
  <c r="DD322" i="5"/>
  <c r="BW288" i="5"/>
  <c r="BO245" i="18" s="1"/>
  <c r="BW234" i="5"/>
  <c r="BO201" i="18" s="1"/>
  <c r="BW217" i="5"/>
  <c r="BW244" i="5"/>
  <c r="BW245" i="5" s="1"/>
  <c r="CV217" i="5"/>
  <c r="CV223" i="5"/>
  <c r="CV287" i="5"/>
  <c r="CA307" i="5"/>
  <c r="BS265" i="18" s="1"/>
  <c r="CA309" i="5"/>
  <c r="CA181" i="5"/>
  <c r="BS147" i="18" s="1"/>
  <c r="BV299" i="5"/>
  <c r="BN257" i="18" s="1"/>
  <c r="BV215" i="5"/>
  <c r="BR226" i="5"/>
  <c r="BJ193" i="18" s="1"/>
  <c r="BR224" i="5"/>
  <c r="CF309" i="5"/>
  <c r="CF307" i="5"/>
  <c r="BX265" i="18" s="1"/>
  <c r="CF17" i="5"/>
  <c r="BX10" i="18" s="1"/>
  <c r="CA216" i="5"/>
  <c r="BS183" i="18" s="1"/>
  <c r="CA31" i="5"/>
  <c r="BS23" i="18" s="1"/>
  <c r="CW216" i="5"/>
  <c r="CO183" i="18" s="1"/>
  <c r="DE592" i="5"/>
  <c r="BW34" i="5"/>
  <c r="BO26" i="18" s="1"/>
  <c r="BW32" i="5"/>
  <c r="BW518" i="5"/>
  <c r="CE306" i="5"/>
  <c r="BW264" i="18" s="1"/>
  <c r="CE36" i="5"/>
  <c r="BW28" i="18" s="1"/>
  <c r="CY240" i="5"/>
  <c r="CY273" i="5" s="1"/>
  <c r="CC205" i="5"/>
  <c r="CY205" i="5" s="1"/>
  <c r="CX306" i="5"/>
  <c r="CP264" i="18" s="1"/>
  <c r="CC307" i="5"/>
  <c r="BU265" i="18" s="1"/>
  <c r="CC309" i="5"/>
  <c r="CC17" i="5"/>
  <c r="BU10" i="18" s="1"/>
  <c r="DD624" i="5"/>
  <c r="BZ447" i="5"/>
  <c r="BZ448" i="5" s="1"/>
  <c r="BZ438" i="5"/>
  <c r="BR1042" i="18" s="1"/>
  <c r="DC106" i="5"/>
  <c r="CF205" i="5"/>
  <c r="CA157" i="5"/>
  <c r="BS129" i="18" s="1"/>
  <c r="CA162" i="5"/>
  <c r="CA163" i="5"/>
  <c r="CW438" i="5"/>
  <c r="CO1042" i="18" s="1"/>
  <c r="CW447" i="5"/>
  <c r="CW448" i="5" s="1"/>
  <c r="DE335" i="5"/>
  <c r="CW291" i="18" s="1"/>
  <c r="DD336" i="5"/>
  <c r="CV292" i="18" s="1"/>
  <c r="DD61" i="5"/>
  <c r="CV49" i="18" s="1"/>
  <c r="BU300" i="5"/>
  <c r="V915" i="18"/>
  <c r="CA310" i="5" l="1"/>
  <c r="BS268" i="18" s="1"/>
  <c r="BS267" i="18"/>
  <c r="CB300" i="5"/>
  <c r="BT258" i="18" s="1"/>
  <c r="BT182" i="18"/>
  <c r="CX139" i="5"/>
  <c r="CP1335" i="18" s="1"/>
  <c r="CP112" i="18"/>
  <c r="BF194" i="5"/>
  <c r="AX160" i="18" s="1"/>
  <c r="AX159" i="18"/>
  <c r="BQ441" i="5"/>
  <c r="BI1044" i="18"/>
  <c r="CS295" i="5"/>
  <c r="CK253" i="18" s="1"/>
  <c r="AW253" i="18"/>
  <c r="BF440" i="5"/>
  <c r="AX1043" i="18"/>
  <c r="BO441" i="5"/>
  <c r="BG1044" i="18"/>
  <c r="BC297" i="5"/>
  <c r="AU255" i="18" s="1"/>
  <c r="AU254" i="18"/>
  <c r="BI434" i="5"/>
  <c r="BA1037" i="18"/>
  <c r="BX301" i="5"/>
  <c r="BP259" i="18" s="1"/>
  <c r="BP258" i="18"/>
  <c r="CR197" i="5"/>
  <c r="CJ163" i="18" s="1"/>
  <c r="CJ162" i="18"/>
  <c r="BR225" i="5"/>
  <c r="BJ192" i="18" s="1"/>
  <c r="BJ191" i="18"/>
  <c r="CV224" i="5"/>
  <c r="CN190" i="18"/>
  <c r="CU301" i="5"/>
  <c r="CM259" i="18" s="1"/>
  <c r="CM258" i="18"/>
  <c r="BY289" i="5"/>
  <c r="BQ246" i="18" s="1"/>
  <c r="BQ244" i="18"/>
  <c r="BZ310" i="5"/>
  <c r="BR268" i="18" s="1"/>
  <c r="BR267" i="18"/>
  <c r="CB218" i="5"/>
  <c r="BT185" i="18" s="1"/>
  <c r="BT184" i="18"/>
  <c r="BS225" i="5"/>
  <c r="BK192" i="18" s="1"/>
  <c r="BK191" i="18"/>
  <c r="BV519" i="5"/>
  <c r="BN372" i="18"/>
  <c r="CF518" i="5"/>
  <c r="BX372" i="18" s="1"/>
  <c r="BT372" i="18"/>
  <c r="CY314" i="5"/>
  <c r="CZ314" i="5" s="1"/>
  <c r="DA314" i="5" s="1"/>
  <c r="DB314" i="5" s="1"/>
  <c r="DC314" i="5" s="1"/>
  <c r="DD314" i="5" s="1"/>
  <c r="DE314" i="5" s="1"/>
  <c r="DF314" i="5" s="1"/>
  <c r="BU435" i="5"/>
  <c r="BM1039" i="18" s="1"/>
  <c r="BM1038" i="18"/>
  <c r="AZ230" i="5"/>
  <c r="AR197" i="18" s="1"/>
  <c r="AR196" i="18"/>
  <c r="BR1303" i="18"/>
  <c r="BR729" i="18"/>
  <c r="BJ200" i="5"/>
  <c r="BB166" i="18" s="1"/>
  <c r="BB165" i="18"/>
  <c r="BB434" i="5"/>
  <c r="AT1037" i="18"/>
  <c r="BJ297" i="5"/>
  <c r="BB255" i="18" s="1"/>
  <c r="BB254" i="18"/>
  <c r="BG440" i="5"/>
  <c r="AY1043" i="18"/>
  <c r="BD293" i="5"/>
  <c r="AV251" i="18" s="1"/>
  <c r="AV250" i="18"/>
  <c r="CT205" i="5"/>
  <c r="CL172" i="18" s="1"/>
  <c r="BA172" i="18"/>
  <c r="BH197" i="5"/>
  <c r="AZ163" i="18" s="1"/>
  <c r="AZ162" i="18"/>
  <c r="BL441" i="5"/>
  <c r="BD1044" i="18"/>
  <c r="CR232" i="5"/>
  <c r="CJ199" i="18" s="1"/>
  <c r="CJ181" i="18"/>
  <c r="BO1304" i="18"/>
  <c r="BO730" i="18"/>
  <c r="CR291" i="5"/>
  <c r="CJ249" i="18" s="1"/>
  <c r="AS249" i="18"/>
  <c r="BS1303" i="18"/>
  <c r="BS729" i="18"/>
  <c r="BU74" i="6"/>
  <c r="BM611" i="18" s="1"/>
  <c r="BM625" i="18"/>
  <c r="CR249" i="6"/>
  <c r="CJ772" i="18"/>
  <c r="BM205" i="5"/>
  <c r="BE172" i="18" s="1"/>
  <c r="BK440" i="5"/>
  <c r="BC1043" i="18"/>
  <c r="BP434" i="5"/>
  <c r="BH1037" i="18"/>
  <c r="CP813" i="18"/>
  <c r="CP811" i="18"/>
  <c r="BA441" i="5"/>
  <c r="AS1044" i="18"/>
  <c r="CW299" i="5"/>
  <c r="CO257" i="18" s="1"/>
  <c r="CO147" i="18"/>
  <c r="CX31" i="5"/>
  <c r="CP28" i="18"/>
  <c r="BY218" i="5"/>
  <c r="BQ185" i="18" s="1"/>
  <c r="BQ184" i="18"/>
  <c r="BV218" i="5"/>
  <c r="BN185" i="18" s="1"/>
  <c r="BN184" i="18"/>
  <c r="CC518" i="5"/>
  <c r="BU372" i="18" s="1"/>
  <c r="BQ372" i="18"/>
  <c r="CB33" i="5"/>
  <c r="BT25" i="18" s="1"/>
  <c r="BT24" i="18"/>
  <c r="AZ434" i="5"/>
  <c r="AR1037" i="18"/>
  <c r="BN1304" i="18"/>
  <c r="BN730" i="18"/>
  <c r="CC310" i="5"/>
  <c r="BU268" i="18" s="1"/>
  <c r="BU267" i="18"/>
  <c r="BW519" i="5"/>
  <c r="BO372" i="18"/>
  <c r="CX156" i="5"/>
  <c r="CP128" i="18" s="1"/>
  <c r="CP120" i="18"/>
  <c r="BW300" i="5"/>
  <c r="BO182" i="18"/>
  <c r="DC538" i="5"/>
  <c r="CU55" i="18"/>
  <c r="BY33" i="5"/>
  <c r="BQ25" i="18" s="1"/>
  <c r="BQ24" i="18"/>
  <c r="BM441" i="5"/>
  <c r="BE1044" i="18"/>
  <c r="BF230" i="5"/>
  <c r="AX197" i="18" s="1"/>
  <c r="AX196" i="18"/>
  <c r="BK295" i="5"/>
  <c r="BC253" i="18" s="1"/>
  <c r="BC146" i="18"/>
  <c r="BE197" i="5"/>
  <c r="AW163" i="18" s="1"/>
  <c r="AW162" i="18"/>
  <c r="CT279" i="5"/>
  <c r="CL235" i="18" s="1"/>
  <c r="CL234" i="18"/>
  <c r="CQ252" i="5"/>
  <c r="CI217" i="18" s="1"/>
  <c r="CI216" i="18"/>
  <c r="BR205" i="5"/>
  <c r="BJ172" i="18" s="1"/>
  <c r="BJ170" i="18"/>
  <c r="BN434" i="5"/>
  <c r="BF1038" i="18" s="1"/>
  <c r="BF1037" i="18"/>
  <c r="CR252" i="5"/>
  <c r="CJ217" i="18" s="1"/>
  <c r="CJ216" i="18"/>
  <c r="BK434" i="5"/>
  <c r="BC1038" i="18" s="1"/>
  <c r="BC1037" i="18"/>
  <c r="BM1293" i="18"/>
  <c r="BM1267" i="18"/>
  <c r="DD63" i="5"/>
  <c r="CV51" i="18" s="1"/>
  <c r="DE452" i="5"/>
  <c r="BA435" i="5"/>
  <c r="AS1039" i="18" s="1"/>
  <c r="AS1038" i="18"/>
  <c r="BH441" i="5"/>
  <c r="AZ1044" i="18"/>
  <c r="BU442" i="5"/>
  <c r="BM1046" i="18" s="1"/>
  <c r="BM1045" i="18"/>
  <c r="N45" i="19"/>
  <c r="Q941" i="18" s="1"/>
  <c r="Y35" i="19"/>
  <c r="T930" i="18" s="1"/>
  <c r="T910" i="18"/>
  <c r="CV218" i="5"/>
  <c r="CN185" i="18" s="1"/>
  <c r="CN184" i="18"/>
  <c r="BV33" i="5"/>
  <c r="BN25" i="18" s="1"/>
  <c r="BN24" i="18"/>
  <c r="BB440" i="5"/>
  <c r="AT1043" i="18"/>
  <c r="CU364" i="6"/>
  <c r="CM603" i="18" s="1"/>
  <c r="BG603" i="18"/>
  <c r="CS196" i="5"/>
  <c r="CK146" i="18"/>
  <c r="AZ440" i="5"/>
  <c r="AR1043" i="18"/>
  <c r="CS243" i="5"/>
  <c r="CK210" i="18" s="1"/>
  <c r="CK209" i="18"/>
  <c r="BR441" i="5"/>
  <c r="BJ1044" i="18"/>
  <c r="CV63" i="6"/>
  <c r="CN625" i="18" s="1"/>
  <c r="BK625" i="18"/>
  <c r="BI440" i="5"/>
  <c r="BA1043" i="18"/>
  <c r="I45" i="19"/>
  <c r="X35" i="19"/>
  <c r="I930" i="18" s="1"/>
  <c r="I910" i="18"/>
  <c r="BS301" i="5"/>
  <c r="BK259" i="18" s="1"/>
  <c r="BK258" i="18"/>
  <c r="BV300" i="5"/>
  <c r="BN182" i="18"/>
  <c r="BU301" i="5"/>
  <c r="BM259" i="18" s="1"/>
  <c r="BM258" i="18"/>
  <c r="CY306" i="5"/>
  <c r="CQ264" i="18" s="1"/>
  <c r="BW33" i="5"/>
  <c r="BO25" i="18" s="1"/>
  <c r="BO24" i="18"/>
  <c r="CF310" i="5"/>
  <c r="BX268" i="18" s="1"/>
  <c r="BX267" i="18"/>
  <c r="CV289" i="5"/>
  <c r="CN246" i="18" s="1"/>
  <c r="CN244" i="18"/>
  <c r="BW218" i="5"/>
  <c r="BO185" i="18" s="1"/>
  <c r="BO184" i="18"/>
  <c r="CB289" i="5"/>
  <c r="BT246" i="18" s="1"/>
  <c r="BT244" i="18"/>
  <c r="CW33" i="5"/>
  <c r="CO25" i="18" s="1"/>
  <c r="CO24" i="18"/>
  <c r="CY36" i="5"/>
  <c r="CQ28" i="18" s="1"/>
  <c r="BG197" i="5"/>
  <c r="AY163" i="18" s="1"/>
  <c r="AY162" i="18"/>
  <c r="BF293" i="5"/>
  <c r="AX251" i="18" s="1"/>
  <c r="AX250" i="18"/>
  <c r="BZ337" i="6"/>
  <c r="BR871" i="18" s="1"/>
  <c r="BD440" i="5"/>
  <c r="AV1043" i="18"/>
  <c r="CU337" i="6"/>
  <c r="CM871" i="18" s="1"/>
  <c r="BM279" i="5"/>
  <c r="BE235" i="18" s="1"/>
  <c r="BE234" i="18"/>
  <c r="BA200" i="5"/>
  <c r="AS166" i="18" s="1"/>
  <c r="AS165" i="18"/>
  <c r="BJ440" i="5"/>
  <c r="BB1043" i="18"/>
  <c r="BR279" i="5"/>
  <c r="BJ235" i="18" s="1"/>
  <c r="BJ234" i="18"/>
  <c r="BH434" i="5"/>
  <c r="BC440" i="5"/>
  <c r="AU1043" i="18"/>
  <c r="BC434" i="5"/>
  <c r="AU1037" i="18"/>
  <c r="CT370" i="6"/>
  <c r="CL609" i="18" s="1"/>
  <c r="BN197" i="5"/>
  <c r="BF163" i="18" s="1"/>
  <c r="BF162" i="18"/>
  <c r="BZ74" i="6"/>
  <c r="BZ78" i="6" s="1"/>
  <c r="BE434" i="5"/>
  <c r="AW1037" i="18"/>
  <c r="BE440" i="5"/>
  <c r="AW1043" i="18"/>
  <c r="CP1302" i="18"/>
  <c r="CP728" i="18"/>
  <c r="CV698" i="5"/>
  <c r="CN534" i="18"/>
  <c r="BS442" i="5"/>
  <c r="BK1046" i="18" s="1"/>
  <c r="BK1045" i="18"/>
  <c r="CY151" i="5"/>
  <c r="CQ123" i="18" s="1"/>
  <c r="BX123" i="18"/>
  <c r="CZ170" i="5"/>
  <c r="CR133" i="18"/>
  <c r="CQ125" i="18"/>
  <c r="CW140" i="18"/>
  <c r="DF174" i="5"/>
  <c r="DE173" i="5"/>
  <c r="DD169" i="5"/>
  <c r="CV135" i="18" s="1"/>
  <c r="CV139" i="18"/>
  <c r="CU1297" i="18"/>
  <c r="CU723" i="18"/>
  <c r="BX1304" i="18"/>
  <c r="BX730" i="18"/>
  <c r="BU1304" i="18"/>
  <c r="BU730" i="18"/>
  <c r="BV1302" i="18"/>
  <c r="BV728" i="18"/>
  <c r="CO729" i="18"/>
  <c r="CO1303" i="18"/>
  <c r="BW1302" i="18"/>
  <c r="BW728" i="18"/>
  <c r="CN1304" i="18"/>
  <c r="CN730" i="18"/>
  <c r="DD171" i="6"/>
  <c r="CU1298" i="18"/>
  <c r="CU724" i="18"/>
  <c r="W920" i="18"/>
  <c r="W918" i="18"/>
  <c r="W916" i="18"/>
  <c r="W914" i="18"/>
  <c r="BQ364" i="5"/>
  <c r="BT434" i="5"/>
  <c r="BF434" i="5"/>
  <c r="DD34" i="7"/>
  <c r="BM364" i="5"/>
  <c r="Z6" i="7"/>
  <c r="Y5" i="7"/>
  <c r="CU365" i="6"/>
  <c r="CM604" i="18" s="1"/>
  <c r="BU78" i="6"/>
  <c r="BU75" i="6"/>
  <c r="BM612" i="18" s="1"/>
  <c r="BU222" i="5"/>
  <c r="BM189" i="18" s="1"/>
  <c r="BU40" i="6"/>
  <c r="BU60" i="6"/>
  <c r="BM621" i="18" s="1"/>
  <c r="CY224" i="6"/>
  <c r="CY219" i="6"/>
  <c r="CV70" i="6"/>
  <c r="CN631" i="18" s="1"/>
  <c r="CV67" i="6"/>
  <c r="CN629" i="18" s="1"/>
  <c r="CV66" i="6"/>
  <c r="CN627" i="18" s="1"/>
  <c r="CV64" i="6"/>
  <c r="CN626" i="18" s="1"/>
  <c r="CR430" i="5"/>
  <c r="CR431" i="5" s="1"/>
  <c r="CR432" i="5" s="1"/>
  <c r="CR433" i="5" s="1"/>
  <c r="CJ1037" i="18" s="1"/>
  <c r="CR439" i="5"/>
  <c r="CR356" i="5"/>
  <c r="CR358" i="5" s="1"/>
  <c r="CR421" i="5"/>
  <c r="CJ313" i="18" s="1"/>
  <c r="CR340" i="5"/>
  <c r="CR342" i="5" s="1"/>
  <c r="CW178" i="6"/>
  <c r="DC354" i="6"/>
  <c r="CU888" i="18" s="1"/>
  <c r="BZ367" i="6"/>
  <c r="BR606" i="18" s="1"/>
  <c r="BS407" i="5"/>
  <c r="BS365" i="5"/>
  <c r="CF139" i="6"/>
  <c r="CB143" i="6"/>
  <c r="BT703" i="18" s="1"/>
  <c r="CR199" i="5"/>
  <c r="CJ165" i="18" s="1"/>
  <c r="CR182" i="5"/>
  <c r="CJ148" i="18" s="1"/>
  <c r="BQ422" i="5"/>
  <c r="BQ424" i="5"/>
  <c r="BI317" i="18" s="1"/>
  <c r="CE330" i="6"/>
  <c r="CA335" i="6"/>
  <c r="BS869" i="18" s="1"/>
  <c r="BC357" i="5"/>
  <c r="BC359" i="5"/>
  <c r="BI196" i="5"/>
  <c r="BI214" i="5"/>
  <c r="BA181" i="18" s="1"/>
  <c r="CT180" i="5"/>
  <c r="BI179" i="5"/>
  <c r="BA145" i="18" s="1"/>
  <c r="CS283" i="6"/>
  <c r="CK805" i="18" s="1"/>
  <c r="BD283" i="6"/>
  <c r="AV805" i="18" s="1"/>
  <c r="CQ291" i="5"/>
  <c r="CQ182" i="5"/>
  <c r="CQ199" i="5"/>
  <c r="BT70" i="6"/>
  <c r="BL631" i="18" s="1"/>
  <c r="BX63" i="6"/>
  <c r="BT64" i="6"/>
  <c r="BL626" i="18" s="1"/>
  <c r="BT66" i="6"/>
  <c r="BL627" i="18" s="1"/>
  <c r="BT337" i="6"/>
  <c r="BL871" i="18" s="1"/>
  <c r="CC231" i="6"/>
  <c r="CQ232" i="5"/>
  <c r="CQ296" i="5"/>
  <c r="CQ297" i="5" s="1"/>
  <c r="CV140" i="6"/>
  <c r="CN700" i="18" s="1"/>
  <c r="BA108" i="6"/>
  <c r="AS661" i="18" s="1"/>
  <c r="CE369" i="6"/>
  <c r="BW608" i="18" s="1"/>
  <c r="BL214" i="5"/>
  <c r="BD181" i="18" s="1"/>
  <c r="BL196" i="5"/>
  <c r="BL179" i="5"/>
  <c r="BD145" i="18" s="1"/>
  <c r="CW246" i="6"/>
  <c r="CW225" i="6"/>
  <c r="CW220" i="6"/>
  <c r="CW216" i="6"/>
  <c r="BT67" i="6"/>
  <c r="BL629" i="18" s="1"/>
  <c r="BT61" i="6"/>
  <c r="BL622" i="18" s="1"/>
  <c r="BC343" i="5"/>
  <c r="BC341" i="5"/>
  <c r="BC364" i="5" s="1"/>
  <c r="CX369" i="6"/>
  <c r="CP608" i="18" s="1"/>
  <c r="BY239" i="5"/>
  <c r="BN440" i="5"/>
  <c r="CV266" i="6"/>
  <c r="CV260" i="6"/>
  <c r="CX448" i="5"/>
  <c r="BO72" i="6"/>
  <c r="BG633" i="18" s="1"/>
  <c r="BO71" i="6"/>
  <c r="BG632" i="18" s="1"/>
  <c r="BB357" i="5"/>
  <c r="BB359" i="5"/>
  <c r="BG463" i="5"/>
  <c r="BG464" i="5" s="1"/>
  <c r="BG420" i="5"/>
  <c r="BG423" i="5" s="1"/>
  <c r="AY316" i="18" s="1"/>
  <c r="CS214" i="5"/>
  <c r="BE213" i="5"/>
  <c r="AW180" i="18" s="1"/>
  <c r="BE296" i="5"/>
  <c r="AW254" i="18" s="1"/>
  <c r="BU364" i="6"/>
  <c r="BM603" i="18" s="1"/>
  <c r="BL295" i="5"/>
  <c r="BD253" i="18" s="1"/>
  <c r="BS337" i="6"/>
  <c r="BK871" i="18" s="1"/>
  <c r="BW165" i="6"/>
  <c r="BO715" i="18" s="1"/>
  <c r="BW145" i="6"/>
  <c r="BO705" i="18" s="1"/>
  <c r="BW144" i="6"/>
  <c r="BO704" i="18" s="1"/>
  <c r="CB56" i="6"/>
  <c r="BT618" i="18" s="1"/>
  <c r="BX59" i="6"/>
  <c r="BF341" i="5"/>
  <c r="BF343" i="5"/>
  <c r="DF346" i="6"/>
  <c r="CX880" i="18" s="1"/>
  <c r="DE347" i="6"/>
  <c r="CW881" i="18" s="1"/>
  <c r="BC200" i="5"/>
  <c r="AU166" i="18" s="1"/>
  <c r="BK371" i="6"/>
  <c r="BC610" i="18" s="1"/>
  <c r="BN463" i="5"/>
  <c r="BN464" i="5" s="1"/>
  <c r="BN420" i="5"/>
  <c r="BN423" i="5" s="1"/>
  <c r="BF316" i="18" s="1"/>
  <c r="BP278" i="5"/>
  <c r="BP203" i="5"/>
  <c r="CD239" i="5"/>
  <c r="CD204" i="5" s="1"/>
  <c r="CV230" i="6"/>
  <c r="BZ40" i="6"/>
  <c r="CW56" i="6"/>
  <c r="CO618" i="18" s="1"/>
  <c r="CE115" i="6"/>
  <c r="CE109" i="6"/>
  <c r="BW662" i="18" s="1"/>
  <c r="CE104" i="6"/>
  <c r="BQ658" i="18" s="1"/>
  <c r="CE103" i="6"/>
  <c r="BW656" i="18" s="1"/>
  <c r="CE414" i="5"/>
  <c r="BW307" i="18" s="1"/>
  <c r="CE259" i="5"/>
  <c r="CF103" i="6"/>
  <c r="BX656" i="18" s="1"/>
  <c r="CF104" i="6"/>
  <c r="BX658" i="18" s="1"/>
  <c r="CE124" i="6"/>
  <c r="BW693" i="18" s="1"/>
  <c r="CX120" i="6"/>
  <c r="CP684" i="18" s="1"/>
  <c r="BV364" i="6"/>
  <c r="BN603" i="18" s="1"/>
  <c r="CD143" i="6"/>
  <c r="BV703" i="18" s="1"/>
  <c r="CS430" i="5"/>
  <c r="CS431" i="5" s="1"/>
  <c r="CS432" i="5" s="1"/>
  <c r="CS433" i="5" s="1"/>
  <c r="CK1037" i="18" s="1"/>
  <c r="CS340" i="5"/>
  <c r="CS342" i="5" s="1"/>
  <c r="CS356" i="5"/>
  <c r="CS358" i="5" s="1"/>
  <c r="CS421" i="5"/>
  <c r="CK313" i="18" s="1"/>
  <c r="CS439" i="5"/>
  <c r="BY165" i="6"/>
  <c r="BQ715" i="18" s="1"/>
  <c r="BY144" i="6"/>
  <c r="BQ704" i="18" s="1"/>
  <c r="BY145" i="6"/>
  <c r="BQ705" i="18" s="1"/>
  <c r="BM371" i="6"/>
  <c r="BE610" i="18" s="1"/>
  <c r="BD108" i="6"/>
  <c r="AV661" i="18" s="1"/>
  <c r="BO68" i="6"/>
  <c r="CD126" i="6"/>
  <c r="BV695" i="18" s="1"/>
  <c r="BB343" i="5"/>
  <c r="BB341" i="5"/>
  <c r="BB364" i="5" s="1"/>
  <c r="CS208" i="5"/>
  <c r="CK175" i="18" s="1"/>
  <c r="CR208" i="5"/>
  <c r="BO168" i="6"/>
  <c r="BG718" i="18" s="1"/>
  <c r="BO159" i="6"/>
  <c r="BG711" i="18" s="1"/>
  <c r="CV277" i="5"/>
  <c r="CN233" i="18" s="1"/>
  <c r="AZ343" i="5"/>
  <c r="AZ341" i="5"/>
  <c r="BA364" i="5"/>
  <c r="BS367" i="6"/>
  <c r="BK606" i="18" s="1"/>
  <c r="BC108" i="6"/>
  <c r="AU661" i="18" s="1"/>
  <c r="BD434" i="5"/>
  <c r="BT343" i="5"/>
  <c r="BT341" i="5"/>
  <c r="CB369" i="6"/>
  <c r="BT608" i="18" s="1"/>
  <c r="BT58" i="6"/>
  <c r="BX58" i="6"/>
  <c r="BL371" i="6"/>
  <c r="BD610" i="18" s="1"/>
  <c r="BJ341" i="5"/>
  <c r="BJ343" i="5"/>
  <c r="CY102" i="6"/>
  <c r="BF463" i="5"/>
  <c r="BF464" i="5" s="1"/>
  <c r="BF420" i="5"/>
  <c r="BF423" i="5" s="1"/>
  <c r="AX316" i="18" s="1"/>
  <c r="BL364" i="5"/>
  <c r="CY176" i="6"/>
  <c r="CY291" i="6"/>
  <c r="CY108" i="6"/>
  <c r="CZ108" i="6" s="1"/>
  <c r="CY114" i="6"/>
  <c r="CQ667" i="18" s="1"/>
  <c r="BR159" i="6"/>
  <c r="BJ711" i="18" s="1"/>
  <c r="BR168" i="6"/>
  <c r="BJ718" i="18" s="1"/>
  <c r="BY335" i="6"/>
  <c r="BQ869" i="18" s="1"/>
  <c r="CC330" i="6"/>
  <c r="BH162" i="6"/>
  <c r="BS67" i="6"/>
  <c r="BK629" i="18" s="1"/>
  <c r="BS61" i="6"/>
  <c r="BK622" i="18" s="1"/>
  <c r="BU425" i="5"/>
  <c r="BM318" i="18" s="1"/>
  <c r="CV226" i="6"/>
  <c r="CV221" i="6"/>
  <c r="BP341" i="5"/>
  <c r="BP343" i="5"/>
  <c r="BI343" i="5"/>
  <c r="BI341" i="5"/>
  <c r="CE125" i="6"/>
  <c r="BW694" i="18" s="1"/>
  <c r="BZ145" i="6"/>
  <c r="BR705" i="18" s="1"/>
  <c r="BZ144" i="6"/>
  <c r="BR704" i="18" s="1"/>
  <c r="BZ165" i="6"/>
  <c r="BR715" i="18" s="1"/>
  <c r="BG162" i="6"/>
  <c r="BG343" i="5"/>
  <c r="BG341" i="5"/>
  <c r="BQ365" i="5"/>
  <c r="BQ407" i="5"/>
  <c r="BE463" i="5"/>
  <c r="BE464" i="5" s="1"/>
  <c r="BE420" i="5"/>
  <c r="BE423" i="5" s="1"/>
  <c r="AW316" i="18" s="1"/>
  <c r="BI162" i="6"/>
  <c r="BV78" i="6"/>
  <c r="BV75" i="6"/>
  <c r="BN612" i="18" s="1"/>
  <c r="BV40" i="6"/>
  <c r="BV222" i="5"/>
  <c r="BN189" i="18" s="1"/>
  <c r="BV60" i="6"/>
  <c r="BN621" i="18" s="1"/>
  <c r="CS179" i="5"/>
  <c r="CK145" i="18" s="1"/>
  <c r="BE291" i="5"/>
  <c r="AW249" i="18" s="1"/>
  <c r="BE199" i="5"/>
  <c r="BT463" i="5"/>
  <c r="BT464" i="5" s="1"/>
  <c r="BT420" i="5"/>
  <c r="BT423" i="5" s="1"/>
  <c r="BL316" i="18" s="1"/>
  <c r="AZ108" i="6"/>
  <c r="AR661" i="18" s="1"/>
  <c r="CT68" i="6"/>
  <c r="BQ72" i="6"/>
  <c r="BI633" i="18" s="1"/>
  <c r="BQ71" i="6"/>
  <c r="BI632" i="18" s="1"/>
  <c r="CT371" i="6"/>
  <c r="CL610" i="18" s="1"/>
  <c r="CD86" i="6"/>
  <c r="BV637" i="18" s="1"/>
  <c r="CD59" i="6"/>
  <c r="CV167" i="6"/>
  <c r="CN717" i="18" s="1"/>
  <c r="CF360" i="6"/>
  <c r="BX893" i="18" s="1"/>
  <c r="CF368" i="6"/>
  <c r="BX607" i="18" s="1"/>
  <c r="BG296" i="5"/>
  <c r="BG213" i="5"/>
  <c r="AY180" i="18" s="1"/>
  <c r="CV58" i="6"/>
  <c r="CE226" i="6"/>
  <c r="CE221" i="6"/>
  <c r="BD194" i="5"/>
  <c r="AV160" i="18" s="1"/>
  <c r="BT359" i="5"/>
  <c r="BT357" i="5"/>
  <c r="CT243" i="5"/>
  <c r="CL210" i="18" s="1"/>
  <c r="CU243" i="5"/>
  <c r="CM210" i="18" s="1"/>
  <c r="CC267" i="5"/>
  <c r="CY29" i="6"/>
  <c r="CC31" i="6"/>
  <c r="CC30" i="6"/>
  <c r="BC292" i="5"/>
  <c r="BC229" i="5"/>
  <c r="BC193" i="5"/>
  <c r="AU159" i="18" s="1"/>
  <c r="BU204" i="5"/>
  <c r="BU238" i="5"/>
  <c r="BM205" i="18" s="1"/>
  <c r="CF335" i="6"/>
  <c r="BX869" i="18" s="1"/>
  <c r="CE179" i="6"/>
  <c r="CE177" i="6"/>
  <c r="CF179" i="6"/>
  <c r="BR434" i="5"/>
  <c r="CV61" i="6"/>
  <c r="CN622" i="18" s="1"/>
  <c r="BA422" i="5"/>
  <c r="BA424" i="5"/>
  <c r="CU140" i="6"/>
  <c r="CM700" i="18" s="1"/>
  <c r="BD230" i="5"/>
  <c r="AV197" i="18" s="1"/>
  <c r="AZ463" i="5"/>
  <c r="AZ464" i="5" s="1"/>
  <c r="AZ420" i="5"/>
  <c r="AZ423" i="5" s="1"/>
  <c r="AR316" i="18" s="1"/>
  <c r="CW143" i="6"/>
  <c r="CO703" i="18" s="1"/>
  <c r="BM424" i="5"/>
  <c r="BE317" i="18" s="1"/>
  <c r="BM422" i="5"/>
  <c r="BH296" i="5"/>
  <c r="BH213" i="5"/>
  <c r="AZ180" i="18" s="1"/>
  <c r="CB216" i="6"/>
  <c r="CF215" i="6"/>
  <c r="CB220" i="6"/>
  <c r="CX215" i="6"/>
  <c r="CR296" i="5"/>
  <c r="BA297" i="5"/>
  <c r="AS255" i="18" s="1"/>
  <c r="CU70" i="6"/>
  <c r="CM631" i="18" s="1"/>
  <c r="CU67" i="6"/>
  <c r="CM629" i="18" s="1"/>
  <c r="CU66" i="6"/>
  <c r="CM627" i="18" s="1"/>
  <c r="CU64" i="6"/>
  <c r="CM626" i="18" s="1"/>
  <c r="BD343" i="5"/>
  <c r="BD341" i="5"/>
  <c r="BS204" i="5"/>
  <c r="BS238" i="5"/>
  <c r="BK205" i="18" s="1"/>
  <c r="CV337" i="6"/>
  <c r="CN871" i="18" s="1"/>
  <c r="CV336" i="6"/>
  <c r="CN870" i="18" s="1"/>
  <c r="CV330" i="6"/>
  <c r="CN864" i="18" s="1"/>
  <c r="CT65" i="6"/>
  <c r="BF357" i="5"/>
  <c r="BF359" i="5"/>
  <c r="BT231" i="6"/>
  <c r="BS364" i="6"/>
  <c r="BK603" i="18" s="1"/>
  <c r="BS167" i="6"/>
  <c r="BK717" i="18" s="1"/>
  <c r="CD179" i="6"/>
  <c r="CD177" i="6"/>
  <c r="BT364" i="6"/>
  <c r="BL603" i="18" s="1"/>
  <c r="BT167" i="6"/>
  <c r="BL717" i="18" s="1"/>
  <c r="X6" i="6"/>
  <c r="W5" i="6"/>
  <c r="DA36" i="6"/>
  <c r="CZ35" i="6"/>
  <c r="BW59" i="6"/>
  <c r="CA56" i="6"/>
  <c r="BS618" i="18" s="1"/>
  <c r="BP365" i="6"/>
  <c r="BH604" i="18" s="1"/>
  <c r="BP370" i="6"/>
  <c r="BH609" i="18" s="1"/>
  <c r="CY267" i="6"/>
  <c r="CY261" i="6"/>
  <c r="BL422" i="5"/>
  <c r="BL424" i="5"/>
  <c r="BD317" i="18" s="1"/>
  <c r="BN291" i="5"/>
  <c r="BF249" i="18" s="1"/>
  <c r="BN199" i="5"/>
  <c r="BK357" i="5"/>
  <c r="BK359" i="5"/>
  <c r="BP68" i="6"/>
  <c r="BV203" i="5"/>
  <c r="BN170" i="18" s="1"/>
  <c r="BU408" i="5"/>
  <c r="CB366" i="6"/>
  <c r="BT605" i="18" s="1"/>
  <c r="CB336" i="6"/>
  <c r="BT870" i="18" s="1"/>
  <c r="BP463" i="5"/>
  <c r="BP464" i="5" s="1"/>
  <c r="BP420" i="5"/>
  <c r="BP423" i="5" s="1"/>
  <c r="BH316" i="18" s="1"/>
  <c r="BI463" i="5"/>
  <c r="BI464" i="5" s="1"/>
  <c r="BI420" i="5"/>
  <c r="BI423" i="5" s="1"/>
  <c r="BA316" i="18" s="1"/>
  <c r="CW30" i="6"/>
  <c r="CW31" i="6"/>
  <c r="BV33" i="6"/>
  <c r="BU33" i="6"/>
  <c r="CX177" i="6"/>
  <c r="CT332" i="6"/>
  <c r="CL866" i="18" s="1"/>
  <c r="CT333" i="6"/>
  <c r="CL867" i="18" s="1"/>
  <c r="BB463" i="5"/>
  <c r="BB464" i="5" s="1"/>
  <c r="BB420" i="5"/>
  <c r="BB423" i="5" s="1"/>
  <c r="AT316" i="18" s="1"/>
  <c r="BT440" i="5"/>
  <c r="BO278" i="5"/>
  <c r="BO203" i="5"/>
  <c r="BU65" i="6"/>
  <c r="BQ65" i="6"/>
  <c r="CU367" i="6"/>
  <c r="CM606" i="18" s="1"/>
  <c r="CX219" i="6"/>
  <c r="CX224" i="6"/>
  <c r="CF219" i="6"/>
  <c r="CF29" i="6"/>
  <c r="BG359" i="5"/>
  <c r="BG357" i="5"/>
  <c r="CA143" i="6"/>
  <c r="CE139" i="6"/>
  <c r="DD327" i="6"/>
  <c r="CV861" i="18" s="1"/>
  <c r="DE324" i="6"/>
  <c r="CW858" i="18" s="1"/>
  <c r="CU203" i="5"/>
  <c r="CM170" i="18" s="1"/>
  <c r="BM180" i="5"/>
  <c r="BE146" i="18" s="1"/>
  <c r="DE328" i="6"/>
  <c r="CW862" i="18" s="1"/>
  <c r="DF325" i="6"/>
  <c r="CX859" i="18" s="1"/>
  <c r="DE326" i="6"/>
  <c r="CW860" i="18" s="1"/>
  <c r="BK435" i="5"/>
  <c r="BC1039" i="18" s="1"/>
  <c r="AY292" i="5"/>
  <c r="AY293" i="5" s="1"/>
  <c r="AY193" i="5"/>
  <c r="AY194" i="5" s="1"/>
  <c r="AY229" i="5"/>
  <c r="AY230" i="5" s="1"/>
  <c r="CQ213" i="5"/>
  <c r="BS27" i="6"/>
  <c r="BK581" i="18" s="1"/>
  <c r="CT340" i="5"/>
  <c r="CT342" i="5" s="1"/>
  <c r="CT356" i="5"/>
  <c r="CT358" i="5" s="1"/>
  <c r="CT430" i="5"/>
  <c r="CT431" i="5" s="1"/>
  <c r="CT432" i="5" s="1"/>
  <c r="CT433" i="5" s="1"/>
  <c r="CL1037" i="18" s="1"/>
  <c r="CT421" i="5"/>
  <c r="CL313" i="18" s="1"/>
  <c r="CT439" i="5"/>
  <c r="CQ439" i="5"/>
  <c r="CQ421" i="5"/>
  <c r="CI313" i="18" s="1"/>
  <c r="CQ430" i="5"/>
  <c r="CQ431" i="5" s="1"/>
  <c r="CQ432" i="5" s="1"/>
  <c r="CQ433" i="5" s="1"/>
  <c r="CQ340" i="5"/>
  <c r="CQ342" i="5" s="1"/>
  <c r="CQ356" i="5"/>
  <c r="CQ358" i="5" s="1"/>
  <c r="BO65" i="6"/>
  <c r="BH364" i="5"/>
  <c r="BR365" i="6"/>
  <c r="BJ604" i="18" s="1"/>
  <c r="BR370" i="6"/>
  <c r="BJ609" i="18" s="1"/>
  <c r="CT160" i="6"/>
  <c r="CL712" i="18" s="1"/>
  <c r="CX31" i="6"/>
  <c r="CX30" i="6"/>
  <c r="BZ33" i="6"/>
  <c r="BH424" i="5"/>
  <c r="AZ317" i="18" s="1"/>
  <c r="BH422" i="5"/>
  <c r="BS58" i="6"/>
  <c r="BW58" i="6"/>
  <c r="CV251" i="6"/>
  <c r="CN773" i="18" s="1"/>
  <c r="CV26" i="6"/>
  <c r="CN580" i="18" s="1"/>
  <c r="BP168" i="6"/>
  <c r="BH718" i="18" s="1"/>
  <c r="BP159" i="6"/>
  <c r="BH711" i="18" s="1"/>
  <c r="CV308" i="6"/>
  <c r="CN841" i="18" s="1"/>
  <c r="CV297" i="6"/>
  <c r="CN818" i="18" s="1"/>
  <c r="BX367" i="6"/>
  <c r="BP606" i="18" s="1"/>
  <c r="BT204" i="5"/>
  <c r="BT238" i="5"/>
  <c r="BL205" i="18" s="1"/>
  <c r="BI359" i="5"/>
  <c r="BI357" i="5"/>
  <c r="BP65" i="6"/>
  <c r="BG291" i="5"/>
  <c r="AY249" i="18" s="1"/>
  <c r="BG199" i="5"/>
  <c r="CU167" i="6"/>
  <c r="CM717" i="18" s="1"/>
  <c r="BM160" i="6"/>
  <c r="BE712" i="18" s="1"/>
  <c r="BH291" i="5"/>
  <c r="AZ249" i="18" s="1"/>
  <c r="BH199" i="5"/>
  <c r="CS160" i="6"/>
  <c r="CK712" i="18" s="1"/>
  <c r="BD463" i="5"/>
  <c r="BD464" i="5" s="1"/>
  <c r="BD420" i="5"/>
  <c r="BD423" i="5" s="1"/>
  <c r="AV316" i="18" s="1"/>
  <c r="BQ367" i="6"/>
  <c r="BI606" i="18" s="1"/>
  <c r="CV366" i="6"/>
  <c r="CN605" i="18" s="1"/>
  <c r="CT71" i="6"/>
  <c r="CL632" i="18" s="1"/>
  <c r="CT72" i="6"/>
  <c r="CL633" i="18" s="1"/>
  <c r="BJ463" i="5"/>
  <c r="BJ464" i="5" s="1"/>
  <c r="BJ420" i="5"/>
  <c r="BJ423" i="5" s="1"/>
  <c r="BB316" i="18" s="1"/>
  <c r="BQ68" i="6"/>
  <c r="BN160" i="6"/>
  <c r="BF712" i="18" s="1"/>
  <c r="CV238" i="5"/>
  <c r="BQ278" i="5"/>
  <c r="BQ203" i="5"/>
  <c r="CA231" i="6"/>
  <c r="BN341" i="5"/>
  <c r="BN343" i="5"/>
  <c r="CR254" i="5"/>
  <c r="BR424" i="5"/>
  <c r="BJ317" i="18" s="1"/>
  <c r="BR422" i="5"/>
  <c r="BK343" i="5"/>
  <c r="BK341" i="5"/>
  <c r="CA33" i="6"/>
  <c r="CA267" i="5"/>
  <c r="CA30" i="6"/>
  <c r="CA31" i="6"/>
  <c r="BV205" i="5"/>
  <c r="BN172" i="18" s="1"/>
  <c r="BO422" i="5"/>
  <c r="BO424" i="5"/>
  <c r="BG317" i="18" s="1"/>
  <c r="BE343" i="5"/>
  <c r="BE341" i="5"/>
  <c r="BP440" i="5"/>
  <c r="CX313" i="6"/>
  <c r="CP844" i="18" s="1"/>
  <c r="CX302" i="6"/>
  <c r="CP821" i="18" s="1"/>
  <c r="BW239" i="5"/>
  <c r="BP71" i="6"/>
  <c r="BH632" i="18" s="1"/>
  <c r="BP72" i="6"/>
  <c r="BH633" i="18" s="1"/>
  <c r="CY368" i="6"/>
  <c r="CQ607" i="18" s="1"/>
  <c r="CY360" i="6"/>
  <c r="CQ893" i="18" s="1"/>
  <c r="BJ292" i="5"/>
  <c r="BJ229" i="5"/>
  <c r="BJ193" i="5"/>
  <c r="BV72" i="6"/>
  <c r="BN633" i="18" s="1"/>
  <c r="BV71" i="6"/>
  <c r="BN632" i="18" s="1"/>
  <c r="CZ316" i="6"/>
  <c r="CR849" i="18" s="1"/>
  <c r="CZ113" i="6"/>
  <c r="CR666" i="18" s="1"/>
  <c r="DA100" i="6"/>
  <c r="CS653" i="18" s="1"/>
  <c r="CV204" i="5"/>
  <c r="CD336" i="6"/>
  <c r="BV870" i="18" s="1"/>
  <c r="CD366" i="6"/>
  <c r="BV605" i="18" s="1"/>
  <c r="BK463" i="5"/>
  <c r="BK464" i="5" s="1"/>
  <c r="BK420" i="5"/>
  <c r="BK423" i="5" s="1"/>
  <c r="BC316" i="18" s="1"/>
  <c r="CV364" i="6"/>
  <c r="CN603" i="18" s="1"/>
  <c r="BQ365" i="6"/>
  <c r="BI604" i="18" s="1"/>
  <c r="BQ370" i="6"/>
  <c r="BI609" i="18" s="1"/>
  <c r="BS66" i="6"/>
  <c r="BK627" i="18" s="1"/>
  <c r="BS70" i="6"/>
  <c r="BK631" i="18" s="1"/>
  <c r="BW63" i="6"/>
  <c r="BS64" i="6"/>
  <c r="BK626" i="18" s="1"/>
  <c r="DD345" i="6"/>
  <c r="CV879" i="18" s="1"/>
  <c r="DE344" i="6"/>
  <c r="CW878" i="18" s="1"/>
  <c r="DD353" i="6"/>
  <c r="CV887" i="18" s="1"/>
  <c r="CD110" i="6"/>
  <c r="BV663" i="18" s="1"/>
  <c r="CD121" i="6"/>
  <c r="BV685" i="18" s="1"/>
  <c r="BB108" i="6"/>
  <c r="AT661" i="18" s="1"/>
  <c r="CU204" i="5"/>
  <c r="BT27" i="6"/>
  <c r="BL581" i="18" s="1"/>
  <c r="BY59" i="6"/>
  <c r="CC56" i="6"/>
  <c r="BU618" i="18" s="1"/>
  <c r="CX56" i="6"/>
  <c r="CP618" i="18" s="1"/>
  <c r="CC143" i="6"/>
  <c r="BU703" i="18" s="1"/>
  <c r="BZ178" i="6"/>
  <c r="BK214" i="5"/>
  <c r="BC181" i="18" s="1"/>
  <c r="BK179" i="5"/>
  <c r="BC145" i="18" s="1"/>
  <c r="BK196" i="5"/>
  <c r="BO365" i="6"/>
  <c r="BG604" i="18" s="1"/>
  <c r="BO370" i="6"/>
  <c r="AZ357" i="5"/>
  <c r="AZ359" i="5"/>
  <c r="BX226" i="6"/>
  <c r="BX221" i="6"/>
  <c r="BJ359" i="5"/>
  <c r="BJ357" i="5"/>
  <c r="CT365" i="6"/>
  <c r="CL604" i="18" s="1"/>
  <c r="BN371" i="6"/>
  <c r="BF610" i="18" s="1"/>
  <c r="DC172" i="6"/>
  <c r="DD170" i="6"/>
  <c r="BJ162" i="6"/>
  <c r="BU337" i="6"/>
  <c r="BM871" i="18" s="1"/>
  <c r="BU336" i="6"/>
  <c r="BM870" i="18" s="1"/>
  <c r="BU366" i="6"/>
  <c r="CW335" i="6"/>
  <c r="CO869" i="18" s="1"/>
  <c r="CR268" i="6"/>
  <c r="CJ791" i="18" s="1"/>
  <c r="CR238" i="6"/>
  <c r="CJ763" i="18" s="1"/>
  <c r="CR262" i="6"/>
  <c r="CJ785" i="18" s="1"/>
  <c r="DA234" i="6"/>
  <c r="CZ235" i="6"/>
  <c r="CZ247" i="6"/>
  <c r="BL160" i="6"/>
  <c r="BD712" i="18" s="1"/>
  <c r="BP359" i="5"/>
  <c r="BP357" i="5"/>
  <c r="CU340" i="5"/>
  <c r="CU342" i="5" s="1"/>
  <c r="CU439" i="5"/>
  <c r="CM1043" i="18" s="1"/>
  <c r="CU421" i="5"/>
  <c r="CM313" i="18" s="1"/>
  <c r="CU430" i="5"/>
  <c r="CU431" i="5" s="1"/>
  <c r="CU432" i="5" s="1"/>
  <c r="CU433" i="5" s="1"/>
  <c r="CM1037" i="18" s="1"/>
  <c r="CU356" i="5"/>
  <c r="CU358" i="5" s="1"/>
  <c r="BO434" i="5"/>
  <c r="BK160" i="6"/>
  <c r="BC712" i="18" s="1"/>
  <c r="CS371" i="6"/>
  <c r="CK610" i="18" s="1"/>
  <c r="CU231" i="6"/>
  <c r="BZ70" i="6"/>
  <c r="BR631" i="18" s="1"/>
  <c r="BZ66" i="6"/>
  <c r="BR627" i="18" s="1"/>
  <c r="CD63" i="6"/>
  <c r="BV625" i="18" s="1"/>
  <c r="BG434" i="5"/>
  <c r="BZ204" i="5"/>
  <c r="BZ238" i="5"/>
  <c r="BR205" i="18" s="1"/>
  <c r="BR364" i="5"/>
  <c r="BX165" i="6"/>
  <c r="BP715" i="18" s="1"/>
  <c r="BX144" i="6"/>
  <c r="BP704" i="18" s="1"/>
  <c r="BX145" i="6"/>
  <c r="BP705" i="18" s="1"/>
  <c r="BA193" i="5"/>
  <c r="BA292" i="5"/>
  <c r="AS250" i="18" s="1"/>
  <c r="BA229" i="5"/>
  <c r="CR213" i="5"/>
  <c r="CJ180" i="18" s="1"/>
  <c r="CZ119" i="6"/>
  <c r="CR683" i="18" s="1"/>
  <c r="CY119" i="6"/>
  <c r="CQ683" i="18" s="1"/>
  <c r="BX239" i="5"/>
  <c r="BD359" i="5"/>
  <c r="BD357" i="5"/>
  <c r="BS422" i="5"/>
  <c r="BS424" i="5"/>
  <c r="BK317" i="18" s="1"/>
  <c r="CU331" i="6"/>
  <c r="CM865" i="18" s="1"/>
  <c r="CS251" i="5"/>
  <c r="CT253" i="5"/>
  <c r="CT251" i="5"/>
  <c r="CL216" i="18" s="1"/>
  <c r="CS253" i="5"/>
  <c r="CS254" i="5" s="1"/>
  <c r="CU253" i="5"/>
  <c r="CU238" i="5"/>
  <c r="BJ434" i="5"/>
  <c r="BR180" i="5"/>
  <c r="BJ146" i="18" s="1"/>
  <c r="BW366" i="6"/>
  <c r="BO605" i="18" s="1"/>
  <c r="BW336" i="6"/>
  <c r="BO870" i="18" s="1"/>
  <c r="CA178" i="6"/>
  <c r="BC463" i="5"/>
  <c r="BC464" i="5" s="1"/>
  <c r="BC420" i="5"/>
  <c r="BC423" i="5" s="1"/>
  <c r="AU316" i="18" s="1"/>
  <c r="CV239" i="5"/>
  <c r="CV268" i="5" s="1"/>
  <c r="CV269" i="5" s="1"/>
  <c r="BU70" i="6"/>
  <c r="BM631" i="18" s="1"/>
  <c r="BU66" i="6"/>
  <c r="BM627" i="18" s="1"/>
  <c r="BY63" i="6"/>
  <c r="BQ625" i="18" s="1"/>
  <c r="BI295" i="5"/>
  <c r="BA253" i="18" s="1"/>
  <c r="BN359" i="5"/>
  <c r="BN357" i="5"/>
  <c r="BM434" i="5"/>
  <c r="BE1038" i="18" s="1"/>
  <c r="CV152" i="6"/>
  <c r="CN709" i="18" s="1"/>
  <c r="BN296" i="5"/>
  <c r="BN213" i="5"/>
  <c r="BF180" i="18" s="1"/>
  <c r="CE219" i="6"/>
  <c r="CE29" i="6"/>
  <c r="BQ159" i="6"/>
  <c r="BI711" i="18" s="1"/>
  <c r="BQ168" i="6"/>
  <c r="BI718" i="18" s="1"/>
  <c r="CW239" i="5"/>
  <c r="CW268" i="5" s="1"/>
  <c r="CW269" i="5" s="1"/>
  <c r="BU397" i="5"/>
  <c r="BE357" i="5"/>
  <c r="BE359" i="5"/>
  <c r="CC369" i="6"/>
  <c r="BU608" i="18" s="1"/>
  <c r="CW229" i="6"/>
  <c r="BO364" i="5"/>
  <c r="BS397" i="5" s="1"/>
  <c r="CB33" i="6"/>
  <c r="CB267" i="5"/>
  <c r="CB31" i="6"/>
  <c r="CB30" i="6"/>
  <c r="BZ299" i="5"/>
  <c r="BR257" i="18" s="1"/>
  <c r="BZ215" i="5"/>
  <c r="CD181" i="5"/>
  <c r="BV147" i="18" s="1"/>
  <c r="CW217" i="5"/>
  <c r="CW287" i="5"/>
  <c r="CA34" i="5"/>
  <c r="BS26" i="18" s="1"/>
  <c r="CA32" i="5"/>
  <c r="CA518" i="5"/>
  <c r="BY300" i="5"/>
  <c r="BZ288" i="5"/>
  <c r="BR245" i="18" s="1"/>
  <c r="BZ234" i="5"/>
  <c r="BR201" i="18" s="1"/>
  <c r="BZ287" i="5"/>
  <c r="BZ217" i="5"/>
  <c r="BZ244" i="5"/>
  <c r="BZ245" i="5" s="1"/>
  <c r="CE309" i="5"/>
  <c r="CE307" i="5"/>
  <c r="BW265" i="18" s="1"/>
  <c r="CE17" i="5"/>
  <c r="BW10" i="18" s="1"/>
  <c r="CA217" i="5"/>
  <c r="CA234" i="5"/>
  <c r="BS201" i="18" s="1"/>
  <c r="CA287" i="5"/>
  <c r="CA244" i="5"/>
  <c r="CA245" i="5" s="1"/>
  <c r="CV288" i="5"/>
  <c r="CN245" i="18" s="1"/>
  <c r="CC215" i="5"/>
  <c r="BU182" i="18" s="1"/>
  <c r="CC299" i="5"/>
  <c r="DC121" i="5"/>
  <c r="DF324" i="5"/>
  <c r="DF326" i="5" s="1"/>
  <c r="DF18" i="5"/>
  <c r="DF37" i="5"/>
  <c r="CY307" i="5"/>
  <c r="CQ265" i="18" s="1"/>
  <c r="CY309" i="5"/>
  <c r="CQ267" i="18" s="1"/>
  <c r="CX181" i="5"/>
  <c r="BG6" i="5"/>
  <c r="CY313" i="5"/>
  <c r="DF466" i="5"/>
  <c r="DE65" i="5"/>
  <c r="CW53" i="18" s="1"/>
  <c r="BY519" i="5"/>
  <c r="CW215" i="5"/>
  <c r="CO182" i="18" s="1"/>
  <c r="CX309" i="5"/>
  <c r="CX307" i="5"/>
  <c r="CP265" i="18" s="1"/>
  <c r="CX313" i="5"/>
  <c r="CP271" i="18" s="1"/>
  <c r="DB599" i="5"/>
  <c r="DE614" i="5"/>
  <c r="CX216" i="5"/>
  <c r="CP183" i="18" s="1"/>
  <c r="CX162" i="5"/>
  <c r="CD307" i="5"/>
  <c r="BV265" i="18" s="1"/>
  <c r="CD309" i="5"/>
  <c r="CD17" i="5"/>
  <c r="BV10" i="18" s="1"/>
  <c r="DE478" i="5"/>
  <c r="DE14" i="16" s="1"/>
  <c r="CX1213" i="18" s="1"/>
  <c r="DD481" i="5"/>
  <c r="DD67" i="5"/>
  <c r="CZ273" i="5"/>
  <c r="CY274" i="5"/>
  <c r="BZ34" i="5"/>
  <c r="BR26" i="18" s="1"/>
  <c r="BZ32" i="5"/>
  <c r="BZ518" i="5"/>
  <c r="CB519" i="5"/>
  <c r="CF519" i="5"/>
  <c r="BY288" i="5"/>
  <c r="BQ245" i="18" s="1"/>
  <c r="DF335" i="5"/>
  <c r="CX291" i="18" s="1"/>
  <c r="DE336" i="5"/>
  <c r="CW292" i="18" s="1"/>
  <c r="DE61" i="5"/>
  <c r="CW49" i="18" s="1"/>
  <c r="DE624" i="5"/>
  <c r="DF592" i="5"/>
  <c r="CA299" i="5"/>
  <c r="BS257" i="18" s="1"/>
  <c r="CE181" i="5"/>
  <c r="BW147" i="18" s="1"/>
  <c r="CA215" i="5"/>
  <c r="CF299" i="5"/>
  <c r="CF215" i="5"/>
  <c r="CY150" i="5"/>
  <c r="DE103" i="5"/>
  <c r="DF108" i="5"/>
  <c r="CV233" i="5"/>
  <c r="CN200" i="18" s="1"/>
  <c r="CV300" i="5"/>
  <c r="DD663" i="5"/>
  <c r="DE611" i="5"/>
  <c r="DE114" i="5" s="1"/>
  <c r="BO595" i="5"/>
  <c r="BN596" i="5"/>
  <c r="BN515" i="5"/>
  <c r="BN516" i="5" s="1"/>
  <c r="BN517" i="5" s="1"/>
  <c r="DD115" i="5"/>
  <c r="DD104" i="5"/>
  <c r="DD539" i="5" s="1"/>
  <c r="DE113" i="5"/>
  <c r="W915" i="18"/>
  <c r="BJ435" i="5" l="1"/>
  <c r="BB1039" i="18" s="1"/>
  <c r="BB1038" i="18"/>
  <c r="BO435" i="5"/>
  <c r="BG1039" i="18" s="1"/>
  <c r="BG1038" i="18"/>
  <c r="BK197" i="5"/>
  <c r="BC163" i="18" s="1"/>
  <c r="BC162" i="18"/>
  <c r="BX74" i="6"/>
  <c r="BP611" i="18" s="1"/>
  <c r="BP625" i="18"/>
  <c r="BM442" i="5"/>
  <c r="BE1045" i="18"/>
  <c r="CF300" i="5"/>
  <c r="BX182" i="18"/>
  <c r="DD106" i="5"/>
  <c r="CC519" i="5"/>
  <c r="CZ313" i="5"/>
  <c r="CZ306" i="5" s="1"/>
  <c r="CR264" i="18" s="1"/>
  <c r="CQ271" i="18"/>
  <c r="CA218" i="5"/>
  <c r="BS185" i="18" s="1"/>
  <c r="BS184" i="18"/>
  <c r="CE518" i="5"/>
  <c r="BW372" i="18" s="1"/>
  <c r="BS372" i="18"/>
  <c r="CB301" i="5"/>
  <c r="BT259" i="18" s="1"/>
  <c r="BZ300" i="5"/>
  <c r="BR258" i="18" s="1"/>
  <c r="BR182" i="18"/>
  <c r="BS1304" i="18"/>
  <c r="BS730" i="18"/>
  <c r="BR1304" i="18"/>
  <c r="BR730" i="18"/>
  <c r="BJ293" i="5"/>
  <c r="BB251" i="18" s="1"/>
  <c r="BB250" i="18"/>
  <c r="BQ279" i="5"/>
  <c r="BI235" i="18" s="1"/>
  <c r="BI234" i="18"/>
  <c r="CQ434" i="5"/>
  <c r="CI1037" i="18"/>
  <c r="BN200" i="5"/>
  <c r="BF166" i="18" s="1"/>
  <c r="BF165" i="18"/>
  <c r="BH297" i="5"/>
  <c r="AZ255" i="18" s="1"/>
  <c r="AZ254" i="18"/>
  <c r="BA425" i="5"/>
  <c r="AS317" i="18"/>
  <c r="BC293" i="5"/>
  <c r="AU251" i="18" s="1"/>
  <c r="AU250" i="18"/>
  <c r="BN572" i="18"/>
  <c r="BV40" i="7"/>
  <c r="BP279" i="5"/>
  <c r="BH235" i="18" s="1"/>
  <c r="BH234" i="18"/>
  <c r="CS232" i="5"/>
  <c r="CK199" i="18" s="1"/>
  <c r="CK181" i="18"/>
  <c r="BE435" i="5"/>
  <c r="AW1039" i="18" s="1"/>
  <c r="AW1038" i="18"/>
  <c r="BC441" i="5"/>
  <c r="AU1044" i="18"/>
  <c r="BD441" i="5"/>
  <c r="AV1044" i="18"/>
  <c r="CS197" i="5"/>
  <c r="CK163" i="18" s="1"/>
  <c r="CK162" i="18"/>
  <c r="BB441" i="5"/>
  <c r="AT1044" i="18"/>
  <c r="BL442" i="5"/>
  <c r="BD1045" i="18"/>
  <c r="BG441" i="5"/>
  <c r="AY1044" i="18"/>
  <c r="BB435" i="5"/>
  <c r="AT1039" i="18" s="1"/>
  <c r="AT1038" i="18"/>
  <c r="CA33" i="5"/>
  <c r="BS25" i="18" s="1"/>
  <c r="BS24" i="18"/>
  <c r="BU370" i="6"/>
  <c r="BM609" i="18" s="1"/>
  <c r="BM605" i="18"/>
  <c r="CV278" i="5"/>
  <c r="CN205" i="18"/>
  <c r="BH200" i="5"/>
  <c r="AZ166" i="18" s="1"/>
  <c r="AZ165" i="18"/>
  <c r="BF435" i="5"/>
  <c r="AX1039" i="18" s="1"/>
  <c r="AX1038" i="18"/>
  <c r="BR611" i="18"/>
  <c r="BZ60" i="6"/>
  <c r="AZ1038" i="18"/>
  <c r="BL435" i="5"/>
  <c r="BD1039" i="18" s="1"/>
  <c r="CV225" i="5"/>
  <c r="CN192" i="18" s="1"/>
  <c r="CN191" i="18"/>
  <c r="BI435" i="5"/>
  <c r="BA1039" i="18" s="1"/>
  <c r="BA1038" i="18"/>
  <c r="CZ312" i="5"/>
  <c r="CR270" i="18" s="1"/>
  <c r="CA300" i="5"/>
  <c r="BS182" i="18"/>
  <c r="CD518" i="5"/>
  <c r="BV372" i="18" s="1"/>
  <c r="BR372" i="18"/>
  <c r="CX163" i="5"/>
  <c r="CX310" i="5"/>
  <c r="CP268" i="18" s="1"/>
  <c r="CP267" i="18"/>
  <c r="CC19" i="5"/>
  <c r="BU257" i="18"/>
  <c r="CA289" i="5"/>
  <c r="BS246" i="18" s="1"/>
  <c r="BS244" i="18"/>
  <c r="BZ289" i="5"/>
  <c r="BR246" i="18" s="1"/>
  <c r="BR244" i="18"/>
  <c r="CX215" i="5"/>
  <c r="CP182" i="18" s="1"/>
  <c r="CW218" i="5"/>
  <c r="CO185" i="18" s="1"/>
  <c r="CO184" i="18"/>
  <c r="BK1264" i="18"/>
  <c r="BK1283" i="18"/>
  <c r="CU278" i="5"/>
  <c r="CM205" i="18"/>
  <c r="CT254" i="5"/>
  <c r="BG435" i="5"/>
  <c r="AY1039" i="18" s="1"/>
  <c r="AY1038" i="18"/>
  <c r="BW74" i="6"/>
  <c r="BO611" i="18" s="1"/>
  <c r="BO625" i="18"/>
  <c r="BJ194" i="5"/>
  <c r="BB160" i="18" s="1"/>
  <c r="BB159" i="18"/>
  <c r="CQ440" i="5"/>
  <c r="CI1043" i="18"/>
  <c r="BO279" i="5"/>
  <c r="BG235" i="18" s="1"/>
  <c r="BG234" i="18"/>
  <c r="CR297" i="5"/>
  <c r="CJ255" i="18" s="1"/>
  <c r="CJ254" i="18"/>
  <c r="BG297" i="5"/>
  <c r="AY255" i="18" s="1"/>
  <c r="AY254" i="18"/>
  <c r="BD435" i="5"/>
  <c r="AV1039" i="18" s="1"/>
  <c r="AV1038" i="18"/>
  <c r="BZ222" i="5"/>
  <c r="BN441" i="5"/>
  <c r="BF1044" i="18"/>
  <c r="BL197" i="5"/>
  <c r="BD163" i="18" s="1"/>
  <c r="BD162" i="18"/>
  <c r="CR440" i="5"/>
  <c r="CJ1043" i="18"/>
  <c r="CV699" i="5"/>
  <c r="CN536" i="18" s="1"/>
  <c r="CN535" i="18"/>
  <c r="BE441" i="5"/>
  <c r="AW1044" i="18"/>
  <c r="BC435" i="5"/>
  <c r="AU1039" i="18" s="1"/>
  <c r="AU1038" i="18"/>
  <c r="BI441" i="5"/>
  <c r="BA1044" i="18"/>
  <c r="BR442" i="5"/>
  <c r="BJ1045" i="18"/>
  <c r="AZ441" i="5"/>
  <c r="AR1044" i="18"/>
  <c r="DE63" i="5"/>
  <c r="CW51" i="18" s="1"/>
  <c r="DF452" i="5"/>
  <c r="DF63" i="5" s="1"/>
  <c r="CX51" i="18" s="1"/>
  <c r="CF19" i="5"/>
  <c r="BX257" i="18"/>
  <c r="BZ218" i="5"/>
  <c r="BR185" i="18" s="1"/>
  <c r="BR184" i="18"/>
  <c r="CW289" i="5"/>
  <c r="CO246" i="18" s="1"/>
  <c r="CO244" i="18"/>
  <c r="BA230" i="5"/>
  <c r="AS197" i="18" s="1"/>
  <c r="AS196" i="18"/>
  <c r="BP441" i="5"/>
  <c r="BH1044" i="18"/>
  <c r="BG200" i="5"/>
  <c r="AY166" i="18" s="1"/>
  <c r="AY165" i="18"/>
  <c r="BZ154" i="6"/>
  <c r="BR671" i="18" s="1"/>
  <c r="BR572" i="18"/>
  <c r="BZ40" i="7"/>
  <c r="CT196" i="5"/>
  <c r="CL146" i="18"/>
  <c r="BT435" i="5"/>
  <c r="BL1039" i="18" s="1"/>
  <c r="BL1038" i="18"/>
  <c r="BJ441" i="5"/>
  <c r="BB1044" i="18"/>
  <c r="AZ435" i="5"/>
  <c r="AR1039" i="18" s="1"/>
  <c r="AR1038" i="18"/>
  <c r="BK441" i="5"/>
  <c r="BC1044" i="18"/>
  <c r="BO442" i="5"/>
  <c r="BG1045" i="18"/>
  <c r="CV301" i="5"/>
  <c r="CN259" i="18" s="1"/>
  <c r="CN258" i="18"/>
  <c r="BZ33" i="5"/>
  <c r="BR25" i="18" s="1"/>
  <c r="BR24" i="18"/>
  <c r="DD538" i="5"/>
  <c r="CV55" i="18"/>
  <c r="CD310" i="5"/>
  <c r="BV268" i="18" s="1"/>
  <c r="BV267" i="18"/>
  <c r="CX157" i="5"/>
  <c r="CP129" i="18" s="1"/>
  <c r="CX299" i="5"/>
  <c r="CP257" i="18" s="1"/>
  <c r="CP147" i="18"/>
  <c r="CE310" i="5"/>
  <c r="BW268" i="18" s="1"/>
  <c r="BW267" i="18"/>
  <c r="BY301" i="5"/>
  <c r="BQ259" i="18" s="1"/>
  <c r="BQ258" i="18"/>
  <c r="BM1283" i="18"/>
  <c r="BM1264" i="18"/>
  <c r="BN297" i="5"/>
  <c r="BF255" i="18" s="1"/>
  <c r="BF254" i="18"/>
  <c r="BH435" i="5"/>
  <c r="AZ1039" i="18" s="1"/>
  <c r="BR295" i="5"/>
  <c r="BJ253" i="18" s="1"/>
  <c r="CS252" i="5"/>
  <c r="CK217" i="18" s="1"/>
  <c r="CK216" i="18"/>
  <c r="BA194" i="5"/>
  <c r="AS160" i="18" s="1"/>
  <c r="AS159" i="18"/>
  <c r="CU370" i="6"/>
  <c r="CM609" i="18" s="1"/>
  <c r="BG609" i="18"/>
  <c r="BJ230" i="5"/>
  <c r="BB197" i="18" s="1"/>
  <c r="BB196" i="18"/>
  <c r="BQ205" i="5"/>
  <c r="BI172" i="18" s="1"/>
  <c r="BI170" i="18"/>
  <c r="CT440" i="5"/>
  <c r="CL1043" i="18"/>
  <c r="BM295" i="5"/>
  <c r="BE253" i="18" s="1"/>
  <c r="CX143" i="6"/>
  <c r="CP703" i="18" s="1"/>
  <c r="BS703" i="18"/>
  <c r="BT441" i="5"/>
  <c r="BL1044" i="18"/>
  <c r="BM1294" i="18"/>
  <c r="BM1268" i="18"/>
  <c r="BR435" i="5"/>
  <c r="BJ1039" i="18" s="1"/>
  <c r="BJ1038" i="18"/>
  <c r="BC230" i="5"/>
  <c r="AU197" i="18" s="1"/>
  <c r="AU196" i="18"/>
  <c r="BE200" i="5"/>
  <c r="AW166" i="18" s="1"/>
  <c r="AW165" i="18"/>
  <c r="BV370" i="6"/>
  <c r="BN609" i="18" s="1"/>
  <c r="BI1293" i="18"/>
  <c r="BI1267" i="18"/>
  <c r="CS440" i="5"/>
  <c r="CK1043" i="18"/>
  <c r="BZ75" i="6"/>
  <c r="BR612" i="18" s="1"/>
  <c r="BP205" i="5"/>
  <c r="BH172" i="18" s="1"/>
  <c r="BH170" i="18"/>
  <c r="CQ200" i="5"/>
  <c r="CI166" i="18" s="1"/>
  <c r="CI165" i="18"/>
  <c r="BI197" i="5"/>
  <c r="BA163" i="18" s="1"/>
  <c r="BA162" i="18"/>
  <c r="BK1267" i="18"/>
  <c r="BK1293" i="18"/>
  <c r="BM572" i="18"/>
  <c r="BU40" i="7"/>
  <c r="BV301" i="5"/>
  <c r="BN259" i="18" s="1"/>
  <c r="BN258" i="18"/>
  <c r="BH442" i="5"/>
  <c r="AZ1045" i="18"/>
  <c r="BW301" i="5"/>
  <c r="BO259" i="18" s="1"/>
  <c r="BO258" i="18"/>
  <c r="CP23" i="18"/>
  <c r="CX32" i="5"/>
  <c r="CX34" i="5"/>
  <c r="CP26" i="18" s="1"/>
  <c r="BA442" i="5"/>
  <c r="AS1045" i="18"/>
  <c r="BP435" i="5"/>
  <c r="BH1039" i="18" s="1"/>
  <c r="BH1038" i="18"/>
  <c r="BF441" i="5"/>
  <c r="AX1044" i="18"/>
  <c r="BQ442" i="5"/>
  <c r="BI1045" i="18"/>
  <c r="CQ122" i="18"/>
  <c r="CZ153" i="5"/>
  <c r="CZ151" i="5" s="1"/>
  <c r="CR136" i="18"/>
  <c r="DA167" i="5"/>
  <c r="DE169" i="5"/>
  <c r="CW135" i="18" s="1"/>
  <c r="CW139" i="18"/>
  <c r="DF173" i="5"/>
  <c r="CX140" i="18"/>
  <c r="BW665" i="18"/>
  <c r="BW668" i="18"/>
  <c r="DA108" i="6"/>
  <c r="DB108" i="6" s="1"/>
  <c r="CQ661" i="18"/>
  <c r="CQ813" i="18"/>
  <c r="CQ811" i="18"/>
  <c r="CE128" i="6"/>
  <c r="CQ655" i="18"/>
  <c r="CO1304" i="18"/>
  <c r="CO730" i="18"/>
  <c r="DE171" i="6"/>
  <c r="CV724" i="18"/>
  <c r="CV1298" i="18"/>
  <c r="CP729" i="18"/>
  <c r="CP1303" i="18"/>
  <c r="CV1297" i="18"/>
  <c r="CV723" i="18"/>
  <c r="BV729" i="18"/>
  <c r="BV1303" i="18"/>
  <c r="BW1303" i="18"/>
  <c r="BW729" i="18"/>
  <c r="CQ1302" i="18"/>
  <c r="CQ728" i="18"/>
  <c r="BQ397" i="5"/>
  <c r="BU398" i="5" s="1"/>
  <c r="BE364" i="5"/>
  <c r="BE407" i="5" s="1"/>
  <c r="BI364" i="5"/>
  <c r="BM397" i="5" s="1"/>
  <c r="BS435" i="5"/>
  <c r="BK1039" i="18" s="1"/>
  <c r="DE34" i="7"/>
  <c r="BM365" i="5"/>
  <c r="BQ366" i="5" s="1"/>
  <c r="BM407" i="5"/>
  <c r="AA6" i="7"/>
  <c r="Z5" i="7"/>
  <c r="CT434" i="5"/>
  <c r="CL1038" i="18" s="1"/>
  <c r="BW75" i="6"/>
  <c r="BO612" i="18" s="1"/>
  <c r="BW78" i="6"/>
  <c r="BW222" i="5"/>
  <c r="BO189" i="18" s="1"/>
  <c r="BW40" i="6"/>
  <c r="BW60" i="6"/>
  <c r="BO621" i="18" s="1"/>
  <c r="CX144" i="6"/>
  <c r="CP704" i="18" s="1"/>
  <c r="BX78" i="6"/>
  <c r="CU371" i="6"/>
  <c r="CM610" i="18" s="1"/>
  <c r="BU371" i="6"/>
  <c r="BM610" i="18" s="1"/>
  <c r="BX204" i="5"/>
  <c r="BX238" i="5"/>
  <c r="BP205" i="18" s="1"/>
  <c r="BK296" i="5"/>
  <c r="BK213" i="5"/>
  <c r="BC180" i="18" s="1"/>
  <c r="BQ371" i="6"/>
  <c r="BI610" i="18" s="1"/>
  <c r="X5" i="6"/>
  <c r="Y6" i="6"/>
  <c r="BZ76" i="6"/>
  <c r="BR613" i="18" s="1"/>
  <c r="CB165" i="6"/>
  <c r="BT715" i="18" s="1"/>
  <c r="CB144" i="6"/>
  <c r="BT704" i="18" s="1"/>
  <c r="CB145" i="6"/>
  <c r="BT705" i="18" s="1"/>
  <c r="BR214" i="5"/>
  <c r="BJ181" i="18" s="1"/>
  <c r="BR196" i="5"/>
  <c r="BR179" i="5"/>
  <c r="BJ145" i="18" s="1"/>
  <c r="CD66" i="6"/>
  <c r="BV627" i="18" s="1"/>
  <c r="CD70" i="6"/>
  <c r="BV631" i="18" s="1"/>
  <c r="CC59" i="6"/>
  <c r="CC86" i="6"/>
  <c r="BU637" i="18" s="1"/>
  <c r="CS162" i="6"/>
  <c r="BP160" i="6"/>
  <c r="BH712" i="18" s="1"/>
  <c r="BS159" i="6"/>
  <c r="BK711" i="18" s="1"/>
  <c r="BS168" i="6"/>
  <c r="BK718" i="18" s="1"/>
  <c r="BH292" i="5"/>
  <c r="BH193" i="5"/>
  <c r="BH229" i="5"/>
  <c r="BV371" i="6"/>
  <c r="BN610" i="18" s="1"/>
  <c r="CQ185" i="5"/>
  <c r="CQ189" i="5"/>
  <c r="CQ183" i="5"/>
  <c r="CQ184" i="5" s="1"/>
  <c r="CF143" i="6"/>
  <c r="BX703" i="18" s="1"/>
  <c r="CU332" i="6"/>
  <c r="CM866" i="18" s="1"/>
  <c r="CU333" i="6"/>
  <c r="CM867" i="18" s="1"/>
  <c r="CV365" i="6"/>
  <c r="CN604" i="18" s="1"/>
  <c r="BN435" i="5"/>
  <c r="BF1039" i="18" s="1"/>
  <c r="CQ359" i="5"/>
  <c r="CQ357" i="5"/>
  <c r="CT357" i="5"/>
  <c r="CT359" i="5"/>
  <c r="BO180" i="5"/>
  <c r="BG146" i="18" s="1"/>
  <c r="BT168" i="6"/>
  <c r="BL718" i="18" s="1"/>
  <c r="BT159" i="6"/>
  <c r="BL711" i="18" s="1"/>
  <c r="CU141" i="6"/>
  <c r="CM701" i="18" s="1"/>
  <c r="CC239" i="5"/>
  <c r="CE231" i="6"/>
  <c r="CV159" i="6"/>
  <c r="CN711" i="18" s="1"/>
  <c r="CV168" i="6"/>
  <c r="CN718" i="18" s="1"/>
  <c r="BV61" i="6"/>
  <c r="BN622" i="18" s="1"/>
  <c r="BV67" i="6"/>
  <c r="BG364" i="5"/>
  <c r="CC335" i="6"/>
  <c r="BU869" i="18" s="1"/>
  <c r="CY120" i="6"/>
  <c r="CQ684" i="18" s="1"/>
  <c r="BV365" i="6"/>
  <c r="BN604" i="18" s="1"/>
  <c r="CW59" i="6"/>
  <c r="CW57" i="6"/>
  <c r="CO619" i="18" s="1"/>
  <c r="BN424" i="5"/>
  <c r="BF317" i="18" s="1"/>
  <c r="BN422" i="5"/>
  <c r="CW230" i="6"/>
  <c r="CT179" i="5"/>
  <c r="CL145" i="18" s="1"/>
  <c r="BI199" i="5"/>
  <c r="BI291" i="5"/>
  <c r="CE335" i="6"/>
  <c r="BW869" i="18" s="1"/>
  <c r="CR434" i="5"/>
  <c r="BQ160" i="6"/>
  <c r="BI712" i="18" s="1"/>
  <c r="CW63" i="6"/>
  <c r="CO625" i="18" s="1"/>
  <c r="BS425" i="5"/>
  <c r="BX364" i="6"/>
  <c r="BZ71" i="6"/>
  <c r="BR632" i="18" s="1"/>
  <c r="BZ72" i="6"/>
  <c r="BR633" i="18" s="1"/>
  <c r="CU359" i="5"/>
  <c r="CU357" i="5"/>
  <c r="BL162" i="6"/>
  <c r="CR241" i="6"/>
  <c r="CJ766" i="18" s="1"/>
  <c r="CR240" i="6"/>
  <c r="CJ765" i="18" s="1"/>
  <c r="CR288" i="6"/>
  <c r="CJ810" i="18" s="1"/>
  <c r="CR239" i="6"/>
  <c r="CJ764" i="18" s="1"/>
  <c r="BS65" i="6"/>
  <c r="BW65" i="6"/>
  <c r="BK424" i="5"/>
  <c r="BC317" i="18" s="1"/>
  <c r="BK422" i="5"/>
  <c r="CA239" i="5"/>
  <c r="BN162" i="6"/>
  <c r="BR371" i="6"/>
  <c r="BJ610" i="18" s="1"/>
  <c r="CQ343" i="5"/>
  <c r="CQ341" i="5"/>
  <c r="CT341" i="5"/>
  <c r="CT343" i="5"/>
  <c r="DE327" i="6"/>
  <c r="CW861" i="18" s="1"/>
  <c r="DF324" i="6"/>
  <c r="CX858" i="18" s="1"/>
  <c r="CF31" i="6"/>
  <c r="CF30" i="6"/>
  <c r="CF33" i="6"/>
  <c r="CF267" i="5"/>
  <c r="BS365" i="6"/>
  <c r="BK604" i="18" s="1"/>
  <c r="BS370" i="6"/>
  <c r="BD364" i="5"/>
  <c r="CE178" i="6"/>
  <c r="BT424" i="5"/>
  <c r="BT422" i="5"/>
  <c r="BY366" i="6"/>
  <c r="BQ605" i="18" s="1"/>
  <c r="BY337" i="6"/>
  <c r="BQ871" i="18" s="1"/>
  <c r="BY336" i="6"/>
  <c r="BQ870" i="18" s="1"/>
  <c r="CX335" i="6"/>
  <c r="CP869" i="18" s="1"/>
  <c r="CY125" i="6"/>
  <c r="CQ694" i="18" s="1"/>
  <c r="BJ364" i="5"/>
  <c r="BT364" i="5"/>
  <c r="CS463" i="5"/>
  <c r="CS464" i="5" s="1"/>
  <c r="CS420" i="5"/>
  <c r="CS423" i="5" s="1"/>
  <c r="CK316" i="18" s="1"/>
  <c r="BF364" i="5"/>
  <c r="BU365" i="6"/>
  <c r="BM604" i="18" s="1"/>
  <c r="BO205" i="5"/>
  <c r="BA120" i="6"/>
  <c r="AS684" i="18" s="1"/>
  <c r="AW101" i="6"/>
  <c r="AO654" i="18" s="1"/>
  <c r="BE120" i="6"/>
  <c r="AW684" i="18" s="1"/>
  <c r="BQ425" i="5"/>
  <c r="BI318" i="18" s="1"/>
  <c r="CZ224" i="6"/>
  <c r="CY229" i="6"/>
  <c r="BU76" i="6"/>
  <c r="BM613" i="18" s="1"/>
  <c r="BN229" i="5"/>
  <c r="BN292" i="5"/>
  <c r="BN193" i="5"/>
  <c r="CX57" i="6"/>
  <c r="CP619" i="18" s="1"/>
  <c r="CX59" i="6"/>
  <c r="BP422" i="5"/>
  <c r="BP424" i="5"/>
  <c r="CB221" i="6"/>
  <c r="CB226" i="6"/>
  <c r="CW204" i="5"/>
  <c r="CF369" i="6"/>
  <c r="BX608" i="18" s="1"/>
  <c r="BU188" i="5"/>
  <c r="BU223" i="5"/>
  <c r="BM190" i="18" s="1"/>
  <c r="BK162" i="6"/>
  <c r="BW204" i="5"/>
  <c r="BW238" i="5"/>
  <c r="BO205" i="18" s="1"/>
  <c r="CT162" i="6"/>
  <c r="BC120" i="6"/>
  <c r="AU684" i="18" s="1"/>
  <c r="BG120" i="6"/>
  <c r="AY684" i="18" s="1"/>
  <c r="AY101" i="6"/>
  <c r="AQ654" i="18" s="1"/>
  <c r="DF347" i="6"/>
  <c r="CX881" i="18" s="1"/>
  <c r="BW70" i="6"/>
  <c r="BO631" i="18" s="1"/>
  <c r="BW66" i="6"/>
  <c r="BO627" i="18" s="1"/>
  <c r="CA63" i="6"/>
  <c r="CY369" i="6"/>
  <c r="CQ608" i="18" s="1"/>
  <c r="BI365" i="5"/>
  <c r="CV27" i="6"/>
  <c r="CN581" i="18" s="1"/>
  <c r="BT365" i="6"/>
  <c r="BL604" i="18" s="1"/>
  <c r="BT370" i="6"/>
  <c r="BL609" i="18" s="1"/>
  <c r="CX216" i="6"/>
  <c r="CX225" i="6"/>
  <c r="CX220" i="6"/>
  <c r="CX246" i="6"/>
  <c r="CB239" i="5"/>
  <c r="CE33" i="6"/>
  <c r="CE31" i="6"/>
  <c r="CE30" i="6"/>
  <c r="CE267" i="5"/>
  <c r="BN364" i="5"/>
  <c r="BW337" i="6"/>
  <c r="BO871" i="18" s="1"/>
  <c r="BZ203" i="5"/>
  <c r="BR170" i="18" s="1"/>
  <c r="CU463" i="5"/>
  <c r="CU464" i="5" s="1"/>
  <c r="CU420" i="5"/>
  <c r="CU423" i="5" s="1"/>
  <c r="CM316" i="18" s="1"/>
  <c r="CC165" i="6"/>
  <c r="BU715" i="18" s="1"/>
  <c r="CC145" i="6"/>
  <c r="BU705" i="18" s="1"/>
  <c r="CC144" i="6"/>
  <c r="BU704" i="18" s="1"/>
  <c r="BS72" i="6"/>
  <c r="BK633" i="18" s="1"/>
  <c r="BS71" i="6"/>
  <c r="BK632" i="18" s="1"/>
  <c r="BO425" i="5"/>
  <c r="BG318" i="18" s="1"/>
  <c r="BM162" i="6"/>
  <c r="CQ420" i="5"/>
  <c r="CQ423" i="5" s="1"/>
  <c r="CI316" i="18" s="1"/>
  <c r="CQ463" i="5"/>
  <c r="CQ464" i="5" s="1"/>
  <c r="DF328" i="6"/>
  <c r="CX862" i="18" s="1"/>
  <c r="DF326" i="6"/>
  <c r="CX860" i="18" s="1"/>
  <c r="BI424" i="5"/>
  <c r="BI422" i="5"/>
  <c r="CB367" i="6"/>
  <c r="BT606" i="18" s="1"/>
  <c r="BP371" i="6"/>
  <c r="BH610" i="18" s="1"/>
  <c r="CW144" i="6"/>
  <c r="CO704" i="18" s="1"/>
  <c r="CW145" i="6"/>
  <c r="CO705" i="18" s="1"/>
  <c r="CW165" i="6"/>
  <c r="CO715" i="18" s="1"/>
  <c r="CW139" i="6"/>
  <c r="CO699" i="18" s="1"/>
  <c r="BG193" i="5"/>
  <c r="BG229" i="5"/>
  <c r="BG292" i="5"/>
  <c r="BV154" i="6"/>
  <c r="BN671" i="18" s="1"/>
  <c r="BV12" i="5"/>
  <c r="BN5" i="18" s="1"/>
  <c r="BV41" i="6"/>
  <c r="BN573" i="18" s="1"/>
  <c r="BV249" i="5"/>
  <c r="BN214" i="18" s="1"/>
  <c r="BE422" i="5"/>
  <c r="BE424" i="5"/>
  <c r="CY177" i="6"/>
  <c r="CS343" i="5"/>
  <c r="CS341" i="5"/>
  <c r="BZ188" i="5"/>
  <c r="BE229" i="5"/>
  <c r="CS213" i="5"/>
  <c r="CK180" i="18" s="1"/>
  <c r="BE193" i="5"/>
  <c r="BE292" i="5"/>
  <c r="AW250" i="18" s="1"/>
  <c r="CX267" i="5"/>
  <c r="BL199" i="5"/>
  <c r="BL291" i="5"/>
  <c r="BD249" i="18" s="1"/>
  <c r="CV141" i="6"/>
  <c r="CN701" i="18" s="1"/>
  <c r="BT65" i="6"/>
  <c r="BX65" i="6"/>
  <c r="CR185" i="5"/>
  <c r="CJ151" i="18" s="1"/>
  <c r="CR189" i="5"/>
  <c r="CJ155" i="18" s="1"/>
  <c r="CR183" i="5"/>
  <c r="BU61" i="6"/>
  <c r="BM622" i="18" s="1"/>
  <c r="BU67" i="6"/>
  <c r="BM629" i="18" s="1"/>
  <c r="BO407" i="5"/>
  <c r="BO365" i="5"/>
  <c r="BS366" i="5" s="1"/>
  <c r="BB120" i="6"/>
  <c r="AT684" i="18" s="1"/>
  <c r="AX101" i="6"/>
  <c r="AP654" i="18" s="1"/>
  <c r="BF120" i="6"/>
  <c r="AX684" i="18" s="1"/>
  <c r="CT463" i="5"/>
  <c r="CT464" i="5" s="1"/>
  <c r="CT420" i="5"/>
  <c r="CT423" i="5" s="1"/>
  <c r="CL316" i="18" s="1"/>
  <c r="CA59" i="6"/>
  <c r="CE56" i="6"/>
  <c r="CU68" i="6"/>
  <c r="BB407" i="5"/>
  <c r="BB365" i="5"/>
  <c r="BB366" i="5" s="1"/>
  <c r="BB397" i="5"/>
  <c r="CD145" i="6"/>
  <c r="BV705" i="18" s="1"/>
  <c r="CD165" i="6"/>
  <c r="BV715" i="18" s="1"/>
  <c r="CD144" i="6"/>
  <c r="BV704" i="18" s="1"/>
  <c r="CR357" i="5"/>
  <c r="CR359" i="5"/>
  <c r="BS203" i="5"/>
  <c r="BS278" i="5"/>
  <c r="BC194" i="5"/>
  <c r="AU160" i="18" s="1"/>
  <c r="AZ120" i="6"/>
  <c r="AR684" i="18" s="1"/>
  <c r="CY103" i="6"/>
  <c r="CQ656" i="18" s="1"/>
  <c r="CY109" i="6"/>
  <c r="CQ662" i="18" s="1"/>
  <c r="CY115" i="6"/>
  <c r="CQ668" i="18" s="1"/>
  <c r="CY414" i="5"/>
  <c r="CQ307" i="18" s="1"/>
  <c r="CY259" i="5"/>
  <c r="CC128" i="6"/>
  <c r="CF128" i="6"/>
  <c r="CD128" i="6"/>
  <c r="CY124" i="6"/>
  <c r="CQ693" i="18" s="1"/>
  <c r="CB59" i="6"/>
  <c r="CF56" i="6"/>
  <c r="BX618" i="18" s="1"/>
  <c r="BC365" i="5"/>
  <c r="BC366" i="5" s="1"/>
  <c r="BC407" i="5"/>
  <c r="BC397" i="5"/>
  <c r="BU72" i="6"/>
  <c r="BM633" i="18" s="1"/>
  <c r="BU71" i="6"/>
  <c r="BM632" i="18" s="1"/>
  <c r="CU434" i="5"/>
  <c r="BU366" i="5"/>
  <c r="CV331" i="6"/>
  <c r="CN865" i="18" s="1"/>
  <c r="BO160" i="6"/>
  <c r="BG712" i="18" s="1"/>
  <c r="BZ41" i="6"/>
  <c r="BR573" i="18" s="1"/>
  <c r="BZ249" i="5"/>
  <c r="BR214" i="18" s="1"/>
  <c r="BZ12" i="5"/>
  <c r="BR5" i="18" s="1"/>
  <c r="BE297" i="5"/>
  <c r="AW255" i="18" s="1"/>
  <c r="CS296" i="5"/>
  <c r="CV65" i="6"/>
  <c r="BC422" i="5"/>
  <c r="BC424" i="5"/>
  <c r="CT252" i="5"/>
  <c r="CL217" i="18" s="1"/>
  <c r="CU252" i="5"/>
  <c r="CM217" i="18" s="1"/>
  <c r="BA293" i="5"/>
  <c r="AS251" i="18" s="1"/>
  <c r="CR292" i="5"/>
  <c r="CU440" i="5"/>
  <c r="CW330" i="6"/>
  <c r="CO864" i="18" s="1"/>
  <c r="CW337" i="6"/>
  <c r="CO871" i="18" s="1"/>
  <c r="CW336" i="6"/>
  <c r="CO870" i="18" s="1"/>
  <c r="DD172" i="6"/>
  <c r="DE170" i="6"/>
  <c r="CD367" i="6"/>
  <c r="BV606" i="18" s="1"/>
  <c r="DA316" i="6"/>
  <c r="CS849" i="18" s="1"/>
  <c r="DA113" i="6"/>
  <c r="CS666" i="18" s="1"/>
  <c r="DB100" i="6"/>
  <c r="CT653" i="18" s="1"/>
  <c r="BK364" i="5"/>
  <c r="BJ424" i="5"/>
  <c r="BB317" i="18" s="1"/>
  <c r="BJ422" i="5"/>
  <c r="BD424" i="5"/>
  <c r="BD422" i="5"/>
  <c r="CU168" i="6"/>
  <c r="CM718" i="18" s="1"/>
  <c r="CU159" i="6"/>
  <c r="CM711" i="18" s="1"/>
  <c r="BT278" i="5"/>
  <c r="BT203" i="5"/>
  <c r="BH397" i="5"/>
  <c r="BH365" i="5"/>
  <c r="BH407" i="5"/>
  <c r="CQ193" i="5"/>
  <c r="CQ194" i="5" s="1"/>
  <c r="CQ292" i="5"/>
  <c r="CQ293" i="5" s="1"/>
  <c r="CQ229" i="5"/>
  <c r="CQ216" i="5"/>
  <c r="CE143" i="6"/>
  <c r="CX229" i="6"/>
  <c r="BB424" i="5"/>
  <c r="BB422" i="5"/>
  <c r="CX178" i="6"/>
  <c r="DB36" i="6"/>
  <c r="CU65" i="6"/>
  <c r="AZ424" i="5"/>
  <c r="AZ422" i="5"/>
  <c r="CF366" i="6"/>
  <c r="BX605" i="18" s="1"/>
  <c r="CF336" i="6"/>
  <c r="BX870" i="18" s="1"/>
  <c r="CS291" i="5"/>
  <c r="CK249" i="18" s="1"/>
  <c r="BV76" i="6"/>
  <c r="BN613" i="18" s="1"/>
  <c r="BP364" i="5"/>
  <c r="BS68" i="6"/>
  <c r="BR160" i="6"/>
  <c r="BJ712" i="18" s="1"/>
  <c r="BL407" i="5"/>
  <c r="BL365" i="5"/>
  <c r="BL366" i="5" s="1"/>
  <c r="BL397" i="5"/>
  <c r="BA397" i="5"/>
  <c r="BA407" i="5"/>
  <c r="BA365" i="5"/>
  <c r="BA366" i="5" s="1"/>
  <c r="CS434" i="5"/>
  <c r="BY204" i="5"/>
  <c r="CX239" i="5"/>
  <c r="BY238" i="5"/>
  <c r="BQ205" i="18" s="1"/>
  <c r="BT68" i="6"/>
  <c r="CB63" i="6"/>
  <c r="BT625" i="18" s="1"/>
  <c r="BX66" i="6"/>
  <c r="BP627" i="18" s="1"/>
  <c r="BX70" i="6"/>
  <c r="BP631" i="18" s="1"/>
  <c r="BX337" i="6"/>
  <c r="BP871" i="18" s="1"/>
  <c r="CR200" i="5"/>
  <c r="CJ166" i="18" s="1"/>
  <c r="CR343" i="5"/>
  <c r="CR341" i="5"/>
  <c r="CR364" i="5" s="1"/>
  <c r="CV68" i="6"/>
  <c r="BX231" i="6"/>
  <c r="DF344" i="6"/>
  <c r="CX878" i="18" s="1"/>
  <c r="DE345" i="6"/>
  <c r="CW879" i="18" s="1"/>
  <c r="DE353" i="6"/>
  <c r="CW887" i="18" s="1"/>
  <c r="CD87" i="6"/>
  <c r="BV638" i="18" s="1"/>
  <c r="CE121" i="6"/>
  <c r="BW685" i="18" s="1"/>
  <c r="CE110" i="6"/>
  <c r="BW663" i="18" s="1"/>
  <c r="CW221" i="6"/>
  <c r="CW226" i="6"/>
  <c r="BH283" i="6"/>
  <c r="AZ805" i="18" s="1"/>
  <c r="CS245" i="6"/>
  <c r="CK769" i="18" s="1"/>
  <c r="CS305" i="6"/>
  <c r="CK838" i="18" s="1"/>
  <c r="CT283" i="6"/>
  <c r="CL805" i="18" s="1"/>
  <c r="BY70" i="6"/>
  <c r="BQ631" i="18" s="1"/>
  <c r="BY66" i="6"/>
  <c r="BQ627" i="18" s="1"/>
  <c r="CC63" i="6"/>
  <c r="BU625" i="18" s="1"/>
  <c r="CU72" i="6"/>
  <c r="CM633" i="18" s="1"/>
  <c r="CU71" i="6"/>
  <c r="CM632" i="18" s="1"/>
  <c r="CY31" i="6"/>
  <c r="CY30" i="6"/>
  <c r="CD33" i="6"/>
  <c r="CV231" i="6"/>
  <c r="CA366" i="6"/>
  <c r="BS605" i="18" s="1"/>
  <c r="CA337" i="6"/>
  <c r="BS871" i="18" s="1"/>
  <c r="CA336" i="6"/>
  <c r="BS870" i="18" s="1"/>
  <c r="BM435" i="5"/>
  <c r="BE1039" i="18" s="1"/>
  <c r="BQ435" i="5"/>
  <c r="BI1039" i="18" s="1"/>
  <c r="CU254" i="5"/>
  <c r="CV254" i="5"/>
  <c r="CR229" i="5"/>
  <c r="CR193" i="5"/>
  <c r="CR216" i="5"/>
  <c r="CJ183" i="18" s="1"/>
  <c r="CR294" i="5"/>
  <c r="CJ252" i="18" s="1"/>
  <c r="BR397" i="5"/>
  <c r="BR407" i="5"/>
  <c r="BR365" i="5"/>
  <c r="BO371" i="6"/>
  <c r="BG610" i="18" s="1"/>
  <c r="CV367" i="6"/>
  <c r="CN606" i="18" s="1"/>
  <c r="CZ356" i="6"/>
  <c r="CZ37" i="6"/>
  <c r="DA35" i="6"/>
  <c r="CZ272" i="5"/>
  <c r="BV188" i="5"/>
  <c r="BV223" i="5"/>
  <c r="CY302" i="6"/>
  <c r="CQ821" i="18" s="1"/>
  <c r="CY313" i="6"/>
  <c r="CQ844" i="18" s="1"/>
  <c r="CS359" i="5"/>
  <c r="CS357" i="5"/>
  <c r="CW266" i="6"/>
  <c r="CW260" i="6"/>
  <c r="CT214" i="5"/>
  <c r="BI296" i="5"/>
  <c r="BA254" i="18" s="1"/>
  <c r="BI213" i="5"/>
  <c r="BA180" i="18" s="1"/>
  <c r="CT295" i="5"/>
  <c r="CL253" i="18" s="1"/>
  <c r="BW367" i="6"/>
  <c r="BO606" i="18" s="1"/>
  <c r="CU341" i="5"/>
  <c r="CU343" i="5"/>
  <c r="DA235" i="6"/>
  <c r="DA247" i="6"/>
  <c r="BU367" i="6"/>
  <c r="BM606" i="18" s="1"/>
  <c r="CW366" i="6"/>
  <c r="CO605" i="18" s="1"/>
  <c r="BK291" i="5"/>
  <c r="BC249" i="18" s="1"/>
  <c r="BK199" i="5"/>
  <c r="BY74" i="6"/>
  <c r="DD354" i="6"/>
  <c r="CV888" i="18" s="1"/>
  <c r="CD337" i="6"/>
  <c r="BV871" i="18" s="1"/>
  <c r="BQ180" i="5"/>
  <c r="BM196" i="5"/>
  <c r="BM214" i="5"/>
  <c r="BE181" i="18" s="1"/>
  <c r="CU180" i="5"/>
  <c r="BM179" i="5"/>
  <c r="BE145" i="18" s="1"/>
  <c r="CA165" i="6"/>
  <c r="BS715" i="18" s="1"/>
  <c r="CA144" i="6"/>
  <c r="BS704" i="18" s="1"/>
  <c r="CA145" i="6"/>
  <c r="BS705" i="18" s="1"/>
  <c r="BV180" i="5"/>
  <c r="BL425" i="5"/>
  <c r="BD318" i="18" s="1"/>
  <c r="CD178" i="6"/>
  <c r="CF220" i="6"/>
  <c r="CF216" i="6"/>
  <c r="CY215" i="6"/>
  <c r="BU203" i="5"/>
  <c r="BM170" i="18" s="1"/>
  <c r="CC33" i="6"/>
  <c r="CD74" i="6"/>
  <c r="BV611" i="18" s="1"/>
  <c r="CS199" i="5"/>
  <c r="CS182" i="5"/>
  <c r="CK148" i="18" s="1"/>
  <c r="BZ364" i="6"/>
  <c r="BR603" i="18" s="1"/>
  <c r="BF422" i="5"/>
  <c r="BF424" i="5"/>
  <c r="AZ364" i="5"/>
  <c r="BD120" i="6"/>
  <c r="AV684" i="18" s="1"/>
  <c r="AZ101" i="6"/>
  <c r="AR654" i="18" s="1"/>
  <c r="BH120" i="6"/>
  <c r="AZ684" i="18" s="1"/>
  <c r="BY364" i="6"/>
  <c r="BQ603" i="18" s="1"/>
  <c r="CE126" i="6"/>
  <c r="BW695" i="18" s="1"/>
  <c r="BP180" i="5"/>
  <c r="BH146" i="18" s="1"/>
  <c r="BW364" i="6"/>
  <c r="BO603" i="18" s="1"/>
  <c r="BG422" i="5"/>
  <c r="BG424" i="5"/>
  <c r="BL213" i="5"/>
  <c r="BD180" i="18" s="1"/>
  <c r="BL296" i="5"/>
  <c r="BT71" i="6"/>
  <c r="BL632" i="18" s="1"/>
  <c r="BT72" i="6"/>
  <c r="BL633" i="18" s="1"/>
  <c r="CR420" i="5"/>
  <c r="CR423" i="5" s="1"/>
  <c r="CJ316" i="18" s="1"/>
  <c r="CR463" i="5"/>
  <c r="CR464" i="5" s="1"/>
  <c r="CV71" i="6"/>
  <c r="CN632" i="18" s="1"/>
  <c r="CV72" i="6"/>
  <c r="CN633" i="18" s="1"/>
  <c r="BU154" i="6"/>
  <c r="BM671" i="18" s="1"/>
  <c r="BU41" i="6"/>
  <c r="BM573" i="18" s="1"/>
  <c r="BU12" i="5"/>
  <c r="BM5" i="18" s="1"/>
  <c r="BU249" i="5"/>
  <c r="BM214" i="18" s="1"/>
  <c r="CW233" i="5"/>
  <c r="CO200" i="18" s="1"/>
  <c r="CW300" i="5"/>
  <c r="CX233" i="5"/>
  <c r="CP200" i="18" s="1"/>
  <c r="CX300" i="5"/>
  <c r="BP595" i="5"/>
  <c r="BO515" i="5"/>
  <c r="BO516" i="5" s="1"/>
  <c r="BO517" i="5" s="1"/>
  <c r="BO596" i="5"/>
  <c r="DC599" i="5"/>
  <c r="CD215" i="5"/>
  <c r="CD299" i="5"/>
  <c r="DA312" i="5"/>
  <c r="CS270" i="18" s="1"/>
  <c r="CZ36" i="5"/>
  <c r="CR28" i="18" s="1"/>
  <c r="CE299" i="5"/>
  <c r="CE215" i="5"/>
  <c r="DF336" i="5"/>
  <c r="CX292" i="18" s="1"/>
  <c r="DF61" i="5"/>
  <c r="CX49" i="18" s="1"/>
  <c r="DA273" i="5"/>
  <c r="CZ274" i="5"/>
  <c r="DF65" i="5"/>
  <c r="CX53" i="18" s="1"/>
  <c r="DF322" i="5"/>
  <c r="CW288" i="5"/>
  <c r="CO245" i="18" s="1"/>
  <c r="BZ301" i="5"/>
  <c r="BR259" i="18" s="1"/>
  <c r="DF624" i="5"/>
  <c r="BZ519" i="5"/>
  <c r="CD519" i="5"/>
  <c r="CA519" i="5"/>
  <c r="CY17" i="5"/>
  <c r="CQ10" i="18" s="1"/>
  <c r="DD121" i="5"/>
  <c r="DE115" i="5"/>
  <c r="DF113" i="5"/>
  <c r="DE104" i="5"/>
  <c r="DE539" i="5" s="1"/>
  <c r="DF103" i="5"/>
  <c r="CX217" i="5"/>
  <c r="CX287" i="5"/>
  <c r="DE481" i="5"/>
  <c r="DF478" i="5"/>
  <c r="DF14" i="16" s="1"/>
  <c r="CY1213" i="18" s="1"/>
  <c r="DE67" i="5"/>
  <c r="CY181" i="5"/>
  <c r="CQ147" i="18" s="1"/>
  <c r="DF614" i="5"/>
  <c r="DE663" i="5"/>
  <c r="DF611" i="5"/>
  <c r="DF114" i="5"/>
  <c r="BH6" i="5"/>
  <c r="CY310" i="5"/>
  <c r="CQ268" i="18" s="1"/>
  <c r="CC300" i="5"/>
  <c r="CA288" i="5"/>
  <c r="BS245" i="18" s="1"/>
  <c r="BM1284" i="18" l="1"/>
  <c r="BM1265" i="18"/>
  <c r="BK200" i="5"/>
  <c r="BC166" i="18" s="1"/>
  <c r="BC165" i="18"/>
  <c r="CR230" i="5"/>
  <c r="CJ197" i="18" s="1"/>
  <c r="CJ196" i="18"/>
  <c r="BC425" i="5"/>
  <c r="AU317" i="18"/>
  <c r="BI200" i="5"/>
  <c r="BA166" i="18" s="1"/>
  <c r="BA165" i="18"/>
  <c r="BO572" i="18"/>
  <c r="BW40" i="7"/>
  <c r="BG1046" i="18"/>
  <c r="BS443" i="5"/>
  <c r="CF301" i="5"/>
  <c r="BX259" i="18" s="1"/>
  <c r="BX258" i="18"/>
  <c r="CC301" i="5"/>
  <c r="BU259" i="18" s="1"/>
  <c r="BU258" i="18"/>
  <c r="DE538" i="5"/>
  <c r="CW55" i="18"/>
  <c r="CX218" i="5"/>
  <c r="CP185" i="18" s="1"/>
  <c r="CP184" i="18"/>
  <c r="CE300" i="5"/>
  <c r="BW182" i="18"/>
  <c r="BG425" i="5"/>
  <c r="AY317" i="18"/>
  <c r="BV295" i="5"/>
  <c r="BN253" i="18" s="1"/>
  <c r="BN146" i="18"/>
  <c r="BY370" i="6"/>
  <c r="BQ609" i="18" s="1"/>
  <c r="BQ611" i="18"/>
  <c r="BJ1293" i="18"/>
  <c r="BJ1267" i="18"/>
  <c r="CR194" i="5"/>
  <c r="CJ160" i="18" s="1"/>
  <c r="CJ159" i="18"/>
  <c r="CS435" i="5"/>
  <c r="CK1039" i="18" s="1"/>
  <c r="CK1038" i="18"/>
  <c r="BD1264" i="18"/>
  <c r="BD1283" i="18"/>
  <c r="BB425" i="5"/>
  <c r="AT317" i="18"/>
  <c r="CQ230" i="5"/>
  <c r="CI197" i="18" s="1"/>
  <c r="CI196" i="18"/>
  <c r="CU441" i="5"/>
  <c r="CM1044" i="18"/>
  <c r="CS297" i="5"/>
  <c r="CK255" i="18" s="1"/>
  <c r="CK254" i="18"/>
  <c r="CU435" i="5"/>
  <c r="CM1039" i="18" s="1"/>
  <c r="CM1038" i="18"/>
  <c r="BC408" i="5"/>
  <c r="AU1267" i="18"/>
  <c r="AU1293" i="18"/>
  <c r="BS205" i="5"/>
  <c r="BK172" i="18" s="1"/>
  <c r="BK170" i="18"/>
  <c r="BB408" i="5"/>
  <c r="AT1293" i="18"/>
  <c r="AT1267" i="18"/>
  <c r="BL200" i="5"/>
  <c r="BD166" i="18" s="1"/>
  <c r="BD165" i="18"/>
  <c r="BP425" i="5"/>
  <c r="BH318" i="18" s="1"/>
  <c r="BH317" i="18"/>
  <c r="BN194" i="5"/>
  <c r="BF160" i="18" s="1"/>
  <c r="BF159" i="18"/>
  <c r="CT291" i="5"/>
  <c r="CL249" i="18" s="1"/>
  <c r="BA249" i="18"/>
  <c r="BH293" i="5"/>
  <c r="AZ251" i="18" s="1"/>
  <c r="AZ250" i="18"/>
  <c r="BX222" i="5"/>
  <c r="CX165" i="6"/>
  <c r="CP715" i="18" s="1"/>
  <c r="CW74" i="6"/>
  <c r="BF442" i="5"/>
  <c r="AX1045" i="18"/>
  <c r="BA443" i="5"/>
  <c r="AS1046" i="18"/>
  <c r="CT441" i="5"/>
  <c r="CL1044" i="18"/>
  <c r="BZ54" i="7"/>
  <c r="BZ53" i="7" s="1"/>
  <c r="BZ57" i="7" s="1"/>
  <c r="BZ41" i="7"/>
  <c r="BJ1046" i="18"/>
  <c r="CV279" i="5"/>
  <c r="CN235" i="18" s="1"/>
  <c r="CN234" i="18"/>
  <c r="BG442" i="5"/>
  <c r="AY1045" i="18"/>
  <c r="BB442" i="5"/>
  <c r="AT1045" i="18"/>
  <c r="BD442" i="5"/>
  <c r="AV1045" i="18"/>
  <c r="CQ435" i="5"/>
  <c r="CI1039" i="18" s="1"/>
  <c r="CI1038" i="18"/>
  <c r="CU196" i="5"/>
  <c r="CM146" i="18"/>
  <c r="AZ1264" i="18"/>
  <c r="AZ1283" i="18"/>
  <c r="CR184" i="5"/>
  <c r="CJ150" i="18" s="1"/>
  <c r="CJ149" i="18"/>
  <c r="BN293" i="5"/>
  <c r="BF251" i="18" s="1"/>
  <c r="BF250" i="18"/>
  <c r="BI1283" i="18"/>
  <c r="BI1264" i="18"/>
  <c r="BV54" i="7"/>
  <c r="BV53" i="7" s="1"/>
  <c r="BV57" i="7" s="1"/>
  <c r="BV41" i="7"/>
  <c r="CD300" i="5"/>
  <c r="BV258" i="18" s="1"/>
  <c r="BV182" i="18"/>
  <c r="CW301" i="5"/>
  <c r="CO259" i="18" s="1"/>
  <c r="CO258" i="18"/>
  <c r="BL297" i="5"/>
  <c r="BD255" i="18" s="1"/>
  <c r="BD254" i="18"/>
  <c r="BN190" i="18"/>
  <c r="BA408" i="5"/>
  <c r="AS1293" i="18"/>
  <c r="AS1267" i="18"/>
  <c r="BD1293" i="18"/>
  <c r="BD1267" i="18"/>
  <c r="CY143" i="6"/>
  <c r="CQ703" i="18" s="1"/>
  <c r="BW703" i="18"/>
  <c r="BT180" i="5"/>
  <c r="BL146" i="18" s="1"/>
  <c r="BL170" i="18"/>
  <c r="BB398" i="5"/>
  <c r="AT1283" i="18"/>
  <c r="AT1264" i="18"/>
  <c r="CY56" i="6"/>
  <c r="CQ618" i="18" s="1"/>
  <c r="BW618" i="18"/>
  <c r="BG1293" i="18"/>
  <c r="BG1267" i="18"/>
  <c r="BZ189" i="5"/>
  <c r="BR155" i="18" s="1"/>
  <c r="BR154" i="18"/>
  <c r="BE425" i="5"/>
  <c r="AW317" i="18"/>
  <c r="BG230" i="5"/>
  <c r="AY197" i="18" s="1"/>
  <c r="AY196" i="18"/>
  <c r="CX63" i="6"/>
  <c r="CP625" i="18" s="1"/>
  <c r="BS625" i="18"/>
  <c r="BN230" i="5"/>
  <c r="BF197" i="18" s="1"/>
  <c r="BF196" i="18"/>
  <c r="CU205" i="5"/>
  <c r="CM172" i="18" s="1"/>
  <c r="BG172" i="18"/>
  <c r="CV370" i="6"/>
  <c r="CN609" i="18" s="1"/>
  <c r="BK609" i="18"/>
  <c r="CW364" i="6"/>
  <c r="CO603" i="18" s="1"/>
  <c r="BP603" i="18"/>
  <c r="CR435" i="5"/>
  <c r="CJ1039" i="18" s="1"/>
  <c r="CJ1038" i="18"/>
  <c r="BN629" i="18"/>
  <c r="BH230" i="5"/>
  <c r="AZ197" i="18" s="1"/>
  <c r="AZ196" i="18"/>
  <c r="BX60" i="6"/>
  <c r="BP621" i="18" s="1"/>
  <c r="BX75" i="6"/>
  <c r="BP612" i="18" s="1"/>
  <c r="CX145" i="6"/>
  <c r="CP705" i="18" s="1"/>
  <c r="BQ408" i="5"/>
  <c r="BE1293" i="18"/>
  <c r="BE1267" i="18"/>
  <c r="BE1283" i="18"/>
  <c r="BE1264" i="18"/>
  <c r="BQ443" i="5"/>
  <c r="BI1047" i="18" s="1"/>
  <c r="BI1046" i="18"/>
  <c r="CX33" i="5"/>
  <c r="CP25" i="18" s="1"/>
  <c r="CP24" i="18"/>
  <c r="BU41" i="7"/>
  <c r="BU54" i="7"/>
  <c r="BU53" i="7" s="1"/>
  <c r="CS441" i="5"/>
  <c r="CK1044" i="18"/>
  <c r="BP442" i="5"/>
  <c r="BH1045" i="18"/>
  <c r="BX12" i="18"/>
  <c r="CF20" i="5"/>
  <c r="BX1243" i="18" s="1"/>
  <c r="AZ442" i="5"/>
  <c r="AR1045" i="18"/>
  <c r="BI442" i="5"/>
  <c r="BA1045" i="18"/>
  <c r="BE442" i="5"/>
  <c r="AW1045" i="18"/>
  <c r="CR441" i="5"/>
  <c r="CJ1044" i="18"/>
  <c r="BN442" i="5"/>
  <c r="BF1045" i="18"/>
  <c r="BU443" i="5"/>
  <c r="CQ441" i="5"/>
  <c r="CI1044" i="18"/>
  <c r="BU12" i="18"/>
  <c r="CC20" i="5"/>
  <c r="BU1243" i="18" s="1"/>
  <c r="BL443" i="5"/>
  <c r="BD1046" i="18"/>
  <c r="BC442" i="5"/>
  <c r="AU1045" i="18"/>
  <c r="BA426" i="5"/>
  <c r="AS319" i="18" s="1"/>
  <c r="AS318" i="18"/>
  <c r="CE19" i="5"/>
  <c r="BW257" i="18"/>
  <c r="CD19" i="5"/>
  <c r="BV257" i="18"/>
  <c r="BQ295" i="5"/>
  <c r="BI253" i="18" s="1"/>
  <c r="BI146" i="18"/>
  <c r="BJ1283" i="18"/>
  <c r="BJ1264" i="18"/>
  <c r="CR293" i="5"/>
  <c r="CJ251" i="18" s="1"/>
  <c r="CJ250" i="18"/>
  <c r="BE230" i="5"/>
  <c r="AW197" i="18" s="1"/>
  <c r="AW196" i="18"/>
  <c r="BG293" i="5"/>
  <c r="AY251" i="18" s="1"/>
  <c r="AY250" i="18"/>
  <c r="BK297" i="5"/>
  <c r="BC255" i="18" s="1"/>
  <c r="BC254" i="18"/>
  <c r="CA301" i="5"/>
  <c r="BS259" i="18" s="1"/>
  <c r="BS258" i="18"/>
  <c r="BR621" i="18"/>
  <c r="BZ67" i="6"/>
  <c r="BR629" i="18" s="1"/>
  <c r="BZ61" i="6"/>
  <c r="BR622" i="18" s="1"/>
  <c r="DA313" i="5"/>
  <c r="CR271" i="18"/>
  <c r="CX289" i="5"/>
  <c r="CP246" i="18" s="1"/>
  <c r="CP244" i="18"/>
  <c r="CE519" i="5"/>
  <c r="CX301" i="5"/>
  <c r="CP259" i="18" s="1"/>
  <c r="CP258" i="18"/>
  <c r="BP295" i="5"/>
  <c r="BF425" i="5"/>
  <c r="AX317" i="18"/>
  <c r="CS200" i="5"/>
  <c r="CK166" i="18" s="1"/>
  <c r="CK165" i="18"/>
  <c r="BM197" i="5"/>
  <c r="BE163" i="18" s="1"/>
  <c r="BE162" i="18"/>
  <c r="CT232" i="5"/>
  <c r="CL199" i="18" s="1"/>
  <c r="CL181" i="18"/>
  <c r="BV189" i="5"/>
  <c r="BN154" i="18"/>
  <c r="CT435" i="5"/>
  <c r="CL1039" i="18" s="1"/>
  <c r="BA398" i="5"/>
  <c r="AS1283" i="18"/>
  <c r="AS1264" i="18"/>
  <c r="AZ425" i="5"/>
  <c r="AR317" i="18"/>
  <c r="AZ1293" i="18"/>
  <c r="AZ1267" i="18"/>
  <c r="BT279" i="5"/>
  <c r="BL235" i="18" s="1"/>
  <c r="BL234" i="18"/>
  <c r="BD425" i="5"/>
  <c r="AV317" i="18"/>
  <c r="BC398" i="5"/>
  <c r="AU1264" i="18"/>
  <c r="AU1283" i="18"/>
  <c r="BS279" i="5"/>
  <c r="BK235" i="18" s="1"/>
  <c r="BK234" i="18"/>
  <c r="BE194" i="5"/>
  <c r="AW160" i="18" s="1"/>
  <c r="AW159" i="18"/>
  <c r="BV46" i="6"/>
  <c r="BN577" i="18" s="1"/>
  <c r="BG194" i="5"/>
  <c r="AY160" i="18" s="1"/>
  <c r="AY159" i="18"/>
  <c r="BM425" i="5"/>
  <c r="BE318" i="18" s="1"/>
  <c r="BA317" i="18"/>
  <c r="BU189" i="5"/>
  <c r="BM154" i="18"/>
  <c r="BT425" i="5"/>
  <c r="BL317" i="18"/>
  <c r="BS426" i="5"/>
  <c r="BK319" i="18" s="1"/>
  <c r="BK318" i="18"/>
  <c r="BO295" i="5"/>
  <c r="BG253" i="18" s="1"/>
  <c r="CQ190" i="5"/>
  <c r="CI155" i="18"/>
  <c r="BH194" i="5"/>
  <c r="AZ160" i="18" s="1"/>
  <c r="AZ159" i="18"/>
  <c r="CC74" i="6"/>
  <c r="BR197" i="5"/>
  <c r="BJ163" i="18" s="1"/>
  <c r="BJ162" i="18"/>
  <c r="BX40" i="6"/>
  <c r="CX139" i="6"/>
  <c r="CP699" i="18" s="1"/>
  <c r="AW1293" i="18"/>
  <c r="AW1267" i="18"/>
  <c r="AZ1046" i="18"/>
  <c r="BH443" i="5"/>
  <c r="BT442" i="5"/>
  <c r="BL1045" i="18"/>
  <c r="BK442" i="5"/>
  <c r="BC1045" i="18"/>
  <c r="BJ442" i="5"/>
  <c r="BB1045" i="18"/>
  <c r="CT197" i="5"/>
  <c r="CL163" i="18" s="1"/>
  <c r="CL162" i="18"/>
  <c r="BR189" i="18"/>
  <c r="BZ223" i="5"/>
  <c r="BZ224" i="5" s="1"/>
  <c r="CU279" i="5"/>
  <c r="CM235" i="18" s="1"/>
  <c r="CM234" i="18"/>
  <c r="BE1046" i="18"/>
  <c r="BM443" i="5"/>
  <c r="DF169" i="5"/>
  <c r="CX135" i="18" s="1"/>
  <c r="CX139" i="18"/>
  <c r="DA170" i="5"/>
  <c r="CS133" i="18"/>
  <c r="CZ150" i="5"/>
  <c r="CE116" i="6"/>
  <c r="BW689" i="18" s="1"/>
  <c r="CR661" i="18"/>
  <c r="DC108" i="6"/>
  <c r="DD108" i="6" s="1"/>
  <c r="BW1304" i="18"/>
  <c r="BW730" i="18"/>
  <c r="CW723" i="18"/>
  <c r="CW1297" i="18"/>
  <c r="DF171" i="6"/>
  <c r="CW724" i="18"/>
  <c r="CW1298" i="18"/>
  <c r="BV1304" i="18"/>
  <c r="BV730" i="18"/>
  <c r="CP1304" i="18"/>
  <c r="CP730" i="18"/>
  <c r="CQ1303" i="18"/>
  <c r="CQ729" i="18"/>
  <c r="BL408" i="5"/>
  <c r="BI407" i="5"/>
  <c r="BI397" i="5"/>
  <c r="BM366" i="5"/>
  <c r="BJ425" i="5"/>
  <c r="CQ364" i="5"/>
  <c r="CQ407" i="5" s="1"/>
  <c r="BE397" i="5"/>
  <c r="BE365" i="5"/>
  <c r="AA5" i="7"/>
  <c r="AB6" i="7"/>
  <c r="DF34" i="7"/>
  <c r="BQ398" i="5"/>
  <c r="BP426" i="5"/>
  <c r="BH319" i="18" s="1"/>
  <c r="CT364" i="5"/>
  <c r="CT365" i="5" s="1"/>
  <c r="CX66" i="6"/>
  <c r="CP627" i="18" s="1"/>
  <c r="CX64" i="6"/>
  <c r="CP626" i="18" s="1"/>
  <c r="CX70" i="6"/>
  <c r="CP631" i="18" s="1"/>
  <c r="CY59" i="6"/>
  <c r="CW365" i="6"/>
  <c r="CO604" i="18" s="1"/>
  <c r="CY165" i="6"/>
  <c r="CQ715" i="18" s="1"/>
  <c r="CY145" i="6"/>
  <c r="CQ705" i="18" s="1"/>
  <c r="CY139" i="6"/>
  <c r="CQ699" i="18" s="1"/>
  <c r="CY144" i="6"/>
  <c r="CQ704" i="18" s="1"/>
  <c r="BI229" i="5"/>
  <c r="CT213" i="5"/>
  <c r="CL180" i="18" s="1"/>
  <c r="BI193" i="5"/>
  <c r="BI292" i="5"/>
  <c r="BA250" i="18" s="1"/>
  <c r="CU422" i="5"/>
  <c r="CU424" i="5"/>
  <c r="CM317" i="18" s="1"/>
  <c r="DF327" i="6"/>
  <c r="CX861" i="18" s="1"/>
  <c r="BP196" i="5"/>
  <c r="BP214" i="5"/>
  <c r="BH181" i="18" s="1"/>
  <c r="BP179" i="5"/>
  <c r="CW231" i="6"/>
  <c r="CB70" i="6"/>
  <c r="BT631" i="18" s="1"/>
  <c r="CB66" i="6"/>
  <c r="BT627" i="18" s="1"/>
  <c r="CF63" i="6"/>
  <c r="BX625" i="18" s="1"/>
  <c r="CB337" i="6"/>
  <c r="BT871" i="18" s="1"/>
  <c r="CF367" i="6"/>
  <c r="BX606" i="18" s="1"/>
  <c r="CQ234" i="5"/>
  <c r="CQ223" i="5"/>
  <c r="CQ217" i="5"/>
  <c r="CQ218" i="5" s="1"/>
  <c r="CQ288" i="5"/>
  <c r="CA74" i="6"/>
  <c r="BS611" i="18" s="1"/>
  <c r="BE293" i="5"/>
  <c r="AW251" i="18" s="1"/>
  <c r="CS292" i="5"/>
  <c r="CC204" i="5"/>
  <c r="BS160" i="6"/>
  <c r="BK712" i="18" s="1"/>
  <c r="BR291" i="5"/>
  <c r="BJ249" i="18" s="1"/>
  <c r="BR199" i="5"/>
  <c r="CZ240" i="5"/>
  <c r="CZ205" i="5" s="1"/>
  <c r="CF226" i="6"/>
  <c r="CF221" i="6"/>
  <c r="DA356" i="6"/>
  <c r="DB35" i="6"/>
  <c r="DA37" i="6"/>
  <c r="DA272" i="5"/>
  <c r="CR407" i="5"/>
  <c r="CR397" i="5"/>
  <c r="CR365" i="5"/>
  <c r="BP365" i="5"/>
  <c r="BP366" i="5" s="1"/>
  <c r="BP407" i="5"/>
  <c r="BP397" i="5"/>
  <c r="BK407" i="5"/>
  <c r="BK365" i="5"/>
  <c r="BK397" i="5"/>
  <c r="CW331" i="6"/>
  <c r="CO865" i="18" s="1"/>
  <c r="BZ13" i="5"/>
  <c r="BR6" i="18" s="1"/>
  <c r="BZ89" i="6"/>
  <c r="BR640" i="18" s="1"/>
  <c r="BZ96" i="6"/>
  <c r="BR647" i="18" s="1"/>
  <c r="BZ354" i="5"/>
  <c r="BR302" i="18" s="1"/>
  <c r="BZ24" i="5"/>
  <c r="BZ49" i="5"/>
  <c r="BR37" i="18" s="1"/>
  <c r="BZ38" i="6"/>
  <c r="BR593" i="18" s="1"/>
  <c r="BZ32" i="6"/>
  <c r="BR587" i="18" s="1"/>
  <c r="BZ77" i="6"/>
  <c r="BR614" i="18" s="1"/>
  <c r="CC116" i="6"/>
  <c r="BU689" i="18" s="1"/>
  <c r="CF116" i="6"/>
  <c r="BX689" i="18" s="1"/>
  <c r="CD116" i="6"/>
  <c r="BV689" i="18" s="1"/>
  <c r="CT422" i="5"/>
  <c r="CT424" i="5"/>
  <c r="CL317" i="18" s="1"/>
  <c r="BO397" i="5"/>
  <c r="BV13" i="5"/>
  <c r="BN6" i="18" s="1"/>
  <c r="BV96" i="6"/>
  <c r="BN647" i="18" s="1"/>
  <c r="BV89" i="6"/>
  <c r="BN640" i="18" s="1"/>
  <c r="BV354" i="5"/>
  <c r="BV24" i="5"/>
  <c r="BV49" i="5"/>
  <c r="BV38" i="6"/>
  <c r="BN593" i="18" s="1"/>
  <c r="BV32" i="6"/>
  <c r="BN587" i="18" s="1"/>
  <c r="BV77" i="6"/>
  <c r="BN614" i="18" s="1"/>
  <c r="CW140" i="6"/>
  <c r="CO700" i="18" s="1"/>
  <c r="CX230" i="6"/>
  <c r="BI366" i="5"/>
  <c r="BW72" i="6"/>
  <c r="BO633" i="18" s="1"/>
  <c r="BW71" i="6"/>
  <c r="BO632" i="18" s="1"/>
  <c r="CB231" i="6"/>
  <c r="CX58" i="6"/>
  <c r="DA224" i="6"/>
  <c r="CZ229" i="6"/>
  <c r="CZ214" i="6"/>
  <c r="CF239" i="5"/>
  <c r="CF204" i="5" s="1"/>
  <c r="CY267" i="5"/>
  <c r="BO196" i="5"/>
  <c r="BO214" i="5"/>
  <c r="BG181" i="18" s="1"/>
  <c r="BO179" i="5"/>
  <c r="BG145" i="18" s="1"/>
  <c r="BE398" i="5"/>
  <c r="BM398" i="5"/>
  <c r="Z6" i="6"/>
  <c r="Y5" i="6"/>
  <c r="BX154" i="6"/>
  <c r="BP671" i="18" s="1"/>
  <c r="BX41" i="6"/>
  <c r="BP573" i="18" s="1"/>
  <c r="BX12" i="5"/>
  <c r="BP5" i="18" s="1"/>
  <c r="BX249" i="5"/>
  <c r="BP214" i="18" s="1"/>
  <c r="BW154" i="6"/>
  <c r="BO671" i="18" s="1"/>
  <c r="BW41" i="6"/>
  <c r="BO573" i="18" s="1"/>
  <c r="BW12" i="5"/>
  <c r="BO5" i="18" s="1"/>
  <c r="BW46" i="6"/>
  <c r="BO577" i="18" s="1"/>
  <c r="BW249" i="5"/>
  <c r="BO214" i="18" s="1"/>
  <c r="BU250" i="5"/>
  <c r="BM215" i="18" s="1"/>
  <c r="BL292" i="5"/>
  <c r="BL229" i="5"/>
  <c r="BL193" i="5"/>
  <c r="AZ365" i="5"/>
  <c r="AZ366" i="5" s="1"/>
  <c r="AZ407" i="5"/>
  <c r="AZ397" i="5"/>
  <c r="CD78" i="6"/>
  <c r="CD75" i="6"/>
  <c r="BV612" i="18" s="1"/>
  <c r="CD222" i="5"/>
  <c r="BV189" i="18" s="1"/>
  <c r="CD60" i="6"/>
  <c r="BV621" i="18" s="1"/>
  <c r="BL283" i="6"/>
  <c r="BD805" i="18" s="1"/>
  <c r="CU283" i="6"/>
  <c r="CM805" i="18" s="1"/>
  <c r="CT305" i="6"/>
  <c r="CL838" i="18" s="1"/>
  <c r="CT245" i="6"/>
  <c r="CL769" i="18" s="1"/>
  <c r="DE354" i="6"/>
  <c r="CW888" i="18" s="1"/>
  <c r="BL398" i="5"/>
  <c r="BZ250" i="5"/>
  <c r="BR215" i="18" s="1"/>
  <c r="CV333" i="6"/>
  <c r="CN867" i="18" s="1"/>
  <c r="CV332" i="6"/>
  <c r="CN866" i="18" s="1"/>
  <c r="CY126" i="6"/>
  <c r="CQ695" i="18" s="1"/>
  <c r="CY121" i="6"/>
  <c r="CQ685" i="18" s="1"/>
  <c r="CY110" i="6"/>
  <c r="CQ663" i="18" s="1"/>
  <c r="CS229" i="5"/>
  <c r="CS216" i="5"/>
  <c r="CK183" i="18" s="1"/>
  <c r="CS193" i="5"/>
  <c r="CY178" i="6"/>
  <c r="BI425" i="5"/>
  <c r="BZ180" i="5"/>
  <c r="BR146" i="18" s="1"/>
  <c r="CX226" i="6"/>
  <c r="CX221" i="6"/>
  <c r="CA204" i="5"/>
  <c r="CX204" i="5" s="1"/>
  <c r="CA238" i="5"/>
  <c r="BS205" i="18" s="1"/>
  <c r="CZ120" i="6"/>
  <c r="CR684" i="18" s="1"/>
  <c r="CS661" i="18"/>
  <c r="CZ101" i="6"/>
  <c r="CR654" i="18" s="1"/>
  <c r="BE408" i="5"/>
  <c r="BR296" i="5"/>
  <c r="BR213" i="5"/>
  <c r="BJ180" i="18" s="1"/>
  <c r="BX188" i="5"/>
  <c r="CX140" i="6"/>
  <c r="CP700" i="18" s="1"/>
  <c r="BW188" i="5"/>
  <c r="BW223" i="5"/>
  <c r="BO190" i="18" s="1"/>
  <c r="BU43" i="6"/>
  <c r="CE165" i="6"/>
  <c r="BW715" i="18" s="1"/>
  <c r="CE145" i="6"/>
  <c r="BW705" i="18" s="1"/>
  <c r="CE144" i="6"/>
  <c r="BW704" i="18" s="1"/>
  <c r="CQ422" i="5"/>
  <c r="CQ424" i="5"/>
  <c r="CX260" i="6"/>
  <c r="CX266" i="6"/>
  <c r="CC90" i="6"/>
  <c r="BU641" i="18" s="1"/>
  <c r="CC87" i="6"/>
  <c r="BU638" i="18" s="1"/>
  <c r="CW78" i="6"/>
  <c r="CW75" i="6"/>
  <c r="CO612" i="18" s="1"/>
  <c r="CW223" i="5"/>
  <c r="CA367" i="6"/>
  <c r="BS606" i="18" s="1"/>
  <c r="CD90" i="6"/>
  <c r="BV641" i="18" s="1"/>
  <c r="BT295" i="5"/>
  <c r="BL253" i="18" s="1"/>
  <c r="BT196" i="5"/>
  <c r="BT214" i="5"/>
  <c r="BL181" i="18" s="1"/>
  <c r="BT179" i="5"/>
  <c r="BL145" i="18" s="1"/>
  <c r="BU226" i="5"/>
  <c r="BM193" i="18" s="1"/>
  <c r="BU224" i="5"/>
  <c r="BV68" i="6"/>
  <c r="CU160" i="6"/>
  <c r="CM712" i="18" s="1"/>
  <c r="CW64" i="6"/>
  <c r="CO626" i="18" s="1"/>
  <c r="CW70" i="6"/>
  <c r="CO631" i="18" s="1"/>
  <c r="CW66" i="6"/>
  <c r="CO627" i="18" s="1"/>
  <c r="CW67" i="6"/>
  <c r="CO629" i="18" s="1"/>
  <c r="BE366" i="5"/>
  <c r="BP162" i="6"/>
  <c r="CW40" i="6"/>
  <c r="CO572" i="18" s="1"/>
  <c r="BV226" i="5"/>
  <c r="BN193" i="18" s="1"/>
  <c r="BV224" i="5"/>
  <c r="CZ357" i="6"/>
  <c r="CZ359" i="6"/>
  <c r="CR892" i="18" s="1"/>
  <c r="DF345" i="6"/>
  <c r="CX879" i="18" s="1"/>
  <c r="DF353" i="6"/>
  <c r="CX887" i="18" s="1"/>
  <c r="CX268" i="5"/>
  <c r="CX269" i="5" s="1"/>
  <c r="DF170" i="6"/>
  <c r="DE172" i="6"/>
  <c r="BZ46" i="6"/>
  <c r="BR577" i="18" s="1"/>
  <c r="CF86" i="6"/>
  <c r="BX637" i="18" s="1"/>
  <c r="CF74" i="6"/>
  <c r="BX611" i="18" s="1"/>
  <c r="CF59" i="6"/>
  <c r="BV166" i="6"/>
  <c r="BN716" i="18" s="1"/>
  <c r="BV155" i="6"/>
  <c r="BN672" i="18" s="1"/>
  <c r="BV25" i="6"/>
  <c r="BN579" i="18" s="1"/>
  <c r="BN397" i="5"/>
  <c r="BN407" i="5"/>
  <c r="BN365" i="5"/>
  <c r="CB204" i="5"/>
  <c r="CB238" i="5"/>
  <c r="BT205" i="18" s="1"/>
  <c r="BW203" i="5"/>
  <c r="BO170" i="18" s="1"/>
  <c r="BF397" i="5"/>
  <c r="BF407" i="5"/>
  <c r="BF365" i="5"/>
  <c r="BF366" i="5" s="1"/>
  <c r="BD365" i="5"/>
  <c r="BD366" i="5" s="1"/>
  <c r="BD407" i="5"/>
  <c r="BD397" i="5"/>
  <c r="BK425" i="5"/>
  <c r="BA288" i="6"/>
  <c r="AS810" i="18" s="1"/>
  <c r="BD288" i="6"/>
  <c r="AV810" i="18" s="1"/>
  <c r="BC288" i="6"/>
  <c r="AU810" i="18" s="1"/>
  <c r="BB288" i="6"/>
  <c r="AT810" i="18" s="1"/>
  <c r="CS288" i="6"/>
  <c r="CK810" i="18" s="1"/>
  <c r="CR318" i="6"/>
  <c r="CJ851" i="18" s="1"/>
  <c r="CR291" i="6"/>
  <c r="CR289" i="6"/>
  <c r="CC366" i="6"/>
  <c r="BU605" i="18" s="1"/>
  <c r="CC337" i="6"/>
  <c r="BU871" i="18" s="1"/>
  <c r="CC336" i="6"/>
  <c r="BU870" i="18" s="1"/>
  <c r="CY335" i="6"/>
  <c r="CQ869" i="18" s="1"/>
  <c r="CV160" i="6"/>
  <c r="CN712" i="18" s="1"/>
  <c r="BV196" i="5"/>
  <c r="BV214" i="5"/>
  <c r="BN181" i="18" s="1"/>
  <c r="BV179" i="5"/>
  <c r="BN145" i="18" s="1"/>
  <c r="BO162" i="6"/>
  <c r="BV250" i="5"/>
  <c r="BN215" i="18" s="1"/>
  <c r="BX365" i="6"/>
  <c r="BP604" i="18" s="1"/>
  <c r="BU166" i="6"/>
  <c r="BM716" i="18" s="1"/>
  <c r="BU155" i="6"/>
  <c r="BM672" i="18" s="1"/>
  <c r="BU25" i="6"/>
  <c r="BM579" i="18" s="1"/>
  <c r="CS183" i="5"/>
  <c r="CS185" i="5"/>
  <c r="CK151" i="18" s="1"/>
  <c r="CS189" i="5"/>
  <c r="BM296" i="5"/>
  <c r="BE254" i="18" s="1"/>
  <c r="BM213" i="5"/>
  <c r="BE180" i="18" s="1"/>
  <c r="BI297" i="5"/>
  <c r="BA255" i="18" s="1"/>
  <c r="CT296" i="5"/>
  <c r="BS295" i="5"/>
  <c r="BS180" i="5"/>
  <c r="BK146" i="18" s="1"/>
  <c r="CE366" i="6"/>
  <c r="BW605" i="18" s="1"/>
  <c r="CE336" i="6"/>
  <c r="BW870" i="18" s="1"/>
  <c r="BU96" i="6"/>
  <c r="BM647" i="18" s="1"/>
  <c r="BU24" i="5"/>
  <c r="CW12" i="5"/>
  <c r="BU89" i="6"/>
  <c r="BM640" i="18" s="1"/>
  <c r="BU13" i="5"/>
  <c r="BM6" i="18" s="1"/>
  <c r="BU354" i="5"/>
  <c r="BU49" i="5"/>
  <c r="BU38" i="6"/>
  <c r="BM593" i="18" s="1"/>
  <c r="BU32" i="6"/>
  <c r="BM587" i="18" s="1"/>
  <c r="BU77" i="6"/>
  <c r="BM614" i="18" s="1"/>
  <c r="BY78" i="6"/>
  <c r="BY75" i="6"/>
  <c r="BQ612" i="18" s="1"/>
  <c r="BY222" i="5"/>
  <c r="BQ189" i="18" s="1"/>
  <c r="BY40" i="6"/>
  <c r="BY60" i="6"/>
  <c r="BQ621" i="18" s="1"/>
  <c r="BY203" i="5"/>
  <c r="BQ170" i="18" s="1"/>
  <c r="CX238" i="5"/>
  <c r="CP205" i="18" s="1"/>
  <c r="DC100" i="6"/>
  <c r="CU653" i="18" s="1"/>
  <c r="DB113" i="6"/>
  <c r="CT666" i="18" s="1"/>
  <c r="BQ426" i="5"/>
  <c r="BI319" i="18" s="1"/>
  <c r="CX336" i="6"/>
  <c r="CP870" i="18" s="1"/>
  <c r="CX337" i="6"/>
  <c r="CP871" i="18" s="1"/>
  <c r="CX330" i="6"/>
  <c r="CP864" i="18" s="1"/>
  <c r="CW58" i="6"/>
  <c r="CC75" i="6"/>
  <c r="BU612" i="18" s="1"/>
  <c r="CC222" i="5"/>
  <c r="BU189" i="18" s="1"/>
  <c r="CC78" i="6"/>
  <c r="CV356" i="5"/>
  <c r="CV358" i="5" s="1"/>
  <c r="CV439" i="5"/>
  <c r="CN1043" i="18" s="1"/>
  <c r="CV421" i="5"/>
  <c r="CN313" i="18" s="1"/>
  <c r="CV340" i="5"/>
  <c r="CV342" i="5" s="1"/>
  <c r="CV430" i="5"/>
  <c r="CV431" i="5" s="1"/>
  <c r="CV432" i="5" s="1"/>
  <c r="CV433" i="5" s="1"/>
  <c r="CR422" i="5"/>
  <c r="CR424" i="5"/>
  <c r="BY365" i="6"/>
  <c r="BQ604" i="18" s="1"/>
  <c r="BU180" i="5"/>
  <c r="BM146" i="18" s="1"/>
  <c r="CA364" i="6"/>
  <c r="CV203" i="5"/>
  <c r="CN170" i="18" s="1"/>
  <c r="CS254" i="6"/>
  <c r="CK777" i="18" s="1"/>
  <c r="CS265" i="6"/>
  <c r="CK788" i="18" s="1"/>
  <c r="BY205" i="5"/>
  <c r="CD364" i="6"/>
  <c r="BV603" i="18" s="1"/>
  <c r="AX176" i="6"/>
  <c r="AX100" i="6"/>
  <c r="AP653" i="18" s="1"/>
  <c r="AT101" i="6"/>
  <c r="AL654" i="18" s="1"/>
  <c r="AX125" i="6"/>
  <c r="AP694" i="18" s="1"/>
  <c r="BB114" i="6"/>
  <c r="AT667" i="18" s="1"/>
  <c r="CC364" i="6"/>
  <c r="BU603" i="18" s="1"/>
  <c r="BS408" i="5"/>
  <c r="BT371" i="6"/>
  <c r="BL610" i="18" s="1"/>
  <c r="AY176" i="6"/>
  <c r="AY125" i="6"/>
  <c r="AQ694" i="18" s="1"/>
  <c r="AU101" i="6"/>
  <c r="AM654" i="18" s="1"/>
  <c r="AY100" i="6"/>
  <c r="AQ653" i="18" s="1"/>
  <c r="BC114" i="6"/>
  <c r="AU667" i="18" s="1"/>
  <c r="BW205" i="5"/>
  <c r="BO172" i="18" s="1"/>
  <c r="CS422" i="5"/>
  <c r="CS424" i="5"/>
  <c r="CK317" i="18" s="1"/>
  <c r="BQ162" i="6"/>
  <c r="BU426" i="5"/>
  <c r="BM319" i="18" s="1"/>
  <c r="CF165" i="6"/>
  <c r="BX715" i="18" s="1"/>
  <c r="CF145" i="6"/>
  <c r="BX705" i="18" s="1"/>
  <c r="CF144" i="6"/>
  <c r="BX704" i="18" s="1"/>
  <c r="CD72" i="6"/>
  <c r="BV633" i="18" s="1"/>
  <c r="CD71" i="6"/>
  <c r="BV632" i="18" s="1"/>
  <c r="BX76" i="6"/>
  <c r="BP613" i="18" s="1"/>
  <c r="BW76" i="6"/>
  <c r="BO613" i="18" s="1"/>
  <c r="CY220" i="6"/>
  <c r="CY225" i="6"/>
  <c r="CY216" i="6"/>
  <c r="CY246" i="6"/>
  <c r="CW367" i="6"/>
  <c r="CO606" i="18" s="1"/>
  <c r="CA66" i="6"/>
  <c r="BS627" i="18" s="1"/>
  <c r="CA70" i="6"/>
  <c r="BS631" i="18" s="1"/>
  <c r="CE63" i="6"/>
  <c r="BW625" i="18" s="1"/>
  <c r="BT397" i="5"/>
  <c r="BT365" i="5"/>
  <c r="BT407" i="5"/>
  <c r="BX67" i="6"/>
  <c r="BP629" i="18" s="1"/>
  <c r="BX61" i="6"/>
  <c r="BP622" i="18" s="1"/>
  <c r="AZ176" i="6"/>
  <c r="AZ125" i="6"/>
  <c r="AR694" i="18" s="1"/>
  <c r="AV101" i="6"/>
  <c r="AN654" i="18" s="1"/>
  <c r="AZ100" i="6"/>
  <c r="AR653" i="18" s="1"/>
  <c r="BD114" i="6"/>
  <c r="AV667" i="18" s="1"/>
  <c r="BY72" i="6"/>
  <c r="BQ633" i="18" s="1"/>
  <c r="BY71" i="6"/>
  <c r="BQ632" i="18" s="1"/>
  <c r="BV43" i="6"/>
  <c r="BJ397" i="5"/>
  <c r="BJ407" i="5"/>
  <c r="BJ365" i="5"/>
  <c r="BN425" i="5"/>
  <c r="BF318" i="18" s="1"/>
  <c r="BX203" i="5"/>
  <c r="BP170" i="18" s="1"/>
  <c r="BT205" i="5"/>
  <c r="BZ43" i="6"/>
  <c r="BU68" i="6"/>
  <c r="BR425" i="5"/>
  <c r="BJ318" i="18" s="1"/>
  <c r="CT199" i="5"/>
  <c r="CT182" i="5"/>
  <c r="CL148" i="18" s="1"/>
  <c r="CT407" i="5"/>
  <c r="BU46" i="6"/>
  <c r="BM577" i="18" s="1"/>
  <c r="BW365" i="6"/>
  <c r="BO604" i="18" s="1"/>
  <c r="BZ365" i="6"/>
  <c r="BR604" i="18" s="1"/>
  <c r="BZ370" i="6"/>
  <c r="BR609" i="18" s="1"/>
  <c r="CW238" i="5"/>
  <c r="CO205" i="18" s="1"/>
  <c r="BM291" i="5"/>
  <c r="BE249" i="18" s="1"/>
  <c r="BM199" i="5"/>
  <c r="BQ214" i="5"/>
  <c r="BI181" i="18" s="1"/>
  <c r="CV180" i="5"/>
  <c r="BQ179" i="5"/>
  <c r="BI145" i="18" s="1"/>
  <c r="BQ196" i="5"/>
  <c r="CU364" i="5"/>
  <c r="CR223" i="5"/>
  <c r="CJ190" i="18" s="1"/>
  <c r="CR217" i="5"/>
  <c r="CJ184" i="18" s="1"/>
  <c r="CR234" i="5"/>
  <c r="CJ201" i="18" s="1"/>
  <c r="CR288" i="5"/>
  <c r="CJ245" i="18" s="1"/>
  <c r="CC70" i="6"/>
  <c r="BU631" i="18" s="1"/>
  <c r="CC66" i="6"/>
  <c r="BU627" i="18" s="1"/>
  <c r="BH294" i="6"/>
  <c r="AZ815" i="18" s="1"/>
  <c r="CD88" i="6"/>
  <c r="BV639" i="18" s="1"/>
  <c r="BX72" i="6"/>
  <c r="BP633" i="18" s="1"/>
  <c r="BX71" i="6"/>
  <c r="BP632" i="18" s="1"/>
  <c r="BR162" i="6"/>
  <c r="DC36" i="6"/>
  <c r="BH398" i="5"/>
  <c r="CB74" i="6"/>
  <c r="CE86" i="6"/>
  <c r="BW637" i="18" s="1"/>
  <c r="CE59" i="6"/>
  <c r="CR190" i="5"/>
  <c r="CS364" i="5"/>
  <c r="CE239" i="5"/>
  <c r="CE204" i="5" s="1"/>
  <c r="BU205" i="5"/>
  <c r="BM172" i="18" s="1"/>
  <c r="AW176" i="6"/>
  <c r="AW125" i="6"/>
  <c r="AO694" i="18" s="1"/>
  <c r="CQ101" i="6"/>
  <c r="CI654" i="18" s="1"/>
  <c r="AS101" i="6"/>
  <c r="AW100" i="6"/>
  <c r="AO653" i="18" s="1"/>
  <c r="BA114" i="6"/>
  <c r="AS667" i="18" s="1"/>
  <c r="CX366" i="6"/>
  <c r="CP605" i="18" s="1"/>
  <c r="BY367" i="6"/>
  <c r="BQ606" i="18" s="1"/>
  <c r="BS371" i="6"/>
  <c r="BK610" i="18" s="1"/>
  <c r="BG365" i="5"/>
  <c r="BG366" i="5" s="1"/>
  <c r="BG407" i="5"/>
  <c r="BG397" i="5"/>
  <c r="BT160" i="6"/>
  <c r="BL712" i="18" s="1"/>
  <c r="BH425" i="5"/>
  <c r="CB364" i="6"/>
  <c r="BT603" i="18" s="1"/>
  <c r="BK229" i="5"/>
  <c r="BK292" i="5"/>
  <c r="BK193" i="5"/>
  <c r="BX370" i="6"/>
  <c r="BP609" i="18" s="1"/>
  <c r="BW67" i="6"/>
  <c r="BO629" i="18" s="1"/>
  <c r="BW61" i="6"/>
  <c r="BO622" i="18" s="1"/>
  <c r="BW370" i="6"/>
  <c r="BO609" i="18" s="1"/>
  <c r="DF106" i="5"/>
  <c r="DB312" i="5"/>
  <c r="CT270" i="18" s="1"/>
  <c r="DA306" i="5"/>
  <c r="CS264" i="18" s="1"/>
  <c r="DA36" i="5"/>
  <c r="CD20" i="5"/>
  <c r="CY215" i="5"/>
  <c r="CQ182" i="18" s="1"/>
  <c r="CZ181" i="5"/>
  <c r="CR147" i="18" s="1"/>
  <c r="CY299" i="5"/>
  <c r="CQ257" i="18" s="1"/>
  <c r="DF481" i="5"/>
  <c r="DF67" i="5"/>
  <c r="DF115" i="5"/>
  <c r="DF104" i="5"/>
  <c r="DF539" i="5" s="1"/>
  <c r="CZ309" i="5"/>
  <c r="CZ307" i="5"/>
  <c r="CR265" i="18" s="1"/>
  <c r="CZ17" i="5"/>
  <c r="CR10" i="18" s="1"/>
  <c r="DB273" i="5"/>
  <c r="DA274" i="5"/>
  <c r="DA240" i="5"/>
  <c r="DD599" i="5"/>
  <c r="DF663" i="5"/>
  <c r="DE106" i="5"/>
  <c r="BI6" i="5"/>
  <c r="CX288" i="5"/>
  <c r="CP245" i="18" s="1"/>
  <c r="BP596" i="5"/>
  <c r="CU596" i="5" s="1"/>
  <c r="BQ595" i="5"/>
  <c r="CU595" i="5"/>
  <c r="CU515" i="5" s="1"/>
  <c r="CU516" i="5" s="1"/>
  <c r="CU517" i="5" s="1"/>
  <c r="BP515" i="5"/>
  <c r="BP516" i="5" s="1"/>
  <c r="BP517" i="5" s="1"/>
  <c r="BR191" i="18" l="1"/>
  <c r="CD225" i="5"/>
  <c r="BV192" i="18" s="1"/>
  <c r="CZ310" i="5"/>
  <c r="CR268" i="18" s="1"/>
  <c r="CR267" i="18"/>
  <c r="AW114" i="6"/>
  <c r="AO667" i="18" s="1"/>
  <c r="AK654" i="18"/>
  <c r="CX74" i="6"/>
  <c r="CP611" i="18" s="1"/>
  <c r="BT611" i="18"/>
  <c r="CR425" i="5"/>
  <c r="CJ317" i="18"/>
  <c r="BU50" i="5"/>
  <c r="BM38" i="18" s="1"/>
  <c r="BM37" i="18"/>
  <c r="CT297" i="5"/>
  <c r="CL255" i="18" s="1"/>
  <c r="CL254" i="18"/>
  <c r="BN366" i="5"/>
  <c r="BL230" i="5"/>
  <c r="BD197" i="18" s="1"/>
  <c r="BD196" i="18"/>
  <c r="BP398" i="5"/>
  <c r="BH1264" i="18"/>
  <c r="BH1283" i="18"/>
  <c r="BP197" i="5"/>
  <c r="BH163" i="18" s="1"/>
  <c r="BH162" i="18"/>
  <c r="CQ408" i="5"/>
  <c r="CI1267" i="18"/>
  <c r="CI1293" i="18"/>
  <c r="AU1265" i="18"/>
  <c r="AU1284" i="18"/>
  <c r="BE443" i="5"/>
  <c r="AW1046" i="18"/>
  <c r="BP189" i="18"/>
  <c r="CW222" i="5"/>
  <c r="BB426" i="5"/>
  <c r="AT319" i="18" s="1"/>
  <c r="AT318" i="18"/>
  <c r="CE301" i="5"/>
  <c r="BW259" i="18" s="1"/>
  <c r="BW258" i="18"/>
  <c r="BW41" i="7"/>
  <c r="BW54" i="7"/>
  <c r="BW53" i="7" s="1"/>
  <c r="BW57" i="7" s="1"/>
  <c r="DH36" i="5"/>
  <c r="CZ28" i="18" s="1"/>
  <c r="CS28" i="18"/>
  <c r="AY1267" i="18"/>
  <c r="AY1293" i="18"/>
  <c r="AZ1284" i="18"/>
  <c r="AZ1265" i="18"/>
  <c r="CT200" i="5"/>
  <c r="CL166" i="18" s="1"/>
  <c r="CL165" i="18"/>
  <c r="CV205" i="5"/>
  <c r="CN172" i="18" s="1"/>
  <c r="BL172" i="18"/>
  <c r="BJ408" i="5"/>
  <c r="BB1293" i="18"/>
  <c r="BB1267" i="18"/>
  <c r="BT408" i="5"/>
  <c r="BL1293" i="18"/>
  <c r="BL1267" i="18"/>
  <c r="AQ1302" i="18"/>
  <c r="AQ728" i="18"/>
  <c r="BZ190" i="5"/>
  <c r="BU295" i="5"/>
  <c r="BM253" i="18" s="1"/>
  <c r="BY154" i="6"/>
  <c r="BQ671" i="18" s="1"/>
  <c r="BQ572" i="18"/>
  <c r="BY40" i="7"/>
  <c r="BU355" i="5"/>
  <c r="BM302" i="18"/>
  <c r="BU25" i="5"/>
  <c r="BM17" i="18" s="1"/>
  <c r="BM16" i="18"/>
  <c r="CW154" i="6"/>
  <c r="CO671" i="18" s="1"/>
  <c r="BF1293" i="18"/>
  <c r="BF1267" i="18"/>
  <c r="BU225" i="5"/>
  <c r="BM192" i="18" s="1"/>
  <c r="BM191" i="18"/>
  <c r="BT197" i="5"/>
  <c r="BL163" i="18" s="1"/>
  <c r="BL162" i="18"/>
  <c r="CW224" i="5"/>
  <c r="CO190" i="18"/>
  <c r="BW189" i="5"/>
  <c r="BO154" i="18"/>
  <c r="BI426" i="5"/>
  <c r="BA319" i="18" s="1"/>
  <c r="BA318" i="18"/>
  <c r="CS230" i="5"/>
  <c r="CK197" i="18" s="1"/>
  <c r="CK196" i="18"/>
  <c r="BD1284" i="18"/>
  <c r="BD1265" i="18"/>
  <c r="AZ408" i="5"/>
  <c r="AR1293" i="18"/>
  <c r="AR1267" i="18"/>
  <c r="BL293" i="5"/>
  <c r="BD251" i="18" s="1"/>
  <c r="BD250" i="18"/>
  <c r="BX46" i="6"/>
  <c r="BP577" i="18" s="1"/>
  <c r="BV355" i="5"/>
  <c r="BN302" i="18"/>
  <c r="BS398" i="5"/>
  <c r="BG1264" i="18"/>
  <c r="BG1283" i="18"/>
  <c r="BC1264" i="18"/>
  <c r="BC1283" i="18"/>
  <c r="BP408" i="5"/>
  <c r="BH1293" i="18"/>
  <c r="BH1267" i="18"/>
  <c r="CJ1293" i="18"/>
  <c r="CJ1267" i="18"/>
  <c r="BR200" i="5"/>
  <c r="BJ166" i="18" s="1"/>
  <c r="BJ165" i="18"/>
  <c r="CS293" i="5"/>
  <c r="CK251" i="18" s="1"/>
  <c r="CK250" i="18"/>
  <c r="BI194" i="5"/>
  <c r="BA160" i="18" s="1"/>
  <c r="BA159" i="18"/>
  <c r="CY57" i="6"/>
  <c r="CQ619" i="18" s="1"/>
  <c r="BI1284" i="18"/>
  <c r="BI1265" i="18"/>
  <c r="BJ426" i="5"/>
  <c r="BB319" i="18" s="1"/>
  <c r="BB318" i="18"/>
  <c r="BD1294" i="18"/>
  <c r="BD1268" i="18"/>
  <c r="AZ1047" i="18"/>
  <c r="BH444" i="5"/>
  <c r="AZ1048" i="18" s="1"/>
  <c r="CC60" i="6"/>
  <c r="BU611" i="18"/>
  <c r="CQ191" i="5"/>
  <c r="CI157" i="18" s="1"/>
  <c r="CI156" i="18"/>
  <c r="CY19" i="5"/>
  <c r="BV12" i="18"/>
  <c r="BD1047" i="18"/>
  <c r="BL444" i="5"/>
  <c r="BD1048" i="18" s="1"/>
  <c r="CQ442" i="5"/>
  <c r="CI1045" i="18"/>
  <c r="CU197" i="5"/>
  <c r="CM163" i="18" s="1"/>
  <c r="CM162" i="18"/>
  <c r="AV1046" i="18"/>
  <c r="BD443" i="5"/>
  <c r="AY1046" i="18"/>
  <c r="BG443" i="5"/>
  <c r="CT442" i="5"/>
  <c r="CL1045" i="18"/>
  <c r="AX1046" i="18"/>
  <c r="BF443" i="5"/>
  <c r="AT1294" i="18"/>
  <c r="AT1268" i="18"/>
  <c r="BK1047" i="18"/>
  <c r="BC426" i="5"/>
  <c r="AU319" i="18" s="1"/>
  <c r="AU318" i="18"/>
  <c r="BK230" i="5"/>
  <c r="BC197" i="18" s="1"/>
  <c r="BC196" i="18"/>
  <c r="BM200" i="5"/>
  <c r="BE166" i="18" s="1"/>
  <c r="BE165" i="18"/>
  <c r="BR575" i="18"/>
  <c r="BZ43" i="7"/>
  <c r="CX364" i="6"/>
  <c r="CP603" i="18" s="1"/>
  <c r="BS603" i="18"/>
  <c r="BV197" i="5"/>
  <c r="BN163" i="18" s="1"/>
  <c r="BN162" i="18"/>
  <c r="BX189" i="5"/>
  <c r="BP154" i="18"/>
  <c r="AW1284" i="18"/>
  <c r="AW1265" i="18"/>
  <c r="BV25" i="5"/>
  <c r="BN17" i="18" s="1"/>
  <c r="BN16" i="18"/>
  <c r="CJ1264" i="18"/>
  <c r="CJ1283" i="18"/>
  <c r="BA1293" i="18"/>
  <c r="BA1267" i="18"/>
  <c r="BL1046" i="18"/>
  <c r="BT443" i="5"/>
  <c r="BU190" i="5"/>
  <c r="BM155" i="18"/>
  <c r="BN443" i="5"/>
  <c r="BF1046" i="18"/>
  <c r="AZ443" i="5"/>
  <c r="AR1046" i="18"/>
  <c r="BP443" i="5"/>
  <c r="BH1046" i="18"/>
  <c r="AS1294" i="18"/>
  <c r="AS1268" i="18"/>
  <c r="BR443" i="5"/>
  <c r="CU442" i="5"/>
  <c r="CM1045" i="18"/>
  <c r="CD301" i="5"/>
  <c r="BV259" i="18" s="1"/>
  <c r="BK194" i="5"/>
  <c r="BC160" i="18" s="1"/>
  <c r="BC159" i="18"/>
  <c r="BH426" i="5"/>
  <c r="AZ319" i="18" s="1"/>
  <c r="AZ318" i="18"/>
  <c r="CY63" i="6"/>
  <c r="CQ625" i="18" s="1"/>
  <c r="CV196" i="5"/>
  <c r="CN146" i="18"/>
  <c r="BJ398" i="5"/>
  <c r="BB1283" i="18"/>
  <c r="BB1264" i="18"/>
  <c r="AR1302" i="18"/>
  <c r="AR728" i="18"/>
  <c r="AY114" i="6"/>
  <c r="AQ667" i="18" s="1"/>
  <c r="AP1302" i="18"/>
  <c r="AP728" i="18"/>
  <c r="CV434" i="5"/>
  <c r="CN1037" i="18"/>
  <c r="CS184" i="5"/>
  <c r="CK150" i="18" s="1"/>
  <c r="CK149" i="18"/>
  <c r="BK426" i="5"/>
  <c r="BC319" i="18" s="1"/>
  <c r="BC318" i="18"/>
  <c r="BF1283" i="18"/>
  <c r="BF1264" i="18"/>
  <c r="BV225" i="5"/>
  <c r="BN192" i="18" s="1"/>
  <c r="BN191" i="18"/>
  <c r="CY86" i="6"/>
  <c r="CQ637" i="18" s="1"/>
  <c r="CQ425" i="5"/>
  <c r="CI317" i="18"/>
  <c r="BR297" i="5"/>
  <c r="BJ255" i="18" s="1"/>
  <c r="BJ254" i="18"/>
  <c r="CQ224" i="5"/>
  <c r="CI190" i="18"/>
  <c r="CU179" i="5"/>
  <c r="CM145" i="18" s="1"/>
  <c r="BH145" i="18"/>
  <c r="BC1046" i="18"/>
  <c r="BK443" i="5"/>
  <c r="BP572" i="18"/>
  <c r="BX40" i="7"/>
  <c r="BT426" i="5"/>
  <c r="BL319" i="18" s="1"/>
  <c r="BL318" i="18"/>
  <c r="BD426" i="5"/>
  <c r="AV319" i="18" s="1"/>
  <c r="AV318" i="18"/>
  <c r="BV190" i="5"/>
  <c r="BN155" i="18"/>
  <c r="BF426" i="5"/>
  <c r="AX319" i="18" s="1"/>
  <c r="AX318" i="18"/>
  <c r="DB313" i="5"/>
  <c r="CS271" i="18"/>
  <c r="BU444" i="5"/>
  <c r="BM1048" i="18" s="1"/>
  <c r="BM1047" i="18"/>
  <c r="CR442" i="5"/>
  <c r="CJ1045" i="18"/>
  <c r="BA1046" i="18"/>
  <c r="BI443" i="5"/>
  <c r="CS442" i="5"/>
  <c r="CK1045" i="18"/>
  <c r="BZ68" i="6"/>
  <c r="BE426" i="5"/>
  <c r="AW319" i="18" s="1"/>
  <c r="AW318" i="18"/>
  <c r="CW60" i="6"/>
  <c r="CO611" i="18"/>
  <c r="AU1294" i="18"/>
  <c r="AU1268" i="18"/>
  <c r="BG426" i="5"/>
  <c r="AY319" i="18" s="1"/>
  <c r="AY318" i="18"/>
  <c r="CY20" i="5"/>
  <c r="BV1243" i="18"/>
  <c r="BG398" i="5"/>
  <c r="AY1264" i="18"/>
  <c r="AY1283" i="18"/>
  <c r="BQ197" i="5"/>
  <c r="BI163" i="18" s="1"/>
  <c r="BI162" i="18"/>
  <c r="CX205" i="5"/>
  <c r="CP172" i="18" s="1"/>
  <c r="BQ172" i="18"/>
  <c r="BU331" i="5"/>
  <c r="CO5" i="18"/>
  <c r="CS190" i="5"/>
  <c r="CK156" i="18" s="1"/>
  <c r="CK155" i="18"/>
  <c r="BD408" i="5"/>
  <c r="AV1293" i="18"/>
  <c r="AV1267" i="18"/>
  <c r="BF398" i="5"/>
  <c r="AX1283" i="18"/>
  <c r="AX1264" i="18"/>
  <c r="CW77" i="6"/>
  <c r="CO614" i="18" s="1"/>
  <c r="AZ398" i="5"/>
  <c r="AR1264" i="18"/>
  <c r="AR1283" i="18"/>
  <c r="BB1046" i="18"/>
  <c r="BJ443" i="5"/>
  <c r="AZ426" i="5"/>
  <c r="AR319" i="18" s="1"/>
  <c r="AR318" i="18"/>
  <c r="DF538" i="5"/>
  <c r="CX55" i="18"/>
  <c r="BK293" i="5"/>
  <c r="BC251" i="18" s="1"/>
  <c r="BC250" i="18"/>
  <c r="AO1302" i="18"/>
  <c r="AO728" i="18"/>
  <c r="CR191" i="5"/>
  <c r="CJ157" i="18" s="1"/>
  <c r="CJ156" i="18"/>
  <c r="CE74" i="6"/>
  <c r="CL1293" i="18"/>
  <c r="CL1267" i="18"/>
  <c r="BN575" i="18"/>
  <c r="BV43" i="7"/>
  <c r="BT398" i="5"/>
  <c r="BL1264" i="18"/>
  <c r="BL1283" i="18"/>
  <c r="BK1294" i="18"/>
  <c r="BK1268" i="18"/>
  <c r="CE337" i="6"/>
  <c r="BW871" i="18" s="1"/>
  <c r="CV295" i="5"/>
  <c r="CN253" i="18" s="1"/>
  <c r="BK253" i="18"/>
  <c r="CJ811" i="18"/>
  <c r="CJ813" i="18"/>
  <c r="AV1264" i="18"/>
  <c r="AV1283" i="18"/>
  <c r="BF408" i="5"/>
  <c r="AX1293" i="18"/>
  <c r="AX1267" i="18"/>
  <c r="CF60" i="6"/>
  <c r="BX621" i="18" s="1"/>
  <c r="BM575" i="18"/>
  <c r="BU43" i="7"/>
  <c r="BX223" i="5"/>
  <c r="BP190" i="18" s="1"/>
  <c r="AW1294" i="18"/>
  <c r="AW1268" i="18"/>
  <c r="BZ295" i="5"/>
  <c r="BR253" i="18" s="1"/>
  <c r="CS194" i="5"/>
  <c r="CK160" i="18" s="1"/>
  <c r="CK159" i="18"/>
  <c r="BL194" i="5"/>
  <c r="BD160" i="18" s="1"/>
  <c r="BD159" i="18"/>
  <c r="BE1284" i="18"/>
  <c r="BE1265" i="18"/>
  <c r="BO197" i="5"/>
  <c r="BG163" i="18" s="1"/>
  <c r="BG162" i="18"/>
  <c r="BV50" i="5"/>
  <c r="BN38" i="18" s="1"/>
  <c r="BN37" i="18"/>
  <c r="BZ25" i="5"/>
  <c r="BR17" i="18" s="1"/>
  <c r="BR16" i="18"/>
  <c r="BO408" i="5"/>
  <c r="BC1293" i="18"/>
  <c r="BC1267" i="18"/>
  <c r="BI230" i="5"/>
  <c r="BA197" i="18" s="1"/>
  <c r="BA196" i="18"/>
  <c r="CV371" i="6"/>
  <c r="CN610" i="18" s="1"/>
  <c r="AW1283" i="18"/>
  <c r="AW1264" i="18"/>
  <c r="BA1283" i="18"/>
  <c r="BA1264" i="18"/>
  <c r="BQ444" i="5"/>
  <c r="BI1048" i="18" s="1"/>
  <c r="BE1047" i="18"/>
  <c r="BM444" i="5"/>
  <c r="BE1048" i="18" s="1"/>
  <c r="BR190" i="18"/>
  <c r="CD223" i="5"/>
  <c r="AS1284" i="18"/>
  <c r="AS1265" i="18"/>
  <c r="CU295" i="5"/>
  <c r="CM253" i="18" s="1"/>
  <c r="BH253" i="18"/>
  <c r="CE20" i="5"/>
  <c r="BW1243" i="18" s="1"/>
  <c r="BW12" i="18"/>
  <c r="BC443" i="5"/>
  <c r="AU1046" i="18"/>
  <c r="CW40" i="7"/>
  <c r="BI1294" i="18"/>
  <c r="BI1268" i="18"/>
  <c r="AT1265" i="18"/>
  <c r="AT1284" i="18"/>
  <c r="BB443" i="5"/>
  <c r="AT1046" i="18"/>
  <c r="BA444" i="5"/>
  <c r="AS1048" i="18" s="1"/>
  <c r="AS1047" i="18"/>
  <c r="BO443" i="5"/>
  <c r="BG1047" i="18" s="1"/>
  <c r="DE108" i="6"/>
  <c r="DF108" i="6" s="1"/>
  <c r="CS136" i="18"/>
  <c r="DA153" i="5"/>
  <c r="DB167" i="5"/>
  <c r="CD370" i="6"/>
  <c r="BV609" i="18" s="1"/>
  <c r="CX723" i="18"/>
  <c r="CX1297" i="18"/>
  <c r="CQ1304" i="18"/>
  <c r="CQ730" i="18"/>
  <c r="CX1298" i="18"/>
  <c r="CX724" i="18"/>
  <c r="AC6" i="7"/>
  <c r="AB5" i="7"/>
  <c r="CQ397" i="5"/>
  <c r="BO426" i="5"/>
  <c r="BG319" i="18" s="1"/>
  <c r="BD398" i="5"/>
  <c r="CR366" i="5"/>
  <c r="BH408" i="5"/>
  <c r="CR408" i="5"/>
  <c r="BN426" i="5"/>
  <c r="BF319" i="18" s="1"/>
  <c r="BR426" i="5"/>
  <c r="BJ319" i="18" s="1"/>
  <c r="BI398" i="5"/>
  <c r="CQ365" i="5"/>
  <c r="CQ366" i="5" s="1"/>
  <c r="BI408" i="5"/>
  <c r="BM408" i="5"/>
  <c r="BL426" i="5"/>
  <c r="BD319" i="18" s="1"/>
  <c r="BT366" i="5"/>
  <c r="CX365" i="6"/>
  <c r="CP604" i="18" s="1"/>
  <c r="CU199" i="5"/>
  <c r="CU182" i="5"/>
  <c r="CM148" i="18" s="1"/>
  <c r="CX60" i="6"/>
  <c r="CP621" i="18" s="1"/>
  <c r="CA71" i="6"/>
  <c r="BS632" i="18" s="1"/>
  <c r="CA72" i="6"/>
  <c r="BS633" i="18" s="1"/>
  <c r="CC365" i="6"/>
  <c r="BU604" i="18" s="1"/>
  <c r="BM193" i="5"/>
  <c r="BM229" i="5"/>
  <c r="BM292" i="5"/>
  <c r="BE250" i="18" s="1"/>
  <c r="BV199" i="5"/>
  <c r="BV291" i="5"/>
  <c r="BN249" i="18" s="1"/>
  <c r="BU44" i="6"/>
  <c r="BM576" i="18" s="1"/>
  <c r="BU47" i="6"/>
  <c r="BU48" i="6" s="1"/>
  <c r="BM578" i="18" s="1"/>
  <c r="CA203" i="5"/>
  <c r="BS170" i="18" s="1"/>
  <c r="CV283" i="6"/>
  <c r="CN805" i="18" s="1"/>
  <c r="CU245" i="6"/>
  <c r="CM769" i="18" s="1"/>
  <c r="CU305" i="6"/>
  <c r="CM838" i="18" s="1"/>
  <c r="BW250" i="5"/>
  <c r="BO215" i="18" s="1"/>
  <c r="CY221" i="6"/>
  <c r="CY226" i="6"/>
  <c r="AT176" i="6"/>
  <c r="AP101" i="6"/>
  <c r="AH654" i="18" s="1"/>
  <c r="AT125" i="6"/>
  <c r="AL694" i="18" s="1"/>
  <c r="AT100" i="6"/>
  <c r="AL653" i="18" s="1"/>
  <c r="CY366" i="6"/>
  <c r="CQ605" i="18" s="1"/>
  <c r="CC367" i="6"/>
  <c r="BU606" i="18" s="1"/>
  <c r="BN408" i="5"/>
  <c r="BR292" i="5"/>
  <c r="BR193" i="5"/>
  <c r="BR229" i="5"/>
  <c r="DA214" i="6"/>
  <c r="CZ219" i="6"/>
  <c r="CZ29" i="6"/>
  <c r="BZ355" i="5"/>
  <c r="BK366" i="5"/>
  <c r="CY204" i="5"/>
  <c r="CB71" i="6"/>
  <c r="BT632" i="18" s="1"/>
  <c r="CB72" i="6"/>
  <c r="BT633" i="18" s="1"/>
  <c r="CB365" i="6"/>
  <c r="BT604" i="18" s="1"/>
  <c r="BQ213" i="5"/>
  <c r="BI180" i="18" s="1"/>
  <c r="BQ296" i="5"/>
  <c r="BI254" i="18" s="1"/>
  <c r="BR408" i="5"/>
  <c r="BX68" i="6"/>
  <c r="BO366" i="5"/>
  <c r="CZ225" i="6"/>
  <c r="CY230" i="6"/>
  <c r="CS425" i="5"/>
  <c r="AX124" i="6"/>
  <c r="AP693" i="18" s="1"/>
  <c r="AX143" i="6"/>
  <c r="AP703" i="18" s="1"/>
  <c r="BB107" i="6"/>
  <c r="AT660" i="18" s="1"/>
  <c r="BB113" i="6"/>
  <c r="AT666" i="18" s="1"/>
  <c r="BY67" i="6"/>
  <c r="BQ629" i="18" s="1"/>
  <c r="BY61" i="6"/>
  <c r="BQ622" i="18" s="1"/>
  <c r="BY371" i="6"/>
  <c r="BQ610" i="18" s="1"/>
  <c r="CE367" i="6"/>
  <c r="BW606" i="18" s="1"/>
  <c r="CS191" i="5"/>
  <c r="CK157" i="18" s="1"/>
  <c r="BN398" i="5"/>
  <c r="CF75" i="6"/>
  <c r="BX612" i="18" s="1"/>
  <c r="CF78" i="6"/>
  <c r="CF222" i="5"/>
  <c r="BX189" i="18" s="1"/>
  <c r="BL294" i="6"/>
  <c r="BD815" i="18" s="1"/>
  <c r="CD76" i="6"/>
  <c r="BV613" i="18" s="1"/>
  <c r="BW354" i="5"/>
  <c r="BW89" i="6"/>
  <c r="BO640" i="18" s="1"/>
  <c r="BW13" i="5"/>
  <c r="BO6" i="18" s="1"/>
  <c r="BW96" i="6"/>
  <c r="BO647" i="18" s="1"/>
  <c r="BW331" i="5"/>
  <c r="BW24" i="5"/>
  <c r="BW49" i="5"/>
  <c r="BW38" i="6"/>
  <c r="BO593" i="18" s="1"/>
  <c r="BW32" i="6"/>
  <c r="BO587" i="18" s="1"/>
  <c r="BW77" i="6"/>
  <c r="BO614" i="18" s="1"/>
  <c r="BX89" i="6"/>
  <c r="BP640" i="18" s="1"/>
  <c r="BX96" i="6"/>
  <c r="BP647" i="18" s="1"/>
  <c r="BX24" i="5"/>
  <c r="BX13" i="5"/>
  <c r="BP6" i="18" s="1"/>
  <c r="BX331" i="5"/>
  <c r="BX354" i="5"/>
  <c r="BX49" i="5"/>
  <c r="BX38" i="6"/>
  <c r="BP593" i="18" s="1"/>
  <c r="BX32" i="6"/>
  <c r="BP587" i="18" s="1"/>
  <c r="BX77" i="6"/>
  <c r="BP614" i="18" s="1"/>
  <c r="CY239" i="5"/>
  <c r="CY268" i="5" s="1"/>
  <c r="BZ225" i="5"/>
  <c r="BR192" i="18" s="1"/>
  <c r="CQ176" i="6"/>
  <c r="CQ125" i="6"/>
  <c r="CI694" i="18" s="1"/>
  <c r="CQ147" i="6"/>
  <c r="CR114" i="6"/>
  <c r="CJ667" i="18" s="1"/>
  <c r="CR108" i="6"/>
  <c r="CJ661" i="18" s="1"/>
  <c r="DD36" i="6"/>
  <c r="BV47" i="6"/>
  <c r="BV48" i="6" s="1"/>
  <c r="BN578" i="18" s="1"/>
  <c r="BV44" i="6"/>
  <c r="BN576" i="18" s="1"/>
  <c r="AZ124" i="6"/>
  <c r="AR693" i="18" s="1"/>
  <c r="BD113" i="6"/>
  <c r="AV666" i="18" s="1"/>
  <c r="BD107" i="6"/>
  <c r="AV660" i="18" s="1"/>
  <c r="AZ143" i="6"/>
  <c r="AR703" i="18" s="1"/>
  <c r="BC177" i="6"/>
  <c r="BV340" i="5"/>
  <c r="BV342" i="5" s="1"/>
  <c r="BV356" i="5"/>
  <c r="BV358" i="5" s="1"/>
  <c r="BV421" i="5"/>
  <c r="BN313" i="18" s="1"/>
  <c r="BV439" i="5"/>
  <c r="BN1043" i="18" s="1"/>
  <c r="BV430" i="5"/>
  <c r="BV431" i="5" s="1"/>
  <c r="BV432" i="5" s="1"/>
  <c r="BV433" i="5" s="1"/>
  <c r="AX114" i="6"/>
  <c r="AP667" i="18" s="1"/>
  <c r="BU179" i="5"/>
  <c r="BM145" i="18" s="1"/>
  <c r="BU196" i="5"/>
  <c r="BU214" i="5"/>
  <c r="BM181" i="18" s="1"/>
  <c r="BS214" i="5"/>
  <c r="BK181" i="18" s="1"/>
  <c r="BS196" i="5"/>
  <c r="BS179" i="5"/>
  <c r="BK145" i="18" s="1"/>
  <c r="CS313" i="6"/>
  <c r="CK844" i="18" s="1"/>
  <c r="CS302" i="6"/>
  <c r="CK821" i="18" s="1"/>
  <c r="BA318" i="6"/>
  <c r="AS851" i="18" s="1"/>
  <c r="CF90" i="6"/>
  <c r="BX641" i="18" s="1"/>
  <c r="CF87" i="6"/>
  <c r="BX638" i="18" s="1"/>
  <c r="CW72" i="6"/>
  <c r="CO633" i="18" s="1"/>
  <c r="CW71" i="6"/>
  <c r="CO632" i="18" s="1"/>
  <c r="CC88" i="6"/>
  <c r="BU639" i="18" s="1"/>
  <c r="BR366" i="5"/>
  <c r="BO291" i="5"/>
  <c r="BG249" i="18" s="1"/>
  <c r="BO199" i="5"/>
  <c r="CF231" i="6"/>
  <c r="CT229" i="5"/>
  <c r="CT193" i="5"/>
  <c r="AW124" i="6"/>
  <c r="AO693" i="18" s="1"/>
  <c r="CQ100" i="6"/>
  <c r="CI653" i="18" s="1"/>
  <c r="BA107" i="6"/>
  <c r="AS660" i="18" s="1"/>
  <c r="BA113" i="6"/>
  <c r="AS666" i="18" s="1"/>
  <c r="AW143" i="6"/>
  <c r="AO703" i="18" s="1"/>
  <c r="CC71" i="6"/>
  <c r="BU632" i="18" s="1"/>
  <c r="CC72" i="6"/>
  <c r="BU633" i="18" s="1"/>
  <c r="Z5" i="6"/>
  <c r="AA6" i="6"/>
  <c r="BO398" i="5"/>
  <c r="BK398" i="5"/>
  <c r="BS162" i="6"/>
  <c r="BW371" i="6"/>
  <c r="BO610" i="18" s="1"/>
  <c r="CW370" i="6"/>
  <c r="CO609" i="18" s="1"/>
  <c r="CS365" i="5"/>
  <c r="CS366" i="5" s="1"/>
  <c r="CS397" i="5"/>
  <c r="CS407" i="5"/>
  <c r="CY70" i="6"/>
  <c r="CQ631" i="18" s="1"/>
  <c r="CY64" i="6"/>
  <c r="CQ626" i="18" s="1"/>
  <c r="CY66" i="6"/>
  <c r="CQ627" i="18" s="1"/>
  <c r="AU176" i="6"/>
  <c r="AU125" i="6"/>
  <c r="AM694" i="18" s="1"/>
  <c r="AU100" i="6"/>
  <c r="AM653" i="18" s="1"/>
  <c r="AQ101" i="6"/>
  <c r="AI654" i="18" s="1"/>
  <c r="BU167" i="6"/>
  <c r="BM717" i="18" s="1"/>
  <c r="CW68" i="6"/>
  <c r="BW226" i="5"/>
  <c r="BO193" i="18" s="1"/>
  <c r="BW224" i="5"/>
  <c r="AV176" i="6"/>
  <c r="AR101" i="6"/>
  <c r="AJ654" i="18" s="1"/>
  <c r="AV125" i="6"/>
  <c r="AN694" i="18" s="1"/>
  <c r="AV100" i="6"/>
  <c r="AN653" i="18" s="1"/>
  <c r="BB177" i="6"/>
  <c r="CW13" i="5"/>
  <c r="CO6" i="18" s="1"/>
  <c r="CW354" i="5"/>
  <c r="CW89" i="6"/>
  <c r="CO640" i="18" s="1"/>
  <c r="CW96" i="6"/>
  <c r="CO647" i="18" s="1"/>
  <c r="CW24" i="5"/>
  <c r="CW49" i="5"/>
  <c r="CW38" i="6"/>
  <c r="CO593" i="18" s="1"/>
  <c r="CW32" i="6"/>
  <c r="CO587" i="18" s="1"/>
  <c r="BV26" i="6"/>
  <c r="BN580" i="18" s="1"/>
  <c r="BV277" i="5"/>
  <c r="BN233" i="18" s="1"/>
  <c r="DF354" i="6"/>
  <c r="CX888" i="18" s="1"/>
  <c r="CW65" i="6"/>
  <c r="CZ291" i="6"/>
  <c r="CZ176" i="6"/>
  <c r="CZ114" i="6"/>
  <c r="CR667" i="18" s="1"/>
  <c r="DA101" i="6"/>
  <c r="CS654" i="18" s="1"/>
  <c r="CZ102" i="6"/>
  <c r="CR655" i="18" s="1"/>
  <c r="CW249" i="5"/>
  <c r="BX43" i="6"/>
  <c r="BO296" i="5"/>
  <c r="BO213" i="5"/>
  <c r="BG180" i="18" s="1"/>
  <c r="BP199" i="5"/>
  <c r="BP291" i="5"/>
  <c r="BH249" i="18" s="1"/>
  <c r="BX371" i="6"/>
  <c r="BP610" i="18" s="1"/>
  <c r="BT162" i="6"/>
  <c r="CX367" i="6"/>
  <c r="CP606" i="18" s="1"/>
  <c r="BA177" i="6"/>
  <c r="CR224" i="5"/>
  <c r="CV463" i="5"/>
  <c r="CV464" i="5" s="1"/>
  <c r="CV420" i="5"/>
  <c r="CV423" i="5" s="1"/>
  <c r="CN316" i="18" s="1"/>
  <c r="DC113" i="6"/>
  <c r="CU666" i="18" s="1"/>
  <c r="DD100" i="6"/>
  <c r="CV653" i="18" s="1"/>
  <c r="BY188" i="5"/>
  <c r="BY223" i="5"/>
  <c r="BQ190" i="18" s="1"/>
  <c r="BV255" i="5"/>
  <c r="BN218" i="18" s="1"/>
  <c r="BV253" i="5"/>
  <c r="BV254" i="5" s="1"/>
  <c r="BV251" i="5"/>
  <c r="CR317" i="6"/>
  <c r="CJ850" i="18" s="1"/>
  <c r="BW180" i="5"/>
  <c r="BO146" i="18" s="1"/>
  <c r="BV157" i="6"/>
  <c r="BN674" i="18" s="1"/>
  <c r="BT213" i="5"/>
  <c r="BL180" i="18" s="1"/>
  <c r="BT296" i="5"/>
  <c r="CX141" i="6"/>
  <c r="CP701" i="18" s="1"/>
  <c r="CD61" i="6"/>
  <c r="BV622" i="18" s="1"/>
  <c r="CD67" i="6"/>
  <c r="BV629" i="18" s="1"/>
  <c r="BU255" i="5"/>
  <c r="BM218" i="18" s="1"/>
  <c r="BU251" i="5"/>
  <c r="BU253" i="5"/>
  <c r="BU254" i="5" s="1"/>
  <c r="BW155" i="6"/>
  <c r="BO672" i="18" s="1"/>
  <c r="BW166" i="6"/>
  <c r="BO716" i="18" s="1"/>
  <c r="BW25" i="6"/>
  <c r="BO579" i="18" s="1"/>
  <c r="BX166" i="6"/>
  <c r="BP716" i="18" s="1"/>
  <c r="BX155" i="6"/>
  <c r="BP672" i="18" s="1"/>
  <c r="BX25" i="6"/>
  <c r="BP579" i="18" s="1"/>
  <c r="CT425" i="5"/>
  <c r="CL318" i="18" s="1"/>
  <c r="CA370" i="6"/>
  <c r="BS609" i="18" s="1"/>
  <c r="CA78" i="6"/>
  <c r="CA75" i="6"/>
  <c r="BS612" i="18" s="1"/>
  <c r="CA222" i="5"/>
  <c r="BS189" i="18" s="1"/>
  <c r="CA40" i="6"/>
  <c r="CA60" i="6"/>
  <c r="BP296" i="5"/>
  <c r="BP213" i="5"/>
  <c r="BH180" i="18" s="1"/>
  <c r="CU425" i="5"/>
  <c r="CZ139" i="6"/>
  <c r="CR699" i="18" s="1"/>
  <c r="CY140" i="6"/>
  <c r="CQ700" i="18" s="1"/>
  <c r="CX72" i="6"/>
  <c r="CP633" i="18" s="1"/>
  <c r="CX71" i="6"/>
  <c r="CP632" i="18" s="1"/>
  <c r="BZ371" i="6"/>
  <c r="BR610" i="18" s="1"/>
  <c r="CY260" i="6"/>
  <c r="CY266" i="6"/>
  <c r="DF172" i="6"/>
  <c r="BX250" i="5"/>
  <c r="BP215" i="18" s="1"/>
  <c r="CW141" i="6"/>
  <c r="CO701" i="18" s="1"/>
  <c r="BZ44" i="6"/>
  <c r="BR576" i="18" s="1"/>
  <c r="BZ47" i="6"/>
  <c r="BZ15" i="6"/>
  <c r="BR1244" i="18" s="1"/>
  <c r="BY295" i="5"/>
  <c r="BQ253" i="18" s="1"/>
  <c r="BY180" i="5"/>
  <c r="BQ146" i="18" s="1"/>
  <c r="BM297" i="5"/>
  <c r="BE255" i="18" s="1"/>
  <c r="CU296" i="5"/>
  <c r="BD318" i="6"/>
  <c r="AV851" i="18" s="1"/>
  <c r="BI293" i="5"/>
  <c r="BA251" i="18" s="1"/>
  <c r="CT292" i="5"/>
  <c r="BW68" i="6"/>
  <c r="CR218" i="5"/>
  <c r="CJ185" i="18" s="1"/>
  <c r="BX180" i="5"/>
  <c r="BP146" i="18" s="1"/>
  <c r="BX295" i="5"/>
  <c r="BP253" i="18" s="1"/>
  <c r="CV341" i="5"/>
  <c r="CV343" i="5"/>
  <c r="CV162" i="6"/>
  <c r="CW41" i="6"/>
  <c r="CO573" i="18" s="1"/>
  <c r="CW46" i="6"/>
  <c r="CO577" i="18" s="1"/>
  <c r="BT291" i="5"/>
  <c r="BL249" i="18" s="1"/>
  <c r="BT199" i="5"/>
  <c r="BL165" i="18" s="1"/>
  <c r="CX231" i="6"/>
  <c r="CS223" i="5"/>
  <c r="CK190" i="18" s="1"/>
  <c r="CT217" i="5"/>
  <c r="CL184" i="18" s="1"/>
  <c r="CS217" i="5"/>
  <c r="CS234" i="5"/>
  <c r="CK201" i="18" s="1"/>
  <c r="CS287" i="5"/>
  <c r="BW43" i="6"/>
  <c r="DA229" i="6"/>
  <c r="DB224" i="6"/>
  <c r="CE87" i="6"/>
  <c r="BW638" i="18" s="1"/>
  <c r="CE90" i="6"/>
  <c r="BW641" i="18" s="1"/>
  <c r="CU407" i="5"/>
  <c r="CU365" i="5"/>
  <c r="CU366" i="5" s="1"/>
  <c r="CU397" i="5"/>
  <c r="CT397" i="5"/>
  <c r="AZ114" i="6"/>
  <c r="AR667" i="18" s="1"/>
  <c r="CF364" i="6"/>
  <c r="BX603" i="18" s="1"/>
  <c r="CD365" i="6"/>
  <c r="BV604" i="18" s="1"/>
  <c r="CV440" i="5"/>
  <c r="CC76" i="6"/>
  <c r="BU613" i="18" s="1"/>
  <c r="CX331" i="6"/>
  <c r="CP865" i="18" s="1"/>
  <c r="BU26" i="6"/>
  <c r="BM580" i="18" s="1"/>
  <c r="BU277" i="5"/>
  <c r="BM233" i="18" s="1"/>
  <c r="CY336" i="6"/>
  <c r="CQ870" i="18" s="1"/>
  <c r="CY330" i="6"/>
  <c r="CQ864" i="18" s="1"/>
  <c r="CY337" i="6"/>
  <c r="CQ871" i="18" s="1"/>
  <c r="CS310" i="6"/>
  <c r="CK843" i="18" s="1"/>
  <c r="CT288" i="6"/>
  <c r="CL810" i="18" s="1"/>
  <c r="CS318" i="6"/>
  <c r="CK851" i="18" s="1"/>
  <c r="CS238" i="6"/>
  <c r="CK763" i="18" s="1"/>
  <c r="CS289" i="6"/>
  <c r="CB203" i="5"/>
  <c r="BT170" i="18" s="1"/>
  <c r="BV167" i="6"/>
  <c r="BN717" i="18" s="1"/>
  <c r="BR398" i="5"/>
  <c r="CU162" i="6"/>
  <c r="CW76" i="6"/>
  <c r="CO613" i="18" s="1"/>
  <c r="CE364" i="6"/>
  <c r="BX224" i="5"/>
  <c r="BX226" i="5"/>
  <c r="BP193" i="18" s="1"/>
  <c r="DA120" i="6"/>
  <c r="CS684" i="18" s="1"/>
  <c r="CT661" i="18"/>
  <c r="BZ214" i="5"/>
  <c r="BR181" i="18" s="1"/>
  <c r="BZ179" i="5"/>
  <c r="BR145" i="18" s="1"/>
  <c r="BZ196" i="5"/>
  <c r="BR162" i="18" s="1"/>
  <c r="CT254" i="6"/>
  <c r="CL777" i="18" s="1"/>
  <c r="CT265" i="6"/>
  <c r="CL788" i="18" s="1"/>
  <c r="BX205" i="5"/>
  <c r="BM426" i="5"/>
  <c r="BE319" i="18" s="1"/>
  <c r="CX65" i="6"/>
  <c r="CB370" i="6"/>
  <c r="BT609" i="18" s="1"/>
  <c r="CB78" i="6"/>
  <c r="CB222" i="5"/>
  <c r="CB75" i="6"/>
  <c r="BT612" i="18" s="1"/>
  <c r="CB40" i="6"/>
  <c r="CB60" i="6"/>
  <c r="BT621" i="18" s="1"/>
  <c r="BQ199" i="5"/>
  <c r="BQ291" i="5"/>
  <c r="BI249" i="18" s="1"/>
  <c r="CW147" i="6"/>
  <c r="CW166" i="6"/>
  <c r="CO716" i="18" s="1"/>
  <c r="CW155" i="6"/>
  <c r="CO672" i="18" s="1"/>
  <c r="BC318" i="6"/>
  <c r="AU851" i="18" s="1"/>
  <c r="DA357" i="6"/>
  <c r="DA359" i="6"/>
  <c r="CS892" i="18" s="1"/>
  <c r="AS176" i="6"/>
  <c r="AS125" i="6"/>
  <c r="AK694" i="18" s="1"/>
  <c r="AO101" i="6"/>
  <c r="AS100" i="6"/>
  <c r="AW107" i="6" s="1"/>
  <c r="AO660" i="18" s="1"/>
  <c r="CP101" i="6"/>
  <c r="CT183" i="5"/>
  <c r="CT189" i="5"/>
  <c r="CT185" i="5"/>
  <c r="CL151" i="18" s="1"/>
  <c r="CT234" i="5"/>
  <c r="CL201" i="18" s="1"/>
  <c r="BV296" i="5"/>
  <c r="BV213" i="5"/>
  <c r="BN180" i="18" s="1"/>
  <c r="CF67" i="6"/>
  <c r="BX629" i="18" s="1"/>
  <c r="BZ430" i="5"/>
  <c r="BZ431" i="5" s="1"/>
  <c r="BZ432" i="5" s="1"/>
  <c r="BZ433" i="5" s="1"/>
  <c r="BR1037" i="18" s="1"/>
  <c r="BZ356" i="5"/>
  <c r="BZ358" i="5" s="1"/>
  <c r="BZ421" i="5"/>
  <c r="BR313" i="18" s="1"/>
  <c r="BZ439" i="5"/>
  <c r="BR1043" i="18" s="1"/>
  <c r="BZ340" i="5"/>
  <c r="BZ342" i="5" s="1"/>
  <c r="CS273" i="6"/>
  <c r="CK795" i="18" s="1"/>
  <c r="CS256" i="6"/>
  <c r="CK779" i="18" s="1"/>
  <c r="CS275" i="6"/>
  <c r="CK797" i="18" s="1"/>
  <c r="CS258" i="6"/>
  <c r="CK781" i="18" s="1"/>
  <c r="CS255" i="6"/>
  <c r="CK778" i="18" s="1"/>
  <c r="CW203" i="5"/>
  <c r="CO170" i="18" s="1"/>
  <c r="CC188" i="5"/>
  <c r="BU154" i="18" s="1"/>
  <c r="CX40" i="6"/>
  <c r="CP572" i="18" s="1"/>
  <c r="BY41" i="6"/>
  <c r="BQ573" i="18" s="1"/>
  <c r="BY46" i="6"/>
  <c r="BQ577" i="18" s="1"/>
  <c r="BY12" i="5"/>
  <c r="BQ5" i="18" s="1"/>
  <c r="BY249" i="5"/>
  <c r="BQ214" i="18" s="1"/>
  <c r="BK408" i="5"/>
  <c r="BG408" i="5"/>
  <c r="BJ366" i="5"/>
  <c r="BD177" i="6"/>
  <c r="CE70" i="6"/>
  <c r="BW631" i="18" s="1"/>
  <c r="CE66" i="6"/>
  <c r="BW627" i="18" s="1"/>
  <c r="AY124" i="6"/>
  <c r="AQ693" i="18" s="1"/>
  <c r="AY113" i="6"/>
  <c r="AQ666" i="18" s="1"/>
  <c r="AY107" i="6"/>
  <c r="AQ660" i="18" s="1"/>
  <c r="BC113" i="6"/>
  <c r="AU666" i="18" s="1"/>
  <c r="AY143" i="6"/>
  <c r="AQ703" i="18" s="1"/>
  <c r="BC107" i="6"/>
  <c r="AU660" i="18" s="1"/>
  <c r="BH366" i="5"/>
  <c r="CA365" i="6"/>
  <c r="BS604" i="18" s="1"/>
  <c r="CV359" i="5"/>
  <c r="CV357" i="5"/>
  <c r="CC370" i="6"/>
  <c r="BU609" i="18" s="1"/>
  <c r="BY76" i="6"/>
  <c r="BQ613" i="18" s="1"/>
  <c r="CU214" i="5"/>
  <c r="BU157" i="6"/>
  <c r="BM674" i="18" s="1"/>
  <c r="BB318" i="6"/>
  <c r="AT851" i="18" s="1"/>
  <c r="CZ368" i="6"/>
  <c r="CR607" i="18" s="1"/>
  <c r="CZ360" i="6"/>
  <c r="CR893" i="18" s="1"/>
  <c r="BZ253" i="5"/>
  <c r="BZ251" i="5"/>
  <c r="BR216" i="18" s="1"/>
  <c r="CD250" i="5"/>
  <c r="BV215" i="18" s="1"/>
  <c r="CD188" i="5"/>
  <c r="BV154" i="18" s="1"/>
  <c r="BV331" i="5"/>
  <c r="BZ50" i="5"/>
  <c r="BR38" i="18" s="1"/>
  <c r="CW332" i="6"/>
  <c r="CO866" i="18" s="1"/>
  <c r="CW333" i="6"/>
  <c r="CO867" i="18" s="1"/>
  <c r="DB356" i="6"/>
  <c r="DC35" i="6"/>
  <c r="DB272" i="5"/>
  <c r="DB37" i="6"/>
  <c r="CF70" i="6"/>
  <c r="BX631" i="18" s="1"/>
  <c r="CF66" i="6"/>
  <c r="BX627" i="18" s="1"/>
  <c r="CF337" i="6"/>
  <c r="BX871" i="18" s="1"/>
  <c r="CY58" i="6"/>
  <c r="DB240" i="5"/>
  <c r="DC273" i="5"/>
  <c r="DB274" i="5"/>
  <c r="DF121" i="5"/>
  <c r="CZ299" i="5"/>
  <c r="DA181" i="5"/>
  <c r="CS147" i="18" s="1"/>
  <c r="DC312" i="5"/>
  <c r="CU270" i="18" s="1"/>
  <c r="DB306" i="5"/>
  <c r="CT264" i="18" s="1"/>
  <c r="DB36" i="5"/>
  <c r="CT28" i="18" s="1"/>
  <c r="DA205" i="5"/>
  <c r="DA307" i="5"/>
  <c r="CS265" i="18" s="1"/>
  <c r="DA309" i="5"/>
  <c r="DA17" i="5"/>
  <c r="CS10" i="18" s="1"/>
  <c r="BR595" i="5"/>
  <c r="BQ596" i="5"/>
  <c r="BQ515" i="5"/>
  <c r="BQ516" i="5" s="1"/>
  <c r="BQ517" i="5" s="1"/>
  <c r="DE599" i="5"/>
  <c r="CY300" i="5"/>
  <c r="CY233" i="5"/>
  <c r="BJ6" i="5"/>
  <c r="DE121" i="5"/>
  <c r="CU232" i="5" l="1"/>
  <c r="CM199" i="18" s="1"/>
  <c r="CM181" i="18"/>
  <c r="CW205" i="5"/>
  <c r="CO172" i="18" s="1"/>
  <c r="BP172" i="18"/>
  <c r="BP297" i="5"/>
  <c r="BH255" i="18" s="1"/>
  <c r="BH254" i="18"/>
  <c r="BT297" i="5"/>
  <c r="BL255" i="18" s="1"/>
  <c r="BL254" i="18"/>
  <c r="BO297" i="5"/>
  <c r="BG255" i="18" s="1"/>
  <c r="BG254" i="18"/>
  <c r="CT194" i="5"/>
  <c r="CL160" i="18" s="1"/>
  <c r="CL159" i="18"/>
  <c r="CS426" i="5"/>
  <c r="CK319" i="18" s="1"/>
  <c r="CK318" i="18"/>
  <c r="BR293" i="5"/>
  <c r="BJ251" i="18" s="1"/>
  <c r="BJ250" i="18"/>
  <c r="BC444" i="5"/>
  <c r="AU1048" i="18" s="1"/>
  <c r="AU1047" i="18"/>
  <c r="BW611" i="18"/>
  <c r="CY74" i="6"/>
  <c r="CE60" i="6"/>
  <c r="CU443" i="5"/>
  <c r="CM1046" i="18"/>
  <c r="BT444" i="5"/>
  <c r="BL1048" i="18" s="1"/>
  <c r="BL1047" i="18"/>
  <c r="BZ44" i="7"/>
  <c r="BZ48" i="7"/>
  <c r="CY301" i="5"/>
  <c r="CQ259" i="18" s="1"/>
  <c r="CQ258" i="18"/>
  <c r="CZ57" i="6"/>
  <c r="CR619" i="18" s="1"/>
  <c r="BV333" i="5"/>
  <c r="BN289" i="18" s="1"/>
  <c r="BN287" i="18"/>
  <c r="AV1303" i="18"/>
  <c r="AV729" i="18"/>
  <c r="CE75" i="6"/>
  <c r="BW612" i="18" s="1"/>
  <c r="CF61" i="6"/>
  <c r="BX622" i="18" s="1"/>
  <c r="CQ114" i="6"/>
  <c r="CI667" i="18" s="1"/>
  <c r="CH654" i="18"/>
  <c r="AW177" i="6"/>
  <c r="AK1302" i="18"/>
  <c r="AK728" i="18"/>
  <c r="BQ200" i="5"/>
  <c r="BI166" i="18" s="1"/>
  <c r="BI165" i="18"/>
  <c r="CX222" i="5"/>
  <c r="BT189" i="18"/>
  <c r="CS289" i="5"/>
  <c r="CK246" i="18" s="1"/>
  <c r="CK244" i="18"/>
  <c r="CX203" i="5"/>
  <c r="CP170" i="18" s="1"/>
  <c r="BU252" i="5"/>
  <c r="BM217" i="18" s="1"/>
  <c r="BM216" i="18"/>
  <c r="BW295" i="5"/>
  <c r="CU291" i="5"/>
  <c r="CM249" i="18" s="1"/>
  <c r="CW25" i="5"/>
  <c r="CO17" i="18" s="1"/>
  <c r="CO16" i="18"/>
  <c r="CS398" i="5"/>
  <c r="CK1283" i="18"/>
  <c r="CK1264" i="18"/>
  <c r="BO200" i="5"/>
  <c r="BG166" i="18" s="1"/>
  <c r="BG165" i="18"/>
  <c r="BS197" i="5"/>
  <c r="BK163" i="18" s="1"/>
  <c r="BK162" i="18"/>
  <c r="BX333" i="5"/>
  <c r="BP289" i="18" s="1"/>
  <c r="BP287" i="18"/>
  <c r="BW50" i="5"/>
  <c r="BO38" i="18" s="1"/>
  <c r="BO37" i="18"/>
  <c r="BF1265" i="18"/>
  <c r="BF1284" i="18"/>
  <c r="BR194" i="5"/>
  <c r="BJ160" i="18" s="1"/>
  <c r="BJ159" i="18"/>
  <c r="AX177" i="6"/>
  <c r="AL1302" i="18"/>
  <c r="AL728" i="18"/>
  <c r="BV200" i="5"/>
  <c r="BN166" i="18" s="1"/>
  <c r="BN165" i="18"/>
  <c r="CX223" i="5"/>
  <c r="BA1284" i="18"/>
  <c r="BA1265" i="18"/>
  <c r="AZ1294" i="18"/>
  <c r="AZ1268" i="18"/>
  <c r="CQ398" i="5"/>
  <c r="CI1264" i="18"/>
  <c r="CI1283" i="18"/>
  <c r="BV190" i="18"/>
  <c r="CD216" i="5"/>
  <c r="AX1294" i="18"/>
  <c r="AX1268" i="18"/>
  <c r="BL1284" i="18"/>
  <c r="BL1265" i="18"/>
  <c r="BB1047" i="18"/>
  <c r="BJ444" i="5"/>
  <c r="BB1048" i="18" s="1"/>
  <c r="AR1284" i="18"/>
  <c r="AR1265" i="18"/>
  <c r="AX1265" i="18"/>
  <c r="AX1284" i="18"/>
  <c r="CQ1243" i="18"/>
  <c r="CQ12" i="18"/>
  <c r="BI444" i="5"/>
  <c r="BA1048" i="18" s="1"/>
  <c r="BA1047" i="18"/>
  <c r="BX54" i="7"/>
  <c r="BX53" i="7" s="1"/>
  <c r="BX57" i="7" s="1"/>
  <c r="BX356" i="5" s="1"/>
  <c r="BX358" i="5" s="1"/>
  <c r="BX41" i="7"/>
  <c r="CQ225" i="5"/>
  <c r="CI192" i="18" s="1"/>
  <c r="CI191" i="18"/>
  <c r="CQ426" i="5"/>
  <c r="CI319" i="18" s="1"/>
  <c r="CI318" i="18"/>
  <c r="AZ444" i="5"/>
  <c r="AR1048" i="18" s="1"/>
  <c r="AR1047" i="18"/>
  <c r="BU191" i="5"/>
  <c r="BM157" i="18" s="1"/>
  <c r="BM156" i="18"/>
  <c r="BX190" i="5"/>
  <c r="BP155" i="18"/>
  <c r="CL1046" i="18"/>
  <c r="CT443" i="5"/>
  <c r="CQ443" i="5"/>
  <c r="CI1046" i="18"/>
  <c r="BU621" i="18"/>
  <c r="CC67" i="6"/>
  <c r="CC61" i="6"/>
  <c r="BU622" i="18" s="1"/>
  <c r="BH1294" i="18"/>
  <c r="BH1268" i="18"/>
  <c r="BL1294" i="18"/>
  <c r="BL1268" i="18"/>
  <c r="BE444" i="5"/>
  <c r="AW1048" i="18" s="1"/>
  <c r="AW1047" i="18"/>
  <c r="AY1294" i="18"/>
  <c r="AY1268" i="18"/>
  <c r="CU297" i="5"/>
  <c r="CM255" i="18" s="1"/>
  <c r="CM254" i="18"/>
  <c r="CR225" i="5"/>
  <c r="CJ192" i="18" s="1"/>
  <c r="CJ191" i="18"/>
  <c r="AN1302" i="18"/>
  <c r="AN728" i="18"/>
  <c r="CI1247" i="18"/>
  <c r="CI707" i="18"/>
  <c r="CU200" i="5"/>
  <c r="CM166" i="18" s="1"/>
  <c r="CM165" i="18"/>
  <c r="CV197" i="5"/>
  <c r="CN163" i="18" s="1"/>
  <c r="CN162" i="18"/>
  <c r="BG444" i="5"/>
  <c r="AY1048" i="18" s="1"/>
  <c r="AY1047" i="18"/>
  <c r="BW190" i="5"/>
  <c r="BO155" i="18"/>
  <c r="CI1294" i="18"/>
  <c r="CI1268" i="18"/>
  <c r="CZ19" i="5"/>
  <c r="CZ20" i="5" s="1"/>
  <c r="CR12" i="18" s="1"/>
  <c r="CR257" i="18"/>
  <c r="CE222" i="5"/>
  <c r="BW189" i="18" s="1"/>
  <c r="BC1294" i="18"/>
  <c r="BC1268" i="18"/>
  <c r="CT190" i="5"/>
  <c r="CL155" i="18"/>
  <c r="AS114" i="6"/>
  <c r="AK667" i="18" s="1"/>
  <c r="AG654" i="18"/>
  <c r="CO1247" i="18"/>
  <c r="CO707" i="18"/>
  <c r="CB154" i="6"/>
  <c r="BT671" i="18" s="1"/>
  <c r="BT572" i="18"/>
  <c r="CB40" i="7"/>
  <c r="BX225" i="5"/>
  <c r="BP192" i="18" s="1"/>
  <c r="BP191" i="18"/>
  <c r="BJ1284" i="18"/>
  <c r="BJ1265" i="18"/>
  <c r="CW25" i="6"/>
  <c r="CO579" i="18" s="1"/>
  <c r="CV441" i="5"/>
  <c r="CN1044" i="18"/>
  <c r="CL1283" i="18"/>
  <c r="CL1264" i="18"/>
  <c r="BO575" i="18"/>
  <c r="BW43" i="7"/>
  <c r="CS218" i="5"/>
  <c r="CK185" i="18" s="1"/>
  <c r="CK184" i="18"/>
  <c r="CY87" i="6"/>
  <c r="CQ638" i="18" s="1"/>
  <c r="CT293" i="5"/>
  <c r="CL251" i="18" s="1"/>
  <c r="CL250" i="18"/>
  <c r="CE61" i="6"/>
  <c r="BW622" i="18" s="1"/>
  <c r="BS621" i="18"/>
  <c r="AS1303" i="18"/>
  <c r="AS729" i="18"/>
  <c r="BP575" i="18"/>
  <c r="BX43" i="7"/>
  <c r="AM1302" i="18"/>
  <c r="AM728" i="18"/>
  <c r="BG1265" i="18"/>
  <c r="BG1284" i="18"/>
  <c r="CT230" i="5"/>
  <c r="CL197" i="18" s="1"/>
  <c r="CL196" i="18"/>
  <c r="BV434" i="5"/>
  <c r="BN1037" i="18"/>
  <c r="BX50" i="5"/>
  <c r="BP38" i="18" s="1"/>
  <c r="BP37" i="18"/>
  <c r="BX25" i="5"/>
  <c r="BP17" i="18" s="1"/>
  <c r="BP16" i="18"/>
  <c r="BW333" i="5"/>
  <c r="BO289" i="18" s="1"/>
  <c r="BO287" i="18"/>
  <c r="BW355" i="5"/>
  <c r="BO302" i="18"/>
  <c r="BJ1294" i="18"/>
  <c r="BJ1268" i="18"/>
  <c r="BF1268" i="18"/>
  <c r="BF1294" i="18"/>
  <c r="BM230" i="5"/>
  <c r="BE197" i="18" s="1"/>
  <c r="BE196" i="18"/>
  <c r="CX75" i="6"/>
  <c r="CP612" i="18" s="1"/>
  <c r="BA1294" i="18"/>
  <c r="BA1268" i="18"/>
  <c r="AV1284" i="18"/>
  <c r="AV1265" i="18"/>
  <c r="BB444" i="5"/>
  <c r="AT1048" i="18" s="1"/>
  <c r="AT1047" i="18"/>
  <c r="BG1294" i="18"/>
  <c r="BG1268" i="18"/>
  <c r="AY1265" i="18"/>
  <c r="AY1284" i="18"/>
  <c r="CO621" i="18"/>
  <c r="CW61" i="6"/>
  <c r="CO622" i="18" s="1"/>
  <c r="BO444" i="5"/>
  <c r="BG1048" i="18" s="1"/>
  <c r="BC1047" i="18"/>
  <c r="BK444" i="5"/>
  <c r="BC1048" i="18" s="1"/>
  <c r="BR444" i="5"/>
  <c r="BJ1048" i="18" s="1"/>
  <c r="BJ1047" i="18"/>
  <c r="BP444" i="5"/>
  <c r="BH1048" i="18" s="1"/>
  <c r="BH1047" i="18"/>
  <c r="BF1047" i="18"/>
  <c r="BN444" i="5"/>
  <c r="BF1048" i="18" s="1"/>
  <c r="BS444" i="5"/>
  <c r="BK1048" i="18" s="1"/>
  <c r="BH1284" i="18"/>
  <c r="BH1265" i="18"/>
  <c r="AW113" i="6"/>
  <c r="AO666" i="18" s="1"/>
  <c r="AK653" i="18"/>
  <c r="CU408" i="5"/>
  <c r="CM1293" i="18"/>
  <c r="CM1267" i="18"/>
  <c r="AT1303" i="18"/>
  <c r="AT729" i="18"/>
  <c r="BC1265" i="18"/>
  <c r="BC1284" i="18"/>
  <c r="BW25" i="5"/>
  <c r="BO17" i="18" s="1"/>
  <c r="BO16" i="18"/>
  <c r="BE1294" i="18"/>
  <c r="BE1268" i="18"/>
  <c r="BV48" i="7"/>
  <c r="BV49" i="7" s="1"/>
  <c r="BV44" i="7"/>
  <c r="BF444" i="5"/>
  <c r="AX1048" i="18" s="1"/>
  <c r="AX1047" i="18"/>
  <c r="BK1284" i="18"/>
  <c r="BK1265" i="18"/>
  <c r="AR1294" i="18"/>
  <c r="AR1268" i="18"/>
  <c r="CW188" i="5"/>
  <c r="CO154" i="18" s="1"/>
  <c r="CO189" i="18"/>
  <c r="CZ233" i="5"/>
  <c r="CQ200" i="18"/>
  <c r="DA310" i="5"/>
  <c r="CS268" i="18" s="1"/>
  <c r="CS267" i="18"/>
  <c r="CE78" i="6"/>
  <c r="BV297" i="5"/>
  <c r="BN255" i="18" s="1"/>
  <c r="BN254" i="18"/>
  <c r="CT184" i="5"/>
  <c r="CL150" i="18" s="1"/>
  <c r="CL149" i="18"/>
  <c r="CY364" i="6"/>
  <c r="CQ603" i="18" s="1"/>
  <c r="BW603" i="18"/>
  <c r="CU398" i="5"/>
  <c r="CM1264" i="18"/>
  <c r="CM1283" i="18"/>
  <c r="CD371" i="6"/>
  <c r="BV610" i="18" s="1"/>
  <c r="CU426" i="5"/>
  <c r="CM319" i="18" s="1"/>
  <c r="CM318" i="18"/>
  <c r="CA154" i="6"/>
  <c r="BS671" i="18" s="1"/>
  <c r="BS572" i="18"/>
  <c r="CA40" i="7"/>
  <c r="BV252" i="5"/>
  <c r="BN217" i="18" s="1"/>
  <c r="BN216" i="18"/>
  <c r="BY189" i="5"/>
  <c r="BQ155" i="18" s="1"/>
  <c r="BQ154" i="18"/>
  <c r="BP200" i="5"/>
  <c r="BH166" i="18" s="1"/>
  <c r="BH165" i="18"/>
  <c r="CW250" i="5"/>
  <c r="CO215" i="18" s="1"/>
  <c r="CO214" i="18"/>
  <c r="CW50" i="5"/>
  <c r="CO38" i="18" s="1"/>
  <c r="CO37" i="18"/>
  <c r="CW355" i="5"/>
  <c r="CO302" i="18"/>
  <c r="BW225" i="5"/>
  <c r="BO192" i="18" s="1"/>
  <c r="BO191" i="18"/>
  <c r="CS408" i="5"/>
  <c r="CK1293" i="18"/>
  <c r="CK1267" i="18"/>
  <c r="BU197" i="5"/>
  <c r="BM163" i="18" s="1"/>
  <c r="BM162" i="18"/>
  <c r="AU1303" i="18"/>
  <c r="AU729" i="18"/>
  <c r="CI1302" i="18"/>
  <c r="CI728" i="18"/>
  <c r="BX355" i="5"/>
  <c r="BP302" i="18"/>
  <c r="CV214" i="5"/>
  <c r="BR230" i="5"/>
  <c r="BJ197" i="18" s="1"/>
  <c r="BJ196" i="18"/>
  <c r="BM194" i="5"/>
  <c r="BE160" i="18" s="1"/>
  <c r="BE159" i="18"/>
  <c r="CX67" i="6"/>
  <c r="CP629" i="18" s="1"/>
  <c r="CX78" i="6"/>
  <c r="CJ1294" i="18"/>
  <c r="CJ1268" i="18"/>
  <c r="CW54" i="7"/>
  <c r="CW53" i="7" s="1"/>
  <c r="CW57" i="7" s="1"/>
  <c r="CW41" i="7"/>
  <c r="CW43" i="7" s="1"/>
  <c r="BU44" i="7"/>
  <c r="BU48" i="7"/>
  <c r="AV1294" i="18"/>
  <c r="AV1268" i="18"/>
  <c r="BU333" i="5"/>
  <c r="BM289" i="18" s="1"/>
  <c r="BM287" i="18"/>
  <c r="CK1046" i="18"/>
  <c r="CS443" i="5"/>
  <c r="CJ1046" i="18"/>
  <c r="CR443" i="5"/>
  <c r="DC313" i="5"/>
  <c r="CT271" i="18"/>
  <c r="BV191" i="5"/>
  <c r="BN157" i="18" s="1"/>
  <c r="BN156" i="18"/>
  <c r="CV435" i="5"/>
  <c r="CN1039" i="18" s="1"/>
  <c r="CN1038" i="18"/>
  <c r="BB1265" i="18"/>
  <c r="BB1284" i="18"/>
  <c r="BD444" i="5"/>
  <c r="AV1048" i="18" s="1"/>
  <c r="AV1047" i="18"/>
  <c r="CW225" i="5"/>
  <c r="CO192" i="18" s="1"/>
  <c r="CO191" i="18"/>
  <c r="CX40" i="7"/>
  <c r="BY41" i="7"/>
  <c r="BY54" i="7"/>
  <c r="BY53" i="7" s="1"/>
  <c r="BY57" i="7" s="1"/>
  <c r="BZ191" i="5"/>
  <c r="BR157" i="18" s="1"/>
  <c r="BR156" i="18"/>
  <c r="BB1268" i="18"/>
  <c r="BB1294" i="18"/>
  <c r="CR426" i="5"/>
  <c r="CJ319" i="18" s="1"/>
  <c r="CJ318" i="18"/>
  <c r="DB170" i="5"/>
  <c r="CT133" i="18"/>
  <c r="DA151" i="5"/>
  <c r="DH153" i="5"/>
  <c r="CS125" i="18" s="1"/>
  <c r="DA150" i="5"/>
  <c r="CR813" i="18"/>
  <c r="CR811" i="18"/>
  <c r="CR728" i="18"/>
  <c r="CR1302" i="18"/>
  <c r="CR398" i="5"/>
  <c r="AD6" i="7"/>
  <c r="AC5" i="7"/>
  <c r="CY365" i="6"/>
  <c r="CQ604" i="18" s="1"/>
  <c r="AR176" i="6"/>
  <c r="AV177" i="6" s="1"/>
  <c r="AR125" i="6"/>
  <c r="AJ694" i="18" s="1"/>
  <c r="AR100" i="6"/>
  <c r="AJ653" i="18" s="1"/>
  <c r="AN101" i="6"/>
  <c r="CS120" i="6"/>
  <c r="CK684" i="18" s="1"/>
  <c r="AT124" i="6"/>
  <c r="AL693" i="18" s="1"/>
  <c r="AT143" i="6"/>
  <c r="CS274" i="6"/>
  <c r="CK796" i="18" s="1"/>
  <c r="CT258" i="6"/>
  <c r="CL781" i="18" s="1"/>
  <c r="CT273" i="6"/>
  <c r="CL795" i="18" s="1"/>
  <c r="CT275" i="6"/>
  <c r="CL797" i="18" s="1"/>
  <c r="CT256" i="6"/>
  <c r="CL779" i="18" s="1"/>
  <c r="CT255" i="6"/>
  <c r="CL778" i="18" s="1"/>
  <c r="CS320" i="6"/>
  <c r="CK853" i="18" s="1"/>
  <c r="CS317" i="6"/>
  <c r="CK850" i="18" s="1"/>
  <c r="CS319" i="6"/>
  <c r="CK852" i="18" s="1"/>
  <c r="CA76" i="6"/>
  <c r="BS613" i="18" s="1"/>
  <c r="AV114" i="6"/>
  <c r="AN667" i="18" s="1"/>
  <c r="BS199" i="5"/>
  <c r="BS291" i="5"/>
  <c r="BK249" i="18" s="1"/>
  <c r="AY177" i="6"/>
  <c r="CA180" i="5"/>
  <c r="BS146" i="18" s="1"/>
  <c r="CA295" i="5"/>
  <c r="BM293" i="5"/>
  <c r="BE251" i="18" s="1"/>
  <c r="CX76" i="6"/>
  <c r="CP613" i="18" s="1"/>
  <c r="CF72" i="6"/>
  <c r="BX633" i="18" s="1"/>
  <c r="CF71" i="6"/>
  <c r="BX632" i="18" s="1"/>
  <c r="CD253" i="5"/>
  <c r="CD254" i="5" s="1"/>
  <c r="BH178" i="6"/>
  <c r="BY250" i="5"/>
  <c r="BQ215" i="18" s="1"/>
  <c r="BZ341" i="5"/>
  <c r="BZ343" i="5"/>
  <c r="BV229" i="5"/>
  <c r="BV193" i="5"/>
  <c r="BV292" i="5"/>
  <c r="CV179" i="5"/>
  <c r="CN145" i="18" s="1"/>
  <c r="BX421" i="5"/>
  <c r="BP313" i="18" s="1"/>
  <c r="CT310" i="6"/>
  <c r="CL843" i="18" s="1"/>
  <c r="CU288" i="6"/>
  <c r="CM810" i="18" s="1"/>
  <c r="CT318" i="6"/>
  <c r="CL851" i="18" s="1"/>
  <c r="CT238" i="6"/>
  <c r="CL763" i="18" s="1"/>
  <c r="CT289" i="6"/>
  <c r="CW251" i="6"/>
  <c r="CO773" i="18" s="1"/>
  <c r="CW26" i="6"/>
  <c r="CO580" i="18" s="1"/>
  <c r="BT200" i="5"/>
  <c r="BL166" i="18" s="1"/>
  <c r="BZ19" i="6"/>
  <c r="BZ375" i="5"/>
  <c r="BX255" i="5"/>
  <c r="BP218" i="18" s="1"/>
  <c r="BX251" i="5"/>
  <c r="BX253" i="5"/>
  <c r="BX254" i="5" s="1"/>
  <c r="BP193" i="5"/>
  <c r="BP292" i="5"/>
  <c r="BP229" i="5"/>
  <c r="CD68" i="6"/>
  <c r="CZ109" i="6"/>
  <c r="CR662" i="18" s="1"/>
  <c r="CZ115" i="6"/>
  <c r="CR668" i="18" s="1"/>
  <c r="CZ103" i="6"/>
  <c r="CR656" i="18" s="1"/>
  <c r="CZ414" i="5"/>
  <c r="CR307" i="18" s="1"/>
  <c r="CZ259" i="5"/>
  <c r="CZ124" i="6"/>
  <c r="CR693" i="18" s="1"/>
  <c r="AW165" i="6"/>
  <c r="AO715" i="18" s="1"/>
  <c r="CQ143" i="6"/>
  <c r="CI703" i="18" s="1"/>
  <c r="BA144" i="6"/>
  <c r="AS704" i="18" s="1"/>
  <c r="BA145" i="6"/>
  <c r="AS705" i="18" s="1"/>
  <c r="BE318" i="6"/>
  <c r="AW851" i="18" s="1"/>
  <c r="BA317" i="6"/>
  <c r="AS850" i="18" s="1"/>
  <c r="BV440" i="5"/>
  <c r="CQ288" i="6"/>
  <c r="CI810" i="18" s="1"/>
  <c r="CR150" i="6"/>
  <c r="CJ1250" i="18" s="1"/>
  <c r="CQ287" i="6"/>
  <c r="CI809" i="18" s="1"/>
  <c r="CQ285" i="6"/>
  <c r="CI807" i="18" s="1"/>
  <c r="CQ286" i="6"/>
  <c r="CI808" i="18" s="1"/>
  <c r="CR148" i="6"/>
  <c r="CJ1248" i="18" s="1"/>
  <c r="CQ283" i="6"/>
  <c r="CI805" i="18" s="1"/>
  <c r="CZ268" i="5"/>
  <c r="CY269" i="5"/>
  <c r="CF188" i="5"/>
  <c r="BX154" i="18" s="1"/>
  <c r="BY68" i="6"/>
  <c r="BQ229" i="5"/>
  <c r="BQ292" i="5"/>
  <c r="BI250" i="18" s="1"/>
  <c r="BQ193" i="5"/>
  <c r="AP176" i="6"/>
  <c r="AP125" i="6"/>
  <c r="AH694" i="18" s="1"/>
  <c r="AP100" i="6"/>
  <c r="AH653" i="18" s="1"/>
  <c r="AL101" i="6"/>
  <c r="AD654" i="18" s="1"/>
  <c r="CU213" i="5"/>
  <c r="CM180" i="18" s="1"/>
  <c r="BZ252" i="5"/>
  <c r="BR217" i="18" s="1"/>
  <c r="CD252" i="5"/>
  <c r="BV217" i="18" s="1"/>
  <c r="AZ177" i="6"/>
  <c r="BY13" i="5"/>
  <c r="BQ6" i="18" s="1"/>
  <c r="BY96" i="6"/>
  <c r="BQ647" i="18" s="1"/>
  <c r="BY89" i="6"/>
  <c r="BQ640" i="18" s="1"/>
  <c r="BY354" i="5"/>
  <c r="BY24" i="5"/>
  <c r="BY49" i="5"/>
  <c r="BY38" i="6"/>
  <c r="BQ593" i="18" s="1"/>
  <c r="BY32" i="6"/>
  <c r="BQ587" i="18" s="1"/>
  <c r="BY77" i="6"/>
  <c r="BQ614" i="18" s="1"/>
  <c r="BZ440" i="5"/>
  <c r="AS124" i="6"/>
  <c r="AK693" i="18" s="1"/>
  <c r="AS113" i="6"/>
  <c r="AK666" i="18" s="1"/>
  <c r="AS143" i="6"/>
  <c r="BC317" i="6"/>
  <c r="AU850" i="18" s="1"/>
  <c r="BG318" i="6"/>
  <c r="AY851" i="18" s="1"/>
  <c r="BZ197" i="5"/>
  <c r="BR163" i="18" s="1"/>
  <c r="CD196" i="5"/>
  <c r="BV162" i="18" s="1"/>
  <c r="BV168" i="6"/>
  <c r="BN718" i="18" s="1"/>
  <c r="BV159" i="6"/>
  <c r="BN711" i="18" s="1"/>
  <c r="BU27" i="6"/>
  <c r="BM581" i="18" s="1"/>
  <c r="CT218" i="5"/>
  <c r="CL185" i="18" s="1"/>
  <c r="CU218" i="5"/>
  <c r="CM185" i="18" s="1"/>
  <c r="CV364" i="5"/>
  <c r="BW26" i="6"/>
  <c r="BO580" i="18" s="1"/>
  <c r="BW277" i="5"/>
  <c r="BO233" i="18" s="1"/>
  <c r="BW179" i="5"/>
  <c r="BO145" i="18" s="1"/>
  <c r="BW196" i="5"/>
  <c r="BW214" i="5"/>
  <c r="BO181" i="18" s="1"/>
  <c r="BY224" i="5"/>
  <c r="BQ191" i="18" s="1"/>
  <c r="BY226" i="5"/>
  <c r="BQ193" i="18" s="1"/>
  <c r="CC223" i="5"/>
  <c r="BU190" i="18" s="1"/>
  <c r="BZ226" i="5"/>
  <c r="BR193" i="18" s="1"/>
  <c r="BA178" i="6"/>
  <c r="BE178" i="6"/>
  <c r="BB178" i="6"/>
  <c r="BF178" i="6"/>
  <c r="BU168" i="6"/>
  <c r="BM718" i="18" s="1"/>
  <c r="BU159" i="6"/>
  <c r="BM711" i="18" s="1"/>
  <c r="CW371" i="6"/>
  <c r="CO610" i="18" s="1"/>
  <c r="BS296" i="5"/>
  <c r="BS213" i="5"/>
  <c r="BK180" i="18" s="1"/>
  <c r="BV420" i="5"/>
  <c r="BV423" i="5" s="1"/>
  <c r="BN316" i="18" s="1"/>
  <c r="BV463" i="5"/>
  <c r="BV464" i="5" s="1"/>
  <c r="AZ165" i="6"/>
  <c r="AR715" i="18" s="1"/>
  <c r="BD145" i="6"/>
  <c r="AV705" i="18" s="1"/>
  <c r="BD144" i="6"/>
  <c r="AV704" i="18" s="1"/>
  <c r="BV45" i="6"/>
  <c r="BB119" i="6"/>
  <c r="AT683" i="18" s="1"/>
  <c r="BF119" i="6"/>
  <c r="AX683" i="18" s="1"/>
  <c r="CZ230" i="6"/>
  <c r="DA225" i="6"/>
  <c r="CZ215" i="6"/>
  <c r="AT114" i="6"/>
  <c r="AL667" i="18" s="1"/>
  <c r="BW251" i="5"/>
  <c r="BW253" i="5"/>
  <c r="BW254" i="5" s="1"/>
  <c r="BW255" i="5"/>
  <c r="BO218" i="18" s="1"/>
  <c r="CT408" i="5"/>
  <c r="CY222" i="5"/>
  <c r="CE188" i="5"/>
  <c r="BW154" i="18" s="1"/>
  <c r="CB76" i="6"/>
  <c r="BT613" i="18" s="1"/>
  <c r="CS248" i="6"/>
  <c r="CK772" i="18" s="1"/>
  <c r="CS240" i="6"/>
  <c r="CK765" i="18" s="1"/>
  <c r="CS241" i="6"/>
  <c r="CK766" i="18" s="1"/>
  <c r="CS239" i="6"/>
  <c r="CK764" i="18" s="1"/>
  <c r="BX157" i="6"/>
  <c r="BP674" i="18" s="1"/>
  <c r="DE100" i="6"/>
  <c r="CW653" i="18" s="1"/>
  <c r="DD113" i="6"/>
  <c r="CV666" i="18" s="1"/>
  <c r="CZ313" i="6"/>
  <c r="CR844" i="18" s="1"/>
  <c r="CZ302" i="6"/>
  <c r="CR821" i="18" s="1"/>
  <c r="BG178" i="6"/>
  <c r="DB357" i="6"/>
  <c r="DB359" i="6"/>
  <c r="CT892" i="18" s="1"/>
  <c r="BU278" i="5"/>
  <c r="CW253" i="5"/>
  <c r="CW254" i="5" s="1"/>
  <c r="CW251" i="5"/>
  <c r="BZ254" i="5"/>
  <c r="CS259" i="6"/>
  <c r="CK782" i="18" s="1"/>
  <c r="AO176" i="6"/>
  <c r="AO125" i="6"/>
  <c r="AG694" i="18" s="1"/>
  <c r="CO101" i="6"/>
  <c r="AO100" i="6"/>
  <c r="AK101" i="6"/>
  <c r="AC654" i="18" s="1"/>
  <c r="CB67" i="6"/>
  <c r="BT629" i="18" s="1"/>
  <c r="CB61" i="6"/>
  <c r="BT622" i="18" s="1"/>
  <c r="BZ199" i="5"/>
  <c r="BZ291" i="5"/>
  <c r="BR249" i="18" s="1"/>
  <c r="BW44" i="6"/>
  <c r="BO576" i="18" s="1"/>
  <c r="BW47" i="6"/>
  <c r="BW48" i="6" s="1"/>
  <c r="BO578" i="18" s="1"/>
  <c r="CA371" i="6"/>
  <c r="BS610" i="18" s="1"/>
  <c r="AA5" i="6"/>
  <c r="AB6" i="6"/>
  <c r="BV357" i="5"/>
  <c r="BV359" i="5"/>
  <c r="CQ108" i="6"/>
  <c r="CI661" i="18" s="1"/>
  <c r="CF76" i="6"/>
  <c r="BX613" i="18" s="1"/>
  <c r="AX165" i="6"/>
  <c r="AP715" i="18" s="1"/>
  <c r="BB145" i="6"/>
  <c r="AT705" i="18" s="1"/>
  <c r="BB144" i="6"/>
  <c r="AT704" i="18" s="1"/>
  <c r="CZ31" i="6"/>
  <c r="CZ267" i="5"/>
  <c r="CZ30" i="6"/>
  <c r="CU234" i="5"/>
  <c r="CM201" i="18" s="1"/>
  <c r="CU189" i="5"/>
  <c r="CU185" i="5"/>
  <c r="CM151" i="18" s="1"/>
  <c r="CU183" i="5"/>
  <c r="CZ58" i="6"/>
  <c r="DA57" i="6"/>
  <c r="CS619" i="18" s="1"/>
  <c r="CZ56" i="6"/>
  <c r="CR618" i="18" s="1"/>
  <c r="CT366" i="5"/>
  <c r="CE370" i="6"/>
  <c r="BW609" i="18" s="1"/>
  <c r="BZ357" i="5"/>
  <c r="BZ359" i="5"/>
  <c r="BZ296" i="5"/>
  <c r="BZ213" i="5"/>
  <c r="BR180" i="18" s="1"/>
  <c r="CX332" i="6"/>
  <c r="CP866" i="18" s="1"/>
  <c r="CX333" i="6"/>
  <c r="CP867" i="18" s="1"/>
  <c r="CF365" i="6"/>
  <c r="BX604" i="18" s="1"/>
  <c r="BX196" i="5"/>
  <c r="BX214" i="5"/>
  <c r="BP181" i="18" s="1"/>
  <c r="BX179" i="5"/>
  <c r="BP145" i="18" s="1"/>
  <c r="CT426" i="5"/>
  <c r="CL319" i="18" s="1"/>
  <c r="BW157" i="6"/>
  <c r="BO674" i="18" s="1"/>
  <c r="CV424" i="5"/>
  <c r="CN317" i="18" s="1"/>
  <c r="CV422" i="5"/>
  <c r="BO193" i="5"/>
  <c r="BO292" i="5"/>
  <c r="BO229" i="5"/>
  <c r="CZ125" i="6"/>
  <c r="CR694" i="18" s="1"/>
  <c r="AQ176" i="6"/>
  <c r="AQ125" i="6"/>
  <c r="AI694" i="18" s="1"/>
  <c r="AM101" i="6"/>
  <c r="AE654" i="18" s="1"/>
  <c r="AQ100" i="6"/>
  <c r="AI653" i="18" s="1"/>
  <c r="BV343" i="5"/>
  <c r="BV341" i="5"/>
  <c r="BV364" i="5" s="1"/>
  <c r="AX107" i="6"/>
  <c r="AP660" i="18" s="1"/>
  <c r="CZ143" i="6"/>
  <c r="DA139" i="6"/>
  <c r="CS699" i="18" s="1"/>
  <c r="AZ126" i="6"/>
  <c r="AR695" i="18" s="1"/>
  <c r="BB317" i="6"/>
  <c r="AT850" i="18" s="1"/>
  <c r="BF318" i="6"/>
  <c r="AX851" i="18" s="1"/>
  <c r="CP176" i="6"/>
  <c r="CP125" i="6"/>
  <c r="CH694" i="18" s="1"/>
  <c r="CP100" i="6"/>
  <c r="CH653" i="18" s="1"/>
  <c r="CP147" i="6"/>
  <c r="CB188" i="5"/>
  <c r="CB223" i="5"/>
  <c r="BT190" i="18" s="1"/>
  <c r="DC224" i="6"/>
  <c r="DB229" i="6"/>
  <c r="BX167" i="6"/>
  <c r="BP717" i="18" s="1"/>
  <c r="BQ297" i="5"/>
  <c r="BI255" i="18" s="1"/>
  <c r="CE76" i="6"/>
  <c r="BW613" i="18" s="1"/>
  <c r="BW439" i="5"/>
  <c r="BO1043" i="18" s="1"/>
  <c r="BW421" i="5"/>
  <c r="BO313" i="18" s="1"/>
  <c r="BW356" i="5"/>
  <c r="BW358" i="5" s="1"/>
  <c r="BW340" i="5"/>
  <c r="BW342" i="5" s="1"/>
  <c r="BW430" i="5"/>
  <c r="BW431" i="5" s="1"/>
  <c r="BW432" i="5" s="1"/>
  <c r="BW433" i="5" s="1"/>
  <c r="CB180" i="5"/>
  <c r="BT146" i="18" s="1"/>
  <c r="BH318" i="6"/>
  <c r="AZ851" i="18" s="1"/>
  <c r="BD317" i="6"/>
  <c r="AV850" i="18" s="1"/>
  <c r="BW167" i="6"/>
  <c r="BO717" i="18" s="1"/>
  <c r="DA114" i="6"/>
  <c r="CS667" i="18" s="1"/>
  <c r="DA291" i="6"/>
  <c r="DA176" i="6"/>
  <c r="DB101" i="6"/>
  <c r="CT654" i="18" s="1"/>
  <c r="DA102" i="6"/>
  <c r="CS655" i="18" s="1"/>
  <c r="BH119" i="6"/>
  <c r="AZ683" i="18" s="1"/>
  <c r="BG119" i="6"/>
  <c r="AY683" i="18" s="1"/>
  <c r="BC119" i="6"/>
  <c r="AU683" i="18" s="1"/>
  <c r="CE71" i="6"/>
  <c r="BW632" i="18" s="1"/>
  <c r="CE72" i="6"/>
  <c r="BW633" i="18" s="1"/>
  <c r="BY43" i="6"/>
  <c r="BZ434" i="5"/>
  <c r="CW167" i="6"/>
  <c r="CO717" i="18" s="1"/>
  <c r="CB41" i="6"/>
  <c r="BT573" i="18" s="1"/>
  <c r="CB249" i="5"/>
  <c r="BT214" i="18" s="1"/>
  <c r="CB12" i="5"/>
  <c r="BT5" i="18" s="1"/>
  <c r="CS311" i="6"/>
  <c r="CS300" i="6"/>
  <c r="CS290" i="6"/>
  <c r="CK812" i="18" s="1"/>
  <c r="CY331" i="6"/>
  <c r="CQ865" i="18" s="1"/>
  <c r="CE88" i="6"/>
  <c r="BW639" i="18" s="1"/>
  <c r="CW43" i="6"/>
  <c r="CO575" i="18" s="1"/>
  <c r="CA41" i="6"/>
  <c r="BS573" i="18" s="1"/>
  <c r="CA249" i="5"/>
  <c r="BS214" i="18" s="1"/>
  <c r="CA12" i="5"/>
  <c r="BY190" i="5"/>
  <c r="AV124" i="6"/>
  <c r="AN693" i="18" s="1"/>
  <c r="AV143" i="6"/>
  <c r="AU107" i="6"/>
  <c r="AM660" i="18" s="1"/>
  <c r="AU113" i="6"/>
  <c r="AM666" i="18" s="1"/>
  <c r="AU124" i="6"/>
  <c r="AM693" i="18" s="1"/>
  <c r="AU143" i="6"/>
  <c r="AY145" i="6" s="1"/>
  <c r="AQ705" i="18" s="1"/>
  <c r="CW356" i="5"/>
  <c r="CW358" i="5" s="1"/>
  <c r="CW439" i="5"/>
  <c r="CO1043" i="18" s="1"/>
  <c r="CW421" i="5"/>
  <c r="CO313" i="18" s="1"/>
  <c r="CW430" i="5"/>
  <c r="CW431" i="5" s="1"/>
  <c r="CW432" i="5" s="1"/>
  <c r="CW433" i="5" s="1"/>
  <c r="CW340" i="5"/>
  <c r="CW342" i="5" s="1"/>
  <c r="CQ316" i="6"/>
  <c r="CI849" i="18" s="1"/>
  <c r="CQ124" i="6"/>
  <c r="CI693" i="18" s="1"/>
  <c r="CR113" i="6"/>
  <c r="CJ666" i="18" s="1"/>
  <c r="CR107" i="6"/>
  <c r="CJ660" i="18" s="1"/>
  <c r="CF88" i="6"/>
  <c r="BX639" i="18" s="1"/>
  <c r="CW179" i="5"/>
  <c r="CO145" i="18" s="1"/>
  <c r="BU199" i="5"/>
  <c r="BU291" i="5"/>
  <c r="BM249" i="18" s="1"/>
  <c r="AZ107" i="6"/>
  <c r="DE36" i="6"/>
  <c r="CQ177" i="6"/>
  <c r="CR177" i="6"/>
  <c r="CF370" i="6"/>
  <c r="BX609" i="18" s="1"/>
  <c r="AX113" i="6"/>
  <c r="AP666" i="18" s="1"/>
  <c r="DB214" i="6"/>
  <c r="DA219" i="6"/>
  <c r="DA29" i="6"/>
  <c r="CY367" i="6"/>
  <c r="CQ606" i="18" s="1"/>
  <c r="CY231" i="6"/>
  <c r="CU265" i="6"/>
  <c r="CM788" i="18" s="1"/>
  <c r="CU254" i="6"/>
  <c r="CM777" i="18" s="1"/>
  <c r="BU45" i="6"/>
  <c r="CX61" i="6"/>
  <c r="CP622" i="18" s="1"/>
  <c r="DC356" i="6"/>
  <c r="DD35" i="6"/>
  <c r="DC37" i="6"/>
  <c r="DC272" i="5"/>
  <c r="CY88" i="6"/>
  <c r="CQ639" i="18" s="1"/>
  <c r="BX47" i="6"/>
  <c r="BX44" i="6"/>
  <c r="BP576" i="18" s="1"/>
  <c r="BV27" i="6"/>
  <c r="BN581" i="18" s="1"/>
  <c r="BZ463" i="5"/>
  <c r="BZ464" i="5" s="1"/>
  <c r="BZ420" i="5"/>
  <c r="BZ423" i="5" s="1"/>
  <c r="BR316" i="18" s="1"/>
  <c r="CB371" i="6"/>
  <c r="BT610" i="18" s="1"/>
  <c r="CE365" i="6"/>
  <c r="BW604" i="18" s="1"/>
  <c r="CT224" i="5"/>
  <c r="CL191" i="18" s="1"/>
  <c r="CS224" i="5"/>
  <c r="CA67" i="6"/>
  <c r="BS629" i="18" s="1"/>
  <c r="CA61" i="6"/>
  <c r="BS622" i="18" s="1"/>
  <c r="CZ64" i="6"/>
  <c r="CR626" i="18" s="1"/>
  <c r="CY65" i="6"/>
  <c r="BA119" i="6"/>
  <c r="AS683" i="18" s="1"/>
  <c r="BE119" i="6"/>
  <c r="AW683" i="18" s="1"/>
  <c r="BU296" i="5"/>
  <c r="BM254" i="18" s="1"/>
  <c r="BU213" i="5"/>
  <c r="BM180" i="18" s="1"/>
  <c r="CX68" i="6"/>
  <c r="CZ369" i="6"/>
  <c r="CR608" i="18" s="1"/>
  <c r="CC371" i="6"/>
  <c r="BU610" i="18" s="1"/>
  <c r="AY165" i="6"/>
  <c r="AQ715" i="18" s="1"/>
  <c r="BC145" i="6"/>
  <c r="AU705" i="18" s="1"/>
  <c r="BC144" i="6"/>
  <c r="AU704" i="18" s="1"/>
  <c r="CX41" i="6"/>
  <c r="CP573" i="18" s="1"/>
  <c r="DA360" i="6"/>
  <c r="CS893" i="18" s="1"/>
  <c r="DA368" i="6"/>
  <c r="CS607" i="18" s="1"/>
  <c r="CW148" i="6"/>
  <c r="CO1248" i="18" s="1"/>
  <c r="CX150" i="6"/>
  <c r="CP1250" i="18" s="1"/>
  <c r="CW287" i="6"/>
  <c r="CO809" i="18" s="1"/>
  <c r="CW285" i="6"/>
  <c r="CO807" i="18" s="1"/>
  <c r="CW286" i="6"/>
  <c r="CO808" i="18" s="1"/>
  <c r="DB120" i="6"/>
  <c r="CT684" i="18" s="1"/>
  <c r="CU661" i="18"/>
  <c r="CT398" i="5"/>
  <c r="CS288" i="5"/>
  <c r="CK245" i="18" s="1"/>
  <c r="BY196" i="5"/>
  <c r="BQ162" i="18" s="1"/>
  <c r="BY214" i="5"/>
  <c r="BQ181" i="18" s="1"/>
  <c r="CX180" i="5"/>
  <c r="BY179" i="5"/>
  <c r="BQ145" i="18" s="1"/>
  <c r="CY141" i="6"/>
  <c r="CQ701" i="18" s="1"/>
  <c r="CZ141" i="6"/>
  <c r="CR701" i="18" s="1"/>
  <c r="CA188" i="5"/>
  <c r="CA223" i="5"/>
  <c r="BS190" i="18" s="1"/>
  <c r="BX277" i="5"/>
  <c r="BP233" i="18" s="1"/>
  <c r="BX26" i="6"/>
  <c r="BP580" i="18" s="1"/>
  <c r="BT229" i="5"/>
  <c r="BL196" i="18" s="1"/>
  <c r="BT193" i="5"/>
  <c r="BL159" i="18" s="1"/>
  <c r="BT292" i="5"/>
  <c r="CZ177" i="6"/>
  <c r="BV278" i="5"/>
  <c r="AU114" i="6"/>
  <c r="AM667" i="18" s="1"/>
  <c r="CY72" i="6"/>
  <c r="CQ633" i="18" s="1"/>
  <c r="CY71" i="6"/>
  <c r="CQ632" i="18" s="1"/>
  <c r="CW180" i="5"/>
  <c r="AZ113" i="6"/>
  <c r="AR666" i="18" s="1"/>
  <c r="CX370" i="6"/>
  <c r="CP609" i="18" s="1"/>
  <c r="CW283" i="6"/>
  <c r="CO805" i="18" s="1"/>
  <c r="CV305" i="6"/>
  <c r="CN838" i="18" s="1"/>
  <c r="CV245" i="6"/>
  <c r="CN769" i="18" s="1"/>
  <c r="BK6" i="5"/>
  <c r="DB309" i="5"/>
  <c r="DB307" i="5"/>
  <c r="CT265" i="18" s="1"/>
  <c r="DB17" i="5"/>
  <c r="CT10" i="18" s="1"/>
  <c r="DC240" i="5"/>
  <c r="DC274" i="5"/>
  <c r="DD273" i="5"/>
  <c r="DD312" i="5"/>
  <c r="CV270" i="18" s="1"/>
  <c r="DC306" i="5"/>
  <c r="CU264" i="18" s="1"/>
  <c r="DC36" i="5"/>
  <c r="CU28" i="18" s="1"/>
  <c r="DB205" i="5"/>
  <c r="DB181" i="5"/>
  <c r="CT147" i="18" s="1"/>
  <c r="DA299" i="5"/>
  <c r="CZ215" i="5"/>
  <c r="BR596" i="5"/>
  <c r="BR515" i="5"/>
  <c r="BR516" i="5" s="1"/>
  <c r="BR517" i="5" s="1"/>
  <c r="BS595" i="5"/>
  <c r="DF599" i="5"/>
  <c r="AN1303" i="18" l="1"/>
  <c r="AN729" i="18"/>
  <c r="BW434" i="5"/>
  <c r="BO1037" i="18"/>
  <c r="CQ148" i="6"/>
  <c r="CI1248" i="18" s="1"/>
  <c r="CH1247" i="18"/>
  <c r="CH707" i="18"/>
  <c r="AO114" i="6"/>
  <c r="AG667" i="18" s="1"/>
  <c r="AR1303" i="18"/>
  <c r="AR729" i="18"/>
  <c r="AR114" i="6"/>
  <c r="AJ667" i="18" s="1"/>
  <c r="AF654" i="18"/>
  <c r="CK1047" i="18"/>
  <c r="CS444" i="5"/>
  <c r="CK1048" i="18" s="1"/>
  <c r="BX44" i="7"/>
  <c r="BX48" i="7"/>
  <c r="BX49" i="7" s="1"/>
  <c r="CV442" i="5"/>
  <c r="CN1045" i="18"/>
  <c r="CI1284" i="18"/>
  <c r="CI1265" i="18"/>
  <c r="CQ611" i="18"/>
  <c r="CY78" i="6"/>
  <c r="CY67" i="6"/>
  <c r="CY75" i="6"/>
  <c r="CY60" i="6"/>
  <c r="BT293" i="5"/>
  <c r="BL251" i="18" s="1"/>
  <c r="BL250" i="18"/>
  <c r="CW214" i="5"/>
  <c r="BD119" i="6"/>
  <c r="AV683" i="18" s="1"/>
  <c r="AR660" i="18"/>
  <c r="BY191" i="5"/>
  <c r="BQ157" i="18" s="1"/>
  <c r="BQ156" i="18"/>
  <c r="AI1302" i="18"/>
  <c r="AI728" i="18"/>
  <c r="BO194" i="5"/>
  <c r="BG160" i="18" s="1"/>
  <c r="BG159" i="18"/>
  <c r="BZ297" i="5"/>
  <c r="BR255" i="18" s="1"/>
  <c r="BR254" i="18"/>
  <c r="CU184" i="5"/>
  <c r="CM150" i="18" s="1"/>
  <c r="CM149" i="18"/>
  <c r="BZ200" i="5"/>
  <c r="BR166" i="18" s="1"/>
  <c r="BR165" i="18"/>
  <c r="AS107" i="6"/>
  <c r="AK660" i="18" s="1"/>
  <c r="AG653" i="18"/>
  <c r="AS177" i="6"/>
  <c r="AG1302" i="18"/>
  <c r="AG728" i="18"/>
  <c r="AT1304" i="18"/>
  <c r="AT730" i="18"/>
  <c r="BW197" i="5"/>
  <c r="BO163" i="18" s="1"/>
  <c r="BO162" i="18"/>
  <c r="BP230" i="5"/>
  <c r="BH197" i="18" s="1"/>
  <c r="BH196" i="18"/>
  <c r="BX252" i="5"/>
  <c r="BP217" i="18" s="1"/>
  <c r="BP216" i="18"/>
  <c r="BX430" i="5"/>
  <c r="BX431" i="5" s="1"/>
  <c r="BX432" i="5" s="1"/>
  <c r="BX433" i="5" s="1"/>
  <c r="BX439" i="5"/>
  <c r="BP1043" i="18" s="1"/>
  <c r="BV230" i="5"/>
  <c r="BN197" i="18" s="1"/>
  <c r="BN196" i="18"/>
  <c r="AX145" i="6"/>
  <c r="AP705" i="18" s="1"/>
  <c r="AL703" i="18"/>
  <c r="CX54" i="7"/>
  <c r="CX53" i="7" s="1"/>
  <c r="CX57" i="7" s="1"/>
  <c r="CX41" i="7"/>
  <c r="CX43" i="7" s="1"/>
  <c r="DD313" i="5"/>
  <c r="CU271" i="18"/>
  <c r="DA233" i="5"/>
  <c r="CR200" i="18"/>
  <c r="BV435" i="5"/>
  <c r="BN1039" i="18" s="1"/>
  <c r="BN1038" i="18"/>
  <c r="CX224" i="5"/>
  <c r="CP190" i="18"/>
  <c r="CK1284" i="18"/>
  <c r="CK1265" i="18"/>
  <c r="BO253" i="18"/>
  <c r="CW295" i="5"/>
  <c r="CO253" i="18" s="1"/>
  <c r="AO1303" i="18"/>
  <c r="AO729" i="18"/>
  <c r="BZ49" i="7"/>
  <c r="DB310" i="5"/>
  <c r="CT268" i="18" s="1"/>
  <c r="CT267" i="18"/>
  <c r="BQ575" i="18"/>
  <c r="BY43" i="7"/>
  <c r="CW252" i="5"/>
  <c r="CO217" i="18" s="1"/>
  <c r="CO216" i="18"/>
  <c r="BS297" i="5"/>
  <c r="BK255" i="18" s="1"/>
  <c r="BK254" i="18"/>
  <c r="BY355" i="5"/>
  <c r="BQ302" i="18"/>
  <c r="BQ194" i="5"/>
  <c r="BI160" i="18" s="1"/>
  <c r="BI159" i="18"/>
  <c r="CX249" i="5"/>
  <c r="BV183" i="18"/>
  <c r="CD217" i="5"/>
  <c r="CX188" i="5"/>
  <c r="CP154" i="18" s="1"/>
  <c r="CP189" i="18"/>
  <c r="CJ1303" i="18"/>
  <c r="CJ729" i="18"/>
  <c r="CX12" i="5"/>
  <c r="CP5" i="18" s="1"/>
  <c r="BS5" i="18"/>
  <c r="CB295" i="5"/>
  <c r="BT253" i="18" s="1"/>
  <c r="CP108" i="6"/>
  <c r="CH661" i="18" s="1"/>
  <c r="CG654" i="18"/>
  <c r="BU279" i="5"/>
  <c r="BM235" i="18" s="1"/>
  <c r="BM234" i="18"/>
  <c r="AY1304" i="18"/>
  <c r="AY730" i="18"/>
  <c r="CY188" i="5"/>
  <c r="CQ154" i="18" s="1"/>
  <c r="CQ189" i="18"/>
  <c r="BW252" i="5"/>
  <c r="BO217" i="18" s="1"/>
  <c r="BO216" i="18"/>
  <c r="AW1304" i="18"/>
  <c r="AW730" i="18"/>
  <c r="BZ441" i="5"/>
  <c r="BR1044" i="18"/>
  <c r="BY50" i="5"/>
  <c r="BQ38" i="18" s="1"/>
  <c r="BQ37" i="18"/>
  <c r="BQ230" i="5"/>
  <c r="BI197" i="18" s="1"/>
  <c r="BI196" i="18"/>
  <c r="BV441" i="5"/>
  <c r="BN1044" i="18"/>
  <c r="BP293" i="5"/>
  <c r="BH251" i="18" s="1"/>
  <c r="BH250" i="18"/>
  <c r="BX340" i="5"/>
  <c r="BX342" i="5" s="1"/>
  <c r="BX341" i="5" s="1"/>
  <c r="AZ1304" i="18"/>
  <c r="AZ730" i="18"/>
  <c r="AQ1303" i="18"/>
  <c r="AQ729" i="18"/>
  <c r="CR444" i="5"/>
  <c r="CJ1048" i="18" s="1"/>
  <c r="CJ1047" i="18"/>
  <c r="BU49" i="7"/>
  <c r="BX50" i="7"/>
  <c r="CW44" i="7"/>
  <c r="CW48" i="7"/>
  <c r="CW49" i="7" s="1"/>
  <c r="CA54" i="7"/>
  <c r="CA53" i="7" s="1"/>
  <c r="CA57" i="7" s="1"/>
  <c r="CA41" i="7"/>
  <c r="CM1284" i="18"/>
  <c r="CM1265" i="18"/>
  <c r="CM1294" i="18"/>
  <c r="CM1268" i="18"/>
  <c r="CB41" i="7"/>
  <c r="CB54" i="7"/>
  <c r="CB53" i="7" s="1"/>
  <c r="CB57" i="7" s="1"/>
  <c r="CT191" i="5"/>
  <c r="CL157" i="18" s="1"/>
  <c r="CL156" i="18"/>
  <c r="CQ444" i="5"/>
  <c r="CI1048" i="18" s="1"/>
  <c r="CI1047" i="18"/>
  <c r="BX191" i="5"/>
  <c r="BP157" i="18" s="1"/>
  <c r="BP156" i="18"/>
  <c r="AP1303" i="18"/>
  <c r="AP729" i="18"/>
  <c r="CM1047" i="18"/>
  <c r="CU444" i="5"/>
  <c r="CM1048" i="18" s="1"/>
  <c r="DA19" i="5"/>
  <c r="DA20" i="5" s="1"/>
  <c r="CS257" i="18"/>
  <c r="BO293" i="5"/>
  <c r="BG251" i="18" s="1"/>
  <c r="BG250" i="18"/>
  <c r="BX197" i="5"/>
  <c r="BP163" i="18" s="1"/>
  <c r="BP162" i="18"/>
  <c r="AX1304" i="18"/>
  <c r="AX730" i="18"/>
  <c r="BV194" i="5"/>
  <c r="BN160" i="18" s="1"/>
  <c r="BN159" i="18"/>
  <c r="CX295" i="5"/>
  <c r="CP253" i="18" s="1"/>
  <c r="BS253" i="18"/>
  <c r="BS200" i="5"/>
  <c r="BK166" i="18" s="1"/>
  <c r="BK165" i="18"/>
  <c r="CV232" i="5"/>
  <c r="CN199" i="18" s="1"/>
  <c r="CN181" i="18"/>
  <c r="CZ300" i="5"/>
  <c r="CR182" i="18"/>
  <c r="CW196" i="5"/>
  <c r="CO146" i="18"/>
  <c r="BV279" i="5"/>
  <c r="BN235" i="18" s="1"/>
  <c r="BN234" i="18"/>
  <c r="CA189" i="5"/>
  <c r="BS154" i="18"/>
  <c r="CX196" i="5"/>
  <c r="CP146" i="18"/>
  <c r="CL1284" i="18"/>
  <c r="CL1265" i="18"/>
  <c r="CS225" i="5"/>
  <c r="CK192" i="18" s="1"/>
  <c r="CK191" i="18"/>
  <c r="CI1303" i="18"/>
  <c r="CI729" i="18"/>
  <c r="BU200" i="5"/>
  <c r="BM166" i="18" s="1"/>
  <c r="BM165" i="18"/>
  <c r="CW434" i="5"/>
  <c r="CO1037" i="18"/>
  <c r="AY144" i="6"/>
  <c r="AQ704" i="18" s="1"/>
  <c r="AM703" i="18"/>
  <c r="AZ145" i="6"/>
  <c r="AR705" i="18" s="1"/>
  <c r="AN703" i="18"/>
  <c r="BZ435" i="5"/>
  <c r="BR1039" i="18" s="1"/>
  <c r="BR1038" i="18"/>
  <c r="CB189" i="5"/>
  <c r="BT154" i="18"/>
  <c r="CH1302" i="18"/>
  <c r="CH728" i="18"/>
  <c r="BO230" i="5"/>
  <c r="BG197" i="18" s="1"/>
  <c r="BG196" i="18"/>
  <c r="CU190" i="5"/>
  <c r="CM155" i="18"/>
  <c r="CF68" i="6"/>
  <c r="CL1294" i="18"/>
  <c r="CL1268" i="18"/>
  <c r="AS1304" i="18"/>
  <c r="AS730" i="18"/>
  <c r="AW144" i="6"/>
  <c r="AO704" i="18" s="1"/>
  <c r="AK703" i="18"/>
  <c r="BY25" i="5"/>
  <c r="BQ17" i="18" s="1"/>
  <c r="BQ16" i="18"/>
  <c r="AH1302" i="18"/>
  <c r="AH728" i="18"/>
  <c r="BP194" i="5"/>
  <c r="BH160" i="18" s="1"/>
  <c r="BH159" i="18"/>
  <c r="BV293" i="5"/>
  <c r="BN251" i="18" s="1"/>
  <c r="BN250" i="18"/>
  <c r="CV291" i="5"/>
  <c r="CN249" i="18" s="1"/>
  <c r="AJ1302" i="18"/>
  <c r="AJ728" i="18"/>
  <c r="CJ1265" i="18"/>
  <c r="CJ1284" i="18"/>
  <c r="CK1294" i="18"/>
  <c r="CK1268" i="18"/>
  <c r="BW44" i="7"/>
  <c r="BW48" i="7"/>
  <c r="BW49" i="7" s="1"/>
  <c r="BW191" i="5"/>
  <c r="BO157" i="18" s="1"/>
  <c r="BO156" i="18"/>
  <c r="BU629" i="18"/>
  <c r="CC68" i="6"/>
  <c r="CL1047" i="18"/>
  <c r="CT444" i="5"/>
  <c r="CL1048" i="18" s="1"/>
  <c r="BW621" i="18"/>
  <c r="CE67" i="6"/>
  <c r="DH151" i="5"/>
  <c r="CS123" i="18" s="1"/>
  <c r="DH150" i="5"/>
  <c r="CS122" i="18" s="1"/>
  <c r="CT136" i="18"/>
  <c r="DC167" i="5"/>
  <c r="DB153" i="5"/>
  <c r="DB150" i="5" s="1"/>
  <c r="CS813" i="18"/>
  <c r="CS811" i="18"/>
  <c r="CZ165" i="6"/>
  <c r="CR715" i="18" s="1"/>
  <c r="CR703" i="18"/>
  <c r="CR1303" i="18"/>
  <c r="CR729" i="18"/>
  <c r="CS728" i="18"/>
  <c r="CS1302" i="18"/>
  <c r="AD5" i="7"/>
  <c r="AE6" i="7"/>
  <c r="CP114" i="6"/>
  <c r="CH667" i="18" s="1"/>
  <c r="CQ151" i="6"/>
  <c r="CI708" i="18" s="1"/>
  <c r="BY331" i="5"/>
  <c r="CX89" i="6"/>
  <c r="CP640" i="18" s="1"/>
  <c r="CX13" i="5"/>
  <c r="CP6" i="18" s="1"/>
  <c r="CX96" i="6"/>
  <c r="CP647" i="18" s="1"/>
  <c r="CX24" i="5"/>
  <c r="CX354" i="5"/>
  <c r="CX49" i="5"/>
  <c r="CX38" i="6"/>
  <c r="CP593" i="18" s="1"/>
  <c r="CX32" i="6"/>
  <c r="CP587" i="18" s="1"/>
  <c r="BZ331" i="5"/>
  <c r="CX77" i="6"/>
  <c r="CP614" i="18" s="1"/>
  <c r="CX46" i="6"/>
  <c r="CP577" i="18" s="1"/>
  <c r="BY199" i="5"/>
  <c r="BY291" i="5"/>
  <c r="BQ249" i="18" s="1"/>
  <c r="DA115" i="6"/>
  <c r="CS668" i="18" s="1"/>
  <c r="DA109" i="6"/>
  <c r="CS662" i="18" s="1"/>
  <c r="DA414" i="5"/>
  <c r="CS307" i="18" s="1"/>
  <c r="DA259" i="5"/>
  <c r="DA103" i="6"/>
  <c r="CS656" i="18" s="1"/>
  <c r="DA124" i="6"/>
  <c r="CS693" i="18" s="1"/>
  <c r="CQ120" i="6"/>
  <c r="CI684" i="18" s="1"/>
  <c r="CS268" i="6"/>
  <c r="CK791" i="18" s="1"/>
  <c r="CS262" i="6"/>
  <c r="CK785" i="18" s="1"/>
  <c r="CS249" i="6"/>
  <c r="CS250" i="6" s="1"/>
  <c r="CK774" i="18" s="1"/>
  <c r="BS193" i="5"/>
  <c r="BS292" i="5"/>
  <c r="BS229" i="5"/>
  <c r="BW27" i="6"/>
  <c r="BO581" i="18" s="1"/>
  <c r="AP124" i="6"/>
  <c r="AH693" i="18" s="1"/>
  <c r="AP143" i="6"/>
  <c r="CT240" i="6"/>
  <c r="CL765" i="18" s="1"/>
  <c r="CT248" i="6"/>
  <c r="CL772" i="18" s="1"/>
  <c r="CT241" i="6"/>
  <c r="CL766" i="18" s="1"/>
  <c r="CT239" i="6"/>
  <c r="CL764" i="18" s="1"/>
  <c r="BX278" i="5"/>
  <c r="BU292" i="5"/>
  <c r="BM250" i="18" s="1"/>
  <c r="BU229" i="5"/>
  <c r="BU193" i="5"/>
  <c r="CW213" i="5"/>
  <c r="CO180" i="18" s="1"/>
  <c r="DD356" i="6"/>
  <c r="DE35" i="6"/>
  <c r="DD37" i="6"/>
  <c r="DD272" i="5"/>
  <c r="AZ178" i="6"/>
  <c r="CZ126" i="6"/>
  <c r="CR695" i="18" s="1"/>
  <c r="CA179" i="5"/>
  <c r="CA214" i="5"/>
  <c r="BS181" i="18" s="1"/>
  <c r="CA196" i="5"/>
  <c r="BS162" i="18" s="1"/>
  <c r="CA226" i="5"/>
  <c r="BS193" i="18" s="1"/>
  <c r="CA224" i="5"/>
  <c r="BS191" i="18" s="1"/>
  <c r="CE223" i="5"/>
  <c r="BW190" i="18" s="1"/>
  <c r="BY213" i="5"/>
  <c r="BQ180" i="18" s="1"/>
  <c r="BY296" i="5"/>
  <c r="BQ254" i="18" s="1"/>
  <c r="CW307" i="6"/>
  <c r="CO840" i="18" s="1"/>
  <c r="CW296" i="6"/>
  <c r="CO817" i="18" s="1"/>
  <c r="DA369" i="6"/>
  <c r="CS608" i="18" s="1"/>
  <c r="BU297" i="5"/>
  <c r="BM255" i="18" s="1"/>
  <c r="BY439" i="5"/>
  <c r="BQ1043" i="18" s="1"/>
  <c r="BY421" i="5"/>
  <c r="BQ313" i="18" s="1"/>
  <c r="BY356" i="5"/>
  <c r="BY358" i="5" s="1"/>
  <c r="BY340" i="5"/>
  <c r="BY342" i="5" s="1"/>
  <c r="BY430" i="5"/>
  <c r="BY431" i="5" s="1"/>
  <c r="BY432" i="5" s="1"/>
  <c r="BY433" i="5" s="1"/>
  <c r="DC357" i="6"/>
  <c r="DC359" i="6"/>
  <c r="CU892" i="18" s="1"/>
  <c r="CS205" i="6"/>
  <c r="CS209" i="6" s="1"/>
  <c r="CK737" i="18" s="1"/>
  <c r="CS312" i="6"/>
  <c r="CB250" i="5"/>
  <c r="BT215" i="18" s="1"/>
  <c r="DB176" i="6"/>
  <c r="DB114" i="6"/>
  <c r="CT667" i="18" s="1"/>
  <c r="DC101" i="6"/>
  <c r="CU654" i="18" s="1"/>
  <c r="DB102" i="6"/>
  <c r="CT655" i="18" s="1"/>
  <c r="BW440" i="5"/>
  <c r="CE371" i="6"/>
  <c r="BW610" i="18" s="1"/>
  <c r="CB68" i="6"/>
  <c r="CW277" i="5"/>
  <c r="AZ144" i="6"/>
  <c r="AR704" i="18" s="1"/>
  <c r="CC225" i="5"/>
  <c r="BU192" i="18" s="1"/>
  <c r="BY225" i="5"/>
  <c r="BQ192" i="18" s="1"/>
  <c r="CV397" i="5"/>
  <c r="CV365" i="5"/>
  <c r="CV366" i="5" s="1"/>
  <c r="CV407" i="5"/>
  <c r="CD180" i="5"/>
  <c r="CD197" i="5"/>
  <c r="BV163" i="18" s="1"/>
  <c r="CR297" i="6"/>
  <c r="CJ818" i="18" s="1"/>
  <c r="CR308" i="6"/>
  <c r="CJ841" i="18" s="1"/>
  <c r="AW145" i="6"/>
  <c r="AO705" i="18" s="1"/>
  <c r="CT320" i="6"/>
  <c r="CL853" i="18" s="1"/>
  <c r="CT319" i="6"/>
  <c r="CL852" i="18" s="1"/>
  <c r="CT317" i="6"/>
  <c r="CL850" i="18" s="1"/>
  <c r="CV182" i="5"/>
  <c r="CN148" i="18" s="1"/>
  <c r="CV199" i="5"/>
  <c r="BY251" i="5"/>
  <c r="BQ216" i="18" s="1"/>
  <c r="BY253" i="5"/>
  <c r="BY254" i="5" s="1"/>
  <c r="CC250" i="5"/>
  <c r="BU215" i="18" s="1"/>
  <c r="BY255" i="5"/>
  <c r="BQ218" i="18" s="1"/>
  <c r="BZ255" i="5"/>
  <c r="BR218" i="18" s="1"/>
  <c r="AT107" i="6"/>
  <c r="AL660" i="18" s="1"/>
  <c r="AR124" i="6"/>
  <c r="AJ693" i="18" s="1"/>
  <c r="AR143" i="6"/>
  <c r="CZ178" i="6"/>
  <c r="BY197" i="5"/>
  <c r="BQ163" i="18" s="1"/>
  <c r="CC196" i="5"/>
  <c r="BU162" i="18" s="1"/>
  <c r="CW309" i="6"/>
  <c r="CO842" i="18" s="1"/>
  <c r="CW298" i="6"/>
  <c r="CO819" i="18" s="1"/>
  <c r="DB219" i="6"/>
  <c r="DC214" i="6"/>
  <c r="DB29" i="6"/>
  <c r="DF36" i="6"/>
  <c r="CS119" i="6"/>
  <c r="CK683" i="18" s="1"/>
  <c r="CW420" i="5"/>
  <c r="CW423" i="5" s="1"/>
  <c r="CO316" i="18" s="1"/>
  <c r="CW463" i="5"/>
  <c r="CW464" i="5" s="1"/>
  <c r="CB43" i="6"/>
  <c r="BY44" i="6"/>
  <c r="BQ576" i="18" s="1"/>
  <c r="BY47" i="6"/>
  <c r="DA177" i="6"/>
  <c r="BH317" i="6"/>
  <c r="AZ850" i="18" s="1"/>
  <c r="DC229" i="6"/>
  <c r="DD224" i="6"/>
  <c r="AX144" i="6"/>
  <c r="AP704" i="18" s="1"/>
  <c r="AB5" i="6"/>
  <c r="AC6" i="6"/>
  <c r="AZ364" i="6"/>
  <c r="AR603" i="18" s="1"/>
  <c r="AZ167" i="6"/>
  <c r="AR717" i="18" s="1"/>
  <c r="BW296" i="5"/>
  <c r="BW213" i="5"/>
  <c r="BO180" i="18" s="1"/>
  <c r="CR296" i="6"/>
  <c r="CJ817" i="18" s="1"/>
  <c r="CR307" i="6"/>
  <c r="CJ840" i="18" s="1"/>
  <c r="CQ165" i="6"/>
  <c r="CI715" i="18" s="1"/>
  <c r="CQ139" i="6"/>
  <c r="CI699" i="18" s="1"/>
  <c r="CR145" i="6"/>
  <c r="CJ705" i="18" s="1"/>
  <c r="CR144" i="6"/>
  <c r="CJ704" i="18" s="1"/>
  <c r="CV288" i="6"/>
  <c r="CN810" i="18" s="1"/>
  <c r="CU310" i="6"/>
  <c r="CM843" i="18" s="1"/>
  <c r="CU318" i="6"/>
  <c r="CM851" i="18" s="1"/>
  <c r="CU238" i="6"/>
  <c r="CM763" i="18" s="1"/>
  <c r="CU289" i="6"/>
  <c r="CT274" i="6"/>
  <c r="CL796" i="18" s="1"/>
  <c r="AT113" i="6"/>
  <c r="AL666" i="18" s="1"/>
  <c r="BX27" i="6"/>
  <c r="BP581" i="18" s="1"/>
  <c r="CB354" i="5"/>
  <c r="CB13" i="5"/>
  <c r="BT6" i="18" s="1"/>
  <c r="CB96" i="6"/>
  <c r="BT647" i="18" s="1"/>
  <c r="CB89" i="6"/>
  <c r="BT640" i="18" s="1"/>
  <c r="CB24" i="5"/>
  <c r="CB331" i="5"/>
  <c r="CB49" i="5"/>
  <c r="CB38" i="6"/>
  <c r="BT593" i="18" s="1"/>
  <c r="CB32" i="6"/>
  <c r="BT587" i="18" s="1"/>
  <c r="CB77" i="6"/>
  <c r="BT614" i="18" s="1"/>
  <c r="BW359" i="5"/>
  <c r="BW357" i="5"/>
  <c r="CC226" i="5"/>
  <c r="BU193" i="18" s="1"/>
  <c r="CD226" i="5"/>
  <c r="BV193" i="18" s="1"/>
  <c r="CC216" i="5"/>
  <c r="BU183" i="18" s="1"/>
  <c r="BX420" i="5"/>
  <c r="BX423" i="5" s="1"/>
  <c r="BP316" i="18" s="1"/>
  <c r="BX463" i="5"/>
  <c r="BX464" i="5" s="1"/>
  <c r="CW308" i="6"/>
  <c r="CO841" i="18" s="1"/>
  <c r="CW297" i="6"/>
  <c r="CO818" i="18" s="1"/>
  <c r="CP316" i="6"/>
  <c r="CH849" i="18" s="1"/>
  <c r="CP124" i="6"/>
  <c r="CH693" i="18" s="1"/>
  <c r="CW440" i="5"/>
  <c r="CW44" i="6"/>
  <c r="CO576" i="18" s="1"/>
  <c r="CW47" i="6"/>
  <c r="CW15" i="6"/>
  <c r="CO1244" i="18" s="1"/>
  <c r="DA313" i="6"/>
  <c r="CS844" i="18" s="1"/>
  <c r="DA302" i="6"/>
  <c r="CS821" i="18" s="1"/>
  <c r="CB226" i="5"/>
  <c r="BT193" i="18" s="1"/>
  <c r="CB224" i="5"/>
  <c r="BT191" i="18" s="1"/>
  <c r="CF223" i="5"/>
  <c r="DB139" i="6"/>
  <c r="CT699" i="18" s="1"/>
  <c r="DA143" i="6"/>
  <c r="CS703" i="18" s="1"/>
  <c r="CZ86" i="6"/>
  <c r="CR637" i="18" s="1"/>
  <c r="CZ59" i="6"/>
  <c r="DA56" i="6"/>
  <c r="CS618" i="18" s="1"/>
  <c r="AX364" i="6"/>
  <c r="AP603" i="18" s="1"/>
  <c r="AX167" i="6"/>
  <c r="AP717" i="18" s="1"/>
  <c r="AK176" i="6"/>
  <c r="AK125" i="6"/>
  <c r="AC694" i="18" s="1"/>
  <c r="CN101" i="6"/>
  <c r="CF654" i="18" s="1"/>
  <c r="AK100" i="6"/>
  <c r="AG101" i="6"/>
  <c r="BT194" i="5"/>
  <c r="BL160" i="18" s="1"/>
  <c r="CA68" i="6"/>
  <c r="BZ424" i="5"/>
  <c r="BR317" i="18" s="1"/>
  <c r="BZ422" i="5"/>
  <c r="BX48" i="6"/>
  <c r="BP578" i="18" s="1"/>
  <c r="CF371" i="6"/>
  <c r="BX610" i="18" s="1"/>
  <c r="CQ113" i="6"/>
  <c r="CI666" i="18" s="1"/>
  <c r="CW359" i="5"/>
  <c r="CW357" i="5"/>
  <c r="AV107" i="6"/>
  <c r="AN660" i="18" s="1"/>
  <c r="CA250" i="5"/>
  <c r="BS215" i="18" s="1"/>
  <c r="CW159" i="6"/>
  <c r="CO711" i="18" s="1"/>
  <c r="CW168" i="6"/>
  <c r="CO718" i="18" s="1"/>
  <c r="CB179" i="5"/>
  <c r="BT145" i="18" s="1"/>
  <c r="CB214" i="5"/>
  <c r="CB196" i="5"/>
  <c r="BT162" i="18" s="1"/>
  <c r="CV296" i="5"/>
  <c r="CZ145" i="6"/>
  <c r="CR705" i="18" s="1"/>
  <c r="CZ144" i="6"/>
  <c r="CR704" i="18" s="1"/>
  <c r="BW45" i="6"/>
  <c r="AO113" i="6"/>
  <c r="AG666" i="18" s="1"/>
  <c r="AO124" i="6"/>
  <c r="AG693" i="18" s="1"/>
  <c r="AO143" i="6"/>
  <c r="BC178" i="6"/>
  <c r="BU160" i="6"/>
  <c r="BM712" i="18" s="1"/>
  <c r="BW199" i="5"/>
  <c r="BW291" i="5"/>
  <c r="BG317" i="6"/>
  <c r="AY850" i="18" s="1"/>
  <c r="CV213" i="5"/>
  <c r="CN180" i="18" s="1"/>
  <c r="CZ269" i="5"/>
  <c r="DA268" i="5"/>
  <c r="AW364" i="6"/>
  <c r="AO603" i="18" s="1"/>
  <c r="AW167" i="6"/>
  <c r="AO717" i="18" s="1"/>
  <c r="CW27" i="6"/>
  <c r="CO581" i="18" s="1"/>
  <c r="DA64" i="6"/>
  <c r="CS626" i="18" s="1"/>
  <c r="CZ65" i="6"/>
  <c r="CZ63" i="6"/>
  <c r="BX168" i="6"/>
  <c r="BP718" i="18" s="1"/>
  <c r="BX159" i="6"/>
  <c r="BP711" i="18" s="1"/>
  <c r="AM176" i="6"/>
  <c r="AM114" i="6"/>
  <c r="AE667" i="18" s="1"/>
  <c r="AM125" i="6"/>
  <c r="AE694" i="18" s="1"/>
  <c r="AI101" i="6"/>
  <c r="AA654" i="18" s="1"/>
  <c r="AM100" i="6"/>
  <c r="DE113" i="6"/>
  <c r="CW666" i="18" s="1"/>
  <c r="DF100" i="6"/>
  <c r="CX653" i="18" s="1"/>
  <c r="DB225" i="6"/>
  <c r="DA230" i="6"/>
  <c r="AS165" i="6"/>
  <c r="AK715" i="18" s="1"/>
  <c r="CP143" i="6"/>
  <c r="CH703" i="18" s="1"/>
  <c r="AS145" i="6"/>
  <c r="AK705" i="18" s="1"/>
  <c r="CW341" i="5"/>
  <c r="CW343" i="5"/>
  <c r="BX440" i="5"/>
  <c r="AN176" i="6"/>
  <c r="AN125" i="6"/>
  <c r="AF694" i="18" s="1"/>
  <c r="AJ101" i="6"/>
  <c r="AB654" i="18" s="1"/>
  <c r="AN100" i="6"/>
  <c r="BX45" i="6"/>
  <c r="AZ119" i="6"/>
  <c r="AR683" i="18" s="1"/>
  <c r="CV292" i="5"/>
  <c r="BQ293" i="5"/>
  <c r="BI251" i="18" s="1"/>
  <c r="CW305" i="6"/>
  <c r="CO838" i="18" s="1"/>
  <c r="CX283" i="6"/>
  <c r="CP805" i="18" s="1"/>
  <c r="CW245" i="6"/>
  <c r="CO769" i="18" s="1"/>
  <c r="BT230" i="5"/>
  <c r="BL197" i="18" s="1"/>
  <c r="CX43" i="6"/>
  <c r="CP575" i="18" s="1"/>
  <c r="CR178" i="6"/>
  <c r="CS178" i="6"/>
  <c r="CQ126" i="6"/>
  <c r="CI695" i="18" s="1"/>
  <c r="CA43" i="6"/>
  <c r="DA125" i="6"/>
  <c r="CS694" i="18" s="1"/>
  <c r="AX119" i="6"/>
  <c r="AP683" i="18" s="1"/>
  <c r="AQ124" i="6"/>
  <c r="AI693" i="18" s="1"/>
  <c r="AQ143" i="6"/>
  <c r="BX291" i="5"/>
  <c r="BP249" i="18" s="1"/>
  <c r="BX199" i="5"/>
  <c r="BZ193" i="5"/>
  <c r="BR159" i="18" s="1"/>
  <c r="BZ292" i="5"/>
  <c r="BZ229" i="5"/>
  <c r="DB58" i="6"/>
  <c r="DA58" i="6"/>
  <c r="CZ239" i="5"/>
  <c r="CZ204" i="5" s="1"/>
  <c r="CO125" i="6"/>
  <c r="CG694" i="18" s="1"/>
  <c r="CO176" i="6"/>
  <c r="CO100" i="6"/>
  <c r="CO147" i="6"/>
  <c r="AY119" i="6"/>
  <c r="AQ683" i="18" s="1"/>
  <c r="CZ220" i="6"/>
  <c r="CZ216" i="6"/>
  <c r="CZ246" i="6"/>
  <c r="DA215" i="6"/>
  <c r="AL176" i="6"/>
  <c r="AH101" i="6"/>
  <c r="Z654" i="18" s="1"/>
  <c r="AL100" i="6"/>
  <c r="AD653" i="18" s="1"/>
  <c r="AL125" i="6"/>
  <c r="AD694" i="18" s="1"/>
  <c r="CQ291" i="6"/>
  <c r="CQ289" i="6"/>
  <c r="CR305" i="6"/>
  <c r="CJ838" i="18" s="1"/>
  <c r="CR294" i="6"/>
  <c r="CJ815" i="18" s="1"/>
  <c r="BE317" i="6"/>
  <c r="AW850" i="18" s="1"/>
  <c r="BD178" i="6"/>
  <c r="CX371" i="6"/>
  <c r="CP610" i="18" s="1"/>
  <c r="DA30" i="6"/>
  <c r="DA267" i="5"/>
  <c r="DA31" i="6"/>
  <c r="CQ318" i="6"/>
  <c r="CI851" i="18" s="1"/>
  <c r="CZ331" i="6"/>
  <c r="CR865" i="18" s="1"/>
  <c r="CY333" i="6"/>
  <c r="CQ867" i="18" s="1"/>
  <c r="CY332" i="6"/>
  <c r="CQ866" i="18" s="1"/>
  <c r="BW168" i="6"/>
  <c r="BO718" i="18" s="1"/>
  <c r="BW159" i="6"/>
  <c r="BO711" i="18" s="1"/>
  <c r="CP288" i="6"/>
  <c r="CH810" i="18" s="1"/>
  <c r="CP287" i="6"/>
  <c r="CH809" i="18" s="1"/>
  <c r="CQ150" i="6"/>
  <c r="CI1250" i="18" s="1"/>
  <c r="CP148" i="6"/>
  <c r="CH1248" i="18" s="1"/>
  <c r="CP285" i="6"/>
  <c r="CH807" i="18" s="1"/>
  <c r="CP286" i="6"/>
  <c r="CH808" i="18" s="1"/>
  <c r="CP283" i="6"/>
  <c r="CV425" i="5"/>
  <c r="DG424" i="5"/>
  <c r="CR317" i="18" s="1"/>
  <c r="BV160" i="6"/>
  <c r="BN712" i="18" s="1"/>
  <c r="CR151" i="6"/>
  <c r="CJ708" i="18" s="1"/>
  <c r="CU258" i="6"/>
  <c r="CM781" i="18" s="1"/>
  <c r="CU275" i="6"/>
  <c r="CM797" i="18" s="1"/>
  <c r="CU256" i="6"/>
  <c r="CM779" i="18" s="1"/>
  <c r="CU273" i="6"/>
  <c r="CM795" i="18" s="1"/>
  <c r="CU255" i="6"/>
  <c r="CM778" i="18" s="1"/>
  <c r="CB46" i="6"/>
  <c r="BT577" i="18" s="1"/>
  <c r="BW463" i="5"/>
  <c r="BW464" i="5" s="1"/>
  <c r="BW420" i="5"/>
  <c r="BW423" i="5" s="1"/>
  <c r="BO316" i="18" s="1"/>
  <c r="BV365" i="5"/>
  <c r="BV366" i="5" s="1"/>
  <c r="BV407" i="5"/>
  <c r="BV397" i="5"/>
  <c r="AO177" i="6"/>
  <c r="AT144" i="6"/>
  <c r="AL704" i="18" s="1"/>
  <c r="AT165" i="6"/>
  <c r="AL715" i="18" s="1"/>
  <c r="CV265" i="6"/>
  <c r="CN788" i="18" s="1"/>
  <c r="CV254" i="6"/>
  <c r="CN777" i="18" s="1"/>
  <c r="AY364" i="6"/>
  <c r="AQ603" i="18" s="1"/>
  <c r="AY167" i="6"/>
  <c r="AQ717" i="18" s="1"/>
  <c r="AV165" i="6"/>
  <c r="AN715" i="18" s="1"/>
  <c r="CA89" i="6"/>
  <c r="BS640" i="18" s="1"/>
  <c r="CA96" i="6"/>
  <c r="BS647" i="18" s="1"/>
  <c r="CA354" i="5"/>
  <c r="CA13" i="5"/>
  <c r="BS6" i="18" s="1"/>
  <c r="CA24" i="5"/>
  <c r="CA331" i="5"/>
  <c r="CA49" i="5"/>
  <c r="CA38" i="6"/>
  <c r="BS593" i="18" s="1"/>
  <c r="CA32" i="6"/>
  <c r="BS587" i="18" s="1"/>
  <c r="CA77" i="6"/>
  <c r="BS614" i="18" s="1"/>
  <c r="CU229" i="5"/>
  <c r="CU193" i="5"/>
  <c r="CR309" i="6"/>
  <c r="CJ842" i="18" s="1"/>
  <c r="CR298" i="6"/>
  <c r="CJ819" i="18" s="1"/>
  <c r="DC120" i="6"/>
  <c r="CU684" i="18" s="1"/>
  <c r="CV661" i="18"/>
  <c r="CW151" i="6"/>
  <c r="CO708" i="18" s="1"/>
  <c r="CY370" i="6"/>
  <c r="CQ609" i="18" s="1"/>
  <c r="AT177" i="6"/>
  <c r="CT225" i="5"/>
  <c r="CL192" i="18" s="1"/>
  <c r="CU225" i="5"/>
  <c r="CM192" i="18" s="1"/>
  <c r="CW199" i="5"/>
  <c r="CW182" i="5"/>
  <c r="CO148" i="18" s="1"/>
  <c r="CQ107" i="6"/>
  <c r="AU165" i="6"/>
  <c r="AM715" i="18" s="1"/>
  <c r="AV113" i="6"/>
  <c r="AN666" i="18" s="1"/>
  <c r="CA46" i="6"/>
  <c r="BS577" i="18" s="1"/>
  <c r="BW341" i="5"/>
  <c r="BW364" i="5" s="1"/>
  <c r="BW343" i="5"/>
  <c r="BF317" i="6"/>
  <c r="AX850" i="18" s="1"/>
  <c r="AQ114" i="6"/>
  <c r="AI667" i="18" s="1"/>
  <c r="BX296" i="5"/>
  <c r="BX213" i="5"/>
  <c r="BP180" i="18" s="1"/>
  <c r="AW178" i="6"/>
  <c r="DB368" i="6"/>
  <c r="CT607" i="18" s="1"/>
  <c r="DB360" i="6"/>
  <c r="CT893" i="18" s="1"/>
  <c r="BV422" i="5"/>
  <c r="BV424" i="5"/>
  <c r="BW278" i="5"/>
  <c r="AP114" i="6"/>
  <c r="AH667" i="18" s="1"/>
  <c r="CQ310" i="6"/>
  <c r="CI843" i="18" s="1"/>
  <c r="CR310" i="6"/>
  <c r="CJ843" i="18" s="1"/>
  <c r="CR299" i="6"/>
  <c r="CJ820" i="18" s="1"/>
  <c r="CZ121" i="6"/>
  <c r="CR685" i="18" s="1"/>
  <c r="CZ110" i="6"/>
  <c r="CR663" i="18" s="1"/>
  <c r="CT300" i="6"/>
  <c r="CT311" i="6"/>
  <c r="CT290" i="6"/>
  <c r="CL812" i="18" s="1"/>
  <c r="BX359" i="5"/>
  <c r="BX357" i="5"/>
  <c r="BZ364" i="5"/>
  <c r="CU292" i="5"/>
  <c r="AU177" i="6"/>
  <c r="CT259" i="6"/>
  <c r="CL782" i="18" s="1"/>
  <c r="CR120" i="6"/>
  <c r="CJ684" i="18" s="1"/>
  <c r="DB299" i="5"/>
  <c r="DC181" i="5"/>
  <c r="CU147" i="18" s="1"/>
  <c r="DE273" i="5"/>
  <c r="DD274" i="5"/>
  <c r="BS596" i="5"/>
  <c r="BT595" i="5"/>
  <c r="BS515" i="5"/>
  <c r="BS516" i="5" s="1"/>
  <c r="BS517" i="5" s="1"/>
  <c r="DE312" i="5"/>
  <c r="CW270" i="18" s="1"/>
  <c r="DD306" i="5"/>
  <c r="CV264" i="18" s="1"/>
  <c r="DD36" i="5"/>
  <c r="CV28" i="18" s="1"/>
  <c r="DC205" i="5"/>
  <c r="DC307" i="5"/>
  <c r="CU265" i="18" s="1"/>
  <c r="DC309" i="5"/>
  <c r="DC17" i="5"/>
  <c r="CU10" i="18" s="1"/>
  <c r="BL6" i="5"/>
  <c r="DC310" i="5" l="1"/>
  <c r="CU268" i="18" s="1"/>
  <c r="CU267" i="18"/>
  <c r="CR119" i="6"/>
  <c r="CJ683" i="18" s="1"/>
  <c r="CI660" i="18"/>
  <c r="BZ230" i="5"/>
  <c r="BR197" i="18" s="1"/>
  <c r="BR196" i="18"/>
  <c r="AQ107" i="6"/>
  <c r="AE653" i="18"/>
  <c r="CV297" i="5"/>
  <c r="CN255" i="18" s="1"/>
  <c r="CN254" i="18"/>
  <c r="CB50" i="5"/>
  <c r="BT38" i="18" s="1"/>
  <c r="BT37" i="18"/>
  <c r="BW279" i="5"/>
  <c r="BO235" i="18" s="1"/>
  <c r="BO234" i="18"/>
  <c r="CA25" i="5"/>
  <c r="BS17" i="18" s="1"/>
  <c r="BS16" i="18"/>
  <c r="AG1303" i="18"/>
  <c r="AG729" i="18"/>
  <c r="CQ305" i="6"/>
  <c r="CI838" i="18" s="1"/>
  <c r="CH805" i="18"/>
  <c r="CI813" i="18"/>
  <c r="CI811" i="18"/>
  <c r="AD1302" i="18"/>
  <c r="AD728" i="18"/>
  <c r="CG1302" i="18"/>
  <c r="CG728" i="18"/>
  <c r="BX200" i="5"/>
  <c r="BP166" i="18" s="1"/>
  <c r="BP165" i="18"/>
  <c r="CK1304" i="18"/>
  <c r="CK730" i="18"/>
  <c r="CV293" i="5"/>
  <c r="CN251" i="18" s="1"/>
  <c r="CN250" i="18"/>
  <c r="CZ74" i="6"/>
  <c r="CR611" i="18" s="1"/>
  <c r="CR625" i="18"/>
  <c r="CP177" i="6"/>
  <c r="CQ178" i="6" s="1"/>
  <c r="BW297" i="5"/>
  <c r="BO255" i="18" s="1"/>
  <c r="BO254" i="18"/>
  <c r="BT575" i="18"/>
  <c r="CB43" i="7"/>
  <c r="BW441" i="5"/>
  <c r="BO1044" i="18"/>
  <c r="AR1304" i="18"/>
  <c r="AR730" i="18"/>
  <c r="BY200" i="5"/>
  <c r="BQ166" i="18" s="1"/>
  <c r="BQ165" i="18"/>
  <c r="CX25" i="5"/>
  <c r="CP17" i="18" s="1"/>
  <c r="CP16" i="18"/>
  <c r="BY333" i="5"/>
  <c r="BQ289" i="18" s="1"/>
  <c r="BQ287" i="18"/>
  <c r="CU191" i="5"/>
  <c r="CM157" i="18" s="1"/>
  <c r="CM156" i="18"/>
  <c r="CX197" i="5"/>
  <c r="CP163" i="18" s="1"/>
  <c r="CP162" i="18"/>
  <c r="CZ301" i="5"/>
  <c r="CR259" i="18" s="1"/>
  <c r="CR258" i="18"/>
  <c r="DH20" i="5"/>
  <c r="CS12" i="18"/>
  <c r="DE313" i="5"/>
  <c r="CV271" i="18"/>
  <c r="BX434" i="5"/>
  <c r="BP1037" i="18"/>
  <c r="CW232" i="5"/>
  <c r="CO199" i="18" s="1"/>
  <c r="CO181" i="18"/>
  <c r="CQ612" i="18"/>
  <c r="CY76" i="6"/>
  <c r="CQ613" i="18" s="1"/>
  <c r="BV425" i="5"/>
  <c r="BN317" i="18"/>
  <c r="CU194" i="5"/>
  <c r="CM160" i="18" s="1"/>
  <c r="CM159" i="18"/>
  <c r="AV1304" i="18"/>
  <c r="AV730" i="18"/>
  <c r="CJ1304" i="18"/>
  <c r="CJ730" i="18"/>
  <c r="AU1304" i="18"/>
  <c r="AU730" i="18"/>
  <c r="AV144" i="6"/>
  <c r="AN704" i="18" s="1"/>
  <c r="AJ703" i="18"/>
  <c r="CV200" i="5"/>
  <c r="CN166" i="18" s="1"/>
  <c r="CN165" i="18"/>
  <c r="CV398" i="5"/>
  <c r="CN1264" i="18"/>
  <c r="CN1283" i="18"/>
  <c r="CW278" i="5"/>
  <c r="CO233" i="18"/>
  <c r="BV442" i="5"/>
  <c r="BN1045" i="18"/>
  <c r="CX44" i="7"/>
  <c r="CX48" i="7"/>
  <c r="CX49" i="7" s="1"/>
  <c r="BW435" i="5"/>
  <c r="BO1039" i="18" s="1"/>
  <c r="BO1038" i="18"/>
  <c r="DB19" i="5"/>
  <c r="DB20" i="5" s="1"/>
  <c r="CT12" i="18" s="1"/>
  <c r="CT257" i="18"/>
  <c r="AY178" i="6"/>
  <c r="AM1303" i="18"/>
  <c r="AM729" i="18"/>
  <c r="AL1303" i="18"/>
  <c r="AL729" i="18"/>
  <c r="CU230" i="5"/>
  <c r="CM197" i="18" s="1"/>
  <c r="CM196" i="18"/>
  <c r="CA50" i="5"/>
  <c r="BS38" i="18" s="1"/>
  <c r="BS37" i="18"/>
  <c r="CA355" i="5"/>
  <c r="BS302" i="18"/>
  <c r="BV408" i="5"/>
  <c r="BN1293" i="18"/>
  <c r="BN1267" i="18"/>
  <c r="BX343" i="5"/>
  <c r="CG1247" i="18"/>
  <c r="CG707" i="18"/>
  <c r="BZ293" i="5"/>
  <c r="BR251" i="18" s="1"/>
  <c r="BR250" i="18"/>
  <c r="AU144" i="6"/>
  <c r="AM704" i="18" s="1"/>
  <c r="AI703" i="18"/>
  <c r="BS575" i="18"/>
  <c r="CA43" i="7"/>
  <c r="AR177" i="6"/>
  <c r="AF1302" i="18"/>
  <c r="AF728" i="18"/>
  <c r="CW291" i="5"/>
  <c r="CO249" i="18" s="1"/>
  <c r="BO249" i="18"/>
  <c r="AS144" i="6"/>
  <c r="AK704" i="18" s="1"/>
  <c r="AG703" i="18"/>
  <c r="AK114" i="6"/>
  <c r="AC667" i="18" s="1"/>
  <c r="Y654" i="18"/>
  <c r="AC1302" i="18"/>
  <c r="AC728" i="18"/>
  <c r="CF216" i="5"/>
  <c r="BX183" i="18" s="1"/>
  <c r="BX190" i="18"/>
  <c r="CW441" i="5"/>
  <c r="CO1044" i="18"/>
  <c r="CB333" i="5"/>
  <c r="BT289" i="18" s="1"/>
  <c r="BT287" i="18"/>
  <c r="CQ144" i="6"/>
  <c r="CI704" i="18" s="1"/>
  <c r="CD214" i="5"/>
  <c r="BV181" i="18" s="1"/>
  <c r="BV146" i="18"/>
  <c r="BY434" i="5"/>
  <c r="BQ1037" i="18"/>
  <c r="CX179" i="5"/>
  <c r="CP145" i="18" s="1"/>
  <c r="BS145" i="18"/>
  <c r="BU194" i="5"/>
  <c r="BM160" i="18" s="1"/>
  <c r="BM159" i="18"/>
  <c r="AT145" i="6"/>
  <c r="AL705" i="18" s="1"/>
  <c r="AH703" i="18"/>
  <c r="BS293" i="5"/>
  <c r="BK251" i="18" s="1"/>
  <c r="BK250" i="18"/>
  <c r="AS178" i="6"/>
  <c r="CX50" i="5"/>
  <c r="CP38" i="18" s="1"/>
  <c r="CP37" i="18"/>
  <c r="CB190" i="5"/>
  <c r="BT155" i="18"/>
  <c r="CW435" i="5"/>
  <c r="CO1039" i="18" s="1"/>
  <c r="CO1038" i="18"/>
  <c r="CA190" i="5"/>
  <c r="BS155" i="18"/>
  <c r="CW197" i="5"/>
  <c r="CO163" i="18" s="1"/>
  <c r="CO162" i="18"/>
  <c r="BY48" i="7"/>
  <c r="BY44" i="7"/>
  <c r="CX225" i="5"/>
  <c r="CP192" i="18" s="1"/>
  <c r="CP191" i="18"/>
  <c r="DB233" i="5"/>
  <c r="CS200" i="18"/>
  <c r="DA215" i="5"/>
  <c r="BX297" i="5"/>
  <c r="BP255" i="18" s="1"/>
  <c r="BP254" i="18"/>
  <c r="BV398" i="5"/>
  <c r="BN1283" i="18"/>
  <c r="BN1264" i="18"/>
  <c r="AE1302" i="18"/>
  <c r="AE728" i="18"/>
  <c r="BX279" i="5"/>
  <c r="BP235" i="18" s="1"/>
  <c r="BP234" i="18"/>
  <c r="BS230" i="5"/>
  <c r="BK197" i="18" s="1"/>
  <c r="BK196" i="18"/>
  <c r="DB151" i="5"/>
  <c r="CX250" i="5"/>
  <c r="CP214" i="18"/>
  <c r="CQ629" i="18"/>
  <c r="CY68" i="6"/>
  <c r="CU293" i="5"/>
  <c r="CM251" i="18" s="1"/>
  <c r="CM250" i="18"/>
  <c r="AW119" i="6"/>
  <c r="AO683" i="18" s="1"/>
  <c r="AO1304" i="18"/>
  <c r="AO730" i="18"/>
  <c r="CW200" i="5"/>
  <c r="CO166" i="18" s="1"/>
  <c r="CO165" i="18"/>
  <c r="CA333" i="5"/>
  <c r="BS289" i="18" s="1"/>
  <c r="BS287" i="18"/>
  <c r="CV426" i="5"/>
  <c r="CN319" i="18" s="1"/>
  <c r="CN318" i="18"/>
  <c r="CP113" i="6"/>
  <c r="CH666" i="18" s="1"/>
  <c r="CG653" i="18"/>
  <c r="AR113" i="6"/>
  <c r="AJ666" i="18" s="1"/>
  <c r="AF653" i="18"/>
  <c r="BX441" i="5"/>
  <c r="BP1044" i="18"/>
  <c r="BW200" i="5"/>
  <c r="BO166" i="18" s="1"/>
  <c r="BO165" i="18"/>
  <c r="CX214" i="5"/>
  <c r="BT181" i="18"/>
  <c r="AO107" i="6"/>
  <c r="AG660" i="18" s="1"/>
  <c r="AC653" i="18"/>
  <c r="CB25" i="5"/>
  <c r="BT17" i="18" s="1"/>
  <c r="BT16" i="18"/>
  <c r="CB355" i="5"/>
  <c r="BT302" i="18"/>
  <c r="CV408" i="5"/>
  <c r="CN1293" i="18"/>
  <c r="CN1267" i="18"/>
  <c r="BU230" i="5"/>
  <c r="BM197" i="18" s="1"/>
  <c r="BM196" i="18"/>
  <c r="BS194" i="5"/>
  <c r="BK160" i="18" s="1"/>
  <c r="BK159" i="18"/>
  <c r="BZ333" i="5"/>
  <c r="BR289" i="18" s="1"/>
  <c r="BR287" i="18"/>
  <c r="CX355" i="5"/>
  <c r="CP302" i="18"/>
  <c r="BW629" i="18"/>
  <c r="CE68" i="6"/>
  <c r="BZ442" i="5"/>
  <c r="BR1045" i="18"/>
  <c r="CD218" i="5"/>
  <c r="BV185" i="18" s="1"/>
  <c r="BV184" i="18"/>
  <c r="AK1303" i="18"/>
  <c r="AK729" i="18"/>
  <c r="CQ621" i="18"/>
  <c r="CY61" i="6"/>
  <c r="CQ622" i="18" s="1"/>
  <c r="CN1046" i="18"/>
  <c r="DG442" i="5"/>
  <c r="CR1046" i="18" s="1"/>
  <c r="CV443" i="5"/>
  <c r="DC170" i="5"/>
  <c r="CU133" i="18"/>
  <c r="DB125" i="6"/>
  <c r="CT694" i="18" s="1"/>
  <c r="CR730" i="18"/>
  <c r="CR1304" i="18"/>
  <c r="CS729" i="18"/>
  <c r="CS1303" i="18"/>
  <c r="CT1302" i="18"/>
  <c r="CT728" i="18"/>
  <c r="BZ425" i="5"/>
  <c r="AV145" i="6"/>
  <c r="AN705" i="18" s="1"/>
  <c r="CP107" i="6"/>
  <c r="CH660" i="18" s="1"/>
  <c r="AF6" i="7"/>
  <c r="AE5" i="7"/>
  <c r="CX182" i="5"/>
  <c r="CP148" i="18" s="1"/>
  <c r="CX199" i="5"/>
  <c r="AV178" i="6"/>
  <c r="AS119" i="6"/>
  <c r="AK683" i="18" s="1"/>
  <c r="CZ78" i="6"/>
  <c r="CZ75" i="6"/>
  <c r="CR612" i="18" s="1"/>
  <c r="CZ222" i="5"/>
  <c r="CR189" i="18" s="1"/>
  <c r="CZ60" i="6"/>
  <c r="CR621" i="18" s="1"/>
  <c r="BW365" i="5"/>
  <c r="BW366" i="5" s="1"/>
  <c r="BW397" i="5"/>
  <c r="BW407" i="5"/>
  <c r="BZ194" i="5"/>
  <c r="BR160" i="18" s="1"/>
  <c r="CD193" i="5"/>
  <c r="CB291" i="5"/>
  <c r="CB199" i="5"/>
  <c r="DA59" i="6"/>
  <c r="DA86" i="6"/>
  <c r="CS637" i="18" s="1"/>
  <c r="DB56" i="6"/>
  <c r="CT618" i="18" s="1"/>
  <c r="CA225" i="5"/>
  <c r="BS192" i="18" s="1"/>
  <c r="CE225" i="5"/>
  <c r="BW192" i="18" s="1"/>
  <c r="CW229" i="5"/>
  <c r="CO196" i="18" s="1"/>
  <c r="CW193" i="5"/>
  <c r="AY159" i="6"/>
  <c r="AQ711" i="18" s="1"/>
  <c r="AY168" i="6"/>
  <c r="AQ718" i="18" s="1"/>
  <c r="CR313" i="6"/>
  <c r="CJ844" i="18" s="1"/>
  <c r="CR302" i="6"/>
  <c r="CJ821" i="18" s="1"/>
  <c r="CP139" i="6"/>
  <c r="CH699" i="18" s="1"/>
  <c r="CP165" i="6"/>
  <c r="CH715" i="18" s="1"/>
  <c r="AW168" i="6"/>
  <c r="AO718" i="18" s="1"/>
  <c r="AW159" i="6"/>
  <c r="AO711" i="18" s="1"/>
  <c r="CN176" i="6"/>
  <c r="CN125" i="6"/>
  <c r="CF694" i="18" s="1"/>
  <c r="CN100" i="6"/>
  <c r="CF653" i="18" s="1"/>
  <c r="CN147" i="6"/>
  <c r="CW19" i="6"/>
  <c r="CW16" i="6"/>
  <c r="CO1245" i="18" s="1"/>
  <c r="CW375" i="5"/>
  <c r="CC217" i="5"/>
  <c r="CU320" i="6"/>
  <c r="CM853" i="18" s="1"/>
  <c r="CU317" i="6"/>
  <c r="CM850" i="18" s="1"/>
  <c r="CU319" i="6"/>
  <c r="CM852" i="18" s="1"/>
  <c r="CQ140" i="6"/>
  <c r="CI700" i="18" s="1"/>
  <c r="CR140" i="6"/>
  <c r="CJ700" i="18" s="1"/>
  <c r="CC252" i="5"/>
  <c r="BU217" i="18" s="1"/>
  <c r="BY252" i="5"/>
  <c r="BQ217" i="18" s="1"/>
  <c r="CD213" i="5"/>
  <c r="BV180" i="18" s="1"/>
  <c r="CA430" i="5"/>
  <c r="CA431" i="5" s="1"/>
  <c r="CA432" i="5" s="1"/>
  <c r="CA433" i="5" s="1"/>
  <c r="CA421" i="5"/>
  <c r="BS313" i="18" s="1"/>
  <c r="CA439" i="5"/>
  <c r="BS1043" i="18" s="1"/>
  <c r="CA340" i="5"/>
  <c r="CA342" i="5" s="1"/>
  <c r="CA356" i="5"/>
  <c r="CA358" i="5" s="1"/>
  <c r="BY341" i="5"/>
  <c r="BY343" i="5"/>
  <c r="CT262" i="6"/>
  <c r="CL785" i="18" s="1"/>
  <c r="CT268" i="6"/>
  <c r="CL791" i="18" s="1"/>
  <c r="CT249" i="6"/>
  <c r="CT250" i="6" s="1"/>
  <c r="CL774" i="18" s="1"/>
  <c r="BZ407" i="5"/>
  <c r="BZ365" i="5"/>
  <c r="BZ366" i="5" s="1"/>
  <c r="BX292" i="5"/>
  <c r="BX229" i="5"/>
  <c r="BX193" i="5"/>
  <c r="AY370" i="6"/>
  <c r="AQ609" i="18" s="1"/>
  <c r="BC365" i="6"/>
  <c r="AU604" i="18" s="1"/>
  <c r="BW422" i="5"/>
  <c r="BW424" i="5"/>
  <c r="CP151" i="6"/>
  <c r="CH708" i="18" s="1"/>
  <c r="CQ364" i="6"/>
  <c r="CI603" i="18" s="1"/>
  <c r="AW370" i="6"/>
  <c r="AO609" i="18" s="1"/>
  <c r="BA365" i="6"/>
  <c r="AS604" i="18" s="1"/>
  <c r="CB225" i="5"/>
  <c r="BT192" i="18" s="1"/>
  <c r="CF225" i="5"/>
  <c r="BX192" i="18" s="1"/>
  <c r="CQ167" i="6"/>
  <c r="CI717" i="18" s="1"/>
  <c r="AZ159" i="6"/>
  <c r="AR711" i="18" s="1"/>
  <c r="AZ168" i="6"/>
  <c r="AR718" i="18" s="1"/>
  <c r="BY45" i="6"/>
  <c r="BZ45" i="6"/>
  <c r="BY357" i="5"/>
  <c r="BY359" i="5"/>
  <c r="CE196" i="5"/>
  <c r="BW162" i="18" s="1"/>
  <c r="CA197" i="5"/>
  <c r="BS163" i="18" s="1"/>
  <c r="BX364" i="5"/>
  <c r="CP150" i="6"/>
  <c r="CH1250" i="18" s="1"/>
  <c r="CO283" i="6"/>
  <c r="CG805" i="18" s="1"/>
  <c r="AS364" i="6"/>
  <c r="AK603" i="18" s="1"/>
  <c r="AS167" i="6"/>
  <c r="AK717" i="18" s="1"/>
  <c r="BX160" i="6"/>
  <c r="BP712" i="18" s="1"/>
  <c r="DB268" i="5"/>
  <c r="DA269" i="5"/>
  <c r="CW160" i="6"/>
  <c r="CO712" i="18" s="1"/>
  <c r="CW288" i="6"/>
  <c r="CO810" i="18" s="1"/>
  <c r="CV310" i="6"/>
  <c r="CN843" i="18" s="1"/>
  <c r="CV318" i="6"/>
  <c r="CN851" i="18" s="1"/>
  <c r="CV238" i="6"/>
  <c r="CN763" i="18" s="1"/>
  <c r="CV289" i="6"/>
  <c r="AZ370" i="6"/>
  <c r="AR609" i="18" s="1"/>
  <c r="BD365" i="6"/>
  <c r="AV604" i="18" s="1"/>
  <c r="BH288" i="6"/>
  <c r="AZ810" i="18" s="1"/>
  <c r="CV185" i="5"/>
  <c r="CN151" i="18" s="1"/>
  <c r="CV183" i="5"/>
  <c r="CV234" i="5"/>
  <c r="CN201" i="18" s="1"/>
  <c r="CV189" i="5"/>
  <c r="AQ177" i="6"/>
  <c r="DB177" i="6"/>
  <c r="BY463" i="5"/>
  <c r="BY464" i="5" s="1"/>
  <c r="BY420" i="5"/>
  <c r="BY423" i="5" s="1"/>
  <c r="BQ316" i="18" s="1"/>
  <c r="CA296" i="5"/>
  <c r="CA213" i="5"/>
  <c r="BS180" i="18" s="1"/>
  <c r="BU293" i="5"/>
  <c r="BM251" i="18" s="1"/>
  <c r="DA126" i="6"/>
  <c r="CS695" i="18" s="1"/>
  <c r="DB64" i="6"/>
  <c r="CT626" i="18" s="1"/>
  <c r="DA65" i="6"/>
  <c r="CZ364" i="6"/>
  <c r="CR603" i="18" s="1"/>
  <c r="AX178" i="6"/>
  <c r="BE288" i="6"/>
  <c r="AW810" i="18" s="1"/>
  <c r="AQ165" i="6"/>
  <c r="AI715" i="18" s="1"/>
  <c r="CX44" i="6"/>
  <c r="CP576" i="18" s="1"/>
  <c r="CX47" i="6"/>
  <c r="CX15" i="6"/>
  <c r="CP1244" i="18" s="1"/>
  <c r="CZ87" i="6"/>
  <c r="CR638" i="18" s="1"/>
  <c r="BY297" i="5"/>
  <c r="BQ255" i="18" s="1"/>
  <c r="CT312" i="6"/>
  <c r="CT301" i="6"/>
  <c r="CT205" i="6"/>
  <c r="AU145" i="6"/>
  <c r="AM705" i="18" s="1"/>
  <c r="CY371" i="6"/>
  <c r="CQ610" i="18" s="1"/>
  <c r="CU259" i="6"/>
  <c r="CM782" i="18" s="1"/>
  <c r="CP291" i="6"/>
  <c r="CP289" i="6"/>
  <c r="CQ311" i="6" s="1"/>
  <c r="AL107" i="6"/>
  <c r="AD660" i="18" s="1"/>
  <c r="AL124" i="6"/>
  <c r="AD693" i="18" s="1"/>
  <c r="AL113" i="6"/>
  <c r="AD666" i="18" s="1"/>
  <c r="AL143" i="6"/>
  <c r="DA246" i="6"/>
  <c r="DA220" i="6"/>
  <c r="DA216" i="6"/>
  <c r="DB215" i="6"/>
  <c r="AJ147" i="6"/>
  <c r="AJ176" i="6"/>
  <c r="AM124" i="6"/>
  <c r="AE693" i="18" s="1"/>
  <c r="AM107" i="6"/>
  <c r="AE660" i="18" s="1"/>
  <c r="AM113" i="6"/>
  <c r="AE666" i="18" s="1"/>
  <c r="AM143" i="6"/>
  <c r="CZ67" i="6"/>
  <c r="CR629" i="18" s="1"/>
  <c r="CZ66" i="6"/>
  <c r="CR627" i="18" s="1"/>
  <c r="DA63" i="6"/>
  <c r="CS625" i="18" s="1"/>
  <c r="CV229" i="5"/>
  <c r="CV193" i="5"/>
  <c r="BU162" i="6"/>
  <c r="AX168" i="6"/>
  <c r="AP718" i="18" s="1"/>
  <c r="AX159" i="6"/>
  <c r="AP711" i="18" s="1"/>
  <c r="BX422" i="5"/>
  <c r="BX424" i="5"/>
  <c r="AR165" i="6"/>
  <c r="AJ715" i="18" s="1"/>
  <c r="CB253" i="5"/>
  <c r="CB254" i="5" s="1"/>
  <c r="CB251" i="5"/>
  <c r="BT216" i="18" s="1"/>
  <c r="CF250" i="5"/>
  <c r="BX215" i="18" s="1"/>
  <c r="CB255" i="5"/>
  <c r="BT218" i="18" s="1"/>
  <c r="DC368" i="6"/>
  <c r="CU607" i="18" s="1"/>
  <c r="DC360" i="6"/>
  <c r="CU893" i="18" s="1"/>
  <c r="AP113" i="6"/>
  <c r="AH666" i="18" s="1"/>
  <c r="CS196" i="6"/>
  <c r="CK735" i="18" s="1"/>
  <c r="CW189" i="5"/>
  <c r="CW234" i="5"/>
  <c r="CO201" i="18" s="1"/>
  <c r="CW185" i="5"/>
  <c r="CO151" i="18" s="1"/>
  <c r="CW183" i="5"/>
  <c r="CR311" i="6"/>
  <c r="CR300" i="6"/>
  <c r="DE224" i="6"/>
  <c r="DD229" i="6"/>
  <c r="DD120" i="6"/>
  <c r="CV684" i="18" s="1"/>
  <c r="DA239" i="5"/>
  <c r="DA204" i="5" s="1"/>
  <c r="CV275" i="6"/>
  <c r="CN797" i="18" s="1"/>
  <c r="CV273" i="6"/>
  <c r="CN795" i="18" s="1"/>
  <c r="CV256" i="6"/>
  <c r="CN779" i="18" s="1"/>
  <c r="CV258" i="6"/>
  <c r="CN781" i="18" s="1"/>
  <c r="CV255" i="6"/>
  <c r="CN778" i="18" s="1"/>
  <c r="CR152" i="6"/>
  <c r="CJ709" i="18" s="1"/>
  <c r="CS152" i="6"/>
  <c r="CK709" i="18" s="1"/>
  <c r="CO316" i="6"/>
  <c r="CG849" i="18" s="1"/>
  <c r="CO124" i="6"/>
  <c r="CG693" i="18" s="1"/>
  <c r="CO107" i="6"/>
  <c r="CG660" i="18" s="1"/>
  <c r="CO113" i="6"/>
  <c r="CG666" i="18" s="1"/>
  <c r="AD6" i="6"/>
  <c r="AC5" i="6"/>
  <c r="CQ308" i="6"/>
  <c r="CI841" i="18" s="1"/>
  <c r="CA291" i="5"/>
  <c r="BS249" i="18" s="1"/>
  <c r="CA199" i="5"/>
  <c r="AP165" i="6"/>
  <c r="AH715" i="18" s="1"/>
  <c r="BF288" i="6"/>
  <c r="AX810" i="18" s="1"/>
  <c r="AU364" i="6"/>
  <c r="AU167" i="6"/>
  <c r="AM717" i="18" s="1"/>
  <c r="CQ309" i="6"/>
  <c r="CI842" i="18" s="1"/>
  <c r="BV162" i="6"/>
  <c r="CQ317" i="6"/>
  <c r="CI850" i="18" s="1"/>
  <c r="CR319" i="6"/>
  <c r="CJ852" i="18" s="1"/>
  <c r="CR320" i="6"/>
  <c r="CJ853" i="18" s="1"/>
  <c r="AH176" i="6"/>
  <c r="AL177" i="6" s="1"/>
  <c r="AH147" i="6"/>
  <c r="CO108" i="6"/>
  <c r="CG661" i="18" s="1"/>
  <c r="CW364" i="5"/>
  <c r="DB230" i="6"/>
  <c r="DC225" i="6"/>
  <c r="AI147" i="6"/>
  <c r="AI176" i="6"/>
  <c r="CB197" i="5"/>
  <c r="BT163" i="18" s="1"/>
  <c r="CF196" i="5"/>
  <c r="BX162" i="18" s="1"/>
  <c r="AG176" i="6"/>
  <c r="AG147" i="6"/>
  <c r="CM101" i="6"/>
  <c r="AX370" i="6"/>
  <c r="AP609" i="18" s="1"/>
  <c r="BB365" i="6"/>
  <c r="AT604" i="18" s="1"/>
  <c r="CU300" i="6"/>
  <c r="CU311" i="6"/>
  <c r="CU290" i="6"/>
  <c r="CM812" i="18" s="1"/>
  <c r="CQ307" i="6"/>
  <c r="CI840" i="18" s="1"/>
  <c r="DA178" i="6"/>
  <c r="DB31" i="6"/>
  <c r="DB267" i="5"/>
  <c r="DB30" i="6"/>
  <c r="DB115" i="6"/>
  <c r="CT668" i="18" s="1"/>
  <c r="DB109" i="6"/>
  <c r="CT662" i="18" s="1"/>
  <c r="DB103" i="6"/>
  <c r="CT656" i="18" s="1"/>
  <c r="DB259" i="5"/>
  <c r="DB414" i="5"/>
  <c r="CT307" i="18" s="1"/>
  <c r="DB124" i="6"/>
  <c r="CT693" i="18" s="1"/>
  <c r="CW296" i="5"/>
  <c r="BY292" i="5"/>
  <c r="BQ250" i="18" s="1"/>
  <c r="BY229" i="5"/>
  <c r="BY193" i="5"/>
  <c r="BQ159" i="18" s="1"/>
  <c r="DE356" i="6"/>
  <c r="DE37" i="6"/>
  <c r="DE272" i="5"/>
  <c r="DF35" i="6"/>
  <c r="AP107" i="6"/>
  <c r="AU178" i="6"/>
  <c r="AT364" i="6"/>
  <c r="AT167" i="6"/>
  <c r="AL717" i="18" s="1"/>
  <c r="CX305" i="6"/>
  <c r="CP838" i="18" s="1"/>
  <c r="CY283" i="6"/>
  <c r="CQ805" i="18" s="1"/>
  <c r="DF113" i="6"/>
  <c r="CX666" i="18" s="1"/>
  <c r="AO165" i="6"/>
  <c r="AG715" i="18" s="1"/>
  <c r="CO143" i="6"/>
  <c r="DC139" i="6"/>
  <c r="CU699" i="18" s="1"/>
  <c r="DB143" i="6"/>
  <c r="CT703" i="18" s="1"/>
  <c r="DC114" i="6"/>
  <c r="CU667" i="18" s="1"/>
  <c r="DD101" i="6"/>
  <c r="CV654" i="18" s="1"/>
  <c r="DC176" i="6"/>
  <c r="DC102" i="6"/>
  <c r="CU655" i="18" s="1"/>
  <c r="DA110" i="6"/>
  <c r="CS663" i="18" s="1"/>
  <c r="DA121" i="6"/>
  <c r="CS685" i="18" s="1"/>
  <c r="CZ332" i="6"/>
  <c r="CR866" i="18" s="1"/>
  <c r="DA331" i="6"/>
  <c r="CS865" i="18" s="1"/>
  <c r="CZ333" i="6"/>
  <c r="CR867" i="18" s="1"/>
  <c r="CZ330" i="6"/>
  <c r="CR864" i="18" s="1"/>
  <c r="CA44" i="6"/>
  <c r="BS576" i="18" s="1"/>
  <c r="CA47" i="6"/>
  <c r="CA48" i="6" s="1"/>
  <c r="BS578" i="18" s="1"/>
  <c r="CA15" i="6"/>
  <c r="BS1244" i="18" s="1"/>
  <c r="AN113" i="6"/>
  <c r="AF666" i="18" s="1"/>
  <c r="AN143" i="6"/>
  <c r="AN107" i="6"/>
  <c r="AF660" i="18" s="1"/>
  <c r="AN124" i="6"/>
  <c r="AF693" i="18" s="1"/>
  <c r="CB439" i="5"/>
  <c r="BT1043" i="18" s="1"/>
  <c r="CB340" i="5"/>
  <c r="CB342" i="5" s="1"/>
  <c r="CB421" i="5"/>
  <c r="BT313" i="18" s="1"/>
  <c r="CB430" i="5"/>
  <c r="CB431" i="5" s="1"/>
  <c r="CB432" i="5" s="1"/>
  <c r="CB433" i="5" s="1"/>
  <c r="CB356" i="5"/>
  <c r="CB358" i="5" s="1"/>
  <c r="CP318" i="6"/>
  <c r="CB44" i="6"/>
  <c r="BT576" i="18" s="1"/>
  <c r="CB47" i="6"/>
  <c r="CB48" i="6" s="1"/>
  <c r="BT578" i="18" s="1"/>
  <c r="CB15" i="6"/>
  <c r="BT1244" i="18" s="1"/>
  <c r="BY440" i="5"/>
  <c r="DD240" i="5"/>
  <c r="DB369" i="6"/>
  <c r="CT608" i="18" s="1"/>
  <c r="CQ119" i="6"/>
  <c r="CI683" i="18" s="1"/>
  <c r="CW152" i="6"/>
  <c r="CO709" i="18" s="1"/>
  <c r="AV364" i="6"/>
  <c r="AV167" i="6"/>
  <c r="AN717" i="18" s="1"/>
  <c r="CU274" i="6"/>
  <c r="CM796" i="18" s="1"/>
  <c r="BW160" i="6"/>
  <c r="BO712" i="18" s="1"/>
  <c r="AL114" i="6"/>
  <c r="AD667" i="18" s="1"/>
  <c r="CZ226" i="6"/>
  <c r="CZ221" i="6"/>
  <c r="CO114" i="6"/>
  <c r="CG667" i="18" s="1"/>
  <c r="AQ113" i="6"/>
  <c r="AI666" i="18" s="1"/>
  <c r="CW254" i="6"/>
  <c r="CO777" i="18" s="1"/>
  <c r="CW265" i="6"/>
  <c r="CO788" i="18" s="1"/>
  <c r="AN114" i="6"/>
  <c r="AF667" i="18" s="1"/>
  <c r="BG288" i="6"/>
  <c r="AY810" i="18" s="1"/>
  <c r="CB296" i="5"/>
  <c r="CB213" i="5"/>
  <c r="BT180" i="18" s="1"/>
  <c r="CE250" i="5"/>
  <c r="BW215" i="18" s="1"/>
  <c r="CA251" i="5"/>
  <c r="BS216" i="18" s="1"/>
  <c r="CA253" i="5"/>
  <c r="CA254" i="5" s="1"/>
  <c r="CA255" i="5"/>
  <c r="BS218" i="18" s="1"/>
  <c r="AK143" i="6"/>
  <c r="AC703" i="18" s="1"/>
  <c r="AK124" i="6"/>
  <c r="AC693" i="18" s="1"/>
  <c r="AK113" i="6"/>
  <c r="AC666" i="18" s="1"/>
  <c r="AK107" i="6"/>
  <c r="AC660" i="18" s="1"/>
  <c r="DA144" i="6"/>
  <c r="CS704" i="18" s="1"/>
  <c r="DA165" i="6"/>
  <c r="CS715" i="18" s="1"/>
  <c r="DA145" i="6"/>
  <c r="CS705" i="18" s="1"/>
  <c r="BZ397" i="5"/>
  <c r="CU248" i="6"/>
  <c r="CM772" i="18" s="1"/>
  <c r="CU239" i="6"/>
  <c r="CM764" i="18" s="1"/>
  <c r="CU241" i="6"/>
  <c r="CM766" i="18" s="1"/>
  <c r="CU240" i="6"/>
  <c r="CM765" i="18" s="1"/>
  <c r="CQ145" i="6"/>
  <c r="CI705" i="18" s="1"/>
  <c r="BW193" i="5"/>
  <c r="BW292" i="5"/>
  <c r="BW229" i="5"/>
  <c r="BY48" i="6"/>
  <c r="BQ578" i="18" s="1"/>
  <c r="BZ48" i="6"/>
  <c r="BR578" i="18" s="1"/>
  <c r="CW424" i="5"/>
  <c r="CW422" i="5"/>
  <c r="DD214" i="6"/>
  <c r="DC219" i="6"/>
  <c r="DC29" i="6"/>
  <c r="CC180" i="5"/>
  <c r="BU146" i="18" s="1"/>
  <c r="CC197" i="5"/>
  <c r="BU163" i="18" s="1"/>
  <c r="AR107" i="6"/>
  <c r="AJ660" i="18" s="1"/>
  <c r="CC253" i="5"/>
  <c r="CC254" i="5" s="1"/>
  <c r="CC255" i="5"/>
  <c r="BU218" i="18" s="1"/>
  <c r="CD255" i="5"/>
  <c r="BV218" i="18" s="1"/>
  <c r="AP177" i="6"/>
  <c r="CF226" i="5"/>
  <c r="BX193" i="18" s="1"/>
  <c r="CE226" i="5"/>
  <c r="BW193" i="18" s="1"/>
  <c r="CE216" i="5"/>
  <c r="BW183" i="18" s="1"/>
  <c r="DD357" i="6"/>
  <c r="DD359" i="6"/>
  <c r="CV892" i="18" s="1"/>
  <c r="CQ152" i="6"/>
  <c r="CI709" i="18" s="1"/>
  <c r="BM6" i="5"/>
  <c r="DD309" i="5"/>
  <c r="DD307" i="5"/>
  <c r="CV265" i="18" s="1"/>
  <c r="DD17" i="5"/>
  <c r="CV10" i="18" s="1"/>
  <c r="DE274" i="5"/>
  <c r="DF273" i="5"/>
  <c r="DE240" i="5"/>
  <c r="BU595" i="5"/>
  <c r="BT596" i="5"/>
  <c r="CV596" i="5" s="1"/>
  <c r="BT515" i="5"/>
  <c r="BT516" i="5" s="1"/>
  <c r="BT517" i="5" s="1"/>
  <c r="CV595" i="5"/>
  <c r="CV515" i="5" s="1"/>
  <c r="CV516" i="5" s="1"/>
  <c r="CV517" i="5" s="1"/>
  <c r="DE306" i="5"/>
  <c r="CW264" i="18" s="1"/>
  <c r="DF312" i="5"/>
  <c r="CX270" i="18" s="1"/>
  <c r="DE36" i="5"/>
  <c r="CW28" i="18" s="1"/>
  <c r="DD205" i="5"/>
  <c r="DC299" i="5"/>
  <c r="DD181" i="5"/>
  <c r="CV147" i="18" s="1"/>
  <c r="CI1304" i="18" l="1"/>
  <c r="CI730" i="18"/>
  <c r="AD1303" i="18"/>
  <c r="AD729" i="18"/>
  <c r="CA434" i="5"/>
  <c r="BS1037" i="18"/>
  <c r="CX291" i="5"/>
  <c r="CP249" i="18" s="1"/>
  <c r="BT249" i="18"/>
  <c r="AN1304" i="18"/>
  <c r="AN730" i="18"/>
  <c r="BX442" i="5"/>
  <c r="BP1045" i="18"/>
  <c r="DA300" i="5"/>
  <c r="CS182" i="18"/>
  <c r="CB44" i="7"/>
  <c r="CB48" i="7"/>
  <c r="CB49" i="7" s="1"/>
  <c r="BW230" i="5"/>
  <c r="BO197" i="18" s="1"/>
  <c r="BO196" i="18"/>
  <c r="BY441" i="5"/>
  <c r="BQ1044" i="18"/>
  <c r="CQ320" i="6"/>
  <c r="CI853" i="18" s="1"/>
  <c r="CH851" i="18"/>
  <c r="AR145" i="6"/>
  <c r="AJ705" i="18" s="1"/>
  <c r="AF703" i="18"/>
  <c r="AX365" i="6"/>
  <c r="AP604" i="18" s="1"/>
  <c r="AL603" i="18"/>
  <c r="BY230" i="5"/>
  <c r="BQ197" i="18" s="1"/>
  <c r="BQ196" i="18"/>
  <c r="Y1247" i="18"/>
  <c r="Y707" i="18"/>
  <c r="AM177" i="6"/>
  <c r="AA1302" i="18"/>
  <c r="AA728" i="18"/>
  <c r="BX425" i="5"/>
  <c r="BP317" i="18"/>
  <c r="AP145" i="6"/>
  <c r="AH705" i="18" s="1"/>
  <c r="AD703" i="18"/>
  <c r="BX230" i="5"/>
  <c r="BP197" i="18" s="1"/>
  <c r="BP196" i="18"/>
  <c r="CB200" i="5"/>
  <c r="BT166" i="18" s="1"/>
  <c r="BT165" i="18"/>
  <c r="BZ426" i="5"/>
  <c r="BR319" i="18" s="1"/>
  <c r="BR318" i="18"/>
  <c r="BZ443" i="5"/>
  <c r="BR1046" i="18"/>
  <c r="CX253" i="5"/>
  <c r="CX254" i="5" s="1"/>
  <c r="CP215" i="18"/>
  <c r="CX251" i="5"/>
  <c r="BY435" i="5"/>
  <c r="BQ1039" i="18" s="1"/>
  <c r="BQ1038" i="18"/>
  <c r="AJ1303" i="18"/>
  <c r="AJ729" i="18"/>
  <c r="BN1294" i="18"/>
  <c r="BN1268" i="18"/>
  <c r="CN1284" i="18"/>
  <c r="CN1265" i="18"/>
  <c r="BX435" i="5"/>
  <c r="BP1039" i="18" s="1"/>
  <c r="BP1038" i="18"/>
  <c r="CS1243" i="18"/>
  <c r="CZ12" i="18"/>
  <c r="BW442" i="5"/>
  <c r="BO1045" i="18"/>
  <c r="CW425" i="5"/>
  <c r="CO317" i="18"/>
  <c r="AM1304" i="18"/>
  <c r="AM730" i="18"/>
  <c r="AA1247" i="18"/>
  <c r="AA707" i="18"/>
  <c r="CA200" i="5"/>
  <c r="BS166" i="18" s="1"/>
  <c r="BS165" i="18"/>
  <c r="CV194" i="5"/>
  <c r="CN160" i="18" s="1"/>
  <c r="CN159" i="18"/>
  <c r="BW408" i="5"/>
  <c r="BO1267" i="18"/>
  <c r="BO1293" i="18"/>
  <c r="CX232" i="5"/>
  <c r="CP199" i="18" s="1"/>
  <c r="CP181" i="18"/>
  <c r="AT178" i="6"/>
  <c r="AH1303" i="18"/>
  <c r="AH729" i="18"/>
  <c r="BW194" i="5"/>
  <c r="BO160" i="18" s="1"/>
  <c r="BO159" i="18"/>
  <c r="CB297" i="5"/>
  <c r="BT255" i="18" s="1"/>
  <c r="BT254" i="18"/>
  <c r="CB434" i="5"/>
  <c r="BT1037" i="18"/>
  <c r="AT119" i="6"/>
  <c r="AL683" i="18" s="1"/>
  <c r="AH660" i="18"/>
  <c r="CW297" i="5"/>
  <c r="CO255" i="18" s="1"/>
  <c r="CO254" i="18"/>
  <c r="Z1247" i="18"/>
  <c r="Z707" i="18"/>
  <c r="AY365" i="6"/>
  <c r="AQ604" i="18" s="1"/>
  <c r="AM603" i="18"/>
  <c r="CW190" i="5"/>
  <c r="CO155" i="18"/>
  <c r="CV230" i="5"/>
  <c r="CN197" i="18" s="1"/>
  <c r="CN196" i="18"/>
  <c r="AQ144" i="6"/>
  <c r="AI704" i="18" s="1"/>
  <c r="AE703" i="18"/>
  <c r="AB1302" i="18"/>
  <c r="AB728" i="18"/>
  <c r="CA297" i="5"/>
  <c r="BS255" i="18" s="1"/>
  <c r="BS254" i="18"/>
  <c r="AI1303" i="18"/>
  <c r="AI729" i="18"/>
  <c r="CC218" i="5"/>
  <c r="BU185" i="18" s="1"/>
  <c r="BU184" i="18"/>
  <c r="CF217" i="5"/>
  <c r="CO177" i="6"/>
  <c r="CF1302" i="18"/>
  <c r="CF728" i="18"/>
  <c r="CD194" i="5"/>
  <c r="BV160" i="18" s="1"/>
  <c r="BV159" i="18"/>
  <c r="BW398" i="5"/>
  <c r="BO1264" i="18"/>
  <c r="BO1283" i="18"/>
  <c r="CX200" i="5"/>
  <c r="CP166" i="18" s="1"/>
  <c r="CP165" i="18"/>
  <c r="CV444" i="5"/>
  <c r="CN1048" i="18" s="1"/>
  <c r="CN1047" i="18"/>
  <c r="BN1284" i="18"/>
  <c r="BN1265" i="18"/>
  <c r="AK1304" i="18"/>
  <c r="AK730" i="18"/>
  <c r="BV426" i="5"/>
  <c r="BN319" i="18" s="1"/>
  <c r="BN318" i="18"/>
  <c r="DF313" i="5"/>
  <c r="CX271" i="18" s="1"/>
  <c r="CW271" i="18"/>
  <c r="DD310" i="5"/>
  <c r="CV268" i="18" s="1"/>
  <c r="CV267" i="18"/>
  <c r="BW293" i="5"/>
  <c r="BO251" i="18" s="1"/>
  <c r="BO250" i="18"/>
  <c r="BZ398" i="5"/>
  <c r="BR1283" i="18"/>
  <c r="BR1264" i="18"/>
  <c r="CP145" i="6"/>
  <c r="CH705" i="18" s="1"/>
  <c r="CG703" i="18"/>
  <c r="AK177" i="6"/>
  <c r="Y1302" i="18"/>
  <c r="Y728" i="18"/>
  <c r="CQ313" i="6"/>
  <c r="CI844" i="18" s="1"/>
  <c r="CH813" i="18"/>
  <c r="CH811" i="18"/>
  <c r="CV184" i="5"/>
  <c r="CN150" i="18" s="1"/>
  <c r="CN149" i="18"/>
  <c r="BX293" i="5"/>
  <c r="BP251" i="18" s="1"/>
  <c r="BP250" i="18"/>
  <c r="CN1294" i="18"/>
  <c r="CN1268" i="18"/>
  <c r="CA44" i="7"/>
  <c r="CA48" i="7"/>
  <c r="CA49" i="7" s="1"/>
  <c r="CW279" i="5"/>
  <c r="CO235" i="18" s="1"/>
  <c r="CO234" i="18"/>
  <c r="CH1303" i="18"/>
  <c r="CH729" i="18"/>
  <c r="AU119" i="6"/>
  <c r="AM683" i="18" s="1"/>
  <c r="AI660" i="18"/>
  <c r="DC19" i="5"/>
  <c r="DC20" i="5" s="1"/>
  <c r="CU12" i="18" s="1"/>
  <c r="CU257" i="18"/>
  <c r="AZ365" i="6"/>
  <c r="AR604" i="18" s="1"/>
  <c r="AN603" i="18"/>
  <c r="AO145" i="6"/>
  <c r="AG705" i="18" s="1"/>
  <c r="CN108" i="6"/>
  <c r="CF661" i="18" s="1"/>
  <c r="CE654" i="18"/>
  <c r="Z1302" i="18"/>
  <c r="Z728" i="18"/>
  <c r="CW184" i="5"/>
  <c r="CO150" i="18" s="1"/>
  <c r="CO149" i="18"/>
  <c r="AB1247" i="18"/>
  <c r="AB707" i="18"/>
  <c r="AP1304" i="18"/>
  <c r="AP730" i="18"/>
  <c r="CV190" i="5"/>
  <c r="CN155" i="18"/>
  <c r="BY364" i="5"/>
  <c r="BW425" i="5"/>
  <c r="BO317" i="18"/>
  <c r="BX194" i="5"/>
  <c r="BP160" i="18" s="1"/>
  <c r="BP159" i="18"/>
  <c r="BZ408" i="5"/>
  <c r="BR1293" i="18"/>
  <c r="BR1267" i="18"/>
  <c r="CF1247" i="18"/>
  <c r="CF707" i="18"/>
  <c r="CW194" i="5"/>
  <c r="CO160" i="18" s="1"/>
  <c r="CO159" i="18"/>
  <c r="DA74" i="6"/>
  <c r="DC233" i="5"/>
  <c r="CT200" i="18"/>
  <c r="DB215" i="5"/>
  <c r="BY49" i="7"/>
  <c r="CB50" i="7"/>
  <c r="CA191" i="5"/>
  <c r="BS157" i="18" s="1"/>
  <c r="BS156" i="18"/>
  <c r="CB191" i="5"/>
  <c r="BT157" i="18" s="1"/>
  <c r="BT156" i="18"/>
  <c r="CW442" i="5"/>
  <c r="CO1045" i="18"/>
  <c r="AQ1304" i="18"/>
  <c r="AQ730" i="18"/>
  <c r="BV443" i="5"/>
  <c r="BN1046" i="18"/>
  <c r="CU136" i="18"/>
  <c r="DD167" i="5"/>
  <c r="DC153" i="5"/>
  <c r="CW661" i="18"/>
  <c r="DC125" i="6"/>
  <c r="CU694" i="18" s="1"/>
  <c r="CU1302" i="18"/>
  <c r="CU728" i="18"/>
  <c r="CS730" i="18"/>
  <c r="CS1304" i="18"/>
  <c r="CT1303" i="18"/>
  <c r="CT729" i="18"/>
  <c r="AP144" i="6"/>
  <c r="AH704" i="18" s="1"/>
  <c r="AG6" i="7"/>
  <c r="AF5" i="7"/>
  <c r="AR144" i="6"/>
  <c r="AJ704" i="18" s="1"/>
  <c r="AQ119" i="6"/>
  <c r="AI683" i="18" s="1"/>
  <c r="CZ283" i="6"/>
  <c r="CR805" i="18" s="1"/>
  <c r="CY305" i="6"/>
  <c r="CQ838" i="18" s="1"/>
  <c r="DB239" i="5"/>
  <c r="DB204" i="5" s="1"/>
  <c r="CD229" i="5"/>
  <c r="CD292" i="5"/>
  <c r="BV250" i="18" s="1"/>
  <c r="CD179" i="5"/>
  <c r="BV145" i="18" s="1"/>
  <c r="BC160" i="6"/>
  <c r="AU712" i="18" s="1"/>
  <c r="AR119" i="6"/>
  <c r="AJ683" i="18" s="1"/>
  <c r="DC215" i="6"/>
  <c r="DB220" i="6"/>
  <c r="DB216" i="6"/>
  <c r="CT207" i="6"/>
  <c r="CT209" i="6"/>
  <c r="CL737" i="18" s="1"/>
  <c r="CT206" i="6"/>
  <c r="CT193" i="6"/>
  <c r="CZ88" i="6"/>
  <c r="CR639" i="18" s="1"/>
  <c r="CZ365" i="6"/>
  <c r="CR604" i="18" s="1"/>
  <c r="CV311" i="6"/>
  <c r="CV300" i="6"/>
  <c r="CV290" i="6"/>
  <c r="CN812" i="18" s="1"/>
  <c r="AS168" i="6"/>
  <c r="AK718" i="18" s="1"/>
  <c r="AS159" i="6"/>
  <c r="AK711" i="18" s="1"/>
  <c r="CQ370" i="6"/>
  <c r="CI609" i="18" s="1"/>
  <c r="BA371" i="6"/>
  <c r="AS610" i="18" s="1"/>
  <c r="CP119" i="6"/>
  <c r="CH683" i="18" s="1"/>
  <c r="CO150" i="6"/>
  <c r="CG1250" i="18" s="1"/>
  <c r="CN283" i="6"/>
  <c r="CF805" i="18" s="1"/>
  <c r="AL178" i="6"/>
  <c r="CZ76" i="6"/>
  <c r="CR613" i="18" s="1"/>
  <c r="CE217" i="5"/>
  <c r="CA252" i="5"/>
  <c r="BS217" i="18" s="1"/>
  <c r="CE252" i="5"/>
  <c r="BW217" i="18" s="1"/>
  <c r="AV168" i="6"/>
  <c r="AN718" i="18" s="1"/>
  <c r="AV159" i="6"/>
  <c r="CA45" i="6"/>
  <c r="DB145" i="6"/>
  <c r="CT705" i="18" s="1"/>
  <c r="DB165" i="6"/>
  <c r="CT715" i="18" s="1"/>
  <c r="DB144" i="6"/>
  <c r="CT704" i="18" s="1"/>
  <c r="BY194" i="5"/>
  <c r="BQ160" i="18" s="1"/>
  <c r="CC193" i="5"/>
  <c r="AU168" i="6"/>
  <c r="AM718" i="18" s="1"/>
  <c r="AU159" i="6"/>
  <c r="AM711" i="18" s="1"/>
  <c r="CO126" i="6"/>
  <c r="CG695" i="18" s="1"/>
  <c r="AN150" i="6"/>
  <c r="AF1250" i="18" s="1"/>
  <c r="AN147" i="6"/>
  <c r="DA221" i="6"/>
  <c r="DA226" i="6"/>
  <c r="CW292" i="5"/>
  <c r="CV248" i="6"/>
  <c r="CN772" i="18" s="1"/>
  <c r="CV240" i="6"/>
  <c r="CN765" i="18" s="1"/>
  <c r="CV239" i="6"/>
  <c r="CN764" i="18" s="1"/>
  <c r="CV241" i="6"/>
  <c r="CN766" i="18" s="1"/>
  <c r="AS370" i="6"/>
  <c r="CE197" i="5"/>
  <c r="BW163" i="18" s="1"/>
  <c r="CE180" i="5"/>
  <c r="BD160" i="6"/>
  <c r="AV712" i="18" s="1"/>
  <c r="AW365" i="6"/>
  <c r="AO604" i="18" s="1"/>
  <c r="CN316" i="6"/>
  <c r="CF849" i="18" s="1"/>
  <c r="CN124" i="6"/>
  <c r="CF693" i="18" s="1"/>
  <c r="CW230" i="5"/>
  <c r="CO197" i="18" s="1"/>
  <c r="DA75" i="6"/>
  <c r="CS612" i="18" s="1"/>
  <c r="DA78" i="6"/>
  <c r="DA222" i="5"/>
  <c r="CS189" i="18" s="1"/>
  <c r="CC214" i="5"/>
  <c r="BU181" i="18" s="1"/>
  <c r="CE253" i="5"/>
  <c r="CE254" i="5" s="1"/>
  <c r="CE255" i="5"/>
  <c r="BW218" i="18" s="1"/>
  <c r="CZ231" i="6"/>
  <c r="AV370" i="6"/>
  <c r="AN609" i="18" s="1"/>
  <c r="CP317" i="6"/>
  <c r="CH850" i="18" s="1"/>
  <c r="DA330" i="6"/>
  <c r="CS864" i="18" s="1"/>
  <c r="CZ335" i="6"/>
  <c r="CR869" i="18" s="1"/>
  <c r="DC103" i="6"/>
  <c r="CU656" i="18" s="1"/>
  <c r="DC115" i="6"/>
  <c r="CU668" i="18" s="1"/>
  <c r="DC109" i="6"/>
  <c r="CU662" i="18" s="1"/>
  <c r="DC414" i="5"/>
  <c r="CU307" i="18" s="1"/>
  <c r="DC259" i="5"/>
  <c r="DC124" i="6"/>
  <c r="CU693" i="18" s="1"/>
  <c r="DC143" i="6"/>
  <c r="CU703" i="18" s="1"/>
  <c r="DD139" i="6"/>
  <c r="CV699" i="18" s="1"/>
  <c r="AP119" i="6"/>
  <c r="AH683" i="18" s="1"/>
  <c r="BB371" i="6"/>
  <c r="AT610" i="18" s="1"/>
  <c r="CW365" i="5"/>
  <c r="CW366" i="5" s="1"/>
  <c r="CW407" i="5"/>
  <c r="CQ319" i="6"/>
  <c r="CI852" i="18" s="1"/>
  <c r="AU370" i="6"/>
  <c r="CV274" i="6"/>
  <c r="CN796" i="18" s="1"/>
  <c r="DC369" i="6"/>
  <c r="CU608" i="18" s="1"/>
  <c r="AR364" i="6"/>
  <c r="AJ603" i="18" s="1"/>
  <c r="AR167" i="6"/>
  <c r="AJ717" i="18" s="1"/>
  <c r="AQ145" i="6"/>
  <c r="AI705" i="18" s="1"/>
  <c r="DB178" i="6"/>
  <c r="CV317" i="6"/>
  <c r="CN850" i="18" s="1"/>
  <c r="CV320" i="6"/>
  <c r="CN853" i="18" s="1"/>
  <c r="CV319" i="6"/>
  <c r="CN852" i="18" s="1"/>
  <c r="CW162" i="6"/>
  <c r="CR365" i="6"/>
  <c r="CJ604" i="18" s="1"/>
  <c r="CT196" i="6"/>
  <c r="CL735" i="18" s="1"/>
  <c r="CA357" i="5"/>
  <c r="CA359" i="5"/>
  <c r="CW397" i="5"/>
  <c r="CB440" i="5"/>
  <c r="CO139" i="6"/>
  <c r="CG699" i="18" s="1"/>
  <c r="CO165" i="6"/>
  <c r="CG715" i="18" s="1"/>
  <c r="BX365" i="5"/>
  <c r="BX366" i="5" s="1"/>
  <c r="BX397" i="5"/>
  <c r="BX407" i="5"/>
  <c r="CF197" i="5"/>
  <c r="BX163" i="18" s="1"/>
  <c r="CF180" i="5"/>
  <c r="CU268" i="6"/>
  <c r="CM791" i="18" s="1"/>
  <c r="CU262" i="6"/>
  <c r="CM785" i="18" s="1"/>
  <c r="CU249" i="6"/>
  <c r="CU250" i="6" s="1"/>
  <c r="CM774" i="18" s="1"/>
  <c r="CB193" i="5"/>
  <c r="BT159" i="18" s="1"/>
  <c r="CB292" i="5"/>
  <c r="CB229" i="5"/>
  <c r="CB359" i="5"/>
  <c r="CB357" i="5"/>
  <c r="CO120" i="6"/>
  <c r="CG684" i="18" s="1"/>
  <c r="CP120" i="6"/>
  <c r="CH684" i="18" s="1"/>
  <c r="CA193" i="5"/>
  <c r="BS159" i="18" s="1"/>
  <c r="CA229" i="5"/>
  <c r="CA292" i="5"/>
  <c r="CQ168" i="6"/>
  <c r="CI718" i="18" s="1"/>
  <c r="CQ159" i="6"/>
  <c r="CI711" i="18" s="1"/>
  <c r="CX356" i="5"/>
  <c r="CX358" i="5" s="1"/>
  <c r="CX439" i="5"/>
  <c r="CP1043" i="18" s="1"/>
  <c r="CX421" i="5"/>
  <c r="CP313" i="18" s="1"/>
  <c r="CX340" i="5"/>
  <c r="CX342" i="5" s="1"/>
  <c r="CX430" i="5"/>
  <c r="CX431" i="5" s="1"/>
  <c r="CX432" i="5" s="1"/>
  <c r="CX433" i="5" s="1"/>
  <c r="CW17" i="6"/>
  <c r="CW18" i="6"/>
  <c r="AP178" i="6"/>
  <c r="DC31" i="6"/>
  <c r="DC30" i="6"/>
  <c r="DC267" i="5"/>
  <c r="CB375" i="5"/>
  <c r="CB19" i="6"/>
  <c r="DC177" i="6"/>
  <c r="AV119" i="6"/>
  <c r="AN683" i="18" s="1"/>
  <c r="AT159" i="6"/>
  <c r="AL711" i="18" s="1"/>
  <c r="AT168" i="6"/>
  <c r="AL718" i="18" s="1"/>
  <c r="DF356" i="6"/>
  <c r="DF37" i="6"/>
  <c r="DF272" i="5"/>
  <c r="BY293" i="5"/>
  <c r="BQ251" i="18" s="1"/>
  <c r="BF299" i="6"/>
  <c r="AX820" i="18" s="1"/>
  <c r="CF255" i="5"/>
  <c r="BX218" i="18" s="1"/>
  <c r="CF253" i="5"/>
  <c r="CF254" i="5" s="1"/>
  <c r="AQ364" i="6"/>
  <c r="AI603" i="18" s="1"/>
  <c r="AQ167" i="6"/>
  <c r="AI717" i="18" s="1"/>
  <c r="DC268" i="5"/>
  <c r="DB269" i="5"/>
  <c r="CA440" i="5"/>
  <c r="CY216" i="5"/>
  <c r="CQ183" i="18" s="1"/>
  <c r="CP364" i="6"/>
  <c r="CH603" i="18" s="1"/>
  <c r="CP167" i="6"/>
  <c r="CH717" i="18" s="1"/>
  <c r="CZ61" i="6"/>
  <c r="CR622" i="18" s="1"/>
  <c r="AP364" i="6"/>
  <c r="AH603" i="18" s="1"/>
  <c r="AP167" i="6"/>
  <c r="AH717" i="18" s="1"/>
  <c r="DA364" i="6"/>
  <c r="CS603" i="18" s="1"/>
  <c r="CB45" i="6"/>
  <c r="AN165" i="6"/>
  <c r="AF715" i="18" s="1"/>
  <c r="AN144" i="6"/>
  <c r="AF704" i="18" s="1"/>
  <c r="AN145" i="6"/>
  <c r="AF705" i="18" s="1"/>
  <c r="CX213" i="5"/>
  <c r="CP180" i="18" s="1"/>
  <c r="DB65" i="6"/>
  <c r="DC64" i="6"/>
  <c r="CU626" i="18" s="1"/>
  <c r="BH299" i="6"/>
  <c r="AZ820" i="18" s="1"/>
  <c r="BC371" i="6"/>
  <c r="AU610" i="18" s="1"/>
  <c r="CA343" i="5"/>
  <c r="CA341" i="5"/>
  <c r="CA364" i="5" s="1"/>
  <c r="BW162" i="6"/>
  <c r="CB463" i="5"/>
  <c r="CB464" i="5" s="1"/>
  <c r="CB420" i="5"/>
  <c r="CB423" i="5" s="1"/>
  <c r="BT316" i="18" s="1"/>
  <c r="CA19" i="6"/>
  <c r="CA375" i="5"/>
  <c r="DA333" i="6"/>
  <c r="CS867" i="18" s="1"/>
  <c r="DB331" i="6"/>
  <c r="CT865" i="18" s="1"/>
  <c r="DA332" i="6"/>
  <c r="CS866" i="18" s="1"/>
  <c r="DD176" i="6"/>
  <c r="DD114" i="6"/>
  <c r="CV667" i="18" s="1"/>
  <c r="DE101" i="6"/>
  <c r="CW654" i="18" s="1"/>
  <c r="DD102" i="6"/>
  <c r="AT370" i="6"/>
  <c r="CU312" i="6"/>
  <c r="CU205" i="6"/>
  <c r="CU301" i="6"/>
  <c r="CM176" i="6"/>
  <c r="CM100" i="6"/>
  <c r="CE653" i="18" s="1"/>
  <c r="CM125" i="6"/>
  <c r="CE694" i="18" s="1"/>
  <c r="CM147" i="6"/>
  <c r="AL147" i="6"/>
  <c r="AL150" i="6"/>
  <c r="AD1250" i="18" s="1"/>
  <c r="AE6" i="6"/>
  <c r="AD5" i="6"/>
  <c r="DE229" i="6"/>
  <c r="DF224" i="6"/>
  <c r="CF252" i="5"/>
  <c r="BX217" i="18" s="1"/>
  <c r="CB252" i="5"/>
  <c r="BT217" i="18" s="1"/>
  <c r="DB63" i="6"/>
  <c r="CT625" i="18" s="1"/>
  <c r="DA67" i="6"/>
  <c r="CS629" i="18" s="1"/>
  <c r="DA66" i="6"/>
  <c r="CS627" i="18" s="1"/>
  <c r="CX296" i="5"/>
  <c r="CX16" i="6"/>
  <c r="CP1245" i="18" s="1"/>
  <c r="CX19" i="6"/>
  <c r="CX375" i="5"/>
  <c r="CX288" i="6"/>
  <c r="CP810" i="18" s="1"/>
  <c r="CW310" i="6"/>
  <c r="CO843" i="18" s="1"/>
  <c r="CW318" i="6"/>
  <c r="CO851" i="18" s="1"/>
  <c r="CW238" i="6"/>
  <c r="CO763" i="18" s="1"/>
  <c r="CW289" i="6"/>
  <c r="CO148" i="6"/>
  <c r="CG1248" i="18" s="1"/>
  <c r="CA463" i="5"/>
  <c r="CA464" i="5" s="1"/>
  <c r="CA420" i="5"/>
  <c r="CA423" i="5" s="1"/>
  <c r="BS316" i="18" s="1"/>
  <c r="CR141" i="6"/>
  <c r="CJ701" i="18" s="1"/>
  <c r="CS141" i="6"/>
  <c r="CK701" i="18" s="1"/>
  <c r="CP140" i="6"/>
  <c r="CH700" i="18" s="1"/>
  <c r="DB74" i="6"/>
  <c r="CT611" i="18" s="1"/>
  <c r="DC56" i="6"/>
  <c r="CU618" i="18" s="1"/>
  <c r="DB86" i="6"/>
  <c r="CT637" i="18" s="1"/>
  <c r="DB59" i="6"/>
  <c r="DE120" i="6"/>
  <c r="CW684" i="18" s="1"/>
  <c r="CX661" i="18"/>
  <c r="CZ68" i="6"/>
  <c r="AO364" i="6"/>
  <c r="AO167" i="6"/>
  <c r="AG717" i="18" s="1"/>
  <c r="DE357" i="6"/>
  <c r="DE359" i="6"/>
  <c r="CW892" i="18" s="1"/>
  <c r="DD225" i="6"/>
  <c r="DC230" i="6"/>
  <c r="CW275" i="6"/>
  <c r="CO797" i="18" s="1"/>
  <c r="CW256" i="6"/>
  <c r="CO779" i="18" s="1"/>
  <c r="CW258" i="6"/>
  <c r="CO781" i="18" s="1"/>
  <c r="CW255" i="6"/>
  <c r="CO778" i="18" s="1"/>
  <c r="DB110" i="6"/>
  <c r="CT663" i="18" s="1"/>
  <c r="DB121" i="6"/>
  <c r="CT685" i="18" s="1"/>
  <c r="AM165" i="6"/>
  <c r="AE715" i="18" s="1"/>
  <c r="AM144" i="6"/>
  <c r="AE704" i="18" s="1"/>
  <c r="AM145" i="6"/>
  <c r="AE705" i="18" s="1"/>
  <c r="BY365" i="5"/>
  <c r="BY366" i="5" s="1"/>
  <c r="BY397" i="5"/>
  <c r="BY407" i="5"/>
  <c r="DD360" i="6"/>
  <c r="CV893" i="18" s="1"/>
  <c r="DD368" i="6"/>
  <c r="CV607" i="18" s="1"/>
  <c r="DE214" i="6"/>
  <c r="DD219" i="6"/>
  <c r="DD29" i="6"/>
  <c r="AK165" i="6"/>
  <c r="AC715" i="18" s="1"/>
  <c r="CN143" i="6"/>
  <c r="CF703" i="18" s="1"/>
  <c r="AK145" i="6"/>
  <c r="AC705" i="18" s="1"/>
  <c r="AK144" i="6"/>
  <c r="AC704" i="18" s="1"/>
  <c r="BG299" i="6"/>
  <c r="AY820" i="18" s="1"/>
  <c r="CB343" i="5"/>
  <c r="CB341" i="5"/>
  <c r="CB364" i="5" s="1"/>
  <c r="AO144" i="6"/>
  <c r="AG704" i="18" s="1"/>
  <c r="DB126" i="6"/>
  <c r="CT695" i="18" s="1"/>
  <c r="AK150" i="6"/>
  <c r="AC1250" i="18" s="1"/>
  <c r="AK147" i="6"/>
  <c r="AM150" i="6"/>
  <c r="AE1250" i="18" s="1"/>
  <c r="AM147" i="6"/>
  <c r="CV259" i="6"/>
  <c r="CN782" i="18" s="1"/>
  <c r="CS198" i="6"/>
  <c r="CK736" i="18" s="1"/>
  <c r="CS202" i="6"/>
  <c r="BB160" i="6"/>
  <c r="AT712" i="18" s="1"/>
  <c r="AL145" i="6"/>
  <c r="AD705" i="18" s="1"/>
  <c r="AL144" i="6"/>
  <c r="AD704" i="18" s="1"/>
  <c r="AL165" i="6"/>
  <c r="AD715" i="18" s="1"/>
  <c r="BE299" i="6"/>
  <c r="AW820" i="18" s="1"/>
  <c r="AN177" i="6"/>
  <c r="BY424" i="5"/>
  <c r="BY422" i="5"/>
  <c r="AZ371" i="6"/>
  <c r="AR610" i="18" s="1"/>
  <c r="BD371" i="6"/>
  <c r="AV610" i="18" s="1"/>
  <c r="BX162" i="6"/>
  <c r="AW160" i="6"/>
  <c r="AO712" i="18" s="1"/>
  <c r="BA160" i="6"/>
  <c r="AS712" i="18" s="1"/>
  <c r="CP144" i="6"/>
  <c r="CH704" i="18" s="1"/>
  <c r="DA87" i="6"/>
  <c r="CS638" i="18" s="1"/>
  <c r="CZ188" i="5"/>
  <c r="CR154" i="18" s="1"/>
  <c r="AO119" i="6"/>
  <c r="AG683" i="18" s="1"/>
  <c r="CX185" i="5"/>
  <c r="CP151" i="18" s="1"/>
  <c r="CX183" i="5"/>
  <c r="CX189" i="5"/>
  <c r="CX234" i="5"/>
  <c r="CP201" i="18" s="1"/>
  <c r="DE307" i="5"/>
  <c r="CW265" i="18" s="1"/>
  <c r="DE309" i="5"/>
  <c r="DE17" i="5"/>
  <c r="CW10" i="18" s="1"/>
  <c r="BV595" i="5"/>
  <c r="BU596" i="5"/>
  <c r="BU515" i="5"/>
  <c r="BU516" i="5" s="1"/>
  <c r="BU517" i="5" s="1"/>
  <c r="DD299" i="5"/>
  <c r="DE181" i="5"/>
  <c r="CW147" i="18" s="1"/>
  <c r="DF274" i="5"/>
  <c r="BN6" i="5"/>
  <c r="DE205" i="5"/>
  <c r="DF306" i="5"/>
  <c r="CX264" i="18" s="1"/>
  <c r="DF36" i="5"/>
  <c r="CX28" i="18" s="1"/>
  <c r="AE1247" i="18" l="1"/>
  <c r="AE707" i="18"/>
  <c r="CA293" i="5"/>
  <c r="BS251" i="18" s="1"/>
  <c r="BS250" i="18"/>
  <c r="CB441" i="5"/>
  <c r="BT1044" i="18"/>
  <c r="AC1303" i="18"/>
  <c r="AC729" i="18"/>
  <c r="AE1303" i="18"/>
  <c r="AE729" i="18"/>
  <c r="BY442" i="5"/>
  <c r="BQ1045" i="18"/>
  <c r="BX443" i="5"/>
  <c r="BP1046" i="18"/>
  <c r="AF1303" i="18"/>
  <c r="AF729" i="18"/>
  <c r="BY398" i="5"/>
  <c r="BQ1283" i="18"/>
  <c r="BQ1264" i="18"/>
  <c r="CO1246" i="18"/>
  <c r="CO569" i="18"/>
  <c r="CB230" i="5"/>
  <c r="BT197" i="18" s="1"/>
  <c r="BT196" i="18"/>
  <c r="BX408" i="5"/>
  <c r="BP1293" i="18"/>
  <c r="BP1267" i="18"/>
  <c r="CW408" i="5"/>
  <c r="CO1293" i="18"/>
  <c r="CO1267" i="18"/>
  <c r="CE214" i="5"/>
  <c r="BW146" i="18"/>
  <c r="AD1304" i="18"/>
  <c r="AD730" i="18"/>
  <c r="AK178" i="6"/>
  <c r="CS611" i="18"/>
  <c r="DA60" i="6"/>
  <c r="CX252" i="5"/>
  <c r="CP217" i="18" s="1"/>
  <c r="CP216" i="18"/>
  <c r="BZ444" i="5"/>
  <c r="BR1048" i="18" s="1"/>
  <c r="BR1047" i="18"/>
  <c r="AS365" i="6"/>
  <c r="AK604" i="18" s="1"/>
  <c r="AG603" i="18"/>
  <c r="CA441" i="5"/>
  <c r="BS1044" i="18"/>
  <c r="CB293" i="5"/>
  <c r="BT251" i="18" s="1"/>
  <c r="BT250" i="18"/>
  <c r="CE218" i="5"/>
  <c r="BW185" i="18" s="1"/>
  <c r="BW184" i="18"/>
  <c r="CW191" i="5"/>
  <c r="CO157" i="18" s="1"/>
  <c r="CO156" i="18"/>
  <c r="DD19" i="5"/>
  <c r="DD20" i="5" s="1"/>
  <c r="CV12" i="18" s="1"/>
  <c r="CV257" i="18"/>
  <c r="CX190" i="5"/>
  <c r="CP155" i="18"/>
  <c r="AQ178" i="6"/>
  <c r="AD1247" i="18"/>
  <c r="AD707" i="18"/>
  <c r="CN177" i="6"/>
  <c r="CE1302" i="18"/>
  <c r="CE728" i="18"/>
  <c r="AX371" i="6"/>
  <c r="AP610" i="18" s="1"/>
  <c r="AL609" i="18"/>
  <c r="CX292" i="5"/>
  <c r="CA230" i="5"/>
  <c r="BS197" i="18" s="1"/>
  <c r="BS196" i="18"/>
  <c r="CF214" i="5"/>
  <c r="BX146" i="18"/>
  <c r="CW398" i="5"/>
  <c r="CO1283" i="18"/>
  <c r="CO1264" i="18"/>
  <c r="AY371" i="6"/>
  <c r="AQ610" i="18" s="1"/>
  <c r="AM609" i="18"/>
  <c r="AW371" i="6"/>
  <c r="AO610" i="18" s="1"/>
  <c r="AK609" i="18"/>
  <c r="AF1247" i="18"/>
  <c r="AF707" i="18"/>
  <c r="CD230" i="5"/>
  <c r="BV197" i="18" s="1"/>
  <c r="BV196" i="18"/>
  <c r="AM178" i="6"/>
  <c r="BV444" i="5"/>
  <c r="BN1048" i="18" s="1"/>
  <c r="BN1047" i="18"/>
  <c r="CW443" i="5"/>
  <c r="CO1046" i="18"/>
  <c r="CV191" i="5"/>
  <c r="CN157" i="18" s="1"/>
  <c r="CN156" i="18"/>
  <c r="BR1284" i="18"/>
  <c r="BR1265" i="18"/>
  <c r="CP178" i="6"/>
  <c r="CG1303" i="18"/>
  <c r="CG729" i="18"/>
  <c r="AL1304" i="18"/>
  <c r="AL730" i="18"/>
  <c r="BX426" i="5"/>
  <c r="BP319" i="18" s="1"/>
  <c r="BP318" i="18"/>
  <c r="BX398" i="5"/>
  <c r="BP1264" i="18"/>
  <c r="BP1283" i="18"/>
  <c r="AZ160" i="6"/>
  <c r="AR712" i="18" s="1"/>
  <c r="AN711" i="18"/>
  <c r="DB300" i="5"/>
  <c r="CT182" i="18"/>
  <c r="BO1284" i="18"/>
  <c r="BO1265" i="18"/>
  <c r="CW426" i="5"/>
  <c r="CO319" i="18" s="1"/>
  <c r="CO318" i="18"/>
  <c r="DE310" i="5"/>
  <c r="CW268" i="18" s="1"/>
  <c r="CW267" i="18"/>
  <c r="CX184" i="5"/>
  <c r="CP150" i="18" s="1"/>
  <c r="CP149" i="18"/>
  <c r="BY425" i="5"/>
  <c r="BQ317" i="18"/>
  <c r="AC1247" i="18"/>
  <c r="AC707" i="18"/>
  <c r="BY408" i="5"/>
  <c r="BQ1293" i="18"/>
  <c r="BQ1267" i="18"/>
  <c r="CX297" i="5"/>
  <c r="CP255" i="18" s="1"/>
  <c r="CP254" i="18"/>
  <c r="CN148" i="6"/>
  <c r="CF1248" i="18" s="1"/>
  <c r="CE1247" i="18"/>
  <c r="CE707" i="18"/>
  <c r="AH1304" i="18"/>
  <c r="AH730" i="18"/>
  <c r="CQ365" i="6"/>
  <c r="CI604" i="18" s="1"/>
  <c r="CW293" i="5"/>
  <c r="CO251" i="18" s="1"/>
  <c r="CO250" i="18"/>
  <c r="CC194" i="5"/>
  <c r="BU160" i="18" s="1"/>
  <c r="BU159" i="18"/>
  <c r="AY160" i="6"/>
  <c r="AQ712" i="18" s="1"/>
  <c r="AO178" i="6"/>
  <c r="DD233" i="5"/>
  <c r="CU200" i="18"/>
  <c r="DC215" i="5"/>
  <c r="BR1268" i="18"/>
  <c r="BR1294" i="18"/>
  <c r="BW426" i="5"/>
  <c r="BO319" i="18" s="1"/>
  <c r="BO318" i="18"/>
  <c r="CF218" i="5"/>
  <c r="BX185" i="18" s="1"/>
  <c r="BX184" i="18"/>
  <c r="CB435" i="5"/>
  <c r="BT1039" i="18" s="1"/>
  <c r="BT1038" i="18"/>
  <c r="BO1294" i="18"/>
  <c r="BO1268" i="18"/>
  <c r="BW443" i="5"/>
  <c r="BO1046" i="18"/>
  <c r="CS258" i="18"/>
  <c r="DA301" i="5"/>
  <c r="CS259" i="18" s="1"/>
  <c r="CA435" i="5"/>
  <c r="BS1039" i="18" s="1"/>
  <c r="BS1038" i="18"/>
  <c r="DD170" i="5"/>
  <c r="CV133" i="18"/>
  <c r="DC150" i="5"/>
  <c r="DC151" i="5"/>
  <c r="DD125" i="6"/>
  <c r="CV694" i="18" s="1"/>
  <c r="CV655" i="18"/>
  <c r="CV728" i="18"/>
  <c r="CV1302" i="18"/>
  <c r="CT1304" i="18"/>
  <c r="CT730" i="18"/>
  <c r="CU1303" i="18"/>
  <c r="CU729" i="18"/>
  <c r="CX434" i="5"/>
  <c r="CP1037" i="18"/>
  <c r="AH6" i="7"/>
  <c r="AG5" i="7"/>
  <c r="AP370" i="6"/>
  <c r="DF229" i="6"/>
  <c r="DE176" i="6"/>
  <c r="DF101" i="6"/>
  <c r="CX654" i="18" s="1"/>
  <c r="DE114" i="6"/>
  <c r="CW667" i="18" s="1"/>
  <c r="DE102" i="6"/>
  <c r="CW655" i="18" s="1"/>
  <c r="DC65" i="6"/>
  <c r="DD64" i="6"/>
  <c r="CV626" i="18" s="1"/>
  <c r="DD268" i="5"/>
  <c r="DC269" i="5"/>
  <c r="DA88" i="6"/>
  <c r="CS639" i="18" s="1"/>
  <c r="CN139" i="6"/>
  <c r="CF699" i="18" s="1"/>
  <c r="CN165" i="6"/>
  <c r="CF715" i="18" s="1"/>
  <c r="CN144" i="6"/>
  <c r="CF704" i="18" s="1"/>
  <c r="CN145" i="6"/>
  <c r="CF705" i="18" s="1"/>
  <c r="DF120" i="6"/>
  <c r="CX684" i="18" s="1"/>
  <c r="CO151" i="6"/>
  <c r="CG708" i="18" s="1"/>
  <c r="CU209" i="6"/>
  <c r="CM737" i="18" s="1"/>
  <c r="CU207" i="6"/>
  <c r="CU193" i="6"/>
  <c r="CU194" i="6" s="1"/>
  <c r="CU206" i="6"/>
  <c r="CA397" i="5"/>
  <c r="CX440" i="5"/>
  <c r="DA335" i="6"/>
  <c r="CS869" i="18" s="1"/>
  <c r="DB330" i="6"/>
  <c r="CT864" i="18" s="1"/>
  <c r="DA231" i="6"/>
  <c r="CZ305" i="6"/>
  <c r="CR838" i="18" s="1"/>
  <c r="DA283" i="6"/>
  <c r="CS805" i="18" s="1"/>
  <c r="CO178" i="6"/>
  <c r="AK364" i="6"/>
  <c r="AC603" i="18" s="1"/>
  <c r="AK167" i="6"/>
  <c r="AC717" i="18" s="1"/>
  <c r="CW311" i="6"/>
  <c r="CW300" i="6"/>
  <c r="CW290" i="6"/>
  <c r="CO812" i="18" s="1"/>
  <c r="DA68" i="6"/>
  <c r="CX229" i="5"/>
  <c r="CX193" i="5"/>
  <c r="DA365" i="6"/>
  <c r="CS604" i="18" s="1"/>
  <c r="CY223" i="5"/>
  <c r="CQ190" i="18" s="1"/>
  <c r="CY217" i="5"/>
  <c r="AQ159" i="6"/>
  <c r="AQ168" i="6"/>
  <c r="AI718" i="18" s="1"/>
  <c r="CX357" i="5"/>
  <c r="CX359" i="5"/>
  <c r="CF193" i="5"/>
  <c r="CB194" i="5"/>
  <c r="BT160" i="18" s="1"/>
  <c r="DA76" i="6"/>
  <c r="CS613" i="18" s="1"/>
  <c r="BD162" i="6"/>
  <c r="DC86" i="6"/>
  <c r="CU637" i="18" s="1"/>
  <c r="DC59" i="6"/>
  <c r="DD56" i="6"/>
  <c r="CV618" i="18" s="1"/>
  <c r="AP150" i="6"/>
  <c r="AH1250" i="18" s="1"/>
  <c r="AL148" i="6"/>
  <c r="AD1248" i="18" s="1"/>
  <c r="AP147" i="6"/>
  <c r="CX343" i="5"/>
  <c r="CX341" i="5"/>
  <c r="DA188" i="5"/>
  <c r="CS154" i="18" s="1"/>
  <c r="AY162" i="6"/>
  <c r="DB78" i="6"/>
  <c r="DB222" i="5"/>
  <c r="CT189" i="18" s="1"/>
  <c r="DB75" i="6"/>
  <c r="CT612" i="18" s="1"/>
  <c r="DC126" i="6"/>
  <c r="CU695" i="18" s="1"/>
  <c r="DB364" i="6"/>
  <c r="CT603" i="18" s="1"/>
  <c r="CV312" i="6"/>
  <c r="CV301" i="6"/>
  <c r="CV205" i="6"/>
  <c r="BA162" i="6"/>
  <c r="AQ370" i="6"/>
  <c r="AI609" i="18" s="1"/>
  <c r="DD31" i="6"/>
  <c r="DD30" i="6"/>
  <c r="DD267" i="5"/>
  <c r="AO168" i="6"/>
  <c r="AG718" i="18" s="1"/>
  <c r="AO159" i="6"/>
  <c r="AG711" i="18" s="1"/>
  <c r="CW320" i="6"/>
  <c r="CO853" i="18" s="1"/>
  <c r="CW319" i="6"/>
  <c r="CO852" i="18" s="1"/>
  <c r="CW317" i="6"/>
  <c r="CO850" i="18" s="1"/>
  <c r="CB422" i="5"/>
  <c r="CB424" i="5"/>
  <c r="DC239" i="5"/>
  <c r="DC204" i="5" s="1"/>
  <c r="CR160" i="6"/>
  <c r="CJ712" i="18" s="1"/>
  <c r="CO144" i="6"/>
  <c r="CG704" i="18" s="1"/>
  <c r="AR168" i="6"/>
  <c r="AJ718" i="18" s="1"/>
  <c r="AR159" i="6"/>
  <c r="AU365" i="6"/>
  <c r="AM604" i="18" s="1"/>
  <c r="DC121" i="6"/>
  <c r="CU685" i="18" s="1"/>
  <c r="DC110" i="6"/>
  <c r="CU663" i="18" s="1"/>
  <c r="CC213" i="5"/>
  <c r="BU180" i="18" s="1"/>
  <c r="CY214" i="5"/>
  <c r="CQ181" i="18" s="1"/>
  <c r="AZ162" i="6"/>
  <c r="DB221" i="6"/>
  <c r="DB226" i="6"/>
  <c r="AN178" i="6"/>
  <c r="AR178" i="6"/>
  <c r="CW259" i="6"/>
  <c r="CO782" i="18" s="1"/>
  <c r="CA424" i="5"/>
  <c r="CA422" i="5"/>
  <c r="DC165" i="6"/>
  <c r="CU715" i="18" s="1"/>
  <c r="DC144" i="6"/>
  <c r="CU704" i="18" s="1"/>
  <c r="DC145" i="6"/>
  <c r="CU705" i="18" s="1"/>
  <c r="DD369" i="6"/>
  <c r="CV608" i="18" s="1"/>
  <c r="CX463" i="5"/>
  <c r="CX464" i="5" s="1"/>
  <c r="CX420" i="5"/>
  <c r="CX423" i="5" s="1"/>
  <c r="CP316" i="18" s="1"/>
  <c r="AF6" i="6"/>
  <c r="AE5" i="6"/>
  <c r="CU196" i="6"/>
  <c r="CM735" i="18" s="1"/>
  <c r="CO364" i="6"/>
  <c r="CG603" i="18" s="1"/>
  <c r="CO167" i="6"/>
  <c r="CG717" i="18" s="1"/>
  <c r="CY180" i="5"/>
  <c r="CR371" i="6"/>
  <c r="CJ610" i="18" s="1"/>
  <c r="AW162" i="6"/>
  <c r="AL364" i="6"/>
  <c r="AD603" i="18" s="1"/>
  <c r="AL167" i="6"/>
  <c r="AD717" i="18" s="1"/>
  <c r="AX160" i="6"/>
  <c r="AP712" i="18" s="1"/>
  <c r="AO365" i="6"/>
  <c r="AG604" i="18" s="1"/>
  <c r="AO370" i="6"/>
  <c r="AG609" i="18" s="1"/>
  <c r="DB87" i="6"/>
  <c r="CT638" i="18" s="1"/>
  <c r="CX17" i="6"/>
  <c r="CX18" i="6"/>
  <c r="CM316" i="6"/>
  <c r="CE849" i="18" s="1"/>
  <c r="CM124" i="6"/>
  <c r="CE693" i="18" s="1"/>
  <c r="CM139" i="6"/>
  <c r="CE699" i="18" s="1"/>
  <c r="AT365" i="6"/>
  <c r="AL604" i="18" s="1"/>
  <c r="CP168" i="6"/>
  <c r="CH718" i="18" s="1"/>
  <c r="CP159" i="6"/>
  <c r="CH711" i="18" s="1"/>
  <c r="DC178" i="6"/>
  <c r="CO140" i="6"/>
  <c r="CG700" i="18" s="1"/>
  <c r="CT198" i="6"/>
  <c r="CT202" i="6"/>
  <c r="CT203" i="6" s="1"/>
  <c r="CT200" i="6"/>
  <c r="CT197" i="6"/>
  <c r="AR370" i="6"/>
  <c r="AN148" i="6"/>
  <c r="AF1248" i="18" s="1"/>
  <c r="AR150" i="6"/>
  <c r="AJ1250" i="18" s="1"/>
  <c r="AR147" i="6"/>
  <c r="BC162" i="6"/>
  <c r="AQ150" i="6"/>
  <c r="AI1250" i="18" s="1"/>
  <c r="AM148" i="6"/>
  <c r="AE1248" i="18" s="1"/>
  <c r="AQ147" i="6"/>
  <c r="DD230" i="6"/>
  <c r="DE225" i="6"/>
  <c r="CX310" i="6"/>
  <c r="CP843" i="18" s="1"/>
  <c r="CY288" i="6"/>
  <c r="CQ810" i="18" s="1"/>
  <c r="CX318" i="6"/>
  <c r="CP851" i="18" s="1"/>
  <c r="CB407" i="5"/>
  <c r="CB365" i="5"/>
  <c r="CB366" i="5" s="1"/>
  <c r="DE360" i="6"/>
  <c r="CW893" i="18" s="1"/>
  <c r="DE368" i="6"/>
  <c r="CW607" i="18" s="1"/>
  <c r="CA365" i="5"/>
  <c r="CA366" i="5" s="1"/>
  <c r="CA407" i="5"/>
  <c r="CB397" i="5"/>
  <c r="CA194" i="5"/>
  <c r="BS160" i="18" s="1"/>
  <c r="CE193" i="5"/>
  <c r="CZ366" i="6"/>
  <c r="CR605" i="18" s="1"/>
  <c r="CZ336" i="6"/>
  <c r="CR870" i="18" s="1"/>
  <c r="CZ337" i="6"/>
  <c r="CR871" i="18" s="1"/>
  <c r="CZ70" i="6"/>
  <c r="CR631" i="18" s="1"/>
  <c r="CD199" i="5"/>
  <c r="CD291" i="5"/>
  <c r="CD182" i="5"/>
  <c r="BV148" i="18" s="1"/>
  <c r="BB162" i="6"/>
  <c r="AO147" i="6"/>
  <c r="AK148" i="6"/>
  <c r="AC1248" i="18" s="1"/>
  <c r="AO150" i="6"/>
  <c r="AG1250" i="18" s="1"/>
  <c r="AM364" i="6"/>
  <c r="AM167" i="6"/>
  <c r="AE717" i="18" s="1"/>
  <c r="CW239" i="6"/>
  <c r="CO764" i="18" s="1"/>
  <c r="CW248" i="6"/>
  <c r="CO772" i="18" s="1"/>
  <c r="CW241" i="6"/>
  <c r="CO766" i="18" s="1"/>
  <c r="CW240" i="6"/>
  <c r="CO765" i="18" s="1"/>
  <c r="DB67" i="6"/>
  <c r="CT629" i="18" s="1"/>
  <c r="DB66" i="6"/>
  <c r="CT627" i="18" s="1"/>
  <c r="DC63" i="6"/>
  <c r="DD177" i="6"/>
  <c r="DF240" i="5"/>
  <c r="DF214" i="6"/>
  <c r="DE219" i="6"/>
  <c r="DE29" i="6"/>
  <c r="DB60" i="6"/>
  <c r="CT621" i="18" s="1"/>
  <c r="DD115" i="6"/>
  <c r="CV668" i="18" s="1"/>
  <c r="DD109" i="6"/>
  <c r="CV662" i="18" s="1"/>
  <c r="DD103" i="6"/>
  <c r="CV656" i="18" s="1"/>
  <c r="DD259" i="5"/>
  <c r="DD414" i="5"/>
  <c r="CV307" i="18" s="1"/>
  <c r="DD124" i="6"/>
  <c r="CV693" i="18" s="1"/>
  <c r="DB333" i="6"/>
  <c r="CT867" i="18" s="1"/>
  <c r="DC331" i="6"/>
  <c r="CU865" i="18" s="1"/>
  <c r="DB332" i="6"/>
  <c r="CT866" i="18" s="1"/>
  <c r="AN364" i="6"/>
  <c r="AF603" i="18" s="1"/>
  <c r="AN167" i="6"/>
  <c r="AF717" i="18" s="1"/>
  <c r="AP159" i="6"/>
  <c r="AP168" i="6"/>
  <c r="AH718" i="18" s="1"/>
  <c r="AW247" i="6"/>
  <c r="AO771" i="18" s="1"/>
  <c r="CP370" i="6"/>
  <c r="CH609" i="18" s="1"/>
  <c r="DF357" i="6"/>
  <c r="DF359" i="6"/>
  <c r="CX892" i="18" s="1"/>
  <c r="CQ141" i="6"/>
  <c r="CI701" i="18" s="1"/>
  <c r="CO145" i="6"/>
  <c r="CG705" i="18" s="1"/>
  <c r="DD143" i="6"/>
  <c r="CV703" i="18" s="1"/>
  <c r="DE139" i="6"/>
  <c r="CW699" i="18" s="1"/>
  <c r="AV365" i="6"/>
  <c r="AN604" i="18" s="1"/>
  <c r="CN107" i="6"/>
  <c r="CF660" i="18" s="1"/>
  <c r="CV268" i="6"/>
  <c r="CN791" i="18" s="1"/>
  <c r="CV262" i="6"/>
  <c r="CN785" i="18" s="1"/>
  <c r="CV249" i="6"/>
  <c r="CV250" i="6" s="1"/>
  <c r="CN774" i="18" s="1"/>
  <c r="DC220" i="6"/>
  <c r="DD215" i="6"/>
  <c r="DC216" i="6"/>
  <c r="BW595" i="5"/>
  <c r="BV515" i="5"/>
  <c r="BV516" i="5" s="1"/>
  <c r="BV517" i="5" s="1"/>
  <c r="BV596" i="5"/>
  <c r="DF205" i="5"/>
  <c r="DF307" i="5"/>
  <c r="CX265" i="18" s="1"/>
  <c r="DF309" i="5"/>
  <c r="DF17" i="5"/>
  <c r="CX10" i="18" s="1"/>
  <c r="BO6" i="5"/>
  <c r="DE299" i="5"/>
  <c r="DF181" i="5"/>
  <c r="CX147" i="18" s="1"/>
  <c r="DC74" i="6" l="1"/>
  <c r="CU611" i="18" s="1"/>
  <c r="CU625" i="18"/>
  <c r="AV371" i="6"/>
  <c r="AN610" i="18" s="1"/>
  <c r="AJ609" i="18"/>
  <c r="DB301" i="5"/>
  <c r="CT259" i="18" s="1"/>
  <c r="CT258" i="18"/>
  <c r="AI1247" i="18"/>
  <c r="AI707" i="18"/>
  <c r="AJ1247" i="18"/>
  <c r="AJ707" i="18"/>
  <c r="CB425" i="5"/>
  <c r="BT317" i="18"/>
  <c r="AH1247" i="18"/>
  <c r="AH707" i="18"/>
  <c r="CA398" i="5"/>
  <c r="BS1264" i="18"/>
  <c r="BS1283" i="18"/>
  <c r="DE233" i="5"/>
  <c r="CV200" i="18"/>
  <c r="DD215" i="5"/>
  <c r="BP1265" i="18"/>
  <c r="BP1284" i="18"/>
  <c r="AE1304" i="18"/>
  <c r="AE730" i="18"/>
  <c r="CX293" i="5"/>
  <c r="CP251" i="18" s="1"/>
  <c r="CP250" i="18"/>
  <c r="AI1304" i="18"/>
  <c r="AI730" i="18"/>
  <c r="CA442" i="5"/>
  <c r="BS1045" i="18"/>
  <c r="CO1294" i="18"/>
  <c r="CO1268" i="18"/>
  <c r="BY443" i="5"/>
  <c r="BQ1046" i="18"/>
  <c r="CB408" i="5"/>
  <c r="BT1293" i="18"/>
  <c r="BT1267" i="18"/>
  <c r="CT199" i="6"/>
  <c r="CL736" i="18"/>
  <c r="AV160" i="6"/>
  <c r="AN712" i="18" s="1"/>
  <c r="AJ711" i="18"/>
  <c r="CH1304" i="18"/>
  <c r="CH730" i="18"/>
  <c r="CO1284" i="18"/>
  <c r="CO1265" i="18"/>
  <c r="CS621" i="18"/>
  <c r="DA61" i="6"/>
  <c r="CS622" i="18" s="1"/>
  <c r="BP1294" i="18"/>
  <c r="BP1268" i="18"/>
  <c r="DE19" i="5"/>
  <c r="DE20" i="5" s="1"/>
  <c r="CW12" i="18" s="1"/>
  <c r="CW257" i="18"/>
  <c r="CD15" i="5"/>
  <c r="BV8" i="18" s="1"/>
  <c r="BV249" i="18"/>
  <c r="CB398" i="5"/>
  <c r="BT1264" i="18"/>
  <c r="BT1283" i="18"/>
  <c r="AJ1304" i="18"/>
  <c r="AJ730" i="18"/>
  <c r="CF194" i="5"/>
  <c r="BX160" i="18" s="1"/>
  <c r="BX159" i="18"/>
  <c r="AU160" i="6"/>
  <c r="AM712" i="18" s="1"/>
  <c r="AI711" i="18"/>
  <c r="CX194" i="5"/>
  <c r="CP160" i="18" s="1"/>
  <c r="CP159" i="18"/>
  <c r="CG1304" i="18"/>
  <c r="CG730" i="18"/>
  <c r="AT371" i="6"/>
  <c r="AL610" i="18" s="1"/>
  <c r="AH609" i="18"/>
  <c r="AG1304" i="18"/>
  <c r="AG730" i="18"/>
  <c r="BQ1294" i="18"/>
  <c r="BQ1268" i="18"/>
  <c r="BY426" i="5"/>
  <c r="BQ319" i="18" s="1"/>
  <c r="BQ318" i="18"/>
  <c r="CW444" i="5"/>
  <c r="CO1048" i="18" s="1"/>
  <c r="CO1047" i="18"/>
  <c r="CF213" i="5"/>
  <c r="BX181" i="18"/>
  <c r="CF1303" i="18"/>
  <c r="CF729" i="18"/>
  <c r="AC1304" i="18"/>
  <c r="AC730" i="18"/>
  <c r="BW181" i="18"/>
  <c r="CE213" i="5"/>
  <c r="DF310" i="5"/>
  <c r="CX268" i="18" s="1"/>
  <c r="CX267" i="18"/>
  <c r="AQ365" i="6"/>
  <c r="AI604" i="18" s="1"/>
  <c r="AE603" i="18"/>
  <c r="CE194" i="5"/>
  <c r="BW160" i="18" s="1"/>
  <c r="BW159" i="18"/>
  <c r="CA425" i="5"/>
  <c r="BS317" i="18"/>
  <c r="BW444" i="5"/>
  <c r="BO1048" i="18" s="1"/>
  <c r="BO1047" i="18"/>
  <c r="AT160" i="6"/>
  <c r="AL712" i="18" s="1"/>
  <c r="AH711" i="18"/>
  <c r="AG1247" i="18"/>
  <c r="AG707" i="18"/>
  <c r="CD200" i="5"/>
  <c r="BV166" i="18" s="1"/>
  <c r="BV165" i="18"/>
  <c r="CA408" i="5"/>
  <c r="BS1293" i="18"/>
  <c r="BS1267" i="18"/>
  <c r="CY196" i="5"/>
  <c r="CQ162" i="18" s="1"/>
  <c r="CQ146" i="18"/>
  <c r="AF1304" i="18"/>
  <c r="AF730" i="18"/>
  <c r="CY218" i="5"/>
  <c r="CQ185" i="18" s="1"/>
  <c r="CQ184" i="18"/>
  <c r="CX230" i="5"/>
  <c r="CP197" i="18" s="1"/>
  <c r="CP196" i="18"/>
  <c r="DC300" i="5"/>
  <c r="CU182" i="18"/>
  <c r="CX191" i="5"/>
  <c r="CP157" i="18" s="1"/>
  <c r="CP156" i="18"/>
  <c r="BQ1284" i="18"/>
  <c r="BQ1265" i="18"/>
  <c r="BX444" i="5"/>
  <c r="BP1048" i="18" s="1"/>
  <c r="BP1047" i="18"/>
  <c r="CB442" i="5"/>
  <c r="BT1045" i="18"/>
  <c r="CV136" i="18"/>
  <c r="DE167" i="5"/>
  <c r="DD153" i="5"/>
  <c r="DD151" i="5" s="1"/>
  <c r="DE125" i="6"/>
  <c r="CW694" i="18" s="1"/>
  <c r="CW728" i="18"/>
  <c r="CW1302" i="18"/>
  <c r="CU1304" i="18"/>
  <c r="CU730" i="18"/>
  <c r="CV1303" i="18"/>
  <c r="CV729" i="18"/>
  <c r="CP1246" i="18"/>
  <c r="CP569" i="18"/>
  <c r="CX441" i="5"/>
  <c r="CP1044" i="18"/>
  <c r="CX435" i="5"/>
  <c r="CP1039" i="18" s="1"/>
  <c r="CP1038" i="18"/>
  <c r="CP141" i="6"/>
  <c r="CH701" i="18" s="1"/>
  <c r="AI6" i="7"/>
  <c r="AH5" i="7"/>
  <c r="DC75" i="6"/>
  <c r="CU612" i="18" s="1"/>
  <c r="DC78" i="6"/>
  <c r="DC222" i="5"/>
  <c r="CU189" i="18" s="1"/>
  <c r="DC60" i="6"/>
  <c r="CU621" i="18" s="1"/>
  <c r="AV162" i="6"/>
  <c r="DC226" i="6"/>
  <c r="DC221" i="6"/>
  <c r="DB76" i="6"/>
  <c r="CT613" i="18" s="1"/>
  <c r="DE215" i="6"/>
  <c r="DD220" i="6"/>
  <c r="DD216" i="6"/>
  <c r="CO119" i="6"/>
  <c r="CG683" i="18" s="1"/>
  <c r="CR162" i="6"/>
  <c r="DB188" i="5"/>
  <c r="CT154" i="18" s="1"/>
  <c r="AU162" i="6"/>
  <c r="DE268" i="5"/>
  <c r="DD269" i="5"/>
  <c r="DE177" i="6"/>
  <c r="DB61" i="6"/>
  <c r="CT622" i="18" s="1"/>
  <c r="DB68" i="6"/>
  <c r="AM168" i="6"/>
  <c r="AE718" i="18" s="1"/>
  <c r="AM159" i="6"/>
  <c r="AE711" i="18" s="1"/>
  <c r="CX319" i="6"/>
  <c r="CP852" i="18" s="1"/>
  <c r="CX320" i="6"/>
  <c r="CP853" i="18" s="1"/>
  <c r="CX317" i="6"/>
  <c r="CP850" i="18" s="1"/>
  <c r="AX162" i="6"/>
  <c r="CO370" i="6"/>
  <c r="CG609" i="18" s="1"/>
  <c r="CX424" i="5"/>
  <c r="CX422" i="5"/>
  <c r="DB335" i="6"/>
  <c r="CT869" i="18" s="1"/>
  <c r="DC330" i="6"/>
  <c r="CU864" i="18" s="1"/>
  <c r="CN364" i="6"/>
  <c r="CF603" i="18" s="1"/>
  <c r="CN167" i="6"/>
  <c r="CF717" i="18" s="1"/>
  <c r="AN159" i="6"/>
  <c r="AN168" i="6"/>
  <c r="AF718" i="18" s="1"/>
  <c r="AM365" i="6"/>
  <c r="AE604" i="18" s="1"/>
  <c r="AM370" i="6"/>
  <c r="AE609" i="18" s="1"/>
  <c r="CD183" i="5"/>
  <c r="CD189" i="5"/>
  <c r="CD234" i="5"/>
  <c r="BV201" i="18" s="1"/>
  <c r="DE369" i="6"/>
  <c r="CW608" i="18" s="1"/>
  <c r="DB231" i="6"/>
  <c r="CQ160" i="6"/>
  <c r="CI712" i="18" s="1"/>
  <c r="CX364" i="5"/>
  <c r="DD59" i="6"/>
  <c r="DE56" i="6"/>
  <c r="CW618" i="18" s="1"/>
  <c r="DD86" i="6"/>
  <c r="CV637" i="18" s="1"/>
  <c r="DA366" i="6"/>
  <c r="CS605" i="18" s="1"/>
  <c r="DA336" i="6"/>
  <c r="CS870" i="18" s="1"/>
  <c r="DA337" i="6"/>
  <c r="CS871" i="18" s="1"/>
  <c r="DA70" i="6"/>
  <c r="CS631" i="18" s="1"/>
  <c r="CN140" i="6"/>
  <c r="CF700" i="18" s="1"/>
  <c r="DE64" i="6"/>
  <c r="CW626" i="18" s="1"/>
  <c r="DD65" i="6"/>
  <c r="DF368" i="6"/>
  <c r="CX607" i="18" s="1"/>
  <c r="DF360" i="6"/>
  <c r="CX893" i="18" s="1"/>
  <c r="CZ72" i="6"/>
  <c r="CR633" i="18" s="1"/>
  <c r="CZ71" i="6"/>
  <c r="CR632" i="18" s="1"/>
  <c r="CY213" i="5"/>
  <c r="CQ180" i="18" s="1"/>
  <c r="CC292" i="5"/>
  <c r="CC179" i="5"/>
  <c r="BU145" i="18" s="1"/>
  <c r="CC229" i="5"/>
  <c r="CV209" i="6"/>
  <c r="CN737" i="18" s="1"/>
  <c r="CV206" i="6"/>
  <c r="CV193" i="6"/>
  <c r="CV194" i="6" s="1"/>
  <c r="CV207" i="6"/>
  <c r="DC364" i="6"/>
  <c r="CU603" i="18" s="1"/>
  <c r="AS160" i="6"/>
  <c r="AK712" i="18" s="1"/>
  <c r="AN365" i="6"/>
  <c r="AF604" i="18" s="1"/>
  <c r="AN370" i="6"/>
  <c r="DE30" i="6"/>
  <c r="DE267" i="5"/>
  <c r="DE31" i="6"/>
  <c r="CZ367" i="6"/>
  <c r="CR606" i="18" s="1"/>
  <c r="CZ370" i="6"/>
  <c r="CR609" i="18" s="1"/>
  <c r="AL159" i="6"/>
  <c r="AL168" i="6"/>
  <c r="AD718" i="18" s="1"/>
  <c r="DD239" i="5"/>
  <c r="DD204" i="5" s="1"/>
  <c r="DB365" i="6"/>
  <c r="CT604" i="18" s="1"/>
  <c r="CV196" i="6"/>
  <c r="CN735" i="18" s="1"/>
  <c r="DD165" i="6"/>
  <c r="CV715" i="18" s="1"/>
  <c r="DD144" i="6"/>
  <c r="CV704" i="18" s="1"/>
  <c r="DD145" i="6"/>
  <c r="CV705" i="18" s="1"/>
  <c r="DD178" i="6"/>
  <c r="AU147" i="6"/>
  <c r="AU150" i="6"/>
  <c r="AM1250" i="18" s="1"/>
  <c r="AQ148" i="6"/>
  <c r="AI1248" i="18" s="1"/>
  <c r="DB88" i="6"/>
  <c r="CT639" i="18" s="1"/>
  <c r="AL365" i="6"/>
  <c r="AD604" i="18" s="1"/>
  <c r="AL370" i="6"/>
  <c r="AD609" i="18" s="1"/>
  <c r="CZ196" i="5"/>
  <c r="CR162" i="18" s="1"/>
  <c r="CY197" i="5"/>
  <c r="CQ163" i="18" s="1"/>
  <c r="DE109" i="6"/>
  <c r="CW662" i="18" s="1"/>
  <c r="DE115" i="6"/>
  <c r="CW668" i="18" s="1"/>
  <c r="DE103" i="6"/>
  <c r="CW656" i="18" s="1"/>
  <c r="DE414" i="5"/>
  <c r="CW307" i="18" s="1"/>
  <c r="DE259" i="5"/>
  <c r="DE124" i="6"/>
  <c r="CW693" i="18" s="1"/>
  <c r="DD126" i="6"/>
  <c r="CV695" i="18" s="1"/>
  <c r="DE143" i="6"/>
  <c r="CW703" i="18" s="1"/>
  <c r="DF139" i="6"/>
  <c r="CX699" i="18" s="1"/>
  <c r="CU202" i="6"/>
  <c r="CU203" i="6" s="1"/>
  <c r="CU200" i="6"/>
  <c r="CU197" i="6"/>
  <c r="CU198" i="6"/>
  <c r="CM736" i="18" s="1"/>
  <c r="CP152" i="6"/>
  <c r="CH709" i="18" s="1"/>
  <c r="CP365" i="6"/>
  <c r="CH604" i="18" s="1"/>
  <c r="DD110" i="6"/>
  <c r="CV663" i="18" s="1"/>
  <c r="DD121" i="6"/>
  <c r="CV685" i="18" s="1"/>
  <c r="DF219" i="6"/>
  <c r="DF29" i="6"/>
  <c r="AV150" i="6"/>
  <c r="AN1250" i="18" s="1"/>
  <c r="AV147" i="6"/>
  <c r="AR148" i="6"/>
  <c r="AJ1248" i="18" s="1"/>
  <c r="AR365" i="6"/>
  <c r="AJ604" i="18" s="1"/>
  <c r="AF5" i="6"/>
  <c r="AG6" i="6"/>
  <c r="CW312" i="6"/>
  <c r="CW205" i="6"/>
  <c r="CW301" i="6"/>
  <c r="AK168" i="6"/>
  <c r="AC718" i="18" s="1"/>
  <c r="AK159" i="6"/>
  <c r="AC711" i="18" s="1"/>
  <c r="CD293" i="5"/>
  <c r="BV251" i="18" s="1"/>
  <c r="AO148" i="6"/>
  <c r="AG1248" i="18" s="1"/>
  <c r="AS147" i="6"/>
  <c r="AS150" i="6"/>
  <c r="AK1250" i="18" s="1"/>
  <c r="AQ371" i="6"/>
  <c r="AI610" i="18" s="1"/>
  <c r="DF176" i="6"/>
  <c r="DF114" i="6"/>
  <c r="CX667" i="18" s="1"/>
  <c r="DF102" i="6"/>
  <c r="CO168" i="6"/>
  <c r="CG718" i="18" s="1"/>
  <c r="CO159" i="6"/>
  <c r="CZ288" i="6"/>
  <c r="CR810" i="18" s="1"/>
  <c r="CY310" i="6"/>
  <c r="CQ843" i="18" s="1"/>
  <c r="CY318" i="6"/>
  <c r="CQ851" i="18" s="1"/>
  <c r="CQ371" i="6"/>
  <c r="CI610" i="18" s="1"/>
  <c r="DA305" i="6"/>
  <c r="CS838" i="18" s="1"/>
  <c r="DC333" i="6"/>
  <c r="CU867" i="18" s="1"/>
  <c r="DD331" i="6"/>
  <c r="CV865" i="18" s="1"/>
  <c r="DC332" i="6"/>
  <c r="CU866" i="18" s="1"/>
  <c r="DC67" i="6"/>
  <c r="CU629" i="18" s="1"/>
  <c r="DC66" i="6"/>
  <c r="CU627" i="18" s="1"/>
  <c r="DD63" i="6"/>
  <c r="CW262" i="6"/>
  <c r="CO785" i="18" s="1"/>
  <c r="CW268" i="6"/>
  <c r="CO791" i="18" s="1"/>
  <c r="CW249" i="6"/>
  <c r="CW250" i="6" s="1"/>
  <c r="CO774" i="18" s="1"/>
  <c r="AS371" i="6"/>
  <c r="AK610" i="18" s="1"/>
  <c r="DE230" i="6"/>
  <c r="DF225" i="6"/>
  <c r="CM126" i="6"/>
  <c r="CE695" i="18" s="1"/>
  <c r="AU371" i="6"/>
  <c r="AM610" i="18" s="1"/>
  <c r="CY232" i="5"/>
  <c r="AT150" i="6"/>
  <c r="AL1250" i="18" s="1"/>
  <c r="AT147" i="6"/>
  <c r="AP148" i="6"/>
  <c r="AH1248" i="18" s="1"/>
  <c r="DC87" i="6"/>
  <c r="CU638" i="18" s="1"/>
  <c r="CY224" i="5"/>
  <c r="CQ191" i="18" s="1"/>
  <c r="CZ223" i="5"/>
  <c r="CR190" i="18" s="1"/>
  <c r="AK365" i="6"/>
  <c r="AC604" i="18" s="1"/>
  <c r="AK370" i="6"/>
  <c r="AP365" i="6"/>
  <c r="AH604" i="18" s="1"/>
  <c r="BP6" i="5"/>
  <c r="DF299" i="5"/>
  <c r="BW596" i="5"/>
  <c r="BX595" i="5"/>
  <c r="BW515" i="5"/>
  <c r="BW516" i="5" s="1"/>
  <c r="BW517" i="5" s="1"/>
  <c r="AL1247" i="18" l="1"/>
  <c r="AL707" i="18"/>
  <c r="CD190" i="5"/>
  <c r="BV155" i="18"/>
  <c r="DF19" i="5"/>
  <c r="DF20" i="5" s="1"/>
  <c r="CX12" i="18" s="1"/>
  <c r="CX257" i="18"/>
  <c r="DD74" i="6"/>
  <c r="CV611" i="18" s="1"/>
  <c r="CV625" i="18"/>
  <c r="CP160" i="6"/>
  <c r="CH712" i="18" s="1"/>
  <c r="CG711" i="18"/>
  <c r="AP160" i="6"/>
  <c r="AH712" i="18" s="1"/>
  <c r="AD711" i="18"/>
  <c r="BU250" i="18"/>
  <c r="CB443" i="5"/>
  <c r="BT1046" i="18"/>
  <c r="DC301" i="5"/>
  <c r="CU259" i="18" s="1"/>
  <c r="CU258" i="18"/>
  <c r="BW180" i="18"/>
  <c r="CE229" i="5"/>
  <c r="CE292" i="5"/>
  <c r="CE179" i="5"/>
  <c r="DD300" i="5"/>
  <c r="CV182" i="18"/>
  <c r="CA426" i="5"/>
  <c r="BS319" i="18" s="1"/>
  <c r="BS318" i="18"/>
  <c r="BT1294" i="18"/>
  <c r="BT1268" i="18"/>
  <c r="AR371" i="6"/>
  <c r="AJ610" i="18" s="1"/>
  <c r="AF609" i="18"/>
  <c r="CC230" i="5"/>
  <c r="BU197" i="18" s="1"/>
  <c r="BU196" i="18"/>
  <c r="CD184" i="5"/>
  <c r="BV150" i="18" s="1"/>
  <c r="BV149" i="18"/>
  <c r="AR160" i="6"/>
  <c r="AJ712" i="18" s="1"/>
  <c r="AF711" i="18"/>
  <c r="BT1284" i="18"/>
  <c r="BT1265" i="18"/>
  <c r="DF233" i="5"/>
  <c r="CW200" i="18"/>
  <c r="DE215" i="5"/>
  <c r="BS1284" i="18"/>
  <c r="BS1265" i="18"/>
  <c r="CB426" i="5"/>
  <c r="BT319" i="18" s="1"/>
  <c r="BT318" i="18"/>
  <c r="AO371" i="6"/>
  <c r="AG610" i="18" s="1"/>
  <c r="AC609" i="18"/>
  <c r="CZ232" i="5"/>
  <c r="CQ199" i="18"/>
  <c r="CP371" i="6"/>
  <c r="CH610" i="18" s="1"/>
  <c r="AK1247" i="18"/>
  <c r="AK707" i="18"/>
  <c r="AN1247" i="18"/>
  <c r="AN707" i="18"/>
  <c r="AM1247" i="18"/>
  <c r="AM707" i="18"/>
  <c r="AT162" i="6"/>
  <c r="BS1294" i="18"/>
  <c r="BS1268" i="18"/>
  <c r="BX180" i="18"/>
  <c r="CF179" i="5"/>
  <c r="CF229" i="5"/>
  <c r="CF292" i="5"/>
  <c r="BX250" i="18" s="1"/>
  <c r="BY444" i="5"/>
  <c r="BQ1048" i="18" s="1"/>
  <c r="BQ1047" i="18"/>
  <c r="CA443" i="5"/>
  <c r="BS1046" i="18"/>
  <c r="DD150" i="5"/>
  <c r="DE170" i="5"/>
  <c r="CW133" i="18"/>
  <c r="DF125" i="6"/>
  <c r="CX694" i="18" s="1"/>
  <c r="CX655" i="18"/>
  <c r="CW729" i="18"/>
  <c r="CW1303" i="18"/>
  <c r="CX1302" i="18"/>
  <c r="CX728" i="18"/>
  <c r="CV730" i="18"/>
  <c r="CV1304" i="18"/>
  <c r="CX425" i="5"/>
  <c r="CP317" i="18"/>
  <c r="CX442" i="5"/>
  <c r="CP1045" i="18"/>
  <c r="AJ6" i="7"/>
  <c r="AI5" i="7"/>
  <c r="DD75" i="6"/>
  <c r="CV612" i="18" s="1"/>
  <c r="DD78" i="6"/>
  <c r="DD222" i="5"/>
  <c r="CV189" i="18" s="1"/>
  <c r="DD60" i="6"/>
  <c r="CV621" i="18" s="1"/>
  <c r="CP162" i="6"/>
  <c r="AM160" i="6"/>
  <c r="AE712" i="18" s="1"/>
  <c r="CW196" i="6"/>
  <c r="CO735" i="18" s="1"/>
  <c r="AR162" i="6"/>
  <c r="AS162" i="6"/>
  <c r="CC199" i="5"/>
  <c r="CC291" i="5"/>
  <c r="BU249" i="18" s="1"/>
  <c r="CY179" i="5"/>
  <c r="CQ145" i="18" s="1"/>
  <c r="CC182" i="5"/>
  <c r="BU148" i="18" s="1"/>
  <c r="DF369" i="6"/>
  <c r="CX608" i="18" s="1"/>
  <c r="AN160" i="6"/>
  <c r="AF712" i="18" s="1"/>
  <c r="DE178" i="6"/>
  <c r="DC88" i="6"/>
  <c r="CU639" i="18" s="1"/>
  <c r="DC68" i="6"/>
  <c r="AK160" i="6"/>
  <c r="AC712" i="18" s="1"/>
  <c r="AV148" i="6"/>
  <c r="AN1248" i="18" s="1"/>
  <c r="AZ150" i="6"/>
  <c r="AR1250" i="18" s="1"/>
  <c r="AZ147" i="6"/>
  <c r="CZ197" i="5"/>
  <c r="CR163" i="18" s="1"/>
  <c r="CZ180" i="5"/>
  <c r="DA196" i="5"/>
  <c r="CS162" i="18" s="1"/>
  <c r="CX407" i="5"/>
  <c r="CX365" i="5"/>
  <c r="CX366" i="5" s="1"/>
  <c r="CX397" i="5"/>
  <c r="AO160" i="6"/>
  <c r="AG712" i="18" s="1"/>
  <c r="DF215" i="6"/>
  <c r="DE220" i="6"/>
  <c r="DE216" i="6"/>
  <c r="DC365" i="6"/>
  <c r="CU604" i="18" s="1"/>
  <c r="CY229" i="5"/>
  <c r="DA367" i="6"/>
  <c r="CS606" i="18" s="1"/>
  <c r="DA370" i="6"/>
  <c r="CS609" i="18" s="1"/>
  <c r="CQ162" i="6"/>
  <c r="CN159" i="6"/>
  <c r="CN168" i="6"/>
  <c r="CF718" i="18" s="1"/>
  <c r="DE269" i="5"/>
  <c r="DF268" i="5"/>
  <c r="DF269" i="5" s="1"/>
  <c r="DC231" i="6"/>
  <c r="DC188" i="5"/>
  <c r="CU154" i="18" s="1"/>
  <c r="CU199" i="6"/>
  <c r="DC61" i="6"/>
  <c r="CU622" i="18" s="1"/>
  <c r="CY320" i="6"/>
  <c r="CQ853" i="18" s="1"/>
  <c r="CY319" i="6"/>
  <c r="CQ852" i="18" s="1"/>
  <c r="CY317" i="6"/>
  <c r="CQ850" i="18" s="1"/>
  <c r="DF177" i="6"/>
  <c r="AL371" i="6"/>
  <c r="AD610" i="18" s="1"/>
  <c r="DE239" i="5"/>
  <c r="DE204" i="5" s="1"/>
  <c r="DE65" i="6"/>
  <c r="DF64" i="6"/>
  <c r="CX626" i="18" s="1"/>
  <c r="CN365" i="6"/>
  <c r="CF604" i="18" s="1"/>
  <c r="CN370" i="6"/>
  <c r="CF609" i="18" s="1"/>
  <c r="DF230" i="6"/>
  <c r="DD333" i="6"/>
  <c r="CV867" i="18" s="1"/>
  <c r="DD332" i="6"/>
  <c r="CV866" i="18" s="1"/>
  <c r="DE331" i="6"/>
  <c r="CW865" i="18" s="1"/>
  <c r="DF31" i="6"/>
  <c r="DF30" i="6"/>
  <c r="DF267" i="5"/>
  <c r="DF143" i="6"/>
  <c r="CX703" i="18" s="1"/>
  <c r="DD364" i="6"/>
  <c r="CV603" i="18" s="1"/>
  <c r="AM371" i="6"/>
  <c r="AE610" i="18" s="1"/>
  <c r="DD226" i="6"/>
  <c r="DD221" i="6"/>
  <c r="AK371" i="6"/>
  <c r="AC610" i="18" s="1"/>
  <c r="AG5" i="6"/>
  <c r="AH6" i="6"/>
  <c r="DA223" i="5"/>
  <c r="CS190" i="18" s="1"/>
  <c r="CZ216" i="5"/>
  <c r="CR183" i="18" s="1"/>
  <c r="AX150" i="6"/>
  <c r="AP1250" i="18" s="1"/>
  <c r="AT148" i="6"/>
  <c r="AL1248" i="18" s="1"/>
  <c r="AX147" i="6"/>
  <c r="CW209" i="6"/>
  <c r="CO737" i="18" s="1"/>
  <c r="CW193" i="6"/>
  <c r="CW194" i="6" s="1"/>
  <c r="CW207" i="6"/>
  <c r="CW206" i="6"/>
  <c r="AQ160" i="6"/>
  <c r="AI712" i="18" s="1"/>
  <c r="DE165" i="6"/>
  <c r="CW715" i="18" s="1"/>
  <c r="DE145" i="6"/>
  <c r="CW705" i="18" s="1"/>
  <c r="DE144" i="6"/>
  <c r="CW704" i="18" s="1"/>
  <c r="AY150" i="6"/>
  <c r="AQ1250" i="18" s="1"/>
  <c r="AU148" i="6"/>
  <c r="AM1248" i="18" s="1"/>
  <c r="AY147" i="6"/>
  <c r="AL160" i="6"/>
  <c r="AD712" i="18" s="1"/>
  <c r="DD87" i="6"/>
  <c r="CV638" i="18" s="1"/>
  <c r="DC335" i="6"/>
  <c r="CU869" i="18" s="1"/>
  <c r="DD330" i="6"/>
  <c r="CV864" i="18" s="1"/>
  <c r="DC76" i="6"/>
  <c r="CU613" i="18" s="1"/>
  <c r="DF115" i="6"/>
  <c r="CX668" i="18" s="1"/>
  <c r="DF103" i="6"/>
  <c r="CX656" i="18" s="1"/>
  <c r="DF109" i="6"/>
  <c r="CX662" i="18" s="1"/>
  <c r="DF259" i="5"/>
  <c r="DF414" i="5"/>
  <c r="CX307" i="18" s="1"/>
  <c r="DF124" i="6"/>
  <c r="CX693" i="18" s="1"/>
  <c r="DE126" i="6"/>
  <c r="CW695" i="18" s="1"/>
  <c r="AW150" i="6"/>
  <c r="AO1250" i="18" s="1"/>
  <c r="AW147" i="6"/>
  <c r="AS148" i="6"/>
  <c r="AK1248" i="18" s="1"/>
  <c r="CO365" i="6"/>
  <c r="CG604" i="18" s="1"/>
  <c r="CZ225" i="5"/>
  <c r="CR192" i="18" s="1"/>
  <c r="CY225" i="5"/>
  <c r="CQ192" i="18" s="1"/>
  <c r="DE63" i="6"/>
  <c r="CW625" i="18" s="1"/>
  <c r="DD66" i="6"/>
  <c r="CV627" i="18" s="1"/>
  <c r="DD67" i="6"/>
  <c r="CV629" i="18" s="1"/>
  <c r="DA288" i="6"/>
  <c r="CS810" i="18" s="1"/>
  <c r="CZ310" i="6"/>
  <c r="CR843" i="18" s="1"/>
  <c r="CZ318" i="6"/>
  <c r="CR851" i="18" s="1"/>
  <c r="AP162" i="6"/>
  <c r="AP371" i="6"/>
  <c r="AH610" i="18" s="1"/>
  <c r="DE121" i="6"/>
  <c r="CW685" i="18" s="1"/>
  <c r="DE110" i="6"/>
  <c r="CW663" i="18" s="1"/>
  <c r="CV200" i="6"/>
  <c r="CV198" i="6"/>
  <c r="CN736" i="18" s="1"/>
  <c r="CV197" i="6"/>
  <c r="CV202" i="6"/>
  <c r="CV203" i="6" s="1"/>
  <c r="CZ371" i="6"/>
  <c r="CR610" i="18" s="1"/>
  <c r="AN371" i="6"/>
  <c r="AF610" i="18" s="1"/>
  <c r="DA71" i="6"/>
  <c r="CS632" i="18" s="1"/>
  <c r="DA72" i="6"/>
  <c r="CS633" i="18" s="1"/>
  <c r="DE74" i="6"/>
  <c r="CW611" i="18" s="1"/>
  <c r="DE86" i="6"/>
  <c r="CW637" i="18" s="1"/>
  <c r="DE59" i="6"/>
  <c r="DF56" i="6"/>
  <c r="CX618" i="18" s="1"/>
  <c r="DB366" i="6"/>
  <c r="CT605" i="18" s="1"/>
  <c r="DB336" i="6"/>
  <c r="CT870" i="18" s="1"/>
  <c r="DB337" i="6"/>
  <c r="CT871" i="18" s="1"/>
  <c r="DB70" i="6"/>
  <c r="CT631" i="18" s="1"/>
  <c r="BX596" i="5"/>
  <c r="CW596" i="5" s="1"/>
  <c r="CW595" i="5"/>
  <c r="CW515" i="5" s="1"/>
  <c r="CW516" i="5" s="1"/>
  <c r="CW517" i="5" s="1"/>
  <c r="BY595" i="5"/>
  <c r="BX515" i="5"/>
  <c r="BX516" i="5" s="1"/>
  <c r="BX517" i="5" s="1"/>
  <c r="BQ6" i="5"/>
  <c r="CZ214" i="5" l="1"/>
  <c r="CR181" i="18" s="1"/>
  <c r="CR146" i="18"/>
  <c r="DA232" i="5"/>
  <c r="CR199" i="18"/>
  <c r="CE230" i="5"/>
  <c r="BW197" i="18" s="1"/>
  <c r="BW196" i="18"/>
  <c r="AP1247" i="18"/>
  <c r="AP707" i="18"/>
  <c r="CO371" i="6"/>
  <c r="CG610" i="18" s="1"/>
  <c r="CX200" i="18"/>
  <c r="DF215" i="5"/>
  <c r="DD301" i="5"/>
  <c r="CV259" i="18" s="1"/>
  <c r="CV258" i="18"/>
  <c r="CB444" i="5"/>
  <c r="BT1048" i="18" s="1"/>
  <c r="BT1047" i="18"/>
  <c r="CD191" i="5"/>
  <c r="BV157" i="18" s="1"/>
  <c r="BV156" i="18"/>
  <c r="AO1247" i="18"/>
  <c r="AO707" i="18"/>
  <c r="DE60" i="6"/>
  <c r="CW621" i="18" s="1"/>
  <c r="AQ1247" i="18"/>
  <c r="AQ707" i="18"/>
  <c r="AR1247" i="18"/>
  <c r="AR707" i="18"/>
  <c r="CC200" i="5"/>
  <c r="BU166" i="18" s="1"/>
  <c r="BU165" i="18"/>
  <c r="CA444" i="5"/>
  <c r="BS1048" i="18" s="1"/>
  <c r="BS1047" i="18"/>
  <c r="CF230" i="5"/>
  <c r="BX197" i="18" s="1"/>
  <c r="BX196" i="18"/>
  <c r="BW145" i="18"/>
  <c r="CE291" i="5"/>
  <c r="CE199" i="5"/>
  <c r="CE182" i="5"/>
  <c r="CO160" i="6"/>
  <c r="CG712" i="18" s="1"/>
  <c r="CF711" i="18"/>
  <c r="CY230" i="5"/>
  <c r="CQ197" i="18" s="1"/>
  <c r="CQ196" i="18"/>
  <c r="BX145" i="18"/>
  <c r="CF291" i="5"/>
  <c r="CF199" i="5"/>
  <c r="CF182" i="5"/>
  <c r="DE300" i="5"/>
  <c r="CW182" i="18"/>
  <c r="BW250" i="18"/>
  <c r="CY292" i="5"/>
  <c r="CQ250" i="18" s="1"/>
  <c r="CW136" i="18"/>
  <c r="DF167" i="5"/>
  <c r="DE153" i="5"/>
  <c r="DE151" i="5" s="1"/>
  <c r="DE150" i="5"/>
  <c r="CW730" i="18"/>
  <c r="CW1304" i="18"/>
  <c r="CX1303" i="18"/>
  <c r="CX729" i="18"/>
  <c r="CX443" i="5"/>
  <c r="CP1046" i="18"/>
  <c r="CX398" i="5"/>
  <c r="CP1264" i="18"/>
  <c r="CP1283" i="18"/>
  <c r="CX426" i="5"/>
  <c r="CP319" i="18" s="1"/>
  <c r="CP318" i="18"/>
  <c r="CX408" i="5"/>
  <c r="CP1293" i="18"/>
  <c r="CP1267" i="18"/>
  <c r="AK6" i="7"/>
  <c r="AJ5" i="7"/>
  <c r="CC234" i="5"/>
  <c r="BU201" i="18" s="1"/>
  <c r="CC189" i="5"/>
  <c r="CC183" i="5"/>
  <c r="DE87" i="6"/>
  <c r="CW638" i="18" s="1"/>
  <c r="DD88" i="6"/>
  <c r="CV639" i="18" s="1"/>
  <c r="DB223" i="5"/>
  <c r="CT190" i="18" s="1"/>
  <c r="DA216" i="5"/>
  <c r="CS183" i="18" s="1"/>
  <c r="DA197" i="5"/>
  <c r="CS163" i="18" s="1"/>
  <c r="DB196" i="5"/>
  <c r="CT162" i="18" s="1"/>
  <c r="DA180" i="5"/>
  <c r="CC293" i="5"/>
  <c r="BU251" i="18" s="1"/>
  <c r="CY291" i="5"/>
  <c r="CC15" i="5"/>
  <c r="BU8" i="18" s="1"/>
  <c r="DE75" i="6"/>
  <c r="CW612" i="18" s="1"/>
  <c r="DE78" i="6"/>
  <c r="DE222" i="5"/>
  <c r="CW189" i="18" s="1"/>
  <c r="AI6" i="6"/>
  <c r="AH5" i="6"/>
  <c r="CN160" i="6"/>
  <c r="CF712" i="18" s="1"/>
  <c r="AK162" i="6"/>
  <c r="CW197" i="6"/>
  <c r="CW202" i="6"/>
  <c r="CW203" i="6" s="1"/>
  <c r="CW200" i="6"/>
  <c r="CW198" i="6"/>
  <c r="CO736" i="18" s="1"/>
  <c r="DD188" i="5"/>
  <c r="CV154" i="18" s="1"/>
  <c r="BC150" i="6"/>
  <c r="AU1250" i="18" s="1"/>
  <c r="BC147" i="6"/>
  <c r="AY148" i="6"/>
  <c r="AQ1248" i="18" s="1"/>
  <c r="DE61" i="6"/>
  <c r="CW622" i="18" s="1"/>
  <c r="CZ217" i="5"/>
  <c r="CZ213" i="5"/>
  <c r="CR180" i="18" s="1"/>
  <c r="CY199" i="5"/>
  <c r="CY182" i="5"/>
  <c r="CQ148" i="18" s="1"/>
  <c r="DB367" i="6"/>
  <c r="CT606" i="18" s="1"/>
  <c r="DB370" i="6"/>
  <c r="CT609" i="18" s="1"/>
  <c r="DF126" i="6"/>
  <c r="CX695" i="18" s="1"/>
  <c r="AL162" i="6"/>
  <c r="DD365" i="6"/>
  <c r="CV604" i="18" s="1"/>
  <c r="DF331" i="6"/>
  <c r="CX865" i="18" s="1"/>
  <c r="DE332" i="6"/>
  <c r="CW866" i="18" s="1"/>
  <c r="DE333" i="6"/>
  <c r="CW867" i="18" s="1"/>
  <c r="AO162" i="6"/>
  <c r="AN162" i="6"/>
  <c r="AM162" i="6"/>
  <c r="DC366" i="6"/>
  <c r="CU605" i="18" s="1"/>
  <c r="DC336" i="6"/>
  <c r="CU870" i="18" s="1"/>
  <c r="DC337" i="6"/>
  <c r="CU871" i="18" s="1"/>
  <c r="DC70" i="6"/>
  <c r="CU631" i="18" s="1"/>
  <c r="DF216" i="6"/>
  <c r="DF220" i="6"/>
  <c r="DD231" i="6"/>
  <c r="DF239" i="5"/>
  <c r="DF204" i="5" s="1"/>
  <c r="DD68" i="6"/>
  <c r="CV199" i="6"/>
  <c r="CZ320" i="6"/>
  <c r="CR853" i="18" s="1"/>
  <c r="CZ319" i="6"/>
  <c r="CR852" i="18" s="1"/>
  <c r="CZ317" i="6"/>
  <c r="CR850" i="18" s="1"/>
  <c r="DE67" i="6"/>
  <c r="CW629" i="18" s="1"/>
  <c r="DE66" i="6"/>
  <c r="CW627" i="18" s="1"/>
  <c r="DF63" i="6"/>
  <c r="CX625" i="18" s="1"/>
  <c r="DE364" i="6"/>
  <c r="CW603" i="18" s="1"/>
  <c r="BB150" i="6"/>
  <c r="AT1250" i="18" s="1"/>
  <c r="AX148" i="6"/>
  <c r="AP1248" i="18" s="1"/>
  <c r="BB147" i="6"/>
  <c r="DA371" i="6"/>
  <c r="CS610" i="18" s="1"/>
  <c r="DE226" i="6"/>
  <c r="DE221" i="6"/>
  <c r="DD76" i="6"/>
  <c r="CV613" i="18" s="1"/>
  <c r="DD61" i="6"/>
  <c r="CV622" i="18" s="1"/>
  <c r="DB71" i="6"/>
  <c r="CT632" i="18" s="1"/>
  <c r="DB72" i="6"/>
  <c r="CT633" i="18" s="1"/>
  <c r="DA310" i="6"/>
  <c r="CS843" i="18" s="1"/>
  <c r="DA318" i="6"/>
  <c r="CS851" i="18" s="1"/>
  <c r="DF121" i="6"/>
  <c r="CX685" i="18" s="1"/>
  <c r="DF110" i="6"/>
  <c r="CX663" i="18" s="1"/>
  <c r="CY193" i="5"/>
  <c r="CQ159" i="18" s="1"/>
  <c r="CN371" i="6"/>
  <c r="CF610" i="18" s="1"/>
  <c r="DF86" i="6"/>
  <c r="CX637" i="18" s="1"/>
  <c r="DF59" i="6"/>
  <c r="DF74" i="6"/>
  <c r="BA150" i="6"/>
  <c r="AS1250" i="18" s="1"/>
  <c r="AW148" i="6"/>
  <c r="AO1248" i="18" s="1"/>
  <c r="BA147" i="6"/>
  <c r="DE330" i="6"/>
  <c r="CW864" i="18" s="1"/>
  <c r="DD335" i="6"/>
  <c r="CV869" i="18" s="1"/>
  <c r="AQ162" i="6"/>
  <c r="DF145" i="6"/>
  <c r="CX705" i="18" s="1"/>
  <c r="DF165" i="6"/>
  <c r="CX715" i="18" s="1"/>
  <c r="DF144" i="6"/>
  <c r="CX704" i="18" s="1"/>
  <c r="DF65" i="6"/>
  <c r="DF178" i="6"/>
  <c r="BD150" i="6"/>
  <c r="AV1250" i="18" s="1"/>
  <c r="BD147" i="6"/>
  <c r="AZ148" i="6"/>
  <c r="AR1248" i="18" s="1"/>
  <c r="BY596" i="5"/>
  <c r="BZ595" i="5"/>
  <c r="BY515" i="5"/>
  <c r="BY516" i="5" s="1"/>
  <c r="BY517" i="5" s="1"/>
  <c r="BR6" i="5"/>
  <c r="AS1247" i="18" l="1"/>
  <c r="AS707" i="18"/>
  <c r="AU1247" i="18"/>
  <c r="AU707" i="18"/>
  <c r="DF60" i="6"/>
  <c r="CX621" i="18" s="1"/>
  <c r="CX611" i="18"/>
  <c r="AT1247" i="18"/>
  <c r="AT707" i="18"/>
  <c r="CY200" i="5"/>
  <c r="CQ166" i="18" s="1"/>
  <c r="CQ165" i="18"/>
  <c r="CY293" i="5"/>
  <c r="CQ251" i="18" s="1"/>
  <c r="CQ249" i="18"/>
  <c r="CO162" i="6"/>
  <c r="CF15" i="5"/>
  <c r="BX8" i="18" s="1"/>
  <c r="BX249" i="18"/>
  <c r="CF293" i="5"/>
  <c r="BX251" i="18" s="1"/>
  <c r="CE15" i="5"/>
  <c r="BW8" i="18" s="1"/>
  <c r="BW249" i="18"/>
  <c r="CW258" i="18"/>
  <c r="DE301" i="5"/>
  <c r="CW259" i="18" s="1"/>
  <c r="DF300" i="5"/>
  <c r="CX182" i="18"/>
  <c r="DB232" i="5"/>
  <c r="CS199" i="18"/>
  <c r="DA214" i="5"/>
  <c r="CS181" i="18" s="1"/>
  <c r="CS146" i="18"/>
  <c r="CC184" i="5"/>
  <c r="BU150" i="18" s="1"/>
  <c r="BU149" i="18"/>
  <c r="CE293" i="5"/>
  <c r="BW251" i="18" s="1"/>
  <c r="BX148" i="18"/>
  <c r="CF234" i="5"/>
  <c r="BX201" i="18" s="1"/>
  <c r="CF189" i="5"/>
  <c r="CF183" i="5"/>
  <c r="BW148" i="18"/>
  <c r="CE183" i="5"/>
  <c r="CE234" i="5"/>
  <c r="BW201" i="18" s="1"/>
  <c r="CE189" i="5"/>
  <c r="AV1247" i="18"/>
  <c r="AV707" i="18"/>
  <c r="CC190" i="5"/>
  <c r="BU155" i="18"/>
  <c r="CF200" i="5"/>
  <c r="BX166" i="18" s="1"/>
  <c r="BX165" i="18"/>
  <c r="CE200" i="5"/>
  <c r="BW166" i="18" s="1"/>
  <c r="BW165" i="18"/>
  <c r="DF170" i="5"/>
  <c r="CX133" i="18"/>
  <c r="CZ218" i="5"/>
  <c r="CR185" i="18" s="1"/>
  <c r="CR184" i="18"/>
  <c r="CX1304" i="18"/>
  <c r="CX730" i="18"/>
  <c r="CX444" i="5"/>
  <c r="CP1048" i="18" s="1"/>
  <c r="CP1047" i="18"/>
  <c r="CP1294" i="18"/>
  <c r="CP1268" i="18"/>
  <c r="CP1284" i="18"/>
  <c r="CP1265" i="18"/>
  <c r="AL6" i="7"/>
  <c r="AK5" i="7"/>
  <c r="DF61" i="6"/>
  <c r="CX622" i="18" s="1"/>
  <c r="DC72" i="6"/>
  <c r="CU633" i="18" s="1"/>
  <c r="DC71" i="6"/>
  <c r="CU632" i="18" s="1"/>
  <c r="CY189" i="5"/>
  <c r="CY234" i="5"/>
  <c r="CQ201" i="18" s="1"/>
  <c r="CY183" i="5"/>
  <c r="CW199" i="6"/>
  <c r="DF364" i="6"/>
  <c r="CX603" i="18" s="1"/>
  <c r="DF87" i="6"/>
  <c r="CX638" i="18" s="1"/>
  <c r="DA319" i="6"/>
  <c r="CS852" i="18" s="1"/>
  <c r="DA317" i="6"/>
  <c r="CS850" i="18" s="1"/>
  <c r="DA320" i="6"/>
  <c r="CS853" i="18" s="1"/>
  <c r="DF66" i="6"/>
  <c r="CX627" i="18" s="1"/>
  <c r="DF67" i="6"/>
  <c r="CX629" i="18" s="1"/>
  <c r="DB371" i="6"/>
  <c r="CT610" i="18" s="1"/>
  <c r="DE188" i="5"/>
  <c r="CW154" i="18" s="1"/>
  <c r="BA148" i="6"/>
  <c r="AS1248" i="18" s="1"/>
  <c r="BE147" i="6"/>
  <c r="BE150" i="6"/>
  <c r="AW1250" i="18" s="1"/>
  <c r="BA286" i="6"/>
  <c r="AS808" i="18" s="1"/>
  <c r="BA285" i="6"/>
  <c r="AS807" i="18" s="1"/>
  <c r="BF147" i="6"/>
  <c r="BB148" i="6"/>
  <c r="AT1248" i="18" s="1"/>
  <c r="BF150" i="6"/>
  <c r="AX1250" i="18" s="1"/>
  <c r="BB286" i="6"/>
  <c r="AT808" i="18" s="1"/>
  <c r="BB285" i="6"/>
  <c r="AT807" i="18" s="1"/>
  <c r="DF332" i="6"/>
  <c r="CX866" i="18" s="1"/>
  <c r="DF333" i="6"/>
  <c r="CX867" i="18" s="1"/>
  <c r="CY194" i="5"/>
  <c r="CQ160" i="18" s="1"/>
  <c r="CZ193" i="5"/>
  <c r="CR159" i="18" s="1"/>
  <c r="DE231" i="6"/>
  <c r="CN162" i="6"/>
  <c r="DA217" i="5"/>
  <c r="DA213" i="5"/>
  <c r="CS180" i="18" s="1"/>
  <c r="DD337" i="6"/>
  <c r="CV871" i="18" s="1"/>
  <c r="DD366" i="6"/>
  <c r="CV605" i="18" s="1"/>
  <c r="DD336" i="6"/>
  <c r="CV870" i="18" s="1"/>
  <c r="DD70" i="6"/>
  <c r="CV631" i="18" s="1"/>
  <c r="DE365" i="6"/>
  <c r="CW604" i="18" s="1"/>
  <c r="CZ292" i="5"/>
  <c r="CR250" i="18" s="1"/>
  <c r="CZ179" i="5"/>
  <c r="CR145" i="18" s="1"/>
  <c r="CZ229" i="5"/>
  <c r="BC148" i="6"/>
  <c r="AU1248" i="18" s="1"/>
  <c r="BG147" i="6"/>
  <c r="BG150" i="6"/>
  <c r="AY1250" i="18" s="1"/>
  <c r="BC286" i="6"/>
  <c r="AU808" i="18" s="1"/>
  <c r="BC285" i="6"/>
  <c r="AU807" i="18" s="1"/>
  <c r="DC223" i="5"/>
  <c r="CU190" i="18" s="1"/>
  <c r="DB216" i="5"/>
  <c r="CT183" i="18" s="1"/>
  <c r="DE76" i="6"/>
  <c r="CW613" i="18" s="1"/>
  <c r="DF75" i="6"/>
  <c r="CX612" i="18" s="1"/>
  <c r="DF78" i="6"/>
  <c r="DF222" i="5"/>
  <c r="CX189" i="18" s="1"/>
  <c r="DF221" i="6"/>
  <c r="DF226" i="6"/>
  <c r="DB197" i="5"/>
  <c r="CT163" i="18" s="1"/>
  <c r="DC196" i="5"/>
  <c r="CU162" i="18" s="1"/>
  <c r="DB180" i="5"/>
  <c r="DE68" i="6"/>
  <c r="DE88" i="6"/>
  <c r="CW639" i="18" s="1"/>
  <c r="DF330" i="6"/>
  <c r="CX864" i="18" s="1"/>
  <c r="DE335" i="6"/>
  <c r="CW869" i="18" s="1"/>
  <c r="AI5" i="6"/>
  <c r="AJ6" i="6"/>
  <c r="CY15" i="5"/>
  <c r="CQ8" i="18" s="1"/>
  <c r="BD148" i="6"/>
  <c r="AV1248" i="18" s="1"/>
  <c r="BH150" i="6"/>
  <c r="AZ1250" i="18" s="1"/>
  <c r="BH147" i="6"/>
  <c r="BD285" i="6"/>
  <c r="AV807" i="18" s="1"/>
  <c r="BD286" i="6"/>
  <c r="AV808" i="18" s="1"/>
  <c r="DC367" i="6"/>
  <c r="CU606" i="18" s="1"/>
  <c r="DC370" i="6"/>
  <c r="CU609" i="18" s="1"/>
  <c r="BZ596" i="5"/>
  <c r="CA595" i="5"/>
  <c r="BZ515" i="5"/>
  <c r="BZ516" i="5" s="1"/>
  <c r="BZ517" i="5" s="1"/>
  <c r="BS6" i="5"/>
  <c r="AZ1247" i="18" l="1"/>
  <c r="AZ707" i="18"/>
  <c r="AY1247" i="18"/>
  <c r="AY707" i="18"/>
  <c r="CY190" i="5"/>
  <c r="CQ155" i="18"/>
  <c r="CE184" i="5"/>
  <c r="BW150" i="18" s="1"/>
  <c r="BW149" i="18"/>
  <c r="DC232" i="5"/>
  <c r="CT199" i="18"/>
  <c r="CC191" i="5"/>
  <c r="BU157" i="18" s="1"/>
  <c r="BU156" i="18"/>
  <c r="CF190" i="5"/>
  <c r="BX155" i="18"/>
  <c r="DB214" i="5"/>
  <c r="CT181" i="18" s="1"/>
  <c r="CT146" i="18"/>
  <c r="AX1247" i="18"/>
  <c r="AX707" i="18"/>
  <c r="AW1247" i="18"/>
  <c r="AW707" i="18"/>
  <c r="CY184" i="5"/>
  <c r="CQ150" i="18" s="1"/>
  <c r="CQ149" i="18"/>
  <c r="CE190" i="5"/>
  <c r="BW155" i="18"/>
  <c r="CF184" i="5"/>
  <c r="BX150" i="18" s="1"/>
  <c r="BX149" i="18"/>
  <c r="DF301" i="5"/>
  <c r="CX259" i="18" s="1"/>
  <c r="CX258" i="18"/>
  <c r="CX136" i="18"/>
  <c r="DF153" i="5"/>
  <c r="DA218" i="5"/>
  <c r="CS185" i="18" s="1"/>
  <c r="CS184" i="18"/>
  <c r="CZ230" i="5"/>
  <c r="CR197" i="18" s="1"/>
  <c r="CR196" i="18"/>
  <c r="AM6" i="7"/>
  <c r="AL5" i="7"/>
  <c r="BJ150" i="6"/>
  <c r="BB1250" i="18" s="1"/>
  <c r="BJ147" i="6"/>
  <c r="BF148" i="6"/>
  <c r="AX1248" i="18" s="1"/>
  <c r="BF286" i="6"/>
  <c r="AX808" i="18" s="1"/>
  <c r="BF285" i="6"/>
  <c r="AX807" i="18" s="1"/>
  <c r="DF76" i="6"/>
  <c r="CX613" i="18" s="1"/>
  <c r="DA292" i="5"/>
  <c r="CS250" i="18" s="1"/>
  <c r="DA229" i="5"/>
  <c r="DF231" i="6"/>
  <c r="BE148" i="6"/>
  <c r="AW1248" i="18" s="1"/>
  <c r="BI147" i="6"/>
  <c r="BI150" i="6"/>
  <c r="BA1250" i="18" s="1"/>
  <c r="BE286" i="6"/>
  <c r="AW808" i="18" s="1"/>
  <c r="BE285" i="6"/>
  <c r="AW807" i="18" s="1"/>
  <c r="AJ5" i="6"/>
  <c r="AK6" i="6"/>
  <c r="DB217" i="5"/>
  <c r="DB213" i="5"/>
  <c r="CT180" i="18" s="1"/>
  <c r="BK150" i="6"/>
  <c r="BC1250" i="18" s="1"/>
  <c r="BG148" i="6"/>
  <c r="AY1248" i="18" s="1"/>
  <c r="BK147" i="6"/>
  <c r="BG286" i="6"/>
  <c r="AY808" i="18" s="1"/>
  <c r="BG285" i="6"/>
  <c r="AY807" i="18" s="1"/>
  <c r="BL150" i="6"/>
  <c r="BD1250" i="18" s="1"/>
  <c r="BL147" i="6"/>
  <c r="BH148" i="6"/>
  <c r="AZ1248" i="18" s="1"/>
  <c r="DE366" i="6"/>
  <c r="CW605" i="18" s="1"/>
  <c r="DE337" i="6"/>
  <c r="CW871" i="18" s="1"/>
  <c r="DE336" i="6"/>
  <c r="CW870" i="18" s="1"/>
  <c r="DE70" i="6"/>
  <c r="CW631" i="18" s="1"/>
  <c r="DF188" i="5"/>
  <c r="CX154" i="18" s="1"/>
  <c r="DD223" i="5"/>
  <c r="CV190" i="18" s="1"/>
  <c r="DC216" i="5"/>
  <c r="CU183" i="18" s="1"/>
  <c r="DF365" i="6"/>
  <c r="CX604" i="18" s="1"/>
  <c r="DF68" i="6"/>
  <c r="DD72" i="6"/>
  <c r="CV633" i="18" s="1"/>
  <c r="DD71" i="6"/>
  <c r="CV632" i="18" s="1"/>
  <c r="DF88" i="6"/>
  <c r="CX639" i="18" s="1"/>
  <c r="DC371" i="6"/>
  <c r="CU610" i="18" s="1"/>
  <c r="DF335" i="6"/>
  <c r="CX869" i="18" s="1"/>
  <c r="DC197" i="5"/>
  <c r="CU163" i="18" s="1"/>
  <c r="DC180" i="5"/>
  <c r="DD196" i="5"/>
  <c r="CV162" i="18" s="1"/>
  <c r="DD367" i="6"/>
  <c r="CV606" i="18" s="1"/>
  <c r="DD370" i="6"/>
  <c r="CV609" i="18" s="1"/>
  <c r="CZ182" i="5"/>
  <c r="CR148" i="18" s="1"/>
  <c r="CZ291" i="5"/>
  <c r="CZ199" i="5"/>
  <c r="CZ194" i="5"/>
  <c r="CR160" i="18" s="1"/>
  <c r="DA193" i="5"/>
  <c r="CS159" i="18" s="1"/>
  <c r="BT6" i="5"/>
  <c r="CA596" i="5"/>
  <c r="CA515" i="5"/>
  <c r="CA516" i="5" s="1"/>
  <c r="CA517" i="5" s="1"/>
  <c r="CB595" i="5"/>
  <c r="BD707" i="18" l="1"/>
  <c r="BD1247" i="18"/>
  <c r="BB1247" i="18"/>
  <c r="BB707" i="18"/>
  <c r="BA1247" i="18"/>
  <c r="BA707" i="18"/>
  <c r="DA179" i="5"/>
  <c r="CS145" i="18" s="1"/>
  <c r="BC1247" i="18"/>
  <c r="BC707" i="18"/>
  <c r="DC214" i="5"/>
  <c r="CU181" i="18" s="1"/>
  <c r="CU146" i="18"/>
  <c r="CE191" i="5"/>
  <c r="BW157" i="18" s="1"/>
  <c r="BW156" i="18"/>
  <c r="CF191" i="5"/>
  <c r="BX157" i="18" s="1"/>
  <c r="BX156" i="18"/>
  <c r="DD232" i="5"/>
  <c r="CU199" i="18"/>
  <c r="CY191" i="5"/>
  <c r="CQ157" i="18" s="1"/>
  <c r="CQ156" i="18"/>
  <c r="DF151" i="5"/>
  <c r="DF150" i="5"/>
  <c r="DB218" i="5"/>
  <c r="CT185" i="18" s="1"/>
  <c r="CT184" i="18"/>
  <c r="CZ200" i="5"/>
  <c r="CR166" i="18" s="1"/>
  <c r="CR165" i="18"/>
  <c r="DA230" i="5"/>
  <c r="CS197" i="18" s="1"/>
  <c r="CS196" i="18"/>
  <c r="CZ15" i="5"/>
  <c r="CR8" i="18" s="1"/>
  <c r="CR249" i="18"/>
  <c r="AM5" i="7"/>
  <c r="AN6" i="7"/>
  <c r="DE223" i="5"/>
  <c r="CW190" i="18" s="1"/>
  <c r="DD216" i="5"/>
  <c r="CV183" i="18" s="1"/>
  <c r="BG297" i="6"/>
  <c r="AY818" i="18" s="1"/>
  <c r="BK286" i="6"/>
  <c r="BC808" i="18" s="1"/>
  <c r="BH286" i="6"/>
  <c r="AZ808" i="18" s="1"/>
  <c r="BO147" i="6"/>
  <c r="BK148" i="6"/>
  <c r="BC1248" i="18" s="1"/>
  <c r="BO150" i="6"/>
  <c r="BG1250" i="18" s="1"/>
  <c r="DF366" i="6"/>
  <c r="CX605" i="18" s="1"/>
  <c r="DF337" i="6"/>
  <c r="CX871" i="18" s="1"/>
  <c r="DF336" i="6"/>
  <c r="CX870" i="18" s="1"/>
  <c r="DF70" i="6"/>
  <c r="CX631" i="18" s="1"/>
  <c r="DE71" i="6"/>
  <c r="CW632" i="18" s="1"/>
  <c r="DE72" i="6"/>
  <c r="CW633" i="18" s="1"/>
  <c r="BE296" i="6"/>
  <c r="AW817" i="18" s="1"/>
  <c r="BI285" i="6"/>
  <c r="BA807" i="18" s="1"/>
  <c r="BJ285" i="6"/>
  <c r="BB807" i="18" s="1"/>
  <c r="BF296" i="6"/>
  <c r="AX817" i="18" s="1"/>
  <c r="DD371" i="6"/>
  <c r="CV610" i="18" s="1"/>
  <c r="DB229" i="5"/>
  <c r="DB292" i="5"/>
  <c r="CT250" i="18" s="1"/>
  <c r="BI286" i="6"/>
  <c r="BA808" i="18" s="1"/>
  <c r="BE297" i="6"/>
  <c r="AW818" i="18" s="1"/>
  <c r="BF297" i="6"/>
  <c r="AX818" i="18" s="1"/>
  <c r="BJ286" i="6"/>
  <c r="BB808" i="18" s="1"/>
  <c r="CZ293" i="5"/>
  <c r="CR251" i="18" s="1"/>
  <c r="BL148" i="6"/>
  <c r="BD1248" i="18" s="1"/>
  <c r="BP147" i="6"/>
  <c r="BP150" i="6"/>
  <c r="BH1250" i="18" s="1"/>
  <c r="CZ189" i="5"/>
  <c r="CZ183" i="5"/>
  <c r="CZ234" i="5"/>
  <c r="CR201" i="18" s="1"/>
  <c r="DA182" i="5"/>
  <c r="CS148" i="18" s="1"/>
  <c r="DA291" i="5"/>
  <c r="DA199" i="5"/>
  <c r="BM150" i="6"/>
  <c r="BE1250" i="18" s="1"/>
  <c r="BM147" i="6"/>
  <c r="BI148" i="6"/>
  <c r="BA1248" i="18" s="1"/>
  <c r="BJ148" i="6"/>
  <c r="BB1248" i="18" s="1"/>
  <c r="BN150" i="6"/>
  <c r="BF1250" i="18" s="1"/>
  <c r="BN147" i="6"/>
  <c r="DB193" i="5"/>
  <c r="DA194" i="5"/>
  <c r="CS160" i="18" s="1"/>
  <c r="DE196" i="5"/>
  <c r="CW162" i="18" s="1"/>
  <c r="DD180" i="5"/>
  <c r="DD197" i="5"/>
  <c r="CV163" i="18" s="1"/>
  <c r="DC217" i="5"/>
  <c r="DE367" i="6"/>
  <c r="CW606" i="18" s="1"/>
  <c r="DE370" i="6"/>
  <c r="CW609" i="18" s="1"/>
  <c r="BG296" i="6"/>
  <c r="AY817" i="18" s="1"/>
  <c r="BK285" i="6"/>
  <c r="BC807" i="18" s="1"/>
  <c r="BH285" i="6"/>
  <c r="AZ807" i="18" s="1"/>
  <c r="AK5" i="6"/>
  <c r="AL6" i="6"/>
  <c r="CB596" i="5"/>
  <c r="CX595" i="5"/>
  <c r="CX515" i="5" s="1"/>
  <c r="CX516" i="5" s="1"/>
  <c r="CX517" i="5" s="1"/>
  <c r="CB515" i="5"/>
  <c r="CB516" i="5" s="1"/>
  <c r="CB517" i="5" s="1"/>
  <c r="BU6" i="5"/>
  <c r="DD214" i="5" l="1"/>
  <c r="CV181" i="18" s="1"/>
  <c r="CV146" i="18"/>
  <c r="BF1247" i="18"/>
  <c r="BF707" i="18"/>
  <c r="BE1247" i="18"/>
  <c r="BE707" i="18"/>
  <c r="DE232" i="5"/>
  <c r="CV199" i="18"/>
  <c r="DC213" i="5"/>
  <c r="CU180" i="18" s="1"/>
  <c r="BH1247" i="18"/>
  <c r="BH707" i="18"/>
  <c r="DB179" i="5"/>
  <c r="CT145" i="18" s="1"/>
  <c r="CT159" i="18"/>
  <c r="BG1247" i="18"/>
  <c r="BG707" i="18"/>
  <c r="CZ190" i="5"/>
  <c r="CR155" i="18"/>
  <c r="DB230" i="5"/>
  <c r="CT197" i="18" s="1"/>
  <c r="CT196" i="18"/>
  <c r="DC218" i="5"/>
  <c r="CU185" i="18" s="1"/>
  <c r="CU184" i="18"/>
  <c r="DA200" i="5"/>
  <c r="CS166" i="18" s="1"/>
  <c r="CS165" i="18"/>
  <c r="CZ184" i="5"/>
  <c r="CR150" i="18" s="1"/>
  <c r="CR149" i="18"/>
  <c r="DA15" i="5"/>
  <c r="CS8" i="18" s="1"/>
  <c r="CS249" i="18"/>
  <c r="AO6" i="7"/>
  <c r="AN5" i="7"/>
  <c r="DB199" i="5"/>
  <c r="DB291" i="5"/>
  <c r="DB182" i="5"/>
  <c r="CT148" i="18" s="1"/>
  <c r="BQ150" i="6"/>
  <c r="BI1250" i="18" s="1"/>
  <c r="BQ147" i="6"/>
  <c r="BM148" i="6"/>
  <c r="BE1248" i="18" s="1"/>
  <c r="BL286" i="6"/>
  <c r="BD808" i="18" s="1"/>
  <c r="DE371" i="6"/>
  <c r="CW610" i="18" s="1"/>
  <c r="DF196" i="5"/>
  <c r="CX162" i="18" s="1"/>
  <c r="DE180" i="5"/>
  <c r="DE197" i="5"/>
  <c r="CW163" i="18" s="1"/>
  <c r="BJ288" i="6"/>
  <c r="BB810" i="18" s="1"/>
  <c r="BO148" i="6"/>
  <c r="BG1248" i="18" s="1"/>
  <c r="BS150" i="6"/>
  <c r="BK1250" i="18" s="1"/>
  <c r="BS147" i="6"/>
  <c r="BH297" i="6"/>
  <c r="AZ818" i="18" s="1"/>
  <c r="BI288" i="6"/>
  <c r="BA810" i="18" s="1"/>
  <c r="DC179" i="5"/>
  <c r="CU145" i="18" s="1"/>
  <c r="DC292" i="5"/>
  <c r="CU250" i="18" s="1"/>
  <c r="DC229" i="5"/>
  <c r="DF367" i="6"/>
  <c r="CX606" i="18" s="1"/>
  <c r="DF370" i="6"/>
  <c r="CX609" i="18" s="1"/>
  <c r="BH296" i="6"/>
  <c r="AZ817" i="18" s="1"/>
  <c r="BR150" i="6"/>
  <c r="BJ1250" i="18" s="1"/>
  <c r="BN148" i="6"/>
  <c r="BF1248" i="18" s="1"/>
  <c r="BR147" i="6"/>
  <c r="DA293" i="5"/>
  <c r="CS251" i="18" s="1"/>
  <c r="DD217" i="5"/>
  <c r="DD213" i="5"/>
  <c r="CV180" i="18" s="1"/>
  <c r="AM6" i="6"/>
  <c r="AL5" i="6"/>
  <c r="DB194" i="5"/>
  <c r="CT160" i="18" s="1"/>
  <c r="DC193" i="5"/>
  <c r="CU159" i="18" s="1"/>
  <c r="BK288" i="6"/>
  <c r="BC810" i="18" s="1"/>
  <c r="BL285" i="6"/>
  <c r="BD807" i="18" s="1"/>
  <c r="DF223" i="5"/>
  <c r="DE216" i="5"/>
  <c r="CW183" i="18" s="1"/>
  <c r="DA234" i="5"/>
  <c r="CS201" i="18" s="1"/>
  <c r="DA189" i="5"/>
  <c r="DA183" i="5"/>
  <c r="BT150" i="6"/>
  <c r="BL1250" i="18" s="1"/>
  <c r="BT147" i="6"/>
  <c r="BP148" i="6"/>
  <c r="BH1248" i="18" s="1"/>
  <c r="DF72" i="6"/>
  <c r="CX633" i="18" s="1"/>
  <c r="DF71" i="6"/>
  <c r="CX632" i="18" s="1"/>
  <c r="BV6" i="5"/>
  <c r="CX596" i="5"/>
  <c r="BL1247" i="18" l="1"/>
  <c r="BL707" i="18"/>
  <c r="DF232" i="5"/>
  <c r="CX199" i="18" s="1"/>
  <c r="CW199" i="18"/>
  <c r="BK1247" i="18"/>
  <c r="BK707" i="18"/>
  <c r="BJ1247" i="18"/>
  <c r="BJ707" i="18"/>
  <c r="BI1247" i="18"/>
  <c r="BI707" i="18"/>
  <c r="DE214" i="5"/>
  <c r="CW181" i="18" s="1"/>
  <c r="CW146" i="18"/>
  <c r="DB15" i="5"/>
  <c r="CT8" i="18" s="1"/>
  <c r="CT249" i="18"/>
  <c r="DF216" i="5"/>
  <c r="CX183" i="18" s="1"/>
  <c r="CX190" i="18"/>
  <c r="DB200" i="5"/>
  <c r="CT166" i="18" s="1"/>
  <c r="CT165" i="18"/>
  <c r="CZ191" i="5"/>
  <c r="CR157" i="18" s="1"/>
  <c r="CR156" i="18"/>
  <c r="DA190" i="5"/>
  <c r="CS155" i="18"/>
  <c r="DH15" i="5"/>
  <c r="CZ8" i="18" s="1"/>
  <c r="DD218" i="5"/>
  <c r="CV185" i="18" s="1"/>
  <c r="CV184" i="18"/>
  <c r="DC230" i="5"/>
  <c r="CU197" i="18" s="1"/>
  <c r="CU196" i="18"/>
  <c r="DA184" i="5"/>
  <c r="CS150" i="18" s="1"/>
  <c r="CS149" i="18"/>
  <c r="AO5" i="7"/>
  <c r="AP6" i="7"/>
  <c r="BT148" i="6"/>
  <c r="BL1248" i="18" s="1"/>
  <c r="BX150" i="6"/>
  <c r="BP1250" i="18" s="1"/>
  <c r="BX147" i="6"/>
  <c r="DD193" i="5"/>
  <c r="CV159" i="18" s="1"/>
  <c r="DC194" i="5"/>
  <c r="CU160" i="18" s="1"/>
  <c r="BJ299" i="6"/>
  <c r="BB820" i="18" s="1"/>
  <c r="DE217" i="5"/>
  <c r="DE213" i="5"/>
  <c r="CW180" i="18" s="1"/>
  <c r="DB293" i="5"/>
  <c r="CT251" i="18" s="1"/>
  <c r="BU150" i="6"/>
  <c r="BM1250" i="18" s="1"/>
  <c r="BQ148" i="6"/>
  <c r="BI1248" i="18" s="1"/>
  <c r="BU147" i="6"/>
  <c r="DD292" i="5"/>
  <c r="CV250" i="18" s="1"/>
  <c r="DD229" i="5"/>
  <c r="DC182" i="5"/>
  <c r="CU148" i="18" s="1"/>
  <c r="DC291" i="5"/>
  <c r="DC199" i="5"/>
  <c r="BS148" i="6"/>
  <c r="BK1248" i="18" s="1"/>
  <c r="BW150" i="6"/>
  <c r="BO1250" i="18" s="1"/>
  <c r="BW147" i="6"/>
  <c r="BL296" i="6"/>
  <c r="BD817" i="18" s="1"/>
  <c r="BL288" i="6"/>
  <c r="BD810" i="18" s="1"/>
  <c r="DB183" i="5"/>
  <c r="DB189" i="5"/>
  <c r="DB234" i="5"/>
  <c r="CT201" i="18" s="1"/>
  <c r="BV150" i="6"/>
  <c r="BN1250" i="18" s="1"/>
  <c r="BV147" i="6"/>
  <c r="BR148" i="6"/>
  <c r="BJ1248" i="18" s="1"/>
  <c r="AN6" i="6"/>
  <c r="AM5" i="6"/>
  <c r="DF197" i="5"/>
  <c r="CX163" i="18" s="1"/>
  <c r="DF180" i="5"/>
  <c r="BI299" i="6"/>
  <c r="BA820" i="18" s="1"/>
  <c r="BL297" i="6"/>
  <c r="BD818" i="18" s="1"/>
  <c r="BK299" i="6"/>
  <c r="BC820" i="18" s="1"/>
  <c r="DF371" i="6"/>
  <c r="CX610" i="18" s="1"/>
  <c r="BW6" i="5"/>
  <c r="BN1247" i="18" l="1"/>
  <c r="BN707" i="18"/>
  <c r="BM1247" i="18"/>
  <c r="BM707" i="18"/>
  <c r="DF214" i="5"/>
  <c r="CX181" i="18" s="1"/>
  <c r="CX146" i="18"/>
  <c r="BO1247" i="18"/>
  <c r="BO707" i="18"/>
  <c r="BP1247" i="18"/>
  <c r="BP707" i="18"/>
  <c r="DD179" i="5"/>
  <c r="CV145" i="18" s="1"/>
  <c r="DC15" i="5"/>
  <c r="CU8" i="18" s="1"/>
  <c r="CU249" i="18"/>
  <c r="DB184" i="5"/>
  <c r="CT150" i="18" s="1"/>
  <c r="CT149" i="18"/>
  <c r="DD230" i="5"/>
  <c r="CV197" i="18" s="1"/>
  <c r="CV196" i="18"/>
  <c r="DE218" i="5"/>
  <c r="CW185" i="18" s="1"/>
  <c r="CW184" i="18"/>
  <c r="DA191" i="5"/>
  <c r="CS157" i="18" s="1"/>
  <c r="CS156" i="18"/>
  <c r="DF213" i="5"/>
  <c r="CX180" i="18" s="1"/>
  <c r="DC200" i="5"/>
  <c r="CU166" i="18" s="1"/>
  <c r="CU165" i="18"/>
  <c r="DB190" i="5"/>
  <c r="CT155" i="18"/>
  <c r="DC293" i="5"/>
  <c r="CU251" i="18" s="1"/>
  <c r="DF217" i="5"/>
  <c r="CX184" i="18" s="1"/>
  <c r="AQ6" i="7"/>
  <c r="AP5" i="7"/>
  <c r="DD199" i="5"/>
  <c r="DD182" i="5"/>
  <c r="CV148" i="18" s="1"/>
  <c r="DE292" i="5"/>
  <c r="CW250" i="18" s="1"/>
  <c r="DE229" i="5"/>
  <c r="BW148" i="6"/>
  <c r="BO1248" i="18" s="1"/>
  <c r="CA147" i="6"/>
  <c r="CA150" i="6"/>
  <c r="BS1250" i="18" s="1"/>
  <c r="BL299" i="6"/>
  <c r="BD820" i="18" s="1"/>
  <c r="BU148" i="6"/>
  <c r="BM1248" i="18" s="1"/>
  <c r="BY147" i="6"/>
  <c r="BY150" i="6"/>
  <c r="BQ1250" i="18" s="1"/>
  <c r="AN5" i="6"/>
  <c r="AO6" i="6"/>
  <c r="DF218" i="5"/>
  <c r="CX185" i="18" s="1"/>
  <c r="CB150" i="6"/>
  <c r="BT1250" i="18" s="1"/>
  <c r="CB147" i="6"/>
  <c r="BX148" i="6"/>
  <c r="BP1248" i="18" s="1"/>
  <c r="BZ147" i="6"/>
  <c r="BV148" i="6"/>
  <c r="BN1248" i="18" s="1"/>
  <c r="BZ150" i="6"/>
  <c r="BR1250" i="18" s="1"/>
  <c r="DC183" i="5"/>
  <c r="DC189" i="5"/>
  <c r="DC234" i="5"/>
  <c r="CU201" i="18" s="1"/>
  <c r="DE193" i="5"/>
  <c r="DD194" i="5"/>
  <c r="CV160" i="18" s="1"/>
  <c r="BX6" i="5"/>
  <c r="BS1247" i="18" l="1"/>
  <c r="BS707" i="18"/>
  <c r="DE179" i="5"/>
  <c r="CW145" i="18" s="1"/>
  <c r="CW159" i="18"/>
  <c r="BT1247" i="18"/>
  <c r="BT707" i="18"/>
  <c r="DF292" i="5"/>
  <c r="CX250" i="18" s="1"/>
  <c r="BR1247" i="18"/>
  <c r="BR707" i="18"/>
  <c r="BQ1247" i="18"/>
  <c r="BQ707" i="18"/>
  <c r="DD291" i="5"/>
  <c r="DC184" i="5"/>
  <c r="CU150" i="18" s="1"/>
  <c r="CU149" i="18"/>
  <c r="DD15" i="5"/>
  <c r="CV8" i="18" s="1"/>
  <c r="CV249" i="18"/>
  <c r="DE230" i="5"/>
  <c r="CW197" i="18" s="1"/>
  <c r="CW196" i="18"/>
  <c r="DD200" i="5"/>
  <c r="CV166" i="18" s="1"/>
  <c r="CV165" i="18"/>
  <c r="DC190" i="5"/>
  <c r="CU155" i="18"/>
  <c r="DF229" i="5"/>
  <c r="CX196" i="18" s="1"/>
  <c r="DB191" i="5"/>
  <c r="CT157" i="18" s="1"/>
  <c r="CT156" i="18"/>
  <c r="AR6" i="7"/>
  <c r="AQ5" i="7"/>
  <c r="BZ148" i="6"/>
  <c r="BR1248" i="18" s="1"/>
  <c r="AO5" i="6"/>
  <c r="AP6" i="6"/>
  <c r="DD234" i="5"/>
  <c r="CV201" i="18" s="1"/>
  <c r="DD189" i="5"/>
  <c r="DD183" i="5"/>
  <c r="CA148" i="6"/>
  <c r="BS1248" i="18" s="1"/>
  <c r="DD293" i="5"/>
  <c r="CV251" i="18" s="1"/>
  <c r="BY148" i="6"/>
  <c r="BQ1248" i="18" s="1"/>
  <c r="CB148" i="6"/>
  <c r="BT1248" i="18" s="1"/>
  <c r="DE194" i="5"/>
  <c r="CW160" i="18" s="1"/>
  <c r="DF193" i="5"/>
  <c r="CX159" i="18" s="1"/>
  <c r="DF230" i="5"/>
  <c r="CX197" i="18" s="1"/>
  <c r="BY6" i="5"/>
  <c r="DE291" i="5" l="1"/>
  <c r="DE199" i="5"/>
  <c r="DE200" i="5" s="1"/>
  <c r="CW166" i="18" s="1"/>
  <c r="DE182" i="5"/>
  <c r="CW148" i="18" s="1"/>
  <c r="DE15" i="5"/>
  <c r="CW8" i="18" s="1"/>
  <c r="CW249" i="18"/>
  <c r="DC191" i="5"/>
  <c r="CU157" i="18" s="1"/>
  <c r="CU156" i="18"/>
  <c r="DE293" i="5"/>
  <c r="CW251" i="18" s="1"/>
  <c r="CW165" i="18"/>
  <c r="DD184" i="5"/>
  <c r="CV150" i="18" s="1"/>
  <c r="CV149" i="18"/>
  <c r="DD190" i="5"/>
  <c r="CV155" i="18"/>
  <c r="AS6" i="7"/>
  <c r="AR5" i="7"/>
  <c r="BZ166" i="6"/>
  <c r="BR716" i="18" s="1"/>
  <c r="BZ155" i="6"/>
  <c r="BR672" i="18" s="1"/>
  <c r="BZ25" i="6"/>
  <c r="BR579" i="18" s="1"/>
  <c r="CB166" i="6"/>
  <c r="BT716" i="18" s="1"/>
  <c r="CB155" i="6"/>
  <c r="BT672" i="18" s="1"/>
  <c r="CB25" i="6"/>
  <c r="BT579" i="18" s="1"/>
  <c r="BY166" i="6"/>
  <c r="BQ716" i="18" s="1"/>
  <c r="BY155" i="6"/>
  <c r="BQ672" i="18" s="1"/>
  <c r="CX154" i="6"/>
  <c r="CP671" i="18" s="1"/>
  <c r="BY25" i="6"/>
  <c r="BQ579" i="18" s="1"/>
  <c r="AP5" i="6"/>
  <c r="AQ6" i="6"/>
  <c r="DE189" i="5"/>
  <c r="DF194" i="5"/>
  <c r="CX160" i="18" s="1"/>
  <c r="DF179" i="5"/>
  <c r="CX145" i="18" s="1"/>
  <c r="CA166" i="6"/>
  <c r="BS716" i="18" s="1"/>
  <c r="CA155" i="6"/>
  <c r="BS672" i="18" s="1"/>
  <c r="CA25" i="6"/>
  <c r="BS579" i="18" s="1"/>
  <c r="BZ6" i="5"/>
  <c r="DE234" i="5" l="1"/>
  <c r="CW201" i="18" s="1"/>
  <c r="DE183" i="5"/>
  <c r="DE184" i="5" s="1"/>
  <c r="CW150" i="18" s="1"/>
  <c r="DE190" i="5"/>
  <c r="CW155" i="18"/>
  <c r="DD191" i="5"/>
  <c r="CV157" i="18" s="1"/>
  <c r="CV156" i="18"/>
  <c r="AT6" i="7"/>
  <c r="AS5" i="7"/>
  <c r="BY26" i="6"/>
  <c r="BQ580" i="18" s="1"/>
  <c r="CX25" i="6"/>
  <c r="CP579" i="18" s="1"/>
  <c r="BY277" i="5"/>
  <c r="BQ233" i="18" s="1"/>
  <c r="CA26" i="6"/>
  <c r="BS580" i="18" s="1"/>
  <c r="CA277" i="5"/>
  <c r="BS233" i="18" s="1"/>
  <c r="AR6" i="6"/>
  <c r="AQ5" i="6"/>
  <c r="CX155" i="6"/>
  <c r="CP672" i="18" s="1"/>
  <c r="CX147" i="6"/>
  <c r="CX166" i="6"/>
  <c r="CP716" i="18" s="1"/>
  <c r="BZ26" i="6"/>
  <c r="BR580" i="18" s="1"/>
  <c r="BZ277" i="5"/>
  <c r="BR233" i="18" s="1"/>
  <c r="BZ167" i="6"/>
  <c r="BR717" i="18" s="1"/>
  <c r="CB26" i="6"/>
  <c r="BT580" i="18" s="1"/>
  <c r="CB277" i="5"/>
  <c r="BT233" i="18" s="1"/>
  <c r="BZ157" i="6"/>
  <c r="BR674" i="18" s="1"/>
  <c r="CA167" i="6"/>
  <c r="BS717" i="18" s="1"/>
  <c r="BY167" i="6"/>
  <c r="BQ717" i="18" s="1"/>
  <c r="DF291" i="5"/>
  <c r="CX249" i="18" s="1"/>
  <c r="DF199" i="5"/>
  <c r="DF182" i="5"/>
  <c r="CX148" i="18" s="1"/>
  <c r="CB157" i="6"/>
  <c r="BT674" i="18" s="1"/>
  <c r="CA157" i="6"/>
  <c r="BS674" i="18" s="1"/>
  <c r="BY157" i="6"/>
  <c r="BQ674" i="18" s="1"/>
  <c r="CB167" i="6"/>
  <c r="BT717" i="18" s="1"/>
  <c r="CA6" i="5"/>
  <c r="CW149" i="18" l="1"/>
  <c r="DE191" i="5"/>
  <c r="CW157" i="18" s="1"/>
  <c r="CW156" i="18"/>
  <c r="DF200" i="5"/>
  <c r="CX166" i="18" s="1"/>
  <c r="CX165" i="18"/>
  <c r="CP1247" i="18"/>
  <c r="CP707" i="18"/>
  <c r="AU6" i="7"/>
  <c r="AT5" i="7"/>
  <c r="CB278" i="5"/>
  <c r="CB27" i="6"/>
  <c r="BT581" i="18" s="1"/>
  <c r="BZ159" i="6"/>
  <c r="BR711" i="18" s="1"/>
  <c r="BZ168" i="6"/>
  <c r="BR718" i="18" s="1"/>
  <c r="BY27" i="6"/>
  <c r="BQ581" i="18" s="1"/>
  <c r="DF15" i="5"/>
  <c r="CX8" i="18" s="1"/>
  <c r="DF293" i="5"/>
  <c r="CX251" i="18" s="1"/>
  <c r="AR5" i="6"/>
  <c r="AS6" i="6"/>
  <c r="BZ278" i="5"/>
  <c r="CX238" i="6"/>
  <c r="CP763" i="18" s="1"/>
  <c r="CX148" i="6"/>
  <c r="CP1248" i="18" s="1"/>
  <c r="CX287" i="6"/>
  <c r="CP809" i="18" s="1"/>
  <c r="CX285" i="6"/>
  <c r="CP807" i="18" s="1"/>
  <c r="CX286" i="6"/>
  <c r="CP808" i="18" s="1"/>
  <c r="CX245" i="6"/>
  <c r="CP769" i="18" s="1"/>
  <c r="CB159" i="6"/>
  <c r="BT711" i="18" s="1"/>
  <c r="CB168" i="6"/>
  <c r="BT718" i="18" s="1"/>
  <c r="BY159" i="6"/>
  <c r="BQ711" i="18" s="1"/>
  <c r="BY168" i="6"/>
  <c r="BQ718" i="18" s="1"/>
  <c r="CX251" i="6"/>
  <c r="CP773" i="18" s="1"/>
  <c r="CX26" i="6"/>
  <c r="CP580" i="18" s="1"/>
  <c r="CA159" i="6"/>
  <c r="BS711" i="18" s="1"/>
  <c r="CA168" i="6"/>
  <c r="BS718" i="18" s="1"/>
  <c r="DF234" i="5"/>
  <c r="CX201" i="18" s="1"/>
  <c r="DF183" i="5"/>
  <c r="DF189" i="5"/>
  <c r="BZ27" i="6"/>
  <c r="BR581" i="18" s="1"/>
  <c r="CA278" i="5"/>
  <c r="CX167" i="6"/>
  <c r="CX277" i="5"/>
  <c r="BY278" i="5"/>
  <c r="CA27" i="6"/>
  <c r="BS581" i="18" s="1"/>
  <c r="CB6" i="5"/>
  <c r="DF190" i="5" l="1"/>
  <c r="CX155" i="18"/>
  <c r="DF184" i="5"/>
  <c r="CX150" i="18" s="1"/>
  <c r="CX149" i="18"/>
  <c r="BZ279" i="5"/>
  <c r="BR235" i="18" s="1"/>
  <c r="BR234" i="18"/>
  <c r="BY279" i="5"/>
  <c r="BQ235" i="18" s="1"/>
  <c r="BQ234" i="18"/>
  <c r="CA279" i="5"/>
  <c r="BS235" i="18" s="1"/>
  <c r="BS234" i="18"/>
  <c r="CB279" i="5"/>
  <c r="BT235" i="18" s="1"/>
  <c r="BT234" i="18"/>
  <c r="CX278" i="5"/>
  <c r="CP233" i="18"/>
  <c r="CP717" i="18"/>
  <c r="AU5" i="7"/>
  <c r="AV6" i="7"/>
  <c r="BY160" i="6"/>
  <c r="BQ712" i="18" s="1"/>
  <c r="CX309" i="6"/>
  <c r="CP842" i="18" s="1"/>
  <c r="CX298" i="6"/>
  <c r="CP819" i="18" s="1"/>
  <c r="CX168" i="6"/>
  <c r="CP718" i="18" s="1"/>
  <c r="CX159" i="6"/>
  <c r="CP711" i="18" s="1"/>
  <c r="CX151" i="6"/>
  <c r="CP708" i="18" s="1"/>
  <c r="CA160" i="6"/>
  <c r="BS712" i="18" s="1"/>
  <c r="CX27" i="6"/>
  <c r="CP581" i="18" s="1"/>
  <c r="CX265" i="6"/>
  <c r="CP788" i="18" s="1"/>
  <c r="CX254" i="6"/>
  <c r="CP777" i="18" s="1"/>
  <c r="CX241" i="6"/>
  <c r="CP766" i="18" s="1"/>
  <c r="CX239" i="6"/>
  <c r="CP764" i="18" s="1"/>
  <c r="CX248" i="6"/>
  <c r="CP772" i="18" s="1"/>
  <c r="CX240" i="6"/>
  <c r="CP765" i="18" s="1"/>
  <c r="CX308" i="6"/>
  <c r="CP841" i="18" s="1"/>
  <c r="CX297" i="6"/>
  <c r="CP818" i="18" s="1"/>
  <c r="AS5" i="6"/>
  <c r="AT6" i="6"/>
  <c r="BZ160" i="6"/>
  <c r="BR712" i="18" s="1"/>
  <c r="CB160" i="6"/>
  <c r="BT712" i="18" s="1"/>
  <c r="CX307" i="6"/>
  <c r="CP840" i="18" s="1"/>
  <c r="CX296" i="6"/>
  <c r="CP817" i="18" s="1"/>
  <c r="CX289" i="6"/>
  <c r="CC6" i="5"/>
  <c r="CX255" i="6" l="1"/>
  <c r="CP778" i="18" s="1"/>
  <c r="DF191" i="5"/>
  <c r="CX157" i="18" s="1"/>
  <c r="CX156" i="18"/>
  <c r="CX279" i="5"/>
  <c r="CP235" i="18" s="1"/>
  <c r="CP234" i="18"/>
  <c r="AW6" i="7"/>
  <c r="AV5" i="7"/>
  <c r="CX300" i="6"/>
  <c r="CX311" i="6"/>
  <c r="CX290" i="6"/>
  <c r="CP812" i="18" s="1"/>
  <c r="CA162" i="6"/>
  <c r="CX152" i="6"/>
  <c r="CP709" i="18" s="1"/>
  <c r="CX259" i="6"/>
  <c r="CP782" i="18" s="1"/>
  <c r="CX262" i="6"/>
  <c r="CP785" i="18" s="1"/>
  <c r="CX268" i="6"/>
  <c r="CP791" i="18" s="1"/>
  <c r="BZ162" i="6"/>
  <c r="CX256" i="6"/>
  <c r="CX258" i="6"/>
  <c r="CP781" i="18" s="1"/>
  <c r="CX275" i="6"/>
  <c r="CP797" i="18" s="1"/>
  <c r="CX160" i="6"/>
  <c r="CP712" i="18" s="1"/>
  <c r="BY162" i="6"/>
  <c r="CB162" i="6"/>
  <c r="AU6" i="6"/>
  <c r="AT5" i="6"/>
  <c r="CX249" i="6"/>
  <c r="CX250" i="6" s="1"/>
  <c r="CP774" i="18" s="1"/>
  <c r="CD6" i="5"/>
  <c r="AX6" i="7" l="1"/>
  <c r="AW5" i="7"/>
  <c r="CX196" i="6"/>
  <c r="CP735" i="18" s="1"/>
  <c r="CX301" i="6"/>
  <c r="CX312" i="6"/>
  <c r="CX205" i="6"/>
  <c r="CX162" i="6"/>
  <c r="AU5" i="6"/>
  <c r="AV6" i="6"/>
  <c r="CE6" i="5"/>
  <c r="AY6" i="7" l="1"/>
  <c r="AX5" i="7"/>
  <c r="CX200" i="6"/>
  <c r="CX197" i="6"/>
  <c r="CX198" i="6"/>
  <c r="CP736" i="18" s="1"/>
  <c r="CX202" i="6"/>
  <c r="CX203" i="6" s="1"/>
  <c r="AW6" i="6"/>
  <c r="AV5" i="6"/>
  <c r="CX193" i="6"/>
  <c r="CX194" i="6" s="1"/>
  <c r="CX206" i="6"/>
  <c r="CX209" i="6"/>
  <c r="CP737" i="18" s="1"/>
  <c r="CX207" i="6"/>
  <c r="CF6" i="5"/>
  <c r="AY5" i="7" l="1"/>
  <c r="AZ6" i="7"/>
  <c r="AX6" i="6"/>
  <c r="AW5" i="6"/>
  <c r="CX199" i="6"/>
  <c r="BA6" i="7" l="1"/>
  <c r="AZ5" i="7"/>
  <c r="AX5" i="6"/>
  <c r="AY6" i="6"/>
  <c r="BB6" i="7" l="1"/>
  <c r="BA5" i="7"/>
  <c r="AY5" i="6"/>
  <c r="AZ6" i="6"/>
  <c r="BC6" i="7" l="1"/>
  <c r="BB5" i="7"/>
  <c r="BA6" i="6"/>
  <c r="AZ5" i="6"/>
  <c r="BD6" i="7" l="1"/>
  <c r="BC5" i="7"/>
  <c r="BA5" i="6"/>
  <c r="BB6" i="6"/>
  <c r="BE6" i="7" l="1"/>
  <c r="BD5" i="7"/>
  <c r="BC6" i="6"/>
  <c r="BB5" i="6"/>
  <c r="BF6" i="7" l="1"/>
  <c r="BE5" i="7"/>
  <c r="BC5" i="6"/>
  <c r="BD6" i="6"/>
  <c r="BG6" i="7" l="1"/>
  <c r="BF5" i="7"/>
  <c r="BD5" i="6"/>
  <c r="BE6" i="6"/>
  <c r="BH6" i="7" l="1"/>
  <c r="BG5" i="7"/>
  <c r="BF6" i="6"/>
  <c r="BE5" i="6"/>
  <c r="BI6" i="7" l="1"/>
  <c r="BH5" i="7"/>
  <c r="BF5" i="6"/>
  <c r="BG6" i="6"/>
  <c r="BJ6" i="7" l="1"/>
  <c r="BI5" i="7"/>
  <c r="BH6" i="6"/>
  <c r="BG5" i="6"/>
  <c r="BJ5" i="7" l="1"/>
  <c r="BK6" i="7"/>
  <c r="BH5" i="6"/>
  <c r="BI6" i="6"/>
  <c r="BL6" i="7" l="1"/>
  <c r="BK5" i="7"/>
  <c r="BJ6" i="6"/>
  <c r="BI5" i="6"/>
  <c r="BM6" i="7" l="1"/>
  <c r="BL5" i="7"/>
  <c r="BK6" i="6"/>
  <c r="BJ5" i="6"/>
  <c r="BM5" i="7" l="1"/>
  <c r="BN6" i="7"/>
  <c r="BK5" i="6"/>
  <c r="BL6" i="6"/>
  <c r="BO6" i="7" l="1"/>
  <c r="BN5" i="7"/>
  <c r="BL5" i="6"/>
  <c r="BM6" i="6"/>
  <c r="BP6" i="7" l="1"/>
  <c r="BO5" i="7"/>
  <c r="BM5" i="6"/>
  <c r="BN6" i="6"/>
  <c r="BQ6" i="7" l="1"/>
  <c r="BP5" i="7"/>
  <c r="BO6" i="6"/>
  <c r="BN5" i="6"/>
  <c r="BR6" i="7" l="1"/>
  <c r="BQ5" i="7"/>
  <c r="BP6" i="6"/>
  <c r="BO5" i="6"/>
  <c r="BS6" i="7" l="1"/>
  <c r="BR5" i="7"/>
  <c r="BP5" i="6"/>
  <c r="BQ6" i="6"/>
  <c r="BS5" i="7" l="1"/>
  <c r="BT6" i="7"/>
  <c r="BQ5" i="6"/>
  <c r="BR6" i="6"/>
  <c r="BU6" i="7" l="1"/>
  <c r="BT5" i="7"/>
  <c r="BS6" i="6"/>
  <c r="BR5" i="6"/>
  <c r="BU5" i="7" l="1"/>
  <c r="BV6" i="7"/>
  <c r="BT6" i="6"/>
  <c r="BS5" i="6"/>
  <c r="BW6" i="7" l="1"/>
  <c r="BV5" i="7"/>
  <c r="BT5" i="6"/>
  <c r="BU6" i="6"/>
  <c r="BX6" i="7" l="1"/>
  <c r="BW5" i="7"/>
  <c r="BU5" i="6"/>
  <c r="BV6" i="6"/>
  <c r="BY6" i="7" l="1"/>
  <c r="BX5" i="7"/>
  <c r="BV5" i="6"/>
  <c r="BW6" i="6"/>
  <c r="BZ6" i="7" l="1"/>
  <c r="BY5" i="7"/>
  <c r="BX6" i="6"/>
  <c r="BW5" i="6"/>
  <c r="BZ5" i="7" l="1"/>
  <c r="CA6" i="7"/>
  <c r="BX5" i="6"/>
  <c r="BY6" i="6"/>
  <c r="CB6" i="7" l="1"/>
  <c r="CA5" i="7"/>
  <c r="BY5" i="6"/>
  <c r="BZ6" i="6"/>
  <c r="CC6" i="7" l="1"/>
  <c r="CB5" i="7"/>
  <c r="CA6" i="6"/>
  <c r="BZ5" i="6"/>
  <c r="CC5" i="7" l="1"/>
  <c r="CD6" i="7"/>
  <c r="CA5" i="6"/>
  <c r="CB6" i="6"/>
  <c r="CD5" i="7" l="1"/>
  <c r="CE6" i="7"/>
  <c r="CC6" i="6"/>
  <c r="CB5" i="6"/>
  <c r="CE5" i="7" l="1"/>
  <c r="CF6" i="7"/>
  <c r="CF5" i="7" s="1"/>
  <c r="CC5" i="6"/>
  <c r="CD6" i="6"/>
  <c r="CD5" i="6" l="1"/>
  <c r="CE6" i="6"/>
  <c r="CE5" i="6" l="1"/>
  <c r="CF6" i="6"/>
  <c r="CF5" i="6" s="1"/>
  <c r="CX271" i="6" l="1"/>
  <c r="CW272" i="6"/>
  <c r="CO794" i="18" l="1"/>
  <c r="CW273" i="6"/>
  <c r="CY271" i="6"/>
  <c r="CY272" i="6" s="1"/>
  <c r="CQ794" i="18" s="1"/>
  <c r="CX272" i="6"/>
  <c r="CP794" i="18" l="1"/>
  <c r="CX273" i="6"/>
  <c r="CO795" i="18"/>
  <c r="CW274" i="6"/>
  <c r="CO796" i="18" s="1"/>
  <c r="CP795" i="18" l="1"/>
  <c r="CX274" i="6"/>
  <c r="CP796" i="18" s="1"/>
  <c r="CC106" i="7" l="1"/>
  <c r="CC104" i="7"/>
  <c r="CC100" i="7"/>
  <c r="CC103" i="7"/>
  <c r="CC99" i="7"/>
  <c r="CC102" i="7"/>
  <c r="CC101" i="7"/>
  <c r="CC98" i="7" l="1"/>
  <c r="CD106" i="7" l="1"/>
  <c r="CD104" i="7"/>
  <c r="CD100" i="7"/>
  <c r="CD103" i="7"/>
  <c r="CD99" i="7"/>
  <c r="CD102" i="7"/>
  <c r="CD101" i="7"/>
  <c r="CD98" i="7" l="1"/>
  <c r="CE106" i="7" l="1"/>
  <c r="CE104" i="7"/>
  <c r="CE100" i="7"/>
  <c r="CE103" i="7"/>
  <c r="CE99" i="7"/>
  <c r="CE102" i="7"/>
  <c r="CE101" i="7"/>
  <c r="CE98" i="7" l="1"/>
  <c r="CF106" i="7" l="1"/>
  <c r="CF104" i="7"/>
  <c r="CF100" i="7"/>
  <c r="CF103" i="7"/>
  <c r="CF99" i="7"/>
  <c r="CF102" i="7"/>
  <c r="CF101" i="7"/>
  <c r="CZ26" i="7" l="1"/>
  <c r="CY26" i="7"/>
  <c r="CZ27" i="7"/>
  <c r="DA27" i="7" s="1"/>
  <c r="DB27" i="7" s="1"/>
  <c r="DC27" i="7" s="1"/>
  <c r="DD27" i="7" s="1"/>
  <c r="DE27" i="7" s="1"/>
  <c r="DF27" i="7" s="1"/>
  <c r="CY27" i="7"/>
  <c r="CF98" i="7"/>
  <c r="DA26" i="7" l="1"/>
  <c r="DB26" i="7" l="1"/>
  <c r="DC26" i="7" l="1"/>
  <c r="DD26" i="7" l="1"/>
  <c r="DE26" i="7" l="1"/>
  <c r="DF26" i="7" l="1"/>
  <c r="CC105" i="7" l="1"/>
  <c r="CC28" i="7"/>
  <c r="CC30" i="7" l="1"/>
  <c r="CC31" i="7" s="1"/>
  <c r="CD105" i="7"/>
  <c r="CD28" i="7"/>
  <c r="CD30" i="7" s="1"/>
  <c r="CD31" i="7" s="1"/>
  <c r="CC42" i="6" l="1"/>
  <c r="BU574" i="18" s="1"/>
  <c r="CC42" i="7"/>
  <c r="CE105" i="7"/>
  <c r="CE28" i="7"/>
  <c r="CD42" i="7"/>
  <c r="CD46" i="7" s="1"/>
  <c r="CD42" i="6"/>
  <c r="BV574" i="18" s="1"/>
  <c r="CF105" i="7"/>
  <c r="CF28" i="7"/>
  <c r="CE30" i="7" l="1"/>
  <c r="CE31" i="7" s="1"/>
  <c r="CY28" i="7"/>
  <c r="CY30" i="7" s="1"/>
  <c r="CY31" i="7" s="1"/>
  <c r="CD161" i="6"/>
  <c r="CD156" i="6"/>
  <c r="BV673" i="18" s="1"/>
  <c r="CD149" i="6"/>
  <c r="CC46" i="7"/>
  <c r="CC161" i="6"/>
  <c r="CC149" i="6"/>
  <c r="CC156" i="6"/>
  <c r="BU673" i="18" s="1"/>
  <c r="CZ28" i="7"/>
  <c r="CF30" i="7"/>
  <c r="CF31" i="7" s="1"/>
  <c r="BU1249" i="18" l="1"/>
  <c r="CC147" i="6"/>
  <c r="CC150" i="6"/>
  <c r="BU1250" i="18" s="1"/>
  <c r="CF42" i="7"/>
  <c r="CF42" i="6"/>
  <c r="BX574" i="18" s="1"/>
  <c r="CY42" i="6"/>
  <c r="CQ574" i="18" s="1"/>
  <c r="CY42" i="7"/>
  <c r="DA28" i="7"/>
  <c r="CZ30" i="7"/>
  <c r="CZ31" i="7" s="1"/>
  <c r="BV1249" i="18"/>
  <c r="CD150" i="6"/>
  <c r="BV1250" i="18" s="1"/>
  <c r="CD147" i="6"/>
  <c r="CE42" i="7"/>
  <c r="CE46" i="7" s="1"/>
  <c r="CE42" i="6"/>
  <c r="BW574" i="18" s="1"/>
  <c r="CY149" i="6" l="1"/>
  <c r="CY161" i="6"/>
  <c r="CF149" i="6"/>
  <c r="CF161" i="6"/>
  <c r="CF156" i="6"/>
  <c r="BX673" i="18" s="1"/>
  <c r="CE149" i="6"/>
  <c r="CE161" i="6"/>
  <c r="CE156" i="6"/>
  <c r="BW673" i="18" s="1"/>
  <c r="CZ42" i="7"/>
  <c r="CZ42" i="6"/>
  <c r="CR574" i="18" s="1"/>
  <c r="CF46" i="7"/>
  <c r="BU1247" i="18"/>
  <c r="BU707" i="18"/>
  <c r="CC154" i="6"/>
  <c r="CC148" i="6"/>
  <c r="BU1248" i="18" s="1"/>
  <c r="BV1247" i="18"/>
  <c r="BV707" i="18"/>
  <c r="CD148" i="6"/>
  <c r="BV1248" i="18" s="1"/>
  <c r="CD154" i="6"/>
  <c r="DB28" i="7"/>
  <c r="DA30" i="7"/>
  <c r="DA31" i="7" s="1"/>
  <c r="DA42" i="7" l="1"/>
  <c r="DA42" i="6"/>
  <c r="CS574" i="18" s="1"/>
  <c r="CZ161" i="6"/>
  <c r="CZ149" i="6"/>
  <c r="CQ1249" i="18"/>
  <c r="CY150" i="6"/>
  <c r="CQ1250" i="18" s="1"/>
  <c r="DC28" i="7"/>
  <c r="DB30" i="7"/>
  <c r="DB31" i="7" s="1"/>
  <c r="BU671" i="18"/>
  <c r="CC25" i="6"/>
  <c r="CC155" i="6"/>
  <c r="CC166" i="6"/>
  <c r="BW1249" i="18"/>
  <c r="CE147" i="6"/>
  <c r="CE150" i="6"/>
  <c r="BW1250" i="18" s="1"/>
  <c r="BV671" i="18"/>
  <c r="CD155" i="6"/>
  <c r="CD166" i="6"/>
  <c r="CD25" i="6"/>
  <c r="BX1249" i="18"/>
  <c r="CF147" i="6"/>
  <c r="CF150" i="6"/>
  <c r="BX1250" i="18" s="1"/>
  <c r="BV672" i="18" l="1"/>
  <c r="CD157" i="6"/>
  <c r="BV674" i="18" s="1"/>
  <c r="BU579" i="18"/>
  <c r="CC26" i="6"/>
  <c r="CC277" i="5"/>
  <c r="CC40" i="6"/>
  <c r="CC92" i="6"/>
  <c r="BV579" i="18"/>
  <c r="CD40" i="6"/>
  <c r="CD26" i="6"/>
  <c r="CD277" i="5"/>
  <c r="BV233" i="18" s="1"/>
  <c r="CD92" i="6"/>
  <c r="BU672" i="18"/>
  <c r="CC157" i="6"/>
  <c r="BU674" i="18" s="1"/>
  <c r="DB42" i="7"/>
  <c r="DB42" i="6"/>
  <c r="CT574" i="18" s="1"/>
  <c r="BV716" i="18"/>
  <c r="CD167" i="6"/>
  <c r="BW1247" i="18"/>
  <c r="BW707" i="18"/>
  <c r="CE154" i="6"/>
  <c r="CE148" i="6"/>
  <c r="BW1248" i="18" s="1"/>
  <c r="DD28" i="7"/>
  <c r="DC30" i="7"/>
  <c r="DC31" i="7" s="1"/>
  <c r="BX1247" i="18"/>
  <c r="BX707" i="18"/>
  <c r="CF154" i="6"/>
  <c r="CF148" i="6"/>
  <c r="BX1248" i="18" s="1"/>
  <c r="BU716" i="18"/>
  <c r="CC167" i="6"/>
  <c r="DA149" i="6"/>
  <c r="DA161" i="6"/>
  <c r="BU233" i="18" l="1"/>
  <c r="DC42" i="7"/>
  <c r="DC42" i="6"/>
  <c r="CU574" i="18" s="1"/>
  <c r="BV643" i="18"/>
  <c r="CD95" i="6"/>
  <c r="BV646" i="18" s="1"/>
  <c r="CD93" i="6"/>
  <c r="BX671" i="18"/>
  <c r="CF166" i="6"/>
  <c r="CF25" i="6"/>
  <c r="CF155" i="6"/>
  <c r="DE28" i="7"/>
  <c r="DD30" i="7"/>
  <c r="DD31" i="7" s="1"/>
  <c r="DB161" i="6"/>
  <c r="DB149" i="6"/>
  <c r="BU643" i="18"/>
  <c r="CC93" i="6"/>
  <c r="CC95" i="6"/>
  <c r="BU646" i="18" s="1"/>
  <c r="BU580" i="18"/>
  <c r="CC27" i="6"/>
  <c r="BU581" i="18" s="1"/>
  <c r="BW671" i="18"/>
  <c r="CE155" i="6"/>
  <c r="CE25" i="6"/>
  <c r="CE166" i="6"/>
  <c r="CY154" i="6"/>
  <c r="CD40" i="7"/>
  <c r="BV572" i="18"/>
  <c r="CD41" i="6"/>
  <c r="CD11" i="6"/>
  <c r="CD168" i="6" s="1"/>
  <c r="BV718" i="18" s="1"/>
  <c r="CD12" i="5"/>
  <c r="CD249" i="5"/>
  <c r="BU717" i="18"/>
  <c r="CC159" i="6"/>
  <c r="BV717" i="18"/>
  <c r="CD159" i="6"/>
  <c r="BV580" i="18"/>
  <c r="CD27" i="6"/>
  <c r="BV581" i="18" s="1"/>
  <c r="CC40" i="7"/>
  <c r="BU572" i="18"/>
  <c r="CC41" i="6"/>
  <c r="CC11" i="6"/>
  <c r="CC168" i="6" s="1"/>
  <c r="BU718" i="18" s="1"/>
  <c r="CC249" i="5"/>
  <c r="CC12" i="5"/>
  <c r="CC41" i="7" l="1"/>
  <c r="CC43" i="7" s="1"/>
  <c r="BW716" i="18"/>
  <c r="CE167" i="6"/>
  <c r="CC46" i="6"/>
  <c r="BU577" i="18" s="1"/>
  <c r="BU5" i="18"/>
  <c r="CC38" i="6"/>
  <c r="BU593" i="18" s="1"/>
  <c r="CC89" i="6"/>
  <c r="BU640" i="18" s="1"/>
  <c r="CC32" i="6"/>
  <c r="BU587" i="18" s="1"/>
  <c r="CC77" i="6"/>
  <c r="BU614" i="18" s="1"/>
  <c r="CC13" i="5"/>
  <c r="BU6" i="18" s="1"/>
  <c r="BU711" i="18"/>
  <c r="CC160" i="6"/>
  <c r="CD46" i="6"/>
  <c r="BV577" i="18" s="1"/>
  <c r="BV5" i="18"/>
  <c r="CD13" i="5"/>
  <c r="BV6" i="18" s="1"/>
  <c r="CD77" i="6"/>
  <c r="BV614" i="18" s="1"/>
  <c r="CD38" i="6"/>
  <c r="BV593" i="18" s="1"/>
  <c r="CD89" i="6"/>
  <c r="BV640" i="18" s="1"/>
  <c r="CD32" i="6"/>
  <c r="BV587" i="18" s="1"/>
  <c r="CD41" i="7"/>
  <c r="CD43" i="7" s="1"/>
  <c r="BW672" i="18"/>
  <c r="CE157" i="6"/>
  <c r="BW674" i="18" s="1"/>
  <c r="CC96" i="6"/>
  <c r="BU647" i="18" s="1"/>
  <c r="DF28" i="7"/>
  <c r="DF30" i="7" s="1"/>
  <c r="DE30" i="7"/>
  <c r="DE31" i="7" s="1"/>
  <c r="BU214" i="18"/>
  <c r="CC241" i="5"/>
  <c r="BV711" i="18"/>
  <c r="CD160" i="6"/>
  <c r="CD20" i="7"/>
  <c r="CD21" i="7" s="1"/>
  <c r="CD22" i="7" s="1"/>
  <c r="CD23" i="7" s="1"/>
  <c r="BV565" i="18"/>
  <c r="CD14" i="6"/>
  <c r="BV568" i="18" s="1"/>
  <c r="CD446" i="5"/>
  <c r="BV324" i="18" s="1"/>
  <c r="CD12" i="6"/>
  <c r="CD374" i="5"/>
  <c r="CQ671" i="18"/>
  <c r="CY166" i="6"/>
  <c r="CY147" i="6"/>
  <c r="CY155" i="6"/>
  <c r="CQ672" i="18" s="1"/>
  <c r="BX672" i="18"/>
  <c r="CF157" i="6"/>
  <c r="BX674" i="18" s="1"/>
  <c r="CD96" i="6"/>
  <c r="BV647" i="18" s="1"/>
  <c r="CC20" i="7"/>
  <c r="CC21" i="7" s="1"/>
  <c r="CC22" i="7" s="1"/>
  <c r="CC23" i="7" s="1"/>
  <c r="BU565" i="18"/>
  <c r="CC374" i="5"/>
  <c r="CC446" i="5"/>
  <c r="BU324" i="18" s="1"/>
  <c r="CC14" i="6"/>
  <c r="BU568" i="18" s="1"/>
  <c r="CC12" i="6"/>
  <c r="BV573" i="18"/>
  <c r="CD43" i="6"/>
  <c r="DC161" i="6"/>
  <c r="DC149" i="6"/>
  <c r="BU573" i="18"/>
  <c r="CC43" i="6"/>
  <c r="BV214" i="18"/>
  <c r="CD241" i="5"/>
  <c r="BW579" i="18"/>
  <c r="CE26" i="6"/>
  <c r="CE40" i="6"/>
  <c r="CE277" i="5"/>
  <c r="CE92" i="6"/>
  <c r="CY25" i="6"/>
  <c r="BU644" i="18"/>
  <c r="CC94" i="6"/>
  <c r="BU645" i="18" s="1"/>
  <c r="DD42" i="7"/>
  <c r="DD42" i="6"/>
  <c r="CV574" i="18" s="1"/>
  <c r="BX716" i="18"/>
  <c r="CF167" i="6"/>
  <c r="BX579" i="18"/>
  <c r="CF26" i="6"/>
  <c r="CF277" i="5"/>
  <c r="BX233" i="18" s="1"/>
  <c r="CF40" i="6"/>
  <c r="CF92" i="6"/>
  <c r="BV644" i="18"/>
  <c r="CD94" i="6"/>
  <c r="BV645" i="18" s="1"/>
  <c r="DF31" i="7" l="1"/>
  <c r="DF42" i="6" s="1"/>
  <c r="CX574" i="18" s="1"/>
  <c r="BU575" i="18"/>
  <c r="CC47" i="6"/>
  <c r="CC48" i="6" s="1"/>
  <c r="BU578" i="18" s="1"/>
  <c r="CC44" i="6"/>
  <c r="CC15" i="6"/>
  <c r="BX643" i="18"/>
  <c r="CF95" i="6"/>
  <c r="BX646" i="18" s="1"/>
  <c r="CF93" i="6"/>
  <c r="DD161" i="6"/>
  <c r="DD149" i="6"/>
  <c r="CQ1247" i="18"/>
  <c r="CQ707" i="18"/>
  <c r="CZ150" i="6"/>
  <c r="CY285" i="6"/>
  <c r="CY238" i="6"/>
  <c r="CZ147" i="6"/>
  <c r="CY286" i="6"/>
  <c r="CY148" i="6"/>
  <c r="CY245" i="6"/>
  <c r="CY287" i="6"/>
  <c r="BV566" i="18"/>
  <c r="CD13" i="6"/>
  <c r="BV567" i="18" s="1"/>
  <c r="CF40" i="7"/>
  <c r="BX572" i="18"/>
  <c r="CF11" i="6"/>
  <c r="CF12" i="5"/>
  <c r="CF46" i="6" s="1"/>
  <c r="BX577" i="18" s="1"/>
  <c r="CF249" i="5"/>
  <c r="CF41" i="6"/>
  <c r="BX717" i="18"/>
  <c r="CF159" i="6"/>
  <c r="BW233" i="18"/>
  <c r="CY277" i="5"/>
  <c r="CQ233" i="18" s="1"/>
  <c r="BV208" i="18"/>
  <c r="CD238" i="5"/>
  <c r="CD287" i="5"/>
  <c r="CD242" i="5"/>
  <c r="BU566" i="18"/>
  <c r="CC13" i="6"/>
  <c r="BU567" i="18" s="1"/>
  <c r="CQ716" i="18"/>
  <c r="CY167" i="6"/>
  <c r="BV712" i="18"/>
  <c r="CD162" i="6"/>
  <c r="BU712" i="18"/>
  <c r="CC162" i="6"/>
  <c r="CE40" i="7"/>
  <c r="BW572" i="18"/>
  <c r="CE41" i="6"/>
  <c r="CE11" i="6"/>
  <c r="CE168" i="6" s="1"/>
  <c r="BW718" i="18" s="1"/>
  <c r="CE12" i="5"/>
  <c r="CE46" i="6" s="1"/>
  <c r="BW577" i="18" s="1"/>
  <c r="CE249" i="5"/>
  <c r="CY40" i="6"/>
  <c r="DE42" i="6"/>
  <c r="CW574" i="18" s="1"/>
  <c r="DE42" i="7"/>
  <c r="CC54" i="7"/>
  <c r="CC53" i="7" s="1"/>
  <c r="CC57" i="7" s="1"/>
  <c r="BX580" i="18"/>
  <c r="CF27" i="6"/>
  <c r="BX581" i="18" s="1"/>
  <c r="BV575" i="18"/>
  <c r="CD44" i="6"/>
  <c r="CD15" i="6"/>
  <c r="CD47" i="6"/>
  <c r="BU208" i="18"/>
  <c r="CC238" i="5"/>
  <c r="CC287" i="5"/>
  <c r="CC242" i="5"/>
  <c r="DF42" i="7"/>
  <c r="CD44" i="7"/>
  <c r="CD48" i="7"/>
  <c r="CD49" i="7" s="1"/>
  <c r="CQ579" i="18"/>
  <c r="CY251" i="6"/>
  <c r="CY26" i="6"/>
  <c r="BW580" i="18"/>
  <c r="CE27" i="6"/>
  <c r="BW581" i="18" s="1"/>
  <c r="BW643" i="18"/>
  <c r="CE95" i="6"/>
  <c r="BW646" i="18" s="1"/>
  <c r="CE93" i="6"/>
  <c r="CY92" i="6"/>
  <c r="CD54" i="7"/>
  <c r="CD53" i="7" s="1"/>
  <c r="CD57" i="7" s="1"/>
  <c r="BW717" i="18"/>
  <c r="CE159" i="6"/>
  <c r="CC44" i="7"/>
  <c r="CC48" i="7"/>
  <c r="CD48" i="6" l="1"/>
  <c r="BV578" i="18" s="1"/>
  <c r="BW644" i="18"/>
  <c r="CE94" i="6"/>
  <c r="BW645" i="18" s="1"/>
  <c r="BU205" i="18"/>
  <c r="CC278" i="5"/>
  <c r="CC296" i="5"/>
  <c r="CC203" i="5"/>
  <c r="CE41" i="7"/>
  <c r="CE43" i="7" s="1"/>
  <c r="CY40" i="7"/>
  <c r="BX711" i="18"/>
  <c r="CF160" i="6"/>
  <c r="CZ154" i="6"/>
  <c r="CR707" i="18"/>
  <c r="DA147" i="6"/>
  <c r="CZ286" i="6"/>
  <c r="CZ148" i="6"/>
  <c r="CZ245" i="6"/>
  <c r="CZ285" i="6"/>
  <c r="CZ238" i="6"/>
  <c r="CZ287" i="6"/>
  <c r="DA150" i="6"/>
  <c r="CC49" i="7"/>
  <c r="CQ580" i="18"/>
  <c r="CY27" i="6"/>
  <c r="CQ581" i="18" s="1"/>
  <c r="CQ773" i="18"/>
  <c r="CC356" i="5"/>
  <c r="CC340" i="5"/>
  <c r="CC342" i="5" s="1"/>
  <c r="CC439" i="5"/>
  <c r="BU1043" i="18" s="1"/>
  <c r="CC47" i="5"/>
  <c r="BU1319" i="18" s="1"/>
  <c r="CC421" i="5"/>
  <c r="CC430" i="5"/>
  <c r="BW573" i="18"/>
  <c r="CE43" i="6"/>
  <c r="CD289" i="5"/>
  <c r="BV246" i="18" s="1"/>
  <c r="BV244" i="18"/>
  <c r="CD288" i="5"/>
  <c r="BV245" i="18" s="1"/>
  <c r="CD39" i="5"/>
  <c r="S13" i="19" s="1"/>
  <c r="S31" i="19" s="1"/>
  <c r="CF20" i="7"/>
  <c r="CF21" i="7" s="1"/>
  <c r="CF22" i="7" s="1"/>
  <c r="CF23" i="7" s="1"/>
  <c r="BX565" i="18"/>
  <c r="CF446" i="5"/>
  <c r="BX324" i="18" s="1"/>
  <c r="CF14" i="6"/>
  <c r="BX568" i="18" s="1"/>
  <c r="CF12" i="6"/>
  <c r="CF374" i="5"/>
  <c r="CQ1248" i="18"/>
  <c r="CY151" i="6"/>
  <c r="CQ807" i="18"/>
  <c r="CY307" i="6"/>
  <c r="CQ840" i="18" s="1"/>
  <c r="CY296" i="6"/>
  <c r="CQ817" i="18" s="1"/>
  <c r="CY289" i="6"/>
  <c r="CQ643" i="18"/>
  <c r="CY93" i="6"/>
  <c r="DF161" i="6"/>
  <c r="DF149" i="6"/>
  <c r="DE149" i="6"/>
  <c r="DE161" i="6"/>
  <c r="BW214" i="18"/>
  <c r="CE241" i="5"/>
  <c r="CY249" i="5"/>
  <c r="CQ214" i="18" s="1"/>
  <c r="BV205" i="18"/>
  <c r="CD203" i="5"/>
  <c r="CD296" i="5"/>
  <c r="CD278" i="5"/>
  <c r="CF168" i="6"/>
  <c r="BX718" i="18" s="1"/>
  <c r="CQ808" i="18"/>
  <c r="CY308" i="6"/>
  <c r="CQ841" i="18" s="1"/>
  <c r="CY297" i="6"/>
  <c r="CQ818" i="18" s="1"/>
  <c r="BU1244" i="18"/>
  <c r="CC16" i="6"/>
  <c r="CC19" i="6"/>
  <c r="CC375" i="5"/>
  <c r="CQ809" i="18"/>
  <c r="CY298" i="6"/>
  <c r="CQ819" i="18" s="1"/>
  <c r="CY309" i="6"/>
  <c r="CQ842" i="18" s="1"/>
  <c r="BU576" i="18"/>
  <c r="CC45" i="6"/>
  <c r="CE96" i="6"/>
  <c r="BW647" i="18" s="1"/>
  <c r="BW5" i="18"/>
  <c r="CE32" i="6"/>
  <c r="BW587" i="18" s="1"/>
  <c r="CE89" i="6"/>
  <c r="BW640" i="18" s="1"/>
  <c r="CE13" i="5"/>
  <c r="BW6" i="18" s="1"/>
  <c r="CE77" i="6"/>
  <c r="BW614" i="18" s="1"/>
  <c r="CE38" i="6"/>
  <c r="BW593" i="18" s="1"/>
  <c r="CY12" i="5"/>
  <c r="CY96" i="6" s="1"/>
  <c r="CQ647" i="18" s="1"/>
  <c r="CF41" i="7"/>
  <c r="CF43" i="7" s="1"/>
  <c r="CC243" i="5"/>
  <c r="BU210" i="18" s="1"/>
  <c r="BU209" i="18"/>
  <c r="BV1244" i="18"/>
  <c r="CD19" i="6"/>
  <c r="CD375" i="5"/>
  <c r="CD16" i="6"/>
  <c r="CQ572" i="18"/>
  <c r="CY41" i="6"/>
  <c r="CE20" i="7"/>
  <c r="CE21" i="7" s="1"/>
  <c r="CE22" i="7" s="1"/>
  <c r="CE23" i="7" s="1"/>
  <c r="BW565" i="18"/>
  <c r="CE12" i="6"/>
  <c r="CE374" i="5"/>
  <c r="CE14" i="6"/>
  <c r="BW568" i="18" s="1"/>
  <c r="CE446" i="5"/>
  <c r="BW324" i="18" s="1"/>
  <c r="CY11" i="6"/>
  <c r="CQ717" i="18"/>
  <c r="CY159" i="6"/>
  <c r="CD243" i="5"/>
  <c r="BV210" i="18" s="1"/>
  <c r="BV209" i="18"/>
  <c r="CF96" i="6"/>
  <c r="BX647" i="18" s="1"/>
  <c r="BX5" i="18"/>
  <c r="CF32" i="6"/>
  <c r="BX587" i="18" s="1"/>
  <c r="CF89" i="6"/>
  <c r="BX640" i="18" s="1"/>
  <c r="CF38" i="6"/>
  <c r="BX593" i="18" s="1"/>
  <c r="CF13" i="5"/>
  <c r="BX6" i="18" s="1"/>
  <c r="CF77" i="6"/>
  <c r="BX614" i="18" s="1"/>
  <c r="CQ769" i="18"/>
  <c r="CY265" i="6"/>
  <c r="CQ788" i="18" s="1"/>
  <c r="CY254" i="6"/>
  <c r="CQ763" i="18"/>
  <c r="CY239" i="6"/>
  <c r="CQ764" i="18" s="1"/>
  <c r="CY240" i="6"/>
  <c r="CQ765" i="18" s="1"/>
  <c r="CY248" i="6"/>
  <c r="CY249" i="6" s="1"/>
  <c r="CY250" i="6" s="1"/>
  <c r="BW711" i="18"/>
  <c r="CE160" i="6"/>
  <c r="BX214" i="18"/>
  <c r="CF241" i="5"/>
  <c r="BX644" i="18"/>
  <c r="CF94" i="6"/>
  <c r="BX645" i="18" s="1"/>
  <c r="CD340" i="5"/>
  <c r="CD342" i="5" s="1"/>
  <c r="CD356" i="5"/>
  <c r="CD421" i="5"/>
  <c r="CD430" i="5"/>
  <c r="CD47" i="5"/>
  <c r="BV1319" i="18" s="1"/>
  <c r="CD439" i="5"/>
  <c r="BV1043" i="18" s="1"/>
  <c r="CC289" i="5"/>
  <c r="BU246" i="18" s="1"/>
  <c r="BU244" i="18"/>
  <c r="CC39" i="5"/>
  <c r="R13" i="19" s="1"/>
  <c r="R31" i="19" s="1"/>
  <c r="CC288" i="5"/>
  <c r="BU245" i="18" s="1"/>
  <c r="BV576" i="18"/>
  <c r="CD45" i="6"/>
  <c r="BX573" i="18"/>
  <c r="CF43" i="6"/>
  <c r="CF54" i="7" l="1"/>
  <c r="CF53" i="7" s="1"/>
  <c r="CF57" i="7" s="1"/>
  <c r="CF439" i="5" s="1"/>
  <c r="BX1043" i="18" s="1"/>
  <c r="CF331" i="5"/>
  <c r="BX287" i="18" s="1"/>
  <c r="CE331" i="5"/>
  <c r="BW287" i="18" s="1"/>
  <c r="CQ774" i="18"/>
  <c r="CY196" i="6"/>
  <c r="CY20" i="7"/>
  <c r="CY21" i="7" s="1"/>
  <c r="CY22" i="7" s="1"/>
  <c r="CY23" i="7" s="1"/>
  <c r="CQ565" i="18"/>
  <c r="CY12" i="6"/>
  <c r="CY446" i="5"/>
  <c r="CQ324" i="18" s="1"/>
  <c r="CY374" i="5"/>
  <c r="BW566" i="18"/>
  <c r="CE13" i="6"/>
  <c r="BW567" i="18" s="1"/>
  <c r="CY241" i="6"/>
  <c r="CQ766" i="18" s="1"/>
  <c r="CQ711" i="18"/>
  <c r="CY160" i="6"/>
  <c r="CF44" i="7"/>
  <c r="CF48" i="7"/>
  <c r="CF49" i="7" s="1"/>
  <c r="BW208" i="18"/>
  <c r="CE287" i="5"/>
  <c r="CE289" i="5" s="1"/>
  <c r="BW246" i="18" s="1"/>
  <c r="CE242" i="5"/>
  <c r="CE238" i="5"/>
  <c r="CY241" i="5"/>
  <c r="BX566" i="18"/>
  <c r="CF13" i="6"/>
  <c r="BX567" i="18" s="1"/>
  <c r="BU32" i="18"/>
  <c r="CC428" i="5"/>
  <c r="CC49" i="5"/>
  <c r="CC453" i="5"/>
  <c r="CC472" i="5"/>
  <c r="CC521" i="5"/>
  <c r="CC479" i="5"/>
  <c r="CC31" i="5"/>
  <c r="CC258" i="5"/>
  <c r="CC260" i="5" s="1"/>
  <c r="CC261" i="5" s="1"/>
  <c r="CC262" i="5" s="1"/>
  <c r="CC42" i="5"/>
  <c r="CC346" i="5"/>
  <c r="CC510" i="5"/>
  <c r="CC40" i="5"/>
  <c r="CC43" i="5"/>
  <c r="BU35" i="18" s="1"/>
  <c r="CC337" i="5"/>
  <c r="CC467" i="5"/>
  <c r="CC437" i="5"/>
  <c r="CD343" i="5"/>
  <c r="CD341" i="5"/>
  <c r="CQ772" i="18"/>
  <c r="CY268" i="6"/>
  <c r="CQ791" i="18" s="1"/>
  <c r="CY262" i="6"/>
  <c r="CQ785" i="18" s="1"/>
  <c r="CY255" i="6"/>
  <c r="CQ777" i="18"/>
  <c r="CY258" i="6"/>
  <c r="CQ781" i="18" s="1"/>
  <c r="CY256" i="6"/>
  <c r="CQ779" i="18" s="1"/>
  <c r="CY275" i="6"/>
  <c r="CQ797" i="18" s="1"/>
  <c r="CY273" i="6"/>
  <c r="BV1245" i="18"/>
  <c r="CD17" i="6"/>
  <c r="CD18" i="6"/>
  <c r="CY46" i="6"/>
  <c r="CQ577" i="18" s="1"/>
  <c r="CQ5" i="18"/>
  <c r="CY32" i="6"/>
  <c r="CQ587" i="18" s="1"/>
  <c r="CY77" i="6"/>
  <c r="CQ614" i="18" s="1"/>
  <c r="CY38" i="6"/>
  <c r="CQ593" i="18" s="1"/>
  <c r="CY13" i="5"/>
  <c r="CQ6" i="18" s="1"/>
  <c r="CY89" i="6"/>
  <c r="CQ640" i="18" s="1"/>
  <c r="CC331" i="5"/>
  <c r="BU287" i="18" s="1"/>
  <c r="CD331" i="5"/>
  <c r="BV287" i="18" s="1"/>
  <c r="BU1245" i="18"/>
  <c r="CC17" i="6"/>
  <c r="CC22" i="6"/>
  <c r="CC18" i="6"/>
  <c r="BV170" i="18"/>
  <c r="CD206" i="5"/>
  <c r="CD295" i="5"/>
  <c r="CD297" i="5" s="1"/>
  <c r="BV255" i="18" s="1"/>
  <c r="CY290" i="6"/>
  <c r="CY300" i="6"/>
  <c r="CY311" i="6"/>
  <c r="CQ708" i="18"/>
  <c r="CY152" i="6"/>
  <c r="CQ709" i="18" s="1"/>
  <c r="CZ152" i="6"/>
  <c r="CR709" i="18" s="1"/>
  <c r="BV32" i="18"/>
  <c r="CD337" i="5"/>
  <c r="CD40" i="5"/>
  <c r="CD31" i="5"/>
  <c r="CD258" i="5"/>
  <c r="CD260" i="5" s="1"/>
  <c r="CD261" i="5" s="1"/>
  <c r="CD262" i="5" s="1"/>
  <c r="CD42" i="5"/>
  <c r="CD428" i="5"/>
  <c r="CD453" i="5"/>
  <c r="CD49" i="5"/>
  <c r="CD479" i="5"/>
  <c r="CD346" i="5"/>
  <c r="CD510" i="5"/>
  <c r="CD467" i="5"/>
  <c r="CD472" i="5"/>
  <c r="CD43" i="5"/>
  <c r="BV35" i="18" s="1"/>
  <c r="CD521" i="5"/>
  <c r="CD437" i="5"/>
  <c r="BW575" i="18"/>
  <c r="CE15" i="6"/>
  <c r="CE47" i="6"/>
  <c r="CE48" i="6" s="1"/>
  <c r="BW578" i="18" s="1"/>
  <c r="CE44" i="6"/>
  <c r="CR763" i="18"/>
  <c r="CZ240" i="6"/>
  <c r="CR765" i="18" s="1"/>
  <c r="CZ239" i="6"/>
  <c r="CR764" i="18" s="1"/>
  <c r="CZ248" i="6"/>
  <c r="CR772" i="18" s="1"/>
  <c r="CR808" i="18"/>
  <c r="CZ297" i="6"/>
  <c r="CR818" i="18" s="1"/>
  <c r="CZ308" i="6"/>
  <c r="CR841" i="18" s="1"/>
  <c r="BX712" i="18"/>
  <c r="CF162" i="6"/>
  <c r="CE44" i="7"/>
  <c r="CE48" i="7"/>
  <c r="CC279" i="5"/>
  <c r="BU235" i="18" s="1"/>
  <c r="BU234" i="18"/>
  <c r="CR807" i="18"/>
  <c r="CZ307" i="6"/>
  <c r="CR840" i="18" s="1"/>
  <c r="CZ296" i="6"/>
  <c r="CR817" i="18" s="1"/>
  <c r="CZ289" i="6"/>
  <c r="CS707" i="18"/>
  <c r="DA154" i="6"/>
  <c r="DA287" i="6"/>
  <c r="DB147" i="6"/>
  <c r="DA285" i="6"/>
  <c r="DA238" i="6"/>
  <c r="DA148" i="6"/>
  <c r="DB150" i="6"/>
  <c r="DA286" i="6"/>
  <c r="DA245" i="6"/>
  <c r="BW712" i="18"/>
  <c r="CE162" i="6"/>
  <c r="CY168" i="6"/>
  <c r="CQ718" i="18" s="1"/>
  <c r="CQ573" i="18"/>
  <c r="CY43" i="6"/>
  <c r="CF356" i="5"/>
  <c r="CD279" i="5"/>
  <c r="BV235" i="18" s="1"/>
  <c r="BV234" i="18"/>
  <c r="CQ644" i="18"/>
  <c r="CY94" i="6"/>
  <c r="CQ645" i="18" s="1"/>
  <c r="CC343" i="5"/>
  <c r="CC341" i="5"/>
  <c r="CR769" i="18"/>
  <c r="CY41" i="7"/>
  <c r="CY43" i="7" s="1"/>
  <c r="BU170" i="18"/>
  <c r="CC295" i="5"/>
  <c r="CC206" i="5"/>
  <c r="BV313" i="18"/>
  <c r="CD463" i="5"/>
  <c r="CD462" i="5" s="1"/>
  <c r="CD420" i="5"/>
  <c r="BX575" i="18"/>
  <c r="CF15" i="6"/>
  <c r="CF47" i="6"/>
  <c r="CF44" i="6"/>
  <c r="BX208" i="18"/>
  <c r="CF238" i="5"/>
  <c r="CF287" i="5"/>
  <c r="CF242" i="5"/>
  <c r="BV254" i="18"/>
  <c r="BU313" i="18"/>
  <c r="CC463" i="5"/>
  <c r="CC462" i="5" s="1"/>
  <c r="CC420" i="5"/>
  <c r="CR809" i="18"/>
  <c r="CZ298" i="6"/>
  <c r="CR819" i="18" s="1"/>
  <c r="CZ309" i="6"/>
  <c r="CR842" i="18" s="1"/>
  <c r="CR671" i="18"/>
  <c r="CZ166" i="6"/>
  <c r="CZ155" i="6"/>
  <c r="CR672" i="18" s="1"/>
  <c r="CZ25" i="6"/>
  <c r="CE54" i="7"/>
  <c r="CE53" i="7" s="1"/>
  <c r="CE57" i="7" s="1"/>
  <c r="BU254" i="18"/>
  <c r="CF340" i="5" l="1"/>
  <c r="CF342" i="5" s="1"/>
  <c r="CF341" i="5" s="1"/>
  <c r="CF430" i="5"/>
  <c r="CF421" i="5"/>
  <c r="BX313" i="18" s="1"/>
  <c r="CF47" i="5"/>
  <c r="BX1319" i="18" s="1"/>
  <c r="CZ249" i="6"/>
  <c r="CF48" i="6"/>
  <c r="BX578" i="18" s="1"/>
  <c r="CY54" i="7"/>
  <c r="CY53" i="7" s="1"/>
  <c r="CY57" i="7" s="1"/>
  <c r="CY421" i="5" s="1"/>
  <c r="CD458" i="5"/>
  <c r="BV348" i="18"/>
  <c r="BX1244" i="18"/>
  <c r="CF19" i="6"/>
  <c r="CF375" i="5"/>
  <c r="CF16" i="6"/>
  <c r="CC297" i="5"/>
  <c r="BU255" i="18" s="1"/>
  <c r="BU253" i="18"/>
  <c r="CC16" i="5"/>
  <c r="CR716" i="18"/>
  <c r="CZ167" i="6"/>
  <c r="CF243" i="5"/>
  <c r="BX210" i="18" s="1"/>
  <c r="BX209" i="18"/>
  <c r="CF343" i="5"/>
  <c r="CS769" i="18"/>
  <c r="CS763" i="18"/>
  <c r="DA240" i="6"/>
  <c r="CS765" i="18" s="1"/>
  <c r="DA239" i="6"/>
  <c r="CS764" i="18" s="1"/>
  <c r="DA248" i="6"/>
  <c r="CS772" i="18" s="1"/>
  <c r="CS671" i="18"/>
  <c r="DA166" i="6"/>
  <c r="DA155" i="6"/>
  <c r="CS672" i="18" s="1"/>
  <c r="DA25" i="6"/>
  <c r="CE49" i="7"/>
  <c r="CF50" i="7"/>
  <c r="BW576" i="18"/>
  <c r="CE45" i="6"/>
  <c r="CD454" i="5"/>
  <c r="BV341" i="18" s="1"/>
  <c r="BV340" i="18"/>
  <c r="BV23" i="18"/>
  <c r="CD34" i="5"/>
  <c r="BV26" i="18" s="1"/>
  <c r="CD32" i="5"/>
  <c r="CQ778" i="18"/>
  <c r="CY259" i="6"/>
  <c r="CQ782" i="18" s="1"/>
  <c r="CC468" i="5"/>
  <c r="BU354" i="18" s="1"/>
  <c r="BU353" i="18"/>
  <c r="BU370" i="18"/>
  <c r="CC69" i="5"/>
  <c r="CC514" i="5"/>
  <c r="CC513" i="5"/>
  <c r="CC512" i="5"/>
  <c r="CC511" i="5"/>
  <c r="BU371" i="18" s="1"/>
  <c r="BU358" i="18"/>
  <c r="CC476" i="5"/>
  <c r="BU361" i="18" s="1"/>
  <c r="CC66" i="5"/>
  <c r="CC475" i="5"/>
  <c r="CE243" i="5"/>
  <c r="BW210" i="18" s="1"/>
  <c r="BW209" i="18"/>
  <c r="CR579" i="18"/>
  <c r="CZ277" i="5"/>
  <c r="CR233" i="18" s="1"/>
  <c r="CZ251" i="6"/>
  <c r="CZ92" i="6"/>
  <c r="CZ40" i="6"/>
  <c r="CZ26" i="6"/>
  <c r="BX244" i="18"/>
  <c r="CF39" i="5"/>
  <c r="U13" i="19" s="1"/>
  <c r="U31" i="19" s="1"/>
  <c r="CF288" i="5"/>
  <c r="BX245" i="18" s="1"/>
  <c r="CE439" i="5"/>
  <c r="BW1043" i="18" s="1"/>
  <c r="CE47" i="5"/>
  <c r="BW1319" i="18" s="1"/>
  <c r="CE421" i="5"/>
  <c r="CE430" i="5"/>
  <c r="CE356" i="5"/>
  <c r="CE340" i="5"/>
  <c r="CE342" i="5" s="1"/>
  <c r="CF289" i="5"/>
  <c r="BX246" i="18" s="1"/>
  <c r="BX576" i="18"/>
  <c r="CF45" i="6"/>
  <c r="BU173" i="18"/>
  <c r="CC207" i="5"/>
  <c r="CC283" i="5"/>
  <c r="BU240" i="18" s="1"/>
  <c r="CS808" i="18"/>
  <c r="DA297" i="6"/>
  <c r="CS818" i="18" s="1"/>
  <c r="DA308" i="6"/>
  <c r="CS841" i="18" s="1"/>
  <c r="CS807" i="18"/>
  <c r="DA307" i="6"/>
  <c r="CS840" i="18" s="1"/>
  <c r="DA289" i="6"/>
  <c r="DA296" i="6"/>
  <c r="CS817" i="18" s="1"/>
  <c r="BV358" i="18"/>
  <c r="CD66" i="5"/>
  <c r="BV54" i="18" s="1"/>
  <c r="CD475" i="5"/>
  <c r="CD476" i="5"/>
  <c r="BV361" i="18" s="1"/>
  <c r="BV296" i="18"/>
  <c r="CD353" i="5"/>
  <c r="CD400" i="5"/>
  <c r="CD361" i="5"/>
  <c r="CD413" i="5"/>
  <c r="CD423" i="5" s="1"/>
  <c r="CD354" i="5"/>
  <c r="CD350" i="5"/>
  <c r="BV300" i="18" s="1"/>
  <c r="CD62" i="5"/>
  <c r="BV50" i="18" s="1"/>
  <c r="CD351" i="5"/>
  <c r="BV301" i="18" s="1"/>
  <c r="CD379" i="5"/>
  <c r="CD352" i="5"/>
  <c r="CD358" i="5" s="1"/>
  <c r="CD387" i="5"/>
  <c r="CD429" i="5"/>
  <c r="CD431" i="5" s="1"/>
  <c r="CD432" i="5" s="1"/>
  <c r="CD433" i="5" s="1"/>
  <c r="BV1036" i="18"/>
  <c r="BV33" i="18"/>
  <c r="CD41" i="5"/>
  <c r="BV34" i="18" s="1"/>
  <c r="CD46" i="5"/>
  <c r="CQ812" i="18"/>
  <c r="CY205" i="6"/>
  <c r="CY312" i="6"/>
  <c r="CY301" i="6"/>
  <c r="BU1246" i="18"/>
  <c r="BU569" i="18"/>
  <c r="CC338" i="5"/>
  <c r="BU294" i="18" s="1"/>
  <c r="BU293" i="18"/>
  <c r="BU296" i="18"/>
  <c r="CC352" i="5"/>
  <c r="CC358" i="5" s="1"/>
  <c r="CC354" i="5"/>
  <c r="CC62" i="5"/>
  <c r="CC379" i="5"/>
  <c r="CC413" i="5"/>
  <c r="CC353" i="5"/>
  <c r="CC400" i="5"/>
  <c r="CC351" i="5"/>
  <c r="BU301" i="18" s="1"/>
  <c r="CC350" i="5"/>
  <c r="BU300" i="18" s="1"/>
  <c r="CC361" i="5"/>
  <c r="CC387" i="5"/>
  <c r="BU23" i="18"/>
  <c r="CC34" i="5"/>
  <c r="BU26" i="18" s="1"/>
  <c r="CC32" i="5"/>
  <c r="CC454" i="5"/>
  <c r="BU341" i="18" s="1"/>
  <c r="BU340" i="18"/>
  <c r="CQ208" i="18"/>
  <c r="CY242" i="5"/>
  <c r="CY287" i="5"/>
  <c r="CY289" i="5" s="1"/>
  <c r="CQ246" i="18" s="1"/>
  <c r="CY250" i="5"/>
  <c r="BW244" i="18"/>
  <c r="CE39" i="5"/>
  <c r="T13" i="19" s="1"/>
  <c r="T31" i="19" s="1"/>
  <c r="CE288" i="5"/>
  <c r="BW245" i="18" s="1"/>
  <c r="CQ575" i="18"/>
  <c r="CY15" i="6"/>
  <c r="CY47" i="6"/>
  <c r="CY44" i="6"/>
  <c r="CQ576" i="18" s="1"/>
  <c r="CT707" i="18"/>
  <c r="DB154" i="6"/>
  <c r="DB148" i="6"/>
  <c r="DC147" i="6"/>
  <c r="DC150" i="6"/>
  <c r="CZ290" i="6"/>
  <c r="CZ300" i="6"/>
  <c r="CZ311" i="6"/>
  <c r="BW1244" i="18"/>
  <c r="CE375" i="5"/>
  <c r="CE16" i="6"/>
  <c r="CE19" i="6"/>
  <c r="BV1041" i="18"/>
  <c r="CD447" i="5"/>
  <c r="CD448" i="5" s="1"/>
  <c r="CD438" i="5"/>
  <c r="CD468" i="5"/>
  <c r="BV354" i="18" s="1"/>
  <c r="BV353" i="18"/>
  <c r="CD480" i="5"/>
  <c r="BV367" i="18" s="1"/>
  <c r="BV366" i="18"/>
  <c r="CD338" i="5"/>
  <c r="BV294" i="18" s="1"/>
  <c r="BV293" i="18"/>
  <c r="CD16" i="5"/>
  <c r="BV253" i="18"/>
  <c r="BV1246" i="18"/>
  <c r="BV569" i="18"/>
  <c r="CC480" i="5"/>
  <c r="BU367" i="18" s="1"/>
  <c r="BU366" i="18"/>
  <c r="CC50" i="5"/>
  <c r="BU38" i="18" s="1"/>
  <c r="BU37" i="18"/>
  <c r="CQ712" i="18"/>
  <c r="CY162" i="6"/>
  <c r="CQ735" i="18"/>
  <c r="CY197" i="6"/>
  <c r="CY200" i="6"/>
  <c r="CY198" i="6"/>
  <c r="CC458" i="5"/>
  <c r="BU348" i="18"/>
  <c r="BX205" i="18"/>
  <c r="CF203" i="5"/>
  <c r="CF278" i="5"/>
  <c r="CF296" i="5"/>
  <c r="CY48" i="7"/>
  <c r="CY49" i="7" s="1"/>
  <c r="CY44" i="7"/>
  <c r="CS809" i="18"/>
  <c r="DA309" i="6"/>
  <c r="CS842" i="18" s="1"/>
  <c r="DA298" i="6"/>
  <c r="CS819" i="18" s="1"/>
  <c r="BV560" i="18"/>
  <c r="CD672" i="5"/>
  <c r="CD529" i="5"/>
  <c r="CD524" i="5"/>
  <c r="BV370" i="18"/>
  <c r="CD69" i="5"/>
  <c r="CD514" i="5"/>
  <c r="CD513" i="5"/>
  <c r="CD512" i="5"/>
  <c r="CD511" i="5"/>
  <c r="BV371" i="18" s="1"/>
  <c r="CD50" i="5"/>
  <c r="BV38" i="18" s="1"/>
  <c r="BV37" i="18"/>
  <c r="BV173" i="18"/>
  <c r="CD207" i="5"/>
  <c r="CD283" i="5"/>
  <c r="BV240" i="18" s="1"/>
  <c r="CQ795" i="18"/>
  <c r="CY274" i="6"/>
  <c r="CQ796" i="18" s="1"/>
  <c r="BU1041" i="18"/>
  <c r="CC447" i="5"/>
  <c r="CC448" i="5" s="1"/>
  <c r="CC438" i="5"/>
  <c r="BU33" i="18"/>
  <c r="CC41" i="5"/>
  <c r="BU34" i="18" s="1"/>
  <c r="CC46" i="5"/>
  <c r="BU560" i="18"/>
  <c r="CC672" i="5"/>
  <c r="CC529" i="5"/>
  <c r="CC524" i="5"/>
  <c r="CC429" i="5"/>
  <c r="CC431" i="5" s="1"/>
  <c r="CC432" i="5" s="1"/>
  <c r="CC433" i="5" s="1"/>
  <c r="BU1036" i="18"/>
  <c r="BW205" i="18"/>
  <c r="CE296" i="5"/>
  <c r="CE203" i="5"/>
  <c r="CE278" i="5"/>
  <c r="CY238" i="5"/>
  <c r="CQ566" i="18"/>
  <c r="CY13" i="6"/>
  <c r="CQ567" i="18" s="1"/>
  <c r="CF420" i="5" l="1"/>
  <c r="CF463" i="5"/>
  <c r="CF462" i="5" s="1"/>
  <c r="CY439" i="5"/>
  <c r="CQ1043" i="18" s="1"/>
  <c r="CY356" i="5"/>
  <c r="CY430" i="5"/>
  <c r="CY340" i="5"/>
  <c r="CY342" i="5" s="1"/>
  <c r="CY341" i="5" s="1"/>
  <c r="BV316" i="18"/>
  <c r="CD422" i="5"/>
  <c r="CD424" i="5"/>
  <c r="BW254" i="18"/>
  <c r="CY296" i="5"/>
  <c r="CQ254" i="18" s="1"/>
  <c r="CQ1244" i="18"/>
  <c r="CY16" i="6"/>
  <c r="CY19" i="6"/>
  <c r="CY375" i="5"/>
  <c r="CY278" i="5"/>
  <c r="CQ205" i="18"/>
  <c r="CC530" i="5"/>
  <c r="CC531" i="5" s="1"/>
  <c r="CC532" i="5"/>
  <c r="CD530" i="5"/>
  <c r="CD531" i="5" s="1"/>
  <c r="CD532" i="5"/>
  <c r="BX254" i="18"/>
  <c r="CC355" i="5"/>
  <c r="BU302" i="18"/>
  <c r="BV1279" i="18"/>
  <c r="CD388" i="5"/>
  <c r="CD390" i="5"/>
  <c r="CD404" i="5"/>
  <c r="CD362" i="5"/>
  <c r="CD363" i="5" s="1"/>
  <c r="CD383" i="5"/>
  <c r="CD392" i="5"/>
  <c r="CF458" i="5"/>
  <c r="BX348" i="18"/>
  <c r="CE343" i="5"/>
  <c r="CE341" i="5"/>
  <c r="CR643" i="18"/>
  <c r="CZ93" i="6"/>
  <c r="BU54" i="18"/>
  <c r="BU56" i="18"/>
  <c r="CC647" i="5"/>
  <c r="CS579" i="18"/>
  <c r="DA26" i="6"/>
  <c r="DA251" i="6"/>
  <c r="DA92" i="6"/>
  <c r="DA40" i="6"/>
  <c r="DA277" i="5"/>
  <c r="CS233" i="18" s="1"/>
  <c r="CR717" i="18"/>
  <c r="CZ159" i="6"/>
  <c r="CE279" i="5"/>
  <c r="BW235" i="18" s="1"/>
  <c r="BW234" i="18"/>
  <c r="BU513" i="18"/>
  <c r="CC677" i="5"/>
  <c r="CC541" i="5"/>
  <c r="BU390" i="18" s="1"/>
  <c r="CC595" i="5"/>
  <c r="CD208" i="5"/>
  <c r="BV175" i="18" s="1"/>
  <c r="BV174" i="18"/>
  <c r="CD647" i="5"/>
  <c r="BV488" i="18" s="1"/>
  <c r="BV56" i="18"/>
  <c r="BV513" i="18"/>
  <c r="CD541" i="5"/>
  <c r="BV390" i="18" s="1"/>
  <c r="CD677" i="5"/>
  <c r="CF279" i="5"/>
  <c r="BX235" i="18" s="1"/>
  <c r="BX234" i="18"/>
  <c r="BU345" i="18"/>
  <c r="CC64" i="5"/>
  <c r="CC71" i="5" s="1"/>
  <c r="CC486" i="5"/>
  <c r="CC459" i="5"/>
  <c r="CC461" i="5"/>
  <c r="BU349" i="18" s="1"/>
  <c r="CU707" i="18"/>
  <c r="DC154" i="6"/>
  <c r="DD150" i="6"/>
  <c r="DC148" i="6"/>
  <c r="DD147" i="6"/>
  <c r="CY343" i="5"/>
  <c r="BW32" i="18"/>
  <c r="CE510" i="5"/>
  <c r="CE428" i="5"/>
  <c r="CE337" i="5"/>
  <c r="CE472" i="5"/>
  <c r="CE42" i="5"/>
  <c r="CE49" i="5"/>
  <c r="CE346" i="5"/>
  <c r="CE258" i="5"/>
  <c r="CE260" i="5" s="1"/>
  <c r="CE261" i="5" s="1"/>
  <c r="CE262" i="5" s="1"/>
  <c r="CE467" i="5"/>
  <c r="CE479" i="5"/>
  <c r="CE31" i="5"/>
  <c r="CE43" i="5"/>
  <c r="BW35" i="18" s="1"/>
  <c r="CE521" i="5"/>
  <c r="CE40" i="5"/>
  <c r="CE453" i="5"/>
  <c r="CE437" i="5"/>
  <c r="CY39" i="5"/>
  <c r="CQ215" i="18"/>
  <c r="CY251" i="5"/>
  <c r="CZ250" i="5"/>
  <c r="CY253" i="5"/>
  <c r="CY254" i="5" s="1"/>
  <c r="BU306" i="18"/>
  <c r="CC419" i="5"/>
  <c r="BU312" i="18" s="1"/>
  <c r="CC415" i="5"/>
  <c r="CC359" i="5"/>
  <c r="CC357" i="5"/>
  <c r="CC364" i="5" s="1"/>
  <c r="CY202" i="6"/>
  <c r="CY203" i="6" s="1"/>
  <c r="CY206" i="6"/>
  <c r="CY207" i="6"/>
  <c r="CY209" i="6"/>
  <c r="CQ737" i="18" s="1"/>
  <c r="CY193" i="6"/>
  <c r="CY194" i="6" s="1"/>
  <c r="CD357" i="5"/>
  <c r="CD364" i="5" s="1"/>
  <c r="CD359" i="5"/>
  <c r="BV1286" i="18"/>
  <c r="CD401" i="5"/>
  <c r="BV1287" i="18" s="1"/>
  <c r="CD402" i="5"/>
  <c r="BV1288" i="18" s="1"/>
  <c r="DA290" i="6"/>
  <c r="DA311" i="6"/>
  <c r="DA300" i="6"/>
  <c r="CC423" i="5"/>
  <c r="CR773" i="18"/>
  <c r="CZ250" i="6"/>
  <c r="CR774" i="18" s="1"/>
  <c r="DA249" i="6"/>
  <c r="BW170" i="18"/>
  <c r="CE206" i="5"/>
  <c r="CE295" i="5"/>
  <c r="CY203" i="5"/>
  <c r="CQ170" i="18" s="1"/>
  <c r="CC434" i="5"/>
  <c r="BU1037" i="18"/>
  <c r="BU1042" i="18"/>
  <c r="CC440" i="5"/>
  <c r="BX170" i="18"/>
  <c r="CF206" i="5"/>
  <c r="CF295" i="5"/>
  <c r="CQ736" i="18"/>
  <c r="CY199" i="6"/>
  <c r="BV1042" i="18"/>
  <c r="CD440" i="5"/>
  <c r="BW1245" i="18"/>
  <c r="CE17" i="6"/>
  <c r="CE18" i="6"/>
  <c r="CQ313" i="18"/>
  <c r="CY420" i="5"/>
  <c r="CY463" i="5"/>
  <c r="CQ244" i="18"/>
  <c r="CY288" i="5"/>
  <c r="CQ245" i="18" s="1"/>
  <c r="BU1279" i="18"/>
  <c r="CC388" i="5"/>
  <c r="CC390" i="5"/>
  <c r="BU1271" i="18"/>
  <c r="CC381" i="5"/>
  <c r="BU1273" i="18" s="1"/>
  <c r="CC380" i="5"/>
  <c r="BU1272" i="18" s="1"/>
  <c r="BV1271" i="18"/>
  <c r="CD381" i="5"/>
  <c r="BV1273" i="18" s="1"/>
  <c r="CD380" i="5"/>
  <c r="BV1272" i="18" s="1"/>
  <c r="CD355" i="5"/>
  <c r="BV302" i="18"/>
  <c r="CC208" i="5"/>
  <c r="BU175" i="18" s="1"/>
  <c r="BU174" i="18"/>
  <c r="CR580" i="18"/>
  <c r="CZ27" i="6"/>
  <c r="CR581" i="18" s="1"/>
  <c r="CS716" i="18"/>
  <c r="DA167" i="6"/>
  <c r="BX1245" i="18"/>
  <c r="CF17" i="6"/>
  <c r="CF18" i="6"/>
  <c r="CC45" i="5"/>
  <c r="BU1318" i="18"/>
  <c r="CD21" i="5"/>
  <c r="S12" i="19" s="1"/>
  <c r="S30" i="19" s="1"/>
  <c r="BV9" i="18"/>
  <c r="CR812" i="18"/>
  <c r="CZ301" i="6"/>
  <c r="CZ312" i="6"/>
  <c r="CT671" i="18"/>
  <c r="DB166" i="6"/>
  <c r="DB25" i="6"/>
  <c r="DB155" i="6"/>
  <c r="CT672" i="18" s="1"/>
  <c r="CY243" i="5"/>
  <c r="CQ210" i="18" s="1"/>
  <c r="CQ209" i="18"/>
  <c r="CC33" i="5"/>
  <c r="BU25" i="18" s="1"/>
  <c r="BU24" i="18"/>
  <c r="CC383" i="5"/>
  <c r="CC362" i="5"/>
  <c r="CC363" i="5" s="1"/>
  <c r="CC404" i="5"/>
  <c r="CC392" i="5"/>
  <c r="BU1286" i="18"/>
  <c r="CC401" i="5"/>
  <c r="BU1287" i="18" s="1"/>
  <c r="CC402" i="5"/>
  <c r="BU1288" i="18" s="1"/>
  <c r="BU50" i="18"/>
  <c r="CD45" i="5"/>
  <c r="BV1318" i="18"/>
  <c r="CD434" i="5"/>
  <c r="BV1037" i="18"/>
  <c r="BV306" i="18"/>
  <c r="CD419" i="5"/>
  <c r="BV312" i="18" s="1"/>
  <c r="CD415" i="5"/>
  <c r="BW313" i="18"/>
  <c r="CE463" i="5"/>
  <c r="CE462" i="5" s="1"/>
  <c r="CE420" i="5"/>
  <c r="BX32" i="18"/>
  <c r="CF258" i="5"/>
  <c r="CF260" i="5" s="1"/>
  <c r="CF261" i="5" s="1"/>
  <c r="CF262" i="5" s="1"/>
  <c r="CF428" i="5"/>
  <c r="CF337" i="5"/>
  <c r="CF510" i="5"/>
  <c r="CF31" i="5"/>
  <c r="CF437" i="5"/>
  <c r="CF467" i="5"/>
  <c r="CF40" i="5"/>
  <c r="CF49" i="5"/>
  <c r="CF521" i="5"/>
  <c r="CF472" i="5"/>
  <c r="CF453" i="5"/>
  <c r="CF43" i="5"/>
  <c r="BX35" i="18" s="1"/>
  <c r="CF479" i="5"/>
  <c r="CF42" i="5"/>
  <c r="CF346" i="5"/>
  <c r="CZ40" i="7"/>
  <c r="CZ11" i="6"/>
  <c r="CR572" i="18"/>
  <c r="CZ249" i="5"/>
  <c r="CZ12" i="5"/>
  <c r="CZ41" i="6"/>
  <c r="CD33" i="5"/>
  <c r="BV25" i="18" s="1"/>
  <c r="BV24" i="18"/>
  <c r="BU9" i="18"/>
  <c r="CC21" i="5"/>
  <c r="R12" i="19" s="1"/>
  <c r="R30" i="19" s="1"/>
  <c r="BV345" i="18"/>
  <c r="CD486" i="5"/>
  <c r="CD64" i="5"/>
  <c r="CD459" i="5"/>
  <c r="CD461" i="5"/>
  <c r="BV349" i="18" s="1"/>
  <c r="CE44" i="5" l="1"/>
  <c r="BW36" i="18" s="1"/>
  <c r="Z13" i="19"/>
  <c r="CF332" i="5"/>
  <c r="BX288" i="18" s="1"/>
  <c r="CF44" i="5"/>
  <c r="BX36" i="18" s="1"/>
  <c r="CD71" i="5"/>
  <c r="BV52" i="18"/>
  <c r="BV378" i="18"/>
  <c r="CD489" i="5"/>
  <c r="CD487" i="5"/>
  <c r="BV379" i="18" s="1"/>
  <c r="CZ41" i="7"/>
  <c r="CZ43" i="7" s="1"/>
  <c r="CF480" i="5"/>
  <c r="BX367" i="18" s="1"/>
  <c r="BX366" i="18"/>
  <c r="CF468" i="5"/>
  <c r="BX354" i="18" s="1"/>
  <c r="BX353" i="18"/>
  <c r="CR214" i="18"/>
  <c r="CZ241" i="5"/>
  <c r="CF50" i="5"/>
  <c r="BX38" i="18" s="1"/>
  <c r="BX37" i="18"/>
  <c r="BX1041" i="18"/>
  <c r="CF438" i="5"/>
  <c r="CF447" i="5"/>
  <c r="CF448" i="5" s="1"/>
  <c r="CF429" i="5"/>
  <c r="CF431" i="5" s="1"/>
  <c r="CF432" i="5" s="1"/>
  <c r="CF433" i="5" s="1"/>
  <c r="BX1036" i="18"/>
  <c r="CE458" i="5"/>
  <c r="CF461" i="5" s="1"/>
  <c r="BX349" i="18" s="1"/>
  <c r="BW348" i="18"/>
  <c r="CD244" i="5"/>
  <c r="CD245" i="5" s="1"/>
  <c r="BV1317" i="18"/>
  <c r="CC405" i="5"/>
  <c r="BU1290" i="18"/>
  <c r="BU1261" i="18"/>
  <c r="CT579" i="18"/>
  <c r="DB40" i="6"/>
  <c r="DB277" i="5"/>
  <c r="CT233" i="18" s="1"/>
  <c r="DB92" i="6"/>
  <c r="DB26" i="6"/>
  <c r="CD55" i="5"/>
  <c r="S14" i="19" s="1"/>
  <c r="S32" i="19" s="1"/>
  <c r="BV13" i="18"/>
  <c r="CD24" i="5"/>
  <c r="CD27" i="5"/>
  <c r="CD22" i="5"/>
  <c r="BV14" i="18" s="1"/>
  <c r="CD608" i="5"/>
  <c r="CD185" i="5"/>
  <c r="BV151" i="18" s="1"/>
  <c r="CD591" i="5"/>
  <c r="CD590" i="5"/>
  <c r="CD607" i="5"/>
  <c r="CD609" i="5"/>
  <c r="CD209" i="5"/>
  <c r="BV176" i="18" s="1"/>
  <c r="CD441" i="5"/>
  <c r="BV1044" i="18"/>
  <c r="CF16" i="5"/>
  <c r="BX253" i="18"/>
  <c r="CE16" i="5"/>
  <c r="BW253" i="18"/>
  <c r="CY295" i="5"/>
  <c r="CD407" i="5"/>
  <c r="CD365" i="5"/>
  <c r="CD366" i="5" s="1"/>
  <c r="CD397" i="5"/>
  <c r="CC416" i="5"/>
  <c r="BU309" i="18" s="1"/>
  <c r="BU308" i="18"/>
  <c r="CR215" i="18"/>
  <c r="DA250" i="5"/>
  <c r="CZ253" i="5"/>
  <c r="CZ254" i="5" s="1"/>
  <c r="CE454" i="5"/>
  <c r="BW341" i="18" s="1"/>
  <c r="BW340" i="18"/>
  <c r="BW23" i="18"/>
  <c r="CE34" i="5"/>
  <c r="BW26" i="18" s="1"/>
  <c r="CE32" i="5"/>
  <c r="BW358" i="18"/>
  <c r="CE476" i="5"/>
  <c r="BW361" i="18" s="1"/>
  <c r="CE66" i="5"/>
  <c r="CE475" i="5"/>
  <c r="CY472" i="5"/>
  <c r="CV707" i="18"/>
  <c r="DE150" i="6"/>
  <c r="DD148" i="6"/>
  <c r="DE147" i="6"/>
  <c r="DD154" i="6"/>
  <c r="CD488" i="5"/>
  <c r="BV380" i="18" s="1"/>
  <c r="BU378" i="18"/>
  <c r="CC487" i="5"/>
  <c r="BU379" i="18" s="1"/>
  <c r="CC489" i="5"/>
  <c r="CC488" i="5"/>
  <c r="BU380" i="18" s="1"/>
  <c r="CR711" i="18"/>
  <c r="CZ160" i="6"/>
  <c r="CS643" i="18"/>
  <c r="DA93" i="6"/>
  <c r="BV1281" i="18"/>
  <c r="BV1259" i="18"/>
  <c r="CD393" i="5"/>
  <c r="CD395" i="5"/>
  <c r="CQ1245" i="18"/>
  <c r="CY17" i="6"/>
  <c r="CY18" i="6"/>
  <c r="CR565" i="18"/>
  <c r="CZ20" i="7"/>
  <c r="CZ21" i="7" s="1"/>
  <c r="CZ22" i="7" s="1"/>
  <c r="CZ23" i="7" s="1"/>
  <c r="CZ446" i="5"/>
  <c r="CZ374" i="5"/>
  <c r="CZ12" i="6"/>
  <c r="CZ241" i="6"/>
  <c r="CR766" i="18" s="1"/>
  <c r="CZ46" i="6"/>
  <c r="CR577" i="18" s="1"/>
  <c r="CR5" i="18"/>
  <c r="CZ38" i="6"/>
  <c r="CR593" i="18" s="1"/>
  <c r="CZ77" i="6"/>
  <c r="CR614" i="18" s="1"/>
  <c r="CZ89" i="6"/>
  <c r="CR640" i="18" s="1"/>
  <c r="CZ13" i="5"/>
  <c r="CR6" i="18" s="1"/>
  <c r="CD460" i="5"/>
  <c r="BV347" i="18" s="1"/>
  <c r="BV346" i="18"/>
  <c r="BX296" i="18"/>
  <c r="CF351" i="5"/>
  <c r="BX301" i="18" s="1"/>
  <c r="CF413" i="5"/>
  <c r="CF352" i="5"/>
  <c r="CF358" i="5" s="1"/>
  <c r="CF379" i="5"/>
  <c r="CF400" i="5"/>
  <c r="CF361" i="5"/>
  <c r="CF353" i="5"/>
  <c r="CF62" i="5"/>
  <c r="CF354" i="5"/>
  <c r="CF350" i="5"/>
  <c r="BX300" i="18" s="1"/>
  <c r="CF387" i="5"/>
  <c r="CF454" i="5"/>
  <c r="BX341" i="18" s="1"/>
  <c r="BX340" i="18"/>
  <c r="BX33" i="18"/>
  <c r="CF41" i="5"/>
  <c r="BX34" i="18" s="1"/>
  <c r="CF46" i="5"/>
  <c r="BX23" i="18"/>
  <c r="CF32" i="5"/>
  <c r="CF34" i="5"/>
  <c r="BX26" i="18" s="1"/>
  <c r="BU58" i="18"/>
  <c r="CC77" i="5"/>
  <c r="CC73" i="5"/>
  <c r="CT716" i="18"/>
  <c r="DB167" i="6"/>
  <c r="BW1246" i="18"/>
  <c r="BW569" i="18"/>
  <c r="BX173" i="18"/>
  <c r="CF207" i="5"/>
  <c r="CF283" i="5"/>
  <c r="BX240" i="18" s="1"/>
  <c r="BW173" i="18"/>
  <c r="CE207" i="5"/>
  <c r="CE283" i="5"/>
  <c r="BW240" i="18" s="1"/>
  <c r="CY206" i="5"/>
  <c r="CQ216" i="18"/>
  <c r="CZ252" i="5"/>
  <c r="CR217" i="18" s="1"/>
  <c r="CY252" i="5"/>
  <c r="CQ217" i="18" s="1"/>
  <c r="CE332" i="5"/>
  <c r="BW33" i="18"/>
  <c r="CE41" i="5"/>
  <c r="BW34" i="18" s="1"/>
  <c r="CE46" i="5"/>
  <c r="CE480" i="5"/>
  <c r="BW367" i="18" s="1"/>
  <c r="BW366" i="18"/>
  <c r="BW296" i="18"/>
  <c r="CE400" i="5"/>
  <c r="CE413" i="5"/>
  <c r="CE354" i="5"/>
  <c r="CE352" i="5"/>
  <c r="CE358" i="5" s="1"/>
  <c r="CE62" i="5"/>
  <c r="CE351" i="5"/>
  <c r="BW301" i="18" s="1"/>
  <c r="CE353" i="5"/>
  <c r="CE350" i="5"/>
  <c r="BW300" i="18" s="1"/>
  <c r="CE361" i="5"/>
  <c r="CE379" i="5"/>
  <c r="CE387" i="5"/>
  <c r="CY346" i="5"/>
  <c r="CE338" i="5"/>
  <c r="BW294" i="18" s="1"/>
  <c r="BW293" i="18"/>
  <c r="BU52" i="18"/>
  <c r="BV518" i="18"/>
  <c r="BU439" i="18"/>
  <c r="CC515" i="5"/>
  <c r="CC516" i="5" s="1"/>
  <c r="CC517" i="5" s="1"/>
  <c r="CD595" i="5"/>
  <c r="CS773" i="18"/>
  <c r="DA250" i="6"/>
  <c r="CS774" i="18" s="1"/>
  <c r="BU488" i="18"/>
  <c r="CC596" i="5"/>
  <c r="CC597" i="5" s="1"/>
  <c r="CZ96" i="6"/>
  <c r="CR647" i="18" s="1"/>
  <c r="BV1275" i="18"/>
  <c r="CD384" i="5"/>
  <c r="BV1276" i="18" s="1"/>
  <c r="CD385" i="5"/>
  <c r="BV1277" i="18" s="1"/>
  <c r="CD389" i="5"/>
  <c r="BV1280" i="18"/>
  <c r="CY279" i="5"/>
  <c r="CQ235" i="18" s="1"/>
  <c r="CQ234" i="18"/>
  <c r="CD425" i="5"/>
  <c r="BV317" i="18"/>
  <c r="BU13" i="18"/>
  <c r="CC591" i="5"/>
  <c r="CC608" i="5"/>
  <c r="CC590" i="5"/>
  <c r="CC27" i="5"/>
  <c r="CC609" i="5"/>
  <c r="CC24" i="5"/>
  <c r="CC22" i="5"/>
  <c r="BU14" i="18" s="1"/>
  <c r="CC185" i="5"/>
  <c r="BU151" i="18" s="1"/>
  <c r="CC607" i="5"/>
  <c r="CC55" i="5"/>
  <c r="R14" i="19" s="1"/>
  <c r="R32" i="19" s="1"/>
  <c r="CC209" i="5"/>
  <c r="BU176" i="18" s="1"/>
  <c r="BX358" i="18"/>
  <c r="CF66" i="5"/>
  <c r="BX54" i="18" s="1"/>
  <c r="CF475" i="5"/>
  <c r="CF476" i="5"/>
  <c r="BX361" i="18" s="1"/>
  <c r="BX370" i="18"/>
  <c r="CF511" i="5"/>
  <c r="BX371" i="18" s="1"/>
  <c r="CF514" i="5"/>
  <c r="CF512" i="5"/>
  <c r="CF513" i="5"/>
  <c r="CF69" i="5"/>
  <c r="CD416" i="5"/>
  <c r="BV309" i="18" s="1"/>
  <c r="BV308" i="18"/>
  <c r="CD435" i="5"/>
  <c r="BV1039" i="18" s="1"/>
  <c r="BV1038" i="18"/>
  <c r="BU1275" i="18"/>
  <c r="CC385" i="5"/>
  <c r="BU1277" i="18" s="1"/>
  <c r="CC384" i="5"/>
  <c r="BU1276" i="18" s="1"/>
  <c r="CC244" i="5"/>
  <c r="CC245" i="5" s="1"/>
  <c r="BU1317" i="18"/>
  <c r="CS717" i="18"/>
  <c r="DA159" i="6"/>
  <c r="CC389" i="5"/>
  <c r="BU1280" i="18"/>
  <c r="CC435" i="5"/>
  <c r="BU1039" i="18" s="1"/>
  <c r="BU1038" i="18"/>
  <c r="BU316" i="18"/>
  <c r="CC422" i="5"/>
  <c r="CC424" i="5"/>
  <c r="CC365" i="5"/>
  <c r="CC366" i="5" s="1"/>
  <c r="CC407" i="5"/>
  <c r="CC397" i="5"/>
  <c r="BW560" i="18"/>
  <c r="CE524" i="5"/>
  <c r="CE529" i="5"/>
  <c r="CE672" i="5"/>
  <c r="CE50" i="5"/>
  <c r="BW38" i="18" s="1"/>
  <c r="BW37" i="18"/>
  <c r="CE429" i="5"/>
  <c r="CE431" i="5" s="1"/>
  <c r="CE432" i="5" s="1"/>
  <c r="CE433" i="5" s="1"/>
  <c r="BW1036" i="18"/>
  <c r="CS580" i="18"/>
  <c r="DA27" i="6"/>
  <c r="CS581" i="18" s="1"/>
  <c r="CR644" i="18"/>
  <c r="CZ94" i="6"/>
  <c r="CR645" i="18" s="1"/>
  <c r="CF297" i="5"/>
  <c r="BX255" i="18" s="1"/>
  <c r="CR573" i="18"/>
  <c r="CZ43" i="6"/>
  <c r="BX560" i="18"/>
  <c r="CF672" i="5"/>
  <c r="CF524" i="5"/>
  <c r="CF529" i="5"/>
  <c r="CF338" i="5"/>
  <c r="BX294" i="18" s="1"/>
  <c r="BX293" i="18"/>
  <c r="BU1281" i="18"/>
  <c r="BU1259" i="18"/>
  <c r="CC395" i="5"/>
  <c r="CC393" i="5"/>
  <c r="BX1246" i="18"/>
  <c r="BX569" i="18"/>
  <c r="CC441" i="5"/>
  <c r="BU1044" i="18"/>
  <c r="CS812" i="18"/>
  <c r="DA301" i="6"/>
  <c r="DA312" i="6"/>
  <c r="CD44" i="5"/>
  <c r="BV36" i="18" s="1"/>
  <c r="CQ32" i="18"/>
  <c r="CY49" i="5"/>
  <c r="CY437" i="5"/>
  <c r="CY31" i="5"/>
  <c r="CY428" i="5"/>
  <c r="CY453" i="5"/>
  <c r="CY40" i="5"/>
  <c r="CY479" i="5"/>
  <c r="CY467" i="5"/>
  <c r="CY258" i="5"/>
  <c r="CY260" i="5" s="1"/>
  <c r="CY261" i="5" s="1"/>
  <c r="CY262" i="5" s="1"/>
  <c r="BY44" i="5"/>
  <c r="BQ36" i="18" s="1"/>
  <c r="CY43" i="5"/>
  <c r="CQ35" i="18" s="1"/>
  <c r="CY337" i="5"/>
  <c r="CC44" i="5"/>
  <c r="BU36" i="18" s="1"/>
  <c r="CC332" i="5"/>
  <c r="CD332" i="5"/>
  <c r="BW1041" i="18"/>
  <c r="CE438" i="5"/>
  <c r="CE447" i="5"/>
  <c r="CE448" i="5" s="1"/>
  <c r="CE468" i="5"/>
  <c r="BW354" i="18" s="1"/>
  <c r="BW353" i="18"/>
  <c r="BW370" i="18"/>
  <c r="CE513" i="5"/>
  <c r="CE514" i="5"/>
  <c r="CE512" i="5"/>
  <c r="CE69" i="5"/>
  <c r="CE511" i="5"/>
  <c r="BW371" i="18" s="1"/>
  <c r="CY510" i="5"/>
  <c r="CU671" i="18"/>
  <c r="DC166" i="6"/>
  <c r="DC155" i="6"/>
  <c r="CU672" i="18" s="1"/>
  <c r="DC25" i="6"/>
  <c r="CC460" i="5"/>
  <c r="BU347" i="18" s="1"/>
  <c r="BU346" i="18"/>
  <c r="BU518" i="18"/>
  <c r="CZ168" i="6"/>
  <c r="CR718" i="18" s="1"/>
  <c r="DA40" i="7"/>
  <c r="CS572" i="18"/>
  <c r="DA11" i="6"/>
  <c r="DA249" i="5"/>
  <c r="DA12" i="5"/>
  <c r="DA46" i="6" s="1"/>
  <c r="CS577" i="18" s="1"/>
  <c r="DA41" i="6"/>
  <c r="BX345" i="18"/>
  <c r="CF64" i="5"/>
  <c r="BX52" i="18" s="1"/>
  <c r="CF459" i="5"/>
  <c r="CF486" i="5"/>
  <c r="CD405" i="5"/>
  <c r="BV1290" i="18"/>
  <c r="BV1261" i="18"/>
  <c r="CE297" i="5"/>
  <c r="BW255" i="18" s="1"/>
  <c r="S41" i="19" l="1"/>
  <c r="Z31" i="19"/>
  <c r="CF333" i="5"/>
  <c r="BX289" i="18" s="1"/>
  <c r="BU441" i="18"/>
  <c r="CU716" i="18"/>
  <c r="DC167" i="6"/>
  <c r="CS214" i="18"/>
  <c r="DA241" i="5"/>
  <c r="BV1291" i="18"/>
  <c r="BV1262" i="18"/>
  <c r="DA20" i="7"/>
  <c r="DA21" i="7" s="1"/>
  <c r="DA22" i="7" s="1"/>
  <c r="DA23" i="7" s="1"/>
  <c r="CS565" i="18"/>
  <c r="DA374" i="5"/>
  <c r="DA12" i="6"/>
  <c r="DA446" i="5"/>
  <c r="DA241" i="6"/>
  <c r="CS766" i="18" s="1"/>
  <c r="CU579" i="18"/>
  <c r="DC40" i="6"/>
  <c r="DC26" i="6"/>
  <c r="DC277" i="5"/>
  <c r="CU233" i="18" s="1"/>
  <c r="DC92" i="6"/>
  <c r="CQ370" i="18"/>
  <c r="CY511" i="5"/>
  <c r="CQ371" i="18" s="1"/>
  <c r="CY513" i="5"/>
  <c r="CD333" i="5"/>
  <c r="BV289" i="18" s="1"/>
  <c r="BV288" i="18"/>
  <c r="CY338" i="5"/>
  <c r="CQ294" i="18" s="1"/>
  <c r="CQ293" i="18"/>
  <c r="CY468" i="5"/>
  <c r="CQ354" i="18" s="1"/>
  <c r="CQ353" i="18"/>
  <c r="CY429" i="5"/>
  <c r="CY431" i="5" s="1"/>
  <c r="CY432" i="5" s="1"/>
  <c r="CY433" i="5" s="1"/>
  <c r="CQ1036" i="18"/>
  <c r="CY50" i="5"/>
  <c r="CQ38" i="18" s="1"/>
  <c r="CQ37" i="18"/>
  <c r="CC442" i="5"/>
  <c r="BU1045" i="18"/>
  <c r="CC394" i="5"/>
  <c r="BU1282" i="18"/>
  <c r="BU1260" i="18"/>
  <c r="BU304" i="18"/>
  <c r="BX513" i="18"/>
  <c r="CF677" i="5"/>
  <c r="CF541" i="5"/>
  <c r="BX390" i="18" s="1"/>
  <c r="DA168" i="6"/>
  <c r="CS718" i="18" s="1"/>
  <c r="CF647" i="5"/>
  <c r="BX488" i="18" s="1"/>
  <c r="BX56" i="18"/>
  <c r="BU434" i="18"/>
  <c r="CC660" i="5"/>
  <c r="BW1279" i="18"/>
  <c r="CE390" i="5"/>
  <c r="CE388" i="5"/>
  <c r="CE355" i="5"/>
  <c r="BW302" i="18"/>
  <c r="CE208" i="5"/>
  <c r="BW175" i="18" s="1"/>
  <c r="BW174" i="18"/>
  <c r="CF208" i="5"/>
  <c r="BX175" i="18" s="1"/>
  <c r="BX174" i="18"/>
  <c r="CT717" i="18"/>
  <c r="DB159" i="6"/>
  <c r="CF45" i="5"/>
  <c r="BX1318" i="18"/>
  <c r="BX50" i="18"/>
  <c r="CF71" i="5"/>
  <c r="BX1271" i="18"/>
  <c r="CF381" i="5"/>
  <c r="BX1273" i="18" s="1"/>
  <c r="CF380" i="5"/>
  <c r="BX1272" i="18" s="1"/>
  <c r="CR712" i="18"/>
  <c r="CZ162" i="6"/>
  <c r="CW707" i="18"/>
  <c r="DE148" i="6"/>
  <c r="DF147" i="6"/>
  <c r="DE154" i="6"/>
  <c r="DF150" i="6"/>
  <c r="CQ358" i="18"/>
  <c r="CY475" i="5"/>
  <c r="CZ472" i="5"/>
  <c r="CY473" i="5"/>
  <c r="CE21" i="5"/>
  <c r="T12" i="19" s="1"/>
  <c r="T30" i="19" s="1"/>
  <c r="BW9" i="18"/>
  <c r="CY16" i="5"/>
  <c r="CD442" i="5"/>
  <c r="BV1045" i="18"/>
  <c r="BV434" i="18"/>
  <c r="CD660" i="5"/>
  <c r="CD490" i="5"/>
  <c r="BV382" i="18" s="1"/>
  <c r="BV381" i="18"/>
  <c r="CF460" i="5"/>
  <c r="BX347" i="18" s="1"/>
  <c r="BX346" i="18"/>
  <c r="BW1042" i="18"/>
  <c r="CE440" i="5"/>
  <c r="BX378" i="18"/>
  <c r="CF489" i="5"/>
  <c r="CF487" i="5"/>
  <c r="BX379" i="18" s="1"/>
  <c r="CS573" i="18"/>
  <c r="DA43" i="6"/>
  <c r="CC333" i="5"/>
  <c r="BU289" i="18" s="1"/>
  <c r="BU288" i="18"/>
  <c r="CY480" i="5"/>
  <c r="CQ367" i="18" s="1"/>
  <c r="CQ366" i="18"/>
  <c r="U905" i="18"/>
  <c r="U925" i="18"/>
  <c r="CC425" i="5"/>
  <c r="BU317" i="18"/>
  <c r="CS711" i="18"/>
  <c r="DA160" i="6"/>
  <c r="BU42" i="18"/>
  <c r="CC56" i="5"/>
  <c r="BU43" i="18" s="1"/>
  <c r="CC25" i="5"/>
  <c r="BU17" i="18" s="1"/>
  <c r="BU16" i="18"/>
  <c r="BV439" i="18"/>
  <c r="CE595" i="5"/>
  <c r="CD515" i="5"/>
  <c r="CD516" i="5" s="1"/>
  <c r="CD517" i="5" s="1"/>
  <c r="BW1271" i="18"/>
  <c r="CE381" i="5"/>
  <c r="BW1273" i="18" s="1"/>
  <c r="CE380" i="5"/>
  <c r="BW1272" i="18" s="1"/>
  <c r="BW306" i="18"/>
  <c r="CE419" i="5"/>
  <c r="BW312" i="18" s="1"/>
  <c r="CE415" i="5"/>
  <c r="CE333" i="5"/>
  <c r="BW289" i="18" s="1"/>
  <c r="BW288" i="18"/>
  <c r="CQ173" i="18"/>
  <c r="CY207" i="5"/>
  <c r="CY283" i="5"/>
  <c r="CQ240" i="18" s="1"/>
  <c r="CF388" i="5"/>
  <c r="BX1279" i="18"/>
  <c r="CF390" i="5"/>
  <c r="CF357" i="5"/>
  <c r="CF364" i="5" s="1"/>
  <c r="CF359" i="5"/>
  <c r="CE33" i="5"/>
  <c r="BW25" i="18" s="1"/>
  <c r="BW24" i="18"/>
  <c r="CD408" i="5"/>
  <c r="BV1293" i="18"/>
  <c r="BV1267" i="18"/>
  <c r="BV435" i="18"/>
  <c r="BV42" i="18"/>
  <c r="CD56" i="5"/>
  <c r="BV43" i="18" s="1"/>
  <c r="DB40" i="7"/>
  <c r="CT572" i="18"/>
  <c r="DB249" i="5"/>
  <c r="DB12" i="5"/>
  <c r="DB46" i="6" s="1"/>
  <c r="CT577" i="18" s="1"/>
  <c r="DB11" i="6"/>
  <c r="DB41" i="6"/>
  <c r="BU1291" i="18"/>
  <c r="BU1262" i="18"/>
  <c r="BW345" i="18"/>
  <c r="CE486" i="5"/>
  <c r="CF488" i="5" s="1"/>
  <c r="BX380" i="18" s="1"/>
  <c r="CE461" i="5"/>
  <c r="BW349" i="18" s="1"/>
  <c r="CE64" i="5"/>
  <c r="CE459" i="5"/>
  <c r="CY458" i="5"/>
  <c r="BX1042" i="18"/>
  <c r="CF440" i="5"/>
  <c r="CR208" i="18"/>
  <c r="CZ287" i="5"/>
  <c r="CZ289" i="5" s="1"/>
  <c r="CR246" i="18" s="1"/>
  <c r="CZ242" i="5"/>
  <c r="CZ238" i="5"/>
  <c r="CZ54" i="7"/>
  <c r="CZ53" i="7" s="1"/>
  <c r="CZ57" i="7" s="1"/>
  <c r="DA96" i="6"/>
  <c r="CS647" i="18" s="1"/>
  <c r="CS5" i="18"/>
  <c r="DH12" i="5"/>
  <c r="CZ5" i="18" s="1"/>
  <c r="DA38" i="6"/>
  <c r="CS593" i="18" s="1"/>
  <c r="DA89" i="6"/>
  <c r="CS640" i="18" s="1"/>
  <c r="DA13" i="5"/>
  <c r="CS6" i="18" s="1"/>
  <c r="DA77" i="6"/>
  <c r="CS614" i="18" s="1"/>
  <c r="CQ23" i="18"/>
  <c r="CY34" i="5"/>
  <c r="CQ26" i="18" s="1"/>
  <c r="CY32" i="5"/>
  <c r="CF530" i="5"/>
  <c r="CF531" i="5" s="1"/>
  <c r="CF532" i="5"/>
  <c r="CR575" i="18"/>
  <c r="CZ44" i="6"/>
  <c r="CR576" i="18" s="1"/>
  <c r="CZ15" i="6"/>
  <c r="CZ47" i="6"/>
  <c r="BW513" i="18"/>
  <c r="CE541" i="5"/>
  <c r="BW390" i="18" s="1"/>
  <c r="CE677" i="5"/>
  <c r="CY672" i="5"/>
  <c r="CC398" i="5"/>
  <c r="BU1283" i="18"/>
  <c r="BU1264" i="18"/>
  <c r="BU450" i="18"/>
  <c r="CC662" i="5"/>
  <c r="CC568" i="5"/>
  <c r="BU414" i="18" s="1"/>
  <c r="BU452" i="18"/>
  <c r="CC612" i="5"/>
  <c r="CC569" i="5"/>
  <c r="BU415" i="18" s="1"/>
  <c r="BU451" i="18"/>
  <c r="CD426" i="5"/>
  <c r="BV319" i="18" s="1"/>
  <c r="BV318" i="18"/>
  <c r="CE383" i="5"/>
  <c r="CE404" i="5"/>
  <c r="CE362" i="5"/>
  <c r="CE363" i="5" s="1"/>
  <c r="CE392" i="5"/>
  <c r="BW50" i="18"/>
  <c r="CY62" i="5"/>
  <c r="CQ50" i="18" s="1"/>
  <c r="BW1286" i="18"/>
  <c r="CE401" i="5"/>
  <c r="BW1287" i="18" s="1"/>
  <c r="CE402" i="5"/>
  <c r="BW1288" i="18" s="1"/>
  <c r="CE45" i="5"/>
  <c r="BW1318" i="18"/>
  <c r="BU60" i="18"/>
  <c r="CC83" i="5"/>
  <c r="CC574" i="5"/>
  <c r="CC123" i="5"/>
  <c r="CC74" i="5"/>
  <c r="CF33" i="5"/>
  <c r="BX25" i="18" s="1"/>
  <c r="BX24" i="18"/>
  <c r="CF404" i="5"/>
  <c r="CF362" i="5"/>
  <c r="CF363" i="5" s="1"/>
  <c r="CF383" i="5"/>
  <c r="CF392" i="5"/>
  <c r="BX306" i="18"/>
  <c r="CF419" i="5"/>
  <c r="BX312" i="18" s="1"/>
  <c r="CF415" i="5"/>
  <c r="CF423" i="5"/>
  <c r="CR566" i="18"/>
  <c r="CZ13" i="6"/>
  <c r="CR567" i="18" s="1"/>
  <c r="CS644" i="18"/>
  <c r="DA94" i="6"/>
  <c r="CS645" i="18" s="1"/>
  <c r="BW54" i="18"/>
  <c r="CY66" i="5"/>
  <c r="CQ54" i="18" s="1"/>
  <c r="CY297" i="5"/>
  <c r="CQ255" i="18" s="1"/>
  <c r="CQ253" i="18"/>
  <c r="CF21" i="5"/>
  <c r="U12" i="19" s="1"/>
  <c r="U30" i="19" s="1"/>
  <c r="BX9" i="18"/>
  <c r="CD612" i="5"/>
  <c r="BV452" i="18"/>
  <c r="CD29" i="5"/>
  <c r="BV19" i="18"/>
  <c r="CT580" i="18"/>
  <c r="DB27" i="6"/>
  <c r="CT581" i="18" s="1"/>
  <c r="CZ44" i="7"/>
  <c r="CZ48" i="7"/>
  <c r="CZ49" i="7" s="1"/>
  <c r="DA41" i="7"/>
  <c r="DA43" i="7" s="1"/>
  <c r="CE647" i="5"/>
  <c r="BW56" i="18"/>
  <c r="CY69" i="5"/>
  <c r="CY41" i="5"/>
  <c r="CQ34" i="18" s="1"/>
  <c r="CQ33" i="18"/>
  <c r="CY454" i="5"/>
  <c r="CQ341" i="18" s="1"/>
  <c r="CQ340" i="18"/>
  <c r="CQ1041" i="18"/>
  <c r="CY438" i="5"/>
  <c r="CY447" i="5"/>
  <c r="CY448" i="5" s="1"/>
  <c r="CE434" i="5"/>
  <c r="BW1037" i="18"/>
  <c r="CE532" i="5"/>
  <c r="CE530" i="5"/>
  <c r="CE531" i="5" s="1"/>
  <c r="CC408" i="5"/>
  <c r="BU1293" i="18"/>
  <c r="BU1267" i="18"/>
  <c r="BU19" i="18"/>
  <c r="CC29" i="5"/>
  <c r="BU435" i="18"/>
  <c r="CC661" i="5"/>
  <c r="CD661" i="5"/>
  <c r="BV502" i="18" s="1"/>
  <c r="CD596" i="5"/>
  <c r="BU440" i="18"/>
  <c r="CQ296" i="18"/>
  <c r="CY354" i="5"/>
  <c r="CY361" i="5"/>
  <c r="CY379" i="5"/>
  <c r="CY400" i="5"/>
  <c r="CY352" i="5"/>
  <c r="CY358" i="5" s="1"/>
  <c r="CY413" i="5"/>
  <c r="CY347" i="5"/>
  <c r="CZ347" i="5" s="1"/>
  <c r="CY350" i="5"/>
  <c r="CQ300" i="18" s="1"/>
  <c r="CY387" i="5"/>
  <c r="CE357" i="5"/>
  <c r="CE364" i="5" s="1"/>
  <c r="CE359" i="5"/>
  <c r="BU63" i="18"/>
  <c r="CC79" i="5"/>
  <c r="CF355" i="5"/>
  <c r="BX302" i="18"/>
  <c r="BX1286" i="18"/>
  <c r="CF401" i="5"/>
  <c r="BX1287" i="18" s="1"/>
  <c r="CF402" i="5"/>
  <c r="BX1288" i="18" s="1"/>
  <c r="CQ1246" i="18"/>
  <c r="CQ569" i="18"/>
  <c r="CD394" i="5"/>
  <c r="BV1282" i="18"/>
  <c r="BV1260" i="18"/>
  <c r="BV304" i="18"/>
  <c r="CC490" i="5"/>
  <c r="BU382" i="18" s="1"/>
  <c r="BU381" i="18"/>
  <c r="CV671" i="18"/>
  <c r="DD155" i="6"/>
  <c r="CV672" i="18" s="1"/>
  <c r="DD166" i="6"/>
  <c r="DD25" i="6"/>
  <c r="CS215" i="18"/>
  <c r="DA253" i="5"/>
  <c r="DA254" i="5" s="1"/>
  <c r="DB250" i="5"/>
  <c r="CD398" i="5"/>
  <c r="BV1283" i="18"/>
  <c r="BV1264" i="18"/>
  <c r="BV450" i="18"/>
  <c r="CD568" i="5"/>
  <c r="BV414" i="18" s="1"/>
  <c r="CD662" i="5"/>
  <c r="BV503" i="18" s="1"/>
  <c r="CD569" i="5"/>
  <c r="BV415" i="18" s="1"/>
  <c r="BV451" i="18"/>
  <c r="CD25" i="5"/>
  <c r="BV17" i="18" s="1"/>
  <c r="BV16" i="18"/>
  <c r="CT643" i="18"/>
  <c r="DB93" i="6"/>
  <c r="CF434" i="5"/>
  <c r="BX1037" i="18"/>
  <c r="CE423" i="5"/>
  <c r="BV58" i="18"/>
  <c r="CD77" i="5"/>
  <c r="CD73" i="5"/>
  <c r="DA54" i="7" l="1"/>
  <c r="DA53" i="7" s="1"/>
  <c r="DA57" i="7" s="1"/>
  <c r="DA421" i="5" s="1"/>
  <c r="CD79" i="5"/>
  <c r="BV63" i="18"/>
  <c r="CT644" i="18"/>
  <c r="DB94" i="6"/>
  <c r="CT645" i="18" s="1"/>
  <c r="CT215" i="18"/>
  <c r="DB253" i="5"/>
  <c r="DB254" i="5" s="1"/>
  <c r="DC250" i="5"/>
  <c r="CV716" i="18"/>
  <c r="DD167" i="6"/>
  <c r="CQ306" i="18"/>
  <c r="CY419" i="5"/>
  <c r="CQ312" i="18" s="1"/>
  <c r="CY415" i="5"/>
  <c r="CY423" i="5"/>
  <c r="CY383" i="5"/>
  <c r="CY362" i="5"/>
  <c r="CY363" i="5" s="1"/>
  <c r="CY404" i="5"/>
  <c r="CY392" i="5"/>
  <c r="CE596" i="5"/>
  <c r="CE597" i="5" s="1"/>
  <c r="BV440" i="18"/>
  <c r="CQ1042" i="18"/>
  <c r="CY440" i="5"/>
  <c r="BW488" i="18"/>
  <c r="CY647" i="5"/>
  <c r="CQ488" i="18" s="1"/>
  <c r="CF416" i="5"/>
  <c r="BX309" i="18" s="1"/>
  <c r="BX308" i="18"/>
  <c r="BX1275" i="18"/>
  <c r="CF384" i="5"/>
  <c r="BX1276" i="18" s="1"/>
  <c r="CF385" i="5"/>
  <c r="BX1277" i="18" s="1"/>
  <c r="BU73" i="18"/>
  <c r="CC126" i="5"/>
  <c r="CC84" i="5"/>
  <c r="CC95" i="5"/>
  <c r="BW1275" i="18"/>
  <c r="CE385" i="5"/>
  <c r="BW1277" i="18" s="1"/>
  <c r="CE384" i="5"/>
  <c r="BW1276" i="18" s="1"/>
  <c r="BU503" i="18"/>
  <c r="BU1284" i="18"/>
  <c r="BU1265" i="18"/>
  <c r="CZ243" i="5"/>
  <c r="CR210" i="18" s="1"/>
  <c r="CR209" i="18"/>
  <c r="CF441" i="5"/>
  <c r="BX1044" i="18"/>
  <c r="CE71" i="5"/>
  <c r="BW52" i="18"/>
  <c r="CY64" i="5"/>
  <c r="CT214" i="18"/>
  <c r="DB241" i="5"/>
  <c r="CY208" i="5"/>
  <c r="CQ175" i="18" s="1"/>
  <c r="CQ174" i="18"/>
  <c r="CE416" i="5"/>
  <c r="BW309" i="18" s="1"/>
  <c r="BW308" i="18"/>
  <c r="CD597" i="5"/>
  <c r="CF490" i="5"/>
  <c r="BX382" i="18" s="1"/>
  <c r="BX381" i="18"/>
  <c r="CD443" i="5"/>
  <c r="BV1046" i="18"/>
  <c r="CY474" i="5"/>
  <c r="CQ360" i="18" s="1"/>
  <c r="CQ359" i="18"/>
  <c r="BX518" i="18"/>
  <c r="DC40" i="7"/>
  <c r="CU572" i="18"/>
  <c r="DC11" i="6"/>
  <c r="DC168" i="6" s="1"/>
  <c r="CU718" i="18" s="1"/>
  <c r="DC41" i="6"/>
  <c r="DC12" i="5"/>
  <c r="DC249" i="5"/>
  <c r="CS566" i="18"/>
  <c r="DA13" i="6"/>
  <c r="CS567" i="18" s="1"/>
  <c r="CU717" i="18"/>
  <c r="DC159" i="6"/>
  <c r="BV60" i="18"/>
  <c r="CD83" i="5"/>
  <c r="CD74" i="5"/>
  <c r="CD123" i="5"/>
  <c r="CD574" i="5"/>
  <c r="BW316" i="18"/>
  <c r="CE424" i="5"/>
  <c r="CE422" i="5"/>
  <c r="CY357" i="5"/>
  <c r="CY364" i="5" s="1"/>
  <c r="CY359" i="5"/>
  <c r="CY355" i="5"/>
  <c r="CQ302" i="18"/>
  <c r="BU21" i="18"/>
  <c r="CC52" i="5"/>
  <c r="CC58" i="5"/>
  <c r="BV21" i="18"/>
  <c r="CD58" i="5"/>
  <c r="CD52" i="5"/>
  <c r="BX13" i="18"/>
  <c r="CF590" i="5"/>
  <c r="CF591" i="5"/>
  <c r="CF24" i="5"/>
  <c r="CF185" i="5"/>
  <c r="BX151" i="18" s="1"/>
  <c r="CF609" i="5"/>
  <c r="CF27" i="5"/>
  <c r="CF607" i="5"/>
  <c r="CF608" i="5"/>
  <c r="CF22" i="5"/>
  <c r="BX14" i="18" s="1"/>
  <c r="CF55" i="5"/>
  <c r="U14" i="19" s="1"/>
  <c r="U32" i="19" s="1"/>
  <c r="CF209" i="5"/>
  <c r="BX176" i="18" s="1"/>
  <c r="CC75" i="5"/>
  <c r="BU61" i="18"/>
  <c r="BW1281" i="18"/>
  <c r="BW1259" i="18"/>
  <c r="CE393" i="5"/>
  <c r="CE395" i="5"/>
  <c r="CC617" i="5"/>
  <c r="BU460" i="18" s="1"/>
  <c r="BU455" i="18"/>
  <c r="CQ513" i="18"/>
  <c r="CY677" i="5"/>
  <c r="CY541" i="5"/>
  <c r="CQ390" i="18" s="1"/>
  <c r="CY521" i="5"/>
  <c r="CZ430" i="5"/>
  <c r="CZ356" i="5"/>
  <c r="CZ421" i="5"/>
  <c r="CZ340" i="5"/>
  <c r="CZ342" i="5" s="1"/>
  <c r="CZ439" i="5"/>
  <c r="CT573" i="18"/>
  <c r="DB43" i="6"/>
  <c r="CS575" i="18"/>
  <c r="DA44" i="6"/>
  <c r="CS576" i="18" s="1"/>
  <c r="DA15" i="6"/>
  <c r="DA47" i="6"/>
  <c r="BV501" i="18"/>
  <c r="CD664" i="5"/>
  <c r="BV505" i="18" s="1"/>
  <c r="CY21" i="5"/>
  <c r="Z12" i="19" s="1"/>
  <c r="CQ9" i="18"/>
  <c r="CZ66" i="5"/>
  <c r="CR54" i="18" s="1"/>
  <c r="DA472" i="5"/>
  <c r="CW671" i="18"/>
  <c r="DE155" i="6"/>
  <c r="CW672" i="18" s="1"/>
  <c r="DE166" i="6"/>
  <c r="DE25" i="6"/>
  <c r="CF244" i="5"/>
  <c r="CF245" i="5" s="1"/>
  <c r="BX1317" i="18"/>
  <c r="CU643" i="18"/>
  <c r="DC93" i="6"/>
  <c r="CE365" i="5"/>
  <c r="CE366" i="5" s="1"/>
  <c r="CE407" i="5"/>
  <c r="CE397" i="5"/>
  <c r="CY401" i="5"/>
  <c r="CQ1287" i="18" s="1"/>
  <c r="CQ1286" i="18"/>
  <c r="BU1294" i="18"/>
  <c r="BU1268" i="18"/>
  <c r="CE435" i="5"/>
  <c r="BW1039" i="18" s="1"/>
  <c r="BW1038" i="18"/>
  <c r="CY518" i="5"/>
  <c r="CZ518" i="5" s="1"/>
  <c r="DA518" i="5" s="1"/>
  <c r="DB518" i="5" s="1"/>
  <c r="DC518" i="5" s="1"/>
  <c r="DD518" i="5" s="1"/>
  <c r="DE518" i="5" s="1"/>
  <c r="DF518" i="5" s="1"/>
  <c r="CQ56" i="18"/>
  <c r="CF405" i="5"/>
  <c r="BX1290" i="18"/>
  <c r="BX1261" i="18"/>
  <c r="CC128" i="5"/>
  <c r="BU105" i="18"/>
  <c r="BW518" i="18"/>
  <c r="CR1244" i="18"/>
  <c r="CZ19" i="6"/>
  <c r="CZ16" i="6"/>
  <c r="CZ375" i="5"/>
  <c r="CR244" i="18"/>
  <c r="CZ39" i="5"/>
  <c r="AA13" i="19" s="1"/>
  <c r="AA31" i="19" s="1"/>
  <c r="CZ288" i="5"/>
  <c r="CR245" i="18" s="1"/>
  <c r="CQ345" i="18"/>
  <c r="CY462" i="5"/>
  <c r="CY486" i="5"/>
  <c r="CY459" i="5"/>
  <c r="BW378" i="18"/>
  <c r="CE489" i="5"/>
  <c r="CE487" i="5"/>
  <c r="BW379" i="18" s="1"/>
  <c r="CE488" i="5"/>
  <c r="BW380" i="18" s="1"/>
  <c r="DB20" i="7"/>
  <c r="DB21" i="7" s="1"/>
  <c r="DB22" i="7" s="1"/>
  <c r="DB23" i="7" s="1"/>
  <c r="CT565" i="18"/>
  <c r="DB446" i="5"/>
  <c r="DB374" i="5"/>
  <c r="DB12" i="6"/>
  <c r="DB41" i="7"/>
  <c r="DB43" i="7" s="1"/>
  <c r="CF389" i="5"/>
  <c r="BX1280" i="18"/>
  <c r="CC426" i="5"/>
  <c r="BU319" i="18" s="1"/>
  <c r="BU318" i="18"/>
  <c r="CX707" i="18"/>
  <c r="DF148" i="6"/>
  <c r="DF154" i="6"/>
  <c r="BX58" i="18"/>
  <c r="CF77" i="5"/>
  <c r="CF73" i="5"/>
  <c r="DB168" i="6"/>
  <c r="CT718" i="18" s="1"/>
  <c r="BU501" i="18"/>
  <c r="CC664" i="5"/>
  <c r="BU505" i="18" s="1"/>
  <c r="CS208" i="18"/>
  <c r="DA238" i="5"/>
  <c r="DA287" i="5"/>
  <c r="DA242" i="5"/>
  <c r="BU70" i="18"/>
  <c r="CC87" i="5"/>
  <c r="CC124" i="5"/>
  <c r="CC573" i="5"/>
  <c r="BU419" i="18" s="1"/>
  <c r="CC80" i="5"/>
  <c r="CF435" i="5"/>
  <c r="BX1039" i="18" s="1"/>
  <c r="BX1038" i="18"/>
  <c r="BV1284" i="18"/>
  <c r="BV1265" i="18"/>
  <c r="CV579" i="18"/>
  <c r="DD92" i="6"/>
  <c r="DD40" i="6"/>
  <c r="DD26" i="6"/>
  <c r="DD277" i="5"/>
  <c r="CV233" i="18" s="1"/>
  <c r="CY388" i="5"/>
  <c r="CQ1279" i="18"/>
  <c r="CQ297" i="18"/>
  <c r="CY348" i="5"/>
  <c r="CQ299" i="18" s="1"/>
  <c r="CY380" i="5"/>
  <c r="CQ1272" i="18" s="1"/>
  <c r="CQ1271" i="18"/>
  <c r="BU502" i="18"/>
  <c r="DA44" i="7"/>
  <c r="DA48" i="7"/>
  <c r="DA49" i="7" s="1"/>
  <c r="CD617" i="5"/>
  <c r="BV460" i="18" s="1"/>
  <c r="BV455" i="18"/>
  <c r="BX316" i="18"/>
  <c r="CF424" i="5"/>
  <c r="CF422" i="5"/>
  <c r="BX1259" i="18"/>
  <c r="BX1281" i="18"/>
  <c r="CF393" i="5"/>
  <c r="CF395" i="5"/>
  <c r="BU420" i="18"/>
  <c r="CC577" i="5"/>
  <c r="CE244" i="5"/>
  <c r="CE245" i="5" s="1"/>
  <c r="BW1317" i="18"/>
  <c r="CE405" i="5"/>
  <c r="BW1290" i="18"/>
  <c r="BW1261" i="18"/>
  <c r="CY33" i="5"/>
  <c r="CQ25" i="18" s="1"/>
  <c r="CQ24" i="18"/>
  <c r="CR205" i="18"/>
  <c r="CZ278" i="5"/>
  <c r="CZ203" i="5"/>
  <c r="CZ296" i="5"/>
  <c r="CE460" i="5"/>
  <c r="BW347" i="18" s="1"/>
  <c r="BW346" i="18"/>
  <c r="DB96" i="6"/>
  <c r="CT647" i="18" s="1"/>
  <c r="CT5" i="18"/>
  <c r="DB77" i="6"/>
  <c r="CT614" i="18" s="1"/>
  <c r="DB38" i="6"/>
  <c r="CT593" i="18" s="1"/>
  <c r="DB89" i="6"/>
  <c r="CT640" i="18" s="1"/>
  <c r="DB13" i="5"/>
  <c r="CT6" i="18" s="1"/>
  <c r="BV1294" i="18"/>
  <c r="BV1268" i="18"/>
  <c r="CF407" i="5"/>
  <c r="CF365" i="5"/>
  <c r="CF366" i="5" s="1"/>
  <c r="CF397" i="5"/>
  <c r="BW439" i="18"/>
  <c r="CE515" i="5"/>
  <c r="CE516" i="5" s="1"/>
  <c r="CE517" i="5" s="1"/>
  <c r="CF595" i="5"/>
  <c r="CS712" i="18"/>
  <c r="DA162" i="6"/>
  <c r="CE441" i="5"/>
  <c r="BW1044" i="18"/>
  <c r="CE55" i="5"/>
  <c r="T14" i="19" s="1"/>
  <c r="T32" i="19" s="1"/>
  <c r="BW13" i="18"/>
  <c r="CE24" i="5"/>
  <c r="CE609" i="5"/>
  <c r="CE27" i="5"/>
  <c r="CE608" i="5"/>
  <c r="CE607" i="5"/>
  <c r="CE185" i="5"/>
  <c r="BW151" i="18" s="1"/>
  <c r="CE22" i="5"/>
  <c r="BW14" i="18" s="1"/>
  <c r="CE591" i="5"/>
  <c r="CE590" i="5"/>
  <c r="CE209" i="5"/>
  <c r="BW176" i="18" s="1"/>
  <c r="CT711" i="18"/>
  <c r="DB160" i="6"/>
  <c r="CE389" i="5"/>
  <c r="BW1280" i="18"/>
  <c r="CC443" i="5"/>
  <c r="BU1046" i="18"/>
  <c r="CY434" i="5"/>
  <c r="CQ1037" i="18"/>
  <c r="CU580" i="18"/>
  <c r="DC27" i="6"/>
  <c r="CU581" i="18" s="1"/>
  <c r="S40" i="19" l="1"/>
  <c r="Z30" i="19"/>
  <c r="CC86" i="5"/>
  <c r="R15" i="19"/>
  <c r="DA347" i="5"/>
  <c r="DB347" i="5" s="1"/>
  <c r="DC347" i="5" s="1"/>
  <c r="DD347" i="5" s="1"/>
  <c r="DE347" i="5" s="1"/>
  <c r="DF347" i="5" s="1"/>
  <c r="DA356" i="5"/>
  <c r="DA430" i="5"/>
  <c r="DA439" i="5"/>
  <c r="DA340" i="5"/>
  <c r="DA342" i="5" s="1"/>
  <c r="DA341" i="5" s="1"/>
  <c r="DB54" i="7"/>
  <c r="DB53" i="7" s="1"/>
  <c r="DB57" i="7" s="1"/>
  <c r="DB421" i="5" s="1"/>
  <c r="CY435" i="5"/>
  <c r="CQ1039" i="18" s="1"/>
  <c r="CQ1038" i="18"/>
  <c r="BW434" i="18"/>
  <c r="CE660" i="5"/>
  <c r="CF398" i="5"/>
  <c r="BX1283" i="18"/>
  <c r="BX1264" i="18"/>
  <c r="CQ346" i="18"/>
  <c r="CY460" i="5"/>
  <c r="CQ347" i="18" s="1"/>
  <c r="CY450" i="5"/>
  <c r="CQ337" i="18" s="1"/>
  <c r="CR1245" i="18"/>
  <c r="CZ17" i="6"/>
  <c r="CZ18" i="6"/>
  <c r="CR569" i="18" s="1"/>
  <c r="CQ372" i="18"/>
  <c r="CZ510" i="5"/>
  <c r="CY519" i="5"/>
  <c r="CE408" i="5"/>
  <c r="BW1293" i="18"/>
  <c r="BW1267" i="18"/>
  <c r="CY209" i="5"/>
  <c r="CQ176" i="18" s="1"/>
  <c r="CQ13" i="18"/>
  <c r="CY9" i="16"/>
  <c r="CY22" i="5"/>
  <c r="CQ14" i="18" s="1"/>
  <c r="CY185" i="5"/>
  <c r="CQ151" i="18" s="1"/>
  <c r="CY24" i="5"/>
  <c r="CY55" i="5"/>
  <c r="Z14" i="19" s="1"/>
  <c r="CZ343" i="5"/>
  <c r="CZ341" i="5"/>
  <c r="CC59" i="5"/>
  <c r="BU45" i="18" s="1"/>
  <c r="BU44" i="18"/>
  <c r="CD75" i="5"/>
  <c r="BV61" i="18"/>
  <c r="CT712" i="18"/>
  <c r="DB162" i="6"/>
  <c r="BW450" i="18"/>
  <c r="CE662" i="5"/>
  <c r="CE568" i="5"/>
  <c r="BW414" i="18" s="1"/>
  <c r="CE25" i="5"/>
  <c r="BW17" i="18" s="1"/>
  <c r="BW16" i="18"/>
  <c r="CE442" i="5"/>
  <c r="BW1045" i="18"/>
  <c r="BW441" i="18"/>
  <c r="CR254" i="18"/>
  <c r="BW1291" i="18"/>
  <c r="BW1262" i="18"/>
  <c r="CQ1280" i="18"/>
  <c r="CY389" i="5"/>
  <c r="DD40" i="7"/>
  <c r="CV572" i="18"/>
  <c r="DD249" i="5"/>
  <c r="DD11" i="6"/>
  <c r="DD168" i="6" s="1"/>
  <c r="CV718" i="18" s="1"/>
  <c r="DD41" i="6"/>
  <c r="DD12" i="5"/>
  <c r="DD96" i="6" s="1"/>
  <c r="CV647" i="18" s="1"/>
  <c r="CX671" i="18"/>
  <c r="DF25" i="6"/>
  <c r="DF155" i="6"/>
  <c r="CX672" i="18" s="1"/>
  <c r="DF166" i="6"/>
  <c r="CQ378" i="18"/>
  <c r="CY489" i="5"/>
  <c r="CY487" i="5"/>
  <c r="CQ379" i="18" s="1"/>
  <c r="CR32" i="18"/>
  <c r="CZ258" i="5"/>
  <c r="CZ260" i="5" s="1"/>
  <c r="CZ261" i="5" s="1"/>
  <c r="CZ262" i="5" s="1"/>
  <c r="CZ31" i="5"/>
  <c r="CZ428" i="5"/>
  <c r="CZ429" i="5" s="1"/>
  <c r="CZ431" i="5" s="1"/>
  <c r="CZ432" i="5" s="1"/>
  <c r="CZ433" i="5" s="1"/>
  <c r="CZ434" i="5" s="1"/>
  <c r="CZ435" i="5" s="1"/>
  <c r="CZ467" i="5"/>
  <c r="CZ468" i="5" s="1"/>
  <c r="CZ479" i="5"/>
  <c r="CZ480" i="5" s="1"/>
  <c r="CZ40" i="5"/>
  <c r="CZ43" i="5"/>
  <c r="CR35" i="18" s="1"/>
  <c r="CZ49" i="5"/>
  <c r="CZ337" i="5"/>
  <c r="CZ453" i="5"/>
  <c r="CZ454" i="5" s="1"/>
  <c r="CZ437" i="5"/>
  <c r="BX1291" i="18"/>
  <c r="BX1262" i="18"/>
  <c r="CW716" i="18"/>
  <c r="DE167" i="6"/>
  <c r="CZ473" i="5"/>
  <c r="CZ474" i="5" s="1"/>
  <c r="CT575" i="18"/>
  <c r="DB44" i="6"/>
  <c r="CT576" i="18" s="1"/>
  <c r="DB15" i="6"/>
  <c r="DB47" i="6"/>
  <c r="CR313" i="18"/>
  <c r="CZ463" i="5"/>
  <c r="BX42" i="18"/>
  <c r="CF56" i="5"/>
  <c r="BX43" i="18" s="1"/>
  <c r="CF25" i="5"/>
  <c r="BX17" i="18" s="1"/>
  <c r="BX16" i="18"/>
  <c r="CD53" i="5"/>
  <c r="BV40" i="18" s="1"/>
  <c r="BV39" i="18"/>
  <c r="CC53" i="5"/>
  <c r="BU40" i="18" s="1"/>
  <c r="BU39" i="18"/>
  <c r="BV73" i="18"/>
  <c r="CD84" i="5"/>
  <c r="CD95" i="5"/>
  <c r="S15" i="19" s="1"/>
  <c r="CD126" i="5"/>
  <c r="DC96" i="6"/>
  <c r="CU647" i="18" s="1"/>
  <c r="CU5" i="18"/>
  <c r="DC89" i="6"/>
  <c r="CU640" i="18" s="1"/>
  <c r="DC77" i="6"/>
  <c r="CU614" i="18" s="1"/>
  <c r="DC13" i="5"/>
  <c r="CU6" i="18" s="1"/>
  <c r="DC38" i="6"/>
  <c r="CU593" i="18" s="1"/>
  <c r="DC41" i="7"/>
  <c r="DC43" i="7" s="1"/>
  <c r="CY71" i="5"/>
  <c r="CQ52" i="18"/>
  <c r="CF442" i="5"/>
  <c r="BX1045" i="18"/>
  <c r="BU1331" i="18"/>
  <c r="CC137" i="5"/>
  <c r="CF596" i="5"/>
  <c r="CF597" i="5" s="1"/>
  <c r="BW440" i="18"/>
  <c r="CY384" i="5"/>
  <c r="CQ1276" i="18" s="1"/>
  <c r="CQ1275" i="18"/>
  <c r="CU215" i="18"/>
  <c r="DD250" i="5"/>
  <c r="DC253" i="5"/>
  <c r="DC254" i="5" s="1"/>
  <c r="BW452" i="18"/>
  <c r="CE612" i="5"/>
  <c r="CC81" i="5"/>
  <c r="BU72" i="18" s="1"/>
  <c r="BU71" i="18"/>
  <c r="CE425" i="5"/>
  <c r="BW317" i="18"/>
  <c r="CC85" i="5"/>
  <c r="BU74" i="18"/>
  <c r="CY416" i="5"/>
  <c r="CQ309" i="18" s="1"/>
  <c r="CQ308" i="18"/>
  <c r="CR170" i="18"/>
  <c r="CZ295" i="5"/>
  <c r="CZ297" i="5" s="1"/>
  <c r="CR255" i="18" s="1"/>
  <c r="CZ206" i="5"/>
  <c r="CR297" i="18"/>
  <c r="CZ346" i="5"/>
  <c r="CZ348" i="5"/>
  <c r="CR299" i="18" s="1"/>
  <c r="CV643" i="18"/>
  <c r="DD93" i="6"/>
  <c r="BU106" i="18"/>
  <c r="CC134" i="5"/>
  <c r="CC752" i="5" s="1"/>
  <c r="DA243" i="5"/>
  <c r="CS210" i="18" s="1"/>
  <c r="CS209" i="18"/>
  <c r="BX60" i="18"/>
  <c r="CF574" i="5"/>
  <c r="CF74" i="5"/>
  <c r="CF83" i="5"/>
  <c r="CF123" i="5"/>
  <c r="DB44" i="7"/>
  <c r="DB48" i="7"/>
  <c r="DB49" i="7" s="1"/>
  <c r="CE490" i="5"/>
  <c r="BW382" i="18" s="1"/>
  <c r="BW381" i="18"/>
  <c r="CY464" i="5"/>
  <c r="CZ464" i="5" s="1"/>
  <c r="DA464" i="5" s="1"/>
  <c r="CQ348" i="18"/>
  <c r="BU108" i="18"/>
  <c r="CC540" i="5"/>
  <c r="BU389" i="18" s="1"/>
  <c r="CC143" i="5"/>
  <c r="CQ518" i="18"/>
  <c r="CF29" i="5"/>
  <c r="BX19" i="18"/>
  <c r="BX435" i="18"/>
  <c r="CY591" i="5"/>
  <c r="CD59" i="5"/>
  <c r="BV45" i="18" s="1"/>
  <c r="BV44" i="18"/>
  <c r="CY407" i="5"/>
  <c r="CY365" i="5"/>
  <c r="CY366" i="5" s="1"/>
  <c r="CY397" i="5"/>
  <c r="BV420" i="18"/>
  <c r="CD577" i="5"/>
  <c r="BV423" i="18" s="1"/>
  <c r="CU573" i="18"/>
  <c r="DC43" i="6"/>
  <c r="BV441" i="18"/>
  <c r="CY441" i="5"/>
  <c r="CQ1044" i="18"/>
  <c r="CQ1259" i="18"/>
  <c r="CY393" i="5"/>
  <c r="CQ1281" i="18"/>
  <c r="CQ316" i="18"/>
  <c r="CY422" i="5"/>
  <c r="CY424" i="5"/>
  <c r="BX439" i="18"/>
  <c r="CF515" i="5"/>
  <c r="CF516" i="5" s="1"/>
  <c r="CF517" i="5" s="1"/>
  <c r="CY595" i="5"/>
  <c r="CC579" i="5"/>
  <c r="BU425" i="18" s="1"/>
  <c r="BU423" i="18"/>
  <c r="CV580" i="18"/>
  <c r="DD27" i="6"/>
  <c r="CV581" i="18" s="1"/>
  <c r="CS205" i="18"/>
  <c r="DA278" i="5"/>
  <c r="DA203" i="5"/>
  <c r="DA296" i="5"/>
  <c r="CU644" i="18"/>
  <c r="DC94" i="6"/>
  <c r="CU645" i="18" s="1"/>
  <c r="CW579" i="18"/>
  <c r="DE92" i="6"/>
  <c r="DE40" i="6"/>
  <c r="DE26" i="6"/>
  <c r="DE277" i="5"/>
  <c r="CW233" i="18" s="1"/>
  <c r="DB472" i="5"/>
  <c r="DA66" i="5"/>
  <c r="CS1244" i="18"/>
  <c r="DA19" i="6"/>
  <c r="DA16" i="6"/>
  <c r="DA375" i="5"/>
  <c r="CQ560" i="18"/>
  <c r="CY15" i="16"/>
  <c r="CR1212" i="18" s="1"/>
  <c r="CY529" i="5"/>
  <c r="CY522" i="5"/>
  <c r="CZ522" i="5" s="1"/>
  <c r="DA522" i="5" s="1"/>
  <c r="CY524" i="5"/>
  <c r="BX450" i="18"/>
  <c r="CF568" i="5"/>
  <c r="BX414" i="18" s="1"/>
  <c r="CF662" i="5"/>
  <c r="BX503" i="18" s="1"/>
  <c r="CY607" i="5"/>
  <c r="CU214" i="18"/>
  <c r="DC241" i="5"/>
  <c r="CC444" i="5"/>
  <c r="BU1048" i="18" s="1"/>
  <c r="BU1047" i="18"/>
  <c r="BW435" i="18"/>
  <c r="CF661" i="5"/>
  <c r="BX502" i="18" s="1"/>
  <c r="CE661" i="5"/>
  <c r="CE569" i="5"/>
  <c r="BW415" i="18" s="1"/>
  <c r="BW451" i="18"/>
  <c r="CF408" i="5"/>
  <c r="BX1293" i="18"/>
  <c r="BX1267" i="18"/>
  <c r="CE29" i="5"/>
  <c r="BW19" i="18"/>
  <c r="CY27" i="5"/>
  <c r="BW42" i="18"/>
  <c r="CE56" i="5"/>
  <c r="BW43" i="18" s="1"/>
  <c r="CZ279" i="5"/>
  <c r="CR235" i="18" s="1"/>
  <c r="CR234" i="18"/>
  <c r="CF394" i="5"/>
  <c r="BX1260" i="18"/>
  <c r="BX1282" i="18"/>
  <c r="BX304" i="18"/>
  <c r="CF425" i="5"/>
  <c r="BX317" i="18"/>
  <c r="BU75" i="18"/>
  <c r="CC92" i="5"/>
  <c r="BU80" i="18" s="1"/>
  <c r="CC93" i="5"/>
  <c r="BU81" i="18" s="1"/>
  <c r="CC90" i="5"/>
  <c r="BU78" i="18" s="1"/>
  <c r="CC88" i="5"/>
  <c r="CC537" i="5"/>
  <c r="BU386" i="18" s="1"/>
  <c r="CC91" i="5"/>
  <c r="BU79" i="18" s="1"/>
  <c r="DA289" i="5"/>
  <c r="CS246" i="18" s="1"/>
  <c r="CS244" i="18"/>
  <c r="DA39" i="5"/>
  <c r="AB13" i="19" s="1"/>
  <c r="DA288" i="5"/>
  <c r="CS245" i="18" s="1"/>
  <c r="BX63" i="18"/>
  <c r="CF79" i="5"/>
  <c r="CT566" i="18"/>
  <c r="DB13" i="6"/>
  <c r="CT567" i="18" s="1"/>
  <c r="CS313" i="18"/>
  <c r="CE398" i="5"/>
  <c r="BW1283" i="18"/>
  <c r="BW1264" i="18"/>
  <c r="CE394" i="5"/>
  <c r="BW1282" i="18"/>
  <c r="BW1260" i="18"/>
  <c r="BW304" i="18"/>
  <c r="BX451" i="18"/>
  <c r="CF569" i="5"/>
  <c r="BX415" i="18" s="1"/>
  <c r="CY608" i="5"/>
  <c r="BX452" i="18"/>
  <c r="CF612" i="5"/>
  <c r="CY609" i="5"/>
  <c r="BX434" i="18"/>
  <c r="CY590" i="5"/>
  <c r="CF660" i="5"/>
  <c r="CD128" i="5"/>
  <c r="BV105" i="18"/>
  <c r="CU711" i="18"/>
  <c r="DC160" i="6"/>
  <c r="DC46" i="6"/>
  <c r="CU577" i="18" s="1"/>
  <c r="DC20" i="7"/>
  <c r="DC21" i="7" s="1"/>
  <c r="DC22" i="7" s="1"/>
  <c r="DC23" i="7" s="1"/>
  <c r="CU565" i="18"/>
  <c r="DC12" i="6"/>
  <c r="DC446" i="5"/>
  <c r="DC374" i="5"/>
  <c r="CD444" i="5"/>
  <c r="BV1048" i="18" s="1"/>
  <c r="BV1047" i="18"/>
  <c r="CT208" i="18"/>
  <c r="DB242" i="5"/>
  <c r="DB238" i="5"/>
  <c r="DB287" i="5"/>
  <c r="DB289" i="5" s="1"/>
  <c r="CT246" i="18" s="1"/>
  <c r="BW58" i="18"/>
  <c r="CE77" i="5"/>
  <c r="CE73" i="5"/>
  <c r="BU1321" i="18"/>
  <c r="CC96" i="5"/>
  <c r="CC101" i="5"/>
  <c r="BU1327" i="18" s="1"/>
  <c r="CC99" i="5"/>
  <c r="BU1325" i="18" s="1"/>
  <c r="CC100" i="5"/>
  <c r="BU1326" i="18" s="1"/>
  <c r="CC98" i="5"/>
  <c r="BU1324" i="18" s="1"/>
  <c r="CY405" i="5"/>
  <c r="CQ1290" i="18"/>
  <c r="CQ1261" i="18"/>
  <c r="CZ420" i="5"/>
  <c r="CV717" i="18"/>
  <c r="DD159" i="6"/>
  <c r="BV70" i="18"/>
  <c r="CD124" i="5"/>
  <c r="CD80" i="5"/>
  <c r="CD87" i="5"/>
  <c r="CD573" i="5"/>
  <c r="BV419" i="18" s="1"/>
  <c r="AB31" i="19" l="1"/>
  <c r="S16" i="19"/>
  <c r="S33" i="19"/>
  <c r="S34" i="19" s="1"/>
  <c r="S42" i="19"/>
  <c r="Z32" i="19"/>
  <c r="R16" i="19"/>
  <c r="R33" i="19"/>
  <c r="R34" i="19" s="1"/>
  <c r="DB464" i="5"/>
  <c r="DC464" i="5" s="1"/>
  <c r="DD464" i="5" s="1"/>
  <c r="DE464" i="5" s="1"/>
  <c r="DF464" i="5" s="1"/>
  <c r="DA343" i="5"/>
  <c r="DB439" i="5"/>
  <c r="DB340" i="5"/>
  <c r="DB342" i="5" s="1"/>
  <c r="DB341" i="5" s="1"/>
  <c r="DB356" i="5"/>
  <c r="DB430" i="5"/>
  <c r="CZ462" i="5"/>
  <c r="CZ458" i="5" s="1"/>
  <c r="DA463" i="5" s="1"/>
  <c r="DA462" i="5" s="1"/>
  <c r="DA458" i="5" s="1"/>
  <c r="DA486" i="5" s="1"/>
  <c r="CQ451" i="18"/>
  <c r="CY638" i="5"/>
  <c r="CY569" i="5"/>
  <c r="CQ415" i="18" s="1"/>
  <c r="CF426" i="5"/>
  <c r="BX319" i="18" s="1"/>
  <c r="BX318" i="18"/>
  <c r="CY530" i="5"/>
  <c r="CY531" i="5" s="1"/>
  <c r="CY532" i="5"/>
  <c r="DH66" i="5"/>
  <c r="CZ54" i="18" s="1"/>
  <c r="CS54" i="18"/>
  <c r="CS170" i="18"/>
  <c r="DA206" i="5"/>
  <c r="DA295" i="5"/>
  <c r="CY408" i="5"/>
  <c r="CQ1293" i="18"/>
  <c r="CQ1267" i="18"/>
  <c r="CQ435" i="18"/>
  <c r="CY636" i="5"/>
  <c r="CF128" i="5"/>
  <c r="BX105" i="18"/>
  <c r="BU1333" i="18"/>
  <c r="CC132" i="5"/>
  <c r="DC54" i="7"/>
  <c r="DC53" i="7" s="1"/>
  <c r="DC57" i="7" s="1"/>
  <c r="CZ41" i="5"/>
  <c r="CR34" i="18" s="1"/>
  <c r="CR33" i="18"/>
  <c r="DD41" i="7"/>
  <c r="DD43" i="7" s="1"/>
  <c r="BW501" i="18"/>
  <c r="CE664" i="5"/>
  <c r="BW505" i="18" s="1"/>
  <c r="CY660" i="5"/>
  <c r="CQ1291" i="18"/>
  <c r="CQ1262" i="18"/>
  <c r="BW60" i="18"/>
  <c r="CE74" i="5"/>
  <c r="CE574" i="5"/>
  <c r="CE123" i="5"/>
  <c r="CE83" i="5"/>
  <c r="BV108" i="18"/>
  <c r="CD540" i="5"/>
  <c r="BV389" i="18" s="1"/>
  <c r="CD143" i="5"/>
  <c r="CQ452" i="18"/>
  <c r="CY612" i="5"/>
  <c r="CY639" i="5"/>
  <c r="CS32" i="18"/>
  <c r="DA258" i="5"/>
  <c r="DA260" i="5" s="1"/>
  <c r="DA261" i="5" s="1"/>
  <c r="DA262" i="5" s="1"/>
  <c r="DA43" i="5"/>
  <c r="CS35" i="18" s="1"/>
  <c r="DA453" i="5"/>
  <c r="DA454" i="5" s="1"/>
  <c r="DA49" i="5"/>
  <c r="DA467" i="5"/>
  <c r="DA468" i="5" s="1"/>
  <c r="DA31" i="5"/>
  <c r="DA428" i="5"/>
  <c r="DA429" i="5" s="1"/>
  <c r="DA431" i="5" s="1"/>
  <c r="DA432" i="5" s="1"/>
  <c r="DA433" i="5" s="1"/>
  <c r="DA434" i="5" s="1"/>
  <c r="DA435" i="5" s="1"/>
  <c r="DA40" i="5"/>
  <c r="DA479" i="5"/>
  <c r="DA480" i="5" s="1"/>
  <c r="DA437" i="5"/>
  <c r="CB44" i="5"/>
  <c r="BT36" i="18" s="1"/>
  <c r="DA337" i="5"/>
  <c r="DH39" i="5"/>
  <c r="CZ32" i="18" s="1"/>
  <c r="DC472" i="5"/>
  <c r="DB66" i="5"/>
  <c r="CT54" i="18" s="1"/>
  <c r="CW643" i="18"/>
  <c r="DE93" i="6"/>
  <c r="DA279" i="5"/>
  <c r="CS235" i="18" s="1"/>
  <c r="CS234" i="18"/>
  <c r="CU575" i="18"/>
  <c r="DC44" i="6"/>
  <c r="CU576" i="18" s="1"/>
  <c r="DC47" i="6"/>
  <c r="DC15" i="6"/>
  <c r="BX73" i="18"/>
  <c r="CF84" i="5"/>
  <c r="CF95" i="5"/>
  <c r="U15" i="19" s="1"/>
  <c r="CF126" i="5"/>
  <c r="CR173" i="18"/>
  <c r="CZ207" i="5"/>
  <c r="CZ283" i="5"/>
  <c r="CR240" i="18" s="1"/>
  <c r="CE426" i="5"/>
  <c r="BW319" i="18" s="1"/>
  <c r="BW318" i="18"/>
  <c r="CV215" i="18"/>
  <c r="DD253" i="5"/>
  <c r="DD254" i="5" s="1"/>
  <c r="DE250" i="5"/>
  <c r="CY73" i="5"/>
  <c r="CQ58" i="18"/>
  <c r="CD85" i="5"/>
  <c r="BV74" i="18"/>
  <c r="CZ338" i="5"/>
  <c r="CR294" i="18" s="1"/>
  <c r="CR293" i="18"/>
  <c r="CZ513" i="5"/>
  <c r="CZ511" i="5"/>
  <c r="CZ69" i="5"/>
  <c r="CR23" i="18"/>
  <c r="CZ32" i="5"/>
  <c r="CZ34" i="5"/>
  <c r="CR26" i="18" s="1"/>
  <c r="CX716" i="18"/>
  <c r="DF167" i="6"/>
  <c r="DD20" i="7"/>
  <c r="DD21" i="7" s="1"/>
  <c r="DD22" i="7" s="1"/>
  <c r="DD23" i="7" s="1"/>
  <c r="CV565" i="18"/>
  <c r="DD374" i="5"/>
  <c r="DD12" i="6"/>
  <c r="DD446" i="5"/>
  <c r="CY10" i="16"/>
  <c r="CR1206" i="18"/>
  <c r="CZ519" i="5"/>
  <c r="CU208" i="18"/>
  <c r="DC242" i="5"/>
  <c r="DC238" i="5"/>
  <c r="DC287" i="5"/>
  <c r="DC289" i="5" s="1"/>
  <c r="CU246" i="18" s="1"/>
  <c r="CS1245" i="18"/>
  <c r="DA17" i="6"/>
  <c r="DA18" i="6"/>
  <c r="CS569" i="18" s="1"/>
  <c r="CQ439" i="18"/>
  <c r="CY515" i="5"/>
  <c r="CY516" i="5" s="1"/>
  <c r="CY517" i="5" s="1"/>
  <c r="BV1321" i="18"/>
  <c r="CD99" i="5"/>
  <c r="BV1325" i="18" s="1"/>
  <c r="CD98" i="5"/>
  <c r="BV1324" i="18" s="1"/>
  <c r="CD96" i="5"/>
  <c r="CD100" i="5"/>
  <c r="BV1326" i="18" s="1"/>
  <c r="CD101" i="5"/>
  <c r="BV1327" i="18" s="1"/>
  <c r="CQ42" i="18"/>
  <c r="CY56" i="5"/>
  <c r="CQ43" i="18" s="1"/>
  <c r="BV106" i="18"/>
  <c r="CD134" i="5"/>
  <c r="CD752" i="5" s="1"/>
  <c r="CT244" i="18"/>
  <c r="DB39" i="5"/>
  <c r="DB288" i="5"/>
  <c r="CT245" i="18" s="1"/>
  <c r="CE79" i="5"/>
  <c r="BW63" i="18"/>
  <c r="CY77" i="5"/>
  <c r="CT205" i="18"/>
  <c r="DB278" i="5"/>
  <c r="DB203" i="5"/>
  <c r="DB296" i="5"/>
  <c r="CU566" i="18"/>
  <c r="DC13" i="6"/>
  <c r="CU567" i="18" s="1"/>
  <c r="CU712" i="18"/>
  <c r="DC162" i="6"/>
  <c r="BX501" i="18"/>
  <c r="CF664" i="5"/>
  <c r="BX505" i="18" s="1"/>
  <c r="CF617" i="5"/>
  <c r="BX460" i="18" s="1"/>
  <c r="BX455" i="18"/>
  <c r="BX70" i="18"/>
  <c r="CF573" i="5"/>
  <c r="BX419" i="18" s="1"/>
  <c r="CF87" i="5"/>
  <c r="CF80" i="5"/>
  <c r="CF124" i="5"/>
  <c r="CC89" i="5"/>
  <c r="BU77" i="18" s="1"/>
  <c r="BU76" i="18"/>
  <c r="CY29" i="5"/>
  <c r="CQ19" i="18"/>
  <c r="BW502" i="18"/>
  <c r="CY661" i="5"/>
  <c r="CQ502" i="18" s="1"/>
  <c r="CQ450" i="18"/>
  <c r="CY568" i="5"/>
  <c r="CQ414" i="18" s="1"/>
  <c r="CY637" i="5"/>
  <c r="CY442" i="5"/>
  <c r="CQ1045" i="18"/>
  <c r="CY398" i="5"/>
  <c r="CQ1283" i="18"/>
  <c r="CQ1264" i="18"/>
  <c r="CF75" i="5"/>
  <c r="BX61" i="18"/>
  <c r="CR296" i="18"/>
  <c r="CZ413" i="5"/>
  <c r="CZ423" i="5" s="1"/>
  <c r="CZ379" i="5"/>
  <c r="CZ62" i="5"/>
  <c r="CR50" i="18" s="1"/>
  <c r="CZ361" i="5"/>
  <c r="CZ352" i="5"/>
  <c r="CZ358" i="5" s="1"/>
  <c r="CZ400" i="5"/>
  <c r="CZ350" i="5"/>
  <c r="CR300" i="18" s="1"/>
  <c r="CZ354" i="5"/>
  <c r="CZ387" i="5"/>
  <c r="CZ16" i="5"/>
  <c r="CR253" i="18"/>
  <c r="CE617" i="5"/>
  <c r="BW460" i="18" s="1"/>
  <c r="BW455" i="18"/>
  <c r="CY596" i="5"/>
  <c r="CQ440" i="18" s="1"/>
  <c r="BX440" i="18"/>
  <c r="CZ50" i="5"/>
  <c r="CR38" i="18" s="1"/>
  <c r="CR37" i="18"/>
  <c r="V925" i="18"/>
  <c r="V905" i="18"/>
  <c r="CY490" i="5"/>
  <c r="CQ382" i="18" s="1"/>
  <c r="CQ381" i="18"/>
  <c r="CT313" i="18"/>
  <c r="CV214" i="18"/>
  <c r="DD241" i="5"/>
  <c r="CE443" i="5"/>
  <c r="BW1046" i="18"/>
  <c r="BW503" i="18"/>
  <c r="CY662" i="5"/>
  <c r="CQ503" i="18" s="1"/>
  <c r="U904" i="18"/>
  <c r="U924" i="18"/>
  <c r="CD81" i="5"/>
  <c r="BV72" i="18" s="1"/>
  <c r="BV71" i="18"/>
  <c r="BW21" i="18"/>
  <c r="CE52" i="5"/>
  <c r="CE58" i="5"/>
  <c r="DE40" i="7"/>
  <c r="CW572" i="18"/>
  <c r="DE41" i="6"/>
  <c r="DE11" i="6"/>
  <c r="DE168" i="6" s="1"/>
  <c r="CW718" i="18" s="1"/>
  <c r="DE12" i="5"/>
  <c r="DE249" i="5"/>
  <c r="BU111" i="18"/>
  <c r="CC131" i="5"/>
  <c r="CV573" i="18"/>
  <c r="DD43" i="6"/>
  <c r="CY25" i="5"/>
  <c r="CQ17" i="18" s="1"/>
  <c r="CQ16" i="18"/>
  <c r="BV75" i="18"/>
  <c r="CD92" i="5"/>
  <c r="BV80" i="18" s="1"/>
  <c r="CD90" i="5"/>
  <c r="BV78" i="18" s="1"/>
  <c r="CD88" i="5"/>
  <c r="CD537" i="5"/>
  <c r="BV386" i="18" s="1"/>
  <c r="CD91" i="5"/>
  <c r="BV79" i="18" s="1"/>
  <c r="CD93" i="5"/>
  <c r="BV81" i="18" s="1"/>
  <c r="CV711" i="18"/>
  <c r="DD160" i="6"/>
  <c r="CC97" i="5"/>
  <c r="BU1323" i="18" s="1"/>
  <c r="BU1322" i="18"/>
  <c r="DB243" i="5"/>
  <c r="CT210" i="18" s="1"/>
  <c r="CT209" i="18"/>
  <c r="CQ434" i="18"/>
  <c r="CY635" i="5"/>
  <c r="BW1284" i="18"/>
  <c r="BW1265" i="18"/>
  <c r="BX1294" i="18"/>
  <c r="BX1268" i="18"/>
  <c r="CQ561" i="18"/>
  <c r="CY523" i="5"/>
  <c r="DA473" i="5"/>
  <c r="DA474" i="5" s="1"/>
  <c r="CW580" i="18"/>
  <c r="DE27" i="6"/>
  <c r="CW581" i="18" s="1"/>
  <c r="CS254" i="18"/>
  <c r="BX441" i="18"/>
  <c r="CY597" i="5"/>
  <c r="CY425" i="5"/>
  <c r="CQ317" i="18"/>
  <c r="CY394" i="5"/>
  <c r="CQ304" i="18"/>
  <c r="CQ1282" i="18"/>
  <c r="CQ1260" i="18"/>
  <c r="CD579" i="5"/>
  <c r="BV425" i="18" s="1"/>
  <c r="BX21" i="18"/>
  <c r="CF58" i="5"/>
  <c r="CF52" i="5"/>
  <c r="BU117" i="18"/>
  <c r="CC155" i="5"/>
  <c r="BU127" i="18" s="1"/>
  <c r="CC645" i="5"/>
  <c r="CC749" i="5"/>
  <c r="CF577" i="5"/>
  <c r="BX420" i="18"/>
  <c r="CC146" i="5"/>
  <c r="CV644" i="18"/>
  <c r="DD94" i="6"/>
  <c r="CV645" i="18" s="1"/>
  <c r="CS297" i="18"/>
  <c r="DA346" i="5"/>
  <c r="DA348" i="5"/>
  <c r="CS299" i="18" s="1"/>
  <c r="CF443" i="5"/>
  <c r="BX1046" i="18"/>
  <c r="DC44" i="7"/>
  <c r="DC48" i="7"/>
  <c r="DC49" i="7" s="1"/>
  <c r="CD137" i="5"/>
  <c r="BV1331" i="18"/>
  <c r="DB375" i="5"/>
  <c r="DB16" i="6"/>
  <c r="DB19" i="6"/>
  <c r="CW717" i="18"/>
  <c r="DE159" i="6"/>
  <c r="CZ438" i="5"/>
  <c r="CZ440" i="5" s="1"/>
  <c r="CZ441" i="5" s="1"/>
  <c r="CZ442" i="5" s="1"/>
  <c r="CZ447" i="5"/>
  <c r="CZ448" i="5" s="1"/>
  <c r="CX579" i="18"/>
  <c r="DF40" i="6"/>
  <c r="DF26" i="6"/>
  <c r="DF277" i="5"/>
  <c r="CX233" i="18" s="1"/>
  <c r="DF92" i="6"/>
  <c r="DD46" i="6"/>
  <c r="CV577" i="18" s="1"/>
  <c r="CV5" i="18"/>
  <c r="DD77" i="6"/>
  <c r="CV614" i="18" s="1"/>
  <c r="DD89" i="6"/>
  <c r="CV640" i="18" s="1"/>
  <c r="DD13" i="5"/>
  <c r="CV6" i="18" s="1"/>
  <c r="DD38" i="6"/>
  <c r="CV593" i="18" s="1"/>
  <c r="BW1294" i="18"/>
  <c r="BW1268" i="18"/>
  <c r="BX1284" i="18"/>
  <c r="BX1265" i="18"/>
  <c r="U16" i="19" l="1"/>
  <c r="U33" i="19"/>
  <c r="U34" i="19" s="1"/>
  <c r="CZ443" i="5"/>
  <c r="DB343" i="5"/>
  <c r="CZ459" i="5"/>
  <c r="CZ450" i="5" s="1"/>
  <c r="CZ64" i="5"/>
  <c r="CZ71" i="5" s="1"/>
  <c r="DB463" i="5"/>
  <c r="DB462" i="5" s="1"/>
  <c r="DB458" i="5" s="1"/>
  <c r="DB64" i="5" s="1"/>
  <c r="CZ486" i="5"/>
  <c r="CZ489" i="5" s="1"/>
  <c r="CZ490" i="5" s="1"/>
  <c r="DA64" i="5"/>
  <c r="DH64" i="5" s="1"/>
  <c r="CZ52" i="18" s="1"/>
  <c r="DA459" i="5"/>
  <c r="DA450" i="5" s="1"/>
  <c r="CD146" i="5"/>
  <c r="CD156" i="5" s="1"/>
  <c r="CZ635" i="5"/>
  <c r="CQ478" i="18"/>
  <c r="CV712" i="18"/>
  <c r="DD162" i="6"/>
  <c r="DE96" i="6"/>
  <c r="CW647" i="18" s="1"/>
  <c r="CW5" i="18"/>
  <c r="DE89" i="6"/>
  <c r="CW640" i="18" s="1"/>
  <c r="DE77" i="6"/>
  <c r="CW614" i="18" s="1"/>
  <c r="DE13" i="5"/>
  <c r="CW6" i="18" s="1"/>
  <c r="DE38" i="6"/>
  <c r="CW593" i="18" s="1"/>
  <c r="CZ401" i="5"/>
  <c r="CR1287" i="18" s="1"/>
  <c r="CR1286" i="18"/>
  <c r="CF81" i="5"/>
  <c r="BX72" i="18" s="1"/>
  <c r="BX71" i="18"/>
  <c r="CD97" i="5"/>
  <c r="BV1323" i="18" s="1"/>
  <c r="BV1322" i="18"/>
  <c r="CW215" i="18"/>
  <c r="DE253" i="5"/>
  <c r="DE254" i="5" s="1"/>
  <c r="DF250" i="5"/>
  <c r="CW644" i="18"/>
  <c r="DE94" i="6"/>
  <c r="CW645" i="18" s="1"/>
  <c r="CS23" i="18"/>
  <c r="DA32" i="5"/>
  <c r="DH31" i="5"/>
  <c r="CZ23" i="18" s="1"/>
  <c r="DA34" i="5"/>
  <c r="CS26" i="18" s="1"/>
  <c r="BW73" i="18"/>
  <c r="CE95" i="5"/>
  <c r="CE126" i="5"/>
  <c r="CE84" i="5"/>
  <c r="DC421" i="5"/>
  <c r="DC356" i="5"/>
  <c r="DC340" i="5"/>
  <c r="DC342" i="5" s="1"/>
  <c r="DC430" i="5"/>
  <c r="DC439" i="5"/>
  <c r="DA16" i="5"/>
  <c r="CS253" i="18"/>
  <c r="CX580" i="18"/>
  <c r="DF27" i="6"/>
  <c r="CX581" i="18" s="1"/>
  <c r="CW711" i="18"/>
  <c r="DE160" i="6"/>
  <c r="CF579" i="5"/>
  <c r="BX425" i="18" s="1"/>
  <c r="BX423" i="18"/>
  <c r="CQ441" i="18"/>
  <c r="CR561" i="18"/>
  <c r="DB522" i="5"/>
  <c r="DC522" i="5" s="1"/>
  <c r="DD522" i="5" s="1"/>
  <c r="DE522" i="5" s="1"/>
  <c r="DF522" i="5" s="1"/>
  <c r="CZ523" i="5"/>
  <c r="CZ521" i="5"/>
  <c r="CD89" i="5"/>
  <c r="BV77" i="18" s="1"/>
  <c r="BV76" i="18"/>
  <c r="CW565" i="18"/>
  <c r="DE446" i="5"/>
  <c r="DE374" i="5"/>
  <c r="DE20" i="7"/>
  <c r="DE21" i="7" s="1"/>
  <c r="DE22" i="7" s="1"/>
  <c r="DE23" i="7" s="1"/>
  <c r="DE12" i="6"/>
  <c r="CE59" i="5"/>
  <c r="BW45" i="18" s="1"/>
  <c r="BW44" i="18"/>
  <c r="CZ357" i="5"/>
  <c r="CZ364" i="5" s="1"/>
  <c r="CZ359" i="5"/>
  <c r="CR306" i="18"/>
  <c r="CZ415" i="5"/>
  <c r="CZ419" i="5"/>
  <c r="CR312" i="18" s="1"/>
  <c r="DA420" i="5"/>
  <c r="CY443" i="5"/>
  <c r="CQ1046" i="18"/>
  <c r="BX75" i="18"/>
  <c r="CF91" i="5"/>
  <c r="BX79" i="18" s="1"/>
  <c r="CF92" i="5"/>
  <c r="BX80" i="18" s="1"/>
  <c r="CF537" i="5"/>
  <c r="BX386" i="18" s="1"/>
  <c r="CF88" i="5"/>
  <c r="CF90" i="5"/>
  <c r="BX78" i="18" s="1"/>
  <c r="CT254" i="18"/>
  <c r="CY79" i="5"/>
  <c r="CQ63" i="18"/>
  <c r="CD131" i="5"/>
  <c r="BV111" i="18"/>
  <c r="CU244" i="18"/>
  <c r="DC288" i="5"/>
  <c r="CU245" i="18" s="1"/>
  <c r="DC39" i="5"/>
  <c r="DC473" i="5" s="1"/>
  <c r="CV566" i="18"/>
  <c r="DD13" i="6"/>
  <c r="CV567" i="18" s="1"/>
  <c r="CX717" i="18"/>
  <c r="DF159" i="6"/>
  <c r="CZ33" i="5"/>
  <c r="CR25" i="18" s="1"/>
  <c r="CR24" i="18"/>
  <c r="CF137" i="5"/>
  <c r="BX1331" i="18"/>
  <c r="CZ639" i="5"/>
  <c r="CQ482" i="18"/>
  <c r="BV117" i="18"/>
  <c r="CD645" i="5"/>
  <c r="CD155" i="5"/>
  <c r="BV127" i="18" s="1"/>
  <c r="CD749" i="5"/>
  <c r="CE128" i="5"/>
  <c r="BW105" i="18"/>
  <c r="BX108" i="18"/>
  <c r="CF143" i="5"/>
  <c r="CF540" i="5"/>
  <c r="BX389" i="18" s="1"/>
  <c r="CS173" i="18"/>
  <c r="DA207" i="5"/>
  <c r="DA283" i="5"/>
  <c r="CS240" i="18" s="1"/>
  <c r="DF40" i="7"/>
  <c r="CX572" i="18"/>
  <c r="DF12" i="5"/>
  <c r="DF46" i="6" s="1"/>
  <c r="CX577" i="18" s="1"/>
  <c r="DF41" i="6"/>
  <c r="DF249" i="5"/>
  <c r="DF11" i="6"/>
  <c r="CT297" i="18"/>
  <c r="DB348" i="5"/>
  <c r="CT299" i="18" s="1"/>
  <c r="DB346" i="5"/>
  <c r="CF53" i="5"/>
  <c r="BX40" i="18" s="1"/>
  <c r="BX39" i="18"/>
  <c r="DE46" i="6"/>
  <c r="CW577" i="18" s="1"/>
  <c r="CW573" i="18"/>
  <c r="DE43" i="6"/>
  <c r="CE53" i="5"/>
  <c r="BW40" i="18" s="1"/>
  <c r="BW39" i="18"/>
  <c r="CE444" i="5"/>
  <c r="BW1048" i="18" s="1"/>
  <c r="BW1047" i="18"/>
  <c r="CZ21" i="5"/>
  <c r="AA12" i="19" s="1"/>
  <c r="AA30" i="19" s="1"/>
  <c r="CR9" i="18"/>
  <c r="CZ355" i="5"/>
  <c r="CR302" i="18"/>
  <c r="CZ404" i="5"/>
  <c r="CZ362" i="5"/>
  <c r="CZ363" i="5" s="1"/>
  <c r="CZ383" i="5"/>
  <c r="CZ392" i="5"/>
  <c r="CZ637" i="5"/>
  <c r="CQ480" i="18"/>
  <c r="CT170" i="18"/>
  <c r="DB206" i="5"/>
  <c r="DB295" i="5"/>
  <c r="DB297" i="5" s="1"/>
  <c r="CT255" i="18" s="1"/>
  <c r="CT32" i="18"/>
  <c r="DB453" i="5"/>
  <c r="DB454" i="5" s="1"/>
  <c r="DB49" i="5"/>
  <c r="DB43" i="5"/>
  <c r="CT35" i="18" s="1"/>
  <c r="DB437" i="5"/>
  <c r="DB337" i="5"/>
  <c r="DB258" i="5"/>
  <c r="DB260" i="5" s="1"/>
  <c r="DB261" i="5" s="1"/>
  <c r="DB262" i="5" s="1"/>
  <c r="DB31" i="5"/>
  <c r="DB428" i="5"/>
  <c r="DB429" i="5" s="1"/>
  <c r="DB431" i="5" s="1"/>
  <c r="DB432" i="5" s="1"/>
  <c r="DB433" i="5" s="1"/>
  <c r="DB434" i="5" s="1"/>
  <c r="DB435" i="5" s="1"/>
  <c r="DB479" i="5"/>
  <c r="DB480" i="5" s="1"/>
  <c r="DB40" i="5"/>
  <c r="DB467" i="5"/>
  <c r="DB468" i="5" s="1"/>
  <c r="CU205" i="18"/>
  <c r="DC278" i="5"/>
  <c r="DC203" i="5"/>
  <c r="DC296" i="5"/>
  <c r="DA489" i="5"/>
  <c r="BX1321" i="18"/>
  <c r="CF99" i="5"/>
  <c r="BX1325" i="18" s="1"/>
  <c r="CF96" i="5"/>
  <c r="CF98" i="5"/>
  <c r="BX1324" i="18" s="1"/>
  <c r="CF100" i="5"/>
  <c r="BX1326" i="18" s="1"/>
  <c r="DC16" i="6"/>
  <c r="DC375" i="5"/>
  <c r="DC19" i="6"/>
  <c r="DB473" i="5"/>
  <c r="DB474" i="5" s="1"/>
  <c r="DA338" i="5"/>
  <c r="CS294" i="18" s="1"/>
  <c r="CS293" i="18"/>
  <c r="DA41" i="5"/>
  <c r="CS34" i="18" s="1"/>
  <c r="CS33" i="18"/>
  <c r="DA50" i="5"/>
  <c r="CS38" i="18" s="1"/>
  <c r="CS37" i="18"/>
  <c r="CY617" i="5"/>
  <c r="CQ460" i="18" s="1"/>
  <c r="CQ455" i="18"/>
  <c r="CE577" i="5"/>
  <c r="BW420" i="18"/>
  <c r="CC148" i="5"/>
  <c r="CZ638" i="5"/>
  <c r="CQ481" i="18"/>
  <c r="DB17" i="6"/>
  <c r="DB18" i="6"/>
  <c r="CT569" i="18" s="1"/>
  <c r="DE41" i="7"/>
  <c r="DE43" i="7" s="1"/>
  <c r="CZ380" i="5"/>
  <c r="CR1272" i="18" s="1"/>
  <c r="CR1271" i="18"/>
  <c r="CQ21" i="18"/>
  <c r="CY58" i="5"/>
  <c r="CY52" i="5"/>
  <c r="CR316" i="18"/>
  <c r="CZ422" i="5"/>
  <c r="CZ424" i="5"/>
  <c r="CZ425" i="5" s="1"/>
  <c r="CZ426" i="5" s="1"/>
  <c r="DA519" i="5"/>
  <c r="DD472" i="5"/>
  <c r="DC66" i="5"/>
  <c r="CU54" i="18" s="1"/>
  <c r="DA447" i="5"/>
  <c r="DA448" i="5" s="1"/>
  <c r="DA438" i="5"/>
  <c r="DA440" i="5" s="1"/>
  <c r="DA441" i="5" s="1"/>
  <c r="DA442" i="5" s="1"/>
  <c r="DA510" i="5"/>
  <c r="DD44" i="7"/>
  <c r="DD48" i="7"/>
  <c r="DD49" i="7" s="1"/>
  <c r="CX643" i="18"/>
  <c r="DF93" i="6"/>
  <c r="CD132" i="5"/>
  <c r="CD148" i="5" s="1"/>
  <c r="BV1333" i="18"/>
  <c r="CF444" i="5"/>
  <c r="BX1048" i="18" s="1"/>
  <c r="BX1047" i="18"/>
  <c r="CS296" i="18"/>
  <c r="DA361" i="5"/>
  <c r="DA379" i="5"/>
  <c r="DA354" i="5"/>
  <c r="DA400" i="5"/>
  <c r="DA413" i="5"/>
  <c r="DA352" i="5"/>
  <c r="DA358" i="5" s="1"/>
  <c r="DA62" i="5"/>
  <c r="DA350" i="5"/>
  <c r="CS300" i="18" s="1"/>
  <c r="DA387" i="5"/>
  <c r="CC156" i="5"/>
  <c r="BU120" i="18"/>
  <c r="BU486" i="18"/>
  <c r="CC627" i="5"/>
  <c r="CC666" i="5"/>
  <c r="CF59" i="5"/>
  <c r="BX45" i="18" s="1"/>
  <c r="BX44" i="18"/>
  <c r="CY426" i="5"/>
  <c r="CQ319" i="18" s="1"/>
  <c r="CQ318" i="18"/>
  <c r="DA297" i="5"/>
  <c r="CS255" i="18" s="1"/>
  <c r="CV575" i="18"/>
  <c r="DD44" i="6"/>
  <c r="CV576" i="18" s="1"/>
  <c r="DD15" i="6"/>
  <c r="DD47" i="6"/>
  <c r="CW214" i="18"/>
  <c r="DE241" i="5"/>
  <c r="CV208" i="18"/>
  <c r="DD242" i="5"/>
  <c r="DD238" i="5"/>
  <c r="DD287" i="5"/>
  <c r="CZ388" i="5"/>
  <c r="CR1279" i="18"/>
  <c r="CQ1265" i="18"/>
  <c r="CQ1284" i="18"/>
  <c r="BX106" i="18"/>
  <c r="CF134" i="5"/>
  <c r="CF752" i="5" s="1"/>
  <c r="DB279" i="5"/>
  <c r="CT235" i="18" s="1"/>
  <c r="CT234" i="18"/>
  <c r="BW70" i="18"/>
  <c r="CE573" i="5"/>
  <c r="BW419" i="18" s="1"/>
  <c r="CE87" i="5"/>
  <c r="CF93" i="5" s="1"/>
  <c r="BX81" i="18" s="1"/>
  <c r="CE80" i="5"/>
  <c r="CE124" i="5"/>
  <c r="U906" i="18"/>
  <c r="U926" i="18"/>
  <c r="DC243" i="5"/>
  <c r="CU210" i="18" s="1"/>
  <c r="CU209" i="18"/>
  <c r="CY12" i="27"/>
  <c r="CY11" i="27" s="1"/>
  <c r="CR1207" i="18"/>
  <c r="CY12" i="26"/>
  <c r="CY11" i="26" s="1"/>
  <c r="CZ647" i="5"/>
  <c r="CZ596" i="5" s="1"/>
  <c r="CR56" i="18"/>
  <c r="CQ60" i="18"/>
  <c r="CY74" i="5"/>
  <c r="CY83" i="5"/>
  <c r="CY123" i="5"/>
  <c r="CY574" i="5"/>
  <c r="CZ208" i="5"/>
  <c r="CR175" i="18" s="1"/>
  <c r="CR174" i="18"/>
  <c r="CF85" i="5"/>
  <c r="BX74" i="18"/>
  <c r="W925" i="18"/>
  <c r="W905" i="18"/>
  <c r="CE75" i="5"/>
  <c r="BW61" i="18"/>
  <c r="CQ501" i="18"/>
  <c r="CY664" i="5"/>
  <c r="DD54" i="7"/>
  <c r="DD53" i="7" s="1"/>
  <c r="DD57" i="7" s="1"/>
  <c r="CZ636" i="5"/>
  <c r="DA636" i="5" s="1"/>
  <c r="CQ479" i="18"/>
  <c r="CQ1268" i="18"/>
  <c r="CQ1294" i="18"/>
  <c r="CF101" i="5" l="1"/>
  <c r="BX1327" i="18" s="1"/>
  <c r="T15" i="19"/>
  <c r="CZ460" i="5"/>
  <c r="DA460" i="5"/>
  <c r="CR52" i="18"/>
  <c r="CZ487" i="5"/>
  <c r="DA487" i="5"/>
  <c r="CS52" i="18"/>
  <c r="DB459" i="5"/>
  <c r="DB460" i="5" s="1"/>
  <c r="DB486" i="5"/>
  <c r="DB489" i="5" s="1"/>
  <c r="DB490" i="5" s="1"/>
  <c r="DE54" i="7"/>
  <c r="DE53" i="7" s="1"/>
  <c r="DE57" i="7" s="1"/>
  <c r="DE439" i="5" s="1"/>
  <c r="BV120" i="18"/>
  <c r="DC474" i="5"/>
  <c r="CF146" i="5"/>
  <c r="CF156" i="5" s="1"/>
  <c r="DD289" i="5"/>
  <c r="CV246" i="18" s="1"/>
  <c r="CV244" i="18"/>
  <c r="DD39" i="5"/>
  <c r="DD473" i="5" s="1"/>
  <c r="DD474" i="5" s="1"/>
  <c r="DD288" i="5"/>
  <c r="CV245" i="18" s="1"/>
  <c r="DA380" i="5"/>
  <c r="CS1272" i="18" s="1"/>
  <c r="CS1271" i="18"/>
  <c r="DA511" i="5"/>
  <c r="DA513" i="5"/>
  <c r="DA69" i="5"/>
  <c r="DA71" i="5" s="1"/>
  <c r="CE579" i="5"/>
  <c r="BW425" i="18" s="1"/>
  <c r="BW423" i="18"/>
  <c r="CU254" i="18"/>
  <c r="DB41" i="5"/>
  <c r="CT34" i="18" s="1"/>
  <c r="CT33" i="18"/>
  <c r="DB50" i="5"/>
  <c r="CT38" i="18" s="1"/>
  <c r="CT37" i="18"/>
  <c r="CZ591" i="5"/>
  <c r="CR13" i="18"/>
  <c r="CZ9" i="16"/>
  <c r="CZ27" i="5"/>
  <c r="CZ185" i="5"/>
  <c r="CR151" i="18" s="1"/>
  <c r="CZ22" i="5"/>
  <c r="CR14" i="18" s="1"/>
  <c r="CZ24" i="5"/>
  <c r="CZ55" i="5"/>
  <c r="AA14" i="19" s="1"/>
  <c r="AA32" i="19" s="1"/>
  <c r="CZ209" i="5"/>
  <c r="CR176" i="18" s="1"/>
  <c r="CT296" i="18"/>
  <c r="DB361" i="5"/>
  <c r="DB350" i="5"/>
  <c r="CT300" i="18" s="1"/>
  <c r="DB400" i="5"/>
  <c r="DB413" i="5"/>
  <c r="DB352" i="5"/>
  <c r="DB358" i="5" s="1"/>
  <c r="DB62" i="5"/>
  <c r="CT50" i="18" s="1"/>
  <c r="DB379" i="5"/>
  <c r="DB354" i="5"/>
  <c r="DB387" i="5"/>
  <c r="BW1321" i="18"/>
  <c r="CE96" i="5"/>
  <c r="CE99" i="5"/>
  <c r="BW1325" i="18" s="1"/>
  <c r="CE101" i="5"/>
  <c r="BW1327" i="18" s="1"/>
  <c r="CE98" i="5"/>
  <c r="BW1324" i="18" s="1"/>
  <c r="CE100" i="5"/>
  <c r="BW1326" i="18" s="1"/>
  <c r="DF253" i="5"/>
  <c r="DF254" i="5" s="1"/>
  <c r="CX215" i="18"/>
  <c r="DD430" i="5"/>
  <c r="DD421" i="5"/>
  <c r="DD356" i="5"/>
  <c r="DD439" i="5"/>
  <c r="DD340" i="5"/>
  <c r="DD342" i="5" s="1"/>
  <c r="CQ105" i="18"/>
  <c r="CY60" i="16"/>
  <c r="CY62" i="16" s="1"/>
  <c r="BW106" i="18"/>
  <c r="CE134" i="5"/>
  <c r="BX111" i="18"/>
  <c r="CF131" i="5"/>
  <c r="CV205" i="18"/>
  <c r="DD203" i="5"/>
  <c r="DD278" i="5"/>
  <c r="DD296" i="5"/>
  <c r="DD375" i="5"/>
  <c r="DD16" i="6"/>
  <c r="DD19" i="6"/>
  <c r="CS306" i="18"/>
  <c r="DA415" i="5"/>
  <c r="DA419" i="5"/>
  <c r="CS312" i="18" s="1"/>
  <c r="DB420" i="5"/>
  <c r="DA404" i="5"/>
  <c r="DA383" i="5"/>
  <c r="DA362" i="5"/>
  <c r="DA363" i="5" s="1"/>
  <c r="DA392" i="5"/>
  <c r="DH442" i="5"/>
  <c r="CS1046" i="18" s="1"/>
  <c r="DA443" i="5"/>
  <c r="DA444" i="5" s="1"/>
  <c r="DE472" i="5"/>
  <c r="DD66" i="5"/>
  <c r="CV54" i="18" s="1"/>
  <c r="CC159" i="5"/>
  <c r="BU1336" i="18"/>
  <c r="CF97" i="5"/>
  <c r="BX1323" i="18" s="1"/>
  <c r="BX1322" i="18"/>
  <c r="CU170" i="18"/>
  <c r="DC206" i="5"/>
  <c r="DC295" i="5"/>
  <c r="DB338" i="5"/>
  <c r="CT294" i="18" s="1"/>
  <c r="CT293" i="18"/>
  <c r="CT173" i="18"/>
  <c r="DB207" i="5"/>
  <c r="DB283" i="5"/>
  <c r="CT240" i="18" s="1"/>
  <c r="CZ393" i="5"/>
  <c r="CR1281" i="18"/>
  <c r="CR1259" i="18"/>
  <c r="CW575" i="18"/>
  <c r="DE44" i="6"/>
  <c r="CW576" i="18" s="1"/>
  <c r="DE47" i="6"/>
  <c r="DE15" i="6"/>
  <c r="CR58" i="18"/>
  <c r="CZ77" i="5"/>
  <c r="CZ73" i="5"/>
  <c r="CU297" i="18"/>
  <c r="DC346" i="5"/>
  <c r="DC348" i="5"/>
  <c r="CU299" i="18" s="1"/>
  <c r="DF20" i="7"/>
  <c r="DF21" i="7" s="1"/>
  <c r="DF22" i="7" s="1"/>
  <c r="DF23" i="7" s="1"/>
  <c r="CX565" i="18"/>
  <c r="DF12" i="6"/>
  <c r="DF446" i="5"/>
  <c r="DF374" i="5"/>
  <c r="BW108" i="18"/>
  <c r="CE143" i="5"/>
  <c r="CE540" i="5"/>
  <c r="BW389" i="18" s="1"/>
  <c r="CY128" i="5"/>
  <c r="DF168" i="6"/>
  <c r="CX718" i="18" s="1"/>
  <c r="CU32" i="18"/>
  <c r="DC479" i="5"/>
  <c r="DC480" i="5" s="1"/>
  <c r="DC258" i="5"/>
  <c r="DC260" i="5" s="1"/>
  <c r="DC261" i="5" s="1"/>
  <c r="DC262" i="5" s="1"/>
  <c r="DC453" i="5"/>
  <c r="DC454" i="5" s="1"/>
  <c r="DC40" i="5"/>
  <c r="DC43" i="5"/>
  <c r="CU35" i="18" s="1"/>
  <c r="DC428" i="5"/>
  <c r="DC429" i="5" s="1"/>
  <c r="DC431" i="5" s="1"/>
  <c r="DC432" i="5" s="1"/>
  <c r="DC433" i="5" s="1"/>
  <c r="DC434" i="5" s="1"/>
  <c r="DC435" i="5" s="1"/>
  <c r="DC437" i="5"/>
  <c r="DC49" i="5"/>
  <c r="DC337" i="5"/>
  <c r="DC467" i="5"/>
  <c r="DC468" i="5" s="1"/>
  <c r="DC31" i="5"/>
  <c r="CQ70" i="18"/>
  <c r="CY573" i="5"/>
  <c r="CQ419" i="18" s="1"/>
  <c r="CY80" i="5"/>
  <c r="CY124" i="5"/>
  <c r="CY87" i="5"/>
  <c r="DA423" i="5"/>
  <c r="CT52" i="18"/>
  <c r="CS561" i="18"/>
  <c r="DA523" i="5"/>
  <c r="DA521" i="5"/>
  <c r="CU313" i="18"/>
  <c r="DC463" i="5"/>
  <c r="DC462" i="5" s="1"/>
  <c r="DC458" i="5" s="1"/>
  <c r="DB636" i="5"/>
  <c r="DC636" i="5" s="1"/>
  <c r="DD636" i="5" s="1"/>
  <c r="CY59" i="5"/>
  <c r="CQ45" i="18" s="1"/>
  <c r="CQ44" i="18"/>
  <c r="DA638" i="5"/>
  <c r="CZ608" i="5"/>
  <c r="CZ569" i="5" s="1"/>
  <c r="DA637" i="5"/>
  <c r="CZ607" i="5"/>
  <c r="CZ405" i="5"/>
  <c r="CR1290" i="18"/>
  <c r="CR1261" i="18"/>
  <c r="CD666" i="5"/>
  <c r="BV486" i="18"/>
  <c r="DA33" i="5"/>
  <c r="CS25" i="18" s="1"/>
  <c r="CS24" i="18"/>
  <c r="CQ505" i="18"/>
  <c r="CY16" i="16"/>
  <c r="CR1211" i="18" s="1"/>
  <c r="CQ73" i="18"/>
  <c r="CY95" i="5"/>
  <c r="Z15" i="19" s="1"/>
  <c r="CY84" i="5"/>
  <c r="CY126" i="5"/>
  <c r="CQ1331" i="18" s="1"/>
  <c r="CE81" i="5"/>
  <c r="BW72" i="18" s="1"/>
  <c r="BW71" i="18"/>
  <c r="CZ389" i="5"/>
  <c r="CR1280" i="18"/>
  <c r="DD243" i="5"/>
  <c r="CV210" i="18" s="1"/>
  <c r="CV209" i="18"/>
  <c r="BU507" i="18"/>
  <c r="CC543" i="5"/>
  <c r="CC547" i="5"/>
  <c r="BU396" i="18" s="1"/>
  <c r="CC696" i="5"/>
  <c r="CC157" i="5"/>
  <c r="BU129" i="18" s="1"/>
  <c r="BU128" i="18"/>
  <c r="DA401" i="5"/>
  <c r="CS1287" i="18" s="1"/>
  <c r="CS1286" i="18"/>
  <c r="CD159" i="5"/>
  <c r="S17" i="19" s="1"/>
  <c r="S35" i="19" s="1"/>
  <c r="BV1336" i="18"/>
  <c r="DC510" i="5"/>
  <c r="DB519" i="5"/>
  <c r="DE44" i="7"/>
  <c r="DE48" i="7"/>
  <c r="DE49" i="7" s="1"/>
  <c r="DC279" i="5"/>
  <c r="CU235" i="18" s="1"/>
  <c r="CU234" i="18"/>
  <c r="DB447" i="5"/>
  <c r="DB448" i="5" s="1"/>
  <c r="DB438" i="5"/>
  <c r="DB440" i="5" s="1"/>
  <c r="DB441" i="5" s="1"/>
  <c r="DB442" i="5" s="1"/>
  <c r="DB443" i="5" s="1"/>
  <c r="DB510" i="5"/>
  <c r="CZ384" i="5"/>
  <c r="CR1276" i="18" s="1"/>
  <c r="CR1275" i="18"/>
  <c r="CX214" i="18"/>
  <c r="DF241" i="5"/>
  <c r="DF41" i="7"/>
  <c r="DF43" i="7" s="1"/>
  <c r="DA208" i="5"/>
  <c r="CS175" i="18" s="1"/>
  <c r="CS174" i="18"/>
  <c r="BX117" i="18"/>
  <c r="CF645" i="5"/>
  <c r="CF155" i="5"/>
  <c r="BX127" i="18" s="1"/>
  <c r="CF749" i="5"/>
  <c r="BX1333" i="18"/>
  <c r="CF132" i="5"/>
  <c r="CF148" i="5" s="1"/>
  <c r="CX711" i="18"/>
  <c r="DF160" i="6"/>
  <c r="CF89" i="5"/>
  <c r="BX77" i="18" s="1"/>
  <c r="BX76" i="18"/>
  <c r="CZ365" i="5"/>
  <c r="CZ366" i="5" s="1"/>
  <c r="CZ407" i="5"/>
  <c r="CZ397" i="5"/>
  <c r="CE85" i="5"/>
  <c r="BW74" i="18"/>
  <c r="CD157" i="5"/>
  <c r="BV129" i="18" s="1"/>
  <c r="BV128" i="18"/>
  <c r="DA635" i="5"/>
  <c r="CZ590" i="5"/>
  <c r="CZ660" i="5" s="1"/>
  <c r="CQ420" i="18"/>
  <c r="CY577" i="5"/>
  <c r="CQ423" i="18" s="1"/>
  <c r="CW208" i="18"/>
  <c r="DE287" i="5"/>
  <c r="DE242" i="5"/>
  <c r="DE238" i="5"/>
  <c r="DA359" i="5"/>
  <c r="DA357" i="5"/>
  <c r="DA364" i="5" s="1"/>
  <c r="CX644" i="18"/>
  <c r="DF94" i="6"/>
  <c r="CX645" i="18" s="1"/>
  <c r="DC17" i="6"/>
  <c r="DC18" i="6"/>
  <c r="CU569" i="18" s="1"/>
  <c r="DB16" i="5"/>
  <c r="CT253" i="18"/>
  <c r="DF96" i="6"/>
  <c r="CX647" i="18" s="1"/>
  <c r="CX5" i="18"/>
  <c r="DF38" i="6"/>
  <c r="CX593" i="18" s="1"/>
  <c r="DF77" i="6"/>
  <c r="CX614" i="18" s="1"/>
  <c r="DF89" i="6"/>
  <c r="CX640" i="18" s="1"/>
  <c r="DF13" i="5"/>
  <c r="CX6" i="18" s="1"/>
  <c r="CY444" i="5"/>
  <c r="CQ1048" i="18" s="1"/>
  <c r="CQ1047" i="18"/>
  <c r="CW566" i="18"/>
  <c r="DE13" i="6"/>
  <c r="CW567" i="18" s="1"/>
  <c r="CS9" i="18"/>
  <c r="DH16" i="5"/>
  <c r="CZ9" i="18" s="1"/>
  <c r="DA21" i="5"/>
  <c r="CY75" i="5"/>
  <c r="CQ61" i="18"/>
  <c r="BW75" i="18"/>
  <c r="CE537" i="5"/>
  <c r="BW386" i="18" s="1"/>
  <c r="CE92" i="5"/>
  <c r="BW80" i="18" s="1"/>
  <c r="CE88" i="5"/>
  <c r="CE91" i="5"/>
  <c r="BW79" i="18" s="1"/>
  <c r="CE93" i="5"/>
  <c r="BW81" i="18" s="1"/>
  <c r="CE90" i="5"/>
  <c r="BW78" i="18" s="1"/>
  <c r="BU470" i="18"/>
  <c r="CC629" i="5"/>
  <c r="CD627" i="5"/>
  <c r="DA388" i="5"/>
  <c r="CS1279" i="18"/>
  <c r="CS50" i="18"/>
  <c r="DH62" i="5"/>
  <c r="CZ50" i="18" s="1"/>
  <c r="DA355" i="5"/>
  <c r="CS302" i="18"/>
  <c r="CZ444" i="5"/>
  <c r="CY53" i="5"/>
  <c r="CQ40" i="18" s="1"/>
  <c r="CQ39" i="18"/>
  <c r="DA490" i="5"/>
  <c r="CT23" i="18"/>
  <c r="DB34" i="5"/>
  <c r="CT26" i="18" s="1"/>
  <c r="DB32" i="5"/>
  <c r="CX573" i="18"/>
  <c r="DF43" i="6"/>
  <c r="DA639" i="5"/>
  <c r="CZ609" i="5"/>
  <c r="CZ416" i="5"/>
  <c r="CR309" i="18" s="1"/>
  <c r="CR308" i="18"/>
  <c r="CR560" i="18"/>
  <c r="CZ15" i="16"/>
  <c r="CS1212" i="18" s="1"/>
  <c r="CZ529" i="5"/>
  <c r="CZ524" i="5"/>
  <c r="CZ672" i="5"/>
  <c r="CW712" i="18"/>
  <c r="DE162" i="6"/>
  <c r="DC341" i="5"/>
  <c r="DC343" i="5"/>
  <c r="CE137" i="5"/>
  <c r="BW1331" i="18"/>
  <c r="DA591" i="5" l="1"/>
  <c r="AB12" i="19"/>
  <c r="AB30" i="19" s="1"/>
  <c r="Z16" i="19"/>
  <c r="S44" i="19" s="1"/>
  <c r="S43" i="19"/>
  <c r="Z33" i="19"/>
  <c r="Z34" i="19" s="1"/>
  <c r="CC161" i="5"/>
  <c r="BU1330" i="18" s="1"/>
  <c r="R17" i="19"/>
  <c r="R35" i="19" s="1"/>
  <c r="T16" i="19"/>
  <c r="T33" i="19"/>
  <c r="T34" i="19" s="1"/>
  <c r="DB450" i="5"/>
  <c r="DB487" i="5"/>
  <c r="BX120" i="18"/>
  <c r="DE421" i="5"/>
  <c r="CW313" i="18" s="1"/>
  <c r="DE356" i="5"/>
  <c r="DE430" i="5"/>
  <c r="DE340" i="5"/>
  <c r="DE342" i="5" s="1"/>
  <c r="DE343" i="5" s="1"/>
  <c r="DB444" i="5"/>
  <c r="CZ612" i="5"/>
  <c r="CZ617" i="5" s="1"/>
  <c r="DB423" i="5"/>
  <c r="CT316" i="18" s="1"/>
  <c r="CY579" i="5"/>
  <c r="CQ425" i="18" s="1"/>
  <c r="CZ541" i="5"/>
  <c r="CZ677" i="5"/>
  <c r="CZ595" i="5"/>
  <c r="CW244" i="18"/>
  <c r="DE39" i="5"/>
  <c r="DE473" i="5" s="1"/>
  <c r="DE474" i="5" s="1"/>
  <c r="DE288" i="5"/>
  <c r="CW245" i="18" s="1"/>
  <c r="DB635" i="5"/>
  <c r="DA590" i="5"/>
  <c r="DA660" i="5" s="1"/>
  <c r="DB637" i="5"/>
  <c r="DA607" i="5"/>
  <c r="DC447" i="5"/>
  <c r="DC448" i="5" s="1"/>
  <c r="DC438" i="5"/>
  <c r="DC440" i="5" s="1"/>
  <c r="DC441" i="5" s="1"/>
  <c r="DC442" i="5" s="1"/>
  <c r="DC443" i="5" s="1"/>
  <c r="DC444" i="5" s="1"/>
  <c r="DD17" i="6"/>
  <c r="DD18" i="6"/>
  <c r="CV569" i="18" s="1"/>
  <c r="CE131" i="5"/>
  <c r="BW111" i="18"/>
  <c r="CY134" i="5"/>
  <c r="CY146" i="5" s="1"/>
  <c r="CE97" i="5"/>
  <c r="BW1323" i="18" s="1"/>
  <c r="BW1322" i="18"/>
  <c r="CV32" i="18"/>
  <c r="DD428" i="5"/>
  <c r="DD429" i="5" s="1"/>
  <c r="DD431" i="5" s="1"/>
  <c r="DD432" i="5" s="1"/>
  <c r="DD433" i="5" s="1"/>
  <c r="DD434" i="5" s="1"/>
  <c r="DD435" i="5" s="1"/>
  <c r="DD258" i="5"/>
  <c r="DD260" i="5" s="1"/>
  <c r="DD261" i="5" s="1"/>
  <c r="DD262" i="5" s="1"/>
  <c r="DD40" i="5"/>
  <c r="DD437" i="5"/>
  <c r="DD49" i="5"/>
  <c r="DD43" i="5"/>
  <c r="CV35" i="18" s="1"/>
  <c r="DD31" i="5"/>
  <c r="DD479" i="5"/>
  <c r="DD480" i="5" s="1"/>
  <c r="DD467" i="5"/>
  <c r="DD468" i="5" s="1"/>
  <c r="DD453" i="5"/>
  <c r="DD454" i="5" s="1"/>
  <c r="DD337" i="5"/>
  <c r="DB33" i="5"/>
  <c r="CT25" i="18" s="1"/>
  <c r="CT24" i="18"/>
  <c r="CC630" i="5"/>
  <c r="BU473" i="18" s="1"/>
  <c r="BU472" i="18"/>
  <c r="DB21" i="5"/>
  <c r="CT9" i="18"/>
  <c r="CW205" i="18"/>
  <c r="DE278" i="5"/>
  <c r="DE203" i="5"/>
  <c r="DE296" i="5"/>
  <c r="CZ408" i="5"/>
  <c r="CR1293" i="18"/>
  <c r="CR1267" i="18"/>
  <c r="CX712" i="18"/>
  <c r="DF162" i="6"/>
  <c r="CX208" i="18"/>
  <c r="DF287" i="5"/>
  <c r="DF242" i="5"/>
  <c r="DF238" i="5"/>
  <c r="DB511" i="5"/>
  <c r="DB513" i="5"/>
  <c r="DB69" i="5"/>
  <c r="DB71" i="5" s="1"/>
  <c r="CC698" i="5"/>
  <c r="BU533" i="18"/>
  <c r="CQ1321" i="18"/>
  <c r="CY12" i="16"/>
  <c r="CY98" i="5"/>
  <c r="CQ1324" i="18" s="1"/>
  <c r="CY96" i="5"/>
  <c r="CY99" i="5"/>
  <c r="CQ1325" i="18" s="1"/>
  <c r="CY100" i="5"/>
  <c r="CQ1326" i="18" s="1"/>
  <c r="CQ75" i="18"/>
  <c r="CY92" i="5"/>
  <c r="CQ80" i="18" s="1"/>
  <c r="CY88" i="5"/>
  <c r="CY90" i="5"/>
  <c r="CQ78" i="18" s="1"/>
  <c r="CY537" i="5"/>
  <c r="CQ386" i="18" s="1"/>
  <c r="CY91" i="5"/>
  <c r="CQ79" i="18" s="1"/>
  <c r="CE752" i="5"/>
  <c r="CV297" i="18"/>
  <c r="DD346" i="5"/>
  <c r="DD348" i="5"/>
  <c r="CV299" i="18" s="1"/>
  <c r="CR60" i="18"/>
  <c r="CZ74" i="5"/>
  <c r="CZ83" i="5"/>
  <c r="CZ123" i="5"/>
  <c r="CZ60" i="16" s="1"/>
  <c r="CZ574" i="5"/>
  <c r="CZ577" i="5" s="1"/>
  <c r="CZ579" i="5" s="1"/>
  <c r="DB208" i="5"/>
  <c r="CT175" i="18" s="1"/>
  <c r="CT174" i="18"/>
  <c r="DC16" i="5"/>
  <c r="CU253" i="18"/>
  <c r="BU1328" i="18"/>
  <c r="CC160" i="5"/>
  <c r="BU1329" i="18" s="1"/>
  <c r="CC162" i="5"/>
  <c r="CC163" i="5"/>
  <c r="DA384" i="5"/>
  <c r="CS1276" i="18" s="1"/>
  <c r="CS1275" i="18"/>
  <c r="DA416" i="5"/>
  <c r="CS309" i="18" s="1"/>
  <c r="CS308" i="18"/>
  <c r="CE146" i="5"/>
  <c r="CV313" i="18"/>
  <c r="DD463" i="5"/>
  <c r="DD462" i="5" s="1"/>
  <c r="DD458" i="5" s="1"/>
  <c r="DB359" i="5"/>
  <c r="DB357" i="5"/>
  <c r="DB364" i="5" s="1"/>
  <c r="DB383" i="5"/>
  <c r="DB404" i="5"/>
  <c r="DB362" i="5"/>
  <c r="DB363" i="5" s="1"/>
  <c r="DB392" i="5"/>
  <c r="CZ29" i="5"/>
  <c r="CR19" i="18"/>
  <c r="DC297" i="5"/>
  <c r="CU255" i="18" s="1"/>
  <c r="BV470" i="18"/>
  <c r="CD629" i="5"/>
  <c r="CY85" i="5"/>
  <c r="CQ74" i="18"/>
  <c r="DE375" i="5"/>
  <c r="DE19" i="6"/>
  <c r="DE16" i="6"/>
  <c r="CV170" i="18"/>
  <c r="DD295" i="5"/>
  <c r="DD297" i="5" s="1"/>
  <c r="CV255" i="18" s="1"/>
  <c r="DD206" i="5"/>
  <c r="CZ530" i="5"/>
  <c r="CZ531" i="5" s="1"/>
  <c r="CZ532" i="5"/>
  <c r="DB639" i="5"/>
  <c r="DA609" i="5"/>
  <c r="CE89" i="5"/>
  <c r="BW77" i="18" s="1"/>
  <c r="BW76" i="18"/>
  <c r="DA209" i="5"/>
  <c r="CS176" i="18" s="1"/>
  <c r="CS13" i="18"/>
  <c r="DA9" i="16"/>
  <c r="DA27" i="5"/>
  <c r="DA185" i="5"/>
  <c r="CS151" i="18" s="1"/>
  <c r="DH21" i="5"/>
  <c r="CZ13" i="18" s="1"/>
  <c r="DA22" i="5"/>
  <c r="CS14" i="18" s="1"/>
  <c r="DA24" i="5"/>
  <c r="DA55" i="5"/>
  <c r="AB14" i="19" s="1"/>
  <c r="AB32" i="19" s="1"/>
  <c r="DA407" i="5"/>
  <c r="DA365" i="5"/>
  <c r="DA366" i="5" s="1"/>
  <c r="DA397" i="5"/>
  <c r="DE243" i="5"/>
  <c r="CW210" i="18" s="1"/>
  <c r="CW209" i="18"/>
  <c r="DC519" i="5"/>
  <c r="DD510" i="5"/>
  <c r="CR1291" i="18"/>
  <c r="CR1262" i="18"/>
  <c r="DB638" i="5"/>
  <c r="DA608" i="5"/>
  <c r="DA569" i="5" s="1"/>
  <c r="DE636" i="5"/>
  <c r="DF636" i="5" s="1"/>
  <c r="CS560" i="18"/>
  <c r="DA15" i="16"/>
  <c r="CT1212" i="18" s="1"/>
  <c r="DA524" i="5"/>
  <c r="DA529" i="5"/>
  <c r="DA672" i="5"/>
  <c r="CQ106" i="18"/>
  <c r="DC338" i="5"/>
  <c r="CU294" i="18" s="1"/>
  <c r="CU293" i="18"/>
  <c r="BW117" i="18"/>
  <c r="CE749" i="5"/>
  <c r="CE645" i="5"/>
  <c r="CE155" i="5"/>
  <c r="BW127" i="18" s="1"/>
  <c r="CX566" i="18"/>
  <c r="DF13" i="6"/>
  <c r="CX567" i="18" s="1"/>
  <c r="CZ79" i="5"/>
  <c r="CR63" i="18"/>
  <c r="CZ394" i="5"/>
  <c r="CR1282" i="18"/>
  <c r="CR1260" i="18"/>
  <c r="CR304" i="18"/>
  <c r="CU173" i="18"/>
  <c r="DC207" i="5"/>
  <c r="DC283" i="5"/>
  <c r="CU240" i="18" s="1"/>
  <c r="DA405" i="5"/>
  <c r="CS1290" i="18"/>
  <c r="CS1261" i="18"/>
  <c r="CV254" i="18"/>
  <c r="DD343" i="5"/>
  <c r="DD341" i="5"/>
  <c r="DB355" i="5"/>
  <c r="CT302" i="18"/>
  <c r="CT306" i="18"/>
  <c r="DB419" i="5"/>
  <c r="CT312" i="18" s="1"/>
  <c r="DB415" i="5"/>
  <c r="DC420" i="5"/>
  <c r="CZ25" i="5"/>
  <c r="CR17" i="18" s="1"/>
  <c r="CR16" i="18"/>
  <c r="CZ10" i="16"/>
  <c r="CS1206" i="18"/>
  <c r="CS56" i="18"/>
  <c r="DH69" i="5"/>
  <c r="CZ56" i="18" s="1"/>
  <c r="DA647" i="5"/>
  <c r="DA596" i="5" s="1"/>
  <c r="CZ398" i="5"/>
  <c r="CR1283" i="18"/>
  <c r="CR1264" i="18"/>
  <c r="DF44" i="7"/>
  <c r="DF48" i="7"/>
  <c r="DF49" i="7" s="1"/>
  <c r="BV1328" i="18"/>
  <c r="CD162" i="5"/>
  <c r="CD160" i="5"/>
  <c r="BV1329" i="18" s="1"/>
  <c r="CD163" i="5"/>
  <c r="CS316" i="18"/>
  <c r="DA424" i="5"/>
  <c r="DA422" i="5"/>
  <c r="CU23" i="18"/>
  <c r="DC34" i="5"/>
  <c r="CU26" i="18" s="1"/>
  <c r="DC32" i="5"/>
  <c r="DC511" i="5"/>
  <c r="DC513" i="5"/>
  <c r="DC69" i="5"/>
  <c r="CY65" i="16"/>
  <c r="CY67" i="16" s="1"/>
  <c r="CY13" i="16" s="1"/>
  <c r="CY63" i="16"/>
  <c r="CZ61" i="16" s="1"/>
  <c r="CR42" i="18"/>
  <c r="CZ56" i="5"/>
  <c r="CR43" i="18" s="1"/>
  <c r="DA661" i="5"/>
  <c r="CZ661" i="5"/>
  <c r="CE132" i="5"/>
  <c r="BW1333" i="18"/>
  <c r="CY137" i="5"/>
  <c r="CX575" i="18"/>
  <c r="DF44" i="6"/>
  <c r="CX576" i="18" s="1"/>
  <c r="DF47" i="6"/>
  <c r="DF15" i="6"/>
  <c r="CS58" i="18"/>
  <c r="DA77" i="5"/>
  <c r="DH71" i="5"/>
  <c r="CZ58" i="18" s="1"/>
  <c r="DA73" i="5"/>
  <c r="DA389" i="5"/>
  <c r="CS1280" i="18"/>
  <c r="DE289" i="5"/>
  <c r="CW246" i="18" s="1"/>
  <c r="CF157" i="5"/>
  <c r="BX129" i="18" s="1"/>
  <c r="BX128" i="18"/>
  <c r="CF159" i="5"/>
  <c r="U17" i="19" s="1"/>
  <c r="U35" i="19" s="1"/>
  <c r="BX1336" i="18"/>
  <c r="BX486" i="18"/>
  <c r="CF666" i="5"/>
  <c r="DF54" i="7"/>
  <c r="DF53" i="7" s="1"/>
  <c r="DF57" i="7" s="1"/>
  <c r="BU392" i="18"/>
  <c r="CC542" i="5"/>
  <c r="BU391" i="18" s="1"/>
  <c r="CC559" i="5"/>
  <c r="BU405" i="18" s="1"/>
  <c r="CC544" i="5"/>
  <c r="BU393" i="18" s="1"/>
  <c r="CC549" i="5"/>
  <c r="BU398" i="18" s="1"/>
  <c r="CC546" i="5"/>
  <c r="BU395" i="18" s="1"/>
  <c r="BV507" i="18"/>
  <c r="CD547" i="5"/>
  <c r="BV396" i="18" s="1"/>
  <c r="CD543" i="5"/>
  <c r="CD696" i="5"/>
  <c r="BV533" i="18" s="1"/>
  <c r="CZ662" i="5"/>
  <c r="CZ664" i="5" s="1"/>
  <c r="CZ16" i="16" s="1"/>
  <c r="CS1211" i="18" s="1"/>
  <c r="CZ568" i="5"/>
  <c r="DC459" i="5"/>
  <c r="DC64" i="5"/>
  <c r="DC486" i="5"/>
  <c r="CT561" i="18"/>
  <c r="DB523" i="5"/>
  <c r="DB521" i="5"/>
  <c r="CY81" i="5"/>
  <c r="CQ72" i="18" s="1"/>
  <c r="CQ71" i="18"/>
  <c r="DC50" i="5"/>
  <c r="CU38" i="18" s="1"/>
  <c r="CU37" i="18"/>
  <c r="DC41" i="5"/>
  <c r="CU34" i="18" s="1"/>
  <c r="CU33" i="18"/>
  <c r="CQ108" i="18"/>
  <c r="CY129" i="5"/>
  <c r="CQ109" i="18" s="1"/>
  <c r="CY540" i="5"/>
  <c r="CQ389" i="18" s="1"/>
  <c r="CY143" i="5"/>
  <c r="CU296" i="18"/>
  <c r="DC62" i="5"/>
  <c r="CU50" i="18" s="1"/>
  <c r="DC400" i="5"/>
  <c r="DC350" i="5"/>
  <c r="CU300" i="18" s="1"/>
  <c r="DC361" i="5"/>
  <c r="DC413" i="5"/>
  <c r="DC352" i="5"/>
  <c r="DC358" i="5" s="1"/>
  <c r="DC379" i="5"/>
  <c r="DC354" i="5"/>
  <c r="DC387" i="5"/>
  <c r="DF472" i="5"/>
  <c r="DE66" i="5"/>
  <c r="CW54" i="18" s="1"/>
  <c r="CS1281" i="18"/>
  <c r="CS1259" i="18"/>
  <c r="DA393" i="5"/>
  <c r="DH392" i="5"/>
  <c r="DD279" i="5"/>
  <c r="CV235" i="18" s="1"/>
  <c r="CV234" i="18"/>
  <c r="DB388" i="5"/>
  <c r="CT1279" i="18"/>
  <c r="DB380" i="5"/>
  <c r="CT1272" i="18" s="1"/>
  <c r="CT1271" i="18"/>
  <c r="DB401" i="5"/>
  <c r="CT1287" i="18" s="1"/>
  <c r="CT1286" i="18"/>
  <c r="V924" i="18"/>
  <c r="V904" i="18"/>
  <c r="DB424" i="5" l="1"/>
  <c r="DB425" i="5" s="1"/>
  <c r="DE341" i="5"/>
  <c r="DE463" i="5"/>
  <c r="DE462" i="5" s="1"/>
  <c r="DE458" i="5" s="1"/>
  <c r="DE459" i="5" s="1"/>
  <c r="DB422" i="5"/>
  <c r="CY752" i="5"/>
  <c r="DA612" i="5"/>
  <c r="DA617" i="5" s="1"/>
  <c r="CZ62" i="16"/>
  <c r="CZ65" i="16" s="1"/>
  <c r="CZ67" i="16" s="1"/>
  <c r="CZ13" i="16" s="1"/>
  <c r="CS1210" i="18" s="1"/>
  <c r="CQ117" i="18"/>
  <c r="CY749" i="5"/>
  <c r="CY155" i="5"/>
  <c r="CU561" i="18"/>
  <c r="DC523" i="5"/>
  <c r="DC521" i="5"/>
  <c r="CY138" i="5"/>
  <c r="CQ1333" i="18"/>
  <c r="CZ87" i="5"/>
  <c r="CZ124" i="5"/>
  <c r="CZ80" i="5"/>
  <c r="CZ81" i="5" s="1"/>
  <c r="CZ573" i="5"/>
  <c r="BU535" i="18"/>
  <c r="CD697" i="5"/>
  <c r="CC587" i="5"/>
  <c r="CC699" i="5" s="1"/>
  <c r="BU536" i="18" s="1"/>
  <c r="DD50" i="5"/>
  <c r="CV38" i="18" s="1"/>
  <c r="CV37" i="18"/>
  <c r="DA568" i="5"/>
  <c r="DA662" i="5"/>
  <c r="DA664" i="5" s="1"/>
  <c r="DA16" i="16" s="1"/>
  <c r="CT1211" i="18" s="1"/>
  <c r="CU306" i="18"/>
  <c r="DC415" i="5"/>
  <c r="DC419" i="5"/>
  <c r="CU312" i="18" s="1"/>
  <c r="DD420" i="5"/>
  <c r="DC450" i="5"/>
  <c r="DC460" i="5"/>
  <c r="BV392" i="18"/>
  <c r="CD549" i="5"/>
  <c r="BV398" i="18" s="1"/>
  <c r="CD559" i="5"/>
  <c r="BV405" i="18" s="1"/>
  <c r="CD544" i="5"/>
  <c r="BV393" i="18" s="1"/>
  <c r="CD542" i="5"/>
  <c r="BV391" i="18" s="1"/>
  <c r="CD546" i="5"/>
  <c r="BV395" i="18" s="1"/>
  <c r="DC647" i="5"/>
  <c r="CU56" i="18"/>
  <c r="DC423" i="5"/>
  <c r="DC208" i="5"/>
  <c r="CU175" i="18" s="1"/>
  <c r="CU174" i="18"/>
  <c r="CE666" i="5"/>
  <c r="BW486" i="18"/>
  <c r="CY645" i="5"/>
  <c r="DA530" i="5"/>
  <c r="DA531" i="5" s="1"/>
  <c r="DA532" i="5"/>
  <c r="DA408" i="5"/>
  <c r="CS1293" i="18"/>
  <c r="CS1267" i="18"/>
  <c r="DA25" i="5"/>
  <c r="CS17" i="18" s="1"/>
  <c r="CS16" i="18"/>
  <c r="DB609" i="5"/>
  <c r="DC639" i="5"/>
  <c r="CV173" i="18"/>
  <c r="DD207" i="5"/>
  <c r="DD283" i="5"/>
  <c r="CV240" i="18" s="1"/>
  <c r="CE627" i="5"/>
  <c r="CR21" i="18"/>
  <c r="CZ58" i="5"/>
  <c r="CZ52" i="5"/>
  <c r="DB384" i="5"/>
  <c r="CT1276" i="18" s="1"/>
  <c r="CT1275" i="18"/>
  <c r="CZ95" i="5"/>
  <c r="AA15" i="19" s="1"/>
  <c r="CZ126" i="5"/>
  <c r="CR1331" i="18" s="1"/>
  <c r="CZ84" i="5"/>
  <c r="CY20" i="16"/>
  <c r="CR1209" i="18"/>
  <c r="DB647" i="5"/>
  <c r="DB596" i="5" s="1"/>
  <c r="CT56" i="18"/>
  <c r="CX205" i="18"/>
  <c r="DF278" i="5"/>
  <c r="DF203" i="5"/>
  <c r="DF296" i="5"/>
  <c r="DE279" i="5"/>
  <c r="CW235" i="18" s="1"/>
  <c r="CW234" i="18"/>
  <c r="DD338" i="5"/>
  <c r="CV294" i="18" s="1"/>
  <c r="CV293" i="18"/>
  <c r="DD438" i="5"/>
  <c r="DD440" i="5" s="1"/>
  <c r="DD441" i="5" s="1"/>
  <c r="DD442" i="5" s="1"/>
  <c r="DD443" i="5" s="1"/>
  <c r="DD444" i="5" s="1"/>
  <c r="DD447" i="5"/>
  <c r="DD448" i="5" s="1"/>
  <c r="CQ111" i="18"/>
  <c r="CY131" i="5"/>
  <c r="CY135" i="5"/>
  <c r="DC637" i="5"/>
  <c r="DB607" i="5"/>
  <c r="CW32" i="18"/>
  <c r="DE258" i="5"/>
  <c r="DE260" i="5" s="1"/>
  <c r="DE261" i="5" s="1"/>
  <c r="DE262" i="5" s="1"/>
  <c r="DE428" i="5"/>
  <c r="DE429" i="5" s="1"/>
  <c r="DE431" i="5" s="1"/>
  <c r="DE432" i="5" s="1"/>
  <c r="DE433" i="5" s="1"/>
  <c r="DE434" i="5" s="1"/>
  <c r="DE435" i="5" s="1"/>
  <c r="DE49" i="5"/>
  <c r="DE43" i="5"/>
  <c r="CW35" i="18" s="1"/>
  <c r="DE453" i="5"/>
  <c r="DE454" i="5" s="1"/>
  <c r="DE31" i="5"/>
  <c r="DE337" i="5"/>
  <c r="DE40" i="5"/>
  <c r="DE437" i="5"/>
  <c r="DE479" i="5"/>
  <c r="DE480" i="5" s="1"/>
  <c r="DE467" i="5"/>
  <c r="DE468" i="5" s="1"/>
  <c r="DC357" i="5"/>
  <c r="DC364" i="5" s="1"/>
  <c r="DC359" i="5"/>
  <c r="CS60" i="18"/>
  <c r="DA83" i="5"/>
  <c r="DA74" i="5"/>
  <c r="DH73" i="5"/>
  <c r="CZ60" i="18" s="1"/>
  <c r="DA123" i="5"/>
  <c r="DA574" i="5"/>
  <c r="DA577" i="5" s="1"/>
  <c r="DA579" i="5" s="1"/>
  <c r="DF375" i="5"/>
  <c r="DF16" i="6"/>
  <c r="DF19" i="6"/>
  <c r="DC33" i="5"/>
  <c r="CU25" i="18" s="1"/>
  <c r="CU24" i="18"/>
  <c r="DH424" i="5"/>
  <c r="CS317" i="18" s="1"/>
  <c r="DA425" i="5"/>
  <c r="DA426" i="5" s="1"/>
  <c r="DB608" i="5"/>
  <c r="DB569" i="5" s="1"/>
  <c r="DC638" i="5"/>
  <c r="DE17" i="6"/>
  <c r="DE18" i="6"/>
  <c r="CW569" i="18" s="1"/>
  <c r="CW297" i="18"/>
  <c r="DE348" i="5"/>
  <c r="CW299" i="18" s="1"/>
  <c r="DE346" i="5"/>
  <c r="CY89" i="5"/>
  <c r="CQ77" i="18" s="1"/>
  <c r="CQ76" i="18"/>
  <c r="U908" i="18"/>
  <c r="CX244" i="18"/>
  <c r="DF39" i="5"/>
  <c r="DF473" i="5" s="1"/>
  <c r="DF474" i="5" s="1"/>
  <c r="DF288" i="5"/>
  <c r="CX245" i="18" s="1"/>
  <c r="DB591" i="5"/>
  <c r="CT13" i="18"/>
  <c r="DB9" i="16"/>
  <c r="DB24" i="5"/>
  <c r="DB27" i="5"/>
  <c r="DB185" i="5"/>
  <c r="CT151" i="18" s="1"/>
  <c r="DB22" i="5"/>
  <c r="CT14" i="18" s="1"/>
  <c r="DB55" i="5"/>
  <c r="DB209" i="5"/>
  <c r="CT176" i="18" s="1"/>
  <c r="DD511" i="5"/>
  <c r="DD69" i="5"/>
  <c r="DD513" i="5"/>
  <c r="DF439" i="5"/>
  <c r="DF421" i="5"/>
  <c r="DF430" i="5"/>
  <c r="DF356" i="5"/>
  <c r="DF340" i="5"/>
  <c r="DF342" i="5" s="1"/>
  <c r="BX1328" i="18"/>
  <c r="CF160" i="5"/>
  <c r="BX1329" i="18" s="1"/>
  <c r="CF163" i="5"/>
  <c r="CF162" i="5"/>
  <c r="CS63" i="18"/>
  <c r="DH77" i="5"/>
  <c r="CZ63" i="18" s="1"/>
  <c r="DA79" i="5"/>
  <c r="CE148" i="5"/>
  <c r="CY132" i="5"/>
  <c r="CY148" i="5" s="1"/>
  <c r="V926" i="18"/>
  <c r="V906" i="18"/>
  <c r="CY17" i="16"/>
  <c r="CR1210" i="18"/>
  <c r="CZ12" i="27"/>
  <c r="CZ11" i="27" s="1"/>
  <c r="CS1207" i="18"/>
  <c r="CZ12" i="26"/>
  <c r="CZ11" i="26" s="1"/>
  <c r="DB416" i="5"/>
  <c r="CT309" i="18" s="1"/>
  <c r="CT308" i="18"/>
  <c r="CS1291" i="18"/>
  <c r="CS1262" i="18"/>
  <c r="CY156" i="5"/>
  <c r="CQ120" i="18"/>
  <c r="CS42" i="18"/>
  <c r="DA56" i="5"/>
  <c r="CS43" i="18" s="1"/>
  <c r="CS19" i="18"/>
  <c r="DH27" i="5"/>
  <c r="CZ19" i="18" s="1"/>
  <c r="DA29" i="5"/>
  <c r="DD16" i="5"/>
  <c r="CV253" i="18"/>
  <c r="CD630" i="5"/>
  <c r="BV473" i="18" s="1"/>
  <c r="BV472" i="18"/>
  <c r="DB393" i="5"/>
  <c r="CT1281" i="18"/>
  <c r="CT1259" i="18"/>
  <c r="DB407" i="5"/>
  <c r="DB365" i="5"/>
  <c r="DB366" i="5" s="1"/>
  <c r="DB397" i="5"/>
  <c r="DD486" i="5"/>
  <c r="DD64" i="5"/>
  <c r="DD459" i="5"/>
  <c r="CZ75" i="5"/>
  <c r="CR61" i="18"/>
  <c r="CV296" i="18"/>
  <c r="DD413" i="5"/>
  <c r="DD379" i="5"/>
  <c r="DD400" i="5"/>
  <c r="DD352" i="5"/>
  <c r="DD358" i="5" s="1"/>
  <c r="DD350" i="5"/>
  <c r="CV300" i="18" s="1"/>
  <c r="DD62" i="5"/>
  <c r="CV50" i="18" s="1"/>
  <c r="DD354" i="5"/>
  <c r="DD361" i="5"/>
  <c r="DD387" i="5"/>
  <c r="DF243" i="5"/>
  <c r="CX210" i="18" s="1"/>
  <c r="CX209" i="18"/>
  <c r="CR1294" i="18"/>
  <c r="CR1268" i="18"/>
  <c r="CV23" i="18"/>
  <c r="DD32" i="5"/>
  <c r="DD34" i="5"/>
  <c r="CV26" i="18" s="1"/>
  <c r="DD41" i="5"/>
  <c r="CV34" i="18" s="1"/>
  <c r="CV33" i="18"/>
  <c r="DC401" i="5"/>
  <c r="CU1287" i="18" s="1"/>
  <c r="CU1286" i="18"/>
  <c r="DC71" i="5"/>
  <c r="CU52" i="18"/>
  <c r="DA541" i="5"/>
  <c r="DA677" i="5"/>
  <c r="DB405" i="5"/>
  <c r="CT1290" i="18"/>
  <c r="CT1261" i="18"/>
  <c r="CE156" i="5"/>
  <c r="BW120" i="18"/>
  <c r="DC21" i="5"/>
  <c r="CU9" i="18"/>
  <c r="CW170" i="18"/>
  <c r="DE206" i="5"/>
  <c r="DE295" i="5"/>
  <c r="DE297" i="5" s="1"/>
  <c r="CW255" i="18" s="1"/>
  <c r="DB389" i="5"/>
  <c r="CT1280" i="18"/>
  <c r="DA394" i="5"/>
  <c r="CS1282" i="18"/>
  <c r="CS1260" i="18"/>
  <c r="CS304" i="18"/>
  <c r="DF66" i="5"/>
  <c r="CX54" i="18" s="1"/>
  <c r="DC355" i="5"/>
  <c r="CU302" i="18"/>
  <c r="DC383" i="5"/>
  <c r="DC404" i="5"/>
  <c r="DC362" i="5"/>
  <c r="DC363" i="5" s="1"/>
  <c r="DC392" i="5"/>
  <c r="CT58" i="18"/>
  <c r="DB77" i="5"/>
  <c r="DB73" i="5"/>
  <c r="DC388" i="5"/>
  <c r="CU1279" i="18"/>
  <c r="DC380" i="5"/>
  <c r="CU1272" i="18" s="1"/>
  <c r="CU1271" i="18"/>
  <c r="CT560" i="18"/>
  <c r="DB15" i="16"/>
  <c r="CU1212" i="18" s="1"/>
  <c r="DB524" i="5"/>
  <c r="DB529" i="5"/>
  <c r="DB672" i="5"/>
  <c r="DC489" i="5"/>
  <c r="DC490" i="5" s="1"/>
  <c r="DC487" i="5"/>
  <c r="BX507" i="18"/>
  <c r="CF547" i="5"/>
  <c r="BX396" i="18" s="1"/>
  <c r="CF543" i="5"/>
  <c r="CF696" i="5"/>
  <c r="CR1265" i="18"/>
  <c r="CR1284" i="18"/>
  <c r="DE510" i="5"/>
  <c r="DD519" i="5"/>
  <c r="DA398" i="5"/>
  <c r="CS1283" i="18"/>
  <c r="CS1264" i="18"/>
  <c r="W924" i="18"/>
  <c r="W904" i="18"/>
  <c r="CT1206" i="18"/>
  <c r="DA10" i="16"/>
  <c r="CY97" i="5"/>
  <c r="CQ1323" i="18" s="1"/>
  <c r="CQ1322" i="18"/>
  <c r="DF289" i="5"/>
  <c r="CX246" i="18" s="1"/>
  <c r="CW254" i="18"/>
  <c r="DC635" i="5"/>
  <c r="DB590" i="5"/>
  <c r="DB660" i="5" s="1"/>
  <c r="CZ597" i="5"/>
  <c r="DA595" i="5"/>
  <c r="CZ515" i="5"/>
  <c r="CZ516" i="5" s="1"/>
  <c r="CZ517" i="5" s="1"/>
  <c r="AA16" i="19" l="1"/>
  <c r="AA33" i="19"/>
  <c r="AA34" i="19" s="1"/>
  <c r="DE64" i="5"/>
  <c r="CW52" i="18" s="1"/>
  <c r="DE486" i="5"/>
  <c r="DE487" i="5" s="1"/>
  <c r="CZ85" i="5"/>
  <c r="DC596" i="5"/>
  <c r="CZ63" i="16"/>
  <c r="DA61" i="16" s="1"/>
  <c r="DE513" i="5"/>
  <c r="DE69" i="5"/>
  <c r="DE511" i="5"/>
  <c r="DC393" i="5"/>
  <c r="CU1281" i="18"/>
  <c r="CU1259" i="18"/>
  <c r="CU58" i="18"/>
  <c r="DC77" i="5"/>
  <c r="DC73" i="5"/>
  <c r="DD33" i="5"/>
  <c r="CV25" i="18" s="1"/>
  <c r="CV24" i="18"/>
  <c r="CV306" i="18"/>
  <c r="DD415" i="5"/>
  <c r="DD419" i="5"/>
  <c r="CV312" i="18" s="1"/>
  <c r="DE420" i="5"/>
  <c r="DF341" i="5"/>
  <c r="DF343" i="5"/>
  <c r="CW23" i="18"/>
  <c r="DE32" i="5"/>
  <c r="DE34" i="5"/>
  <c r="CW26" i="18" s="1"/>
  <c r="CZ53" i="5"/>
  <c r="CR40" i="18" s="1"/>
  <c r="CR39" i="18"/>
  <c r="CQ1334" i="18"/>
  <c r="CZ138" i="5"/>
  <c r="DB530" i="5"/>
  <c r="DB531" i="5" s="1"/>
  <c r="DB532" i="5"/>
  <c r="CT60" i="18"/>
  <c r="DB83" i="5"/>
  <c r="DB74" i="5"/>
  <c r="DB123" i="5"/>
  <c r="DB60" i="16" s="1"/>
  <c r="DB574" i="5"/>
  <c r="DB577" i="5" s="1"/>
  <c r="DB579" i="5" s="1"/>
  <c r="CE157" i="5"/>
  <c r="BW129" i="18" s="1"/>
  <c r="BW128" i="18"/>
  <c r="DD362" i="5"/>
  <c r="DD363" i="5" s="1"/>
  <c r="DD404" i="5"/>
  <c r="DD383" i="5"/>
  <c r="DD392" i="5"/>
  <c r="DD357" i="5"/>
  <c r="DD364" i="5" s="1"/>
  <c r="DD359" i="5"/>
  <c r="DD71" i="5"/>
  <c r="CV52" i="18"/>
  <c r="DB408" i="5"/>
  <c r="CT1293" i="18"/>
  <c r="CT1267" i="18"/>
  <c r="DD21" i="5"/>
  <c r="CV9" i="18"/>
  <c r="W926" i="18"/>
  <c r="W906" i="18"/>
  <c r="CT42" i="18"/>
  <c r="DB56" i="5"/>
  <c r="CT43" i="18" s="1"/>
  <c r="CT16" i="18"/>
  <c r="DB25" i="5"/>
  <c r="CT17" i="18" s="1"/>
  <c r="U928" i="18"/>
  <c r="CW296" i="18"/>
  <c r="DE379" i="5"/>
  <c r="DE413" i="5"/>
  <c r="DE352" i="5"/>
  <c r="DE358" i="5" s="1"/>
  <c r="DE62" i="5"/>
  <c r="CW50" i="18" s="1"/>
  <c r="DE400" i="5"/>
  <c r="DE350" i="5"/>
  <c r="CW300" i="18" s="1"/>
  <c r="DE361" i="5"/>
  <c r="DE354" i="5"/>
  <c r="DE387" i="5"/>
  <c r="DH123" i="5"/>
  <c r="CS105" i="18" s="1"/>
  <c r="DA60" i="16"/>
  <c r="DE447" i="5"/>
  <c r="DE448" i="5" s="1"/>
  <c r="DE438" i="5"/>
  <c r="DE440" i="5" s="1"/>
  <c r="DE441" i="5" s="1"/>
  <c r="DE442" i="5" s="1"/>
  <c r="DE443" i="5" s="1"/>
  <c r="DE444" i="5" s="1"/>
  <c r="DD637" i="5"/>
  <c r="DC607" i="5"/>
  <c r="DF279" i="5"/>
  <c r="CX235" i="18" s="1"/>
  <c r="CX234" i="18"/>
  <c r="CR1321" i="18"/>
  <c r="CZ12" i="16"/>
  <c r="CZ100" i="5"/>
  <c r="CR1326" i="18" s="1"/>
  <c r="CZ96" i="5"/>
  <c r="CZ99" i="5"/>
  <c r="CR1325" i="18" s="1"/>
  <c r="CZ98" i="5"/>
  <c r="CR1324" i="18" s="1"/>
  <c r="CZ59" i="5"/>
  <c r="CR45" i="18" s="1"/>
  <c r="CR44" i="18"/>
  <c r="DD639" i="5"/>
  <c r="DE639" i="5" s="1"/>
  <c r="DC609" i="5"/>
  <c r="DC416" i="5"/>
  <c r="CU309" i="18" s="1"/>
  <c r="CU308" i="18"/>
  <c r="BU431" i="18"/>
  <c r="CC109" i="5"/>
  <c r="CC567" i="5"/>
  <c r="BU413" i="18" s="1"/>
  <c r="CC593" i="5"/>
  <c r="CZ90" i="5"/>
  <c r="CZ88" i="5"/>
  <c r="CZ89" i="5" s="1"/>
  <c r="CZ91" i="5"/>
  <c r="CZ537" i="5"/>
  <c r="CZ92" i="5"/>
  <c r="CU560" i="18"/>
  <c r="DC15" i="16"/>
  <c r="CV1212" i="18" s="1"/>
  <c r="DC529" i="5"/>
  <c r="DC672" i="5"/>
  <c r="DC524" i="5"/>
  <c r="CQ127" i="18"/>
  <c r="DC389" i="5"/>
  <c r="CU1280" i="18"/>
  <c r="DA80" i="5"/>
  <c r="DA81" i="5" s="1"/>
  <c r="DA573" i="5"/>
  <c r="DH79" i="5"/>
  <c r="CS70" i="18" s="1"/>
  <c r="DA87" i="5"/>
  <c r="DA124" i="5"/>
  <c r="DB29" i="5"/>
  <c r="CT19" i="18"/>
  <c r="DH83" i="5"/>
  <c r="CS73" i="18" s="1"/>
  <c r="DA126" i="5"/>
  <c r="DA84" i="5"/>
  <c r="DA85" i="5" s="1"/>
  <c r="DA95" i="5"/>
  <c r="AB15" i="19" s="1"/>
  <c r="DB568" i="5"/>
  <c r="DB662" i="5"/>
  <c r="CX170" i="18"/>
  <c r="DF206" i="5"/>
  <c r="DF295" i="5"/>
  <c r="BW470" i="18"/>
  <c r="CE629" i="5"/>
  <c r="CF627" i="5"/>
  <c r="BW507" i="18"/>
  <c r="CE547" i="5"/>
  <c r="BW396" i="18" s="1"/>
  <c r="CE543" i="5"/>
  <c r="CE696" i="5"/>
  <c r="BW533" i="18" s="1"/>
  <c r="DD635" i="5"/>
  <c r="DC590" i="5"/>
  <c r="DC660" i="5" s="1"/>
  <c r="DA597" i="5"/>
  <c r="DB595" i="5"/>
  <c r="DA515" i="5"/>
  <c r="DA516" i="5" s="1"/>
  <c r="DA517" i="5" s="1"/>
  <c r="BX533" i="18"/>
  <c r="DC405" i="5"/>
  <c r="CU1290" i="18"/>
  <c r="CU1261" i="18"/>
  <c r="DD388" i="5"/>
  <c r="CV1279" i="18"/>
  <c r="DD355" i="5"/>
  <c r="CV302" i="18"/>
  <c r="DD401" i="5"/>
  <c r="CV1287" i="18" s="1"/>
  <c r="CV1286" i="18"/>
  <c r="DD489" i="5"/>
  <c r="DD490" i="5" s="1"/>
  <c r="DD487" i="5"/>
  <c r="CS21" i="18"/>
  <c r="DA58" i="5"/>
  <c r="DH29" i="5"/>
  <c r="CZ21" i="18" s="1"/>
  <c r="DA52" i="5"/>
  <c r="CQ128" i="18"/>
  <c r="DJ156" i="5"/>
  <c r="CU128" i="18" s="1"/>
  <c r="CY157" i="5"/>
  <c r="CQ129" i="18" s="1"/>
  <c r="CY159" i="5"/>
  <c r="Z17" i="19" s="1"/>
  <c r="CQ1336" i="18"/>
  <c r="DD647" i="5"/>
  <c r="CV56" i="18"/>
  <c r="DB10" i="16"/>
  <c r="CU1206" i="18"/>
  <c r="CX32" i="18"/>
  <c r="DF337" i="5"/>
  <c r="DF49" i="5"/>
  <c r="DF453" i="5"/>
  <c r="DF454" i="5" s="1"/>
  <c r="DF428" i="5"/>
  <c r="DF429" i="5" s="1"/>
  <c r="DF431" i="5" s="1"/>
  <c r="DF432" i="5" s="1"/>
  <c r="DF433" i="5" s="1"/>
  <c r="DF434" i="5" s="1"/>
  <c r="DF435" i="5" s="1"/>
  <c r="DF479" i="5"/>
  <c r="DF480" i="5" s="1"/>
  <c r="DF40" i="5"/>
  <c r="DF467" i="5"/>
  <c r="DF468" i="5" s="1"/>
  <c r="DF31" i="5"/>
  <c r="DF437" i="5"/>
  <c r="DF258" i="5"/>
  <c r="DF260" i="5" s="1"/>
  <c r="DF261" i="5" s="1"/>
  <c r="DF262" i="5" s="1"/>
  <c r="DF43" i="5"/>
  <c r="CX35" i="18" s="1"/>
  <c r="CX297" i="18"/>
  <c r="DF348" i="5"/>
  <c r="CX299" i="18" s="1"/>
  <c r="DF346" i="5"/>
  <c r="DF17" i="6"/>
  <c r="DF18" i="6"/>
  <c r="CX569" i="18" s="1"/>
  <c r="DE41" i="5"/>
  <c r="CW34" i="18" s="1"/>
  <c r="CW33" i="18"/>
  <c r="CY139" i="5"/>
  <c r="CQ1335" i="18" s="1"/>
  <c r="CQ112" i="18"/>
  <c r="CY27" i="27"/>
  <c r="CY14" i="27" s="1"/>
  <c r="CR1223" i="18"/>
  <c r="CY27" i="26"/>
  <c r="CY14" i="26" s="1"/>
  <c r="CY29" i="26" s="1"/>
  <c r="DB612" i="5"/>
  <c r="DB617" i="5" s="1"/>
  <c r="CY666" i="5"/>
  <c r="CQ486" i="18"/>
  <c r="CD698" i="5"/>
  <c r="BV534" i="18"/>
  <c r="DF519" i="5"/>
  <c r="DE519" i="5"/>
  <c r="DB541" i="5"/>
  <c r="DB677" i="5"/>
  <c r="CW173" i="18"/>
  <c r="DE207" i="5"/>
  <c r="DE283" i="5"/>
  <c r="CW240" i="18" s="1"/>
  <c r="CT1291" i="18"/>
  <c r="CT1262" i="18"/>
  <c r="DD450" i="5"/>
  <c r="DD460" i="5"/>
  <c r="DB394" i="5"/>
  <c r="CT1282" i="18"/>
  <c r="CT1260" i="18"/>
  <c r="CT304" i="18"/>
  <c r="DB661" i="5"/>
  <c r="CS1284" i="18"/>
  <c r="CS1265" i="18"/>
  <c r="DE489" i="5"/>
  <c r="DB79" i="5"/>
  <c r="CT63" i="18"/>
  <c r="DA12" i="27"/>
  <c r="DA11" i="27" s="1"/>
  <c r="CT1207" i="18"/>
  <c r="DA12" i="26"/>
  <c r="DA11" i="26" s="1"/>
  <c r="DE450" i="5"/>
  <c r="DE460" i="5"/>
  <c r="BX392" i="18"/>
  <c r="CF546" i="5"/>
  <c r="BX395" i="18" s="1"/>
  <c r="CF559" i="5"/>
  <c r="BX405" i="18" s="1"/>
  <c r="CF549" i="5"/>
  <c r="BX398" i="18" s="1"/>
  <c r="CF544" i="5"/>
  <c r="BX393" i="18" s="1"/>
  <c r="CF542" i="5"/>
  <c r="BX391" i="18" s="1"/>
  <c r="DC384" i="5"/>
  <c r="CU1276" i="18" s="1"/>
  <c r="CU1275" i="18"/>
  <c r="DE16" i="5"/>
  <c r="CW253" i="18"/>
  <c r="DC591" i="5"/>
  <c r="DC661" i="5" s="1"/>
  <c r="CU13" i="18"/>
  <c r="DC9" i="16"/>
  <c r="DC185" i="5"/>
  <c r="CU151" i="18" s="1"/>
  <c r="DC24" i="5"/>
  <c r="DC22" i="5"/>
  <c r="CU14" i="18" s="1"/>
  <c r="DC27" i="5"/>
  <c r="DC55" i="5"/>
  <c r="DC209" i="5"/>
  <c r="CU176" i="18" s="1"/>
  <c r="DD380" i="5"/>
  <c r="CV1272" i="18" s="1"/>
  <c r="CV1271" i="18"/>
  <c r="DB398" i="5"/>
  <c r="CT1283" i="18"/>
  <c r="CT1264" i="18"/>
  <c r="CR1214" i="18"/>
  <c r="CY18" i="16"/>
  <c r="CR1216" i="18" s="1"/>
  <c r="CY21" i="16"/>
  <c r="CE159" i="5"/>
  <c r="T17" i="19" s="1"/>
  <c r="T35" i="19" s="1"/>
  <c r="BW1336" i="18"/>
  <c r="CX313" i="18"/>
  <c r="DF463" i="5"/>
  <c r="DF462" i="5" s="1"/>
  <c r="DF458" i="5" s="1"/>
  <c r="DD638" i="5"/>
  <c r="DC608" i="5"/>
  <c r="DC569" i="5" s="1"/>
  <c r="DA75" i="5"/>
  <c r="CS61" i="18"/>
  <c r="DC365" i="5"/>
  <c r="DC366" i="5" s="1"/>
  <c r="DC407" i="5"/>
  <c r="DC397" i="5"/>
  <c r="DE338" i="5"/>
  <c r="CW294" i="18" s="1"/>
  <c r="CW293" i="18"/>
  <c r="DE50" i="5"/>
  <c r="CW38" i="18" s="1"/>
  <c r="CW37" i="18"/>
  <c r="CX254" i="18"/>
  <c r="DD208" i="5"/>
  <c r="CV175" i="18" s="1"/>
  <c r="CV174" i="18"/>
  <c r="CS1294" i="18"/>
  <c r="CS1268" i="18"/>
  <c r="CU316" i="18"/>
  <c r="DC422" i="5"/>
  <c r="DC424" i="5"/>
  <c r="DC425" i="5" s="1"/>
  <c r="DC426" i="5" s="1"/>
  <c r="DD423" i="5"/>
  <c r="DB426" i="5"/>
  <c r="CV561" i="18"/>
  <c r="DD523" i="5"/>
  <c r="DD521" i="5"/>
  <c r="S45" i="19" l="1"/>
  <c r="Z35" i="19"/>
  <c r="AB33" i="19"/>
  <c r="AB34" i="19" s="1"/>
  <c r="AB16" i="19"/>
  <c r="DD596" i="5"/>
  <c r="DA62" i="16"/>
  <c r="DB664" i="5"/>
  <c r="DB16" i="16" s="1"/>
  <c r="CU1211" i="18" s="1"/>
  <c r="DE208" i="5"/>
  <c r="CW175" i="18" s="1"/>
  <c r="CW174" i="18"/>
  <c r="BV535" i="18"/>
  <c r="CD587" i="5"/>
  <c r="CE697" i="5"/>
  <c r="DF16" i="5"/>
  <c r="CX253" i="18"/>
  <c r="DH124" i="5"/>
  <c r="CS106" i="18" s="1"/>
  <c r="BU437" i="18"/>
  <c r="CC561" i="5"/>
  <c r="CC604" i="5"/>
  <c r="DE355" i="5"/>
  <c r="CW302" i="18"/>
  <c r="DD384" i="5"/>
  <c r="CV1276" i="18" s="1"/>
  <c r="CV1275" i="18"/>
  <c r="DF64" i="5"/>
  <c r="DF486" i="5"/>
  <c r="DF459" i="5"/>
  <c r="CY28" i="27"/>
  <c r="CY19" i="27" s="1"/>
  <c r="CY20" i="27" s="1"/>
  <c r="CR1224" i="18"/>
  <c r="CY28" i="26"/>
  <c r="CY19" i="26" s="1"/>
  <c r="CY20" i="26" s="1"/>
  <c r="DC29" i="5"/>
  <c r="CU19" i="18"/>
  <c r="DC10" i="16"/>
  <c r="CV1206" i="18"/>
  <c r="DE21" i="5"/>
  <c r="DE609" i="5" s="1"/>
  <c r="CW9" i="18"/>
  <c r="DB573" i="5"/>
  <c r="DB124" i="5"/>
  <c r="DB80" i="5"/>
  <c r="DB81" i="5" s="1"/>
  <c r="DB87" i="5"/>
  <c r="DA59" i="5"/>
  <c r="CS45" i="18" s="1"/>
  <c r="CS44" i="18"/>
  <c r="CU1291" i="18"/>
  <c r="CU1262" i="18"/>
  <c r="DC595" i="5"/>
  <c r="DB597" i="5"/>
  <c r="DB515" i="5"/>
  <c r="DB516" i="5" s="1"/>
  <c r="DB517" i="5" s="1"/>
  <c r="BX470" i="18"/>
  <c r="CF629" i="5"/>
  <c r="CY627" i="5"/>
  <c r="CX173" i="18"/>
  <c r="DF207" i="5"/>
  <c r="DF283" i="5"/>
  <c r="CX240" i="18" s="1"/>
  <c r="CS1321" i="18"/>
  <c r="DA12" i="16"/>
  <c r="DH95" i="5"/>
  <c r="CZ1321" i="18" s="1"/>
  <c r="DA99" i="5"/>
  <c r="CS1325" i="18" s="1"/>
  <c r="DA98" i="5"/>
  <c r="CS1324" i="18" s="1"/>
  <c r="DA96" i="5"/>
  <c r="DA100" i="5"/>
  <c r="CS1326" i="18" s="1"/>
  <c r="DB92" i="5"/>
  <c r="DA92" i="5"/>
  <c r="DA91" i="5"/>
  <c r="DA537" i="5"/>
  <c r="DA88" i="5"/>
  <c r="DA89" i="5" s="1"/>
  <c r="DA90" i="5"/>
  <c r="DH87" i="5"/>
  <c r="CS75" i="18" s="1"/>
  <c r="V908" i="18"/>
  <c r="DE388" i="5"/>
  <c r="CW1279" i="18"/>
  <c r="DE383" i="5"/>
  <c r="DE362" i="5"/>
  <c r="DE363" i="5" s="1"/>
  <c r="DE404" i="5"/>
  <c r="DE392" i="5"/>
  <c r="DE359" i="5"/>
  <c r="DE357" i="5"/>
  <c r="DE364" i="5" s="1"/>
  <c r="DD405" i="5"/>
  <c r="CV1290" i="18"/>
  <c r="CV1261" i="18"/>
  <c r="DB95" i="5"/>
  <c r="DB84" i="5"/>
  <c r="DB85" i="5" s="1"/>
  <c r="DB126" i="5"/>
  <c r="DE33" i="5"/>
  <c r="CW25" i="18" s="1"/>
  <c r="CW24" i="18"/>
  <c r="DE423" i="5"/>
  <c r="DE638" i="5"/>
  <c r="DD608" i="5"/>
  <c r="DD569" i="5" s="1"/>
  <c r="CT1284" i="18"/>
  <c r="CT1265" i="18"/>
  <c r="DC56" i="5"/>
  <c r="CU43" i="18" s="1"/>
  <c r="CU42" i="18"/>
  <c r="CX23" i="18"/>
  <c r="DF34" i="5"/>
  <c r="CX26" i="18" s="1"/>
  <c r="DF32" i="5"/>
  <c r="DC532" i="5"/>
  <c r="DC530" i="5"/>
  <c r="DC531" i="5" s="1"/>
  <c r="CV58" i="18"/>
  <c r="DD77" i="5"/>
  <c r="DD73" i="5"/>
  <c r="DB75" i="5"/>
  <c r="CT61" i="18"/>
  <c r="DC79" i="5"/>
  <c r="CU63" i="18"/>
  <c r="DC398" i="5"/>
  <c r="CU1264" i="18"/>
  <c r="CU1283" i="18"/>
  <c r="DC408" i="5"/>
  <c r="CU1293" i="18"/>
  <c r="CU1267" i="18"/>
  <c r="CX296" i="18"/>
  <c r="DF62" i="5"/>
  <c r="CX50" i="18" s="1"/>
  <c r="DF352" i="5"/>
  <c r="DF358" i="5" s="1"/>
  <c r="DF379" i="5"/>
  <c r="DF354" i="5"/>
  <c r="DF400" i="5"/>
  <c r="DF361" i="5"/>
  <c r="DF350" i="5"/>
  <c r="CX300" i="18" s="1"/>
  <c r="DF413" i="5"/>
  <c r="DF387" i="5"/>
  <c r="DF438" i="5"/>
  <c r="DF440" i="5" s="1"/>
  <c r="DF441" i="5" s="1"/>
  <c r="DF442" i="5" s="1"/>
  <c r="DF443" i="5" s="1"/>
  <c r="DF444" i="5" s="1"/>
  <c r="DF447" i="5"/>
  <c r="DF448" i="5" s="1"/>
  <c r="DF41" i="5"/>
  <c r="CX34" i="18" s="1"/>
  <c r="CX33" i="18"/>
  <c r="DF50" i="5"/>
  <c r="CX38" i="18" s="1"/>
  <c r="CX37" i="18"/>
  <c r="DB12" i="27"/>
  <c r="DB11" i="27" s="1"/>
  <c r="CU1207" i="18"/>
  <c r="DB12" i="26"/>
  <c r="DB11" i="26" s="1"/>
  <c r="DD389" i="5"/>
  <c r="CV1280" i="18"/>
  <c r="BW392" i="18"/>
  <c r="CE549" i="5"/>
  <c r="BW398" i="18" s="1"/>
  <c r="CE546" i="5"/>
  <c r="BW395" i="18" s="1"/>
  <c r="CE544" i="5"/>
  <c r="BW393" i="18" s="1"/>
  <c r="CE559" i="5"/>
  <c r="BW405" i="18" s="1"/>
  <c r="CE542" i="5"/>
  <c r="BW391" i="18" s="1"/>
  <c r="CE630" i="5"/>
  <c r="BW473" i="18" s="1"/>
  <c r="BW472" i="18"/>
  <c r="CT21" i="18"/>
  <c r="DB52" i="5"/>
  <c r="DB58" i="5"/>
  <c r="CC110" i="5"/>
  <c r="BU91" i="18" s="1"/>
  <c r="BU90" i="18"/>
  <c r="CW306" i="18"/>
  <c r="DE419" i="5"/>
  <c r="CW312" i="18" s="1"/>
  <c r="DE415" i="5"/>
  <c r="DF420" i="5"/>
  <c r="CT1294" i="18"/>
  <c r="CT1268" i="18"/>
  <c r="DD407" i="5"/>
  <c r="DD365" i="5"/>
  <c r="DD366" i="5" s="1"/>
  <c r="DD397" i="5"/>
  <c r="DE71" i="5"/>
  <c r="DE647" i="5"/>
  <c r="DE596" i="5" s="1"/>
  <c r="CW56" i="18"/>
  <c r="CW561" i="18"/>
  <c r="DE523" i="5"/>
  <c r="DE521" i="5"/>
  <c r="BW1328" i="18"/>
  <c r="CE160" i="5"/>
  <c r="BW1329" i="18" s="1"/>
  <c r="CE162" i="5"/>
  <c r="CE163" i="5"/>
  <c r="DE635" i="5"/>
  <c r="DD590" i="5"/>
  <c r="DD660" i="5" s="1"/>
  <c r="DE637" i="5"/>
  <c r="DD607" i="5"/>
  <c r="DC394" i="5"/>
  <c r="CU1282" i="18"/>
  <c r="CU1260" i="18"/>
  <c r="CU304" i="18"/>
  <c r="CV560" i="18"/>
  <c r="DD15" i="16"/>
  <c r="CW1212" i="18" s="1"/>
  <c r="DD672" i="5"/>
  <c r="DD529" i="5"/>
  <c r="DD524" i="5"/>
  <c r="CV316" i="18"/>
  <c r="DD422" i="5"/>
  <c r="DD424" i="5"/>
  <c r="DD425" i="5" s="1"/>
  <c r="DD426" i="5" s="1"/>
  <c r="DF297" i="5"/>
  <c r="CX255" i="18" s="1"/>
  <c r="DC25" i="5"/>
  <c r="CU17" i="18" s="1"/>
  <c r="CU16" i="18"/>
  <c r="DE490" i="5"/>
  <c r="CQ507" i="18"/>
  <c r="CY543" i="5"/>
  <c r="CY547" i="5"/>
  <c r="CQ396" i="18" s="1"/>
  <c r="CY696" i="5"/>
  <c r="DF510" i="5"/>
  <c r="DF338" i="5"/>
  <c r="CX294" i="18" s="1"/>
  <c r="CX293" i="18"/>
  <c r="CQ1328" i="18"/>
  <c r="CY163" i="5"/>
  <c r="CY160" i="5"/>
  <c r="CQ1329" i="18" s="1"/>
  <c r="CY162" i="5"/>
  <c r="DA53" i="5"/>
  <c r="CS40" i="18" s="1"/>
  <c r="CS39" i="18"/>
  <c r="CS1331" i="18"/>
  <c r="DH126" i="5"/>
  <c r="CZ1331" i="18" s="1"/>
  <c r="DC677" i="5"/>
  <c r="DC541" i="5"/>
  <c r="DF639" i="5"/>
  <c r="CZ97" i="5"/>
  <c r="CR1323" i="18" s="1"/>
  <c r="CR1322" i="18"/>
  <c r="CZ20" i="16"/>
  <c r="CS1209" i="18"/>
  <c r="CZ17" i="16"/>
  <c r="DC612" i="5"/>
  <c r="DC617" i="5" s="1"/>
  <c r="DC662" i="5"/>
  <c r="DC664" i="5" s="1"/>
  <c r="DC16" i="16" s="1"/>
  <c r="CV1211" i="18" s="1"/>
  <c r="DC568" i="5"/>
  <c r="DE401" i="5"/>
  <c r="CW1287" i="18" s="1"/>
  <c r="CW1286" i="18"/>
  <c r="DE380" i="5"/>
  <c r="CW1272" i="18" s="1"/>
  <c r="CW1271" i="18"/>
  <c r="DD609" i="5"/>
  <c r="CV13" i="18"/>
  <c r="DD9" i="16"/>
  <c r="DD24" i="5"/>
  <c r="DD22" i="5"/>
  <c r="CV14" i="18" s="1"/>
  <c r="DD185" i="5"/>
  <c r="CV151" i="18" s="1"/>
  <c r="DD27" i="5"/>
  <c r="DD591" i="5"/>
  <c r="DD55" i="5"/>
  <c r="DD209" i="5"/>
  <c r="CV176" i="18" s="1"/>
  <c r="DD393" i="5"/>
  <c r="CV1281" i="18"/>
  <c r="CV1259" i="18"/>
  <c r="CR1334" i="18"/>
  <c r="CZ135" i="5"/>
  <c r="CZ139" i="5" s="1"/>
  <c r="CR1335" i="18" s="1"/>
  <c r="DA138" i="5"/>
  <c r="CZ137" i="5"/>
  <c r="DD416" i="5"/>
  <c r="CV309" i="18" s="1"/>
  <c r="CV308" i="18"/>
  <c r="CU60" i="18"/>
  <c r="DC574" i="5"/>
  <c r="DC577" i="5" s="1"/>
  <c r="DC579" i="5" s="1"/>
  <c r="DC83" i="5"/>
  <c r="DC74" i="5"/>
  <c r="DC123" i="5"/>
  <c r="DC60" i="16" s="1"/>
  <c r="DD612" i="5" l="1"/>
  <c r="DD617" i="5" s="1"/>
  <c r="DA65" i="16"/>
  <c r="DA67" i="16" s="1"/>
  <c r="DA13" i="16" s="1"/>
  <c r="DA63" i="16"/>
  <c r="DB61" i="16" s="1"/>
  <c r="DB62" i="16" s="1"/>
  <c r="DB65" i="16" s="1"/>
  <c r="DB67" i="16" s="1"/>
  <c r="DB13" i="16" s="1"/>
  <c r="CU1210" i="18" s="1"/>
  <c r="DF423" i="5"/>
  <c r="CX316" i="18" s="1"/>
  <c r="DD25" i="5"/>
  <c r="CV17" i="18" s="1"/>
  <c r="CV16" i="18"/>
  <c r="DE407" i="5"/>
  <c r="DE365" i="5"/>
  <c r="DE366" i="5" s="1"/>
  <c r="DE397" i="5"/>
  <c r="DF460" i="5"/>
  <c r="DF450" i="5"/>
  <c r="DD394" i="5"/>
  <c r="CV1282" i="18"/>
  <c r="CV1260" i="18"/>
  <c r="CV304" i="18"/>
  <c r="CY698" i="5"/>
  <c r="CQ533" i="18"/>
  <c r="DF635" i="5"/>
  <c r="DE590" i="5"/>
  <c r="DE660" i="5" s="1"/>
  <c r="CW58" i="18"/>
  <c r="DE77" i="5"/>
  <c r="DE73" i="5"/>
  <c r="CT44" i="18"/>
  <c r="DB59" i="5"/>
  <c r="CT45" i="18" s="1"/>
  <c r="CX306" i="18"/>
  <c r="DF419" i="5"/>
  <c r="CX312" i="18" s="1"/>
  <c r="DF415" i="5"/>
  <c r="DF355" i="5"/>
  <c r="CX302" i="18"/>
  <c r="CU1294" i="18"/>
  <c r="CU1268" i="18"/>
  <c r="CV60" i="18"/>
  <c r="DD74" i="5"/>
  <c r="DD574" i="5"/>
  <c r="DD577" i="5" s="1"/>
  <c r="DD579" i="5" s="1"/>
  <c r="DD123" i="5"/>
  <c r="DD60" i="16" s="1"/>
  <c r="DD83" i="5"/>
  <c r="CW316" i="18"/>
  <c r="DE422" i="5"/>
  <c r="DE424" i="5"/>
  <c r="DE425" i="5" s="1"/>
  <c r="DE426" i="5" s="1"/>
  <c r="CV1291" i="18"/>
  <c r="CV1262" i="18"/>
  <c r="DE384" i="5"/>
  <c r="CW1276" i="18" s="1"/>
  <c r="CW1275" i="18"/>
  <c r="DF208" i="5"/>
  <c r="CX175" i="18" s="1"/>
  <c r="CX174" i="18"/>
  <c r="CF630" i="5"/>
  <c r="BX473" i="18" s="1"/>
  <c r="BX472" i="18"/>
  <c r="DD595" i="5"/>
  <c r="DC515" i="5"/>
  <c r="DC516" i="5" s="1"/>
  <c r="DC517" i="5" s="1"/>
  <c r="DC597" i="5"/>
  <c r="DF487" i="5"/>
  <c r="DF489" i="5"/>
  <c r="DF490" i="5" s="1"/>
  <c r="CC562" i="5"/>
  <c r="BU408" i="18" s="1"/>
  <c r="BU407" i="18"/>
  <c r="BV431" i="18"/>
  <c r="CD109" i="5"/>
  <c r="CD567" i="5"/>
  <c r="BV413" i="18" s="1"/>
  <c r="CD593" i="5"/>
  <c r="DD541" i="5"/>
  <c r="DD677" i="5"/>
  <c r="CX561" i="18"/>
  <c r="DF523" i="5"/>
  <c r="DF521" i="5"/>
  <c r="CV1293" i="18"/>
  <c r="CV1267" i="18"/>
  <c r="DD408" i="5"/>
  <c r="DE416" i="5"/>
  <c r="CW309" i="18" s="1"/>
  <c r="CW308" i="18"/>
  <c r="DF388" i="5"/>
  <c r="CX1279" i="18"/>
  <c r="DF401" i="5"/>
  <c r="CX1287" i="18" s="1"/>
  <c r="CX1286" i="18"/>
  <c r="CU1284" i="18"/>
  <c r="CU1265" i="18"/>
  <c r="DF33" i="5"/>
  <c r="CX25" i="18" s="1"/>
  <c r="CX24" i="18"/>
  <c r="DE608" i="5"/>
  <c r="DE569" i="5" s="1"/>
  <c r="DF638" i="5"/>
  <c r="CQ470" i="18"/>
  <c r="CY629" i="5"/>
  <c r="CU21" i="18"/>
  <c r="DC52" i="5"/>
  <c r="DC58" i="5"/>
  <c r="CS1214" i="18"/>
  <c r="CZ18" i="16"/>
  <c r="CS1216" i="18" s="1"/>
  <c r="CZ21" i="16"/>
  <c r="DC75" i="5"/>
  <c r="CU61" i="18"/>
  <c r="CS1334" i="18"/>
  <c r="DB138" i="5"/>
  <c r="DB137" i="5" s="1"/>
  <c r="DA135" i="5"/>
  <c r="DA139" i="5" s="1"/>
  <c r="CS1335" i="18" s="1"/>
  <c r="DA137" i="5"/>
  <c r="DD662" i="5"/>
  <c r="DD568" i="5"/>
  <c r="DD398" i="5"/>
  <c r="CV1283" i="18"/>
  <c r="CV1264" i="18"/>
  <c r="CT39" i="18"/>
  <c r="DB53" i="5"/>
  <c r="CT40" i="18" s="1"/>
  <c r="DF380" i="5"/>
  <c r="CX1272" i="18" s="1"/>
  <c r="CX1271" i="18"/>
  <c r="DC124" i="5"/>
  <c r="DC573" i="5"/>
  <c r="DC80" i="5"/>
  <c r="DC81" i="5" s="1"/>
  <c r="DC87" i="5"/>
  <c r="DD79" i="5"/>
  <c r="CV63" i="18"/>
  <c r="CT1321" i="18"/>
  <c r="DB12" i="16"/>
  <c r="DB99" i="5"/>
  <c r="CT1325" i="18" s="1"/>
  <c r="DB98" i="5"/>
  <c r="CT1324" i="18" s="1"/>
  <c r="DB96" i="5"/>
  <c r="DB100" i="5"/>
  <c r="CT1326" i="18" s="1"/>
  <c r="DE393" i="5"/>
  <c r="CW1281" i="18"/>
  <c r="CW1259" i="18"/>
  <c r="CT1209" i="18"/>
  <c r="DA20" i="16"/>
  <c r="DC12" i="27"/>
  <c r="DC11" i="27" s="1"/>
  <c r="CV1207" i="18"/>
  <c r="DC12" i="26"/>
  <c r="DC11" i="26" s="1"/>
  <c r="CX52" i="18"/>
  <c r="DF21" i="5"/>
  <c r="CX9" i="18"/>
  <c r="DF511" i="5"/>
  <c r="DF513" i="5"/>
  <c r="DF69" i="5"/>
  <c r="CT1331" i="18"/>
  <c r="V928" i="18"/>
  <c r="DA97" i="5"/>
  <c r="CS1323" i="18" s="1"/>
  <c r="CS1322" i="18"/>
  <c r="DE591" i="5"/>
  <c r="CW13" i="18"/>
  <c r="DE9" i="16"/>
  <c r="DE22" i="5"/>
  <c r="CW14" i="18" s="1"/>
  <c r="DE24" i="5"/>
  <c r="DE185" i="5"/>
  <c r="CW151" i="18" s="1"/>
  <c r="DE27" i="5"/>
  <c r="DE55" i="5"/>
  <c r="DE209" i="5"/>
  <c r="CW176" i="18" s="1"/>
  <c r="BU447" i="18"/>
  <c r="CC631" i="5"/>
  <c r="BU474" i="18" s="1"/>
  <c r="CC566" i="5"/>
  <c r="CE698" i="5"/>
  <c r="BW534" i="18"/>
  <c r="CR1333" i="18"/>
  <c r="DD29" i="5"/>
  <c r="CV19" i="18"/>
  <c r="DD10" i="16"/>
  <c r="CW1206" i="18"/>
  <c r="DC84" i="5"/>
  <c r="DC85" i="5" s="1"/>
  <c r="DC95" i="5"/>
  <c r="DC126" i="5"/>
  <c r="CU1331" i="18" s="1"/>
  <c r="CZ134" i="5"/>
  <c r="CZ129" i="5"/>
  <c r="CZ128" i="5" s="1"/>
  <c r="CZ132" i="5" s="1"/>
  <c r="CZ148" i="5" s="1"/>
  <c r="DD56" i="5"/>
  <c r="CV43" i="18" s="1"/>
  <c r="CV42" i="18"/>
  <c r="CZ27" i="27"/>
  <c r="CZ14" i="27" s="1"/>
  <c r="CS1223" i="18"/>
  <c r="CZ27" i="26"/>
  <c r="CZ14" i="26" s="1"/>
  <c r="U910" i="18"/>
  <c r="U930" i="18"/>
  <c r="CQ392" i="18"/>
  <c r="CY542" i="5"/>
  <c r="CQ391" i="18" s="1"/>
  <c r="CY549" i="5"/>
  <c r="CQ398" i="18" s="1"/>
  <c r="CY544" i="5"/>
  <c r="CQ393" i="18" s="1"/>
  <c r="CY546" i="5"/>
  <c r="CQ395" i="18" s="1"/>
  <c r="CY559" i="5"/>
  <c r="CQ405" i="18" s="1"/>
  <c r="DD661" i="5"/>
  <c r="DD530" i="5"/>
  <c r="DD531" i="5" s="1"/>
  <c r="DD532" i="5"/>
  <c r="DF637" i="5"/>
  <c r="DE607" i="5"/>
  <c r="CW560" i="18"/>
  <c r="DE15" i="16"/>
  <c r="CX1212" i="18" s="1"/>
  <c r="DE524" i="5"/>
  <c r="DE529" i="5"/>
  <c r="DE672" i="5"/>
  <c r="DF404" i="5"/>
  <c r="DF383" i="5"/>
  <c r="DF362" i="5"/>
  <c r="DF363" i="5" s="1"/>
  <c r="DF392" i="5"/>
  <c r="DF359" i="5"/>
  <c r="DF357" i="5"/>
  <c r="DF364" i="5" s="1"/>
  <c r="DE405" i="5"/>
  <c r="CW1290" i="18"/>
  <c r="CW1261" i="18"/>
  <c r="DE389" i="5"/>
  <c r="CW1280" i="18"/>
  <c r="W908" i="18"/>
  <c r="DB88" i="5"/>
  <c r="DB89" i="5" s="1"/>
  <c r="DB537" i="5"/>
  <c r="DB90" i="5"/>
  <c r="DB91" i="5"/>
  <c r="CD699" i="5"/>
  <c r="BV536" i="18" s="1"/>
  <c r="DB63" i="16" l="1"/>
  <c r="DC61" i="16" s="1"/>
  <c r="DC62" i="16" s="1"/>
  <c r="DC65" i="16" s="1"/>
  <c r="DC67" i="16" s="1"/>
  <c r="DC13" i="16" s="1"/>
  <c r="CV1210" i="18" s="1"/>
  <c r="DF422" i="5"/>
  <c r="DF424" i="5"/>
  <c r="DF425" i="5" s="1"/>
  <c r="DF426" i="5" s="1"/>
  <c r="DE612" i="5"/>
  <c r="DE617" i="5" s="1"/>
  <c r="DF607" i="5"/>
  <c r="DF568" i="5" s="1"/>
  <c r="DD664" i="5"/>
  <c r="DD16" i="16" s="1"/>
  <c r="CW1211" i="18" s="1"/>
  <c r="CT1210" i="18"/>
  <c r="DA17" i="16"/>
  <c r="CZ159" i="5"/>
  <c r="AA17" i="19" s="1"/>
  <c r="AA35" i="19" s="1"/>
  <c r="CR1336" i="18"/>
  <c r="CZ131" i="5"/>
  <c r="CZ146" i="5"/>
  <c r="CZ156" i="5" s="1"/>
  <c r="CZ157" i="5" s="1"/>
  <c r="CR129" i="18" s="1"/>
  <c r="CC570" i="5"/>
  <c r="BU412" i="18"/>
  <c r="DE56" i="5"/>
  <c r="CW43" i="18" s="1"/>
  <c r="CW42" i="18"/>
  <c r="DB97" i="5"/>
  <c r="CT1323" i="18" s="1"/>
  <c r="CT1322" i="18"/>
  <c r="DA134" i="5"/>
  <c r="DA129" i="5"/>
  <c r="DA128" i="5" s="1"/>
  <c r="DA132" i="5" s="1"/>
  <c r="DA148" i="5" s="1"/>
  <c r="DF389" i="5"/>
  <c r="CX1280" i="18"/>
  <c r="BV437" i="18"/>
  <c r="CD561" i="5"/>
  <c r="CD604" i="5"/>
  <c r="DF416" i="5"/>
  <c r="CX309" i="18" s="1"/>
  <c r="CX308" i="18"/>
  <c r="CW1291" i="18"/>
  <c r="CW1262" i="18"/>
  <c r="CZ143" i="5"/>
  <c r="CZ752" i="5"/>
  <c r="CZ540" i="5"/>
  <c r="CV21" i="18"/>
  <c r="DD58" i="5"/>
  <c r="DD52" i="5"/>
  <c r="BW535" i="18"/>
  <c r="CF697" i="5"/>
  <c r="CE587" i="5"/>
  <c r="CE699" i="5" s="1"/>
  <c r="BW536" i="18" s="1"/>
  <c r="DE25" i="5"/>
  <c r="CW17" i="18" s="1"/>
  <c r="CW16" i="18"/>
  <c r="DF647" i="5"/>
  <c r="DF596" i="5" s="1"/>
  <c r="CX56" i="18"/>
  <c r="DF609" i="5"/>
  <c r="CX13" i="18"/>
  <c r="DF9" i="16"/>
  <c r="DF27" i="5"/>
  <c r="DF185" i="5"/>
  <c r="CX151" i="18" s="1"/>
  <c r="DF22" i="5"/>
  <c r="CX14" i="18" s="1"/>
  <c r="DF24" i="5"/>
  <c r="DF591" i="5"/>
  <c r="DF55" i="5"/>
  <c r="DF209" i="5"/>
  <c r="CX176" i="18" s="1"/>
  <c r="DB20" i="16"/>
  <c r="CU1209" i="18"/>
  <c r="DC92" i="5"/>
  <c r="DC90" i="5"/>
  <c r="DC88" i="5"/>
  <c r="DC89" i="5" s="1"/>
  <c r="DC91" i="5"/>
  <c r="DC537" i="5"/>
  <c r="DF608" i="5"/>
  <c r="DF569" i="5" s="1"/>
  <c r="CV1294" i="18"/>
  <c r="CV1268" i="18"/>
  <c r="DE661" i="5"/>
  <c r="DE595" i="5"/>
  <c r="DD515" i="5"/>
  <c r="DD516" i="5" s="1"/>
  <c r="DD517" i="5" s="1"/>
  <c r="DD597" i="5"/>
  <c r="DD95" i="5"/>
  <c r="DD126" i="5"/>
  <c r="CV1331" i="18" s="1"/>
  <c r="DD84" i="5"/>
  <c r="DD85" i="5" s="1"/>
  <c r="DE398" i="5"/>
  <c r="CW1283" i="18"/>
  <c r="CW1264" i="18"/>
  <c r="W928" i="18"/>
  <c r="DF365" i="5"/>
  <c r="DF366" i="5" s="1"/>
  <c r="DF407" i="5"/>
  <c r="DF397" i="5"/>
  <c r="DF384" i="5"/>
  <c r="CX1276" i="18" s="1"/>
  <c r="CX1275" i="18"/>
  <c r="DF405" i="5"/>
  <c r="CX1290" i="18"/>
  <c r="CX1261" i="18"/>
  <c r="DE677" i="5"/>
  <c r="DE541" i="5"/>
  <c r="DD12" i="27"/>
  <c r="DD11" i="27" s="1"/>
  <c r="CW1207" i="18"/>
  <c r="DD12" i="26"/>
  <c r="DD11" i="26" s="1"/>
  <c r="DE29" i="5"/>
  <c r="CW19" i="18"/>
  <c r="DE10" i="16"/>
  <c r="CX1206" i="18"/>
  <c r="DF71" i="5"/>
  <c r="CV1284" i="18"/>
  <c r="CV1265" i="18"/>
  <c r="DB17" i="16"/>
  <c r="CT1334" i="18"/>
  <c r="DC138" i="5"/>
  <c r="DB135" i="5"/>
  <c r="DB139" i="5" s="1"/>
  <c r="CT1335" i="18" s="1"/>
  <c r="CZ28" i="27"/>
  <c r="CZ19" i="27" s="1"/>
  <c r="CS1224" i="18"/>
  <c r="CZ28" i="26"/>
  <c r="CZ19" i="26" s="1"/>
  <c r="DC59" i="5"/>
  <c r="CU45" i="18" s="1"/>
  <c r="CU44" i="18"/>
  <c r="CY630" i="5"/>
  <c r="CQ473" i="18" s="1"/>
  <c r="CQ472" i="18"/>
  <c r="CW60" i="18"/>
  <c r="DE574" i="5"/>
  <c r="DE577" i="5" s="1"/>
  <c r="DE579" i="5" s="1"/>
  <c r="DE83" i="5"/>
  <c r="DE74" i="5"/>
  <c r="DE123" i="5"/>
  <c r="DE60" i="16" s="1"/>
  <c r="DF590" i="5"/>
  <c r="DF660" i="5" s="1"/>
  <c r="DE408" i="5"/>
  <c r="CW1267" i="18"/>
  <c r="CW1293" i="18"/>
  <c r="DF393" i="5"/>
  <c r="CX1281" i="18"/>
  <c r="CX1259" i="18"/>
  <c r="DE530" i="5"/>
  <c r="DE531" i="5" s="1"/>
  <c r="DE532" i="5"/>
  <c r="DE662" i="5"/>
  <c r="DE568" i="5"/>
  <c r="CU1321" i="18"/>
  <c r="DC12" i="16"/>
  <c r="DC96" i="5"/>
  <c r="DC99" i="5"/>
  <c r="CU1325" i="18" s="1"/>
  <c r="DC100" i="5"/>
  <c r="CU1326" i="18" s="1"/>
  <c r="DC98" i="5"/>
  <c r="CU1324" i="18" s="1"/>
  <c r="CT1333" i="18"/>
  <c r="DA27" i="27"/>
  <c r="DA14" i="27" s="1"/>
  <c r="CT1223" i="18"/>
  <c r="DA27" i="26"/>
  <c r="DA14" i="26" s="1"/>
  <c r="DE394" i="5"/>
  <c r="CW1282" i="18"/>
  <c r="CW1260" i="18"/>
  <c r="CW304" i="18"/>
  <c r="DD124" i="5"/>
  <c r="DD573" i="5"/>
  <c r="DD87" i="5"/>
  <c r="DD80" i="5"/>
  <c r="DD81" i="5" s="1"/>
  <c r="CS1333" i="18"/>
  <c r="DC53" i="5"/>
  <c r="CU40" i="18" s="1"/>
  <c r="CU39" i="18"/>
  <c r="CX560" i="18"/>
  <c r="DF15" i="16"/>
  <c r="CY1212" i="18" s="1"/>
  <c r="DF524" i="5"/>
  <c r="DF672" i="5"/>
  <c r="DF529" i="5"/>
  <c r="CD110" i="5"/>
  <c r="BV91" i="18" s="1"/>
  <c r="BV90" i="18"/>
  <c r="DD75" i="5"/>
  <c r="CV61" i="18"/>
  <c r="DE79" i="5"/>
  <c r="CW63" i="18"/>
  <c r="CQ535" i="18"/>
  <c r="CZ697" i="5"/>
  <c r="DC63" i="16" l="1"/>
  <c r="DD61" i="16" s="1"/>
  <c r="DD62" i="16" s="1"/>
  <c r="DD65" i="16" s="1"/>
  <c r="DD67" i="16" s="1"/>
  <c r="DD13" i="16" s="1"/>
  <c r="CW1210" i="18" s="1"/>
  <c r="CT1214" i="18"/>
  <c r="DA18" i="16"/>
  <c r="CT1216" i="18" s="1"/>
  <c r="DA21" i="16"/>
  <c r="DE664" i="5"/>
  <c r="DE16" i="16" s="1"/>
  <c r="CX1211" i="18" s="1"/>
  <c r="DE124" i="5"/>
  <c r="DE573" i="5"/>
  <c r="DE80" i="5"/>
  <c r="DE81" i="5" s="1"/>
  <c r="DE87" i="5"/>
  <c r="DD90" i="5"/>
  <c r="DD92" i="5"/>
  <c r="DD88" i="5"/>
  <c r="DD89" i="5" s="1"/>
  <c r="DD537" i="5"/>
  <c r="DD91" i="5"/>
  <c r="DF532" i="5"/>
  <c r="DF530" i="5"/>
  <c r="DF531" i="5" s="1"/>
  <c r="CS1336" i="18"/>
  <c r="DA159" i="5"/>
  <c r="AB17" i="19" s="1"/>
  <c r="AB35" i="19" s="1"/>
  <c r="DH148" i="5"/>
  <c r="CZ1336" i="18" s="1"/>
  <c r="DE84" i="5"/>
  <c r="DE85" i="5" s="1"/>
  <c r="DE95" i="5"/>
  <c r="DE126" i="5"/>
  <c r="DB134" i="5"/>
  <c r="DB129" i="5"/>
  <c r="DB128" i="5" s="1"/>
  <c r="CX1291" i="18"/>
  <c r="CX1262" i="18"/>
  <c r="CW1284" i="18"/>
  <c r="CW1265" i="18"/>
  <c r="DF29" i="5"/>
  <c r="CX19" i="18"/>
  <c r="BX534" i="18"/>
  <c r="CF698" i="5"/>
  <c r="DF662" i="5"/>
  <c r="DH134" i="5"/>
  <c r="CS111" i="18" s="1"/>
  <c r="DA131" i="5"/>
  <c r="DA146" i="5"/>
  <c r="DF677" i="5"/>
  <c r="DF541" i="5"/>
  <c r="CZ20" i="26"/>
  <c r="CW1294" i="18"/>
  <c r="CW1268" i="18"/>
  <c r="CU1334" i="18"/>
  <c r="DC135" i="5"/>
  <c r="DD138" i="5"/>
  <c r="DC137" i="5"/>
  <c r="DE12" i="27"/>
  <c r="DE11" i="27" s="1"/>
  <c r="CX1207" i="18"/>
  <c r="DE12" i="26"/>
  <c r="DE11" i="26" s="1"/>
  <c r="DF398" i="5"/>
  <c r="CX1283" i="18"/>
  <c r="CX1264" i="18"/>
  <c r="DB27" i="27"/>
  <c r="DB14" i="27" s="1"/>
  <c r="CU1223" i="18"/>
  <c r="DB27" i="26"/>
  <c r="DB14" i="26" s="1"/>
  <c r="DF25" i="5"/>
  <c r="CX17" i="18" s="1"/>
  <c r="CX16" i="18"/>
  <c r="DF10" i="16"/>
  <c r="CY1206" i="18"/>
  <c r="DG9" i="16"/>
  <c r="CR1328" i="18"/>
  <c r="CZ160" i="5"/>
  <c r="CR1329" i="18" s="1"/>
  <c r="CZ162" i="5"/>
  <c r="CZ163" i="5"/>
  <c r="DC97" i="5"/>
  <c r="CU1323" i="18" s="1"/>
  <c r="CU1322" i="18"/>
  <c r="DF394" i="5"/>
  <c r="CX1282" i="18"/>
  <c r="CX1260" i="18"/>
  <c r="CX304" i="18"/>
  <c r="CZ20" i="27"/>
  <c r="DF408" i="5"/>
  <c r="CX1293" i="18"/>
  <c r="CX1267" i="18"/>
  <c r="DE515" i="5"/>
  <c r="DE516" i="5" s="1"/>
  <c r="DE517" i="5" s="1"/>
  <c r="DE597" i="5"/>
  <c r="DF595" i="5"/>
  <c r="DD53" i="5"/>
  <c r="CV40" i="18" s="1"/>
  <c r="CV39" i="18"/>
  <c r="BV447" i="18"/>
  <c r="CD631" i="5"/>
  <c r="BV474" i="18" s="1"/>
  <c r="CD566" i="5"/>
  <c r="CC580" i="5"/>
  <c r="BU426" i="18" s="1"/>
  <c r="BU416" i="18"/>
  <c r="CV1209" i="18"/>
  <c r="DC20" i="16"/>
  <c r="DE75" i="5"/>
  <c r="CW61" i="18"/>
  <c r="CU1214" i="18"/>
  <c r="DB18" i="16"/>
  <c r="CU1216" i="18" s="1"/>
  <c r="DB21" i="16"/>
  <c r="CX58" i="18"/>
  <c r="DF77" i="5"/>
  <c r="DF73" i="5"/>
  <c r="CW21" i="18"/>
  <c r="DE52" i="5"/>
  <c r="DE58" i="5"/>
  <c r="CV1321" i="18"/>
  <c r="DD12" i="16"/>
  <c r="DD98" i="5"/>
  <c r="CV1324" i="18" s="1"/>
  <c r="DD96" i="5"/>
  <c r="DD100" i="5"/>
  <c r="CV1326" i="18" s="1"/>
  <c r="DD99" i="5"/>
  <c r="CV1325" i="18" s="1"/>
  <c r="DF56" i="5"/>
  <c r="CX43" i="18" s="1"/>
  <c r="CX42" i="18"/>
  <c r="DF612" i="5"/>
  <c r="DF617" i="5" s="1"/>
  <c r="DF661" i="5"/>
  <c r="BW431" i="18"/>
  <c r="CE567" i="5"/>
  <c r="BW413" i="18" s="1"/>
  <c r="CE109" i="5"/>
  <c r="CE593" i="5"/>
  <c r="DD59" i="5"/>
  <c r="CV45" i="18" s="1"/>
  <c r="CV44" i="18"/>
  <c r="CZ645" i="5"/>
  <c r="CZ155" i="5"/>
  <c r="CZ749" i="5"/>
  <c r="CD562" i="5"/>
  <c r="BV408" i="18" s="1"/>
  <c r="BV407" i="18"/>
  <c r="DA752" i="5"/>
  <c r="DH128" i="5"/>
  <c r="CS108" i="18" s="1"/>
  <c r="DA143" i="5"/>
  <c r="DA540" i="5"/>
  <c r="DC17" i="16"/>
  <c r="DD63" i="16" l="1"/>
  <c r="DE61" i="16" s="1"/>
  <c r="DE62" i="16" s="1"/>
  <c r="DE65" i="16" s="1"/>
  <c r="DE67" i="16" s="1"/>
  <c r="DE13" i="16" s="1"/>
  <c r="DA28" i="26"/>
  <c r="DA19" i="26" s="1"/>
  <c r="DA20" i="26" s="1"/>
  <c r="DA28" i="27"/>
  <c r="DA19" i="27" s="1"/>
  <c r="DA20" i="27" s="1"/>
  <c r="CT1224" i="18"/>
  <c r="CX60" i="18"/>
  <c r="DF74" i="5"/>
  <c r="DF574" i="5"/>
  <c r="DF123" i="5"/>
  <c r="DF60" i="16" s="1"/>
  <c r="DF83" i="5"/>
  <c r="CW1321" i="18"/>
  <c r="DE12" i="16"/>
  <c r="DE99" i="5"/>
  <c r="CW1325" i="18" s="1"/>
  <c r="DE98" i="5"/>
  <c r="CW1324" i="18" s="1"/>
  <c r="DE100" i="5"/>
  <c r="CW1326" i="18" s="1"/>
  <c r="DE96" i="5"/>
  <c r="DE59" i="5"/>
  <c r="CW45" i="18" s="1"/>
  <c r="CW44" i="18"/>
  <c r="DC27" i="27"/>
  <c r="DC14" i="27" s="1"/>
  <c r="CV1223" i="18"/>
  <c r="DC27" i="26"/>
  <c r="DC14" i="26" s="1"/>
  <c r="CD570" i="5"/>
  <c r="BV412" i="18"/>
  <c r="DF597" i="5"/>
  <c r="DF515" i="5"/>
  <c r="DF516" i="5" s="1"/>
  <c r="DF517" i="5" s="1"/>
  <c r="DE53" i="5"/>
  <c r="CW40" i="18" s="1"/>
  <c r="CW39" i="18"/>
  <c r="CX1294" i="18"/>
  <c r="CX1268" i="18"/>
  <c r="DC139" i="5"/>
  <c r="CU1335" i="18" s="1"/>
  <c r="DC129" i="5"/>
  <c r="DC128" i="5" s="1"/>
  <c r="DC132" i="5" s="1"/>
  <c r="DC148" i="5" s="1"/>
  <c r="DC134" i="5"/>
  <c r="DF664" i="5"/>
  <c r="DF16" i="16" s="1"/>
  <c r="CY1211" i="18" s="1"/>
  <c r="CX21" i="18"/>
  <c r="DF58" i="5"/>
  <c r="DF52" i="5"/>
  <c r="DB131" i="5"/>
  <c r="DB146" i="5"/>
  <c r="DB156" i="5" s="1"/>
  <c r="CZ666" i="5"/>
  <c r="CZ627" i="5"/>
  <c r="CS1328" i="18"/>
  <c r="DA160" i="5"/>
  <c r="CS1329" i="18" s="1"/>
  <c r="DH159" i="5"/>
  <c r="CZ1328" i="18" s="1"/>
  <c r="DD97" i="5"/>
  <c r="CV1323" i="18" s="1"/>
  <c r="CV1322" i="18"/>
  <c r="DF79" i="5"/>
  <c r="CX63" i="18"/>
  <c r="CV1214" i="18"/>
  <c r="DC18" i="16"/>
  <c r="CV1216" i="18" s="1"/>
  <c r="DC21" i="16"/>
  <c r="BW437" i="18"/>
  <c r="CE561" i="5"/>
  <c r="CE604" i="5"/>
  <c r="CW1209" i="18"/>
  <c r="DD20" i="16"/>
  <c r="DB28" i="27"/>
  <c r="DB19" i="27" s="1"/>
  <c r="CU1224" i="18"/>
  <c r="DB28" i="26"/>
  <c r="DB19" i="26" s="1"/>
  <c r="DF12" i="27"/>
  <c r="DF11" i="27" s="1"/>
  <c r="DG11" i="27" s="1"/>
  <c r="DG12" i="27" s="1"/>
  <c r="CY1207" i="18"/>
  <c r="DF12" i="26"/>
  <c r="DF11" i="26" s="1"/>
  <c r="CX1284" i="18"/>
  <c r="CX1265" i="18"/>
  <c r="DA156" i="5"/>
  <c r="DH146" i="5"/>
  <c r="CS120" i="18" s="1"/>
  <c r="BX535" i="18"/>
  <c r="CF587" i="5"/>
  <c r="CW1331" i="18"/>
  <c r="DD17" i="16"/>
  <c r="CE110" i="5"/>
  <c r="BW91" i="18" s="1"/>
  <c r="BW90" i="18"/>
  <c r="CU1333" i="18"/>
  <c r="DH143" i="5"/>
  <c r="CS117" i="18" s="1"/>
  <c r="DA645" i="5"/>
  <c r="DA666" i="5" s="1"/>
  <c r="DA155" i="5"/>
  <c r="DH155" i="5" s="1"/>
  <c r="CS127" i="18" s="1"/>
  <c r="DA749" i="5"/>
  <c r="V930" i="18"/>
  <c r="V910" i="18"/>
  <c r="DG10" i="16"/>
  <c r="CZ1207" i="18" s="1"/>
  <c r="CZ1206" i="18"/>
  <c r="CV1334" i="18"/>
  <c r="DD135" i="5"/>
  <c r="DE138" i="5"/>
  <c r="DE137" i="5" s="1"/>
  <c r="DD137" i="5"/>
  <c r="CV1333" i="18" s="1"/>
  <c r="DB143" i="5"/>
  <c r="DB752" i="5"/>
  <c r="DB540" i="5"/>
  <c r="DB132" i="5"/>
  <c r="DB148" i="5" s="1"/>
  <c r="DE90" i="5"/>
  <c r="DE88" i="5"/>
  <c r="DE89" i="5" s="1"/>
  <c r="DE92" i="5"/>
  <c r="DE91" i="5"/>
  <c r="DE537" i="5"/>
  <c r="DB20" i="26" l="1"/>
  <c r="DG11" i="26"/>
  <c r="DG12" i="26" s="1"/>
  <c r="CW1333" i="18"/>
  <c r="DB155" i="5"/>
  <c r="DB645" i="5"/>
  <c r="DB666" i="5" s="1"/>
  <c r="DB749" i="5"/>
  <c r="CW1334" i="18"/>
  <c r="DE135" i="5"/>
  <c r="DF138" i="5"/>
  <c r="DB20" i="27"/>
  <c r="CE562" i="5"/>
  <c r="BW408" i="18" s="1"/>
  <c r="BW407" i="18"/>
  <c r="DC28" i="27"/>
  <c r="DC19" i="27" s="1"/>
  <c r="CV1224" i="18"/>
  <c r="DC28" i="26"/>
  <c r="DC19" i="26" s="1"/>
  <c r="W930" i="18"/>
  <c r="W910" i="18"/>
  <c r="DF53" i="5"/>
  <c r="CX40" i="18" s="1"/>
  <c r="CX39" i="18"/>
  <c r="CD580" i="5"/>
  <c r="BV426" i="18" s="1"/>
  <c r="BV416" i="18"/>
  <c r="DE97" i="5"/>
  <c r="CW1323" i="18" s="1"/>
  <c r="CW1322" i="18"/>
  <c r="CX1209" i="18"/>
  <c r="DE20" i="16"/>
  <c r="DF577" i="5"/>
  <c r="DF579" i="5" s="1"/>
  <c r="DD139" i="5"/>
  <c r="CV1335" i="18" s="1"/>
  <c r="DD129" i="5"/>
  <c r="DD128" i="5" s="1"/>
  <c r="DD134" i="5"/>
  <c r="DE17" i="16"/>
  <c r="CX1210" i="18"/>
  <c r="DD27" i="27"/>
  <c r="DD14" i="27" s="1"/>
  <c r="CW1223" i="18"/>
  <c r="DD27" i="26"/>
  <c r="DD14" i="26" s="1"/>
  <c r="DF87" i="5"/>
  <c r="DF124" i="5"/>
  <c r="DF573" i="5"/>
  <c r="DF80" i="5"/>
  <c r="DF81" i="5" s="1"/>
  <c r="DE63" i="16"/>
  <c r="DF61" i="16" s="1"/>
  <c r="DF62" i="16" s="1"/>
  <c r="DF65" i="16" s="1"/>
  <c r="DF67" i="16" s="1"/>
  <c r="DF13" i="16" s="1"/>
  <c r="DF59" i="5"/>
  <c r="CX45" i="18" s="1"/>
  <c r="CX44" i="18"/>
  <c r="DC131" i="5"/>
  <c r="DC146" i="5"/>
  <c r="DC156" i="5" s="1"/>
  <c r="DC157" i="5" s="1"/>
  <c r="CU129" i="18" s="1"/>
  <c r="DF75" i="5"/>
  <c r="CX61" i="18"/>
  <c r="DA543" i="5"/>
  <c r="DA547" i="5"/>
  <c r="DA696" i="5"/>
  <c r="DH156" i="5"/>
  <c r="CS128" i="18" s="1"/>
  <c r="DA157" i="5"/>
  <c r="CS129" i="18" s="1"/>
  <c r="CF699" i="5"/>
  <c r="BX536" i="18" s="1"/>
  <c r="BX431" i="18"/>
  <c r="L33" i="16"/>
  <c r="L35" i="26"/>
  <c r="L35" i="27"/>
  <c r="CY587" i="5"/>
  <c r="CF109" i="5"/>
  <c r="CF567" i="5"/>
  <c r="BX413" i="18" s="1"/>
  <c r="CF593" i="5"/>
  <c r="DA627" i="5"/>
  <c r="CZ629" i="5"/>
  <c r="CZ630" i="5" s="1"/>
  <c r="DB157" i="5"/>
  <c r="CT129" i="18" s="1"/>
  <c r="DC143" i="5"/>
  <c r="DC752" i="5"/>
  <c r="DC540" i="5"/>
  <c r="DF95" i="5"/>
  <c r="DF126" i="5"/>
  <c r="DF84" i="5"/>
  <c r="DF85" i="5" s="1"/>
  <c r="DB159" i="5"/>
  <c r="CT1336" i="18"/>
  <c r="DC159" i="5"/>
  <c r="CU1336" i="18"/>
  <c r="CW1214" i="18"/>
  <c r="DD18" i="16"/>
  <c r="CW1216" i="18" s="1"/>
  <c r="DD21" i="16"/>
  <c r="BW447" i="18"/>
  <c r="CE566" i="5"/>
  <c r="CE631" i="5"/>
  <c r="BW474" i="18" s="1"/>
  <c r="DA163" i="5"/>
  <c r="DA162" i="5"/>
  <c r="CZ547" i="5"/>
  <c r="CZ543" i="5"/>
  <c r="CZ696" i="5"/>
  <c r="CZ698" i="5" s="1"/>
  <c r="DD131" i="5" l="1"/>
  <c r="DD146" i="5"/>
  <c r="DD156" i="5" s="1"/>
  <c r="DD157" i="5" s="1"/>
  <c r="CV129" i="18" s="1"/>
  <c r="CY1210" i="18"/>
  <c r="CZ559" i="5"/>
  <c r="CZ546" i="5"/>
  <c r="CZ544" i="5"/>
  <c r="CZ549" i="5"/>
  <c r="CR398" i="18" s="1"/>
  <c r="CZ542" i="5"/>
  <c r="DF137" i="5"/>
  <c r="CX1331" i="18"/>
  <c r="DF63" i="16"/>
  <c r="DF88" i="5"/>
  <c r="DF89" i="5" s="1"/>
  <c r="DF91" i="5"/>
  <c r="DF90" i="5"/>
  <c r="DF92" i="5"/>
  <c r="DF537" i="5"/>
  <c r="CX1334" i="18"/>
  <c r="DF135" i="5"/>
  <c r="DB547" i="5"/>
  <c r="DB543" i="5"/>
  <c r="DB696" i="5"/>
  <c r="CT1328" i="18"/>
  <c r="DB163" i="5"/>
  <c r="DB162" i="5"/>
  <c r="DB160" i="5"/>
  <c r="CT1329" i="18" s="1"/>
  <c r="CQ431" i="18"/>
  <c r="CY567" i="5"/>
  <c r="CQ413" i="18" s="1"/>
  <c r="CY551" i="5"/>
  <c r="CY552" i="5" s="1"/>
  <c r="CY593" i="5"/>
  <c r="CY109" i="5"/>
  <c r="CY699" i="5"/>
  <c r="CQ536" i="18" s="1"/>
  <c r="DD28" i="27"/>
  <c r="DD19" i="27" s="1"/>
  <c r="CW1224" i="18"/>
  <c r="DD28" i="26"/>
  <c r="CU1328" i="18"/>
  <c r="DC160" i="5"/>
  <c r="CU1329" i="18" s="1"/>
  <c r="DC162" i="5"/>
  <c r="DC163" i="5"/>
  <c r="DB627" i="5"/>
  <c r="DA629" i="5"/>
  <c r="DA630" i="5" s="1"/>
  <c r="DA549" i="5"/>
  <c r="CS398" i="18" s="1"/>
  <c r="DA559" i="5"/>
  <c r="DA546" i="5"/>
  <c r="DA544" i="5"/>
  <c r="DA542" i="5"/>
  <c r="CE570" i="5"/>
  <c r="BW412" i="18"/>
  <c r="CX1321" i="18"/>
  <c r="DF12" i="16"/>
  <c r="DF17" i="16" s="1"/>
  <c r="DF99" i="5"/>
  <c r="CX1325" i="18" s="1"/>
  <c r="DF96" i="5"/>
  <c r="DF98" i="5"/>
  <c r="CX1324" i="18" s="1"/>
  <c r="DF100" i="5"/>
  <c r="CX1326" i="18" s="1"/>
  <c r="DC749" i="5"/>
  <c r="DC645" i="5"/>
  <c r="DC666" i="5" s="1"/>
  <c r="DC155" i="5"/>
  <c r="CF110" i="5"/>
  <c r="BX91" i="18" s="1"/>
  <c r="BX90" i="18"/>
  <c r="E1231" i="18"/>
  <c r="DD19" i="26"/>
  <c r="CX1214" i="18"/>
  <c r="DE18" i="16"/>
  <c r="CX1216" i="18" s="1"/>
  <c r="DE21" i="16"/>
  <c r="DE139" i="5"/>
  <c r="CW1335" i="18" s="1"/>
  <c r="DE134" i="5"/>
  <c r="DE129" i="5"/>
  <c r="DE128" i="5" s="1"/>
  <c r="DA697" i="5"/>
  <c r="DA698" i="5" s="1"/>
  <c r="CZ587" i="5"/>
  <c r="BX437" i="18"/>
  <c r="CF561" i="5"/>
  <c r="CF604" i="5"/>
  <c r="DC20" i="26"/>
  <c r="DD132" i="5"/>
  <c r="DD148" i="5" s="1"/>
  <c r="DD540" i="5"/>
  <c r="DD143" i="5"/>
  <c r="DD752" i="5"/>
  <c r="DE27" i="27"/>
  <c r="DE14" i="27" s="1"/>
  <c r="CX1223" i="18"/>
  <c r="DE27" i="26"/>
  <c r="DE14" i="26" s="1"/>
  <c r="DC20" i="27"/>
  <c r="CF562" i="5" l="1"/>
  <c r="BX408" i="18" s="1"/>
  <c r="BX407" i="18"/>
  <c r="DD159" i="5"/>
  <c r="CV1336" i="18"/>
  <c r="BX447" i="18"/>
  <c r="CF566" i="5"/>
  <c r="CF631" i="5"/>
  <c r="BX474" i="18" s="1"/>
  <c r="DB697" i="5"/>
  <c r="DB698" i="5" s="1"/>
  <c r="DA587" i="5"/>
  <c r="DA699" i="5" s="1"/>
  <c r="DD20" i="26"/>
  <c r="CY1209" i="18"/>
  <c r="DF20" i="16"/>
  <c r="CY110" i="5"/>
  <c r="CQ91" i="18" s="1"/>
  <c r="CQ90" i="18"/>
  <c r="DF129" i="5"/>
  <c r="DF128" i="5" s="1"/>
  <c r="DF132" i="5" s="1"/>
  <c r="DF148" i="5" s="1"/>
  <c r="DF134" i="5"/>
  <c r="DE28" i="27"/>
  <c r="DE19" i="27" s="1"/>
  <c r="CX1224" i="18"/>
  <c r="DE28" i="26"/>
  <c r="DE19" i="26" s="1"/>
  <c r="CQ437" i="18"/>
  <c r="CY561" i="5"/>
  <c r="CY604" i="5"/>
  <c r="CY1214" i="18"/>
  <c r="DF21" i="16"/>
  <c r="DF18" i="16"/>
  <c r="CY1216" i="18" s="1"/>
  <c r="DE131" i="5"/>
  <c r="DE146" i="5"/>
  <c r="DE156" i="5" s="1"/>
  <c r="DE157" i="5" s="1"/>
  <c r="CW129" i="18" s="1"/>
  <c r="DD20" i="27"/>
  <c r="DE540" i="5"/>
  <c r="DE143" i="5"/>
  <c r="DE752" i="5"/>
  <c r="DE132" i="5"/>
  <c r="DE148" i="5" s="1"/>
  <c r="DB544" i="5"/>
  <c r="DB559" i="5"/>
  <c r="DB546" i="5"/>
  <c r="DB542" i="5"/>
  <c r="DB549" i="5"/>
  <c r="CT398" i="18" s="1"/>
  <c r="DD155" i="5"/>
  <c r="DD749" i="5"/>
  <c r="DD645" i="5"/>
  <c r="DD666" i="5" s="1"/>
  <c r="DC547" i="5"/>
  <c r="DC543" i="5"/>
  <c r="DC696" i="5"/>
  <c r="DF97" i="5"/>
  <c r="CX1323" i="18" s="1"/>
  <c r="CX1322" i="18"/>
  <c r="CZ699" i="5"/>
  <c r="CZ109" i="5"/>
  <c r="CZ110" i="5" s="1"/>
  <c r="CZ551" i="5"/>
  <c r="CZ552" i="5" s="1"/>
  <c r="CZ567" i="5"/>
  <c r="CZ593" i="5"/>
  <c r="CE580" i="5"/>
  <c r="BW426" i="18" s="1"/>
  <c r="BW416" i="18"/>
  <c r="DC627" i="5"/>
  <c r="DB629" i="5"/>
  <c r="DB630" i="5" s="1"/>
  <c r="DF139" i="5"/>
  <c r="CX1335" i="18" s="1"/>
  <c r="CX1333" i="18"/>
  <c r="DC629" i="5" l="1"/>
  <c r="DC630" i="5" s="1"/>
  <c r="DD627" i="5"/>
  <c r="DF131" i="5"/>
  <c r="DF146" i="5"/>
  <c r="DF156" i="5" s="1"/>
  <c r="DF157" i="5" s="1"/>
  <c r="CX129" i="18" s="1"/>
  <c r="DD547" i="5"/>
  <c r="DD543" i="5"/>
  <c r="DD696" i="5"/>
  <c r="DE155" i="5"/>
  <c r="DE749" i="5"/>
  <c r="DE645" i="5"/>
  <c r="DE666" i="5" s="1"/>
  <c r="CQ447" i="18"/>
  <c r="CY566" i="5"/>
  <c r="CY631" i="5"/>
  <c r="CQ474" i="18" s="1"/>
  <c r="DF143" i="5"/>
  <c r="DF752" i="5"/>
  <c r="DF540" i="5"/>
  <c r="CY1223" i="18"/>
  <c r="DF27" i="26"/>
  <c r="DG20" i="16"/>
  <c r="DF27" i="27"/>
  <c r="DA567" i="5"/>
  <c r="DA551" i="5"/>
  <c r="DA552" i="5" s="1"/>
  <c r="DA109" i="5"/>
  <c r="DA110" i="5" s="1"/>
  <c r="DA593" i="5"/>
  <c r="CF570" i="5"/>
  <c r="BX412" i="18"/>
  <c r="DF159" i="5"/>
  <c r="CX1336" i="18"/>
  <c r="CY562" i="5"/>
  <c r="CQ408" i="18" s="1"/>
  <c r="CQ407" i="18"/>
  <c r="DE20" i="27"/>
  <c r="DB587" i="5"/>
  <c r="DB699" i="5" s="1"/>
  <c r="DC697" i="5"/>
  <c r="DC698" i="5" s="1"/>
  <c r="DE20" i="26"/>
  <c r="CZ561" i="5"/>
  <c r="CZ562" i="5" s="1"/>
  <c r="CZ604" i="5"/>
  <c r="DC559" i="5"/>
  <c r="DC544" i="5"/>
  <c r="DC542" i="5"/>
  <c r="DC546" i="5"/>
  <c r="DC549" i="5"/>
  <c r="CU398" i="18" s="1"/>
  <c r="DE159" i="5"/>
  <c r="CW1336" i="18"/>
  <c r="CY1224" i="18"/>
  <c r="DF28" i="26"/>
  <c r="DG28" i="26" s="1"/>
  <c r="L49" i="26" s="1"/>
  <c r="DG21" i="16"/>
  <c r="DF28" i="27"/>
  <c r="CV1328" i="18"/>
  <c r="DD160" i="5"/>
  <c r="CV1329" i="18" s="1"/>
  <c r="DD162" i="5"/>
  <c r="DD163" i="5"/>
  <c r="DG27" i="27" l="1"/>
  <c r="DF14" i="27"/>
  <c r="CZ566" i="5"/>
  <c r="CZ570" i="5" s="1"/>
  <c r="CZ580" i="5" s="1"/>
  <c r="CZ631" i="5"/>
  <c r="DC587" i="5"/>
  <c r="DC699" i="5" s="1"/>
  <c r="DD697" i="5"/>
  <c r="DD698" i="5" s="1"/>
  <c r="CX1328" i="18"/>
  <c r="DF160" i="5"/>
  <c r="CX1329" i="18" s="1"/>
  <c r="DF162" i="5"/>
  <c r="DF163" i="5"/>
  <c r="CZ1223" i="18"/>
  <c r="DG12" i="16"/>
  <c r="CZ1209" i="18" s="1"/>
  <c r="L51" i="16"/>
  <c r="DG27" i="26"/>
  <c r="DF14" i="26"/>
  <c r="DF19" i="26" s="1"/>
  <c r="DF155" i="5"/>
  <c r="DF749" i="5"/>
  <c r="DF645" i="5"/>
  <c r="DF666" i="5" s="1"/>
  <c r="DE543" i="5"/>
  <c r="DE547" i="5"/>
  <c r="DE696" i="5"/>
  <c r="DD546" i="5"/>
  <c r="DD549" i="5"/>
  <c r="DD544" i="5"/>
  <c r="DD542" i="5"/>
  <c r="DD559" i="5"/>
  <c r="DE627" i="5"/>
  <c r="DD629" i="5"/>
  <c r="DD630" i="5" s="1"/>
  <c r="DA561" i="5"/>
  <c r="DA562" i="5" s="1"/>
  <c r="DA604" i="5"/>
  <c r="CY570" i="5"/>
  <c r="CQ412" i="18"/>
  <c r="DG28" i="27"/>
  <c r="DF19" i="27"/>
  <c r="CZ1224" i="18"/>
  <c r="L52" i="16"/>
  <c r="DE160" i="5"/>
  <c r="CW1329" i="18" s="1"/>
  <c r="CW1328" i="18"/>
  <c r="DE162" i="5"/>
  <c r="DE163" i="5"/>
  <c r="DB109" i="5"/>
  <c r="DB110" i="5" s="1"/>
  <c r="DB551" i="5"/>
  <c r="DB552" i="5" s="1"/>
  <c r="DB567" i="5"/>
  <c r="DB593" i="5"/>
  <c r="CF580" i="5"/>
  <c r="BX426" i="18" s="1"/>
  <c r="BX416" i="18"/>
  <c r="DG17" i="16" l="1"/>
  <c r="DG18" i="16" s="1"/>
  <c r="CZ1216" i="18" s="1"/>
  <c r="DD587" i="5"/>
  <c r="DD699" i="5" s="1"/>
  <c r="DE697" i="5"/>
  <c r="DE698" i="5" s="1"/>
  <c r="DA631" i="5"/>
  <c r="DA566" i="5"/>
  <c r="DA570" i="5" s="1"/>
  <c r="DA580" i="5" s="1"/>
  <c r="DB561" i="5"/>
  <c r="DB562" i="5" s="1"/>
  <c r="DB604" i="5"/>
  <c r="L49" i="27"/>
  <c r="DF543" i="5"/>
  <c r="DF547" i="5"/>
  <c r="DF696" i="5"/>
  <c r="DF20" i="27"/>
  <c r="L48" i="26"/>
  <c r="DG14" i="26"/>
  <c r="DG19" i="26" s="1"/>
  <c r="CY580" i="5"/>
  <c r="CQ426" i="18" s="1"/>
  <c r="CQ416" i="18"/>
  <c r="DE629" i="5"/>
  <c r="DE630" i="5" s="1"/>
  <c r="DF627" i="5"/>
  <c r="DF629" i="5" s="1"/>
  <c r="DF630" i="5" s="1"/>
  <c r="DE542" i="5"/>
  <c r="DE559" i="5"/>
  <c r="DE544" i="5"/>
  <c r="DE546" i="5"/>
  <c r="DE549" i="5"/>
  <c r="DF20" i="26"/>
  <c r="DC567" i="5"/>
  <c r="DC551" i="5"/>
  <c r="DC552" i="5" s="1"/>
  <c r="DC109" i="5"/>
  <c r="DC110" i="5" s="1"/>
  <c r="DC593" i="5"/>
  <c r="L48" i="27"/>
  <c r="DG14" i="27"/>
  <c r="DG19" i="27" s="1"/>
  <c r="CZ1214" i="18" l="1"/>
  <c r="DG20" i="27"/>
  <c r="DB631" i="5"/>
  <c r="DB566" i="5"/>
  <c r="DB570" i="5" s="1"/>
  <c r="DB580" i="5" s="1"/>
  <c r="DC561" i="5"/>
  <c r="DC562" i="5" s="1"/>
  <c r="DC604" i="5"/>
  <c r="DF544" i="5"/>
  <c r="DF549" i="5"/>
  <c r="DF559" i="5"/>
  <c r="DF542" i="5"/>
  <c r="DF546" i="5"/>
  <c r="DF697" i="5"/>
  <c r="DF698" i="5" s="1"/>
  <c r="DF587" i="5" s="1"/>
  <c r="DE587" i="5"/>
  <c r="DE699" i="5" s="1"/>
  <c r="DG20" i="26"/>
  <c r="DD567" i="5"/>
  <c r="DD551" i="5"/>
  <c r="DD552" i="5" s="1"/>
  <c r="DD109" i="5"/>
  <c r="DD110" i="5" s="1"/>
  <c r="DD593" i="5"/>
  <c r="DF699" i="5" l="1"/>
  <c r="DF109" i="5"/>
  <c r="DF110" i="5" s="1"/>
  <c r="DF567" i="5"/>
  <c r="DF551" i="5"/>
  <c r="DF552" i="5" s="1"/>
  <c r="DF593" i="5"/>
  <c r="DC566" i="5"/>
  <c r="DC570" i="5" s="1"/>
  <c r="DC580" i="5" s="1"/>
  <c r="DC631" i="5"/>
  <c r="DD561" i="5"/>
  <c r="DD562" i="5" s="1"/>
  <c r="DD604" i="5"/>
  <c r="DE567" i="5"/>
  <c r="DE109" i="5"/>
  <c r="DE110" i="5" s="1"/>
  <c r="DE551" i="5"/>
  <c r="DE552" i="5" s="1"/>
  <c r="DE593" i="5"/>
  <c r="DE561" i="5" l="1"/>
  <c r="DE562" i="5" s="1"/>
  <c r="DE604" i="5"/>
  <c r="DD631" i="5"/>
  <c r="DD566" i="5"/>
  <c r="DD570" i="5" s="1"/>
  <c r="DD580" i="5" s="1"/>
  <c r="DF561" i="5"/>
  <c r="DF562" i="5" s="1"/>
  <c r="DF604" i="5"/>
  <c r="L44" i="16" l="1"/>
  <c r="DF631" i="5"/>
  <c r="DF566" i="5"/>
  <c r="DF570" i="5" s="1"/>
  <c r="DF580" i="5" s="1"/>
  <c r="DE566" i="5"/>
  <c r="DE570" i="5" s="1"/>
  <c r="DE580" i="5" s="1"/>
  <c r="DE631" i="5"/>
  <c r="CX57" i="26" l="1"/>
  <c r="CZ54" i="27"/>
  <c r="CS72" i="16"/>
  <c r="CX72" i="16"/>
  <c r="CI72" i="16"/>
  <c r="DC72" i="16"/>
  <c r="DE25" i="16"/>
  <c r="CX1220" i="18" s="1"/>
  <c r="CY72" i="16"/>
  <c r="CH72" i="16"/>
  <c r="CU72" i="16"/>
  <c r="DA25" i="16"/>
  <c r="CT1220" i="18" s="1"/>
  <c r="DD72" i="16"/>
  <c r="CG72" i="16"/>
  <c r="CQ72" i="16"/>
  <c r="DC25" i="16"/>
  <c r="CV1220" i="18" s="1"/>
  <c r="DF25" i="16"/>
  <c r="CY1220" i="18" s="1"/>
  <c r="L37" i="16"/>
  <c r="E1242" i="18" s="1"/>
  <c r="DB72" i="16"/>
  <c r="DB25" i="16"/>
  <c r="CU1220" i="18" s="1"/>
  <c r="DE72" i="16"/>
  <c r="DD25" i="16"/>
  <c r="CW1220" i="18" s="1"/>
  <c r="CW72" i="16"/>
  <c r="L30" i="16"/>
  <c r="E1228" i="18" s="1"/>
  <c r="CZ25" i="16"/>
  <c r="CS1220" i="18" s="1"/>
  <c r="CV72" i="16"/>
  <c r="E1238" i="18"/>
  <c r="CR72" i="16"/>
  <c r="DA72" i="16"/>
  <c r="CT72" i="16"/>
  <c r="DF72" i="16"/>
  <c r="CZ72" i="16"/>
  <c r="CQ54" i="27" l="1"/>
  <c r="L29" i="16"/>
  <c r="E1227" i="18" s="1"/>
  <c r="DE54" i="27"/>
  <c r="CS54" i="27"/>
  <c r="CH54" i="27"/>
  <c r="CG54" i="27"/>
  <c r="CX54" i="27"/>
  <c r="DF24" i="27"/>
  <c r="DC54" i="27"/>
  <c r="CI54" i="27"/>
  <c r="CT54" i="27"/>
  <c r="DF54" i="27"/>
  <c r="DA54" i="27"/>
  <c r="DD24" i="27"/>
  <c r="CQ57" i="26"/>
  <c r="DB54" i="27"/>
  <c r="CR54" i="27"/>
  <c r="CU54" i="27"/>
  <c r="DD54" i="27"/>
  <c r="DA24" i="27"/>
  <c r="CW54" i="27"/>
  <c r="CZ24" i="27"/>
  <c r="DC24" i="27"/>
  <c r="CY54" i="27"/>
  <c r="CI57" i="26"/>
  <c r="CV54" i="27"/>
  <c r="DE24" i="27"/>
  <c r="DB24" i="27"/>
  <c r="CY57" i="26"/>
  <c r="CW57" i="26"/>
  <c r="L32" i="27"/>
  <c r="CU57" i="26"/>
  <c r="CV57" i="26"/>
  <c r="CT57" i="26"/>
  <c r="CZ24" i="26"/>
  <c r="L32" i="26"/>
  <c r="DE24" i="26"/>
  <c r="CS57" i="26"/>
  <c r="DB24" i="26"/>
  <c r="CZ57" i="26"/>
  <c r="DB57" i="26"/>
  <c r="CH57" i="26"/>
  <c r="DD24" i="26"/>
  <c r="DA57" i="26"/>
  <c r="CR57" i="26"/>
  <c r="DF57" i="26"/>
  <c r="DE57" i="26"/>
  <c r="CG57" i="26"/>
  <c r="DC24" i="26"/>
  <c r="DC57" i="26"/>
  <c r="DA24" i="26"/>
  <c r="DD57" i="26"/>
  <c r="DF24" i="26"/>
  <c r="L31" i="16" l="1"/>
  <c r="E1229" i="18" s="1"/>
  <c r="L31" i="27"/>
  <c r="L33" i="27" s="1"/>
  <c r="L45" i="27" s="1"/>
  <c r="L31" i="26"/>
  <c r="L33" i="26" s="1"/>
  <c r="L45" i="26" s="1"/>
  <c r="L34" i="16" l="1"/>
  <c r="CV29" i="16" s="1"/>
  <c r="CP1227" i="18" s="1"/>
  <c r="L48" i="16"/>
  <c r="L49" i="16"/>
  <c r="E1240" i="18" s="1"/>
  <c r="L46" i="26"/>
  <c r="L46" i="27"/>
  <c r="L36" i="26"/>
  <c r="CV31" i="26" s="1"/>
  <c r="L36" i="27"/>
  <c r="CV31" i="27" s="1"/>
  <c r="L36" i="16" l="1"/>
  <c r="E1234" i="18" s="1"/>
  <c r="E1232" i="18"/>
  <c r="L38" i="26"/>
  <c r="L47" i="26" s="1"/>
  <c r="L38" i="27"/>
  <c r="CV37" i="27" s="1"/>
  <c r="L50" i="16"/>
  <c r="E1241" i="18" s="1"/>
  <c r="CV35" i="16" l="1"/>
  <c r="CP1233" i="18" s="1"/>
  <c r="L1" i="16"/>
  <c r="E1196" i="18" s="1"/>
  <c r="L1" i="26"/>
  <c r="CV37" i="26"/>
  <c r="L47" i="27"/>
  <c r="L1" i="27"/>
  <c r="L3" i="6" l="1"/>
  <c r="L3" i="5"/>
</calcChain>
</file>

<file path=xl/comments1.xml><?xml version="1.0" encoding="utf-8"?>
<comments xmlns="http://schemas.openxmlformats.org/spreadsheetml/2006/main">
  <authors>
    <author>Costantini, Michael (Research)</author>
  </authors>
  <commentList>
    <comment ref="W22" authorId="0">
      <text>
        <r>
          <rPr>
            <b/>
            <sz val="9"/>
            <color indexed="81"/>
            <rFont val="Tahoma"/>
            <family val="2"/>
          </rPr>
          <t>Costantini, Michael (Research):</t>
        </r>
        <r>
          <rPr>
            <sz val="9"/>
            <color indexed="81"/>
            <rFont val="Tahoma"/>
            <family val="2"/>
          </rPr>
          <t xml:space="preserve">
taking sum as Thomson One annual gross profit codes incorrect</t>
        </r>
      </text>
    </comment>
    <comment ref="C23" authorId="0">
      <text>
        <r>
          <rPr>
            <b/>
            <sz val="9"/>
            <color indexed="81"/>
            <rFont val="Tahoma"/>
            <family val="2"/>
          </rPr>
          <t>Costantini, Michael (Research):</t>
        </r>
        <r>
          <rPr>
            <sz val="9"/>
            <color indexed="81"/>
            <rFont val="Tahoma"/>
            <family val="2"/>
          </rPr>
          <t xml:space="preserve">
Bloomberg estimates as of 5/6/15 (Thomson One gross profit codes incorrect)</t>
        </r>
      </text>
    </comment>
    <comment ref="D23" authorId="0">
      <text>
        <r>
          <rPr>
            <b/>
            <sz val="9"/>
            <color indexed="81"/>
            <rFont val="Tahoma"/>
            <family val="2"/>
          </rPr>
          <t>Costantini, Michael (Research):</t>
        </r>
        <r>
          <rPr>
            <sz val="9"/>
            <color indexed="81"/>
            <rFont val="Tahoma"/>
            <family val="2"/>
          </rPr>
          <t xml:space="preserve">
Bloomberg estimates as of 7/27/15 (Thomson One gross profit codes incorrect)</t>
        </r>
      </text>
    </comment>
    <comment ref="E23" authorId="0">
      <text>
        <r>
          <rPr>
            <b/>
            <sz val="9"/>
            <color indexed="81"/>
            <rFont val="Tahoma"/>
            <family val="2"/>
          </rPr>
          <t>Costantini, Michael (Research):</t>
        </r>
        <r>
          <rPr>
            <sz val="9"/>
            <color indexed="81"/>
            <rFont val="Tahoma"/>
            <family val="2"/>
          </rPr>
          <t xml:space="preserve">
Bloomberg estimates as of 10/13/15 (Thomson One gross profit codes incorrect)</t>
        </r>
      </text>
    </comment>
    <comment ref="F23" authorId="0">
      <text>
        <r>
          <rPr>
            <b/>
            <sz val="9"/>
            <color indexed="81"/>
            <rFont val="Tahoma"/>
            <family val="2"/>
          </rPr>
          <t>Costantini, Michael (Research):</t>
        </r>
        <r>
          <rPr>
            <sz val="9"/>
            <color indexed="81"/>
            <rFont val="Tahoma"/>
            <family val="2"/>
          </rPr>
          <t xml:space="preserve">
Bloomberg estimates as of 2/16/15 (Thomson One gross profit codes incorrect)</t>
        </r>
      </text>
    </comment>
  </commentList>
</comments>
</file>

<file path=xl/comments2.xml><?xml version="1.0" encoding="utf-8"?>
<comments xmlns="http://schemas.openxmlformats.org/spreadsheetml/2006/main">
  <authors>
    <author>bnowak</author>
    <author>Brian Nowak</author>
    <author>Nowak, Brian (EQ/US)</author>
    <author>micostan</author>
    <author>Costantini, Michael</author>
    <author xml:space="preserve"> Brian Nowak</author>
    <author>Costantini, Michael (Research)</author>
    <author>Nowak, Brian (Research)</author>
    <author>Wang, Alaxandar (Research)</author>
    <author>Liu, Kevin (Research)</author>
    <author>Bo Nam</author>
    <author>Stefanovic, Svetozar</author>
    <author>Moldow, Austin</author>
    <author>Cost, Matthew A (Research)</author>
  </authors>
  <commentList>
    <comment ref="AG12" authorId="0">
      <text>
        <r>
          <rPr>
            <b/>
            <sz val="8"/>
            <color indexed="81"/>
            <rFont val="Tahoma"/>
            <family val="2"/>
          </rPr>
          <t>Brian Nowak:
first quarter with bookings BV
Priceline Europe performed significantly above and beyond our most optimistic
expectations for the quarter. In our last earnings call, we projected that Priceline Europe would
generate approximately 180 to $200 million of gross bookings in Q1. Actual gross bookings came in
at $272.8 million.</t>
        </r>
      </text>
    </comment>
    <comment ref="AZ13" authorId="0">
      <text>
        <r>
          <rPr>
            <b/>
            <sz val="8"/>
            <color indexed="81"/>
            <rFont val="Tahoma"/>
            <family val="2"/>
          </rPr>
          <t>Brian Nowak:
3Q10 guidance  36% to 41%</t>
        </r>
      </text>
    </comment>
    <comment ref="BA13" authorId="0">
      <text>
        <r>
          <rPr>
            <b/>
            <sz val="8"/>
            <color indexed="81"/>
            <rFont val="Tahoma"/>
            <family val="2"/>
          </rPr>
          <t>Brian Nowak:
4Q:10 Guidance for total Bookings growth 45-50%</t>
        </r>
      </text>
    </comment>
    <comment ref="BB13" authorId="1">
      <text>
        <r>
          <rPr>
            <b/>
            <sz val="8"/>
            <color indexed="81"/>
            <rFont val="Tahoma"/>
            <family val="2"/>
          </rPr>
          <t>Brian Nowak:</t>
        </r>
        <r>
          <rPr>
            <sz val="8"/>
            <color indexed="81"/>
            <rFont val="Tahoma"/>
            <family val="2"/>
          </rPr>
          <t xml:space="preserve">
guidance 53% to 58% growth</t>
        </r>
      </text>
    </comment>
    <comment ref="BC13" authorId="0">
      <text>
        <r>
          <rPr>
            <b/>
            <sz val="8"/>
            <color indexed="81"/>
            <rFont val="Tahoma"/>
            <family val="2"/>
          </rPr>
          <t>Brian Nowak:
guidance 47%-52%</t>
        </r>
      </text>
    </comment>
    <comment ref="BD13" authorId="0">
      <text>
        <r>
          <rPr>
            <b/>
            <sz val="8"/>
            <color indexed="81"/>
            <rFont val="Tahoma"/>
            <family val="2"/>
          </rPr>
          <t>Brian Nowak:
guidance 39%-44%</t>
        </r>
      </text>
    </comment>
    <comment ref="BE13" authorId="0">
      <text>
        <r>
          <rPr>
            <b/>
            <sz val="8"/>
            <color indexed="81"/>
            <rFont val="Tahoma"/>
            <family val="2"/>
          </rPr>
          <t>Brian Nowak:
guidance 33-38%</t>
        </r>
      </text>
    </comment>
    <comment ref="BF13" authorId="2">
      <text>
        <r>
          <rPr>
            <b/>
            <sz val="8"/>
            <color indexed="81"/>
            <rFont val="Tahoma"/>
            <family val="2"/>
          </rPr>
          <t>Brian Nowak:
gudiacne 26%-31%</t>
        </r>
      </text>
    </comment>
    <comment ref="BG13" authorId="3">
      <text>
        <r>
          <rPr>
            <b/>
            <sz val="10"/>
            <color indexed="81"/>
            <rFont val="Tahoma"/>
            <family val="2"/>
          </rPr>
          <t>Brian Nowak:
guidance for 10%-18% (19%-27% constant currency)</t>
        </r>
      </text>
    </comment>
    <comment ref="BH13" authorId="3">
      <text>
        <r>
          <rPr>
            <b/>
            <sz val="10"/>
            <color indexed="81"/>
            <rFont val="Tahoma"/>
            <family val="2"/>
          </rPr>
          <t>Brian Nowak:
guidance for 21%-28% (22%-29% constant currency)</t>
        </r>
      </text>
    </comment>
    <comment ref="BI13" authorId="3">
      <text>
        <r>
          <rPr>
            <b/>
            <sz val="10"/>
            <color indexed="81"/>
            <rFont val="Tahoma"/>
            <family val="2"/>
          </rPr>
          <t>Brian Nowak:
guidance for 30%-37% (29%-36% constant currency)</t>
        </r>
      </text>
    </comment>
    <comment ref="BJ13" authorId="4">
      <text>
        <r>
          <rPr>
            <b/>
            <sz val="9"/>
            <color indexed="81"/>
            <rFont val="Tahoma"/>
            <family val="2"/>
          </rPr>
          <t>Brian Nowak:
guidance: 30% to 37% (27% to 34% constant currency)</t>
        </r>
      </text>
    </comment>
    <comment ref="BK13" authorId="5">
      <text>
        <r>
          <rPr>
            <b/>
            <sz val="9"/>
            <color indexed="81"/>
            <rFont val="Tahoma"/>
            <family val="2"/>
          </rPr>
          <t xml:space="preserve"> Brian Nowak:</t>
        </r>
        <r>
          <rPr>
            <sz val="9"/>
            <color indexed="81"/>
            <rFont val="Tahoma"/>
            <family val="2"/>
          </rPr>
          <t xml:space="preserve">
guidance 27% to 34%</t>
        </r>
      </text>
    </comment>
    <comment ref="BL13" authorId="4">
      <text>
        <r>
          <rPr>
            <b/>
            <sz val="9"/>
            <color indexed="81"/>
            <rFont val="Tahoma"/>
            <family val="2"/>
          </rPr>
          <t>Brian Nowak:
3Q guidance:  27% - 34%
Asia and Latam are "dial-movers" per MT 11/11/13</t>
        </r>
      </text>
    </comment>
    <comment ref="BM13" authorId="4">
      <text>
        <r>
          <rPr>
            <b/>
            <sz val="9"/>
            <color indexed="81"/>
            <rFont val="Tahoma"/>
            <family val="2"/>
          </rPr>
          <t xml:space="preserve">Brian Nowak:
4Q guidance:  23% - 33%
</t>
        </r>
      </text>
    </comment>
    <comment ref="BN13" authorId="4">
      <text>
        <r>
          <rPr>
            <b/>
            <sz val="9"/>
            <color indexed="81"/>
            <rFont val="Tahoma"/>
            <family val="2"/>
          </rPr>
          <t>Brian Nowak:
1Q:14 guidance:  22%-32%</t>
        </r>
      </text>
    </comment>
    <comment ref="BO13" authorId="4">
      <text>
        <r>
          <rPr>
            <b/>
            <sz val="9"/>
            <color indexed="81"/>
            <rFont val="Tahoma"/>
            <family val="2"/>
          </rPr>
          <t>Brian Nowak:
2Q:14 guidance:  19%-29%</t>
        </r>
      </text>
    </comment>
    <comment ref="BP13" authorId="4">
      <text>
        <r>
          <rPr>
            <b/>
            <sz val="9"/>
            <color indexed="81"/>
            <rFont val="Tahoma"/>
            <family val="2"/>
          </rPr>
          <t>Brian Nowak:
3Q:14 guidance:  8%-15%</t>
        </r>
      </text>
    </comment>
    <comment ref="BQ13" authorId="6">
      <text>
        <r>
          <rPr>
            <b/>
            <sz val="9"/>
            <color indexed="81"/>
            <rFont val="Tahoma"/>
            <family val="2"/>
          </rPr>
          <t>Costantini, Michael (Research):</t>
        </r>
        <r>
          <rPr>
            <sz val="9"/>
            <color indexed="81"/>
            <rFont val="Tahoma"/>
            <family val="2"/>
          </rPr>
          <t xml:space="preserve">
4Q:14 guidance:  2%-9%</t>
        </r>
      </text>
    </comment>
    <comment ref="BR13" authorId="6">
      <text>
        <r>
          <rPr>
            <b/>
            <sz val="9"/>
            <color indexed="81"/>
            <rFont val="Tahoma"/>
            <family val="2"/>
          </rPr>
          <t>Costantini, Michael (Research):</t>
        </r>
        <r>
          <rPr>
            <sz val="9"/>
            <color indexed="81"/>
            <rFont val="Tahoma"/>
            <family val="2"/>
          </rPr>
          <t xml:space="preserve">
1Q:15 guidance:  0%-7%</t>
        </r>
      </text>
    </comment>
    <comment ref="BS13" authorId="6">
      <text>
        <r>
          <rPr>
            <b/>
            <sz val="9"/>
            <color indexed="81"/>
            <rFont val="Tahoma"/>
            <family val="2"/>
          </rPr>
          <t>Costantini, Michael (Research):</t>
        </r>
        <r>
          <rPr>
            <sz val="9"/>
            <color indexed="81"/>
            <rFont val="Tahoma"/>
            <family val="2"/>
          </rPr>
          <t xml:space="preserve">
2Q:15 guidance:  -1% to +6%</t>
        </r>
      </text>
    </comment>
    <comment ref="BT13" authorId="6">
      <text>
        <r>
          <rPr>
            <b/>
            <sz val="9"/>
            <color indexed="81"/>
            <rFont val="Tahoma"/>
            <family val="2"/>
          </rPr>
          <t>Costantini, Michael (Research):</t>
        </r>
        <r>
          <rPr>
            <sz val="9"/>
            <color indexed="81"/>
            <rFont val="Tahoma"/>
            <family val="2"/>
          </rPr>
          <t xml:space="preserve">
3Q:15 guidance:  +1% to +8%</t>
        </r>
      </text>
    </comment>
    <comment ref="BU13" authorId="6">
      <text>
        <r>
          <rPr>
            <b/>
            <sz val="9"/>
            <color indexed="81"/>
            <rFont val="Tahoma"/>
            <family val="2"/>
          </rPr>
          <t>Costantini, Michael (Research):</t>
        </r>
        <r>
          <rPr>
            <sz val="9"/>
            <color indexed="81"/>
            <rFont val="Tahoma"/>
            <family val="2"/>
          </rPr>
          <t xml:space="preserve">
4Q:15 guidance:  +12% to +19%</t>
        </r>
      </text>
    </comment>
    <comment ref="BV13" authorId="6">
      <text>
        <r>
          <rPr>
            <b/>
            <sz val="9"/>
            <color indexed="81"/>
            <rFont val="Tahoma"/>
            <family val="2"/>
          </rPr>
          <t>Costantini, Michael (Research):</t>
        </r>
        <r>
          <rPr>
            <sz val="9"/>
            <color indexed="81"/>
            <rFont val="Tahoma"/>
            <family val="2"/>
          </rPr>
          <t xml:space="preserve">
1Q:16 guidance:  +11% to +18%
negative impacts from:
-Easter in 1Q this year vs. 2Q last year
-EuroCup:  last 2 weeks June
-Ramadan:  10 days in June 
</t>
        </r>
      </text>
    </comment>
    <comment ref="BW13" authorId="6">
      <text>
        <r>
          <rPr>
            <b/>
            <sz val="9"/>
            <color indexed="81"/>
            <rFont val="Tahoma"/>
            <family val="2"/>
          </rPr>
          <t>Costantini, Michael (Research):</t>
        </r>
        <r>
          <rPr>
            <sz val="9"/>
            <color indexed="81"/>
            <rFont val="Tahoma"/>
            <family val="2"/>
          </rPr>
          <t xml:space="preserve">
2Q:16 guidance: 14%-19%</t>
        </r>
      </text>
    </comment>
    <comment ref="BX13" authorId="6">
      <text>
        <r>
          <rPr>
            <b/>
            <sz val="9"/>
            <color indexed="81"/>
            <rFont val="Tahoma"/>
            <family val="2"/>
          </rPr>
          <t>Costantini, Michael (Research):</t>
        </r>
        <r>
          <rPr>
            <sz val="9"/>
            <color indexed="81"/>
            <rFont val="Tahoma"/>
            <family val="2"/>
          </rPr>
          <t xml:space="preserve">
3Q:16 guidance: 16%-21%</t>
        </r>
      </text>
    </comment>
    <comment ref="BY13" authorId="6">
      <text>
        <r>
          <rPr>
            <b/>
            <sz val="9"/>
            <color indexed="81"/>
            <rFont val="Tahoma"/>
            <family val="2"/>
          </rPr>
          <t>Costantini, Michael (Research):</t>
        </r>
        <r>
          <rPr>
            <sz val="9"/>
            <color indexed="81"/>
            <rFont val="Tahoma"/>
            <family val="2"/>
          </rPr>
          <t xml:space="preserve">
4Q:16 guidance: 17%-22%</t>
        </r>
      </text>
    </comment>
    <comment ref="BZ13" authorId="7">
      <text>
        <r>
          <rPr>
            <b/>
            <sz val="9"/>
            <color indexed="81"/>
            <rFont val="Tahoma"/>
            <family val="2"/>
          </rPr>
          <t>Nowak, Brian (Research):</t>
        </r>
        <r>
          <rPr>
            <sz val="9"/>
            <color indexed="81"/>
            <rFont val="Tahoma"/>
            <family val="2"/>
          </rPr>
          <t xml:space="preserve">
guidance 12-17% 1Q:17 earnings</t>
        </r>
      </text>
    </comment>
    <comment ref="CA13" authorId="7">
      <text>
        <r>
          <rPr>
            <b/>
            <sz val="9"/>
            <color indexed="81"/>
            <rFont val="Tahoma"/>
            <family val="2"/>
          </rPr>
          <t>Nowak, Brian (Research):</t>
        </r>
        <r>
          <rPr>
            <sz val="9"/>
            <color indexed="81"/>
            <rFont val="Tahoma"/>
            <family val="2"/>
          </rPr>
          <t xml:space="preserve">
guidance 11-16%</t>
        </r>
      </text>
    </comment>
    <comment ref="CB13" authorId="8">
      <text>
        <r>
          <rPr>
            <b/>
            <sz val="9"/>
            <color indexed="81"/>
            <rFont val="Tahoma"/>
            <family val="2"/>
          </rPr>
          <t>Wang, Alaxandar (Research):</t>
        </r>
        <r>
          <rPr>
            <sz val="9"/>
            <color indexed="81"/>
            <rFont val="Tahoma"/>
            <family val="2"/>
          </rPr>
          <t xml:space="preserve">
3Q:17 call: 9.5-14.5%</t>
        </r>
      </text>
    </comment>
    <comment ref="AI15" authorId="0">
      <text>
        <r>
          <rPr>
            <b/>
            <sz val="8"/>
            <color indexed="81"/>
            <rFont val="Tahoma"/>
            <family val="2"/>
          </rPr>
          <t>Brian Nowak:
excludes 1.6m for fav fed trans tax</t>
        </r>
      </text>
    </comment>
    <comment ref="AK15" authorId="0">
      <text>
        <r>
          <rPr>
            <b/>
            <sz val="8"/>
            <color indexed="81"/>
            <rFont val="Tahoma"/>
            <family val="2"/>
          </rPr>
          <t>Brian Nowak:
less 15.878 excise tax refund</t>
        </r>
      </text>
    </comment>
    <comment ref="AL15" authorId="0">
      <text>
        <r>
          <rPr>
            <b/>
            <sz val="8"/>
            <color indexed="81"/>
            <rFont val="Tahoma"/>
            <family val="2"/>
          </rPr>
          <t>Brian Nowak:
excludes excise  refund of 2.3m</t>
        </r>
      </text>
    </comment>
    <comment ref="AX15" authorId="0">
      <text>
        <r>
          <rPr>
            <b/>
            <sz val="8"/>
            <color indexed="81"/>
            <rFont val="Tahoma"/>
            <family val="2"/>
          </rPr>
          <t>Brian Nowak:
adjusted for amort of acq;uired intanbiles</t>
        </r>
      </text>
    </comment>
    <comment ref="AY15" authorId="0">
      <text>
        <r>
          <rPr>
            <b/>
            <sz val="8"/>
            <color indexed="81"/>
            <rFont val="Tahoma"/>
            <family val="2"/>
          </rPr>
          <t>Brian Nowak:
adjusted 2.02 for amort of acquired intangibles</t>
        </r>
      </text>
    </comment>
    <comment ref="AZ15" authorId="0">
      <text>
        <r>
          <rPr>
            <b/>
            <sz val="8"/>
            <color indexed="81"/>
            <rFont val="Tahoma"/>
            <family val="2"/>
          </rPr>
          <t>Brian Nowak:
adjusted 1.753 amort of acquired intangibles in mer revs</t>
        </r>
      </text>
    </comment>
    <comment ref="BO15" authorId="4">
      <text>
        <r>
          <rPr>
            <b/>
            <sz val="9"/>
            <color indexed="81"/>
            <rFont val="Tahoma"/>
            <family val="2"/>
          </rPr>
          <t xml:space="preserve">Brian Nowak:
2Q:14 conf call:  
We expect the declines in our Name Your Own Price service will impact revenue growth rates in Q3.
"Name Your Own Price hotel, air and car services were all down year-over-year due to limited availability of discounted rates and share shift to express deals."
</t>
        </r>
      </text>
    </comment>
    <comment ref="BJ20" authorId="5">
      <text>
        <r>
          <rPr>
            <b/>
            <sz val="9"/>
            <color indexed="81"/>
            <rFont val="Tahoma"/>
            <family val="2"/>
          </rPr>
          <t xml:space="preserve"> Brian Nowak:</t>
        </r>
        <r>
          <rPr>
            <sz val="9"/>
            <color indexed="81"/>
            <rFont val="Tahoma"/>
            <family val="2"/>
          </rPr>
          <t xml:space="preserve">
31.1m from Kayak</t>
        </r>
      </text>
    </comment>
    <comment ref="BO20" authorId="4">
      <text>
        <r>
          <rPr>
            <b/>
            <sz val="9"/>
            <color indexed="81"/>
            <rFont val="Tahoma"/>
            <family val="2"/>
          </rPr>
          <t>Brian Nowak:
partial qtr of OPEN contrib (PCLN closed OPEN on 7/24/14)</t>
        </r>
      </text>
    </comment>
    <comment ref="AZ22" authorId="0">
      <text>
        <r>
          <rPr>
            <b/>
            <sz val="8"/>
            <color indexed="81"/>
            <rFont val="Tahoma"/>
            <family val="2"/>
          </rPr>
          <t>Brian Nowak:
3Q10 guidance for 31-36% growth</t>
        </r>
      </text>
    </comment>
    <comment ref="BA22" authorId="0">
      <text>
        <r>
          <rPr>
            <b/>
            <sz val="8"/>
            <color indexed="81"/>
            <rFont val="Tahoma"/>
            <family val="2"/>
          </rPr>
          <t>Brian Nowak:
guidance for 29% to 34% growth</t>
        </r>
      </text>
    </comment>
    <comment ref="BB22" authorId="1">
      <text>
        <r>
          <rPr>
            <b/>
            <sz val="8"/>
            <color indexed="81"/>
            <rFont val="Tahoma"/>
            <family val="2"/>
          </rPr>
          <t>Brian Nowak:</t>
        </r>
        <r>
          <rPr>
            <sz val="8"/>
            <color indexed="81"/>
            <rFont val="Tahoma"/>
            <family val="2"/>
          </rPr>
          <t xml:space="preserve">
guidance 36% to 41%</t>
        </r>
      </text>
    </comment>
    <comment ref="BC22" authorId="0">
      <text>
        <r>
          <rPr>
            <b/>
            <sz val="8"/>
            <color indexed="81"/>
            <rFont val="Tahoma"/>
            <family val="2"/>
          </rPr>
          <t>Brian Nowak:
guidance 37%-42%</t>
        </r>
      </text>
    </comment>
    <comment ref="BD22" authorId="3">
      <text>
        <r>
          <rPr>
            <b/>
            <sz val="8"/>
            <color indexed="81"/>
            <rFont val="Tahoma"/>
            <family val="2"/>
          </rPr>
          <t>Brian Nowak:
guidance 27%-32%</t>
        </r>
      </text>
    </comment>
    <comment ref="BF22" authorId="2">
      <text>
        <r>
          <rPr>
            <b/>
            <sz val="8"/>
            <color indexed="81"/>
            <rFont val="Tahoma"/>
            <family val="2"/>
          </rPr>
          <t>Brian Nowak:
guidacne for 18-23%</t>
        </r>
      </text>
    </comment>
    <comment ref="BG22" authorId="3">
      <text>
        <r>
          <rPr>
            <b/>
            <sz val="10"/>
            <color indexed="81"/>
            <rFont val="Tahoma"/>
            <family val="2"/>
          </rPr>
          <t>Brian Nowak:
guidance for 9%-15%</t>
        </r>
      </text>
    </comment>
    <comment ref="BH22" authorId="3">
      <text>
        <r>
          <rPr>
            <b/>
            <sz val="10"/>
            <color indexed="81"/>
            <rFont val="Tahoma"/>
            <family val="2"/>
          </rPr>
          <t>Brian Nowak:
guidance for 15-22%</t>
        </r>
      </text>
    </comment>
    <comment ref="BI22" authorId="3">
      <text>
        <r>
          <rPr>
            <b/>
            <sz val="10"/>
            <color indexed="81"/>
            <rFont val="Tahoma"/>
            <family val="2"/>
          </rPr>
          <t>Brian Nowak:
guidance for 17-24%</t>
        </r>
      </text>
    </comment>
    <comment ref="BJ22" authorId="4">
      <text>
        <r>
          <rPr>
            <b/>
            <sz val="9"/>
            <color indexed="81"/>
            <rFont val="Tahoma"/>
            <family val="2"/>
          </rPr>
          <t>Brian Nowak:
guidance:  15% to 22%
excludes Kayak
kayak adding 3 points</t>
        </r>
      </text>
    </comment>
    <comment ref="BK22" authorId="5">
      <text>
        <r>
          <rPr>
            <b/>
            <sz val="9"/>
            <color indexed="81"/>
            <rFont val="Tahoma"/>
            <family val="2"/>
          </rPr>
          <t xml:space="preserve"> Brian Nowak:</t>
        </r>
        <r>
          <rPr>
            <sz val="9"/>
            <color indexed="81"/>
            <rFont val="Tahoma"/>
            <family val="2"/>
          </rPr>
          <t xml:space="preserve">
guidance 23% to 30%</t>
        </r>
      </text>
    </comment>
    <comment ref="BL22" authorId="4">
      <text>
        <r>
          <rPr>
            <b/>
            <sz val="9"/>
            <color indexed="81"/>
            <rFont val="Tahoma"/>
            <family val="2"/>
          </rPr>
          <t>Brian Nowak:
3Q guidance:  19% - 26%</t>
        </r>
      </text>
    </comment>
    <comment ref="BM22" authorId="4">
      <text>
        <r>
          <rPr>
            <b/>
            <sz val="9"/>
            <color indexed="81"/>
            <rFont val="Tahoma"/>
            <family val="2"/>
          </rPr>
          <t>Brian Nowak:
4Q guidance:  15% - 25%</t>
        </r>
      </text>
    </comment>
    <comment ref="BN22" authorId="4">
      <text>
        <r>
          <rPr>
            <b/>
            <sz val="9"/>
            <color indexed="81"/>
            <rFont val="Tahoma"/>
            <family val="2"/>
          </rPr>
          <t>Brian Nowak:
1Q:14 guidance:  19% - 29%</t>
        </r>
      </text>
    </comment>
    <comment ref="BO22" authorId="4">
      <text>
        <r>
          <rPr>
            <b/>
            <sz val="9"/>
            <color indexed="81"/>
            <rFont val="Tahoma"/>
            <family val="2"/>
          </rPr>
          <t>Brian Nowak:
2Q:14 guidance:  15%-25%</t>
        </r>
      </text>
    </comment>
    <comment ref="BP22" authorId="4">
      <text>
        <r>
          <rPr>
            <b/>
            <sz val="9"/>
            <color indexed="81"/>
            <rFont val="Tahoma"/>
            <family val="2"/>
          </rPr>
          <t>Brian Nowak:
3Q:14 guidance:  11%-18%</t>
        </r>
      </text>
    </comment>
    <comment ref="BQ22" authorId="6">
      <text>
        <r>
          <rPr>
            <b/>
            <sz val="9"/>
            <color indexed="81"/>
            <rFont val="Tahoma"/>
            <family val="2"/>
          </rPr>
          <t>Costantini, Michael (Research):</t>
        </r>
        <r>
          <rPr>
            <sz val="9"/>
            <color indexed="81"/>
            <rFont val="Tahoma"/>
            <family val="2"/>
          </rPr>
          <t xml:space="preserve">
4Q:14 guidance:  4%-11%</t>
        </r>
      </text>
    </comment>
    <comment ref="BR22" authorId="6">
      <text>
        <r>
          <rPr>
            <b/>
            <sz val="9"/>
            <color indexed="81"/>
            <rFont val="Tahoma"/>
            <family val="2"/>
          </rPr>
          <t>Costantini, Michael (Research):</t>
        </r>
        <r>
          <rPr>
            <sz val="9"/>
            <color indexed="81"/>
            <rFont val="Tahoma"/>
            <family val="2"/>
          </rPr>
          <t xml:space="preserve">
1Q:15 guidance:  0%-7%</t>
        </r>
      </text>
    </comment>
    <comment ref="BS22" authorId="6">
      <text>
        <r>
          <rPr>
            <b/>
            <sz val="9"/>
            <color indexed="81"/>
            <rFont val="Tahoma"/>
            <family val="2"/>
          </rPr>
          <t>Costantini, Michael (Research):</t>
        </r>
        <r>
          <rPr>
            <sz val="9"/>
            <color indexed="81"/>
            <rFont val="Tahoma"/>
            <family val="2"/>
          </rPr>
          <t xml:space="preserve">
2Q:15 guidance:  1% to 8%</t>
        </r>
      </text>
    </comment>
    <comment ref="BT22" authorId="6">
      <text>
        <r>
          <rPr>
            <b/>
            <sz val="9"/>
            <color indexed="81"/>
            <rFont val="Tahoma"/>
            <family val="2"/>
          </rPr>
          <t>Costantini, Michael (Research):</t>
        </r>
        <r>
          <rPr>
            <sz val="9"/>
            <color indexed="81"/>
            <rFont val="Tahoma"/>
            <family val="2"/>
          </rPr>
          <t xml:space="preserve">
3Q:15 guidance:  +1% to +8%</t>
        </r>
      </text>
    </comment>
    <comment ref="BU22" authorId="6">
      <text>
        <r>
          <rPr>
            <b/>
            <sz val="9"/>
            <color indexed="81"/>
            <rFont val="Tahoma"/>
            <family val="2"/>
          </rPr>
          <t>Costantini, Michael (Research):</t>
        </r>
        <r>
          <rPr>
            <sz val="9"/>
            <color indexed="81"/>
            <rFont val="Tahoma"/>
            <family val="2"/>
          </rPr>
          <t xml:space="preserve">
4Q:15 guidance:  +9% to +16%</t>
        </r>
      </text>
    </comment>
    <comment ref="BV22" authorId="6">
      <text>
        <r>
          <rPr>
            <b/>
            <sz val="9"/>
            <color indexed="81"/>
            <rFont val="Tahoma"/>
            <family val="2"/>
          </rPr>
          <t>Costantini, Michael (Research):</t>
        </r>
        <r>
          <rPr>
            <sz val="9"/>
            <color indexed="81"/>
            <rFont val="Tahoma"/>
            <family val="2"/>
          </rPr>
          <t xml:space="preserve">
1Q:16 guidance:  +7% to +14%</t>
        </r>
      </text>
    </comment>
    <comment ref="BW22" authorId="6">
      <text>
        <r>
          <rPr>
            <b/>
            <sz val="9"/>
            <color indexed="81"/>
            <rFont val="Tahoma"/>
            <family val="2"/>
          </rPr>
          <t>Costantini, Michael (Research):</t>
        </r>
        <r>
          <rPr>
            <sz val="9"/>
            <color indexed="81"/>
            <rFont val="Tahoma"/>
            <family val="2"/>
          </rPr>
          <t xml:space="preserve">
2Q:16 guidance: 12%-17%</t>
        </r>
      </text>
    </comment>
    <comment ref="CC22" authorId="8">
      <text>
        <r>
          <rPr>
            <b/>
            <sz val="9"/>
            <color indexed="81"/>
            <rFont val="Tahoma"/>
            <family val="2"/>
          </rPr>
          <t>Wang, Alaxandar (Research):</t>
        </r>
        <r>
          <rPr>
            <sz val="9"/>
            <color indexed="81"/>
            <rFont val="Tahoma"/>
            <family val="2"/>
          </rPr>
          <t xml:space="preserve">
per 4Q earnings: 17.5-21.5%</t>
        </r>
      </text>
    </comment>
    <comment ref="I27" authorId="8">
      <text>
        <r>
          <rPr>
            <b/>
            <sz val="9"/>
            <color indexed="81"/>
            <rFont val="Tahoma"/>
            <family val="2"/>
          </rPr>
          <t>Wang, Alaxandar (Research):</t>
        </r>
        <r>
          <rPr>
            <sz val="9"/>
            <color indexed="81"/>
            <rFont val="Tahoma"/>
            <family val="2"/>
          </rPr>
          <t xml:space="preserve">
1. Cost paid to travel service providers for priceline.com's Name Your Own Price® and vacation package reservation services, net of applicable taxes and charges
2. Fees paid to third parties by KAYAK and priceline.com to return travel itinerary information for consumer search queries.      </t>
        </r>
      </text>
    </comment>
    <comment ref="AG27" authorId="0">
      <text>
        <r>
          <rPr>
            <b/>
            <sz val="8"/>
            <color indexed="81"/>
            <rFont val="Tahoma"/>
            <family val="2"/>
          </rPr>
          <t xml:space="preserve">Brian Nowak:
includes 340 amort from acquis </t>
        </r>
      </text>
    </comment>
    <comment ref="AH27" authorId="0">
      <text>
        <r>
          <rPr>
            <b/>
            <sz val="8"/>
            <color indexed="81"/>
            <rFont val="Tahoma"/>
            <family val="2"/>
          </rPr>
          <t xml:space="preserve">Brian Nowak:
includes 340 amort from acquis </t>
        </r>
      </text>
    </comment>
    <comment ref="AI27" authorId="0">
      <text>
        <r>
          <rPr>
            <b/>
            <sz val="8"/>
            <color indexed="81"/>
            <rFont val="Tahoma"/>
            <family val="2"/>
          </rPr>
          <t>Brian Nowak:
excludes .373 for amort on acquisitions</t>
        </r>
      </text>
    </comment>
    <comment ref="BG27" authorId="3">
      <text>
        <r>
          <rPr>
            <b/>
            <sz val="10"/>
            <color indexed="81"/>
            <rFont val="Tahoma"/>
            <family val="2"/>
          </rPr>
          <t>Brian Nowak:
per 3Q:12 10-Q: includes a $4.8mn accrual related to hotel occupancy and other taxes.</t>
        </r>
      </text>
    </comment>
    <comment ref="BQ27" authorId="6">
      <text>
        <r>
          <rPr>
            <b/>
            <sz val="9"/>
            <color indexed="81"/>
            <rFont val="Tahoma"/>
            <family val="2"/>
          </rPr>
          <t>Costantini, Michael (Research):</t>
        </r>
        <r>
          <rPr>
            <sz val="9"/>
            <color indexed="81"/>
            <rFont val="Tahoma"/>
            <family val="2"/>
          </rPr>
          <t xml:space="preserve">
1Q:15 10-Q:   1Q15 gross profit was positively impacted by a reversal of previously accrued travel transaction taxes of $16.4 million (including estimated interest and penalties) related to a favorable ruling in the State of Hawaii. </t>
        </r>
        <r>
          <rPr>
            <b/>
            <sz val="9"/>
            <color indexed="81"/>
            <rFont val="Tahoma"/>
            <family val="2"/>
          </rPr>
          <t>[reduced COGS]</t>
        </r>
        <r>
          <rPr>
            <sz val="9"/>
            <color indexed="81"/>
            <rFont val="Tahoma"/>
            <family val="2"/>
          </rPr>
          <t xml:space="preserve">
</t>
        </r>
      </text>
    </comment>
    <comment ref="BO37" authorId="5">
      <text>
        <r>
          <rPr>
            <b/>
            <sz val="9"/>
            <color indexed="81"/>
            <rFont val="Tahoma"/>
            <family val="2"/>
          </rPr>
          <t xml:space="preserve"> Brian Nowak:</t>
        </r>
        <r>
          <rPr>
            <sz val="9"/>
            <color indexed="81"/>
            <rFont val="Tahoma"/>
            <family val="2"/>
          </rPr>
          <t xml:space="preserve">
41.2mn per 3Q transcript</t>
        </r>
      </text>
    </comment>
    <comment ref="BQ39" authorId="6">
      <text>
        <r>
          <rPr>
            <b/>
            <sz val="9"/>
            <color indexed="81"/>
            <rFont val="Tahoma"/>
            <family val="2"/>
          </rPr>
          <t>Costantini, Michael (Research):</t>
        </r>
        <r>
          <rPr>
            <sz val="9"/>
            <color indexed="81"/>
            <rFont val="Tahoma"/>
            <family val="2"/>
          </rPr>
          <t xml:space="preserve">
1Q:15 10-Q:   1Q15 gross profit was positively impacted by a reversal of previously accrued travel transaction taxes of $16.4 million (including estimated interest and penalties) related to a favorable ruling in the State of Hawaii. </t>
        </r>
        <r>
          <rPr>
            <b/>
            <sz val="9"/>
            <color indexed="81"/>
            <rFont val="Tahoma"/>
            <family val="2"/>
          </rPr>
          <t>[reduced COGS]</t>
        </r>
        <r>
          <rPr>
            <sz val="9"/>
            <color indexed="81"/>
            <rFont val="Tahoma"/>
            <family val="2"/>
          </rPr>
          <t xml:space="preserve">
</t>
        </r>
      </text>
    </comment>
    <comment ref="BU39" authorId="6">
      <text>
        <r>
          <rPr>
            <b/>
            <sz val="9"/>
            <color indexed="81"/>
            <rFont val="Tahoma"/>
            <family val="2"/>
          </rPr>
          <t>Costantini, Michael (Research):</t>
        </r>
        <r>
          <rPr>
            <sz val="9"/>
            <color indexed="81"/>
            <rFont val="Tahoma"/>
            <family val="2"/>
          </rPr>
          <t xml:space="preserve">
1Q:16 earnings conf call:  Easter shifted $40mn of GP and adj EBTIDA into 1Q that would have been in 2Q</t>
        </r>
      </text>
    </comment>
    <comment ref="BV39" authorId="6">
      <text>
        <r>
          <rPr>
            <b/>
            <sz val="9"/>
            <color indexed="81"/>
            <rFont val="Tahoma"/>
            <family val="2"/>
          </rPr>
          <t>Costantini, Michael (Research):</t>
        </r>
        <r>
          <rPr>
            <sz val="9"/>
            <color indexed="81"/>
            <rFont val="Tahoma"/>
            <family val="2"/>
          </rPr>
          <t xml:space="preserve">
1Q:16 earnings conf call:  Easter shifted $40mn of GP and adj EBTIDA into 1Q that would have been in 2Q</t>
        </r>
      </text>
    </comment>
    <comment ref="AZ40" authorId="0">
      <text>
        <r>
          <rPr>
            <b/>
            <sz val="8"/>
            <color indexed="81"/>
            <rFont val="Tahoma"/>
            <family val="2"/>
          </rPr>
          <t>Brian Nowak:
3Q10 guidance for 49-54% growth</t>
        </r>
      </text>
    </comment>
    <comment ref="BA40" authorId="0">
      <text>
        <r>
          <rPr>
            <b/>
            <sz val="8"/>
            <color indexed="81"/>
            <rFont val="Tahoma"/>
            <family val="2"/>
          </rPr>
          <t>Brian Nowak:
Guidance for 47% to 52% growth</t>
        </r>
      </text>
    </comment>
    <comment ref="BB40" authorId="1">
      <text>
        <r>
          <rPr>
            <b/>
            <sz val="8"/>
            <color indexed="81"/>
            <rFont val="Tahoma"/>
            <family val="2"/>
          </rPr>
          <t>Brian Nowak:</t>
        </r>
        <r>
          <rPr>
            <sz val="8"/>
            <color indexed="81"/>
            <rFont val="Tahoma"/>
            <family val="2"/>
          </rPr>
          <t xml:space="preserve">
guidance 57% to 62%</t>
        </r>
      </text>
    </comment>
    <comment ref="BC40" authorId="0">
      <text>
        <r>
          <rPr>
            <b/>
            <sz val="8"/>
            <color indexed="81"/>
            <rFont val="Tahoma"/>
            <family val="2"/>
          </rPr>
          <t>Brian Nowak:
guidance 54-59%</t>
        </r>
      </text>
    </comment>
    <comment ref="BD40" authorId="0">
      <text>
        <r>
          <rPr>
            <b/>
            <sz val="8"/>
            <color indexed="81"/>
            <rFont val="Tahoma"/>
            <family val="2"/>
          </rPr>
          <t>Brian Nowak:
guidance for 42-47%</t>
        </r>
      </text>
    </comment>
    <comment ref="BE40" authorId="0">
      <text>
        <r>
          <rPr>
            <b/>
            <sz val="8"/>
            <color indexed="81"/>
            <rFont val="Tahoma"/>
            <family val="2"/>
          </rPr>
          <t>Brian Nowak:
guidance 40-45%</t>
        </r>
      </text>
    </comment>
    <comment ref="BF40" authorId="2">
      <text>
        <r>
          <rPr>
            <b/>
            <sz val="8"/>
            <color indexed="81"/>
            <rFont val="Tahoma"/>
            <family val="2"/>
          </rPr>
          <t>Brian Nowak:
guidance for 31-36%</t>
        </r>
      </text>
    </comment>
    <comment ref="BG40" authorId="3">
      <text>
        <r>
          <rPr>
            <b/>
            <sz val="10"/>
            <color indexed="81"/>
            <rFont val="Tahoma"/>
            <family val="2"/>
          </rPr>
          <t>Brian Nowak:
guidance for 15%-25%</t>
        </r>
      </text>
    </comment>
    <comment ref="BH40" authorId="3">
      <text>
        <r>
          <rPr>
            <b/>
            <sz val="10"/>
            <color indexed="81"/>
            <rFont val="Tahoma"/>
            <family val="2"/>
          </rPr>
          <t>Brian Nowak:
guidance for 26%-31%</t>
        </r>
      </text>
    </comment>
    <comment ref="BI40" authorId="3">
      <text>
        <r>
          <rPr>
            <b/>
            <sz val="10"/>
            <color indexed="81"/>
            <rFont val="Tahoma"/>
            <family val="2"/>
          </rPr>
          <t>Brian Nowak:
guidance for 30%-37%</t>
        </r>
      </text>
    </comment>
    <comment ref="BJ40" authorId="4">
      <text>
        <r>
          <rPr>
            <b/>
            <sz val="9"/>
            <color indexed="81"/>
            <rFont val="Tahoma"/>
            <family val="2"/>
          </rPr>
          <t>Brian Nowak:
guidance:  26% to 33%
excludes Kayak
per 2Q:13 conf call:  kayak added $31.1mn net revenue or ~3 points to gross profit growth</t>
        </r>
      </text>
    </comment>
    <comment ref="BK40" authorId="5">
      <text>
        <r>
          <rPr>
            <b/>
            <sz val="9"/>
            <color indexed="81"/>
            <rFont val="Tahoma"/>
            <family val="2"/>
          </rPr>
          <t xml:space="preserve"> Brian Nowak:</t>
        </r>
        <r>
          <rPr>
            <sz val="9"/>
            <color indexed="81"/>
            <rFont val="Tahoma"/>
            <family val="2"/>
          </rPr>
          <t xml:space="preserve">
guidance 32% to 39%</t>
        </r>
      </text>
    </comment>
    <comment ref="BL40" authorId="4">
      <text>
        <r>
          <rPr>
            <b/>
            <sz val="9"/>
            <color indexed="81"/>
            <rFont val="Tahoma"/>
            <family val="2"/>
          </rPr>
          <t>Brian Nowak:
3Q guidance:  30% - 37%</t>
        </r>
      </text>
    </comment>
    <comment ref="BM40" authorId="4">
      <text>
        <r>
          <rPr>
            <b/>
            <sz val="9"/>
            <color indexed="81"/>
            <rFont val="Tahoma"/>
            <family val="2"/>
          </rPr>
          <t>Brian Nowak:
4Q guidance:  22% - 32%</t>
        </r>
      </text>
    </comment>
    <comment ref="BN40" authorId="4">
      <text>
        <r>
          <rPr>
            <b/>
            <sz val="9"/>
            <color indexed="81"/>
            <rFont val="Tahoma"/>
            <family val="2"/>
          </rPr>
          <t>Brian Nowak:
1Q:14 guidance:  24% - 34%</t>
        </r>
      </text>
    </comment>
    <comment ref="BO40" authorId="4">
      <text>
        <r>
          <rPr>
            <b/>
            <sz val="9"/>
            <color indexed="81"/>
            <rFont val="Tahoma"/>
            <family val="2"/>
          </rPr>
          <t>Brian Nowak:
2Q:14 guidance:  21%-31%</t>
        </r>
      </text>
    </comment>
    <comment ref="BP40" authorId="4">
      <text>
        <r>
          <rPr>
            <b/>
            <sz val="9"/>
            <color indexed="81"/>
            <rFont val="Tahoma"/>
            <family val="2"/>
          </rPr>
          <t>Brian Nowak:
3Q:14 guidance:  17%-24%</t>
        </r>
      </text>
    </comment>
    <comment ref="BQ40" authorId="6">
      <text>
        <r>
          <rPr>
            <b/>
            <sz val="9"/>
            <color indexed="81"/>
            <rFont val="Tahoma"/>
            <family val="2"/>
          </rPr>
          <t>Costantini, Michael (Research):</t>
        </r>
        <r>
          <rPr>
            <sz val="9"/>
            <color indexed="81"/>
            <rFont val="Tahoma"/>
            <family val="2"/>
          </rPr>
          <t xml:space="preserve">
4Q:14 guidance:  9%-16% (21-28% constant currency)</t>
        </r>
      </text>
    </comment>
    <comment ref="BR40" authorId="6">
      <text>
        <r>
          <rPr>
            <b/>
            <sz val="9"/>
            <color indexed="81"/>
            <rFont val="Tahoma"/>
            <family val="2"/>
          </rPr>
          <t>Costantini, Michael (Research):</t>
        </r>
        <r>
          <rPr>
            <sz val="9"/>
            <color indexed="81"/>
            <rFont val="Tahoma"/>
            <family val="2"/>
          </rPr>
          <t xml:space="preserve">
1Q:15 guidance:  1%-8% (17%-24% constant currency)</t>
        </r>
      </text>
    </comment>
    <comment ref="BS40" authorId="6">
      <text>
        <r>
          <rPr>
            <b/>
            <sz val="9"/>
            <color indexed="81"/>
            <rFont val="Tahoma"/>
            <family val="2"/>
          </rPr>
          <t>Costantini, Michael (Research):</t>
        </r>
        <r>
          <rPr>
            <sz val="9"/>
            <color indexed="81"/>
            <rFont val="Tahoma"/>
            <family val="2"/>
          </rPr>
          <t xml:space="preserve">
2Q:15 guidance:  3%-10% (19%-26% constant currency)</t>
        </r>
      </text>
    </comment>
    <comment ref="BT40" authorId="6">
      <text>
        <r>
          <rPr>
            <b/>
            <sz val="9"/>
            <color indexed="81"/>
            <rFont val="Tahoma"/>
            <family val="2"/>
          </rPr>
          <t>Costantini, Michael (Research):</t>
        </r>
        <r>
          <rPr>
            <sz val="9"/>
            <color indexed="81"/>
            <rFont val="Tahoma"/>
            <family val="2"/>
          </rPr>
          <t xml:space="preserve">
3Q:15 guidance:  +3% to +10%</t>
        </r>
      </text>
    </comment>
    <comment ref="BU40" authorId="6">
      <text>
        <r>
          <rPr>
            <b/>
            <sz val="9"/>
            <color indexed="81"/>
            <rFont val="Tahoma"/>
            <family val="2"/>
          </rPr>
          <t>Costantini, Michael (Research):</t>
        </r>
        <r>
          <rPr>
            <sz val="9"/>
            <color indexed="81"/>
            <rFont val="Tahoma"/>
            <family val="2"/>
          </rPr>
          <t xml:space="preserve">
4Q:15 guidance:  +14% to +21%</t>
        </r>
      </text>
    </comment>
    <comment ref="BV40" authorId="6">
      <text>
        <r>
          <rPr>
            <b/>
            <sz val="9"/>
            <color indexed="81"/>
            <rFont val="Tahoma"/>
            <family val="2"/>
          </rPr>
          <t>Costantini, Michael (Research):</t>
        </r>
        <r>
          <rPr>
            <sz val="9"/>
            <color indexed="81"/>
            <rFont val="Tahoma"/>
            <family val="2"/>
          </rPr>
          <t xml:space="preserve">
1Q:16 guidance:  +9% to +16%</t>
        </r>
      </text>
    </comment>
    <comment ref="BW40" authorId="6">
      <text>
        <r>
          <rPr>
            <b/>
            <sz val="9"/>
            <color indexed="81"/>
            <rFont val="Tahoma"/>
            <family val="2"/>
          </rPr>
          <t>Costantini, Michael (Research):</t>
        </r>
        <r>
          <rPr>
            <sz val="9"/>
            <color indexed="81"/>
            <rFont val="Tahoma"/>
            <family val="2"/>
          </rPr>
          <t xml:space="preserve">
2Q:16 guidance: 15%-20%</t>
        </r>
      </text>
    </comment>
    <comment ref="BX40" authorId="6">
      <text>
        <r>
          <rPr>
            <b/>
            <sz val="9"/>
            <color indexed="81"/>
            <rFont val="Tahoma"/>
            <family val="2"/>
          </rPr>
          <t>Costantini, Michael (Research):</t>
        </r>
        <r>
          <rPr>
            <sz val="9"/>
            <color indexed="81"/>
            <rFont val="Tahoma"/>
            <family val="2"/>
          </rPr>
          <t xml:space="preserve">
3Q:16 guidance: 13%-18%</t>
        </r>
      </text>
    </comment>
    <comment ref="BY40" authorId="6">
      <text>
        <r>
          <rPr>
            <b/>
            <sz val="9"/>
            <color indexed="81"/>
            <rFont val="Tahoma"/>
            <family val="2"/>
          </rPr>
          <t>Costantini, Michael (Research):</t>
        </r>
        <r>
          <rPr>
            <sz val="9"/>
            <color indexed="81"/>
            <rFont val="Tahoma"/>
            <family val="2"/>
          </rPr>
          <t xml:space="preserve">
4Q:16 guidance: 9.5%-14.5%</t>
        </r>
      </text>
    </comment>
    <comment ref="BZ40" authorId="7">
      <text>
        <r>
          <rPr>
            <b/>
            <sz val="9"/>
            <color indexed="81"/>
            <rFont val="Tahoma"/>
            <family val="2"/>
          </rPr>
          <t>Nowak, Brian (Research):</t>
        </r>
        <r>
          <rPr>
            <sz val="9"/>
            <color indexed="81"/>
            <rFont val="Tahoma"/>
            <family val="2"/>
          </rPr>
          <t xml:space="preserve">
1q:17 guidance 14-19%</t>
        </r>
      </text>
    </comment>
    <comment ref="CA40" authorId="7">
      <text>
        <r>
          <rPr>
            <b/>
            <sz val="9"/>
            <color indexed="81"/>
            <rFont val="Tahoma"/>
            <family val="2"/>
          </rPr>
          <t>Nowak, Brian (Research):</t>
        </r>
        <r>
          <rPr>
            <sz val="9"/>
            <color indexed="81"/>
            <rFont val="Tahoma"/>
            <family val="2"/>
          </rPr>
          <t xml:space="preserve">
guidance 15.5%-20.5%</t>
        </r>
      </text>
    </comment>
    <comment ref="CB40" authorId="8">
      <text>
        <r>
          <rPr>
            <b/>
            <sz val="9"/>
            <color indexed="81"/>
            <rFont val="Tahoma"/>
            <family val="2"/>
          </rPr>
          <t>Wang, Alaxandar (Research):</t>
        </r>
        <r>
          <rPr>
            <sz val="9"/>
            <color indexed="81"/>
            <rFont val="Tahoma"/>
            <family val="2"/>
          </rPr>
          <t xml:space="preserve">
guidance 10.5-15.5%</t>
        </r>
      </text>
    </comment>
    <comment ref="BS46" authorId="6">
      <text>
        <r>
          <rPr>
            <b/>
            <sz val="9"/>
            <color indexed="81"/>
            <rFont val="Tahoma"/>
            <family val="2"/>
          </rPr>
          <t>Costantini, Michael (Research):</t>
        </r>
        <r>
          <rPr>
            <sz val="9"/>
            <color indexed="81"/>
            <rFont val="Tahoma"/>
            <family val="2"/>
          </rPr>
          <t xml:space="preserve">
2Q:15 guidance:  9%-26% constant currency</t>
        </r>
      </text>
    </comment>
    <comment ref="BT46" authorId="6">
      <text>
        <r>
          <rPr>
            <b/>
            <sz val="9"/>
            <color indexed="81"/>
            <rFont val="Tahoma"/>
            <family val="2"/>
          </rPr>
          <t>Costantini, Michael (Research):</t>
        </r>
        <r>
          <rPr>
            <sz val="9"/>
            <color indexed="81"/>
            <rFont val="Tahoma"/>
            <family val="2"/>
          </rPr>
          <t xml:space="preserve">
3Q:15 guidance:  +14% to +21%</t>
        </r>
      </text>
    </comment>
    <comment ref="BU46" authorId="6">
      <text>
        <r>
          <rPr>
            <b/>
            <sz val="9"/>
            <color indexed="81"/>
            <rFont val="Tahoma"/>
            <family val="2"/>
          </rPr>
          <t>Costantini, Michael (Research):</t>
        </r>
        <r>
          <rPr>
            <sz val="9"/>
            <color indexed="81"/>
            <rFont val="Tahoma"/>
            <family val="2"/>
          </rPr>
          <t xml:space="preserve">
4Q:15 guidance:  +20% to +27%</t>
        </r>
      </text>
    </comment>
    <comment ref="BV46" authorId="6">
      <text>
        <r>
          <rPr>
            <b/>
            <sz val="9"/>
            <color indexed="81"/>
            <rFont val="Tahoma"/>
            <family val="2"/>
          </rPr>
          <t>Costantini, Michael (Research):</t>
        </r>
        <r>
          <rPr>
            <sz val="9"/>
            <color indexed="81"/>
            <rFont val="Tahoma"/>
            <family val="2"/>
          </rPr>
          <t xml:space="preserve">
1Q:16 guidance:  +9% to +16% ex FX</t>
        </r>
      </text>
    </comment>
    <comment ref="BW46" authorId="6">
      <text>
        <r>
          <rPr>
            <b/>
            <sz val="9"/>
            <color indexed="81"/>
            <rFont val="Tahoma"/>
            <family val="2"/>
          </rPr>
          <t>Costantini, Michael (Research):</t>
        </r>
        <r>
          <rPr>
            <sz val="9"/>
            <color indexed="81"/>
            <rFont val="Tahoma"/>
            <family val="2"/>
          </rPr>
          <t xml:space="preserve">
2Q:16 guidance: 16%-21%</t>
        </r>
      </text>
    </comment>
    <comment ref="BX46" authorId="6">
      <text>
        <r>
          <rPr>
            <b/>
            <sz val="9"/>
            <color indexed="81"/>
            <rFont val="Tahoma"/>
            <family val="2"/>
          </rPr>
          <t>Costantini, Michael (Research):</t>
        </r>
        <r>
          <rPr>
            <sz val="9"/>
            <color indexed="81"/>
            <rFont val="Tahoma"/>
            <family val="2"/>
          </rPr>
          <t xml:space="preserve">
3Q:16 guidance: 14%-19%</t>
        </r>
      </text>
    </comment>
    <comment ref="BY46" authorId="6">
      <text>
        <r>
          <rPr>
            <b/>
            <sz val="9"/>
            <color indexed="81"/>
            <rFont val="Tahoma"/>
            <family val="2"/>
          </rPr>
          <t>Costantini, Michael (Research):</t>
        </r>
        <r>
          <rPr>
            <sz val="9"/>
            <color indexed="81"/>
            <rFont val="Tahoma"/>
            <family val="2"/>
          </rPr>
          <t xml:space="preserve">
4Q:16 guidance: 11%-16%</t>
        </r>
      </text>
    </comment>
    <comment ref="BZ46" authorId="7">
      <text>
        <r>
          <rPr>
            <b/>
            <sz val="9"/>
            <color indexed="81"/>
            <rFont val="Tahoma"/>
            <family val="2"/>
          </rPr>
          <t>Nowak, Brian (Research):</t>
        </r>
        <r>
          <rPr>
            <sz val="9"/>
            <color indexed="81"/>
            <rFont val="Tahoma"/>
            <family val="2"/>
          </rPr>
          <t xml:space="preserve">
1q:17 guidance 17-22%</t>
        </r>
      </text>
    </comment>
    <comment ref="CA46" authorId="7">
      <text>
        <r>
          <rPr>
            <b/>
            <sz val="9"/>
            <color indexed="81"/>
            <rFont val="Tahoma"/>
            <family val="2"/>
          </rPr>
          <t>Nowak, Brian (Research):</t>
        </r>
        <r>
          <rPr>
            <sz val="9"/>
            <color indexed="81"/>
            <rFont val="Tahoma"/>
            <family val="2"/>
          </rPr>
          <t xml:space="preserve">
guidance 12.5%-17.5%</t>
        </r>
      </text>
    </comment>
    <comment ref="CB46" authorId="8">
      <text>
        <r>
          <rPr>
            <b/>
            <sz val="9"/>
            <color indexed="81"/>
            <rFont val="Tahoma"/>
            <family val="2"/>
          </rPr>
          <t>Wang, Alaxandar (Research):</t>
        </r>
        <r>
          <rPr>
            <sz val="9"/>
            <color indexed="81"/>
            <rFont val="Tahoma"/>
            <family val="2"/>
          </rPr>
          <t xml:space="preserve">
guidance 6-11%</t>
        </r>
      </text>
    </comment>
    <comment ref="BV47" authorId="6">
      <text>
        <r>
          <rPr>
            <b/>
            <sz val="9"/>
            <color indexed="81"/>
            <rFont val="Tahoma"/>
            <family val="2"/>
          </rPr>
          <t>Costantini, Michael (Research):</t>
        </r>
        <r>
          <rPr>
            <sz val="9"/>
            <color indexed="81"/>
            <rFont val="Tahoma"/>
            <family val="2"/>
          </rPr>
          <t xml:space="preserve">
1Q:16 guidance:  do not expect FX to be a headwind in 2Q</t>
        </r>
      </text>
    </comment>
    <comment ref="BG49" authorId="2">
      <text>
        <r>
          <rPr>
            <b/>
            <sz val="8"/>
            <color indexed="81"/>
            <rFont val="Tahoma"/>
            <family val="2"/>
          </rPr>
          <t xml:space="preserve">Brian Nowak:
we would usually expect it to reverse, but expect it to go up again because of slowing booking growth </t>
        </r>
      </text>
    </comment>
    <comment ref="I61" authorId="8">
      <text>
        <r>
          <rPr>
            <b/>
            <sz val="9"/>
            <color indexed="81"/>
            <rFont val="Tahoma"/>
            <family val="2"/>
          </rPr>
          <t>Wang, Alaxandar (Research):</t>
        </r>
        <r>
          <rPr>
            <sz val="9"/>
            <color indexed="81"/>
            <rFont val="Tahoma"/>
            <family val="2"/>
          </rPr>
          <t xml:space="preserve">
Brand advertising expenses consist mainly of television advertising, online video advertising (including the airing of our television advertising online) and online display advertising.</t>
        </r>
      </text>
    </comment>
    <comment ref="BB61" authorId="1">
      <text>
        <r>
          <rPr>
            <b/>
            <sz val="8"/>
            <color indexed="81"/>
            <rFont val="Tahoma"/>
            <family val="2"/>
          </rPr>
          <t>Brian Nowak:</t>
        </r>
        <r>
          <rPr>
            <sz val="8"/>
            <color indexed="81"/>
            <rFont val="Tahoma"/>
            <family val="2"/>
          </rPr>
          <t xml:space="preserve">
guidance for 10</t>
        </r>
      </text>
    </comment>
    <comment ref="BC61" authorId="0">
      <text>
        <r>
          <rPr>
            <b/>
            <sz val="8"/>
            <color indexed="81"/>
            <rFont val="Tahoma"/>
            <family val="2"/>
          </rPr>
          <t>Brian Nowak:
guidance for 8</t>
        </r>
      </text>
    </comment>
    <comment ref="BI61" authorId="5">
      <text>
        <r>
          <rPr>
            <b/>
            <sz val="9"/>
            <color indexed="81"/>
            <rFont val="Tahoma"/>
            <family val="2"/>
          </rPr>
          <t xml:space="preserve"> Brian Nowak:</t>
        </r>
        <r>
          <rPr>
            <sz val="9"/>
            <color indexed="81"/>
            <rFont val="Tahoma"/>
            <family val="2"/>
          </rPr>
          <t xml:space="preserve">
expect US booking.com to be similar size spend as in pricline.com</t>
        </r>
      </text>
    </comment>
    <comment ref="BK61" authorId="5">
      <text>
        <r>
          <rPr>
            <b/>
            <sz val="9"/>
            <color indexed="81"/>
            <rFont val="Tahoma"/>
            <family val="2"/>
          </rPr>
          <t xml:space="preserve"> Brian Nowak:</t>
        </r>
        <r>
          <rPr>
            <sz val="9"/>
            <color indexed="81"/>
            <rFont val="Tahoma"/>
            <family val="2"/>
          </rPr>
          <t xml:space="preserve">
expect US booking.com to be similar size spend as in pricline.com</t>
        </r>
      </text>
    </comment>
    <comment ref="CH61" authorId="0">
      <text>
        <r>
          <rPr>
            <b/>
            <sz val="8"/>
            <color indexed="81"/>
            <rFont val="Tahoma"/>
            <family val="2"/>
          </rPr>
          <t>Brian Nowak:
online and offline</t>
        </r>
      </text>
    </comment>
    <comment ref="CI61" authorId="0">
      <text>
        <r>
          <rPr>
            <b/>
            <sz val="8"/>
            <color indexed="81"/>
            <rFont val="Tahoma"/>
            <family val="2"/>
          </rPr>
          <t>Brian Nowak:
online and offline</t>
        </r>
      </text>
    </comment>
    <comment ref="I62" authorId="8">
      <text>
        <r>
          <rPr>
            <b/>
            <sz val="9"/>
            <color indexed="81"/>
            <rFont val="Tahoma"/>
            <family val="2"/>
          </rPr>
          <t>Wang, Alaxandar (Research):</t>
        </r>
        <r>
          <rPr>
            <sz val="9"/>
            <color indexed="81"/>
            <rFont val="Tahoma"/>
            <family val="2"/>
          </rPr>
          <t xml:space="preserve">
(1) search engine keyword purchases; (2) referrals from meta-search and travel research websites; (3) affiliate programs; and (4) other performance-based advertisements</t>
        </r>
      </text>
    </comment>
    <comment ref="AZ62" authorId="0">
      <text>
        <r>
          <rPr>
            <b/>
            <sz val="8"/>
            <color indexed="81"/>
            <rFont val="Tahoma"/>
            <family val="2"/>
          </rPr>
          <t>Brian Nowak:
% of GP flat yoy</t>
        </r>
      </text>
    </comment>
    <comment ref="BA62" authorId="0">
      <text>
        <r>
          <rPr>
            <b/>
            <sz val="8"/>
            <color indexed="81"/>
            <rFont val="Tahoma"/>
            <family val="2"/>
          </rPr>
          <t>Brian Nowak:
gudiance for total advertising of $185 to $190m, $12m offline</t>
        </r>
      </text>
    </comment>
    <comment ref="BB62" authorId="1">
      <text>
        <r>
          <rPr>
            <b/>
            <sz val="8"/>
            <color indexed="81"/>
            <rFont val="Tahoma"/>
            <family val="2"/>
          </rPr>
          <t>Brian Nowak:</t>
        </r>
        <r>
          <rPr>
            <sz val="8"/>
            <color indexed="81"/>
            <rFont val="Tahoma"/>
            <family val="2"/>
          </rPr>
          <t xml:space="preserve">
guidance total adv of 233 to 243, 10m offline</t>
        </r>
      </text>
    </comment>
    <comment ref="BC62" authorId="0">
      <text>
        <r>
          <rPr>
            <b/>
            <sz val="8"/>
            <color indexed="81"/>
            <rFont val="Tahoma"/>
            <family val="2"/>
          </rPr>
          <t xml:space="preserve">Brian Nowak:
guidance for total 273-283 total (with 8 offline) 
imlplies 265-275
</t>
        </r>
      </text>
    </comment>
    <comment ref="I63" authorId="8">
      <text>
        <r>
          <rPr>
            <b/>
            <sz val="9"/>
            <color indexed="81"/>
            <rFont val="Tahoma"/>
            <family val="2"/>
          </rPr>
          <t>Wang, Alaxandar (Research):</t>
        </r>
        <r>
          <rPr>
            <sz val="9"/>
            <color indexed="81"/>
            <rFont val="Tahoma"/>
            <family val="2"/>
          </rPr>
          <t xml:space="preserve">
Sales and marketing expenses consist primarily of: (1) credit card and other payment processing fees associated with merchant transactions; (2) fees paid to third parties that provide call center, website content translations and other services; (3) promotional costs; (4) customer relations costs; (5) provisions for bad debt, primarily related to agency accommodation commission receivables; and (6) provisions for customer chargebacks associated with merchant transactions</t>
        </r>
      </text>
    </comment>
    <comment ref="AZ63" authorId="0">
      <text>
        <r>
          <rPr>
            <b/>
            <sz val="8"/>
            <color indexed="81"/>
            <rFont val="Tahoma"/>
            <family val="2"/>
          </rPr>
          <t>Brian Nowak:
guidance $29m to $32m</t>
        </r>
      </text>
    </comment>
    <comment ref="BA63" authorId="0">
      <text>
        <r>
          <rPr>
            <b/>
            <sz val="8"/>
            <color indexed="81"/>
            <rFont val="Tahoma"/>
            <family val="2"/>
          </rPr>
          <t>Brian Nowak:
Guidance 32-36m</t>
        </r>
      </text>
    </comment>
    <comment ref="BB63" authorId="1">
      <text>
        <r>
          <rPr>
            <b/>
            <sz val="8"/>
            <color indexed="81"/>
            <rFont val="Tahoma"/>
            <family val="2"/>
          </rPr>
          <t>Brian Nowak:</t>
        </r>
        <r>
          <rPr>
            <sz val="8"/>
            <color indexed="81"/>
            <rFont val="Tahoma"/>
            <family val="2"/>
          </rPr>
          <t xml:space="preserve">
guidance 36-41</t>
        </r>
      </text>
    </comment>
    <comment ref="BC63" authorId="0">
      <text>
        <r>
          <rPr>
            <b/>
            <sz val="8"/>
            <color indexed="81"/>
            <rFont val="Tahoma"/>
            <family val="2"/>
          </rPr>
          <t>Brian Nowak:
guide 40-45</t>
        </r>
      </text>
    </comment>
    <comment ref="I64" authorId="8">
      <text>
        <r>
          <rPr>
            <b/>
            <sz val="9"/>
            <color indexed="81"/>
            <rFont val="Tahoma"/>
            <family val="2"/>
          </rPr>
          <t>Wang, Alaxandar (Research):</t>
        </r>
        <r>
          <rPr>
            <sz val="9"/>
            <color indexed="81"/>
            <rFont val="Tahoma"/>
            <family val="2"/>
          </rPr>
          <t xml:space="preserve">
Personnel expenses consist of compensation to our personnel, including salaries, bonuses, payroll taxes, and employee health and other benefits</t>
        </r>
      </text>
    </comment>
    <comment ref="AZ64" authorId="0">
      <text>
        <r>
          <rPr>
            <b/>
            <sz val="8"/>
            <color indexed="81"/>
            <rFont val="Tahoma"/>
            <family val="2"/>
          </rPr>
          <t>Brian Nowak:
$60,5m to $63.5m</t>
        </r>
      </text>
    </comment>
    <comment ref="BA64" authorId="0">
      <text>
        <r>
          <rPr>
            <b/>
            <sz val="8"/>
            <color indexed="81"/>
            <rFont val="Tahoma"/>
            <family val="2"/>
          </rPr>
          <t>Brian Nowak:
Guidance 32-36m</t>
        </r>
      </text>
    </comment>
    <comment ref="BB64" authorId="1">
      <text>
        <r>
          <rPr>
            <b/>
            <sz val="8"/>
            <color indexed="81"/>
            <rFont val="Tahoma"/>
            <family val="2"/>
          </rPr>
          <t>Brian Nowak:</t>
        </r>
        <r>
          <rPr>
            <sz val="8"/>
            <color indexed="81"/>
            <rFont val="Tahoma"/>
            <family val="2"/>
          </rPr>
          <t xml:space="preserve">
75-80</t>
        </r>
      </text>
    </comment>
    <comment ref="BC64" authorId="0">
      <text>
        <r>
          <rPr>
            <b/>
            <sz val="8"/>
            <color indexed="81"/>
            <rFont val="Tahoma"/>
            <family val="2"/>
          </rPr>
          <t>Brian Nowak:
guide 78-83</t>
        </r>
      </text>
    </comment>
    <comment ref="I65" authorId="8">
      <text>
        <r>
          <rPr>
            <b/>
            <sz val="9"/>
            <color indexed="81"/>
            <rFont val="Tahoma"/>
            <family val="2"/>
          </rPr>
          <t>Wang, Alaxandar (Research):</t>
        </r>
        <r>
          <rPr>
            <sz val="9"/>
            <color indexed="81"/>
            <rFont val="Tahoma"/>
            <family val="2"/>
          </rPr>
          <t xml:space="preserve">
General and administrative expenses consist primarily of: (1) occupancy and office expenses; (2) personnel-related expenses such as travel, relocation, recruiting and training expenses; and (3) fees for outside professionals, including litigation expenses</t>
        </r>
      </text>
    </comment>
    <comment ref="AK65" authorId="0">
      <text>
        <r>
          <rPr>
            <b/>
            <sz val="8"/>
            <color indexed="81"/>
            <rFont val="Tahoma"/>
            <family val="2"/>
          </rPr>
          <t>Brian Nowak:
excludes 54.857 for securities lititation</t>
        </r>
      </text>
    </comment>
    <comment ref="AU65" authorId="0">
      <text>
        <r>
          <rPr>
            <b/>
            <sz val="8"/>
            <color indexed="81"/>
            <rFont val="Tahoma"/>
            <family val="2"/>
          </rPr>
          <t>Brian Nowak:
includes 3.68m charge from hotel occupancy tax</t>
        </r>
      </text>
    </comment>
    <comment ref="AV65" authorId="0">
      <text>
        <r>
          <rPr>
            <b/>
            <sz val="8"/>
            <color indexed="81"/>
            <rFont val="Tahoma"/>
            <family val="2"/>
          </rPr>
          <t>Brian Nowak:
includes 1.049 favorable CC settlement</t>
        </r>
      </text>
    </comment>
    <comment ref="AZ65" authorId="0">
      <text>
        <r>
          <rPr>
            <b/>
            <sz val="8"/>
            <color indexed="81"/>
            <rFont val="Tahoma"/>
            <family val="2"/>
          </rPr>
          <t>Brian Nowak:
guidance $21m to $24m</t>
        </r>
      </text>
    </comment>
    <comment ref="BA65" authorId="0">
      <text>
        <r>
          <rPr>
            <b/>
            <sz val="8"/>
            <color indexed="81"/>
            <rFont val="Tahoma"/>
            <family val="2"/>
          </rPr>
          <t>Brian Nowak:
Guidance for 23-26m</t>
        </r>
      </text>
    </comment>
    <comment ref="BB65" authorId="1">
      <text>
        <r>
          <rPr>
            <b/>
            <sz val="8"/>
            <color indexed="81"/>
            <rFont val="Tahoma"/>
            <family val="2"/>
          </rPr>
          <t>Brian Nowak:</t>
        </r>
        <r>
          <rPr>
            <sz val="8"/>
            <color indexed="81"/>
            <rFont val="Tahoma"/>
            <family val="2"/>
          </rPr>
          <t xml:space="preserve">
26-31</t>
        </r>
      </text>
    </comment>
    <comment ref="BC65" authorId="0">
      <text>
        <r>
          <rPr>
            <b/>
            <sz val="8"/>
            <color indexed="81"/>
            <rFont val="Tahoma"/>
            <family val="2"/>
          </rPr>
          <t>Brian Nowak:
guide 27-32</t>
        </r>
      </text>
    </comment>
    <comment ref="I66" authorId="8">
      <text>
        <r>
          <rPr>
            <b/>
            <sz val="9"/>
            <color indexed="81"/>
            <rFont val="Tahoma"/>
            <family val="2"/>
          </rPr>
          <t>Wang, Alaxandar (Research):</t>
        </r>
        <r>
          <rPr>
            <sz val="9"/>
            <color indexed="81"/>
            <rFont val="Tahoma"/>
            <family val="2"/>
          </rPr>
          <t xml:space="preserve">
Information technology expenses consist primarily of: (1) software license and system maintenance fees; (2) data communications and other expenses associated with operating our services; (3) outsourced data center costs; and (4) payments to outside consultants</t>
        </r>
      </text>
    </comment>
    <comment ref="AZ66" authorId="0">
      <text>
        <r>
          <rPr>
            <b/>
            <sz val="8"/>
            <color indexed="81"/>
            <rFont val="Tahoma"/>
            <family val="2"/>
          </rPr>
          <t>Brian Nowak:
guidance $7m</t>
        </r>
      </text>
    </comment>
    <comment ref="BA66" authorId="0">
      <text>
        <r>
          <rPr>
            <b/>
            <sz val="8"/>
            <color indexed="81"/>
            <rFont val="Tahoma"/>
            <family val="2"/>
          </rPr>
          <t>Brian Nowak:
Guidance for 7m</t>
        </r>
      </text>
    </comment>
    <comment ref="BB66" authorId="1">
      <text>
        <r>
          <rPr>
            <b/>
            <sz val="8"/>
            <color indexed="81"/>
            <rFont val="Tahoma"/>
            <family val="2"/>
          </rPr>
          <t>Brian Nowak:</t>
        </r>
        <r>
          <rPr>
            <sz val="8"/>
            <color indexed="81"/>
            <rFont val="Tahoma"/>
            <family val="2"/>
          </rPr>
          <t xml:space="preserve">
guidance 8</t>
        </r>
      </text>
    </comment>
    <comment ref="BC66" authorId="0">
      <text>
        <r>
          <rPr>
            <b/>
            <sz val="8"/>
            <color indexed="81"/>
            <rFont val="Tahoma"/>
            <family val="2"/>
          </rPr>
          <t>Brian Nowak:
guide 10</t>
        </r>
      </text>
    </comment>
    <comment ref="BW68" authorId="6">
      <text>
        <r>
          <rPr>
            <b/>
            <sz val="9"/>
            <color indexed="81"/>
            <rFont val="Tahoma"/>
            <family val="2"/>
          </rPr>
          <t>Costantini, Michael (Research):</t>
        </r>
        <r>
          <rPr>
            <sz val="9"/>
            <color indexed="81"/>
            <rFont val="Tahoma"/>
            <family val="2"/>
          </rPr>
          <t xml:space="preserve">
impairment of goodwill (OpenTable)</t>
        </r>
      </text>
    </comment>
    <comment ref="BA69" authorId="0">
      <text>
        <r>
          <rPr>
            <b/>
            <sz val="8"/>
            <color indexed="81"/>
            <rFont val="Tahoma"/>
            <family val="2"/>
          </rPr>
          <t>Brian Nowak:
Guidance for 7m</t>
        </r>
      </text>
    </comment>
    <comment ref="BB69" authorId="1">
      <text>
        <r>
          <rPr>
            <b/>
            <sz val="8"/>
            <color indexed="81"/>
            <rFont val="Tahoma"/>
            <family val="2"/>
          </rPr>
          <t>Brian Nowak:</t>
        </r>
        <r>
          <rPr>
            <sz val="8"/>
            <color indexed="81"/>
            <rFont val="Tahoma"/>
            <family val="2"/>
          </rPr>
          <t xml:space="preserve">
guidance for 5</t>
        </r>
      </text>
    </comment>
    <comment ref="BC69" authorId="0">
      <text>
        <r>
          <rPr>
            <b/>
            <sz val="8"/>
            <color indexed="81"/>
            <rFont val="Tahoma"/>
            <family val="2"/>
          </rPr>
          <t>Brian Nowak:
guide 6 (ex acquis D&amp;A)</t>
        </r>
      </text>
    </comment>
    <comment ref="BA70" authorId="0">
      <text>
        <r>
          <rPr>
            <b/>
            <sz val="8"/>
            <color indexed="81"/>
            <rFont val="Tahoma"/>
            <family val="2"/>
          </rPr>
          <t>Brian Nowak:
Guidance for 5m</t>
        </r>
      </text>
    </comment>
    <comment ref="BO70" authorId="4">
      <text>
        <r>
          <rPr>
            <b/>
            <sz val="9"/>
            <color indexed="81"/>
            <rFont val="Tahoma"/>
            <family val="2"/>
          </rPr>
          <t xml:space="preserve">Brian Nowak:
</t>
        </r>
        <r>
          <rPr>
            <sz val="9"/>
            <color indexed="81"/>
            <rFont val="Tahoma"/>
            <family val="2"/>
          </rPr>
          <t>purchase of OpenTable closed 7/26/14</t>
        </r>
      </text>
    </comment>
    <comment ref="AG71" authorId="0">
      <text>
        <r>
          <rPr>
            <b/>
            <sz val="8"/>
            <color indexed="81"/>
            <rFont val="Tahoma"/>
            <family val="2"/>
          </rPr>
          <t>Brian Nowak:
excludes .135 restructuring charge</t>
        </r>
      </text>
    </comment>
    <comment ref="BY75" authorId="6">
      <text>
        <r>
          <rPr>
            <b/>
            <sz val="9"/>
            <color indexed="81"/>
            <rFont val="Tahoma"/>
            <family val="2"/>
          </rPr>
          <t>Costantini, Michael (Research):</t>
        </r>
        <r>
          <rPr>
            <sz val="9"/>
            <color indexed="81"/>
            <rFont val="Tahoma"/>
            <family val="2"/>
          </rPr>
          <t xml:space="preserve">
4Q:16 earnings conf call:  down 540bp Y/Y due to seasonal timing issues (strong 1Q to date bookings that wont be recognized as rev until later qtrs, Easter shift to 2Q, lapping Leap Year 2016) that create more performance ad deleverage</t>
        </r>
      </text>
    </comment>
    <comment ref="AK77" authorId="0">
      <text>
        <r>
          <rPr>
            <b/>
            <sz val="8"/>
            <color indexed="81"/>
            <rFont val="Tahoma"/>
            <family val="2"/>
          </rPr>
          <t>Brian Nowak:
438 for stock based comp on payroll taxes</t>
        </r>
      </text>
    </comment>
    <comment ref="AL77" authorId="0">
      <text>
        <r>
          <rPr>
            <b/>
            <sz val="8"/>
            <color indexed="81"/>
            <rFont val="Tahoma"/>
            <family val="2"/>
          </rPr>
          <t>Brian Nowak:
adjusted:
381 for litigation settlement
94 for payroll on sbc</t>
        </r>
      </text>
    </comment>
    <comment ref="AP77" authorId="0">
      <text>
        <r>
          <rPr>
            <b/>
            <sz val="8"/>
            <color indexed="81"/>
            <rFont val="Tahoma"/>
            <family val="2"/>
          </rPr>
          <t>Brian Nowak:
.186 for stock-based payroll comp on payroll taxes</t>
        </r>
      </text>
    </comment>
    <comment ref="AQ77" authorId="0">
      <text>
        <r>
          <rPr>
            <b/>
            <sz val="8"/>
            <color indexed="81"/>
            <rFont val="Tahoma"/>
            <family val="2"/>
          </rPr>
          <t>Brian Nowak:
.036 for stock-based payroll comp on payroll taxes</t>
        </r>
      </text>
    </comment>
    <comment ref="AR77" authorId="0">
      <text>
        <r>
          <rPr>
            <b/>
            <sz val="8"/>
            <color indexed="81"/>
            <rFont val="Tahoma"/>
            <family val="2"/>
          </rPr>
          <t>Brian Nowak:
.001 for stock-based payroll comp on payroll taxes</t>
        </r>
      </text>
    </comment>
    <comment ref="AV77" authorId="0">
      <text>
        <r>
          <rPr>
            <b/>
            <sz val="8"/>
            <color indexed="81"/>
            <rFont val="Tahoma"/>
            <family val="2"/>
          </rPr>
          <t>Brian Nowak:
1.049 for favorable CC settlement</t>
        </r>
      </text>
    </comment>
    <comment ref="AY77" authorId="0">
      <text>
        <r>
          <rPr>
            <b/>
            <sz val="8"/>
            <color indexed="81"/>
            <rFont val="Tahoma"/>
            <family val="2"/>
          </rPr>
          <t>Brian Nowak:
adjusted 2.72 for fav tax ruling</t>
        </r>
      </text>
    </comment>
    <comment ref="AZ77" authorId="0">
      <text>
        <r>
          <rPr>
            <b/>
            <sz val="8"/>
            <color indexed="81"/>
            <rFont val="Tahoma"/>
            <family val="2"/>
          </rPr>
          <t>Brian Nowak:
adjsuted 1.732 charges related to hotel margin tax rulings and judgments</t>
        </r>
      </text>
    </comment>
    <comment ref="BH77" authorId="4">
      <text>
        <r>
          <rPr>
            <b/>
            <sz val="9"/>
            <color indexed="81"/>
            <rFont val="Tahoma"/>
            <family val="2"/>
          </rPr>
          <t>Brian Nowak:
includes charges related to hotel occupancy tax ruling (Hawaii) of $16.126mn</t>
        </r>
      </text>
    </comment>
    <comment ref="BI77" authorId="4">
      <text>
        <r>
          <rPr>
            <b/>
            <sz val="9"/>
            <color indexed="81"/>
            <rFont val="Tahoma"/>
            <family val="2"/>
          </rPr>
          <t>Brian Nowak:
includes charges related to hotel occupancy tax ruling</t>
        </r>
      </text>
    </comment>
    <comment ref="BL77" authorId="4">
      <text>
        <r>
          <rPr>
            <b/>
            <sz val="9"/>
            <color indexed="81"/>
            <rFont val="Tahoma"/>
            <family val="2"/>
          </rPr>
          <t xml:space="preserve">Brian Nowak:
includes $6.311mn of adj for credits related to travel transaction tax judgements, rulings, and settlements </t>
        </r>
      </text>
    </comment>
    <comment ref="BS77" authorId="9">
      <text>
        <r>
          <rPr>
            <b/>
            <sz val="9"/>
            <color indexed="81"/>
            <rFont val="Tahoma"/>
            <family val="2"/>
          </rPr>
          <t>Liu, Kevin (Research):</t>
        </r>
        <r>
          <rPr>
            <sz val="9"/>
            <color indexed="81"/>
            <rFont val="Tahoma"/>
            <family val="2"/>
          </rPr>
          <t xml:space="preserve">
13.655mn of adjustments related to favorable impact of travel transaction tax judgments, rulings and settlements </t>
        </r>
      </text>
    </comment>
    <comment ref="BQ79" authorId="6">
      <text>
        <r>
          <rPr>
            <b/>
            <sz val="9"/>
            <color indexed="81"/>
            <rFont val="Tahoma"/>
            <family val="2"/>
          </rPr>
          <t>Costantini, Michael (Research):</t>
        </r>
        <r>
          <rPr>
            <sz val="9"/>
            <color indexed="81"/>
            <rFont val="Tahoma"/>
            <family val="2"/>
          </rPr>
          <t xml:space="preserve">
excludes $16.404mn adj to include favorable impact of travel trxn tax judgments</t>
        </r>
      </text>
    </comment>
    <comment ref="BS79" authorId="9">
      <text>
        <r>
          <rPr>
            <b/>
            <sz val="9"/>
            <color indexed="81"/>
            <rFont val="Tahoma"/>
            <family val="2"/>
          </rPr>
          <t>Liu, Kevin (Research):</t>
        </r>
        <r>
          <rPr>
            <sz val="9"/>
            <color indexed="81"/>
            <rFont val="Tahoma"/>
            <family val="2"/>
          </rPr>
          <t xml:space="preserve">
excludes $13.655mn of adjustments to include favorable impact of travel transaction tax judgments</t>
        </r>
      </text>
    </comment>
    <comment ref="BI81" authorId="3">
      <text>
        <r>
          <rPr>
            <b/>
            <sz val="10"/>
            <color indexed="81"/>
            <rFont val="Tahoma"/>
            <family val="2"/>
          </rPr>
          <t>Brian Nowak:
4Q:12 conf call: expect 300-400bp of deleverage in non-GAAP oper income as % of GP</t>
        </r>
      </text>
    </comment>
    <comment ref="BK81" authorId="4">
      <text>
        <r>
          <rPr>
            <b/>
            <sz val="9"/>
            <color indexed="81"/>
            <rFont val="Tahoma"/>
            <family val="2"/>
          </rPr>
          <t>Brian Nowak:
3Q conf call:  ~40bp decline mostly due to Booking.com US TV ad campaign and a "modestly dilutive impact" from Kayak acquisition..implies max 8mn spent on Booking.com TV ad campaign in 3Q</t>
        </r>
      </text>
    </comment>
    <comment ref="BL81" authorId="4">
      <text>
        <r>
          <rPr>
            <b/>
            <sz val="9"/>
            <color indexed="81"/>
            <rFont val="Tahoma"/>
            <family val="2"/>
          </rPr>
          <t>Brian Nowak:
3Q conf call:  expect approx 340bp of deleverage</t>
        </r>
      </text>
    </comment>
    <comment ref="BM81" authorId="5">
      <text>
        <r>
          <rPr>
            <b/>
            <sz val="9"/>
            <color indexed="81"/>
            <rFont val="Tahoma"/>
            <family val="2"/>
          </rPr>
          <t xml:space="preserve"> Brian Nowak:</t>
        </r>
        <r>
          <rPr>
            <sz val="9"/>
            <color indexed="81"/>
            <rFont val="Tahoma"/>
            <family val="2"/>
          </rPr>
          <t xml:space="preserve">
</t>
        </r>
        <r>
          <rPr>
            <b/>
            <sz val="9"/>
            <color indexed="81"/>
            <rFont val="Tahoma"/>
            <family val="2"/>
          </rPr>
          <t xml:space="preserve">4Q:13: </t>
        </r>
        <r>
          <rPr>
            <sz val="9"/>
            <color indexed="81"/>
            <rFont val="Tahoma"/>
            <family val="2"/>
          </rPr>
          <t xml:space="preserve">
expect 290 bps of deleverage in non-GAAP operating income as a percentage of gross profit compared to prior year. 
More than half of the operating deleverage is attributable to growth in offline advertising related to our Booking.com brand and the inclusion of KAYAK offline advertising. </t>
        </r>
      </text>
    </comment>
    <comment ref="BN81" authorId="5">
      <text>
        <r>
          <rPr>
            <b/>
            <sz val="9"/>
            <color indexed="81"/>
            <rFont val="Tahoma"/>
            <family val="2"/>
          </rPr>
          <t xml:space="preserve">Brian Nowak:
2Q:14 conf call:  Operating margins were impacted by 76 bps of deleverage in offline advertising mainly related to our Booking.com TV campaigns and the inclusion of KAYAK offline advertising.
1Q:14 guidance:  expect 300bp deleverage due to:
1) lower online ad ROI
2) higher offline ad spend (shift from 1Q to 2Q…intentionally held back in 1Q due to bad weather in Europe/Canada)
</t>
        </r>
      </text>
    </comment>
    <comment ref="BO81" authorId="5">
      <text>
        <r>
          <rPr>
            <b/>
            <sz val="9"/>
            <color indexed="81"/>
            <rFont val="Tahoma"/>
            <family val="2"/>
          </rPr>
          <t xml:space="preserve"> Brian Nowak:</t>
        </r>
        <r>
          <rPr>
            <sz val="9"/>
            <color indexed="81"/>
            <rFont val="Tahoma"/>
            <family val="2"/>
          </rPr>
          <t xml:space="preserve">
</t>
        </r>
        <r>
          <rPr>
            <b/>
            <sz val="9"/>
            <color indexed="81"/>
            <rFont val="Tahoma"/>
            <family val="2"/>
          </rPr>
          <t>guidance</t>
        </r>
        <r>
          <rPr>
            <sz val="9"/>
            <color indexed="81"/>
            <rFont val="Tahoma"/>
            <family val="2"/>
          </rPr>
          <t xml:space="preserve">
</t>
        </r>
        <r>
          <rPr>
            <sz val="10"/>
            <color indexed="81"/>
            <rFont val="Tahoma"/>
            <family val="2"/>
          </rPr>
          <t>expect 350 bps to 400 bps of de-leverage in non-GAAP operating income as a percentage of gross profit compared to prior year, primarily due to lower online ad ROIs, increased offline spend, and increased investment in other operating expenses.
per MT (9/10/14):  sources of opex delev:
-OPEN:  good margins but coming down due to European investment
-Hotel Ninjas/Buuteeq:  higher opex % of revenue than PCLN Group</t>
        </r>
      </text>
    </comment>
    <comment ref="BP81" authorId="4">
      <text>
        <r>
          <rPr>
            <b/>
            <sz val="9"/>
            <color indexed="81"/>
            <rFont val="Tahoma"/>
            <family val="2"/>
          </rPr>
          <t>Brian Nowak:
3Q:14 conf call:  expect 350bp deleverage as PCLN expects to "invest in advertising and other expenses to support our brands and new initiatives."
per MT (9/10/14):  sources of opex delev:
-OPEN:  good margins but coming down due to European investment
-Hotel Ninjas/Buuteeq:  higher opex % of revenue than PCLN Group</t>
        </r>
      </text>
    </comment>
    <comment ref="BQ81" authorId="4">
      <text>
        <r>
          <rPr>
            <b/>
            <sz val="9"/>
            <color indexed="81"/>
            <rFont val="Tahoma"/>
            <family val="2"/>
          </rPr>
          <t xml:space="preserve">Brian Nowak:
</t>
        </r>
        <r>
          <rPr>
            <sz val="9"/>
            <color indexed="81"/>
            <rFont val="Tahoma"/>
            <family val="2"/>
          </rPr>
          <t>4Q:14 earnings conf call:  expect 550bp deleverage…driven mainly by non-advertising opex</t>
        </r>
        <r>
          <rPr>
            <b/>
            <sz val="9"/>
            <color indexed="81"/>
            <rFont val="Tahoma"/>
            <family val="2"/>
          </rPr>
          <t xml:space="preserve">
per MT (9/10/14):  sources of opex delev:
-OPEN:  good margins but coming down due to European investment
-Hotel Ninjas/Buuteeq:  higher opex % of revenue than PCLN Group</t>
        </r>
      </text>
    </comment>
    <comment ref="BR81" authorId="4">
      <text>
        <r>
          <rPr>
            <b/>
            <sz val="9"/>
            <color indexed="81"/>
            <rFont val="Tahoma"/>
            <family val="2"/>
          </rPr>
          <t xml:space="preserve">Brian Nowak:
</t>
        </r>
        <r>
          <rPr>
            <sz val="9"/>
            <color indexed="81"/>
            <rFont val="Tahoma"/>
            <family val="2"/>
          </rPr>
          <t>1Q:15 earnings conf call:  expect 550bp deleverage…driven mainly by non-advertising opex (adding "people, offices, and IT capacity to build up the capability of the business to handle future growth")</t>
        </r>
        <r>
          <rPr>
            <b/>
            <sz val="9"/>
            <color indexed="81"/>
            <rFont val="Tahoma"/>
            <family val="2"/>
          </rPr>
          <t xml:space="preserve">
per MT (9/10/14):  sources of opex delev:
-OPEN:  good margins but coming down due to European investment
-Hotel Ninjas/Buuteeq:  higher opex % of revenue than PCLN Group</t>
        </r>
      </text>
    </comment>
    <comment ref="BS81" authorId="4">
      <text>
        <r>
          <rPr>
            <b/>
            <sz val="9"/>
            <color indexed="81"/>
            <rFont val="Tahoma"/>
            <family val="2"/>
          </rPr>
          <t>Brian Nowak:</t>
        </r>
        <r>
          <rPr>
            <sz val="9"/>
            <color indexed="81"/>
            <rFont val="Tahoma"/>
            <family val="2"/>
          </rPr>
          <t xml:space="preserve">
2Q:15 earnings conf call:  expect 160bp of deleverage in non-GAAP operating margins</t>
        </r>
        <r>
          <rPr>
            <b/>
            <sz val="9"/>
            <color indexed="81"/>
            <rFont val="Tahoma"/>
            <family val="2"/>
          </rPr>
          <t xml:space="preserve">
per MT (9/10/14):  sources of opex delev:
-OPEN:  good margins but coming down due to European investment
-Hotel Ninjas/Buuteeq:  higher opex % of revenue than PCLN Group</t>
        </r>
      </text>
    </comment>
    <comment ref="BT81" authorId="4">
      <text>
        <r>
          <rPr>
            <b/>
            <sz val="9"/>
            <color indexed="81"/>
            <rFont val="Tahoma"/>
            <family val="2"/>
          </rPr>
          <t xml:space="preserve">Brian Nowak:
</t>
        </r>
        <r>
          <rPr>
            <sz val="9"/>
            <color indexed="81"/>
            <rFont val="Tahoma"/>
            <family val="2"/>
          </rPr>
          <t>3Q:15 earnings conf call:  expect 140bp of deleverage in non-GAAP operating margins</t>
        </r>
        <r>
          <rPr>
            <b/>
            <sz val="9"/>
            <color indexed="81"/>
            <rFont val="Tahoma"/>
            <family val="2"/>
          </rPr>
          <t xml:space="preserve">
per MT (9/10/14):  sources of opex delev:
-Hotel Ninjas/Buuteeq:  higher opex % of revenue than PCLN Group
(lapping first full qtr of OPEN)</t>
        </r>
      </text>
    </comment>
    <comment ref="BU81" authorId="6">
      <text>
        <r>
          <rPr>
            <b/>
            <sz val="9"/>
            <color indexed="81"/>
            <rFont val="Tahoma"/>
            <family val="2"/>
          </rPr>
          <t>Costantini, Michael (Research):</t>
        </r>
        <r>
          <rPr>
            <sz val="9"/>
            <color indexed="81"/>
            <rFont val="Tahoma"/>
            <family val="2"/>
          </rPr>
          <t xml:space="preserve">
4Q:15 earnings conf call:  expect </t>
        </r>
        <r>
          <rPr>
            <b/>
            <sz val="9"/>
            <color indexed="81"/>
            <rFont val="Tahoma"/>
            <family val="2"/>
          </rPr>
          <t>140bp of deleverage</t>
        </r>
        <r>
          <rPr>
            <sz val="9"/>
            <color indexed="81"/>
            <rFont val="Tahoma"/>
            <family val="2"/>
          </rPr>
          <t xml:space="preserve"> in non-GAAP operating margins due to PCLN's "online ad efficiency assumptions" (deterioration from current levels and provides PCLN with flexibility)
</t>
        </r>
      </text>
    </comment>
    <comment ref="BV81" authorId="6">
      <text>
        <r>
          <rPr>
            <b/>
            <sz val="9"/>
            <color indexed="81"/>
            <rFont val="Tahoma"/>
            <family val="2"/>
          </rPr>
          <t>Costantini, Michael (Research):</t>
        </r>
        <r>
          <rPr>
            <sz val="9"/>
            <color indexed="81"/>
            <rFont val="Tahoma"/>
            <family val="2"/>
          </rPr>
          <t xml:space="preserve">
1Q:16 earnings conf call:  expect </t>
        </r>
        <r>
          <rPr>
            <b/>
            <sz val="9"/>
            <color indexed="81"/>
            <rFont val="Tahoma"/>
            <family val="2"/>
          </rPr>
          <t>575bp of deleverage</t>
        </r>
        <r>
          <rPr>
            <sz val="9"/>
            <color indexed="81"/>
            <rFont val="Tahoma"/>
            <family val="2"/>
          </rPr>
          <t xml:space="preserve"> in non-GAAP operating margins
 -Almost 50% due to Easter and increased brand advertising (-$7mn / -$30mn using bottom/top end of GP guide)
 -investment in non ad opex in core accommodations business ahead of peak travel season
40mn headwind from easter shift
</t>
        </r>
      </text>
    </comment>
    <comment ref="BW81" authorId="6">
      <text>
        <r>
          <rPr>
            <b/>
            <sz val="9"/>
            <color indexed="81"/>
            <rFont val="Tahoma"/>
            <family val="2"/>
          </rPr>
          <t>Costantini, Michael (Research):</t>
        </r>
        <r>
          <rPr>
            <sz val="9"/>
            <color indexed="81"/>
            <rFont val="Tahoma"/>
            <family val="2"/>
          </rPr>
          <t xml:space="preserve">
2Q:16 earnings conf call:  expect </t>
        </r>
        <r>
          <rPr>
            <b/>
            <sz val="9"/>
            <color indexed="81"/>
            <rFont val="Tahoma"/>
            <family val="2"/>
          </rPr>
          <t>260bp of deleverage</t>
        </r>
        <r>
          <rPr>
            <sz val="9"/>
            <color indexed="81"/>
            <rFont val="Tahoma"/>
            <family val="2"/>
          </rPr>
          <t xml:space="preserve"> in non-GAAP operating margins, driven by:
-pressure on ROIs thus far in Q3 (comping periods with improved ROI performance last year)
-forecast assumes further ROI deterioration over the balance of the quarter to provide flexibility in a dynamic market to follow consistent approach of generating gross bookings at reasonable ROIs
</t>
        </r>
      </text>
    </comment>
    <comment ref="CV81" authorId="6">
      <text>
        <r>
          <rPr>
            <b/>
            <sz val="9"/>
            <color indexed="81"/>
            <rFont val="Tahoma"/>
            <family val="2"/>
          </rPr>
          <t>Costantini, Michael (Research):</t>
        </r>
        <r>
          <rPr>
            <sz val="9"/>
            <color indexed="81"/>
            <rFont val="Tahoma"/>
            <family val="2"/>
          </rPr>
          <t xml:space="preserve">
4Q:14 earnings conf call: expect pressure on oper margins to significant diminish as go throughout yr, as lap OPEN (partial qtr in 3Q:15, full qtr in 4Q:15) and the launch of Booking Suite
 </t>
        </r>
      </text>
    </comment>
    <comment ref="BQ83" authorId="6">
      <text>
        <r>
          <rPr>
            <b/>
            <sz val="9"/>
            <color indexed="81"/>
            <rFont val="Tahoma"/>
            <family val="2"/>
          </rPr>
          <t>Costantini, Michael (Research):</t>
        </r>
        <r>
          <rPr>
            <sz val="9"/>
            <color indexed="81"/>
            <rFont val="Tahoma"/>
            <family val="2"/>
          </rPr>
          <t xml:space="preserve">
includes Adjustment to exclude favorable impact of travel transaction tax judgments, rulings and settlements</t>
        </r>
      </text>
    </comment>
    <comment ref="BS83" authorId="6">
      <text>
        <r>
          <rPr>
            <b/>
            <sz val="9"/>
            <color indexed="81"/>
            <rFont val="Tahoma"/>
            <family val="2"/>
          </rPr>
          <t>Costantini, Michael (Research):</t>
        </r>
        <r>
          <rPr>
            <sz val="9"/>
            <color indexed="81"/>
            <rFont val="Tahoma"/>
            <family val="2"/>
          </rPr>
          <t xml:space="preserve">
includes Adjustment to exclude favorable impact of travel transaction tax judgments, rulings and settlements</t>
        </r>
      </text>
    </comment>
    <comment ref="CV83" authorId="6">
      <text>
        <r>
          <rPr>
            <b/>
            <sz val="9"/>
            <color indexed="81"/>
            <rFont val="Tahoma"/>
            <family val="2"/>
          </rPr>
          <t>Costantini, Michael (Research):</t>
        </r>
        <r>
          <rPr>
            <sz val="9"/>
            <color indexed="81"/>
            <rFont val="Tahoma"/>
            <family val="2"/>
          </rPr>
          <t xml:space="preserve">
includes Adjustment to exclude favorable impact of travel transaction tax judgments, rulings and settlements</t>
        </r>
      </text>
    </comment>
    <comment ref="BA87" authorId="0">
      <text>
        <r>
          <rPr>
            <b/>
            <sz val="8"/>
            <color indexed="81"/>
            <rFont val="Tahoma"/>
            <family val="2"/>
          </rPr>
          <t>Brian Nowak:
Guidance  for 147-157
Deleverage in 1Q due to seasonal timing, but expect leverage in back half</t>
        </r>
      </text>
    </comment>
    <comment ref="BB87" authorId="0">
      <text>
        <r>
          <rPr>
            <b/>
            <sz val="8"/>
            <color indexed="81"/>
            <rFont val="Tahoma"/>
            <family val="2"/>
          </rPr>
          <t xml:space="preserve">Brian Nowak:
guidance $310 to $320
4Q:10 conf call
</t>
        </r>
      </text>
    </comment>
    <comment ref="BC87" authorId="0">
      <text>
        <r>
          <rPr>
            <b/>
            <sz val="8"/>
            <color indexed="81"/>
            <rFont val="Tahoma"/>
            <family val="2"/>
          </rPr>
          <t>Brian Nowak:
guidance $595m-$615m</t>
        </r>
      </text>
    </comment>
    <comment ref="BD87" authorId="0">
      <text>
        <r>
          <rPr>
            <b/>
            <sz val="8"/>
            <color indexed="81"/>
            <rFont val="Tahoma"/>
            <family val="2"/>
          </rPr>
          <t>Brian Nowak:
guidance for $310-330</t>
        </r>
      </text>
    </comment>
    <comment ref="BE87" authorId="0">
      <text>
        <r>
          <rPr>
            <b/>
            <sz val="8"/>
            <color indexed="81"/>
            <rFont val="Tahoma"/>
            <family val="2"/>
          </rPr>
          <t>Brian Nowak:
guidance 243-253</t>
        </r>
      </text>
    </comment>
    <comment ref="BF87" authorId="2">
      <text>
        <r>
          <rPr>
            <b/>
            <sz val="8"/>
            <color indexed="81"/>
            <rFont val="Tahoma"/>
            <family val="2"/>
          </rPr>
          <t>Brian Nowak:
guidance 450-470m</t>
        </r>
      </text>
    </comment>
    <comment ref="BG87" authorId="3">
      <text>
        <r>
          <rPr>
            <b/>
            <sz val="10"/>
            <color indexed="81"/>
            <rFont val="Tahoma"/>
            <family val="2"/>
          </rPr>
          <t>Brian Nowak:
guidance for $690mn-$765mn</t>
        </r>
      </text>
    </comment>
    <comment ref="BH87" authorId="2">
      <text>
        <r>
          <rPr>
            <b/>
            <sz val="10"/>
            <color indexed="81"/>
            <rFont val="Tahoma"/>
            <family val="2"/>
          </rPr>
          <t xml:space="preserve">Brian Nowak:
guidance $381-$421
</t>
        </r>
      </text>
    </comment>
    <comment ref="BI87" authorId="2">
      <text>
        <r>
          <rPr>
            <b/>
            <sz val="10"/>
            <color indexed="81"/>
            <rFont val="Tahoma"/>
            <family val="2"/>
          </rPr>
          <t>Brian Nowak:
guidance $316-$346mn</t>
        </r>
      </text>
    </comment>
    <comment ref="BJ87" authorId="4">
      <text>
        <r>
          <rPr>
            <b/>
            <sz val="9"/>
            <color indexed="81"/>
            <rFont val="Tahoma"/>
            <family val="2"/>
          </rPr>
          <t>Brian Nowak:
guidance:  $560mn to $595mn 
manually adjust for 6.444 acquis amort</t>
        </r>
      </text>
    </comment>
    <comment ref="BK87" authorId="5">
      <text>
        <r>
          <rPr>
            <b/>
            <sz val="9"/>
            <color indexed="81"/>
            <rFont val="Tahoma"/>
            <family val="2"/>
          </rPr>
          <t xml:space="preserve"> Brian Nowak:</t>
        </r>
        <r>
          <rPr>
            <sz val="9"/>
            <color indexed="81"/>
            <rFont val="Tahoma"/>
            <family val="2"/>
          </rPr>
          <t xml:space="preserve">
guidance $990-$1055</t>
        </r>
      </text>
    </comment>
    <comment ref="BL87" authorId="4">
      <text>
        <r>
          <rPr>
            <b/>
            <sz val="9"/>
            <color indexed="81"/>
            <rFont val="Tahoma"/>
            <family val="2"/>
          </rPr>
          <t>Brian Nowak:
3Q guidance:  $510mn - $540mn</t>
        </r>
      </text>
    </comment>
    <comment ref="BM87" authorId="5">
      <text>
        <r>
          <rPr>
            <b/>
            <sz val="9"/>
            <color indexed="81"/>
            <rFont val="Tahoma"/>
            <family val="2"/>
          </rPr>
          <t xml:space="preserve"> Brian Nowak:</t>
        </r>
        <r>
          <rPr>
            <sz val="9"/>
            <color indexed="81"/>
            <rFont val="Tahoma"/>
            <family val="2"/>
          </rPr>
          <t xml:space="preserve">
4Q:13 guidance 420-450mn</t>
        </r>
      </text>
    </comment>
    <comment ref="BN87" authorId="5">
      <text>
        <r>
          <rPr>
            <b/>
            <sz val="9"/>
            <color indexed="81"/>
            <rFont val="Tahoma"/>
            <family val="2"/>
          </rPr>
          <t>Brian Nowak:
1Q:14 guidance $725mn-$775mn</t>
        </r>
      </text>
    </comment>
    <comment ref="BO87" authorId="5">
      <text>
        <r>
          <rPr>
            <b/>
            <sz val="9"/>
            <color indexed="81"/>
            <rFont val="Tahoma"/>
            <family val="2"/>
          </rPr>
          <t>Brian Nowak:
2Q:14 guidance $1.265bn-$1.365bn</t>
        </r>
      </text>
    </comment>
    <comment ref="BP87" authorId="5">
      <text>
        <r>
          <rPr>
            <b/>
            <sz val="9"/>
            <color indexed="81"/>
            <rFont val="Tahoma"/>
            <family val="2"/>
          </rPr>
          <t>Brian Nowak:
3Q:14 guidance $625mn-$665mn</t>
        </r>
      </text>
    </comment>
    <comment ref="BQ87" authorId="6">
      <text>
        <r>
          <rPr>
            <b/>
            <sz val="9"/>
            <color indexed="81"/>
            <rFont val="Tahoma"/>
            <family val="2"/>
          </rPr>
          <t>Costantini, Michael (Research):</t>
        </r>
        <r>
          <rPr>
            <sz val="9"/>
            <color indexed="81"/>
            <rFont val="Tahoma"/>
            <family val="2"/>
          </rPr>
          <t xml:space="preserve">
4Q:14 guidance:  $475mn-$510mn</t>
        </r>
      </text>
    </comment>
    <comment ref="BR87" authorId="6">
      <text>
        <r>
          <rPr>
            <b/>
            <sz val="9"/>
            <color indexed="81"/>
            <rFont val="Tahoma"/>
            <family val="2"/>
          </rPr>
          <t>Costantini, Michael (Research):</t>
        </r>
        <r>
          <rPr>
            <sz val="9"/>
            <color indexed="81"/>
            <rFont val="Tahoma"/>
            <family val="2"/>
          </rPr>
          <t xml:space="preserve">
1Q:15 guidance:  $715mn to $765mn</t>
        </r>
      </text>
    </comment>
    <comment ref="BS87" authorId="6">
      <text>
        <r>
          <rPr>
            <b/>
            <sz val="9"/>
            <color indexed="81"/>
            <rFont val="Tahoma"/>
            <family val="2"/>
          </rPr>
          <t>Costantini, Michael (Research):</t>
        </r>
        <r>
          <rPr>
            <sz val="9"/>
            <color indexed="81"/>
            <rFont val="Tahoma"/>
            <family val="2"/>
          </rPr>
          <t xml:space="preserve">
2Q:15 guidance:  $1.425bn to $1.525bn</t>
        </r>
      </text>
    </comment>
    <comment ref="BT87" authorId="6">
      <text>
        <r>
          <rPr>
            <b/>
            <sz val="9"/>
            <color indexed="81"/>
            <rFont val="Tahoma"/>
            <family val="2"/>
          </rPr>
          <t>Costantini, Michael (Research):</t>
        </r>
        <r>
          <rPr>
            <sz val="9"/>
            <color indexed="81"/>
            <rFont val="Tahoma"/>
            <family val="2"/>
          </rPr>
          <t xml:space="preserve">
3Q:15 guidance:  $710mn to $760mn</t>
        </r>
      </text>
    </comment>
    <comment ref="BU87" authorId="6">
      <text>
        <r>
          <rPr>
            <b/>
            <sz val="9"/>
            <color indexed="81"/>
            <rFont val="Tahoma"/>
            <family val="2"/>
          </rPr>
          <t>Costantini, Michael (Research):</t>
        </r>
        <r>
          <rPr>
            <sz val="9"/>
            <color indexed="81"/>
            <rFont val="Tahoma"/>
            <family val="2"/>
          </rPr>
          <t xml:space="preserve">
4Q:15 guidance:  $580mn to $620mn
1Q:16 earnings conf call:  Easter shifted $40mn of GP and adj EBTIDA into 1Q that would have been in 2Q</t>
        </r>
      </text>
    </comment>
    <comment ref="BV87" authorId="6">
      <text>
        <r>
          <rPr>
            <b/>
            <sz val="9"/>
            <color indexed="81"/>
            <rFont val="Tahoma"/>
            <family val="2"/>
          </rPr>
          <t>Costantini, Michael (Research):</t>
        </r>
        <r>
          <rPr>
            <sz val="9"/>
            <color indexed="81"/>
            <rFont val="Tahoma"/>
            <family val="2"/>
          </rPr>
          <t xml:space="preserve">
1Q:16 guidance:  $740mn to $795mn
1Q:16 earnings conf call:  Easter shifted $40mn of GP and adj EBTIDA into 1Q that would have been in 2Q</t>
        </r>
      </text>
    </comment>
    <comment ref="BW87" authorId="6">
      <text>
        <r>
          <rPr>
            <b/>
            <sz val="9"/>
            <color indexed="81"/>
            <rFont val="Tahoma"/>
            <family val="2"/>
          </rPr>
          <t>Costantini, Michael (Research):</t>
        </r>
        <r>
          <rPr>
            <sz val="9"/>
            <color indexed="81"/>
            <rFont val="Tahoma"/>
            <family val="2"/>
          </rPr>
          <t xml:space="preserve">
2Q:16 guidance:  $1.73bn to $1.83bn
</t>
        </r>
      </text>
    </comment>
    <comment ref="CT87" authorId="4">
      <text>
        <r>
          <rPr>
            <b/>
            <sz val="9"/>
            <color indexed="81"/>
            <rFont val="Tahoma"/>
            <family val="2"/>
          </rPr>
          <t>Brian Nowak:
manually adjusted in 2Q:13 for $6.444mn acquis amort</t>
        </r>
      </text>
    </comment>
    <comment ref="BX95" authorId="6">
      <text>
        <r>
          <rPr>
            <b/>
            <sz val="9"/>
            <color indexed="81"/>
            <rFont val="Tahoma"/>
            <family val="2"/>
          </rPr>
          <t>Costantini, Michael (Research):</t>
        </r>
        <r>
          <rPr>
            <sz val="9"/>
            <color indexed="81"/>
            <rFont val="Tahoma"/>
            <family val="2"/>
          </rPr>
          <t xml:space="preserve">
3Q:16 guidance:  $755mn to $795mn
</t>
        </r>
      </text>
    </comment>
    <comment ref="BY95" authorId="6">
      <text>
        <r>
          <rPr>
            <b/>
            <sz val="9"/>
            <color indexed="81"/>
            <rFont val="Tahoma"/>
            <family val="2"/>
          </rPr>
          <t>Costantini, Michael (Research):</t>
        </r>
        <r>
          <rPr>
            <sz val="9"/>
            <color indexed="81"/>
            <rFont val="Tahoma"/>
            <family val="2"/>
          </rPr>
          <t xml:space="preserve">
4Q:16 guidance:  $550mn to $580mn
</t>
        </r>
      </text>
    </comment>
    <comment ref="BZ95" authorId="7">
      <text>
        <r>
          <rPr>
            <b/>
            <sz val="9"/>
            <color indexed="81"/>
            <rFont val="Tahoma"/>
            <family val="2"/>
          </rPr>
          <t>Nowak, Brian (Research):</t>
        </r>
        <r>
          <rPr>
            <sz val="9"/>
            <color indexed="81"/>
            <rFont val="Tahoma"/>
            <family val="2"/>
          </rPr>
          <t xml:space="preserve">
1Q:17 guidance 860-905</t>
        </r>
      </text>
    </comment>
    <comment ref="CA95" authorId="7">
      <text>
        <r>
          <rPr>
            <b/>
            <sz val="9"/>
            <color indexed="81"/>
            <rFont val="Tahoma"/>
            <family val="2"/>
          </rPr>
          <t>Nowak, Brian (Research):</t>
        </r>
        <r>
          <rPr>
            <sz val="9"/>
            <color indexed="81"/>
            <rFont val="Tahoma"/>
            <family val="2"/>
          </rPr>
          <t xml:space="preserve">
2q:17 guidance 2030-2130</t>
        </r>
      </text>
    </comment>
    <comment ref="CB95" authorId="8">
      <text>
        <r>
          <rPr>
            <b/>
            <sz val="9"/>
            <color indexed="81"/>
            <rFont val="Tahoma"/>
            <family val="2"/>
          </rPr>
          <t>Wang, Alaxandar (Research):</t>
        </r>
        <r>
          <rPr>
            <sz val="9"/>
            <color indexed="81"/>
            <rFont val="Tahoma"/>
            <family val="2"/>
          </rPr>
          <t xml:space="preserve">
guidance 870-910</t>
        </r>
      </text>
    </comment>
    <comment ref="CC95" authorId="8">
      <text>
        <r>
          <rPr>
            <b/>
            <sz val="9"/>
            <color indexed="81"/>
            <rFont val="Tahoma"/>
            <family val="2"/>
          </rPr>
          <t>Wang, Alaxandar (Research):</t>
        </r>
        <r>
          <rPr>
            <sz val="9"/>
            <color indexed="81"/>
            <rFont val="Tahoma"/>
            <family val="2"/>
          </rPr>
          <t xml:space="preserve">
per 4Q earnings: $680-705mn</t>
        </r>
      </text>
    </comment>
    <comment ref="BX96" authorId="6">
      <text>
        <r>
          <rPr>
            <b/>
            <sz val="9"/>
            <color indexed="81"/>
            <rFont val="Tahoma"/>
            <family val="2"/>
          </rPr>
          <t>Costantini, Michael (Research):</t>
        </r>
        <r>
          <rPr>
            <sz val="9"/>
            <color indexed="81"/>
            <rFont val="Tahoma"/>
            <family val="2"/>
          </rPr>
          <t xml:space="preserve">
3Q:16 earnings conf call:  We forecast that adjusted EBITDA will grow more slowly than gross profit, due to forecasted ROI pressure for performance advertising. Our forecast assumes further deterioration in ROIs over the balance of the quarter, to provide us with flexibility in a dynamic market, to follow our consistent approach of generating gross bookings at reasonable ROIs.</t>
        </r>
      </text>
    </comment>
    <comment ref="BF104" authorId="2">
      <text>
        <r>
          <rPr>
            <b/>
            <sz val="8"/>
            <color indexed="81"/>
            <rFont val="Tahoma"/>
            <family val="2"/>
          </rPr>
          <t>Brian Nowak:
4m of incremetnal cash interest in 2Q:11 due to borrowing</t>
        </r>
      </text>
    </comment>
    <comment ref="BI104" authorId="3">
      <text>
        <r>
          <rPr>
            <b/>
            <sz val="10"/>
            <color indexed="81"/>
            <rFont val="Tahoma"/>
            <family val="2"/>
          </rPr>
          <t>Brian Nowak:
$2mn additional int exp due to convert bonds issued March 2012</t>
        </r>
      </text>
    </comment>
    <comment ref="CT104" authorId="3">
      <text>
        <r>
          <rPr>
            <b/>
            <sz val="10"/>
            <color indexed="81"/>
            <rFont val="Tahoma"/>
            <family val="2"/>
          </rPr>
          <t>Brian Nowak:
adjusted for $2mn additional int exp due to convert bonds issued March 2012</t>
        </r>
      </text>
    </comment>
    <comment ref="I105" authorId="4">
      <text>
        <r>
          <rPr>
            <b/>
            <sz val="9"/>
            <color indexed="81"/>
            <rFont val="Tahoma"/>
            <family val="2"/>
          </rPr>
          <t xml:space="preserve">Brian Nowak:
per MT:  9/10/14:  PCLN hedges expected bottom line between earnings call and end of next qtr.  Hedging gains included in EPS.  Hedge GBP and EUR
</t>
        </r>
      </text>
    </comment>
    <comment ref="AZ105" authorId="0">
      <text>
        <r>
          <rPr>
            <b/>
            <sz val="8"/>
            <color indexed="81"/>
            <rFont val="Tahoma"/>
            <family val="2"/>
          </rPr>
          <t xml:space="preserve">Brian Nowak:
guidance </t>
        </r>
      </text>
    </comment>
    <comment ref="AZ106" authorId="0">
      <text>
        <r>
          <rPr>
            <b/>
            <sz val="8"/>
            <color indexed="81"/>
            <rFont val="Tahoma"/>
            <family val="2"/>
          </rPr>
          <t>Brian Nowak:
guidance for total below line impact of $-6.5m (including minority interest</t>
        </r>
      </text>
    </comment>
    <comment ref="AK118" authorId="0">
      <text>
        <r>
          <rPr>
            <b/>
            <sz val="8"/>
            <color indexed="81"/>
            <rFont val="Tahoma"/>
            <family val="2"/>
          </rPr>
          <t>Brian Nowak:
accrued interest on excise tax refund</t>
        </r>
      </text>
    </comment>
    <comment ref="AL118" authorId="0">
      <text>
        <r>
          <rPr>
            <b/>
            <sz val="8"/>
            <color indexed="81"/>
            <rFont val="Tahoma"/>
            <family val="2"/>
          </rPr>
          <t>Brian Nowak:
accrued interest on excise tax refund</t>
        </r>
      </text>
    </comment>
    <comment ref="AM118" authorId="0">
      <text>
        <r>
          <rPr>
            <b/>
            <sz val="8"/>
            <color indexed="81"/>
            <rFont val="Tahoma"/>
            <family val="2"/>
          </rPr>
          <t>Brian Nowak:
accrued interest on excise tax refund</t>
        </r>
      </text>
    </comment>
    <comment ref="AR118" authorId="0">
      <text>
        <r>
          <rPr>
            <b/>
            <sz val="8"/>
            <color indexed="81"/>
            <rFont val="Tahoma"/>
            <family val="2"/>
          </rPr>
          <t>Brian Nowak:
amort of discount of convertible</t>
        </r>
      </text>
    </comment>
    <comment ref="AS118" authorId="0">
      <text>
        <r>
          <rPr>
            <b/>
            <sz val="8"/>
            <color indexed="81"/>
            <rFont val="Tahoma"/>
            <family val="2"/>
          </rPr>
          <t>Brian Nowak:
amort of dicount related to convertible</t>
        </r>
      </text>
    </comment>
    <comment ref="AT118" authorId="0">
      <text>
        <r>
          <rPr>
            <b/>
            <sz val="8"/>
            <color indexed="81"/>
            <rFont val="Tahoma"/>
            <family val="2"/>
          </rPr>
          <t>Brian Nowak:
discount amoort on convert</t>
        </r>
      </text>
    </comment>
    <comment ref="AU118" authorId="0">
      <text>
        <r>
          <rPr>
            <b/>
            <sz val="8"/>
            <color indexed="81"/>
            <rFont val="Tahoma"/>
            <family val="2"/>
          </rPr>
          <t>Brian Nowak:
amort of discount of convertible</t>
        </r>
      </text>
    </comment>
    <comment ref="AV118" authorId="0">
      <text>
        <r>
          <rPr>
            <b/>
            <sz val="8"/>
            <color indexed="81"/>
            <rFont val="Tahoma"/>
            <family val="2"/>
          </rPr>
          <t>Brian Nowak:
amort of discount of convertible</t>
        </r>
      </text>
    </comment>
    <comment ref="AW118" authorId="0">
      <text>
        <r>
          <rPr>
            <b/>
            <sz val="8"/>
            <color indexed="81"/>
            <rFont val="Tahoma"/>
            <family val="2"/>
          </rPr>
          <t>Brian Nowak:
5.251 for loss early exting debt</t>
        </r>
      </text>
    </comment>
    <comment ref="AX118" authorId="0">
      <text>
        <r>
          <rPr>
            <b/>
            <sz val="8"/>
            <color indexed="81"/>
            <rFont val="Tahoma"/>
            <family val="2"/>
          </rPr>
          <t>Brian Nowak:
loss on early exting debt</t>
        </r>
      </text>
    </comment>
    <comment ref="AY118" authorId="0">
      <text>
        <r>
          <rPr>
            <b/>
            <sz val="8"/>
            <color indexed="81"/>
            <rFont val="Tahoma"/>
            <family val="2"/>
          </rPr>
          <t>Brian Nowak:
 loss early exting debt</t>
        </r>
      </text>
    </comment>
    <comment ref="BA118" authorId="10">
      <text>
        <r>
          <rPr>
            <b/>
            <sz val="8"/>
            <color indexed="81"/>
            <rFont val="Tahoma"/>
            <family val="2"/>
          </rPr>
          <t>Brian Nowak:
Loss on early extinguished debt</t>
        </r>
      </text>
    </comment>
    <comment ref="BL118" authorId="4">
      <text>
        <r>
          <rPr>
            <b/>
            <sz val="9"/>
            <color indexed="81"/>
            <rFont val="Tahoma"/>
            <family val="2"/>
          </rPr>
          <t>Brian Nowak:
loss on early extinguishment of debt</t>
        </r>
      </text>
    </comment>
    <comment ref="BM118" authorId="4">
      <text>
        <r>
          <rPr>
            <b/>
            <sz val="9"/>
            <color indexed="81"/>
            <rFont val="Tahoma"/>
            <family val="2"/>
          </rPr>
          <t>Brian Nowak:
loss on early extinguishment of debt</t>
        </r>
      </text>
    </comment>
    <comment ref="BN118" authorId="4">
      <text>
        <r>
          <rPr>
            <b/>
            <sz val="9"/>
            <color indexed="81"/>
            <rFont val="Tahoma"/>
            <family val="2"/>
          </rPr>
          <t>Brian Nowak:
loss on early extinguishment of debt</t>
        </r>
      </text>
    </comment>
    <comment ref="BO118" authorId="4">
      <text>
        <r>
          <rPr>
            <b/>
            <sz val="9"/>
            <color indexed="81"/>
            <rFont val="Tahoma"/>
            <family val="2"/>
          </rPr>
          <t>Brian Nowak:
loss on early extinguishment of debt</t>
        </r>
      </text>
    </comment>
    <comment ref="BP118" authorId="4">
      <text>
        <r>
          <rPr>
            <b/>
            <sz val="9"/>
            <color indexed="81"/>
            <rFont val="Tahoma"/>
            <family val="2"/>
          </rPr>
          <t>Brian Nowak:
loss on early extinguishment of debt</t>
        </r>
      </text>
    </comment>
    <comment ref="BU118" authorId="6">
      <text>
        <r>
          <rPr>
            <b/>
            <sz val="9"/>
            <color indexed="81"/>
            <rFont val="Tahoma"/>
            <family val="2"/>
          </rPr>
          <t>Costantini, Michael (Research):</t>
        </r>
        <r>
          <rPr>
            <sz val="9"/>
            <color indexed="81"/>
            <rFont val="Tahoma"/>
            <family val="2"/>
          </rPr>
          <t xml:space="preserve">
1Q:16 earnings conf call:  impairment in value of cost method investment in Hotel Urbano - macro issues in Brazil
1Q:16 earnings press release:  Impairment of cost-method investment</t>
        </r>
      </text>
    </comment>
    <comment ref="BV118" authorId="6">
      <text>
        <r>
          <rPr>
            <b/>
            <sz val="9"/>
            <color indexed="81"/>
            <rFont val="Tahoma"/>
            <family val="2"/>
          </rPr>
          <t>Costantini, Michael (Research):</t>
        </r>
        <r>
          <rPr>
            <sz val="9"/>
            <color indexed="81"/>
            <rFont val="Tahoma"/>
            <family val="2"/>
          </rPr>
          <t xml:space="preserve">
2Q:16 earnings conf call:  impairment in value of cost method investment in Hotel Urbano - macro issues in Brazil
</t>
        </r>
      </text>
    </comment>
    <comment ref="AR119" authorId="0">
      <text>
        <r>
          <rPr>
            <b/>
            <sz val="8"/>
            <color indexed="81"/>
            <rFont val="Tahoma"/>
            <family val="2"/>
          </rPr>
          <t>Brian Nowak:
gain on early exting debt</t>
        </r>
      </text>
    </comment>
    <comment ref="AS119" authorId="0">
      <text>
        <r>
          <rPr>
            <b/>
            <sz val="8"/>
            <color indexed="81"/>
            <rFont val="Tahoma"/>
            <family val="2"/>
          </rPr>
          <t>Brian Nowak:
2.87 gain on early exting of debt</t>
        </r>
      </text>
    </comment>
    <comment ref="AT119" authorId="0">
      <text>
        <r>
          <rPr>
            <b/>
            <sz val="8"/>
            <color indexed="81"/>
            <rFont val="Tahoma"/>
            <family val="2"/>
          </rPr>
          <t>Brian Nowak:
gain early exting debt</t>
        </r>
      </text>
    </comment>
    <comment ref="AU119" authorId="0">
      <text>
        <r>
          <rPr>
            <b/>
            <sz val="8"/>
            <color indexed="81"/>
            <rFont val="Tahoma"/>
            <family val="2"/>
          </rPr>
          <t>Brian Nowak:
loss early exting debt</t>
        </r>
      </text>
    </comment>
    <comment ref="AV119" authorId="0">
      <text>
        <r>
          <rPr>
            <b/>
            <sz val="8"/>
            <color indexed="81"/>
            <rFont val="Tahoma"/>
            <family val="2"/>
          </rPr>
          <t>Brian Nowak:
loss  on early exting of debt</t>
        </r>
      </text>
    </comment>
    <comment ref="AW119" authorId="0">
      <text>
        <r>
          <rPr>
            <b/>
            <sz val="8"/>
            <color indexed="81"/>
            <rFont val="Tahoma"/>
            <family val="2"/>
          </rPr>
          <t>Brian Nowak:
amort of dicount related to convertible</t>
        </r>
      </text>
    </comment>
    <comment ref="AX119" authorId="0">
      <text>
        <r>
          <rPr>
            <b/>
            <sz val="8"/>
            <color indexed="81"/>
            <rFont val="Tahoma"/>
            <family val="2"/>
          </rPr>
          <t>Brian Nowak:
discount amoort on convert</t>
        </r>
      </text>
    </comment>
    <comment ref="AY119" authorId="0">
      <text>
        <r>
          <rPr>
            <b/>
            <sz val="8"/>
            <color indexed="81"/>
            <rFont val="Tahoma"/>
            <family val="2"/>
          </rPr>
          <t>Brian Nowak:
amort of dicount related to convertible</t>
        </r>
      </text>
    </comment>
    <comment ref="AZ119" authorId="0">
      <text>
        <r>
          <rPr>
            <b/>
            <sz val="8"/>
            <color indexed="81"/>
            <rFont val="Tahoma"/>
            <family val="2"/>
          </rPr>
          <t>Brian Nowak:
debt discount amort related to convert</t>
        </r>
      </text>
    </comment>
    <comment ref="BA119" authorId="10">
      <text>
        <r>
          <rPr>
            <b/>
            <sz val="8"/>
            <color indexed="81"/>
            <rFont val="Tahoma"/>
            <family val="2"/>
          </rPr>
          <t>Brian Nowak:
Debt discount amortization related to convertible debt</t>
        </r>
      </text>
    </comment>
    <comment ref="BB119" authorId="10">
      <text>
        <r>
          <rPr>
            <b/>
            <sz val="8"/>
            <color indexed="81"/>
            <rFont val="Tahoma"/>
            <family val="2"/>
          </rPr>
          <t xml:space="preserve">Brian Nowak:
5.314:
Debt discount amort related to convertible debt
</t>
        </r>
      </text>
    </comment>
    <comment ref="BH119" authorId="2">
      <text>
        <r>
          <rPr>
            <b/>
            <sz val="10"/>
            <color indexed="81"/>
            <rFont val="Tahoma"/>
            <family val="2"/>
          </rPr>
          <t>Brian Nowak:
includes charges related to hotel occupancy tax ruling (Hawaii) of $16.126mn</t>
        </r>
      </text>
    </comment>
    <comment ref="BL119" authorId="5">
      <text>
        <r>
          <rPr>
            <b/>
            <sz val="9"/>
            <color indexed="81"/>
            <rFont val="Tahoma"/>
            <family val="2"/>
          </rPr>
          <t xml:space="preserve"> Brian Nowak:</t>
        </r>
        <r>
          <rPr>
            <sz val="9"/>
            <color indexed="81"/>
            <rFont val="Tahoma"/>
            <family val="2"/>
          </rPr>
          <t xml:space="preserve">
includes 26.7mn loss on early extinguidment of debt</t>
        </r>
      </text>
    </comment>
    <comment ref="BS119" authorId="9">
      <text>
        <r>
          <rPr>
            <b/>
            <sz val="9"/>
            <color indexed="81"/>
            <rFont val="Tahoma"/>
            <family val="2"/>
          </rPr>
          <t>Liu, Kevin (Research):</t>
        </r>
        <r>
          <rPr>
            <sz val="9"/>
            <color indexed="81"/>
            <rFont val="Tahoma"/>
            <family val="2"/>
          </rPr>
          <t xml:space="preserve">
excludes $13.655mn of adjustments to include favorable impact of travel transaction tax judgments</t>
        </r>
      </text>
    </comment>
    <comment ref="BB121" authorId="1">
      <text>
        <r>
          <rPr>
            <b/>
            <sz val="8"/>
            <color indexed="81"/>
            <rFont val="Tahoma"/>
            <family val="2"/>
          </rPr>
          <t>Brian Nowak:</t>
        </r>
        <r>
          <rPr>
            <sz val="8"/>
            <color indexed="81"/>
            <rFont val="Tahoma"/>
            <family val="2"/>
          </rPr>
          <t xml:space="preserve">
guidance for -9; primarily FX losses, net interest expense and non-controlling int</t>
        </r>
      </text>
    </comment>
    <comment ref="BB134" authorId="0">
      <text>
        <r>
          <rPr>
            <b/>
            <sz val="8"/>
            <color indexed="81"/>
            <rFont val="Tahoma"/>
            <family val="2"/>
          </rPr>
          <t>Brian Nowak:
adjusted
12.528:
Adjsutment to Income tax expense to exclude the benefit from the reversal of a reseve for unrecognized tax benefits</t>
        </r>
      </text>
    </comment>
    <comment ref="BC134" authorId="0">
      <text>
        <r>
          <rPr>
            <b/>
            <sz val="8"/>
            <color indexed="81"/>
            <rFont val="Tahoma"/>
            <family val="2"/>
          </rPr>
          <t>Brian Nowak:
adjusted for non-GAAP adjustments</t>
        </r>
      </text>
    </comment>
    <comment ref="BB135" authorId="1">
      <text>
        <r>
          <rPr>
            <b/>
            <sz val="8"/>
            <color indexed="81"/>
            <rFont val="Tahoma"/>
            <family val="2"/>
          </rPr>
          <t>Brian Nowak:</t>
        </r>
        <r>
          <rPr>
            <sz val="8"/>
            <color indexed="81"/>
            <rFont val="Tahoma"/>
            <family val="2"/>
          </rPr>
          <t xml:space="preserve">
guidance for 20&amp;</t>
        </r>
      </text>
    </comment>
    <comment ref="BD135" authorId="0">
      <text>
        <r>
          <rPr>
            <b/>
            <sz val="8"/>
            <color indexed="81"/>
            <rFont val="Tahoma"/>
            <family val="2"/>
          </rPr>
          <t>Brian Nowak:
guidance assumes 19%</t>
        </r>
      </text>
    </comment>
    <comment ref="BE135" authorId="0">
      <text>
        <r>
          <rPr>
            <b/>
            <sz val="8"/>
            <color indexed="81"/>
            <rFont val="Tahoma"/>
            <family val="2"/>
          </rPr>
          <t>Brian Nowak:
4Q:11 guidance for 16%</t>
        </r>
      </text>
    </comment>
    <comment ref="BF135" authorId="2">
      <text>
        <r>
          <rPr>
            <b/>
            <sz val="8"/>
            <color indexed="81"/>
            <rFont val="Tahoma"/>
            <family val="2"/>
          </rPr>
          <t xml:space="preserve">Brian Nowak:
guidacne for approximately 16.5%...incluces full benefit fo box </t>
        </r>
      </text>
    </comment>
    <comment ref="BG135" authorId="3">
      <text>
        <r>
          <rPr>
            <b/>
            <sz val="10"/>
            <color indexed="81"/>
            <rFont val="Tahoma"/>
            <family val="2"/>
          </rPr>
          <t xml:space="preserve">Brian Nowak:
guidance for 16.4%
</t>
        </r>
      </text>
    </comment>
    <comment ref="BH135" authorId="2">
      <text>
        <r>
          <rPr>
            <b/>
            <sz val="10"/>
            <color indexed="81"/>
            <rFont val="Tahoma"/>
            <family val="2"/>
          </rPr>
          <t>Brian Nowak:
full effect of box tax at 15.6%</t>
        </r>
      </text>
    </comment>
    <comment ref="BI135" authorId="3">
      <text>
        <r>
          <rPr>
            <b/>
            <sz val="10"/>
            <color indexed="81"/>
            <rFont val="Tahoma"/>
            <family val="2"/>
          </rPr>
          <t>Brian Nowak:
non-GAAP EPS forecast includes 15.5% cash tax rate</t>
        </r>
      </text>
    </comment>
    <comment ref="BJ135" authorId="5">
      <text>
        <r>
          <rPr>
            <b/>
            <sz val="9"/>
            <color indexed="81"/>
            <rFont val="Tahoma"/>
            <family val="2"/>
          </rPr>
          <t xml:space="preserve"> Brian Nowak:</t>
        </r>
        <r>
          <rPr>
            <sz val="9"/>
            <color indexed="81"/>
            <rFont val="Tahoma"/>
            <family val="2"/>
          </rPr>
          <t xml:space="preserve">
1Q:13 guidance implies non-gaap tax rate of 16%</t>
        </r>
      </text>
    </comment>
    <comment ref="BK135" authorId="5">
      <text>
        <r>
          <rPr>
            <b/>
            <sz val="9"/>
            <color indexed="81"/>
            <rFont val="Tahoma"/>
            <family val="2"/>
          </rPr>
          <t xml:space="preserve"> Brian Nowak:</t>
        </r>
        <r>
          <rPr>
            <sz val="9"/>
            <color indexed="81"/>
            <rFont val="Tahoma"/>
            <family val="2"/>
          </rPr>
          <t xml:space="preserve">
2Q:13 guidance for 16%</t>
        </r>
      </text>
    </comment>
    <comment ref="BL135" authorId="4">
      <text>
        <r>
          <rPr>
            <b/>
            <sz val="9"/>
            <color indexed="81"/>
            <rFont val="Tahoma"/>
            <family val="2"/>
          </rPr>
          <t>Brian Nowak:
3Q conf call:  15.5%</t>
        </r>
      </text>
    </comment>
    <comment ref="BM135" authorId="5">
      <text>
        <r>
          <rPr>
            <b/>
            <sz val="9"/>
            <color indexed="81"/>
            <rFont val="Tahoma"/>
            <family val="2"/>
          </rPr>
          <t xml:space="preserve"> Brian Nowak:</t>
        </r>
        <r>
          <rPr>
            <sz val="9"/>
            <color indexed="81"/>
            <rFont val="Tahoma"/>
            <family val="2"/>
          </rPr>
          <t xml:space="preserve">
4Q:13 guidance for 15%</t>
        </r>
      </text>
    </comment>
    <comment ref="BN135" authorId="4">
      <text>
        <r>
          <rPr>
            <b/>
            <sz val="9"/>
            <color indexed="81"/>
            <rFont val="Tahoma"/>
            <family val="2"/>
          </rPr>
          <t>Brian Nowak:
1Q:14 conf call:  15%</t>
        </r>
      </text>
    </comment>
    <comment ref="BO135" authorId="5">
      <text>
        <r>
          <rPr>
            <b/>
            <sz val="9"/>
            <color indexed="81"/>
            <rFont val="Tahoma"/>
            <family val="2"/>
          </rPr>
          <t xml:space="preserve"> Brian Nowak:</t>
        </r>
        <r>
          <rPr>
            <sz val="9"/>
            <color indexed="81"/>
            <rFont val="Tahoma"/>
            <family val="2"/>
          </rPr>
          <t xml:space="preserve">
guidance for 16% (int'l, state and AMT)</t>
        </r>
      </text>
    </comment>
    <comment ref="BP135" authorId="5">
      <text>
        <r>
          <rPr>
            <b/>
            <sz val="9"/>
            <color indexed="81"/>
            <rFont val="Tahoma"/>
            <family val="2"/>
          </rPr>
          <t xml:space="preserve"> Brian Nowak:</t>
        </r>
        <r>
          <rPr>
            <sz val="9"/>
            <color indexed="81"/>
            <rFont val="Tahoma"/>
            <family val="2"/>
          </rPr>
          <t xml:space="preserve">
guidance for 15%</t>
        </r>
      </text>
    </comment>
    <comment ref="BQ135" authorId="6">
      <text>
        <r>
          <rPr>
            <b/>
            <sz val="9"/>
            <color indexed="81"/>
            <rFont val="Tahoma"/>
            <family val="2"/>
          </rPr>
          <t>Costantini, Michael (Research):</t>
        </r>
        <r>
          <rPr>
            <sz val="9"/>
            <color indexed="81"/>
            <rFont val="Tahoma"/>
            <family val="2"/>
          </rPr>
          <t xml:space="preserve">
4Q:14 earnings conf call:  15% tax rate</t>
        </r>
      </text>
    </comment>
    <comment ref="BR135" authorId="6">
      <text>
        <r>
          <rPr>
            <b/>
            <sz val="9"/>
            <color indexed="81"/>
            <rFont val="Tahoma"/>
            <family val="2"/>
          </rPr>
          <t>Costantini, Michael (Research):</t>
        </r>
        <r>
          <rPr>
            <sz val="9"/>
            <color indexed="81"/>
            <rFont val="Tahoma"/>
            <family val="2"/>
          </rPr>
          <t xml:space="preserve">
1Q:15 earnings conf call:  15% tax rate</t>
        </r>
      </text>
    </comment>
    <comment ref="BS135" authorId="6">
      <text>
        <r>
          <rPr>
            <b/>
            <sz val="9"/>
            <color indexed="81"/>
            <rFont val="Tahoma"/>
            <family val="2"/>
          </rPr>
          <t>Costantini, Michael (Research):</t>
        </r>
        <r>
          <rPr>
            <sz val="9"/>
            <color indexed="81"/>
            <rFont val="Tahoma"/>
            <family val="2"/>
          </rPr>
          <t xml:space="preserve">
2Q:15 earnings conf call:  15% tax rate</t>
        </r>
      </text>
    </comment>
    <comment ref="BT135" authorId="6">
      <text>
        <r>
          <rPr>
            <b/>
            <sz val="9"/>
            <color indexed="81"/>
            <rFont val="Tahoma"/>
            <family val="2"/>
          </rPr>
          <t>Costantini, Michael (Research):</t>
        </r>
        <r>
          <rPr>
            <sz val="9"/>
            <color indexed="81"/>
            <rFont val="Tahoma"/>
            <family val="2"/>
          </rPr>
          <t xml:space="preserve">
3Q:15 earnings conf call:  17% tax rate</t>
        </r>
      </text>
    </comment>
    <comment ref="BU135" authorId="6">
      <text>
        <r>
          <rPr>
            <b/>
            <sz val="9"/>
            <color indexed="81"/>
            <rFont val="Tahoma"/>
            <family val="2"/>
          </rPr>
          <t>Costantini, Michael (Research):</t>
        </r>
        <r>
          <rPr>
            <sz val="9"/>
            <color indexed="81"/>
            <rFont val="Tahoma"/>
            <family val="2"/>
          </rPr>
          <t xml:space="preserve">
4Q:15 earnings conf call:  16% tax rate</t>
        </r>
      </text>
    </comment>
    <comment ref="BV135" authorId="6">
      <text>
        <r>
          <rPr>
            <b/>
            <sz val="9"/>
            <color indexed="81"/>
            <rFont val="Tahoma"/>
            <family val="2"/>
          </rPr>
          <t>Costantini, Michael (Research):</t>
        </r>
        <r>
          <rPr>
            <sz val="9"/>
            <color indexed="81"/>
            <rFont val="Tahoma"/>
            <family val="2"/>
          </rPr>
          <t xml:space="preserve">
1Q:16 earnings conf call:  16% tax rate</t>
        </r>
      </text>
    </comment>
    <comment ref="BW135" authorId="6">
      <text>
        <r>
          <rPr>
            <b/>
            <sz val="9"/>
            <color indexed="81"/>
            <rFont val="Tahoma"/>
            <family val="2"/>
          </rPr>
          <t>Costantini, Michael (Research):</t>
        </r>
        <r>
          <rPr>
            <sz val="9"/>
            <color indexed="81"/>
            <rFont val="Tahoma"/>
            <family val="2"/>
          </rPr>
          <t xml:space="preserve">
2Q:16 earnings conf call:  16% tax rate</t>
        </r>
      </text>
    </comment>
    <comment ref="CR135" authorId="0">
      <text>
        <r>
          <rPr>
            <b/>
            <sz val="10"/>
            <color indexed="81"/>
            <rFont val="Tahoma"/>
            <family val="2"/>
          </rPr>
          <t>Brian Nowak:
Per 2011 10K
box tax shaved off 400 bp
2Q:11 guidance for 2-4% shave off
page 58 10k; expect the netherlands tax ruling to shave off 1-2 % ponits on tax rate</t>
        </r>
      </text>
    </comment>
    <comment ref="CS135" authorId="0">
      <text>
        <r>
          <rPr>
            <b/>
            <sz val="10"/>
            <color indexed="81"/>
            <rFont val="Tahoma"/>
            <family val="2"/>
          </rPr>
          <t>Brian Nowak:
3Q:12 10-Q:  5%-7% lower than without Dutch Box tax
3Q:11 guidance: 4%-6% lower than without Dutch Box tax
2Q:11 guidance: expect 400bp-600bp off of normal, which we assume is 2010
but, as international larger piece of mix, it will be a headwind</t>
        </r>
      </text>
    </comment>
    <comment ref="CT135" authorId="2">
      <text>
        <r>
          <rPr>
            <b/>
            <sz val="10"/>
            <color indexed="81"/>
            <rFont val="Tahoma"/>
            <family val="2"/>
          </rPr>
          <t>Brian Nowak:
box tax credit approved through 12/2013; must re-apply for every 6 months</t>
        </r>
      </text>
    </comment>
    <comment ref="BX138" authorId="6">
      <text>
        <r>
          <rPr>
            <b/>
            <sz val="9"/>
            <color indexed="81"/>
            <rFont val="Tahoma"/>
            <family val="2"/>
          </rPr>
          <t>Costantini, Michael (Research):</t>
        </r>
        <r>
          <rPr>
            <sz val="9"/>
            <color indexed="81"/>
            <rFont val="Tahoma"/>
            <family val="2"/>
          </rPr>
          <t xml:space="preserve">
3Q:16 earnings conf call:  14% tax rate
Tax rate down y/y because of forecast mix shift towards intl:
Our US earnings, which include interest expense on our debt, and the cost of our corporate group, are taxed at substantially higher rate than our international earnings, and are down in our Q4 forecast compared to the prior year.</t>
        </r>
      </text>
    </comment>
    <comment ref="BY138" authorId="7">
      <text>
        <r>
          <rPr>
            <b/>
            <sz val="9"/>
            <color indexed="81"/>
            <rFont val="Tahoma"/>
            <family val="2"/>
          </rPr>
          <t>Nowak, Brian (Research):</t>
        </r>
        <r>
          <rPr>
            <sz val="9"/>
            <color indexed="81"/>
            <rFont val="Tahoma"/>
            <family val="2"/>
          </rPr>
          <t xml:space="preserve">
1Q:17 call: Our non-GAAP tax rate of about 16% was favorable to our forecasted rate of 19%, mainly due to nonrecurring discrete tax adjustments in the
quarter.
4Q:16 guidance:  19% in 1Q…18% in 2017
3Q:16 guidance full year 2017 will be 18%</t>
        </r>
      </text>
    </comment>
    <comment ref="BZ138" authorId="7">
      <text>
        <r>
          <rPr>
            <b/>
            <sz val="9"/>
            <color indexed="81"/>
            <rFont val="Tahoma"/>
            <family val="2"/>
          </rPr>
          <t>Nowak, Brian (Research):</t>
        </r>
        <r>
          <rPr>
            <sz val="9"/>
            <color indexed="81"/>
            <rFont val="Tahoma"/>
            <family val="2"/>
          </rPr>
          <t xml:space="preserve">
1Q:17 call Our forecasted non-GAAP income tax rate is about 18% for Q2 and the full year
4Q:16 guidance:  19% in 1Q…18% in 2017
3Q:16 guidance full year 2017 will be 18%</t>
        </r>
      </text>
    </comment>
    <comment ref="CA138" authorId="7">
      <text>
        <r>
          <rPr>
            <b/>
            <sz val="9"/>
            <color indexed="81"/>
            <rFont val="Tahoma"/>
            <family val="2"/>
          </rPr>
          <t>Nowak, Brian (Research):</t>
        </r>
        <r>
          <rPr>
            <sz val="9"/>
            <color indexed="81"/>
            <rFont val="Tahoma"/>
            <family val="2"/>
          </rPr>
          <t xml:space="preserve">
2Q:17: 18% for 3Q and full year
1Q:17 call Our forecasted non-GAAP income tax rate is about 18% for Q2 and the full year
4Q:16 guidance:  19% in 1Q…18% in 2017
3Q:16 guidance full year 2017 will be 18%</t>
        </r>
      </text>
    </comment>
    <comment ref="CB138" authorId="7">
      <text>
        <r>
          <rPr>
            <b/>
            <sz val="9"/>
            <color indexed="81"/>
            <rFont val="Tahoma"/>
            <family val="2"/>
          </rPr>
          <t xml:space="preserve">Nowak, Brian (Research):
</t>
        </r>
        <r>
          <rPr>
            <sz val="9"/>
            <color indexed="81"/>
            <rFont val="Tahoma"/>
            <family val="2"/>
          </rPr>
          <t xml:space="preserve">3Q17: non gaap tax rate 18%
</t>
        </r>
        <r>
          <rPr>
            <sz val="9"/>
            <color indexed="81"/>
            <rFont val="Tahoma"/>
            <family val="2"/>
          </rPr>
          <t xml:space="preserve">
2Q:17: 18% for 3Q and full year
1Q:17 call Our forecasted non-GAAP income tax rate is about 18% for Q2 and the full year
4Q:16 guidance:  19% in 1Q…18% in 2017
3Q:16 guidance full year 2017 will be 18%</t>
        </r>
      </text>
    </comment>
    <comment ref="CC138" authorId="4">
      <text>
        <r>
          <rPr>
            <b/>
            <sz val="9"/>
            <color indexed="81"/>
            <rFont val="Tahoma"/>
            <family val="2"/>
          </rPr>
          <t xml:space="preserve">Costantini, Michael (Research):
</t>
        </r>
        <r>
          <rPr>
            <sz val="9"/>
            <color indexed="81"/>
            <rFont val="Tahoma"/>
            <family val="2"/>
          </rPr>
          <t>Dutch Box tax comes due 2018</t>
        </r>
      </text>
    </comment>
    <comment ref="CD138" authorId="4">
      <text>
        <r>
          <rPr>
            <b/>
            <sz val="9"/>
            <color indexed="81"/>
            <rFont val="Tahoma"/>
            <family val="2"/>
          </rPr>
          <t xml:space="preserve">Costantini, Michael (Research):
</t>
        </r>
        <r>
          <rPr>
            <sz val="9"/>
            <color indexed="81"/>
            <rFont val="Tahoma"/>
            <family val="2"/>
          </rPr>
          <t>Dutch Box tax comes due 2018</t>
        </r>
      </text>
    </comment>
    <comment ref="CE138" authorId="4">
      <text>
        <r>
          <rPr>
            <b/>
            <sz val="9"/>
            <color indexed="81"/>
            <rFont val="Tahoma"/>
            <family val="2"/>
          </rPr>
          <t xml:space="preserve">Costantini, Michael (Research):
</t>
        </r>
        <r>
          <rPr>
            <sz val="9"/>
            <color indexed="81"/>
            <rFont val="Tahoma"/>
            <family val="2"/>
          </rPr>
          <t>Dutch Box tax comes due 2018</t>
        </r>
      </text>
    </comment>
    <comment ref="CF138" authorId="4">
      <text>
        <r>
          <rPr>
            <b/>
            <sz val="9"/>
            <color indexed="81"/>
            <rFont val="Tahoma"/>
            <family val="2"/>
          </rPr>
          <t xml:space="preserve">Costantini, Michael (Research):
</t>
        </r>
        <r>
          <rPr>
            <sz val="9"/>
            <color indexed="81"/>
            <rFont val="Tahoma"/>
            <family val="2"/>
          </rPr>
          <t>Dutch Box tax comes due 2018</t>
        </r>
      </text>
    </comment>
    <comment ref="CX138" authorId="7">
      <text>
        <r>
          <rPr>
            <b/>
            <sz val="9"/>
            <color indexed="81"/>
            <rFont val="Tahoma"/>
            <family val="2"/>
          </rPr>
          <t>Nowak, Brian (Research):</t>
        </r>
        <r>
          <rPr>
            <sz val="9"/>
            <color indexed="81"/>
            <rFont val="Tahoma"/>
            <family val="2"/>
          </rPr>
          <t xml:space="preserve">
2Q:17: 18% for 3Q and full year
1Q:17 call Our forecasted non-GAAP income tax rate is about 18% for Q2 and the full year
4Q:16 guidance:  19% in 1Q…18% in 2017
3Q:16 guidance full year 2017 will be 18%</t>
        </r>
      </text>
    </comment>
    <comment ref="CY138" authorId="4">
      <text>
        <r>
          <rPr>
            <b/>
            <sz val="9"/>
            <color indexed="81"/>
            <rFont val="Tahoma"/>
            <family val="2"/>
          </rPr>
          <t xml:space="preserve">Costantini, Michael (Research):
</t>
        </r>
        <r>
          <rPr>
            <sz val="9"/>
            <color indexed="81"/>
            <rFont val="Tahoma"/>
            <family val="2"/>
          </rPr>
          <t>Dutch Box tax comes due 2018</t>
        </r>
      </text>
    </comment>
    <comment ref="AS141" authorId="0">
      <text>
        <r>
          <rPr>
            <b/>
            <sz val="8"/>
            <color indexed="81"/>
            <rFont val="Tahoma"/>
            <family val="2"/>
          </rPr>
          <t>Brian Nowak:
pro-rata share of pricelinemortgage.com, but this was dissolved in July 2009</t>
        </r>
      </text>
    </comment>
    <comment ref="AZ141" authorId="0">
      <text>
        <r>
          <rPr>
            <b/>
            <sz val="8"/>
            <color indexed="81"/>
            <rFont val="Tahoma"/>
            <family val="2"/>
          </rPr>
          <t>Brian Nowak:
guidance for total below line impact of $-6.5m (including minority interest</t>
        </r>
      </text>
    </comment>
    <comment ref="CQ141" authorId="0">
      <text>
        <r>
          <rPr>
            <b/>
            <sz val="8"/>
            <color indexed="81"/>
            <rFont val="Tahoma"/>
            <family val="2"/>
          </rPr>
          <t xml:space="preserve">Brian Nowak: TravelJigsaw  </t>
        </r>
      </text>
    </comment>
    <comment ref="BA145" authorId="0">
      <text>
        <r>
          <rPr>
            <b/>
            <sz val="8"/>
            <color indexed="81"/>
            <rFont val="Tahoma"/>
            <family val="2"/>
          </rPr>
          <t xml:space="preserve">Brian Nowak:
adjusted .664 </t>
        </r>
      </text>
    </comment>
    <comment ref="BQ146" authorId="6">
      <text>
        <r>
          <rPr>
            <b/>
            <sz val="9"/>
            <color indexed="81"/>
            <rFont val="Tahoma"/>
            <family val="2"/>
          </rPr>
          <t>Costantini, Michael (Research):</t>
        </r>
        <r>
          <rPr>
            <sz val="9"/>
            <color indexed="81"/>
            <rFont val="Tahoma"/>
            <family val="2"/>
          </rPr>
          <t xml:space="preserve">
4Q:14 guidance:  non-GAAP adj expected to:
-increase non-GAAP net income over GAAP net income by $105mn 
-increase adj EBITDA over non-GAAP net income by $207mn </t>
        </r>
      </text>
    </comment>
    <comment ref="BW146" authorId="6">
      <text>
        <r>
          <rPr>
            <b/>
            <sz val="9"/>
            <color indexed="81"/>
            <rFont val="Tahoma"/>
            <family val="2"/>
          </rPr>
          <t>Costantini, Michael (Research):</t>
        </r>
        <r>
          <rPr>
            <sz val="9"/>
            <color indexed="81"/>
            <rFont val="Tahoma"/>
            <family val="2"/>
          </rPr>
          <t xml:space="preserve">
2Q:16 guidance:  $1.42bn to $1.50bn
</t>
        </r>
      </text>
    </comment>
    <comment ref="BX148" authorId="6">
      <text>
        <r>
          <rPr>
            <b/>
            <sz val="9"/>
            <color indexed="81"/>
            <rFont val="Tahoma"/>
            <family val="2"/>
          </rPr>
          <t>Costantini, Michael (Research):</t>
        </r>
        <r>
          <rPr>
            <sz val="9"/>
            <color indexed="81"/>
            <rFont val="Tahoma"/>
            <family val="2"/>
          </rPr>
          <t xml:space="preserve">
3Q:16 guidance:  $610mn to $640mn</t>
        </r>
      </text>
    </comment>
    <comment ref="AZ153" authorId="0">
      <text>
        <r>
          <rPr>
            <b/>
            <sz val="8"/>
            <color indexed="81"/>
            <rFont val="Tahoma"/>
            <family val="2"/>
          </rPr>
          <t>Brian Nowak:
guidance 51.4m</t>
        </r>
      </text>
    </comment>
    <comment ref="BA153" authorId="0">
      <text>
        <r>
          <rPr>
            <b/>
            <sz val="8"/>
            <color indexed="81"/>
            <rFont val="Tahoma"/>
            <family val="2"/>
          </rPr>
          <t>Brian Nowak:
Guidacne for 51.5m</t>
        </r>
      </text>
    </comment>
    <comment ref="BB153" authorId="1">
      <text>
        <r>
          <rPr>
            <b/>
            <sz val="8"/>
            <color indexed="81"/>
            <rFont val="Tahoma"/>
            <family val="2"/>
          </rPr>
          <t>Brian Nowak:</t>
        </r>
        <r>
          <rPr>
            <sz val="8"/>
            <color indexed="81"/>
            <rFont val="Tahoma"/>
            <family val="2"/>
          </rPr>
          <t xml:space="preserve">
guidance 51.7</t>
        </r>
      </text>
    </comment>
    <comment ref="BC153" authorId="0">
      <text>
        <r>
          <rPr>
            <b/>
            <sz val="8"/>
            <color indexed="81"/>
            <rFont val="Tahoma"/>
            <family val="2"/>
          </rPr>
          <t>Brian Nowak:
guidance 51.5</t>
        </r>
      </text>
    </comment>
    <comment ref="BD153" authorId="0">
      <text>
        <r>
          <rPr>
            <b/>
            <sz val="8"/>
            <color indexed="81"/>
            <rFont val="Tahoma"/>
            <family val="2"/>
          </rPr>
          <t>Brian Nowak:
guidance assumes 51.5</t>
        </r>
      </text>
    </comment>
    <comment ref="BF153" authorId="2">
      <text>
        <r>
          <rPr>
            <b/>
            <sz val="10"/>
            <color indexed="81"/>
            <rFont val="Tahoma"/>
            <family val="2"/>
          </rPr>
          <t>Brian Nowak:
assume 51.6m shares in guidance</t>
        </r>
      </text>
    </comment>
    <comment ref="BG153" authorId="2">
      <text>
        <r>
          <rPr>
            <b/>
            <sz val="10"/>
            <color indexed="81"/>
            <rFont val="Tahoma"/>
            <family val="2"/>
          </rPr>
          <t>Brian Nowak:
assume 51.5m shares in guidance</t>
        </r>
      </text>
    </comment>
    <comment ref="BI153" authorId="2">
      <text>
        <r>
          <rPr>
            <b/>
            <sz val="10"/>
            <color indexed="81"/>
            <rFont val="Tahoma"/>
            <family val="2"/>
          </rPr>
          <t>Brian Nowak:
assume 51.6m shares in guidance</t>
        </r>
      </text>
    </comment>
    <comment ref="BJ153" authorId="4">
      <text>
        <r>
          <rPr>
            <b/>
            <sz val="9"/>
            <color indexed="81"/>
            <rFont val="Tahoma"/>
            <family val="2"/>
          </rPr>
          <t>Brian Nowak:
1Q:13 conf call: assume 51.6mn shares in guidance…EXCLUDING KAYAK
MC: including the 1,519,717 shares issued for KYAK acquisition (per 8-K)</t>
        </r>
      </text>
    </comment>
    <comment ref="BL153" authorId="4">
      <text>
        <r>
          <rPr>
            <b/>
            <sz val="9"/>
            <color indexed="81"/>
            <rFont val="Tahoma"/>
            <family val="2"/>
          </rPr>
          <t>Brian Nowak:
52.9mn shares per 3Q conf call</t>
        </r>
      </text>
    </comment>
    <comment ref="BM153" authorId="5">
      <text>
        <r>
          <rPr>
            <b/>
            <sz val="9"/>
            <color indexed="81"/>
            <rFont val="Tahoma"/>
            <family val="2"/>
          </rPr>
          <t xml:space="preserve"> Brian Nowak:</t>
        </r>
        <r>
          <rPr>
            <sz val="9"/>
            <color indexed="81"/>
            <rFont val="Tahoma"/>
            <family val="2"/>
          </rPr>
          <t xml:space="preserve">
guidance assumes 53.3</t>
        </r>
      </text>
    </comment>
    <comment ref="BN153" authorId="4">
      <text>
        <r>
          <rPr>
            <b/>
            <sz val="9"/>
            <color indexed="81"/>
            <rFont val="Tahoma"/>
            <family val="2"/>
          </rPr>
          <t>Brian Nowak:
1Q:14 conf call:  53.3mn shares</t>
        </r>
      </text>
    </comment>
    <comment ref="BO153" authorId="4">
      <text>
        <r>
          <rPr>
            <b/>
            <sz val="9"/>
            <color indexed="81"/>
            <rFont val="Tahoma"/>
            <family val="2"/>
          </rPr>
          <t>Brian Nowak:
2Q:14 conf call:  53.4mn shares</t>
        </r>
      </text>
    </comment>
    <comment ref="BP153" authorId="5">
      <text>
        <r>
          <rPr>
            <b/>
            <sz val="9"/>
            <color indexed="81"/>
            <rFont val="Tahoma"/>
            <family val="2"/>
          </rPr>
          <t xml:space="preserve"> Brian Nowak:</t>
        </r>
        <r>
          <rPr>
            <sz val="9"/>
            <color indexed="81"/>
            <rFont val="Tahoma"/>
            <family val="2"/>
          </rPr>
          <t xml:space="preserve">
guidance 53.2mn</t>
        </r>
      </text>
    </comment>
    <comment ref="BQ153" authorId="6">
      <text>
        <r>
          <rPr>
            <b/>
            <sz val="9"/>
            <color indexed="81"/>
            <rFont val="Tahoma"/>
            <family val="2"/>
          </rPr>
          <t>Costantini, Michael (Research):</t>
        </r>
        <r>
          <rPr>
            <sz val="9"/>
            <color indexed="81"/>
            <rFont val="Tahoma"/>
            <family val="2"/>
          </rPr>
          <t xml:space="preserve">
4Q:14 earnings conf call:  52.7mn shares</t>
        </r>
      </text>
    </comment>
    <comment ref="BR153" authorId="6">
      <text>
        <r>
          <rPr>
            <b/>
            <sz val="9"/>
            <color indexed="81"/>
            <rFont val="Tahoma"/>
            <family val="2"/>
          </rPr>
          <t>Costantini, Michael (Research):</t>
        </r>
        <r>
          <rPr>
            <sz val="9"/>
            <color indexed="81"/>
            <rFont val="Tahoma"/>
            <family val="2"/>
          </rPr>
          <t xml:space="preserve">
1Q:15 conf call:  52.8mn shares</t>
        </r>
      </text>
    </comment>
    <comment ref="BS153" authorId="6">
      <text>
        <r>
          <rPr>
            <b/>
            <sz val="9"/>
            <color indexed="81"/>
            <rFont val="Tahoma"/>
            <family val="2"/>
          </rPr>
          <t>Costantini, Michael (Research):</t>
        </r>
        <r>
          <rPr>
            <sz val="9"/>
            <color indexed="81"/>
            <rFont val="Tahoma"/>
            <family val="2"/>
          </rPr>
          <t xml:space="preserve">
2Q:15 conf call:  51.6mn shares</t>
        </r>
      </text>
    </comment>
    <comment ref="BT153" authorId="6">
      <text>
        <r>
          <rPr>
            <b/>
            <sz val="9"/>
            <color indexed="81"/>
            <rFont val="Tahoma"/>
            <family val="2"/>
          </rPr>
          <t>Costantini, Michael (Research):</t>
        </r>
        <r>
          <rPr>
            <sz val="9"/>
            <color indexed="81"/>
            <rFont val="Tahoma"/>
            <family val="2"/>
          </rPr>
          <t xml:space="preserve">
3Q:15 conf call:  50.9mn shares</t>
        </r>
      </text>
    </comment>
    <comment ref="BU153" authorId="6">
      <text>
        <r>
          <rPr>
            <b/>
            <sz val="9"/>
            <color indexed="81"/>
            <rFont val="Tahoma"/>
            <family val="2"/>
          </rPr>
          <t>Costantini, Michael (Research):</t>
        </r>
        <r>
          <rPr>
            <sz val="9"/>
            <color indexed="81"/>
            <rFont val="Tahoma"/>
            <family val="2"/>
          </rPr>
          <t xml:space="preserve">
4Q:15 conf call:  50.5mn shares</t>
        </r>
      </text>
    </comment>
    <comment ref="BV153" authorId="6">
      <text>
        <r>
          <rPr>
            <b/>
            <sz val="9"/>
            <color indexed="81"/>
            <rFont val="Tahoma"/>
            <family val="2"/>
          </rPr>
          <t>Costantini, Michael (Research):</t>
        </r>
        <r>
          <rPr>
            <sz val="9"/>
            <color indexed="81"/>
            <rFont val="Tahoma"/>
            <family val="2"/>
          </rPr>
          <t xml:space="preserve">
1Q:16 conf call:  50.6mn shares</t>
        </r>
      </text>
    </comment>
    <comment ref="BW153" authorId="6">
      <text>
        <r>
          <rPr>
            <b/>
            <sz val="9"/>
            <color indexed="81"/>
            <rFont val="Tahoma"/>
            <family val="2"/>
          </rPr>
          <t>Costantini, Michael (Research):</t>
        </r>
        <r>
          <rPr>
            <sz val="9"/>
            <color indexed="81"/>
            <rFont val="Tahoma"/>
            <family val="2"/>
          </rPr>
          <t xml:space="preserve">
2Q:16 conf call:  50.3mn shares</t>
        </r>
      </text>
    </comment>
    <comment ref="BX153" authorId="6">
      <text>
        <r>
          <rPr>
            <b/>
            <sz val="9"/>
            <color indexed="81"/>
            <rFont val="Tahoma"/>
            <family val="2"/>
          </rPr>
          <t>Costantini, Michael (Research):</t>
        </r>
        <r>
          <rPr>
            <sz val="9"/>
            <color indexed="81"/>
            <rFont val="Tahoma"/>
            <family val="2"/>
          </rPr>
          <t xml:space="preserve">
3Q:16 conf call:  50mn shares</t>
        </r>
      </text>
    </comment>
    <comment ref="BY153" authorId="6">
      <text>
        <r>
          <rPr>
            <b/>
            <sz val="9"/>
            <color indexed="81"/>
            <rFont val="Tahoma"/>
            <family val="2"/>
          </rPr>
          <t>Costantini, Michael (Research):</t>
        </r>
        <r>
          <rPr>
            <sz val="9"/>
            <color indexed="81"/>
            <rFont val="Tahoma"/>
            <family val="2"/>
          </rPr>
          <t xml:space="preserve">
4Q:16 conf call:  50mn shares</t>
        </r>
      </text>
    </comment>
    <comment ref="BZ153" authorId="7">
      <text>
        <r>
          <rPr>
            <b/>
            <sz val="9"/>
            <color indexed="81"/>
            <rFont val="Tahoma"/>
            <family val="2"/>
          </rPr>
          <t>Nowak, Brian (Research):</t>
        </r>
        <r>
          <rPr>
            <sz val="9"/>
            <color indexed="81"/>
            <rFont val="Tahoma"/>
            <family val="2"/>
          </rPr>
          <t xml:space="preserve">
guidance 50.1</t>
        </r>
      </text>
    </comment>
    <comment ref="AZ155" authorId="0">
      <text>
        <r>
          <rPr>
            <b/>
            <sz val="8"/>
            <color indexed="81"/>
            <rFont val="Tahoma"/>
            <family val="2"/>
          </rPr>
          <t>Brian Nowak:
guidance $2.29 to $2.44</t>
        </r>
      </text>
    </comment>
    <comment ref="BA155" authorId="0">
      <text>
        <r>
          <rPr>
            <b/>
            <sz val="8"/>
            <color indexed="81"/>
            <rFont val="Tahoma"/>
            <family val="2"/>
          </rPr>
          <t>Brian Nowak:
Guidance for 1.66 to 1.76</t>
        </r>
      </text>
    </comment>
    <comment ref="BB155" authorId="1">
      <text>
        <r>
          <rPr>
            <b/>
            <sz val="8"/>
            <color indexed="81"/>
            <rFont val="Tahoma"/>
            <family val="2"/>
          </rPr>
          <t>Brian Nowak:</t>
        </r>
        <r>
          <rPr>
            <sz val="8"/>
            <color indexed="81"/>
            <rFont val="Tahoma"/>
            <family val="2"/>
          </rPr>
          <t xml:space="preserve">
guidance 4.03-4.23</t>
        </r>
      </text>
    </comment>
    <comment ref="BP155" authorId="7">
      <text>
        <r>
          <rPr>
            <b/>
            <sz val="9"/>
            <color indexed="81"/>
            <rFont val="Tahoma"/>
            <family val="2"/>
          </rPr>
          <t>Nowak, Brian (Research):</t>
        </r>
        <r>
          <rPr>
            <sz val="9"/>
            <color indexed="81"/>
            <rFont val="Tahoma"/>
            <family val="2"/>
          </rPr>
          <t xml:space="preserve">
guidance for 7.55-8.25</t>
        </r>
      </text>
    </comment>
    <comment ref="BQ155" authorId="6">
      <text>
        <r>
          <rPr>
            <b/>
            <sz val="9"/>
            <color indexed="81"/>
            <rFont val="Tahoma"/>
            <family val="2"/>
          </rPr>
          <t>Costantini, Michael (Research):</t>
        </r>
        <r>
          <rPr>
            <sz val="9"/>
            <color indexed="81"/>
            <rFont val="Tahoma"/>
            <family val="2"/>
          </rPr>
          <t xml:space="preserve">
4Q:14 guidance:  $5.25-$5.80</t>
        </r>
      </text>
    </comment>
    <comment ref="BR155" authorId="6">
      <text>
        <r>
          <rPr>
            <b/>
            <sz val="9"/>
            <color indexed="81"/>
            <rFont val="Tahoma"/>
            <family val="2"/>
          </rPr>
          <t>Costantini, Michael (Research):</t>
        </r>
        <r>
          <rPr>
            <sz val="9"/>
            <color indexed="81"/>
            <rFont val="Tahoma"/>
            <family val="2"/>
          </rPr>
          <t xml:space="preserve">
1Q:15 guidance:  $8.85 to $9.65</t>
        </r>
      </text>
    </comment>
    <comment ref="BZ155" authorId="7">
      <text>
        <r>
          <rPr>
            <b/>
            <sz val="9"/>
            <color indexed="81"/>
            <rFont val="Tahoma"/>
            <family val="2"/>
          </rPr>
          <t>Nowak, Brian (Research):</t>
        </r>
        <r>
          <rPr>
            <sz val="9"/>
            <color indexed="81"/>
            <rFont val="Tahoma"/>
            <family val="2"/>
          </rPr>
          <t xml:space="preserve">
1Q:17 guidance 12.55-13.25</t>
        </r>
      </text>
    </comment>
    <comment ref="CB155" authorId="8">
      <text>
        <r>
          <rPr>
            <b/>
            <sz val="9"/>
            <color indexed="81"/>
            <rFont val="Tahoma"/>
            <family val="2"/>
          </rPr>
          <t>Wang, Alaxandar (Research):</t>
        </r>
        <r>
          <rPr>
            <sz val="9"/>
            <color indexed="81"/>
            <rFont val="Tahoma"/>
            <family val="2"/>
          </rPr>
          <t xml:space="preserve">
guidance 12.60-13.20</t>
        </r>
      </text>
    </comment>
    <comment ref="AZ156" authorId="0">
      <text>
        <r>
          <rPr>
            <b/>
            <sz val="8"/>
            <color indexed="81"/>
            <rFont val="Tahoma"/>
            <family val="2"/>
          </rPr>
          <t xml:space="preserve">Brian Nowak:
guidance $2.91 to $3.06 </t>
        </r>
      </text>
    </comment>
    <comment ref="BA156" authorId="0">
      <text>
        <r>
          <rPr>
            <b/>
            <sz val="8"/>
            <color indexed="81"/>
            <rFont val="Tahoma"/>
            <family val="2"/>
          </rPr>
          <t>Brian Nowak:
Guidance 2.34-2.44</t>
        </r>
      </text>
    </comment>
    <comment ref="BB156" authorId="1">
      <text>
        <r>
          <rPr>
            <b/>
            <sz val="8"/>
            <color indexed="81"/>
            <rFont val="Tahoma"/>
            <family val="2"/>
          </rPr>
          <t>Brian Nowak:</t>
        </r>
        <r>
          <rPr>
            <sz val="8"/>
            <color indexed="81"/>
            <rFont val="Tahoma"/>
            <family val="2"/>
          </rPr>
          <t xml:space="preserve">
guidance $4.70 to $4.90</t>
        </r>
      </text>
    </comment>
    <comment ref="BC156" authorId="0">
      <text>
        <r>
          <rPr>
            <b/>
            <sz val="8"/>
            <color indexed="81"/>
            <rFont val="Tahoma"/>
            <family val="2"/>
          </rPr>
          <t>Brian Nowak:
guidance $9.10-$9.30</t>
        </r>
      </text>
    </comment>
    <comment ref="BD156" authorId="0">
      <text>
        <r>
          <rPr>
            <b/>
            <sz val="8"/>
            <color indexed="81"/>
            <rFont val="Tahoma"/>
            <family val="2"/>
          </rPr>
          <t>Brian Nowak:
guidance for 4.90-5.00</t>
        </r>
      </text>
    </comment>
    <comment ref="BE156" authorId="0">
      <text>
        <r>
          <rPr>
            <b/>
            <sz val="8"/>
            <color indexed="81"/>
            <rFont val="Tahoma"/>
            <family val="2"/>
          </rPr>
          <t>Brian Nowak:
$3.80-$3.90 guidance</t>
        </r>
      </text>
    </comment>
    <comment ref="BF156" authorId="2">
      <text>
        <r>
          <rPr>
            <b/>
            <sz val="10"/>
            <color indexed="81"/>
            <rFont val="Tahoma"/>
            <family val="2"/>
          </rPr>
          <t>Brian Nowak:
guidance 7.20-7.40</t>
        </r>
      </text>
    </comment>
    <comment ref="BG156" authorId="3">
      <text>
        <r>
          <rPr>
            <b/>
            <sz val="10"/>
            <color indexed="81"/>
            <rFont val="Tahoma"/>
            <family val="2"/>
          </rPr>
          <t>Brian Nowak:
guidance for $11.10-$12.10</t>
        </r>
      </text>
    </comment>
    <comment ref="BH156" authorId="2">
      <text>
        <r>
          <rPr>
            <b/>
            <sz val="10"/>
            <color indexed="81"/>
            <rFont val="Tahoma"/>
            <family val="2"/>
          </rPr>
          <t>Brian Nowak:
guidance $6.12-6.57</t>
        </r>
      </text>
    </comment>
    <comment ref="BI156" authorId="2">
      <text>
        <r>
          <rPr>
            <b/>
            <sz val="10"/>
            <color indexed="81"/>
            <rFont val="Tahoma"/>
            <family val="2"/>
          </rPr>
          <t>Brian Nowak:
guidance $4.90-$5.30</t>
        </r>
      </text>
    </comment>
    <comment ref="BJ156" authorId="4">
      <text>
        <r>
          <rPr>
            <b/>
            <sz val="9"/>
            <color indexed="81"/>
            <rFont val="Tahoma"/>
            <family val="2"/>
          </rPr>
          <t>Brian Nowak:
guidance:  $8.87 to $9.45</t>
        </r>
      </text>
    </comment>
    <comment ref="BK156" authorId="5">
      <text>
        <r>
          <rPr>
            <b/>
            <sz val="9"/>
            <color indexed="81"/>
            <rFont val="Tahoma"/>
            <family val="2"/>
          </rPr>
          <t xml:space="preserve"> Brian Nowak:</t>
        </r>
        <r>
          <rPr>
            <sz val="9"/>
            <color indexed="81"/>
            <rFont val="Tahoma"/>
            <family val="2"/>
          </rPr>
          <t xml:space="preserve">
guidance $15.30 to $16.30</t>
        </r>
      </text>
    </comment>
    <comment ref="BL156" authorId="4">
      <text>
        <r>
          <rPr>
            <b/>
            <sz val="9"/>
            <color indexed="81"/>
            <rFont val="Tahoma"/>
            <family val="2"/>
          </rPr>
          <t>Brian Nowak:
3Q guidance:  $7.80 - $8.30</t>
        </r>
      </text>
    </comment>
    <comment ref="BM156" authorId="4">
      <text>
        <r>
          <rPr>
            <b/>
            <sz val="9"/>
            <color indexed="81"/>
            <rFont val="Tahoma"/>
            <family val="2"/>
          </rPr>
          <t>Brian Nowak:
1Q:14 conf call:  
"KAYAK had a nicely profitable quarter and contributed to our bottom line beat."
"Q1 is a relatively more profitable quarter from a seasonal perspective for KAYAK than it is for our overall business."
4Q guidance:  $6.35 - $6.85</t>
        </r>
      </text>
    </comment>
    <comment ref="BN156" authorId="5">
      <text>
        <r>
          <rPr>
            <b/>
            <sz val="9"/>
            <color indexed="81"/>
            <rFont val="Tahoma"/>
            <family val="2"/>
          </rPr>
          <t>Brian Nowak:
1Q:14 guidance $11.22-$12.02</t>
        </r>
      </text>
    </comment>
    <comment ref="BO156" authorId="5">
      <text>
        <r>
          <rPr>
            <b/>
            <sz val="9"/>
            <color indexed="81"/>
            <rFont val="Tahoma"/>
            <family val="2"/>
          </rPr>
          <t>Brian Nowak:
2Q:14 guidance $19.60-$21.10
2Q:14 conf call:  OPEN "slightly accretive" to 3Q EPS</t>
        </r>
      </text>
    </comment>
    <comment ref="BP156" authorId="5">
      <text>
        <r>
          <rPr>
            <b/>
            <sz val="9"/>
            <color indexed="81"/>
            <rFont val="Tahoma"/>
            <family val="2"/>
          </rPr>
          <t xml:space="preserve">Brian Nowak:
3Q:14 guidance $9.40-$10.10
</t>
        </r>
      </text>
    </comment>
    <comment ref="BQ156" authorId="6">
      <text>
        <r>
          <rPr>
            <b/>
            <sz val="9"/>
            <color indexed="81"/>
            <rFont val="Tahoma"/>
            <family val="2"/>
          </rPr>
          <t>Costantini, Michael (Research):</t>
        </r>
        <r>
          <rPr>
            <sz val="9"/>
            <color indexed="81"/>
            <rFont val="Tahoma"/>
            <family val="2"/>
          </rPr>
          <t xml:space="preserve">
4Q:14 guidance:  $7.20-$7.75</t>
        </r>
      </text>
    </comment>
    <comment ref="BR156" authorId="6">
      <text>
        <r>
          <rPr>
            <b/>
            <sz val="9"/>
            <color indexed="81"/>
            <rFont val="Tahoma"/>
            <family val="2"/>
          </rPr>
          <t>Costantini, Michael (Research):</t>
        </r>
        <r>
          <rPr>
            <sz val="9"/>
            <color indexed="81"/>
            <rFont val="Tahoma"/>
            <family val="2"/>
          </rPr>
          <t xml:space="preserve">
1Q:15 guidance:  $10.95 to $11.75</t>
        </r>
      </text>
    </comment>
    <comment ref="BS156" authorId="6">
      <text>
        <r>
          <rPr>
            <b/>
            <sz val="9"/>
            <color indexed="81"/>
            <rFont val="Tahoma"/>
            <family val="2"/>
          </rPr>
          <t>Costantini, Michael (Research):</t>
        </r>
        <r>
          <rPr>
            <sz val="9"/>
            <color indexed="81"/>
            <rFont val="Tahoma"/>
            <family val="2"/>
          </rPr>
          <t xml:space="preserve">
2Q:15 guidance:  $22.95 to $24.45</t>
        </r>
      </text>
    </comment>
    <comment ref="BT156" authorId="6">
      <text>
        <r>
          <rPr>
            <b/>
            <sz val="9"/>
            <color indexed="81"/>
            <rFont val="Tahoma"/>
            <family val="2"/>
          </rPr>
          <t>Costantini, Michael (Research):</t>
        </r>
        <r>
          <rPr>
            <sz val="9"/>
            <color indexed="81"/>
            <rFont val="Tahoma"/>
            <family val="2"/>
          </rPr>
          <t xml:space="preserve">
3Q:15 guidance:  $11.10 to $11.90</t>
        </r>
      </text>
    </comment>
    <comment ref="BU156" authorId="6">
      <text>
        <r>
          <rPr>
            <b/>
            <sz val="9"/>
            <color indexed="81"/>
            <rFont val="Tahoma"/>
            <family val="2"/>
          </rPr>
          <t>Costantini, Michael (Research):</t>
        </r>
        <r>
          <rPr>
            <sz val="9"/>
            <color indexed="81"/>
            <rFont val="Tahoma"/>
            <family val="2"/>
          </rPr>
          <t xml:space="preserve">
4Q:15 guidance:  $9.00 to $9.60</t>
        </r>
      </text>
    </comment>
    <comment ref="BV156" authorId="6">
      <text>
        <r>
          <rPr>
            <b/>
            <sz val="9"/>
            <color indexed="81"/>
            <rFont val="Tahoma"/>
            <family val="2"/>
          </rPr>
          <t>Costantini, Michael (Research):</t>
        </r>
        <r>
          <rPr>
            <sz val="9"/>
            <color indexed="81"/>
            <rFont val="Tahoma"/>
            <family val="2"/>
          </rPr>
          <t xml:space="preserve">
1Q:16 guidance:  $11.60 to $12.50</t>
        </r>
      </text>
    </comment>
    <comment ref="BW156" authorId="6">
      <text>
        <r>
          <rPr>
            <b/>
            <sz val="9"/>
            <color indexed="81"/>
            <rFont val="Tahoma"/>
            <family val="2"/>
          </rPr>
          <t>Costantini, Michael (Research):</t>
        </r>
        <r>
          <rPr>
            <sz val="9"/>
            <color indexed="81"/>
            <rFont val="Tahoma"/>
            <family val="2"/>
          </rPr>
          <t xml:space="preserve">
2Q:16 guidance:  $28.30 to $29.80</t>
        </r>
      </text>
    </comment>
    <comment ref="BX159" authorId="6">
      <text>
        <r>
          <rPr>
            <b/>
            <sz val="9"/>
            <color indexed="81"/>
            <rFont val="Tahoma"/>
            <family val="2"/>
          </rPr>
          <t>Costantini, Michael (Research):</t>
        </r>
        <r>
          <rPr>
            <sz val="9"/>
            <color indexed="81"/>
            <rFont val="Tahoma"/>
            <family val="2"/>
          </rPr>
          <t xml:space="preserve">
3Q:16 guidance:  $12.20 to $12.80</t>
        </r>
      </text>
    </comment>
    <comment ref="BY159" authorId="6">
      <text>
        <r>
          <rPr>
            <b/>
            <sz val="9"/>
            <color indexed="81"/>
            <rFont val="Tahoma"/>
            <family val="2"/>
          </rPr>
          <t>Costantini, Michael (Research):</t>
        </r>
        <r>
          <rPr>
            <sz val="9"/>
            <color indexed="81"/>
            <rFont val="Tahoma"/>
            <family val="2"/>
          </rPr>
          <t xml:space="preserve">
4Q:16 guidance:  $8.25 to $8.65</t>
        </r>
      </text>
    </comment>
    <comment ref="BZ159" authorId="7">
      <text>
        <r>
          <rPr>
            <b/>
            <sz val="9"/>
            <color indexed="81"/>
            <rFont val="Tahoma"/>
            <family val="2"/>
          </rPr>
          <t>Nowak, Brian (Research):</t>
        </r>
        <r>
          <rPr>
            <sz val="9"/>
            <color indexed="81"/>
            <rFont val="Tahoma"/>
            <family val="2"/>
          </rPr>
          <t xml:space="preserve">
1q:17 guidance 13.30-14.00</t>
        </r>
      </text>
    </comment>
    <comment ref="CA159" authorId="7">
      <text>
        <r>
          <rPr>
            <b/>
            <sz val="9"/>
            <color indexed="81"/>
            <rFont val="Tahoma"/>
            <family val="2"/>
          </rPr>
          <t>Nowak, Brian (Research):</t>
        </r>
        <r>
          <rPr>
            <sz val="9"/>
            <color indexed="81"/>
            <rFont val="Tahoma"/>
            <family val="2"/>
          </rPr>
          <t xml:space="preserve">
guidance $32.40-34.10</t>
        </r>
      </text>
    </comment>
    <comment ref="CB159" authorId="8">
      <text>
        <r>
          <rPr>
            <b/>
            <sz val="9"/>
            <color indexed="81"/>
            <rFont val="Tahoma"/>
            <family val="2"/>
          </rPr>
          <t>Wang, Alaxandar (Research):</t>
        </r>
        <r>
          <rPr>
            <sz val="9"/>
            <color indexed="81"/>
            <rFont val="Tahoma"/>
            <family val="2"/>
          </rPr>
          <t xml:space="preserve">
guidance 13.40-14.00</t>
        </r>
      </text>
    </comment>
    <comment ref="CC159" authorId="8">
      <text>
        <r>
          <rPr>
            <b/>
            <sz val="9"/>
            <color indexed="81"/>
            <rFont val="Tahoma"/>
            <family val="2"/>
          </rPr>
          <t>Wang, Alaxandar (Research):</t>
        </r>
        <r>
          <rPr>
            <sz val="9"/>
            <color indexed="81"/>
            <rFont val="Tahoma"/>
            <family val="2"/>
          </rPr>
          <t xml:space="preserve">
per 4Q17 earnings: $10.00-10.40</t>
        </r>
      </text>
    </comment>
    <comment ref="BJ168" authorId="5">
      <text>
        <r>
          <rPr>
            <b/>
            <sz val="9"/>
            <color indexed="81"/>
            <rFont val="Tahoma"/>
            <family val="2"/>
          </rPr>
          <t xml:space="preserve"> Brian Nowak:
</t>
        </r>
        <r>
          <rPr>
            <sz val="9"/>
            <color indexed="81"/>
            <rFont val="Tahoma"/>
            <family val="2"/>
          </rPr>
          <t>kayak</t>
        </r>
      </text>
    </comment>
    <comment ref="CD168" authorId="8">
      <text>
        <r>
          <rPr>
            <b/>
            <sz val="9"/>
            <color indexed="81"/>
            <rFont val="Tahoma"/>
            <family val="2"/>
          </rPr>
          <t>Wang, Alaxandar (Research):</t>
        </r>
        <r>
          <rPr>
            <sz val="9"/>
            <color indexed="81"/>
            <rFont val="Tahoma"/>
            <family val="2"/>
          </rPr>
          <t xml:space="preserve">
per 4Q:17 earnings: $714mn principal + $700 premium divided by Feb 26, 2018 closing price </t>
        </r>
      </text>
    </comment>
    <comment ref="BT170" authorId="6">
      <text>
        <r>
          <rPr>
            <b/>
            <sz val="9"/>
            <color indexed="81"/>
            <rFont val="Tahoma"/>
            <family val="2"/>
          </rPr>
          <t>Costantini, Michael (Research):</t>
        </r>
        <r>
          <rPr>
            <sz val="9"/>
            <color indexed="81"/>
            <rFont val="Tahoma"/>
            <family val="2"/>
          </rPr>
          <t xml:space="preserve">
3Q:15 conf call:  50.9mn shares</t>
        </r>
      </text>
    </comment>
    <comment ref="BU170" authorId="6">
      <text>
        <r>
          <rPr>
            <b/>
            <sz val="9"/>
            <color indexed="81"/>
            <rFont val="Tahoma"/>
            <family val="2"/>
          </rPr>
          <t>Costantini, Michael (Research):</t>
        </r>
        <r>
          <rPr>
            <sz val="9"/>
            <color indexed="81"/>
            <rFont val="Tahoma"/>
            <family val="2"/>
          </rPr>
          <t xml:space="preserve">
4Q:15 conf call:  50.5mn shares</t>
        </r>
      </text>
    </comment>
    <comment ref="CB170" authorId="8">
      <text>
        <r>
          <rPr>
            <b/>
            <sz val="9"/>
            <color indexed="81"/>
            <rFont val="Tahoma"/>
            <family val="2"/>
          </rPr>
          <t>Wang, Alaxandar (Research):</t>
        </r>
        <r>
          <rPr>
            <sz val="9"/>
            <color indexed="81"/>
            <rFont val="Tahoma"/>
            <family val="2"/>
          </rPr>
          <t xml:space="preserve">
guidance 49.7mn shares</t>
        </r>
      </text>
    </comment>
    <comment ref="BK172" authorId="4">
      <text>
        <r>
          <rPr>
            <b/>
            <sz val="9"/>
            <color indexed="81"/>
            <rFont val="Tahoma"/>
            <family val="2"/>
          </rPr>
          <t>Brian Nowak:
announced $1bn repurchase auth on 5/29/2013 ($450mn in pvt sales, remaineder combo of pvt and public)</t>
        </r>
      </text>
    </comment>
    <comment ref="BL172" authorId="4">
      <text>
        <r>
          <rPr>
            <b/>
            <sz val="9"/>
            <color indexed="81"/>
            <rFont val="Tahoma"/>
            <family val="2"/>
          </rPr>
          <t>Brian Nowak:
per 10-Q:  $654.5mn repurchae authorization outstanding as of Sept 30, 2013</t>
        </r>
      </text>
    </comment>
    <comment ref="BM172" authorId="4">
      <text>
        <r>
          <rPr>
            <b/>
            <sz val="9"/>
            <color indexed="81"/>
            <rFont val="Tahoma"/>
            <family val="2"/>
          </rPr>
          <t>Brian Nowak:
per 1Q:14 10-Q (pg 18):   to "satisfy employee withholding taxes related to SBC"</t>
        </r>
      </text>
    </comment>
    <comment ref="BN172" authorId="4">
      <text>
        <r>
          <rPr>
            <b/>
            <sz val="9"/>
            <color indexed="81"/>
            <rFont val="Tahoma"/>
            <family val="2"/>
          </rPr>
          <t>Brian Nowak:
per 1Q:14 10-Q (pg 18):  remaining repurchase authorization is $654.5mn</t>
        </r>
      </text>
    </comment>
    <comment ref="BO172" authorId="4">
      <text>
        <r>
          <rPr>
            <b/>
            <sz val="9"/>
            <color indexed="81"/>
            <rFont val="Tahoma"/>
            <family val="2"/>
          </rPr>
          <t>Brian Nowak:
8/20/14 8-K:  PCLN issued $1bn in convertible debt and repurchased $147mn in common stock (114,645 shares at avg price of $1,282/share)
8/13/14:  PCLN issuing up to $1bn in convertible debt to repurchase up to $375mn in common stock
per 2Q:14 10-Q (pg 19):  remaining repurchase authorization is $654.5mn</t>
        </r>
      </text>
    </comment>
    <comment ref="BP172" authorId="6">
      <text>
        <r>
          <rPr>
            <b/>
            <sz val="9"/>
            <color indexed="81"/>
            <rFont val="Tahoma"/>
            <family val="2"/>
          </rPr>
          <t>Costantini, Michael (Research):</t>
        </r>
        <r>
          <rPr>
            <sz val="9"/>
            <color indexed="81"/>
            <rFont val="Tahoma"/>
            <family val="2"/>
          </rPr>
          <t xml:space="preserve">
authorized $3bn repurchase auth in 4Q:14 (largest ever)
open ended:  no specific time frame by which they have to execute it
will execute on it "going fwd" at a pace they think "makes sense" based on US cash ($1.2bn in US as of 4Q:14)</t>
        </r>
      </text>
    </comment>
    <comment ref="BS172" authorId="6">
      <text>
        <r>
          <rPr>
            <b/>
            <sz val="9"/>
            <color indexed="81"/>
            <rFont val="Tahoma"/>
            <family val="2"/>
          </rPr>
          <t>Costantini, Michael (Research):</t>
        </r>
        <r>
          <rPr>
            <sz val="9"/>
            <color indexed="81"/>
            <rFont val="Tahoma"/>
            <family val="2"/>
          </rPr>
          <t xml:space="preserve">
2Q:15 conf call:  </t>
        </r>
        <r>
          <rPr>
            <b/>
            <sz val="9"/>
            <color indexed="81"/>
            <rFont val="Tahoma"/>
            <family val="2"/>
          </rPr>
          <t>already bought back $500mn in 3Q:15</t>
        </r>
        <r>
          <rPr>
            <sz val="9"/>
            <color indexed="81"/>
            <rFont val="Tahoma"/>
            <family val="2"/>
          </rPr>
          <t xml:space="preserve">...expect to exhaust rest of buyback at a pace that makes sense based on stock price, avail US cash, and other investment opptys
post this $500mn, $1.4bn remains on authorization (or $1.9bn pre)
</t>
        </r>
        <r>
          <rPr>
            <b/>
            <sz val="9"/>
            <color indexed="81"/>
            <rFont val="Tahoma"/>
            <family val="2"/>
          </rPr>
          <t>2Q:15 10-Q:  Stock repurchases in June 2015 of 155,129 shares for an aggregate cost of $175.8 million were settled in July 2015.</t>
        </r>
        <r>
          <rPr>
            <sz val="9"/>
            <color indexed="81"/>
            <rFont val="Tahoma"/>
            <family val="2"/>
          </rPr>
          <t xml:space="preserve"> 
</t>
        </r>
      </text>
    </comment>
    <comment ref="BT172" authorId="6">
      <text>
        <r>
          <rPr>
            <b/>
            <sz val="9"/>
            <color indexed="81"/>
            <rFont val="Tahoma"/>
            <family val="2"/>
          </rPr>
          <t>Costantini, Michael (Research):</t>
        </r>
        <r>
          <rPr>
            <sz val="9"/>
            <color indexed="81"/>
            <rFont val="Tahoma"/>
            <family val="2"/>
          </rPr>
          <t xml:space="preserve">
</t>
        </r>
        <r>
          <rPr>
            <b/>
            <sz val="9"/>
            <color indexed="81"/>
            <rFont val="Tahoma"/>
            <family val="2"/>
          </rPr>
          <t>3Q:15 10-Q:</t>
        </r>
        <r>
          <rPr>
            <sz val="9"/>
            <color indexed="81"/>
            <rFont val="Tahoma"/>
            <family val="2"/>
          </rPr>
          <t xml:space="preserve">  </t>
        </r>
        <r>
          <rPr>
            <b/>
            <sz val="9"/>
            <color indexed="81"/>
            <rFont val="Tahoma"/>
            <family val="2"/>
          </rPr>
          <t>$748.8mn left on authorization as of 9/30</t>
        </r>
        <r>
          <rPr>
            <sz val="9"/>
            <color indexed="81"/>
            <rFont val="Tahoma"/>
            <family val="2"/>
          </rPr>
          <t xml:space="preserve">...already repurchased $588mn as of 3Q:15 earnings conf call
-Stock repurchases in Sept 2015 of 57,241 shares for an aggregate cost of </t>
        </r>
        <r>
          <rPr>
            <b/>
            <sz val="9"/>
            <color indexed="81"/>
            <rFont val="Tahoma"/>
            <family val="2"/>
          </rPr>
          <t>$68.4 million</t>
        </r>
        <r>
          <rPr>
            <sz val="9"/>
            <color indexed="81"/>
            <rFont val="Tahoma"/>
            <family val="2"/>
          </rPr>
          <t xml:space="preserve"> that were settled in October 2015
-As of September 30, 2015, the Company had a remaining authorization of $748.8 million to purchase its common stock. During the period from October 1, 2015 through October 30, 2015, the Company repurchased 397,038 additional shares for an aggregate cost of </t>
        </r>
        <r>
          <rPr>
            <b/>
            <sz val="9"/>
            <color indexed="81"/>
            <rFont val="Tahoma"/>
            <family val="2"/>
          </rPr>
          <t>$519.6 million</t>
        </r>
        <r>
          <rPr>
            <sz val="9"/>
            <color indexed="81"/>
            <rFont val="Tahoma"/>
            <family val="2"/>
          </rPr>
          <t xml:space="preserve">
</t>
        </r>
      </text>
    </comment>
    <comment ref="BU172" authorId="6">
      <text>
        <r>
          <rPr>
            <b/>
            <sz val="9"/>
            <color indexed="81"/>
            <rFont val="Tahoma"/>
            <family val="2"/>
          </rPr>
          <t>Costantini, Michael (Research):</t>
        </r>
        <r>
          <rPr>
            <sz val="9"/>
            <color indexed="81"/>
            <rFont val="Tahoma"/>
            <family val="2"/>
          </rPr>
          <t xml:space="preserve">
4Q:15 earnings conf call:  new $3bn buyback authorization</t>
        </r>
      </text>
    </comment>
    <comment ref="BW172" authorId="6">
      <text>
        <r>
          <rPr>
            <b/>
            <sz val="9"/>
            <color indexed="81"/>
            <rFont val="Tahoma"/>
            <family val="2"/>
          </rPr>
          <t>Costantini, Michael (Research):</t>
        </r>
        <r>
          <rPr>
            <sz val="9"/>
            <color indexed="81"/>
            <rFont val="Tahoma"/>
            <family val="2"/>
          </rPr>
          <t xml:space="preserve">
2Q:16 earnings conf call:  repurchased $69mn in stock in July</t>
        </r>
      </text>
    </comment>
    <comment ref="BX172" authorId="6">
      <text>
        <r>
          <rPr>
            <b/>
            <sz val="9"/>
            <color indexed="81"/>
            <rFont val="Tahoma"/>
            <family val="2"/>
          </rPr>
          <t>Costantini, Michael (Research):</t>
        </r>
        <r>
          <rPr>
            <sz val="9"/>
            <color indexed="81"/>
            <rFont val="Tahoma"/>
            <family val="2"/>
          </rPr>
          <t xml:space="preserve">
3Q:16 earnings conf call:  ...we have purchased an additional $25 million of our common stock after quarter close. </t>
        </r>
      </text>
    </comment>
    <comment ref="BY172" authorId="6">
      <text>
        <r>
          <rPr>
            <b/>
            <sz val="9"/>
            <color indexed="81"/>
            <rFont val="Tahoma"/>
            <family val="2"/>
          </rPr>
          <t>Costantini, Michael (Research):</t>
        </r>
        <r>
          <rPr>
            <sz val="9"/>
            <color indexed="81"/>
            <rFont val="Tahoma"/>
            <family val="2"/>
          </rPr>
          <t xml:space="preserve">
4Q:16 earnings conf call: 
$2.1bn authorization at end of 2016 
+$2.0bn new authorization as of 1Q:17</t>
        </r>
      </text>
    </comment>
    <comment ref="CT172" authorId="5">
      <text>
        <r>
          <rPr>
            <b/>
            <sz val="9"/>
            <color indexed="81"/>
            <rFont val="Tahoma"/>
            <family val="2"/>
          </rPr>
          <t xml:space="preserve"> Brian Nowak:</t>
        </r>
        <r>
          <rPr>
            <sz val="9"/>
            <color indexed="81"/>
            <rFont val="Tahoma"/>
            <family val="2"/>
          </rPr>
          <t xml:space="preserve">
804.7m per page 62 of 10K</t>
        </r>
      </text>
    </comment>
    <comment ref="CV172" authorId="6">
      <text>
        <r>
          <rPr>
            <b/>
            <sz val="9"/>
            <color indexed="81"/>
            <rFont val="Tahoma"/>
            <family val="2"/>
          </rPr>
          <t>Costantini, Michael (Research):</t>
        </r>
        <r>
          <rPr>
            <sz val="9"/>
            <color indexed="81"/>
            <rFont val="Tahoma"/>
            <family val="2"/>
          </rPr>
          <t xml:space="preserve">
authorized $3bn repurchase auth in 4Q:14 (largest ever)
open ended:  no specific time frame by which they have to execute it
will execute on it "going fwd" at a pace they think "makes sense" based on US cash ($1.2bn in US as of 4Q:14)
</t>
        </r>
      </text>
    </comment>
    <comment ref="CW172" authorId="6">
      <text>
        <r>
          <rPr>
            <b/>
            <sz val="9"/>
            <color indexed="81"/>
            <rFont val="Tahoma"/>
            <family val="2"/>
          </rPr>
          <t>Costantini, Michael (Research):</t>
        </r>
        <r>
          <rPr>
            <sz val="9"/>
            <color indexed="81"/>
            <rFont val="Tahoma"/>
            <family val="2"/>
          </rPr>
          <t xml:space="preserve">
2Q:15 10-Q:  approx $2.6bn of $3bn remains as of 6/30/16
4Q:15 earnings conf call:  new $3bn buyback authorization</t>
        </r>
      </text>
    </comment>
    <comment ref="CX172" authorId="6">
      <text>
        <r>
          <rPr>
            <b/>
            <sz val="9"/>
            <color indexed="81"/>
            <rFont val="Tahoma"/>
            <family val="2"/>
          </rPr>
          <t>Costantini, Michael (Research):</t>
        </r>
        <r>
          <rPr>
            <sz val="9"/>
            <color indexed="81"/>
            <rFont val="Tahoma"/>
            <family val="2"/>
          </rPr>
          <t xml:space="preserve">
4Q:16 earnings conf call: 
$2.1bn authorization at end of 2016 
+$2.0bn new authorization as of 1Q:17</t>
        </r>
      </text>
    </comment>
    <comment ref="AY173" authorId="0">
      <text>
        <r>
          <rPr>
            <b/>
            <sz val="8"/>
            <color indexed="81"/>
            <rFont val="Tahoma"/>
            <family val="2"/>
          </rPr>
          <t>Brian Nowak:
84k sahres repurchased 9 months of year for tax obligations</t>
        </r>
      </text>
    </comment>
    <comment ref="BC173" authorId="0">
      <text>
        <r>
          <rPr>
            <b/>
            <sz val="8"/>
            <color indexed="81"/>
            <rFont val="Tahoma"/>
            <family val="2"/>
          </rPr>
          <t xml:space="preserve">Brian Nowak:
2Q:11 trans
expect to be in market
as of 2Q:11 $459.2m left in authorization
</t>
        </r>
      </text>
    </comment>
    <comment ref="BH173" authorId="2">
      <text>
        <r>
          <rPr>
            <b/>
            <sz val="10"/>
            <color indexed="81"/>
            <rFont val="Tahoma"/>
            <family val="2"/>
          </rPr>
          <t>Brian Nowak:
460mn remaining authorized as of 3Q:12</t>
        </r>
      </text>
    </comment>
    <comment ref="BQ173" authorId="6">
      <text>
        <r>
          <rPr>
            <b/>
            <sz val="9"/>
            <color indexed="81"/>
            <rFont val="Tahoma"/>
            <family val="2"/>
          </rPr>
          <t>Costantini, Michael (Research):</t>
        </r>
        <r>
          <rPr>
            <sz val="9"/>
            <color indexed="81"/>
            <rFont val="Tahoma"/>
            <family val="2"/>
          </rPr>
          <t xml:space="preserve">
10-Q:  198.335mn on open mkt + 53.062mn to satisfy employee withholding tax obligations = 251.397mn
251k per 1Q:15 conf call</t>
        </r>
      </text>
    </comment>
    <comment ref="BR173" authorId="6">
      <text>
        <r>
          <rPr>
            <b/>
            <sz val="9"/>
            <color indexed="81"/>
            <rFont val="Tahoma"/>
            <family val="2"/>
          </rPr>
          <t>Costantini, Michael (Research):</t>
        </r>
        <r>
          <rPr>
            <sz val="9"/>
            <color indexed="81"/>
            <rFont val="Tahoma"/>
            <family val="2"/>
          </rPr>
          <t xml:space="preserve">
2Q:15 10-Q:  For 6 months ended 6/30/15 bought back 917.890mn on open mkt + 57.332mn to satisfy employee withholding tax obligations - 115.129mn shares purchased in June that settled in July = 820.093mn
2Q:15 conf call:  720k in 2Q:15...does not back out 115.129mn shares purchased in June that settled in July ((917.890mn + 57.332mn less 1Q:15 buyback)</t>
        </r>
      </text>
    </comment>
    <comment ref="BU173" authorId="6">
      <text>
        <r>
          <rPr>
            <b/>
            <sz val="9"/>
            <color indexed="81"/>
            <rFont val="Tahoma"/>
            <family val="2"/>
          </rPr>
          <t>Costantini, Michael (Research):</t>
        </r>
        <r>
          <rPr>
            <sz val="9"/>
            <color indexed="81"/>
            <rFont val="Tahoma"/>
            <family val="2"/>
          </rPr>
          <t xml:space="preserve">
1Q:16 earnings conf call:  repurchased 202k shares</t>
        </r>
      </text>
    </comment>
    <comment ref="BV173" authorId="6">
      <text>
        <r>
          <rPr>
            <b/>
            <sz val="9"/>
            <color indexed="81"/>
            <rFont val="Tahoma"/>
            <family val="2"/>
          </rPr>
          <t>Costantini, Michael (Research):</t>
        </r>
        <r>
          <rPr>
            <sz val="9"/>
            <color indexed="81"/>
            <rFont val="Tahoma"/>
            <family val="2"/>
          </rPr>
          <t xml:space="preserve">
2Q:16 earnings conf call:  repurchased 236k shares</t>
        </r>
      </text>
    </comment>
    <comment ref="BW173" authorId="6">
      <text>
        <r>
          <rPr>
            <b/>
            <sz val="9"/>
            <color indexed="81"/>
            <rFont val="Tahoma"/>
            <family val="2"/>
          </rPr>
          <t>Costantini, Michael (Research):</t>
        </r>
        <r>
          <rPr>
            <sz val="9"/>
            <color indexed="81"/>
            <rFont val="Tahoma"/>
            <family val="2"/>
          </rPr>
          <t xml:space="preserve">
3Q:16 earnings conf call:  repurchased 144k shares</t>
        </r>
      </text>
    </comment>
    <comment ref="CT173" authorId="5">
      <text>
        <r>
          <rPr>
            <b/>
            <sz val="9"/>
            <color indexed="81"/>
            <rFont val="Tahoma"/>
            <family val="2"/>
          </rPr>
          <t xml:space="preserve"> Brian Nowak:</t>
        </r>
        <r>
          <rPr>
            <sz val="9"/>
            <color indexed="81"/>
            <rFont val="Tahoma"/>
            <family val="2"/>
          </rPr>
          <t xml:space="preserve">
916.271k per page 62 of 10K</t>
        </r>
      </text>
    </comment>
    <comment ref="BW174" authorId="6">
      <text>
        <r>
          <rPr>
            <b/>
            <sz val="9"/>
            <color indexed="81"/>
            <rFont val="Tahoma"/>
            <family val="2"/>
          </rPr>
          <t>Costantini, Michael (Research):</t>
        </r>
        <r>
          <rPr>
            <sz val="9"/>
            <color indexed="81"/>
            <rFont val="Tahoma"/>
            <family val="2"/>
          </rPr>
          <t xml:space="preserve">
3Q:16 earnings conf call:  We repurchased 144,000 shares of our common stock for $199 million during the quarter, and we have purchased an additional $25 million of our common stock after quarter close. </t>
        </r>
      </text>
    </comment>
    <comment ref="I179" authorId="0">
      <text>
        <r>
          <rPr>
            <b/>
            <sz val="8"/>
            <color indexed="81"/>
            <rFont val="Tahoma"/>
            <family val="2"/>
          </rPr>
          <t>Brian Nowak:
NYOP : Reported Gross with COGS
Price Disclosed: Reported Net with no cogs</t>
        </r>
      </text>
    </comment>
    <comment ref="I180" authorId="0">
      <text>
        <r>
          <rPr>
            <b/>
            <sz val="8"/>
            <color indexed="81"/>
            <rFont val="Tahoma"/>
            <family val="2"/>
          </rPr>
          <t>Brian Nowak:
Net, No COGS</t>
        </r>
      </text>
    </comment>
    <comment ref="CQ180" authorId="0">
      <text>
        <r>
          <rPr>
            <b/>
            <sz val="10"/>
            <color indexed="81"/>
            <rFont val="Tahoma"/>
            <family val="2"/>
          </rPr>
          <t>Brian Nowak:
benefited from integration of hotesls from Booking.com extranet into priceline.com website</t>
        </r>
      </text>
    </comment>
    <comment ref="I181" authorId="0">
      <text>
        <r>
          <rPr>
            <b/>
            <sz val="8"/>
            <color indexed="81"/>
            <rFont val="Tahoma"/>
            <family val="2"/>
          </rPr>
          <t>Brian Nowak:
primarily advertising on websites
assume all domestic for modeling
net no cogs(2008 10k) until 2010</t>
        </r>
      </text>
    </comment>
    <comment ref="AX182" authorId="0">
      <text>
        <r>
          <rPr>
            <b/>
            <sz val="8"/>
            <color indexed="81"/>
            <rFont val="Tahoma"/>
            <family val="2"/>
          </rPr>
          <t>Brian Nowak:
adjusted for amort of acq;uired intanbiles</t>
        </r>
      </text>
    </comment>
    <comment ref="AY182" authorId="0">
      <text>
        <r>
          <rPr>
            <b/>
            <sz val="8"/>
            <color indexed="81"/>
            <rFont val="Tahoma"/>
            <family val="2"/>
          </rPr>
          <t>Brian Nowak:
adjusted 2.02 for amort of acquired intangibles</t>
        </r>
      </text>
    </comment>
    <comment ref="AZ182" authorId="0">
      <text>
        <r>
          <rPr>
            <b/>
            <sz val="8"/>
            <color indexed="81"/>
            <rFont val="Tahoma"/>
            <family val="2"/>
          </rPr>
          <t>Brian Nowak:
adjusted 1.753 amort of acquired intangibles in mer revs</t>
        </r>
      </text>
    </comment>
    <comment ref="I193" authorId="0">
      <text>
        <r>
          <rPr>
            <b/>
            <sz val="8"/>
            <color indexed="81"/>
            <rFont val="Tahoma"/>
            <family val="2"/>
          </rPr>
          <t>Brian Nowak:
NYOP and Price Disclosed</t>
        </r>
      </text>
    </comment>
    <comment ref="BM194" authorId="5">
      <text>
        <r>
          <rPr>
            <b/>
            <sz val="9"/>
            <color indexed="81"/>
            <rFont val="Tahoma"/>
            <family val="2"/>
          </rPr>
          <t xml:space="preserve"> Brian Nowak:</t>
        </r>
        <r>
          <rPr>
            <sz val="9"/>
            <color indexed="81"/>
            <rFont val="Tahoma"/>
            <family val="2"/>
          </rPr>
          <t xml:space="preserve">
easter shift bookings in 1Q, but stays happen in 2Q</t>
        </r>
      </text>
    </comment>
    <comment ref="BM197" authorId="5">
      <text>
        <r>
          <rPr>
            <b/>
            <sz val="9"/>
            <color indexed="81"/>
            <rFont val="Tahoma"/>
            <family val="2"/>
          </rPr>
          <t xml:space="preserve"> Brian Nowak:</t>
        </r>
        <r>
          <rPr>
            <sz val="9"/>
            <color indexed="81"/>
            <rFont val="Tahoma"/>
            <family val="2"/>
          </rPr>
          <t xml:space="preserve">
easter shift bookings in 1Q, but stays happen in 2Q</t>
        </r>
      </text>
    </comment>
    <comment ref="I203" authorId="0">
      <text>
        <r>
          <rPr>
            <b/>
            <sz val="8"/>
            <color indexed="81"/>
            <rFont val="Tahoma"/>
            <family val="2"/>
          </rPr>
          <t xml:space="preserve">Brian Nowak:
International Agency is Reproted Net (No COGS)
</t>
        </r>
      </text>
    </comment>
    <comment ref="I204" authorId="0">
      <text>
        <r>
          <rPr>
            <b/>
            <sz val="8"/>
            <color indexed="81"/>
            <rFont val="Tahoma"/>
            <family val="2"/>
          </rPr>
          <t>Brian Nowak:
Agoda is reported with Net Accounting (no COGS asociated with it)</t>
        </r>
      </text>
    </comment>
    <comment ref="CO204" authorId="0">
      <text>
        <r>
          <rPr>
            <b/>
            <sz val="8"/>
            <color indexed="81"/>
            <rFont val="Tahoma"/>
            <family val="2"/>
          </rPr>
          <t>Brian Nowak:
17.041</t>
        </r>
      </text>
    </comment>
    <comment ref="CP204" authorId="0">
      <text>
        <r>
          <rPr>
            <b/>
            <sz val="8"/>
            <color indexed="81"/>
            <rFont val="Tahoma"/>
            <family val="2"/>
          </rPr>
          <t>Brian Nowak:
38.4 per page 101 10k
"Other"</t>
        </r>
      </text>
    </comment>
    <comment ref="CQ204" authorId="0">
      <text>
        <r>
          <rPr>
            <b/>
            <sz val="8"/>
            <color indexed="81"/>
            <rFont val="Tahoma"/>
            <family val="2"/>
          </rPr>
          <t>Brian Nowak:
107.9 per page 101 10K</t>
        </r>
      </text>
    </comment>
    <comment ref="CR204" authorId="0">
      <text>
        <r>
          <rPr>
            <b/>
            <sz val="8"/>
            <color indexed="81"/>
            <rFont val="Tahoma"/>
            <family val="2"/>
          </rPr>
          <t>Brian Nowak:
246.201 per 2011 10K</t>
        </r>
      </text>
    </comment>
    <comment ref="I205" authorId="5">
      <text>
        <r>
          <rPr>
            <b/>
            <sz val="9"/>
            <color indexed="81"/>
            <rFont val="Tahoma"/>
            <family val="2"/>
          </rPr>
          <t xml:space="preserve"> Brian Nowak:</t>
        </r>
        <r>
          <rPr>
            <sz val="9"/>
            <color indexed="81"/>
            <rFont val="Tahoma"/>
            <family val="2"/>
          </rPr>
          <t xml:space="preserve">
post 1Q:13 Merchant but recorded net</t>
        </r>
      </text>
    </comment>
    <comment ref="CQ205" authorId="0">
      <text>
        <r>
          <rPr>
            <b/>
            <sz val="8"/>
            <color indexed="81"/>
            <rFont val="Tahoma"/>
            <family val="2"/>
          </rPr>
          <t>Brian Nowak:
one press report says more than 150m of annual revenue before it was acquried</t>
        </r>
      </text>
    </comment>
    <comment ref="AG206" authorId="0">
      <text>
        <r>
          <rPr>
            <b/>
            <sz val="8"/>
            <color indexed="81"/>
            <rFont val="Tahoma"/>
            <family val="2"/>
          </rPr>
          <t>Brian Nowak:
conf call</t>
        </r>
      </text>
    </comment>
    <comment ref="AH206" authorId="0">
      <text>
        <r>
          <rPr>
            <b/>
            <sz val="8"/>
            <color indexed="81"/>
            <rFont val="Tahoma"/>
            <family val="2"/>
          </rPr>
          <t>Brian Nowak:
conf call</t>
        </r>
      </text>
    </comment>
    <comment ref="AW206" authorId="0">
      <text>
        <r>
          <rPr>
            <b/>
            <sz val="8"/>
            <color indexed="81"/>
            <rFont val="Tahoma"/>
            <family val="2"/>
          </rPr>
          <t>Brian Nowak:
10Q</t>
        </r>
      </text>
    </comment>
    <comment ref="AX206" authorId="0">
      <text>
        <r>
          <rPr>
            <b/>
            <sz val="8"/>
            <color indexed="81"/>
            <rFont val="Tahoma"/>
            <family val="2"/>
          </rPr>
          <t>Brian Nowak:
10Q</t>
        </r>
      </text>
    </comment>
    <comment ref="AY206" authorId="0">
      <text>
        <r>
          <rPr>
            <b/>
            <sz val="8"/>
            <color indexed="81"/>
            <rFont val="Tahoma"/>
            <family val="2"/>
          </rPr>
          <t>Brian Nowak:
10Q</t>
        </r>
      </text>
    </comment>
    <comment ref="CQ206" authorId="0">
      <text>
        <r>
          <rPr>
            <b/>
            <sz val="8"/>
            <color indexed="81"/>
            <rFont val="Tahoma"/>
            <family val="2"/>
          </rPr>
          <t>Brian Nowak:
1.4bn per 10k</t>
        </r>
      </text>
    </comment>
    <comment ref="BE207" authorId="5">
      <text>
        <r>
          <rPr>
            <b/>
            <sz val="9"/>
            <color indexed="81"/>
            <rFont val="Tahoma"/>
            <family val="2"/>
          </rPr>
          <t xml:space="preserve"> Brian Nowak:</t>
        </r>
        <r>
          <rPr>
            <sz val="9"/>
            <color indexed="81"/>
            <rFont val="Tahoma"/>
            <family val="2"/>
          </rPr>
          <t xml:space="preserve">
up 59% YoY per page 27 10Q</t>
        </r>
      </text>
    </comment>
    <comment ref="BF207" authorId="5">
      <text>
        <r>
          <rPr>
            <b/>
            <sz val="9"/>
            <color indexed="81"/>
            <rFont val="Tahoma"/>
            <family val="2"/>
          </rPr>
          <t xml:space="preserve"> Brian Nowak:</t>
        </r>
        <r>
          <rPr>
            <sz val="9"/>
            <color indexed="81"/>
            <rFont val="Tahoma"/>
            <family val="2"/>
          </rPr>
          <t xml:space="preserve">
up 40% per page 27 of 10Q…and 47% for 6 months ended</t>
        </r>
      </text>
    </comment>
    <comment ref="BG207" authorId="5">
      <text>
        <r>
          <rPr>
            <b/>
            <sz val="9"/>
            <color indexed="81"/>
            <rFont val="Tahoma"/>
            <family val="2"/>
          </rPr>
          <t xml:space="preserve"> Brian Nowak:</t>
        </r>
        <r>
          <rPr>
            <sz val="9"/>
            <color indexed="81"/>
            <rFont val="Tahoma"/>
            <family val="2"/>
          </rPr>
          <t xml:space="preserve">
up 31% per page 30 of 10Q</t>
        </r>
      </text>
    </comment>
    <comment ref="AK217" authorId="2">
      <text>
        <r>
          <rPr>
            <b/>
            <sz val="10"/>
            <color indexed="81"/>
            <rFont val="Tahoma"/>
            <family val="2"/>
          </rPr>
          <t>Brian Nowak:
BTN esitmated…domestic hotel biz strong…
8% total merchant bookings growth and 11% domestic GP growth</t>
        </r>
      </text>
    </comment>
    <comment ref="AL217" authorId="2">
      <text>
        <r>
          <rPr>
            <b/>
            <sz val="8"/>
            <color indexed="81"/>
            <rFont val="Tahoma"/>
            <family val="2"/>
          </rPr>
          <t>Brian Nowak:
Nevertheless, we reported an 11% increase in domestic pro forma gross profit
as our domestic hotel and rental car businesses continued to perform well showing continued
growth in units and gross bookings</t>
        </r>
      </text>
    </comment>
    <comment ref="AM217" authorId="2">
      <text>
        <r>
          <rPr>
            <b/>
            <sz val="8"/>
            <color indexed="81"/>
            <rFont val="Tahoma"/>
            <family val="2"/>
          </rPr>
          <t>Brian Nowak:
Despite the lingering impact of losing
Orbitz, we reported a 24% increase in domestic pro forma gross profit, as the growth in our
domestic hotel and rental car businesses overshadowed the loss of margin associated with
dropping the retail air processing fee.</t>
        </r>
      </text>
    </comment>
    <comment ref="BJ223" authorId="5">
      <text>
        <r>
          <rPr>
            <b/>
            <sz val="9"/>
            <color indexed="81"/>
            <rFont val="Tahoma"/>
            <family val="2"/>
          </rPr>
          <t xml:space="preserve"> Brian Nowak:</t>
        </r>
        <r>
          <rPr>
            <sz val="9"/>
            <color indexed="81"/>
            <rFont val="Tahoma"/>
            <family val="2"/>
          </rPr>
          <t xml:space="preserve">
exclude KYAK</t>
        </r>
      </text>
    </comment>
    <comment ref="BK223" authorId="5">
      <text>
        <r>
          <rPr>
            <b/>
            <sz val="10"/>
            <color indexed="81"/>
            <rFont val="Tahoma"/>
            <family val="2"/>
          </rPr>
          <t xml:space="preserve"> Brian Nowak:</t>
        </r>
        <r>
          <rPr>
            <sz val="10"/>
            <color indexed="81"/>
            <rFont val="Tahoma"/>
            <family val="2"/>
          </rPr>
          <t xml:space="preserve">
excludes 68.4mn from Kayak  ~5points to growth..v.erified by Matt T its post elim Gross profit
should be 10% if we had full disclosure on int'l gross profit
though domestic air grew in mix and pressured this number due to kayak integration</t>
        </r>
      </text>
    </comment>
    <comment ref="BM223" authorId="5">
      <text>
        <r>
          <rPr>
            <b/>
            <sz val="9"/>
            <color indexed="81"/>
            <rFont val="Tahoma"/>
            <family val="2"/>
          </rPr>
          <t xml:space="preserve"> Brian Nowak:</t>
        </r>
        <r>
          <rPr>
            <sz val="9"/>
            <color indexed="81"/>
            <rFont val="Tahoma"/>
            <family val="2"/>
          </rPr>
          <t xml:space="preserve">
ex kayak</t>
        </r>
      </text>
    </comment>
    <comment ref="BA224" authorId="0">
      <text>
        <r>
          <rPr>
            <b/>
            <sz val="8"/>
            <color indexed="81"/>
            <rFont val="Tahoma"/>
            <family val="2"/>
          </rPr>
          <t>Brian Nowak:
down because of less use of opaque channel in hotels</t>
        </r>
      </text>
    </comment>
    <comment ref="BB224" authorId="0">
      <text>
        <r>
          <rPr>
            <b/>
            <sz val="8"/>
            <color indexed="81"/>
            <rFont val="Tahoma"/>
            <family val="2"/>
          </rPr>
          <t>Brian Nowak:
down because of less use of opaque channel in hotels</t>
        </r>
      </text>
    </comment>
    <comment ref="BC224" authorId="0">
      <text>
        <r>
          <rPr>
            <b/>
            <sz val="8"/>
            <color indexed="81"/>
            <rFont val="Tahoma"/>
            <family val="2"/>
          </rPr>
          <t>Brian Nowak:
down because of less use of opaque channel in hotels
also, more retail air within mix</t>
        </r>
      </text>
    </comment>
    <comment ref="BH224" authorId="5">
      <text>
        <r>
          <rPr>
            <b/>
            <sz val="10"/>
            <color indexed="81"/>
            <rFont val="Tahoma"/>
            <family val="2"/>
          </rPr>
          <t xml:space="preserve"> Brian Nowak:</t>
        </r>
        <r>
          <rPr>
            <sz val="10"/>
            <color indexed="81"/>
            <rFont val="Tahoma"/>
            <family val="2"/>
          </rPr>
          <t xml:space="preserve">
down because of weakness in hotel opaque
</t>
        </r>
      </text>
    </comment>
    <comment ref="BI224" authorId="5">
      <text>
        <r>
          <rPr>
            <b/>
            <sz val="10"/>
            <color indexed="81"/>
            <rFont val="Tahoma"/>
            <family val="2"/>
          </rPr>
          <t xml:space="preserve"> Brian Nowak:</t>
        </r>
        <r>
          <rPr>
            <sz val="10"/>
            <color indexed="81"/>
            <rFont val="Tahoma"/>
            <family val="2"/>
          </rPr>
          <t xml:space="preserve">
down because of weakness in hotel opaque
Express deals (merchant) is higher ADR, but comparable take rate</t>
        </r>
      </text>
    </comment>
    <comment ref="BJ224" authorId="5">
      <text>
        <r>
          <rPr>
            <b/>
            <sz val="9"/>
            <color indexed="81"/>
            <rFont val="Tahoma"/>
            <family val="2"/>
          </rPr>
          <t xml:space="preserve"> Brian Nowak:</t>
        </r>
        <r>
          <rPr>
            <sz val="9"/>
            <color indexed="81"/>
            <rFont val="Tahoma"/>
            <family val="2"/>
          </rPr>
          <t xml:space="preserve">
opaque business growing healthy again post 2Q conf call call back</t>
        </r>
      </text>
    </comment>
    <comment ref="BL224" authorId="5">
      <text>
        <r>
          <rPr>
            <b/>
            <sz val="9"/>
            <color indexed="81"/>
            <rFont val="Tahoma"/>
            <family val="2"/>
          </rPr>
          <t xml:space="preserve"> Brian Nowak:</t>
        </r>
        <r>
          <rPr>
            <sz val="9"/>
            <color indexed="81"/>
            <rFont val="Tahoma"/>
            <family val="2"/>
          </rPr>
          <t xml:space="preserve">
air moving more into domestic bookings mix</t>
        </r>
      </text>
    </comment>
    <comment ref="BQ224" authorId="6">
      <text>
        <r>
          <rPr>
            <b/>
            <sz val="9"/>
            <color indexed="81"/>
            <rFont val="Tahoma"/>
            <family val="2"/>
          </rPr>
          <t>Costantini, Michael (Research):</t>
        </r>
        <r>
          <rPr>
            <sz val="9"/>
            <color indexed="81"/>
            <rFont val="Tahoma"/>
            <family val="2"/>
          </rPr>
          <t xml:space="preserve">
1Q:15 10-Q:  "...recent high hotel occupancy levels in the United States have had an adverse impact on our access to hotel rooms for our opaque hotel reservation services, which has negatively affected our opaque hotel reservation gross profits."</t>
        </r>
      </text>
    </comment>
    <comment ref="I229" authorId="0">
      <text>
        <r>
          <rPr>
            <b/>
            <sz val="10"/>
            <color indexed="81"/>
            <rFont val="Tahoma"/>
            <family val="2"/>
          </rPr>
          <t>Brian Nowak:
"High Teens" per MT</t>
        </r>
      </text>
    </comment>
    <comment ref="BC230" authorId="0">
      <text>
        <r>
          <rPr>
            <b/>
            <sz val="8"/>
            <color indexed="81"/>
            <rFont val="Tahoma"/>
            <family val="2"/>
          </rPr>
          <t xml:space="preserve">Brian Nowak:
opaque weakness
</t>
        </r>
      </text>
    </comment>
    <comment ref="I238" authorId="0">
      <text>
        <r>
          <rPr>
            <b/>
            <sz val="8"/>
            <color indexed="81"/>
            <rFont val="Tahoma"/>
            <family val="2"/>
          </rPr>
          <t xml:space="preserve">Brian Nowak:
International Agency is Reproted Net (No COGS)
</t>
        </r>
      </text>
    </comment>
    <comment ref="I239" authorId="0">
      <text>
        <r>
          <rPr>
            <b/>
            <sz val="8"/>
            <color indexed="81"/>
            <rFont val="Tahoma"/>
            <family val="2"/>
          </rPr>
          <t>Brian Nowak:
Agoda is reported with Net Accounting (no COGS asociated with it)</t>
        </r>
      </text>
    </comment>
    <comment ref="CO239" authorId="0">
      <text>
        <r>
          <rPr>
            <b/>
            <sz val="8"/>
            <color indexed="81"/>
            <rFont val="Tahoma"/>
            <family val="2"/>
          </rPr>
          <t>Brian Nowak:
17.041</t>
        </r>
      </text>
    </comment>
    <comment ref="CP239" authorId="0">
      <text>
        <r>
          <rPr>
            <b/>
            <sz val="8"/>
            <color indexed="81"/>
            <rFont val="Tahoma"/>
            <family val="2"/>
          </rPr>
          <t>Brian Nowak:
38.4 per page 101 10k
"Other"</t>
        </r>
      </text>
    </comment>
    <comment ref="CQ239" authorId="0">
      <text>
        <r>
          <rPr>
            <b/>
            <sz val="8"/>
            <color indexed="81"/>
            <rFont val="Tahoma"/>
            <family val="2"/>
          </rPr>
          <t>Brian Nowak:
107.9 per page 101 10K</t>
        </r>
      </text>
    </comment>
    <comment ref="CR239" authorId="5">
      <text>
        <r>
          <rPr>
            <b/>
            <sz val="9"/>
            <color indexed="81"/>
            <rFont val="Tahoma"/>
            <family val="2"/>
          </rPr>
          <t xml:space="preserve"> Brian Nowak:</t>
        </r>
        <r>
          <rPr>
            <sz val="9"/>
            <color indexed="81"/>
            <rFont val="Tahoma"/>
            <family val="2"/>
          </rPr>
          <t xml:space="preserve">
246.301 per 10K</t>
        </r>
      </text>
    </comment>
    <comment ref="CS239" authorId="5">
      <text>
        <r>
          <rPr>
            <b/>
            <sz val="9"/>
            <color indexed="81"/>
            <rFont val="Tahoma"/>
            <family val="2"/>
          </rPr>
          <t xml:space="preserve"> Brian Nowak:</t>
        </r>
        <r>
          <rPr>
            <sz val="9"/>
            <color indexed="81"/>
            <rFont val="Tahoma"/>
            <family val="2"/>
          </rPr>
          <t xml:space="preserve">
431.894 per 10k</t>
        </r>
      </text>
    </comment>
    <comment ref="I240" authorId="5">
      <text>
        <r>
          <rPr>
            <b/>
            <sz val="9"/>
            <color indexed="81"/>
            <rFont val="Tahoma"/>
            <family val="2"/>
          </rPr>
          <t xml:space="preserve"> Brian Nowak:</t>
        </r>
        <r>
          <rPr>
            <sz val="9"/>
            <color indexed="81"/>
            <rFont val="Tahoma"/>
            <family val="2"/>
          </rPr>
          <t xml:space="preserve">
post 1Q:13 Merchant but recorded net</t>
        </r>
      </text>
    </comment>
    <comment ref="BA240" authorId="0">
      <text>
        <r>
          <rPr>
            <b/>
            <sz val="8"/>
            <color indexed="81"/>
            <rFont val="Tahoma"/>
            <family val="2"/>
          </rPr>
          <t xml:space="preserve">Brian Nowak:
per 2Q: 10Q, 1Q is typically
jigsaws least profitable quarter because of timing of marketing spend up front and spring/summer travel </t>
        </r>
      </text>
    </comment>
    <comment ref="AS241" authorId="0">
      <text>
        <r>
          <rPr>
            <b/>
            <sz val="8"/>
            <color indexed="81"/>
            <rFont val="Tahoma"/>
            <family val="2"/>
          </rPr>
          <t>Brian Nowak:
113.9</t>
        </r>
      </text>
    </comment>
    <comment ref="AT241" authorId="0">
      <text>
        <r>
          <rPr>
            <b/>
            <sz val="8"/>
            <color indexed="81"/>
            <rFont val="Tahoma"/>
            <family val="2"/>
          </rPr>
          <t>Brian Nowak:
196.6 10Q</t>
        </r>
      </text>
    </comment>
    <comment ref="AU241" authorId="0">
      <text>
        <r>
          <rPr>
            <b/>
            <sz val="8"/>
            <color indexed="81"/>
            <rFont val="Tahoma"/>
            <family val="2"/>
          </rPr>
          <t>Brian Nowak:
316</t>
        </r>
      </text>
    </comment>
    <comment ref="AV241" authorId="0">
      <text>
        <r>
          <rPr>
            <b/>
            <sz val="8"/>
            <color indexed="81"/>
            <rFont val="Tahoma"/>
            <family val="2"/>
          </rPr>
          <t>Brian Nowak:
222.1  per conf call</t>
        </r>
      </text>
    </comment>
    <comment ref="AW241" authorId="0">
      <text>
        <r>
          <rPr>
            <b/>
            <sz val="8"/>
            <color indexed="81"/>
            <rFont val="Tahoma"/>
            <family val="2"/>
          </rPr>
          <t>Brian Nowak:
transcipt</t>
        </r>
      </text>
    </comment>
    <comment ref="AX241" authorId="0">
      <text>
        <r>
          <rPr>
            <b/>
            <sz val="8"/>
            <color indexed="81"/>
            <rFont val="Tahoma"/>
            <family val="2"/>
          </rPr>
          <t>Brian Nowak:
transcipt
322</t>
        </r>
      </text>
    </comment>
    <comment ref="AY241" authorId="0">
      <text>
        <r>
          <rPr>
            <b/>
            <sz val="8"/>
            <color indexed="81"/>
            <rFont val="Tahoma"/>
            <family val="2"/>
          </rPr>
          <t>Brian Nowak:
transcipt
533</t>
        </r>
      </text>
    </comment>
    <comment ref="AZ241" authorId="0">
      <text>
        <r>
          <rPr>
            <b/>
            <sz val="8"/>
            <color indexed="81"/>
            <rFont val="Tahoma"/>
            <family val="2"/>
          </rPr>
          <t>Brian Nowak:
conf call</t>
        </r>
      </text>
    </comment>
    <comment ref="BA241" authorId="1">
      <text>
        <r>
          <rPr>
            <b/>
            <sz val="8"/>
            <color indexed="81"/>
            <rFont val="Tahoma"/>
            <family val="2"/>
          </rPr>
          <t>Brian Nowak:</t>
        </r>
        <r>
          <rPr>
            <sz val="8"/>
            <color indexed="81"/>
            <rFont val="Tahoma"/>
            <family val="2"/>
          </rPr>
          <t xml:space="preserve">
conf call</t>
        </r>
      </text>
    </comment>
    <comment ref="BK241" authorId="5">
      <text>
        <r>
          <rPr>
            <b/>
            <sz val="9"/>
            <color indexed="81"/>
            <rFont val="Tahoma"/>
            <family val="2"/>
          </rPr>
          <t xml:space="preserve"> Brian Nowak:</t>
        </r>
        <r>
          <rPr>
            <sz val="9"/>
            <color indexed="81"/>
            <rFont val="Tahoma"/>
            <family val="2"/>
          </rPr>
          <t xml:space="preserve">
real number around 1760</t>
        </r>
      </text>
    </comment>
    <comment ref="CN241" authorId="0">
      <text>
        <r>
          <rPr>
            <b/>
            <sz val="8"/>
            <color indexed="81"/>
            <rFont val="Tahoma"/>
            <family val="2"/>
          </rPr>
          <t>Brian Nowak:
369 per 10K</t>
        </r>
      </text>
    </comment>
    <comment ref="CO241" authorId="0">
      <text>
        <r>
          <rPr>
            <b/>
            <sz val="8"/>
            <color indexed="81"/>
            <rFont val="Tahoma"/>
            <family val="2"/>
          </rPr>
          <t>Brian Nowak:
616nm per 10k</t>
        </r>
      </text>
    </comment>
    <comment ref="CR241" authorId="0">
      <text>
        <r>
          <rPr>
            <b/>
            <sz val="8"/>
            <color indexed="81"/>
            <rFont val="Tahoma"/>
            <family val="2"/>
          </rPr>
          <t>Brian Nowak:
2.6bn per 10K</t>
        </r>
      </text>
    </comment>
    <comment ref="AR242" authorId="0">
      <text>
        <r>
          <rPr>
            <b/>
            <sz val="8"/>
            <color indexed="81"/>
            <rFont val="Tahoma"/>
            <family val="2"/>
          </rPr>
          <t>Brian Nowak:
would have been up 45% ex currency</t>
        </r>
      </text>
    </comment>
    <comment ref="AS242" authorId="0">
      <text>
        <r>
          <rPr>
            <b/>
            <sz val="8"/>
            <color indexed="81"/>
            <rFont val="Tahoma"/>
            <family val="2"/>
          </rPr>
          <t>Brian Nowak:
up 10%</t>
        </r>
      </text>
    </comment>
    <comment ref="AT242" authorId="0">
      <text>
        <r>
          <rPr>
            <b/>
            <sz val="8"/>
            <color indexed="81"/>
            <rFont val="Tahoma"/>
            <family val="2"/>
          </rPr>
          <t>Brian Nowak:
up 20%</t>
        </r>
      </text>
    </comment>
    <comment ref="AU242" authorId="0">
      <text>
        <r>
          <rPr>
            <b/>
            <sz val="8"/>
            <color indexed="81"/>
            <rFont val="Tahoma"/>
            <family val="2"/>
          </rPr>
          <t>Brian Nowak:
up 42%</t>
        </r>
      </text>
    </comment>
    <comment ref="AV242" authorId="0">
      <text>
        <r>
          <rPr>
            <b/>
            <sz val="8"/>
            <color indexed="81"/>
            <rFont val="Tahoma"/>
            <family val="2"/>
          </rPr>
          <t>Brian Nowak:
up 75%</t>
        </r>
      </text>
    </comment>
    <comment ref="BK242" authorId="6">
      <text>
        <r>
          <rPr>
            <b/>
            <sz val="9"/>
            <color indexed="81"/>
            <rFont val="Tahoma"/>
            <family val="2"/>
          </rPr>
          <t>Costantini, Michael (Research):</t>
        </r>
        <r>
          <rPr>
            <sz val="9"/>
            <color indexed="81"/>
            <rFont val="Tahoma"/>
            <family val="2"/>
          </rPr>
          <t xml:space="preserve">
42.1% per 3Q:13 earnings press release</t>
        </r>
      </text>
    </comment>
    <comment ref="BO242" authorId="6">
      <text>
        <r>
          <rPr>
            <b/>
            <sz val="9"/>
            <color indexed="81"/>
            <rFont val="Tahoma"/>
            <family val="2"/>
          </rPr>
          <t>Costantini, Michael (Research):</t>
        </r>
        <r>
          <rPr>
            <sz val="9"/>
            <color indexed="81"/>
            <rFont val="Tahoma"/>
            <family val="2"/>
          </rPr>
          <t xml:space="preserve">
32% y/y per 3Q:14 earnings press release</t>
        </r>
      </text>
    </comment>
    <comment ref="BD250" authorId="0">
      <text>
        <r>
          <rPr>
            <b/>
            <sz val="8"/>
            <color indexed="81"/>
            <rFont val="Tahoma"/>
            <family val="2"/>
          </rPr>
          <t>Brian Nowak:
down yoyu becaues of increase in December bookings that won't be recognized until 1Q:12</t>
        </r>
      </text>
    </comment>
    <comment ref="BH250" authorId="0">
      <text>
        <r>
          <rPr>
            <b/>
            <sz val="8"/>
            <color indexed="81"/>
            <rFont val="Tahoma"/>
            <family val="2"/>
          </rPr>
          <t>Brian Nowak:
lapping of decmeber 2011 bookings, recognized in 1Q:12</t>
        </r>
      </text>
    </comment>
    <comment ref="BF251" authorId="5">
      <text>
        <r>
          <rPr>
            <b/>
            <sz val="9"/>
            <color indexed="81"/>
            <rFont val="Tahoma"/>
            <family val="2"/>
          </rPr>
          <t xml:space="preserve"> </t>
        </r>
        <r>
          <rPr>
            <b/>
            <sz val="10"/>
            <color indexed="81"/>
            <rFont val="Tahoma"/>
            <family val="2"/>
          </rPr>
          <t>Brian Nowak:</t>
        </r>
        <r>
          <rPr>
            <sz val="10"/>
            <color indexed="81"/>
            <rFont val="Tahoma"/>
            <family val="2"/>
          </rPr>
          <t xml:space="preserve">
up because of deceleration in bookings in may and June (created tough GP/bookings and search marketing comp</t>
        </r>
      </text>
    </comment>
    <comment ref="BH251" authorId="5">
      <text>
        <r>
          <rPr>
            <b/>
            <sz val="9"/>
            <color indexed="81"/>
            <rFont val="Tahoma"/>
            <family val="2"/>
          </rPr>
          <t xml:space="preserve"> Brian Nowak:</t>
        </r>
        <r>
          <rPr>
            <sz val="9"/>
            <color indexed="81"/>
            <rFont val="Tahoma"/>
            <family val="2"/>
          </rPr>
          <t xml:space="preserve">
strong december for later bookings leads to decline in reported gp to bookings  </t>
        </r>
      </text>
    </comment>
    <comment ref="BI251" authorId="5">
      <text>
        <r>
          <rPr>
            <b/>
            <sz val="9"/>
            <color indexed="81"/>
            <rFont val="Tahoma"/>
            <family val="2"/>
          </rPr>
          <t xml:space="preserve"> Brian Nowak:</t>
        </r>
        <r>
          <rPr>
            <sz val="9"/>
            <color indexed="81"/>
            <rFont val="Tahoma"/>
            <family val="2"/>
          </rPr>
          <t xml:space="preserve">
strong december for later bookings leads to decline in reported gp to bookings  </t>
        </r>
      </text>
    </comment>
    <comment ref="BJ251" authorId="5">
      <text>
        <r>
          <rPr>
            <b/>
            <sz val="9"/>
            <color indexed="81"/>
            <rFont val="Tahoma"/>
            <family val="2"/>
          </rPr>
          <t xml:space="preserve"> Brian Nowak:</t>
        </r>
        <r>
          <rPr>
            <sz val="9"/>
            <color indexed="81"/>
            <rFont val="Tahoma"/>
            <family val="2"/>
          </rPr>
          <t xml:space="preserve">
tough comp because of slow-down in 2H in </t>
        </r>
      </text>
    </comment>
    <comment ref="BM251" authorId="5">
      <text>
        <r>
          <rPr>
            <b/>
            <sz val="9"/>
            <color indexed="81"/>
            <rFont val="Tahoma"/>
            <family val="2"/>
          </rPr>
          <t xml:space="preserve"> Brian Nowak:</t>
        </r>
        <r>
          <rPr>
            <sz val="9"/>
            <color indexed="81"/>
            <rFont val="Tahoma"/>
            <family val="2"/>
          </rPr>
          <t xml:space="preserve">
easter shift bookings in 1Q, but more travel in 2Q</t>
        </r>
      </text>
    </comment>
    <comment ref="BN251" authorId="5">
      <text>
        <r>
          <rPr>
            <b/>
            <sz val="9"/>
            <color indexed="81"/>
            <rFont val="Tahoma"/>
            <family val="2"/>
          </rPr>
          <t xml:space="preserve"> Brian Nowak:</t>
        </r>
        <r>
          <rPr>
            <sz val="9"/>
            <color indexed="81"/>
            <rFont val="Tahoma"/>
            <family val="2"/>
          </rPr>
          <t xml:space="preserve">
nothing specific to call out, but no material take rate pressure impact</t>
        </r>
      </text>
    </comment>
    <comment ref="BW251" authorId="6">
      <text>
        <r>
          <rPr>
            <b/>
            <sz val="9"/>
            <color indexed="81"/>
            <rFont val="Tahoma"/>
            <family val="2"/>
          </rPr>
          <t>Costantini, Michael (Research):</t>
        </r>
        <r>
          <rPr>
            <sz val="9"/>
            <color indexed="81"/>
            <rFont val="Tahoma"/>
            <family val="2"/>
          </rPr>
          <t xml:space="preserve">
3Q:16 earnings conf call:  
Gross profit % of Bookings:  saw about 41bp of pressure in the quarter. 
About half was due to the normal lag between the time the booking occurs and travel occurs.  This was driven by 1) accelerating growth in the quarter (typically puts more pressure on that metric and 2) steady expansion in their booking window (people comfortable making their bookings further in advance than they have in the past). 
The other half was driven by a combination of 1) the level of participation by hotels, 2) preferred placement (experimenting with sort order), 3) commission overrides (hotels voluntaryily push up commission rates to drive more demand), and business mix (growth in lower commission regions and properties
</t>
        </r>
      </text>
    </comment>
    <comment ref="CA251" authorId="7">
      <text>
        <r>
          <rPr>
            <b/>
            <sz val="9"/>
            <color indexed="81"/>
            <rFont val="Tahoma"/>
            <family val="2"/>
          </rPr>
          <t>Nowak, Brian (Research):</t>
        </r>
        <r>
          <rPr>
            <sz val="9"/>
            <color indexed="81"/>
            <rFont val="Tahoma"/>
            <family val="2"/>
          </rPr>
          <t xml:space="preserve">
1q:17 call back; expect to be less of issue in 2H as you lap strong grow</t>
        </r>
      </text>
    </comment>
    <comment ref="BP252" authorId="5">
      <text>
        <r>
          <rPr>
            <b/>
            <sz val="9"/>
            <color indexed="81"/>
            <rFont val="Tahoma"/>
            <family val="2"/>
          </rPr>
          <t xml:space="preserve"> Brian Nowak:</t>
        </r>
        <r>
          <rPr>
            <sz val="9"/>
            <color indexed="81"/>
            <rFont val="Tahoma"/>
            <family val="2"/>
          </rPr>
          <t xml:space="preserve">
BTN esitmated APAC mix leads to further take rate pressure</t>
        </r>
      </text>
    </comment>
    <comment ref="BA273" authorId="0">
      <text>
        <r>
          <rPr>
            <b/>
            <sz val="10"/>
            <color indexed="81"/>
            <rFont val="Tahoma"/>
            <family val="2"/>
          </rPr>
          <t>Brian Nowak:
seasonally low margins</t>
        </r>
      </text>
    </comment>
    <comment ref="BB273" authorId="0">
      <text>
        <r>
          <rPr>
            <b/>
            <sz val="8"/>
            <color indexed="81"/>
            <rFont val="Tahoma"/>
            <family val="2"/>
          </rPr>
          <t>Brian Nowak:
larger profits in 2Q and 3Q</t>
        </r>
      </text>
    </comment>
    <comment ref="BC273" authorId="0">
      <text>
        <r>
          <rPr>
            <b/>
            <sz val="8"/>
            <color indexed="81"/>
            <rFont val="Tahoma"/>
            <family val="2"/>
          </rPr>
          <t>Brian Nowak:
larger profits in 2Q and 3Q</t>
        </r>
      </text>
    </comment>
    <comment ref="BD273" authorId="0">
      <text>
        <r>
          <rPr>
            <b/>
            <sz val="8"/>
            <color indexed="81"/>
            <rFont val="Tahoma"/>
            <family val="2"/>
          </rPr>
          <t>Brian Nowak:
larger profits in 2Q and 3Q</t>
        </r>
      </text>
    </comment>
    <comment ref="CR273" authorId="0">
      <text>
        <r>
          <rPr>
            <b/>
            <sz val="8"/>
            <color indexed="81"/>
            <rFont val="Tahoma"/>
            <family val="2"/>
          </rPr>
          <t>Brian Nowak:
mid-teens for full year, but highly seasonal (more-so than other bizes)</t>
        </r>
      </text>
    </comment>
    <comment ref="BI279" authorId="5">
      <text>
        <r>
          <rPr>
            <b/>
            <sz val="9"/>
            <color indexed="81"/>
            <rFont val="Tahoma"/>
            <family val="2"/>
          </rPr>
          <t xml:space="preserve"> Brian Nowak:</t>
        </r>
        <r>
          <rPr>
            <sz val="9"/>
            <color indexed="81"/>
            <rFont val="Tahoma"/>
            <family val="2"/>
          </rPr>
          <t xml:space="preserve">
BTN assume: up because of Agoda and Jigsaw growth</t>
        </r>
      </text>
    </comment>
    <comment ref="AX287" authorId="0">
      <text>
        <r>
          <rPr>
            <b/>
            <sz val="8"/>
            <color indexed="81"/>
            <rFont val="Tahoma"/>
            <family val="2"/>
          </rPr>
          <t>Brian Nowak:
adjusted for amort of acq;uired intanbiles</t>
        </r>
      </text>
    </comment>
    <comment ref="AY287" authorId="0">
      <text>
        <r>
          <rPr>
            <b/>
            <sz val="8"/>
            <color indexed="81"/>
            <rFont val="Tahoma"/>
            <family val="2"/>
          </rPr>
          <t xml:space="preserve">Brian Nowak:
adjusted for amort of acq;uired intanbiles
-2.02
</t>
        </r>
      </text>
    </comment>
    <comment ref="AZ287" authorId="0">
      <text>
        <r>
          <rPr>
            <b/>
            <sz val="8"/>
            <color indexed="81"/>
            <rFont val="Tahoma"/>
            <family val="2"/>
          </rPr>
          <t>Brian Nowak:
adjusted 1.753 amort of acquired intangibles in mer revs</t>
        </r>
      </text>
    </comment>
    <comment ref="AY291" authorId="0">
      <text>
        <r>
          <rPr>
            <b/>
            <sz val="8"/>
            <color indexed="81"/>
            <rFont val="Tahoma"/>
            <family val="2"/>
          </rPr>
          <t>Brian Nowak:
494.5</t>
        </r>
      </text>
    </comment>
    <comment ref="AZ291" authorId="0">
      <text>
        <r>
          <rPr>
            <b/>
            <sz val="8"/>
            <color indexed="81"/>
            <rFont val="Tahoma"/>
            <family val="2"/>
          </rPr>
          <t>Brian Nowak:
381.3</t>
        </r>
      </text>
    </comment>
    <comment ref="BN291" authorId="4">
      <text>
        <r>
          <rPr>
            <b/>
            <sz val="9"/>
            <color indexed="81"/>
            <rFont val="Tahoma"/>
            <family val="2"/>
          </rPr>
          <t>Brian Nowak:
2Q:14 conf call:  "Name Your Own Price hotel, air and car services were all down year-over-year due to limited availability of discounted rates and share shift to express deals."
We expect the declines in our Name Your Own Price service will impact revenue growth rates in Q3.</t>
        </r>
      </text>
    </comment>
    <comment ref="BO291" authorId="4">
      <text>
        <r>
          <rPr>
            <b/>
            <sz val="9"/>
            <color indexed="81"/>
            <rFont val="Tahoma"/>
            <family val="2"/>
          </rPr>
          <t xml:space="preserve">Brian Nowak:
2Q:14 conf call:  
We expect the declines in our Name Your Own Price service will impact revenue growth rates in Q3.
"Name Your Own Price hotel, air and car services were all down year-over-year due to limited availability of discounted rates and share shift to express deals."
</t>
        </r>
      </text>
    </comment>
    <comment ref="CQ291" authorId="0">
      <text>
        <r>
          <rPr>
            <b/>
            <sz val="8"/>
            <color indexed="81"/>
            <rFont val="Tahoma"/>
            <family val="2"/>
          </rPr>
          <t>Brian Nowak:
1691.64</t>
        </r>
      </text>
    </comment>
    <comment ref="AM304" authorId="0">
      <text>
        <r>
          <rPr>
            <b/>
            <sz val="8"/>
            <color indexed="81"/>
            <rFont val="Tahoma"/>
            <family val="2"/>
          </rPr>
          <t>Brian Nowak:
Agoda acquired in this qtr</t>
        </r>
      </text>
    </comment>
    <comment ref="BJ304" authorId="4">
      <text>
        <r>
          <rPr>
            <b/>
            <sz val="9"/>
            <color indexed="81"/>
            <rFont val="Tahoma"/>
            <family val="2"/>
          </rPr>
          <t>Brian Nowak:
deal closed on 5/21/2013</t>
        </r>
      </text>
    </comment>
    <comment ref="BJ306" authorId="4">
      <text>
        <r>
          <rPr>
            <b/>
            <sz val="9"/>
            <color indexed="81"/>
            <rFont val="Tahoma"/>
            <family val="2"/>
          </rPr>
          <t>Brian Nowak:
per 2Q conf call:  $31.1mn revenue net of intercompany elim
deal closed on 5/21/2013 so KYAK will be included for 45% of qtr</t>
        </r>
      </text>
    </comment>
    <comment ref="BK306" authorId="4">
      <text>
        <r>
          <rPr>
            <b/>
            <sz val="9"/>
            <color indexed="81"/>
            <rFont val="Tahoma"/>
            <family val="2"/>
          </rPr>
          <t xml:space="preserve">Brian Nowak:
per 3Q conf call $68.4mn revenue net of intercompany elim
</t>
        </r>
      </text>
    </comment>
    <comment ref="BL306" authorId="5">
      <text>
        <r>
          <rPr>
            <b/>
            <sz val="9"/>
            <color indexed="81"/>
            <rFont val="Tahoma"/>
            <family val="2"/>
          </rPr>
          <t xml:space="preserve"> Brian Nowak:</t>
        </r>
        <r>
          <rPr>
            <sz val="9"/>
            <color indexed="81"/>
            <rFont val="Tahoma"/>
            <family val="2"/>
          </rPr>
          <t xml:space="preserve">
55mn net of intercomapny</t>
        </r>
      </text>
    </comment>
    <comment ref="BM306" authorId="5">
      <text>
        <r>
          <rPr>
            <b/>
            <sz val="9"/>
            <color indexed="81"/>
            <rFont val="Tahoma"/>
            <family val="2"/>
          </rPr>
          <t>Brian Nowak:
$69mn net of intercomapny</t>
        </r>
      </text>
    </comment>
    <comment ref="BN306" authorId="5">
      <text>
        <r>
          <rPr>
            <b/>
            <sz val="9"/>
            <color indexed="81"/>
            <rFont val="Tahoma"/>
            <family val="2"/>
          </rPr>
          <t>Brian Nowak:
$76.4mn net of intercomapny</t>
        </r>
      </text>
    </comment>
    <comment ref="CT306" authorId="4">
      <text>
        <r>
          <rPr>
            <b/>
            <sz val="9"/>
            <color indexed="81"/>
            <rFont val="Tahoma"/>
            <family val="2"/>
          </rPr>
          <t>Brian Nowak:
deal closed on 5/21/2013</t>
        </r>
      </text>
    </comment>
    <comment ref="BJ312" authorId="4">
      <text>
        <r>
          <rPr>
            <b/>
            <sz val="9"/>
            <color indexed="81"/>
            <rFont val="Tahoma"/>
            <family val="2"/>
          </rPr>
          <t>Brian Nowak:
per 2Q conf call:  Kayak added ~3% to GP growth</t>
        </r>
      </text>
    </comment>
    <comment ref="BK312" authorId="4">
      <text>
        <r>
          <rPr>
            <b/>
            <sz val="9"/>
            <color indexed="81"/>
            <rFont val="Tahoma"/>
            <family val="2"/>
          </rPr>
          <t>Brian Nowak:
per 3Q conf call:  Kayak contributed "about 5%" to GP growth in 3Q</t>
        </r>
      </text>
    </comment>
    <comment ref="BL312" authorId="5">
      <text>
        <r>
          <rPr>
            <b/>
            <sz val="9"/>
            <color indexed="81"/>
            <rFont val="Tahoma"/>
            <family val="2"/>
          </rPr>
          <t xml:space="preserve"> Brian Nowak:</t>
        </r>
        <r>
          <rPr>
            <sz val="9"/>
            <color indexed="81"/>
            <rFont val="Tahoma"/>
            <family val="2"/>
          </rPr>
          <t xml:space="preserve">
GP benefit of "about 5%" in 4Q</t>
        </r>
      </text>
    </comment>
    <comment ref="BM312" authorId="4">
      <text>
        <r>
          <rPr>
            <b/>
            <sz val="9"/>
            <color indexed="81"/>
            <rFont val="Tahoma"/>
            <family val="2"/>
          </rPr>
          <t>Brian Nowak:
1Q:14 conf call:  Kayak added "about 7% "to GP growth</t>
        </r>
      </text>
    </comment>
    <comment ref="BN312" authorId="5">
      <text>
        <r>
          <rPr>
            <b/>
            <sz val="9"/>
            <color indexed="81"/>
            <rFont val="Tahoma"/>
            <family val="2"/>
          </rPr>
          <t xml:space="preserve"> Brian Nowak:</t>
        </r>
        <r>
          <rPr>
            <sz val="9"/>
            <color indexed="81"/>
            <rFont val="Tahoma"/>
            <family val="2"/>
          </rPr>
          <t xml:space="preserve">
Kayak added 300points of inorganic growth (partial quarter</t>
        </r>
      </text>
    </comment>
    <comment ref="AM317" authorId="0">
      <text>
        <r>
          <rPr>
            <b/>
            <sz val="8"/>
            <color indexed="81"/>
            <rFont val="Tahoma"/>
            <family val="2"/>
          </rPr>
          <t>Brian Nowak:
Agoda acquired in this qtr</t>
        </r>
      </text>
    </comment>
    <comment ref="BO317" authorId="4">
      <text>
        <r>
          <rPr>
            <b/>
            <sz val="9"/>
            <color indexed="81"/>
            <rFont val="Tahoma"/>
            <family val="2"/>
          </rPr>
          <t>Brian Nowak:
partial qtr of OPEN contrib (PCLN closed OPEN on 7/24/14)</t>
        </r>
      </text>
    </comment>
    <comment ref="BN319" authorId="11">
      <text>
        <r>
          <rPr>
            <b/>
            <sz val="9"/>
            <color indexed="81"/>
            <rFont val="Tahoma"/>
            <family val="2"/>
          </rPr>
          <t>Stefanovic, Svetozar:</t>
        </r>
        <r>
          <rPr>
            <sz val="9"/>
            <color indexed="81"/>
            <rFont val="Tahoma"/>
            <family val="2"/>
          </rPr>
          <t xml:space="preserve">
From Pro-forma combined statement for first 6 months of 2014, from PCLN 8-K 10/07/14</t>
        </r>
      </text>
    </comment>
    <comment ref="BO319" authorId="4">
      <text>
        <r>
          <rPr>
            <b/>
            <sz val="9"/>
            <color indexed="81"/>
            <rFont val="Tahoma"/>
            <family val="2"/>
          </rPr>
          <t>Brian Nowak:
3Q:14 conf call:  $41.2mn
$55.8mn per Thompson One Consensus (7/31/14)
partial qtr of OPEN (PCLN closed OPEN on 7/24/14):  7 of 31 days in July + 31 Aug + 30 Sept = 68 of 92 days (74% of qtr)</t>
        </r>
      </text>
    </comment>
    <comment ref="BP319" authorId="7">
      <text>
        <r>
          <rPr>
            <b/>
            <sz val="9"/>
            <color indexed="81"/>
            <rFont val="Tahoma"/>
            <family val="2"/>
          </rPr>
          <t>Nowak, Brian (Research):</t>
        </r>
        <r>
          <rPr>
            <sz val="9"/>
            <color indexed="81"/>
            <rFont val="Tahoma"/>
            <family val="2"/>
          </rPr>
          <t xml:space="preserve">
59mn globally per 4Q conference call</t>
        </r>
      </text>
    </comment>
    <comment ref="BQ319" authorId="6">
      <text>
        <r>
          <rPr>
            <b/>
            <sz val="9"/>
            <color indexed="81"/>
            <rFont val="Tahoma"/>
            <family val="2"/>
          </rPr>
          <t>Costantini, Michael (Research):</t>
        </r>
        <r>
          <rPr>
            <sz val="9"/>
            <color indexed="81"/>
            <rFont val="Tahoma"/>
            <family val="2"/>
          </rPr>
          <t xml:space="preserve">
$60.6mn per 1Q:15 10-Q
$61mn per 1Q:15 conf call</t>
        </r>
      </text>
    </comment>
    <comment ref="BR319" authorId="6">
      <text>
        <r>
          <rPr>
            <b/>
            <sz val="9"/>
            <color indexed="81"/>
            <rFont val="Tahoma"/>
            <family val="2"/>
          </rPr>
          <t>Costantini, Michael (Research):</t>
        </r>
        <r>
          <rPr>
            <sz val="9"/>
            <color indexed="81"/>
            <rFont val="Tahoma"/>
            <family val="2"/>
          </rPr>
          <t xml:space="preserve">
$62.2mn per 2Q:15 10-Q
$62mn per 2Q:15 conf call</t>
        </r>
      </text>
    </comment>
    <comment ref="BS319" authorId="6">
      <text>
        <r>
          <rPr>
            <b/>
            <sz val="9"/>
            <color indexed="81"/>
            <rFont val="Tahoma"/>
            <family val="2"/>
          </rPr>
          <t>Costantini, Michael (Research):</t>
        </r>
        <r>
          <rPr>
            <sz val="9"/>
            <color indexed="81"/>
            <rFont val="Tahoma"/>
            <family val="2"/>
          </rPr>
          <t xml:space="preserve">
$64.8mn per 3Q:15 10-Q</t>
        </r>
      </text>
    </comment>
    <comment ref="BT319" authorId="4">
      <text>
        <r>
          <rPr>
            <b/>
            <sz val="9"/>
            <color indexed="81"/>
            <rFont val="Tahoma"/>
            <family val="2"/>
          </rPr>
          <t>Brian Nowak:
Thompson One Consensus (7/31/14)</t>
        </r>
      </text>
    </comment>
    <comment ref="BU319" authorId="4">
      <text>
        <r>
          <rPr>
            <b/>
            <sz val="9"/>
            <color indexed="81"/>
            <rFont val="Tahoma"/>
            <family val="2"/>
          </rPr>
          <t>Brian Nowak:
Thompson One Consensus (7/31/14)</t>
        </r>
      </text>
    </comment>
    <comment ref="BV319" authorId="4">
      <text>
        <r>
          <rPr>
            <b/>
            <sz val="9"/>
            <color indexed="81"/>
            <rFont val="Tahoma"/>
            <family val="2"/>
          </rPr>
          <t>Brian Nowak:
Thompson One Consensus (7/31/14)</t>
        </r>
      </text>
    </comment>
    <comment ref="BW319" authorId="4">
      <text>
        <r>
          <rPr>
            <b/>
            <sz val="9"/>
            <color indexed="81"/>
            <rFont val="Tahoma"/>
            <family val="2"/>
          </rPr>
          <t>Brian Nowak:
Thompson One Consensus (7/31/14)</t>
        </r>
      </text>
    </comment>
    <comment ref="BX319" authorId="4">
      <text>
        <r>
          <rPr>
            <b/>
            <sz val="9"/>
            <color indexed="81"/>
            <rFont val="Tahoma"/>
            <family val="2"/>
          </rPr>
          <t>Brian Nowak:
Thompson One Consensus (7/31/14)</t>
        </r>
      </text>
    </comment>
    <comment ref="CU319" authorId="4">
      <text>
        <r>
          <rPr>
            <b/>
            <sz val="9"/>
            <color indexed="81"/>
            <rFont val="Tahoma"/>
            <family val="2"/>
          </rPr>
          <t>Brian Nowak:
PCLN closed OPEN on 7/24/14</t>
        </r>
      </text>
    </comment>
    <comment ref="CX319" authorId="4">
      <text>
        <r>
          <rPr>
            <b/>
            <sz val="9"/>
            <color indexed="81"/>
            <rFont val="Tahoma"/>
            <family val="2"/>
          </rPr>
          <t>Brian Nowak:
$345mn per Thompson One Consensus (7/31/14)</t>
        </r>
      </text>
    </comment>
    <comment ref="CY319" authorId="4">
      <text>
        <r>
          <rPr>
            <b/>
            <sz val="9"/>
            <color indexed="81"/>
            <rFont val="Tahoma"/>
            <family val="2"/>
          </rPr>
          <t>Brian Nowak:
$386.5mn per Thompson One Consensus (7/31/14)</t>
        </r>
      </text>
    </comment>
    <comment ref="BS320" authorId="6">
      <text>
        <r>
          <rPr>
            <b/>
            <sz val="9"/>
            <color indexed="81"/>
            <rFont val="Tahoma"/>
            <family val="2"/>
          </rPr>
          <t>Costantini, Michael (Research):</t>
        </r>
        <r>
          <rPr>
            <sz val="9"/>
            <color indexed="81"/>
            <rFont val="Tahoma"/>
            <family val="2"/>
          </rPr>
          <t xml:space="preserve">
lapping partial qtr of OPEN</t>
        </r>
      </text>
    </comment>
    <comment ref="I322" authorId="4">
      <text>
        <r>
          <rPr>
            <b/>
            <sz val="9"/>
            <color indexed="81"/>
            <rFont val="Tahoma"/>
            <family val="2"/>
          </rPr>
          <t>Brian Nowak:
"Operations and support"</t>
        </r>
      </text>
    </comment>
    <comment ref="I325" authorId="6">
      <text>
        <r>
          <rPr>
            <b/>
            <sz val="9"/>
            <color indexed="81"/>
            <rFont val="Tahoma"/>
            <family val="2"/>
          </rPr>
          <t>Costantini, Michael (Research):</t>
        </r>
        <r>
          <rPr>
            <sz val="9"/>
            <color indexed="81"/>
            <rFont val="Tahoma"/>
            <family val="2"/>
          </rPr>
          <t xml:space="preserve">
recorded at 100% gross margin per PCLN</t>
        </r>
      </text>
    </comment>
    <comment ref="BS326" authorId="6">
      <text>
        <r>
          <rPr>
            <b/>
            <sz val="9"/>
            <color indexed="81"/>
            <rFont val="Tahoma"/>
            <family val="2"/>
          </rPr>
          <t>Costantini, Michael (Research):</t>
        </r>
        <r>
          <rPr>
            <sz val="9"/>
            <color indexed="81"/>
            <rFont val="Tahoma"/>
            <family val="2"/>
          </rPr>
          <t xml:space="preserve">
lapping partial qtr of OPEN</t>
        </r>
      </text>
    </comment>
    <comment ref="I335" authorId="6">
      <text>
        <r>
          <rPr>
            <b/>
            <sz val="9"/>
            <color indexed="81"/>
            <rFont val="Tahoma"/>
            <family val="2"/>
          </rPr>
          <t>Costantini, Michael (Research):</t>
        </r>
        <r>
          <rPr>
            <sz val="9"/>
            <color indexed="81"/>
            <rFont val="Tahoma"/>
            <family val="2"/>
          </rPr>
          <t xml:space="preserve">
Brand advertising - Advertising expenses classified as brand advertising are generally managed by the Company to a targeted spending level to drive brand awareness. </t>
        </r>
        <r>
          <rPr>
            <b/>
            <sz val="9"/>
            <color indexed="81"/>
            <rFont val="Tahoma"/>
            <family val="2"/>
          </rPr>
          <t xml:space="preserve">This includes both online and offline activities such as online videos (for example, on YouTube and Facebook), television advertising, billboards and subway and bus advertisements. </t>
        </r>
        <r>
          <rPr>
            <sz val="9"/>
            <color indexed="81"/>
            <rFont val="Tahoma"/>
            <family val="2"/>
          </rPr>
          <t>Brand advertising expense is generally recognized as incurred with the exception of advertising production costs, which are expensed the first time the advertisement is displayed or broadcast.
Classified as "Offline" advertising until 1Q:16 (restated from 1Q:15/1Q:16 and going forward)</t>
        </r>
      </text>
    </comment>
    <comment ref="BI335" authorId="5">
      <text>
        <r>
          <rPr>
            <b/>
            <sz val="9"/>
            <color indexed="81"/>
            <rFont val="Tahoma"/>
            <family val="2"/>
          </rPr>
          <t xml:space="preserve"> Brian Nowak:</t>
        </r>
        <r>
          <rPr>
            <sz val="9"/>
            <color indexed="81"/>
            <rFont val="Tahoma"/>
            <family val="2"/>
          </rPr>
          <t xml:space="preserve">
expect US booking.com to be similar size spend as in pricline.com</t>
        </r>
      </text>
    </comment>
    <comment ref="BJ335" authorId="5">
      <text>
        <r>
          <rPr>
            <b/>
            <sz val="9"/>
            <color indexed="81"/>
            <rFont val="Tahoma"/>
            <family val="2"/>
          </rPr>
          <t xml:space="preserve"> Brian Nowak:</t>
        </r>
        <r>
          <rPr>
            <sz val="9"/>
            <color indexed="81"/>
            <rFont val="Tahoma"/>
            <family val="2"/>
          </rPr>
          <t xml:space="preserve">
expect US booking.com to be similar size spend as in pricline.com</t>
        </r>
      </text>
    </comment>
    <comment ref="BK335" authorId="5">
      <text>
        <r>
          <rPr>
            <b/>
            <sz val="9"/>
            <color indexed="81"/>
            <rFont val="Tahoma"/>
            <family val="2"/>
          </rPr>
          <t xml:space="preserve"> Brian Nowak:</t>
        </r>
        <r>
          <rPr>
            <sz val="9"/>
            <color indexed="81"/>
            <rFont val="Tahoma"/>
            <family val="2"/>
          </rPr>
          <t xml:space="preserve">
implied 8mn from Kayak TV campaign</t>
        </r>
      </text>
    </comment>
    <comment ref="BL335" authorId="5">
      <text>
        <r>
          <rPr>
            <b/>
            <sz val="9"/>
            <color indexed="81"/>
            <rFont val="Tahoma"/>
            <family val="2"/>
          </rPr>
          <t xml:space="preserve"> Brian Nowak:</t>
        </r>
        <r>
          <rPr>
            <sz val="9"/>
            <color indexed="81"/>
            <rFont val="Tahoma"/>
            <family val="2"/>
          </rPr>
          <t xml:space="preserve">
expect US booking.com to be similar size spend as in pricline.com
will also include australia for first time</t>
        </r>
      </text>
    </comment>
    <comment ref="BN335" authorId="5">
      <text>
        <r>
          <rPr>
            <b/>
            <sz val="9"/>
            <color indexed="81"/>
            <rFont val="Tahoma"/>
            <family val="2"/>
          </rPr>
          <t xml:space="preserve">Brian Nowak:
1Q:14 conf call  some online ad spend shifted from 1Q to 2Q…intentionally held back in 1Q due to bad weather in Europe/Canada
</t>
        </r>
      </text>
    </comment>
    <comment ref="BO335" authorId="5">
      <text>
        <r>
          <rPr>
            <b/>
            <sz val="9"/>
            <color indexed="81"/>
            <rFont val="Tahoma"/>
            <family val="2"/>
          </rPr>
          <t xml:space="preserve"> Brian Nowak:</t>
        </r>
        <r>
          <rPr>
            <sz val="9"/>
            <color indexed="81"/>
            <rFont val="Tahoma"/>
            <family val="2"/>
          </rPr>
          <t xml:space="preserve">
2Q:14 conf call; expect to spend 130mn in 2H:14…more than half coming in 3Q</t>
        </r>
      </text>
    </comment>
    <comment ref="BP335" authorId="5">
      <text>
        <r>
          <rPr>
            <b/>
            <sz val="9"/>
            <color indexed="81"/>
            <rFont val="Tahoma"/>
            <family val="2"/>
          </rPr>
          <t xml:space="preserve"> Brian Nowak:</t>
        </r>
        <r>
          <rPr>
            <sz val="9"/>
            <color indexed="81"/>
            <rFont val="Tahoma"/>
            <family val="2"/>
          </rPr>
          <t xml:space="preserve">
3Q:14 conf call: $50-55mn
2Q:14 conf call; expect to spend 130mn in 2H:14…more than half coming in 3Q</t>
        </r>
      </text>
    </comment>
    <comment ref="BQ335" authorId="6">
      <text>
        <r>
          <rPr>
            <b/>
            <sz val="9"/>
            <color indexed="81"/>
            <rFont val="Tahoma"/>
            <family val="2"/>
          </rPr>
          <t>Costantini, Michael (Research):</t>
        </r>
        <r>
          <rPr>
            <sz val="9"/>
            <color indexed="81"/>
            <rFont val="Tahoma"/>
            <family val="2"/>
          </rPr>
          <t xml:space="preserve">
1Q:16 earnings press release:  </t>
        </r>
        <r>
          <rPr>
            <b/>
            <sz val="9"/>
            <color indexed="81"/>
            <rFont val="Tahoma"/>
            <family val="2"/>
          </rPr>
          <t xml:space="preserve">restated to $73.254mn from $63.582mn </t>
        </r>
        <r>
          <rPr>
            <sz val="9"/>
            <color indexed="81"/>
            <rFont val="Tahoma"/>
            <family val="2"/>
          </rPr>
          <t>as recategorized advertising spend into "Brand" and "Performance Marketing" as of 1Q:16 (brand advertising in online channels now recorded in "Brand"…</t>
        </r>
        <r>
          <rPr>
            <b/>
            <sz val="9"/>
            <color indexed="81"/>
            <rFont val="Tahoma"/>
            <family val="2"/>
          </rPr>
          <t>$9.7mn in 1Q:15)</t>
        </r>
      </text>
    </comment>
    <comment ref="BR335" authorId="6">
      <text>
        <r>
          <rPr>
            <b/>
            <sz val="9"/>
            <color indexed="81"/>
            <rFont val="Tahoma"/>
            <family val="2"/>
          </rPr>
          <t>Costantini, Michael (Research):</t>
        </r>
        <r>
          <rPr>
            <sz val="9"/>
            <color indexed="81"/>
            <rFont val="Tahoma"/>
            <family val="2"/>
          </rPr>
          <t xml:space="preserve">
2Q:16 earnings press release:  restated to $78.431mn from $66.303mn as recategorized advertising spend into "Brand" and "Performance Marketing" as of 1Q:16
1Q:15 conf call:  expect increased investment in offline advertising…rolling out campaigns in new mkts…spending in Germany now vs. no spend last year</t>
        </r>
      </text>
    </comment>
    <comment ref="BS335" authorId="6">
      <text>
        <r>
          <rPr>
            <b/>
            <sz val="9"/>
            <color indexed="81"/>
            <rFont val="Tahoma"/>
            <family val="2"/>
          </rPr>
          <t>Costantini, Michael (Research):</t>
        </r>
        <r>
          <rPr>
            <sz val="9"/>
            <color indexed="81"/>
            <rFont val="Tahoma"/>
            <family val="2"/>
          </rPr>
          <t xml:space="preserve">
3Q:16 earnings press release:  restated to $67.858mn from $51.440mn as recategorized advertising spend into "Brand" and "Performance Marketing" as of 1Q:16
</t>
        </r>
      </text>
    </comment>
    <comment ref="BT335" authorId="6">
      <text>
        <r>
          <rPr>
            <b/>
            <sz val="9"/>
            <color indexed="81"/>
            <rFont val="Tahoma"/>
            <family val="2"/>
          </rPr>
          <t>Costantini, Michael (Research):</t>
        </r>
        <r>
          <rPr>
            <sz val="9"/>
            <color indexed="81"/>
            <rFont val="Tahoma"/>
            <family val="2"/>
          </rPr>
          <t xml:space="preserve">
4Q:16 earnings press release:  restated to $54.161mn from $33.360mn as recategorized advertising spend into "Brand" and "Performance Marketing" as of 1Q:16
</t>
        </r>
      </text>
    </comment>
    <comment ref="CT335" authorId="2">
      <text>
        <r>
          <rPr>
            <b/>
            <sz val="10"/>
            <color indexed="81"/>
            <rFont val="Tahoma"/>
            <family val="2"/>
          </rPr>
          <t>Brian Nowak:
1/22/13 increased by 20mn due to 35mn increase in budget
4Q:12 conf call:  Booking.com TV ad campaign spend "will likely spread over the quarters of the year similarly to how Priceline offline ad spend has historically"</t>
        </r>
      </text>
    </comment>
    <comment ref="CU335" authorId="5">
      <text>
        <r>
          <rPr>
            <b/>
            <sz val="9"/>
            <color indexed="81"/>
            <rFont val="Tahoma"/>
            <family val="2"/>
          </rPr>
          <t xml:space="preserve"> Brian Nowak:</t>
        </r>
        <r>
          <rPr>
            <sz val="9"/>
            <color indexed="81"/>
            <rFont val="Tahoma"/>
            <family val="2"/>
          </rPr>
          <t xml:space="preserve">
2Q:14 guidance:  reiterate $220mn-$240mn…but closer to top end
1Q:14 guidance:  reiterate $220mn-$240mn
4Q:13 guidance 
220-240mn for full year for</t>
        </r>
      </text>
    </comment>
    <comment ref="CV335" authorId="6">
      <text>
        <r>
          <rPr>
            <b/>
            <sz val="9"/>
            <color indexed="81"/>
            <rFont val="Tahoma"/>
            <family val="2"/>
          </rPr>
          <t>Costantini, Michael (Research):</t>
        </r>
        <r>
          <rPr>
            <sz val="9"/>
            <color indexed="81"/>
            <rFont val="Tahoma"/>
            <family val="2"/>
          </rPr>
          <t xml:space="preserve">
4Q:14 conf call:  
-not giving 2015 guidance but since didnt call it out, you can assume the amount is "fairly neutral" 
-likely to launch in additional markets this year, especially for Booking.com
3Q:14 conf call:  "We will likely invest in offline advertising in additional markets during 2015, provided we continue to observe acceptable ROIs on our total advertising spend."</t>
        </r>
      </text>
    </comment>
    <comment ref="BL338" authorId="4">
      <text>
        <r>
          <rPr>
            <b/>
            <sz val="9"/>
            <color indexed="81"/>
            <rFont val="Tahoma"/>
            <family val="2"/>
          </rPr>
          <t>Brian Nowak:
4Q:13 conf call:  deleverage in offline advertising mainly related to Booking.com TV campaigns in the U.S. and Australia, and the inclusion of Kayak offline advertising
3Q:13 conf call: "We assume that margins in Q4 will again be impacted by deleverage and advertising efficiency related to our booking.com TV campaigns in the U.S. and a new campaign recently launched in Australia, and the inclusion of KAYAK offline advertising."</t>
        </r>
      </text>
    </comment>
    <comment ref="BM338" authorId="5">
      <text>
        <r>
          <rPr>
            <b/>
            <sz val="9"/>
            <color indexed="81"/>
            <rFont val="Tahoma"/>
            <family val="2"/>
          </rPr>
          <t xml:space="preserve"> Brian Nowak:</t>
        </r>
        <r>
          <rPr>
            <sz val="9"/>
            <color indexed="81"/>
            <rFont val="Tahoma"/>
            <family val="2"/>
          </rPr>
          <t xml:space="preserve">
1Q:14 conf call  some online ad spend shifted from 1Q to 2Q…intentionally held back in 1Q due to bad weather in Europe/Canada
</t>
        </r>
        <r>
          <rPr>
            <b/>
            <sz val="9"/>
            <color indexed="81"/>
            <rFont val="Tahoma"/>
            <family val="2"/>
          </rPr>
          <t xml:space="preserve">4Q:13: </t>
        </r>
        <r>
          <rPr>
            <sz val="9"/>
            <color indexed="81"/>
            <rFont val="Tahoma"/>
            <family val="2"/>
          </rPr>
          <t xml:space="preserve">
expect 290 bps of deleverage in non-GAAP operating income as a percentage of gross profit compared to prior year. </t>
        </r>
        <r>
          <rPr>
            <b/>
            <sz val="9"/>
            <color indexed="81"/>
            <rFont val="Tahoma"/>
            <family val="2"/>
          </rPr>
          <t xml:space="preserve">More than half of the operating deleverage is attributable to growth in offline advertising related to our Booking.com brand and the inclusion of KAYAK offline advertising. </t>
        </r>
      </text>
    </comment>
    <comment ref="BN338" authorId="4">
      <text>
        <r>
          <rPr>
            <b/>
            <sz val="9"/>
            <color indexed="81"/>
            <rFont val="Tahoma"/>
            <family val="2"/>
          </rPr>
          <t xml:space="preserve">Brian Nowak:
2Q:14 conf call:  Operating margins were impacted by 76 bps of deleverage in offline advertising mainly related to our Booking.com TV campaigns and the inclusion of KAYAK offline advertising.
</t>
        </r>
      </text>
    </comment>
    <comment ref="BS339" authorId="7">
      <text>
        <r>
          <rPr>
            <b/>
            <sz val="9"/>
            <color indexed="81"/>
            <rFont val="Tahoma"/>
            <family val="2"/>
          </rPr>
          <t>Nowak, Brian (Research):</t>
        </r>
        <r>
          <rPr>
            <sz val="9"/>
            <color indexed="81"/>
            <rFont val="Tahoma"/>
            <family val="2"/>
          </rPr>
          <t xml:space="preserve">
opentable europe campaign?</t>
        </r>
      </text>
    </comment>
    <comment ref="BT339" authorId="6">
      <text>
        <r>
          <rPr>
            <b/>
            <sz val="9"/>
            <color indexed="81"/>
            <rFont val="Tahoma"/>
            <family val="2"/>
          </rPr>
          <t>Costantini, Michael (Research):</t>
        </r>
        <r>
          <rPr>
            <sz val="9"/>
            <color indexed="81"/>
            <rFont val="Tahoma"/>
            <family val="2"/>
          </rPr>
          <t xml:space="preserve">
4Q:15 earnings conf call:  better than forecast due to shift in spend from offline to online for Kayak, reduced advertising at PCLN.com (transitioninto to new ad campaign), and FX</t>
        </r>
      </text>
    </comment>
    <comment ref="BU339" authorId="6">
      <text>
        <r>
          <rPr>
            <b/>
            <sz val="9"/>
            <color indexed="81"/>
            <rFont val="Tahoma"/>
            <family val="2"/>
          </rPr>
          <t>Costantini, Michael (Research):</t>
        </r>
        <r>
          <rPr>
            <sz val="9"/>
            <color indexed="81"/>
            <rFont val="Tahoma"/>
            <family val="2"/>
          </rPr>
          <t xml:space="preserve">
1Q:16 earnings conf call:  shifted brand marketing spend from 1Q to 2Q
new U.S. PCLN.com brand campaign (launched 1Q:16).</t>
        </r>
      </text>
    </comment>
    <comment ref="BV339" authorId="6">
      <text>
        <r>
          <rPr>
            <b/>
            <sz val="9"/>
            <color indexed="81"/>
            <rFont val="Tahoma"/>
            <family val="2"/>
          </rPr>
          <t>Costantini, Michael (Research):</t>
        </r>
        <r>
          <rPr>
            <sz val="9"/>
            <color indexed="81"/>
            <rFont val="Tahoma"/>
            <family val="2"/>
          </rPr>
          <t xml:space="preserve">
1Q:16 earnings conf call:  expect increased Brand marketing in 2Q (shifted brand spend from 1Q to 2Q)…Booking.com US ad campaign</t>
        </r>
      </text>
    </comment>
    <comment ref="I346" authorId="6">
      <text>
        <r>
          <rPr>
            <b/>
            <sz val="9"/>
            <color indexed="81"/>
            <rFont val="Tahoma"/>
            <family val="2"/>
          </rPr>
          <t>Costantini, Michael (Research):</t>
        </r>
        <r>
          <rPr>
            <sz val="9"/>
            <color indexed="81"/>
            <rFont val="Tahoma"/>
            <family val="2"/>
          </rPr>
          <t xml:space="preserve">
Performance advertising - Advertising expenses classified as performance advertising are generally managed by the Company by monitoring return on investment. These expenses primarily consist of: </t>
        </r>
        <r>
          <rPr>
            <b/>
            <sz val="9"/>
            <color indexed="81"/>
            <rFont val="Tahoma"/>
            <family val="2"/>
          </rPr>
          <t>(1) search engine keyword purchases; (2) referrals from meta-search and travel research websites</t>
        </r>
        <r>
          <rPr>
            <sz val="9"/>
            <color indexed="81"/>
            <rFont val="Tahoma"/>
            <family val="2"/>
          </rPr>
          <t>; (3) affiliate programs; and (4) other performance-based advertisements. Performance advertising expense is recognized as incurred.
Classified as "Online" advertising until 1Q:16 (restated from 1Q:15/1Q:16 and going forward)</t>
        </r>
      </text>
    </comment>
    <comment ref="BB346" authorId="0">
      <text>
        <r>
          <rPr>
            <b/>
            <sz val="8"/>
            <color indexed="81"/>
            <rFont val="Tahoma"/>
            <family val="2"/>
          </rPr>
          <t>Brian Nowak:
The increase is driven principally by brand mix rather than a change
in the fundamental efficiency of our online advertising by brand. Our international brands are
growing substantially in Q2, and spend a higher percentage of gross profit on online advertising
than our U.S. business.</t>
        </r>
      </text>
    </comment>
    <comment ref="BK346" authorId="3">
      <text>
        <r>
          <rPr>
            <b/>
            <sz val="10"/>
            <color indexed="81"/>
            <rFont val="Tahoma"/>
            <family val="2"/>
          </rPr>
          <t>Brian Nowak:
4Q:12 conf call: "comping against periods where we have experienced some margin pressure and there is a mathematical consequence to that"</t>
        </r>
      </text>
    </comment>
    <comment ref="BL346" authorId="3">
      <text>
        <r>
          <rPr>
            <b/>
            <sz val="10"/>
            <color indexed="81"/>
            <rFont val="Tahoma"/>
            <family val="2"/>
          </rPr>
          <t>Brian Nowak:
4Q:12 conf call: "comping against periods where we have experienced some margin pressure and there is a mathematical consequence to that"</t>
        </r>
      </text>
    </comment>
    <comment ref="BQ346" authorId="6">
      <text>
        <r>
          <rPr>
            <b/>
            <sz val="9"/>
            <color indexed="81"/>
            <rFont val="Tahoma"/>
            <family val="2"/>
          </rPr>
          <t>Costantini, Michael (Research):</t>
        </r>
        <r>
          <rPr>
            <sz val="9"/>
            <color indexed="81"/>
            <rFont val="Tahoma"/>
            <family val="2"/>
          </rPr>
          <t xml:space="preserve">
1Q:16 earnings press release:  </t>
        </r>
        <r>
          <rPr>
            <b/>
            <sz val="9"/>
            <color indexed="81"/>
            <rFont val="Tahoma"/>
            <family val="2"/>
          </rPr>
          <t xml:space="preserve">restated to $633.544mn from $643.216mn </t>
        </r>
        <r>
          <rPr>
            <sz val="9"/>
            <color indexed="81"/>
            <rFont val="Tahoma"/>
            <family val="2"/>
          </rPr>
          <t>as recategorized advertising spend into "Brand" and "Performance Marketing" as of 1Q:16 (brand advertising in online channels now recorded in "Brand"…</t>
        </r>
        <r>
          <rPr>
            <b/>
            <sz val="9"/>
            <color indexed="81"/>
            <rFont val="Tahoma"/>
            <family val="2"/>
          </rPr>
          <t>$9.7mn in 1Q:15)</t>
        </r>
      </text>
    </comment>
    <comment ref="BR346" authorId="6">
      <text>
        <r>
          <rPr>
            <b/>
            <sz val="9"/>
            <color indexed="81"/>
            <rFont val="Tahoma"/>
            <family val="2"/>
          </rPr>
          <t>Costantini, Michael (Research):</t>
        </r>
        <r>
          <rPr>
            <sz val="9"/>
            <color indexed="81"/>
            <rFont val="Tahoma"/>
            <family val="2"/>
          </rPr>
          <t xml:space="preserve">
2Q:16 earnings press release:  restated to $758.690mn from $770.818mn as recategorized advertising spend into "Brand" and "Performance Marketing" as of 1Q:16</t>
        </r>
      </text>
    </comment>
    <comment ref="BS346" authorId="6">
      <text>
        <r>
          <rPr>
            <b/>
            <sz val="9"/>
            <color indexed="81"/>
            <rFont val="Tahoma"/>
            <family val="2"/>
          </rPr>
          <t>Costantini, Michael (Research):</t>
        </r>
        <r>
          <rPr>
            <sz val="9"/>
            <color indexed="81"/>
            <rFont val="Tahoma"/>
            <family val="2"/>
          </rPr>
          <t xml:space="preserve">
3Q:16 earnings press release:  restated to $758.690mn from $801.147mn as recategorized advertising spend into "Brand" and "Performance Marketing" as of 1Q:16</t>
        </r>
      </text>
    </comment>
    <comment ref="BT346" authorId="6">
      <text>
        <r>
          <rPr>
            <b/>
            <sz val="9"/>
            <color indexed="81"/>
            <rFont val="Tahoma"/>
            <family val="2"/>
          </rPr>
          <t>Costantini, Michael (Research):</t>
        </r>
        <r>
          <rPr>
            <sz val="9"/>
            <color indexed="81"/>
            <rFont val="Tahoma"/>
            <family val="2"/>
          </rPr>
          <t xml:space="preserve">
4Q:16 earnings press release:  restated to $758.690mn from $582.056mn as recategorized advertising spend into "Brand" and "Performance Marketing" as of 1Q:16</t>
        </r>
      </text>
    </comment>
    <comment ref="BA347" authorId="0">
      <text>
        <r>
          <rPr>
            <b/>
            <sz val="8"/>
            <color indexed="81"/>
            <rFont val="Tahoma"/>
            <family val="2"/>
          </rPr>
          <t>Brian Nowak:
guidance for online as % of GP to increase vs 1Q10 (due to more interenatinoal mix of adv)</t>
        </r>
      </text>
    </comment>
    <comment ref="BX347" authorId="6">
      <text>
        <r>
          <rPr>
            <b/>
            <sz val="9"/>
            <color indexed="81"/>
            <rFont val="Tahoma"/>
            <family val="2"/>
          </rPr>
          <t>Costantini, Michael (Research):</t>
        </r>
        <r>
          <rPr>
            <sz val="9"/>
            <color indexed="81"/>
            <rFont val="Tahoma"/>
            <family val="2"/>
          </rPr>
          <t xml:space="preserve">
3Q:16 earnings conf call:  We forecast that adjusted EBITDA will grow more slowly than gross profit, due to forecasted ROI pressure for performance advertising. Our forecast assumes further deterioration in ROIs over the balance of the quarter, to provide us with flexibility in a dynamic market, to follow our consistent approach of generating gross bookings at reasonable ROIs.</t>
        </r>
      </text>
    </comment>
    <comment ref="BB348" authorId="0">
      <text>
        <r>
          <rPr>
            <b/>
            <sz val="8"/>
            <color indexed="81"/>
            <rFont val="Tahoma"/>
            <family val="2"/>
          </rPr>
          <t>Brian Nowak:
Online advertising expense as a percentage of gross profit is assumed to increase
compared with prior-year Q2.</t>
        </r>
      </text>
    </comment>
    <comment ref="BC348" authorId="0">
      <text>
        <r>
          <rPr>
            <b/>
            <sz val="8"/>
            <color indexed="81"/>
            <rFont val="Tahoma"/>
            <family val="2"/>
          </rPr>
          <t>Brian Nowak:
Online advertising expenses as a percentage of gross profit were slightly favorable to our guidance and prior year Q3 has resulted decelerating gross bookings growth and better than assumed add efficiency partly offset by business mix. Our international business, which relies more on online advertising spend moved at a faster pace than our U.S. business driving the mix impact. 
Incraese in bookings made in may and june, but stay in July and bookings growth decelerated throughout back half of quarter (Sept and Oct)</t>
        </r>
      </text>
    </comment>
    <comment ref="BD348" authorId="0">
      <text>
        <r>
          <rPr>
            <b/>
            <sz val="8"/>
            <color indexed="81"/>
            <rFont val="Tahoma"/>
            <family val="2"/>
          </rPr>
          <t xml:space="preserve">Brian Nowak:
mix shift and timing with gross bookings will come into play and drive delverage on this line </t>
        </r>
      </text>
    </comment>
    <comment ref="BF348" authorId="5">
      <text>
        <r>
          <rPr>
            <b/>
            <sz val="9"/>
            <color indexed="81"/>
            <rFont val="Tahoma"/>
            <family val="2"/>
          </rPr>
          <t xml:space="preserve"> </t>
        </r>
        <r>
          <rPr>
            <b/>
            <sz val="10"/>
            <color indexed="81"/>
            <rFont val="Tahoma"/>
            <family val="2"/>
          </rPr>
          <t>Brian Nowak:</t>
        </r>
        <r>
          <rPr>
            <sz val="10"/>
            <color indexed="81"/>
            <rFont val="Tahoma"/>
            <family val="2"/>
          </rPr>
          <t xml:space="preserve">
down because of deceleration in bookings in may and June (created tough search marketing comp)</t>
        </r>
      </text>
    </comment>
    <comment ref="BG348" authorId="2">
      <text>
        <r>
          <rPr>
            <b/>
            <sz val="10"/>
            <color indexed="81"/>
            <rFont val="Tahoma"/>
            <family val="2"/>
          </rPr>
          <t>Brian Nowak:
2Q conf call: expect deleverage due to biz mix and deteriorating macro 
1Q conf call: will continue to rise</t>
        </r>
      </text>
    </comment>
    <comment ref="BH348" authorId="2">
      <text>
        <r>
          <rPr>
            <b/>
            <sz val="8"/>
            <color indexed="81"/>
            <rFont val="Tahoma"/>
            <family val="2"/>
          </rPr>
          <t>Brian Nowak:
per 1Q conf call, will continue to rise</t>
        </r>
      </text>
    </comment>
    <comment ref="BK348" authorId="4">
      <text>
        <r>
          <rPr>
            <b/>
            <sz val="9"/>
            <color indexed="81"/>
            <rFont val="Tahoma"/>
            <family val="2"/>
          </rPr>
          <t>Brian Nowak:
3Q:13 conf call:  "The inclusion of KAYAK provides an offsetting favorable impact on online ad efficiency until we anniversary the acquisition (May 21, 2014) because KAYAK spends less relatively on online advertising as a percentage of gross profit and spending by our other brands for ad placements on KAYAK is eliminated from our consolidated results."</t>
        </r>
      </text>
    </comment>
    <comment ref="BL348" authorId="4">
      <text>
        <r>
          <rPr>
            <b/>
            <sz val="9"/>
            <color indexed="81"/>
            <rFont val="Tahoma"/>
            <family val="2"/>
          </rPr>
          <t>Brian Nowak:
4Q:13 conf call:  "Much of the year-over-year improvement in this metric is due to the inclusion of KAYAK, because KAYAK spends relatively less on online advertising as a percentage of gross profit and spending by our other brands for ad placements on KAYAK is eliminated from our consolidated results."</t>
        </r>
      </text>
    </comment>
    <comment ref="BM348" authorId="4">
      <text>
        <r>
          <rPr>
            <b/>
            <sz val="9"/>
            <color indexed="81"/>
            <rFont val="Tahoma"/>
            <family val="2"/>
          </rPr>
          <t>Brian Nowak:
1Q:14 conf call:  "the YoY improvement in this metric included the inclusion of KAYAK, because KAYAK spends relatively less on online advertising as a percentage of gross profit and spending by our other brands for ad placements on KAYAK is eliminated from our consolidated results"</t>
        </r>
      </text>
    </comment>
    <comment ref="BN348" authorId="4">
      <text>
        <r>
          <rPr>
            <b/>
            <sz val="9"/>
            <color indexed="81"/>
            <rFont val="Tahoma"/>
            <family val="2"/>
          </rPr>
          <t>Brian Nowak:
1Q:14 conf call:  "Q2 YoY online advertising efficiency benefits from the inclusion of KAYAK in our consolidated results, but to a lesser extent than Q1, because we lap the acquisition on May 21."</t>
        </r>
      </text>
    </comment>
    <comment ref="BP348" authorId="4">
      <text>
        <r>
          <rPr>
            <b/>
            <sz val="9"/>
            <color indexed="81"/>
            <rFont val="Tahoma"/>
            <family val="2"/>
          </rPr>
          <t>Brian Nowak:
3Q:14 conf call:  "Our Q4 online advertising forecast reflects our actual results to-date and assumes further pressure on ad efficiency throughout the remainder of the quarter based upon the trends we've experienced over the last couple of years."</t>
        </r>
      </text>
    </comment>
    <comment ref="BQ348" authorId="6">
      <text>
        <r>
          <rPr>
            <b/>
            <sz val="9"/>
            <color indexed="81"/>
            <rFont val="Tahoma"/>
            <family val="2"/>
          </rPr>
          <t>Costantini, Michael (Research):</t>
        </r>
        <r>
          <rPr>
            <sz val="9"/>
            <color indexed="81"/>
            <rFont val="Tahoma"/>
            <family val="2"/>
          </rPr>
          <t xml:space="preserve">
1Q:15 conf call:  deleverage due to lower ROIs and gross booking accel</t>
        </r>
      </text>
    </comment>
    <comment ref="BR348" authorId="6">
      <text>
        <r>
          <rPr>
            <b/>
            <sz val="9"/>
            <color indexed="81"/>
            <rFont val="Tahoma"/>
            <family val="2"/>
          </rPr>
          <t>Costantini, Michael (Research):</t>
        </r>
        <r>
          <rPr>
            <sz val="9"/>
            <color indexed="81"/>
            <rFont val="Tahoma"/>
            <family val="2"/>
          </rPr>
          <t xml:space="preserve">
1Q:15 conf call:  advertising forecast assumes lower online ad ROIs</t>
        </r>
      </text>
    </comment>
    <comment ref="BT348" authorId="6">
      <text>
        <r>
          <rPr>
            <b/>
            <sz val="9"/>
            <color indexed="81"/>
            <rFont val="Tahoma"/>
            <family val="2"/>
          </rPr>
          <t>Costantini, Michael (Research):</t>
        </r>
        <r>
          <rPr>
            <sz val="9"/>
            <color indexed="81"/>
            <rFont val="Tahoma"/>
            <family val="2"/>
          </rPr>
          <t xml:space="preserve">
4Q:15 earnings conf call:  online ad ROIs better than forecast but delevered due to accel in bookings late in 4Q (that will benefit revenue in 1Q:16) and impact of Paris terror attack on bookings cancellations</t>
        </r>
      </text>
    </comment>
    <comment ref="BU348" authorId="6">
      <text>
        <r>
          <rPr>
            <b/>
            <sz val="9"/>
            <color indexed="81"/>
            <rFont val="Tahoma"/>
            <family val="2"/>
          </rPr>
          <t>Costantini, Michael (Research):</t>
        </r>
        <r>
          <rPr>
            <sz val="9"/>
            <color indexed="81"/>
            <rFont val="Tahoma"/>
            <family val="2"/>
          </rPr>
          <t xml:space="preserve">
4Q:15 earnings conf call:  expect deleverage in 1Q due to PCLN's "online ad efficiency assumptions" (deterioration from current levels and provides PCLN with "flexibility")
</t>
        </r>
      </text>
    </comment>
    <comment ref="BY348" authorId="6">
      <text>
        <r>
          <rPr>
            <b/>
            <sz val="9"/>
            <color indexed="81"/>
            <rFont val="Tahoma"/>
            <family val="2"/>
          </rPr>
          <t>Costantini, Michael (Research):</t>
        </r>
        <r>
          <rPr>
            <sz val="9"/>
            <color indexed="81"/>
            <rFont val="Tahoma"/>
            <family val="2"/>
          </rPr>
          <t xml:space="preserve">
4Q:16 earnings conf call:  performance ad deleverage in 1H:17 will be "slightly better" than 2H:16 (+244bp)</t>
        </r>
      </text>
    </comment>
    <comment ref="BZ348" authorId="6">
      <text>
        <r>
          <rPr>
            <b/>
            <sz val="9"/>
            <color indexed="81"/>
            <rFont val="Tahoma"/>
            <family val="2"/>
          </rPr>
          <t>Costantini, Michael (Research):</t>
        </r>
        <r>
          <rPr>
            <sz val="9"/>
            <color indexed="81"/>
            <rFont val="Tahoma"/>
            <family val="2"/>
          </rPr>
          <t xml:space="preserve">
4Q:16 earnings conf call:  performance ad deleverage in 1H:17 will be "slightly better" than 2H:16 (+244bp)</t>
        </r>
      </text>
    </comment>
    <comment ref="CA348" authorId="7">
      <text>
        <r>
          <rPr>
            <b/>
            <sz val="9"/>
            <color indexed="81"/>
            <rFont val="Tahoma"/>
            <family val="2"/>
          </rPr>
          <t>Nowak, Brian (Research):</t>
        </r>
        <r>
          <rPr>
            <sz val="9"/>
            <color indexed="81"/>
            <rFont val="Tahoma"/>
            <family val="2"/>
          </rPr>
          <t xml:space="preserve">
2Q results more than half of 230bp of yoy pressure from non ad spend</t>
        </r>
      </text>
    </comment>
    <comment ref="CB348" authorId="8">
      <text>
        <r>
          <rPr>
            <b/>
            <sz val="9"/>
            <color indexed="81"/>
            <rFont val="Tahoma"/>
            <family val="2"/>
          </rPr>
          <t>Wang, Alaxandar (Research):</t>
        </r>
        <r>
          <rPr>
            <sz val="9"/>
            <color indexed="81"/>
            <rFont val="Tahoma"/>
            <family val="2"/>
          </rPr>
          <t xml:space="preserve">
per 3Q:17: expect leverage</t>
        </r>
      </text>
    </comment>
    <comment ref="BL355" authorId="4">
      <text>
        <r>
          <rPr>
            <b/>
            <sz val="9"/>
            <color indexed="81"/>
            <rFont val="Tahoma"/>
            <family val="2"/>
          </rPr>
          <t>Brian Nowak:
4Q:13 conf call:  deleverage in offline advertising mainly related to Booking.com TV campaigns in the U.S. and Australia, and the inclusion of Kayak offline advertising
3Q:13 conf call: "We assume that margins in Q4 will again be impacted by deleverage and advertising efficiency related to our booking.com TV campaigns in the U.S. and a new campaign recently launched in Australia, and the inclusion of KAYAK offline advertising."</t>
        </r>
      </text>
    </comment>
    <comment ref="BM355" authorId="5">
      <text>
        <r>
          <rPr>
            <b/>
            <sz val="9"/>
            <color indexed="81"/>
            <rFont val="Tahoma"/>
            <family val="2"/>
          </rPr>
          <t xml:space="preserve"> Brian Nowak:</t>
        </r>
        <r>
          <rPr>
            <sz val="9"/>
            <color indexed="81"/>
            <rFont val="Tahoma"/>
            <family val="2"/>
          </rPr>
          <t xml:space="preserve">
1Q:14 conf call  some online ad spend shifted from 1Q to 2Q…intentionally held back in 1Q due to bad weather in Europe/Canada
</t>
        </r>
        <r>
          <rPr>
            <b/>
            <sz val="9"/>
            <color indexed="81"/>
            <rFont val="Tahoma"/>
            <family val="2"/>
          </rPr>
          <t xml:space="preserve">4Q:13: </t>
        </r>
        <r>
          <rPr>
            <sz val="9"/>
            <color indexed="81"/>
            <rFont val="Tahoma"/>
            <family val="2"/>
          </rPr>
          <t xml:space="preserve">
expect 290 bps of deleverage in non-GAAP operating income as a percentage of gross profit compared to prior year. </t>
        </r>
        <r>
          <rPr>
            <b/>
            <sz val="9"/>
            <color indexed="81"/>
            <rFont val="Tahoma"/>
            <family val="2"/>
          </rPr>
          <t xml:space="preserve">More than half of the operating deleverage is attributable to growth in offline advertising related to our Booking.com brand and the inclusion of KAYAK offline advertising. </t>
        </r>
      </text>
    </comment>
    <comment ref="BN355" authorId="4">
      <text>
        <r>
          <rPr>
            <b/>
            <sz val="9"/>
            <color indexed="81"/>
            <rFont val="Tahoma"/>
            <family val="2"/>
          </rPr>
          <t xml:space="preserve">Brian Nowak:
2Q:14 conf call:  Operating margins were impacted by 76 bps of deleverage in offline advertising mainly related to our Booking.com TV campaigns and the inclusion of KAYAK offline advertising.
</t>
        </r>
      </text>
    </comment>
    <comment ref="BM410" authorId="4">
      <text>
        <r>
          <rPr>
            <b/>
            <sz val="9"/>
            <color indexed="81"/>
            <rFont val="Tahoma"/>
            <family val="2"/>
          </rPr>
          <t>Brian Nowak:
per 1Q:14 10-Q (pg 26):  "Thus far in the second quarter of 2014, we have experienced more significant year-over-year declines in our online marketing ROIs. These negative factors have recently been slightly offset by an increasing share of traffic coming directly to us, a trend that may or may not continue. "</t>
        </r>
      </text>
    </comment>
    <comment ref="BN410" authorId="4">
      <text>
        <r>
          <rPr>
            <b/>
            <sz val="9"/>
            <color indexed="81"/>
            <rFont val="Tahoma"/>
            <family val="2"/>
          </rPr>
          <t>Brian Nowak:
2Q:14 conf call:  down YoY but less so than they anticipated and "stable" overall
2Q:14 10-Q:  "In the second quarter of 2014 and thus far in the third quarter, we have experienced more significant year-over-year declines in our online marketing ROIs."</t>
        </r>
      </text>
    </comment>
    <comment ref="BO410" authorId="4">
      <text>
        <r>
          <rPr>
            <b/>
            <sz val="9"/>
            <color indexed="81"/>
            <rFont val="Tahoma"/>
            <family val="2"/>
          </rPr>
          <t xml:space="preserve">Brian Nowak:
3Q:14 conf call:  down YoY but less so than they anticipated
3Q:14 10-Q:
"Our online advertising returns on investment ("ROIs") have been down year-over-year in recent years, and as a result, our online advertising expense has generally grown more quickly than our gross profit. Furthermore, our international brands are generally growing faster than our U.S. brands, and typically spend a higher percentage of gross profit on online advertising, also resulting in our online advertising growing more quickly than our gross profit. Recently, these negative factors have been slightly offset by an increasing share of traffic coming directly to us, a trend that may or may not continue."
</t>
        </r>
      </text>
    </comment>
    <comment ref="BP410" authorId="6">
      <text>
        <r>
          <rPr>
            <b/>
            <sz val="9"/>
            <color indexed="81"/>
            <rFont val="Tahoma"/>
            <family val="2"/>
          </rPr>
          <t>Costantini, Michael (Research):</t>
        </r>
        <r>
          <rPr>
            <sz val="9"/>
            <color indexed="81"/>
            <rFont val="Tahoma"/>
            <family val="2"/>
          </rPr>
          <t xml:space="preserve">
4Q:14 conf call:  declined less than forecast</t>
        </r>
      </text>
    </comment>
    <comment ref="BQ410" authorId="6">
      <text>
        <r>
          <rPr>
            <b/>
            <sz val="9"/>
            <color indexed="81"/>
            <rFont val="Tahoma"/>
            <family val="2"/>
          </rPr>
          <t>Costantini, Michael (Research):</t>
        </r>
        <r>
          <rPr>
            <sz val="9"/>
            <color indexed="81"/>
            <rFont val="Tahoma"/>
            <family val="2"/>
          </rPr>
          <t xml:space="preserve">
1Q:15 10-Q:  "In the first quarter of 2015, online advertising efficiency declined compared to the prior year, mainly due to lower ROIs."</t>
        </r>
      </text>
    </comment>
    <comment ref="BR410" authorId="6">
      <text>
        <r>
          <rPr>
            <b/>
            <sz val="9"/>
            <color indexed="81"/>
            <rFont val="Tahoma"/>
            <family val="2"/>
          </rPr>
          <t>Costantini, Michael (Research):</t>
        </r>
        <r>
          <rPr>
            <sz val="9"/>
            <color indexed="81"/>
            <rFont val="Tahoma"/>
            <family val="2"/>
          </rPr>
          <t xml:space="preserve">
2Q:15 10-Q:  " In the first half of 2015, online advertising efficiency declined compared to the prior year, mainly due to lower ROIs."</t>
        </r>
      </text>
    </comment>
    <comment ref="BS410" authorId="6">
      <text>
        <r>
          <rPr>
            <b/>
            <sz val="9"/>
            <color indexed="81"/>
            <rFont val="Tahoma"/>
            <family val="2"/>
          </rPr>
          <t>Costantini, Michael (Research):</t>
        </r>
        <r>
          <rPr>
            <sz val="9"/>
            <color indexed="81"/>
            <rFont val="Tahoma"/>
            <family val="2"/>
          </rPr>
          <t xml:space="preserve">
3Q:15 10-Q:  " In the first three quarters of 2015, online advertising efficiency declined compared to the prior year, mainly due to lower ROIs."</t>
        </r>
      </text>
    </comment>
    <comment ref="BT410" authorId="6">
      <text>
        <r>
          <rPr>
            <b/>
            <sz val="9"/>
            <color indexed="81"/>
            <rFont val="Tahoma"/>
            <family val="2"/>
          </rPr>
          <t>Costantini, Michael (Research):</t>
        </r>
        <r>
          <rPr>
            <sz val="9"/>
            <color indexed="81"/>
            <rFont val="Tahoma"/>
            <family val="2"/>
          </rPr>
          <t xml:space="preserve">
4Q:15 earnings conf call:  online ad ROIs better than forecast but delevered due to accel in bookings late in 4Q (that will benefit revenue in 1Q:16) and impact of Paris terror attack on bookings cancellations</t>
        </r>
      </text>
    </comment>
    <comment ref="BU410" authorId="6">
      <text>
        <r>
          <rPr>
            <b/>
            <sz val="9"/>
            <color indexed="81"/>
            <rFont val="Tahoma"/>
            <family val="2"/>
          </rPr>
          <t>Costantini, Michael (Research):</t>
        </r>
        <r>
          <rPr>
            <sz val="9"/>
            <color indexed="81"/>
            <rFont val="Tahoma"/>
            <family val="2"/>
          </rPr>
          <t xml:space="preserve">
1Q:16 earnings conf call:  
-“Solid ROIs for performance marketing were better than our guidance forecast.”
-"So we're looking to bring traffic to the website at a reasonable return on investment. We had several years, I guess since the middle of 2012, where we've been under pressure with that metric, and now we've had a few quarters in a row where we've seen ROIs pretty solid without categorizing them as better or worse than prior year; pretty neutral, so much better than the trend we had seen before that."
</t>
        </r>
      </text>
    </comment>
    <comment ref="BV410" authorId="6">
      <text>
        <r>
          <rPr>
            <b/>
            <sz val="9"/>
            <color indexed="81"/>
            <rFont val="Tahoma"/>
            <family val="2"/>
          </rPr>
          <t>Costantini, Michael (Research):</t>
        </r>
        <r>
          <rPr>
            <sz val="9"/>
            <color indexed="81"/>
            <rFont val="Tahoma"/>
            <family val="2"/>
          </rPr>
          <t xml:space="preserve">
2Q:16 earnings conf call:  "stable"</t>
        </r>
      </text>
    </comment>
    <comment ref="BW410" authorId="6">
      <text>
        <r>
          <rPr>
            <b/>
            <sz val="9"/>
            <color indexed="81"/>
            <rFont val="Tahoma"/>
            <family val="2"/>
          </rPr>
          <t>Costantini, Michael (Research):</t>
        </r>
        <r>
          <rPr>
            <sz val="9"/>
            <color indexed="81"/>
            <rFont val="Tahoma"/>
            <family val="2"/>
          </rPr>
          <t xml:space="preserve">
3Q:16 earnings conf call:  lower advertising ROIs...but advertising efficiency "slightly better" than forecast
2Q:16 earnings conf call:  seeing some ROI pressure in 3Q as lapping period where began to improve
2Q:16 10-Q:  "We have observed a long-term trend of decreasing performance advertising returns on investment ("ROIs"), a trend we expect to continue. " 
</t>
        </r>
      </text>
    </comment>
    <comment ref="BX410" authorId="6">
      <text>
        <r>
          <rPr>
            <b/>
            <sz val="9"/>
            <color indexed="81"/>
            <rFont val="Tahoma"/>
            <family val="2"/>
          </rPr>
          <t>Costantini, Michael (Research):</t>
        </r>
        <r>
          <rPr>
            <sz val="9"/>
            <color indexed="81"/>
            <rFont val="Tahoma"/>
            <family val="2"/>
          </rPr>
          <t xml:space="preserve">
3Q:16 earnings conf call:  forecasting ROI pressure for performance marketing…and expect it to deteriorate throughout the quarter</t>
        </r>
      </text>
    </comment>
    <comment ref="BY410" authorId="6">
      <text>
        <r>
          <rPr>
            <b/>
            <sz val="9"/>
            <color indexed="81"/>
            <rFont val="Tahoma"/>
            <family val="2"/>
          </rPr>
          <t>Costantini, Michael (Research):</t>
        </r>
        <r>
          <rPr>
            <sz val="9"/>
            <color indexed="81"/>
            <rFont val="Tahoma"/>
            <family val="2"/>
          </rPr>
          <t xml:space="preserve">
1Q:17 10-Q: Gross profit as a percentage of gross bookings was 11.3% for the three months ended March 31, 2017 as compared to 12.1% for the three months ended March 31, 2016. The decrease is due to the timing of booking versus travel, including the impact of Easter falling in the second quarter of 2017 instead of the first quarter, as it did in 2016, and an expansion of the booking window (the average time between the making of a travel reservation and the travel). Other contributing factors to the variance are business mix impacts and the use of discounted closed user group rates.
4Q:16 earnings cofn call:  Our Q1 forecast assumes that the long-term trend of year-over-year pressure on performance marketing ROIs will continue, but to a slightly lesser degree than experienced in the last couple of quarters</t>
        </r>
      </text>
    </comment>
    <comment ref="BZ410" authorId="8">
      <text>
        <r>
          <rPr>
            <b/>
            <sz val="9"/>
            <color indexed="81"/>
            <rFont val="Tahoma"/>
            <family val="2"/>
          </rPr>
          <t>Wang, Alaxandar (Research):</t>
        </r>
        <r>
          <rPr>
            <sz val="9"/>
            <color indexed="81"/>
            <rFont val="Tahoma"/>
            <family val="2"/>
          </rPr>
          <t xml:space="preserve">
per 2Q17 call: Our Q3 forecast assumes year-over-year pressure on performance market and ROIs and increases in brand advertising partly
related to phasing of spend. More than half of the forecasted deleverage relates to non-advertising operating expenses as we invest for high travel
season and innovation to drive future growth.</t>
        </r>
      </text>
    </comment>
    <comment ref="CA410" authorId="8">
      <text>
        <r>
          <rPr>
            <b/>
            <sz val="9"/>
            <color indexed="81"/>
            <rFont val="Tahoma"/>
            <family val="2"/>
          </rPr>
          <t>Wang, Alaxandar (Research):</t>
        </r>
        <r>
          <rPr>
            <sz val="9"/>
            <color indexed="81"/>
            <rFont val="Tahoma"/>
            <family val="2"/>
          </rPr>
          <t xml:space="preserve">
per 10-Q: In addition, we may from time to time, as we did in the third quarter of 2017, pursue a strategy of improving our performance advertising ROIs, which could negatively impact growth and positively impact performance advertising efficiency. </t>
        </r>
      </text>
    </comment>
    <comment ref="CV410" authorId="6">
      <text>
        <r>
          <rPr>
            <b/>
            <sz val="9"/>
            <color indexed="81"/>
            <rFont val="Tahoma"/>
            <family val="2"/>
          </rPr>
          <t>Costantini, Michael (Research):</t>
        </r>
        <r>
          <rPr>
            <sz val="9"/>
            <color indexed="81"/>
            <rFont val="Tahoma"/>
            <family val="2"/>
          </rPr>
          <t xml:space="preserve">
2015 10-K, ROI commentary (pg 16 &amp; 54):
-In 2015, online advertising efficiency declined compared to the prior year, mainly due to lower ROIs
-advertising ROIs declined y/y in 2015
</t>
        </r>
      </text>
    </comment>
    <comment ref="I453" authorId="1">
      <text>
        <r>
          <rPr>
            <b/>
            <sz val="8"/>
            <color indexed="81"/>
            <rFont val="Tahoma"/>
            <family val="2"/>
          </rPr>
          <t>Brian Nowak:</t>
        </r>
        <r>
          <rPr>
            <sz val="8"/>
            <color indexed="81"/>
            <rFont val="Tahoma"/>
            <family val="2"/>
          </rPr>
          <t xml:space="preserve">
per 10Q…will most closely correlate with domestic merchant gross profit
But Agoda and Jigsaw becoming bigger contributors per MT</t>
        </r>
      </text>
    </comment>
    <comment ref="BC454" authorId="0">
      <text>
        <r>
          <rPr>
            <b/>
            <sz val="8"/>
            <color indexed="81"/>
            <rFont val="Tahoma"/>
            <family val="2"/>
          </rPr>
          <t>Brian Nowak:
Sales and marketing expense also exceeded guidance due to increased spending to build content as well as higher credit card processing costs resulting from the gross booking over performance for our international merchant businesses. We had a nice expansion in operating leverage in the quarter</t>
        </r>
      </text>
    </comment>
    <comment ref="BE454" authorId="2">
      <text>
        <r>
          <rPr>
            <b/>
            <sz val="10"/>
            <color indexed="81"/>
            <rFont val="Tahoma"/>
            <family val="2"/>
          </rPr>
          <t>Brian Nowak:
merchant grwe slower than agency, which made sales &amp; marketing fall</t>
        </r>
      </text>
    </comment>
    <comment ref="BI454" authorId="3">
      <text>
        <r>
          <rPr>
            <b/>
            <sz val="10"/>
            <color indexed="81"/>
            <rFont val="Tahoma"/>
            <family val="2"/>
          </rPr>
          <t xml:space="preserve">Brian Nowak:
NOTE: in 1Q:12, "merchant grew slower than agency, which made sales &amp; marketing fall"
</t>
        </r>
      </text>
    </comment>
    <comment ref="BX455" authorId="6">
      <text>
        <r>
          <rPr>
            <b/>
            <sz val="9"/>
            <color indexed="81"/>
            <rFont val="Tahoma"/>
            <family val="2"/>
          </rPr>
          <t>Costantini, Michael (Research):</t>
        </r>
        <r>
          <rPr>
            <sz val="9"/>
            <color indexed="81"/>
            <rFont val="Tahoma"/>
            <family val="2"/>
          </rPr>
          <t xml:space="preserve">
4Q:16 call back:  biggest drivers are Kayak and OpenTable</t>
        </r>
      </text>
    </comment>
    <comment ref="CB455" authorId="6">
      <text>
        <r>
          <rPr>
            <b/>
            <sz val="9"/>
            <color indexed="81"/>
            <rFont val="Tahoma"/>
            <family val="2"/>
          </rPr>
          <t>Costantini, Michael (Research):</t>
        </r>
        <r>
          <rPr>
            <sz val="9"/>
            <color indexed="81"/>
            <rFont val="Tahoma"/>
            <family val="2"/>
          </rPr>
          <t xml:space="preserve">
4Q:16 call back:  biggest drivers are Kayak and OpenTable</t>
        </r>
      </text>
    </comment>
    <comment ref="I458" authorId="0">
      <text>
        <r>
          <rPr>
            <b/>
            <sz val="8"/>
            <color indexed="81"/>
            <rFont val="Tahoma"/>
            <family val="2"/>
          </rPr>
          <t>Brian Nowak:
Currency heavily impacts this because of European-based employees</t>
        </r>
      </text>
    </comment>
    <comment ref="BG458" authorId="2">
      <text>
        <r>
          <rPr>
            <b/>
            <sz val="10"/>
            <color indexed="81"/>
            <rFont val="Tahoma"/>
            <family val="2"/>
          </rPr>
          <t>Brian Nowak:
guidance includes $13mn charge in in Q3 related to a purported one-time payroll tax that was imposed in the Netherlands in July. We do not expect the impact of this wage levy to be significant beyond Q3.</t>
        </r>
      </text>
    </comment>
    <comment ref="BK458" authorId="2">
      <text>
        <r>
          <rPr>
            <b/>
            <sz val="8"/>
            <color indexed="81"/>
            <rFont val="Tahoma"/>
            <family val="2"/>
          </rPr>
          <t>Brian Nowak:
lapping $13mn personnel charge</t>
        </r>
      </text>
    </comment>
    <comment ref="BL458" authorId="4">
      <text>
        <r>
          <rPr>
            <b/>
            <sz val="9"/>
            <color indexed="81"/>
            <rFont val="Tahoma"/>
            <family val="2"/>
          </rPr>
          <t>Brian Nowak:
3Q conf call:  $12mn expected Dutch personnel tax</t>
        </r>
      </text>
    </comment>
    <comment ref="BP458" authorId="4">
      <text>
        <r>
          <rPr>
            <b/>
            <sz val="9"/>
            <color indexed="81"/>
            <rFont val="Tahoma"/>
            <family val="2"/>
          </rPr>
          <t>Brian Nowak:
lapping $12mn expected Dutch personnel tax</t>
        </r>
      </text>
    </comment>
    <comment ref="I459" authorId="1">
      <text>
        <r>
          <rPr>
            <b/>
            <sz val="8"/>
            <color indexed="81"/>
            <rFont val="Tahoma"/>
            <family val="2"/>
          </rPr>
          <t>Brian Nowak:</t>
        </r>
        <r>
          <rPr>
            <sz val="8"/>
            <color indexed="81"/>
            <rFont val="Tahoma"/>
            <family val="2"/>
          </rPr>
          <t xml:space="preserve">
per 10Q…will most closely correlate with domestic merchant gross profit
But Agoda and Jigsaw becoming bigger contributors per MT</t>
        </r>
      </text>
    </comment>
    <comment ref="BC459" authorId="0">
      <text>
        <r>
          <rPr>
            <b/>
            <sz val="8"/>
            <color indexed="81"/>
            <rFont val="Tahoma"/>
            <family val="2"/>
          </rPr>
          <t>Brian Nowak:
worst of headcount issues over now delever, though will vary in 2H with variable call center employees</t>
        </r>
      </text>
    </comment>
    <comment ref="BE459" authorId="2">
      <text>
        <r>
          <rPr>
            <b/>
            <sz val="8"/>
            <color indexed="81"/>
            <rFont val="Tahoma"/>
            <family val="2"/>
          </rPr>
          <t>Brian Nowak:
increased growth to support international biz</t>
        </r>
      </text>
    </comment>
    <comment ref="BH459" authorId="2">
      <text>
        <r>
          <rPr>
            <b/>
            <sz val="10"/>
            <color indexed="81"/>
            <rFont val="Tahoma"/>
            <family val="2"/>
          </rPr>
          <t>Brian Nowak:
will continue to invest in personel (per 3Q:12 conf call)</t>
        </r>
      </text>
    </comment>
    <comment ref="BL462" authorId="4">
      <text>
        <r>
          <rPr>
            <b/>
            <sz val="9"/>
            <color indexed="81"/>
            <rFont val="Tahoma"/>
            <family val="2"/>
          </rPr>
          <t>Brian Nowak:
3Q conf call:  $12mn expected Dutch personnel tax</t>
        </r>
      </text>
    </comment>
    <comment ref="I466" authorId="0">
      <text>
        <r>
          <rPr>
            <b/>
            <sz val="8"/>
            <color indexed="81"/>
            <rFont val="Tahoma"/>
            <family val="2"/>
          </rPr>
          <t>Brian Nowak:
1) fees for outside professionals, including litigation expenses;
(2) occupancy expenses; and (3) personnel-related expenses such as recruiting, training and travel expenses.</t>
        </r>
      </text>
    </comment>
    <comment ref="BE466" authorId="2">
      <text>
        <r>
          <rPr>
            <b/>
            <sz val="8"/>
            <color indexed="81"/>
            <rFont val="Tahoma"/>
            <family val="2"/>
          </rPr>
          <t>Brian Nowak:
includes 3m charge for Booking.com relocation</t>
        </r>
      </text>
    </comment>
    <comment ref="BH466" authorId="3">
      <text>
        <r>
          <rPr>
            <b/>
            <sz val="10"/>
            <color indexed="81"/>
            <rFont val="Tahoma"/>
            <family val="2"/>
          </rPr>
          <t>Brian Nowak:
includes $3mn professional fees due to KYAK acquisition</t>
        </r>
      </text>
    </comment>
    <comment ref="BJ466" authorId="3">
      <text>
        <r>
          <rPr>
            <b/>
            <sz val="10"/>
            <color indexed="81"/>
            <rFont val="Tahoma"/>
            <family val="2"/>
          </rPr>
          <t>Brian Nowak:
includes $6.4mn in "deal costs" due to KYAK acquisition</t>
        </r>
      </text>
    </comment>
    <comment ref="BL466" authorId="3">
      <text>
        <r>
          <rPr>
            <b/>
            <sz val="10"/>
            <color indexed="81"/>
            <rFont val="Tahoma"/>
            <family val="2"/>
          </rPr>
          <t>Brian Nowak:
lapping $3mn in professional fees due to KYAK acquisition (4Q;12)</t>
        </r>
      </text>
    </comment>
    <comment ref="BN466" authorId="3">
      <text>
        <r>
          <rPr>
            <b/>
            <sz val="10"/>
            <color indexed="81"/>
            <rFont val="Tahoma"/>
            <family val="2"/>
          </rPr>
          <t>Brian Nowak:
2Q:14 conf call:  includes $5.6mn in deal costs related to OPEN
lapping $6.4mn in "deal costs" due to KYAK acquisition (2Q:13)</t>
        </r>
      </text>
    </comment>
    <comment ref="I467" authorId="1">
      <text>
        <r>
          <rPr>
            <b/>
            <sz val="8"/>
            <color indexed="81"/>
            <rFont val="Tahoma"/>
            <family val="2"/>
          </rPr>
          <t>Brian Nowak:</t>
        </r>
        <r>
          <rPr>
            <sz val="8"/>
            <color indexed="81"/>
            <rFont val="Tahoma"/>
            <family val="2"/>
          </rPr>
          <t xml:space="preserve">
per 10Q…will most closely correlate with domestic merchant gross profit
But Agoda and Jigsaw becoming bigger contributors per MT</t>
        </r>
      </text>
    </comment>
    <comment ref="BL469" authorId="4">
      <text>
        <r>
          <rPr>
            <b/>
            <sz val="9"/>
            <color indexed="81"/>
            <rFont val="Tahoma"/>
            <family val="2"/>
          </rPr>
          <t>Brian Nowak:
3Q conf call:  $12mn expected Dutch personnel tax</t>
        </r>
      </text>
    </comment>
    <comment ref="I473" authorId="1">
      <text>
        <r>
          <rPr>
            <b/>
            <sz val="8"/>
            <color indexed="81"/>
            <rFont val="Tahoma"/>
            <family val="2"/>
          </rPr>
          <t>Brian Nowak:</t>
        </r>
        <r>
          <rPr>
            <sz val="8"/>
            <color indexed="81"/>
            <rFont val="Tahoma"/>
            <family val="2"/>
          </rPr>
          <t xml:space="preserve">
per 10Q…will most closely correlate with domestic merchant gross profit
But Agoda and Jigsaw becoming bigger contributors per MT</t>
        </r>
      </text>
    </comment>
    <comment ref="BL475" authorId="4">
      <text>
        <r>
          <rPr>
            <b/>
            <sz val="9"/>
            <color indexed="81"/>
            <rFont val="Tahoma"/>
            <family val="2"/>
          </rPr>
          <t>Brian Nowak:
3Q conf call:  $12mn expected Dutch personnel tax</t>
        </r>
      </text>
    </comment>
    <comment ref="BL481" authorId="4">
      <text>
        <r>
          <rPr>
            <b/>
            <sz val="9"/>
            <color indexed="81"/>
            <rFont val="Tahoma"/>
            <family val="2"/>
          </rPr>
          <t>Brian Nowak:
3Q conf call:  $12mn expected Dutch personnel tax</t>
        </r>
      </text>
    </comment>
    <comment ref="BK490" authorId="5">
      <text>
        <r>
          <rPr>
            <b/>
            <sz val="9"/>
            <color indexed="81"/>
            <rFont val="Tahoma"/>
            <family val="2"/>
          </rPr>
          <t xml:space="preserve"> Brian Nowak:</t>
        </r>
        <r>
          <rPr>
            <sz val="9"/>
            <color indexed="81"/>
            <rFont val="Tahoma"/>
            <family val="2"/>
          </rPr>
          <t xml:space="preserve">
2Q:13 conf call, expect relatively stable yoy</t>
        </r>
      </text>
    </comment>
    <comment ref="BM490" authorId="5">
      <text>
        <r>
          <rPr>
            <b/>
            <sz val="9"/>
            <color indexed="81"/>
            <rFont val="Tahoma"/>
            <family val="2"/>
          </rPr>
          <t xml:space="preserve"> Brian Nowak:</t>
        </r>
        <r>
          <rPr>
            <sz val="9"/>
            <color indexed="81"/>
            <rFont val="Tahoma"/>
            <family val="2"/>
          </rPr>
          <t xml:space="preserve">
4Q:13 conf call expect some deleverage as they invest in headcount, office and IT expenses to get ready for peak travel season</t>
        </r>
      </text>
    </comment>
    <comment ref="BR490" authorId="6">
      <text>
        <r>
          <rPr>
            <b/>
            <sz val="9"/>
            <color indexed="81"/>
            <rFont val="Tahoma"/>
            <family val="2"/>
          </rPr>
          <t>Costantini, Michael (Research):</t>
        </r>
        <r>
          <rPr>
            <sz val="9"/>
            <color indexed="81"/>
            <rFont val="Tahoma"/>
            <family val="2"/>
          </rPr>
          <t xml:space="preserve">
1Q:15 conf call:  "we do expect pressure on operating margins from non-advertising OpEx to significantly diminish over the back half of the year, as we lap the OpenTable acquisition and the launch of our Booking Suite initiative"</t>
        </r>
      </text>
    </comment>
    <comment ref="BS490" authorId="6">
      <text>
        <r>
          <rPr>
            <b/>
            <sz val="9"/>
            <color indexed="81"/>
            <rFont val="Tahoma"/>
            <family val="2"/>
          </rPr>
          <t>Costantini, Michael (Research):</t>
        </r>
        <r>
          <rPr>
            <sz val="9"/>
            <color indexed="81"/>
            <rFont val="Tahoma"/>
            <family val="2"/>
          </rPr>
          <t xml:space="preserve">
1Q:15 conf call:  "we do expect pressure on operating margins from non-advertising OpEx to significantly diminish over the back half of the year, as we lap the OpenTable acquisition and the launch of our Booking Suite initiative"</t>
        </r>
      </text>
    </comment>
    <comment ref="BT490" authorId="6">
      <text>
        <r>
          <rPr>
            <b/>
            <sz val="9"/>
            <color indexed="81"/>
            <rFont val="Tahoma"/>
            <family val="2"/>
          </rPr>
          <t>Costantini, Michael (Research):</t>
        </r>
        <r>
          <rPr>
            <sz val="9"/>
            <color indexed="81"/>
            <rFont val="Tahoma"/>
            <family val="2"/>
          </rPr>
          <t xml:space="preserve">
1Q:15 conf call:  "we do expect pressure on operating margins from non-advertising OpEx to significantly diminish over the back half of the year, as we lap the OpenTable acquisition and the launch of our Booking Suite initiative"</t>
        </r>
      </text>
    </comment>
    <comment ref="BZ490" authorId="7">
      <text>
        <r>
          <rPr>
            <b/>
            <sz val="9"/>
            <color indexed="81"/>
            <rFont val="Tahoma"/>
            <family val="2"/>
          </rPr>
          <t>Nowak, Brian (Research):</t>
        </r>
        <r>
          <rPr>
            <sz val="9"/>
            <color indexed="81"/>
            <rFont val="Tahoma"/>
            <family val="2"/>
          </rPr>
          <t xml:space="preserve">
1Q:17 earnings, expect to rise in 2Q as they invest (customer service and supply acquisition called out in call back)
"modest" non ad deleverage in 2Q</t>
        </r>
      </text>
    </comment>
    <comment ref="CA490" authorId="7">
      <text>
        <r>
          <rPr>
            <b/>
            <sz val="9"/>
            <color indexed="81"/>
            <rFont val="Tahoma"/>
            <family val="2"/>
          </rPr>
          <t>Nowak, Brian (Research):</t>
        </r>
        <r>
          <rPr>
            <sz val="9"/>
            <color indexed="81"/>
            <rFont val="Tahoma"/>
            <family val="2"/>
          </rPr>
          <t xml:space="preserve">
2Q results more than half of 230bp of yoy pressure from non ad spend</t>
        </r>
      </text>
    </comment>
    <comment ref="CB490" authorId="7">
      <text>
        <r>
          <rPr>
            <b/>
            <sz val="9"/>
            <color indexed="81"/>
            <rFont val="Tahoma"/>
            <family val="2"/>
          </rPr>
          <t>Nowak, Brian (Research):</t>
        </r>
        <r>
          <rPr>
            <sz val="9"/>
            <color indexed="81"/>
            <rFont val="Tahoma"/>
            <family val="2"/>
          </rPr>
          <t xml:space="preserve">
2Q results expect similar yoy bp pressure in 4Q as in 3Q (which was more than half of 230bp)</t>
        </r>
      </text>
    </comment>
    <comment ref="BJ495" authorId="4">
      <text>
        <r>
          <rPr>
            <b/>
            <sz val="9"/>
            <color indexed="81"/>
            <rFont val="Tahoma"/>
            <family val="2"/>
          </rPr>
          <t xml:space="preserve">Brian Nowak:
includes Kayak </t>
        </r>
      </text>
    </comment>
    <comment ref="BK495" authorId="5">
      <text>
        <r>
          <rPr>
            <b/>
            <sz val="9"/>
            <color indexed="81"/>
            <rFont val="Tahoma"/>
            <family val="2"/>
          </rPr>
          <t xml:space="preserve"> Brian Nowak:</t>
        </r>
        <r>
          <rPr>
            <sz val="9"/>
            <color indexed="81"/>
            <rFont val="Tahoma"/>
            <family val="2"/>
          </rPr>
          <t xml:space="preserve">
down because of seasonal hiring and temps in the call centers</t>
        </r>
      </text>
    </comment>
    <comment ref="BM495" authorId="12">
      <text>
        <r>
          <rPr>
            <b/>
            <sz val="9"/>
            <color indexed="81"/>
            <rFont val="Tahoma"/>
            <family val="2"/>
          </rPr>
          <t>Brian Nowak:
per 10Q: approx. 10,200</t>
        </r>
      </text>
    </comment>
    <comment ref="CS495" authorId="3">
      <text>
        <r>
          <rPr>
            <b/>
            <sz val="10"/>
            <color indexed="81"/>
            <rFont val="Tahoma"/>
            <family val="2"/>
          </rPr>
          <t>Brian Nowak:
per 10K: 1,400 in U.S., 5,600 intl</t>
        </r>
      </text>
    </comment>
    <comment ref="CT495" authorId="3">
      <text>
        <r>
          <rPr>
            <b/>
            <sz val="10"/>
            <color indexed="81"/>
            <rFont val="Tahoma"/>
            <family val="2"/>
          </rPr>
          <t>Brian Nowak:
per 4Q:13 conf call:  1,000 Booking.com employees in the U.S.
per 10K: 1,800 in U.S., 7,700 intl</t>
        </r>
      </text>
    </comment>
    <comment ref="BQ497" authorId="6">
      <text>
        <r>
          <rPr>
            <b/>
            <sz val="9"/>
            <color indexed="81"/>
            <rFont val="Tahoma"/>
            <family val="2"/>
          </rPr>
          <t>Costantini, Michael (Research):</t>
        </r>
        <r>
          <rPr>
            <sz val="9"/>
            <color indexed="81"/>
            <rFont val="Tahoma"/>
            <family val="2"/>
          </rPr>
          <t xml:space="preserve">
per press release 3/31/15</t>
        </r>
      </text>
    </comment>
    <comment ref="CA526" authorId="6">
      <text>
        <r>
          <rPr>
            <b/>
            <sz val="9"/>
            <color indexed="81"/>
            <rFont val="Tahoma"/>
            <family val="2"/>
          </rPr>
          <t>Costantini, Michael (Research):</t>
        </r>
        <r>
          <rPr>
            <sz val="9"/>
            <color indexed="81"/>
            <rFont val="Tahoma"/>
            <family val="2"/>
          </rPr>
          <t xml:space="preserve">
4Q:16 earnings call back:  new HQ capex will be more back half weighted</t>
        </r>
      </text>
    </comment>
    <comment ref="CX526" authorId="6">
      <text>
        <r>
          <rPr>
            <b/>
            <sz val="9"/>
            <color indexed="81"/>
            <rFont val="Tahoma"/>
            <family val="2"/>
          </rPr>
          <t>Costantini, Michael (Research):</t>
        </r>
        <r>
          <rPr>
            <sz val="9"/>
            <color indexed="81"/>
            <rFont val="Tahoma"/>
            <family val="2"/>
          </rPr>
          <t xml:space="preserve">
expect to spend $40mn in 2017</t>
        </r>
      </text>
    </comment>
    <comment ref="DA527" authorId="6">
      <text>
        <r>
          <rPr>
            <b/>
            <sz val="9"/>
            <color indexed="81"/>
            <rFont val="Tahoma"/>
            <family val="2"/>
          </rPr>
          <t>Costantini, Michael (Research):</t>
        </r>
        <r>
          <rPr>
            <sz val="9"/>
            <color indexed="81"/>
            <rFont val="Tahoma"/>
            <family val="2"/>
          </rPr>
          <t xml:space="preserve">
Total cost of 270mn EUR, expected to be completed by 2020</t>
        </r>
      </text>
    </comment>
    <comment ref="I609" authorId="0">
      <text>
        <r>
          <rPr>
            <b/>
            <sz val="8"/>
            <color indexed="81"/>
            <rFont val="Tahoma"/>
            <family val="2"/>
          </rPr>
          <t>Brian Nowak:
includes merchant price-disclosed hotel sevice (after person books, but before they check out and PCLN can regognize the revenue)</t>
        </r>
      </text>
    </comment>
    <comment ref="BQ611" authorId="6">
      <text>
        <r>
          <rPr>
            <b/>
            <sz val="9"/>
            <color indexed="81"/>
            <rFont val="Tahoma"/>
            <family val="2"/>
          </rPr>
          <t>Costantini, Michael (Research):</t>
        </r>
        <r>
          <rPr>
            <sz val="9"/>
            <color indexed="81"/>
            <rFont val="Tahoma"/>
            <family val="2"/>
          </rPr>
          <t xml:space="preserve">
1.25% Convertible Senior Notes expire March 2015</t>
        </r>
      </text>
    </comment>
    <comment ref="CB615" authorId="13">
      <text>
        <r>
          <rPr>
            <b/>
            <sz val="9"/>
            <color indexed="81"/>
            <rFont val="Tahoma"/>
            <family val="2"/>
          </rPr>
          <t>Cost, Matthew A (Research):</t>
        </r>
        <r>
          <rPr>
            <sz val="9"/>
            <color indexed="81"/>
            <rFont val="Tahoma"/>
            <family val="2"/>
          </rPr>
          <t xml:space="preserve">
includs long term tax liabiliy</t>
        </r>
      </text>
    </comment>
    <comment ref="BU657" authorId="6">
      <text>
        <r>
          <rPr>
            <b/>
            <sz val="9"/>
            <color indexed="81"/>
            <rFont val="Tahoma"/>
            <family val="2"/>
          </rPr>
          <t>Costantini, Michael (Research):</t>
        </r>
        <r>
          <rPr>
            <sz val="9"/>
            <color indexed="81"/>
            <rFont val="Tahoma"/>
            <family val="2"/>
          </rPr>
          <t xml:space="preserve">
investment in Hotel Urbano (Brazil)</t>
        </r>
      </text>
    </comment>
    <comment ref="BV657" authorId="6">
      <text>
        <r>
          <rPr>
            <b/>
            <sz val="9"/>
            <color indexed="81"/>
            <rFont val="Tahoma"/>
            <family val="2"/>
          </rPr>
          <t>Costantini, Michael (Research):</t>
        </r>
        <r>
          <rPr>
            <sz val="9"/>
            <color indexed="81"/>
            <rFont val="Tahoma"/>
            <family val="2"/>
          </rPr>
          <t xml:space="preserve">
investment in Hotel Urbano (Brazil)</t>
        </r>
      </text>
    </comment>
    <comment ref="CX663" authorId="13">
      <text>
        <r>
          <rPr>
            <b/>
            <sz val="9"/>
            <color indexed="81"/>
            <rFont val="Tahoma"/>
            <family val="2"/>
          </rPr>
          <t>Cost, Matthew A (Research):</t>
        </r>
        <r>
          <rPr>
            <sz val="9"/>
            <color indexed="81"/>
            <rFont val="Tahoma"/>
            <family val="2"/>
          </rPr>
          <t xml:space="preserve">
long term transition tax liability</t>
        </r>
      </text>
    </comment>
    <comment ref="BO669" authorId="4">
      <text>
        <r>
          <rPr>
            <b/>
            <sz val="9"/>
            <color indexed="81"/>
            <rFont val="Tahoma"/>
            <family val="2"/>
          </rPr>
          <t xml:space="preserve">Brian Nowak:
</t>
        </r>
        <r>
          <rPr>
            <sz val="9"/>
            <color indexed="81"/>
            <rFont val="Tahoma"/>
            <family val="2"/>
          </rPr>
          <t>purchase of OpenTable (~$2.5bn net cash)…expected to close 3Q:14
closed 7/26/14</t>
        </r>
      </text>
    </comment>
    <comment ref="CA673" authorId="8">
      <text>
        <r>
          <rPr>
            <b/>
            <sz val="9"/>
            <color indexed="81"/>
            <rFont val="Tahoma"/>
            <family val="2"/>
          </rPr>
          <t>Wang, Alaxandar (Research):</t>
        </r>
        <r>
          <rPr>
            <sz val="9"/>
            <color indexed="81"/>
            <rFont val="Tahoma"/>
            <family val="2"/>
          </rPr>
          <t xml:space="preserve">
momondo</t>
        </r>
      </text>
    </comment>
    <comment ref="I674" authorId="0">
      <text>
        <r>
          <rPr>
            <b/>
            <sz val="8"/>
            <color indexed="81"/>
            <rFont val="Tahoma"/>
            <family val="2"/>
          </rPr>
          <t>Brian Nowak:
pricelinemortgage.com</t>
        </r>
      </text>
    </comment>
    <comment ref="BC675" authorId="3">
      <text>
        <r>
          <rPr>
            <b/>
            <sz val="8"/>
            <color indexed="81"/>
            <rFont val="Tahoma"/>
            <family val="2"/>
          </rPr>
          <t xml:space="preserve">Brian Nowak:
+$5.205mn: Proceeds from settlement of foreign currency contracts
-$42.032mn: Payments on foreign currency contracts
</t>
        </r>
      </text>
    </comment>
    <comment ref="BD675" authorId="3">
      <text>
        <r>
          <rPr>
            <b/>
            <sz val="8"/>
            <color indexed="81"/>
            <rFont val="Tahoma"/>
            <family val="2"/>
          </rPr>
          <t xml:space="preserve">Brian Nowak:
+$5.205mn: Proceeds from settlement of foreign currency contracts
-$42.032mn: Payments on foreign currency contracts
</t>
        </r>
      </text>
    </comment>
    <comment ref="BG675" authorId="3">
      <text>
        <r>
          <rPr>
            <b/>
            <sz val="10"/>
            <color indexed="81"/>
            <rFont val="Tahoma"/>
            <family val="2"/>
          </rPr>
          <t>Brian Nowak:
+$78.828mn: Proceeds from settlement of foreign currency contracts
-$2.222mn: Payments on foreign currency contracts</t>
        </r>
      </text>
    </comment>
    <comment ref="BH675" authorId="3">
      <text>
        <r>
          <rPr>
            <b/>
            <sz val="10"/>
            <color indexed="81"/>
            <rFont val="Tahoma"/>
            <family val="2"/>
          </rPr>
          <t>Brian Nowak:
+$86.159mn: Proceeds from settlement of foreign currency contracts
-$4.014mn: Payments on foreign currency contracts</t>
        </r>
      </text>
    </comment>
    <comment ref="BI675" authorId="3">
      <text>
        <r>
          <rPr>
            <b/>
            <sz val="10"/>
            <color indexed="81"/>
            <rFont val="Tahoma"/>
            <family val="2"/>
          </rPr>
          <t>Brian Nowak:
$0: Proceeds from settlement of foreign currency contracts
-$17.539mn: Payments on foreign currency contracts</t>
        </r>
      </text>
    </comment>
    <comment ref="BL675" authorId="3">
      <text>
        <r>
          <rPr>
            <b/>
            <sz val="10"/>
            <color indexed="81"/>
            <rFont val="Tahoma"/>
            <family val="2"/>
          </rPr>
          <t>Brian Nowak:
+$3.266mn: Proceeds from foreign currency contracts
-$81.870mn: Payments on foreign currency contracts</t>
        </r>
      </text>
    </comment>
    <comment ref="CR675" authorId="3">
      <text>
        <r>
          <rPr>
            <b/>
            <sz val="8"/>
            <color indexed="81"/>
            <rFont val="Tahoma"/>
            <family val="2"/>
          </rPr>
          <t xml:space="preserve">Brian Nowak:
+$5.205mn: Proceeds from settlement of foreign currency contracts
-$42.032mn: Payments on foreign currency contracts
</t>
        </r>
      </text>
    </comment>
    <comment ref="BO680" authorId="6">
      <text>
        <r>
          <rPr>
            <b/>
            <sz val="9"/>
            <color indexed="81"/>
            <rFont val="Tahoma"/>
            <family val="2"/>
          </rPr>
          <t>Costantini, Michael (Research):</t>
        </r>
        <r>
          <rPr>
            <sz val="9"/>
            <color indexed="81"/>
            <rFont val="Tahoma"/>
            <family val="2"/>
          </rPr>
          <t xml:space="preserve">
acquired OpenTable on July 24, 2014. Funded the acquisition from cash on hand in the United States and $995 million borrowed under revolving credit facility, which was repaid during the third quarter of 2014.</t>
        </r>
      </text>
    </comment>
    <comment ref="BO681" authorId="6">
      <text>
        <r>
          <rPr>
            <b/>
            <sz val="9"/>
            <color indexed="81"/>
            <rFont val="Tahoma"/>
            <family val="2"/>
          </rPr>
          <t>Costantini, Michael (Research):</t>
        </r>
        <r>
          <rPr>
            <sz val="9"/>
            <color indexed="81"/>
            <rFont val="Tahoma"/>
            <family val="2"/>
          </rPr>
          <t xml:space="preserve">
acquired OpenTable on July 24, 2014. Funded the acquisition from cash on hand in the United States and $995 million borrowed under revolving credit facility, which was repaid during the third quarter of 2014.</t>
        </r>
      </text>
    </comment>
    <comment ref="BJ682" authorId="4">
      <text>
        <r>
          <rPr>
            <b/>
            <sz val="9"/>
            <color indexed="81"/>
            <rFont val="Tahoma"/>
            <family val="2"/>
          </rPr>
          <t>Brian Nowak:
announced $1bn issance of convert debt on 5/29/2013</t>
        </r>
      </text>
    </comment>
    <comment ref="BL682" authorId="4">
      <text>
        <r>
          <rPr>
            <b/>
            <sz val="9"/>
            <color indexed="81"/>
            <rFont val="Tahoma"/>
            <family val="2"/>
          </rPr>
          <t>Brian Nowak:
per 3Q:13 conf call:  "Over the last several weeks, we've received early conversion notices for about $390 million principal amount of our 2015 convertible notes, which we will settle in Q4 by issuing cash for the principal amount and shares of common stock for the conversion premium."</t>
        </r>
      </text>
    </comment>
    <comment ref="BO682" authorId="4">
      <text>
        <r>
          <rPr>
            <b/>
            <sz val="9"/>
            <color indexed="81"/>
            <rFont val="Tahoma"/>
            <family val="2"/>
          </rPr>
          <t>Brian Nowak:
1)  Sept 2024 notes:  "We expect to receive net proceeds of approximately EUR985.9 million from the sale of the notes to the underwriters, after deducting the underwriters' discount and commission and other offering expenses payable by us."
2) Sept 2021 notes:  "The Company’s net proceeds from the sale of the Notes are estimated to be approximately $990 million after deducting estimated offering expenses."</t>
        </r>
      </text>
    </comment>
    <comment ref="BQ682" authorId="6">
      <text>
        <r>
          <rPr>
            <b/>
            <sz val="9"/>
            <color indexed="81"/>
            <rFont val="Tahoma"/>
            <family val="2"/>
          </rPr>
          <t>Costantini, Michael (Research):</t>
        </r>
        <r>
          <rPr>
            <sz val="9"/>
            <color indexed="81"/>
            <rFont val="Tahoma"/>
            <family val="2"/>
          </rPr>
          <t xml:space="preserve">
1)  March 2025 Notes:  $500mn USD notes issued 3/12/15.  Expected proceeds $495.5mn
2)  March 2027 Notes: 1.0bn EUR notes issued 2/26/15.  Expected proceeds:  994mn EUR.  Converted to USD at $1.1342 per prospectus ("As of February 24, 2015, the euro/U.S. $ exchange rate was EUR 1.00 = U.S. $1.1343, as reported by Bloomberg L.P.")</t>
        </r>
      </text>
    </comment>
    <comment ref="BY682" authorId="8">
      <text>
        <r>
          <rPr>
            <b/>
            <sz val="9"/>
            <color indexed="81"/>
            <rFont val="Tahoma"/>
            <family val="2"/>
          </rPr>
          <t>Wang, Alaxandar (Research):</t>
        </r>
        <r>
          <rPr>
            <sz val="9"/>
            <color indexed="81"/>
            <rFont val="Tahoma"/>
            <family val="2"/>
          </rPr>
          <t xml:space="preserve">
In March 2017, the Company issued Senior Notes due March 10, 2022, with an interest rate of 0.8% (the "March 2022 Notes") for an aggregate principal amount of 1.0 billion Euros. The March 2022 Notes were issued with an initial discount of 2.1 million Euros. In addition, the Company paid $4.0 million in debt issuance costs during the three months ended March 31, 2017. Interest on the March 2022 Notes is payable annually on March 10, beginning March 10, 2018. Subject to certain limited exceptions, all payments of interest and principal for the March 2022 Notes will be made in Euros. 
</t>
        </r>
      </text>
    </comment>
    <comment ref="CC682" authorId="6">
      <text>
        <r>
          <rPr>
            <b/>
            <sz val="9"/>
            <color indexed="81"/>
            <rFont val="Tahoma"/>
            <family val="2"/>
          </rPr>
          <t>Costantini, Michael (Research):</t>
        </r>
        <r>
          <rPr>
            <sz val="9"/>
            <color indexed="81"/>
            <rFont val="Tahoma"/>
            <family val="2"/>
          </rPr>
          <t xml:space="preserve">
$1bn of 1.0% Convertible Senior Notes due March 2018</t>
        </r>
      </text>
    </comment>
    <comment ref="CY682" authorId="6">
      <text>
        <r>
          <rPr>
            <b/>
            <sz val="9"/>
            <color indexed="81"/>
            <rFont val="Tahoma"/>
            <family val="2"/>
          </rPr>
          <t>Costantini, Michael (Research):</t>
        </r>
        <r>
          <rPr>
            <sz val="9"/>
            <color indexed="81"/>
            <rFont val="Tahoma"/>
            <family val="2"/>
          </rPr>
          <t xml:space="preserve">
$1bn of 1.0% Convertible Senior Notes due March 2018</t>
        </r>
      </text>
    </comment>
    <comment ref="DA682" authorId="6">
      <text>
        <r>
          <rPr>
            <b/>
            <sz val="9"/>
            <color indexed="81"/>
            <rFont val="Tahoma"/>
            <family val="2"/>
          </rPr>
          <t>Costantini, Michael (Research):</t>
        </r>
        <r>
          <rPr>
            <sz val="9"/>
            <color indexed="81"/>
            <rFont val="Tahoma"/>
            <family val="2"/>
          </rPr>
          <t xml:space="preserve">
$1bn of 0.35% Convertible Senior Notes due June 2020</t>
        </r>
      </text>
    </comment>
    <comment ref="DB682" authorId="6">
      <text>
        <r>
          <rPr>
            <b/>
            <sz val="9"/>
            <color indexed="81"/>
            <rFont val="Tahoma"/>
            <family val="2"/>
          </rPr>
          <t>Costantini, Michael (Research):</t>
        </r>
        <r>
          <rPr>
            <sz val="9"/>
            <color indexed="81"/>
            <rFont val="Tahoma"/>
            <family val="2"/>
          </rPr>
          <t xml:space="preserve">
$1bn of 0.9% Convertible Senior Notes due September 2021</t>
        </r>
      </text>
    </comment>
    <comment ref="DC682" authorId="6">
      <text>
        <r>
          <rPr>
            <b/>
            <sz val="9"/>
            <color indexed="81"/>
            <rFont val="Tahoma"/>
            <family val="2"/>
          </rPr>
          <t>Costantini, Michael (Research):</t>
        </r>
        <r>
          <rPr>
            <sz val="9"/>
            <color indexed="81"/>
            <rFont val="Tahoma"/>
            <family val="2"/>
          </rPr>
          <t xml:space="preserve">
$833.611mn (per 2Q:16 10-Q) of 2.15% (750mn Euro) Senior Notes due November 2022</t>
        </r>
      </text>
    </comment>
    <comment ref="DE682" authorId="6">
      <text>
        <r>
          <rPr>
            <b/>
            <sz val="9"/>
            <color indexed="81"/>
            <rFont val="Tahoma"/>
            <family val="2"/>
          </rPr>
          <t>Costantini, Michael (Research):</t>
        </r>
        <r>
          <rPr>
            <sz val="9"/>
            <color indexed="81"/>
            <rFont val="Tahoma"/>
            <family val="2"/>
          </rPr>
          <t xml:space="preserve">
$1,111.482mn (per 2Q:16 10-Q) of 2.375% (1bn Euro) Senior Notes due September 2024</t>
        </r>
      </text>
    </comment>
    <comment ref="DF682" authorId="6">
      <text>
        <r>
          <rPr>
            <b/>
            <sz val="9"/>
            <color indexed="81"/>
            <rFont val="Tahoma"/>
            <family val="2"/>
          </rPr>
          <t>Costantini, Michael (Research):</t>
        </r>
        <r>
          <rPr>
            <sz val="9"/>
            <color indexed="81"/>
            <rFont val="Tahoma"/>
            <family val="2"/>
          </rPr>
          <t xml:space="preserve">
$500mn of 3.65% Senior Notes due March 2025</t>
        </r>
      </text>
    </comment>
    <comment ref="BM684" authorId="4">
      <text>
        <r>
          <rPr>
            <b/>
            <sz val="9"/>
            <color indexed="81"/>
            <rFont val="Tahoma"/>
            <family val="2"/>
          </rPr>
          <t xml:space="preserve">Brian Nowak:
per 1Q:14 10-Q (pg 37):  
"For the three months ended March 31, 2014, the Company paid $58.4 million to satisfy the aggregate principal amount due and issued 142,896 shares of its common stock in satisfaction of the conversion value in excess of the principal amount for debt converted prior to maturity."
</t>
        </r>
      </text>
    </comment>
    <comment ref="BN684" authorId="4">
      <text>
        <r>
          <rPr>
            <b/>
            <sz val="9"/>
            <color indexed="81"/>
            <rFont val="Tahoma"/>
            <family val="2"/>
          </rPr>
          <t xml:space="preserve">Brian Nowak:
per 1Q:14 10-Q (pg 37):  
"As of May 1, 2014, the Company had received early conversion notices that will be settled in the second quarter of 2014 for an aggregate principal amount of approximately $59 million and will issue shares of its common stock to satisfy the conversion value in excess of the principal amount associated with the 1.25% Convertible Senior Notes due March 2015."
</t>
        </r>
      </text>
    </comment>
    <comment ref="BJ685" authorId="5">
      <text>
        <r>
          <rPr>
            <b/>
            <sz val="9"/>
            <color indexed="81"/>
            <rFont val="Tahoma"/>
            <family val="2"/>
          </rPr>
          <t xml:space="preserve"> Brian Nowak:</t>
        </r>
        <r>
          <rPr>
            <sz val="9"/>
            <color indexed="81"/>
            <rFont val="Tahoma"/>
            <family val="2"/>
          </rPr>
          <t xml:space="preserve">
buybacks from convert</t>
        </r>
      </text>
    </comment>
    <comment ref="BB689" authorId="3">
      <text>
        <r>
          <rPr>
            <b/>
            <sz val="8"/>
            <color indexed="81"/>
            <rFont val="Tahoma"/>
            <family val="2"/>
          </rPr>
          <t xml:space="preserve">Brian Nowak:
Payments to purchase subsidiary shares from noncontrolling interests </t>
        </r>
      </text>
    </comment>
    <comment ref="BF689" authorId="3">
      <text>
        <r>
          <rPr>
            <b/>
            <sz val="10"/>
            <color indexed="81"/>
            <rFont val="Tahoma"/>
            <family val="2"/>
          </rPr>
          <t>Brian Nowak:
payments to purchase subsidiary shares from noncontrolling interests (in rentalcars.com per 2Q conf call)</t>
        </r>
      </text>
    </comment>
    <comment ref="BL689" authorId="3">
      <text>
        <r>
          <rPr>
            <b/>
            <sz val="10"/>
            <color indexed="81"/>
            <rFont val="Tahoma"/>
            <family val="2"/>
          </rPr>
          <t>Brian Nowak:
-$192.530mn: Payments to purchase subsidiary shares from noncontrolling interests
+$0.019mn: Proceeds from the termination of conversion spread hedges</t>
        </r>
      </text>
    </comment>
    <comment ref="BS689" authorId="6">
      <text>
        <r>
          <rPr>
            <b/>
            <sz val="9"/>
            <color indexed="81"/>
            <rFont val="Tahoma"/>
            <family val="2"/>
          </rPr>
          <t>Costantini, Michael (Research):</t>
        </r>
        <r>
          <rPr>
            <sz val="9"/>
            <color indexed="81"/>
            <rFont val="Tahoma"/>
            <family val="2"/>
          </rPr>
          <t xml:space="preserve">
Payments of contingent consideration</t>
        </r>
      </text>
    </comment>
    <comment ref="BM711" authorId="4">
      <text>
        <r>
          <rPr>
            <b/>
            <sz val="9"/>
            <color indexed="81"/>
            <rFont val="Tahoma"/>
            <family val="2"/>
          </rPr>
          <t xml:space="preserve">Brian Nowak:
per 1Q:14 10-Q (pg 37):  
Intl cash "denominated primarily in Euros and, to a lesser extent, in British Pounds Sterling and other currencies. "
"We currently intend to permanently reinvest these funds in our international operations." </t>
        </r>
      </text>
    </comment>
    <comment ref="BO711" authorId="4">
      <text>
        <r>
          <rPr>
            <b/>
            <sz val="9"/>
            <color indexed="81"/>
            <rFont val="Tahoma"/>
            <family val="2"/>
          </rPr>
          <t>Brian Nowak:
includes long term investments per 3Q:14 10-Q</t>
        </r>
      </text>
    </comment>
    <comment ref="BQ711" authorId="6">
      <text>
        <r>
          <rPr>
            <b/>
            <sz val="9"/>
            <color indexed="81"/>
            <rFont val="Tahoma"/>
            <family val="2"/>
          </rPr>
          <t>Costantini, Michael (Research):</t>
        </r>
        <r>
          <rPr>
            <sz val="9"/>
            <color indexed="81"/>
            <rFont val="Tahoma"/>
            <family val="2"/>
          </rPr>
          <t xml:space="preserve">
$7.1bn per 10-Q</t>
        </r>
      </text>
    </comment>
    <comment ref="BR711" authorId="6">
      <text>
        <r>
          <rPr>
            <b/>
            <sz val="9"/>
            <color indexed="81"/>
            <rFont val="Tahoma"/>
            <family val="2"/>
          </rPr>
          <t>Costantini, Michael (Research):</t>
        </r>
        <r>
          <rPr>
            <sz val="9"/>
            <color indexed="81"/>
            <rFont val="Tahoma"/>
            <family val="2"/>
          </rPr>
          <t xml:space="preserve">
$7.7bn per 10-Q</t>
        </r>
      </text>
    </comment>
    <comment ref="BS711" authorId="6">
      <text>
        <r>
          <rPr>
            <b/>
            <sz val="9"/>
            <color indexed="81"/>
            <rFont val="Tahoma"/>
            <family val="2"/>
          </rPr>
          <t>Costantini, Michael (Research):</t>
        </r>
        <r>
          <rPr>
            <sz val="9"/>
            <color indexed="81"/>
            <rFont val="Tahoma"/>
            <family val="2"/>
          </rPr>
          <t xml:space="preserve">
$8.7bn per 10-Q</t>
        </r>
      </text>
    </comment>
    <comment ref="BU711" authorId="6">
      <text>
        <r>
          <rPr>
            <b/>
            <sz val="9"/>
            <color indexed="81"/>
            <rFont val="Tahoma"/>
            <family val="2"/>
          </rPr>
          <t>Costantini, Michael (Research):</t>
        </r>
        <r>
          <rPr>
            <sz val="9"/>
            <color indexed="81"/>
            <rFont val="Tahoma"/>
            <family val="2"/>
          </rPr>
          <t xml:space="preserve">
$10.3bn per 10-Q</t>
        </r>
      </text>
    </comment>
    <comment ref="BV711" authorId="6">
      <text>
        <r>
          <rPr>
            <b/>
            <sz val="9"/>
            <color indexed="81"/>
            <rFont val="Tahoma"/>
            <family val="2"/>
          </rPr>
          <t>Costantini, Michael (Research):</t>
        </r>
        <r>
          <rPr>
            <sz val="9"/>
            <color indexed="81"/>
            <rFont val="Tahoma"/>
            <family val="2"/>
          </rPr>
          <t xml:space="preserve">
$10.7bn per 10-Q</t>
        </r>
      </text>
    </comment>
    <comment ref="BW711" authorId="6">
      <text>
        <r>
          <rPr>
            <b/>
            <sz val="9"/>
            <color indexed="81"/>
            <rFont val="Tahoma"/>
            <family val="2"/>
          </rPr>
          <t>Costantini, Michael (Research):</t>
        </r>
        <r>
          <rPr>
            <sz val="9"/>
            <color indexed="81"/>
            <rFont val="Tahoma"/>
            <family val="2"/>
          </rPr>
          <t xml:space="preserve">
$12.2bn per 10-Q</t>
        </r>
      </text>
    </comment>
    <comment ref="BX711" authorId="8">
      <text>
        <r>
          <rPr>
            <b/>
            <sz val="9"/>
            <color indexed="81"/>
            <rFont val="Tahoma"/>
            <family val="2"/>
          </rPr>
          <t>Wang, Alaxandar (Research):</t>
        </r>
        <r>
          <rPr>
            <sz val="9"/>
            <color indexed="81"/>
            <rFont val="Tahoma"/>
            <family val="2"/>
          </rPr>
          <t xml:space="preserve">
2017 10-K: As of December 31, 2016, we held approximately $12.6 billion of cash, cash equivalents, short-term investments and long-term investments outside of the United States. </t>
        </r>
      </text>
    </comment>
    <comment ref="BY711" authorId="8">
      <text>
        <r>
          <rPr>
            <b/>
            <sz val="9"/>
            <color indexed="81"/>
            <rFont val="Tahoma"/>
            <family val="2"/>
          </rPr>
          <t>Wang, Alaxandar (Research):</t>
        </r>
        <r>
          <rPr>
            <sz val="9"/>
            <color indexed="81"/>
            <rFont val="Tahoma"/>
            <family val="2"/>
          </rPr>
          <t xml:space="preserve">
1Q:17 10-Q: As of March 31, 2017, we had $15.5 billion in cash, cash equivalents, short-term investments and long-term investments. Approximately $13.3 billion is held by our international subsidiaries and is denominated primarily in U.S. Dollars and Euros and, to a lesser extent, British Pounds Sterling and other currencies. Cash equivalents, short-term investments and long-term investments are comprised of U.S. and international corporate bonds, U.S. and international government securities, high-grade commercial paper, U.S. government agency securities, convertible debt securities and American Depositary Shares ("ADSs") of Ctrip, money market funds and time deposits (see Note 5 to the Unaudited Consolidated Financial Statements). </t>
        </r>
      </text>
    </comment>
    <comment ref="BZ711" authorId="8">
      <text>
        <r>
          <rPr>
            <b/>
            <sz val="9"/>
            <color indexed="81"/>
            <rFont val="Tahoma"/>
            <family val="2"/>
          </rPr>
          <t>Wang, Alaxandar (Research):</t>
        </r>
        <r>
          <rPr>
            <sz val="9"/>
            <color indexed="81"/>
            <rFont val="Tahoma"/>
            <family val="2"/>
          </rPr>
          <t xml:space="preserve">
2Q 10Q: 
As of June 30, 2017, we had $16.6 billion in cash, cash equivalents, short-term investments and long-term investments. Approximately $14.7 billion is held by our international subsidiaries and is denominated primarily in U.S. Dollars and Euros and, to a lesser extent, British Pounds Sterling and other currencies. Cash equivalents, short-term investments and long-term investments are comprised of U.S. and international corporate bonds, U.S. and international government securities, high-grade commercial paper, U.S. government agency securities, convertible debt securities and American Depositary Shares ("ADSs") of Ctrip, and money market funds (see Note 5 to the Unaudited Consolidated Financial Statements). </t>
        </r>
      </text>
    </comment>
    <comment ref="BO712" authorId="4">
      <text>
        <r>
          <rPr>
            <b/>
            <sz val="9"/>
            <color indexed="81"/>
            <rFont val="Tahoma"/>
            <family val="2"/>
          </rPr>
          <t>Brian Nowak:
includes long term investments per 3Q:14 10-Q</t>
        </r>
      </text>
    </comment>
    <comment ref="BP712" authorId="4">
      <text>
        <r>
          <rPr>
            <b/>
            <sz val="9"/>
            <color indexed="81"/>
            <rFont val="Tahoma"/>
            <family val="2"/>
          </rPr>
          <t>Brian Nowak:
approx $8bn...includes long term investments per 2014 10-K</t>
        </r>
      </text>
    </comment>
    <comment ref="BQ712" authorId="6">
      <text>
        <r>
          <rPr>
            <b/>
            <sz val="9"/>
            <color indexed="81"/>
            <rFont val="Tahoma"/>
            <family val="2"/>
          </rPr>
          <t>Costantini, Michael (Research):</t>
        </r>
        <r>
          <rPr>
            <sz val="9"/>
            <color indexed="81"/>
            <rFont val="Tahoma"/>
            <family val="2"/>
          </rPr>
          <t xml:space="preserve">
$9.6bn per 10-Q</t>
        </r>
      </text>
    </comment>
    <comment ref="BR712" authorId="6">
      <text>
        <r>
          <rPr>
            <b/>
            <sz val="9"/>
            <color indexed="81"/>
            <rFont val="Tahoma"/>
            <family val="2"/>
          </rPr>
          <t>Costantini, Michael (Research):</t>
        </r>
        <r>
          <rPr>
            <sz val="9"/>
            <color indexed="81"/>
            <rFont val="Tahoma"/>
            <family val="2"/>
          </rPr>
          <t xml:space="preserve">
$9.6bn per 10-Q</t>
        </r>
      </text>
    </comment>
    <comment ref="BS712" authorId="6">
      <text>
        <r>
          <rPr>
            <b/>
            <sz val="9"/>
            <color indexed="81"/>
            <rFont val="Tahoma"/>
            <family val="2"/>
          </rPr>
          <t>Costantini, Michael (Research):</t>
        </r>
        <r>
          <rPr>
            <sz val="9"/>
            <color indexed="81"/>
            <rFont val="Tahoma"/>
            <family val="2"/>
          </rPr>
          <t xml:space="preserve">
$9.4bn per 10-Q</t>
        </r>
      </text>
    </comment>
    <comment ref="BT712" authorId="4">
      <text>
        <r>
          <rPr>
            <b/>
            <sz val="9"/>
            <color indexed="81"/>
            <rFont val="Tahoma"/>
            <family val="2"/>
          </rPr>
          <t>Brian Nowak:
approx $8bn...includes long term investments per 2014 10-K</t>
        </r>
      </text>
    </comment>
    <comment ref="BU712" authorId="6">
      <text>
        <r>
          <rPr>
            <b/>
            <sz val="9"/>
            <color indexed="81"/>
            <rFont val="Tahoma"/>
            <family val="2"/>
          </rPr>
          <t>Costantini, Michael (Research):</t>
        </r>
        <r>
          <rPr>
            <sz val="9"/>
            <color indexed="81"/>
            <rFont val="Tahoma"/>
            <family val="2"/>
          </rPr>
          <t xml:space="preserve">
$11bn per 10-Q</t>
        </r>
      </text>
    </comment>
    <comment ref="BV712" authorId="6">
      <text>
        <r>
          <rPr>
            <b/>
            <sz val="9"/>
            <color indexed="81"/>
            <rFont val="Tahoma"/>
            <family val="2"/>
          </rPr>
          <t>Costantini, Michael (Research):</t>
        </r>
        <r>
          <rPr>
            <sz val="9"/>
            <color indexed="81"/>
            <rFont val="Tahoma"/>
            <family val="2"/>
          </rPr>
          <t xml:space="preserve">
$12.3bn per 10-Q</t>
        </r>
      </text>
    </comment>
    <comment ref="BW712" authorId="6">
      <text>
        <r>
          <rPr>
            <b/>
            <sz val="9"/>
            <color indexed="81"/>
            <rFont val="Tahoma"/>
            <family val="2"/>
          </rPr>
          <t>Costantini, Michael (Research):</t>
        </r>
        <r>
          <rPr>
            <sz val="9"/>
            <color indexed="81"/>
            <rFont val="Tahoma"/>
            <family val="2"/>
          </rPr>
          <t xml:space="preserve">
$13.7bn per 10-Q</t>
        </r>
      </text>
    </comment>
    <comment ref="I735" authorId="6">
      <text>
        <r>
          <rPr>
            <b/>
            <sz val="9"/>
            <color indexed="81"/>
            <rFont val="Tahoma"/>
            <family val="2"/>
          </rPr>
          <t>Costantini, Michael (Research):</t>
        </r>
        <r>
          <rPr>
            <sz val="9"/>
            <color indexed="81"/>
            <rFont val="Tahoma"/>
            <family val="2"/>
          </rPr>
          <t xml:space="preserve">
The Company's international information consists of the results of Booking.com, agoda.com and rentalcars.com and the results of the internationally-based websites of KAYAK since May 21, 2013 and OpenTable since July 24, 2014 (in each case regardless of where the consumer resides, where the consumer is physically located while making a reservation or the location of the travel service provider or restaurant).
</t>
        </r>
      </text>
    </comment>
  </commentList>
</comments>
</file>

<file path=xl/comments3.xml><?xml version="1.0" encoding="utf-8"?>
<comments xmlns="http://schemas.openxmlformats.org/spreadsheetml/2006/main">
  <authors>
    <author>Nowak, Brian (EQ/US)</author>
    <author>Brian Nowak</author>
    <author>bnowak</author>
    <author>micostan</author>
    <author>Costantini, Michael</author>
    <author xml:space="preserve"> Brian Nowak</author>
    <author>Costantini, Michael (Research)</author>
    <author>Nowak, Brian (Research)</author>
    <author>Wang, Alaxandar (Research)</author>
    <author>Tam, Alicia (Research)</author>
  </authors>
  <commentList>
    <comment ref="AL11" authorId="0">
      <text>
        <r>
          <rPr>
            <b/>
            <sz val="8"/>
            <color indexed="81"/>
            <rFont val="Tahoma"/>
            <family val="2"/>
          </rPr>
          <t>Brian Nowak:
Hotel sales now account for well over two-thirds of Priceline’s total gross bookings and over three
quarters of our gross profit.</t>
        </r>
      </text>
    </comment>
    <comment ref="BB12" authorId="1">
      <text>
        <r>
          <rPr>
            <b/>
            <sz val="8"/>
            <color indexed="81"/>
            <rFont val="Tahoma"/>
            <family val="2"/>
          </rPr>
          <t>Brian Nowak:</t>
        </r>
        <r>
          <rPr>
            <sz val="8"/>
            <color indexed="81"/>
            <rFont val="Tahoma"/>
            <family val="2"/>
          </rPr>
          <t xml:space="preserve">
guidance 53% to 58% growth</t>
        </r>
      </text>
    </comment>
    <comment ref="BC12" authorId="2">
      <text>
        <r>
          <rPr>
            <b/>
            <sz val="8"/>
            <color indexed="81"/>
            <rFont val="Tahoma"/>
            <family val="2"/>
          </rPr>
          <t>Brian Nowak:
guidance 47%-52%</t>
        </r>
      </text>
    </comment>
    <comment ref="BD12" authorId="2">
      <text>
        <r>
          <rPr>
            <b/>
            <sz val="8"/>
            <color indexed="81"/>
            <rFont val="Tahoma"/>
            <family val="2"/>
          </rPr>
          <t>Brian Nowak:
guidance 39%-44%</t>
        </r>
      </text>
    </comment>
    <comment ref="BE12" authorId="2">
      <text>
        <r>
          <rPr>
            <b/>
            <sz val="8"/>
            <color indexed="81"/>
            <rFont val="Tahoma"/>
            <family val="2"/>
          </rPr>
          <t>Brian Nowak:
guidance 33-38%</t>
        </r>
      </text>
    </comment>
    <comment ref="BF12" authorId="0">
      <text>
        <r>
          <rPr>
            <b/>
            <sz val="8"/>
            <color indexed="81"/>
            <rFont val="Tahoma"/>
            <family val="2"/>
          </rPr>
          <t>Brian Nowak:
gudiacne 26%-31%</t>
        </r>
      </text>
    </comment>
    <comment ref="BG12" authorId="3">
      <text>
        <r>
          <rPr>
            <b/>
            <sz val="10"/>
            <color indexed="81"/>
            <rFont val="Tahoma"/>
            <family val="2"/>
          </rPr>
          <t>Brian Nowak:
guidance for 10%-18% (19%-27% constant currency)</t>
        </r>
      </text>
    </comment>
    <comment ref="BH12" authorId="3">
      <text>
        <r>
          <rPr>
            <b/>
            <sz val="10"/>
            <color indexed="81"/>
            <rFont val="Tahoma"/>
            <family val="2"/>
          </rPr>
          <t>Brian Nowak:
guidance for 21%-28% (22%-29% constant currency)</t>
        </r>
      </text>
    </comment>
    <comment ref="BI12" authorId="3">
      <text>
        <r>
          <rPr>
            <b/>
            <sz val="10"/>
            <color indexed="81"/>
            <rFont val="Tahoma"/>
            <family val="2"/>
          </rPr>
          <t>Brian Nowak:
guidance for 30%-37% (29%-36% constant currency)</t>
        </r>
      </text>
    </comment>
    <comment ref="BJ12" authorId="4">
      <text>
        <r>
          <rPr>
            <b/>
            <sz val="9"/>
            <color indexed="81"/>
            <rFont val="Tahoma"/>
            <family val="2"/>
          </rPr>
          <t>Brian Nowak:
guidance: 30% to 37% (27% to 34% constant currency)</t>
        </r>
      </text>
    </comment>
    <comment ref="BK12" authorId="5">
      <text>
        <r>
          <rPr>
            <b/>
            <sz val="9"/>
            <color indexed="81"/>
            <rFont val="Tahoma"/>
            <family val="2"/>
          </rPr>
          <t xml:space="preserve"> Brian Nowak:</t>
        </r>
        <r>
          <rPr>
            <sz val="9"/>
            <color indexed="81"/>
            <rFont val="Tahoma"/>
            <family val="2"/>
          </rPr>
          <t xml:space="preserve">
guidance 27% to 34%</t>
        </r>
      </text>
    </comment>
    <comment ref="BL12" authorId="4">
      <text>
        <r>
          <rPr>
            <b/>
            <sz val="9"/>
            <color indexed="81"/>
            <rFont val="Tahoma"/>
            <family val="2"/>
          </rPr>
          <t>Brian Nowak:
3Q guidance:  27% - 34%
Asia and Latam are "dial-movers" per MT 11/11/13</t>
        </r>
      </text>
    </comment>
    <comment ref="BM12" authorId="4">
      <text>
        <r>
          <rPr>
            <b/>
            <sz val="9"/>
            <color indexed="81"/>
            <rFont val="Tahoma"/>
            <family val="2"/>
          </rPr>
          <t xml:space="preserve">Brian Nowak:
4Q guidance:  23% - 33%
</t>
        </r>
      </text>
    </comment>
    <comment ref="BN12" authorId="4">
      <text>
        <r>
          <rPr>
            <b/>
            <sz val="9"/>
            <color indexed="81"/>
            <rFont val="Tahoma"/>
            <family val="2"/>
          </rPr>
          <t>Brian Nowak:
1Q:14 guidance:  22%-32%</t>
        </r>
      </text>
    </comment>
    <comment ref="BO12" authorId="4">
      <text>
        <r>
          <rPr>
            <b/>
            <sz val="9"/>
            <color indexed="81"/>
            <rFont val="Tahoma"/>
            <family val="2"/>
          </rPr>
          <t>Brian Nowak:
2Q:14 guidance:  19%-29%</t>
        </r>
      </text>
    </comment>
    <comment ref="BP12" authorId="4">
      <text>
        <r>
          <rPr>
            <b/>
            <sz val="9"/>
            <color indexed="81"/>
            <rFont val="Tahoma"/>
            <family val="2"/>
          </rPr>
          <t>Brian Nowak:
3Q:14 guidance:  8%-15%</t>
        </r>
      </text>
    </comment>
    <comment ref="BQ12" authorId="6">
      <text>
        <r>
          <rPr>
            <b/>
            <sz val="9"/>
            <color indexed="81"/>
            <rFont val="Tahoma"/>
            <family val="2"/>
          </rPr>
          <t>Costantini, Michael (Research):</t>
        </r>
        <r>
          <rPr>
            <sz val="9"/>
            <color indexed="81"/>
            <rFont val="Tahoma"/>
            <family val="2"/>
          </rPr>
          <t xml:space="preserve">
4Q:14 guidance:  2%-9%</t>
        </r>
      </text>
    </comment>
    <comment ref="BR12" authorId="6">
      <text>
        <r>
          <rPr>
            <b/>
            <sz val="9"/>
            <color indexed="81"/>
            <rFont val="Tahoma"/>
            <family val="2"/>
          </rPr>
          <t>Costantini, Michael (Research):</t>
        </r>
        <r>
          <rPr>
            <sz val="9"/>
            <color indexed="81"/>
            <rFont val="Tahoma"/>
            <family val="2"/>
          </rPr>
          <t xml:space="preserve">
1Q:15 guidance:  0%-7%</t>
        </r>
      </text>
    </comment>
    <comment ref="BS12" authorId="6">
      <text>
        <r>
          <rPr>
            <b/>
            <sz val="9"/>
            <color indexed="81"/>
            <rFont val="Tahoma"/>
            <family val="2"/>
          </rPr>
          <t>Costantini, Michael (Research):</t>
        </r>
        <r>
          <rPr>
            <sz val="9"/>
            <color indexed="81"/>
            <rFont val="Tahoma"/>
            <family val="2"/>
          </rPr>
          <t xml:space="preserve">
2Q:15 guidance:  -1% to +6%</t>
        </r>
      </text>
    </comment>
    <comment ref="BT12" authorId="6">
      <text>
        <r>
          <rPr>
            <b/>
            <sz val="9"/>
            <color indexed="81"/>
            <rFont val="Tahoma"/>
            <family val="2"/>
          </rPr>
          <t>Costantini, Michael (Research):</t>
        </r>
        <r>
          <rPr>
            <sz val="9"/>
            <color indexed="81"/>
            <rFont val="Tahoma"/>
            <family val="2"/>
          </rPr>
          <t xml:space="preserve">
3Q:15 guidance:  +1% to +8%</t>
        </r>
      </text>
    </comment>
    <comment ref="BU12" authorId="6">
      <text>
        <r>
          <rPr>
            <b/>
            <sz val="9"/>
            <color indexed="81"/>
            <rFont val="Tahoma"/>
            <family val="2"/>
          </rPr>
          <t>Costantini, Michael (Research):</t>
        </r>
        <r>
          <rPr>
            <sz val="9"/>
            <color indexed="81"/>
            <rFont val="Tahoma"/>
            <family val="2"/>
          </rPr>
          <t xml:space="preserve">
4Q:15 guidance:  +12% to +19%
bn easter a bookings tailwind (3 days when they book)</t>
        </r>
      </text>
    </comment>
    <comment ref="BV12" authorId="6">
      <text>
        <r>
          <rPr>
            <b/>
            <sz val="9"/>
            <color indexed="81"/>
            <rFont val="Tahoma"/>
            <family val="2"/>
          </rPr>
          <t>Costantini, Michael (Research):</t>
        </r>
        <r>
          <rPr>
            <sz val="9"/>
            <color indexed="81"/>
            <rFont val="Tahoma"/>
            <family val="2"/>
          </rPr>
          <t xml:space="preserve">
1Q:16 guidance:  +11% to +18%
negative impacts from:
-Easter in 1Q this year vs. 2Q last year
-EuroCup:  last 2 weeks June
-Ramadan:  10 days in June 
</t>
        </r>
      </text>
    </comment>
    <comment ref="BW12" authorId="6">
      <text>
        <r>
          <rPr>
            <b/>
            <sz val="9"/>
            <color indexed="81"/>
            <rFont val="Tahoma"/>
            <family val="2"/>
          </rPr>
          <t>Costantini, Michael (Research):</t>
        </r>
        <r>
          <rPr>
            <sz val="9"/>
            <color indexed="81"/>
            <rFont val="Tahoma"/>
            <family val="2"/>
          </rPr>
          <t xml:space="preserve">
2Q:16 guidance: 14%-19%</t>
        </r>
      </text>
    </comment>
    <comment ref="BX12" authorId="6">
      <text>
        <r>
          <rPr>
            <b/>
            <sz val="9"/>
            <color indexed="81"/>
            <rFont val="Tahoma"/>
            <family val="2"/>
          </rPr>
          <t>Costantini, Michael (Research):</t>
        </r>
        <r>
          <rPr>
            <sz val="9"/>
            <color indexed="81"/>
            <rFont val="Tahoma"/>
            <family val="2"/>
          </rPr>
          <t xml:space="preserve">
3Q:16 guidance: 16%-21%</t>
        </r>
      </text>
    </comment>
    <comment ref="BY12" authorId="6">
      <text>
        <r>
          <rPr>
            <b/>
            <sz val="9"/>
            <color indexed="81"/>
            <rFont val="Tahoma"/>
            <family val="2"/>
          </rPr>
          <t>Costantini, Michael (Research):</t>
        </r>
        <r>
          <rPr>
            <sz val="9"/>
            <color indexed="81"/>
            <rFont val="Tahoma"/>
            <family val="2"/>
          </rPr>
          <t xml:space="preserve">
4Q:16 guidance: 17%-22%</t>
        </r>
      </text>
    </comment>
    <comment ref="BZ12" authorId="7">
      <text>
        <r>
          <rPr>
            <b/>
            <sz val="9"/>
            <color indexed="81"/>
            <rFont val="Tahoma"/>
            <family val="2"/>
          </rPr>
          <t>Nowak, Brian (Research):</t>
        </r>
        <r>
          <rPr>
            <sz val="9"/>
            <color indexed="81"/>
            <rFont val="Tahoma"/>
            <family val="2"/>
          </rPr>
          <t xml:space="preserve">
guidance 12-17% 1Q:17 earnings</t>
        </r>
      </text>
    </comment>
    <comment ref="CA12" authorId="7">
      <text>
        <r>
          <rPr>
            <b/>
            <sz val="9"/>
            <color indexed="81"/>
            <rFont val="Tahoma"/>
            <family val="2"/>
          </rPr>
          <t>Nowak, Brian (Research):</t>
        </r>
        <r>
          <rPr>
            <sz val="9"/>
            <color indexed="81"/>
            <rFont val="Tahoma"/>
            <family val="2"/>
          </rPr>
          <t xml:space="preserve">
guidance 11-16%</t>
        </r>
      </text>
    </comment>
    <comment ref="CB12" authorId="8">
      <text>
        <r>
          <rPr>
            <b/>
            <sz val="9"/>
            <color indexed="81"/>
            <rFont val="Tahoma"/>
            <family val="2"/>
          </rPr>
          <t>Wang, Alaxandar (Research):</t>
        </r>
        <r>
          <rPr>
            <sz val="9"/>
            <color indexed="81"/>
            <rFont val="Tahoma"/>
            <family val="2"/>
          </rPr>
          <t xml:space="preserve">
guidance 9.5-14.5%</t>
        </r>
      </text>
    </comment>
    <comment ref="CC12" authorId="8">
      <text>
        <r>
          <rPr>
            <b/>
            <sz val="9"/>
            <color indexed="81"/>
            <rFont val="Tahoma"/>
            <family val="2"/>
          </rPr>
          <t>Wang, Alaxandar (Research):</t>
        </r>
        <r>
          <rPr>
            <sz val="9"/>
            <color indexed="81"/>
            <rFont val="Tahoma"/>
            <family val="2"/>
          </rPr>
          <t xml:space="preserve">
per 4Q earnings: 14.5-18.5%</t>
        </r>
      </text>
    </comment>
    <comment ref="BB16" authorId="1">
      <text>
        <r>
          <rPr>
            <b/>
            <sz val="8"/>
            <color indexed="81"/>
            <rFont val="Tahoma"/>
            <family val="2"/>
          </rPr>
          <t>Brian Nowak:</t>
        </r>
        <r>
          <rPr>
            <sz val="8"/>
            <color indexed="81"/>
            <rFont val="Tahoma"/>
            <family val="2"/>
          </rPr>
          <t xml:space="preserve">
guidance 53% to 58% growth</t>
        </r>
      </text>
    </comment>
    <comment ref="BC16" authorId="2">
      <text>
        <r>
          <rPr>
            <b/>
            <sz val="8"/>
            <color indexed="81"/>
            <rFont val="Tahoma"/>
            <family val="2"/>
          </rPr>
          <t>Brian Nowak:
guidance 47%-52%</t>
        </r>
      </text>
    </comment>
    <comment ref="BD16" authorId="2">
      <text>
        <r>
          <rPr>
            <b/>
            <sz val="8"/>
            <color indexed="81"/>
            <rFont val="Tahoma"/>
            <family val="2"/>
          </rPr>
          <t>Brian Nowak:
guidance 39%-44%</t>
        </r>
      </text>
    </comment>
    <comment ref="BE16" authorId="2">
      <text>
        <r>
          <rPr>
            <b/>
            <sz val="8"/>
            <color indexed="81"/>
            <rFont val="Tahoma"/>
            <family val="2"/>
          </rPr>
          <t>Brian Nowak:
guidance 33-38%</t>
        </r>
      </text>
    </comment>
    <comment ref="BF16" authorId="0">
      <text>
        <r>
          <rPr>
            <b/>
            <sz val="8"/>
            <color indexed="81"/>
            <rFont val="Tahoma"/>
            <family val="2"/>
          </rPr>
          <t>Brian Nowak:
gudiacne 26%-31%</t>
        </r>
      </text>
    </comment>
    <comment ref="BG16" authorId="3">
      <text>
        <r>
          <rPr>
            <b/>
            <sz val="10"/>
            <color indexed="81"/>
            <rFont val="Tahoma"/>
            <family val="2"/>
          </rPr>
          <t>Brian Nowak:
guidance for 10%-18% (19%-27% constant currency)</t>
        </r>
      </text>
    </comment>
    <comment ref="BH16" authorId="3">
      <text>
        <r>
          <rPr>
            <b/>
            <sz val="10"/>
            <color indexed="81"/>
            <rFont val="Tahoma"/>
            <family val="2"/>
          </rPr>
          <t>Brian Nowak:
guidance for 21%-28% (22%-29% constant currency)</t>
        </r>
      </text>
    </comment>
    <comment ref="BI16" authorId="3">
      <text>
        <r>
          <rPr>
            <b/>
            <sz val="10"/>
            <color indexed="81"/>
            <rFont val="Tahoma"/>
            <family val="2"/>
          </rPr>
          <t>Brian Nowak:
guidance for 30%-37% (29%-36% constant currency)</t>
        </r>
      </text>
    </comment>
    <comment ref="BJ16" authorId="4">
      <text>
        <r>
          <rPr>
            <b/>
            <sz val="9"/>
            <color indexed="81"/>
            <rFont val="Tahoma"/>
            <family val="2"/>
          </rPr>
          <t>Brian Nowak:
guidance: 30% to 37% (27% to 34% constant currency)</t>
        </r>
      </text>
    </comment>
    <comment ref="BK16" authorId="5">
      <text>
        <r>
          <rPr>
            <b/>
            <sz val="9"/>
            <color indexed="81"/>
            <rFont val="Tahoma"/>
            <family val="2"/>
          </rPr>
          <t xml:space="preserve"> Brian Nowak:</t>
        </r>
        <r>
          <rPr>
            <sz val="9"/>
            <color indexed="81"/>
            <rFont val="Tahoma"/>
            <family val="2"/>
          </rPr>
          <t xml:space="preserve">
guidance 27% to 34%</t>
        </r>
      </text>
    </comment>
    <comment ref="BL16" authorId="4">
      <text>
        <r>
          <rPr>
            <b/>
            <sz val="9"/>
            <color indexed="81"/>
            <rFont val="Tahoma"/>
            <family val="2"/>
          </rPr>
          <t>Brian Nowak:
3Q guidance:  27% - 34%
Asia and Latam are "dial-movers" per MT 11/11/13</t>
        </r>
      </text>
    </comment>
    <comment ref="BM16" authorId="4">
      <text>
        <r>
          <rPr>
            <b/>
            <sz val="9"/>
            <color indexed="81"/>
            <rFont val="Tahoma"/>
            <family val="2"/>
          </rPr>
          <t xml:space="preserve">Brian Nowak:
4Q guidance:  23% - 33%
</t>
        </r>
      </text>
    </comment>
    <comment ref="BN16" authorId="4">
      <text>
        <r>
          <rPr>
            <b/>
            <sz val="9"/>
            <color indexed="81"/>
            <rFont val="Tahoma"/>
            <family val="2"/>
          </rPr>
          <t>Brian Nowak:
1Q:14 guidance:  22%-32%</t>
        </r>
      </text>
    </comment>
    <comment ref="BO16" authorId="4">
      <text>
        <r>
          <rPr>
            <b/>
            <sz val="9"/>
            <color indexed="81"/>
            <rFont val="Tahoma"/>
            <family val="2"/>
          </rPr>
          <t>Brian Nowak:
2Q:14 guidance:  19%-29%</t>
        </r>
      </text>
    </comment>
    <comment ref="BP16" authorId="4">
      <text>
        <r>
          <rPr>
            <b/>
            <sz val="9"/>
            <color indexed="81"/>
            <rFont val="Tahoma"/>
            <family val="2"/>
          </rPr>
          <t>Brian Nowak:
3Q:14 guidance:  8%-15%</t>
        </r>
      </text>
    </comment>
    <comment ref="BQ16" authorId="6">
      <text>
        <r>
          <rPr>
            <b/>
            <sz val="9"/>
            <color indexed="81"/>
            <rFont val="Tahoma"/>
            <family val="2"/>
          </rPr>
          <t>Costantini, Michael (Research):</t>
        </r>
        <r>
          <rPr>
            <sz val="9"/>
            <color indexed="81"/>
            <rFont val="Tahoma"/>
            <family val="2"/>
          </rPr>
          <t xml:space="preserve">
4Q:14 guidance:  14%-21%</t>
        </r>
      </text>
    </comment>
    <comment ref="BR16" authorId="6">
      <text>
        <r>
          <rPr>
            <b/>
            <sz val="9"/>
            <color indexed="81"/>
            <rFont val="Tahoma"/>
            <family val="2"/>
          </rPr>
          <t>Costantini, Michael (Research):</t>
        </r>
        <r>
          <rPr>
            <sz val="9"/>
            <color indexed="81"/>
            <rFont val="Tahoma"/>
            <family val="2"/>
          </rPr>
          <t xml:space="preserve">
1Q:15 guidance:  15%-22%</t>
        </r>
      </text>
    </comment>
    <comment ref="BS16" authorId="6">
      <text>
        <r>
          <rPr>
            <b/>
            <sz val="9"/>
            <color indexed="81"/>
            <rFont val="Tahoma"/>
            <family val="2"/>
          </rPr>
          <t>Costantini, Michael (Research):</t>
        </r>
        <r>
          <rPr>
            <sz val="9"/>
            <color indexed="81"/>
            <rFont val="Tahoma"/>
            <family val="2"/>
          </rPr>
          <t xml:space="preserve">
2Q:15 guidance:  13% to 20%</t>
        </r>
      </text>
    </comment>
    <comment ref="BT16" authorId="6">
      <text>
        <r>
          <rPr>
            <b/>
            <sz val="9"/>
            <color indexed="81"/>
            <rFont val="Tahoma"/>
            <family val="2"/>
          </rPr>
          <t>Costantini, Michael (Research):</t>
        </r>
        <r>
          <rPr>
            <sz val="9"/>
            <color indexed="81"/>
            <rFont val="Tahoma"/>
            <family val="2"/>
          </rPr>
          <t xml:space="preserve">
3Q:15 guidance:  +13% to +20%</t>
        </r>
      </text>
    </comment>
    <comment ref="BU16" authorId="6">
      <text>
        <r>
          <rPr>
            <b/>
            <sz val="9"/>
            <color indexed="81"/>
            <rFont val="Tahoma"/>
            <family val="2"/>
          </rPr>
          <t>Costantini, Michael (Research):</t>
        </r>
        <r>
          <rPr>
            <sz val="9"/>
            <color indexed="81"/>
            <rFont val="Tahoma"/>
            <family val="2"/>
          </rPr>
          <t xml:space="preserve">
4Q:15 guidance:  +18% to +25%
4Q:15 earnings conf call:  tailwinds from strong Chinese New Year, Carnival, and favorable calendar shift of Easter and Leap Year
easter is a bookings tailwind (3 days)</t>
        </r>
      </text>
    </comment>
    <comment ref="BV16" authorId="6">
      <text>
        <r>
          <rPr>
            <b/>
            <sz val="9"/>
            <color indexed="81"/>
            <rFont val="Tahoma"/>
            <family val="2"/>
          </rPr>
          <t>Costantini, Michael (Research):</t>
        </r>
        <r>
          <rPr>
            <sz val="9"/>
            <color indexed="81"/>
            <rFont val="Tahoma"/>
            <family val="2"/>
          </rPr>
          <t xml:space="preserve">
1Q:16 guidance:  +11% to +18% ex FX</t>
        </r>
      </text>
    </comment>
    <comment ref="BW16" authorId="6">
      <text>
        <r>
          <rPr>
            <b/>
            <sz val="9"/>
            <color indexed="81"/>
            <rFont val="Tahoma"/>
            <family val="2"/>
          </rPr>
          <t>Costantini, Michael (Research):</t>
        </r>
        <r>
          <rPr>
            <sz val="9"/>
            <color indexed="81"/>
            <rFont val="Tahoma"/>
            <family val="2"/>
          </rPr>
          <t xml:space="preserve">
2Q:16 guidance: 15%-20%</t>
        </r>
      </text>
    </comment>
    <comment ref="BX16" authorId="6">
      <text>
        <r>
          <rPr>
            <b/>
            <sz val="9"/>
            <color indexed="81"/>
            <rFont val="Tahoma"/>
            <family val="2"/>
          </rPr>
          <t>Costantini, Michael (Research):</t>
        </r>
        <r>
          <rPr>
            <sz val="9"/>
            <color indexed="81"/>
            <rFont val="Tahoma"/>
            <family val="2"/>
          </rPr>
          <t xml:space="preserve">
3Q:16 guidance: 17%-22%</t>
        </r>
      </text>
    </comment>
    <comment ref="BY16" authorId="6">
      <text>
        <r>
          <rPr>
            <b/>
            <sz val="9"/>
            <color indexed="81"/>
            <rFont val="Tahoma"/>
            <family val="2"/>
          </rPr>
          <t>Costantini, Michael (Research):</t>
        </r>
        <r>
          <rPr>
            <sz val="9"/>
            <color indexed="81"/>
            <rFont val="Tahoma"/>
            <family val="2"/>
          </rPr>
          <t xml:space="preserve">
4Q:16 guidance: 19%-24%</t>
        </r>
      </text>
    </comment>
    <comment ref="BZ16" authorId="7">
      <text>
        <r>
          <rPr>
            <b/>
            <sz val="9"/>
            <color indexed="81"/>
            <rFont val="Tahoma"/>
            <family val="2"/>
          </rPr>
          <t>Nowak, Brian (Research):</t>
        </r>
        <r>
          <rPr>
            <sz val="9"/>
            <color indexed="81"/>
            <rFont val="Tahoma"/>
            <family val="2"/>
          </rPr>
          <t xml:space="preserve">
1Q:17 guidance 15-20%</t>
        </r>
      </text>
    </comment>
    <comment ref="CA16" authorId="7">
      <text>
        <r>
          <rPr>
            <b/>
            <sz val="9"/>
            <color indexed="81"/>
            <rFont val="Tahoma"/>
            <family val="2"/>
          </rPr>
          <t>Nowak, Brian (Research):</t>
        </r>
        <r>
          <rPr>
            <sz val="9"/>
            <color indexed="81"/>
            <rFont val="Tahoma"/>
            <family val="2"/>
          </rPr>
          <t xml:space="preserve">
guidance 9-14%</t>
        </r>
      </text>
    </comment>
    <comment ref="CB16" authorId="8">
      <text>
        <r>
          <rPr>
            <b/>
            <sz val="9"/>
            <color indexed="81"/>
            <rFont val="Tahoma"/>
            <family val="2"/>
          </rPr>
          <t>Wang, Alaxandar (Research):</t>
        </r>
        <r>
          <rPr>
            <sz val="9"/>
            <color indexed="81"/>
            <rFont val="Tahoma"/>
            <family val="2"/>
          </rPr>
          <t xml:space="preserve">
guidance 5.5-10.5%</t>
        </r>
      </text>
    </comment>
    <comment ref="CC16" authorId="8">
      <text>
        <r>
          <rPr>
            <b/>
            <sz val="9"/>
            <color indexed="81"/>
            <rFont val="Tahoma"/>
            <family val="2"/>
          </rPr>
          <t>Wang, Alaxandar (Research):</t>
        </r>
        <r>
          <rPr>
            <sz val="9"/>
            <color indexed="81"/>
            <rFont val="Tahoma"/>
            <family val="2"/>
          </rPr>
          <t xml:space="preserve">
per 4Q earnings: 6-10%</t>
        </r>
      </text>
    </comment>
    <comment ref="BU18" authorId="6">
      <text>
        <r>
          <rPr>
            <b/>
            <sz val="9"/>
            <color indexed="81"/>
            <rFont val="Tahoma"/>
            <family val="2"/>
          </rPr>
          <t>Costantini, Michael (Research):</t>
        </r>
        <r>
          <rPr>
            <sz val="9"/>
            <color indexed="81"/>
            <rFont val="Tahoma"/>
            <family val="2"/>
          </rPr>
          <t xml:space="preserve">
4Q:15 press release:  1Q guidance implies 6% headwind from FX</t>
        </r>
      </text>
    </comment>
    <comment ref="BV18" authorId="6">
      <text>
        <r>
          <rPr>
            <b/>
            <sz val="9"/>
            <color indexed="81"/>
            <rFont val="Tahoma"/>
            <family val="2"/>
          </rPr>
          <t>Costantini, Michael (Research):</t>
        </r>
        <r>
          <rPr>
            <sz val="9"/>
            <color indexed="81"/>
            <rFont val="Tahoma"/>
            <family val="2"/>
          </rPr>
          <t xml:space="preserve">
1Q:16 guidance:  do not expect FX to be a headwind in 2Q</t>
        </r>
      </text>
    </comment>
    <comment ref="BW18" authorId="6">
      <text>
        <r>
          <rPr>
            <b/>
            <sz val="9"/>
            <color indexed="81"/>
            <rFont val="Tahoma"/>
            <family val="2"/>
          </rPr>
          <t>Costantini, Michael (Research):</t>
        </r>
        <r>
          <rPr>
            <sz val="9"/>
            <color indexed="81"/>
            <rFont val="Tahoma"/>
            <family val="2"/>
          </rPr>
          <t xml:space="preserve">
2Q:16 guidance implies 1% headwind from FX</t>
        </r>
      </text>
    </comment>
    <comment ref="BX18" authorId="6">
      <text>
        <r>
          <rPr>
            <b/>
            <sz val="9"/>
            <color indexed="81"/>
            <rFont val="Tahoma"/>
            <family val="2"/>
          </rPr>
          <t>Costantini, Michael (Research):</t>
        </r>
        <r>
          <rPr>
            <sz val="9"/>
            <color indexed="81"/>
            <rFont val="Tahoma"/>
            <family val="2"/>
          </rPr>
          <t xml:space="preserve">
3Q:16 guidance implies 1% headwind from FX</t>
        </r>
      </text>
    </comment>
    <comment ref="BY18" authorId="6">
      <text>
        <r>
          <rPr>
            <b/>
            <sz val="9"/>
            <color indexed="81"/>
            <rFont val="Tahoma"/>
            <family val="2"/>
          </rPr>
          <t>Costantini, Michael (Research):</t>
        </r>
        <r>
          <rPr>
            <sz val="9"/>
            <color indexed="81"/>
            <rFont val="Tahoma"/>
            <family val="2"/>
          </rPr>
          <t xml:space="preserve">
4Q:16 guidance implies 2% headwind from FX</t>
        </r>
      </text>
    </comment>
    <comment ref="I25" authorId="2">
      <text>
        <r>
          <rPr>
            <b/>
            <sz val="8"/>
            <color indexed="81"/>
            <rFont val="Tahoma"/>
            <family val="2"/>
          </rPr>
          <t>Brian Nowak:
Booking.com</t>
        </r>
      </text>
    </comment>
    <comment ref="AN29" authorId="2">
      <text>
        <r>
          <rPr>
            <b/>
            <sz val="8"/>
            <color indexed="81"/>
            <rFont val="Tahoma"/>
            <family val="2"/>
          </rPr>
          <t>Brian Nowak:
13.4 per trans</t>
        </r>
      </text>
    </comment>
    <comment ref="CN29" authorId="2">
      <text>
        <r>
          <rPr>
            <b/>
            <sz val="8"/>
            <color indexed="81"/>
            <rFont val="Tahoma"/>
            <family val="2"/>
          </rPr>
          <t>Brian Nowak:
would have been 50m for full year (36m first 9 months) accoridnd to press reports; up 122% yoy</t>
        </r>
      </text>
    </comment>
    <comment ref="CO29" authorId="2">
      <text>
        <r>
          <rPr>
            <b/>
            <sz val="8"/>
            <color indexed="81"/>
            <rFont val="Tahoma"/>
            <family val="2"/>
          </rPr>
          <t>Brian Nowak:
118.7 per 2009 10K</t>
        </r>
      </text>
    </comment>
    <comment ref="AW30" authorId="2">
      <text>
        <r>
          <rPr>
            <b/>
            <sz val="8"/>
            <color indexed="81"/>
            <rFont val="Tahoma"/>
            <family val="2"/>
          </rPr>
          <t>Brian Nowak:
trip digit
thai unrest emerged</t>
        </r>
      </text>
    </comment>
    <comment ref="AX30" authorId="2">
      <text>
        <r>
          <rPr>
            <b/>
            <sz val="8"/>
            <color indexed="81"/>
            <rFont val="Tahoma"/>
            <family val="2"/>
          </rPr>
          <t>Brian Nowak:
triple digit
thai unrest</t>
        </r>
      </text>
    </comment>
    <comment ref="AY30" authorId="2">
      <text>
        <r>
          <rPr>
            <b/>
            <sz val="10"/>
            <color indexed="81"/>
            <rFont val="Tahoma"/>
            <family val="2"/>
          </rPr>
          <t>Brian Nowak:
triple digit; total Agoda and Booking.com APAC biz up 1just shy of 150% in 3Q</t>
        </r>
      </text>
    </comment>
    <comment ref="BA30" authorId="2">
      <text>
        <r>
          <rPr>
            <b/>
            <sz val="10"/>
            <color indexed="81"/>
            <rFont val="Tahoma"/>
            <family val="2"/>
          </rPr>
          <t>Brian Nowak:
"impressive", but impacted by Japan, but lapping thai unrest
"no reason to assume not triple digit now"</t>
        </r>
      </text>
    </comment>
    <comment ref="BB30" authorId="2">
      <text>
        <r>
          <rPr>
            <b/>
            <sz val="8"/>
            <color indexed="81"/>
            <rFont val="Tahoma"/>
            <family val="2"/>
          </rPr>
          <t>Brian Nowak:
lapping Thai unrest; faster than 1Q</t>
        </r>
      </text>
    </comment>
    <comment ref="BC30" authorId="2">
      <text>
        <r>
          <rPr>
            <b/>
            <sz val="12"/>
            <color indexed="81"/>
            <rFont val="Tahoma"/>
            <family val="2"/>
          </rPr>
          <t>Brian Nowak:
BTN assumption triple digits
First mention that Thai floods had an impact on travel
flooding began in July</t>
        </r>
      </text>
    </comment>
    <comment ref="BD30" authorId="3">
      <text>
        <r>
          <rPr>
            <b/>
            <sz val="12"/>
            <color indexed="81"/>
            <rFont val="Tahoma"/>
            <family val="2"/>
          </rPr>
          <t>Brian Nowak:
4Q11 conf call: "These results were delivered despite the negative impact of the floods in Thailand, which caused the loss of some reservations and higher cancelations."</t>
        </r>
      </text>
    </comment>
    <comment ref="BE30" authorId="2">
      <text>
        <r>
          <rPr>
            <b/>
            <sz val="8"/>
            <color indexed="81"/>
            <rFont val="Tahoma"/>
            <family val="2"/>
          </rPr>
          <t>Brian Nowak:
lapping japanese equake</t>
        </r>
      </text>
    </comment>
    <comment ref="BG30" authorId="2">
      <text>
        <r>
          <rPr>
            <b/>
            <sz val="8"/>
            <color indexed="81"/>
            <rFont val="Tahoma"/>
            <family val="2"/>
          </rPr>
          <t>Brian Nowak:
lapping thai floods</t>
        </r>
      </text>
    </comment>
    <comment ref="BH30" authorId="2">
      <text>
        <r>
          <rPr>
            <b/>
            <sz val="8"/>
            <color indexed="81"/>
            <rFont val="Tahoma"/>
            <family val="2"/>
          </rPr>
          <t>Brian Nowak:
lapping thai floods</t>
        </r>
      </text>
    </comment>
    <comment ref="BQ30" authorId="6">
      <text>
        <r>
          <rPr>
            <b/>
            <sz val="9"/>
            <color indexed="81"/>
            <rFont val="Tahoma"/>
            <family val="2"/>
          </rPr>
          <t>Costantini, Michael (Research):</t>
        </r>
        <r>
          <rPr>
            <sz val="9"/>
            <color indexed="81"/>
            <rFont val="Tahoma"/>
            <family val="2"/>
          </rPr>
          <t xml:space="preserve">
1Q:15 conf call:  International results also benefited from Agoda.com and RentalCars.com, both of which accelerated in the quarter</t>
        </r>
      </text>
    </comment>
    <comment ref="AX35" authorId="2">
      <text>
        <r>
          <rPr>
            <b/>
            <sz val="8"/>
            <color indexed="81"/>
            <rFont val="Tahoma"/>
            <family val="2"/>
          </rPr>
          <t>Brian Nowak:
$43.9mn per 1Q:11 earnings Financials Supplement</t>
        </r>
      </text>
    </comment>
    <comment ref="AY35" authorId="2">
      <text>
        <r>
          <rPr>
            <b/>
            <sz val="8"/>
            <color indexed="81"/>
            <rFont val="Tahoma"/>
            <family val="2"/>
          </rPr>
          <t>Brian Nowak:
$85.8mn per 1Q:11 earnings Financials Supplement</t>
        </r>
      </text>
    </comment>
    <comment ref="AZ35" authorId="2">
      <text>
        <r>
          <rPr>
            <b/>
            <sz val="8"/>
            <color indexed="81"/>
            <rFont val="Tahoma"/>
            <family val="2"/>
          </rPr>
          <t>Brian Nowak:
$55mn per 1Q:11 earnings Financials Supplement</t>
        </r>
      </text>
    </comment>
    <comment ref="BA35" authorId="2">
      <text>
        <r>
          <rPr>
            <b/>
            <sz val="8"/>
            <color indexed="81"/>
            <rFont val="Tahoma"/>
            <family val="2"/>
          </rPr>
          <t>Brian Nowak:
$95.7mn per 1Q:11 earnings Financials Supplement</t>
        </r>
      </text>
    </comment>
    <comment ref="BB35" authorId="1">
      <text>
        <r>
          <rPr>
            <b/>
            <sz val="8"/>
            <color indexed="81"/>
            <rFont val="Tahoma"/>
            <family val="2"/>
          </rPr>
          <t>Brian Nowak:</t>
        </r>
        <r>
          <rPr>
            <sz val="8"/>
            <color indexed="81"/>
            <rFont val="Tahoma"/>
            <family val="2"/>
          </rPr>
          <t xml:space="preserve">
1 unequal month compare (april)…approx 20m</t>
        </r>
      </text>
    </comment>
    <comment ref="CR35" authorId="0">
      <text>
        <r>
          <rPr>
            <b/>
            <sz val="8"/>
            <color indexed="81"/>
            <rFont val="Tahoma"/>
            <family val="2"/>
          </rPr>
          <t>Brian Nowak:
500mn is roughly right</t>
        </r>
      </text>
    </comment>
    <comment ref="BC36" authorId="2">
      <text>
        <r>
          <rPr>
            <b/>
            <sz val="8"/>
            <color indexed="81"/>
            <rFont val="Tahoma"/>
            <family val="2"/>
          </rPr>
          <t xml:space="preserve">Brian Nowak:
ADRS up…total growth well in excess of rental car days of 36%
Growing in Western Europe….goog market
not al ot fo competition, high fragmentation
</t>
        </r>
      </text>
    </comment>
    <comment ref="BD36" authorId="2">
      <text>
        <r>
          <rPr>
            <b/>
            <sz val="8"/>
            <color indexed="81"/>
            <rFont val="Tahoma"/>
            <family val="2"/>
          </rPr>
          <t>Brian Nowak:
well above 36% growth rental car days</t>
        </r>
      </text>
    </comment>
    <comment ref="BE36" authorId="0">
      <text>
        <r>
          <rPr>
            <b/>
            <sz val="8"/>
            <color indexed="81"/>
            <rFont val="Tahoma"/>
            <family val="2"/>
          </rPr>
          <t>Brian Nowak:
materially faster than rental car days</t>
        </r>
      </text>
    </comment>
    <comment ref="BF36" authorId="0">
      <text>
        <r>
          <rPr>
            <b/>
            <sz val="10"/>
            <color indexed="81"/>
            <rFont val="Tahoma"/>
            <family val="2"/>
          </rPr>
          <t xml:space="preserve">Brian Nowak:
rental car days +29% driven by rentals.com…up a good amount more than 29%, but not 2Q
up a good amount bigger than opaque business; </t>
        </r>
      </text>
    </comment>
    <comment ref="BQ36" authorId="6">
      <text>
        <r>
          <rPr>
            <b/>
            <sz val="9"/>
            <color indexed="81"/>
            <rFont val="Tahoma"/>
            <family val="2"/>
          </rPr>
          <t>Costantini, Michael (Research):</t>
        </r>
        <r>
          <rPr>
            <sz val="9"/>
            <color indexed="81"/>
            <rFont val="Tahoma"/>
            <family val="2"/>
          </rPr>
          <t xml:space="preserve">
1Q:15 conf call:  International results also benefited from Agoda.com and RentalCars.com, both of which accelerated in the quarter</t>
        </r>
      </text>
    </comment>
    <comment ref="I40" authorId="2">
      <text>
        <r>
          <rPr>
            <b/>
            <sz val="8"/>
            <color indexed="81"/>
            <rFont val="Tahoma"/>
            <family val="2"/>
          </rPr>
          <t>Brian Nowak:
International are all hotels except for Jigsaw
and International are all agency except Agoda</t>
        </r>
      </text>
    </comment>
    <comment ref="AM40" authorId="2">
      <text>
        <r>
          <rPr>
            <b/>
            <sz val="8"/>
            <color indexed="81"/>
            <rFont val="Tahoma"/>
            <family val="2"/>
          </rPr>
          <t>Brian Nowak:
Agoda acquired in this qtr</t>
        </r>
      </text>
    </comment>
    <comment ref="BU40" authorId="6">
      <text>
        <r>
          <rPr>
            <b/>
            <sz val="9"/>
            <color indexed="81"/>
            <rFont val="Tahoma"/>
            <family val="2"/>
          </rPr>
          <t>Costantini, Michael (Research):</t>
        </r>
        <r>
          <rPr>
            <sz val="9"/>
            <color indexed="81"/>
            <rFont val="Tahoma"/>
            <family val="2"/>
          </rPr>
          <t xml:space="preserve">
MS est (no longer reported)</t>
        </r>
      </text>
    </comment>
    <comment ref="AV41" authorId="0">
      <text>
        <r>
          <rPr>
            <b/>
            <sz val="8"/>
            <color indexed="81"/>
            <rFont val="Tahoma"/>
            <family val="2"/>
          </rPr>
          <t>Brian Nowak:
guidance 50-60%</t>
        </r>
      </text>
    </comment>
    <comment ref="AW41" authorId="0">
      <text>
        <r>
          <rPr>
            <b/>
            <sz val="8"/>
            <color indexed="81"/>
            <rFont val="Tahoma"/>
            <family val="2"/>
          </rPr>
          <t>Brian Nowak:
guidance 65-73%</t>
        </r>
      </text>
    </comment>
    <comment ref="AZ41" authorId="2">
      <text>
        <r>
          <rPr>
            <b/>
            <sz val="8"/>
            <color indexed="81"/>
            <rFont val="Tahoma"/>
            <family val="2"/>
          </rPr>
          <t>Brian Nowak:
guidance  54-59% reported, or 58% to 65% on constant currency</t>
        </r>
      </text>
    </comment>
    <comment ref="BA41" authorId="2">
      <text>
        <r>
          <rPr>
            <b/>
            <sz val="8"/>
            <color indexed="81"/>
            <rFont val="Tahoma"/>
            <family val="2"/>
          </rPr>
          <t>Brian Nowak:
Guidance for 64-69% Growth reported and 66-71% Local currency basis</t>
        </r>
      </text>
    </comment>
    <comment ref="BB41" authorId="1">
      <text>
        <r>
          <rPr>
            <b/>
            <sz val="8"/>
            <color indexed="81"/>
            <rFont val="Tahoma"/>
            <family val="2"/>
          </rPr>
          <t>Brian Nowak:</t>
        </r>
        <r>
          <rPr>
            <sz val="8"/>
            <color indexed="81"/>
            <rFont val="Tahoma"/>
            <family val="2"/>
          </rPr>
          <t xml:space="preserve">
guidance 76% to 81% growth
\
53% to 58% local currency
Booking.com U.S. grew faster than 98%
</t>
        </r>
      </text>
    </comment>
    <comment ref="BC41" authorId="2">
      <text>
        <r>
          <rPr>
            <b/>
            <sz val="8"/>
            <color indexed="81"/>
            <rFont val="Tahoma"/>
            <family val="2"/>
          </rPr>
          <t>Brian Nowak:
guidance 62%-67%; 49%-54% local currency</t>
        </r>
      </text>
    </comment>
    <comment ref="BD41" authorId="2">
      <text>
        <r>
          <rPr>
            <b/>
            <sz val="8"/>
            <color indexed="81"/>
            <rFont val="Tahoma"/>
            <family val="2"/>
          </rPr>
          <t>Brian Nowak:
guidance for 50-55%, or 49-54% local currency</t>
        </r>
      </text>
    </comment>
    <comment ref="BE41" authorId="2">
      <text>
        <r>
          <rPr>
            <b/>
            <sz val="8"/>
            <color indexed="81"/>
            <rFont val="Tahoma"/>
            <family val="2"/>
          </rPr>
          <t>Brian Nowak:
guidance 41-46%</t>
        </r>
      </text>
    </comment>
    <comment ref="BF41" authorId="0">
      <text>
        <r>
          <rPr>
            <b/>
            <sz val="8"/>
            <color indexed="81"/>
            <rFont val="Tahoma"/>
            <family val="2"/>
          </rPr>
          <t>Brian Nowak:
guidance 32-37%</t>
        </r>
      </text>
    </comment>
    <comment ref="BG41" authorId="3">
      <text>
        <r>
          <rPr>
            <b/>
            <sz val="10"/>
            <color indexed="81"/>
            <rFont val="Tahoma"/>
            <family val="2"/>
          </rPr>
          <t>Brian Nowak:
guidance for 12%-20% (23%-31% constant currency)</t>
        </r>
      </text>
    </comment>
    <comment ref="BH41" authorId="3">
      <text>
        <r>
          <rPr>
            <b/>
            <sz val="10"/>
            <color indexed="81"/>
            <rFont val="Tahoma"/>
            <family val="2"/>
          </rPr>
          <t>Brian Nowak:
guidance for 27%-35% (28%-36% constant currency)</t>
        </r>
      </text>
    </comment>
    <comment ref="BI41" authorId="3">
      <text>
        <r>
          <rPr>
            <b/>
            <sz val="10"/>
            <color indexed="81"/>
            <rFont val="Tahoma"/>
            <family val="2"/>
          </rPr>
          <t>Brian Nowak:
guidance for 36%-43% (35%-42% constant currency)</t>
        </r>
      </text>
    </comment>
    <comment ref="BJ41" authorId="4">
      <text>
        <r>
          <rPr>
            <b/>
            <sz val="9"/>
            <color indexed="81"/>
            <rFont val="Tahoma"/>
            <family val="2"/>
          </rPr>
          <t>Brian Nowak:
guidance:  36% to 43% (33% to 40% constant currency)</t>
        </r>
      </text>
    </comment>
    <comment ref="BK41" authorId="5">
      <text>
        <r>
          <rPr>
            <b/>
            <sz val="9"/>
            <color indexed="81"/>
            <rFont val="Tahoma"/>
            <family val="2"/>
          </rPr>
          <t xml:space="preserve"> Brian Nowak:</t>
        </r>
        <r>
          <rPr>
            <sz val="9"/>
            <color indexed="81"/>
            <rFont val="Tahoma"/>
            <family val="2"/>
          </rPr>
          <t xml:space="preserve">
guidacne is 32% to 39%</t>
        </r>
      </text>
    </comment>
    <comment ref="BL41" authorId="4">
      <text>
        <r>
          <rPr>
            <b/>
            <sz val="9"/>
            <color indexed="81"/>
            <rFont val="Tahoma"/>
            <family val="2"/>
          </rPr>
          <t>Brian Nowak:
3Q guidance:  29% - 36%</t>
        </r>
      </text>
    </comment>
    <comment ref="BM41" authorId="4">
      <text>
        <r>
          <rPr>
            <b/>
            <sz val="9"/>
            <color indexed="81"/>
            <rFont val="Tahoma"/>
            <family val="2"/>
          </rPr>
          <t xml:space="preserve">Brian Nowak:
4Q guidance:  25% - 35%
per 1Q:14 10-Q:  International gross bookings drivers (pg 30): growth in accommodation room night reservations for our Booking.com and agoda.com businesses, as well as growth in rental car day reservations for our rentalcars.com business. 
</t>
        </r>
      </text>
    </comment>
    <comment ref="BN41" authorId="4">
      <text>
        <r>
          <rPr>
            <b/>
            <sz val="9"/>
            <color indexed="81"/>
            <rFont val="Tahoma"/>
            <family val="2"/>
          </rPr>
          <t xml:space="preserve">Brian Nowak:
1Q:14 guidance:  24%-34%
2Q:14 10-Q:  2Q growth was "primarily attributable to growth in accommodation room night reservations for our Booking.com and agoda.com businesses, as well as growth in rental car day reservations for our rentalcars.com business." 
</t>
        </r>
      </text>
    </comment>
    <comment ref="BO41" authorId="4">
      <text>
        <r>
          <rPr>
            <b/>
            <sz val="9"/>
            <color indexed="81"/>
            <rFont val="Tahoma"/>
            <family val="2"/>
          </rPr>
          <t xml:space="preserve">Brian Nowak:
2Q:14 guidance:  22%-32%
3Q:14 10-Q:  growth was "primarily attributable to growth in accommodation room night reservations for our Booking.com and agoda.com businesses, as well as growth in rental car day reservations for our rentalcars.com business"
</t>
        </r>
      </text>
    </comment>
    <comment ref="BP41" authorId="4">
      <text>
        <r>
          <rPr>
            <b/>
            <sz val="9"/>
            <color indexed="81"/>
            <rFont val="Tahoma"/>
            <family val="2"/>
          </rPr>
          <t>Brian Nowak:
3Q:14 guidance:  10%-17%</t>
        </r>
      </text>
    </comment>
    <comment ref="BQ41" authorId="6">
      <text>
        <r>
          <rPr>
            <b/>
            <sz val="9"/>
            <color indexed="81"/>
            <rFont val="Tahoma"/>
            <family val="2"/>
          </rPr>
          <t>Costantini, Michael (Research):</t>
        </r>
        <r>
          <rPr>
            <sz val="9"/>
            <color indexed="81"/>
            <rFont val="Tahoma"/>
            <family val="2"/>
          </rPr>
          <t xml:space="preserve">
4Q:14 guidance:  3%-10%
1Q:15 10-Q:  "International gross bookings growth was primarily attributable to growth in accommodation room night reservations for our Booking.com and agoda.com businesses, as well as growth in rental car day reservations for our rentalcars.com business." 
</t>
        </r>
      </text>
    </comment>
    <comment ref="BR41" authorId="6">
      <text>
        <r>
          <rPr>
            <b/>
            <sz val="9"/>
            <color indexed="81"/>
            <rFont val="Tahoma"/>
            <family val="2"/>
          </rPr>
          <t>Costantini, Michael (Research):</t>
        </r>
        <r>
          <rPr>
            <sz val="9"/>
            <color indexed="81"/>
            <rFont val="Tahoma"/>
            <family val="2"/>
          </rPr>
          <t xml:space="preserve">
1Q:15 guidance:  0%-7%
2Q:15 10-Q:  "International gross bookings growth was primarily attributable to growth in accommodation room night reservations for our Booking.com and agoda.com businesses, as well as growth in rental car day reservations for our rentalcars.com business." 
</t>
        </r>
      </text>
    </comment>
    <comment ref="BS41" authorId="6">
      <text>
        <r>
          <rPr>
            <b/>
            <sz val="9"/>
            <color indexed="81"/>
            <rFont val="Tahoma"/>
            <family val="2"/>
          </rPr>
          <t>Costantini, Michael (Research):</t>
        </r>
        <r>
          <rPr>
            <sz val="9"/>
            <color indexed="81"/>
            <rFont val="Tahoma"/>
            <family val="2"/>
          </rPr>
          <t xml:space="preserve">
2Q:15 guidance:  0% to 7%</t>
        </r>
      </text>
    </comment>
    <comment ref="BT41" authorId="6">
      <text>
        <r>
          <rPr>
            <b/>
            <sz val="9"/>
            <color indexed="81"/>
            <rFont val="Tahoma"/>
            <family val="2"/>
          </rPr>
          <t>Costantini, Michael (Research):</t>
        </r>
        <r>
          <rPr>
            <sz val="9"/>
            <color indexed="81"/>
            <rFont val="Tahoma"/>
            <family val="2"/>
          </rPr>
          <t xml:space="preserve">
3Q:15 guidance:  +3% to +10%</t>
        </r>
      </text>
    </comment>
    <comment ref="CM41" authorId="2">
      <text>
        <r>
          <rPr>
            <b/>
            <sz val="8"/>
            <color indexed="81"/>
            <rFont val="Tahoma"/>
            <family val="2"/>
          </rPr>
          <t>Brian Nowak:
but would have been 111% organic growth assuming Booking.com and Active owned for all of 2005</t>
        </r>
      </text>
    </comment>
    <comment ref="BM42" authorId="5">
      <text>
        <r>
          <rPr>
            <b/>
            <sz val="9"/>
            <color indexed="81"/>
            <rFont val="Tahoma"/>
            <family val="2"/>
          </rPr>
          <t xml:space="preserve"> Brian Nowak:</t>
        </r>
        <r>
          <rPr>
            <sz val="9"/>
            <color indexed="81"/>
            <rFont val="Tahoma"/>
            <family val="2"/>
          </rPr>
          <t xml:space="preserve">
net currency impact should be net 0 per 4Q:13 conf call due to impact of southern hemisphere currency</t>
        </r>
      </text>
    </comment>
    <comment ref="BN42" authorId="4">
      <text>
        <r>
          <rPr>
            <b/>
            <sz val="9"/>
            <color indexed="81"/>
            <rFont val="Tahoma"/>
            <family val="2"/>
          </rPr>
          <t>Brian Nowak:
1Q:14 conf call:  expect FX to be favorable to growth</t>
        </r>
      </text>
    </comment>
    <comment ref="AX43" authorId="2">
      <text>
        <r>
          <rPr>
            <b/>
            <sz val="8"/>
            <color indexed="81"/>
            <rFont val="Tahoma"/>
            <family val="2"/>
          </rPr>
          <t>Brian Nowak:
67%</t>
        </r>
      </text>
    </comment>
    <comment ref="AY43" authorId="2">
      <text>
        <r>
          <rPr>
            <b/>
            <sz val="8"/>
            <color indexed="81"/>
            <rFont val="Tahoma"/>
            <family val="2"/>
          </rPr>
          <t>Brian Nowak:
from transcript</t>
        </r>
      </text>
    </comment>
    <comment ref="AZ43" authorId="2">
      <text>
        <r>
          <rPr>
            <b/>
            <sz val="8"/>
            <color indexed="81"/>
            <rFont val="Tahoma"/>
            <family val="2"/>
          </rPr>
          <t>Brian Nowak:
guidance  54-59% reported, or 58% to 65% on constant currency</t>
        </r>
      </text>
    </comment>
    <comment ref="BC43" authorId="1">
      <text>
        <r>
          <rPr>
            <b/>
            <sz val="8"/>
            <color indexed="81"/>
            <rFont val="Tahoma"/>
            <family val="2"/>
          </rPr>
          <t>Brian Nowak:</t>
        </r>
        <r>
          <rPr>
            <sz val="8"/>
            <color indexed="81"/>
            <rFont val="Tahoma"/>
            <family val="2"/>
          </rPr>
          <t xml:space="preserve">
guidance 76% to 81% growth
\
53% to 58% local currency</t>
        </r>
      </text>
    </comment>
    <comment ref="BD43" authorId="2">
      <text>
        <r>
          <rPr>
            <b/>
            <sz val="8"/>
            <color indexed="81"/>
            <rFont val="Tahoma"/>
            <family val="2"/>
          </rPr>
          <t>Brian Nowak:
guidance for 49%-54% on local currency basis</t>
        </r>
      </text>
    </comment>
    <comment ref="BE43" authorId="2">
      <text>
        <r>
          <rPr>
            <b/>
            <sz val="8"/>
            <color indexed="81"/>
            <rFont val="Tahoma"/>
            <family val="2"/>
          </rPr>
          <t>Brian Nowak:
guidance for 43-48%</t>
        </r>
      </text>
    </comment>
    <comment ref="BF43" authorId="0">
      <text>
        <r>
          <rPr>
            <b/>
            <sz val="8"/>
            <color indexed="81"/>
            <rFont val="Tahoma"/>
            <family val="2"/>
          </rPr>
          <t>Brian Nowak:
guidance 41-46%</t>
        </r>
      </text>
    </comment>
    <comment ref="BG43" authorId="0">
      <text>
        <r>
          <rPr>
            <b/>
            <sz val="10"/>
            <color indexed="81"/>
            <rFont val="Tahoma"/>
            <family val="2"/>
          </rPr>
          <t>Brian Nowak:
guidance 23% to 31%</t>
        </r>
      </text>
    </comment>
    <comment ref="BH43" authorId="3">
      <text>
        <r>
          <rPr>
            <b/>
            <sz val="10"/>
            <color indexed="81"/>
            <rFont val="Tahoma"/>
            <family val="2"/>
          </rPr>
          <t>Brian Nowak:
28%-36% constant currency</t>
        </r>
      </text>
    </comment>
    <comment ref="BI43" authorId="3">
      <text>
        <r>
          <rPr>
            <b/>
            <sz val="10"/>
            <color indexed="81"/>
            <rFont val="Tahoma"/>
            <family val="2"/>
          </rPr>
          <t>Brian Nowak:
35%-42% constant currency</t>
        </r>
      </text>
    </comment>
    <comment ref="BJ43" authorId="4">
      <text>
        <r>
          <rPr>
            <b/>
            <sz val="9"/>
            <color indexed="81"/>
            <rFont val="Tahoma"/>
            <family val="2"/>
          </rPr>
          <t xml:space="preserve">Brian Nowak:
guidance:  33% to 40% constant currency  </t>
        </r>
      </text>
    </comment>
    <comment ref="BK43" authorId="5">
      <text>
        <r>
          <rPr>
            <b/>
            <sz val="9"/>
            <color indexed="81"/>
            <rFont val="Tahoma"/>
            <family val="2"/>
          </rPr>
          <t xml:space="preserve"> Brian Nowak:</t>
        </r>
        <r>
          <rPr>
            <sz val="9"/>
            <color indexed="81"/>
            <rFont val="Tahoma"/>
            <family val="2"/>
          </rPr>
          <t xml:space="preserve">
Guidance 30%-37%</t>
        </r>
      </text>
    </comment>
    <comment ref="BL43" authorId="4">
      <text>
        <r>
          <rPr>
            <b/>
            <sz val="9"/>
            <color indexed="81"/>
            <rFont val="Tahoma"/>
            <family val="2"/>
          </rPr>
          <t>Brian Nowak:
3Q guidance:  28% - 35%</t>
        </r>
      </text>
    </comment>
    <comment ref="BM43" authorId="5">
      <text>
        <r>
          <rPr>
            <b/>
            <sz val="9"/>
            <color indexed="81"/>
            <rFont val="Tahoma"/>
            <family val="2"/>
          </rPr>
          <t xml:space="preserve"> Brian Nowak:</t>
        </r>
        <r>
          <rPr>
            <sz val="9"/>
            <color indexed="81"/>
            <rFont val="Tahoma"/>
            <family val="2"/>
          </rPr>
          <t xml:space="preserve">
4Q guidance:  25% - 35%
</t>
        </r>
      </text>
    </comment>
    <comment ref="BN43" authorId="4">
      <text>
        <r>
          <rPr>
            <b/>
            <sz val="9"/>
            <color indexed="81"/>
            <rFont val="Tahoma"/>
            <family val="2"/>
          </rPr>
          <t>Brian Nowak:
1Q:14 guidance:  21%-31%</t>
        </r>
      </text>
    </comment>
    <comment ref="BO43" authorId="4">
      <text>
        <r>
          <rPr>
            <b/>
            <sz val="9"/>
            <color indexed="81"/>
            <rFont val="Tahoma"/>
            <family val="2"/>
          </rPr>
          <t>Brian Nowak:
2Q:14 guidance:  21%-31%</t>
        </r>
      </text>
    </comment>
    <comment ref="BP43" authorId="4">
      <text>
        <r>
          <rPr>
            <b/>
            <sz val="9"/>
            <color indexed="81"/>
            <rFont val="Tahoma"/>
            <family val="2"/>
          </rPr>
          <t>Brian Nowak:
3Q:14 guidance:  16%-23%</t>
        </r>
      </text>
    </comment>
    <comment ref="BQ43" authorId="6">
      <text>
        <r>
          <rPr>
            <b/>
            <sz val="9"/>
            <color indexed="81"/>
            <rFont val="Tahoma"/>
            <family val="2"/>
          </rPr>
          <t>Costantini, Michael (Research):</t>
        </r>
        <r>
          <rPr>
            <sz val="9"/>
            <color indexed="81"/>
            <rFont val="Tahoma"/>
            <family val="2"/>
          </rPr>
          <t xml:space="preserve">
4Q:14 guidance:  17%-24%</t>
        </r>
      </text>
    </comment>
    <comment ref="BR43" authorId="6">
      <text>
        <r>
          <rPr>
            <b/>
            <sz val="9"/>
            <color indexed="81"/>
            <rFont val="Tahoma"/>
            <family val="2"/>
          </rPr>
          <t>Costantini, Michael (Research):</t>
        </r>
        <r>
          <rPr>
            <sz val="9"/>
            <color indexed="81"/>
            <rFont val="Tahoma"/>
            <family val="2"/>
          </rPr>
          <t xml:space="preserve">
1Q:15 guidance:  17%-24%</t>
        </r>
      </text>
    </comment>
    <comment ref="BS43" authorId="6">
      <text>
        <r>
          <rPr>
            <b/>
            <sz val="9"/>
            <color indexed="81"/>
            <rFont val="Tahoma"/>
            <family val="2"/>
          </rPr>
          <t>Costantini, Michael (Research):</t>
        </r>
        <r>
          <rPr>
            <sz val="9"/>
            <color indexed="81"/>
            <rFont val="Tahoma"/>
            <family val="2"/>
          </rPr>
          <t xml:space="preserve">
2Q:15 guidance:  16% to 23%</t>
        </r>
      </text>
    </comment>
    <comment ref="BT43" authorId="6">
      <text>
        <r>
          <rPr>
            <b/>
            <sz val="9"/>
            <color indexed="81"/>
            <rFont val="Tahoma"/>
            <family val="2"/>
          </rPr>
          <t>Costantini, Michael (Research):</t>
        </r>
        <r>
          <rPr>
            <sz val="9"/>
            <color indexed="81"/>
            <rFont val="Tahoma"/>
            <family val="2"/>
          </rPr>
          <t xml:space="preserve">
3Q:15 guidance:  +17% to +24%</t>
        </r>
      </text>
    </comment>
    <comment ref="CV43" authorId="6">
      <text>
        <r>
          <rPr>
            <b/>
            <sz val="9"/>
            <color indexed="81"/>
            <rFont val="Tahoma"/>
            <family val="2"/>
          </rPr>
          <t>Costantini, Michael (Research):</t>
        </r>
        <r>
          <rPr>
            <sz val="9"/>
            <color indexed="81"/>
            <rFont val="Tahoma"/>
            <family val="2"/>
          </rPr>
          <t xml:space="preserve">
2015 10-K, Intl gross bookings (pg 50):
-International gross bookings growth in 2015 on a constant currency basis was "primarily attributable to growth in accommodation room night reservations for our Booking.com and agoda.com businesses, as well as international ADR growth on a constant currency basis and growth in rental car day reservations for our rentalcars.com business. " </t>
        </r>
      </text>
    </comment>
    <comment ref="CS50" authorId="5">
      <text>
        <r>
          <rPr>
            <b/>
            <sz val="9"/>
            <color indexed="81"/>
            <rFont val="Tahoma"/>
            <family val="2"/>
          </rPr>
          <t xml:space="preserve"> Brian Nowak:</t>
        </r>
        <r>
          <rPr>
            <sz val="9"/>
            <color indexed="81"/>
            <rFont val="Tahoma"/>
            <family val="2"/>
          </rPr>
          <t xml:space="preserve">
over 3bn</t>
        </r>
      </text>
    </comment>
    <comment ref="CT50" authorId="5">
      <text>
        <r>
          <rPr>
            <b/>
            <sz val="9"/>
            <color indexed="81"/>
            <rFont val="Tahoma"/>
            <family val="2"/>
          </rPr>
          <t xml:space="preserve"> Brian Nowak:</t>
        </r>
        <r>
          <rPr>
            <sz val="9"/>
            <color indexed="81"/>
            <rFont val="Tahoma"/>
            <family val="2"/>
          </rPr>
          <t xml:space="preserve">
2/20/14</t>
        </r>
      </text>
    </comment>
    <comment ref="I56" authorId="2">
      <text>
        <r>
          <rPr>
            <b/>
            <sz val="8"/>
            <color indexed="81"/>
            <rFont val="Tahoma"/>
            <family val="2"/>
          </rPr>
          <t>Brian Nowak:
NYOP (opaque)</t>
        </r>
      </text>
    </comment>
    <comment ref="AR57" authorId="2">
      <text>
        <r>
          <rPr>
            <b/>
            <sz val="8"/>
            <color indexed="81"/>
            <rFont val="Tahoma"/>
            <family val="2"/>
          </rPr>
          <t>Brian Nowak:
up20%</t>
        </r>
      </text>
    </comment>
    <comment ref="AS57" authorId="6">
      <text>
        <r>
          <rPr>
            <b/>
            <sz val="9"/>
            <color indexed="81"/>
            <rFont val="Tahoma"/>
            <family val="2"/>
          </rPr>
          <t>Costantini, Michael (Research):</t>
        </r>
        <r>
          <rPr>
            <sz val="9"/>
            <color indexed="81"/>
            <rFont val="Tahoma"/>
            <family val="2"/>
          </rPr>
          <t xml:space="preserve">
1Q:09 conf call:  "Domestic merchant gross books, which include opaque services and retail merchant hotels, showed strong growth which contributed to increased gross margins in the quarter."
benefitting from economic downturn</t>
        </r>
      </text>
    </comment>
    <comment ref="AT57" authorId="6">
      <text>
        <r>
          <rPr>
            <b/>
            <sz val="9"/>
            <color indexed="81"/>
            <rFont val="Tahoma"/>
            <family val="2"/>
          </rPr>
          <t>Costantini, Michael (Research):</t>
        </r>
        <r>
          <rPr>
            <sz val="9"/>
            <color indexed="81"/>
            <rFont val="Tahoma"/>
            <family val="2"/>
          </rPr>
          <t xml:space="preserve">
2Q:09 conf call:  "Domestic
merchant gross bookings, which include opaque services and retail merchant hotels, continued to show strong growth despite a decline in our air opaque business."
benefitting from economic downturn</t>
        </r>
      </text>
    </comment>
    <comment ref="AU57" authorId="6">
      <text>
        <r>
          <rPr>
            <b/>
            <sz val="9"/>
            <color indexed="81"/>
            <rFont val="Tahoma"/>
            <family val="2"/>
          </rPr>
          <t>Costantini, Michael (Research):</t>
        </r>
        <r>
          <rPr>
            <sz val="9"/>
            <color indexed="81"/>
            <rFont val="Tahoma"/>
            <family val="2"/>
          </rPr>
          <t xml:space="preserve">
3Q:09 conf call:  "Domestic merchant gross bookings which include Opaque Services and retail merchant hotels continued to show strong growth despite a decline in the Air Opaque business."
benefitting from economic downturn</t>
        </r>
      </text>
    </comment>
    <comment ref="AV57" authorId="6">
      <text>
        <r>
          <rPr>
            <b/>
            <sz val="9"/>
            <color indexed="81"/>
            <rFont val="Tahoma"/>
            <family val="2"/>
          </rPr>
          <t>Costantini, Michael (Research):</t>
        </r>
        <r>
          <rPr>
            <sz val="9"/>
            <color indexed="81"/>
            <rFont val="Tahoma"/>
            <family val="2"/>
          </rPr>
          <t xml:space="preserve">
4Q:09 conf call:  "Domestic merchant gross bookings, which include opaque services and retail merchant hotels continued to grow at attractive rates despite year-over-year declines in opaque airline tickets and retail car days tied primarily to declining capacity. Opaque and retail hotel room night reservation growth continued at impressive rates as our hotel partners continued to use promotional pricing to drive demand in retail channels and used our opaque service to bolster occupancy."
benefitting from economic downturn</t>
        </r>
      </text>
    </comment>
    <comment ref="AW57" authorId="6">
      <text>
        <r>
          <rPr>
            <b/>
            <sz val="9"/>
            <color indexed="81"/>
            <rFont val="Tahoma"/>
            <family val="2"/>
          </rPr>
          <t>Costantini, Michael (Research):</t>
        </r>
        <r>
          <rPr>
            <sz val="9"/>
            <color indexed="81"/>
            <rFont val="Tahoma"/>
            <family val="2"/>
          </rPr>
          <t xml:space="preserve">
1Q:10 conf call:  
domestic opaque growing YoY (hotel grew, airlines and rental cars declined)
"With respect to the domestic opaque business, while I can't give you a quantitative comment on that, we also expect deceleration in the growth rate in domestic opaque business. And I think that is probably consistent with the comment our competitor made.  </t>
        </r>
        <r>
          <rPr>
            <b/>
            <sz val="9"/>
            <color indexed="81"/>
            <rFont val="Tahoma"/>
            <family val="2"/>
          </rPr>
          <t>We have been enjoying very high rates of growth in that business over the past quarters</t>
        </r>
        <r>
          <rPr>
            <sz val="9"/>
            <color indexed="81"/>
            <rFont val="Tahoma"/>
            <family val="2"/>
          </rPr>
          <t xml:space="preserve"> and it's not a big surprise to us that growth in that line would decelerate a little bit here as we get into 2010."
"[Global]" Merchant gross bookings increased 25% as merchant hotel gross bookings, both at Priceline and Agoda, offset year-over-year decreases in opaque airline ticket and rental car sales. Where reduced industry capacity squeezed inventory available for opaque discounting."</t>
        </r>
      </text>
    </comment>
    <comment ref="AX57" authorId="6">
      <text>
        <r>
          <rPr>
            <b/>
            <sz val="9"/>
            <color indexed="81"/>
            <rFont val="Tahoma"/>
            <family val="2"/>
          </rPr>
          <t>Costantini, Michael (Research):</t>
        </r>
        <r>
          <rPr>
            <sz val="9"/>
            <color indexed="81"/>
            <rFont val="Tahoma"/>
            <family val="2"/>
          </rPr>
          <t xml:space="preserve">
2Q:10 conf call:  "...with respect to the opaque business, the opaque hotel business had good growth in the quarter. The air and rental car businesses are impacted by supply..."</t>
        </r>
      </text>
    </comment>
    <comment ref="AY57" authorId="6">
      <text>
        <r>
          <rPr>
            <b/>
            <sz val="9"/>
            <color indexed="81"/>
            <rFont val="Tahoma"/>
            <family val="2"/>
          </rPr>
          <t>Costantini, Michael (Research):</t>
        </r>
        <r>
          <rPr>
            <sz val="9"/>
            <color indexed="81"/>
            <rFont val="Tahoma"/>
            <family val="2"/>
          </rPr>
          <t xml:space="preserve">
3Q:10 conf call:  "[Global] Merchant gross bookings increased 41% as merchant hotel gross bookings both at Priceline and Agoda and the addition of merchant rental car bookings from TravelJigsaw offset year-over-year decreases in opaque airline ticket sales where reduced industry capacity continued to pressure inventory available for opaque discounting."</t>
        </r>
      </text>
    </comment>
    <comment ref="AZ57" authorId="6">
      <text>
        <r>
          <rPr>
            <b/>
            <sz val="9"/>
            <color indexed="81"/>
            <rFont val="Tahoma"/>
            <family val="2"/>
          </rPr>
          <t>Costantini, Michael (Research):</t>
        </r>
        <r>
          <rPr>
            <sz val="9"/>
            <color indexed="81"/>
            <rFont val="Tahoma"/>
            <family val="2"/>
          </rPr>
          <t xml:space="preserve">
4Q:10 conf call:  
opaque hotels grew
"Priceline's domestic gross bookings grew 9% in the fourth quarter due primarily to growth in sales of opaque and retail room night reservations and rental car reservations."</t>
        </r>
      </text>
    </comment>
    <comment ref="BA57" authorId="6">
      <text>
        <r>
          <rPr>
            <b/>
            <sz val="9"/>
            <color indexed="81"/>
            <rFont val="Tahoma"/>
            <family val="2"/>
          </rPr>
          <t>Costantini, Michael (Research):</t>
        </r>
        <r>
          <rPr>
            <sz val="9"/>
            <color indexed="81"/>
            <rFont val="Tahoma"/>
            <family val="2"/>
          </rPr>
          <t xml:space="preserve">
1Q:11 conf call:  opaque hotel room night bookings grew; opaque airline ticket growth was "solid"</t>
        </r>
      </text>
    </comment>
    <comment ref="BB57" authorId="6">
      <text>
        <r>
          <rPr>
            <b/>
            <sz val="9"/>
            <color indexed="81"/>
            <rFont val="Tahoma"/>
            <family val="2"/>
          </rPr>
          <t>Costantini, Michael (Research):</t>
        </r>
        <r>
          <rPr>
            <sz val="9"/>
            <color indexed="81"/>
            <rFont val="Tahoma"/>
            <family val="2"/>
          </rPr>
          <t xml:space="preserve">
2Q:11 conf call
-opaque hotel:  growth "decelerated"
-opaque air:  "strong" growth
-opaque rental car:   "performed well" </t>
        </r>
      </text>
    </comment>
    <comment ref="BC57" authorId="6">
      <text>
        <r>
          <rPr>
            <b/>
            <sz val="9"/>
            <color indexed="81"/>
            <rFont val="Tahoma"/>
            <family val="2"/>
          </rPr>
          <t>Costantini, Michael (Research):</t>
        </r>
        <r>
          <rPr>
            <sz val="9"/>
            <color indexed="81"/>
            <rFont val="Tahoma"/>
            <family val="2"/>
          </rPr>
          <t xml:space="preserve">
2Q:11 conf call
-opaque hotel:  "declined slightly"
-opaque air:  "good" growth
-total rental car:   "a good quarter" (referring to opaque and retail as a whole) </t>
        </r>
      </text>
    </comment>
    <comment ref="BD57" authorId="6">
      <text>
        <r>
          <rPr>
            <b/>
            <sz val="9"/>
            <color indexed="81"/>
            <rFont val="Tahoma"/>
            <family val="2"/>
          </rPr>
          <t>Costantini, Michael (Research):</t>
        </r>
        <r>
          <rPr>
            <sz val="9"/>
            <color indexed="81"/>
            <rFont val="Tahoma"/>
            <family val="2"/>
          </rPr>
          <t xml:space="preserve">
4Q:11 conf call:  "Priceline's Opaque hotel service continued to be impacted by the increase in competitive discount offerings in the market."
"We've had some modest declines in our Name Your Own Price hotel business, which is our biggest business in the US, and so that has a
negative impact on growth rates. Besides that, you can have some volatility in Name Your Own Price airline tickets, depending upon our ability to obtain discounted rates. And that varies, depending upon how the market is developing in that quarter. All else being equal, it's going to be more difficult, given the capacity cuts that the carriers have put in place in the last quarter or so."</t>
        </r>
      </text>
    </comment>
    <comment ref="BE57" authorId="6">
      <text>
        <r>
          <rPr>
            <b/>
            <sz val="9"/>
            <color indexed="81"/>
            <rFont val="Tahoma"/>
            <family val="2"/>
          </rPr>
          <t>Costantini, Michael (Research):</t>
        </r>
        <r>
          <rPr>
            <sz val="9"/>
            <color indexed="81"/>
            <rFont val="Tahoma"/>
            <family val="2"/>
          </rPr>
          <t xml:space="preserve">
1Q:12 conf call:  Name Your Own Price airline tickets and Name Your Own Price hotel room nights both decreased</t>
        </r>
      </text>
    </comment>
    <comment ref="BF57" authorId="6">
      <text>
        <r>
          <rPr>
            <b/>
            <sz val="9"/>
            <color indexed="81"/>
            <rFont val="Tahoma"/>
            <family val="2"/>
          </rPr>
          <t>Costantini, Michael (Research):</t>
        </r>
        <r>
          <rPr>
            <sz val="9"/>
            <color indexed="81"/>
            <rFont val="Tahoma"/>
            <family val="2"/>
          </rPr>
          <t xml:space="preserve">
2Q:12 conf call:  "However, each our Name Your Own Price businesses had a challenging quarter posting decreases in year-over-year units booked. We believe our Name Your Own Price hotel room nights declined likely as a result of the continued presence of competitive discount hotel initiatives and the emphasis on no bidding offerings in our off-line advertising."</t>
        </r>
      </text>
    </comment>
    <comment ref="BG57" authorId="6">
      <text>
        <r>
          <rPr>
            <b/>
            <sz val="9"/>
            <color indexed="81"/>
            <rFont val="Tahoma"/>
            <family val="2"/>
          </rPr>
          <t>Costantini, Michael (Research):</t>
        </r>
        <r>
          <rPr>
            <sz val="9"/>
            <color indexed="81"/>
            <rFont val="Tahoma"/>
            <family val="2"/>
          </rPr>
          <t xml:space="preserve">
3Q:12 conf call:  "However, each of our Name Your Own Price services posted year-over-year decreases in gross bookings and revenues as a result of the continued pressure from competitive discount hotel initiatives, and limited availability to discounted rates for airline tickets and rental car days."</t>
        </r>
      </text>
    </comment>
    <comment ref="BH57" authorId="6">
      <text>
        <r>
          <rPr>
            <b/>
            <sz val="9"/>
            <color indexed="81"/>
            <rFont val="Tahoma"/>
            <family val="2"/>
          </rPr>
          <t>Costantini, Michael (Research):</t>
        </r>
        <r>
          <rPr>
            <sz val="9"/>
            <color indexed="81"/>
            <rFont val="Tahoma"/>
            <family val="2"/>
          </rPr>
          <t xml:space="preserve">
4Q:12 conf call:  "However, our Name Your Own Price hotel service posted year-over-year decreases in gross bookings and revenue as a result of the continued pressure from competitive discount hotel initiatives. Opaque hotel did see improving growth
trends as we progressed through the quarter, which has carried over into Q1."</t>
        </r>
      </text>
    </comment>
    <comment ref="BJ57" authorId="6">
      <text>
        <r>
          <rPr>
            <b/>
            <sz val="9"/>
            <color indexed="81"/>
            <rFont val="Tahoma"/>
            <family val="2"/>
          </rPr>
          <t>Costantini, Michael (Research):</t>
        </r>
        <r>
          <rPr>
            <sz val="9"/>
            <color indexed="81"/>
            <rFont val="Tahoma"/>
            <family val="2"/>
          </rPr>
          <t xml:space="preserve">
2Q:13 conf call:  "…the Name Your Own Price hotel business, so that business is continuing to decline…"</t>
        </r>
      </text>
    </comment>
    <comment ref="BK57" authorId="6">
      <text>
        <r>
          <rPr>
            <b/>
            <sz val="9"/>
            <color indexed="81"/>
            <rFont val="Tahoma"/>
            <family val="2"/>
          </rPr>
          <t>Costantini, Michael (Research):</t>
        </r>
        <r>
          <rPr>
            <sz val="9"/>
            <color indexed="81"/>
            <rFont val="Tahoma"/>
            <family val="2"/>
          </rPr>
          <t xml:space="preserve">
3Q:13 conf call:  "We continue to see some declines in Name Your Own Price, but the two together, Express Deals and Name Your Own
Price, have driven overall growth."</t>
        </r>
      </text>
    </comment>
    <comment ref="BM57" authorId="6">
      <text>
        <r>
          <rPr>
            <b/>
            <sz val="9"/>
            <color indexed="81"/>
            <rFont val="Tahoma"/>
            <family val="2"/>
          </rPr>
          <t>Costantini, Michael (Research):</t>
        </r>
        <r>
          <rPr>
            <sz val="9"/>
            <color indexed="81"/>
            <rFont val="Tahoma"/>
            <family val="2"/>
          </rPr>
          <t xml:space="preserve">
1Q:14 conf call:  "But our Name Your Own Price hotel, air, and car services were all down year over year due to limited availability of discounted rates and share shifts to Express Deals."</t>
        </r>
      </text>
    </comment>
    <comment ref="BN57" authorId="6">
      <text>
        <r>
          <rPr>
            <b/>
            <sz val="9"/>
            <color indexed="81"/>
            <rFont val="Tahoma"/>
            <family val="2"/>
          </rPr>
          <t>Costantini, Michael (Research):</t>
        </r>
        <r>
          <rPr>
            <sz val="9"/>
            <color indexed="81"/>
            <rFont val="Tahoma"/>
            <family val="2"/>
          </rPr>
          <t xml:space="preserve">
2Q:14 conf call:  "The Name Your Own Price business, however, continues to be under pressure, given the tighter availability conditions present in today's robust travel environment."</t>
        </r>
      </text>
    </comment>
    <comment ref="BO57" authorId="6">
      <text>
        <r>
          <rPr>
            <b/>
            <sz val="9"/>
            <color indexed="81"/>
            <rFont val="Tahoma"/>
            <family val="2"/>
          </rPr>
          <t>Costantini, Michael (Research):</t>
        </r>
        <r>
          <rPr>
            <sz val="9"/>
            <color indexed="81"/>
            <rFont val="Tahoma"/>
            <family val="2"/>
          </rPr>
          <t xml:space="preserve">
3Q:14 conf call:  "Name-Your-Own-Price hotel, air, and car services were all down year-over-year, due to limited availability of discounted rates, and share shift to Express Deals."</t>
        </r>
      </text>
    </comment>
    <comment ref="BP57" authorId="6">
      <text>
        <r>
          <rPr>
            <b/>
            <sz val="9"/>
            <color indexed="81"/>
            <rFont val="Tahoma"/>
            <family val="2"/>
          </rPr>
          <t>Costantini, Michael (Research):</t>
        </r>
        <r>
          <rPr>
            <sz val="9"/>
            <color indexed="81"/>
            <rFont val="Tahoma"/>
            <family val="2"/>
          </rPr>
          <t xml:space="preserve">
4Q:14 conf call:  NYOP cont to be "hamstrung" by lack of discounted rate</t>
        </r>
      </text>
    </comment>
    <comment ref="BQ57" authorId="6">
      <text>
        <r>
          <rPr>
            <b/>
            <sz val="9"/>
            <color indexed="81"/>
            <rFont val="Tahoma"/>
            <family val="2"/>
          </rPr>
          <t>Costantini, Michael (Research):</t>
        </r>
        <r>
          <rPr>
            <sz val="9"/>
            <color indexed="81"/>
            <rFont val="Tahoma"/>
            <family val="2"/>
          </rPr>
          <t xml:space="preserve">
1Q:15 10-Q:  "...recent high hotel occupancy levels in the United States have had an adverse impact on our access to hotel rooms for our opaque hotel reservation services, which has negatively affected our opaque hotel reservation gross profits."
1Q:15 conf call:  NYOP cont to be "hampered" by lack of discounted rate</t>
        </r>
      </text>
    </comment>
    <comment ref="BR57" authorId="6">
      <text>
        <r>
          <rPr>
            <b/>
            <sz val="9"/>
            <color indexed="81"/>
            <rFont val="Tahoma"/>
            <family val="2"/>
          </rPr>
          <t>Costantini, Michael (Research):</t>
        </r>
        <r>
          <rPr>
            <sz val="9"/>
            <color indexed="81"/>
            <rFont val="Tahoma"/>
            <family val="2"/>
          </rPr>
          <t xml:space="preserve">
2Q:15 10-Q:  "Recent high hotel occupancy levels in the United States (which has had an adverse impact on our access to hotel rooms for our opaque hotel reservation services) and, we believe, the increased use by consumers of discounted closed user group retail prices for hotel rooms have negatively affected our opaque hotel reservation gross profits"
</t>
        </r>
      </text>
    </comment>
    <comment ref="I63" authorId="2">
      <text>
        <r>
          <rPr>
            <b/>
            <sz val="8"/>
            <color indexed="81"/>
            <rFont val="Tahoma"/>
            <family val="2"/>
          </rPr>
          <t>Brian Nowak:
Domestic Price Disclosed Businesses
express deals</t>
        </r>
      </text>
    </comment>
    <comment ref="BA64" authorId="6">
      <text>
        <r>
          <rPr>
            <b/>
            <sz val="9"/>
            <color indexed="81"/>
            <rFont val="Tahoma"/>
            <family val="2"/>
          </rPr>
          <t>Costantini, Michael (Research):</t>
        </r>
        <r>
          <rPr>
            <sz val="9"/>
            <color indexed="81"/>
            <rFont val="Tahoma"/>
            <family val="2"/>
          </rPr>
          <t xml:space="preserve">
1Q:11 conf call:  retail hotel room night bookings grew</t>
        </r>
      </text>
    </comment>
    <comment ref="BB64" authorId="6">
      <text>
        <r>
          <rPr>
            <b/>
            <sz val="9"/>
            <color indexed="81"/>
            <rFont val="Tahoma"/>
            <family val="2"/>
          </rPr>
          <t>Costantini, Michael (Research):</t>
        </r>
        <r>
          <rPr>
            <sz val="9"/>
            <color indexed="81"/>
            <rFont val="Tahoma"/>
            <family val="2"/>
          </rPr>
          <t xml:space="preserve">
2Q:11 conf call:  retail hotel room night bookings grew</t>
        </r>
      </text>
    </comment>
    <comment ref="BC64" authorId="6">
      <text>
        <r>
          <rPr>
            <b/>
            <sz val="9"/>
            <color indexed="81"/>
            <rFont val="Tahoma"/>
            <family val="2"/>
          </rPr>
          <t>Costantini, Michael (Research):</t>
        </r>
        <r>
          <rPr>
            <sz val="9"/>
            <color indexed="81"/>
            <rFont val="Tahoma"/>
            <family val="2"/>
          </rPr>
          <t xml:space="preserve">
3Q:11 conf call:  both retail hotel and air grew; overall rental car biz (retail + opaque) was "good"</t>
        </r>
      </text>
    </comment>
    <comment ref="BD64" authorId="2">
      <text>
        <r>
          <rPr>
            <b/>
            <sz val="8"/>
            <color indexed="81"/>
            <rFont val="Tahoma"/>
            <family val="2"/>
          </rPr>
          <t>Brian Nowak:
accelerated 4Q vs 3Q…becaue of air</t>
        </r>
      </text>
    </comment>
    <comment ref="BF64" authorId="6">
      <text>
        <r>
          <rPr>
            <b/>
            <sz val="9"/>
            <color indexed="81"/>
            <rFont val="Tahoma"/>
            <family val="2"/>
          </rPr>
          <t>Costantini, Michael (Research):</t>
        </r>
        <r>
          <rPr>
            <sz val="9"/>
            <color indexed="81"/>
            <rFont val="Tahoma"/>
            <family val="2"/>
          </rPr>
          <t xml:space="preserve">
2Q:12 conf call:  "Priceline's domestic gross bookings grew 5% in the second quarter due to primarily to growth in retail hotel room night gross bookings aided by higher ADRs, and growth in domestic retail rental car reservations."</t>
        </r>
      </text>
    </comment>
    <comment ref="BG64" authorId="6">
      <text>
        <r>
          <rPr>
            <b/>
            <sz val="9"/>
            <color indexed="81"/>
            <rFont val="Tahoma"/>
            <family val="2"/>
          </rPr>
          <t>Costantini, Michael (Research):</t>
        </r>
        <r>
          <rPr>
            <sz val="9"/>
            <color indexed="81"/>
            <rFont val="Tahoma"/>
            <family val="2"/>
          </rPr>
          <t xml:space="preserve">
3Q:12 conf call:  "Gross bookings grew by 7% for our Priceline.com brand business in the US. Strong growth in retail hotel room, airline ticket, and rental car reservations, together with higher ADRs and air ticket prices were key drivers in year-over-year growth."</t>
        </r>
      </text>
    </comment>
    <comment ref="BH64" authorId="6">
      <text>
        <r>
          <rPr>
            <b/>
            <sz val="9"/>
            <color indexed="81"/>
            <rFont val="Tahoma"/>
            <family val="2"/>
          </rPr>
          <t>Costantini, Michael (Research):</t>
        </r>
        <r>
          <rPr>
            <sz val="9"/>
            <color indexed="81"/>
            <rFont val="Tahoma"/>
            <family val="2"/>
          </rPr>
          <t xml:space="preserve">
4Q:12 conf call:  "Priceline's domestic gross bookings grew
4% in the fourth quarter, due primarily to growth in retail rental car reservations and retail hotel room night bookings."</t>
        </r>
      </text>
    </comment>
    <comment ref="BM64" authorId="6">
      <text>
        <r>
          <rPr>
            <b/>
            <sz val="9"/>
            <color indexed="81"/>
            <rFont val="Tahoma"/>
            <family val="2"/>
          </rPr>
          <t>Costantini, Michael (Research):</t>
        </r>
        <r>
          <rPr>
            <sz val="9"/>
            <color indexed="81"/>
            <rFont val="Tahoma"/>
            <family val="2"/>
          </rPr>
          <t xml:space="preserve">
1Q:14 conf call:  "Gross bookings for our Priceline.com brand business in the US grew by 20%. Performance was strong across retail air, rental car, and hotel verticals, including the benefit from increased advertising placements within KAYAK. Hotel Express Deals also performed well."</t>
        </r>
      </text>
    </comment>
    <comment ref="BN64" authorId="6">
      <text>
        <r>
          <rPr>
            <b/>
            <sz val="9"/>
            <color indexed="81"/>
            <rFont val="Tahoma"/>
            <family val="2"/>
          </rPr>
          <t>Costantini, Michael (Research):</t>
        </r>
        <r>
          <rPr>
            <sz val="9"/>
            <color indexed="81"/>
            <rFont val="Tahoma"/>
            <family val="2"/>
          </rPr>
          <t xml:space="preserve">
2Q:14 conf call:  "Priceline.com posted solid 21% growth in gross bookings, with strong results in its retail offerings."</t>
        </r>
      </text>
    </comment>
    <comment ref="BO64" authorId="6">
      <text>
        <r>
          <rPr>
            <b/>
            <sz val="9"/>
            <color indexed="81"/>
            <rFont val="Tahoma"/>
            <family val="2"/>
          </rPr>
          <t>Costantini, Michael (Research):</t>
        </r>
        <r>
          <rPr>
            <sz val="9"/>
            <color indexed="81"/>
            <rFont val="Tahoma"/>
            <family val="2"/>
          </rPr>
          <t xml:space="preserve">
3Q:14 conf call:  "Gross bookings for our Priceline.com brand business in the US grew by 10%, driven by good performance for retail travel services, which benefited from increased retail advertising placements on Kayak."</t>
        </r>
      </text>
    </comment>
    <comment ref="BQ64" authorId="6">
      <text>
        <r>
          <rPr>
            <b/>
            <sz val="9"/>
            <color indexed="81"/>
            <rFont val="Tahoma"/>
            <family val="2"/>
          </rPr>
          <t>Costantini, Michael (Research):</t>
        </r>
        <r>
          <rPr>
            <sz val="9"/>
            <color indexed="81"/>
            <rFont val="Tahoma"/>
            <family val="2"/>
          </rPr>
          <t xml:space="preserve">
1Q:15 conf call:  retail hotel and rental cars strong…hotels accelerated</t>
        </r>
      </text>
    </comment>
    <comment ref="AR71" authorId="2">
      <text>
        <r>
          <rPr>
            <b/>
            <sz val="8"/>
            <color indexed="81"/>
            <rFont val="Tahoma"/>
            <family val="2"/>
          </rPr>
          <t>Brian Nowak:
up20%</t>
        </r>
      </text>
    </comment>
    <comment ref="I74" authorId="2">
      <text>
        <r>
          <rPr>
            <b/>
            <sz val="8"/>
            <color indexed="81"/>
            <rFont val="Tahoma"/>
            <family val="2"/>
          </rPr>
          <t>Brian Nowak:
Priceline</t>
        </r>
      </text>
    </comment>
    <comment ref="AU74" authorId="2">
      <text>
        <r>
          <rPr>
            <b/>
            <sz val="8"/>
            <color indexed="81"/>
            <rFont val="Tahoma"/>
            <family val="2"/>
          </rPr>
          <t>Brian Nowak:
Priceline’s domestic gross bookings grew 25% in Q3, with accelerating growth in hotel unit
sales and retail airline tickets offset by y-over-y decreases in ADRs and air fares</t>
        </r>
      </text>
    </comment>
    <comment ref="AV74" authorId="2">
      <text>
        <r>
          <rPr>
            <b/>
            <sz val="8"/>
            <color indexed="81"/>
            <rFont val="Tahoma"/>
            <family val="2"/>
          </rPr>
          <t>Brian Nowak:
Priceline’s domestic gross bookings grew 21% in Q4, due primarily to growth in sales of
opaque and retail hotel room night reservations, retail airline tickets and vacation packages</t>
        </r>
      </text>
    </comment>
    <comment ref="BK74" authorId="5">
      <text>
        <r>
          <rPr>
            <b/>
            <sz val="9"/>
            <color indexed="81"/>
            <rFont val="Tahoma"/>
            <family val="2"/>
          </rPr>
          <t xml:space="preserve"> Brian Nowak:</t>
        </r>
        <r>
          <rPr>
            <sz val="9"/>
            <color indexed="81"/>
            <rFont val="Tahoma"/>
            <family val="2"/>
          </rPr>
          <t xml:space="preserve">
Page 35 of 10Q
</t>
        </r>
        <r>
          <rPr>
            <sz val="10"/>
            <color indexed="81"/>
            <rFont val="Tahoma"/>
            <family val="2"/>
          </rPr>
          <t xml:space="preserve">Increase in priceline.com retail air, express deals hotels and retail rental service
partically offset by decline in opaque NYOP (due to shift toward Express deals) </t>
        </r>
      </text>
    </comment>
    <comment ref="BU74" authorId="6">
      <text>
        <r>
          <rPr>
            <b/>
            <sz val="9"/>
            <color indexed="81"/>
            <rFont val="Tahoma"/>
            <family val="2"/>
          </rPr>
          <t>Costantini, Michael (Research):</t>
        </r>
        <r>
          <rPr>
            <sz val="9"/>
            <color indexed="81"/>
            <rFont val="Tahoma"/>
            <family val="2"/>
          </rPr>
          <t xml:space="preserve">
MS est (no longer reported)</t>
        </r>
      </text>
    </comment>
    <comment ref="AZ75" authorId="2">
      <text>
        <r>
          <rPr>
            <b/>
            <sz val="8"/>
            <color indexed="81"/>
            <rFont val="Tahoma"/>
            <family val="2"/>
          </rPr>
          <t>Brian Nowak:
guidance 5-10%
Flat Air Bookings, Double digit hotel bookings</t>
        </r>
      </text>
    </comment>
    <comment ref="BA75" authorId="2">
      <text>
        <r>
          <rPr>
            <b/>
            <sz val="8"/>
            <color indexed="81"/>
            <rFont val="Tahoma"/>
            <family val="2"/>
          </rPr>
          <t>Brian Nowak:
Guidance for 7-12% growth</t>
        </r>
      </text>
    </comment>
    <comment ref="BB75" authorId="1">
      <text>
        <r>
          <rPr>
            <b/>
            <sz val="8"/>
            <color indexed="81"/>
            <rFont val="Tahoma"/>
            <family val="2"/>
          </rPr>
          <t>Brian Nowak:</t>
        </r>
        <r>
          <rPr>
            <sz val="8"/>
            <color indexed="81"/>
            <rFont val="Tahoma"/>
            <family val="2"/>
          </rPr>
          <t xml:space="preserve">
guidance 8-13% growth</t>
        </r>
      </text>
    </comment>
    <comment ref="BC75" authorId="2">
      <text>
        <r>
          <rPr>
            <b/>
            <sz val="8"/>
            <color indexed="81"/>
            <rFont val="Tahoma"/>
            <family val="2"/>
          </rPr>
          <t>Brian Nowak:
guidance 8-13%
helped by retail hotel room nights and ADRs…growth in airline ticket sales with higher fares and growth in rental car reservations..lopaque helped too as its being used as revenue management tool higher fares</t>
        </r>
      </text>
    </comment>
    <comment ref="BD75" authorId="2">
      <text>
        <r>
          <rPr>
            <b/>
            <sz val="8"/>
            <color indexed="81"/>
            <rFont val="Tahoma"/>
            <family val="2"/>
          </rPr>
          <t>Brian Nowak:
guidacne for 13%</t>
        </r>
      </text>
    </comment>
    <comment ref="BE75" authorId="2">
      <text>
        <r>
          <rPr>
            <b/>
            <sz val="8"/>
            <color indexed="81"/>
            <rFont val="Tahoma"/>
            <family val="2"/>
          </rPr>
          <t>Brian Nowak:
guidance for 10%</t>
        </r>
      </text>
    </comment>
    <comment ref="BF75" authorId="0">
      <text>
        <r>
          <rPr>
            <b/>
            <sz val="10"/>
            <color indexed="81"/>
            <rFont val="Tahoma"/>
            <family val="2"/>
          </rPr>
          <t>Brian Nowak:
guidance 5-10%</t>
        </r>
      </text>
    </comment>
    <comment ref="BG75" authorId="3">
      <text>
        <r>
          <rPr>
            <b/>
            <sz val="10"/>
            <color indexed="81"/>
            <rFont val="Tahoma"/>
            <family val="2"/>
          </rPr>
          <t>Brian Nowak:
guidance for 5%</t>
        </r>
      </text>
    </comment>
    <comment ref="BH75" authorId="3">
      <text>
        <r>
          <rPr>
            <b/>
            <sz val="10"/>
            <color indexed="81"/>
            <rFont val="Tahoma"/>
            <family val="2"/>
          </rPr>
          <t>Brian Nowak:
guidance for flat</t>
        </r>
      </text>
    </comment>
    <comment ref="BI75" authorId="3">
      <text>
        <r>
          <rPr>
            <b/>
            <sz val="10"/>
            <color indexed="81"/>
            <rFont val="Tahoma"/>
            <family val="2"/>
          </rPr>
          <t>Brian Nowak:
guidance for 5% to 10%</t>
        </r>
      </text>
    </comment>
    <comment ref="BJ75" authorId="4">
      <text>
        <r>
          <rPr>
            <b/>
            <sz val="9"/>
            <color indexed="81"/>
            <rFont val="Tahoma"/>
            <family val="2"/>
          </rPr>
          <t>Brian Nowak:
guidance: 5% to 10%</t>
        </r>
      </text>
    </comment>
    <comment ref="BK75" authorId="5">
      <text>
        <r>
          <rPr>
            <b/>
            <sz val="9"/>
            <color indexed="81"/>
            <rFont val="Tahoma"/>
            <family val="2"/>
          </rPr>
          <t xml:space="preserve"> Brian Nowak:</t>
        </r>
        <r>
          <rPr>
            <sz val="9"/>
            <color indexed="81"/>
            <rFont val="Tahoma"/>
            <family val="2"/>
          </rPr>
          <t xml:space="preserve">
guidance is 5% to 10%</t>
        </r>
      </text>
    </comment>
    <comment ref="BL75" authorId="4">
      <text>
        <r>
          <rPr>
            <b/>
            <sz val="9"/>
            <color indexed="81"/>
            <rFont val="Tahoma"/>
            <family val="2"/>
          </rPr>
          <t>Brian Nowak:
3Q guidance:  17% - 24%</t>
        </r>
      </text>
    </comment>
    <comment ref="BM75" authorId="4">
      <text>
        <r>
          <rPr>
            <b/>
            <sz val="9"/>
            <color indexed="81"/>
            <rFont val="Tahoma"/>
            <family val="2"/>
          </rPr>
          <t xml:space="preserve">Brian Nowak:
1Q:14 conf call:  Priceline.com bookings +20%
4Q guidance:  15% - 20%
per 1Q:14 10-Q:  Domestic gross bookings drivers  (pg 30): increase in priceline.com's retail airline ticket service, Express Deals® hotel reservation service, and retail rental car service, partially offset by a decline in our Name Your Own Price® hotel and air reservation services.
</t>
        </r>
      </text>
    </comment>
    <comment ref="BN75" authorId="4">
      <text>
        <r>
          <rPr>
            <b/>
            <sz val="9"/>
            <color indexed="81"/>
            <rFont val="Tahoma"/>
            <family val="2"/>
          </rPr>
          <t xml:space="preserve">Brian Nowak:
1Q:14 guidance:  15%-20%
2Q:14 10-Q:  2Q growth was  "primarily due to increases in priceline.com's retail airline ticket, retail hotel, Express Deals® and rental car services, partially offset by declines in our Name Your Own Price® hotel and air services."
</t>
        </r>
      </text>
    </comment>
    <comment ref="BO75" authorId="4">
      <text>
        <r>
          <rPr>
            <b/>
            <sz val="9"/>
            <color indexed="81"/>
            <rFont val="Tahoma"/>
            <family val="2"/>
          </rPr>
          <t xml:space="preserve">Brian Nowak:
2Q:14 guidance:  10%-15%
3Q:14 10-Q:  growth was  "primarily due to increases in priceline.com's retail airline ticket, retail hotel, Express Deals® hotel and retail rental car services, partially offset by declines in priceline.com's Name Your Own Price® hotel and airline ticket reservation services."
</t>
        </r>
      </text>
    </comment>
    <comment ref="BP75" authorId="4">
      <text>
        <r>
          <rPr>
            <b/>
            <sz val="9"/>
            <color indexed="81"/>
            <rFont val="Tahoma"/>
            <family val="2"/>
          </rPr>
          <t xml:space="preserve">Brian Nowak:
3Q:14 guidance:  0%-5%
lapping Kayak and NYOP </t>
        </r>
      </text>
    </comment>
    <comment ref="BQ75" authorId="6">
      <text>
        <r>
          <rPr>
            <b/>
            <sz val="9"/>
            <color indexed="81"/>
            <rFont val="Tahoma"/>
            <family val="2"/>
          </rPr>
          <t>Costantini, Michael (Research):</t>
        </r>
        <r>
          <rPr>
            <sz val="9"/>
            <color indexed="81"/>
            <rFont val="Tahoma"/>
            <family val="2"/>
          </rPr>
          <t xml:space="preserve">
4Q:14 guidance:  0%-5%
1Q:15 10-Q:  Domestic  gross bookings growth was "primarily due to increases in priceline.com's retail hotel, retail rental car and Express Deals® hotel reservation services, partially offset by declines in priceline.com's Name Your Own Price® reservation services and retail airline ticket service.</t>
        </r>
      </text>
    </comment>
    <comment ref="BR75" authorId="6">
      <text>
        <r>
          <rPr>
            <b/>
            <sz val="9"/>
            <color indexed="81"/>
            <rFont val="Tahoma"/>
            <family val="2"/>
          </rPr>
          <t>Costantini, Michael (Research):</t>
        </r>
        <r>
          <rPr>
            <sz val="9"/>
            <color indexed="81"/>
            <rFont val="Tahoma"/>
            <family val="2"/>
          </rPr>
          <t xml:space="preserve">
1Q:15 guidance:  0%-5%
2Q:15 10-Q:  Domestic gross bookings growth was "primarily due to increases in priceline.com's retail hotel, retail rental car and Express Deals® hotel reservation services, partially offset by declines in priceline.com's Name Your Own Price® reservation services and retail airline ticket service."
</t>
        </r>
      </text>
    </comment>
    <comment ref="BS75" authorId="6">
      <text>
        <r>
          <rPr>
            <b/>
            <sz val="9"/>
            <color indexed="81"/>
            <rFont val="Tahoma"/>
            <family val="2"/>
          </rPr>
          <t>Costantini, Michael (Research):</t>
        </r>
        <r>
          <rPr>
            <sz val="9"/>
            <color indexed="81"/>
            <rFont val="Tahoma"/>
            <family val="2"/>
          </rPr>
          <t xml:space="preserve">
2Q:15 guidance:  "about the same as 3Q:14"</t>
        </r>
      </text>
    </comment>
    <comment ref="BT75" authorId="6">
      <text>
        <r>
          <rPr>
            <b/>
            <sz val="9"/>
            <color indexed="81"/>
            <rFont val="Tahoma"/>
            <family val="2"/>
          </rPr>
          <t>Costantini, Michael (Research):</t>
        </r>
        <r>
          <rPr>
            <sz val="9"/>
            <color indexed="81"/>
            <rFont val="Tahoma"/>
            <family val="2"/>
          </rPr>
          <t xml:space="preserve">
4Q:15 earnings conf call:  neg impacted by TV ad spend declines in 2H:16 in US as transitioned to a new US brand campaign (launched 1Q:16)...also global airfares down 15%
3Q:15 guidance:  -5% to -10%
driven by NYOP declines</t>
        </r>
      </text>
    </comment>
    <comment ref="BU75" authorId="6">
      <text>
        <r>
          <rPr>
            <b/>
            <sz val="9"/>
            <color indexed="81"/>
            <rFont val="Tahoma"/>
            <family val="2"/>
          </rPr>
          <t>Costantini, Michael (Research):</t>
        </r>
        <r>
          <rPr>
            <sz val="9"/>
            <color indexed="81"/>
            <rFont val="Tahoma"/>
            <family val="2"/>
          </rPr>
          <t xml:space="preserve">
new US brand campaign (launched 1Q:16).</t>
        </r>
      </text>
    </comment>
    <comment ref="CV75" authorId="6">
      <text>
        <r>
          <rPr>
            <b/>
            <sz val="9"/>
            <color indexed="81"/>
            <rFont val="Tahoma"/>
            <family val="2"/>
          </rPr>
          <t>Costantini, Michael (Research):</t>
        </r>
        <r>
          <rPr>
            <sz val="9"/>
            <color indexed="81"/>
            <rFont val="Tahoma"/>
            <family val="2"/>
          </rPr>
          <t xml:space="preserve">
2015 10-K, Domestic gross bookings (pg 50):
-U.S. gross bookings declines in 2015 was "primarily due to declines in gross bookings by priceline.com's retail airline ticket service (due to lower airfares), Name Your Own Price® reservation services and vacation package reservation service, partially offset by increases in gross bookings by priceline.com's retail hotel and rental car reservation services and priceline.com's Express Deals® hotel reservation service. "
</t>
        </r>
      </text>
    </comment>
    <comment ref="AT81" authorId="0">
      <text>
        <r>
          <rPr>
            <b/>
            <sz val="8"/>
            <color indexed="81"/>
            <rFont val="Tahoma"/>
            <family val="2"/>
          </rPr>
          <t>Brian Nowak:
listed before price-disclosed</t>
        </r>
      </text>
    </comment>
    <comment ref="AU81" authorId="0">
      <text>
        <r>
          <rPr>
            <b/>
            <sz val="8"/>
            <color indexed="81"/>
            <rFont val="Tahoma"/>
            <family val="2"/>
          </rPr>
          <t>Brian Nowak:
listed before price-disclosed</t>
        </r>
      </text>
    </comment>
    <comment ref="AV81" authorId="0">
      <text>
        <r>
          <rPr>
            <b/>
            <sz val="8"/>
            <color indexed="81"/>
            <rFont val="Tahoma"/>
            <family val="2"/>
          </rPr>
          <t>Brian Nowak:
listed before price-disclosed</t>
        </r>
      </text>
    </comment>
    <comment ref="AW81" authorId="0">
      <text>
        <r>
          <rPr>
            <b/>
            <sz val="8"/>
            <color indexed="81"/>
            <rFont val="Tahoma"/>
            <family val="2"/>
          </rPr>
          <t>Brian Nowak:
listed before price-disclosed</t>
        </r>
      </text>
    </comment>
    <comment ref="AX81" authorId="0">
      <text>
        <r>
          <rPr>
            <b/>
            <sz val="8"/>
            <color indexed="81"/>
            <rFont val="Tahoma"/>
            <family val="2"/>
          </rPr>
          <t>Brian Nowak:
listed before price-disclosed</t>
        </r>
      </text>
    </comment>
    <comment ref="BF81" authorId="0">
      <text>
        <r>
          <rPr>
            <b/>
            <sz val="8"/>
            <color indexed="81"/>
            <rFont val="Tahoma"/>
            <family val="2"/>
          </rPr>
          <t xml:space="preserve">Brian Nowak:
materially down more tha nlast qtr
</t>
        </r>
      </text>
    </comment>
    <comment ref="BJ81" authorId="5">
      <text>
        <r>
          <rPr>
            <b/>
            <sz val="9"/>
            <color indexed="81"/>
            <rFont val="Tahoma"/>
            <family val="2"/>
          </rPr>
          <t xml:space="preserve"> Brian Nowak:</t>
        </r>
        <r>
          <rPr>
            <sz val="9"/>
            <color indexed="81"/>
            <rFont val="Tahoma"/>
            <family val="2"/>
          </rPr>
          <t xml:space="preserve">
exited 1Q:13 positive growth
per 10-Q:  first qtr of growth in 2 years…declined since 3Q:11</t>
        </r>
      </text>
    </comment>
    <comment ref="BK81" authorId="4">
      <text>
        <r>
          <rPr>
            <b/>
            <sz val="9"/>
            <color indexed="81"/>
            <rFont val="Tahoma"/>
            <family val="2"/>
          </rPr>
          <t>Brian Nowak:
3Q conf call:  Express Deals "restored growth" to opaque hotels business</t>
        </r>
      </text>
    </comment>
    <comment ref="BM81" authorId="4">
      <text>
        <r>
          <rPr>
            <b/>
            <sz val="9"/>
            <color indexed="81"/>
            <rFont val="Tahoma"/>
            <family val="2"/>
          </rPr>
          <t xml:space="preserve">Brian Nowak:
1Q:14 10-Q:  
Domestic gross bookings drivers  (pg 30):  Increase in priceline.com's retail airline ticket service, Express Deals® hotel reservation service, and retail rental car service, partially offset by a decline in our Name Your Own Price® hotel and air reservation services.
</t>
        </r>
      </text>
    </comment>
    <comment ref="BN81" authorId="4">
      <text>
        <r>
          <rPr>
            <b/>
            <sz val="9"/>
            <color indexed="81"/>
            <rFont val="Tahoma"/>
            <family val="2"/>
          </rPr>
          <t xml:space="preserve">Brian Nowak:
2Q:14 10-Q:  
Domestic gross bookings increased by 20.6% and 20.1% for the three and six months ended June 30, 2014, respectively, compared to the same periods in 2013, primarily due to increases in priceline.com's retail airline ticket, retail hotel, Express Deals® and rental car services, partially offset by declines in our Name Your Own Price® hotel and air services.
</t>
        </r>
      </text>
    </comment>
    <comment ref="BO81" authorId="4">
      <text>
        <r>
          <rPr>
            <b/>
            <sz val="9"/>
            <color indexed="81"/>
            <rFont val="Tahoma"/>
            <family val="2"/>
          </rPr>
          <t xml:space="preserve">Brian Nowak:
3Q:14 10-Q:  Domestic gross bookings growth was  "primarily due to increases in priceline.com's retail airline ticket, retail hotel, Express Deals® hotel and retail rental car services, partially offset by declines in priceline.com's Name Your Own Price® hotel and airline ticket reservation services."
</t>
        </r>
      </text>
    </comment>
    <comment ref="BQ81" authorId="6">
      <text>
        <r>
          <rPr>
            <b/>
            <sz val="9"/>
            <color indexed="81"/>
            <rFont val="Tahoma"/>
            <family val="2"/>
          </rPr>
          <t>Costantini, Michael (Research):</t>
        </r>
        <r>
          <rPr>
            <sz val="9"/>
            <color indexed="81"/>
            <rFont val="Tahoma"/>
            <family val="2"/>
          </rPr>
          <t xml:space="preserve">
1Q:15 10-Q (pg 34):  domestic gross bookings growth was "primarily due to increases in priceline.com's retail hotel, retail rental car and Express Deals® hotel reservation services, partially offset by</t>
        </r>
        <r>
          <rPr>
            <b/>
            <sz val="9"/>
            <color indexed="81"/>
            <rFont val="Tahoma"/>
            <family val="2"/>
          </rPr>
          <t xml:space="preserve"> declines in priceline.com's Name Your Own Price® reservation services</t>
        </r>
        <r>
          <rPr>
            <sz val="9"/>
            <color indexed="81"/>
            <rFont val="Tahoma"/>
            <family val="2"/>
          </rPr>
          <t xml:space="preserve"> and retail airline ticket service."
  </t>
        </r>
      </text>
    </comment>
    <comment ref="BR81" authorId="6">
      <text>
        <r>
          <rPr>
            <b/>
            <sz val="9"/>
            <color indexed="81"/>
            <rFont val="Tahoma"/>
            <family val="2"/>
          </rPr>
          <t>Costantini, Michael (Research):</t>
        </r>
        <r>
          <rPr>
            <sz val="9"/>
            <color indexed="81"/>
            <rFont val="Tahoma"/>
            <family val="2"/>
          </rPr>
          <t xml:space="preserve">
2Q:15 10-Q (pg 35):  domestic gross bookings growth was primarily due to increases in priceline.com's retail hotel, retail rental car and Express Deals® hotel reservation services, partially offset by </t>
        </r>
        <r>
          <rPr>
            <b/>
            <sz val="9"/>
            <color indexed="81"/>
            <rFont val="Tahoma"/>
            <family val="2"/>
          </rPr>
          <t>declines in priceline.com's Name Your Own Price® reservation services</t>
        </r>
        <r>
          <rPr>
            <sz val="9"/>
            <color indexed="81"/>
            <rFont val="Tahoma"/>
            <family val="2"/>
          </rPr>
          <t xml:space="preserve"> and retail airline ticket service."
  </t>
        </r>
      </text>
    </comment>
    <comment ref="BS81" authorId="6">
      <text>
        <r>
          <rPr>
            <b/>
            <sz val="9"/>
            <color indexed="81"/>
            <rFont val="Tahoma"/>
            <family val="2"/>
          </rPr>
          <t>Costantini, Michael (Research):</t>
        </r>
        <r>
          <rPr>
            <sz val="9"/>
            <color indexed="81"/>
            <rFont val="Tahoma"/>
            <family val="2"/>
          </rPr>
          <t xml:space="preserve">
3Q:15 10-Q:  U.S. gross bookings decreased "due to </t>
        </r>
        <r>
          <rPr>
            <b/>
            <sz val="9"/>
            <color indexed="81"/>
            <rFont val="Tahoma"/>
            <family val="2"/>
          </rPr>
          <t>declines</t>
        </r>
        <r>
          <rPr>
            <sz val="9"/>
            <color indexed="81"/>
            <rFont val="Tahoma"/>
            <family val="2"/>
          </rPr>
          <t xml:space="preserve"> in gross bookings by priceline.com’s retail airline ticket service (primarily due to lower airfares, partially offset by an increase in the number of retail airline ticket reservations), </t>
        </r>
        <r>
          <rPr>
            <b/>
            <sz val="9"/>
            <color indexed="81"/>
            <rFont val="Tahoma"/>
            <family val="2"/>
          </rPr>
          <t>Name Your Own Price® reservation services</t>
        </r>
        <r>
          <rPr>
            <sz val="9"/>
            <color indexed="81"/>
            <rFont val="Tahoma"/>
            <family val="2"/>
          </rPr>
          <t xml:space="preserve"> and vacation package reservation service, partially offset by increases in gross bookings by priceline.com’s retail hotel, retail rental car and Express Deals® hotel reservation services and the inclusion of our Rocketmiles hotel reservation service (which we acquired in February 2015)."
  </t>
        </r>
      </text>
    </comment>
    <comment ref="CP81" authorId="0">
      <text>
        <r>
          <rPr>
            <b/>
            <sz val="8"/>
            <color indexed="81"/>
            <rFont val="Tahoma"/>
            <family val="2"/>
          </rPr>
          <t>Brian Nowak:
listed before price-disclosed</t>
        </r>
      </text>
    </comment>
    <comment ref="CS81" authorId="5">
      <text>
        <r>
          <rPr>
            <b/>
            <sz val="9"/>
            <color indexed="81"/>
            <rFont val="Tahoma"/>
            <family val="2"/>
          </rPr>
          <t xml:space="preserve"> Brian Nowak:</t>
        </r>
        <r>
          <rPr>
            <sz val="9"/>
            <color indexed="81"/>
            <rFont val="Tahoma"/>
            <family val="2"/>
          </rPr>
          <t xml:space="preserve">
10K language implies decline
We believe these offerings, in particular "Expedia
Unpublished Rates", have adversely impacted the market share and year-over-year
growth rate for our opaque hotel service, which experienced a decline in room night reservations in 2012 compared to 2011.</t>
        </r>
      </text>
    </comment>
    <comment ref="I82" authorId="0">
      <text>
        <r>
          <rPr>
            <b/>
            <sz val="8"/>
            <color indexed="81"/>
            <rFont val="Tahoma"/>
            <family val="2"/>
          </rPr>
          <t>Brian Nowak:
MT: 8/2012: opaque  bigger than price diclosed (majority, but not 75%)</t>
        </r>
      </text>
    </comment>
    <comment ref="AL82" authorId="0">
      <text>
        <r>
          <rPr>
            <b/>
            <sz val="8"/>
            <color indexed="81"/>
            <rFont val="Tahoma"/>
            <family val="2"/>
          </rPr>
          <t xml:space="preserve">Brian Nowak:
domestic retail merchant hotel biz
primarily to the expiration on December 31, 2006 of our agreement with Orbitz whereby Orbitz generated bookings of retail merchant
hotel rooms using our booking engine and our negotiated rates in return for a commission.
</t>
        </r>
      </text>
    </comment>
    <comment ref="BG82" authorId="0">
      <text>
        <r>
          <rPr>
            <b/>
            <sz val="8"/>
            <color indexed="81"/>
            <rFont val="Tahoma"/>
            <family val="2"/>
          </rPr>
          <t>Brian Nowak:
domeastic hotel bookings growth…driven by retail air</t>
        </r>
      </text>
    </comment>
    <comment ref="BI82" authorId="5">
      <text>
        <r>
          <rPr>
            <b/>
            <sz val="9"/>
            <color indexed="81"/>
            <rFont val="Tahoma"/>
            <family val="2"/>
          </rPr>
          <t xml:space="preserve"> Brian Nowak:</t>
        </r>
        <r>
          <rPr>
            <sz val="9"/>
            <color indexed="81"/>
            <rFont val="Tahoma"/>
            <family val="2"/>
          </rPr>
          <t xml:space="preserve">
post 1Q:13
retail is comparable size to opaque now; express deals is opaque, but its recorded on a net basis
</t>
        </r>
      </text>
    </comment>
    <comment ref="BK82" authorId="5">
      <text>
        <r>
          <rPr>
            <b/>
            <sz val="9"/>
            <color indexed="81"/>
            <rFont val="Tahoma"/>
            <family val="2"/>
          </rPr>
          <t xml:space="preserve"> Brian Nowak:</t>
        </r>
        <r>
          <rPr>
            <sz val="9"/>
            <color indexed="81"/>
            <rFont val="Tahoma"/>
            <family val="2"/>
          </rPr>
          <t xml:space="preserve">
Hotel room night reservations increased by 35.6% for the three and nine months ended September 30, 2013,
principally due to an increase in Booking.com, Agoda.com and priceline.com semi-opaque Express DealsSM and retail hotel room night reservations, partically offset by decline in NYOP
 Nyop still declinilng, but express deals + NYOP are growing
</t>
        </r>
      </text>
    </comment>
    <comment ref="BM82" authorId="4">
      <text>
        <r>
          <rPr>
            <b/>
            <sz val="9"/>
            <color indexed="81"/>
            <rFont val="Tahoma"/>
            <family val="2"/>
          </rPr>
          <t xml:space="preserve">Brian Nowak:
1Q:14 10-Q:  
Domestic gross bookings drivers  (pg 30):  Increase in priceline.com's retail airline ticket service, Express Deals® hotel reservation service, and retail rental car service, partially offset by a decline in our Name Your Own Price® hotel and air reservation services.
</t>
        </r>
      </text>
    </comment>
    <comment ref="BN82" authorId="4">
      <text>
        <r>
          <rPr>
            <b/>
            <sz val="9"/>
            <color indexed="81"/>
            <rFont val="Tahoma"/>
            <family val="2"/>
          </rPr>
          <t xml:space="preserve">Brian Nowak:
2Q:14 10-Q:  
Domestic gross bookings increased by 20.6% and 20.1% for the three and six months ended June 30, 2014, respectively, compared to the same periods in 2013, primarily due to increases in priceline.com's retail airline ticket, retail hotel, Express Deals® and rental car services, partially offset by declines in our Name Your Own Price® hotel and air services.
</t>
        </r>
      </text>
    </comment>
    <comment ref="BO82" authorId="4">
      <text>
        <r>
          <rPr>
            <b/>
            <sz val="9"/>
            <color indexed="81"/>
            <rFont val="Tahoma"/>
            <family val="2"/>
          </rPr>
          <t xml:space="preserve">Brian Nowak:
3Q:14 10-Q:  Domestic gross bookings growth was  "primarily due to increases in priceline.com's retail airline ticket, retail hotel, Express Deals® hotel and retail rental car services, partially offset by declines in priceline.com's Name Your Own Price® hotel and airline ticket reservation services."
</t>
        </r>
      </text>
    </comment>
    <comment ref="BQ82" authorId="6">
      <text>
        <r>
          <rPr>
            <b/>
            <sz val="9"/>
            <color indexed="81"/>
            <rFont val="Tahoma"/>
            <family val="2"/>
          </rPr>
          <t>Costantini, Michael (Research):</t>
        </r>
        <r>
          <rPr>
            <sz val="9"/>
            <color indexed="81"/>
            <rFont val="Tahoma"/>
            <family val="2"/>
          </rPr>
          <t xml:space="preserve">
1Q:15 10-Q (pg 34):  domestic gross bookings growth was "primarily due to </t>
        </r>
        <r>
          <rPr>
            <b/>
            <sz val="9"/>
            <color indexed="81"/>
            <rFont val="Tahoma"/>
            <family val="2"/>
          </rPr>
          <t>increases in priceline.com's retail hotel, retail rental car and Express Deals® hotel reservation services</t>
        </r>
        <r>
          <rPr>
            <sz val="9"/>
            <color indexed="81"/>
            <rFont val="Tahoma"/>
            <family val="2"/>
          </rPr>
          <t xml:space="preserve">, partially offset by declines in priceline.com's Name Your Own Price® reservation services and </t>
        </r>
        <r>
          <rPr>
            <b/>
            <sz val="9"/>
            <color indexed="81"/>
            <rFont val="Tahoma"/>
            <family val="2"/>
          </rPr>
          <t>[declines in] retail airline ticket service.</t>
        </r>
        <r>
          <rPr>
            <sz val="9"/>
            <color indexed="81"/>
            <rFont val="Tahoma"/>
            <family val="2"/>
          </rPr>
          <t xml:space="preserve">"
  </t>
        </r>
      </text>
    </comment>
    <comment ref="BR82" authorId="6">
      <text>
        <r>
          <rPr>
            <b/>
            <sz val="9"/>
            <color indexed="81"/>
            <rFont val="Tahoma"/>
            <family val="2"/>
          </rPr>
          <t>Costantini, Michael (Research):</t>
        </r>
        <r>
          <rPr>
            <sz val="9"/>
            <color indexed="81"/>
            <rFont val="Tahoma"/>
            <family val="2"/>
          </rPr>
          <t xml:space="preserve">
2Q:15 10-Q (pg 35):  domestic gross bookings growth was primarily due to </t>
        </r>
        <r>
          <rPr>
            <b/>
            <sz val="9"/>
            <color indexed="81"/>
            <rFont val="Tahoma"/>
            <family val="2"/>
          </rPr>
          <t>increases in priceline.com's retail hotel, retail rental car and Express Deals® hotel reservation services</t>
        </r>
        <r>
          <rPr>
            <sz val="9"/>
            <color indexed="81"/>
            <rFont val="Tahoma"/>
            <family val="2"/>
          </rPr>
          <t>, partially offset by declines in priceline.com's Name Your Own Price® reservation services and</t>
        </r>
        <r>
          <rPr>
            <b/>
            <sz val="9"/>
            <color indexed="81"/>
            <rFont val="Tahoma"/>
            <family val="2"/>
          </rPr>
          <t xml:space="preserve"> [declines in] retail airline ticket service."</t>
        </r>
        <r>
          <rPr>
            <sz val="9"/>
            <color indexed="81"/>
            <rFont val="Tahoma"/>
            <family val="2"/>
          </rPr>
          <t xml:space="preserve">
  </t>
        </r>
      </text>
    </comment>
    <comment ref="BS82" authorId="6">
      <text>
        <r>
          <rPr>
            <b/>
            <sz val="9"/>
            <color indexed="81"/>
            <rFont val="Tahoma"/>
            <family val="2"/>
          </rPr>
          <t>Costantini, Michael (Research):</t>
        </r>
        <r>
          <rPr>
            <sz val="9"/>
            <color indexed="81"/>
            <rFont val="Tahoma"/>
            <family val="2"/>
          </rPr>
          <t xml:space="preserve">
3Q:15 10-Q:  U.S. gross bookings decreased "due to </t>
        </r>
        <r>
          <rPr>
            <b/>
            <sz val="9"/>
            <color indexed="81"/>
            <rFont val="Tahoma"/>
            <family val="2"/>
          </rPr>
          <t>declines in gross bookings by priceline.com’s retail airline ticket service</t>
        </r>
        <r>
          <rPr>
            <sz val="9"/>
            <color indexed="81"/>
            <rFont val="Tahoma"/>
            <family val="2"/>
          </rPr>
          <t xml:space="preserve"> (primarily due to lower airfares, partially offset by an increase in the number of retail airline ticket reservations), Name Your Own Price® reservation services and vacation package reservation service,</t>
        </r>
        <r>
          <rPr>
            <b/>
            <sz val="9"/>
            <color indexed="81"/>
            <rFont val="Tahoma"/>
            <family val="2"/>
          </rPr>
          <t xml:space="preserve"> partially offset by increases in gross bookings by priceline.com’s retail hotel, retail rental car and Express Deals® hotel reservation services</t>
        </r>
        <r>
          <rPr>
            <sz val="9"/>
            <color indexed="81"/>
            <rFont val="Tahoma"/>
            <family val="2"/>
          </rPr>
          <t xml:space="preserve"> and the inclusion of our Rocketmiles hotel reservation service (which we acquired in February 2015)."
  </t>
        </r>
      </text>
    </comment>
    <comment ref="BG83" authorId="0">
      <text>
        <r>
          <rPr>
            <b/>
            <sz val="8"/>
            <color indexed="81"/>
            <rFont val="Tahoma"/>
            <family val="2"/>
          </rPr>
          <t>Brian Nowak:
MT: 8/2012: opaque  bigger than price diclosed (majority, but not 75%)
no reason to aassume it got any better</t>
        </r>
      </text>
    </comment>
    <comment ref="I86" authorId="2">
      <text>
        <r>
          <rPr>
            <b/>
            <sz val="8"/>
            <color indexed="81"/>
            <rFont val="Tahoma"/>
            <family val="2"/>
          </rPr>
          <t>Brian Nowak:
includes opaque services and retail merchant hotels</t>
        </r>
      </text>
    </comment>
    <comment ref="BN87" authorId="4">
      <text>
        <r>
          <rPr>
            <b/>
            <sz val="9"/>
            <color indexed="81"/>
            <rFont val="Tahoma"/>
            <family val="2"/>
          </rPr>
          <t>Brian Nowak:
2Q:14 10-Q:  2Q growth was "primarily due to increases in agoda.com, rentalcars.com and priceline.com Express Deals® hotel and retail hotel services, as well as higher Name Your Own Price® rental car ADRs, partially offset by declines in our Name Your Own Price hotel and air services."</t>
        </r>
      </text>
    </comment>
    <comment ref="BO87" authorId="4">
      <text>
        <r>
          <rPr>
            <b/>
            <sz val="9"/>
            <color indexed="81"/>
            <rFont val="Tahoma"/>
            <family val="2"/>
          </rPr>
          <t>Brian Nowak:
3Q:14 10-Q:  -growth was "primarily due to increases in agoda.com hotel reservation services, rentalcars.com rental car reservation services and priceline.com Express Deals® hotel and retail hotel reservation services, partially offset by declines in priceline.com's Name Your Own Price® hotel and airline ticket reservation services."</t>
        </r>
      </text>
    </comment>
    <comment ref="BQ87" authorId="6">
      <text>
        <r>
          <rPr>
            <b/>
            <sz val="9"/>
            <color indexed="81"/>
            <rFont val="Tahoma"/>
            <family val="2"/>
          </rPr>
          <t>Costantini, Michael (Research):</t>
        </r>
        <r>
          <rPr>
            <sz val="9"/>
            <color indexed="81"/>
            <rFont val="Tahoma"/>
            <family val="2"/>
          </rPr>
          <t xml:space="preserve">
1Q:15 10-Q:  growth was "primarily due to increases in agoda.com and priceline.com retail hotel reservation services, rentalcars.com rental car reservations and priceline.com's Express Deals® hotel reservation service, partially offset by declines in priceline.com's Name Your Own Price® reservation services."</t>
        </r>
      </text>
    </comment>
    <comment ref="BR87" authorId="6">
      <text>
        <r>
          <rPr>
            <b/>
            <sz val="9"/>
            <color indexed="81"/>
            <rFont val="Tahoma"/>
            <family val="2"/>
          </rPr>
          <t>Costantini, Michael (Research):</t>
        </r>
        <r>
          <rPr>
            <sz val="9"/>
            <color indexed="81"/>
            <rFont val="Tahoma"/>
            <family val="2"/>
          </rPr>
          <t xml:space="preserve">
2Q:15 10-Q:  Merchant gross bookings growth was "primarily due to increases in </t>
        </r>
        <r>
          <rPr>
            <b/>
            <sz val="9"/>
            <color indexed="81"/>
            <rFont val="Tahoma"/>
            <family val="2"/>
          </rPr>
          <t>merchant retail hotel reservation services for Booking.com</t>
        </r>
        <r>
          <rPr>
            <sz val="9"/>
            <color indexed="81"/>
            <rFont val="Tahoma"/>
            <family val="2"/>
          </rPr>
          <t xml:space="preserve">, priceline.com and agoda.com, rentalcars.com rental car reservations and priceline.com's Express Deals® hotel reservation service, partially offset by declines in priceline.com's Name Your Own Price® reservation services."  </t>
        </r>
      </text>
    </comment>
    <comment ref="CV87" authorId="6">
      <text>
        <r>
          <rPr>
            <b/>
            <sz val="9"/>
            <color indexed="81"/>
            <rFont val="Tahoma"/>
            <family val="2"/>
          </rPr>
          <t>Costantini, Michael (Research):</t>
        </r>
        <r>
          <rPr>
            <sz val="9"/>
            <color indexed="81"/>
            <rFont val="Tahoma"/>
            <family val="2"/>
          </rPr>
          <t xml:space="preserve">
2015 10-K, Merchant gross bookings (pg 51):
-Merchant gross bookings growth in 2015 was "primarily due to increases in gross bookings by merchant retail hotel reservation services for Booking.com and priceline.com, rentalcars.com's rental car reservation service, and priceline.com's Express Deals® hotel reservation service as well as the inclusion of our Rocketmiles hotel reservation service since its acquisition in February 2015. These increases were partially offset by declines in gross bookings by priceline.com's Name Your Own Price® reservation services and the impact of the stronger U.S. Dollar on agoda.com's merchant retail hotel reservation service."
</t>
        </r>
      </text>
    </comment>
    <comment ref="BN93" authorId="4">
      <text>
        <r>
          <rPr>
            <b/>
            <sz val="9"/>
            <color indexed="81"/>
            <rFont val="Tahoma"/>
            <family val="2"/>
          </rPr>
          <t>Brian Nowak:
2Q:14 10-Q:  2Q growth was "primarily due to growth in Booking.com accommodation room night reservations, as well as growth in priceline.com's retail airline ticket, rental car and hotel services."</t>
        </r>
      </text>
    </comment>
    <comment ref="BO93" authorId="4">
      <text>
        <r>
          <rPr>
            <b/>
            <sz val="9"/>
            <color indexed="81"/>
            <rFont val="Tahoma"/>
            <family val="2"/>
          </rPr>
          <t xml:space="preserve">Brian Nowak:
3Q:14 10-Q:  -growth was "primarily due to growth in Booking.com accommodation room night reservations, as well as growth in priceline.com's retail airline ticket, rental car and hotel reservation services." </t>
        </r>
      </text>
    </comment>
    <comment ref="BQ93" authorId="6">
      <text>
        <r>
          <rPr>
            <b/>
            <sz val="9"/>
            <color indexed="81"/>
            <rFont val="Tahoma"/>
            <family val="2"/>
          </rPr>
          <t>Costantini, Michael (Research):</t>
        </r>
        <r>
          <rPr>
            <sz val="9"/>
            <color indexed="81"/>
            <rFont val="Tahoma"/>
            <family val="2"/>
          </rPr>
          <t xml:space="preserve">
1Q:15 10-Q:  growth was "primarily due to growth in Booking.com accommodation room night reservations, as well as growth in priceline.com retail rental car and hotel reservation services and rentalcars.com rental car reservations."</t>
        </r>
      </text>
    </comment>
    <comment ref="BR93" authorId="6">
      <text>
        <r>
          <rPr>
            <b/>
            <sz val="9"/>
            <color indexed="81"/>
            <rFont val="Tahoma"/>
            <family val="2"/>
          </rPr>
          <t>Costantini, Michael (Research):</t>
        </r>
        <r>
          <rPr>
            <sz val="9"/>
            <color indexed="81"/>
            <rFont val="Tahoma"/>
            <family val="2"/>
          </rPr>
          <t xml:space="preserve">
2Q:15 10-Q:  Agency gross bookings growth was "primarily due to growth in Booking.com accommodation room night reservations, as well as growth in priceline.com retail rental car and hotel reservation services and rentalcars.com rental car reservations." </t>
        </r>
      </text>
    </comment>
    <comment ref="CV93" authorId="6">
      <text>
        <r>
          <rPr>
            <b/>
            <sz val="9"/>
            <color indexed="81"/>
            <rFont val="Tahoma"/>
            <family val="2"/>
          </rPr>
          <t>Costantini, Michael (Research):</t>
        </r>
        <r>
          <rPr>
            <sz val="9"/>
            <color indexed="81"/>
            <rFont val="Tahoma"/>
            <family val="2"/>
          </rPr>
          <t xml:space="preserve">
2015 10-K, Agency gross bookings (pg 51):
-Agency gross bookings growth was in 2015 "primarily due to growth in gross bookings from Booking.com agency accommodation room night reservations, as well as growth in gross bookings by priceline.com and rentalcars.com agency retail rental car reservation services, and priceline.com and agoda.com agency retail hotel reservation services, partially offset by lower retail airfares. "
</t>
        </r>
      </text>
    </comment>
    <comment ref="AJ100" authorId="0">
      <text>
        <r>
          <rPr>
            <b/>
            <sz val="8"/>
            <color indexed="81"/>
            <rFont val="Tahoma"/>
            <family val="2"/>
          </rPr>
          <t>Brian Nowak:
domestic merchant bookinup 18%</t>
        </r>
      </text>
    </comment>
    <comment ref="AK100" authorId="0">
      <text>
        <r>
          <rPr>
            <b/>
            <sz val="10"/>
            <color indexed="81"/>
            <rFont val="Tahoma"/>
            <family val="2"/>
          </rPr>
          <t>Brian Nowak:
conf call transcript Despite the loss of Orbitz business, our domestic
hotel and rental car businesses continued to perform well in the quarter showing solid growth in
units and gross bookings. The strength of these businesses is evident in the 8% growth in
merchant bookings and 11% growth in pro forma domestic gross profit dollars in the quarter.</t>
        </r>
      </text>
    </comment>
    <comment ref="BB100" authorId="2">
      <text>
        <r>
          <rPr>
            <b/>
            <sz val="8"/>
            <color indexed="81"/>
            <rFont val="Tahoma"/>
            <family val="2"/>
          </rPr>
          <t>Brian Nowak:
lwoer than 1Q</t>
        </r>
      </text>
    </comment>
    <comment ref="BE100" authorId="5">
      <text>
        <r>
          <rPr>
            <b/>
            <sz val="9"/>
            <color indexed="81"/>
            <rFont val="Tahoma"/>
            <family val="2"/>
          </rPr>
          <t xml:space="preserve"> Brian Nowak:</t>
        </r>
        <r>
          <rPr>
            <sz val="9"/>
            <color indexed="81"/>
            <rFont val="Tahoma"/>
            <family val="2"/>
          </rPr>
          <t xml:space="preserve">
per MT
~10% of total room nights </t>
        </r>
      </text>
    </comment>
    <comment ref="BF100" authorId="5">
      <text>
        <r>
          <rPr>
            <b/>
            <sz val="9"/>
            <color indexed="81"/>
            <rFont val="Tahoma"/>
            <family val="2"/>
          </rPr>
          <t xml:space="preserve"> Brian Nowak:</t>
        </r>
        <r>
          <rPr>
            <sz val="9"/>
            <color indexed="81"/>
            <rFont val="Tahoma"/>
            <family val="2"/>
          </rPr>
          <t xml:space="preserve">
per MT
~10% of total room nights </t>
        </r>
      </text>
    </comment>
    <comment ref="BG100" authorId="5">
      <text>
        <r>
          <rPr>
            <b/>
            <sz val="9"/>
            <color indexed="81"/>
            <rFont val="Tahoma"/>
            <family val="2"/>
          </rPr>
          <t xml:space="preserve"> Brian Nowak:</t>
        </r>
        <r>
          <rPr>
            <sz val="9"/>
            <color indexed="81"/>
            <rFont val="Tahoma"/>
            <family val="2"/>
          </rPr>
          <t xml:space="preserve">
per MT
~10% of total room nights </t>
        </r>
      </text>
    </comment>
    <comment ref="BH100" authorId="5">
      <text>
        <r>
          <rPr>
            <b/>
            <sz val="9"/>
            <color indexed="81"/>
            <rFont val="Tahoma"/>
            <family val="2"/>
          </rPr>
          <t xml:space="preserve"> Brian Nowak:</t>
        </r>
        <r>
          <rPr>
            <sz val="9"/>
            <color indexed="81"/>
            <rFont val="Tahoma"/>
            <family val="2"/>
          </rPr>
          <t xml:space="preserve">
per MT
~10% of total room nights </t>
        </r>
      </text>
    </comment>
    <comment ref="CS100" authorId="5">
      <text>
        <r>
          <rPr>
            <b/>
            <sz val="9"/>
            <color indexed="81"/>
            <rFont val="Tahoma"/>
            <family val="2"/>
          </rPr>
          <t xml:space="preserve"> Brian Nowak:</t>
        </r>
        <r>
          <rPr>
            <sz val="9"/>
            <color indexed="81"/>
            <rFont val="Tahoma"/>
            <family val="2"/>
          </rPr>
          <t xml:space="preserve">
per MT
~10% of total room nights </t>
        </r>
      </text>
    </comment>
    <comment ref="AL101" authorId="2">
      <text>
        <r>
          <rPr>
            <b/>
            <sz val="10"/>
            <color indexed="81"/>
            <rFont val="Tahoma"/>
            <family val="2"/>
          </rPr>
          <t>Brian Nowak:
per 5/2007 presentation at GS; 20% of international is 1. APAC 2. US and 3. Eastern Europe
growing over 200%</t>
        </r>
      </text>
    </comment>
    <comment ref="AN101" authorId="2">
      <text>
        <r>
          <rPr>
            <b/>
            <sz val="8"/>
            <color indexed="81"/>
            <rFont val="Tahoma"/>
            <family val="2"/>
          </rPr>
          <t>Brian Nowak:
most of growth coming internationally</t>
        </r>
      </text>
    </comment>
    <comment ref="CM101" authorId="2">
      <text>
        <r>
          <rPr>
            <b/>
            <sz val="8"/>
            <color indexed="81"/>
            <rFont val="Tahoma"/>
            <family val="2"/>
          </rPr>
          <t>Brian Nowak:
10.9m in Europe per 4Q conf call tarns
per 5/2007 presentation at GS; 20% of international is 1. APAC 2. US and 3. Eastern Europe
growing over 200%</t>
        </r>
      </text>
    </comment>
    <comment ref="AX102" authorId="2">
      <text>
        <r>
          <rPr>
            <b/>
            <sz val="8"/>
            <color indexed="81"/>
            <rFont val="Tahoma"/>
            <family val="2"/>
          </rPr>
          <t>Brian Nowak:
early part of qtr hurt by iceland volcano</t>
        </r>
      </text>
    </comment>
    <comment ref="BU103" authorId="6">
      <text>
        <r>
          <rPr>
            <b/>
            <sz val="9"/>
            <color indexed="81"/>
            <rFont val="Tahoma"/>
            <family val="2"/>
          </rPr>
          <t>Costantini, Michael (Research):</t>
        </r>
        <r>
          <rPr>
            <sz val="9"/>
            <color indexed="81"/>
            <rFont val="Tahoma"/>
            <family val="2"/>
          </rPr>
          <t xml:space="preserve">
4Q:15 earnings conf call:  tailwinds from strong Chinese New Year, Carnival, and favorable calendar shift of Easter and Leap Year</t>
        </r>
      </text>
    </comment>
    <comment ref="AK107" authorId="0">
      <text>
        <r>
          <rPr>
            <b/>
            <sz val="10"/>
            <color indexed="81"/>
            <rFont val="Tahoma"/>
            <family val="2"/>
          </rPr>
          <t>Brian Nowak:
BTN esitmated…domestic hotel biz strong…
8% total merchant bookings growth and 11% domestic GP growth</t>
        </r>
      </text>
    </comment>
    <comment ref="AL107" authorId="0">
      <text>
        <r>
          <rPr>
            <b/>
            <sz val="8"/>
            <color indexed="81"/>
            <rFont val="Tahoma"/>
            <family val="2"/>
          </rPr>
          <t>Brian Nowak:
 we reported an 11% increase in domestic pro forma gross profit
as our domestic hotel and rental car businesses continued to perform well showing continued
growth in units and gross bookings.</t>
        </r>
      </text>
    </comment>
    <comment ref="AM107" authorId="0">
      <text>
        <r>
          <rPr>
            <b/>
            <sz val="8"/>
            <color indexed="81"/>
            <rFont val="Tahoma"/>
            <family val="2"/>
          </rPr>
          <t>Brian Nowak:
Per 3Q:07 conf call; positive growth domestically and internationally</t>
        </r>
      </text>
    </comment>
    <comment ref="AN107" authorId="0">
      <text>
        <r>
          <rPr>
            <b/>
            <sz val="10"/>
            <color indexed="81"/>
            <rFont val="Tahoma"/>
            <family val="2"/>
          </rPr>
          <t>Brian Nowak:
Merchant growth was attributable to growth in opaque
and retail hotel merchant room-night sales and growth in unit sales of opaque rental cars</t>
        </r>
      </text>
    </comment>
    <comment ref="AO107" authorId="0">
      <text>
        <r>
          <rPr>
            <b/>
            <sz val="10"/>
            <color indexed="81"/>
            <rFont val="Tahoma"/>
            <family val="2"/>
          </rPr>
          <t>Brian Nowak:
Improving merchant results were attributable to
growth in all of our opaque services and retail hotel merchant room night sales</t>
        </r>
      </text>
    </comment>
    <comment ref="AP107" authorId="0">
      <text>
        <r>
          <rPr>
            <b/>
            <sz val="10"/>
            <color indexed="81"/>
            <rFont val="Tahoma"/>
            <family val="2"/>
          </rPr>
          <t>Brian Nowak:
Improving merchant results were attributable to growth in
sales in our opaque hotel and air services, and growth in package services and retail hotel
merchant room night sales.</t>
        </r>
      </text>
    </comment>
    <comment ref="AQ107" authorId="0">
      <text>
        <r>
          <rPr>
            <b/>
            <sz val="8"/>
            <color indexed="81"/>
            <rFont val="Tahoma"/>
            <family val="2"/>
          </rPr>
          <t>Brian Nowak:
Priceline’s domestic business grew 33% in the third quarter due to growth in sales of opaque and
retail airline tickets, hotel room nights, and vacation packages.</t>
        </r>
      </text>
    </comment>
    <comment ref="AR107" authorId="0">
      <text>
        <r>
          <rPr>
            <b/>
            <sz val="8"/>
            <color indexed="81"/>
            <rFont val="Tahoma"/>
            <family val="2"/>
          </rPr>
          <t>Brian Nowak:
Priceline’s domestic gross bookings grew 31% in the fourth quarter, due to growth in sales of
opaque and retail airline tickets, hotel room nights, rental car days, and vacation packages.</t>
        </r>
      </text>
    </comment>
    <comment ref="AZ107" authorId="2">
      <text>
        <r>
          <rPr>
            <b/>
            <sz val="8"/>
            <color indexed="81"/>
            <rFont val="Tahoma"/>
            <family val="2"/>
          </rPr>
          <t>Brian Nowak:
4Q conf call; domestic roomm nights up strong double digits, in partic price disclosed nights</t>
        </r>
      </text>
    </comment>
    <comment ref="BB107" authorId="2">
      <text>
        <r>
          <rPr>
            <b/>
            <sz val="8"/>
            <color indexed="81"/>
            <rFont val="Tahoma"/>
            <family val="2"/>
          </rPr>
          <t>Brian Nowak:
up, but slower sequentially</t>
        </r>
      </text>
    </comment>
    <comment ref="BC107" authorId="2">
      <text>
        <r>
          <rPr>
            <b/>
            <sz val="8"/>
            <color indexed="81"/>
            <rFont val="Tahoma"/>
            <family val="2"/>
          </rPr>
          <t>Brian Nowak:
name our own price hotel room nights declined slightly due to competitors discount hotel offerings
but retail growing robustly, so total up , but slightly slower than 2Q</t>
        </r>
      </text>
    </comment>
    <comment ref="BD107" authorId="2">
      <text>
        <r>
          <rPr>
            <b/>
            <sz val="8"/>
            <color indexed="81"/>
            <rFont val="Tahoma"/>
            <family val="2"/>
          </rPr>
          <t>Brian Nowak:
Gross bookings growth for our U.S. business was 16%, exceeded our forecast for 13% growth. Strong growth in retail hotel room nights booked and higher ADRs were key drivers in year-over-year growth. Name Your Own Price hotel room nights declined slightly, likely as a result of competitors’ discount hotel initiatives.
turbo-boosted by adding Booking.com in 1H 2010..by solid...faster than 10%...must faster.
first qtr lapping partial qtr of Hotwire opaque product
lapping opaque on Expedia</t>
        </r>
      </text>
    </comment>
    <comment ref="BE107" authorId="0">
      <text>
        <r>
          <rPr>
            <b/>
            <sz val="8"/>
            <color indexed="81"/>
            <rFont val="Tahoma"/>
            <family val="2"/>
          </rPr>
          <t>Brian Nowak:
safe to assume both decelerated</t>
        </r>
      </text>
    </comment>
    <comment ref="BF107" authorId="0">
      <text>
        <r>
          <rPr>
            <b/>
            <sz val="10"/>
            <color indexed="81"/>
            <rFont val="Tahoma"/>
            <family val="2"/>
          </rPr>
          <t xml:space="preserve">Brian Nowak:
-1.7%
should be -1% to -2%
price-disclosed room reservations up
- opaque down
first time its ever declined on an all-in basis
</t>
        </r>
      </text>
    </comment>
    <comment ref="BG107" authorId="0">
      <text>
        <r>
          <rPr>
            <b/>
            <sz val="10"/>
            <color indexed="81"/>
            <rFont val="Tahoma"/>
            <family val="2"/>
          </rPr>
          <t xml:space="preserve">Brian Nowak:
should be -1% to -2%
price-disclosed room reservations up
- opaque down
first time its ever declined on an all-in basis
</t>
        </r>
      </text>
    </comment>
    <comment ref="BH107" authorId="0">
      <text>
        <r>
          <rPr>
            <b/>
            <sz val="10"/>
            <color indexed="81"/>
            <rFont val="Tahoma"/>
            <family val="2"/>
          </rPr>
          <t xml:space="preserve">Brian Nowak:
should be -1% to -2%
price-disclosed room reservations up
- opaque down
first time its ever declined on an all-in basis
</t>
        </r>
      </text>
    </comment>
    <comment ref="BI107" authorId="5">
      <text>
        <r>
          <rPr>
            <b/>
            <sz val="9"/>
            <color indexed="81"/>
            <rFont val="Tahoma"/>
            <family val="2"/>
          </rPr>
          <t xml:space="preserve"> Brian Nowak:</t>
        </r>
        <r>
          <rPr>
            <sz val="9"/>
            <color indexed="81"/>
            <rFont val="Tahoma"/>
            <family val="2"/>
          </rPr>
          <t xml:space="preserve">
if price-dislosed increased and opaque and slight decline; all in estimate up 1%
Good per MT</t>
        </r>
      </text>
    </comment>
    <comment ref="AN109" authorId="2">
      <text>
        <r>
          <rPr>
            <b/>
            <sz val="8"/>
            <color indexed="81"/>
            <rFont val="Tahoma"/>
            <family val="2"/>
          </rPr>
          <t>Brian Nowak:
most of growth coming internationally</t>
        </r>
      </text>
    </comment>
    <comment ref="BL109" authorId="5">
      <text>
        <r>
          <rPr>
            <b/>
            <sz val="9"/>
            <color indexed="81"/>
            <rFont val="Tahoma"/>
            <family val="2"/>
          </rPr>
          <t xml:space="preserve"> Brian Nowak:</t>
        </r>
        <r>
          <rPr>
            <sz val="9"/>
            <color indexed="81"/>
            <rFont val="Tahoma"/>
            <family val="2"/>
          </rPr>
          <t xml:space="preserve">
re-acceleration from 
European market solid qtr and fast-growing APAC and south american markets</t>
        </r>
      </text>
    </comment>
    <comment ref="BN109" authorId="4">
      <text>
        <r>
          <rPr>
            <b/>
            <sz val="9"/>
            <color indexed="81"/>
            <rFont val="Tahoma"/>
            <family val="2"/>
          </rPr>
          <t xml:space="preserve">Brian Nowak:
2Q:14 10-Q:  2Q growth was "principally due to an increase in Booking.com, agoda.com and priceline.com accommodation room night reservations."
</t>
        </r>
      </text>
    </comment>
    <comment ref="BO109" authorId="4">
      <text>
        <r>
          <rPr>
            <b/>
            <sz val="9"/>
            <color indexed="81"/>
            <rFont val="Tahoma"/>
            <family val="2"/>
          </rPr>
          <t>Brian Nowak:
3Q:14 10-Q:  growth was "due to an increase in Booking.com, agoda.com and priceline.com accommodation room night reservations."</t>
        </r>
      </text>
    </comment>
    <comment ref="BQ109" authorId="6">
      <text>
        <r>
          <rPr>
            <b/>
            <sz val="9"/>
            <color indexed="81"/>
            <rFont val="Tahoma"/>
            <family val="2"/>
          </rPr>
          <t>Costantini, Michael (Research):</t>
        </r>
        <r>
          <rPr>
            <sz val="9"/>
            <color indexed="81"/>
            <rFont val="Tahoma"/>
            <family val="2"/>
          </rPr>
          <t xml:space="preserve">
1Q:15 10-Q:  growth was "due to an increase in Booking.com, agoda.com and priceline.com accommodation room night reservations."</t>
        </r>
      </text>
    </comment>
    <comment ref="BR109" authorId="6">
      <text>
        <r>
          <rPr>
            <b/>
            <sz val="9"/>
            <color indexed="81"/>
            <rFont val="Tahoma"/>
            <family val="2"/>
          </rPr>
          <t>Costantini, Michael (Research):</t>
        </r>
        <r>
          <rPr>
            <sz val="9"/>
            <color indexed="81"/>
            <rFont val="Tahoma"/>
            <family val="2"/>
          </rPr>
          <t xml:space="preserve">
2Q:15 10-Q:   Accommodation room night reservations growth was driven by "an increase in Booking.com, agoda.com and priceline.com accommodation room night reservations."  </t>
        </r>
      </text>
    </comment>
    <comment ref="BU109" authorId="6">
      <text>
        <r>
          <rPr>
            <b/>
            <sz val="9"/>
            <color indexed="81"/>
            <rFont val="Tahoma"/>
            <family val="2"/>
          </rPr>
          <t>Costantini, Michael (Research):</t>
        </r>
        <r>
          <rPr>
            <sz val="9"/>
            <color indexed="81"/>
            <rFont val="Tahoma"/>
            <family val="2"/>
          </rPr>
          <t xml:space="preserve">
4Q:15 guidance:  increase in room nights </t>
        </r>
        <r>
          <rPr>
            <b/>
            <sz val="9"/>
            <color indexed="81"/>
            <rFont val="Tahoma"/>
            <family val="2"/>
          </rPr>
          <t>BOOKED</t>
        </r>
        <r>
          <rPr>
            <sz val="9"/>
            <color indexed="81"/>
            <rFont val="Tahoma"/>
            <family val="2"/>
          </rPr>
          <t xml:space="preserve"> of 20%-27% (not apples to apples with reported room nights </t>
        </r>
        <r>
          <rPr>
            <b/>
            <sz val="9"/>
            <color indexed="81"/>
            <rFont val="Tahoma"/>
            <family val="2"/>
          </rPr>
          <t>STAYED</t>
        </r>
        <r>
          <rPr>
            <sz val="9"/>
            <color indexed="81"/>
            <rFont val="Tahoma"/>
            <family val="2"/>
          </rPr>
          <t>)
4Q:15 earnings conf call:  tailwinds from strong Chinese New Year, Carnival, and favorable calendar shift of Easter and Leap Year
1Q:16 10-Q:  Accommodation room night reservations y/y growth was driven by "strong execution by our brand teams to add accommodations to our websites, advertise our brands to consumers and provide a continuously improving experience for customers on our desktop and mobile platforms."</t>
        </r>
      </text>
    </comment>
    <comment ref="BV109" authorId="6">
      <text>
        <r>
          <rPr>
            <b/>
            <sz val="9"/>
            <color indexed="81"/>
            <rFont val="Tahoma"/>
            <family val="2"/>
          </rPr>
          <t>Costantini, Michael (Research):</t>
        </r>
        <r>
          <rPr>
            <sz val="9"/>
            <color indexed="81"/>
            <rFont val="Tahoma"/>
            <family val="2"/>
          </rPr>
          <t xml:space="preserve">
1Q:16 guidance:  increase in room nights </t>
        </r>
        <r>
          <rPr>
            <b/>
            <sz val="9"/>
            <color indexed="81"/>
            <rFont val="Tahoma"/>
            <family val="2"/>
          </rPr>
          <t>BOOKED</t>
        </r>
        <r>
          <rPr>
            <sz val="9"/>
            <color indexed="81"/>
            <rFont val="Tahoma"/>
            <family val="2"/>
          </rPr>
          <t xml:space="preserve"> of 15%-22% 
2Q:16 10-Q:  Accommodation room night reservations y/y growth was driven by "strong execution by our brand teams to add accommodations to our websites, advertise our brands to consumers and provide a continuously improving experience for customers on our desktop and mobile platforms."</t>
        </r>
      </text>
    </comment>
    <comment ref="BW109" authorId="6">
      <text>
        <r>
          <rPr>
            <b/>
            <sz val="9"/>
            <color indexed="81"/>
            <rFont val="Tahoma"/>
            <family val="2"/>
          </rPr>
          <t>Costantini, Michael (Research):</t>
        </r>
        <r>
          <rPr>
            <sz val="9"/>
            <color indexed="81"/>
            <rFont val="Tahoma"/>
            <family val="2"/>
          </rPr>
          <t xml:space="preserve">
2Q:16 guidance:  increase in room nights </t>
        </r>
        <r>
          <rPr>
            <b/>
            <sz val="9"/>
            <color indexed="81"/>
            <rFont val="Tahoma"/>
            <family val="2"/>
          </rPr>
          <t>BOOKED</t>
        </r>
        <r>
          <rPr>
            <sz val="9"/>
            <color indexed="81"/>
            <rFont val="Tahoma"/>
            <family val="2"/>
          </rPr>
          <t xml:space="preserve"> of 18%-23% </t>
        </r>
      </text>
    </comment>
    <comment ref="BX109" authorId="6">
      <text>
        <r>
          <rPr>
            <b/>
            <sz val="9"/>
            <color indexed="81"/>
            <rFont val="Tahoma"/>
            <family val="2"/>
          </rPr>
          <t>Costantini, Michael (Research):</t>
        </r>
        <r>
          <rPr>
            <sz val="9"/>
            <color indexed="81"/>
            <rFont val="Tahoma"/>
            <family val="2"/>
          </rPr>
          <t xml:space="preserve">
3Q:16 guidance:  increase in room nights </t>
        </r>
        <r>
          <rPr>
            <b/>
            <sz val="9"/>
            <color indexed="81"/>
            <rFont val="Tahoma"/>
            <family val="2"/>
          </rPr>
          <t>BOOKED</t>
        </r>
        <r>
          <rPr>
            <sz val="9"/>
            <color indexed="81"/>
            <rFont val="Tahoma"/>
            <family val="2"/>
          </rPr>
          <t xml:space="preserve"> of 20%-25% </t>
        </r>
      </text>
    </comment>
    <comment ref="BY109" authorId="6">
      <text>
        <r>
          <rPr>
            <b/>
            <sz val="9"/>
            <color indexed="81"/>
            <rFont val="Tahoma"/>
            <family val="2"/>
          </rPr>
          <t>Costantini, Michael (Research):</t>
        </r>
        <r>
          <rPr>
            <sz val="9"/>
            <color indexed="81"/>
            <rFont val="Tahoma"/>
            <family val="2"/>
          </rPr>
          <t xml:space="preserve">
4Q:16 guidance:  increase in room nights </t>
        </r>
        <r>
          <rPr>
            <b/>
            <sz val="9"/>
            <color indexed="81"/>
            <rFont val="Tahoma"/>
            <family val="2"/>
          </rPr>
          <t>BOOKED</t>
        </r>
        <r>
          <rPr>
            <sz val="9"/>
            <color indexed="81"/>
            <rFont val="Tahoma"/>
            <family val="2"/>
          </rPr>
          <t xml:space="preserve"> of 20%-25% </t>
        </r>
      </text>
    </comment>
    <comment ref="BZ109" authorId="7">
      <text>
        <r>
          <rPr>
            <b/>
            <sz val="9"/>
            <color indexed="81"/>
            <rFont val="Tahoma"/>
            <family val="2"/>
          </rPr>
          <t>Nowak, Brian (Research):</t>
        </r>
        <r>
          <rPr>
            <sz val="9"/>
            <color indexed="81"/>
            <rFont val="Tahoma"/>
            <family val="2"/>
          </rPr>
          <t xml:space="preserve">
1Q:17 guidance 16-21%</t>
        </r>
      </text>
    </comment>
    <comment ref="CA109" authorId="7">
      <text>
        <r>
          <rPr>
            <b/>
            <sz val="9"/>
            <color indexed="81"/>
            <rFont val="Tahoma"/>
            <family val="2"/>
          </rPr>
          <t>Nowak, Brian (Research):</t>
        </r>
        <r>
          <rPr>
            <sz val="9"/>
            <color indexed="81"/>
            <rFont val="Tahoma"/>
            <family val="2"/>
          </rPr>
          <t xml:space="preserve">
11-16%</t>
        </r>
      </text>
    </comment>
    <comment ref="CB109" authorId="8">
      <text>
        <r>
          <rPr>
            <b/>
            <sz val="9"/>
            <color indexed="81"/>
            <rFont val="Tahoma"/>
            <family val="2"/>
          </rPr>
          <t>Wang, Alaxandar (Research):</t>
        </r>
        <r>
          <rPr>
            <sz val="9"/>
            <color indexed="81"/>
            <rFont val="Tahoma"/>
            <family val="2"/>
          </rPr>
          <t xml:space="preserve">
guidance 8-13%</t>
        </r>
      </text>
    </comment>
    <comment ref="CC109" authorId="8">
      <text>
        <r>
          <rPr>
            <b/>
            <sz val="9"/>
            <color indexed="81"/>
            <rFont val="Tahoma"/>
            <family val="2"/>
          </rPr>
          <t>Wang, Alaxandar (Research):</t>
        </r>
        <r>
          <rPr>
            <sz val="9"/>
            <color indexed="81"/>
            <rFont val="Tahoma"/>
            <family val="2"/>
          </rPr>
          <t xml:space="preserve">
per 4Q earnings: 8-12%</t>
        </r>
      </text>
    </comment>
    <comment ref="CV109" authorId="6">
      <text>
        <r>
          <rPr>
            <b/>
            <sz val="9"/>
            <color indexed="81"/>
            <rFont val="Tahoma"/>
            <family val="2"/>
          </rPr>
          <t>Costantini, Michael (Research):</t>
        </r>
        <r>
          <rPr>
            <sz val="9"/>
            <color indexed="81"/>
            <rFont val="Tahoma"/>
            <family val="2"/>
          </rPr>
          <t xml:space="preserve">
2015 10-K, Room nights (pg 51):
-Accommodation room night reservations growth in 2015 was driven by "an increase in Booking.com, agoda.com and priceline.com accommodation room night reservations and the inclusion of Rocketmiles accommodation room night reservations since its acquisition in February 2015."
</t>
        </r>
      </text>
    </comment>
    <comment ref="CR124" authorId="0">
      <text>
        <r>
          <rPr>
            <b/>
            <sz val="8"/>
            <color indexed="81"/>
            <rFont val="Tahoma"/>
            <family val="2"/>
          </rPr>
          <t>Brian Nowak:
10% of too small</t>
        </r>
      </text>
    </comment>
    <comment ref="CQ125" authorId="1">
      <text>
        <r>
          <rPr>
            <b/>
            <sz val="8"/>
            <color indexed="81"/>
            <rFont val="Tahoma"/>
            <family val="2"/>
          </rPr>
          <t>Brian Nowak:</t>
        </r>
        <r>
          <rPr>
            <sz val="8"/>
            <color indexed="81"/>
            <rFont val="Tahoma"/>
            <family val="2"/>
          </rPr>
          <t xml:space="preserve">
70% is conservative % of mix…def more, but NOT 95%</t>
        </r>
      </text>
    </comment>
    <comment ref="AK140" authorId="2">
      <text>
        <r>
          <rPr>
            <b/>
            <sz val="8"/>
            <color indexed="81"/>
            <rFont val="Tahoma"/>
            <family val="2"/>
          </rPr>
          <t>Brian Nowak:
not reported
STR total US average is 7.1%</t>
        </r>
      </text>
    </comment>
    <comment ref="AL140" authorId="2">
      <text>
        <r>
          <rPr>
            <b/>
            <sz val="8"/>
            <color indexed="81"/>
            <rFont val="Tahoma"/>
            <family val="2"/>
          </rPr>
          <t>Brian Nowak:
not reported
STR total US avearge is 6%</t>
        </r>
      </text>
    </comment>
    <comment ref="AM140" authorId="2">
      <text>
        <r>
          <rPr>
            <b/>
            <sz val="8"/>
            <color indexed="81"/>
            <rFont val="Tahoma"/>
            <family val="2"/>
          </rPr>
          <t>Brian Nowak:
not reported
STR total US average is 6.4%</t>
        </r>
      </text>
    </comment>
    <comment ref="AN140" authorId="2">
      <text>
        <r>
          <rPr>
            <b/>
            <sz val="8"/>
            <color indexed="81"/>
            <rFont val="Tahoma"/>
            <family val="2"/>
          </rPr>
          <t>Brian Nowak:
not reported
STR toatl US avearge is 7%</t>
        </r>
      </text>
    </comment>
    <comment ref="AO140" authorId="2">
      <text>
        <r>
          <rPr>
            <b/>
            <sz val="8"/>
            <color indexed="81"/>
            <rFont val="Tahoma"/>
            <family val="2"/>
          </rPr>
          <t>Brian Nowak:
were running 2-3% ahead of last year…STR up 5%; actual not reported</t>
        </r>
      </text>
    </comment>
    <comment ref="AP140" authorId="2">
      <text>
        <r>
          <rPr>
            <b/>
            <sz val="8"/>
            <color indexed="81"/>
            <rFont val="Tahoma"/>
            <family val="2"/>
          </rPr>
          <t xml:space="preserve">Brian Nowak:
STR up 4%...actual not reported
Third, our 2Q forecast assumes that the average unit selling prices of our domestic hotel service, which
have recently been running roughly 2 to 3% ahead of last year, continue to run at that same growth
rate throughout the remainder of Q2 and 2008. And the average unit selling prices of our
international hotel service, which have recently been running roughly flat on a year-over-year basis,
continue to run at that same flat rate for the remainder of Q2 and 2008.
</t>
        </r>
      </text>
    </comment>
    <comment ref="AR140" authorId="2">
      <text>
        <r>
          <rPr>
            <b/>
            <sz val="8"/>
            <color indexed="81"/>
            <rFont val="Tahoma"/>
            <family val="2"/>
          </rPr>
          <t>Brian Nowak:
down over 5%</t>
        </r>
      </text>
    </comment>
    <comment ref="AW140" authorId="2">
      <text>
        <r>
          <rPr>
            <b/>
            <sz val="8"/>
            <color indexed="81"/>
            <rFont val="Tahoma"/>
            <family val="2"/>
          </rPr>
          <t>Brian Nowak:
-2% domestically; +2% internationally</t>
        </r>
      </text>
    </comment>
    <comment ref="AX140" authorId="2">
      <text>
        <r>
          <rPr>
            <b/>
            <sz val="8"/>
            <color indexed="81"/>
            <rFont val="Tahoma"/>
            <family val="2"/>
          </rPr>
          <t>Brian Nowak:
domestic and int' both 2-3%</t>
        </r>
      </text>
    </comment>
    <comment ref="AY140" authorId="2">
      <text>
        <r>
          <rPr>
            <b/>
            <sz val="8"/>
            <color indexed="81"/>
            <rFont val="Tahoma"/>
            <family val="2"/>
          </rPr>
          <t xml:space="preserve">Brian Nowak:
international  +4%; Domestic up over 5%
</t>
        </r>
      </text>
    </comment>
    <comment ref="AZ140" authorId="2">
      <text>
        <r>
          <rPr>
            <b/>
            <sz val="8"/>
            <color indexed="81"/>
            <rFont val="Tahoma"/>
            <family val="2"/>
          </rPr>
          <t>Brian Nowak:
"over 5%"
guidance
expect to sequentiall improve from growth rate in 3Q10</t>
        </r>
      </text>
    </comment>
    <comment ref="BA140" authorId="2">
      <text>
        <r>
          <rPr>
            <b/>
            <sz val="8"/>
            <color indexed="81"/>
            <rFont val="Tahoma"/>
            <family val="2"/>
          </rPr>
          <t>Brian Nowak:
Guidance assumes rate of yoy increase similar to 4Q growth</t>
        </r>
      </text>
    </comment>
    <comment ref="BC140" authorId="2">
      <text>
        <r>
          <rPr>
            <b/>
            <sz val="8"/>
            <color indexed="81"/>
            <rFont val="Tahoma"/>
            <family val="2"/>
          </rPr>
          <t>Brian Nowak:
outcome slightly unfavorable to expectations</t>
        </r>
      </text>
    </comment>
    <comment ref="BD140" authorId="2">
      <text>
        <r>
          <rPr>
            <b/>
            <sz val="8"/>
            <color indexed="81"/>
            <rFont val="Tahoma"/>
            <family val="2"/>
          </rPr>
          <t>Brian Nowak:
Our guidance assumes that the rate of year-over-year increase in ADRs for Q4 will be less than what we experienced in Q3 for our international hotel service and about the same as Q3 for our U.S. hotel service</t>
        </r>
      </text>
    </comment>
    <comment ref="BE140" authorId="2">
      <text>
        <r>
          <rPr>
            <b/>
            <sz val="8"/>
            <color indexed="81"/>
            <rFont val="Tahoma"/>
            <family val="2"/>
          </rPr>
          <t>Brian Nowak:
4Q:11 guidance for 5-6%</t>
        </r>
      </text>
    </comment>
    <comment ref="BF140" authorId="0">
      <text>
        <r>
          <rPr>
            <b/>
            <sz val="8"/>
            <color indexed="81"/>
            <rFont val="Tahoma"/>
            <family val="2"/>
          </rPr>
          <t>Brian Nowak:
guidance for 6</t>
        </r>
      </text>
    </comment>
    <comment ref="BG140" authorId="0">
      <text>
        <r>
          <rPr>
            <b/>
            <sz val="8"/>
            <color indexed="81"/>
            <rFont val="Tahoma"/>
            <family val="2"/>
          </rPr>
          <t>Brian Nowak:
guidance for "about 4%"</t>
        </r>
      </text>
    </comment>
    <comment ref="BH140" authorId="0">
      <text>
        <r>
          <rPr>
            <b/>
            <sz val="10"/>
            <color indexed="81"/>
            <rFont val="Tahoma"/>
            <family val="2"/>
          </rPr>
          <t xml:space="preserve">Brian Nowak:
+1% in US
guidance for 5%
</t>
        </r>
      </text>
    </comment>
    <comment ref="BI140" authorId="3">
      <text>
        <r>
          <rPr>
            <b/>
            <sz val="10"/>
            <color indexed="81"/>
            <rFont val="Tahoma"/>
            <family val="2"/>
          </rPr>
          <t>Brian Nowak:
1Q:13 conf call up 1% globally LC for entire group
post 1Q:13 call back…moved less than 1% move compared to prior qtr….all in +1% global didn't obfuscate the numbers</t>
        </r>
      </text>
    </comment>
    <comment ref="BK140" authorId="5">
      <text>
        <r>
          <rPr>
            <b/>
            <sz val="9"/>
            <color indexed="81"/>
            <rFont val="Tahoma"/>
            <family val="2"/>
          </rPr>
          <t xml:space="preserve"> Brian Nowak:</t>
        </r>
        <r>
          <rPr>
            <sz val="9"/>
            <color indexed="81"/>
            <rFont val="Tahoma"/>
            <family val="2"/>
          </rPr>
          <t xml:space="preserve">
3Q conf call: up 1.8% on a local currency basis for the consolidated group
guidance expects 1% growth</t>
        </r>
      </text>
    </comment>
    <comment ref="BM140" authorId="5">
      <text>
        <r>
          <rPr>
            <b/>
            <sz val="9"/>
            <color indexed="81"/>
            <rFont val="Tahoma"/>
            <family val="2"/>
          </rPr>
          <t xml:space="preserve"> Brian Nowak:</t>
        </r>
        <r>
          <rPr>
            <sz val="9"/>
            <color indexed="81"/>
            <rFont val="Tahoma"/>
            <family val="2"/>
          </rPr>
          <t xml:space="preserve">
1Q:14 conf call:  3% consolidated (ex FX)
4Q:13 conf call 2% constant currency in gudiance</t>
        </r>
      </text>
    </comment>
    <comment ref="BN140" authorId="4">
      <text>
        <r>
          <rPr>
            <b/>
            <sz val="9"/>
            <color indexed="81"/>
            <rFont val="Tahoma"/>
            <family val="2"/>
          </rPr>
          <t>Brian Nowak:
2Q:14 conf call: 3% consolidated (ex FX)
1Q:14 guidance:  +1% consolidated</t>
        </r>
      </text>
    </comment>
    <comment ref="BO140" authorId="5">
      <text>
        <r>
          <rPr>
            <b/>
            <sz val="9"/>
            <color indexed="81"/>
            <rFont val="Tahoma"/>
            <family val="2"/>
          </rPr>
          <t xml:space="preserve"> Brian Nowak:</t>
        </r>
        <r>
          <rPr>
            <sz val="9"/>
            <color indexed="81"/>
            <rFont val="Tahoma"/>
            <family val="2"/>
          </rPr>
          <t xml:space="preserve">
guidance assumes +3%</t>
        </r>
      </text>
    </comment>
    <comment ref="BP140" authorId="5">
      <text>
        <r>
          <rPr>
            <b/>
            <sz val="9"/>
            <color indexed="81"/>
            <rFont val="Tahoma"/>
            <family val="2"/>
          </rPr>
          <t xml:space="preserve"> Brian Nowak:</t>
        </r>
        <r>
          <rPr>
            <sz val="9"/>
            <color indexed="81"/>
            <rFont val="Tahoma"/>
            <family val="2"/>
          </rPr>
          <t xml:space="preserve">
guidance 3% consolidated</t>
        </r>
      </text>
    </comment>
    <comment ref="BQ140" authorId="6">
      <text>
        <r>
          <rPr>
            <b/>
            <sz val="9"/>
            <color indexed="81"/>
            <rFont val="Tahoma"/>
            <family val="2"/>
          </rPr>
          <t>Costantini, Michael (Research):</t>
        </r>
        <r>
          <rPr>
            <sz val="9"/>
            <color indexed="81"/>
            <rFont val="Tahoma"/>
            <family val="2"/>
          </rPr>
          <t xml:space="preserve">
1Q:15 conf call:  up 2% consolidated (constant currency)
4Q:14 guidance:  consolidated "up slightly less than 1%"</t>
        </r>
      </text>
    </comment>
    <comment ref="BR140" authorId="6">
      <text>
        <r>
          <rPr>
            <b/>
            <sz val="9"/>
            <color indexed="81"/>
            <rFont val="Tahoma"/>
            <family val="2"/>
          </rPr>
          <t>Costantini, Michael (Research):</t>
        </r>
        <r>
          <rPr>
            <sz val="9"/>
            <color indexed="81"/>
            <rFont val="Tahoma"/>
            <family val="2"/>
          </rPr>
          <t xml:space="preserve">
2Q:15 conf call:  up 2% ex FX for consolidated group
1Q:15 guidance:  up less than 2% Y/Y consolidated (constant currency)</t>
        </r>
      </text>
    </comment>
    <comment ref="BS140" authorId="6">
      <text>
        <r>
          <rPr>
            <b/>
            <sz val="9"/>
            <color indexed="81"/>
            <rFont val="Tahoma"/>
            <family val="2"/>
          </rPr>
          <t>Costantini, Michael (Research):</t>
        </r>
        <r>
          <rPr>
            <sz val="9"/>
            <color indexed="81"/>
            <rFont val="Tahoma"/>
            <family val="2"/>
          </rPr>
          <t xml:space="preserve">
3Q:15 earnings conf call:  up slightly less than 2% ex FX
2Q:15 guidance:  up less than 2% Y/Y consolidated (constant currency)</t>
        </r>
      </text>
    </comment>
    <comment ref="BT140" authorId="6">
      <text>
        <r>
          <rPr>
            <b/>
            <sz val="9"/>
            <color indexed="81"/>
            <rFont val="Tahoma"/>
            <family val="2"/>
          </rPr>
          <t>Costantini, Michael (Research):</t>
        </r>
        <r>
          <rPr>
            <sz val="9"/>
            <color indexed="81"/>
            <rFont val="Tahoma"/>
            <family val="2"/>
          </rPr>
          <t xml:space="preserve">
4Q:15 earnings conf call:  up 1% ex FX (consolidated)
3Q:15 guidance:  up less than 2% Y/Y consolidated (constant currency)</t>
        </r>
      </text>
    </comment>
    <comment ref="BU140" authorId="6">
      <text>
        <r>
          <rPr>
            <b/>
            <sz val="9"/>
            <color indexed="81"/>
            <rFont val="Tahoma"/>
            <family val="2"/>
          </rPr>
          <t>Costantini, Michael (Research):</t>
        </r>
        <r>
          <rPr>
            <sz val="9"/>
            <color indexed="81"/>
            <rFont val="Tahoma"/>
            <family val="2"/>
          </rPr>
          <t xml:space="preserve">
1Q:16 earnings conf call:  "down slightly" y/y in 1Q
4Q:15 earnings conf call:  up "about 1%" ex FX (consolidated)</t>
        </r>
      </text>
    </comment>
    <comment ref="BV140" authorId="6">
      <text>
        <r>
          <rPr>
            <b/>
            <sz val="9"/>
            <color indexed="81"/>
            <rFont val="Tahoma"/>
            <family val="2"/>
          </rPr>
          <t>Costantini, Michael (Research):</t>
        </r>
        <r>
          <rPr>
            <sz val="9"/>
            <color indexed="81"/>
            <rFont val="Tahoma"/>
            <family val="2"/>
          </rPr>
          <t xml:space="preserve">
2Q:16 earnings conf call:  down less than 1% in 2Q
1Q:16 earnings conf call:  expect ADRs -1% ex FX on consol basis in 2Q
 -shift in geo mix of biz
-traveler safety concerns
-econ weakness in certain mkts
 -seeing elevated cancellation rates
</t>
        </r>
      </text>
    </comment>
    <comment ref="BW140" authorId="6">
      <text>
        <r>
          <rPr>
            <b/>
            <sz val="9"/>
            <color indexed="81"/>
            <rFont val="Tahoma"/>
            <family val="2"/>
          </rPr>
          <t>Costantini, Michael (Research):</t>
        </r>
        <r>
          <rPr>
            <sz val="9"/>
            <color indexed="81"/>
            <rFont val="Tahoma"/>
            <family val="2"/>
          </rPr>
          <t xml:space="preserve">
3Q:16 earnings conf call:  down less than 1% in 3Q
</t>
        </r>
      </text>
    </comment>
    <comment ref="BX140" authorId="6">
      <text>
        <r>
          <rPr>
            <b/>
            <sz val="9"/>
            <color indexed="81"/>
            <rFont val="Tahoma"/>
            <family val="2"/>
          </rPr>
          <t>Costantini, Michael (Research):</t>
        </r>
        <r>
          <rPr>
            <sz val="9"/>
            <color indexed="81"/>
            <rFont val="Tahoma"/>
            <family val="2"/>
          </rPr>
          <t xml:space="preserve">
4Q:16 earnings conf call:  "down slightly" Y/Y ex FX
3Q:16 earnings conf call:  guidance assumes ADRs about same as prior year period
</t>
        </r>
      </text>
    </comment>
    <comment ref="BY140" authorId="6">
      <text>
        <r>
          <rPr>
            <b/>
            <sz val="9"/>
            <color indexed="81"/>
            <rFont val="Tahoma"/>
            <family val="2"/>
          </rPr>
          <t>Costantini, Michael (Research):</t>
        </r>
        <r>
          <rPr>
            <sz val="9"/>
            <color indexed="81"/>
            <rFont val="Tahoma"/>
            <family val="2"/>
          </rPr>
          <t xml:space="preserve">
4Q:16 earnings conf call:  "down slightly" Y/Y ex FX
1Q:17 earnings call, up ~1% ex FX
</t>
        </r>
      </text>
    </comment>
    <comment ref="BZ140" authorId="7">
      <text>
        <r>
          <rPr>
            <b/>
            <sz val="9"/>
            <color indexed="81"/>
            <rFont val="Tahoma"/>
            <family val="2"/>
          </rPr>
          <t>Nowak, Brian (Research):</t>
        </r>
        <r>
          <rPr>
            <sz val="9"/>
            <color indexed="81"/>
            <rFont val="Tahoma"/>
            <family val="2"/>
          </rPr>
          <t xml:space="preserve">
1q:17 conf call Our Q2 forecast assumes that constant-currency accommodation ADRs for the consolidated
group will be up by about 1% compared to the prior year period
2Q call: Average daily rates for accommodations, or ADRs, were down slightly for Q2 versus prior year on a constant-currency basis for the consolidated
group, which was below our forecast for growth of about 1%.</t>
        </r>
      </text>
    </comment>
    <comment ref="CA140" authorId="8">
      <text>
        <r>
          <rPr>
            <b/>
            <sz val="9"/>
            <color indexed="81"/>
            <rFont val="Tahoma"/>
            <family val="2"/>
          </rPr>
          <t>Wang, Alaxandar (Research):</t>
        </r>
        <r>
          <rPr>
            <sz val="9"/>
            <color indexed="81"/>
            <rFont val="Tahoma"/>
            <family val="2"/>
          </rPr>
          <t xml:space="preserve">
2Q17 call: Our Q3
forecast assumes that constant-currency accommodation ADRs for the consolidated group will be down by about 1% compared to the prior year
period.</t>
        </r>
      </text>
    </comment>
    <comment ref="CR140" authorId="2">
      <text>
        <r>
          <rPr>
            <b/>
            <sz val="8"/>
            <color indexed="81"/>
            <rFont val="Tahoma"/>
            <family val="2"/>
          </rPr>
          <t>Brian Nowak:
STR expects 4 6/29</t>
        </r>
      </text>
    </comment>
    <comment ref="CS140" authorId="2">
      <text>
        <r>
          <rPr>
            <b/>
            <sz val="8"/>
            <color indexed="81"/>
            <rFont val="Tahoma"/>
            <family val="2"/>
          </rPr>
          <t>Brian Nowak:
STR expects 6%6/29</t>
        </r>
      </text>
    </comment>
    <comment ref="AY144" authorId="2">
      <text>
        <r>
          <rPr>
            <b/>
            <sz val="8"/>
            <color indexed="81"/>
            <rFont val="Tahoma"/>
            <family val="2"/>
          </rPr>
          <t>Brian Nowak:
strong</t>
        </r>
      </text>
    </comment>
    <comment ref="AL151" authorId="2">
      <text>
        <r>
          <rPr>
            <b/>
            <sz val="8"/>
            <color indexed="81"/>
            <rFont val="Tahoma"/>
            <family val="2"/>
          </rPr>
          <t>Brian Nowak:
2Q:07 conf call Europe running up 5% on a local currency basis</t>
        </r>
      </text>
    </comment>
    <comment ref="AM151" authorId="2">
      <text>
        <r>
          <rPr>
            <b/>
            <sz val="8"/>
            <color indexed="81"/>
            <rFont val="Tahoma"/>
            <family val="2"/>
          </rPr>
          <t>Brian Nowak:
global ADRs up approx 5% per trans</t>
        </r>
      </text>
    </comment>
    <comment ref="AN151" authorId="2">
      <text>
        <r>
          <rPr>
            <b/>
            <sz val="8"/>
            <color indexed="81"/>
            <rFont val="Tahoma"/>
            <family val="2"/>
          </rPr>
          <t>Brian Nowak:
Euroepan ADRs up 6 % on yoy</t>
        </r>
      </text>
    </comment>
    <comment ref="AO151" authorId="0">
      <text>
        <r>
          <rPr>
            <b/>
            <sz val="8"/>
            <color indexed="81"/>
            <rFont val="Tahoma"/>
            <family val="2"/>
          </rPr>
          <t>Brian Nowak:
4Q:07 transcript; guidance assumes ADRs grow at same rate as 4Q:07</t>
        </r>
      </text>
    </comment>
    <comment ref="AP151" authorId="2">
      <text>
        <r>
          <rPr>
            <b/>
            <sz val="8"/>
            <color indexed="81"/>
            <rFont val="Tahoma"/>
            <family val="2"/>
          </rPr>
          <t xml:space="preserve">Brian Nowak:
Per 1Q conf call: third  our 2Q forecast assumes that the average unit selling prices of our domestic hotel service, which
have recently been running roughly 2 to 3% ahead of last year, continue to run at that same growth
rate throughout the remainder of Q2 and 2008. And the average unit selling prices of our
international hotel service, which have recently been running roughly flat on a year-over-year basis,
continue to run at that same flat rate for the remainder of Q2 and 2008.
</t>
        </r>
      </text>
    </comment>
    <comment ref="AQ151" authorId="0">
      <text>
        <r>
          <rPr>
            <b/>
            <sz val="8"/>
            <color indexed="81"/>
            <rFont val="Tahoma"/>
            <family val="2"/>
          </rPr>
          <t xml:space="preserve">Brian Nowak:
-3.5% given </t>
        </r>
      </text>
    </comment>
    <comment ref="AW151" authorId="2">
      <text>
        <r>
          <rPr>
            <b/>
            <sz val="8"/>
            <color indexed="81"/>
            <rFont val="Tahoma"/>
            <family val="2"/>
          </rPr>
          <t>Brian Nowak:
-2% domestically; +2% internationally</t>
        </r>
      </text>
    </comment>
    <comment ref="AX151" authorId="2">
      <text>
        <r>
          <rPr>
            <b/>
            <sz val="8"/>
            <color indexed="81"/>
            <rFont val="Tahoma"/>
            <family val="2"/>
          </rPr>
          <t>Brian Nowak:
domestic and int' both 2-3%</t>
        </r>
      </text>
    </comment>
    <comment ref="AY151" authorId="2">
      <text>
        <r>
          <rPr>
            <b/>
            <sz val="8"/>
            <color indexed="81"/>
            <rFont val="Tahoma"/>
            <family val="2"/>
          </rPr>
          <t xml:space="preserve">Brian Nowak:
international  +4%; Domestic up over 5%
</t>
        </r>
      </text>
    </comment>
    <comment ref="AZ151" authorId="2">
      <text>
        <r>
          <rPr>
            <b/>
            <sz val="8"/>
            <color indexed="81"/>
            <rFont val="Tahoma"/>
            <family val="2"/>
          </rPr>
          <t>Brian Nowak:
3%
gu;dance expect to sequentiall improve from growth rate in 3Q10</t>
        </r>
      </text>
    </comment>
    <comment ref="BA151" authorId="2">
      <text>
        <r>
          <rPr>
            <b/>
            <sz val="8"/>
            <color indexed="81"/>
            <rFont val="Tahoma"/>
            <family val="2"/>
          </rPr>
          <t>Brian Nowak:
Guidance assumes rate of yoy increase similar to 4Q growth</t>
        </r>
      </text>
    </comment>
    <comment ref="BB151" authorId="2">
      <text>
        <r>
          <rPr>
            <b/>
            <sz val="8"/>
            <color indexed="81"/>
            <rFont val="Tahoma"/>
            <family val="2"/>
          </rPr>
          <t>Brian Nowak:
4%</t>
        </r>
      </text>
    </comment>
    <comment ref="BC151" authorId="2">
      <text>
        <r>
          <rPr>
            <b/>
            <sz val="8"/>
            <color indexed="81"/>
            <rFont val="Tahoma"/>
            <family val="2"/>
          </rPr>
          <t>Brian Nowak:
outcome slightly unfavorable to expectations</t>
        </r>
      </text>
    </comment>
    <comment ref="BD151" authorId="2">
      <text>
        <r>
          <rPr>
            <b/>
            <sz val="8"/>
            <color indexed="81"/>
            <rFont val="Tahoma"/>
            <family val="2"/>
          </rPr>
          <t>Brian Nowak:
Our guidance assumes that the rate of year-over-year increase in ADRs for Q4 will be less than what we experienced in Q3 for our international hotel service and about the same as Q3 for our U.S. hotel service
slower because of mix shfit in new markets, such as US
NOT seeing it in Europe</t>
        </r>
      </text>
    </comment>
    <comment ref="BE151" authorId="2">
      <text>
        <r>
          <rPr>
            <b/>
            <sz val="8"/>
            <color indexed="81"/>
            <rFont val="Tahoma"/>
            <family val="2"/>
          </rPr>
          <t>Brian Nowak:
4Q:11 guidacne for flat to up slightly</t>
        </r>
      </text>
    </comment>
    <comment ref="BF151" authorId="0">
      <text>
        <r>
          <rPr>
            <b/>
            <sz val="8"/>
            <color indexed="81"/>
            <rFont val="Tahoma"/>
            <family val="2"/>
          </rPr>
          <t>Brian Nowak:
guidance for flat to down</t>
        </r>
      </text>
    </comment>
    <comment ref="BG151" authorId="0">
      <text>
        <r>
          <rPr>
            <b/>
            <sz val="8"/>
            <color indexed="81"/>
            <rFont val="Tahoma"/>
            <family val="2"/>
          </rPr>
          <t>Brian Nowak:
guidance for -1%</t>
        </r>
      </text>
    </comment>
    <comment ref="BH151" authorId="0">
      <text>
        <r>
          <rPr>
            <b/>
            <sz val="8"/>
            <color indexed="81"/>
            <rFont val="Tahoma"/>
            <family val="2"/>
          </rPr>
          <t>Brian Nowak:
-1% on local currency basis per transcript</t>
        </r>
      </text>
    </comment>
    <comment ref="BI151" authorId="3">
      <text>
        <r>
          <rPr>
            <b/>
            <sz val="10"/>
            <color indexed="81"/>
            <rFont val="Tahoma"/>
            <family val="2"/>
          </rPr>
          <t>Brian Nowak:
1Q:13 conf call up 1% globally LC for entire group
post 1Q:13 call back…moved less than 1% move compared to prior qtr….all in +1% global didn't obfuscate the numbers</t>
        </r>
      </text>
    </comment>
    <comment ref="BK151" authorId="5">
      <text>
        <r>
          <rPr>
            <b/>
            <sz val="9"/>
            <color indexed="81"/>
            <rFont val="Tahoma"/>
            <family val="2"/>
          </rPr>
          <t xml:space="preserve"> Brian Nowak:</t>
        </r>
        <r>
          <rPr>
            <sz val="9"/>
            <color indexed="81"/>
            <rFont val="Tahoma"/>
            <family val="2"/>
          </rPr>
          <t xml:space="preserve">
3Q conf call: up 1.8% on a local currency basis for the consolidated group
guidance expects 1% growth</t>
        </r>
      </text>
    </comment>
    <comment ref="BM151" authorId="5">
      <text>
        <r>
          <rPr>
            <b/>
            <sz val="9"/>
            <color indexed="81"/>
            <rFont val="Tahoma"/>
            <family val="2"/>
          </rPr>
          <t xml:space="preserve"> Brian Nowak:</t>
        </r>
        <r>
          <rPr>
            <sz val="9"/>
            <color indexed="81"/>
            <rFont val="Tahoma"/>
            <family val="2"/>
          </rPr>
          <t xml:space="preserve">
1Q:14 conf call:  3% consolidated (ex FX)
4Q:13 conf call 2% constant currency in gudiance</t>
        </r>
      </text>
    </comment>
    <comment ref="BN151" authorId="4">
      <text>
        <r>
          <rPr>
            <b/>
            <sz val="9"/>
            <color indexed="81"/>
            <rFont val="Tahoma"/>
            <family val="2"/>
          </rPr>
          <t>Brian Nowak:
2Q:14 conf call: 3% consolidated (ex FX)</t>
        </r>
      </text>
    </comment>
    <comment ref="BO151" authorId="5">
      <text>
        <r>
          <rPr>
            <b/>
            <sz val="9"/>
            <color indexed="81"/>
            <rFont val="Tahoma"/>
            <family val="2"/>
          </rPr>
          <t xml:space="preserve"> Brian Nowak:</t>
        </r>
        <r>
          <rPr>
            <sz val="9"/>
            <color indexed="81"/>
            <rFont val="Tahoma"/>
            <family val="2"/>
          </rPr>
          <t xml:space="preserve">
guidance assumes +3%</t>
        </r>
      </text>
    </comment>
    <comment ref="BP151" authorId="5">
      <text>
        <r>
          <rPr>
            <b/>
            <sz val="9"/>
            <color indexed="81"/>
            <rFont val="Tahoma"/>
            <family val="2"/>
          </rPr>
          <t xml:space="preserve"> Brian Nowak:</t>
        </r>
        <r>
          <rPr>
            <sz val="9"/>
            <color indexed="81"/>
            <rFont val="Tahoma"/>
            <family val="2"/>
          </rPr>
          <t xml:space="preserve">
guidance 3% consolidated</t>
        </r>
      </text>
    </comment>
    <comment ref="BQ151" authorId="6">
      <text>
        <r>
          <rPr>
            <b/>
            <sz val="9"/>
            <color indexed="81"/>
            <rFont val="Tahoma"/>
            <family val="2"/>
          </rPr>
          <t>Costantini, Michael (Research):</t>
        </r>
        <r>
          <rPr>
            <sz val="9"/>
            <color indexed="81"/>
            <rFont val="Tahoma"/>
            <family val="2"/>
          </rPr>
          <t xml:space="preserve">
1Q:15 conf call:  up 2% consolidated (constant currency)
4Q:14 guidance:  consolidated "up slightly less than 1%"</t>
        </r>
      </text>
    </comment>
    <comment ref="BR151" authorId="6">
      <text>
        <r>
          <rPr>
            <b/>
            <sz val="9"/>
            <color indexed="81"/>
            <rFont val="Tahoma"/>
            <family val="2"/>
          </rPr>
          <t>Costantini, Michael (Research):</t>
        </r>
        <r>
          <rPr>
            <sz val="9"/>
            <color indexed="81"/>
            <rFont val="Tahoma"/>
            <family val="2"/>
          </rPr>
          <t xml:space="preserve">
2Q:15 conf call:  up 2% ex FX for consolidated group
1Q:15 guidance:  up less than 2% Y/Y consolidated (constant currency)</t>
        </r>
      </text>
    </comment>
    <comment ref="BS151" authorId="6">
      <text>
        <r>
          <rPr>
            <b/>
            <sz val="9"/>
            <color indexed="81"/>
            <rFont val="Tahoma"/>
            <family val="2"/>
          </rPr>
          <t>Costantini, Michael (Research):</t>
        </r>
        <r>
          <rPr>
            <sz val="9"/>
            <color indexed="81"/>
            <rFont val="Tahoma"/>
            <family val="2"/>
          </rPr>
          <t xml:space="preserve">
3Q:15 earnings conf call:  up slightly less than 2% ex FX
2Q:15 guidance:  up less than 2% Y/Y consolidated (constant currency)</t>
        </r>
      </text>
    </comment>
    <comment ref="BT151" authorId="6">
      <text>
        <r>
          <rPr>
            <b/>
            <sz val="9"/>
            <color indexed="81"/>
            <rFont val="Tahoma"/>
            <family val="2"/>
          </rPr>
          <t>Costantini, Michael (Research):</t>
        </r>
        <r>
          <rPr>
            <sz val="9"/>
            <color indexed="81"/>
            <rFont val="Tahoma"/>
            <family val="2"/>
          </rPr>
          <t xml:space="preserve">
3Q:15 guidance:  up less than 2% Y/Y consolidated (constant currency)</t>
        </r>
      </text>
    </comment>
    <comment ref="BU151" authorId="6">
      <text>
        <r>
          <rPr>
            <b/>
            <sz val="9"/>
            <color indexed="81"/>
            <rFont val="Tahoma"/>
            <family val="2"/>
          </rPr>
          <t>Costantini, Michael (Research):</t>
        </r>
        <r>
          <rPr>
            <sz val="9"/>
            <color indexed="81"/>
            <rFont val="Tahoma"/>
            <family val="2"/>
          </rPr>
          <t xml:space="preserve">
1Q:16 earnings conf call:  "down slightly" y/y in 1Q
4Q:15 earnings conf call:  up "about 1%" ex FX (consolidated)</t>
        </r>
      </text>
    </comment>
    <comment ref="BV151" authorId="6">
      <text>
        <r>
          <rPr>
            <b/>
            <sz val="9"/>
            <color indexed="81"/>
            <rFont val="Tahoma"/>
            <family val="2"/>
          </rPr>
          <t>Costantini, Michael (Research):</t>
        </r>
        <r>
          <rPr>
            <sz val="9"/>
            <color indexed="81"/>
            <rFont val="Tahoma"/>
            <family val="2"/>
          </rPr>
          <t xml:space="preserve">
2Q:16 earnings conf call:  down less than 1% in 2Q
1Q:16 earnings conf call:  expect ADRs -1% ex FX on consol basis in 2Q
 -shift in geo mix of biz
-traveler safety concerns
-econ weakness in certain mkts
 -seeing elevated cancellation rates
</t>
        </r>
      </text>
    </comment>
    <comment ref="BW151" authorId="6">
      <text>
        <r>
          <rPr>
            <b/>
            <sz val="9"/>
            <color indexed="81"/>
            <rFont val="Tahoma"/>
            <family val="2"/>
          </rPr>
          <t>Costantini, Michael (Research):</t>
        </r>
        <r>
          <rPr>
            <sz val="9"/>
            <color indexed="81"/>
            <rFont val="Tahoma"/>
            <family val="2"/>
          </rPr>
          <t xml:space="preserve">
3Q:16 earnings conf call:  down less than 1% in 3Q
2Q:16 earnings conf call:  guidance assumes ADRs down less than 1% in 3Q
</t>
        </r>
      </text>
    </comment>
    <comment ref="BX151" authorId="6">
      <text>
        <r>
          <rPr>
            <b/>
            <sz val="9"/>
            <color indexed="81"/>
            <rFont val="Tahoma"/>
            <family val="2"/>
          </rPr>
          <t>Costantini, Michael (Research):</t>
        </r>
        <r>
          <rPr>
            <sz val="9"/>
            <color indexed="81"/>
            <rFont val="Tahoma"/>
            <family val="2"/>
          </rPr>
          <t xml:space="preserve">
4Q:16 earnings conf call:  "down slightly" Y/Y ex FX
3Q:16 earnings conf call:  guidance assumes ADRs about same as prior year period
</t>
        </r>
      </text>
    </comment>
    <comment ref="BY151" authorId="6">
      <text>
        <r>
          <rPr>
            <b/>
            <sz val="9"/>
            <color indexed="81"/>
            <rFont val="Tahoma"/>
            <family val="2"/>
          </rPr>
          <t>Costantini, Michael (Research):</t>
        </r>
        <r>
          <rPr>
            <sz val="9"/>
            <color indexed="81"/>
            <rFont val="Tahoma"/>
            <family val="2"/>
          </rPr>
          <t xml:space="preserve">
4Q:16 earnings conf call:  "down slightly" Y/Y ex FX
1Q:17 earnings call, up ~1% ex FX
</t>
        </r>
      </text>
    </comment>
    <comment ref="BZ151" authorId="7">
      <text>
        <r>
          <rPr>
            <b/>
            <sz val="9"/>
            <color indexed="81"/>
            <rFont val="Tahoma"/>
            <family val="2"/>
          </rPr>
          <t>Nowak, Brian (Research):</t>
        </r>
        <r>
          <rPr>
            <sz val="9"/>
            <color indexed="81"/>
            <rFont val="Tahoma"/>
            <family val="2"/>
          </rPr>
          <t xml:space="preserve">
1q:17 conf call Our Q2 forecast assumes that constant-currency accommodation ADRs for the consolidated
group will be up by about 1% compared to the prior year period.
2Q call: Average daily rates for accommodations, or ADRs, were down slightly for Q2 versus prior year on a constant-currency basis for the consolidated
group, which was below our forecast for growth of about 1%.</t>
        </r>
      </text>
    </comment>
    <comment ref="CA151" authorId="8">
      <text>
        <r>
          <rPr>
            <b/>
            <sz val="9"/>
            <color indexed="81"/>
            <rFont val="Tahoma"/>
            <family val="2"/>
          </rPr>
          <t>Wang, Alaxandar (Research):</t>
        </r>
        <r>
          <rPr>
            <sz val="9"/>
            <color indexed="81"/>
            <rFont val="Tahoma"/>
            <family val="2"/>
          </rPr>
          <t xml:space="preserve">
2Q17 call: Our Q3
forecast assumes that constant-currency accommodation ADRs for the consolidated group will be down by about 1% compared to the prior year
period.</t>
        </r>
      </text>
    </comment>
    <comment ref="BI162" authorId="3">
      <text>
        <r>
          <rPr>
            <b/>
            <sz val="10"/>
            <color indexed="81"/>
            <rFont val="Tahoma"/>
            <family val="2"/>
          </rPr>
          <t>Brian Nowak:
1Q:13 conf call up 1% globally LC for entire group
post 1Q:13 call back…moved less than 1% move compared to prior qtr….all in +1% global didn't obfuscate the numbers</t>
        </r>
      </text>
    </comment>
    <comment ref="BK162" authorId="5">
      <text>
        <r>
          <rPr>
            <b/>
            <sz val="9"/>
            <color indexed="81"/>
            <rFont val="Tahoma"/>
            <family val="2"/>
          </rPr>
          <t xml:space="preserve"> Brian Nowak:</t>
        </r>
        <r>
          <rPr>
            <sz val="9"/>
            <color indexed="81"/>
            <rFont val="Tahoma"/>
            <family val="2"/>
          </rPr>
          <t xml:space="preserve">
3Q conf call: up 1.8% on a local currency basis for the consolidated group
guidance expects 1% growth</t>
        </r>
      </text>
    </comment>
    <comment ref="BM162" authorId="5">
      <text>
        <r>
          <rPr>
            <b/>
            <sz val="9"/>
            <color indexed="81"/>
            <rFont val="Tahoma"/>
            <family val="2"/>
          </rPr>
          <t xml:space="preserve"> Brian Nowak:</t>
        </r>
        <r>
          <rPr>
            <sz val="9"/>
            <color indexed="81"/>
            <rFont val="Tahoma"/>
            <family val="2"/>
          </rPr>
          <t xml:space="preserve">
1Q:14 conf call:  3% consolidated (ex FX)
4Q:13 conf call 2% constant currency in gudiance</t>
        </r>
      </text>
    </comment>
    <comment ref="BN162" authorId="4">
      <text>
        <r>
          <rPr>
            <b/>
            <sz val="9"/>
            <color indexed="81"/>
            <rFont val="Tahoma"/>
            <family val="2"/>
          </rPr>
          <t>Brian Nowak:
2Q:14 conf call: 3% consolidated (ex FX)</t>
        </r>
      </text>
    </comment>
    <comment ref="BO162" authorId="5">
      <text>
        <r>
          <rPr>
            <b/>
            <sz val="9"/>
            <color indexed="81"/>
            <rFont val="Tahoma"/>
            <family val="2"/>
          </rPr>
          <t xml:space="preserve"> Brian Nowak:</t>
        </r>
        <r>
          <rPr>
            <sz val="9"/>
            <color indexed="81"/>
            <rFont val="Tahoma"/>
            <family val="2"/>
          </rPr>
          <t xml:space="preserve">
guidance assumes +3%</t>
        </r>
      </text>
    </comment>
    <comment ref="BP162" authorId="5">
      <text>
        <r>
          <rPr>
            <b/>
            <sz val="9"/>
            <color indexed="81"/>
            <rFont val="Tahoma"/>
            <family val="2"/>
          </rPr>
          <t xml:space="preserve"> Brian Nowak:</t>
        </r>
        <r>
          <rPr>
            <sz val="9"/>
            <color indexed="81"/>
            <rFont val="Tahoma"/>
            <family val="2"/>
          </rPr>
          <t xml:space="preserve">
guidance 3% consolidated</t>
        </r>
      </text>
    </comment>
    <comment ref="BQ162" authorId="6">
      <text>
        <r>
          <rPr>
            <b/>
            <sz val="9"/>
            <color indexed="81"/>
            <rFont val="Tahoma"/>
            <family val="2"/>
          </rPr>
          <t>Costantini, Michael (Research):</t>
        </r>
        <r>
          <rPr>
            <sz val="9"/>
            <color indexed="81"/>
            <rFont val="Tahoma"/>
            <family val="2"/>
          </rPr>
          <t xml:space="preserve">
1Q:15 conf call:  up 2% consolidated (constant currency)
4Q:14 guidance:  consolidated "up slightly less than 1%"</t>
        </r>
      </text>
    </comment>
    <comment ref="BR162" authorId="6">
      <text>
        <r>
          <rPr>
            <b/>
            <sz val="9"/>
            <color indexed="81"/>
            <rFont val="Tahoma"/>
            <family val="2"/>
          </rPr>
          <t>Costantini, Michael (Research):</t>
        </r>
        <r>
          <rPr>
            <sz val="9"/>
            <color indexed="81"/>
            <rFont val="Tahoma"/>
            <family val="2"/>
          </rPr>
          <t xml:space="preserve">
1Q:15 guidance:  up less than 2% Y/Y consolidated (constant currency)</t>
        </r>
      </text>
    </comment>
    <comment ref="CN168" authorId="0">
      <text>
        <r>
          <rPr>
            <b/>
            <sz val="8"/>
            <color indexed="81"/>
            <rFont val="Tahoma"/>
            <family val="2"/>
          </rPr>
          <t>Brian Nowak:
should be well over 2/3 of biz</t>
        </r>
      </text>
    </comment>
    <comment ref="BB170" authorId="2">
      <text>
        <r>
          <rPr>
            <b/>
            <sz val="8"/>
            <color indexed="81"/>
            <rFont val="Tahoma"/>
            <family val="2"/>
          </rPr>
          <t>Brian Nowak:
estiamted 25k in the U.S. per eye4travel</t>
        </r>
      </text>
    </comment>
    <comment ref="BC170" authorId="2">
      <text>
        <r>
          <rPr>
            <b/>
            <sz val="8"/>
            <color indexed="81"/>
            <rFont val="Tahoma"/>
            <family val="2"/>
          </rPr>
          <t>Brian Nowak:
website 10/4/11</t>
        </r>
      </text>
    </comment>
    <comment ref="BD170" authorId="2">
      <text>
        <r>
          <rPr>
            <b/>
            <sz val="8"/>
            <color indexed="81"/>
            <rFont val="Tahoma"/>
            <family val="2"/>
          </rPr>
          <t>Brian Nowak:
1/4/12</t>
        </r>
      </text>
    </comment>
    <comment ref="BE170" authorId="1">
      <text>
        <r>
          <rPr>
            <b/>
            <sz val="8"/>
            <color indexed="81"/>
            <rFont val="Tahoma"/>
            <family val="2"/>
          </rPr>
          <t>Brian Nowak:</t>
        </r>
        <r>
          <rPr>
            <sz val="8"/>
            <color indexed="81"/>
            <rFont val="Tahoma"/>
            <family val="2"/>
          </rPr>
          <t xml:space="preserve">
199504 as of 3/13/12</t>
        </r>
      </text>
    </comment>
    <comment ref="BF170" authorId="0">
      <text>
        <r>
          <rPr>
            <b/>
            <sz val="8"/>
            <color indexed="81"/>
            <rFont val="Tahoma"/>
            <family val="2"/>
          </rPr>
          <t>Brian Nowak:235 as of august 7th</t>
        </r>
      </text>
    </comment>
    <comment ref="BG170" authorId="3">
      <text>
        <r>
          <rPr>
            <b/>
            <sz val="10"/>
            <color indexed="81"/>
            <rFont val="Tahoma"/>
            <family val="2"/>
          </rPr>
          <t>Brian Nowak:
per 3Q:12 10-Q</t>
        </r>
      </text>
    </comment>
    <comment ref="BH170" authorId="3">
      <text>
        <r>
          <rPr>
            <b/>
            <sz val="10"/>
            <color indexed="81"/>
            <rFont val="Tahoma"/>
            <family val="2"/>
          </rPr>
          <t>Brian Nowak:
per 4Q:12 conf call</t>
        </r>
      </text>
    </comment>
    <comment ref="BI170" authorId="4">
      <text>
        <r>
          <rPr>
            <b/>
            <sz val="9"/>
            <color indexed="81"/>
            <rFont val="Tahoma"/>
            <family val="2"/>
          </rPr>
          <t>Brian Nowak:
1Q:13 conf call</t>
        </r>
      </text>
    </comment>
    <comment ref="BJ170" authorId="4">
      <text>
        <r>
          <rPr>
            <b/>
            <sz val="9"/>
            <color indexed="81"/>
            <rFont val="Tahoma"/>
            <family val="2"/>
          </rPr>
          <t>Brian Nowak:
per 2Q13 conf call:  over 330k hotels and other accomodations</t>
        </r>
      </text>
    </comment>
    <comment ref="BK170" authorId="4">
      <text>
        <r>
          <rPr>
            <b/>
            <sz val="9"/>
            <color indexed="81"/>
            <rFont val="Tahoma"/>
            <family val="2"/>
          </rPr>
          <t>Brian Nowak:
3Q conf call</t>
        </r>
      </text>
    </comment>
    <comment ref="BM170" authorId="4">
      <text>
        <r>
          <rPr>
            <b/>
            <sz val="9"/>
            <color indexed="81"/>
            <rFont val="Tahoma"/>
            <family val="2"/>
          </rPr>
          <t>Brian Nowak:
over 455k hotels and alternative accomodations</t>
        </r>
      </text>
    </comment>
    <comment ref="BN170" authorId="4">
      <text>
        <r>
          <rPr>
            <b/>
            <sz val="9"/>
            <color indexed="81"/>
            <rFont val="Tahoma"/>
            <family val="2"/>
          </rPr>
          <t>Brian Nowak:
2Q:15 10-Q:  523k
2Q:14 conf call:  525k hotels and alternative accomodations</t>
        </r>
      </text>
    </comment>
    <comment ref="BO170" authorId="4">
      <text>
        <r>
          <rPr>
            <b/>
            <sz val="9"/>
            <color indexed="81"/>
            <rFont val="Tahoma"/>
            <family val="2"/>
          </rPr>
          <t>Brian Nowak:
3Q:14 earnings press release:  "over 540k" hotels and alternative accomodations…up 52% YoY</t>
        </r>
      </text>
    </comment>
    <comment ref="BP170" authorId="6">
      <text>
        <r>
          <rPr>
            <b/>
            <sz val="9"/>
            <color indexed="81"/>
            <rFont val="Tahoma"/>
            <family val="2"/>
          </rPr>
          <t>Costantini, Michael (Research):</t>
        </r>
        <r>
          <rPr>
            <sz val="9"/>
            <color indexed="81"/>
            <rFont val="Tahoma"/>
            <family val="2"/>
          </rPr>
          <t xml:space="preserve">
4Q:14 earnings conf call:  over 600k hotels and other accommodations…up 41% YoY</t>
        </r>
      </text>
    </comment>
    <comment ref="BQ170" authorId="6">
      <text>
        <r>
          <rPr>
            <b/>
            <sz val="9"/>
            <color indexed="81"/>
            <rFont val="Tahoma"/>
            <family val="2"/>
          </rPr>
          <t>Costantini, Michael (Research):</t>
        </r>
        <r>
          <rPr>
            <sz val="9"/>
            <color indexed="81"/>
            <rFont val="Tahoma"/>
            <family val="2"/>
          </rPr>
          <t xml:space="preserve">
over 635k per 1Q:15 press release</t>
        </r>
      </text>
    </comment>
    <comment ref="BR170" authorId="6">
      <text>
        <r>
          <rPr>
            <b/>
            <sz val="9"/>
            <color indexed="81"/>
            <rFont val="Tahoma"/>
            <family val="2"/>
          </rPr>
          <t>Costantini, Michael (Research):</t>
        </r>
        <r>
          <rPr>
            <sz val="9"/>
            <color indexed="81"/>
            <rFont val="Tahoma"/>
            <family val="2"/>
          </rPr>
          <t xml:space="preserve">
2Q:16: 10-Q:  Booking.com included about 965,000 properties on its website as of June 30, 2016, which included over 467,000 vacation rental properties ...and compares to about 742,000 properties (including over 337,000 vacation rental properties) as of June 30, 2015.</t>
        </r>
      </text>
    </comment>
    <comment ref="BS170" authorId="6">
      <text>
        <r>
          <rPr>
            <b/>
            <sz val="9"/>
            <color indexed="81"/>
            <rFont val="Tahoma"/>
            <family val="2"/>
          </rPr>
          <t>Costantini, Michael (Research):</t>
        </r>
        <r>
          <rPr>
            <sz val="9"/>
            <color indexed="81"/>
            <rFont val="Tahoma"/>
            <family val="2"/>
          </rPr>
          <t xml:space="preserve">
MS est 750k
</t>
        </r>
        <r>
          <rPr>
            <b/>
            <sz val="9"/>
            <color indexed="81"/>
            <rFont val="Tahoma"/>
            <family val="2"/>
          </rPr>
          <t xml:space="preserve">Nov 9 </t>
        </r>
        <r>
          <rPr>
            <sz val="9"/>
            <color indexed="81"/>
            <rFont val="Tahoma"/>
            <family val="2"/>
          </rPr>
          <t xml:space="preserve">press release in conjunction with 3Q:15 earnings press release:  </t>
        </r>
        <r>
          <rPr>
            <b/>
            <sz val="9"/>
            <color indexed="81"/>
            <rFont val="Tahoma"/>
            <family val="2"/>
          </rPr>
          <t xml:space="preserve">over 820k hotels and accommodatiosn </t>
        </r>
        <r>
          <rPr>
            <sz val="9"/>
            <color indexed="81"/>
            <rFont val="Tahoma"/>
            <family val="2"/>
          </rPr>
          <t xml:space="preserve">with more than 370k vaca rental properties
http://files.shareholder.com/downloads/PCLN/2301729276x0x860217/D8FF5547-B00C-41D1-9522-3436D27AD859/PCLN_News_2015_11_9_General_Releases.pdf
</t>
        </r>
      </text>
    </comment>
    <comment ref="BT170" authorId="6">
      <text>
        <r>
          <rPr>
            <b/>
            <sz val="9"/>
            <color indexed="81"/>
            <rFont val="Tahoma"/>
            <family val="2"/>
          </rPr>
          <t>Costantini, Michael (Research):</t>
        </r>
        <r>
          <rPr>
            <sz val="9"/>
            <color indexed="81"/>
            <rFont val="Tahoma"/>
            <family val="2"/>
          </rPr>
          <t xml:space="preserve">
3Q:15 10-Q: Booking.com included over</t>
        </r>
        <r>
          <rPr>
            <b/>
            <sz val="9"/>
            <color indexed="81"/>
            <rFont val="Tahoma"/>
            <family val="2"/>
          </rPr>
          <t xml:space="preserve"> 820,000 properties</t>
        </r>
        <r>
          <rPr>
            <sz val="9"/>
            <color indexed="81"/>
            <rFont val="Tahoma"/>
            <family val="2"/>
          </rPr>
          <t xml:space="preserve"> on its website </t>
        </r>
        <r>
          <rPr>
            <b/>
            <sz val="9"/>
            <color indexed="81"/>
            <rFont val="Tahoma"/>
            <family val="2"/>
          </rPr>
          <t>as of November 3, 2015</t>
        </r>
        <r>
          <rPr>
            <sz val="9"/>
            <color indexed="81"/>
            <rFont val="Tahoma"/>
            <family val="2"/>
          </rPr>
          <t xml:space="preserve"> , which included about 378,000 vacation rental properties</t>
        </r>
        <r>
          <rPr>
            <b/>
            <sz val="9"/>
            <color indexed="81"/>
            <rFont val="Tahoma"/>
            <family val="2"/>
          </rPr>
          <t xml:space="preserve"> </t>
        </r>
        <r>
          <rPr>
            <sz val="9"/>
            <color indexed="81"/>
            <rFont val="Tahoma"/>
            <family val="2"/>
          </rPr>
          <t>(updated property counts are available on the Booking.com website), and compares to approximately 594,000 properties (including approximately 237,000 vacation rental properties) a year ago.</t>
        </r>
      </text>
    </comment>
    <comment ref="BU170" authorId="6">
      <text>
        <r>
          <rPr>
            <b/>
            <sz val="9"/>
            <color indexed="81"/>
            <rFont val="Tahoma"/>
            <family val="2"/>
          </rPr>
          <t>Costantini, Michael (Research):</t>
        </r>
        <r>
          <rPr>
            <sz val="9"/>
            <color indexed="81"/>
            <rFont val="Tahoma"/>
            <family val="2"/>
          </rPr>
          <t xml:space="preserve">
March 31, 2016 press release:  Over 879k hotels and more than 397k vacation rentals
http://files.shareholder.com/downloads/PCLN/2301729276x0x883582/E1C887A5-E19C-45E7-B822-AA14E81AEAE7/PCLN_News_2016_3_31_General_Releases.pdf
1Q:16 10-Q:  Booking.com included about </t>
        </r>
        <r>
          <rPr>
            <b/>
            <sz val="9"/>
            <color indexed="81"/>
            <rFont val="Tahoma"/>
            <family val="2"/>
          </rPr>
          <t>900,000 properties</t>
        </r>
        <r>
          <rPr>
            <sz val="9"/>
            <color indexed="81"/>
            <rFont val="Tahoma"/>
            <family val="2"/>
          </rPr>
          <t xml:space="preserve"> on its website </t>
        </r>
        <r>
          <rPr>
            <b/>
            <sz val="9"/>
            <color indexed="81"/>
            <rFont val="Tahoma"/>
            <family val="2"/>
          </rPr>
          <t>as of May 2, 2016</t>
        </r>
        <r>
          <rPr>
            <sz val="9"/>
            <color indexed="81"/>
            <rFont val="Tahoma"/>
            <family val="2"/>
          </rPr>
          <t xml:space="preserve"> , which included approximately 422,000 vacation rental properties, compared to over 685,000
properties (including approximately 301,000 vacation rental properties) a year ago.</t>
        </r>
      </text>
    </comment>
    <comment ref="BV170" authorId="6">
      <text>
        <r>
          <rPr>
            <b/>
            <sz val="9"/>
            <color indexed="81"/>
            <rFont val="Tahoma"/>
            <family val="2"/>
          </rPr>
          <t>Costantini, Michael (Research):</t>
        </r>
        <r>
          <rPr>
            <sz val="9"/>
            <color indexed="81"/>
            <rFont val="Tahoma"/>
            <family val="2"/>
          </rPr>
          <t xml:space="preserve">
2Q:16: 10-Q:  Booking.com included about 965,000 properties on its website as of June 30, 2016, which included over 467,000 vacation rental properties ...and compares to about 742,000 properties (including over 337,000 vacation rental properties) as of June 30, 2015.
June 29, 2016 press release:  Over 955k hotels and more than 460k vacation rentals
http://files.shareholder.com/downloads/PCLN/2301729276x0x898042/1AF6A77B-9E0F-476D-8499-0D8F423C2140/PCLN_News_2016_6_29_General_Releases.pdf
1Q:16 10-Q:  Booking.com included about </t>
        </r>
        <r>
          <rPr>
            <b/>
            <sz val="9"/>
            <color indexed="81"/>
            <rFont val="Tahoma"/>
            <family val="2"/>
          </rPr>
          <t>900,000 properties</t>
        </r>
        <r>
          <rPr>
            <sz val="9"/>
            <color indexed="81"/>
            <rFont val="Tahoma"/>
            <family val="2"/>
          </rPr>
          <t xml:space="preserve"> on its website </t>
        </r>
        <r>
          <rPr>
            <b/>
            <sz val="9"/>
            <color indexed="81"/>
            <rFont val="Tahoma"/>
            <family val="2"/>
          </rPr>
          <t>as of May 2, 2016</t>
        </r>
        <r>
          <rPr>
            <sz val="9"/>
            <color indexed="81"/>
            <rFont val="Tahoma"/>
            <family val="2"/>
          </rPr>
          <t xml:space="preserve"> , which included approximately 422,000 vacation rental properties, compared to over 685,000
properties (including approximately 301,000 vacation rental properties) a year ago.</t>
        </r>
      </text>
    </comment>
    <comment ref="BW170" authorId="6">
      <text>
        <r>
          <rPr>
            <b/>
            <sz val="9"/>
            <color indexed="81"/>
            <rFont val="Tahoma"/>
            <family val="2"/>
          </rPr>
          <t>Costantini, Michael (Research):</t>
        </r>
        <r>
          <rPr>
            <sz val="9"/>
            <color indexed="81"/>
            <rFont val="Tahoma"/>
            <family val="2"/>
          </rPr>
          <t xml:space="preserve">
Oct 20, 2016 press release:  over 1 million
2Q:16 earnings conf call (8/3/2016):  over 1mn properties</t>
        </r>
      </text>
    </comment>
    <comment ref="BX170" authorId="6">
      <text>
        <r>
          <rPr>
            <b/>
            <sz val="9"/>
            <color indexed="81"/>
            <rFont val="Tahoma"/>
            <family val="2"/>
          </rPr>
          <t>Costantini, Michael (Research):</t>
        </r>
        <r>
          <rPr>
            <sz val="9"/>
            <color indexed="81"/>
            <rFont val="Tahoma"/>
            <family val="2"/>
          </rPr>
          <t xml:space="preserve">
4Q:16 earnings conf call:  over 1,155,000 properties</t>
        </r>
      </text>
    </comment>
    <comment ref="BY170" authorId="8">
      <text>
        <r>
          <rPr>
            <b/>
            <sz val="9"/>
            <color indexed="81"/>
            <rFont val="Tahoma"/>
            <family val="2"/>
          </rPr>
          <t>Wang, Alaxandar (Research):</t>
        </r>
        <r>
          <rPr>
            <sz val="9"/>
            <color indexed="81"/>
            <rFont val="Tahoma"/>
            <family val="2"/>
          </rPr>
          <t xml:space="preserve">
1Q:17 10Q: Our growth has primarily been generated by our worldwide accommodation reservation service brand, Booking.com, which is our most significant brand, and has been due, in part, to the availability of a large and growing number of directly bookable properties through Booking.com. Booking.com included over 1,191,000 properties on its website as of March 31, 2017, which included over 613,000 vacation rental properties (updated property counts are available on the Booking.com website), and compares to over 887,000 properties (including over 409,000 vacation rental properties) as of March 31, 2016. </t>
        </r>
      </text>
    </comment>
    <comment ref="BZ170" authorId="7">
      <text>
        <r>
          <rPr>
            <b/>
            <sz val="9"/>
            <color indexed="81"/>
            <rFont val="Tahoma"/>
            <family val="2"/>
          </rPr>
          <t>Nowak, Brian (Research):</t>
        </r>
        <r>
          <rPr>
            <sz val="9"/>
            <color indexed="81"/>
            <rFont val="Tahoma"/>
            <family val="2"/>
          </rPr>
          <t xml:space="preserve">
7/11/17</t>
        </r>
      </text>
    </comment>
    <comment ref="BO171" authorId="4">
      <text>
        <r>
          <rPr>
            <b/>
            <sz val="9"/>
            <color indexed="81"/>
            <rFont val="Tahoma"/>
            <family val="2"/>
          </rPr>
          <t>Brian Nowak:
3Q:14 earnings press release:  "over 540k" hotels and alternative accomodations…up 52% YoY</t>
        </r>
      </text>
    </comment>
    <comment ref="BP171" authorId="6">
      <text>
        <r>
          <rPr>
            <b/>
            <sz val="9"/>
            <color indexed="81"/>
            <rFont val="Tahoma"/>
            <family val="2"/>
          </rPr>
          <t>Costantini, Michael (Research):</t>
        </r>
        <r>
          <rPr>
            <sz val="9"/>
            <color indexed="81"/>
            <rFont val="Tahoma"/>
            <family val="2"/>
          </rPr>
          <t xml:space="preserve">
up 41% YoY</t>
        </r>
      </text>
    </comment>
    <comment ref="BT171" authorId="6">
      <text>
        <r>
          <rPr>
            <b/>
            <sz val="9"/>
            <color indexed="81"/>
            <rFont val="Tahoma"/>
            <family val="2"/>
          </rPr>
          <t>Costantini, Michael (Research):</t>
        </r>
        <r>
          <rPr>
            <sz val="9"/>
            <color indexed="81"/>
            <rFont val="Tahoma"/>
            <family val="2"/>
          </rPr>
          <t xml:space="preserve">
4Q:15 earnings press release:  +34% y/y (changed count methodology)</t>
        </r>
      </text>
    </comment>
    <comment ref="BX171" authorId="6">
      <text>
        <r>
          <rPr>
            <b/>
            <sz val="9"/>
            <color indexed="81"/>
            <rFont val="Tahoma"/>
            <family val="2"/>
          </rPr>
          <t>Costantini, Michael (Research):</t>
        </r>
        <r>
          <rPr>
            <sz val="9"/>
            <color indexed="81"/>
            <rFont val="Tahoma"/>
            <family val="2"/>
          </rPr>
          <t xml:space="preserve">
4Q:15 earnings press release:  +34% y/y (changed count methodology)</t>
        </r>
      </text>
    </comment>
    <comment ref="BX172" authorId="6">
      <text>
        <r>
          <rPr>
            <b/>
            <sz val="9"/>
            <color indexed="81"/>
            <rFont val="Tahoma"/>
            <family val="2"/>
          </rPr>
          <t>Costantini, Michael (Research):</t>
        </r>
        <r>
          <rPr>
            <sz val="9"/>
            <color indexed="81"/>
            <rFont val="Tahoma"/>
            <family val="2"/>
          </rPr>
          <t xml:space="preserve">
4Q:16 earnings conf call:  added over 289k properties in 2016, up 33% Y/Y</t>
        </r>
      </text>
    </comment>
    <comment ref="BL173" authorId="6">
      <text>
        <r>
          <rPr>
            <b/>
            <sz val="9"/>
            <color indexed="81"/>
            <rFont val="Tahoma"/>
            <family val="2"/>
          </rPr>
          <t>Costantini, Michael (Research):</t>
        </r>
        <r>
          <rPr>
            <sz val="9"/>
            <color indexed="81"/>
            <rFont val="Tahoma"/>
            <family val="2"/>
          </rPr>
          <t xml:space="preserve">
MS est</t>
        </r>
      </text>
    </comment>
    <comment ref="I181" authorId="4">
      <text>
        <r>
          <rPr>
            <b/>
            <sz val="9"/>
            <color indexed="81"/>
            <rFont val="Tahoma"/>
            <family val="2"/>
          </rPr>
          <t>Brian Nowak:
per MT (9/10/14);  vacation rentals = villas + chalets + apartments + "apart-hotels" ("apartments with a front desk and cleaning service")</t>
        </r>
      </text>
    </comment>
    <comment ref="I185" authorId="4">
      <text>
        <r>
          <rPr>
            <b/>
            <sz val="9"/>
            <color indexed="81"/>
            <rFont val="Tahoma"/>
            <family val="2"/>
          </rPr>
          <t>Brian Nowak:
per MT (9/10/14);  vacation rentals = villas + chalets + apartments + "apart-hotels" ("apartments with a front desk and cleaning service")</t>
        </r>
      </text>
    </comment>
    <comment ref="BN185" authorId="4">
      <text>
        <r>
          <rPr>
            <b/>
            <sz val="9"/>
            <color indexed="81"/>
            <rFont val="Tahoma"/>
            <family val="2"/>
          </rPr>
          <t>Brian Nowak:
2Q:15 10-Q:  194k
2Q:14 conf call:  "over 190k" properties</t>
        </r>
      </text>
    </comment>
    <comment ref="BO185" authorId="4">
      <text>
        <r>
          <rPr>
            <b/>
            <sz val="9"/>
            <color indexed="81"/>
            <rFont val="Tahoma"/>
            <family val="2"/>
          </rPr>
          <t xml:space="preserve">Brian Nowak:
3Q:14 10-Q:  Vacation Rentals (pg 29-30):  of Booking.com's "over 540k" properties, "over 205k" are vacation rental properties
</t>
        </r>
      </text>
    </comment>
    <comment ref="BP185" authorId="6">
      <text>
        <r>
          <rPr>
            <b/>
            <sz val="9"/>
            <color indexed="81"/>
            <rFont val="Tahoma"/>
            <family val="2"/>
          </rPr>
          <t>Costantini, Michael (Research):</t>
        </r>
        <r>
          <rPr>
            <sz val="9"/>
            <color indexed="81"/>
            <rFont val="Tahoma"/>
            <family val="2"/>
          </rPr>
          <t xml:space="preserve">
"247,000" per 4Q:14 earnings conf call</t>
        </r>
      </text>
    </comment>
    <comment ref="BQ185" authorId="6">
      <text>
        <r>
          <rPr>
            <b/>
            <sz val="9"/>
            <color indexed="81"/>
            <rFont val="Tahoma"/>
            <family val="2"/>
          </rPr>
          <t>Costantini, Michael (Research):</t>
        </r>
        <r>
          <rPr>
            <sz val="9"/>
            <color indexed="81"/>
            <rFont val="Tahoma"/>
            <family val="2"/>
          </rPr>
          <t xml:space="preserve">
275k per 1Q:15 conf call</t>
        </r>
      </text>
    </comment>
    <comment ref="BR185" authorId="6">
      <text>
        <r>
          <rPr>
            <b/>
            <sz val="9"/>
            <color indexed="81"/>
            <rFont val="Tahoma"/>
            <family val="2"/>
          </rPr>
          <t>Costantini, Michael (Research):</t>
        </r>
        <r>
          <rPr>
            <sz val="9"/>
            <color indexed="81"/>
            <rFont val="Tahoma"/>
            <family val="2"/>
          </rPr>
          <t xml:space="preserve">
2Q:16: 10-Q:  Booking.com included about 965,000 properties on its website as of June 30, 2016, which included over 467,000 vacation rental properties ...and compares to about 742,000 properties (including over 337,000 vacation rental properties) as of June 30, 2015.
313k per 2Q:15 conf call</t>
        </r>
      </text>
    </comment>
    <comment ref="BS185" authorId="6">
      <text>
        <r>
          <rPr>
            <b/>
            <sz val="9"/>
            <color indexed="81"/>
            <rFont val="Tahoma"/>
            <family val="2"/>
          </rPr>
          <t>Costantini, Michael (Research):</t>
        </r>
        <r>
          <rPr>
            <sz val="9"/>
            <color indexed="81"/>
            <rFont val="Tahoma"/>
            <family val="2"/>
          </rPr>
          <t xml:space="preserve">
MS est 350k
</t>
        </r>
        <r>
          <rPr>
            <b/>
            <sz val="9"/>
            <color indexed="81"/>
            <rFont val="Tahoma"/>
            <family val="2"/>
          </rPr>
          <t xml:space="preserve">Nov 9 </t>
        </r>
        <r>
          <rPr>
            <sz val="9"/>
            <color indexed="81"/>
            <rFont val="Tahoma"/>
            <family val="2"/>
          </rPr>
          <t xml:space="preserve">press release in conjunction with 3Q:15 earnings press release:  over 820k hotels and accommodatiosn with more than </t>
        </r>
        <r>
          <rPr>
            <b/>
            <sz val="9"/>
            <color indexed="81"/>
            <rFont val="Tahoma"/>
            <family val="2"/>
          </rPr>
          <t>370k vaca rental properties</t>
        </r>
        <r>
          <rPr>
            <sz val="9"/>
            <color indexed="81"/>
            <rFont val="Tahoma"/>
            <family val="2"/>
          </rPr>
          <t xml:space="preserve">
http://files.shareholder.com/downloads/PCLN/2301729276x0x860217/D8FF5547-B00C-41D1-9522-3436D27AD859/PCLN_News_2015_11_9_General_Releases.pdf
</t>
        </r>
      </text>
    </comment>
    <comment ref="BT185" authorId="6">
      <text>
        <r>
          <rPr>
            <b/>
            <sz val="9"/>
            <color indexed="81"/>
            <rFont val="Tahoma"/>
            <family val="2"/>
          </rPr>
          <t>Costantini, Michael (Research):</t>
        </r>
        <r>
          <rPr>
            <sz val="9"/>
            <color indexed="81"/>
            <rFont val="Tahoma"/>
            <family val="2"/>
          </rPr>
          <t xml:space="preserve">
3Q:15 10-Q: Booking.com included over 820,000 properties on its website </t>
        </r>
        <r>
          <rPr>
            <b/>
            <sz val="9"/>
            <color indexed="81"/>
            <rFont val="Tahoma"/>
            <family val="2"/>
          </rPr>
          <t>as of November 3, 2015</t>
        </r>
        <r>
          <rPr>
            <sz val="9"/>
            <color indexed="81"/>
            <rFont val="Tahoma"/>
            <family val="2"/>
          </rPr>
          <t xml:space="preserve"> , which included </t>
        </r>
        <r>
          <rPr>
            <b/>
            <sz val="9"/>
            <color indexed="81"/>
            <rFont val="Tahoma"/>
            <family val="2"/>
          </rPr>
          <t xml:space="preserve">about 378,000 vacation rental properties </t>
        </r>
        <r>
          <rPr>
            <sz val="9"/>
            <color indexed="81"/>
            <rFont val="Tahoma"/>
            <family val="2"/>
          </rPr>
          <t>(updated property counts are available on the Booking.com website), and compares to approximately 594,000 properties (including approximately 237,000 vacation rental properties) a year ago.</t>
        </r>
      </text>
    </comment>
    <comment ref="BU185" authorId="6">
      <text>
        <r>
          <rPr>
            <b/>
            <sz val="9"/>
            <color indexed="81"/>
            <rFont val="Tahoma"/>
            <family val="2"/>
          </rPr>
          <t>Costantini, Michael (Research):</t>
        </r>
        <r>
          <rPr>
            <sz val="9"/>
            <color indexed="81"/>
            <rFont val="Tahoma"/>
            <family val="2"/>
          </rPr>
          <t xml:space="preserve">
March 31, 2016 press release:  Over 879k hotels and more than 397k vacation rentals
http://files.shareholder.com/downloads/PCLN/2301729276x0x883582/E1C887A5-E19C-45E7-B822-AA14E81AEAE7/PCLN_News_2016_3_31_General_Releases.pdf
1Q:16 10-Q:  Booking.com included about 900,000 properties on its website </t>
        </r>
        <r>
          <rPr>
            <b/>
            <sz val="9"/>
            <color indexed="81"/>
            <rFont val="Tahoma"/>
            <family val="2"/>
          </rPr>
          <t>as of May 2, 2016</t>
        </r>
        <r>
          <rPr>
            <sz val="9"/>
            <color indexed="81"/>
            <rFont val="Tahoma"/>
            <family val="2"/>
          </rPr>
          <t xml:space="preserve"> , which included approximately </t>
        </r>
        <r>
          <rPr>
            <b/>
            <sz val="9"/>
            <color indexed="81"/>
            <rFont val="Tahoma"/>
            <family val="2"/>
          </rPr>
          <t>422,000 vacation rental properties</t>
        </r>
        <r>
          <rPr>
            <sz val="9"/>
            <color indexed="81"/>
            <rFont val="Tahoma"/>
            <family val="2"/>
          </rPr>
          <t>, compared to over 685,000
properties (including approximately 301,000 vacation rental properties) a year ago.</t>
        </r>
      </text>
    </comment>
    <comment ref="BV185" authorId="6">
      <text>
        <r>
          <rPr>
            <b/>
            <sz val="9"/>
            <color indexed="81"/>
            <rFont val="Tahoma"/>
            <family val="2"/>
          </rPr>
          <t>Costantini, Michael (Research):</t>
        </r>
        <r>
          <rPr>
            <sz val="9"/>
            <color indexed="81"/>
            <rFont val="Tahoma"/>
            <family val="2"/>
          </rPr>
          <t xml:space="preserve">
2Q:16: 10-Q:  Booking.com included about 965,000 properties on its website as of June 30, 2016, which included over 467,000 vacation rental properties ...and compares to about 742,000 properties (including over 337,000 vacation rental properties) as of June 30, 2015.
June 29, 2016 press release:  Over 955k hotels and more than 460k vacation rentals
http://files.shareholder.com/downloads/PCLN/2301729276x0x898042/1AF6A77B-9E0F-476D-8499-0D8F423C2140/PCLN_News_2016_6_29_General_Releases.pdf
1Q:16 10-Q:  Booking.com included about 900,000 properties on its website </t>
        </r>
        <r>
          <rPr>
            <b/>
            <sz val="9"/>
            <color indexed="81"/>
            <rFont val="Tahoma"/>
            <family val="2"/>
          </rPr>
          <t>as of May 2, 2016</t>
        </r>
        <r>
          <rPr>
            <sz val="9"/>
            <color indexed="81"/>
            <rFont val="Tahoma"/>
            <family val="2"/>
          </rPr>
          <t xml:space="preserve"> , which included approximately </t>
        </r>
        <r>
          <rPr>
            <b/>
            <sz val="9"/>
            <color indexed="81"/>
            <rFont val="Tahoma"/>
            <family val="2"/>
          </rPr>
          <t>422,000 vacation rental properties</t>
        </r>
        <r>
          <rPr>
            <sz val="9"/>
            <color indexed="81"/>
            <rFont val="Tahoma"/>
            <family val="2"/>
          </rPr>
          <t>, compared to over 685,000
properties (including approximately 301,000 vacation rental properties) a year ago.</t>
        </r>
      </text>
    </comment>
    <comment ref="BW185" authorId="6">
      <text>
        <r>
          <rPr>
            <b/>
            <sz val="9"/>
            <color indexed="81"/>
            <rFont val="Tahoma"/>
            <family val="2"/>
          </rPr>
          <t>Costantini, Michael (Research):</t>
        </r>
        <r>
          <rPr>
            <sz val="9"/>
            <color indexed="81"/>
            <rFont val="Tahoma"/>
            <family val="2"/>
          </rPr>
          <t xml:space="preserve">
Oct 20, 2016 press release:  more than 515,000
2Q:16 earnings conf call (8/3/2016):  approximately 493k vacation rental properties</t>
        </r>
      </text>
    </comment>
    <comment ref="BX185" authorId="6">
      <text>
        <r>
          <rPr>
            <b/>
            <sz val="9"/>
            <color indexed="81"/>
            <rFont val="Tahoma"/>
            <family val="2"/>
          </rPr>
          <t>Costantini, Michael (Research):</t>
        </r>
        <r>
          <rPr>
            <sz val="9"/>
            <color indexed="81"/>
            <rFont val="Tahoma"/>
            <family val="2"/>
          </rPr>
          <t xml:space="preserve">
MS est 388k
3Q:15 10-Q: Booking.com included over 820,000 properties on its website </t>
        </r>
        <r>
          <rPr>
            <b/>
            <sz val="9"/>
            <color indexed="81"/>
            <rFont val="Tahoma"/>
            <family val="2"/>
          </rPr>
          <t>as of November 3, 2015</t>
        </r>
        <r>
          <rPr>
            <sz val="9"/>
            <color indexed="81"/>
            <rFont val="Tahoma"/>
            <family val="2"/>
          </rPr>
          <t xml:space="preserve"> , which included </t>
        </r>
        <r>
          <rPr>
            <b/>
            <sz val="9"/>
            <color indexed="81"/>
            <rFont val="Tahoma"/>
            <family val="2"/>
          </rPr>
          <t xml:space="preserve">about 378,000 vacation rental properties </t>
        </r>
        <r>
          <rPr>
            <sz val="9"/>
            <color indexed="81"/>
            <rFont val="Tahoma"/>
            <family val="2"/>
          </rPr>
          <t>(updated property counts are available on the Booking.com website), and compares to approximately 594,000 properties (including approximately 237,000 vacation rental properties) a year ago.</t>
        </r>
      </text>
    </comment>
    <comment ref="BY185" authorId="8">
      <text>
        <r>
          <rPr>
            <b/>
            <sz val="9"/>
            <color indexed="81"/>
            <rFont val="Tahoma"/>
            <family val="2"/>
          </rPr>
          <t>Wang, Alaxandar (Research):</t>
        </r>
        <r>
          <rPr>
            <sz val="9"/>
            <color indexed="81"/>
            <rFont val="Tahoma"/>
            <family val="2"/>
          </rPr>
          <t xml:space="preserve">
1Q:17 10Q: Our growth has primarily been generated by our worldwide accommodation reservation service brand, Booking.com, which is our most significant brand, and has been due, in part, to the availability of a large and growing number of directly bookable properties through Booking.com. Booking.com included over 1,191,000 properties on its website as of March 31, 2017, which included over 613,000 vacation rental properties (updated property counts are available on the Booking.com website), and compares to over 887,000 properties (including over 409,000 vacation rental properties) as of March 31, 2016. </t>
        </r>
      </text>
    </comment>
    <comment ref="BZ185" authorId="7">
      <text>
        <r>
          <rPr>
            <b/>
            <sz val="9"/>
            <color indexed="81"/>
            <rFont val="Tahoma"/>
            <family val="2"/>
          </rPr>
          <t>Nowak, Brian (Research):</t>
        </r>
        <r>
          <rPr>
            <sz val="9"/>
            <color indexed="81"/>
            <rFont val="Tahoma"/>
            <family val="2"/>
          </rPr>
          <t xml:space="preserve">
7/11/17</t>
        </r>
      </text>
    </comment>
    <comment ref="CB185" authorId="8">
      <text>
        <r>
          <rPr>
            <b/>
            <sz val="9"/>
            <color indexed="81"/>
            <rFont val="Tahoma"/>
            <family val="2"/>
          </rPr>
          <t>Wang, Alaxandar (Research):</t>
        </r>
        <r>
          <rPr>
            <sz val="9"/>
            <color indexed="81"/>
            <rFont val="Tahoma"/>
            <family val="2"/>
          </rPr>
          <t xml:space="preserve">
redefined as "homes, apartments and other unique places to stay"</t>
        </r>
      </text>
    </comment>
    <comment ref="BQ186" authorId="6">
      <text>
        <r>
          <rPr>
            <b/>
            <sz val="9"/>
            <color indexed="81"/>
            <rFont val="Tahoma"/>
            <family val="2"/>
          </rPr>
          <t>Costantini, Michael (Research):</t>
        </r>
        <r>
          <rPr>
            <sz val="9"/>
            <color indexed="81"/>
            <rFont val="Tahoma"/>
            <family val="2"/>
          </rPr>
          <t xml:space="preserve">
1Q:15 conf call:  up almost 100% Y/Y</t>
        </r>
      </text>
    </comment>
    <comment ref="BR186" authorId="6">
      <text>
        <r>
          <rPr>
            <b/>
            <sz val="9"/>
            <color indexed="81"/>
            <rFont val="Tahoma"/>
            <family val="2"/>
          </rPr>
          <t>Costantini, Michael (Research):</t>
        </r>
        <r>
          <rPr>
            <sz val="9"/>
            <color indexed="81"/>
            <rFont val="Tahoma"/>
            <family val="2"/>
          </rPr>
          <t xml:space="preserve">
up 62% y/y</t>
        </r>
      </text>
    </comment>
    <comment ref="BV186" authorId="6">
      <text>
        <r>
          <rPr>
            <b/>
            <sz val="9"/>
            <color indexed="81"/>
            <rFont val="Tahoma"/>
            <family val="2"/>
          </rPr>
          <t>Costantini, Michael (Research):</t>
        </r>
        <r>
          <rPr>
            <sz val="9"/>
            <color indexed="81"/>
            <rFont val="Tahoma"/>
            <family val="2"/>
          </rPr>
          <t xml:space="preserve">
1Q:16 earnings conf call, up 40% y/y</t>
        </r>
      </text>
    </comment>
    <comment ref="CU196" authorId="4">
      <text>
        <r>
          <rPr>
            <b/>
            <sz val="9"/>
            <color indexed="81"/>
            <rFont val="Tahoma"/>
            <family val="2"/>
          </rPr>
          <t>Brian Nowak:
2Q:14 conf call:  $4bn vacation rental bookings over LTM</t>
        </r>
      </text>
    </comment>
    <comment ref="CS202" authorId="6">
      <text>
        <r>
          <rPr>
            <b/>
            <sz val="9"/>
            <color indexed="81"/>
            <rFont val="Tahoma"/>
            <family val="2"/>
          </rPr>
          <t>Costantini, Michael (Research):</t>
        </r>
        <r>
          <rPr>
            <sz val="9"/>
            <color indexed="81"/>
            <rFont val="Tahoma"/>
            <family val="2"/>
          </rPr>
          <t xml:space="preserve">
PhoCusWright U.S. Vacation Rentals report (May 2013)
2007 ADR:  $216
2012 ADR:  $211</t>
        </r>
      </text>
    </comment>
    <comment ref="CV205" authorId="6">
      <text>
        <r>
          <rPr>
            <b/>
            <sz val="9"/>
            <color indexed="81"/>
            <rFont val="Tahoma"/>
            <family val="2"/>
          </rPr>
          <t>Costantini, Michael (Research):</t>
        </r>
        <r>
          <rPr>
            <sz val="9"/>
            <color indexed="81"/>
            <rFont val="Tahoma"/>
            <family val="2"/>
          </rPr>
          <t xml:space="preserve">
2Q:15 earnings conf call:  50mn vacation rental room nights over the last 12 months, up 39% y/y (August 5, 2015)</t>
        </r>
      </text>
    </comment>
    <comment ref="I210" authorId="6">
      <text>
        <r>
          <rPr>
            <b/>
            <sz val="9"/>
            <color indexed="81"/>
            <rFont val="Tahoma"/>
            <family val="2"/>
          </rPr>
          <t>Costantini, Michael (Research):</t>
        </r>
        <r>
          <rPr>
            <sz val="9"/>
            <color indexed="81"/>
            <rFont val="Tahoma"/>
            <family val="2"/>
          </rPr>
          <t xml:space="preserve">
PhoCusWright:  US Vacation Rentals 2009-2014: A Market Reinvented, published 2013</t>
        </r>
      </text>
    </comment>
    <comment ref="CS210" authorId="6">
      <text>
        <r>
          <rPr>
            <b/>
            <sz val="9"/>
            <color indexed="81"/>
            <rFont val="Tahoma"/>
            <family val="2"/>
          </rPr>
          <t>Costantini, Michael (Research):</t>
        </r>
        <r>
          <rPr>
            <sz val="9"/>
            <color indexed="81"/>
            <rFont val="Tahoma"/>
            <family val="2"/>
          </rPr>
          <t xml:space="preserve">
PhoCusWright:  US Vacation Rentals 2009-2014: A Market Reinvented, published 2013</t>
        </r>
      </text>
    </comment>
    <comment ref="AN214" authorId="2">
      <text>
        <r>
          <rPr>
            <b/>
            <sz val="8"/>
            <color indexed="81"/>
            <rFont val="Tahoma"/>
            <family val="2"/>
          </rPr>
          <t>Brian Nowak:
13.4 per trans</t>
        </r>
      </text>
    </comment>
    <comment ref="CO214" authorId="2">
      <text>
        <r>
          <rPr>
            <b/>
            <sz val="8"/>
            <color indexed="81"/>
            <rFont val="Tahoma"/>
            <family val="2"/>
          </rPr>
          <t>Brian Nowak:
118.7 per 2009 10K</t>
        </r>
      </text>
    </comment>
    <comment ref="CS214" authorId="5">
      <text>
        <r>
          <rPr>
            <b/>
            <sz val="9"/>
            <color indexed="81"/>
            <rFont val="Tahoma"/>
            <family val="2"/>
          </rPr>
          <t xml:space="preserve"> Brian Nowak:</t>
        </r>
        <r>
          <rPr>
            <sz val="9"/>
            <color indexed="81"/>
            <rFont val="Tahoma"/>
            <family val="2"/>
          </rPr>
          <t xml:space="preserve">
total "Other" revenue up 75% in 10K</t>
        </r>
      </text>
    </comment>
    <comment ref="AV215" authorId="9">
      <text>
        <r>
          <rPr>
            <b/>
            <sz val="8"/>
            <color indexed="81"/>
            <rFont val="Tahoma"/>
            <family val="2"/>
          </rPr>
          <t>nowak (Research):</t>
        </r>
        <r>
          <rPr>
            <sz val="8"/>
            <color indexed="81"/>
            <rFont val="Tahoma"/>
            <family val="2"/>
          </rPr>
          <t xml:space="preserve">
estimated based on 3Q:`0disclsoure on apac disclosure
780m for 12 months ended 9/30/10
 (total Agoda + Booking.com)</t>
        </r>
      </text>
    </comment>
    <comment ref="AW215" authorId="9">
      <text>
        <r>
          <rPr>
            <b/>
            <sz val="8"/>
            <color indexed="81"/>
            <rFont val="Tahoma"/>
            <family val="2"/>
          </rPr>
          <t>nowak (Research):</t>
        </r>
        <r>
          <rPr>
            <sz val="8"/>
            <color indexed="81"/>
            <rFont val="Tahoma"/>
            <family val="2"/>
          </rPr>
          <t xml:space="preserve">
estimated based on 3Q:`0disclsoure on apac disclosure
780m for 12 months ended 9/30/10
 (total Agoda + Booking.com)</t>
        </r>
      </text>
    </comment>
    <comment ref="AX215" authorId="9">
      <text>
        <r>
          <rPr>
            <b/>
            <sz val="8"/>
            <color indexed="81"/>
            <rFont val="Tahoma"/>
            <family val="2"/>
          </rPr>
          <t>nowak (Research):</t>
        </r>
        <r>
          <rPr>
            <sz val="8"/>
            <color indexed="81"/>
            <rFont val="Tahoma"/>
            <family val="2"/>
          </rPr>
          <t xml:space="preserve">
estimated based on 3Q:`0disclsoure on apac disclosure
780m for 12 months ended 9/30/10
 (total Agoda + Booking.com)</t>
        </r>
      </text>
    </comment>
    <comment ref="AY215" authorId="9">
      <text>
        <r>
          <rPr>
            <b/>
            <sz val="8"/>
            <color indexed="81"/>
            <rFont val="Tahoma"/>
            <family val="2"/>
          </rPr>
          <t>nowak (Research):</t>
        </r>
        <r>
          <rPr>
            <sz val="8"/>
            <color indexed="81"/>
            <rFont val="Tahoma"/>
            <family val="2"/>
          </rPr>
          <t xml:space="preserve">
estimated based on 3Q:`0disclsoure on apac disclosure
780m for 12 months ended 9/30/10
 (total Agoda + Booking.com)</t>
        </r>
      </text>
    </comment>
    <comment ref="AY216" authorId="2">
      <text>
        <r>
          <rPr>
            <b/>
            <sz val="10"/>
            <color indexed="81"/>
            <rFont val="Tahoma"/>
            <family val="2"/>
          </rPr>
          <t>Brian Nowak:
780m for 12 months ended 9/30/10
save to ssume rouhgly 50/50 between Booking.com and Agoda</t>
        </r>
      </text>
    </comment>
    <comment ref="AW224" authorId="2">
      <text>
        <r>
          <rPr>
            <b/>
            <sz val="8"/>
            <color indexed="81"/>
            <rFont val="Tahoma"/>
            <family val="2"/>
          </rPr>
          <t>Brian Nowak:
trip digit
thai unrest emerged</t>
        </r>
      </text>
    </comment>
    <comment ref="AX224" authorId="2">
      <text>
        <r>
          <rPr>
            <b/>
            <sz val="8"/>
            <color indexed="81"/>
            <rFont val="Tahoma"/>
            <family val="2"/>
          </rPr>
          <t>Brian Nowak:
triple digit
thai unrest</t>
        </r>
      </text>
    </comment>
    <comment ref="AY224" authorId="2">
      <text>
        <r>
          <rPr>
            <b/>
            <sz val="10"/>
            <color indexed="81"/>
            <rFont val="Tahoma"/>
            <family val="2"/>
          </rPr>
          <t>Brian Nowak:
triple digit; total Agoda and Booking.com APAC biz up 1just shy of 150% in 3Q</t>
        </r>
      </text>
    </comment>
    <comment ref="BA224" authorId="2">
      <text>
        <r>
          <rPr>
            <b/>
            <sz val="10"/>
            <color indexed="81"/>
            <rFont val="Tahoma"/>
            <family val="2"/>
          </rPr>
          <t>Brian Nowak:
"impressive", but impacted by Japan, but lapping thai unrest
"no reason to assume not triple digit now"</t>
        </r>
      </text>
    </comment>
    <comment ref="BB224" authorId="2">
      <text>
        <r>
          <rPr>
            <b/>
            <sz val="8"/>
            <color indexed="81"/>
            <rFont val="Tahoma"/>
            <family val="2"/>
          </rPr>
          <t>Brian Nowak:
lapping Thai unrest; faster than 1Q</t>
        </r>
      </text>
    </comment>
    <comment ref="BC224" authorId="2">
      <text>
        <r>
          <rPr>
            <sz val="10"/>
            <color indexed="81"/>
            <rFont val="Tahoma"/>
            <family val="2"/>
          </rPr>
          <t>Brian Nowak:
BTN assumption triple digits
First mention that Thai floods had an impact on travel
flooding began in July</t>
        </r>
      </text>
    </comment>
    <comment ref="BD224" authorId="3">
      <text>
        <r>
          <rPr>
            <b/>
            <sz val="12"/>
            <color indexed="81"/>
            <rFont val="Tahoma"/>
            <family val="2"/>
          </rPr>
          <t>Brian Nowak:
4Q11 conf call: "These results were delivered despite the negative impact of the floods in Thailand, which caused the loss of some reservations and higher cancelations."</t>
        </r>
      </text>
    </comment>
    <comment ref="BE224" authorId="2">
      <text>
        <r>
          <rPr>
            <b/>
            <sz val="8"/>
            <color indexed="81"/>
            <rFont val="Tahoma"/>
            <family val="2"/>
          </rPr>
          <t>Brian Nowak:
lapping japanese equake</t>
        </r>
      </text>
    </comment>
    <comment ref="BG224" authorId="2">
      <text>
        <r>
          <rPr>
            <b/>
            <sz val="8"/>
            <color indexed="81"/>
            <rFont val="Tahoma"/>
            <family val="2"/>
          </rPr>
          <t>Brian Nowak:
lapping thai floods</t>
        </r>
      </text>
    </comment>
    <comment ref="BH224" authorId="2">
      <text>
        <r>
          <rPr>
            <b/>
            <sz val="8"/>
            <color indexed="81"/>
            <rFont val="Tahoma"/>
            <family val="2"/>
          </rPr>
          <t>Brian Nowak:
lapping thai floods</t>
        </r>
      </text>
    </comment>
    <comment ref="BM224" authorId="4">
      <text>
        <r>
          <rPr>
            <b/>
            <sz val="9"/>
            <color indexed="81"/>
            <rFont val="Tahoma"/>
            <family val="2"/>
          </rPr>
          <t xml:space="preserve">Brian Nowak:
1Q:14 10-Q: (pg 29):  Agoda/Thailand Unrest:  "In addition, Thailand has recently experienced disruptive civil unrest, which has negatively impacted booking volumes and cancellation rates in this market."
</t>
        </r>
      </text>
    </comment>
    <comment ref="BN224" authorId="4">
      <text>
        <r>
          <rPr>
            <b/>
            <sz val="9"/>
            <color indexed="81"/>
            <rFont val="Tahoma"/>
            <family val="2"/>
          </rPr>
          <t>Brian Nowak:
2Q:14 conf call:  Agoda negatively affected by civil unrest but still saw good transaction volume</t>
        </r>
      </text>
    </comment>
    <comment ref="BS224" authorId="6">
      <text>
        <r>
          <rPr>
            <b/>
            <sz val="9"/>
            <color indexed="81"/>
            <rFont val="Tahoma"/>
            <family val="2"/>
          </rPr>
          <t>Costantini, Michael (Research):</t>
        </r>
        <r>
          <rPr>
            <sz val="9"/>
            <color indexed="81"/>
            <rFont val="Tahoma"/>
            <family val="2"/>
          </rPr>
          <t xml:space="preserve">
3Q:15 earnings conf call:  challenging qtr due to Thai bombing and FX
</t>
        </r>
      </text>
    </comment>
    <comment ref="BU224" authorId="7">
      <text>
        <r>
          <rPr>
            <b/>
            <sz val="9"/>
            <color indexed="81"/>
            <rFont val="Tahoma"/>
            <family val="2"/>
          </rPr>
          <t>Nowak, Brian (Research):</t>
        </r>
        <r>
          <rPr>
            <sz val="9"/>
            <color indexed="81"/>
            <rFont val="Tahoma"/>
            <family val="2"/>
          </rPr>
          <t xml:space="preserve">
chinese new year very strong</t>
        </r>
      </text>
    </comment>
    <comment ref="CS224" authorId="5">
      <text>
        <r>
          <rPr>
            <b/>
            <sz val="9"/>
            <color indexed="81"/>
            <rFont val="Tahoma"/>
            <family val="2"/>
          </rPr>
          <t xml:space="preserve"> Brian Nowak:</t>
        </r>
        <r>
          <rPr>
            <sz val="9"/>
            <color indexed="81"/>
            <rFont val="Tahoma"/>
            <family val="2"/>
          </rPr>
          <t xml:space="preserve">
total "Other" revenue up 75% in 10K</t>
        </r>
      </text>
    </comment>
    <comment ref="CT224" authorId="5">
      <text>
        <r>
          <rPr>
            <b/>
            <sz val="9"/>
            <color indexed="81"/>
            <rFont val="Tahoma"/>
            <family val="2"/>
          </rPr>
          <t xml:space="preserve"> Brian Nowak:</t>
        </r>
        <r>
          <rPr>
            <sz val="9"/>
            <color indexed="81"/>
            <rFont val="Tahoma"/>
            <family val="2"/>
          </rPr>
          <t xml:space="preserve">
55% per 10K and conversation</t>
        </r>
      </text>
    </comment>
    <comment ref="BA225" authorId="2">
      <text>
        <r>
          <rPr>
            <b/>
            <sz val="8"/>
            <color indexed="81"/>
            <rFont val="Tahoma"/>
            <family val="2"/>
          </rPr>
          <t xml:space="preserve">Brian Nowak:
"impressive", but impacted by Japan, but lapping thai unrest
</t>
        </r>
      </text>
    </comment>
    <comment ref="BU225" authorId="7">
      <text>
        <r>
          <rPr>
            <b/>
            <sz val="9"/>
            <color indexed="81"/>
            <rFont val="Tahoma"/>
            <family val="2"/>
          </rPr>
          <t>Nowak, Brian (Research):</t>
        </r>
        <r>
          <rPr>
            <sz val="9"/>
            <color indexed="81"/>
            <rFont val="Tahoma"/>
            <family val="2"/>
          </rPr>
          <t xml:space="preserve">
chinese new year very strong</t>
        </r>
      </text>
    </comment>
    <comment ref="AY226" authorId="2">
      <text>
        <r>
          <rPr>
            <b/>
            <sz val="8"/>
            <color indexed="81"/>
            <rFont val="Tahoma"/>
            <family val="2"/>
          </rPr>
          <t>Brian Nowak:
3Q10 growth rate just shy of 150%</t>
        </r>
      </text>
    </comment>
    <comment ref="AZ228" authorId="2">
      <text>
        <r>
          <rPr>
            <b/>
            <sz val="8"/>
            <color indexed="81"/>
            <rFont val="Tahoma"/>
            <family val="2"/>
          </rPr>
          <t>bnowak:</t>
        </r>
        <r>
          <rPr>
            <sz val="8"/>
            <color indexed="81"/>
            <rFont val="Tahoma"/>
            <family val="2"/>
          </rPr>
          <t xml:space="preserve">
780m for 12 months ended 9/30/10</t>
        </r>
      </text>
    </comment>
    <comment ref="AY234" authorId="2">
      <text>
        <r>
          <rPr>
            <b/>
            <sz val="8"/>
            <color indexed="81"/>
            <rFont val="Tahoma"/>
            <family val="2"/>
          </rPr>
          <t>Brian Nowak:
trailing 12 month ended 3Qup 133% in 3Q10</t>
        </r>
      </text>
    </comment>
    <comment ref="CT234" authorId="6">
      <text>
        <r>
          <rPr>
            <b/>
            <sz val="9"/>
            <color indexed="81"/>
            <rFont val="Tahoma"/>
            <family val="2"/>
          </rPr>
          <t>Costantini, Michael (Research):</t>
        </r>
        <r>
          <rPr>
            <sz val="9"/>
            <color indexed="81"/>
            <rFont val="Tahoma"/>
            <family val="2"/>
          </rPr>
          <t xml:space="preserve">
PhoCusWright:  LatAm OTA hotel market is $5.75bn in 2013 (PhoCusWright Latin America Online Travel Overview, 2nd Edition, November 2014)
MS estimate: PCLN is 33% of LatAm OTA hotel market ($1.9bn)</t>
        </r>
      </text>
    </comment>
    <comment ref="CW234" authorId="6">
      <text>
        <r>
          <rPr>
            <b/>
            <sz val="9"/>
            <color indexed="81"/>
            <rFont val="Tahoma"/>
            <family val="2"/>
          </rPr>
          <t>Costantini, Michael (Research):</t>
        </r>
        <r>
          <rPr>
            <sz val="9"/>
            <color indexed="81"/>
            <rFont val="Tahoma"/>
            <family val="2"/>
          </rPr>
          <t xml:space="preserve">
PhoCusWright:  LatAm OTA hotel market is $9.8bn in 2013 (PhoCusWright Latin America Online Travel Overview, 2nd Edition, November 2014)
</t>
        </r>
      </text>
    </comment>
    <comment ref="CS236" authorId="0">
      <text>
        <r>
          <rPr>
            <b/>
            <sz val="10"/>
            <color indexed="81"/>
            <rFont val="Tahoma"/>
            <family val="2"/>
          </rPr>
          <t>Brian Nowak:
- still up triple digits per MT and industry checks August 2012</t>
        </r>
      </text>
    </comment>
    <comment ref="CU236" authorId="7">
      <text>
        <r>
          <rPr>
            <b/>
            <sz val="9"/>
            <color indexed="81"/>
            <rFont val="Tahoma"/>
            <family val="2"/>
          </rPr>
          <t>Nowak, Brian (Research):</t>
        </r>
        <r>
          <rPr>
            <sz val="9"/>
            <color indexed="81"/>
            <rFont val="Tahoma"/>
            <family val="2"/>
          </rPr>
          <t xml:space="preserve">
worldcup</t>
        </r>
      </text>
    </comment>
    <comment ref="CW236" authorId="7">
      <text>
        <r>
          <rPr>
            <b/>
            <sz val="9"/>
            <color indexed="81"/>
            <rFont val="Tahoma"/>
            <family val="2"/>
          </rPr>
          <t>Nowak, Brian (Research):</t>
        </r>
        <r>
          <rPr>
            <sz val="9"/>
            <color indexed="81"/>
            <rFont val="Tahoma"/>
            <family val="2"/>
          </rPr>
          <t xml:space="preserve">
olympics and world cup</t>
        </r>
      </text>
    </comment>
    <comment ref="CN238" authorId="2">
      <text>
        <r>
          <rPr>
            <b/>
            <sz val="8"/>
            <color indexed="81"/>
            <rFont val="Tahoma"/>
            <family val="2"/>
          </rPr>
          <t>Brian Nowak:
per 5/2007 presentation at GS; 20% of international is 1. APAC 2. US and 3. Eastern Europe
growing over 200%</t>
        </r>
      </text>
    </comment>
    <comment ref="CQ238" authorId="2">
      <text>
        <r>
          <rPr>
            <b/>
            <sz val="8"/>
            <color indexed="81"/>
            <rFont val="Tahoma"/>
            <family val="2"/>
          </rPr>
          <t>Brian Nowak:
US is larger than APAC Booking.com</t>
        </r>
      </text>
    </comment>
    <comment ref="CR238" authorId="2">
      <text>
        <r>
          <rPr>
            <b/>
            <sz val="8"/>
            <color indexed="81"/>
            <rFont val="Tahoma"/>
            <family val="2"/>
          </rPr>
          <t>Brian Nowak:
2/27/12
Booking.com US larger than Booking.com APAC</t>
        </r>
      </text>
    </comment>
    <comment ref="CQ247" authorId="2">
      <text>
        <r>
          <rPr>
            <b/>
            <sz val="8"/>
            <color indexed="81"/>
            <rFont val="Tahoma"/>
            <family val="2"/>
          </rPr>
          <t>Brian Nowak:
phocus wright est 290</t>
        </r>
      </text>
    </comment>
    <comment ref="CU250" authorId="4">
      <text>
        <r>
          <rPr>
            <b/>
            <sz val="9"/>
            <color indexed="81"/>
            <rFont val="Tahoma"/>
            <family val="2"/>
          </rPr>
          <t>Brian Nowak:
2Q:14 conf call:  $4bn vacation rental bookings over LTM</t>
        </r>
      </text>
    </comment>
    <comment ref="CM254" authorId="2">
      <text>
        <r>
          <rPr>
            <b/>
            <sz val="8"/>
            <color indexed="81"/>
            <rFont val="Tahoma"/>
            <family val="2"/>
          </rPr>
          <t>Nowak:</t>
        </r>
        <r>
          <rPr>
            <sz val="8"/>
            <color indexed="81"/>
            <rFont val="Tahoma"/>
            <family val="2"/>
          </rPr>
          <t xml:space="preserve">
1.3bn
guidance in 1Q:06 800-900</t>
        </r>
      </text>
    </comment>
    <comment ref="CN262" authorId="2">
      <text>
        <r>
          <rPr>
            <b/>
            <sz val="8"/>
            <color indexed="81"/>
            <rFont val="Tahoma"/>
            <family val="2"/>
          </rPr>
          <t>Brian Nowak:
per 5/2007 presentation at GS; 20% of international is 1. APAC 2. US and 3. Eastern Europe
growing over 200%</t>
        </r>
      </text>
    </comment>
    <comment ref="CM270" authorId="6">
      <text>
        <r>
          <rPr>
            <b/>
            <sz val="9"/>
            <color indexed="81"/>
            <rFont val="Tahoma"/>
            <family val="2"/>
          </rPr>
          <t>Costantini, Michael (Research):</t>
        </r>
        <r>
          <rPr>
            <sz val="9"/>
            <color indexed="81"/>
            <rFont val="Tahoma"/>
            <family val="2"/>
          </rPr>
          <t xml:space="preserve">
PhoCusWright European Online Travel Overview 5th Ed</t>
        </r>
      </text>
    </comment>
    <comment ref="CN270" authorId="6">
      <text>
        <r>
          <rPr>
            <b/>
            <sz val="9"/>
            <color indexed="81"/>
            <rFont val="Tahoma"/>
            <family val="2"/>
          </rPr>
          <t>Costantini, Michael (Research):</t>
        </r>
        <r>
          <rPr>
            <sz val="9"/>
            <color indexed="81"/>
            <rFont val="Tahoma"/>
            <family val="2"/>
          </rPr>
          <t xml:space="preserve">
PhoCusWright European Online Travel Overview 5th Ed</t>
        </r>
      </text>
    </comment>
    <comment ref="CO270" authorId="6">
      <text>
        <r>
          <rPr>
            <b/>
            <sz val="9"/>
            <color indexed="81"/>
            <rFont val="Tahoma"/>
            <family val="2"/>
          </rPr>
          <t>Costantini, Michael (Research):</t>
        </r>
        <r>
          <rPr>
            <sz val="9"/>
            <color indexed="81"/>
            <rFont val="Tahoma"/>
            <family val="2"/>
          </rPr>
          <t xml:space="preserve">
PhoCusWright European Online Travel Overview 6th Ed</t>
        </r>
      </text>
    </comment>
    <comment ref="CP270" authorId="6">
      <text>
        <r>
          <rPr>
            <b/>
            <sz val="9"/>
            <color indexed="81"/>
            <rFont val="Tahoma"/>
            <family val="2"/>
          </rPr>
          <t>Costantini, Michael (Research):</t>
        </r>
        <r>
          <rPr>
            <sz val="9"/>
            <color indexed="81"/>
            <rFont val="Tahoma"/>
            <family val="2"/>
          </rPr>
          <t xml:space="preserve">
PhoCusWright European Online Travel Overview 7th Ed</t>
        </r>
      </text>
    </comment>
    <comment ref="CQ270" authorId="6">
      <text>
        <r>
          <rPr>
            <b/>
            <sz val="9"/>
            <color indexed="81"/>
            <rFont val="Tahoma"/>
            <family val="2"/>
          </rPr>
          <t>Costantini, Michael (Research):</t>
        </r>
        <r>
          <rPr>
            <sz val="9"/>
            <color indexed="81"/>
            <rFont val="Tahoma"/>
            <family val="2"/>
          </rPr>
          <t xml:space="preserve">
PhoCusWright European Online Travel Overview 8th Ed</t>
        </r>
      </text>
    </comment>
    <comment ref="CR270" authorId="6">
      <text>
        <r>
          <rPr>
            <b/>
            <sz val="9"/>
            <color indexed="81"/>
            <rFont val="Tahoma"/>
            <family val="2"/>
          </rPr>
          <t>Costantini, Michael (Research):</t>
        </r>
        <r>
          <rPr>
            <sz val="9"/>
            <color indexed="81"/>
            <rFont val="Tahoma"/>
            <family val="2"/>
          </rPr>
          <t xml:space="preserve">
PhoCusWright European Online Travel Overview 9th Ed</t>
        </r>
      </text>
    </comment>
    <comment ref="CS270" authorId="6">
      <text>
        <r>
          <rPr>
            <b/>
            <sz val="9"/>
            <color indexed="81"/>
            <rFont val="Tahoma"/>
            <family val="2"/>
          </rPr>
          <t>Costantini, Michael (Research):</t>
        </r>
        <r>
          <rPr>
            <sz val="9"/>
            <color indexed="81"/>
            <rFont val="Tahoma"/>
            <family val="2"/>
          </rPr>
          <t xml:space="preserve">
PhoCusWright European Online Travel Overview 10th Ed</t>
        </r>
      </text>
    </comment>
    <comment ref="CT270" authorId="6">
      <text>
        <r>
          <rPr>
            <b/>
            <sz val="9"/>
            <color indexed="81"/>
            <rFont val="Tahoma"/>
            <family val="2"/>
          </rPr>
          <t>Costantini, Michael (Research):</t>
        </r>
        <r>
          <rPr>
            <sz val="9"/>
            <color indexed="81"/>
            <rFont val="Tahoma"/>
            <family val="2"/>
          </rPr>
          <t xml:space="preserve">
PhoCusWright European Online Travel Overview 10th Ed</t>
        </r>
      </text>
    </comment>
    <comment ref="CU270" authorId="6">
      <text>
        <r>
          <rPr>
            <b/>
            <sz val="9"/>
            <color indexed="81"/>
            <rFont val="Tahoma"/>
            <family val="2"/>
          </rPr>
          <t>Costantini, Michael (Research):</t>
        </r>
        <r>
          <rPr>
            <sz val="9"/>
            <color indexed="81"/>
            <rFont val="Tahoma"/>
            <family val="2"/>
          </rPr>
          <t xml:space="preserve">
PhoCusWright European Online Travel Overview 10th Ed</t>
        </r>
      </text>
    </comment>
    <comment ref="CV270" authorId="6">
      <text>
        <r>
          <rPr>
            <b/>
            <sz val="9"/>
            <color indexed="81"/>
            <rFont val="Tahoma"/>
            <family val="2"/>
          </rPr>
          <t>Costantini, Michael (Research):</t>
        </r>
        <r>
          <rPr>
            <sz val="9"/>
            <color indexed="81"/>
            <rFont val="Tahoma"/>
            <family val="2"/>
          </rPr>
          <t xml:space="preserve">
PhoCusWright European Online Travel Overview 10th Ed</t>
        </r>
      </text>
    </comment>
    <comment ref="CW270" authorId="6">
      <text>
        <r>
          <rPr>
            <b/>
            <sz val="9"/>
            <color indexed="81"/>
            <rFont val="Tahoma"/>
            <family val="2"/>
          </rPr>
          <t>Costantini, Michael (Research):</t>
        </r>
        <r>
          <rPr>
            <sz val="9"/>
            <color indexed="81"/>
            <rFont val="Tahoma"/>
            <family val="2"/>
          </rPr>
          <t xml:space="preserve">
PhoCusWright European Online Travel Overview 10th Ed</t>
        </r>
      </text>
    </comment>
    <comment ref="CR275" authorId="2">
      <text>
        <r>
          <rPr>
            <b/>
            <sz val="8"/>
            <color indexed="81"/>
            <rFont val="Tahoma"/>
            <family val="2"/>
          </rPr>
          <t>Brian Nowak:
Added more in Europe in 2011 than 2010</t>
        </r>
      </text>
    </comment>
    <comment ref="CS275" authorId="2">
      <text>
        <r>
          <rPr>
            <b/>
            <sz val="8"/>
            <color indexed="81"/>
            <rFont val="Tahoma"/>
            <family val="2"/>
          </rPr>
          <t>Brian Nowak:
Added more in Europe in 2011 than 2010</t>
        </r>
      </text>
    </comment>
    <comment ref="BJ278" authorId="5">
      <text>
        <r>
          <rPr>
            <b/>
            <sz val="9"/>
            <color indexed="81"/>
            <rFont val="Tahoma"/>
            <family val="2"/>
          </rPr>
          <t xml:space="preserve"> Brian Nowak:</t>
        </r>
        <r>
          <rPr>
            <sz val="9"/>
            <color indexed="81"/>
            <rFont val="Tahoma"/>
            <family val="2"/>
          </rPr>
          <t xml:space="preserve">
lower than 60%</t>
        </r>
      </text>
    </comment>
    <comment ref="CJ278" authorId="2">
      <text>
        <r>
          <rPr>
            <b/>
            <sz val="8"/>
            <color indexed="81"/>
            <rFont val="Tahoma"/>
            <family val="2"/>
          </rPr>
          <t>Brian Nowak:
active acquired September 2004 for $164.5m
at date of acquisition, total bookings expected to be $160m, up ~100% yy and revenue expected to be $22m, up 115%</t>
        </r>
      </text>
    </comment>
    <comment ref="CK278" authorId="2">
      <text>
        <r>
          <rPr>
            <b/>
            <sz val="8"/>
            <color indexed="81"/>
            <rFont val="Tahoma"/>
            <family val="2"/>
          </rPr>
          <t>Brian Nowak:
active acquired September 2004 for $164.5m
at date of acquisition, total bookings expected to be $160m, up ~100% yy and revenue expected to be $22m, up 115%</t>
        </r>
      </text>
    </comment>
    <comment ref="CL278" authorId="2">
      <text>
        <r>
          <rPr>
            <b/>
            <sz val="8"/>
            <color indexed="81"/>
            <rFont val="Tahoma"/>
            <family val="2"/>
          </rPr>
          <t>Brian Nowak:
active acquired September 2004 for $164.5m</t>
        </r>
      </text>
    </comment>
    <comment ref="CK279" authorId="2">
      <text>
        <r>
          <rPr>
            <b/>
            <sz val="8"/>
            <color indexed="81"/>
            <rFont val="Tahoma"/>
            <family val="2"/>
          </rPr>
          <t>Brian Nowak:
acquired July 2005 for $133m
$225m for the 12 months ended June 30, 2005, up 110% yoy
Revenue of $25m, up 100%</t>
        </r>
      </text>
    </comment>
    <comment ref="CL279" authorId="2">
      <text>
        <r>
          <rPr>
            <b/>
            <sz val="8"/>
            <color indexed="81"/>
            <rFont val="Tahoma"/>
            <family val="2"/>
          </rPr>
          <t>Brian Nowak:
acquired July 2005 for $133m
$225m for the 12 months ended June 30, 2005, up 110% yoy
Revenue of $25m, up 100%</t>
        </r>
      </text>
    </comment>
    <comment ref="BC283" authorId="5">
      <text>
        <r>
          <rPr>
            <b/>
            <sz val="9"/>
            <color indexed="81"/>
            <rFont val="Tahoma"/>
            <family val="2"/>
          </rPr>
          <t xml:space="preserve"> Brian Nowak:</t>
        </r>
        <r>
          <rPr>
            <sz val="9"/>
            <color indexed="81"/>
            <rFont val="Tahoma"/>
            <family val="2"/>
          </rPr>
          <t xml:space="preserve">
assume same European mix as in 2Q:11</t>
        </r>
      </text>
    </comment>
    <comment ref="BE283" authorId="5">
      <text>
        <r>
          <rPr>
            <b/>
            <sz val="9"/>
            <color indexed="81"/>
            <rFont val="Tahoma"/>
            <family val="2"/>
          </rPr>
          <t xml:space="preserve"> Brian Nowak:</t>
        </r>
        <r>
          <rPr>
            <sz val="9"/>
            <color indexed="81"/>
            <rFont val="Tahoma"/>
            <family val="2"/>
          </rPr>
          <t xml:space="preserve">
BTN estimate on 57% of total…slightly less than 60% due to APAC seasonality</t>
        </r>
      </text>
    </comment>
    <comment ref="BF283" authorId="0">
      <text>
        <r>
          <rPr>
            <b/>
            <sz val="10"/>
            <color indexed="81"/>
            <rFont val="Tahoma"/>
            <family val="2"/>
          </rPr>
          <t>Brian Nowak:
conf call
Europe is 60% of room nights and it was up 30%...all other was up 50%
60% of total booked room nights TRAILING 12 month per MT</t>
        </r>
      </text>
    </comment>
    <comment ref="BG283" authorId="0">
      <text>
        <r>
          <rPr>
            <b/>
            <sz val="10"/>
            <color indexed="81"/>
            <rFont val="Tahoma"/>
            <family val="2"/>
          </rPr>
          <t xml:space="preserve">Brian Nowak:
3Q:12 conf call, not materially different from 30% growth in 2Q and 50% growth of rest of world in 2Q
</t>
        </r>
      </text>
    </comment>
    <comment ref="CM283" authorId="2">
      <text>
        <r>
          <rPr>
            <b/>
            <sz val="10"/>
            <color indexed="81"/>
            <rFont val="Tahoma"/>
            <family val="2"/>
          </rPr>
          <t>Brian Nowak:
per 5/2007 presentation at GS; 20% of international is 1. APAC 2. US and 3. Eastern Europe
growing over 200%</t>
        </r>
      </text>
    </comment>
    <comment ref="CN283" authorId="2">
      <text>
        <r>
          <rPr>
            <b/>
            <sz val="10"/>
            <color indexed="81"/>
            <rFont val="Tahoma"/>
            <family val="2"/>
          </rPr>
          <t>Brian Nowak:
per 5/2007 presentation at GS; 20% of international is 1. APAC 2. US and 3. Eastern Europe
growing over 200%</t>
        </r>
      </text>
    </comment>
    <comment ref="CS283" authorId="5">
      <text>
        <r>
          <rPr>
            <b/>
            <sz val="9"/>
            <color indexed="81"/>
            <rFont val="Tahoma"/>
            <family val="2"/>
          </rPr>
          <t xml:space="preserve"> Brian Nowak:</t>
        </r>
        <r>
          <rPr>
            <sz val="9"/>
            <color indexed="81"/>
            <rFont val="Tahoma"/>
            <family val="2"/>
          </rPr>
          <t xml:space="preserve">
 Europe was 60% of trailing 12 month room nights in 2Q:12</t>
        </r>
      </text>
    </comment>
    <comment ref="BA288" authorId="3">
      <text>
        <r>
          <rPr>
            <b/>
            <sz val="8"/>
            <color indexed="81"/>
            <rFont val="Tahoma"/>
            <family val="2"/>
          </rPr>
          <t>Brian Nowak:
per STR 2011 US hotel demand split</t>
        </r>
      </text>
    </comment>
    <comment ref="BB288" authorId="3">
      <text>
        <r>
          <rPr>
            <b/>
            <sz val="8"/>
            <color indexed="81"/>
            <rFont val="Tahoma"/>
            <family val="2"/>
          </rPr>
          <t>Brian Nowak:
per STR 2011 US hotel demand split</t>
        </r>
      </text>
    </comment>
    <comment ref="BC288" authorId="3">
      <text>
        <r>
          <rPr>
            <b/>
            <sz val="8"/>
            <color indexed="81"/>
            <rFont val="Tahoma"/>
            <family val="2"/>
          </rPr>
          <t>Brian Nowak:
per STR 2011 US hotel demand split</t>
        </r>
      </text>
    </comment>
    <comment ref="BD288" authorId="3">
      <text>
        <r>
          <rPr>
            <b/>
            <sz val="8"/>
            <color indexed="81"/>
            <rFont val="Tahoma"/>
            <family val="2"/>
          </rPr>
          <t>Brian Nowak:
per STR 2011 US hotel demand split
per MT: grew "much faster than 10%"</t>
        </r>
      </text>
    </comment>
    <comment ref="CR288" authorId="1">
      <text>
        <r>
          <rPr>
            <b/>
            <sz val="8"/>
            <color indexed="81"/>
            <rFont val="Tahoma"/>
            <family val="2"/>
          </rPr>
          <t>Brian Nowak:</t>
        </r>
        <r>
          <rPr>
            <sz val="8"/>
            <color indexed="81"/>
            <rFont val="Tahoma"/>
            <family val="2"/>
          </rPr>
          <t xml:space="preserve">
bigger than Booking.com in APAC</t>
        </r>
      </text>
    </comment>
    <comment ref="CV290" authorId="6">
      <text>
        <r>
          <rPr>
            <b/>
            <sz val="9"/>
            <color indexed="81"/>
            <rFont val="Tahoma"/>
            <family val="2"/>
          </rPr>
          <t>Costantini, Michael (Research):</t>
        </r>
        <r>
          <rPr>
            <sz val="9"/>
            <color indexed="81"/>
            <rFont val="Tahoma"/>
            <family val="2"/>
          </rPr>
          <t xml:space="preserve">
2Q:15 earnings conf call:  50mn vacation rental room nights over the last 12 months, up 39% y/y (August 5, 2015)</t>
        </r>
      </text>
    </comment>
    <comment ref="BE294" authorId="0">
      <text>
        <r>
          <rPr>
            <b/>
            <sz val="8"/>
            <color indexed="81"/>
            <rFont val="Tahoma"/>
            <family val="2"/>
          </rPr>
          <t>Brian Nowak:
per MT "DEFINITELY" faster than 30%</t>
        </r>
      </text>
    </comment>
    <comment ref="BF294" authorId="0">
      <text>
        <r>
          <rPr>
            <b/>
            <sz val="8"/>
            <color indexed="81"/>
            <rFont val="Tahoma"/>
            <family val="2"/>
          </rPr>
          <t>Brian Nowak:
over over 30%</t>
        </r>
      </text>
    </comment>
    <comment ref="BG294" authorId="0">
      <text>
        <r>
          <rPr>
            <b/>
            <sz val="8"/>
            <color indexed="81"/>
            <rFont val="Tahoma"/>
            <family val="2"/>
          </rPr>
          <t>Brian Nowak:
not materially different  than 2Q</t>
        </r>
      </text>
    </comment>
    <comment ref="CM294" authorId="0">
      <text>
        <r>
          <rPr>
            <b/>
            <sz val="8"/>
            <color indexed="81"/>
            <rFont val="Tahoma"/>
            <family val="2"/>
          </rPr>
          <t>Brian Nowak:
per 4Q:06 conf call</t>
        </r>
      </text>
    </comment>
    <comment ref="BF299" authorId="0">
      <text>
        <r>
          <rPr>
            <b/>
            <sz val="8"/>
            <color indexed="81"/>
            <rFont val="Tahoma"/>
            <family val="2"/>
          </rPr>
          <t>Brian Nowak:
must adjust to make domestic room nights negateive and incraese this growth rate</t>
        </r>
      </text>
    </comment>
    <comment ref="CW309" authorId="7">
      <text>
        <r>
          <rPr>
            <b/>
            <sz val="9"/>
            <color indexed="81"/>
            <rFont val="Tahoma"/>
            <family val="2"/>
          </rPr>
          <t>Nowak, Brian (Research):</t>
        </r>
        <r>
          <rPr>
            <sz val="9"/>
            <color indexed="81"/>
            <rFont val="Tahoma"/>
            <family val="2"/>
          </rPr>
          <t xml:space="preserve">
world cup and olympics</t>
        </r>
      </text>
    </comment>
    <comment ref="BG319" authorId="0">
      <text>
        <r>
          <rPr>
            <b/>
            <sz val="8"/>
            <color indexed="81"/>
            <rFont val="Tahoma"/>
            <family val="2"/>
          </rPr>
          <t>Brian Nowak:
faster than Expedia (17%)</t>
        </r>
      </text>
    </comment>
    <comment ref="I324" authorId="2">
      <text>
        <r>
          <rPr>
            <b/>
            <sz val="8"/>
            <color indexed="81"/>
            <rFont val="Tahoma"/>
            <family val="2"/>
          </rPr>
          <t xml:space="preserve">Brian Nowak:
given </t>
        </r>
      </text>
    </comment>
    <comment ref="BB325" authorId="2">
      <text>
        <r>
          <rPr>
            <b/>
            <sz val="8"/>
            <color indexed="81"/>
            <rFont val="Tahoma"/>
            <family val="2"/>
          </rPr>
          <t>Brian Nowak:
heavy opaque</t>
        </r>
      </text>
    </comment>
    <comment ref="BN325" authorId="4">
      <text>
        <r>
          <rPr>
            <b/>
            <sz val="9"/>
            <color indexed="81"/>
            <rFont val="Tahoma"/>
            <family val="2"/>
          </rPr>
          <t xml:space="preserve">Brian Nowak:
2Q:14 10-Q:  2Q growth was driven by "an increase in price-disclosed airline ticket reservations for priceline.com driven primarily by increased paid advertising placements on KAYAK."
</t>
        </r>
      </text>
    </comment>
    <comment ref="BO325" authorId="4">
      <text>
        <r>
          <rPr>
            <b/>
            <sz val="9"/>
            <color indexed="81"/>
            <rFont val="Tahoma"/>
            <family val="2"/>
          </rPr>
          <t>Brian Nowak:
3Q:14 10-Q:  growth was driven by "an increase in price-disclosed airline ticket reservations for priceline.com driven primarily by increased paid advertising placements on KAYAK (which began in the third quarter of 2013), partially offset by a decline in priceline.com's Name Your Own Price® airline ticket reservation service."</t>
        </r>
      </text>
    </comment>
    <comment ref="CV325" authorId="6">
      <text>
        <r>
          <rPr>
            <b/>
            <sz val="9"/>
            <color indexed="81"/>
            <rFont val="Tahoma"/>
            <family val="2"/>
          </rPr>
          <t>Costantini, Michael (Research):</t>
        </r>
        <r>
          <rPr>
            <sz val="9"/>
            <color indexed="81"/>
            <rFont val="Tahoma"/>
            <family val="2"/>
          </rPr>
          <t xml:space="preserve">
2015 10-K, Airline tickets (pg 51):
-Airline ticket reservations declined in 2015 "due to a decline in priceline.com's Name Your Own Price® airline ticket reservations."
</t>
        </r>
      </text>
    </comment>
    <comment ref="BA331" authorId="2">
      <text>
        <r>
          <rPr>
            <b/>
            <sz val="8"/>
            <color indexed="81"/>
            <rFont val="Tahoma"/>
            <family val="2"/>
          </rPr>
          <t>Brian Nowak:
4Q: conf call' expect it to be better than 4Q really bad perforamnce</t>
        </r>
      </text>
    </comment>
    <comment ref="BB331" authorId="2">
      <text>
        <r>
          <rPr>
            <b/>
            <sz val="8"/>
            <color indexed="81"/>
            <rFont val="Tahoma"/>
            <family val="2"/>
          </rPr>
          <t>Brian Nowak:
heavy opaque</t>
        </r>
      </text>
    </comment>
    <comment ref="AG335" authorId="2">
      <text>
        <r>
          <rPr>
            <b/>
            <sz val="8"/>
            <color indexed="81"/>
            <rFont val="Tahoma"/>
            <family val="2"/>
          </rPr>
          <t>Brian Nowak:
around 235</t>
        </r>
      </text>
    </comment>
    <comment ref="AH335" authorId="2">
      <text>
        <r>
          <rPr>
            <b/>
            <sz val="8"/>
            <color indexed="81"/>
            <rFont val="Tahoma"/>
            <family val="2"/>
          </rPr>
          <t>Brian Nowak:
around 296</t>
        </r>
      </text>
    </comment>
    <comment ref="AI335" authorId="2">
      <text>
        <r>
          <rPr>
            <b/>
            <sz val="8"/>
            <color indexed="81"/>
            <rFont val="Tahoma"/>
            <family val="2"/>
          </rPr>
          <t>Brian Nowak:
aruond 230</t>
        </r>
      </text>
    </comment>
    <comment ref="AJ335" authorId="2">
      <text>
        <r>
          <rPr>
            <b/>
            <sz val="8"/>
            <color indexed="81"/>
            <rFont val="Tahoma"/>
            <family val="2"/>
          </rPr>
          <t>Brian Nowak:
arount 190</t>
        </r>
      </text>
    </comment>
    <comment ref="AK335" authorId="2">
      <text>
        <r>
          <rPr>
            <b/>
            <sz val="8"/>
            <color indexed="81"/>
            <rFont val="Tahoma"/>
            <family val="2"/>
          </rPr>
          <t>Brian Nowak:
around 185</t>
        </r>
      </text>
    </comment>
    <comment ref="AL335" authorId="2">
      <text>
        <r>
          <rPr>
            <b/>
            <sz val="8"/>
            <color indexed="81"/>
            <rFont val="Tahoma"/>
            <family val="2"/>
          </rPr>
          <t>Brian Nowak:
220ish</t>
        </r>
      </text>
    </comment>
    <comment ref="AM335" authorId="2">
      <text>
        <r>
          <rPr>
            <b/>
            <sz val="8"/>
            <color indexed="81"/>
            <rFont val="Tahoma"/>
            <family val="2"/>
          </rPr>
          <t>Brian Nowak:
245ish</t>
        </r>
      </text>
    </comment>
    <comment ref="AN335" authorId="2">
      <text>
        <r>
          <rPr>
            <b/>
            <sz val="8"/>
            <color indexed="81"/>
            <rFont val="Tahoma"/>
            <family val="2"/>
          </rPr>
          <t>Brian Nowak:
245ish</t>
        </r>
      </text>
    </comment>
    <comment ref="I337" authorId="2">
      <text>
        <r>
          <rPr>
            <b/>
            <sz val="8"/>
            <color indexed="81"/>
            <rFont val="Tahoma"/>
            <family val="2"/>
          </rPr>
          <t>Brian Nowak:
set to around 95%</t>
        </r>
      </text>
    </comment>
    <comment ref="I339" authorId="1">
      <text>
        <r>
          <rPr>
            <b/>
            <sz val="8"/>
            <color indexed="81"/>
            <rFont val="Tahoma"/>
            <family val="2"/>
          </rPr>
          <t>Brian Nowak:</t>
        </r>
        <r>
          <rPr>
            <sz val="8"/>
            <color indexed="81"/>
            <rFont val="Tahoma"/>
            <family val="2"/>
          </rPr>
          <t xml:space="preserve">
BTS.gov</t>
        </r>
      </text>
    </comment>
    <comment ref="AG339" authorId="1">
      <text>
        <r>
          <rPr>
            <b/>
            <sz val="8"/>
            <color indexed="81"/>
            <rFont val="Tahoma"/>
            <family val="2"/>
          </rPr>
          <t>Brian Nowak:</t>
        </r>
        <r>
          <rPr>
            <sz val="8"/>
            <color indexed="81"/>
            <rFont val="Tahoma"/>
            <family val="2"/>
          </rPr>
          <t xml:space="preserve">
bureau of transportation statistics</t>
        </r>
      </text>
    </comment>
    <comment ref="AH339" authorId="1">
      <text>
        <r>
          <rPr>
            <b/>
            <sz val="8"/>
            <color indexed="81"/>
            <rFont val="Tahoma"/>
            <family val="2"/>
          </rPr>
          <t>Brian Nowak:</t>
        </r>
        <r>
          <rPr>
            <sz val="8"/>
            <color indexed="81"/>
            <rFont val="Tahoma"/>
            <family val="2"/>
          </rPr>
          <t xml:space="preserve">
bureau of transportation statistics</t>
        </r>
      </text>
    </comment>
    <comment ref="AI339" authorId="1">
      <text>
        <r>
          <rPr>
            <b/>
            <sz val="8"/>
            <color indexed="81"/>
            <rFont val="Tahoma"/>
            <family val="2"/>
          </rPr>
          <t>Brian Nowak:</t>
        </r>
        <r>
          <rPr>
            <sz val="8"/>
            <color indexed="81"/>
            <rFont val="Tahoma"/>
            <family val="2"/>
          </rPr>
          <t xml:space="preserve">
bureau of transportation statistics</t>
        </r>
      </text>
    </comment>
    <comment ref="AJ339" authorId="1">
      <text>
        <r>
          <rPr>
            <b/>
            <sz val="8"/>
            <color indexed="81"/>
            <rFont val="Tahoma"/>
            <family val="2"/>
          </rPr>
          <t>Brian Nowak:</t>
        </r>
        <r>
          <rPr>
            <sz val="8"/>
            <color indexed="81"/>
            <rFont val="Tahoma"/>
            <family val="2"/>
          </rPr>
          <t xml:space="preserve">
bureau of transportation statistics</t>
        </r>
      </text>
    </comment>
    <comment ref="AX344" authorId="2">
      <text>
        <r>
          <rPr>
            <b/>
            <sz val="8"/>
            <color indexed="81"/>
            <rFont val="Tahoma"/>
            <family val="2"/>
          </rPr>
          <t>Brian Nowak:
continued reduced capacity impacted amount of inventory avail for opaque discounting</t>
        </r>
      </text>
    </comment>
    <comment ref="BB346" authorId="1">
      <text>
        <r>
          <rPr>
            <b/>
            <sz val="8"/>
            <color indexed="81"/>
            <rFont val="Tahoma"/>
            <family val="2"/>
          </rPr>
          <t>Brian Nowak:</t>
        </r>
        <r>
          <rPr>
            <sz val="8"/>
            <color indexed="81"/>
            <rFont val="Tahoma"/>
            <family val="2"/>
          </rPr>
          <t xml:space="preserve">
1 unequal month compare (april) with Travel Jigsaw</t>
        </r>
      </text>
    </comment>
    <comment ref="BC346" authorId="2">
      <text>
        <r>
          <rPr>
            <b/>
            <sz val="8"/>
            <color indexed="81"/>
            <rFont val="Tahoma"/>
            <family val="2"/>
          </rPr>
          <t>Brian Nowak:
3Q and 2Q seasonally strong quarters</t>
        </r>
      </text>
    </comment>
    <comment ref="BK346" authorId="4">
      <text>
        <r>
          <rPr>
            <b/>
            <sz val="9"/>
            <color indexed="81"/>
            <rFont val="Tahoma"/>
            <family val="2"/>
          </rPr>
          <t>Brian Nowak:
3Q conf call:  deceleration due to some softness in demand at rentalcars.com, esp in UK (biggest mkt)…maybe from Olympics or "great weather"</t>
        </r>
      </text>
    </comment>
    <comment ref="BL346" authorId="5">
      <text>
        <r>
          <rPr>
            <b/>
            <sz val="9"/>
            <color indexed="81"/>
            <rFont val="Tahoma"/>
            <family val="2"/>
          </rPr>
          <t xml:space="preserve"> Brian Nowak:</t>
        </r>
        <r>
          <rPr>
            <sz val="9"/>
            <color indexed="81"/>
            <rFont val="Tahoma"/>
            <family val="2"/>
          </rPr>
          <t xml:space="preserve">
priceline.com and rentalcars.com</t>
        </r>
      </text>
    </comment>
    <comment ref="BN346" authorId="4">
      <text>
        <r>
          <rPr>
            <b/>
            <sz val="9"/>
            <color indexed="81"/>
            <rFont val="Tahoma"/>
            <family val="2"/>
          </rPr>
          <t xml:space="preserve">Brian Nowak:
2Q:14 10-Q:  2Q growth was driven by "an increase in retail rental car day reservations for rentalcars.com and priceline.com, partially offset by a decline in our Name Your Own Price rental car reservation service."
</t>
        </r>
      </text>
    </comment>
    <comment ref="BO346" authorId="4">
      <text>
        <r>
          <rPr>
            <b/>
            <sz val="9"/>
            <color indexed="81"/>
            <rFont val="Tahoma"/>
            <family val="2"/>
          </rPr>
          <t xml:space="preserve">Brian Nowak:
3Q:14 10-Q:  -growth was driven by "an increase in price-disclosed rental car day reservations for rentalcars.com and priceline.com, partially offset by a decline in priceline.com's Name Your Own Price® rental car reservation service." </t>
        </r>
      </text>
    </comment>
    <comment ref="CV346" authorId="6">
      <text>
        <r>
          <rPr>
            <b/>
            <sz val="9"/>
            <color indexed="81"/>
            <rFont val="Tahoma"/>
            <family val="2"/>
          </rPr>
          <t>Costantini, Michael (Research):</t>
        </r>
        <r>
          <rPr>
            <sz val="9"/>
            <color indexed="81"/>
            <rFont val="Tahoma"/>
            <family val="2"/>
          </rPr>
          <t xml:space="preserve">
2015 10-K, Rental cars (pg 51):
-Rental car day reservations growth in 2015 was "due to an increase in price-disclosed rental car day reservations for rentalcars.com and priceline.com, partially offset by a decline in priceline.com's Name Your Own Price® rental car reservation service."
</t>
        </r>
      </text>
    </comment>
    <comment ref="AU351" authorId="2">
      <text>
        <r>
          <rPr>
            <b/>
            <sz val="8"/>
            <color indexed="81"/>
            <rFont val="Tahoma"/>
            <family val="2"/>
          </rPr>
          <t>Brian Nowak:
increases in rates</t>
        </r>
      </text>
    </comment>
    <comment ref="I356" authorId="6">
      <text>
        <r>
          <rPr>
            <b/>
            <sz val="9"/>
            <color indexed="81"/>
            <rFont val="Tahoma"/>
            <family val="2"/>
          </rPr>
          <t>Costantini, Michael (Research):</t>
        </r>
        <r>
          <rPr>
            <sz val="9"/>
            <color indexed="81"/>
            <rFont val="Tahoma"/>
            <family val="2"/>
          </rPr>
          <t xml:space="preserve">
fka Travel Jigsaw</t>
        </r>
      </text>
    </comment>
    <comment ref="BB356" authorId="2">
      <text>
        <r>
          <rPr>
            <b/>
            <sz val="8"/>
            <color indexed="81"/>
            <rFont val="Tahoma"/>
            <family val="2"/>
          </rPr>
          <t>Brian Nowak:
2Q and 3Q largest seasonally</t>
        </r>
      </text>
    </comment>
    <comment ref="BC356" authorId="2">
      <text>
        <r>
          <rPr>
            <b/>
            <sz val="8"/>
            <color indexed="81"/>
            <rFont val="Tahoma"/>
            <family val="2"/>
          </rPr>
          <t>Brian Nowak:
2Q and 3Q largest seasonally</t>
        </r>
      </text>
    </comment>
    <comment ref="CQ356" authorId="2">
      <text>
        <r>
          <rPr>
            <b/>
            <sz val="8"/>
            <color indexed="81"/>
            <rFont val="Tahoma"/>
            <family val="2"/>
          </rPr>
          <t>Brian Nowak:
185 per 10k</t>
        </r>
      </text>
    </comment>
    <comment ref="CS356" authorId="5">
      <text>
        <r>
          <rPr>
            <b/>
            <sz val="9"/>
            <color indexed="81"/>
            <rFont val="Tahoma"/>
            <family val="2"/>
          </rPr>
          <t xml:space="preserve"> Brian Nowak:</t>
        </r>
        <r>
          <rPr>
            <sz val="9"/>
            <color indexed="81"/>
            <rFont val="Tahoma"/>
            <family val="2"/>
          </rPr>
          <t xml:space="preserve">
total rental car bookings in 2012 NOT 80/20 Jigsaw…BTN estimate 60/40, but domestic air business is still larger than domestic rental cars</t>
        </r>
      </text>
    </comment>
    <comment ref="CQ364" authorId="1">
      <text>
        <r>
          <rPr>
            <b/>
            <sz val="8"/>
            <color indexed="81"/>
            <rFont val="Tahoma"/>
            <family val="2"/>
          </rPr>
          <t>Brian Nowak:</t>
        </r>
        <r>
          <rPr>
            <sz val="8"/>
            <color indexed="81"/>
            <rFont val="Tahoma"/>
            <family val="2"/>
          </rPr>
          <t xml:space="preserve">
3/11/11
MT: Domestic Opaque and Domestic Retail Bizes are both bigger than air business</t>
        </r>
      </text>
    </comment>
    <comment ref="BA365" authorId="2">
      <text>
        <r>
          <rPr>
            <b/>
            <sz val="8"/>
            <color indexed="81"/>
            <rFont val="Tahoma"/>
            <family val="2"/>
          </rPr>
          <t>Brian Nowak:
total domestic bookings were up 14%, and domestic hotels up more than 14%...BTN assume 17%</t>
        </r>
      </text>
    </comment>
    <comment ref="CQ366" authorId="1">
      <text>
        <r>
          <rPr>
            <b/>
            <sz val="8"/>
            <color indexed="81"/>
            <rFont val="Tahoma"/>
            <family val="2"/>
          </rPr>
          <t>Brian Nowak:</t>
        </r>
        <r>
          <rPr>
            <sz val="8"/>
            <color indexed="81"/>
            <rFont val="Tahoma"/>
            <family val="2"/>
          </rPr>
          <t xml:space="preserve">
3/11/11
MT: Domestic Opaque and Domestic Retail Bizes are both bigger than air business</t>
        </r>
      </text>
    </comment>
    <comment ref="BI369" authorId="5">
      <text>
        <r>
          <rPr>
            <b/>
            <sz val="9"/>
            <color indexed="81"/>
            <rFont val="Tahoma"/>
            <family val="2"/>
          </rPr>
          <t xml:space="preserve"> Brian Nowak:</t>
        </r>
        <r>
          <rPr>
            <sz val="9"/>
            <color indexed="81"/>
            <rFont val="Tahoma"/>
            <family val="2"/>
          </rPr>
          <t xml:space="preserve">
1Q:13 conf call rental cars strong </t>
        </r>
      </text>
    </comment>
  </commentList>
</comments>
</file>

<file path=xl/comments4.xml><?xml version="1.0" encoding="utf-8"?>
<comments xmlns="http://schemas.openxmlformats.org/spreadsheetml/2006/main">
  <authors>
    <author>Bo Nam</author>
    <author>bnowak</author>
    <author>Nowak, Brian (EQ/US)</author>
    <author>micostan</author>
    <author>Costantini, Michael</author>
    <author xml:space="preserve"> Brian Nowak</author>
    <author>Costantini, Michael (Research)</author>
  </authors>
  <commentList>
    <comment ref="BB26" authorId="0">
      <text>
        <r>
          <rPr>
            <b/>
            <sz val="8"/>
            <color indexed="81"/>
            <rFont val="Tahoma"/>
            <family val="2"/>
          </rPr>
          <t>Brian Nowak:
8/3</t>
        </r>
      </text>
    </comment>
    <comment ref="BC26" authorId="0">
      <text>
        <r>
          <rPr>
            <b/>
            <sz val="8"/>
            <color indexed="81"/>
            <rFont val="Tahoma"/>
            <family val="2"/>
          </rPr>
          <t>Brian Nowak:
Updated 10/3
1.63 at 8/3 at earnings</t>
        </r>
      </text>
    </comment>
    <comment ref="BD26" authorId="1">
      <text>
        <r>
          <rPr>
            <b/>
            <sz val="8"/>
            <color indexed="81"/>
            <rFont val="Tahoma"/>
            <family val="2"/>
          </rPr>
          <t>Brian Nowak:
guidance assumes 1.60</t>
        </r>
      </text>
    </comment>
    <comment ref="BE26" authorId="1">
      <text>
        <r>
          <rPr>
            <b/>
            <sz val="8"/>
            <color indexed="81"/>
            <rFont val="Tahoma"/>
            <family val="2"/>
          </rPr>
          <t>Brian Nowak:
guidance  assumes 1.59
actual as of 3/20</t>
        </r>
      </text>
    </comment>
    <comment ref="BF26" authorId="2">
      <text>
        <r>
          <rPr>
            <b/>
            <sz val="8"/>
            <color indexed="81"/>
            <rFont val="Tahoma"/>
            <family val="2"/>
          </rPr>
          <t>Brian Nowak:
guidance assumes 1.62</t>
        </r>
      </text>
    </comment>
    <comment ref="BG26" authorId="3">
      <text>
        <r>
          <rPr>
            <b/>
            <sz val="10"/>
            <color indexed="81"/>
            <rFont val="Tahoma"/>
            <family val="2"/>
          </rPr>
          <t>Brian Nowak:
guidance assumes 1.56
1.572 as of 9/5</t>
        </r>
      </text>
    </comment>
    <comment ref="BH26" authorId="2">
      <text>
        <r>
          <rPr>
            <b/>
            <sz val="8"/>
            <color indexed="81"/>
            <rFont val="Tahoma"/>
            <family val="2"/>
          </rPr>
          <t>Brian Nowak:
guidance 1.61</t>
        </r>
      </text>
    </comment>
    <comment ref="BI26" authorId="3">
      <text>
        <r>
          <rPr>
            <b/>
            <sz val="8"/>
            <color indexed="81"/>
            <rFont val="Tahoma"/>
            <family val="2"/>
          </rPr>
          <t>Brian Nowak:
guidance 1.52</t>
        </r>
      </text>
    </comment>
    <comment ref="BJ26" authorId="4">
      <text>
        <r>
          <rPr>
            <b/>
            <sz val="9"/>
            <color indexed="81"/>
            <rFont val="Tahoma"/>
            <family val="2"/>
          </rPr>
          <t>Brian Nowak:
guidance:  1.56</t>
        </r>
      </text>
    </comment>
    <comment ref="BK26" authorId="5">
      <text>
        <r>
          <rPr>
            <b/>
            <sz val="9"/>
            <color indexed="81"/>
            <rFont val="Tahoma"/>
            <family val="2"/>
          </rPr>
          <t xml:space="preserve"> Brian Nowak:</t>
        </r>
        <r>
          <rPr>
            <sz val="9"/>
            <color indexed="81"/>
            <rFont val="Tahoma"/>
            <family val="2"/>
          </rPr>
          <t xml:space="preserve">
guidance 1.55</t>
        </r>
      </text>
    </comment>
    <comment ref="BL26" authorId="4">
      <text>
        <r>
          <rPr>
            <b/>
            <sz val="9"/>
            <color indexed="81"/>
            <rFont val="Tahoma"/>
            <family val="2"/>
          </rPr>
          <t>Brian Nowak:
3Q guidance:  1.61 GBPUSD</t>
        </r>
      </text>
    </comment>
    <comment ref="BM26" authorId="5">
      <text>
        <r>
          <rPr>
            <b/>
            <sz val="9"/>
            <color indexed="81"/>
            <rFont val="Tahoma"/>
            <family val="2"/>
          </rPr>
          <t xml:space="preserve"> Brian Nowak:</t>
        </r>
        <r>
          <rPr>
            <sz val="9"/>
            <color indexed="81"/>
            <rFont val="Tahoma"/>
            <family val="2"/>
          </rPr>
          <t xml:space="preserve">
guidance assumes 1.67</t>
        </r>
      </text>
    </comment>
    <comment ref="BN26" authorId="4">
      <text>
        <r>
          <rPr>
            <b/>
            <sz val="9"/>
            <color indexed="81"/>
            <rFont val="Tahoma"/>
            <family val="2"/>
          </rPr>
          <t>Brian Nowak:
1Q:14 guidance:  1.70</t>
        </r>
      </text>
    </comment>
    <comment ref="BO26" authorId="5">
      <text>
        <r>
          <rPr>
            <b/>
            <sz val="9"/>
            <color indexed="81"/>
            <rFont val="Tahoma"/>
            <family val="2"/>
          </rPr>
          <t xml:space="preserve"> Brian Nowak:</t>
        </r>
        <r>
          <rPr>
            <sz val="9"/>
            <color indexed="81"/>
            <rFont val="Tahoma"/>
            <family val="2"/>
          </rPr>
          <t xml:space="preserve">
guidance assumes 1.68</t>
        </r>
      </text>
    </comment>
    <comment ref="BP26" authorId="5">
      <text>
        <r>
          <rPr>
            <b/>
            <sz val="9"/>
            <color indexed="81"/>
            <rFont val="Tahoma"/>
            <family val="2"/>
          </rPr>
          <t xml:space="preserve"> Brian Nowak:</t>
        </r>
        <r>
          <rPr>
            <sz val="9"/>
            <color indexed="81"/>
            <rFont val="Tahoma"/>
            <family val="2"/>
          </rPr>
          <t xml:space="preserve">
guidance 1.58</t>
        </r>
      </text>
    </comment>
    <comment ref="BB27" authorId="0">
      <text>
        <r>
          <rPr>
            <b/>
            <sz val="8"/>
            <color indexed="81"/>
            <rFont val="Tahoma"/>
            <family val="2"/>
          </rPr>
          <t>Brian Nowak:
8/3</t>
        </r>
      </text>
    </comment>
    <comment ref="BC27" authorId="0">
      <text>
        <r>
          <rPr>
            <b/>
            <sz val="8"/>
            <color indexed="81"/>
            <rFont val="Tahoma"/>
            <family val="2"/>
          </rPr>
          <t>Brian Nowak:
10/3
1.432 at 8/3 on earnings</t>
        </r>
      </text>
    </comment>
    <comment ref="BD27" authorId="1">
      <text>
        <r>
          <rPr>
            <b/>
            <sz val="8"/>
            <color indexed="81"/>
            <rFont val="Tahoma"/>
            <family val="2"/>
          </rPr>
          <t>Brian Nowak:
guidance assumes 1.38</t>
        </r>
      </text>
    </comment>
    <comment ref="BE27" authorId="1">
      <text>
        <r>
          <rPr>
            <b/>
            <sz val="8"/>
            <color indexed="81"/>
            <rFont val="Tahoma"/>
            <family val="2"/>
          </rPr>
          <t>Brian Nowak:
guidance assumes 1.34
actual as of 3/20</t>
        </r>
      </text>
    </comment>
    <comment ref="BF27" authorId="2">
      <text>
        <r>
          <rPr>
            <b/>
            <sz val="8"/>
            <color indexed="81"/>
            <rFont val="Tahoma"/>
            <family val="2"/>
          </rPr>
          <t>Brian Nowak:
guidance assumes 1.30</t>
        </r>
      </text>
    </comment>
    <comment ref="BG27" authorId="3">
      <text>
        <r>
          <rPr>
            <b/>
            <sz val="10"/>
            <color indexed="81"/>
            <rFont val="Tahoma"/>
            <family val="2"/>
          </rPr>
          <t>Brian Nowak:
guidance assumes 1.24
1.241 as of 9/5</t>
        </r>
      </text>
    </comment>
    <comment ref="BH27" authorId="2">
      <text>
        <r>
          <rPr>
            <b/>
            <sz val="8"/>
            <color indexed="81"/>
            <rFont val="Tahoma"/>
            <family val="2"/>
          </rPr>
          <t>Brian Nowak:
guidacne 1.30</t>
        </r>
      </text>
    </comment>
    <comment ref="BI27" authorId="3">
      <text>
        <r>
          <rPr>
            <b/>
            <sz val="8"/>
            <color indexed="81"/>
            <rFont val="Tahoma"/>
            <family val="2"/>
          </rPr>
          <t>Brian Nowak:
guidance 1.31</t>
        </r>
      </text>
    </comment>
    <comment ref="BJ27" authorId="4">
      <text>
        <r>
          <rPr>
            <b/>
            <sz val="9"/>
            <color indexed="81"/>
            <rFont val="Tahoma"/>
            <family val="2"/>
          </rPr>
          <t>Brian Nowak:
guidance:  1.32</t>
        </r>
      </text>
    </comment>
    <comment ref="BK27" authorId="5">
      <text>
        <r>
          <rPr>
            <b/>
            <sz val="9"/>
            <color indexed="81"/>
            <rFont val="Tahoma"/>
            <family val="2"/>
          </rPr>
          <t xml:space="preserve"> Brian Nowak:</t>
        </r>
        <r>
          <rPr>
            <sz val="9"/>
            <color indexed="81"/>
            <rFont val="Tahoma"/>
            <family val="2"/>
          </rPr>
          <t xml:space="preserve">
guidance 1.33</t>
        </r>
      </text>
    </comment>
    <comment ref="BL27" authorId="4">
      <text>
        <r>
          <rPr>
            <b/>
            <sz val="9"/>
            <color indexed="81"/>
            <rFont val="Tahoma"/>
            <family val="2"/>
          </rPr>
          <t>Brian Nowak:
3Q guidance: 1.35 EURUSD</t>
        </r>
      </text>
    </comment>
    <comment ref="BM27" authorId="5">
      <text>
        <r>
          <rPr>
            <b/>
            <sz val="9"/>
            <color indexed="81"/>
            <rFont val="Tahoma"/>
            <family val="2"/>
          </rPr>
          <t xml:space="preserve"> Brian Nowak:</t>
        </r>
        <r>
          <rPr>
            <sz val="9"/>
            <color indexed="81"/>
            <rFont val="Tahoma"/>
            <family val="2"/>
          </rPr>
          <t xml:space="preserve">
guidance assumes 1.37</t>
        </r>
      </text>
    </comment>
    <comment ref="BN27" authorId="4">
      <text>
        <r>
          <rPr>
            <b/>
            <sz val="9"/>
            <color indexed="81"/>
            <rFont val="Tahoma"/>
            <family val="2"/>
          </rPr>
          <t>Brian Nowak:
1Q:14 guidance:  1.39</t>
        </r>
      </text>
    </comment>
    <comment ref="BO27" authorId="5">
      <text>
        <r>
          <rPr>
            <b/>
            <sz val="9"/>
            <color indexed="81"/>
            <rFont val="Tahoma"/>
            <family val="2"/>
          </rPr>
          <t xml:space="preserve"> Brian Nowak:</t>
        </r>
        <r>
          <rPr>
            <sz val="9"/>
            <color indexed="81"/>
            <rFont val="Tahoma"/>
            <family val="2"/>
          </rPr>
          <t xml:space="preserve">
guidance 1.34</t>
        </r>
      </text>
    </comment>
    <comment ref="BP27" authorId="5">
      <text>
        <r>
          <rPr>
            <b/>
            <sz val="9"/>
            <color indexed="81"/>
            <rFont val="Tahoma"/>
            <family val="2"/>
          </rPr>
          <t xml:space="preserve"> Brian Nowak:</t>
        </r>
        <r>
          <rPr>
            <sz val="9"/>
            <color indexed="81"/>
            <rFont val="Tahoma"/>
            <family val="2"/>
          </rPr>
          <t xml:space="preserve">
guidance 1.25</t>
        </r>
      </text>
    </comment>
    <comment ref="BE31" authorId="1">
      <text>
        <r>
          <rPr>
            <b/>
            <sz val="8"/>
            <color indexed="81"/>
            <rFont val="Tahoma"/>
            <family val="2"/>
          </rPr>
          <t>Brian Nowak:
guiadnce asumes 1.5% headwind</t>
        </r>
      </text>
    </comment>
    <comment ref="BR41" authorId="6">
      <text>
        <r>
          <rPr>
            <b/>
            <sz val="9"/>
            <color indexed="81"/>
            <rFont val="Tahoma"/>
            <family val="2"/>
          </rPr>
          <t>Costantini, Michael (Research):</t>
        </r>
        <r>
          <rPr>
            <sz val="9"/>
            <color indexed="81"/>
            <rFont val="Tahoma"/>
            <family val="2"/>
          </rPr>
          <t xml:space="preserve">
1Q:15 guidance:  0%-7%</t>
        </r>
      </text>
    </comment>
    <comment ref="BS41" authorId="6">
      <text>
        <r>
          <rPr>
            <b/>
            <sz val="9"/>
            <color indexed="81"/>
            <rFont val="Tahoma"/>
            <family val="2"/>
          </rPr>
          <t>Costantini, Michael (Research):</t>
        </r>
        <r>
          <rPr>
            <sz val="9"/>
            <color indexed="81"/>
            <rFont val="Tahoma"/>
            <family val="2"/>
          </rPr>
          <t xml:space="preserve">
2Q:15 guidance:  0% to 7%</t>
        </r>
      </text>
    </comment>
    <comment ref="BS42" authorId="6">
      <text>
        <r>
          <rPr>
            <b/>
            <sz val="9"/>
            <color indexed="81"/>
            <rFont val="Tahoma"/>
            <family val="2"/>
          </rPr>
          <t>Costantini, Michael (Research):</t>
        </r>
        <r>
          <rPr>
            <sz val="9"/>
            <color indexed="81"/>
            <rFont val="Tahoma"/>
            <family val="2"/>
          </rPr>
          <t xml:space="preserve">
16% FX headwind</t>
        </r>
      </text>
    </comment>
    <comment ref="BT42" authorId="6">
      <text>
        <r>
          <rPr>
            <b/>
            <sz val="9"/>
            <color indexed="81"/>
            <rFont val="Tahoma"/>
            <family val="2"/>
          </rPr>
          <t>Costantini, Michael (Research):</t>
        </r>
        <r>
          <rPr>
            <sz val="9"/>
            <color indexed="81"/>
            <rFont val="Tahoma"/>
            <family val="2"/>
          </rPr>
          <t xml:space="preserve">
14% FX headwind</t>
        </r>
      </text>
    </comment>
    <comment ref="BR43" authorId="6">
      <text>
        <r>
          <rPr>
            <b/>
            <sz val="9"/>
            <color indexed="81"/>
            <rFont val="Tahoma"/>
            <family val="2"/>
          </rPr>
          <t>Costantini, Michael (Research):</t>
        </r>
        <r>
          <rPr>
            <sz val="9"/>
            <color indexed="81"/>
            <rFont val="Tahoma"/>
            <family val="2"/>
          </rPr>
          <t xml:space="preserve">
1Q:15 guidance:  17%-24%</t>
        </r>
      </text>
    </comment>
    <comment ref="BS43" authorId="6">
      <text>
        <r>
          <rPr>
            <b/>
            <sz val="9"/>
            <color indexed="81"/>
            <rFont val="Tahoma"/>
            <family val="2"/>
          </rPr>
          <t>Costantini, Michael (Research):</t>
        </r>
        <r>
          <rPr>
            <sz val="9"/>
            <color indexed="81"/>
            <rFont val="Tahoma"/>
            <family val="2"/>
          </rPr>
          <t xml:space="preserve">
2Q:15 guidance:  16% to 23%</t>
        </r>
      </text>
    </comment>
    <comment ref="BT43" authorId="6">
      <text>
        <r>
          <rPr>
            <b/>
            <sz val="9"/>
            <color indexed="81"/>
            <rFont val="Tahoma"/>
            <family val="2"/>
          </rPr>
          <t>Costantini, Michael (Research):</t>
        </r>
        <r>
          <rPr>
            <sz val="9"/>
            <color indexed="81"/>
            <rFont val="Tahoma"/>
            <family val="2"/>
          </rPr>
          <t xml:space="preserve">
3Q:15 guidance:  +17% to +24%</t>
        </r>
      </text>
    </comment>
  </commentList>
</comments>
</file>

<file path=xl/comments5.xml><?xml version="1.0" encoding="utf-8"?>
<comments xmlns="http://schemas.openxmlformats.org/spreadsheetml/2006/main">
  <authors>
    <author>Costantini, Michael (Research)</author>
  </authors>
  <commentList>
    <comment ref="L42" authorId="0">
      <text>
        <r>
          <rPr>
            <b/>
            <sz val="9"/>
            <color indexed="81"/>
            <rFont val="Tahoma"/>
            <family val="2"/>
          </rPr>
          <t>Costantini, Michael (Research):</t>
        </r>
        <r>
          <rPr>
            <sz val="9"/>
            <color indexed="81"/>
            <rFont val="Tahoma"/>
            <family val="2"/>
          </rPr>
          <t xml:space="preserve">
2% per Bloomberg as of 5/2/2016
Debt raised in 2015 (2022/2025/2027 notes) are yielding a weighted avg of 2.5% (1.4%/3.2%/2.5%)</t>
        </r>
      </text>
    </comment>
    <comment ref="L44" authorId="0">
      <text>
        <r>
          <rPr>
            <b/>
            <sz val="9"/>
            <color indexed="81"/>
            <rFont val="Tahoma"/>
            <family val="2"/>
          </rPr>
          <t>Costantini, Michael (Research):</t>
        </r>
        <r>
          <rPr>
            <sz val="9"/>
            <color indexed="81"/>
            <rFont val="Tahoma"/>
            <family val="2"/>
          </rPr>
          <t xml:space="preserve">
MS est. long term expected capital structure</t>
        </r>
      </text>
    </comment>
    <comment ref="L56" authorId="0">
      <text>
        <r>
          <rPr>
            <b/>
            <sz val="9"/>
            <color indexed="81"/>
            <rFont val="Tahoma"/>
            <family val="2"/>
          </rPr>
          <t>Costantini, Michael (Research):</t>
        </r>
        <r>
          <rPr>
            <sz val="9"/>
            <color indexed="81"/>
            <rFont val="Tahoma"/>
            <family val="2"/>
          </rPr>
          <t xml:space="preserve">
Bloomberg 2 year daily beta as of 4/19/2017</t>
        </r>
      </text>
    </comment>
    <comment ref="CQ61" authorId="0">
      <text>
        <r>
          <rPr>
            <b/>
            <sz val="9"/>
            <color indexed="81"/>
            <rFont val="Tahoma"/>
            <family val="2"/>
          </rPr>
          <t>Costantini, Michael (Research):</t>
        </r>
        <r>
          <rPr>
            <sz val="9"/>
            <color indexed="81"/>
            <rFont val="Tahoma"/>
            <family val="2"/>
          </rPr>
          <t xml:space="preserve">
2009 10-K:  At December 31, 2009, the Company had approximately $2.8 billion of net operating loss carryforwards for U.S. federal income tax purposes (“NOLs”),</t>
        </r>
      </text>
    </comment>
    <comment ref="CR61" authorId="0">
      <text>
        <r>
          <rPr>
            <b/>
            <sz val="9"/>
            <color indexed="81"/>
            <rFont val="Tahoma"/>
            <family val="2"/>
          </rPr>
          <t>Costantini, Michael (Research):</t>
        </r>
        <r>
          <rPr>
            <sz val="9"/>
            <color indexed="81"/>
            <rFont val="Tahoma"/>
            <family val="2"/>
          </rPr>
          <t xml:space="preserve">
2010 10-K:  At December 31, 2010, the Company had approximately $2.7 billion of net operating loss carryforwards for U.S. federal income tax purposes (“NOLs”)</t>
        </r>
      </text>
    </comment>
    <comment ref="CS61" authorId="0">
      <text>
        <r>
          <rPr>
            <b/>
            <sz val="9"/>
            <color indexed="81"/>
            <rFont val="Tahoma"/>
            <family val="2"/>
          </rPr>
          <t>Costantini, Michael (Research):</t>
        </r>
        <r>
          <rPr>
            <sz val="9"/>
            <color indexed="81"/>
            <rFont val="Tahoma"/>
            <family val="2"/>
          </rPr>
          <t xml:space="preserve">
2011 10-K:  At December 31, 2011, the Company had approximately $2.6 billion of net operating loss carryforwards for U.S. federal income tax purposes ("NOLs")</t>
        </r>
      </text>
    </comment>
    <comment ref="CT61" authorId="0">
      <text>
        <r>
          <rPr>
            <b/>
            <sz val="9"/>
            <color indexed="81"/>
            <rFont val="Tahoma"/>
            <family val="2"/>
          </rPr>
          <t>Costantini, Michael (Research):</t>
        </r>
        <r>
          <rPr>
            <sz val="9"/>
            <color indexed="81"/>
            <rFont val="Tahoma"/>
            <family val="2"/>
          </rPr>
          <t xml:space="preserve">
2012 10-K:  At December 31, 2012, after considering the impact of IRC Section 382, the Company had approximately $1.2 billion of available NOL's for U.S. federal income tax purposes</t>
        </r>
      </text>
    </comment>
    <comment ref="CU61" authorId="0">
      <text>
        <r>
          <rPr>
            <b/>
            <sz val="9"/>
            <color indexed="81"/>
            <rFont val="Tahoma"/>
            <family val="2"/>
          </rPr>
          <t>Costantini, Michael (Research):</t>
        </r>
        <r>
          <rPr>
            <sz val="9"/>
            <color indexed="81"/>
            <rFont val="Tahoma"/>
            <family val="2"/>
          </rPr>
          <t xml:space="preserve">
2013 10-K:  At December 31, 2013, after considering the impact of IRC Section 382, the Company had approximately $1.4 billion of available NOL's for U.S. federal income tax purposes</t>
        </r>
      </text>
    </comment>
    <comment ref="CV61" authorId="0">
      <text>
        <r>
          <rPr>
            <b/>
            <sz val="9"/>
            <color indexed="81"/>
            <rFont val="Tahoma"/>
            <family val="2"/>
          </rPr>
          <t>Costantini, Michael (Research):</t>
        </r>
        <r>
          <rPr>
            <sz val="9"/>
            <color indexed="81"/>
            <rFont val="Tahoma"/>
            <family val="2"/>
          </rPr>
          <t xml:space="preserve">
2014 10-K:  At December 31, 2014, after considering the impact of IRC Section 382, the Company had approximately $1.2 billion of available NOL's for U.S. federal income tax purposes</t>
        </r>
      </text>
    </comment>
    <comment ref="CW61" authorId="0">
      <text>
        <r>
          <rPr>
            <b/>
            <sz val="9"/>
            <color indexed="81"/>
            <rFont val="Tahoma"/>
            <family val="2"/>
          </rPr>
          <t>Costantini, Michael (Research):</t>
        </r>
        <r>
          <rPr>
            <sz val="9"/>
            <color indexed="81"/>
            <rFont val="Tahoma"/>
            <family val="2"/>
          </rPr>
          <t xml:space="preserve">
2015 10-K:  At December 31, 2015, after considering the impact of IRC Section 382, the Company had approximately $847.9 million of available NOL's for U.S. federal income tax purposes</t>
        </r>
      </text>
    </comment>
  </commentList>
</comments>
</file>

<file path=xl/sharedStrings.xml><?xml version="1.0" encoding="utf-8"?>
<sst xmlns="http://schemas.openxmlformats.org/spreadsheetml/2006/main" count="2355" uniqueCount="1144">
  <si>
    <t>Variance</t>
  </si>
  <si>
    <t>Gross Profit</t>
  </si>
  <si>
    <t>Non-GAAP EPS</t>
  </si>
  <si>
    <t>Total Gross Bookings</t>
  </si>
  <si>
    <t>Gross Bookings</t>
  </si>
  <si>
    <t>Total</t>
  </si>
  <si>
    <t>2014E</t>
  </si>
  <si>
    <t>Domestic</t>
  </si>
  <si>
    <t>2015E</t>
  </si>
  <si>
    <t>Advertising - Online</t>
  </si>
  <si>
    <t>Advertising - Offline</t>
  </si>
  <si>
    <t>Sales &amp; Marketing</t>
  </si>
  <si>
    <t>D&amp;A</t>
  </si>
  <si>
    <t>Total Operating Expenses</t>
  </si>
  <si>
    <t>Interest Income</t>
  </si>
  <si>
    <t>Interest Expense</t>
  </si>
  <si>
    <t>Cash Flow Statement</t>
  </si>
  <si>
    <t>Check</t>
  </si>
  <si>
    <t>Revenue</t>
  </si>
  <si>
    <t>2016E</t>
  </si>
  <si>
    <t>2017E</t>
  </si>
  <si>
    <t>2018E</t>
  </si>
  <si>
    <t>Merchant Revenue</t>
  </si>
  <si>
    <t>Agency Revenue</t>
  </si>
  <si>
    <t>Kayak Revenue</t>
  </si>
  <si>
    <t>Other Revenue</t>
  </si>
  <si>
    <t>Total Revenue</t>
  </si>
  <si>
    <t>Net Revenue Take Rate</t>
  </si>
  <si>
    <t>Cost of Revenue</t>
  </si>
  <si>
    <t>Merchant Gross Profit</t>
  </si>
  <si>
    <t>Total Gross Profit</t>
  </si>
  <si>
    <t>Personnel, ex SBC</t>
  </si>
  <si>
    <t>G&amp;A</t>
  </si>
  <si>
    <t>Stock-Based Comp</t>
  </si>
  <si>
    <t>Operating Income (GAAP)</t>
  </si>
  <si>
    <t>Foreign Currency &amp; Other</t>
  </si>
  <si>
    <t>Total Reported Non-Operating Income (Expense)</t>
  </si>
  <si>
    <t>Adjusted Non-Operating Expenses</t>
  </si>
  <si>
    <t>Reported Income Taxes</t>
  </si>
  <si>
    <t>Tax Rate</t>
  </si>
  <si>
    <t>Income Attributable to Noncontrolling Int</t>
  </si>
  <si>
    <t>Preferred Stock Dividend</t>
  </si>
  <si>
    <t>GAAP Net Income</t>
  </si>
  <si>
    <t>Minority Interest Adjustment</t>
  </si>
  <si>
    <t>GAAP Diluted EPS</t>
  </si>
  <si>
    <t>Adjusted Diluted EPS</t>
  </si>
  <si>
    <t>Repurchases ($)</t>
  </si>
  <si>
    <t>Shares Repurchased</t>
  </si>
  <si>
    <t>Avg. Cost of Repurchase</t>
  </si>
  <si>
    <t>Current Assets</t>
  </si>
  <si>
    <t>Cash and Equivalents</t>
  </si>
  <si>
    <t>Restricted Cash</t>
  </si>
  <si>
    <t>Short term Investments</t>
  </si>
  <si>
    <t>Accounts Receivable, net</t>
  </si>
  <si>
    <t>Prepaid Expenses and Other Current Assets</t>
  </si>
  <si>
    <t>Deferred Tax Assets</t>
  </si>
  <si>
    <t>Total Current Assets</t>
  </si>
  <si>
    <t>Property &amp; Equipment, Gross</t>
  </si>
  <si>
    <t>Accumulated Amort</t>
  </si>
  <si>
    <t>Net PP&amp;E</t>
  </si>
  <si>
    <t>Intangible Assets, Net</t>
  </si>
  <si>
    <t>Goodwill</t>
  </si>
  <si>
    <t>Other Assets</t>
  </si>
  <si>
    <t>Total Assets</t>
  </si>
  <si>
    <t>LIABILITIES AND STOCKHOLDERS' EQUITY</t>
  </si>
  <si>
    <t>Accounts Payable</t>
  </si>
  <si>
    <t>Deferred Merchant Bookings</t>
  </si>
  <si>
    <t>Income Taxes Payable</t>
  </si>
  <si>
    <t>Other Current Liabilities &amp; Convertible Debt</t>
  </si>
  <si>
    <t>Total Current Liabilities</t>
  </si>
  <si>
    <t>Deferred Income Taxes</t>
  </si>
  <si>
    <t>Other Long-term Liabilities</t>
  </si>
  <si>
    <t>Convertible Debt</t>
  </si>
  <si>
    <t>Total Liabilities</t>
  </si>
  <si>
    <t>Redeemable Noncontrolling Interests</t>
  </si>
  <si>
    <t>Minority Interests</t>
  </si>
  <si>
    <t>Mandatory redeemable preferred stock</t>
  </si>
  <si>
    <t>STOCKHOLDERS' EQUITY</t>
  </si>
  <si>
    <t>Common stock</t>
  </si>
  <si>
    <t>Treasury Stock</t>
  </si>
  <si>
    <t>Additional paid-in capital</t>
  </si>
  <si>
    <t>Accum Other Comprehensive Inc</t>
  </si>
  <si>
    <t>Total Shareholders' Equity</t>
  </si>
  <si>
    <t>Total Liabilities + Stockholders' equity</t>
  </si>
  <si>
    <t>Operating Cash Flow</t>
  </si>
  <si>
    <t>Net Income</t>
  </si>
  <si>
    <t>Accounts Receivable</t>
  </si>
  <si>
    <t>Accounts Payable, Accrued Expenses and Other Current Liabilities</t>
  </si>
  <si>
    <t>Other</t>
  </si>
  <si>
    <t>Total Changes in Working Capital</t>
  </si>
  <si>
    <t>Total Cash Flow from Operations</t>
  </si>
  <si>
    <t>Cash Flow from Investing</t>
  </si>
  <si>
    <t>Purchase of Investments</t>
  </si>
  <si>
    <t>Purchase of shares held by Noncontrolling Int</t>
  </si>
  <si>
    <t>Additions to PP&amp;E</t>
  </si>
  <si>
    <t>Acquisitions and other Equity Investments, Net of Cash Acquired</t>
  </si>
  <si>
    <t>Proceeds from Redemption of Equity Investment</t>
  </si>
  <si>
    <t>Realized Loss on Foreign Currency Forward Contracts</t>
  </si>
  <si>
    <t>Change in Restricted Cash</t>
  </si>
  <si>
    <t>Total Cash Flow from Investing</t>
  </si>
  <si>
    <t>Cash Flow from Financing</t>
  </si>
  <si>
    <t>Payments of Debt Issuance Costs</t>
  </si>
  <si>
    <t>Payments related to Conversion of Convertible Senior Notes</t>
  </si>
  <si>
    <t>Repurchases of Common Stock</t>
  </si>
  <si>
    <t>Proceeds from Exercise of Stock Options</t>
  </si>
  <si>
    <t>Excess Tax Benefit on Stock-based Comp</t>
  </si>
  <si>
    <t>Total Cash Flow from Financing</t>
  </si>
  <si>
    <t>FX Impact on Cash</t>
  </si>
  <si>
    <t>Net Increase/(Decrease) in Cash Flow</t>
  </si>
  <si>
    <t>Cash at Beg of Period</t>
  </si>
  <si>
    <t>Cash at End of Period</t>
  </si>
  <si>
    <t>2006</t>
  </si>
  <si>
    <t>2007</t>
  </si>
  <si>
    <t>2008</t>
  </si>
  <si>
    <t>2009</t>
  </si>
  <si>
    <t>Total Gross Margin %</t>
  </si>
  <si>
    <t>Adjusted Operating Expenses (Exclude SBC and Aquis Amort)</t>
  </si>
  <si>
    <t>GAAP Income Before Taxes</t>
  </si>
  <si>
    <t>Average Cash</t>
  </si>
  <si>
    <t>Implied Rate</t>
  </si>
  <si>
    <t>YoY Change</t>
  </si>
  <si>
    <t>Total Debt</t>
  </si>
  <si>
    <t>Capex</t>
  </si>
  <si>
    <t>FCF per Share</t>
  </si>
  <si>
    <t>FCF Yield</t>
  </si>
  <si>
    <t>% of Revenue</t>
  </si>
  <si>
    <t>Adjustments:</t>
  </si>
  <si>
    <t>Depreciation</t>
  </si>
  <si>
    <t>Amortization</t>
  </si>
  <si>
    <t>Provision for Uncollectible Accounts</t>
  </si>
  <si>
    <t>Reversal of Val Allowance</t>
  </si>
  <si>
    <t>Stock-based Comp and Other SBC</t>
  </si>
  <si>
    <t>Amortization of Debt Issuance Costs</t>
  </si>
  <si>
    <t>Amortization of Debt Discount</t>
  </si>
  <si>
    <t>Equity in Income of Investees</t>
  </si>
  <si>
    <t>Loss on Impairment</t>
  </si>
  <si>
    <t>Changes in Working Capital</t>
  </si>
  <si>
    <t>Payment of Stock Issuance Costs</t>
  </si>
  <si>
    <t>Cash Paid for Taxes</t>
  </si>
  <si>
    <t>Cash Paid for Interest</t>
  </si>
  <si>
    <t>United States</t>
  </si>
  <si>
    <t>OpenTable Revenue</t>
  </si>
  <si>
    <t>Merchant Revenue Gross Profit</t>
  </si>
  <si>
    <t>Core Gross Profit</t>
  </si>
  <si>
    <t xml:space="preserve">Two Year Growth </t>
  </si>
  <si>
    <t>Kayak Gross Profit</t>
  </si>
  <si>
    <t>OpenTable Gross Profit</t>
  </si>
  <si>
    <t>Seasonality to Growth</t>
  </si>
  <si>
    <t>Gross Margin % of Gross Bookings</t>
  </si>
  <si>
    <t>Merchant Revenue Gross Margin %</t>
  </si>
  <si>
    <t>Merchant GP % of Merchant Bookings</t>
  </si>
  <si>
    <t>Information Technology (Core only)</t>
  </si>
  <si>
    <t>Operating Margin % GP</t>
  </si>
  <si>
    <t>Sequential Growth</t>
  </si>
  <si>
    <t>Adjusted Avg Diluted Shares Out.</t>
  </si>
  <si>
    <t>Share Count Calculation</t>
  </si>
  <si>
    <t>Beg Share Count</t>
  </si>
  <si>
    <t>Dilution</t>
  </si>
  <si>
    <t>Ending Share Count</t>
  </si>
  <si>
    <t>Core Revenue Roll-up</t>
  </si>
  <si>
    <t>Domestic Revenue</t>
  </si>
  <si>
    <t>Domestic Agency Revenue</t>
  </si>
  <si>
    <t>Other Revenue (ex KAYAK and OPEN)</t>
  </si>
  <si>
    <t>% of Total Revenue</t>
  </si>
  <si>
    <t>Sanity Check</t>
  </si>
  <si>
    <t>Total Domestic Gross Bookings</t>
  </si>
  <si>
    <t>Domestic Revenue % Domestic Bookings</t>
  </si>
  <si>
    <t>Two Year</t>
  </si>
  <si>
    <t>Domestic Agency Revenue % of Domestic Agency Bookings</t>
  </si>
  <si>
    <t>Domestic Merchant Rev % of Domestic Merchant Bookings</t>
  </si>
  <si>
    <t>International Revenue</t>
  </si>
  <si>
    <t>Int'l Agency Revenue</t>
  </si>
  <si>
    <t>Agoda (Merchant but Net)</t>
  </si>
  <si>
    <t>Travel Jigsaw (Merchant)</t>
  </si>
  <si>
    <t>Domestic Merchant Gross Profit</t>
  </si>
  <si>
    <t>Domestic Agency Gross Profit</t>
  </si>
  <si>
    <t>Domestic Other Gross Profit</t>
  </si>
  <si>
    <t>Domestic Gross Profit Driver</t>
  </si>
  <si>
    <t>Seasonality</t>
  </si>
  <si>
    <t>Domestic Merchant Sanity Check</t>
  </si>
  <si>
    <t>Domestic Merchant Gross Margin % (% of Merch Bookings)</t>
  </si>
  <si>
    <t>Domestic Agency Gross Margin %</t>
  </si>
  <si>
    <t>Domestic Other Gross Margin %</t>
  </si>
  <si>
    <t>Total Domestic Gross Margin %</t>
  </si>
  <si>
    <t>International Gross Profit</t>
  </si>
  <si>
    <t>na</t>
  </si>
  <si>
    <t>International Gross Profit Drivers</t>
  </si>
  <si>
    <t>Total International  Gross Bookings</t>
  </si>
  <si>
    <t>Total Int'l Gross Profit % of Int'l Bookings</t>
  </si>
  <si>
    <t>Int'l Agency Gross Bookings (Booking.com)</t>
  </si>
  <si>
    <t>Int'l Agency Take Rate</t>
  </si>
  <si>
    <t>Agoda (Net Accounting, but Merchant)</t>
  </si>
  <si>
    <t>Agoda Gross Bookings</t>
  </si>
  <si>
    <t>Agoda Take Rate</t>
  </si>
  <si>
    <t>Travel Jigsaw Gross Bookings</t>
  </si>
  <si>
    <t>Travel Jigsaw Take Rate</t>
  </si>
  <si>
    <t>Int'l Agency Gross Margin %</t>
  </si>
  <si>
    <t>Travel Jigsaw (Merchant) Gross Margin %</t>
  </si>
  <si>
    <t>Total International  Gross Margin %</t>
  </si>
  <si>
    <t>Sanity Check Roll-up for P&amp;L</t>
  </si>
  <si>
    <t>Domestic % of Total Gross Profit</t>
  </si>
  <si>
    <t>International % of Total Gross Profit</t>
  </si>
  <si>
    <t>Merchant Revenue (ex Kayak)</t>
  </si>
  <si>
    <t>Gross Margin</t>
  </si>
  <si>
    <t>Agency Gross Profit</t>
  </si>
  <si>
    <t>Other Revenue (ex Kayak)</t>
  </si>
  <si>
    <t>Other Gross Profit</t>
  </si>
  <si>
    <t>% of Annual Bookings</t>
  </si>
  <si>
    <t>% of Annual GP</t>
  </si>
  <si>
    <t>Total Advertsing Spend</t>
  </si>
  <si>
    <t>Room Nights Stayed</t>
  </si>
  <si>
    <t>Constant Currency</t>
  </si>
  <si>
    <t>FX Impact</t>
  </si>
  <si>
    <t>Implied Ad Spend ex FX</t>
  </si>
  <si>
    <t>Two-Year</t>
  </si>
  <si>
    <t>Decline</t>
  </si>
  <si>
    <t>Total Sales &amp; Marketing</t>
  </si>
  <si>
    <t>Total Personnel, ex SBC</t>
  </si>
  <si>
    <t>Total G&amp;A</t>
  </si>
  <si>
    <t>Total Information Technology</t>
  </si>
  <si>
    <t>Employee Count</t>
  </si>
  <si>
    <t>Net Adds</t>
  </si>
  <si>
    <t>Kayak</t>
  </si>
  <si>
    <t>OpenTable</t>
  </si>
  <si>
    <t>Cost of Revenue (ex SBC)</t>
  </si>
  <si>
    <t>Maturity/Sale of Investments</t>
  </si>
  <si>
    <t>Proceeds from Issuance of Convertible Notes/Debt</t>
  </si>
  <si>
    <t xml:space="preserve">Non-cash fair value adjustment for redeemable noncontrolling interests 
</t>
  </si>
  <si>
    <t xml:space="preserve">Non-cash investing activity for contingent consideration
</t>
  </si>
  <si>
    <t>Non-cash financing activity for acquisitions</t>
  </si>
  <si>
    <t>U.S. balance</t>
  </si>
  <si>
    <t>International balance</t>
  </si>
  <si>
    <t>% Mix of Cash, Cash Equivalents, and Short-Term Investments</t>
  </si>
  <si>
    <t>Total Bookings</t>
  </si>
  <si>
    <t>2 Year Growth</t>
  </si>
  <si>
    <t>Total Merchant Bookings</t>
  </si>
  <si>
    <t>% of total gross bookings</t>
  </si>
  <si>
    <t>Total Agency Bookings</t>
  </si>
  <si>
    <t>Total Domestic Hotel Bookings</t>
  </si>
  <si>
    <t>Total Domestic Bookings</t>
  </si>
  <si>
    <t>Domestic Merchant Bookings</t>
  </si>
  <si>
    <t>% of Domestic</t>
  </si>
  <si>
    <t>Domestic Agency Bookings</t>
  </si>
  <si>
    <t>Air Business</t>
  </si>
  <si>
    <t>Airline Bookings</t>
  </si>
  <si>
    <t>Airline Tickets Sold (in 000)</t>
  </si>
  <si>
    <t>Two Year Growth</t>
  </si>
  <si>
    <t>Avg Ticket Price Rate</t>
  </si>
  <si>
    <t>Total Airline Bookings</t>
  </si>
  <si>
    <t>Airline Bookings % of Domestic Agency Bookings</t>
  </si>
  <si>
    <t>Bureau of Transportation Statistics Average Airline Fare</t>
  </si>
  <si>
    <t>Rental Car Business</t>
  </si>
  <si>
    <t>Rental Car Bookings</t>
  </si>
  <si>
    <t>Rental Car Days (in thousands)</t>
  </si>
  <si>
    <t>Two-Year Growth</t>
  </si>
  <si>
    <t>Sequential Gross</t>
  </si>
  <si>
    <t>Rental Avg Daily Rate</t>
  </si>
  <si>
    <t>Domestic Rental Car Business</t>
  </si>
  <si>
    <t>International Bookings</t>
  </si>
  <si>
    <t>Total International Bookings</t>
  </si>
  <si>
    <t>Agoda (Int'l Merchant)</t>
  </si>
  <si>
    <t>% of Total year Agoda</t>
  </si>
  <si>
    <t>Travel Jigsaw (Int'l Merchant)</t>
  </si>
  <si>
    <t>0 Latam in 06</t>
  </si>
  <si>
    <t>0 eastern europe</t>
  </si>
  <si>
    <t>Booking.com Mobile Bookings</t>
  </si>
  <si>
    <t>% of Total</t>
  </si>
  <si>
    <t>Room Night Drivers</t>
  </si>
  <si>
    <t>Room Nights Sold (000)</t>
  </si>
  <si>
    <t>Domestic Room Nights Sold</t>
  </si>
  <si>
    <t>International Room Nights Sold</t>
  </si>
  <si>
    <t>Total Room Nights Sold (Reported)</t>
  </si>
  <si>
    <t>Total Room Nights Sold</t>
  </si>
  <si>
    <t>Int'l Bookings Currency Impact</t>
  </si>
  <si>
    <t>Estimated Constant Currency Int'l Hotel Bookings</t>
  </si>
  <si>
    <t>priceline.com Price-disclosed</t>
  </si>
  <si>
    <t>increased</t>
  </si>
  <si>
    <t>declined</t>
  </si>
  <si>
    <t>Opaque</t>
  </si>
  <si>
    <t>modest decline</t>
  </si>
  <si>
    <t>declined?</t>
  </si>
  <si>
    <t>slight decline</t>
  </si>
  <si>
    <t>Qtrly % of Annual Growth</t>
  </si>
  <si>
    <t>Int'l</t>
  </si>
  <si>
    <t>ADR and Hotel Bookings</t>
  </si>
  <si>
    <t>Domestic ADR</t>
  </si>
  <si>
    <t>Int'l ADR</t>
  </si>
  <si>
    <t>Global ADR</t>
  </si>
  <si>
    <t>Domestic Hotel Bookings</t>
  </si>
  <si>
    <t>International Hotel Bookings</t>
  </si>
  <si>
    <t>Total Hotel Bookings</t>
  </si>
  <si>
    <t>% of Total Bookings</t>
  </si>
  <si>
    <t>QoQ % Growth</t>
  </si>
  <si>
    <t>QoQ Abs Growth</t>
  </si>
  <si>
    <t>Room Nights per Hotel ("Yield")</t>
  </si>
  <si>
    <t>Vacation Rental Property Count</t>
  </si>
  <si>
    <t>Regional Hotel Bookings</t>
  </si>
  <si>
    <t>APAC Bookings</t>
  </si>
  <si>
    <t>Agoda</t>
  </si>
  <si>
    <t>Booking.com</t>
  </si>
  <si>
    <t>Agoda + Booking APAC Bookings</t>
  </si>
  <si>
    <t>Total APAC</t>
  </si>
  <si>
    <t>South America Bookings</t>
  </si>
  <si>
    <t>Booking.com by Region</t>
  </si>
  <si>
    <t>Europe</t>
  </si>
  <si>
    <t>APAC</t>
  </si>
  <si>
    <t>South America</t>
  </si>
  <si>
    <t>US/Other</t>
  </si>
  <si>
    <t>Total Booking.com</t>
  </si>
  <si>
    <t>Total Europe</t>
  </si>
  <si>
    <t>Non-Europe</t>
  </si>
  <si>
    <t>Booking.com Share</t>
  </si>
  <si>
    <t>Abs Change</t>
  </si>
  <si>
    <t>Historical Europe Driver</t>
  </si>
  <si>
    <t>Active Hotels</t>
  </si>
  <si>
    <t>Bookings BV</t>
  </si>
  <si>
    <t>Total Booking.com Europe</t>
  </si>
  <si>
    <t>Regional Room Night Check</t>
  </si>
  <si>
    <t>Europe Nights</t>
  </si>
  <si>
    <t>Latin America</t>
  </si>
  <si>
    <t>Total Int'l Room Nights</t>
  </si>
  <si>
    <t>Total U.S. Room Nights</t>
  </si>
  <si>
    <t>Domestic Priceline.com Room Nights</t>
  </si>
  <si>
    <t>Agency (Booking.com)</t>
  </si>
  <si>
    <t>FX Guidance</t>
  </si>
  <si>
    <t>$/Pound Rate</t>
  </si>
  <si>
    <t>% Var.</t>
  </si>
  <si>
    <t>$/Euro Rate</t>
  </si>
  <si>
    <t>Constant Currency  Bookings Growth</t>
  </si>
  <si>
    <t>Est. Weighted Avg Currency</t>
  </si>
  <si>
    <t>YoY Change in Wtd Currency</t>
  </si>
  <si>
    <t>% of International Gross Bookings</t>
  </si>
  <si>
    <t>UK</t>
  </si>
  <si>
    <t>Euro</t>
  </si>
  <si>
    <t>Growth Ex Currency</t>
  </si>
  <si>
    <t>Check Actual vs Expected</t>
  </si>
  <si>
    <t>Actual CC Bookings Added</t>
  </si>
  <si>
    <t>This Year Growth % of Last Year Growth</t>
  </si>
  <si>
    <t>Global Bookings Mix</t>
  </si>
  <si>
    <t>Global FX Impact</t>
  </si>
  <si>
    <t>Upside (Downside)</t>
  </si>
  <si>
    <t>FCF Conversion</t>
  </si>
  <si>
    <t>PE Mult Ex Cash at Current Stock Levels</t>
  </si>
  <si>
    <t>End of Year Net Cash per Share</t>
  </si>
  <si>
    <t>Year-ended net cash</t>
  </si>
  <si>
    <t>Stock Price ex Cash</t>
  </si>
  <si>
    <t>Excluding net interest income/expense</t>
  </si>
  <si>
    <t>P/E Ex Cash</t>
  </si>
  <si>
    <t>Multiple Compression</t>
  </si>
  <si>
    <t>** Adjusted for net interest income/expense</t>
  </si>
  <si>
    <t>Interest Calculation</t>
  </si>
  <si>
    <t>Net Interest Expense</t>
  </si>
  <si>
    <t>After-Tax Impact</t>
  </si>
  <si>
    <t>Shares out</t>
  </si>
  <si>
    <t>Int. Exp. Per Share</t>
  </si>
  <si>
    <t>Non-GAAP EPS Ex Cash</t>
  </si>
  <si>
    <t>Implied Ex-Cash PE Multiples at Year End</t>
  </si>
  <si>
    <t>Stock Price</t>
  </si>
  <si>
    <t>Net Cash per Share</t>
  </si>
  <si>
    <t>Cash % of Share Price</t>
  </si>
  <si>
    <t>Gross Margin %</t>
  </si>
  <si>
    <t xml:space="preserve">Total Bookings </t>
  </si>
  <si>
    <t>Domestic Car Bookings</t>
  </si>
  <si>
    <t>Merchant vs Agency Bookings</t>
  </si>
  <si>
    <t>Int'l Bottom up</t>
  </si>
  <si>
    <t xml:space="preserve">Implied Int'l Agency Gross Bookings (Booking.com) </t>
  </si>
  <si>
    <t>Opex Drivers</t>
  </si>
  <si>
    <t>ROI Commentary (10-Q)</t>
  </si>
  <si>
    <t>Non-Advertising Costs</t>
  </si>
  <si>
    <t>Non-Advertising Sanity Check</t>
  </si>
  <si>
    <t>Core Domestic Gross Profit</t>
  </si>
  <si>
    <t>Total Core Domestic Gross Profit</t>
  </si>
  <si>
    <t>Core  Domestic GP as % of Domestic Gross Bookings</t>
  </si>
  <si>
    <t>0 asia in 06</t>
  </si>
  <si>
    <t>0 US until 08</t>
  </si>
  <si>
    <t>% change Q/Q</t>
  </si>
  <si>
    <t>% change Y/Y</t>
  </si>
  <si>
    <t>% change Y/Y %</t>
  </si>
  <si>
    <t>% change Y/Y (Disclosed in 2012 in 10Qs)</t>
  </si>
  <si>
    <t>% change Y/Y Constant Currency</t>
  </si>
  <si>
    <t>% change Y/Y in Int'l Hotel Bookings</t>
  </si>
  <si>
    <t>Reported % change Y/Y (Transcript)</t>
  </si>
  <si>
    <t>Reported % change Y/Y (Transcript, Local Currency)</t>
  </si>
  <si>
    <t xml:space="preserve"> % change Y/Y</t>
  </si>
  <si>
    <t>% change Y/Y (in bp)</t>
  </si>
  <si>
    <t>Period-to-period change Y/Y</t>
  </si>
  <si>
    <t xml:space="preserve">Period-to-period change Y/Y </t>
  </si>
  <si>
    <t>Period-to-period change Q/Q</t>
  </si>
  <si>
    <r>
      <t>Total International Revenue</t>
    </r>
    <r>
      <rPr>
        <b/>
        <sz val="8"/>
        <color indexed="10"/>
        <rFont val="Arial"/>
        <family val="2"/>
      </rPr>
      <t xml:space="preserve"> (10Q Prior to 2012)</t>
    </r>
  </si>
  <si>
    <r>
      <t xml:space="preserve">Total International  Gross Profit </t>
    </r>
    <r>
      <rPr>
        <b/>
        <sz val="8"/>
        <color indexed="10"/>
        <rFont val="Arial"/>
        <family val="2"/>
      </rPr>
      <t>(conf call)</t>
    </r>
  </si>
  <si>
    <r>
      <t xml:space="preserve">Cash, Cash Equivalents, and Short-Term Investments </t>
    </r>
    <r>
      <rPr>
        <b/>
        <sz val="8"/>
        <color indexed="10"/>
        <rFont val="Arial"/>
        <family val="2"/>
      </rPr>
      <t>(10Q)</t>
    </r>
  </si>
  <si>
    <t>Period-End Date</t>
  </si>
  <si>
    <t>(USD millions)</t>
  </si>
  <si>
    <t>Income Statement</t>
  </si>
  <si>
    <t>Balance Sheet (USD millions)</t>
  </si>
  <si>
    <t>Cash Flow Statement (USD millions)</t>
  </si>
  <si>
    <t>FX</t>
  </si>
  <si>
    <r>
      <t xml:space="preserve">International Agency Bookings </t>
    </r>
    <r>
      <rPr>
        <b/>
        <sz val="8"/>
        <color indexed="10"/>
        <rFont val="Arial"/>
        <family val="2"/>
      </rPr>
      <t>BOOKING.COM</t>
    </r>
  </si>
  <si>
    <r>
      <t xml:space="preserve">Domestic Room Night Commentary from </t>
    </r>
    <r>
      <rPr>
        <b/>
        <u/>
        <sz val="8"/>
        <color indexed="10"/>
        <rFont val="Arial"/>
        <family val="2"/>
      </rPr>
      <t>10-Q</t>
    </r>
  </si>
  <si>
    <t>EBITDA</t>
  </si>
  <si>
    <t>Free cash flow analysis</t>
  </si>
  <si>
    <t>Return on invested capital</t>
  </si>
  <si>
    <t>Operating Cash Flow to EBITDA</t>
  </si>
  <si>
    <t>FCF / share</t>
  </si>
  <si>
    <t>Uses of free cash flow:</t>
  </si>
  <si>
    <t>Dividend</t>
  </si>
  <si>
    <t>Debt repayment / issuance</t>
  </si>
  <si>
    <t>Acquisitions / investments (net)</t>
  </si>
  <si>
    <t>Share repurchases</t>
  </si>
  <si>
    <t>Excess free cash</t>
  </si>
  <si>
    <t>Working capital</t>
  </si>
  <si>
    <t>% of revenue</t>
  </si>
  <si>
    <t>(-) Stock based compensation</t>
  </si>
  <si>
    <t>(-) Cash interest expense</t>
  </si>
  <si>
    <t>(-) Cash taxes</t>
  </si>
  <si>
    <t>(-) Capex</t>
  </si>
  <si>
    <t>(+/-) Change in working capital</t>
  </si>
  <si>
    <t>Total assets</t>
  </si>
  <si>
    <t>(-) cash</t>
  </si>
  <si>
    <t>(-) accounts payable</t>
  </si>
  <si>
    <t>(-) accrued expenses</t>
  </si>
  <si>
    <t>Invested capital</t>
  </si>
  <si>
    <t>NOPAT</t>
  </si>
  <si>
    <t>Adj. EBIT</t>
  </si>
  <si>
    <t>Adjusted taxes:</t>
  </si>
  <si>
    <t>Taxes on EBIT (at 40%)</t>
  </si>
  <si>
    <t>ROIC</t>
  </si>
  <si>
    <t>GAAP EBIT (Total)</t>
  </si>
  <si>
    <t>DCF value:</t>
  </si>
  <si>
    <t>Company Reported EBITDA Adj.</t>
  </si>
  <si>
    <t>Company Reported EBITDA Adj. Toggle</t>
  </si>
  <si>
    <t>Run-Rate</t>
  </si>
  <si>
    <t>Projections</t>
  </si>
  <si>
    <t>Discounted Cash Flow (DCF) Valuation Analysis</t>
  </si>
  <si>
    <t>Adj. EBITDA</t>
  </si>
  <si>
    <t>(-) Cash Taxes</t>
  </si>
  <si>
    <t>(+/-) Changes in Working Capital</t>
  </si>
  <si>
    <t>(-) Stock-based Compensation</t>
  </si>
  <si>
    <t>Unlevered Free Cash Flow (UFCF)</t>
  </si>
  <si>
    <t>NPV Calculations</t>
  </si>
  <si>
    <t>Year for 1-year forward value</t>
  </si>
  <si>
    <t>Discounted cash flows</t>
  </si>
  <si>
    <t>Adj. EBITDA Margin</t>
  </si>
  <si>
    <t>UFCF / Adj. EBITDA</t>
  </si>
  <si>
    <t>Twelve Month Forward Valuation</t>
  </si>
  <si>
    <t>Equity Value: WACC vs. Perpetual Growth Rate</t>
  </si>
  <si>
    <t>PV of FCF</t>
  </si>
  <si>
    <t>NPV of terminal value</t>
  </si>
  <si>
    <t>Enterprise Value</t>
  </si>
  <si>
    <t>(-) Total Debt, current period</t>
  </si>
  <si>
    <t>(+) Cash &amp; Equivalents, current period</t>
  </si>
  <si>
    <t>Equity Value</t>
  </si>
  <si>
    <t>Equity Value per Share: WACC vs. Perpetual Growth Rate</t>
  </si>
  <si>
    <t>(÷) Fully Diluted Shares</t>
  </si>
  <si>
    <t>Implied Equity Value per Share</t>
  </si>
  <si>
    <t>DCF Valuation Assumptions</t>
  </si>
  <si>
    <t>Valuation Date</t>
  </si>
  <si>
    <t>WACC</t>
  </si>
  <si>
    <t>Perpetual Growth Rate</t>
  </si>
  <si>
    <t>ModelWare DCF Metrics</t>
  </si>
  <si>
    <t>WACC / Hurdle Rate</t>
  </si>
  <si>
    <t>Base Case</t>
  </si>
  <si>
    <t>Accounts Receivable, net, % of Revenue</t>
  </si>
  <si>
    <t>Prepaid Expenses and Other Current Assets, % of Revenue</t>
  </si>
  <si>
    <t>Accounts Payable, % of Revenue</t>
  </si>
  <si>
    <t>Accrued Expenses &amp; Other, % of Revenue</t>
  </si>
  <si>
    <t>Accrued Expenses &amp; Other</t>
  </si>
  <si>
    <t>Deferred Merchant Bookings, % of Revenue</t>
  </si>
  <si>
    <t>Working capital drivers</t>
  </si>
  <si>
    <t>Total Core Gross Profit</t>
  </si>
  <si>
    <t>Int'l Agency Gross Profit (Booking.com)</t>
  </si>
  <si>
    <t>Free cash flow (CFO - capex - SBC)</t>
  </si>
  <si>
    <t>DO NOT REMOVE OR ADD COLUMNS / ROWS</t>
  </si>
  <si>
    <t>Total European Hotel Market (Euros, bn)</t>
  </si>
  <si>
    <t>Total European Hotel Market (USD, mn)</t>
  </si>
  <si>
    <t>Vacation Rental Bookings</t>
  </si>
  <si>
    <t>YoY Abs Growth</t>
  </si>
  <si>
    <t>Vacation Rentals</t>
  </si>
  <si>
    <t>Booking.com Hotel Bookings</t>
  </si>
  <si>
    <t>Total Int'l Hotel Room Nights</t>
  </si>
  <si>
    <t>Avg USD/EUR Rate</t>
  </si>
  <si>
    <t>change Y/Y Abs</t>
  </si>
  <si>
    <t>Ticker:</t>
  </si>
  <si>
    <t>Date:</t>
  </si>
  <si>
    <t>(In millions USD)</t>
  </si>
  <si>
    <t>Morgan Stanley</t>
  </si>
  <si>
    <t xml:space="preserve">Gross Profit </t>
  </si>
  <si>
    <t>Adj. EPS</t>
  </si>
  <si>
    <t>Consensus</t>
  </si>
  <si>
    <t>Domestic Bookings</t>
  </si>
  <si>
    <t>Advertising Spend per Room Night</t>
  </si>
  <si>
    <t>Ad Dollars Spent per Room Night</t>
  </si>
  <si>
    <t>Total % change Y/Y in Ad Spend</t>
  </si>
  <si>
    <t>Constant Currency % change Y/Y</t>
  </si>
  <si>
    <t>Constant Currency Ad Dollars Spent per Room Night</t>
  </si>
  <si>
    <t xml:space="preserve"> </t>
  </si>
  <si>
    <t>% Mix of Room Nights Sold</t>
  </si>
  <si>
    <t>Hotel Bookings Roll-up</t>
  </si>
  <si>
    <t>Implied Domestic, Non-Air Agency Bookings</t>
  </si>
  <si>
    <t>Implied Vacation Rental Room Nights</t>
  </si>
  <si>
    <t>Implied Vacation Rental ADR</t>
  </si>
  <si>
    <t xml:space="preserve"> Domestic Air Bookings</t>
  </si>
  <si>
    <t>Other Domestic Bookings (Packages, Cruises)</t>
  </si>
  <si>
    <t>Rentalcars.com (International Merchant)</t>
  </si>
  <si>
    <t>Domestic Bookings Roll-up by Type (sanity check)</t>
  </si>
  <si>
    <t>Total Other Revenue</t>
  </si>
  <si>
    <t>% of Total Gross Profit</t>
  </si>
  <si>
    <t>DRIVER: % of Total Gross Profit</t>
  </si>
  <si>
    <t>DRIVER: % change Y/Y</t>
  </si>
  <si>
    <t>Sequential Change in bp</t>
  </si>
  <si>
    <t>% of Total Gross Bookings</t>
  </si>
  <si>
    <t>Depreciation and Capex</t>
  </si>
  <si>
    <t>Average Gross PP&amp;E</t>
  </si>
  <si>
    <t>D&amp;A % of Gross PP&amp;E</t>
  </si>
  <si>
    <t>Average Depreciable Life</t>
  </si>
  <si>
    <t>Domestic GP % of Domestic Gross Revenue  (For Revenue Gross up)</t>
  </si>
  <si>
    <t>Domestic Merchant Revenue (incl Kayak and OPEN)</t>
  </si>
  <si>
    <t>% change Y/Y (in bp) (a check for Kayak and Open estimates)</t>
  </si>
  <si>
    <t>Currency Impact ($)</t>
  </si>
  <si>
    <t>Currency Impact (%)</t>
  </si>
  <si>
    <t>MS Comment</t>
  </si>
  <si>
    <t>Net Cash / share</t>
  </si>
  <si>
    <t>Net Cash</t>
  </si>
  <si>
    <t>P/E (with Cash)</t>
  </si>
  <si>
    <t>P/E (ex Cash)</t>
  </si>
  <si>
    <t>Tax Rate (non-GAAP)</t>
  </si>
  <si>
    <t>2014</t>
  </si>
  <si>
    <t>2014 Implied P/E Multiple (ex Cash)</t>
  </si>
  <si>
    <t>2016E Implied P/E/ Multiple (ex Cash)</t>
  </si>
  <si>
    <t>Note: 2010-2014 are year-end stock prices</t>
  </si>
  <si>
    <t>Forward EPS (ex Cash) Y/Y Growth</t>
  </si>
  <si>
    <t>Non-GAAP Forward EPS (ex Cash)</t>
  </si>
  <si>
    <t>PEG (ex Cash)</t>
  </si>
  <si>
    <t>Current Stock Price</t>
  </si>
  <si>
    <t>PE Mult Ex Net Interest Income/Expense</t>
  </si>
  <si>
    <t>Absolute Y/Y CC Growth</t>
  </si>
  <si>
    <t>FX % (Headwind) / Tailwind</t>
  </si>
  <si>
    <t>FX $ (Headwind) / Tailwind</t>
  </si>
  <si>
    <t>Two-Year Growth (CC)</t>
  </si>
  <si>
    <t>% change Y/Y (constant currency)</t>
  </si>
  <si>
    <t>Total Bookings (constant currency)</t>
  </si>
  <si>
    <t>Implied Vacation Rental Transactions</t>
  </si>
  <si>
    <t>Avg. Length of Stay</t>
  </si>
  <si>
    <t>EBITDA Margin % of GP</t>
  </si>
  <si>
    <t>Incremental Margin (% of Gross Profit)</t>
  </si>
  <si>
    <t>Constant Currency Gross Profit Dollars Spent per Room Night</t>
  </si>
  <si>
    <t>Current price</t>
  </si>
  <si>
    <t>Upside/downside vs. FV</t>
  </si>
  <si>
    <t>Market cap</t>
  </si>
  <si>
    <t>Enterprise value</t>
  </si>
  <si>
    <t>Fair value (1-year forward)</t>
  </si>
  <si>
    <t>Debt</t>
  </si>
  <si>
    <t>Cash</t>
  </si>
  <si>
    <t>Fully-diluted shares (for market cap)</t>
  </si>
  <si>
    <t>EV/Revenue</t>
  </si>
  <si>
    <t>3-year normalized growth</t>
  </si>
  <si>
    <t>EV/EBITDA</t>
  </si>
  <si>
    <t>EPS (adjusted)</t>
  </si>
  <si>
    <t>P/E (adjusted)</t>
  </si>
  <si>
    <t>PEG</t>
  </si>
  <si>
    <t>EPS (GAAP)</t>
  </si>
  <si>
    <t>P/E (GAAP)</t>
  </si>
  <si>
    <t>FCF (CFO - capex - SBC)</t>
  </si>
  <si>
    <t>EV/FCF</t>
  </si>
  <si>
    <t>FCF yield</t>
  </si>
  <si>
    <t>Constant Currency Gross Profit</t>
  </si>
  <si>
    <t>Bottom End</t>
  </si>
  <si>
    <t>Top End</t>
  </si>
  <si>
    <t>Midpoint</t>
  </si>
  <si>
    <t>Reported</t>
  </si>
  <si>
    <t>Beat vs. Top End</t>
  </si>
  <si>
    <t>Beat vs. Midpoint</t>
  </si>
  <si>
    <t>International CC Bookings Guidance</t>
  </si>
  <si>
    <t>TTM Average Beat</t>
  </si>
  <si>
    <t>USD</t>
  </si>
  <si>
    <t>Net Income reported</t>
  </si>
  <si>
    <t>Statutory Tax Rate</t>
  </si>
  <si>
    <t>Unrecorded Goodwill</t>
  </si>
  <si>
    <t>Tax Adjustments</t>
  </si>
  <si>
    <t>Other one time adjustments</t>
  </si>
  <si>
    <t>PCLN.O,mscalc:sedolCodeCalc</t>
  </si>
  <si>
    <t>PCLN.O,mscalc:closePriceCurrencyCalc</t>
  </si>
  <si>
    <t>PCLN.O,mscalc:targetPrice,,,,USD</t>
  </si>
  <si>
    <t>Bottom</t>
  </si>
  <si>
    <t>Top</t>
  </si>
  <si>
    <t>Long-term investments</t>
  </si>
  <si>
    <t>Accumulated Earnings/(Deficit)</t>
  </si>
  <si>
    <t>Proceeds from revolving  credit facility</t>
  </si>
  <si>
    <t>Payments related to revolving  credit facility</t>
  </si>
  <si>
    <t>Implied terminal EBITDA multiple</t>
  </si>
  <si>
    <t>CAGR</t>
  </si>
  <si>
    <t>Acquisition-related Amortization</t>
  </si>
  <si>
    <t>Adjustments for One-Time Items</t>
  </si>
  <si>
    <t>Balance Sheet</t>
  </si>
  <si>
    <t>MSe</t>
  </si>
  <si>
    <t>Implied Target Multiple</t>
  </si>
  <si>
    <t>U.S.</t>
  </si>
  <si>
    <t>Netherlands</t>
  </si>
  <si>
    <t>Total Other</t>
  </si>
  <si>
    <t>Other ex UK</t>
  </si>
  <si>
    <t>Long-term Debt</t>
  </si>
  <si>
    <t>Currency</t>
  </si>
  <si>
    <t>Count</t>
  </si>
  <si>
    <t>2779063</t>
  </si>
  <si>
    <t/>
  </si>
  <si>
    <t>Booking.com Employees</t>
  </si>
  <si>
    <t>2 Year Growth Constant Currency</t>
  </si>
  <si>
    <t>Seq. change (in bp)</t>
  </si>
  <si>
    <t>Other international currency</t>
  </si>
  <si>
    <t>Argentinean Peso</t>
  </si>
  <si>
    <t>Australian dollar</t>
  </si>
  <si>
    <t>Brazilian real</t>
  </si>
  <si>
    <t>Chinese Yuan</t>
  </si>
  <si>
    <t>Japanese Yen</t>
  </si>
  <si>
    <t>Mexican peso</t>
  </si>
  <si>
    <t>Russian Ruble</t>
  </si>
  <si>
    <t>Venezuelan Bolivar</t>
  </si>
  <si>
    <t>Other basket weights</t>
  </si>
  <si>
    <t>Y/Y % Change</t>
  </si>
  <si>
    <t>Thai Baht</t>
  </si>
  <si>
    <t>Constant Currency Absolute Dollar Growth</t>
  </si>
  <si>
    <t>Sequential Change</t>
  </si>
  <si>
    <t>bp Change Y/Y</t>
  </si>
  <si>
    <t>change Y/Y (in bp)</t>
  </si>
  <si>
    <t>Total Advertising (offline + online)</t>
  </si>
  <si>
    <t>Total Gross Bookings (constant currency)</t>
  </si>
  <si>
    <t>Constant Currency Advertising - Online</t>
  </si>
  <si>
    <t>Constant Currency Advertising - Offline</t>
  </si>
  <si>
    <t>Total Advertising (offline + online), constant currency</t>
  </si>
  <si>
    <t>Gross Profit (ex OPEN, ex KYAK)</t>
  </si>
  <si>
    <t>Y/Y Abs. Growth</t>
  </si>
  <si>
    <t>U.S./Canada/E. Europe/Other Booking.com Bookings</t>
  </si>
  <si>
    <t>MODELWARE DO NOT DELETE</t>
  </si>
  <si>
    <t>Fair value (one year forward)</t>
  </si>
  <si>
    <t>(-) Debt</t>
  </si>
  <si>
    <t>(+) Cash</t>
  </si>
  <si>
    <t>One year forward</t>
  </si>
  <si>
    <t>DRIVER: Period-to-period change Y/Y</t>
  </si>
  <si>
    <t>DRIVER: Period-to-period change Y/Y Constant Currency</t>
  </si>
  <si>
    <t>Terminal EBITDA Margin</t>
  </si>
  <si>
    <t>Terminal FCF Conversion</t>
  </si>
  <si>
    <t>Tax / NOL worksheet</t>
  </si>
  <si>
    <t>GAAP pre-tax income</t>
  </si>
  <si>
    <t>Beginning NOL value</t>
  </si>
  <si>
    <t>NOL used</t>
  </si>
  <si>
    <t>Ending NOL value</t>
  </si>
  <si>
    <t>Taxable income</t>
  </si>
  <si>
    <t>Assumed cash tax rate</t>
  </si>
  <si>
    <t>Cash taxes paid</t>
  </si>
  <si>
    <t>U.S. government securities</t>
  </si>
  <si>
    <t>U.S. corporate debt securities</t>
  </si>
  <si>
    <t>U.S. government agency securities</t>
  </si>
  <si>
    <t>Ctrip corporate debt securities</t>
  </si>
  <si>
    <t>Ctrip equity securities</t>
  </si>
  <si>
    <t>Total long-term investments</t>
  </si>
  <si>
    <t>Foreign government securities</t>
  </si>
  <si>
    <t>U.S. municipal securities</t>
  </si>
  <si>
    <t>U.S. long-term investments</t>
  </si>
  <si>
    <t>Loss (Gain) on Early Exting. of Debt</t>
  </si>
  <si>
    <t>Personnel (ex SBC) per employee</t>
  </si>
  <si>
    <t>G&amp;A per employee</t>
  </si>
  <si>
    <t>Abs. change Y/Y</t>
  </si>
  <si>
    <t>Three Year</t>
  </si>
  <si>
    <t>YoY Change in bp</t>
  </si>
  <si>
    <t>Total Gross Profit (constant currency)</t>
  </si>
  <si>
    <t>Total International Gross Profit (constant currency)</t>
  </si>
  <si>
    <t>GP % of Gross Bookings</t>
  </si>
  <si>
    <t>2015</t>
  </si>
  <si>
    <t>NM</t>
  </si>
  <si>
    <t>DCF-value per share</t>
  </si>
  <si>
    <t>DCF Value per share</t>
  </si>
  <si>
    <t>Two year ex FX Growth</t>
  </si>
  <si>
    <t>Revenue by Geography (in 000)</t>
  </si>
  <si>
    <t>Cost of Equity</t>
  </si>
  <si>
    <t>Cost of Debt</t>
  </si>
  <si>
    <t>Marginal Tax-Rate</t>
  </si>
  <si>
    <t>Debt / Total Cap.</t>
  </si>
  <si>
    <t>Risk-free rate</t>
  </si>
  <si>
    <t>Market Risk Premium</t>
  </si>
  <si>
    <t>Equity Beta</t>
  </si>
  <si>
    <t>Required Equity Return</t>
  </si>
  <si>
    <t>Room Night Guidance</t>
  </si>
  <si>
    <t>Booked</t>
  </si>
  <si>
    <t>Var vs. Top End</t>
  </si>
  <si>
    <t>Stayed (reported)</t>
  </si>
  <si>
    <t>Sequential % Growth</t>
  </si>
  <si>
    <t>Sequential Abs. Growth</t>
  </si>
  <si>
    <t>Valuation Analysis</t>
  </si>
  <si>
    <t>Room Night Seasonality</t>
  </si>
  <si>
    <t>Incremental bookings per Total ad dollar</t>
  </si>
  <si>
    <t>Incremental Online ad dollar per booking</t>
  </si>
  <si>
    <t>Incremental bookings per Total ad dollar (constant currency)</t>
  </si>
  <si>
    <t>Incremental bookings per Online ad dollar</t>
  </si>
  <si>
    <t>Online Ad Spend % of Bookings</t>
  </si>
  <si>
    <t>Incremental Total ad dollar per booking</t>
  </si>
  <si>
    <t>Total Ad Spend % of Bookings</t>
  </si>
  <si>
    <t>Total Ad Spend % of Bookings (constant currency)</t>
  </si>
  <si>
    <t>Solid</t>
  </si>
  <si>
    <t>2019E</t>
  </si>
  <si>
    <t>2020E</t>
  </si>
  <si>
    <t>% of WW Hotel Count</t>
  </si>
  <si>
    <t>Stable</t>
  </si>
  <si>
    <t>'10-'15</t>
  </si>
  <si>
    <t>'15-'20E</t>
  </si>
  <si>
    <t xml:space="preserve">Two-Year % change </t>
  </si>
  <si>
    <t>Booking.com Worldwide Property Count</t>
  </si>
  <si>
    <t>Implied Hotel Count</t>
  </si>
  <si>
    <t>Pressure</t>
  </si>
  <si>
    <t>Implied Online Brand Spend (YouTube, Facebook, etc)</t>
  </si>
  <si>
    <t>% of total Online</t>
  </si>
  <si>
    <t>% of total Brand</t>
  </si>
  <si>
    <t>Advertising - Brand Advertising (fka Offline)</t>
  </si>
  <si>
    <t>Advertising - Performance Advertising (fka Online)</t>
  </si>
  <si>
    <t>Adjusted Net Income (new Non-GAAP method)</t>
  </si>
  <si>
    <t>Adjusted Income Before Taxes (new Non-GAAP method)</t>
  </si>
  <si>
    <t>Adjusted EBITDA (new Non-GAAP method)</t>
  </si>
  <si>
    <t>Adjusted Operating Income (new Non-GAAP method)</t>
  </si>
  <si>
    <t>Tax impact of Non-GAAP adjustments (new Non-GAAP method)</t>
  </si>
  <si>
    <t>Adjusted Taxes (new Non-GAAP method)</t>
  </si>
  <si>
    <t>Adjusted Diluted EPS (new Non-GAAP method)</t>
  </si>
  <si>
    <t>GAAP Wtd Average Basic Shares Outstanding</t>
  </si>
  <si>
    <t>GAAP Wtd Average Diluted Shares Outstanding</t>
  </si>
  <si>
    <t>Non-GAAP Variance</t>
  </si>
  <si>
    <t>Non-GAAP EPS Variance (%)</t>
  </si>
  <si>
    <t>Non-GAAP EPS Variance ($)</t>
  </si>
  <si>
    <t>VR Room Nights per Property</t>
  </si>
  <si>
    <t>Margin (% GP)</t>
  </si>
  <si>
    <t>X</t>
  </si>
  <si>
    <t>New Booking.com HQ Spend</t>
  </si>
  <si>
    <t>Capex ex new HQ</t>
  </si>
  <si>
    <t>Estimated Majority of Pressure from OPEN</t>
  </si>
  <si>
    <t>% of Gross Profit</t>
  </si>
  <si>
    <t>Estimated OPEN Investment</t>
  </si>
  <si>
    <t>Total Adjusted Operating Income (old non-GAAP method)</t>
  </si>
  <si>
    <t>Adjusted EBITDA (old Non-GAAP method)</t>
  </si>
  <si>
    <t>Tax impact of Non-GAAP adjustments (under old non-GAAP method)</t>
  </si>
  <si>
    <t>Total Adjusted Income Before Taxes (old non-GAAP method)</t>
  </si>
  <si>
    <t>Adjusted Taxes (under old non-GAAP method)</t>
  </si>
  <si>
    <t>Adjusted Net Income (under old non-GAAP method)</t>
  </si>
  <si>
    <t>Adjusted Diluted EPS (old non-GAAP method)</t>
  </si>
  <si>
    <t>2016</t>
  </si>
  <si>
    <t xml:space="preserve"> % change Q/Q</t>
  </si>
  <si>
    <t>Gross Profit per Room Night</t>
  </si>
  <si>
    <t>Total Room Night</t>
  </si>
  <si>
    <t>Gross Profit Per Room Night</t>
  </si>
  <si>
    <t>1,900</t>
  </si>
  <si>
    <t>EV / Revenue Mult. ('19e EBITDA)</t>
  </si>
  <si>
    <t>EV / EBITDA Mult. ('19e EBITDA)</t>
  </si>
  <si>
    <t>P / E Mult. ('19e EPS)</t>
  </si>
  <si>
    <t>2017</t>
  </si>
  <si>
    <t>Improved</t>
  </si>
  <si>
    <t>BKNG.O</t>
  </si>
  <si>
    <t>Booking Holdings Inc</t>
  </si>
  <si>
    <t>BKNG.O,mscalc:closePriceCurrencyCalc</t>
  </si>
  <si>
    <t>BKNG.O,mscalc:sedolCodeCalc</t>
  </si>
  <si>
    <t>BKNG.O,mscalc:targetPrice,,,,USD</t>
  </si>
  <si>
    <t>$L$2</t>
  </si>
  <si>
    <t>NA</t>
  </si>
  <si>
    <t>BKNG</t>
  </si>
  <si>
    <t>Morgan Stanley | Booking Valuation</t>
  </si>
  <si>
    <t>Morgan Stanley | BKNG model</t>
  </si>
  <si>
    <t>Balance Sheet | BKNG model</t>
  </si>
  <si>
    <t>Cash Flow Statement | BKNG model</t>
  </si>
  <si>
    <t>Current BKNG Stock Price*</t>
  </si>
  <si>
    <t>Morgan Stanley | BKNG Bookings and Drivers</t>
  </si>
  <si>
    <t>% of Total BKNG</t>
  </si>
  <si>
    <t>Morgan Stanley | BKNG FX</t>
  </si>
  <si>
    <t>Morgan Stanley | BKNG DCF</t>
  </si>
  <si>
    <t>Booking</t>
  </si>
  <si>
    <t>Change in Cash Flow due to Restatements</t>
  </si>
  <si>
    <t>Research</t>
  </si>
  <si>
    <t>MSA32LVJ</t>
  </si>
  <si>
    <t>For '15 and '16, assuming stock stays at $1281.5 per share</t>
  </si>
  <si>
    <t>Multiples at current price - $2085.86</t>
  </si>
  <si>
    <t>Multiples at fair value - $2240</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</si>
  <si>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</si>
  <si>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</si>
  <si>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</si>
  <si>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</si>
  <si>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</si>
  <si>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</si>
  <si>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Brian Nowak</t>
  </si>
  <si>
    <t>Date: 19 Apr 2018</t>
  </si>
  <si>
    <t>Ticker: BKNG.O</t>
  </si>
  <si>
    <t>Stock Rating: Overweight</t>
  </si>
  <si>
    <t>Industry: Internet</t>
  </si>
  <si>
    <t>Industry View: In-Line</t>
  </si>
  <si>
    <t>Price as of 19 Apr 2018: 2180.60</t>
  </si>
  <si>
    <t>Target Price: 2240</t>
  </si>
  <si>
    <t>Analyst Certification</t>
  </si>
  <si>
    <t>Unless otherwise stated, the individuals listed on the cover page of this report are research analysts.</t>
  </si>
  <si>
    <t>Global Research Conflict Management Policy</t>
  </si>
  <si>
    <t>Important US Regulatory Disclosures on Subject Companies</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</si>
  <si>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</si>
  <si>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</si>
  <si>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</si>
  <si>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</si>
  <si>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</si>
  <si>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</si>
  <si>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</si>
  <si>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</si>
  <si>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</si>
  <si>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</si>
  <si>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</si>
  <si>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</si>
  <si>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</si>
  <si>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</si>
  <si>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</si>
  <si>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</si>
  <si>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</si>
  <si>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</si>
  <si>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</si>
  <si>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</si>
  <si>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</si>
  <si>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</si>
  <si>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</si>
  <si>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</si>
  <si>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</si>
  <si>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</si>
  <si>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</si>
  <si>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</si>
  <si>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</si>
  <si>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</si>
  <si>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</si>
  <si>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</si>
  <si>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</si>
  <si>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</si>
  <si>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</si>
  <si>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</si>
  <si>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</si>
  <si>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</si>
  <si>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</si>
  <si>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</si>
  <si>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</si>
  <si>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</si>
  <si>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</si>
  <si>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</si>
  <si>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</si>
  <si>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</si>
  <si>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</si>
  <si>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</si>
  <si>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</si>
  <si>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</si>
  <si>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</si>
  <si>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</si>
  <si>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</si>
  <si>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</si>
  <si>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</si>
  <si>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</si>
  <si>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</si>
  <si>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</si>
  <si>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</si>
  <si>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</si>
  <si>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</si>
  <si>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</si>
  <si>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</si>
  <si>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</si>
  <si>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</si>
  <si>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</si>
  <si>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</si>
  <si>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</si>
  <si>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</si>
  <si>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</si>
  <si>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</si>
  <si>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</si>
  <si>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</si>
  <si>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</si>
  <si>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</si>
  <si>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</si>
  <si>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</si>
  <si>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</si>
  <si>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</si>
  <si>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</si>
  <si>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</si>
  <si>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</si>
  <si>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</si>
  <si>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</si>
  <si>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</si>
  <si>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</si>
  <si>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</si>
  <si>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</si>
  <si>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</si>
  <si>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</si>
  <si>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</si>
  <si>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</si>
  <si>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</si>
  <si>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</si>
  <si>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</si>
  <si>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</si>
  <si>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</si>
  <si>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</si>
  <si>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</si>
  <si>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</si>
  <si>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</si>
  <si>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</si>
  <si>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</si>
  <si>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</si>
  <si>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</si>
  <si>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</si>
  <si>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</si>
  <si>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</si>
  <si>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</si>
  <si>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</si>
  <si>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</si>
  <si>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</si>
  <si>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</si>
  <si>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</si>
  <si>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</si>
  <si>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</si>
  <si>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</si>
  <si>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</si>
  <si>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</si>
  <si>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</si>
  <si>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</si>
  <si>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</si>
  <si>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</si>
  <si>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</si>
  <si>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</si>
  <si>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</si>
  <si>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</si>
  <si>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</si>
  <si>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</si>
  <si>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</si>
  <si>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</si>
  <si>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</si>
  <si>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</si>
  <si>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</si>
  <si>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</si>
  <si>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</si>
  <si>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</si>
  <si>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</si>
  <si>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</si>
  <si>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</si>
  <si>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</si>
  <si>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</si>
  <si>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</si>
  <si>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</si>
  <si>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</si>
  <si>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</si>
  <si>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</si>
  <si>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</si>
  <si>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</si>
  <si>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</si>
  <si>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</si>
  <si>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</si>
  <si>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</si>
  <si>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</si>
  <si>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</si>
  <si>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</si>
  <si>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</si>
  <si>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</si>
  <si>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</si>
  <si>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</si>
  <si>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</si>
  <si>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</si>
  <si>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</si>
  <si>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</si>
  <si>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</si>
  <si>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</si>
  <si>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</si>
  <si>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</si>
  <si>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</si>
  <si>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</si>
  <si>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</si>
  <si>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</si>
  <si>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</si>
  <si>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</si>
  <si>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</si>
  <si>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Booking Holdings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</si>
  <si>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</si>
  <si>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</si>
  <si>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</si>
  <si>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</si>
  <si>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</si>
  <si>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</si>
  <si>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</si>
  <si>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</si>
  <si>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</si>
  <si>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</si>
  <si>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</si>
  <si>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</si>
  <si>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</si>
  <si>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</si>
  <si>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</si>
  <si>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</si>
  <si>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</si>
  <si>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</si>
  <si>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</si>
  <si>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</si>
  <si>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</si>
  <si>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</si>
  <si>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</si>
  <si>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</si>
  <si>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</si>
  <si>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</si>
  <si>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</si>
  <si>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</si>
  <si>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</si>
  <si>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</si>
  <si>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</si>
  <si>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</si>
  <si>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</si>
  <si>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</si>
  <si>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</si>
  <si>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</si>
  <si>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</si>
  <si>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</si>
  <si>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</si>
  <si>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</si>
  <si>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</si>
  <si>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</si>
  <si>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</si>
  <si>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</si>
  <si>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</si>
  <si>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</si>
  <si>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</si>
  <si>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</si>
  <si>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</si>
  <si>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</si>
  <si>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</si>
  <si>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</si>
  <si>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</si>
  <si>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</si>
  <si>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</si>
  <si>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</si>
  <si>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</si>
  <si>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</si>
  <si>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</si>
  <si>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</si>
  <si>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</si>
  <si>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</si>
  <si>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</si>
  <si>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</si>
  <si>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</si>
  <si>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</si>
  <si>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</si>
  <si>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</si>
  <si>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Booking Holdings Inc.</t>
  </si>
  <si>
    <t>Within the last 12 months, Morgan Stanley has provided or is providing investment banking services to,</t>
  </si>
  <si>
    <t>or has an investment banking client relationship with, the following company: Booking Holdings Inc.</t>
  </si>
  <si>
    <t>Within the last 12 months, Morgan Stanley has received compensation for products and services other than</t>
  </si>
  <si>
    <t>investment banking services from Booking Holdings Inc.</t>
  </si>
  <si>
    <t>In the next 3 months, Morgan Stanley expects to receive or intends to seek compensation for investment</t>
  </si>
  <si>
    <t>banking services from Booking Holdings Inc.</t>
  </si>
  <si>
    <t>Within the last 12 months, Morgan Stanley has received compensation for investment banking services from</t>
  </si>
  <si>
    <t>Booking Holdings Inc.</t>
  </si>
  <si>
    <t>Within the last 12 months, Morgan Stanley managed or co-managed a public offering (or 144A offering) of</t>
  </si>
  <si>
    <t>securities of Booking Holdings Inc.</t>
  </si>
  <si>
    <t>As of March 29, 2018, Morgan Stanley beneficially owned 1% or more of a class of common equity</t>
  </si>
  <si>
    <t>securities of the following companies covered in Morgan Stanley Research: Booking Holdings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</si>
  <si>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</si>
  <si>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</si>
  <si>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</si>
  <si>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</si>
  <si>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</si>
  <si>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Brian Nowak,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</si>
  <si>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</si>
  <si>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</si>
  <si>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</si>
  <si>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</si>
  <si>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</si>
  <si>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</si>
  <si>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</si>
  <si>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</si>
  <si>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</si>
  <si>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</si>
  <si>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</si>
  <si>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</si>
  <si>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</si>
  <si>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</si>
  <si>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</si>
  <si>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</si>
  <si>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</si>
  <si>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</si>
  <si>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</si>
  <si>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</si>
  <si>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</si>
  <si>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</si>
  <si>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</si>
  <si>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</si>
  <si>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</si>
  <si>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</si>
  <si>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</si>
  <si>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</si>
  <si>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</si>
  <si>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</si>
  <si>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</si>
  <si>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</si>
  <si>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</si>
  <si>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</si>
  <si>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</si>
  <si>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</si>
  <si>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</si>
  <si>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</si>
  <si>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</si>
  <si>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</si>
  <si>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</si>
  <si>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</si>
  <si>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</si>
  <si>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</si>
  <si>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</si>
  <si>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</si>
  <si>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</si>
  <si>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</si>
  <si>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</si>
  <si>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</si>
  <si>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</si>
  <si>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</si>
  <si>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</si>
  <si>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</si>
  <si>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</si>
  <si>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</si>
  <si>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</si>
  <si>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</si>
  <si>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</si>
  <si>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</si>
  <si>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</si>
  <si>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</si>
  <si>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</si>
  <si>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</si>
  <si>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</si>
  <si>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</si>
  <si>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</si>
  <si>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</si>
  <si>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</si>
  <si>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</si>
  <si>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NorthAmerica</t>
  </si>
  <si>
    <t>alaxandw</t>
  </si>
  <si>
    <t>09857L108</t>
  </si>
  <si>
    <t>BDRXDB4</t>
  </si>
  <si>
    <t>\\Msad\root\NA\NY\LIB\ER\TECH\INTERNET\MODELS\PCLN_model.xlsm</t>
  </si>
  <si>
    <t>[BRO MSA]</t>
  </si>
  <si>
    <t>[PRODUCT MODEL]</t>
  </si>
  <si>
    <t>[EMAIL_ALERT YES]</t>
  </si>
  <si>
    <t>[DISCIPLINE Company]</t>
  </si>
  <si>
    <t>[SUPPRESSED NO]</t>
  </si>
  <si>
    <t>[DOCDAT 2018-04-19]</t>
  </si>
  <si>
    <t>[DOCTIME 08:17]</t>
  </si>
  <si>
    <t>[PSYM BKNG.O(S&amp;P) (None)]</t>
  </si>
  <si>
    <t>[COU 1]</t>
  </si>
  <si>
    <t>[ANA ]</t>
  </si>
  <si>
    <t>[HL BKNG.O Model]</t>
  </si>
  <si>
    <t>[IND ]</t>
  </si>
  <si>
    <t>[PANA MSA32LVJ]</t>
  </si>
</sst>
</file>

<file path=xl/styles.xml><?xml version="1.0" encoding="utf-8"?>
<styleSheet xmlns="http://schemas.openxmlformats.org/spreadsheetml/2006/main" xmlns:mc="http://schemas.openxmlformats.org/markup-compatibility/2006" xmlns:x14ac="http://schemas.microsoft.com/office/spreadsheetml/2009/9/ac" mc:Ignorable="x14ac">
  <numFmts count="79">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quot;$&quot;#,##0.0_);\(&quot;$&quot;#,##0.0\);&quot;$&quot;#,##0.0_);@_)"/>
    <numFmt numFmtId="166" formatCode="0.0%_);\(0.0%\);0.0%_);@_)"/>
    <numFmt numFmtId="167" formatCode="&quot;$&quot;#,##0.00_);\(&quot;$&quot;#,##0.00\);&quot;$&quot;#,##0.00_);@_)"/>
    <numFmt numFmtId="168" formatCode="_(* #,##0.0_);_(* \(#,##0.0\);_(* &quot;-&quot;??_);_(@_)"/>
    <numFmt numFmtId="169" formatCode="_(* #,##0.000_);_(* \(#,##0.000\);_(* &quot;-&quot;??_);_(@_)"/>
    <numFmt numFmtId="170" formatCode="_(* #,##0_);_(* \(#,##0\);_(* &quot;-&quot;??_);_(@_)"/>
    <numFmt numFmtId="171" formatCode="0.00%_);\(0.00%\);0.00%_);@_)"/>
    <numFmt numFmtId="172" formatCode="&quot;$&quot;#,##0.0_);[Red]\(&quot;$&quot;#,##0.0\)"/>
    <numFmt numFmtId="173" formatCode="0.0"/>
    <numFmt numFmtId="174" formatCode="_(* #,##0.0_);_(* \(#,##0.0\);_(* &quot;-&quot;?_);_(@_)"/>
    <numFmt numFmtId="175" formatCode="0&quot;bp&quot;"/>
    <numFmt numFmtId="176" formatCode="0.0&quot;bp&quot;"/>
    <numFmt numFmtId="177" formatCode="0.0\ &quot;bp&quot;"/>
    <numFmt numFmtId="178" formatCode="0.000%_);\(0.000%\);0.000%_);@_)"/>
    <numFmt numFmtId="179" formatCode="#,##0.0_);\(#,##0.0\)"/>
    <numFmt numFmtId="180" formatCode="0.000000"/>
    <numFmt numFmtId="181" formatCode="&quot;$&quot;#,##0.0_);\(&quot;$&quot;#,##0.0\)"/>
    <numFmt numFmtId="182" formatCode="&quot;$&quot;#,##0.000_);\(&quot;$&quot;#,##0.000\)"/>
    <numFmt numFmtId="183" formatCode="#,##0.0"/>
    <numFmt numFmtId="184" formatCode="0\x_);&quot;NM&quot;_);0\x_);@_)"/>
    <numFmt numFmtId="185" formatCode="0.0&quot;x&quot;"/>
    <numFmt numFmtId="186" formatCode="&quot;$&quot;#,##0"/>
    <numFmt numFmtId="188" formatCode="0&quot;  bp&quot;_);\(0\)&quot; bp&quot;_);\-\-_)"/>
    <numFmt numFmtId="189" formatCode="0.00000000000000000%"/>
    <numFmt numFmtId="190" formatCode="&quot;$&quot;#,##0.0;\(&quot;$&quot;#,##0.0\)"/>
    <numFmt numFmtId="191" formatCode="\£\ #,##0_);[Red]\(\£\ #,##0\)"/>
    <numFmt numFmtId="192" formatCode="\¥\ #,##0_);[Red]\(\¥\ #,##0\)"/>
    <numFmt numFmtId="193" formatCode="_(* #,##0.0_);_(* \(#,##0.0\);_(* &quot;--- &quot;_)"/>
    <numFmt numFmtId="194" formatCode="General_)"/>
    <numFmt numFmtId="195" formatCode="\•\ \ @"/>
    <numFmt numFmtId="196" formatCode="0.000_)"/>
    <numFmt numFmtId="197" formatCode="\ \ _•\–\ \ \ \ @"/>
    <numFmt numFmtId="198" formatCode="#,##0.0;\(###0.0\)"/>
    <numFmt numFmtId="199" formatCode="mmm\-yyyy"/>
    <numFmt numFmtId="200" formatCode="0.00_)"/>
    <numFmt numFmtId="201" formatCode="_(&quot;$&quot;* #,##0_);_(&quot;$&quot;* \(#,##0\);_(&quot;$&quot;* &quot;-&quot;??_);_(@_)"/>
    <numFmt numFmtId="202" formatCode="#,##0.0;\(#,##0.0\)"/>
    <numFmt numFmtId="203" formatCode="0.00\ "/>
    <numFmt numFmtId="204" formatCode="_ * #,##0_ ;_ * \-#,##0_ ;_ * &quot;-&quot;_ ;_ @_ "/>
    <numFmt numFmtId="205" formatCode="[$$-409]#,##0_);\([$$-409]#,##0\);[$$-409]\-\-_);@_)"/>
    <numFmt numFmtId="206" formatCode="#,##0_);\(#,##0\);\-\-_);@_)"/>
    <numFmt numFmtId="207" formatCode="mmm\-yy_);;;@_)"/>
    <numFmt numFmtId="208" formatCode="#,##0.0_);\(#,##0.0\);\-\-_);@_)"/>
    <numFmt numFmtId="209" formatCode="&quot;Q&quot;#_);\(&quot;Q&quot;#\);\-\-_);&quot;Q&quot;@_)"/>
    <numFmt numFmtId="210" formatCode="m/d/yy_);;@_)"/>
    <numFmt numFmtId="211" formatCode="yyyy_);;;@_)"/>
    <numFmt numFmtId="212" formatCode="yyyy&quot;E&quot;_);;;@_)"/>
    <numFmt numFmtId="213" formatCode=";;;"/>
    <numFmt numFmtId="214" formatCode="&quot;$&quot;#,##0_);\(&quot;$&quot;#,##0\);&quot;$&quot;\-\-_);@_)"/>
    <numFmt numFmtId="215" formatCode="#,##0.0%_);\(#,##0.0%\);\-\-\%_);@_)"/>
    <numFmt numFmtId="216" formatCode="#,##0.00%_);\(#,##0.00%\);\-\-\%_);@_)"/>
    <numFmt numFmtId="217" formatCode="[$$-409]#,##0.00_);\([$$-409]#,##0.00\)"/>
    <numFmt numFmtId="218" formatCode="#,##0.0\x_);\(#,##0.0\x\);\-\-\x_);@_)"/>
    <numFmt numFmtId="219" formatCode="&quot;$&quot;#,##0.00"/>
    <numFmt numFmtId="220" formatCode="0.0000000000000000%"/>
    <numFmt numFmtId="225" formatCode="#,##0\ &quot;bp&quot;"/>
    <numFmt numFmtId="227" formatCode="&quot;$&quot;#,##0.0000_);\(&quot;$&quot;#,##0.0000\);&quot;$&quot;#,##0.0000_);@_)"/>
    <numFmt numFmtId="232" formatCode="0\ &quot;bp&quot;"/>
    <numFmt numFmtId="234" formatCode="#,##0.0000_);\(#,##0.0000\)"/>
    <numFmt numFmtId="235" formatCode="0.00_);\(0.00\)"/>
    <numFmt numFmtId="240" formatCode="0.000"/>
    <numFmt numFmtId="241" formatCode="&quot;$&quot;#,##0.000_);\(&quot;$&quot;#,##0.000\);&quot;$&quot;#,##0.000_);@_)"/>
    <numFmt numFmtId="243" formatCode="#,##0.000_);\(#,##0.000\)"/>
    <numFmt numFmtId="244" formatCode="[$$-409]#,##0.0_);\([$$-409]#,##0.0\)"/>
    <numFmt numFmtId="245" formatCode="0.0&quot;  bp&quot;_);\(0.0\)&quot; bp&quot;_);\-\-_)"/>
    <numFmt numFmtId="246" formatCode="0.0&quot;  bp&quot;_);\-0.0&quot; bp&quot;_);\-\-_)"/>
    <numFmt numFmtId="248" formatCode="_(* #,##0.0000_);_(* \(#,##0.0000\);_(* &quot;-&quot;??_);_(@_)"/>
    <numFmt numFmtId="249" formatCode="_(* #,##0.00000_);_(* \(#,##0.00000\);_(* &quot;-&quot;??_);_(@_)"/>
    <numFmt numFmtId="250" formatCode="_(&quot;$&quot;* #,##0.0_);_(&quot;$&quot;* \(#,##0.0\);_(&quot;$&quot;* &quot;-&quot;?_);_(@_)"/>
    <numFmt numFmtId="256" formatCode="mm/dd/yy\ hh:mm"/>
  </numFmts>
  <fonts count="126">
    <font>
      <sz val="8"/>
      <name val="Arial"/>
      <family val="2"/>
    </font>
    <font>
      <sz val="11"/>
      <color indexed="8"/>
      <name val="Calibri"/>
      <family val="2"/>
    </font>
    <font>
      <sz val="8"/>
      <name val="Arial"/>
      <family val="2"/>
    </font>
    <font>
      <b/>
      <sz val="8"/>
      <name val="Arial"/>
      <family val="2"/>
    </font>
    <font>
      <sz val="10"/>
      <name val="Arial"/>
      <family val="2"/>
    </font>
    <font>
      <b/>
      <sz val="10"/>
      <name val="Arial"/>
      <family val="2"/>
    </font>
    <font>
      <b/>
      <sz val="9"/>
      <color indexed="81"/>
      <name val="Tahoma"/>
      <family val="2"/>
    </font>
    <font>
      <sz val="9"/>
      <color indexed="81"/>
      <name val="Tahoma"/>
      <family val="2"/>
    </font>
    <font>
      <sz val="10"/>
      <name val="Helv"/>
    </font>
    <font>
      <sz val="10"/>
      <color indexed="8"/>
      <name val="Arial"/>
      <family val="2"/>
    </font>
    <font>
      <b/>
      <sz val="8"/>
      <color indexed="81"/>
      <name val="Tahoma"/>
      <family val="2"/>
    </font>
    <font>
      <sz val="8"/>
      <color indexed="81"/>
      <name val="Tahoma"/>
      <family val="2"/>
    </font>
    <font>
      <b/>
      <sz val="10"/>
      <color indexed="81"/>
      <name val="Tahoma"/>
      <family val="2"/>
    </font>
    <font>
      <sz val="10"/>
      <color indexed="81"/>
      <name val="Tahoma"/>
      <family val="2"/>
    </font>
    <font>
      <b/>
      <sz val="12"/>
      <color indexed="81"/>
      <name val="Tahoma"/>
      <family val="2"/>
    </font>
    <font>
      <sz val="8"/>
      <color indexed="12"/>
      <name val="Arial"/>
      <family val="2"/>
    </font>
    <font>
      <b/>
      <sz val="9"/>
      <color indexed="0"/>
      <name val="Arial"/>
      <family val="2"/>
    </font>
    <font>
      <sz val="9"/>
      <color indexed="0"/>
      <name val="Arial"/>
      <family val="2"/>
    </font>
    <font>
      <sz val="11"/>
      <color indexed="8"/>
      <name val="Calibri"/>
      <family val="2"/>
    </font>
    <font>
      <b/>
      <sz val="9"/>
      <color indexed="2"/>
      <name val="Arial"/>
      <family val="2"/>
    </font>
    <font>
      <sz val="9"/>
      <color indexed="2"/>
      <name val="Arial"/>
      <family val="2"/>
    </font>
    <font>
      <sz val="10"/>
      <name val="Calibri"/>
      <family val="2"/>
    </font>
    <font>
      <u/>
      <sz val="8"/>
      <color indexed="12"/>
      <name val="Arial"/>
      <family val="2"/>
    </font>
    <font>
      <sz val="8"/>
      <name val="Tms Rmn"/>
    </font>
    <font>
      <sz val="10"/>
      <name val="Times New Roman"/>
      <family val="1"/>
    </font>
    <font>
      <sz val="12"/>
      <name val="Times New Roman"/>
      <family val="1"/>
    </font>
    <font>
      <sz val="11"/>
      <name val="‚l‚r ƒSƒVƒbƒN"/>
      <charset val="128"/>
    </font>
    <font>
      <sz val="10"/>
      <name val="MS Sans Serif"/>
      <family val="2"/>
    </font>
    <font>
      <sz val="12"/>
      <name val="Arial MT"/>
    </font>
    <font>
      <sz val="9"/>
      <color indexed="12"/>
      <name val="Times New Roman"/>
      <family val="1"/>
    </font>
    <font>
      <sz val="8"/>
      <name val="Arial MT"/>
    </font>
    <font>
      <sz val="8"/>
      <color indexed="13"/>
      <name val="Arial"/>
      <family val="2"/>
    </font>
    <font>
      <sz val="8"/>
      <color indexed="12"/>
      <name val="Tms Rmn"/>
    </font>
    <font>
      <b/>
      <sz val="12"/>
      <name val="Times New Roman"/>
      <family val="1"/>
    </font>
    <font>
      <b/>
      <sz val="10"/>
      <color indexed="8"/>
      <name val="Times New Roman"/>
      <family val="1"/>
    </font>
    <font>
      <sz val="10"/>
      <color indexed="18"/>
      <name val="Times New Roman"/>
      <family val="1"/>
    </font>
    <font>
      <b/>
      <sz val="8"/>
      <name val="GillSans"/>
      <family val="2"/>
    </font>
    <font>
      <sz val="11"/>
      <name val="Tms Rmn"/>
      <family val="1"/>
    </font>
    <font>
      <i/>
      <sz val="9"/>
      <name val="MS Sans Serif"/>
      <family val="2"/>
    </font>
    <font>
      <b/>
      <sz val="11"/>
      <name val="Times New Roman"/>
      <family val="1"/>
    </font>
    <font>
      <sz val="8"/>
      <name val="Times New Roman"/>
      <family val="1"/>
    </font>
    <font>
      <sz val="10"/>
      <color indexed="2"/>
      <name val="Tahoma"/>
      <family val="2"/>
    </font>
    <font>
      <sz val="14"/>
      <color indexed="32"/>
      <name val="Times New Roman"/>
      <family val="1"/>
    </font>
    <font>
      <b/>
      <sz val="10"/>
      <color indexed="0"/>
      <name val="Tahoma"/>
      <family val="2"/>
    </font>
    <font>
      <sz val="9"/>
      <name val="GillSans Light"/>
      <family val="2"/>
    </font>
    <font>
      <b/>
      <sz val="10"/>
      <color indexed="17"/>
      <name val="Helvetica"/>
      <family val="2"/>
    </font>
    <font>
      <sz val="9"/>
      <name val="Futura UBS Bk"/>
      <family val="2"/>
    </font>
    <font>
      <b/>
      <sz val="12"/>
      <name val="Arial"/>
      <family val="2"/>
    </font>
    <font>
      <sz val="10"/>
      <name val="Tahoma"/>
      <family val="2"/>
    </font>
    <font>
      <sz val="10"/>
      <color indexed="12"/>
      <name val="Times New Roman"/>
      <family val="1"/>
    </font>
    <font>
      <sz val="10"/>
      <name val="GillSans Light"/>
      <family val="2"/>
    </font>
    <font>
      <b/>
      <i/>
      <sz val="10"/>
      <color indexed="4"/>
      <name val="Tahoma"/>
      <family val="2"/>
    </font>
    <font>
      <sz val="10"/>
      <color indexed="4"/>
      <name val="Tahoma"/>
      <family val="2"/>
    </font>
    <font>
      <sz val="7"/>
      <name val="Small Fonts"/>
      <family val="2"/>
    </font>
    <font>
      <b/>
      <i/>
      <sz val="16"/>
      <name val="Helv"/>
    </font>
    <font>
      <b/>
      <sz val="12"/>
      <name val="Tms Rmn"/>
    </font>
    <font>
      <b/>
      <sz val="13.5"/>
      <name val="MS Sans Serif"/>
      <family val="2"/>
    </font>
    <font>
      <sz val="9"/>
      <name val="Times New Roman"/>
      <family val="1"/>
    </font>
    <font>
      <sz val="8"/>
      <color indexed="32"/>
      <name val="Arial"/>
      <family val="2"/>
    </font>
    <font>
      <sz val="8"/>
      <color indexed="12"/>
      <name val="Helvetica"/>
      <family val="2"/>
    </font>
    <font>
      <sz val="10"/>
      <color indexed="8"/>
      <name val="Times New Roman"/>
      <family val="1"/>
    </font>
    <font>
      <i/>
      <sz val="8"/>
      <name val="Times New Roman"/>
      <family val="1"/>
    </font>
    <font>
      <b/>
      <sz val="10"/>
      <name val="GillSans"/>
      <family val="2"/>
    </font>
    <font>
      <b/>
      <sz val="11"/>
      <color indexed="9"/>
      <name val="GillSans"/>
      <family val="2"/>
    </font>
    <font>
      <b/>
      <sz val="11"/>
      <name val="GillSans"/>
      <family val="2"/>
    </font>
    <font>
      <b/>
      <sz val="9"/>
      <name val="Arial"/>
      <family val="2"/>
    </font>
    <font>
      <b/>
      <sz val="9"/>
      <name val="Times New Roman"/>
      <family val="1"/>
    </font>
    <font>
      <u/>
      <sz val="8"/>
      <name val="Tms Rmn"/>
    </font>
    <font>
      <sz val="8"/>
      <color indexed="16"/>
      <name val="Helv"/>
    </font>
    <font>
      <sz val="12"/>
      <name val="바탕체"/>
      <family val="1"/>
      <charset val="129"/>
    </font>
    <font>
      <sz val="8"/>
      <color indexed="8"/>
      <name val="Arial"/>
      <family val="2"/>
    </font>
    <font>
      <b/>
      <sz val="8"/>
      <color indexed="8"/>
      <name val="Arial"/>
      <family val="2"/>
    </font>
    <font>
      <sz val="8"/>
      <color indexed="21"/>
      <name val="Arial"/>
      <family val="2"/>
    </font>
    <font>
      <u/>
      <sz val="8"/>
      <name val="Arial"/>
      <family val="2"/>
    </font>
    <font>
      <b/>
      <u/>
      <sz val="8"/>
      <name val="Arial"/>
      <family val="2"/>
    </font>
    <font>
      <sz val="8"/>
      <color indexed="17"/>
      <name val="Arial"/>
      <family val="2"/>
    </font>
    <font>
      <u val="singleAccounting"/>
      <sz val="8"/>
      <name val="Arial"/>
      <family val="2"/>
    </font>
    <font>
      <b/>
      <u val="singleAccounting"/>
      <sz val="8"/>
      <name val="Arial"/>
      <family val="2"/>
    </font>
    <font>
      <b/>
      <sz val="8"/>
      <color indexed="10"/>
      <name val="Arial"/>
      <family val="2"/>
    </font>
    <font>
      <i/>
      <sz val="8"/>
      <name val="Arial"/>
      <family val="2"/>
    </font>
    <font>
      <b/>
      <sz val="8"/>
      <color indexed="17"/>
      <name val="Arial"/>
      <family val="2"/>
    </font>
    <font>
      <sz val="8"/>
      <color indexed="10"/>
      <name val="Arial"/>
      <family val="2"/>
    </font>
    <font>
      <b/>
      <sz val="8"/>
      <color indexed="9"/>
      <name val="Arial"/>
      <family val="2"/>
    </font>
    <font>
      <b/>
      <sz val="8"/>
      <color indexed="12"/>
      <name val="Arial"/>
      <family val="2"/>
    </font>
    <font>
      <sz val="8"/>
      <color indexed="59"/>
      <name val="Arial"/>
      <family val="2"/>
    </font>
    <font>
      <b/>
      <sz val="8"/>
      <color indexed="61"/>
      <name val="Arial"/>
      <family val="2"/>
    </font>
    <font>
      <b/>
      <u/>
      <sz val="8"/>
      <color indexed="10"/>
      <name val="Arial"/>
      <family val="2"/>
    </font>
    <font>
      <b/>
      <u/>
      <sz val="8"/>
      <color indexed="12"/>
      <name val="Arial"/>
      <family val="2"/>
    </font>
    <font>
      <sz val="8"/>
      <color indexed="62"/>
      <name val="Arial"/>
      <family val="2"/>
    </font>
    <font>
      <b/>
      <sz val="8"/>
      <color indexed="62"/>
      <name val="Arial"/>
      <family val="2"/>
    </font>
    <font>
      <sz val="10"/>
      <name val="Arial"/>
      <family val="2"/>
    </font>
    <font>
      <u/>
      <sz val="8"/>
      <color indexed="8"/>
      <name val="Arial"/>
      <family val="2"/>
    </font>
    <font>
      <sz val="11"/>
      <name val="Arial"/>
      <family val="2"/>
    </font>
    <font>
      <sz val="8"/>
      <color indexed="24"/>
      <name val="Arial"/>
      <family val="2"/>
    </font>
    <font>
      <sz val="10"/>
      <name val="Arial"/>
      <family val="2"/>
    </font>
    <font>
      <sz val="11"/>
      <color theme="1"/>
      <name val="Calibri"/>
      <family val="2"/>
      <scheme val="minor"/>
    </font>
    <font>
      <sz val="7"/>
      <color theme="1"/>
      <name val="Avenir LT Std 35 Light"/>
      <family val="2"/>
    </font>
    <font>
      <i/>
      <sz val="8"/>
      <color rgb="FF4D4D4D"/>
      <name val="Arial"/>
      <family val="2"/>
    </font>
    <font>
      <u/>
      <sz val="8"/>
      <color theme="0"/>
      <name val="Arial"/>
      <family val="2"/>
    </font>
    <font>
      <sz val="8"/>
      <color theme="0"/>
      <name val="Arial"/>
      <family val="2"/>
    </font>
    <font>
      <b/>
      <sz val="8"/>
      <color theme="0"/>
      <name val="Arial"/>
      <family val="2"/>
    </font>
    <font>
      <sz val="8"/>
      <color rgb="FFFF0000"/>
      <name val="Arial"/>
      <family val="2"/>
    </font>
    <font>
      <b/>
      <sz val="8"/>
      <color rgb="FFFF0000"/>
      <name val="Arial"/>
      <family val="2"/>
    </font>
    <font>
      <sz val="8"/>
      <color rgb="FF0000FF"/>
      <name val="Arial"/>
      <family val="2"/>
    </font>
    <font>
      <b/>
      <sz val="8"/>
      <color rgb="FF0000FF"/>
      <name val="Arial"/>
      <family val="2"/>
    </font>
    <font>
      <b/>
      <sz val="8"/>
      <color theme="1"/>
      <name val="Arial"/>
      <family val="2"/>
    </font>
    <font>
      <sz val="8"/>
      <color theme="1"/>
      <name val="Arial"/>
      <family val="2"/>
    </font>
    <font>
      <u val="singleAccounting"/>
      <sz val="8"/>
      <color rgb="FF0000FF"/>
      <name val="Arial"/>
      <family val="2"/>
    </font>
    <font>
      <u/>
      <sz val="8"/>
      <color rgb="FF0000FF"/>
      <name val="Arial"/>
      <family val="2"/>
    </font>
    <font>
      <b/>
      <u/>
      <sz val="8"/>
      <color rgb="FF0000FF"/>
      <name val="Arial"/>
      <family val="2"/>
    </font>
    <font>
      <sz val="8"/>
      <color rgb="FF00B050"/>
      <name val="Arial"/>
      <family val="2"/>
    </font>
    <font>
      <b/>
      <u/>
      <sz val="8"/>
      <color theme="0"/>
      <name val="Arial"/>
      <family val="2"/>
    </font>
    <font>
      <b/>
      <sz val="8"/>
      <color rgb="FF00B050"/>
      <name val="Arial"/>
      <family val="2"/>
    </font>
    <font>
      <sz val="8"/>
      <color rgb="FF000000"/>
      <name val="Arial"/>
      <family val="2"/>
    </font>
    <font>
      <sz val="50"/>
      <color rgb="FFFF0000"/>
      <name val="Arial"/>
      <family val="2"/>
    </font>
    <font>
      <sz val="6"/>
      <color theme="0"/>
      <name val="Arial"/>
      <family val="2"/>
    </font>
    <font>
      <b/>
      <sz val="8"/>
      <color theme="4"/>
      <name val="Arial"/>
      <family val="2"/>
    </font>
    <font>
      <b/>
      <i/>
      <sz val="8"/>
      <color rgb="FF4D4D4D"/>
      <name val="Arial"/>
      <family val="2"/>
    </font>
    <font>
      <sz val="8"/>
      <color rgb="FFCC6600"/>
      <name val="Arial"/>
      <family val="2"/>
    </font>
    <font>
      <b/>
      <u val="singleAccounting"/>
      <sz val="8"/>
      <color rgb="FF0000FF"/>
      <name val="Arial"/>
      <family val="2"/>
    </font>
    <font>
      <b/>
      <u val="singleAccounting"/>
      <sz val="8"/>
      <color theme="1"/>
      <name val="Arial"/>
      <family val="2"/>
    </font>
    <font>
      <u val="singleAccounting"/>
      <sz val="8"/>
      <color theme="1"/>
      <name val="Arial"/>
      <family val="2"/>
    </font>
    <font>
      <sz val="10"/>
      <name val="Courier"/>
      <family val="3"/>
    </font>
    <font>
      <i/>
      <sz val="10"/>
      <name val="Arial"/>
      <family val="2"/>
    </font>
    <font>
      <sz val="10"/>
      <color rgb="FF000000"/>
      <name val="Arial"/>
      <family val="2"/>
    </font>
    <font>
      <b/>
      <sz val="12"/>
      <color rgb="FF000080"/>
      <name val="Arial"/>
      <family val="2"/>
    </font>
  </fonts>
  <fills count="26">
    <fill>
      <patternFill patternType="none"/>
    </fill>
    <fill>
      <patternFill patternType="gray125"/>
    </fill>
    <fill>
      <patternFill patternType="solid">
        <fgColor indexed="48"/>
      </patternFill>
    </fill>
    <fill>
      <patternFill patternType="solid">
        <fgColor indexed="32"/>
        <bgColor indexed="64"/>
      </patternFill>
    </fill>
    <fill>
      <patternFill patternType="solid">
        <fgColor indexed="1"/>
      </patternFill>
    </fill>
    <fill>
      <patternFill patternType="solid">
        <fgColor indexed="35"/>
        <bgColor indexed="64"/>
      </patternFill>
    </fill>
    <fill>
      <patternFill patternType="solid">
        <fgColor indexed="22"/>
        <bgColor indexed="64"/>
      </patternFill>
    </fill>
    <fill>
      <patternFill patternType="solid">
        <fgColor indexed="42"/>
        <bgColor indexed="64"/>
      </patternFill>
    </fill>
    <fill>
      <patternFill patternType="solid">
        <fgColor indexed="26"/>
        <bgColor indexed="64"/>
      </patternFill>
    </fill>
    <fill>
      <patternFill patternType="solid">
        <fgColor indexed="43"/>
        <bgColor indexed="64"/>
      </patternFill>
    </fill>
    <fill>
      <patternFill patternType="mediumGray"/>
    </fill>
    <fill>
      <patternFill patternType="solid">
        <fgColor indexed="9"/>
        <bgColor indexed="64"/>
      </patternFill>
    </fill>
    <fill>
      <patternFill patternType="solid">
        <fgColor indexed="8"/>
        <bgColor indexed="64"/>
      </patternFill>
    </fill>
    <fill>
      <patternFill patternType="solid">
        <fgColor indexed="24"/>
        <bgColor indexed="64"/>
      </patternFill>
    </fill>
    <fill>
      <patternFill patternType="solid">
        <fgColor indexed="60"/>
        <bgColor indexed="64"/>
      </patternFill>
    </fill>
    <fill>
      <patternFill patternType="solid">
        <fgColor indexed="61"/>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2"/>
        <bgColor indexed="64"/>
      </patternFill>
    </fill>
    <fill>
      <patternFill patternType="solid">
        <fgColor rgb="FFFFFFCC"/>
        <bgColor indexed="64"/>
      </patternFill>
    </fill>
    <fill>
      <patternFill patternType="solid">
        <fgColor theme="7"/>
        <bgColor indexed="64"/>
      </patternFill>
    </fill>
    <fill>
      <patternFill patternType="solid">
        <fgColor rgb="FFFFFF00"/>
        <bgColor indexed="64"/>
      </patternFill>
    </fill>
    <fill>
      <patternFill patternType="solid">
        <fgColor rgb="FF92D050"/>
        <bgColor indexed="64"/>
      </patternFill>
    </fill>
    <fill>
      <patternFill patternType="solid">
        <fgColor indexed="65"/>
        <bgColor indexed="64"/>
      </patternFill>
    </fill>
  </fills>
  <borders count="44">
    <border>
      <left/>
      <right/>
      <top/>
      <bottom/>
      <diagonal/>
    </border>
    <border>
      <left style="thin">
        <color indexed="64"/>
      </left>
      <right/>
      <top/>
      <bottom/>
      <diagonal/>
    </border>
    <border diagonalDown="1">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23"/>
      </top>
      <bottom/>
      <diagonal/>
    </border>
    <border>
      <left/>
      <right/>
      <top/>
      <bottom style="thin">
        <color indexed="8"/>
      </bottom>
      <diagonal/>
    </border>
    <border>
      <left/>
      <right/>
      <top style="thin">
        <color indexed="64"/>
      </top>
      <bottom/>
      <diagonal/>
    </border>
    <border>
      <left/>
      <right/>
      <top style="thin">
        <color indexed="64"/>
      </top>
      <bottom style="medium">
        <color indexed="64"/>
      </bottom>
      <diagonal/>
    </border>
    <border>
      <left style="thin">
        <color indexed="64"/>
      </left>
      <right/>
      <top/>
      <bottom style="medium">
        <color indexed="8"/>
      </bottom>
      <diagonal/>
    </border>
    <border>
      <left/>
      <right/>
      <top/>
      <bottom style="medium">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hair">
        <color indexed="64"/>
      </left>
      <right style="hair">
        <color indexed="64"/>
      </right>
      <top/>
      <bottom/>
      <diagonal/>
    </border>
    <border>
      <left style="hair">
        <color indexed="64"/>
      </left>
      <right style="hair">
        <color indexed="64"/>
      </right>
      <top style="thin">
        <color indexed="64"/>
      </top>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top style="thin">
        <color indexed="64"/>
      </top>
      <bottom style="hair">
        <color indexed="64"/>
      </bottom>
      <diagonal/>
    </border>
    <border>
      <left/>
      <right/>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thin">
        <color indexed="64"/>
      </left>
      <right style="thin">
        <color indexed="64"/>
      </right>
      <top/>
      <bottom style="thin">
        <color indexed="64"/>
      </bottom>
      <diagonal/>
    </border>
    <border>
      <left style="thin">
        <color indexed="64"/>
      </left>
      <right/>
      <top/>
      <bottom style="thin">
        <color rgb="FF000000"/>
      </bottom>
      <diagonal/>
    </border>
    <border>
      <left/>
      <right/>
      <top/>
      <bottom style="thin">
        <color rgb="FF000000"/>
      </bottom>
      <diagonal/>
    </border>
    <border>
      <left/>
      <right/>
      <top style="thin">
        <color indexed="64"/>
      </top>
      <bottom style="thin">
        <color rgb="FF000000"/>
      </bottom>
      <diagonal/>
    </border>
    <border>
      <left style="thin">
        <color rgb="FF000000"/>
      </left>
      <right style="thin">
        <color rgb="FF000000"/>
      </right>
      <top style="thin">
        <color rgb="FF000000"/>
      </top>
      <bottom style="thin">
        <color rgb="FF000000"/>
      </bottom>
      <diagonal/>
    </border>
    <border>
      <left/>
      <right style="thin">
        <color auto="1"/>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style="thin">
        <color rgb="FF000000"/>
      </top>
      <bottom/>
      <diagonal/>
    </border>
  </borders>
  <cellStyleXfs count="197">
    <xf numFmtId="0" fontId="0" fillId="0" borderId="0"/>
    <xf numFmtId="9" fontId="15" fillId="0" borderId="0">
      <alignment horizontal="right"/>
    </xf>
    <xf numFmtId="190" fontId="23" fillId="0" borderId="0">
      <alignment horizontal="right"/>
    </xf>
    <xf numFmtId="0" fontId="4" fillId="0" borderId="0"/>
    <xf numFmtId="0" fontId="4"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44" fontId="24" fillId="0" borderId="0" applyFont="0" applyFill="0" applyBorder="0" applyAlignment="0" applyProtection="0"/>
    <xf numFmtId="42" fontId="24" fillId="0" borderId="0" applyFont="0" applyFill="0" applyBorder="0" applyAlignment="0" applyProtection="0"/>
    <xf numFmtId="191" fontId="25" fillId="0" borderId="0" applyFont="0" applyFill="0" applyBorder="0" applyAlignment="0" applyProtection="0"/>
    <xf numFmtId="192" fontId="25" fillId="0" borderId="0" applyFont="0" applyFill="0" applyBorder="0" applyAlignment="0" applyProtection="0"/>
    <xf numFmtId="0" fontId="4" fillId="0" borderId="0"/>
    <xf numFmtId="0" fontId="26" fillId="0" borderId="0"/>
    <xf numFmtId="0" fontId="24" fillId="0" borderId="0"/>
    <xf numFmtId="0" fontId="27" fillId="0" borderId="0"/>
    <xf numFmtId="9" fontId="4" fillId="0" borderId="0"/>
    <xf numFmtId="0" fontId="27" fillId="0" borderId="0"/>
    <xf numFmtId="0" fontId="27" fillId="0" borderId="0"/>
    <xf numFmtId="0" fontId="27" fillId="0" borderId="0"/>
    <xf numFmtId="2" fontId="27" fillId="0" borderId="0"/>
    <xf numFmtId="10" fontId="27" fillId="0" borderId="0"/>
    <xf numFmtId="2"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179" fontId="4" fillId="0" borderId="0"/>
    <xf numFmtId="37" fontId="28" fillId="0" borderId="0">
      <alignment horizontal="center"/>
    </xf>
    <xf numFmtId="193" fontId="29" fillId="0" borderId="0" applyFont="0" applyFill="0" applyBorder="0" applyAlignment="0" applyProtection="0"/>
    <xf numFmtId="0" fontId="4" fillId="0" borderId="0"/>
    <xf numFmtId="194" fontId="30" fillId="0" borderId="0">
      <alignment horizontal="left"/>
    </xf>
    <xf numFmtId="1" fontId="31" fillId="3" borderId="1" applyNumberFormat="0" applyBorder="0" applyAlignment="0">
      <alignment horizontal="center" vertical="top" wrapText="1"/>
      <protection hidden="1"/>
    </xf>
    <xf numFmtId="0" fontId="16" fillId="0" borderId="2">
      <alignment horizontal="left"/>
    </xf>
    <xf numFmtId="0" fontId="17" fillId="0" borderId="2">
      <alignment horizontal="left" wrapText="1"/>
    </xf>
    <xf numFmtId="0" fontId="32" fillId="0" borderId="0" applyNumberFormat="0" applyFill="0" applyBorder="0" applyAlignment="0" applyProtection="0"/>
    <xf numFmtId="0" fontId="33" fillId="0" borderId="3" applyNumberFormat="0" applyFill="0" applyAlignment="0" applyProtection="0"/>
    <xf numFmtId="195" fontId="25" fillId="0" borderId="0" applyFont="0" applyFill="0" applyBorder="0" applyAlignment="0" applyProtection="0"/>
    <xf numFmtId="0" fontId="34" fillId="0" borderId="0"/>
    <xf numFmtId="0" fontId="34" fillId="0" borderId="0"/>
    <xf numFmtId="0" fontId="2" fillId="0" borderId="0"/>
    <xf numFmtId="0" fontId="17" fillId="0" borderId="5">
      <alignment horizontal="right" vertical="center"/>
    </xf>
    <xf numFmtId="0" fontId="23" fillId="0" borderId="0">
      <alignment horizontal="right"/>
    </xf>
    <xf numFmtId="0" fontId="16" fillId="4" borderId="4">
      <alignment horizontal="center" vertical="center" wrapText="1"/>
    </xf>
    <xf numFmtId="1" fontId="35" fillId="0" borderId="0"/>
    <xf numFmtId="0" fontId="36" fillId="0" borderId="3" applyNumberFormat="0" applyFill="0" applyProtection="0">
      <alignment horizontal="left" vertical="center"/>
    </xf>
    <xf numFmtId="173" fontId="3" fillId="0" borderId="0" applyBorder="0">
      <alignment horizontal="right"/>
    </xf>
    <xf numFmtId="173" fontId="3" fillId="0" borderId="6" applyAlignment="0">
      <alignment horizontal="right"/>
    </xf>
    <xf numFmtId="43" fontId="2" fillId="0" borderId="0" applyFont="0" applyFill="0" applyBorder="0" applyAlignment="0" applyProtection="0"/>
    <xf numFmtId="196" fontId="37" fillId="0" borderId="0"/>
    <xf numFmtId="196" fontId="37" fillId="0" borderId="0"/>
    <xf numFmtId="196" fontId="37" fillId="0" borderId="0"/>
    <xf numFmtId="196" fontId="37" fillId="0" borderId="0"/>
    <xf numFmtId="196" fontId="37" fillId="0" borderId="0"/>
    <xf numFmtId="196" fontId="37" fillId="0" borderId="0"/>
    <xf numFmtId="196" fontId="37" fillId="0" borderId="0"/>
    <xf numFmtId="196" fontId="37" fillId="0" borderId="0"/>
    <xf numFmtId="43" fontId="4" fillId="0" borderId="0" applyFont="0" applyFill="0" applyBorder="0" applyAlignment="0" applyProtection="0"/>
    <xf numFmtId="43" fontId="4" fillId="0" borderId="0" applyFont="0" applyFill="0" applyBorder="0" applyAlignment="0" applyProtection="0"/>
    <xf numFmtId="43" fontId="95" fillId="0" borderId="0" applyFont="0" applyFill="0" applyBorder="0" applyAlignment="0" applyProtection="0"/>
    <xf numFmtId="43" fontId="4" fillId="0" borderId="0" applyFont="0" applyFill="0" applyBorder="0" applyAlignment="0" applyProtection="0"/>
    <xf numFmtId="43" fontId="18" fillId="0" borderId="0" applyFont="0" applyFill="0" applyBorder="0" applyAlignment="0" applyProtection="0"/>
    <xf numFmtId="43" fontId="2" fillId="0" borderId="0" applyFont="0" applyFill="0" applyBorder="0" applyAlignment="0" applyProtection="0"/>
    <xf numFmtId="43" fontId="96"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0" fontId="38" fillId="0" borderId="0"/>
    <xf numFmtId="0" fontId="39" fillId="0" borderId="0" applyFill="0" applyBorder="0">
      <alignment horizontal="left"/>
    </xf>
    <xf numFmtId="44" fontId="2" fillId="0" borderId="0" applyFont="0" applyFill="0" applyBorder="0" applyAlignment="0" applyProtection="0"/>
    <xf numFmtId="44" fontId="4" fillId="0" borderId="0" applyFont="0" applyFill="0" applyBorder="0" applyAlignment="0" applyProtection="0"/>
    <xf numFmtId="44" fontId="94" fillId="0" borderId="0" applyFont="0" applyFill="0" applyBorder="0" applyAlignment="0" applyProtection="0"/>
    <xf numFmtId="44" fontId="18" fillId="0" borderId="0" applyFont="0" applyFill="0" applyBorder="0" applyAlignment="0" applyProtection="0"/>
    <xf numFmtId="0" fontId="19" fillId="0" borderId="2">
      <alignment horizontal="left"/>
    </xf>
    <xf numFmtId="0" fontId="20" fillId="0" borderId="2">
      <alignment horizontal="left" wrapText="1"/>
    </xf>
    <xf numFmtId="197" fontId="25" fillId="0" borderId="0" applyFont="0" applyFill="0" applyBorder="0" applyAlignment="0" applyProtection="0"/>
    <xf numFmtId="14" fontId="5" fillId="0" borderId="7" applyFont="0">
      <alignment horizontal="right"/>
    </xf>
    <xf numFmtId="0" fontId="24" fillId="0" borderId="0"/>
    <xf numFmtId="0" fontId="40" fillId="0" borderId="0"/>
    <xf numFmtId="198" fontId="23" fillId="0" borderId="0">
      <alignment horizontal="right"/>
    </xf>
    <xf numFmtId="0" fontId="40" fillId="0" borderId="0"/>
    <xf numFmtId="0" fontId="23" fillId="0" borderId="0"/>
    <xf numFmtId="5" fontId="9" fillId="0" borderId="0" applyFont="0" applyFill="0" applyBorder="0" applyAlignment="0" applyProtection="0">
      <protection locked="0"/>
    </xf>
    <xf numFmtId="0" fontId="41" fillId="0" borderId="0"/>
    <xf numFmtId="1" fontId="42" fillId="5" borderId="8" applyNumberFormat="0" applyBorder="0" applyAlignment="0">
      <alignment horizontal="centerContinuous" vertical="center"/>
      <protection locked="0"/>
    </xf>
    <xf numFmtId="0" fontId="43" fillId="2" borderId="0"/>
    <xf numFmtId="0" fontId="23" fillId="0" borderId="0"/>
    <xf numFmtId="0" fontId="44" fillId="0" borderId="0" applyNumberFormat="0" applyFill="0" applyBorder="0" applyProtection="0">
      <alignment horizontal="left" vertical="center"/>
    </xf>
    <xf numFmtId="49" fontId="2" fillId="0" borderId="0" applyFill="0" applyBorder="0"/>
    <xf numFmtId="49" fontId="4" fillId="0" borderId="0"/>
    <xf numFmtId="49" fontId="4" fillId="0" borderId="0" applyFill="0" applyBorder="0">
      <alignment horizontal="right" vertical="center"/>
    </xf>
    <xf numFmtId="49" fontId="4" fillId="0" borderId="0" applyFill="0" applyBorder="0">
      <alignment horizontal="right" vertical="center"/>
    </xf>
    <xf numFmtId="0" fontId="45" fillId="0" borderId="0"/>
    <xf numFmtId="38" fontId="2" fillId="6" borderId="0" applyNumberFormat="0" applyBorder="0" applyAlignment="0" applyProtection="0"/>
    <xf numFmtId="164" fontId="4" fillId="7" borderId="9" applyNumberFormat="0" applyFont="0" applyBorder="0" applyAlignment="0" applyProtection="0"/>
    <xf numFmtId="179" fontId="46" fillId="7" borderId="0" applyNumberFormat="0" applyFont="0" applyAlignment="0"/>
    <xf numFmtId="0" fontId="47" fillId="0" borderId="10" applyNumberFormat="0" applyAlignment="0" applyProtection="0">
      <alignment horizontal="left" vertical="center"/>
    </xf>
    <xf numFmtId="0" fontId="47" fillId="0" borderId="7">
      <alignment horizontal="left" vertical="center"/>
    </xf>
    <xf numFmtId="0" fontId="48" fillId="0" borderId="0">
      <alignment wrapText="1"/>
    </xf>
    <xf numFmtId="10" fontId="2" fillId="8" borderId="9" applyNumberFormat="0" applyBorder="0" applyAlignment="0" applyProtection="0"/>
    <xf numFmtId="0" fontId="49" fillId="0" borderId="0" applyNumberFormat="0" applyFill="0" applyBorder="0" applyAlignment="0">
      <protection locked="0"/>
    </xf>
    <xf numFmtId="0" fontId="23" fillId="0" borderId="0"/>
    <xf numFmtId="0" fontId="50" fillId="0" borderId="0" applyNumberFormat="0" applyFill="0" applyBorder="0" applyProtection="0">
      <alignment horizontal="left" vertical="center"/>
    </xf>
    <xf numFmtId="0" fontId="43" fillId="0" borderId="0"/>
    <xf numFmtId="0" fontId="51" fillId="0" borderId="0"/>
    <xf numFmtId="0" fontId="52" fillId="0" borderId="0"/>
    <xf numFmtId="199" fontId="2" fillId="8" borderId="0">
      <alignment horizontal="center"/>
    </xf>
    <xf numFmtId="37" fontId="53" fillId="0" borderId="0"/>
    <xf numFmtId="200" fontId="54" fillId="0" borderId="0"/>
    <xf numFmtId="0" fontId="4" fillId="0" borderId="0"/>
    <xf numFmtId="0" fontId="4" fillId="0" borderId="0"/>
    <xf numFmtId="0" fontId="4" fillId="0" borderId="0"/>
    <xf numFmtId="0" fontId="18" fillId="0" borderId="0"/>
    <xf numFmtId="0" fontId="1" fillId="0" borderId="0"/>
    <xf numFmtId="0" fontId="1" fillId="0" borderId="0"/>
    <xf numFmtId="0" fontId="95" fillId="0" borderId="0"/>
    <xf numFmtId="0" fontId="4" fillId="0" borderId="0"/>
    <xf numFmtId="0" fontId="4" fillId="0" borderId="0"/>
    <xf numFmtId="0" fontId="96" fillId="0" borderId="0"/>
    <xf numFmtId="0" fontId="95" fillId="0" borderId="0"/>
    <xf numFmtId="0" fontId="95" fillId="0" borderId="0"/>
    <xf numFmtId="0" fontId="18" fillId="0" borderId="0"/>
    <xf numFmtId="0" fontId="1" fillId="0" borderId="0"/>
    <xf numFmtId="0" fontId="1" fillId="0" borderId="0"/>
    <xf numFmtId="0" fontId="90" fillId="0" borderId="0"/>
    <xf numFmtId="0" fontId="18" fillId="0" borderId="0"/>
    <xf numFmtId="0" fontId="21" fillId="0" borderId="0"/>
    <xf numFmtId="0" fontId="1" fillId="0" borderId="0"/>
    <xf numFmtId="0" fontId="1" fillId="0" borderId="0"/>
    <xf numFmtId="0" fontId="18" fillId="0" borderId="0"/>
    <xf numFmtId="0" fontId="1" fillId="0" borderId="0"/>
    <xf numFmtId="0" fontId="1" fillId="0" borderId="0"/>
    <xf numFmtId="0" fontId="18" fillId="0" borderId="0"/>
    <xf numFmtId="0" fontId="94" fillId="0" borderId="0"/>
    <xf numFmtId="0" fontId="55" fillId="0" borderId="0"/>
    <xf numFmtId="0" fontId="8" fillId="0" borderId="0"/>
    <xf numFmtId="174" fontId="15" fillId="0" borderId="0" applyFont="0" applyFill="0" applyBorder="0" applyProtection="0">
      <alignment horizontal="right"/>
    </xf>
    <xf numFmtId="43" fontId="24" fillId="0" borderId="0" applyFont="0" applyFill="0" applyBorder="0" applyAlignment="0" applyProtection="0"/>
    <xf numFmtId="41" fontId="24" fillId="0" borderId="0" applyFont="0" applyFill="0" applyBorder="0" applyAlignment="0" applyProtection="0"/>
    <xf numFmtId="173" fontId="4" fillId="0" borderId="0"/>
    <xf numFmtId="0" fontId="17" fillId="0" borderId="11">
      <alignment horizontal="left" vertical="center" wrapText="1"/>
    </xf>
    <xf numFmtId="0" fontId="56" fillId="0" borderId="0">
      <alignment horizontal="left"/>
    </xf>
    <xf numFmtId="0" fontId="57" fillId="0" borderId="0">
      <alignment vertical="center"/>
    </xf>
    <xf numFmtId="0" fontId="52" fillId="0" borderId="0"/>
    <xf numFmtId="9" fontId="2" fillId="0" borderId="0" applyFont="0" applyFill="0" applyBorder="0" applyAlignment="0" applyProtection="0"/>
    <xf numFmtId="10"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95" fillId="0" borderId="0" applyFont="0" applyFill="0" applyBorder="0" applyAlignment="0" applyProtection="0"/>
    <xf numFmtId="9" fontId="18"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1" fontId="58" fillId="6" borderId="0">
      <alignment horizontal="center"/>
    </xf>
    <xf numFmtId="189" fontId="2" fillId="0" borderId="0"/>
    <xf numFmtId="0" fontId="59" fillId="0" borderId="0"/>
    <xf numFmtId="0" fontId="17" fillId="0" borderId="5">
      <alignment horizontal="left" vertical="center" wrapText="1"/>
    </xf>
    <xf numFmtId="0" fontId="50" fillId="0" borderId="0" applyNumberFormat="0" applyFill="0" applyBorder="0" applyProtection="0">
      <alignment horizontal="right" vertical="center"/>
    </xf>
    <xf numFmtId="0" fontId="4" fillId="9" borderId="0" applyNumberFormat="0" applyFont="0" applyBorder="0" applyAlignment="0" applyProtection="0"/>
    <xf numFmtId="0" fontId="60" fillId="0" borderId="0"/>
    <xf numFmtId="0" fontId="60" fillId="0" borderId="0"/>
    <xf numFmtId="0" fontId="60" fillId="0" borderId="12">
      <alignment horizontal="centerContinuous"/>
    </xf>
    <xf numFmtId="0" fontId="60" fillId="0" borderId="12">
      <alignment horizontal="centerContinuous"/>
    </xf>
    <xf numFmtId="0" fontId="16" fillId="0" borderId="0">
      <alignment horizontal="left" vertical="center" wrapText="1"/>
    </xf>
    <xf numFmtId="0" fontId="61" fillId="0" borderId="12"/>
    <xf numFmtId="0" fontId="4" fillId="0" borderId="0">
      <alignment vertical="top"/>
    </xf>
    <xf numFmtId="0" fontId="4" fillId="0" borderId="0">
      <alignment vertical="top"/>
    </xf>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0" fontId="4" fillId="0" borderId="0">
      <alignment vertical="top"/>
    </xf>
    <xf numFmtId="0" fontId="4" fillId="0" borderId="0">
      <alignment vertical="top"/>
    </xf>
    <xf numFmtId="0" fontId="4" fillId="0" borderId="0">
      <alignment vertical="top"/>
    </xf>
    <xf numFmtId="0" fontId="62" fillId="0" borderId="7" applyNumberFormat="0" applyFill="0" applyProtection="0">
      <alignment horizontal="left" vertical="center"/>
    </xf>
    <xf numFmtId="0" fontId="34" fillId="0" borderId="0">
      <alignment vertical="center"/>
    </xf>
    <xf numFmtId="0" fontId="63" fillId="10" borderId="0" applyNumberFormat="0" applyBorder="0" applyProtection="0">
      <alignment horizontal="left" vertical="center"/>
    </xf>
    <xf numFmtId="0" fontId="64" fillId="1" borderId="0" applyNumberFormat="0" applyBorder="0" applyProtection="0">
      <alignment horizontal="left" vertical="center"/>
    </xf>
    <xf numFmtId="173" fontId="65" fillId="0" borderId="0"/>
    <xf numFmtId="201" fontId="66" fillId="0" borderId="13" applyNumberFormat="0" applyFont="0" applyFill="0" applyAlignment="0" applyProtection="0"/>
    <xf numFmtId="173" fontId="3" fillId="0" borderId="14"/>
    <xf numFmtId="202" fontId="67" fillId="0" borderId="0">
      <alignment horizontal="right"/>
    </xf>
    <xf numFmtId="203" fontId="58" fillId="6" borderId="1" applyBorder="0">
      <alignment horizontal="right" vertical="center"/>
      <protection locked="0"/>
    </xf>
    <xf numFmtId="0" fontId="68" fillId="0" borderId="0" applyNumberFormat="0"/>
    <xf numFmtId="1" fontId="4" fillId="0" borderId="0">
      <alignment horizontal="center"/>
    </xf>
    <xf numFmtId="0" fontId="4" fillId="0" borderId="0"/>
    <xf numFmtId="204" fontId="69" fillId="0" borderId="0" applyFont="0" applyFill="0" applyBorder="0" applyAlignment="0" applyProtection="0"/>
    <xf numFmtId="0" fontId="69" fillId="0" borderId="0" applyFont="0" applyFill="0" applyBorder="0" applyAlignment="0" applyProtection="0"/>
    <xf numFmtId="0" fontId="122" fillId="0" borderId="0"/>
  </cellStyleXfs>
  <cellXfs count="2363">
    <xf numFmtId="0" fontId="0" fillId="0" borderId="0" xfId="0"/>
    <xf numFmtId="0" fontId="3" fillId="0" borderId="0" xfId="0" applyFont="1"/>
    <xf numFmtId="168" fontId="0" fillId="0" borderId="0" xfId="55" applyNumberFormat="1" applyFont="1" applyFill="1"/>
    <xf numFmtId="0" fontId="3" fillId="0" borderId="0" xfId="0" applyFont="1" applyFill="1"/>
    <xf numFmtId="170" fontId="3" fillId="0" borderId="0" xfId="0" applyNumberFormat="1" applyFont="1" applyFill="1" applyBorder="1" applyAlignment="1">
      <alignment horizontal="left" indent="1"/>
    </xf>
    <xf numFmtId="170" fontId="3" fillId="0" borderId="0" xfId="0" applyNumberFormat="1" applyFont="1" applyFill="1" applyBorder="1"/>
    <xf numFmtId="170" fontId="3" fillId="0" borderId="0" xfId="0" applyNumberFormat="1" applyFont="1" applyFill="1"/>
    <xf numFmtId="0" fontId="3" fillId="0" borderId="0" xfId="0" applyFont="1" applyFill="1" applyBorder="1" applyAlignment="1">
      <alignment horizontal="left" indent="1"/>
    </xf>
    <xf numFmtId="0" fontId="3" fillId="0" borderId="0" xfId="0" applyFont="1" applyFill="1" applyBorder="1"/>
    <xf numFmtId="179" fontId="0" fillId="0" borderId="1" xfId="0" applyNumberFormat="1" applyFont="1" applyFill="1" applyBorder="1" applyAlignment="1">
      <alignment horizontal="left" indent="1"/>
    </xf>
    <xf numFmtId="0" fontId="2" fillId="11" borderId="0" xfId="0" applyFont="1" applyFill="1"/>
    <xf numFmtId="0" fontId="2" fillId="11" borderId="0" xfId="0" applyFont="1" applyFill="1" applyAlignment="1">
      <alignment vertical="center"/>
    </xf>
    <xf numFmtId="0" fontId="70" fillId="0" borderId="0" xfId="0" applyFont="1" applyFill="1" applyBorder="1"/>
    <xf numFmtId="0" fontId="70" fillId="0" borderId="0" xfId="0" applyFont="1" applyFill="1" applyBorder="1" applyAlignment="1">
      <alignment vertical="center"/>
    </xf>
    <xf numFmtId="0" fontId="71" fillId="0" borderId="0" xfId="0" applyFont="1" applyFill="1" applyBorder="1"/>
    <xf numFmtId="0" fontId="71" fillId="0" borderId="0" xfId="0" applyFont="1" applyFill="1" applyBorder="1" applyAlignment="1">
      <alignment vertical="center"/>
    </xf>
    <xf numFmtId="0" fontId="97" fillId="0" borderId="0" xfId="0" applyFont="1" applyFill="1" applyBorder="1"/>
    <xf numFmtId="0" fontId="97" fillId="0" borderId="0" xfId="0" applyFont="1" applyFill="1" applyBorder="1" applyAlignment="1">
      <alignment vertical="center"/>
    </xf>
    <xf numFmtId="0" fontId="97" fillId="0" borderId="0" xfId="0" applyFont="1" applyFill="1" applyBorder="1" applyAlignment="1">
      <alignment horizontal="right"/>
    </xf>
    <xf numFmtId="0" fontId="97" fillId="0" borderId="0" xfId="0" applyFont="1" applyFill="1" applyBorder="1" applyAlignment="1">
      <alignment horizontal="right" vertical="center"/>
    </xf>
    <xf numFmtId="0" fontId="2" fillId="11" borderId="0" xfId="0" applyFont="1" applyFill="1" applyBorder="1" applyAlignment="1">
      <alignment vertical="center"/>
    </xf>
    <xf numFmtId="179" fontId="0" fillId="0" borderId="0" xfId="0" applyNumberFormat="1" applyFont="1" applyFill="1" applyBorder="1" applyAlignment="1">
      <alignment horizontal="left" indent="1"/>
    </xf>
    <xf numFmtId="0" fontId="0" fillId="0" borderId="0" xfId="0" applyBorder="1"/>
    <xf numFmtId="0" fontId="3" fillId="0" borderId="0" xfId="0" applyFont="1" applyFill="1" applyBorder="1" applyAlignment="1">
      <alignment vertical="center"/>
    </xf>
    <xf numFmtId="0" fontId="0" fillId="0" borderId="0" xfId="0" applyFont="1" applyFill="1" applyBorder="1"/>
    <xf numFmtId="0" fontId="0" fillId="0" borderId="0" xfId="0" applyFont="1" applyFill="1" applyBorder="1" applyAlignment="1">
      <alignment horizontal="center" vertical="center"/>
    </xf>
    <xf numFmtId="0" fontId="0" fillId="0" borderId="0" xfId="0" applyFont="1" applyFill="1"/>
    <xf numFmtId="166" fontId="0" fillId="0" borderId="0" xfId="55" applyNumberFormat="1" applyFont="1" applyFill="1"/>
    <xf numFmtId="168" fontId="0" fillId="0" borderId="0" xfId="55" applyNumberFormat="1" applyFont="1" applyFill="1" applyAlignment="1">
      <alignment horizontal="right"/>
    </xf>
    <xf numFmtId="0" fontId="0" fillId="0" borderId="0" xfId="115" applyFont="1" applyFill="1"/>
    <xf numFmtId="168" fontId="0" fillId="0" borderId="0" xfId="55" applyNumberFormat="1" applyFont="1" applyFill="1" applyBorder="1" applyAlignment="1">
      <alignment horizontal="right"/>
    </xf>
    <xf numFmtId="168" fontId="0" fillId="11" borderId="0" xfId="55" applyNumberFormat="1" applyFont="1" applyFill="1"/>
    <xf numFmtId="0" fontId="98" fillId="0" borderId="0" xfId="0" applyFont="1" applyFill="1" applyBorder="1"/>
    <xf numFmtId="168" fontId="0" fillId="0" borderId="0" xfId="55" applyNumberFormat="1" applyFont="1" applyFill="1" applyBorder="1"/>
    <xf numFmtId="0" fontId="0" fillId="0" borderId="0" xfId="0" applyFont="1" applyFill="1" applyBorder="1" applyAlignment="1">
      <alignment vertical="center"/>
    </xf>
    <xf numFmtId="164" fontId="0" fillId="0" borderId="0" xfId="150" applyNumberFormat="1" applyFont="1" applyFill="1" applyBorder="1" applyAlignment="1">
      <alignment horizontal="left" indent="1"/>
    </xf>
    <xf numFmtId="164" fontId="0" fillId="0" borderId="0" xfId="150" applyNumberFormat="1" applyFont="1" applyFill="1" applyBorder="1"/>
    <xf numFmtId="38" fontId="74" fillId="0" borderId="0" xfId="0" applyNumberFormat="1" applyFont="1" applyFill="1" applyBorder="1" applyAlignment="1">
      <alignment horizontal="left"/>
    </xf>
    <xf numFmtId="0" fontId="0" fillId="0" borderId="0" xfId="115" applyFont="1" applyFill="1" applyBorder="1"/>
    <xf numFmtId="170" fontId="0" fillId="0" borderId="0" xfId="0" applyNumberFormat="1" applyFont="1" applyFill="1" applyBorder="1"/>
    <xf numFmtId="170" fontId="0" fillId="0" borderId="0" xfId="0" applyNumberFormat="1" applyFont="1" applyFill="1"/>
    <xf numFmtId="0" fontId="76" fillId="0" borderId="0" xfId="0" applyFont="1" applyFill="1" applyBorder="1"/>
    <xf numFmtId="164" fontId="0" fillId="0" borderId="0" xfId="0" applyNumberFormat="1" applyFont="1" applyFill="1" applyBorder="1" applyAlignment="1">
      <alignment horizontal="left"/>
    </xf>
    <xf numFmtId="164" fontId="0" fillId="0" borderId="0" xfId="0" applyNumberFormat="1" applyFont="1" applyFill="1" applyBorder="1"/>
    <xf numFmtId="164" fontId="0" fillId="0" borderId="0" xfId="0" applyNumberFormat="1" applyFont="1" applyFill="1"/>
    <xf numFmtId="38" fontId="0" fillId="0" borderId="0" xfId="0" applyNumberFormat="1" applyFont="1" applyFill="1" applyBorder="1" applyAlignment="1">
      <alignment horizontal="left"/>
    </xf>
    <xf numFmtId="38" fontId="3" fillId="0" borderId="0" xfId="0" applyNumberFormat="1" applyFont="1" applyFill="1" applyBorder="1" applyAlignment="1">
      <alignment horizontal="left"/>
    </xf>
    <xf numFmtId="188" fontId="0" fillId="0" borderId="0" xfId="0" applyNumberFormat="1" applyFont="1" applyFill="1" applyBorder="1" applyAlignment="1">
      <alignment horizontal="left"/>
    </xf>
    <xf numFmtId="188" fontId="0" fillId="0" borderId="0" xfId="0" applyNumberFormat="1" applyFont="1" applyFill="1" applyBorder="1"/>
    <xf numFmtId="188" fontId="0" fillId="0" borderId="0" xfId="0" applyNumberFormat="1" applyFont="1" applyFill="1"/>
    <xf numFmtId="166" fontId="0" fillId="0" borderId="0" xfId="115" applyNumberFormat="1" applyFont="1" applyFill="1"/>
    <xf numFmtId="166" fontId="0" fillId="0" borderId="0" xfId="0" applyNumberFormat="1" applyFont="1" applyFill="1"/>
    <xf numFmtId="43" fontId="0" fillId="0" borderId="0" xfId="0" applyNumberFormat="1" applyFont="1" applyFill="1" applyBorder="1"/>
    <xf numFmtId="0" fontId="73" fillId="0" borderId="0" xfId="0" applyFont="1" applyFill="1" applyBorder="1"/>
    <xf numFmtId="0" fontId="73" fillId="0" borderId="0" xfId="0" applyFont="1" applyFill="1"/>
    <xf numFmtId="164" fontId="0" fillId="0" borderId="0" xfId="115" applyNumberFormat="1" applyFont="1" applyFill="1" applyBorder="1" applyAlignment="1">
      <alignment horizontal="right"/>
    </xf>
    <xf numFmtId="164" fontId="0" fillId="0" borderId="0" xfId="115" applyNumberFormat="1" applyFont="1" applyFill="1" applyAlignment="1">
      <alignment horizontal="right"/>
    </xf>
    <xf numFmtId="188" fontId="3" fillId="0" borderId="0" xfId="0" applyNumberFormat="1" applyFont="1" applyFill="1" applyBorder="1"/>
    <xf numFmtId="188" fontId="3" fillId="0" borderId="0" xfId="0" applyNumberFormat="1" applyFont="1" applyFill="1"/>
    <xf numFmtId="168" fontId="3" fillId="0" borderId="0" xfId="0" applyNumberFormat="1" applyFont="1" applyFill="1" applyBorder="1"/>
    <xf numFmtId="188" fontId="0" fillId="0" borderId="0" xfId="0" applyNumberFormat="1" applyFont="1" applyFill="1" applyBorder="1" applyAlignment="1">
      <alignment horizontal="right"/>
    </xf>
    <xf numFmtId="188" fontId="0" fillId="0" borderId="0" xfId="0" applyNumberFormat="1" applyFont="1" applyFill="1" applyAlignment="1">
      <alignment horizontal="right"/>
    </xf>
    <xf numFmtId="0" fontId="3" fillId="0" borderId="0" xfId="115" applyFont="1" applyFill="1" applyBorder="1"/>
    <xf numFmtId="0" fontId="82" fillId="0" borderId="0" xfId="0" applyFont="1" applyFill="1" applyBorder="1"/>
    <xf numFmtId="166" fontId="0" fillId="0" borderId="0" xfId="55" applyNumberFormat="1" applyFont="1" applyFill="1" applyBorder="1" applyAlignment="1">
      <alignment horizontal="right"/>
    </xf>
    <xf numFmtId="43" fontId="3" fillId="0" borderId="0" xfId="0" applyNumberFormat="1" applyFont="1" applyFill="1" applyBorder="1"/>
    <xf numFmtId="0" fontId="0" fillId="11" borderId="0" xfId="0" applyFont="1" applyFill="1"/>
    <xf numFmtId="167" fontId="3" fillId="0" borderId="0" xfId="0" applyNumberFormat="1" applyFont="1" applyFill="1" applyBorder="1"/>
    <xf numFmtId="167" fontId="3" fillId="0" borderId="0" xfId="0" applyNumberFormat="1" applyFont="1" applyFill="1"/>
    <xf numFmtId="0" fontId="0" fillId="0" borderId="0" xfId="0" applyFont="1" applyFill="1" applyBorder="1" applyAlignment="1">
      <alignment horizontal="left"/>
    </xf>
    <xf numFmtId="0" fontId="0" fillId="0" borderId="0" xfId="0" applyFont="1" applyFill="1" applyBorder="1" applyAlignment="1">
      <alignment horizontal="left" indent="1"/>
    </xf>
    <xf numFmtId="172" fontId="0" fillId="0" borderId="0" xfId="0" applyNumberFormat="1" applyFont="1" applyFill="1" applyBorder="1" applyAlignment="1">
      <alignment horizontal="left" indent="1"/>
    </xf>
    <xf numFmtId="172" fontId="0" fillId="0" borderId="0" xfId="0" applyNumberFormat="1" applyFont="1" applyFill="1" applyBorder="1"/>
    <xf numFmtId="172" fontId="0" fillId="0" borderId="0" xfId="0" applyNumberFormat="1" applyFont="1" applyFill="1"/>
    <xf numFmtId="164" fontId="0" fillId="0" borderId="0" xfId="0" applyNumberFormat="1" applyFont="1" applyFill="1" applyBorder="1" applyAlignment="1">
      <alignment horizontal="left" indent="1"/>
    </xf>
    <xf numFmtId="164" fontId="0" fillId="0" borderId="0" xfId="0" applyNumberFormat="1" applyFont="1" applyFill="1" applyBorder="1" applyAlignment="1">
      <alignment horizontal="right"/>
    </xf>
    <xf numFmtId="43" fontId="0" fillId="0" borderId="0" xfId="115" applyNumberFormat="1" applyFont="1" applyFill="1" applyBorder="1"/>
    <xf numFmtId="170" fontId="0" fillId="0" borderId="0" xfId="115" applyNumberFormat="1" applyFont="1" applyFill="1" applyBorder="1"/>
    <xf numFmtId="164" fontId="0" fillId="0" borderId="0" xfId="0" applyNumberFormat="1" applyFont="1" applyFill="1" applyAlignment="1">
      <alignment horizontal="right"/>
    </xf>
    <xf numFmtId="0" fontId="3" fillId="0" borderId="0" xfId="0" applyFont="1" applyFill="1" applyBorder="1" applyAlignment="1">
      <alignment horizontal="left"/>
    </xf>
    <xf numFmtId="0" fontId="73" fillId="0" borderId="0" xfId="0" applyFont="1" applyFill="1" applyBorder="1" applyAlignment="1">
      <alignment horizontal="left" indent="1"/>
    </xf>
    <xf numFmtId="166" fontId="3" fillId="0" borderId="0" xfId="0" applyNumberFormat="1" applyFont="1" applyFill="1" applyBorder="1" applyAlignment="1">
      <alignment horizontal="left" indent="1"/>
    </xf>
    <xf numFmtId="166" fontId="0" fillId="0" borderId="0" xfId="0" applyNumberFormat="1" applyFont="1" applyFill="1" applyBorder="1"/>
    <xf numFmtId="166" fontId="0" fillId="0" borderId="0" xfId="0" applyNumberFormat="1" applyFont="1" applyFill="1" applyBorder="1" applyAlignment="1">
      <alignment horizontal="left" indent="1"/>
    </xf>
    <xf numFmtId="0" fontId="99" fillId="16" borderId="0" xfId="0" applyFont="1" applyFill="1" applyBorder="1"/>
    <xf numFmtId="188" fontId="0" fillId="0" borderId="0" xfId="0" applyNumberFormat="1" applyFont="1" applyFill="1" applyBorder="1" applyAlignment="1">
      <alignment horizontal="left" indent="1"/>
    </xf>
    <xf numFmtId="0" fontId="74" fillId="0" borderId="0" xfId="0" applyFont="1" applyFill="1" applyBorder="1" applyAlignment="1">
      <alignment horizontal="left"/>
    </xf>
    <xf numFmtId="0" fontId="100" fillId="16" borderId="0" xfId="0" applyFont="1" applyFill="1" applyBorder="1"/>
    <xf numFmtId="0" fontId="99" fillId="0" borderId="0" xfId="0" applyFont="1" applyFill="1" applyBorder="1"/>
    <xf numFmtId="166" fontId="0" fillId="0" borderId="0" xfId="0" applyNumberFormat="1" applyFont="1" applyFill="1" applyBorder="1" applyAlignment="1">
      <alignment horizontal="left"/>
    </xf>
    <xf numFmtId="166" fontId="3" fillId="0" borderId="0" xfId="0" applyNumberFormat="1" applyFont="1" applyFill="1" applyBorder="1" applyAlignment="1">
      <alignment horizontal="left"/>
    </xf>
    <xf numFmtId="166" fontId="3" fillId="0" borderId="0" xfId="0" applyNumberFormat="1" applyFont="1" applyFill="1" applyBorder="1"/>
    <xf numFmtId="179" fontId="3" fillId="0" borderId="0" xfId="69" applyNumberFormat="1" applyFont="1" applyFill="1" applyBorder="1" applyAlignment="1">
      <alignment horizontal="right"/>
    </xf>
    <xf numFmtId="0" fontId="0" fillId="0" borderId="0" xfId="0" applyFont="1" applyFill="1" applyBorder="1" applyAlignment="1">
      <alignment horizontal="right"/>
    </xf>
    <xf numFmtId="0" fontId="0" fillId="0" borderId="0" xfId="0" applyFont="1" applyFill="1" applyAlignment="1">
      <alignment horizontal="right"/>
    </xf>
    <xf numFmtId="0" fontId="0" fillId="0" borderId="0" xfId="115" applyFont="1" applyFill="1" applyBorder="1" applyAlignment="1">
      <alignment horizontal="left"/>
    </xf>
    <xf numFmtId="168" fontId="3" fillId="0" borderId="0" xfId="55" applyNumberFormat="1" applyFont="1" applyFill="1" applyAlignment="1">
      <alignment horizontal="right"/>
    </xf>
    <xf numFmtId="164" fontId="0" fillId="0" borderId="0" xfId="55" applyNumberFormat="1" applyFont="1" applyFill="1" applyAlignment="1">
      <alignment horizontal="right"/>
    </xf>
    <xf numFmtId="167" fontId="3" fillId="0" borderId="0" xfId="115" applyNumberFormat="1" applyFont="1" applyFill="1" applyBorder="1" applyAlignment="1">
      <alignment horizontal="left"/>
    </xf>
    <xf numFmtId="0" fontId="74" fillId="0" borderId="0" xfId="115" applyFont="1" applyFill="1" applyBorder="1" applyAlignment="1">
      <alignment horizontal="left"/>
    </xf>
    <xf numFmtId="164" fontId="3" fillId="17" borderId="0" xfId="0" applyNumberFormat="1" applyFont="1" applyFill="1" applyAlignment="1">
      <alignment horizontal="right"/>
    </xf>
    <xf numFmtId="164" fontId="3" fillId="0" borderId="0" xfId="0" applyNumberFormat="1" applyFont="1" applyFill="1" applyBorder="1" applyAlignment="1">
      <alignment horizontal="right"/>
    </xf>
    <xf numFmtId="164" fontId="3" fillId="0" borderId="0" xfId="0" applyNumberFormat="1" applyFont="1" applyFill="1" applyAlignment="1">
      <alignment horizontal="right"/>
    </xf>
    <xf numFmtId="168" fontId="3" fillId="0" borderId="0" xfId="55" applyNumberFormat="1" applyFont="1" applyFill="1" applyBorder="1" applyAlignment="1">
      <alignment horizontal="right"/>
    </xf>
    <xf numFmtId="168" fontId="3" fillId="0" borderId="0" xfId="55" applyNumberFormat="1" applyFont="1" applyFill="1" applyBorder="1"/>
    <xf numFmtId="170" fontId="0" fillId="0" borderId="0" xfId="55" applyNumberFormat="1" applyFont="1" applyFill="1"/>
    <xf numFmtId="0" fontId="2" fillId="16" borderId="0" xfId="115" applyFont="1" applyFill="1" applyBorder="1"/>
    <xf numFmtId="0" fontId="2" fillId="16" borderId="0" xfId="115" applyFont="1" applyFill="1" applyBorder="1" applyAlignment="1">
      <alignment horizontal="right"/>
    </xf>
    <xf numFmtId="170" fontId="3" fillId="0" borderId="0" xfId="55" applyNumberFormat="1" applyFont="1" applyFill="1" applyBorder="1" applyAlignment="1">
      <alignment horizontal="left"/>
    </xf>
    <xf numFmtId="168" fontId="76" fillId="0" borderId="0" xfId="55" applyNumberFormat="1" applyFont="1" applyFill="1" applyBorder="1" applyAlignment="1">
      <alignment horizontal="right"/>
    </xf>
    <xf numFmtId="168" fontId="76" fillId="0" borderId="0" xfId="55" applyNumberFormat="1" applyFont="1" applyFill="1" applyBorder="1"/>
    <xf numFmtId="170" fontId="0" fillId="0" borderId="0" xfId="55" applyNumberFormat="1" applyFont="1" applyFill="1" applyBorder="1"/>
    <xf numFmtId="170" fontId="3" fillId="0" borderId="0" xfId="55" applyNumberFormat="1" applyFont="1" applyFill="1" applyBorder="1"/>
    <xf numFmtId="168" fontId="73" fillId="0" borderId="0" xfId="55" applyNumberFormat="1" applyFont="1" applyFill="1" applyBorder="1" applyAlignment="1">
      <alignment horizontal="right"/>
    </xf>
    <xf numFmtId="168" fontId="73" fillId="0" borderId="0" xfId="55" applyNumberFormat="1" applyFont="1" applyFill="1" applyBorder="1"/>
    <xf numFmtId="170" fontId="101" fillId="0" borderId="0" xfId="55" applyNumberFormat="1" applyFont="1" applyFill="1" applyBorder="1"/>
    <xf numFmtId="0" fontId="102" fillId="0" borderId="0" xfId="0" applyFont="1" applyFill="1" applyBorder="1"/>
    <xf numFmtId="0" fontId="102" fillId="0" borderId="0" xfId="0" applyFont="1" applyFill="1"/>
    <xf numFmtId="166" fontId="0" fillId="0" borderId="0" xfId="55" applyNumberFormat="1" applyFont="1" applyFill="1" applyBorder="1"/>
    <xf numFmtId="166" fontId="73" fillId="0" borderId="0" xfId="55" applyNumberFormat="1" applyFont="1" applyFill="1" applyBorder="1"/>
    <xf numFmtId="166" fontId="3" fillId="0" borderId="0" xfId="55" applyNumberFormat="1" applyFont="1" applyFill="1" applyBorder="1"/>
    <xf numFmtId="164" fontId="0" fillId="0" borderId="0" xfId="150" applyNumberFormat="1" applyFont="1" applyFill="1" applyBorder="1" applyAlignment="1">
      <alignment horizontal="right"/>
    </xf>
    <xf numFmtId="0" fontId="0" fillId="0" borderId="0" xfId="0" applyFont="1"/>
    <xf numFmtId="0" fontId="74" fillId="0" borderId="0" xfId="55" applyNumberFormat="1" applyFont="1" applyFill="1" applyBorder="1" applyAlignment="1">
      <alignment horizontal="right"/>
    </xf>
    <xf numFmtId="0" fontId="0" fillId="0" borderId="0" xfId="0" applyFont="1" applyAlignment="1">
      <alignment horizontal="right"/>
    </xf>
    <xf numFmtId="0" fontId="74" fillId="0" borderId="0" xfId="0" applyFont="1" applyFill="1" applyBorder="1"/>
    <xf numFmtId="43" fontId="0" fillId="0" borderId="0" xfId="55" applyFont="1" applyFill="1" applyBorder="1"/>
    <xf numFmtId="43" fontId="101" fillId="0" borderId="0" xfId="55" applyFont="1" applyFill="1" applyBorder="1"/>
    <xf numFmtId="167" fontId="0" fillId="0" borderId="0" xfId="55" applyNumberFormat="1" applyFont="1" applyFill="1" applyBorder="1"/>
    <xf numFmtId="38" fontId="0" fillId="0" borderId="0" xfId="0" applyNumberFormat="1" applyFont="1" applyFill="1" applyBorder="1" applyAlignment="1"/>
    <xf numFmtId="38" fontId="3" fillId="0" borderId="0" xfId="141" applyNumberFormat="1" applyFont="1" applyFill="1" applyBorder="1" applyAlignment="1">
      <alignment horizontal="left"/>
    </xf>
    <xf numFmtId="38" fontId="0" fillId="0" borderId="0" xfId="0" applyNumberFormat="1" applyFont="1" applyFill="1" applyBorder="1" applyAlignment="1">
      <alignment horizontal="left" indent="1"/>
    </xf>
    <xf numFmtId="38" fontId="73" fillId="0" borderId="0" xfId="0" applyNumberFormat="1" applyFont="1" applyFill="1" applyBorder="1" applyAlignment="1">
      <alignment horizontal="left" indent="1"/>
    </xf>
    <xf numFmtId="188" fontId="0" fillId="0" borderId="0" xfId="115" applyNumberFormat="1" applyFont="1" applyFill="1" applyBorder="1" applyAlignment="1">
      <alignment horizontal="left" indent="1"/>
    </xf>
    <xf numFmtId="164" fontId="0" fillId="0" borderId="0" xfId="115" applyNumberFormat="1" applyFont="1" applyFill="1" applyBorder="1" applyAlignment="1">
      <alignment horizontal="left" indent="1"/>
    </xf>
    <xf numFmtId="164" fontId="3" fillId="0" borderId="0" xfId="0" applyNumberFormat="1" applyFont="1" applyFill="1" applyBorder="1" applyAlignment="1">
      <alignment horizontal="left" indent="1"/>
    </xf>
    <xf numFmtId="38" fontId="3" fillId="0" borderId="0" xfId="0" applyNumberFormat="1" applyFont="1" applyFill="1" applyBorder="1" applyAlignment="1">
      <alignment horizontal="left" indent="1"/>
    </xf>
    <xf numFmtId="0" fontId="3" fillId="11" borderId="8" xfId="0" applyFont="1" applyFill="1" applyBorder="1" applyAlignment="1">
      <alignment vertical="center"/>
    </xf>
    <xf numFmtId="0" fontId="3" fillId="11" borderId="13" xfId="0" applyFont="1" applyFill="1" applyBorder="1" applyAlignment="1">
      <alignment vertical="center"/>
    </xf>
    <xf numFmtId="0" fontId="3" fillId="11" borderId="15" xfId="0" applyFont="1" applyFill="1" applyBorder="1" applyAlignment="1">
      <alignment vertical="center"/>
    </xf>
    <xf numFmtId="0" fontId="3" fillId="11" borderId="16" xfId="0" applyFont="1" applyFill="1" applyBorder="1" applyAlignment="1">
      <alignment vertical="center"/>
    </xf>
    <xf numFmtId="0" fontId="82" fillId="13" borderId="17" xfId="0" applyNumberFormat="1" applyFont="1" applyFill="1" applyBorder="1" applyAlignment="1">
      <alignment horizontal="centerContinuous" vertical="center"/>
    </xf>
    <xf numFmtId="49" fontId="82" fillId="13" borderId="7" xfId="0" applyNumberFormat="1" applyFont="1" applyFill="1" applyBorder="1" applyAlignment="1">
      <alignment horizontal="centerContinuous" vertical="center"/>
    </xf>
    <xf numFmtId="49" fontId="82" fillId="13" borderId="18" xfId="0" applyNumberFormat="1" applyFont="1" applyFill="1" applyBorder="1" applyAlignment="1">
      <alignment horizontal="centerContinuous" vertical="center"/>
    </xf>
    <xf numFmtId="208" fontId="82" fillId="13" borderId="7" xfId="0" applyNumberFormat="1" applyFont="1" applyFill="1" applyBorder="1" applyAlignment="1">
      <alignment horizontal="centerContinuous" vertical="center"/>
    </xf>
    <xf numFmtId="208" fontId="82" fillId="13" borderId="18" xfId="0" applyNumberFormat="1" applyFont="1" applyFill="1" applyBorder="1" applyAlignment="1">
      <alignment horizontal="centerContinuous" vertical="center"/>
    </xf>
    <xf numFmtId="208" fontId="3" fillId="11" borderId="13" xfId="0" applyNumberFormat="1" applyFont="1" applyFill="1" applyBorder="1" applyAlignment="1">
      <alignment horizontal="centerContinuous" vertical="center"/>
    </xf>
    <xf numFmtId="208" fontId="3" fillId="11" borderId="19" xfId="0" applyNumberFormat="1" applyFont="1" applyFill="1" applyBorder="1" applyAlignment="1">
      <alignment horizontal="centerContinuous" vertical="center"/>
    </xf>
    <xf numFmtId="209" fontId="82" fillId="13" borderId="20" xfId="0" applyNumberFormat="1" applyFont="1" applyFill="1" applyBorder="1" applyAlignment="1">
      <alignment horizontal="right" vertical="center"/>
    </xf>
    <xf numFmtId="209" fontId="82" fillId="13" borderId="3" xfId="0" applyNumberFormat="1" applyFont="1" applyFill="1" applyBorder="1" applyAlignment="1">
      <alignment horizontal="right" vertical="center"/>
    </xf>
    <xf numFmtId="209" fontId="82" fillId="13" borderId="21" xfId="0" applyNumberFormat="1" applyFont="1" applyFill="1" applyBorder="1" applyAlignment="1">
      <alignment horizontal="right" vertical="center"/>
    </xf>
    <xf numFmtId="209" fontId="3" fillId="0" borderId="18" xfId="0" applyNumberFormat="1" applyFont="1" applyBorder="1" applyAlignment="1">
      <alignment horizontal="right" vertical="center"/>
    </xf>
    <xf numFmtId="209" fontId="3" fillId="0" borderId="7" xfId="0" applyNumberFormat="1" applyFont="1" applyBorder="1" applyAlignment="1">
      <alignment horizontal="right" vertical="center"/>
    </xf>
    <xf numFmtId="49" fontId="77" fillId="0" borderId="8" xfId="0" applyNumberFormat="1" applyFont="1" applyBorder="1" applyAlignment="1">
      <alignment horizontal="centerContinuous" vertical="center"/>
    </xf>
    <xf numFmtId="49" fontId="77" fillId="0" borderId="13" xfId="0" applyNumberFormat="1" applyFont="1" applyBorder="1" applyAlignment="1">
      <alignment horizontal="centerContinuous" vertical="center"/>
    </xf>
    <xf numFmtId="211" fontId="82" fillId="13" borderId="35" xfId="0" applyNumberFormat="1" applyFont="1" applyFill="1" applyBorder="1" applyAlignment="1">
      <alignment horizontal="right" vertical="center"/>
    </xf>
    <xf numFmtId="211" fontId="82" fillId="13" borderId="36" xfId="0" applyNumberFormat="1" applyFont="1" applyFill="1" applyBorder="1" applyAlignment="1">
      <alignment horizontal="right" vertical="center"/>
    </xf>
    <xf numFmtId="212" fontId="3" fillId="0" borderId="37" xfId="0" applyNumberFormat="1" applyFont="1" applyBorder="1" applyAlignment="1">
      <alignment horizontal="right" vertical="center"/>
    </xf>
    <xf numFmtId="206" fontId="2" fillId="14" borderId="0" xfId="0" applyNumberFormat="1" applyFont="1" applyFill="1" applyBorder="1" applyAlignment="1">
      <alignment horizontal="right" vertical="center"/>
    </xf>
    <xf numFmtId="210" fontId="2" fillId="14" borderId="0" xfId="0" applyNumberFormat="1" applyFont="1" applyFill="1" applyBorder="1" applyAlignment="1">
      <alignment vertical="center"/>
    </xf>
    <xf numFmtId="0" fontId="0" fillId="0" borderId="1" xfId="0" applyFont="1" applyFill="1" applyBorder="1"/>
    <xf numFmtId="168" fontId="0" fillId="11" borderId="0" xfId="55" applyNumberFormat="1" applyFont="1" applyFill="1" applyBorder="1"/>
    <xf numFmtId="168" fontId="0" fillId="0" borderId="22" xfId="55" applyNumberFormat="1" applyFont="1" applyFill="1" applyBorder="1"/>
    <xf numFmtId="170" fontId="3" fillId="0" borderId="1" xfId="0" applyNumberFormat="1" applyFont="1" applyFill="1" applyBorder="1"/>
    <xf numFmtId="164" fontId="0" fillId="0" borderId="1" xfId="150" applyNumberFormat="1" applyFont="1" applyFill="1" applyBorder="1" applyAlignment="1">
      <alignment horizontal="left" indent="1"/>
    </xf>
    <xf numFmtId="164" fontId="0" fillId="0" borderId="1" xfId="0" applyNumberFormat="1" applyFont="1" applyFill="1" applyBorder="1" applyAlignment="1">
      <alignment horizontal="left"/>
    </xf>
    <xf numFmtId="38" fontId="0" fillId="0" borderId="1" xfId="0" applyNumberFormat="1" applyFont="1" applyFill="1" applyBorder="1" applyAlignment="1">
      <alignment horizontal="left"/>
    </xf>
    <xf numFmtId="38" fontId="3" fillId="0" borderId="1" xfId="0" applyNumberFormat="1" applyFont="1" applyFill="1" applyBorder="1" applyAlignment="1">
      <alignment horizontal="left"/>
    </xf>
    <xf numFmtId="38" fontId="0" fillId="11" borderId="1" xfId="0" applyNumberFormat="1" applyFont="1" applyFill="1" applyBorder="1" applyAlignment="1">
      <alignment horizontal="left"/>
    </xf>
    <xf numFmtId="38" fontId="0" fillId="11" borderId="1" xfId="0" applyNumberFormat="1" applyFont="1" applyFill="1" applyBorder="1" applyAlignment="1"/>
    <xf numFmtId="164" fontId="0" fillId="0" borderId="0" xfId="115" applyNumberFormat="1" applyFont="1" applyFill="1" applyBorder="1"/>
    <xf numFmtId="38" fontId="3" fillId="11" borderId="1" xfId="141" applyNumberFormat="1" applyFont="1" applyFill="1" applyBorder="1" applyAlignment="1">
      <alignment horizontal="left"/>
    </xf>
    <xf numFmtId="38" fontId="0" fillId="11" borderId="1" xfId="0" applyNumberFormat="1" applyFont="1" applyFill="1" applyBorder="1" applyAlignment="1">
      <alignment horizontal="left" indent="1"/>
    </xf>
    <xf numFmtId="0" fontId="0" fillId="0" borderId="1" xfId="115" applyFont="1" applyFill="1" applyBorder="1"/>
    <xf numFmtId="188" fontId="0" fillId="11" borderId="1" xfId="115" applyNumberFormat="1" applyFont="1" applyFill="1" applyBorder="1" applyAlignment="1">
      <alignment horizontal="left" indent="1"/>
    </xf>
    <xf numFmtId="164" fontId="0" fillId="11" borderId="1" xfId="115" applyNumberFormat="1" applyFont="1" applyFill="1" applyBorder="1" applyAlignment="1">
      <alignment horizontal="left" indent="1"/>
    </xf>
    <xf numFmtId="166" fontId="0" fillId="0" borderId="0" xfId="115" applyNumberFormat="1" applyFont="1" applyFill="1" applyBorder="1"/>
    <xf numFmtId="188" fontId="0" fillId="0" borderId="1" xfId="0" applyNumberFormat="1" applyFont="1" applyFill="1" applyBorder="1"/>
    <xf numFmtId="0" fontId="3" fillId="0" borderId="1" xfId="0" applyFont="1" applyFill="1" applyBorder="1"/>
    <xf numFmtId="168" fontId="0" fillId="0" borderId="22" xfId="55" applyNumberFormat="1" applyFont="1" applyFill="1" applyBorder="1" applyAlignment="1">
      <alignment horizontal="right"/>
    </xf>
    <xf numFmtId="166" fontId="0" fillId="0" borderId="22" xfId="55" applyNumberFormat="1" applyFont="1" applyFill="1" applyBorder="1" applyAlignment="1">
      <alignment horizontal="right"/>
    </xf>
    <xf numFmtId="168" fontId="3" fillId="0" borderId="1" xfId="0" applyNumberFormat="1" applyFont="1" applyFill="1" applyBorder="1"/>
    <xf numFmtId="170" fontId="0" fillId="0" borderId="1" xfId="0" applyNumberFormat="1" applyFont="1" applyFill="1" applyBorder="1"/>
    <xf numFmtId="167" fontId="3" fillId="0" borderId="1" xfId="0" applyNumberFormat="1" applyFont="1" applyFill="1" applyBorder="1"/>
    <xf numFmtId="0" fontId="0" fillId="0" borderId="1" xfId="0" applyFont="1" applyFill="1" applyBorder="1" applyAlignment="1">
      <alignment horizontal="left"/>
    </xf>
    <xf numFmtId="0" fontId="0" fillId="0" borderId="1" xfId="0" applyFont="1" applyFill="1" applyBorder="1" applyAlignment="1">
      <alignment horizontal="left" indent="1"/>
    </xf>
    <xf numFmtId="172" fontId="0" fillId="0" borderId="1" xfId="0" applyNumberFormat="1" applyFont="1" applyFill="1" applyBorder="1" applyAlignment="1">
      <alignment horizontal="left" indent="1"/>
    </xf>
    <xf numFmtId="164" fontId="0" fillId="0" borderId="1" xfId="0" applyNumberFormat="1" applyFont="1" applyFill="1" applyBorder="1" applyAlignment="1">
      <alignment horizontal="left" indent="1"/>
    </xf>
    <xf numFmtId="188" fontId="0" fillId="0" borderId="1" xfId="0" applyNumberFormat="1" applyFont="1" applyFill="1" applyBorder="1" applyAlignment="1">
      <alignment horizontal="left" indent="1"/>
    </xf>
    <xf numFmtId="188" fontId="0" fillId="11" borderId="1" xfId="0" applyNumberFormat="1" applyFont="1" applyFill="1" applyBorder="1" applyAlignment="1">
      <alignment horizontal="left" indent="1"/>
    </xf>
    <xf numFmtId="0" fontId="3" fillId="0" borderId="1" xfId="0" applyFont="1" applyFill="1" applyBorder="1" applyAlignment="1">
      <alignment horizontal="left"/>
    </xf>
    <xf numFmtId="0" fontId="73" fillId="0" borderId="1" xfId="0" applyFont="1" applyFill="1" applyBorder="1" applyAlignment="1">
      <alignment horizontal="left" indent="1"/>
    </xf>
    <xf numFmtId="166" fontId="3" fillId="0" borderId="1" xfId="0" applyNumberFormat="1" applyFont="1" applyFill="1" applyBorder="1" applyAlignment="1">
      <alignment horizontal="left" indent="1"/>
    </xf>
    <xf numFmtId="166" fontId="0" fillId="0" borderId="1" xfId="0" applyNumberFormat="1" applyFont="1" applyFill="1" applyBorder="1" applyAlignment="1">
      <alignment horizontal="left" indent="1"/>
    </xf>
    <xf numFmtId="164" fontId="0" fillId="11" borderId="1" xfId="0" applyNumberFormat="1" applyFont="1" applyFill="1" applyBorder="1" applyAlignment="1">
      <alignment horizontal="left" indent="1"/>
    </xf>
    <xf numFmtId="164" fontId="3" fillId="0" borderId="1" xfId="0" applyNumberFormat="1" applyFont="1" applyFill="1" applyBorder="1" applyAlignment="1">
      <alignment horizontal="left" indent="1"/>
    </xf>
    <xf numFmtId="0" fontId="74" fillId="0" borderId="1" xfId="0" applyFont="1" applyFill="1" applyBorder="1" applyAlignment="1">
      <alignment horizontal="left"/>
    </xf>
    <xf numFmtId="0" fontId="100" fillId="16" borderId="1" xfId="0" applyFont="1" applyFill="1" applyBorder="1"/>
    <xf numFmtId="168" fontId="0" fillId="0" borderId="0" xfId="115" applyNumberFormat="1" applyFont="1" applyFill="1" applyBorder="1"/>
    <xf numFmtId="166" fontId="0" fillId="0" borderId="1" xfId="0" applyNumberFormat="1" applyFont="1" applyFill="1" applyBorder="1" applyAlignment="1">
      <alignment horizontal="left"/>
    </xf>
    <xf numFmtId="166" fontId="3" fillId="0" borderId="1" xfId="0" applyNumberFormat="1" applyFont="1" applyFill="1" applyBorder="1" applyAlignment="1">
      <alignment horizontal="left"/>
    </xf>
    <xf numFmtId="0" fontId="0" fillId="0" borderId="1" xfId="115" applyFont="1" applyFill="1" applyBorder="1" applyAlignment="1">
      <alignment horizontal="left"/>
    </xf>
    <xf numFmtId="168" fontId="3" fillId="0" borderId="22" xfId="55" applyNumberFormat="1" applyFont="1" applyFill="1" applyBorder="1" applyAlignment="1">
      <alignment horizontal="right"/>
    </xf>
    <xf numFmtId="164" fontId="0" fillId="0" borderId="0" xfId="55" applyNumberFormat="1" applyFont="1" applyFill="1" applyBorder="1" applyAlignment="1">
      <alignment horizontal="right"/>
    </xf>
    <xf numFmtId="164" fontId="0" fillId="0" borderId="22" xfId="55" applyNumberFormat="1" applyFont="1" applyFill="1" applyBorder="1" applyAlignment="1">
      <alignment horizontal="right"/>
    </xf>
    <xf numFmtId="38" fontId="3" fillId="11" borderId="1" xfId="0" applyNumberFormat="1" applyFont="1" applyFill="1" applyBorder="1" applyAlignment="1">
      <alignment horizontal="left" indent="1"/>
    </xf>
    <xf numFmtId="188" fontId="0" fillId="0" borderId="0" xfId="55" applyNumberFormat="1" applyFont="1" applyFill="1" applyBorder="1" applyAlignment="1">
      <alignment horizontal="right"/>
    </xf>
    <xf numFmtId="188" fontId="0" fillId="0" borderId="22" xfId="55" applyNumberFormat="1" applyFont="1" applyFill="1" applyBorder="1" applyAlignment="1">
      <alignment horizontal="right"/>
    </xf>
    <xf numFmtId="168" fontId="3" fillId="0" borderId="0" xfId="115" applyNumberFormat="1" applyFont="1" applyFill="1" applyBorder="1"/>
    <xf numFmtId="9" fontId="0" fillId="0" borderId="0" xfId="115" applyNumberFormat="1" applyFont="1" applyFill="1" applyBorder="1"/>
    <xf numFmtId="166" fontId="15" fillId="0" borderId="0" xfId="55" applyNumberFormat="1" applyFont="1" applyFill="1" applyBorder="1" applyAlignment="1">
      <alignment horizontal="right"/>
    </xf>
    <xf numFmtId="166" fontId="15" fillId="0" borderId="22" xfId="55" applyNumberFormat="1" applyFont="1" applyFill="1" applyBorder="1" applyAlignment="1">
      <alignment horizontal="right"/>
    </xf>
    <xf numFmtId="168" fontId="3" fillId="0" borderId="22" xfId="55" applyNumberFormat="1" applyFont="1" applyFill="1" applyBorder="1"/>
    <xf numFmtId="168" fontId="3" fillId="11" borderId="0" xfId="55" applyNumberFormat="1" applyFont="1" applyFill="1" applyBorder="1"/>
    <xf numFmtId="170" fontId="3" fillId="0" borderId="22" xfId="55" applyNumberFormat="1" applyFont="1" applyFill="1" applyBorder="1"/>
    <xf numFmtId="166" fontId="0" fillId="0" borderId="22" xfId="115" applyNumberFormat="1" applyFont="1" applyFill="1" applyBorder="1"/>
    <xf numFmtId="0" fontId="0" fillId="0" borderId="22" xfId="115" applyFont="1" applyFill="1" applyBorder="1"/>
    <xf numFmtId="0" fontId="2" fillId="16" borderId="22" xfId="115" applyFont="1" applyFill="1" applyBorder="1"/>
    <xf numFmtId="170" fontId="3" fillId="0" borderId="1" xfId="55" applyNumberFormat="1" applyFont="1" applyFill="1" applyBorder="1" applyAlignment="1">
      <alignment horizontal="left"/>
    </xf>
    <xf numFmtId="168" fontId="15" fillId="0" borderId="0" xfId="55" applyNumberFormat="1" applyFont="1" applyFill="1" applyBorder="1"/>
    <xf numFmtId="170" fontId="0" fillId="0" borderId="1" xfId="55" applyNumberFormat="1" applyFont="1" applyFill="1" applyBorder="1"/>
    <xf numFmtId="168" fontId="70" fillId="0" borderId="0" xfId="55" applyNumberFormat="1" applyFont="1" applyFill="1" applyBorder="1"/>
    <xf numFmtId="170" fontId="0" fillId="0" borderId="22" xfId="55" applyNumberFormat="1" applyFont="1" applyFill="1" applyBorder="1"/>
    <xf numFmtId="170" fontId="3" fillId="0" borderId="1" xfId="55" applyNumberFormat="1" applyFont="1" applyFill="1" applyBorder="1"/>
    <xf numFmtId="9" fontId="0" fillId="0" borderId="0" xfId="150" applyFont="1" applyFill="1" applyBorder="1"/>
    <xf numFmtId="179" fontId="3" fillId="0" borderId="0" xfId="55" applyNumberFormat="1" applyFont="1" applyFill="1" applyBorder="1"/>
    <xf numFmtId="179" fontId="0" fillId="0" borderId="0" xfId="55" applyNumberFormat="1" applyFont="1" applyFill="1" applyBorder="1"/>
    <xf numFmtId="0" fontId="73" fillId="0" borderId="1" xfId="0" applyFont="1" applyFill="1" applyBorder="1"/>
    <xf numFmtId="168" fontId="73" fillId="0" borderId="22" xfId="55" applyNumberFormat="1" applyFont="1" applyFill="1" applyBorder="1"/>
    <xf numFmtId="170" fontId="101" fillId="0" borderId="1" xfId="55" applyNumberFormat="1" applyFont="1" applyFill="1" applyBorder="1"/>
    <xf numFmtId="166" fontId="0" fillId="0" borderId="22" xfId="55" applyNumberFormat="1" applyFont="1" applyFill="1" applyBorder="1"/>
    <xf numFmtId="166" fontId="73" fillId="0" borderId="22" xfId="55" applyNumberFormat="1" applyFont="1" applyFill="1" applyBorder="1"/>
    <xf numFmtId="166" fontId="3" fillId="0" borderId="22" xfId="55" applyNumberFormat="1" applyFont="1" applyFill="1" applyBorder="1"/>
    <xf numFmtId="38" fontId="0" fillId="0" borderId="1" xfId="0" applyNumberFormat="1" applyFont="1" applyFill="1" applyBorder="1" applyAlignment="1">
      <alignment horizontal="left" indent="1"/>
    </xf>
    <xf numFmtId="0" fontId="0" fillId="0" borderId="22" xfId="0" applyFont="1" applyFill="1" applyBorder="1"/>
    <xf numFmtId="164" fontId="0" fillId="0" borderId="22" xfId="150" applyNumberFormat="1" applyFont="1" applyFill="1" applyBorder="1" applyAlignment="1">
      <alignment horizontal="right"/>
    </xf>
    <xf numFmtId="0" fontId="0" fillId="0" borderId="20" xfId="0" applyFont="1" applyFill="1" applyBorder="1"/>
    <xf numFmtId="0" fontId="0" fillId="0" borderId="3" xfId="0" applyFont="1" applyFill="1" applyBorder="1"/>
    <xf numFmtId="0" fontId="82" fillId="13" borderId="7" xfId="0" applyNumberFormat="1" applyFont="1" applyFill="1" applyBorder="1" applyAlignment="1">
      <alignment horizontal="centerContinuous" vertical="center"/>
    </xf>
    <xf numFmtId="49" fontId="3" fillId="11" borderId="13" xfId="0" applyNumberFormat="1" applyFont="1" applyFill="1" applyBorder="1" applyAlignment="1">
      <alignment horizontal="centerContinuous" vertical="center"/>
    </xf>
    <xf numFmtId="164" fontId="0" fillId="0" borderId="22" xfId="150" applyNumberFormat="1" applyFont="1" applyFill="1" applyBorder="1"/>
    <xf numFmtId="170" fontId="0" fillId="0" borderId="22" xfId="0" applyNumberFormat="1" applyFont="1" applyFill="1" applyBorder="1"/>
    <xf numFmtId="0" fontId="76" fillId="0" borderId="22" xfId="0" applyFont="1" applyFill="1" applyBorder="1"/>
    <xf numFmtId="188" fontId="0" fillId="0" borderId="22" xfId="0" applyNumberFormat="1" applyFont="1" applyFill="1" applyBorder="1"/>
    <xf numFmtId="0" fontId="73" fillId="0" borderId="22" xfId="0" applyFont="1" applyFill="1" applyBorder="1"/>
    <xf numFmtId="0" fontId="3" fillId="0" borderId="22" xfId="0" applyFont="1" applyFill="1" applyBorder="1"/>
    <xf numFmtId="168" fontId="3" fillId="0" borderId="22" xfId="0" applyNumberFormat="1" applyFont="1" applyFill="1" applyBorder="1"/>
    <xf numFmtId="188" fontId="0" fillId="0" borderId="22" xfId="0" applyNumberFormat="1" applyFont="1" applyFill="1" applyBorder="1" applyAlignment="1">
      <alignment horizontal="right"/>
    </xf>
    <xf numFmtId="0" fontId="99" fillId="16" borderId="22" xfId="0" applyFont="1" applyFill="1" applyBorder="1"/>
    <xf numFmtId="0" fontId="0" fillId="0" borderId="22" xfId="0" applyFont="1" applyFill="1" applyBorder="1" applyAlignment="1">
      <alignment horizontal="right"/>
    </xf>
    <xf numFmtId="0" fontId="2" fillId="16" borderId="22" xfId="115" applyFont="1" applyFill="1" applyBorder="1" applyAlignment="1">
      <alignment horizontal="right"/>
    </xf>
    <xf numFmtId="0" fontId="0" fillId="0" borderId="21" xfId="0" applyFont="1" applyFill="1" applyBorder="1"/>
    <xf numFmtId="168" fontId="76" fillId="0" borderId="22" xfId="55" applyNumberFormat="1" applyFont="1" applyFill="1" applyBorder="1" applyAlignment="1">
      <alignment horizontal="right"/>
    </xf>
    <xf numFmtId="168" fontId="73" fillId="0" borderId="22" xfId="55" applyNumberFormat="1" applyFont="1" applyFill="1" applyBorder="1" applyAlignment="1">
      <alignment horizontal="right"/>
    </xf>
    <xf numFmtId="168" fontId="76" fillId="0" borderId="22" xfId="55" applyNumberFormat="1" applyFont="1" applyFill="1" applyBorder="1"/>
    <xf numFmtId="0" fontId="3" fillId="0" borderId="22" xfId="115" applyFont="1" applyFill="1" applyBorder="1"/>
    <xf numFmtId="0" fontId="98" fillId="0" borderId="22" xfId="0" applyFont="1" applyFill="1" applyBorder="1"/>
    <xf numFmtId="164" fontId="0" fillId="0" borderId="1" xfId="150" applyNumberFormat="1" applyFont="1" applyFill="1" applyBorder="1"/>
    <xf numFmtId="0" fontId="76" fillId="0" borderId="1" xfId="0" applyFont="1" applyFill="1" applyBorder="1"/>
    <xf numFmtId="166" fontId="0" fillId="0" borderId="1" xfId="0" applyNumberFormat="1" applyFont="1" applyFill="1" applyBorder="1"/>
    <xf numFmtId="0" fontId="99" fillId="16" borderId="1" xfId="0" applyFont="1" applyFill="1" applyBorder="1"/>
    <xf numFmtId="0" fontId="99" fillId="16" borderId="0" xfId="115" applyFont="1" applyFill="1" applyBorder="1"/>
    <xf numFmtId="0" fontId="99" fillId="16" borderId="22" xfId="115" applyFont="1" applyFill="1" applyBorder="1"/>
    <xf numFmtId="166" fontId="3" fillId="0" borderId="1" xfId="0" applyNumberFormat="1" applyFont="1" applyFill="1" applyBorder="1"/>
    <xf numFmtId="0" fontId="0" fillId="0" borderId="1" xfId="0" applyFont="1" applyFill="1" applyBorder="1" applyAlignment="1">
      <alignment horizontal="right"/>
    </xf>
    <xf numFmtId="168" fontId="3" fillId="0" borderId="1" xfId="55" applyNumberFormat="1" applyFont="1" applyFill="1" applyBorder="1" applyAlignment="1">
      <alignment horizontal="right"/>
    </xf>
    <xf numFmtId="205" fontId="3" fillId="11" borderId="0" xfId="0" applyNumberFormat="1" applyFont="1" applyFill="1" applyBorder="1" applyAlignment="1">
      <alignment vertical="center"/>
    </xf>
    <xf numFmtId="0" fontId="85" fillId="11" borderId="0" xfId="0" applyFont="1" applyFill="1" applyBorder="1" applyAlignment="1">
      <alignment vertical="center"/>
    </xf>
    <xf numFmtId="170" fontId="72" fillId="0" borderId="0" xfId="55" applyNumberFormat="1" applyFont="1" applyFill="1" applyBorder="1"/>
    <xf numFmtId="166" fontId="72" fillId="0" borderId="0" xfId="55" applyNumberFormat="1" applyFont="1" applyFill="1" applyBorder="1"/>
    <xf numFmtId="167" fontId="72" fillId="0" borderId="0" xfId="55" applyNumberFormat="1" applyFont="1" applyFill="1" applyBorder="1"/>
    <xf numFmtId="0" fontId="2" fillId="14" borderId="0" xfId="0" applyFont="1" applyFill="1" applyBorder="1" applyAlignment="1">
      <alignment vertical="center"/>
    </xf>
    <xf numFmtId="207" fontId="2" fillId="14" borderId="0" xfId="0" applyNumberFormat="1" applyFont="1" applyFill="1" applyBorder="1" applyAlignment="1">
      <alignment vertical="center"/>
    </xf>
    <xf numFmtId="0" fontId="103" fillId="0" borderId="0" xfId="0" applyFont="1" applyFill="1" applyBorder="1"/>
    <xf numFmtId="0" fontId="103" fillId="0" borderId="22" xfId="0" applyFont="1" applyFill="1" applyBorder="1"/>
    <xf numFmtId="168" fontId="103" fillId="0" borderId="0" xfId="55" applyNumberFormat="1" applyFont="1" applyFill="1" applyBorder="1" applyAlignment="1">
      <alignment horizontal="right"/>
    </xf>
    <xf numFmtId="166" fontId="103" fillId="0" borderId="0" xfId="0" applyNumberFormat="1" applyFont="1" applyFill="1" applyBorder="1"/>
    <xf numFmtId="164" fontId="103" fillId="0" borderId="0" xfId="55" applyNumberFormat="1" applyFont="1" applyFill="1" applyBorder="1" applyAlignment="1">
      <alignment horizontal="right"/>
    </xf>
    <xf numFmtId="168" fontId="104" fillId="0" borderId="22" xfId="55" applyNumberFormat="1" applyFont="1" applyFill="1" applyBorder="1"/>
    <xf numFmtId="0" fontId="0" fillId="0" borderId="20" xfId="0" applyFont="1" applyFill="1" applyBorder="1" applyAlignment="1">
      <alignment horizontal="left" indent="1"/>
    </xf>
    <xf numFmtId="0" fontId="0" fillId="0" borderId="3" xfId="0" applyFont="1" applyFill="1" applyBorder="1" applyAlignment="1">
      <alignment horizontal="left" indent="1"/>
    </xf>
    <xf numFmtId="0" fontId="74" fillId="0" borderId="1" xfId="0" applyFont="1" applyFill="1" applyBorder="1"/>
    <xf numFmtId="166" fontId="3" fillId="0" borderId="0" xfId="0" applyNumberFormat="1" applyFont="1" applyFill="1"/>
    <xf numFmtId="38" fontId="73" fillId="0" borderId="1" xfId="0" applyNumberFormat="1" applyFont="1" applyFill="1" applyBorder="1" applyAlignment="1">
      <alignment horizontal="left" indent="1"/>
    </xf>
    <xf numFmtId="0" fontId="0" fillId="14" borderId="0" xfId="0" applyFont="1" applyFill="1" applyBorder="1" applyAlignment="1">
      <alignment vertical="center"/>
    </xf>
    <xf numFmtId="0" fontId="100" fillId="16" borderId="1" xfId="0" applyFont="1" applyFill="1" applyBorder="1" applyAlignment="1">
      <alignment horizontal="left"/>
    </xf>
    <xf numFmtId="0" fontId="99" fillId="0" borderId="1" xfId="0" applyFont="1" applyFill="1" applyBorder="1"/>
    <xf numFmtId="0" fontId="3" fillId="0" borderId="1" xfId="115" applyFont="1" applyFill="1" applyBorder="1" applyAlignment="1">
      <alignment horizontal="left"/>
    </xf>
    <xf numFmtId="0" fontId="3" fillId="17" borderId="1" xfId="0" applyFont="1" applyFill="1" applyBorder="1"/>
    <xf numFmtId="0" fontId="3" fillId="0" borderId="0" xfId="0" applyFont="1" applyFill="1" applyBorder="1" applyAlignment="1">
      <alignment horizontal="right"/>
    </xf>
    <xf numFmtId="0" fontId="101" fillId="0" borderId="0" xfId="0" applyFont="1" applyFill="1" applyBorder="1"/>
    <xf numFmtId="0" fontId="101" fillId="0" borderId="0" xfId="0" applyFont="1" applyFill="1"/>
    <xf numFmtId="166" fontId="0" fillId="0" borderId="0" xfId="0" applyNumberFormat="1" applyFont="1" applyFill="1" applyBorder="1" applyAlignment="1">
      <alignment vertical="center"/>
    </xf>
    <xf numFmtId="166" fontId="0" fillId="0" borderId="1" xfId="150" applyNumberFormat="1" applyFont="1" applyFill="1" applyBorder="1" applyAlignment="1">
      <alignment horizontal="left" indent="1"/>
    </xf>
    <xf numFmtId="166" fontId="0" fillId="0" borderId="0" xfId="150" applyNumberFormat="1" applyFont="1" applyFill="1" applyBorder="1" applyAlignment="1">
      <alignment horizontal="left" indent="1"/>
    </xf>
    <xf numFmtId="166" fontId="0" fillId="0" borderId="0" xfId="150" applyNumberFormat="1" applyFont="1" applyFill="1" applyBorder="1"/>
    <xf numFmtId="166" fontId="70" fillId="0" borderId="0" xfId="0" applyNumberFormat="1" applyFont="1" applyFill="1" applyBorder="1"/>
    <xf numFmtId="166" fontId="70" fillId="0" borderId="0" xfId="0" applyNumberFormat="1" applyFont="1" applyFill="1" applyBorder="1" applyAlignment="1">
      <alignment vertical="center"/>
    </xf>
    <xf numFmtId="166" fontId="71" fillId="0" borderId="0" xfId="0" applyNumberFormat="1" applyFont="1" applyFill="1" applyBorder="1"/>
    <xf numFmtId="166" fontId="71" fillId="0" borderId="0" xfId="0" applyNumberFormat="1" applyFont="1" applyFill="1" applyBorder="1" applyAlignment="1">
      <alignment vertical="center"/>
    </xf>
    <xf numFmtId="166" fontId="97" fillId="0" borderId="0" xfId="0" applyNumberFormat="1" applyFont="1" applyFill="1" applyBorder="1" applyAlignment="1">
      <alignment horizontal="right"/>
    </xf>
    <xf numFmtId="166" fontId="97" fillId="0" borderId="0" xfId="0" applyNumberFormat="1" applyFont="1" applyFill="1" applyBorder="1" applyAlignment="1">
      <alignment horizontal="right" vertical="center"/>
    </xf>
    <xf numFmtId="166" fontId="0" fillId="11" borderId="1" xfId="0" applyNumberFormat="1" applyFont="1" applyFill="1" applyBorder="1" applyAlignment="1"/>
    <xf numFmtId="166" fontId="0" fillId="0" borderId="0" xfId="0" applyNumberFormat="1" applyFont="1" applyFill="1" applyBorder="1" applyAlignment="1"/>
    <xf numFmtId="166" fontId="0" fillId="11" borderId="1" xfId="0" applyNumberFormat="1" applyFont="1" applyFill="1" applyBorder="1"/>
    <xf numFmtId="166" fontId="0" fillId="11" borderId="1" xfId="0" applyNumberFormat="1" applyFont="1" applyFill="1" applyBorder="1" applyAlignment="1">
      <alignment horizontal="left"/>
    </xf>
    <xf numFmtId="166" fontId="0" fillId="0" borderId="1" xfId="115" applyNumberFormat="1" applyFont="1" applyFill="1" applyBorder="1"/>
    <xf numFmtId="166" fontId="0" fillId="0" borderId="0" xfId="0" applyNumberFormat="1" applyFont="1" applyFill="1" applyBorder="1" applyAlignment="1">
      <alignment horizontal="right"/>
    </xf>
    <xf numFmtId="166" fontId="0" fillId="0" borderId="0" xfId="0" applyNumberFormat="1" applyFont="1" applyFill="1" applyAlignment="1">
      <alignment horizontal="right"/>
    </xf>
    <xf numFmtId="166" fontId="3" fillId="0" borderId="0" xfId="0" applyNumberFormat="1" applyFont="1" applyFill="1" applyBorder="1" applyAlignment="1">
      <alignment vertical="center"/>
    </xf>
    <xf numFmtId="166" fontId="0" fillId="11" borderId="1" xfId="0" applyNumberFormat="1" applyFont="1" applyFill="1" applyBorder="1" applyAlignment="1">
      <alignment horizontal="left" indent="1"/>
    </xf>
    <xf numFmtId="166" fontId="0" fillId="0" borderId="1" xfId="115" applyNumberFormat="1" applyFont="1" applyFill="1" applyBorder="1" applyAlignment="1">
      <alignment horizontal="left"/>
    </xf>
    <xf numFmtId="166" fontId="0" fillId="0" borderId="0" xfId="115" applyNumberFormat="1" applyFont="1" applyFill="1" applyBorder="1" applyAlignment="1">
      <alignment horizontal="left"/>
    </xf>
    <xf numFmtId="166" fontId="0" fillId="0" borderId="20" xfId="0" applyNumberFormat="1" applyFont="1" applyFill="1" applyBorder="1"/>
    <xf numFmtId="166" fontId="0" fillId="0" borderId="3" xfId="0" applyNumberFormat="1" applyFont="1" applyFill="1" applyBorder="1"/>
    <xf numFmtId="0" fontId="103" fillId="0" borderId="0" xfId="0" applyFont="1" applyFill="1" applyBorder="1" applyAlignment="1">
      <alignment vertical="center"/>
    </xf>
    <xf numFmtId="0" fontId="103" fillId="0" borderId="22" xfId="0" applyFont="1" applyFill="1" applyBorder="1" applyAlignment="1">
      <alignment vertical="center"/>
    </xf>
    <xf numFmtId="168" fontId="103" fillId="0" borderId="0" xfId="55" applyNumberFormat="1" applyFont="1" applyFill="1" applyBorder="1" applyAlignment="1">
      <alignment vertical="center"/>
    </xf>
    <xf numFmtId="168" fontId="103" fillId="0" borderId="22" xfId="55" applyNumberFormat="1" applyFont="1" applyFill="1" applyBorder="1" applyAlignment="1">
      <alignment vertical="center"/>
    </xf>
    <xf numFmtId="168" fontId="103" fillId="11" borderId="0" xfId="55" applyNumberFormat="1" applyFont="1" applyFill="1" applyBorder="1" applyAlignment="1">
      <alignment vertical="center"/>
    </xf>
    <xf numFmtId="0" fontId="103" fillId="0" borderId="1" xfId="0" applyFont="1" applyFill="1" applyBorder="1" applyAlignment="1">
      <alignment vertical="center"/>
    </xf>
    <xf numFmtId="0" fontId="103" fillId="0" borderId="0" xfId="115" applyFont="1" applyFill="1" applyBorder="1" applyAlignment="1">
      <alignment vertical="center"/>
    </xf>
    <xf numFmtId="0" fontId="103" fillId="0" borderId="22" xfId="115" applyFont="1" applyFill="1" applyBorder="1" applyAlignment="1">
      <alignment vertical="center"/>
    </xf>
    <xf numFmtId="166" fontId="103" fillId="0" borderId="0" xfId="150" applyNumberFormat="1" applyFont="1" applyFill="1" applyBorder="1" applyAlignment="1">
      <alignment vertical="center"/>
    </xf>
    <xf numFmtId="166" fontId="103" fillId="0" borderId="22" xfId="150" applyNumberFormat="1" applyFont="1" applyFill="1" applyBorder="1" applyAlignment="1">
      <alignment vertical="center"/>
    </xf>
    <xf numFmtId="166" fontId="103" fillId="0" borderId="1" xfId="150" applyNumberFormat="1" applyFont="1" applyFill="1" applyBorder="1" applyAlignment="1">
      <alignment vertical="center"/>
    </xf>
    <xf numFmtId="168" fontId="103" fillId="0" borderId="0" xfId="69" applyNumberFormat="1" applyFont="1" applyFill="1" applyBorder="1" applyAlignment="1">
      <alignment vertical="center"/>
    </xf>
    <xf numFmtId="168" fontId="103" fillId="0" borderId="22" xfId="69" applyNumberFormat="1" applyFont="1" applyFill="1" applyBorder="1" applyAlignment="1">
      <alignment vertical="center"/>
    </xf>
    <xf numFmtId="166" fontId="103" fillId="0" borderId="0" xfId="69" applyNumberFormat="1" applyFont="1" applyFill="1" applyBorder="1" applyAlignment="1">
      <alignment vertical="center"/>
    </xf>
    <xf numFmtId="166" fontId="103" fillId="0" borderId="22" xfId="69" applyNumberFormat="1" applyFont="1" applyFill="1" applyBorder="1" applyAlignment="1">
      <alignment vertical="center"/>
    </xf>
    <xf numFmtId="170" fontId="103" fillId="0" borderId="0" xfId="0" applyNumberFormat="1" applyFont="1" applyFill="1" applyBorder="1" applyAlignment="1">
      <alignment vertical="center"/>
    </xf>
    <xf numFmtId="170" fontId="103" fillId="0" borderId="22" xfId="0" applyNumberFormat="1" applyFont="1" applyFill="1" applyBorder="1" applyAlignment="1">
      <alignment vertical="center"/>
    </xf>
    <xf numFmtId="170" fontId="103" fillId="0" borderId="0" xfId="69" applyNumberFormat="1" applyFont="1" applyFill="1" applyBorder="1" applyAlignment="1">
      <alignment vertical="center"/>
    </xf>
    <xf numFmtId="170" fontId="103" fillId="0" borderId="1" xfId="0" applyNumberFormat="1" applyFont="1" applyFill="1" applyBorder="1" applyAlignment="1">
      <alignment vertical="center"/>
    </xf>
    <xf numFmtId="0" fontId="103" fillId="0" borderId="3" xfId="0" applyFont="1" applyFill="1" applyBorder="1" applyAlignment="1">
      <alignment vertical="center"/>
    </xf>
    <xf numFmtId="0" fontId="103" fillId="0" borderId="21" xfId="0" applyFont="1" applyFill="1" applyBorder="1" applyAlignment="1">
      <alignment vertical="center"/>
    </xf>
    <xf numFmtId="166" fontId="103" fillId="0" borderId="0" xfId="0" applyNumberFormat="1" applyFont="1" applyFill="1" applyBorder="1" applyAlignment="1">
      <alignment vertical="center"/>
    </xf>
    <xf numFmtId="166" fontId="103" fillId="0" borderId="22" xfId="0" applyNumberFormat="1" applyFont="1" applyFill="1" applyBorder="1" applyAlignment="1">
      <alignment vertical="center"/>
    </xf>
    <xf numFmtId="166" fontId="106" fillId="0" borderId="0" xfId="69" applyNumberFormat="1" applyFont="1" applyFill="1" applyBorder="1" applyAlignment="1">
      <alignment vertical="center"/>
    </xf>
    <xf numFmtId="166" fontId="106" fillId="0" borderId="22" xfId="69" applyNumberFormat="1" applyFont="1" applyFill="1" applyBorder="1" applyAlignment="1">
      <alignment vertical="center"/>
    </xf>
    <xf numFmtId="166" fontId="103" fillId="0" borderId="1" xfId="69" applyNumberFormat="1" applyFont="1" applyFill="1" applyBorder="1" applyAlignment="1">
      <alignment vertical="center"/>
    </xf>
    <xf numFmtId="9" fontId="103" fillId="0" borderId="0" xfId="69" applyNumberFormat="1" applyFont="1" applyFill="1" applyBorder="1" applyAlignment="1">
      <alignment vertical="center"/>
    </xf>
    <xf numFmtId="9" fontId="103" fillId="0" borderId="22" xfId="69" applyNumberFormat="1" applyFont="1" applyFill="1" applyBorder="1" applyAlignment="1">
      <alignment vertical="center"/>
    </xf>
    <xf numFmtId="166" fontId="104" fillId="0" borderId="0" xfId="0" applyNumberFormat="1" applyFont="1" applyFill="1" applyBorder="1" applyAlignment="1">
      <alignment vertical="center"/>
    </xf>
    <xf numFmtId="166" fontId="104" fillId="0" borderId="22" xfId="0" applyNumberFormat="1" applyFont="1" applyFill="1" applyBorder="1" applyAlignment="1">
      <alignment vertical="center"/>
    </xf>
    <xf numFmtId="166" fontId="104" fillId="0" borderId="0" xfId="69" applyNumberFormat="1" applyFont="1" applyFill="1" applyBorder="1" applyAlignment="1">
      <alignment vertical="center"/>
    </xf>
    <xf numFmtId="166" fontId="104" fillId="0" borderId="22" xfId="69" applyNumberFormat="1" applyFont="1" applyFill="1" applyBorder="1" applyAlignment="1">
      <alignment vertical="center"/>
    </xf>
    <xf numFmtId="166" fontId="105" fillId="0" borderId="0" xfId="69" applyNumberFormat="1" applyFont="1" applyFill="1" applyBorder="1" applyAlignment="1">
      <alignment vertical="center"/>
    </xf>
    <xf numFmtId="166" fontId="105" fillId="0" borderId="22" xfId="69" applyNumberFormat="1" applyFont="1" applyFill="1" applyBorder="1" applyAlignment="1">
      <alignment vertical="center"/>
    </xf>
    <xf numFmtId="166" fontId="104" fillId="0" borderId="1" xfId="0" applyNumberFormat="1" applyFont="1" applyFill="1" applyBorder="1" applyAlignment="1">
      <alignment vertical="center"/>
    </xf>
    <xf numFmtId="188" fontId="103" fillId="0" borderId="0" xfId="0" applyNumberFormat="1" applyFont="1" applyFill="1" applyBorder="1" applyAlignment="1">
      <alignment vertical="center"/>
    </xf>
    <xf numFmtId="188" fontId="103" fillId="0" borderId="22" xfId="0" applyNumberFormat="1" applyFont="1" applyFill="1" applyBorder="1" applyAlignment="1">
      <alignment vertical="center"/>
    </xf>
    <xf numFmtId="188" fontId="103" fillId="0" borderId="0" xfId="69" applyNumberFormat="1" applyFont="1" applyFill="1" applyBorder="1" applyAlignment="1">
      <alignment vertical="center"/>
    </xf>
    <xf numFmtId="188" fontId="103" fillId="0" borderId="22" xfId="69" applyNumberFormat="1" applyFont="1" applyFill="1" applyBorder="1" applyAlignment="1">
      <alignment vertical="center"/>
    </xf>
    <xf numFmtId="188" fontId="106" fillId="0" borderId="0" xfId="69" applyNumberFormat="1" applyFont="1" applyFill="1" applyBorder="1" applyAlignment="1">
      <alignment vertical="center"/>
    </xf>
    <xf numFmtId="188" fontId="106" fillId="0" borderId="22" xfId="69" applyNumberFormat="1" applyFont="1" applyFill="1" applyBorder="1" applyAlignment="1">
      <alignment vertical="center"/>
    </xf>
    <xf numFmtId="188" fontId="103" fillId="0" borderId="1" xfId="0" applyNumberFormat="1" applyFont="1" applyFill="1" applyBorder="1" applyAlignment="1">
      <alignment vertical="center"/>
    </xf>
    <xf numFmtId="168" fontId="106" fillId="0" borderId="0" xfId="69" applyNumberFormat="1" applyFont="1" applyFill="1" applyBorder="1" applyAlignment="1">
      <alignment vertical="center"/>
    </xf>
    <xf numFmtId="168" fontId="103" fillId="11" borderId="0" xfId="69" applyNumberFormat="1" applyFont="1" applyFill="1" applyBorder="1" applyAlignment="1">
      <alignment vertical="center"/>
    </xf>
    <xf numFmtId="168" fontId="106" fillId="0" borderId="22" xfId="69" applyNumberFormat="1" applyFont="1" applyFill="1" applyBorder="1" applyAlignment="1">
      <alignment vertical="center"/>
    </xf>
    <xf numFmtId="164" fontId="103" fillId="0" borderId="0" xfId="69" applyNumberFormat="1" applyFont="1" applyFill="1" applyBorder="1" applyAlignment="1">
      <alignment vertical="center"/>
    </xf>
    <xf numFmtId="0" fontId="104" fillId="0" borderId="0" xfId="0" applyFont="1" applyFill="1" applyBorder="1" applyAlignment="1">
      <alignment vertical="center"/>
    </xf>
    <xf numFmtId="0" fontId="104" fillId="0" borderId="22" xfId="0" applyFont="1" applyFill="1" applyBorder="1" applyAlignment="1">
      <alignment vertical="center"/>
    </xf>
    <xf numFmtId="168" fontId="104" fillId="0" borderId="0" xfId="69" applyNumberFormat="1" applyFont="1" applyFill="1" applyBorder="1" applyAlignment="1">
      <alignment vertical="center"/>
    </xf>
    <xf numFmtId="168" fontId="104" fillId="0" borderId="22" xfId="69" applyNumberFormat="1" applyFont="1" applyFill="1" applyBorder="1" applyAlignment="1">
      <alignment vertical="center"/>
    </xf>
    <xf numFmtId="168" fontId="105" fillId="0" borderId="0" xfId="69" applyNumberFormat="1" applyFont="1" applyFill="1" applyBorder="1" applyAlignment="1">
      <alignment vertical="center"/>
    </xf>
    <xf numFmtId="0" fontId="104" fillId="0" borderId="1" xfId="0" applyFont="1" applyFill="1" applyBorder="1" applyAlignment="1">
      <alignment vertical="center"/>
    </xf>
    <xf numFmtId="166" fontId="103" fillId="0" borderId="1" xfId="0" applyNumberFormat="1" applyFont="1" applyFill="1" applyBorder="1" applyAlignment="1">
      <alignment vertical="center"/>
    </xf>
    <xf numFmtId="164" fontId="104" fillId="0" borderId="0" xfId="69" applyNumberFormat="1" applyFont="1" applyFill="1" applyBorder="1" applyAlignment="1">
      <alignment vertical="center"/>
    </xf>
    <xf numFmtId="164" fontId="103" fillId="0" borderId="22" xfId="69" applyNumberFormat="1" applyFont="1" applyFill="1" applyBorder="1" applyAlignment="1">
      <alignment vertical="center"/>
    </xf>
    <xf numFmtId="164" fontId="103" fillId="0" borderId="22" xfId="0" applyNumberFormat="1" applyFont="1" applyFill="1" applyBorder="1" applyAlignment="1">
      <alignment vertical="center"/>
    </xf>
    <xf numFmtId="164" fontId="103" fillId="0" borderId="1" xfId="69" applyNumberFormat="1" applyFont="1" applyFill="1" applyBorder="1" applyAlignment="1">
      <alignment vertical="center"/>
    </xf>
    <xf numFmtId="166" fontId="106" fillId="0" borderId="1" xfId="69" applyNumberFormat="1" applyFont="1" applyFill="1" applyBorder="1" applyAlignment="1">
      <alignment vertical="center"/>
    </xf>
    <xf numFmtId="167" fontId="103" fillId="0" borderId="0" xfId="69" applyNumberFormat="1" applyFont="1" applyFill="1" applyBorder="1" applyAlignment="1">
      <alignment vertical="center"/>
    </xf>
    <xf numFmtId="166" fontId="106" fillId="0" borderId="0" xfId="115" applyNumberFormat="1" applyFont="1" applyFill="1" applyBorder="1" applyAlignment="1">
      <alignment vertical="center"/>
    </xf>
    <xf numFmtId="166" fontId="103" fillId="0" borderId="0" xfId="115" applyNumberFormat="1" applyFont="1" applyFill="1" applyBorder="1" applyAlignment="1">
      <alignment vertical="center"/>
    </xf>
    <xf numFmtId="164" fontId="103" fillId="0" borderId="0" xfId="115" applyNumberFormat="1" applyFont="1" applyFill="1" applyBorder="1" applyAlignment="1">
      <alignment vertical="center"/>
    </xf>
    <xf numFmtId="164" fontId="103" fillId="0" borderId="22" xfId="115" applyNumberFormat="1" applyFont="1" applyFill="1" applyBorder="1" applyAlignment="1">
      <alignment vertical="center"/>
    </xf>
    <xf numFmtId="168" fontId="103" fillId="0" borderId="1" xfId="69" applyNumberFormat="1" applyFont="1" applyFill="1" applyBorder="1" applyAlignment="1">
      <alignment vertical="center"/>
    </xf>
    <xf numFmtId="43" fontId="103" fillId="0" borderId="0" xfId="69" applyNumberFormat="1" applyFont="1" applyFill="1" applyBorder="1" applyAlignment="1">
      <alignment vertical="center"/>
    </xf>
    <xf numFmtId="166" fontId="103" fillId="11" borderId="0" xfId="69" applyNumberFormat="1" applyFont="1" applyFill="1" applyBorder="1" applyAlignment="1">
      <alignment vertical="center"/>
    </xf>
    <xf numFmtId="166" fontId="106" fillId="11" borderId="0" xfId="69" applyNumberFormat="1" applyFont="1" applyFill="1" applyBorder="1" applyAlignment="1">
      <alignment vertical="center"/>
    </xf>
    <xf numFmtId="166" fontId="103" fillId="0" borderId="22" xfId="115" applyNumberFormat="1" applyFont="1" applyFill="1" applyBorder="1" applyAlignment="1">
      <alignment vertical="center"/>
    </xf>
    <xf numFmtId="188" fontId="103" fillId="0" borderId="1" xfId="69" applyNumberFormat="1" applyFont="1" applyFill="1" applyBorder="1" applyAlignment="1">
      <alignment vertical="center"/>
    </xf>
    <xf numFmtId="176" fontId="103" fillId="0" borderId="0" xfId="69" applyNumberFormat="1" applyFont="1" applyFill="1" applyBorder="1" applyAlignment="1">
      <alignment vertical="center"/>
    </xf>
    <xf numFmtId="176" fontId="103" fillId="0" borderId="22" xfId="69" applyNumberFormat="1" applyFont="1" applyFill="1" applyBorder="1" applyAlignment="1">
      <alignment vertical="center"/>
    </xf>
    <xf numFmtId="169" fontId="103" fillId="0" borderId="0" xfId="69" applyNumberFormat="1" applyFont="1" applyFill="1" applyBorder="1" applyAlignment="1">
      <alignment vertical="center"/>
    </xf>
    <xf numFmtId="168" fontId="104" fillId="0" borderId="22" xfId="55" applyNumberFormat="1" applyFont="1" applyFill="1" applyBorder="1" applyAlignment="1">
      <alignment vertical="center"/>
    </xf>
    <xf numFmtId="168" fontId="104" fillId="0" borderId="0" xfId="55" applyNumberFormat="1" applyFont="1" applyFill="1" applyBorder="1" applyAlignment="1">
      <alignment vertical="center"/>
    </xf>
    <xf numFmtId="168" fontId="106" fillId="0" borderId="22" xfId="55" applyNumberFormat="1" applyFont="1" applyFill="1" applyBorder="1" applyAlignment="1">
      <alignment vertical="center"/>
    </xf>
    <xf numFmtId="168" fontId="103" fillId="0" borderId="1" xfId="55" applyNumberFormat="1" applyFont="1" applyFill="1" applyBorder="1" applyAlignment="1">
      <alignment vertical="center"/>
    </xf>
    <xf numFmtId="166" fontId="106" fillId="0" borderId="0" xfId="55" applyNumberFormat="1" applyFont="1" applyFill="1" applyBorder="1" applyAlignment="1">
      <alignment vertical="center"/>
    </xf>
    <xf numFmtId="166" fontId="106" fillId="0" borderId="22" xfId="55" applyNumberFormat="1" applyFont="1" applyFill="1" applyBorder="1" applyAlignment="1">
      <alignment vertical="center"/>
    </xf>
    <xf numFmtId="166" fontId="103" fillId="0" borderId="0" xfId="55" applyNumberFormat="1" applyFont="1" applyFill="1" applyBorder="1" applyAlignment="1">
      <alignment vertical="center"/>
    </xf>
    <xf numFmtId="179" fontId="103" fillId="0" borderId="0" xfId="69" applyNumberFormat="1" applyFont="1" applyFill="1" applyBorder="1" applyAlignment="1">
      <alignment vertical="center"/>
    </xf>
    <xf numFmtId="179" fontId="103" fillId="0" borderId="22" xfId="69" applyNumberFormat="1" applyFont="1" applyFill="1" applyBorder="1" applyAlignment="1">
      <alignment vertical="center"/>
    </xf>
    <xf numFmtId="179" fontId="106" fillId="0" borderId="0" xfId="69" applyNumberFormat="1" applyFont="1" applyFill="1" applyBorder="1" applyAlignment="1">
      <alignment vertical="center"/>
    </xf>
    <xf numFmtId="179" fontId="106" fillId="0" borderId="22" xfId="69" applyNumberFormat="1" applyFont="1" applyFill="1" applyBorder="1" applyAlignment="1">
      <alignment vertical="center"/>
    </xf>
    <xf numFmtId="168" fontId="103" fillId="0" borderId="22" xfId="0" applyNumberFormat="1" applyFont="1" applyFill="1" applyBorder="1" applyAlignment="1">
      <alignment vertical="center"/>
    </xf>
    <xf numFmtId="170" fontId="103" fillId="0" borderId="0" xfId="115" applyNumberFormat="1" applyFont="1" applyFill="1" applyBorder="1" applyAlignment="1">
      <alignment vertical="center"/>
    </xf>
    <xf numFmtId="167" fontId="104" fillId="0" borderId="0" xfId="0" applyNumberFormat="1" applyFont="1" applyFill="1" applyBorder="1" applyAlignment="1">
      <alignment vertical="center"/>
    </xf>
    <xf numFmtId="167" fontId="104" fillId="0" borderId="0" xfId="69" applyNumberFormat="1" applyFont="1" applyFill="1" applyBorder="1" applyAlignment="1">
      <alignment vertical="center"/>
    </xf>
    <xf numFmtId="167" fontId="105" fillId="0" borderId="0" xfId="69" applyNumberFormat="1" applyFont="1" applyFill="1" applyBorder="1" applyAlignment="1">
      <alignment vertical="center"/>
    </xf>
    <xf numFmtId="167" fontId="104" fillId="0" borderId="1" xfId="0" applyNumberFormat="1" applyFont="1" applyFill="1" applyBorder="1" applyAlignment="1">
      <alignment vertical="center"/>
    </xf>
    <xf numFmtId="167" fontId="103" fillId="0" borderId="0" xfId="0" applyNumberFormat="1" applyFont="1" applyFill="1" applyBorder="1" applyAlignment="1">
      <alignment vertical="center"/>
    </xf>
    <xf numFmtId="167" fontId="103" fillId="0" borderId="22" xfId="0" applyNumberFormat="1" applyFont="1" applyFill="1" applyBorder="1" applyAlignment="1">
      <alignment vertical="center"/>
    </xf>
    <xf numFmtId="167" fontId="103" fillId="0" borderId="22" xfId="69" applyNumberFormat="1" applyFont="1" applyFill="1" applyBorder="1" applyAlignment="1">
      <alignment vertical="center"/>
    </xf>
    <xf numFmtId="167" fontId="103" fillId="0" borderId="0" xfId="115" applyNumberFormat="1" applyFont="1" applyFill="1" applyBorder="1" applyAlignment="1">
      <alignment vertical="center"/>
    </xf>
    <xf numFmtId="167" fontId="106" fillId="0" borderId="0" xfId="69" applyNumberFormat="1" applyFont="1" applyFill="1" applyBorder="1" applyAlignment="1">
      <alignment vertical="center"/>
    </xf>
    <xf numFmtId="170" fontId="104" fillId="0" borderId="0" xfId="0" applyNumberFormat="1" applyFont="1" applyFill="1" applyBorder="1" applyAlignment="1">
      <alignment vertical="center"/>
    </xf>
    <xf numFmtId="170" fontId="104" fillId="0" borderId="22" xfId="0" applyNumberFormat="1" applyFont="1" applyFill="1" applyBorder="1" applyAlignment="1">
      <alignment vertical="center"/>
    </xf>
    <xf numFmtId="9" fontId="104" fillId="0" borderId="0" xfId="69" applyNumberFormat="1" applyFont="1" applyFill="1" applyBorder="1" applyAlignment="1">
      <alignment vertical="center"/>
    </xf>
    <xf numFmtId="170" fontId="104" fillId="0" borderId="1" xfId="0" applyNumberFormat="1" applyFont="1" applyFill="1" applyBorder="1" applyAlignment="1">
      <alignment vertical="center"/>
    </xf>
    <xf numFmtId="166" fontId="104" fillId="0" borderId="0" xfId="115" applyNumberFormat="1" applyFont="1" applyFill="1" applyBorder="1" applyAlignment="1">
      <alignment vertical="center"/>
    </xf>
    <xf numFmtId="170" fontId="104" fillId="0" borderId="0" xfId="115" applyNumberFormat="1" applyFont="1" applyFill="1" applyBorder="1" applyAlignment="1">
      <alignment vertical="center"/>
    </xf>
    <xf numFmtId="8" fontId="103" fillId="0" borderId="0" xfId="0" applyNumberFormat="1" applyFont="1" applyFill="1" applyBorder="1" applyAlignment="1">
      <alignment vertical="center"/>
    </xf>
    <xf numFmtId="7" fontId="103" fillId="0" borderId="0" xfId="115" applyNumberFormat="1" applyFont="1" applyFill="1" applyBorder="1" applyAlignment="1">
      <alignment vertical="center"/>
    </xf>
    <xf numFmtId="180" fontId="103" fillId="0" borderId="0" xfId="115" applyNumberFormat="1" applyFont="1" applyFill="1" applyBorder="1" applyAlignment="1">
      <alignment vertical="center"/>
    </xf>
    <xf numFmtId="172" fontId="103" fillId="0" borderId="0" xfId="0" applyNumberFormat="1" applyFont="1" applyFill="1" applyBorder="1" applyAlignment="1">
      <alignment vertical="center"/>
    </xf>
    <xf numFmtId="172" fontId="103" fillId="0" borderId="22" xfId="0" applyNumberFormat="1" applyFont="1" applyFill="1" applyBorder="1" applyAlignment="1">
      <alignment vertical="center"/>
    </xf>
    <xf numFmtId="172" fontId="103" fillId="11" borderId="0" xfId="69" applyNumberFormat="1" applyFont="1" applyFill="1" applyBorder="1" applyAlignment="1">
      <alignment vertical="center"/>
    </xf>
    <xf numFmtId="172" fontId="103" fillId="11" borderId="22" xfId="69" applyNumberFormat="1" applyFont="1" applyFill="1" applyBorder="1" applyAlignment="1">
      <alignment vertical="center"/>
    </xf>
    <xf numFmtId="172" fontId="103" fillId="0" borderId="0" xfId="69" applyNumberFormat="1" applyFont="1" applyFill="1" applyBorder="1" applyAlignment="1">
      <alignment vertical="center"/>
    </xf>
    <xf numFmtId="172" fontId="106" fillId="0" borderId="0" xfId="69" applyNumberFormat="1" applyFont="1" applyFill="1" applyBorder="1" applyAlignment="1">
      <alignment vertical="center"/>
    </xf>
    <xf numFmtId="181" fontId="106" fillId="0" borderId="0" xfId="69" applyNumberFormat="1" applyFont="1" applyFill="1" applyBorder="1" applyAlignment="1">
      <alignment vertical="center"/>
    </xf>
    <xf numFmtId="181" fontId="106" fillId="0" borderId="22" xfId="69" applyNumberFormat="1" applyFont="1" applyFill="1" applyBorder="1" applyAlignment="1">
      <alignment vertical="center"/>
    </xf>
    <xf numFmtId="172" fontId="103" fillId="0" borderId="1" xfId="0" applyNumberFormat="1" applyFont="1" applyFill="1" applyBorder="1" applyAlignment="1">
      <alignment vertical="center"/>
    </xf>
    <xf numFmtId="169" fontId="103" fillId="0" borderId="0" xfId="115" applyNumberFormat="1" applyFont="1" applyFill="1" applyBorder="1" applyAlignment="1">
      <alignment vertical="center"/>
    </xf>
    <xf numFmtId="168" fontId="104" fillId="11" borderId="0" xfId="69" applyNumberFormat="1" applyFont="1" applyFill="1" applyBorder="1" applyAlignment="1">
      <alignment vertical="center"/>
    </xf>
    <xf numFmtId="0" fontId="104" fillId="0" borderId="0" xfId="115" applyFont="1" applyFill="1" applyBorder="1" applyAlignment="1">
      <alignment vertical="center"/>
    </xf>
    <xf numFmtId="0" fontId="104" fillId="0" borderId="22" xfId="115" applyFont="1" applyFill="1" applyBorder="1" applyAlignment="1">
      <alignment vertical="center"/>
    </xf>
    <xf numFmtId="166" fontId="107" fillId="0" borderId="22" xfId="0" applyNumberFormat="1" applyFont="1" applyFill="1" applyBorder="1" applyAlignment="1">
      <alignment vertical="center"/>
    </xf>
    <xf numFmtId="164" fontId="104" fillId="0" borderId="0" xfId="0" applyNumberFormat="1" applyFont="1" applyFill="1" applyBorder="1" applyAlignment="1">
      <alignment vertical="center"/>
    </xf>
    <xf numFmtId="164" fontId="104" fillId="0" borderId="22" xfId="0" applyNumberFormat="1" applyFont="1" applyFill="1" applyBorder="1" applyAlignment="1">
      <alignment vertical="center"/>
    </xf>
    <xf numFmtId="164" fontId="104" fillId="0" borderId="22" xfId="69" applyNumberFormat="1" applyFont="1" applyFill="1" applyBorder="1" applyAlignment="1">
      <alignment vertical="center"/>
    </xf>
    <xf numFmtId="176" fontId="104" fillId="0" borderId="0" xfId="69" applyNumberFormat="1" applyFont="1" applyFill="1" applyBorder="1" applyAlignment="1">
      <alignment vertical="center"/>
    </xf>
    <xf numFmtId="176" fontId="104" fillId="0" borderId="22" xfId="69" applyNumberFormat="1" applyFont="1" applyFill="1" applyBorder="1" applyAlignment="1">
      <alignment vertical="center"/>
    </xf>
    <xf numFmtId="43" fontId="104" fillId="0" borderId="0" xfId="115" applyNumberFormat="1" applyFont="1" applyFill="1" applyBorder="1" applyAlignment="1">
      <alignment vertical="center"/>
    </xf>
    <xf numFmtId="164" fontId="104" fillId="0" borderId="1" xfId="0" applyNumberFormat="1" applyFont="1" applyFill="1" applyBorder="1" applyAlignment="1">
      <alignment vertical="center"/>
    </xf>
    <xf numFmtId="164" fontId="103" fillId="0" borderId="0" xfId="0" applyNumberFormat="1" applyFont="1" applyFill="1" applyBorder="1" applyAlignment="1">
      <alignment vertical="center"/>
    </xf>
    <xf numFmtId="164" fontId="103" fillId="0" borderId="1" xfId="0" applyNumberFormat="1" applyFont="1" applyFill="1" applyBorder="1" applyAlignment="1">
      <alignment vertical="center"/>
    </xf>
    <xf numFmtId="9" fontId="103" fillId="0" borderId="0" xfId="150" applyFont="1" applyFill="1" applyBorder="1" applyAlignment="1">
      <alignment vertical="center"/>
    </xf>
    <xf numFmtId="175" fontId="103" fillId="0" borderId="22" xfId="69" applyNumberFormat="1" applyFont="1" applyFill="1" applyBorder="1" applyAlignment="1">
      <alignment vertical="center"/>
    </xf>
    <xf numFmtId="175" fontId="103" fillId="0" borderId="0" xfId="69" applyNumberFormat="1" applyFont="1" applyFill="1" applyBorder="1" applyAlignment="1">
      <alignment vertical="center"/>
    </xf>
    <xf numFmtId="9" fontId="104" fillId="0" borderId="0" xfId="150" applyFont="1" applyFill="1" applyBorder="1" applyAlignment="1">
      <alignment vertical="center"/>
    </xf>
    <xf numFmtId="166" fontId="106" fillId="0" borderId="0" xfId="150" applyNumberFormat="1" applyFont="1" applyFill="1" applyBorder="1" applyAlignment="1">
      <alignment vertical="center"/>
    </xf>
    <xf numFmtId="166" fontId="106" fillId="0" borderId="22" xfId="150" applyNumberFormat="1" applyFont="1" applyFill="1" applyBorder="1" applyAlignment="1">
      <alignment vertical="center"/>
    </xf>
    <xf numFmtId="168" fontId="103" fillId="0" borderId="0" xfId="115" applyNumberFormat="1" applyFont="1" applyFill="1" applyBorder="1" applyAlignment="1">
      <alignment vertical="center"/>
    </xf>
    <xf numFmtId="168" fontId="108" fillId="0" borderId="0" xfId="69" applyNumberFormat="1" applyFont="1" applyFill="1" applyBorder="1" applyAlignment="1">
      <alignment vertical="center"/>
    </xf>
    <xf numFmtId="168" fontId="108" fillId="0" borderId="22" xfId="69" applyNumberFormat="1" applyFont="1" applyFill="1" applyBorder="1" applyAlignment="1">
      <alignment vertical="center"/>
    </xf>
    <xf numFmtId="0" fontId="108" fillId="0" borderId="0" xfId="69" applyNumberFormat="1" applyFont="1" applyFill="1" applyBorder="1" applyAlignment="1">
      <alignment vertical="center"/>
    </xf>
    <xf numFmtId="0" fontId="108" fillId="0" borderId="22" xfId="69" applyNumberFormat="1" applyFont="1" applyFill="1" applyBorder="1" applyAlignment="1">
      <alignment vertical="center"/>
    </xf>
    <xf numFmtId="3" fontId="103" fillId="0" borderId="0" xfId="69" applyNumberFormat="1" applyFont="1" applyFill="1" applyBorder="1" applyAlignment="1">
      <alignment vertical="center"/>
    </xf>
    <xf numFmtId="168" fontId="108" fillId="0" borderId="1" xfId="69" quotePrefix="1" applyNumberFormat="1" applyFont="1" applyFill="1" applyBorder="1" applyAlignment="1">
      <alignment vertical="center"/>
    </xf>
    <xf numFmtId="168" fontId="108" fillId="0" borderId="0" xfId="69" quotePrefix="1" applyNumberFormat="1" applyFont="1" applyFill="1" applyBorder="1" applyAlignment="1">
      <alignment vertical="center"/>
    </xf>
    <xf numFmtId="0" fontId="108" fillId="0" borderId="0" xfId="69" quotePrefix="1" applyNumberFormat="1" applyFont="1" applyFill="1" applyBorder="1" applyAlignment="1">
      <alignment vertical="center"/>
    </xf>
    <xf numFmtId="176" fontId="103" fillId="0" borderId="22" xfId="0" applyNumberFormat="1" applyFont="1" applyFill="1" applyBorder="1" applyAlignment="1">
      <alignment vertical="center"/>
    </xf>
    <xf numFmtId="183" fontId="103" fillId="0" borderId="0" xfId="69" applyNumberFormat="1" applyFont="1" applyFill="1" applyBorder="1" applyAlignment="1">
      <alignment vertical="center"/>
    </xf>
    <xf numFmtId="183" fontId="103" fillId="0" borderId="22" xfId="69" applyNumberFormat="1" applyFont="1" applyFill="1" applyBorder="1" applyAlignment="1">
      <alignment vertical="center"/>
    </xf>
    <xf numFmtId="166" fontId="108" fillId="0" borderId="0" xfId="69" applyNumberFormat="1" applyFont="1" applyFill="1" applyBorder="1" applyAlignment="1">
      <alignment vertical="center"/>
    </xf>
    <xf numFmtId="166" fontId="108" fillId="0" borderId="22" xfId="69" applyNumberFormat="1" applyFont="1" applyFill="1" applyBorder="1" applyAlignment="1">
      <alignment vertical="center"/>
    </xf>
    <xf numFmtId="166" fontId="103" fillId="18" borderId="0" xfId="69" applyNumberFormat="1" applyFont="1" applyFill="1" applyBorder="1" applyAlignment="1">
      <alignment vertical="center"/>
    </xf>
    <xf numFmtId="166" fontId="103" fillId="18" borderId="22" xfId="69" applyNumberFormat="1" applyFont="1" applyFill="1" applyBorder="1" applyAlignment="1">
      <alignment vertical="center"/>
    </xf>
    <xf numFmtId="177" fontId="103" fillId="0" borderId="0" xfId="69" applyNumberFormat="1" applyFont="1" applyFill="1" applyBorder="1" applyAlignment="1">
      <alignment vertical="center"/>
    </xf>
    <xf numFmtId="177" fontId="103" fillId="0" borderId="22" xfId="69" applyNumberFormat="1" applyFont="1" applyFill="1" applyBorder="1" applyAlignment="1">
      <alignment vertical="center"/>
    </xf>
    <xf numFmtId="179" fontId="105" fillId="0" borderId="0" xfId="69" applyNumberFormat="1" applyFont="1" applyFill="1" applyBorder="1" applyAlignment="1">
      <alignment vertical="center"/>
    </xf>
    <xf numFmtId="179" fontId="105" fillId="0" borderId="22" xfId="69" applyNumberFormat="1" applyFont="1" applyFill="1" applyBorder="1" applyAlignment="1">
      <alignment vertical="center"/>
    </xf>
    <xf numFmtId="168" fontId="103" fillId="0" borderId="0" xfId="69" quotePrefix="1" applyNumberFormat="1" applyFont="1" applyFill="1" applyBorder="1" applyAlignment="1">
      <alignment vertical="center"/>
    </xf>
    <xf numFmtId="174" fontId="103" fillId="0" borderId="22" xfId="0" applyNumberFormat="1" applyFont="1" applyFill="1" applyBorder="1" applyAlignment="1">
      <alignment vertical="center"/>
    </xf>
    <xf numFmtId="164" fontId="106" fillId="0" borderId="22" xfId="150" applyNumberFormat="1" applyFont="1" applyFill="1" applyBorder="1" applyAlignment="1">
      <alignment vertical="center"/>
    </xf>
    <xf numFmtId="164" fontId="103" fillId="0" borderId="0" xfId="55" applyNumberFormat="1" applyFont="1" applyFill="1" applyBorder="1" applyAlignment="1">
      <alignment vertical="center"/>
    </xf>
    <xf numFmtId="164" fontId="103" fillId="0" borderId="22" xfId="55" applyNumberFormat="1" applyFont="1" applyFill="1" applyBorder="1" applyAlignment="1">
      <alignment vertical="center"/>
    </xf>
    <xf numFmtId="166" fontId="103" fillId="0" borderId="22" xfId="55" applyNumberFormat="1" applyFont="1" applyFill="1" applyBorder="1" applyAlignment="1">
      <alignment vertical="center"/>
    </xf>
    <xf numFmtId="164" fontId="104" fillId="0" borderId="0" xfId="55" applyNumberFormat="1" applyFont="1" applyFill="1" applyBorder="1" applyAlignment="1">
      <alignment vertical="center"/>
    </xf>
    <xf numFmtId="164" fontId="104" fillId="0" borderId="22" xfId="55" applyNumberFormat="1" applyFont="1" applyFill="1" applyBorder="1" applyAlignment="1">
      <alignment vertical="center"/>
    </xf>
    <xf numFmtId="166" fontId="104" fillId="0" borderId="0" xfId="55" applyNumberFormat="1" applyFont="1" applyFill="1" applyBorder="1" applyAlignment="1">
      <alignment vertical="center"/>
    </xf>
    <xf numFmtId="166" fontId="104" fillId="0" borderId="22" xfId="55" applyNumberFormat="1" applyFont="1" applyFill="1" applyBorder="1" applyAlignment="1">
      <alignment vertical="center"/>
    </xf>
    <xf numFmtId="168" fontId="104" fillId="17" borderId="0" xfId="55" applyNumberFormat="1" applyFont="1" applyFill="1" applyBorder="1" applyAlignment="1">
      <alignment vertical="center"/>
    </xf>
    <xf numFmtId="168" fontId="104" fillId="17" borderId="22" xfId="55" applyNumberFormat="1" applyFont="1" applyFill="1" applyBorder="1" applyAlignment="1">
      <alignment vertical="center"/>
    </xf>
    <xf numFmtId="166" fontId="104" fillId="17" borderId="22" xfId="55" applyNumberFormat="1" applyFont="1" applyFill="1" applyBorder="1" applyAlignment="1">
      <alignment vertical="center"/>
    </xf>
    <xf numFmtId="164" fontId="104" fillId="17" borderId="22" xfId="0" applyNumberFormat="1" applyFont="1" applyFill="1" applyBorder="1" applyAlignment="1">
      <alignment vertical="center"/>
    </xf>
    <xf numFmtId="168" fontId="104" fillId="17" borderId="1" xfId="55" applyNumberFormat="1" applyFont="1" applyFill="1" applyBorder="1" applyAlignment="1">
      <alignment vertical="center"/>
    </xf>
    <xf numFmtId="188" fontId="103" fillId="0" borderId="0" xfId="55" applyNumberFormat="1" applyFont="1" applyFill="1" applyBorder="1" applyAlignment="1">
      <alignment vertical="center"/>
    </xf>
    <xf numFmtId="188" fontId="103" fillId="0" borderId="22" xfId="55" applyNumberFormat="1" applyFont="1" applyFill="1" applyBorder="1" applyAlignment="1">
      <alignment vertical="center"/>
    </xf>
    <xf numFmtId="188" fontId="106" fillId="0" borderId="0" xfId="55" applyNumberFormat="1" applyFont="1" applyFill="1" applyBorder="1" applyAlignment="1">
      <alignment vertical="center"/>
    </xf>
    <xf numFmtId="188" fontId="106" fillId="0" borderId="22" xfId="55" applyNumberFormat="1" applyFont="1" applyFill="1" applyBorder="1" applyAlignment="1">
      <alignment vertical="center"/>
    </xf>
    <xf numFmtId="176" fontId="103" fillId="0" borderId="0" xfId="55" applyNumberFormat="1" applyFont="1" applyFill="1" applyBorder="1" applyAlignment="1">
      <alignment vertical="center"/>
    </xf>
    <xf numFmtId="176" fontId="103" fillId="0" borderId="22" xfId="55" applyNumberFormat="1" applyFont="1" applyFill="1" applyBorder="1" applyAlignment="1">
      <alignment vertical="center"/>
    </xf>
    <xf numFmtId="43" fontId="103" fillId="0" borderId="0" xfId="55" applyNumberFormat="1" applyFont="1" applyFill="1" applyBorder="1" applyAlignment="1">
      <alignment vertical="center"/>
    </xf>
    <xf numFmtId="166" fontId="103" fillId="18" borderId="22" xfId="55" applyNumberFormat="1" applyFont="1" applyFill="1" applyBorder="1" applyAlignment="1">
      <alignment vertical="center"/>
    </xf>
    <xf numFmtId="168" fontId="104" fillId="11" borderId="0" xfId="55" applyNumberFormat="1" applyFont="1" applyFill="1" applyBorder="1" applyAlignment="1">
      <alignment vertical="center"/>
    </xf>
    <xf numFmtId="170" fontId="104" fillId="0" borderId="0" xfId="55" applyNumberFormat="1" applyFont="1" applyFill="1" applyBorder="1" applyAlignment="1">
      <alignment vertical="center"/>
    </xf>
    <xf numFmtId="170" fontId="104" fillId="0" borderId="22" xfId="55" applyNumberFormat="1" applyFont="1" applyFill="1" applyBorder="1" applyAlignment="1">
      <alignment vertical="center"/>
    </xf>
    <xf numFmtId="170" fontId="105" fillId="0" borderId="0" xfId="0" applyNumberFormat="1" applyFont="1" applyFill="1" applyBorder="1" applyAlignment="1">
      <alignment vertical="center"/>
    </xf>
    <xf numFmtId="170" fontId="103" fillId="0" borderId="0" xfId="55" applyNumberFormat="1" applyFont="1" applyFill="1" applyBorder="1" applyAlignment="1">
      <alignment vertical="center"/>
    </xf>
    <xf numFmtId="170" fontId="106" fillId="0" borderId="0" xfId="55" applyNumberFormat="1" applyFont="1" applyFill="1" applyBorder="1" applyAlignment="1">
      <alignment vertical="center"/>
    </xf>
    <xf numFmtId="170" fontId="106" fillId="0" borderId="22" xfId="55" applyNumberFormat="1" applyFont="1" applyFill="1" applyBorder="1" applyAlignment="1">
      <alignment vertical="center"/>
    </xf>
    <xf numFmtId="170" fontId="103" fillId="0" borderId="22" xfId="55" applyNumberFormat="1" applyFont="1" applyFill="1" applyBorder="1" applyAlignment="1">
      <alignment vertical="center"/>
    </xf>
    <xf numFmtId="170" fontId="105" fillId="0" borderId="0" xfId="55" applyNumberFormat="1" applyFont="1" applyFill="1" applyBorder="1" applyAlignment="1">
      <alignment vertical="center"/>
    </xf>
    <xf numFmtId="170" fontId="105" fillId="0" borderId="22" xfId="55" applyNumberFormat="1" applyFont="1" applyFill="1" applyBorder="1" applyAlignment="1">
      <alignment vertical="center"/>
    </xf>
    <xf numFmtId="166" fontId="106" fillId="0" borderId="22" xfId="115" applyNumberFormat="1" applyFont="1" applyFill="1" applyBorder="1" applyAlignment="1">
      <alignment vertical="center"/>
    </xf>
    <xf numFmtId="166" fontId="103" fillId="11" borderId="0" xfId="55" applyNumberFormat="1" applyFont="1" applyFill="1" applyBorder="1" applyAlignment="1">
      <alignment vertical="center"/>
    </xf>
    <xf numFmtId="168" fontId="103" fillId="0" borderId="22" xfId="115" applyNumberFormat="1" applyFont="1" applyFill="1" applyBorder="1" applyAlignment="1">
      <alignment vertical="center"/>
    </xf>
    <xf numFmtId="0" fontId="101" fillId="0" borderId="0" xfId="0" applyFont="1" applyFill="1" applyBorder="1" applyAlignment="1">
      <alignment vertical="center"/>
    </xf>
    <xf numFmtId="0" fontId="101" fillId="0" borderId="22" xfId="0" applyFont="1" applyFill="1" applyBorder="1" applyAlignment="1">
      <alignment vertical="center"/>
    </xf>
    <xf numFmtId="168" fontId="101" fillId="0" borderId="0" xfId="55" applyNumberFormat="1" applyFont="1" applyFill="1" applyBorder="1" applyAlignment="1">
      <alignment vertical="center"/>
    </xf>
    <xf numFmtId="168" fontId="101" fillId="0" borderId="22" xfId="55" applyNumberFormat="1" applyFont="1" applyFill="1" applyBorder="1" applyAlignment="1">
      <alignment vertical="center"/>
    </xf>
    <xf numFmtId="168" fontId="101" fillId="11" borderId="0" xfId="55" applyNumberFormat="1" applyFont="1" applyFill="1" applyBorder="1" applyAlignment="1">
      <alignment vertical="center"/>
    </xf>
    <xf numFmtId="170" fontId="101" fillId="0" borderId="0" xfId="55" applyNumberFormat="1" applyFont="1" applyFill="1" applyBorder="1" applyAlignment="1">
      <alignment vertical="center"/>
    </xf>
    <xf numFmtId="170" fontId="101" fillId="0" borderId="22" xfId="55" applyNumberFormat="1" applyFont="1" applyFill="1" applyBorder="1" applyAlignment="1">
      <alignment vertical="center"/>
    </xf>
    <xf numFmtId="0" fontId="101" fillId="0" borderId="1" xfId="0" applyFont="1" applyFill="1" applyBorder="1" applyAlignment="1">
      <alignment vertical="center"/>
    </xf>
    <xf numFmtId="179" fontId="103" fillId="0" borderId="3" xfId="55" applyNumberFormat="1" applyFont="1" applyFill="1" applyBorder="1" applyAlignment="1">
      <alignment vertical="center"/>
    </xf>
    <xf numFmtId="179" fontId="106" fillId="0" borderId="3" xfId="55" applyNumberFormat="1" applyFont="1" applyFill="1" applyBorder="1" applyAlignment="1">
      <alignment vertical="center"/>
    </xf>
    <xf numFmtId="179" fontId="106" fillId="0" borderId="21" xfId="55" applyNumberFormat="1" applyFont="1" applyFill="1" applyBorder="1" applyAlignment="1">
      <alignment vertical="center"/>
    </xf>
    <xf numFmtId="179" fontId="105" fillId="0" borderId="0" xfId="55" applyNumberFormat="1" applyFont="1" applyFill="1" applyBorder="1" applyAlignment="1">
      <alignment vertical="center"/>
    </xf>
    <xf numFmtId="179" fontId="105" fillId="0" borderId="22" xfId="55" applyNumberFormat="1" applyFont="1" applyFill="1" applyBorder="1" applyAlignment="1">
      <alignment vertical="center"/>
    </xf>
    <xf numFmtId="179" fontId="103" fillId="0" borderId="0" xfId="55" applyNumberFormat="1" applyFont="1" applyFill="1" applyBorder="1" applyAlignment="1">
      <alignment vertical="center"/>
    </xf>
    <xf numFmtId="179" fontId="106" fillId="0" borderId="0" xfId="55" applyNumberFormat="1" applyFont="1" applyFill="1" applyBorder="1" applyAlignment="1">
      <alignment vertical="center"/>
    </xf>
    <xf numFmtId="166" fontId="103" fillId="0" borderId="3" xfId="0" applyNumberFormat="1" applyFont="1" applyFill="1" applyBorder="1" applyAlignment="1">
      <alignment vertical="center"/>
    </xf>
    <xf numFmtId="166" fontId="103" fillId="0" borderId="21" xfId="0" applyNumberFormat="1" applyFont="1" applyFill="1" applyBorder="1" applyAlignment="1">
      <alignment vertical="center"/>
    </xf>
    <xf numFmtId="166" fontId="103" fillId="0" borderId="3" xfId="55" applyNumberFormat="1" applyFont="1" applyFill="1" applyBorder="1" applyAlignment="1">
      <alignment vertical="center"/>
    </xf>
    <xf numFmtId="166" fontId="103" fillId="0" borderId="21" xfId="55" applyNumberFormat="1" applyFont="1" applyFill="1" applyBorder="1" applyAlignment="1">
      <alignment vertical="center"/>
    </xf>
    <xf numFmtId="166" fontId="106" fillId="0" borderId="3" xfId="55" applyNumberFormat="1" applyFont="1" applyFill="1" applyBorder="1" applyAlignment="1">
      <alignment vertical="center"/>
    </xf>
    <xf numFmtId="166" fontId="106" fillId="0" borderId="21" xfId="55" applyNumberFormat="1" applyFont="1" applyFill="1" applyBorder="1" applyAlignment="1">
      <alignment vertical="center"/>
    </xf>
    <xf numFmtId="166" fontId="103" fillId="0" borderId="20" xfId="0" applyNumberFormat="1" applyFont="1" applyFill="1" applyBorder="1" applyAlignment="1">
      <alignment vertical="center"/>
    </xf>
    <xf numFmtId="166" fontId="105" fillId="0" borderId="0" xfId="55" applyNumberFormat="1" applyFont="1" applyFill="1" applyBorder="1" applyAlignment="1">
      <alignment vertical="center"/>
    </xf>
    <xf numFmtId="166" fontId="105" fillId="0" borderId="22" xfId="55" applyNumberFormat="1" applyFont="1" applyFill="1" applyBorder="1" applyAlignment="1">
      <alignment vertical="center"/>
    </xf>
    <xf numFmtId="188" fontId="97" fillId="0" borderId="0" xfId="0" applyNumberFormat="1" applyFont="1" applyFill="1" applyBorder="1"/>
    <xf numFmtId="188" fontId="70" fillId="0" borderId="0" xfId="0" applyNumberFormat="1" applyFont="1" applyFill="1" applyBorder="1"/>
    <xf numFmtId="188" fontId="70" fillId="0" borderId="0" xfId="0" applyNumberFormat="1" applyFont="1" applyFill="1" applyBorder="1" applyAlignment="1">
      <alignment vertical="center"/>
    </xf>
    <xf numFmtId="188" fontId="0" fillId="0" borderId="0" xfId="0" applyNumberFormat="1" applyFont="1" applyFill="1" applyBorder="1" applyAlignment="1">
      <alignment vertical="center"/>
    </xf>
    <xf numFmtId="188" fontId="3" fillId="0" borderId="1" xfId="0" applyNumberFormat="1" applyFont="1" applyFill="1" applyBorder="1" applyAlignment="1">
      <alignment horizontal="left"/>
    </xf>
    <xf numFmtId="188" fontId="3" fillId="0" borderId="0" xfId="0" applyNumberFormat="1" applyFont="1" applyFill="1" applyBorder="1" applyAlignment="1">
      <alignment horizontal="left"/>
    </xf>
    <xf numFmtId="188" fontId="3" fillId="0" borderId="0" xfId="0" applyNumberFormat="1" applyFont="1" applyFill="1" applyBorder="1" applyAlignment="1">
      <alignment horizontal="right"/>
    </xf>
    <xf numFmtId="188" fontId="104" fillId="0" borderId="0" xfId="0" applyNumberFormat="1" applyFont="1" applyFill="1" applyBorder="1" applyAlignment="1">
      <alignment vertical="center"/>
    </xf>
    <xf numFmtId="188" fontId="104" fillId="0" borderId="22" xfId="0" applyNumberFormat="1" applyFont="1" applyFill="1" applyBorder="1" applyAlignment="1">
      <alignment vertical="center"/>
    </xf>
    <xf numFmtId="188" fontId="104" fillId="0" borderId="0" xfId="69" applyNumberFormat="1" applyFont="1" applyFill="1" applyBorder="1" applyAlignment="1">
      <alignment vertical="center"/>
    </xf>
    <xf numFmtId="188" fontId="104" fillId="0" borderId="22" xfId="69" applyNumberFormat="1" applyFont="1" applyFill="1" applyBorder="1" applyAlignment="1">
      <alignment vertical="center"/>
    </xf>
    <xf numFmtId="188" fontId="105" fillId="0" borderId="0" xfId="69" applyNumberFormat="1" applyFont="1" applyFill="1" applyBorder="1" applyAlignment="1">
      <alignment vertical="center"/>
    </xf>
    <xf numFmtId="188" fontId="105" fillId="0" borderId="22" xfId="69" applyNumberFormat="1" applyFont="1" applyFill="1" applyBorder="1" applyAlignment="1">
      <alignment vertical="center"/>
    </xf>
    <xf numFmtId="188" fontId="104" fillId="0" borderId="1" xfId="0" applyNumberFormat="1" applyFont="1" applyFill="1" applyBorder="1" applyAlignment="1">
      <alignment vertical="center"/>
    </xf>
    <xf numFmtId="188" fontId="3" fillId="0" borderId="0" xfId="0" applyNumberFormat="1" applyFont="1" applyFill="1" applyAlignment="1">
      <alignment horizontal="right"/>
    </xf>
    <xf numFmtId="179" fontId="3" fillId="0" borderId="0" xfId="0" applyNumberFormat="1" applyFont="1" applyFill="1" applyBorder="1"/>
    <xf numFmtId="179" fontId="3" fillId="0" borderId="0" xfId="0" applyNumberFormat="1" applyFont="1" applyFill="1" applyBorder="1" applyAlignment="1">
      <alignment vertical="center"/>
    </xf>
    <xf numFmtId="179" fontId="3" fillId="0" borderId="1" xfId="0" applyNumberFormat="1" applyFont="1" applyFill="1" applyBorder="1"/>
    <xf numFmtId="179" fontId="74" fillId="0" borderId="0" xfId="0" applyNumberFormat="1" applyFont="1" applyFill="1" applyBorder="1"/>
    <xf numFmtId="179" fontId="105" fillId="0" borderId="0" xfId="69" quotePrefix="1" applyNumberFormat="1" applyFont="1" applyFill="1" applyBorder="1" applyAlignment="1">
      <alignment vertical="center"/>
    </xf>
    <xf numFmtId="179" fontId="0" fillId="0" borderId="0" xfId="0" applyNumberFormat="1" applyFont="1" applyFill="1" applyBorder="1"/>
    <xf numFmtId="179" fontId="0" fillId="0" borderId="0" xfId="0" applyNumberFormat="1" applyFont="1" applyFill="1" applyBorder="1" applyAlignment="1">
      <alignment vertical="center"/>
    </xf>
    <xf numFmtId="179" fontId="0" fillId="0" borderId="1" xfId="0" applyNumberFormat="1" applyFont="1" applyBorder="1" applyAlignment="1">
      <alignment horizontal="left"/>
    </xf>
    <xf numFmtId="179" fontId="0" fillId="0" borderId="0" xfId="0" applyNumberFormat="1" applyFont="1" applyFill="1" applyBorder="1" applyAlignment="1">
      <alignment horizontal="left"/>
    </xf>
    <xf numFmtId="179" fontId="103" fillId="0" borderId="0" xfId="0" applyNumberFormat="1" applyFont="1" applyFill="1" applyBorder="1" applyAlignment="1">
      <alignment vertical="center"/>
    </xf>
    <xf numFmtId="179" fontId="103" fillId="0" borderId="22" xfId="0" applyNumberFormat="1" applyFont="1" applyFill="1" applyBorder="1" applyAlignment="1">
      <alignment vertical="center"/>
    </xf>
    <xf numFmtId="179" fontId="103" fillId="0" borderId="1" xfId="0" applyNumberFormat="1" applyFont="1" applyFill="1" applyBorder="1" applyAlignment="1">
      <alignment vertical="center"/>
    </xf>
    <xf numFmtId="179" fontId="0" fillId="0" borderId="0" xfId="0" applyNumberFormat="1" applyFont="1" applyFill="1"/>
    <xf numFmtId="179" fontId="0" fillId="0" borderId="1" xfId="0" applyNumberFormat="1" applyFont="1" applyFill="1" applyBorder="1" applyAlignment="1">
      <alignment horizontal="left"/>
    </xf>
    <xf numFmtId="179" fontId="70" fillId="0" borderId="0" xfId="0" applyNumberFormat="1" applyFont="1" applyFill="1" applyBorder="1"/>
    <xf numFmtId="179" fontId="70" fillId="0" borderId="0" xfId="0" applyNumberFormat="1" applyFont="1" applyFill="1" applyBorder="1" applyAlignment="1">
      <alignment vertical="center"/>
    </xf>
    <xf numFmtId="179" fontId="0" fillId="0" borderId="20" xfId="0" applyNumberFormat="1" applyFont="1" applyFill="1" applyBorder="1" applyAlignment="1">
      <alignment horizontal="left"/>
    </xf>
    <xf numFmtId="179" fontId="0" fillId="0" borderId="3" xfId="0" applyNumberFormat="1" applyFont="1" applyFill="1" applyBorder="1" applyAlignment="1">
      <alignment horizontal="left"/>
    </xf>
    <xf numFmtId="179" fontId="0" fillId="0" borderId="3" xfId="0" applyNumberFormat="1" applyFont="1" applyFill="1" applyBorder="1"/>
    <xf numFmtId="179" fontId="103" fillId="0" borderId="3" xfId="0" applyNumberFormat="1" applyFont="1" applyFill="1" applyBorder="1" applyAlignment="1">
      <alignment vertical="center"/>
    </xf>
    <xf numFmtId="179" fontId="103" fillId="0" borderId="21" xfId="0" applyNumberFormat="1" applyFont="1" applyFill="1" applyBorder="1" applyAlignment="1">
      <alignment vertical="center"/>
    </xf>
    <xf numFmtId="179" fontId="103" fillId="0" borderId="3" xfId="69" applyNumberFormat="1" applyFont="1" applyFill="1" applyBorder="1" applyAlignment="1">
      <alignment vertical="center"/>
    </xf>
    <xf numFmtId="179" fontId="103" fillId="0" borderId="21" xfId="69" applyNumberFormat="1" applyFont="1" applyFill="1" applyBorder="1" applyAlignment="1">
      <alignment vertical="center"/>
    </xf>
    <xf numFmtId="179" fontId="106" fillId="0" borderId="21" xfId="69" applyNumberFormat="1" applyFont="1" applyFill="1" applyBorder="1" applyAlignment="1">
      <alignment vertical="center"/>
    </xf>
    <xf numFmtId="179" fontId="106" fillId="0" borderId="3" xfId="69" applyNumberFormat="1" applyFont="1" applyFill="1" applyBorder="1" applyAlignment="1">
      <alignment vertical="center"/>
    </xf>
    <xf numFmtId="179" fontId="103" fillId="0" borderId="20" xfId="0" applyNumberFormat="1" applyFont="1" applyFill="1" applyBorder="1" applyAlignment="1">
      <alignment vertical="center"/>
    </xf>
    <xf numFmtId="179" fontId="71" fillId="0" borderId="0" xfId="0" applyNumberFormat="1" applyFont="1" applyFill="1" applyBorder="1"/>
    <xf numFmtId="179" fontId="71" fillId="0" borderId="0" xfId="0" applyNumberFormat="1" applyFont="1" applyFill="1" applyBorder="1" applyAlignment="1">
      <alignment vertical="center"/>
    </xf>
    <xf numFmtId="179" fontId="3" fillId="0" borderId="1" xfId="69" applyNumberFormat="1" applyFont="1" applyFill="1" applyBorder="1" applyAlignment="1">
      <alignment horizontal="left"/>
    </xf>
    <xf numFmtId="179" fontId="3" fillId="0" borderId="0" xfId="69" applyNumberFormat="1" applyFont="1" applyFill="1" applyBorder="1" applyAlignment="1">
      <alignment horizontal="left"/>
    </xf>
    <xf numFmtId="179" fontId="104" fillId="0" borderId="0" xfId="69" applyNumberFormat="1" applyFont="1" applyFill="1" applyBorder="1" applyAlignment="1">
      <alignment vertical="center"/>
    </xf>
    <xf numFmtId="179" fontId="104" fillId="0" borderId="22" xfId="69" applyNumberFormat="1" applyFont="1" applyFill="1" applyBorder="1" applyAlignment="1">
      <alignment vertical="center"/>
    </xf>
    <xf numFmtId="179" fontId="104" fillId="0" borderId="1" xfId="69" applyNumberFormat="1" applyFont="1" applyFill="1" applyBorder="1" applyAlignment="1">
      <alignment vertical="center"/>
    </xf>
    <xf numFmtId="179" fontId="3" fillId="0" borderId="0" xfId="69" applyNumberFormat="1" applyFont="1" applyFill="1" applyAlignment="1">
      <alignment horizontal="right"/>
    </xf>
    <xf numFmtId="179" fontId="0" fillId="11" borderId="1" xfId="0" applyNumberFormat="1" applyFont="1" applyFill="1" applyBorder="1" applyAlignment="1">
      <alignment horizontal="left"/>
    </xf>
    <xf numFmtId="179" fontId="103" fillId="11" borderId="0" xfId="69" applyNumberFormat="1" applyFont="1" applyFill="1" applyBorder="1" applyAlignment="1">
      <alignment vertical="center"/>
    </xf>
    <xf numFmtId="179" fontId="103" fillId="11" borderId="22" xfId="69" applyNumberFormat="1" applyFont="1" applyFill="1" applyBorder="1" applyAlignment="1">
      <alignment vertical="center"/>
    </xf>
    <xf numFmtId="179" fontId="3" fillId="0" borderId="1" xfId="0" applyNumberFormat="1" applyFont="1" applyFill="1" applyBorder="1" applyAlignment="1">
      <alignment horizontal="left"/>
    </xf>
    <xf numFmtId="179" fontId="3" fillId="0" borderId="0" xfId="0" applyNumberFormat="1" applyFont="1" applyFill="1" applyBorder="1" applyAlignment="1">
      <alignment horizontal="left"/>
    </xf>
    <xf numFmtId="179" fontId="104" fillId="0" borderId="0" xfId="0" applyNumberFormat="1" applyFont="1" applyFill="1" applyBorder="1" applyAlignment="1">
      <alignment vertical="center"/>
    </xf>
    <xf numFmtId="179" fontId="104" fillId="0" borderId="22" xfId="0" applyNumberFormat="1" applyFont="1" applyFill="1" applyBorder="1" applyAlignment="1">
      <alignment vertical="center"/>
    </xf>
    <xf numFmtId="179" fontId="104" fillId="0" borderId="1" xfId="0" applyNumberFormat="1" applyFont="1" applyFill="1" applyBorder="1" applyAlignment="1">
      <alignment vertical="center"/>
    </xf>
    <xf numFmtId="179" fontId="3" fillId="0" borderId="0" xfId="0" applyNumberFormat="1" applyFont="1" applyFill="1"/>
    <xf numFmtId="179" fontId="103" fillId="0" borderId="1" xfId="69" applyNumberFormat="1" applyFont="1" applyFill="1" applyBorder="1" applyAlignment="1">
      <alignment vertical="center"/>
    </xf>
    <xf numFmtId="179" fontId="0" fillId="11" borderId="1" xfId="0" applyNumberFormat="1" applyFont="1" applyFill="1" applyBorder="1" applyAlignment="1">
      <alignment horizontal="left" indent="1"/>
    </xf>
    <xf numFmtId="179" fontId="0" fillId="11" borderId="20" xfId="0" applyNumberFormat="1" applyFont="1" applyFill="1" applyBorder="1" applyAlignment="1">
      <alignment horizontal="left" indent="1"/>
    </xf>
    <xf numFmtId="179" fontId="0" fillId="0" borderId="3" xfId="0" applyNumberFormat="1" applyFont="1" applyFill="1" applyBorder="1" applyAlignment="1">
      <alignment horizontal="left" indent="1"/>
    </xf>
    <xf numFmtId="179" fontId="3" fillId="11" borderId="1" xfId="141" applyNumberFormat="1" applyFont="1" applyFill="1" applyBorder="1" applyAlignment="1"/>
    <xf numFmtId="179" fontId="3" fillId="0" borderId="0" xfId="141" applyNumberFormat="1" applyFont="1" applyFill="1" applyBorder="1" applyAlignment="1"/>
    <xf numFmtId="179" fontId="0" fillId="0" borderId="1" xfId="0" applyNumberFormat="1" applyFont="1" applyFill="1" applyBorder="1"/>
    <xf numFmtId="179" fontId="103" fillId="0" borderId="0" xfId="115" applyNumberFormat="1" applyFont="1" applyFill="1" applyBorder="1" applyAlignment="1">
      <alignment vertical="center"/>
    </xf>
    <xf numFmtId="179" fontId="103" fillId="0" borderId="22" xfId="115" applyNumberFormat="1" applyFont="1" applyFill="1" applyBorder="1" applyAlignment="1">
      <alignment vertical="center"/>
    </xf>
    <xf numFmtId="179" fontId="106" fillId="11" borderId="0" xfId="69" applyNumberFormat="1" applyFont="1" applyFill="1" applyBorder="1" applyAlignment="1">
      <alignment vertical="center"/>
    </xf>
    <xf numFmtId="179" fontId="79" fillId="0" borderId="0" xfId="0" applyNumberFormat="1" applyFont="1" applyFill="1" applyBorder="1"/>
    <xf numFmtId="179" fontId="79" fillId="0" borderId="0" xfId="0" applyNumberFormat="1" applyFont="1" applyFill="1"/>
    <xf numFmtId="179" fontId="0" fillId="0" borderId="20" xfId="0" applyNumberFormat="1" applyFont="1" applyFill="1" applyBorder="1"/>
    <xf numFmtId="179" fontId="82" fillId="0" borderId="0" xfId="0" applyNumberFormat="1" applyFont="1" applyFill="1" applyBorder="1"/>
    <xf numFmtId="179" fontId="104" fillId="0" borderId="22" xfId="55" applyNumberFormat="1" applyFont="1" applyFill="1" applyBorder="1" applyAlignment="1">
      <alignment vertical="center"/>
    </xf>
    <xf numFmtId="179" fontId="104" fillId="0" borderId="0" xfId="55" applyNumberFormat="1" applyFont="1" applyFill="1" applyBorder="1" applyAlignment="1">
      <alignment vertical="center"/>
    </xf>
    <xf numFmtId="179" fontId="106" fillId="0" borderId="22" xfId="55" applyNumberFormat="1" applyFont="1" applyFill="1" applyBorder="1" applyAlignment="1">
      <alignment vertical="center"/>
    </xf>
    <xf numFmtId="179" fontId="103" fillId="0" borderId="22" xfId="55" applyNumberFormat="1" applyFont="1" applyFill="1" applyBorder="1" applyAlignment="1">
      <alignment vertical="center"/>
    </xf>
    <xf numFmtId="179" fontId="103" fillId="0" borderId="1" xfId="55" applyNumberFormat="1" applyFont="1" applyFill="1" applyBorder="1" applyAlignment="1">
      <alignment vertical="center"/>
    </xf>
    <xf numFmtId="179" fontId="0" fillId="0" borderId="1" xfId="69" applyNumberFormat="1" applyFont="1" applyFill="1" applyBorder="1" applyAlignment="1">
      <alignment horizontal="left"/>
    </xf>
    <xf numFmtId="179" fontId="0" fillId="0" borderId="0" xfId="69" applyNumberFormat="1" applyFont="1" applyFill="1" applyBorder="1" applyAlignment="1">
      <alignment horizontal="left"/>
    </xf>
    <xf numFmtId="179" fontId="0" fillId="0" borderId="0" xfId="69" applyNumberFormat="1" applyFont="1" applyFill="1" applyAlignment="1">
      <alignment horizontal="left"/>
    </xf>
    <xf numFmtId="179" fontId="0" fillId="11" borderId="1" xfId="69" applyNumberFormat="1" applyFont="1" applyFill="1" applyBorder="1"/>
    <xf numFmtId="179" fontId="0" fillId="0" borderId="0" xfId="69" applyNumberFormat="1" applyFont="1" applyFill="1" applyBorder="1"/>
    <xf numFmtId="179" fontId="0" fillId="0" borderId="0" xfId="69" applyNumberFormat="1" applyFont="1" applyFill="1"/>
    <xf numFmtId="179" fontId="0" fillId="0" borderId="20" xfId="0" applyNumberFormat="1" applyFont="1" applyFill="1" applyBorder="1" applyAlignment="1">
      <alignment horizontal="left" indent="1"/>
    </xf>
    <xf numFmtId="179" fontId="0" fillId="0" borderId="0" xfId="0" applyNumberFormat="1" applyFont="1" applyFill="1" applyBorder="1" applyAlignment="1">
      <alignment horizontal="right"/>
    </xf>
    <xf numFmtId="179" fontId="0" fillId="0" borderId="0" xfId="0" applyNumberFormat="1" applyFont="1" applyFill="1" applyAlignment="1">
      <alignment horizontal="right"/>
    </xf>
    <xf numFmtId="179" fontId="106" fillId="11" borderId="3" xfId="69" applyNumberFormat="1" applyFont="1" applyFill="1" applyBorder="1" applyAlignment="1">
      <alignment vertical="center"/>
    </xf>
    <xf numFmtId="179" fontId="106" fillId="11" borderId="21" xfId="69" applyNumberFormat="1" applyFont="1" applyFill="1" applyBorder="1" applyAlignment="1">
      <alignment vertical="center"/>
    </xf>
    <xf numFmtId="179" fontId="106" fillId="0" borderId="0" xfId="115" applyNumberFormat="1" applyFont="1" applyFill="1" applyBorder="1" applyAlignment="1">
      <alignment vertical="center"/>
    </xf>
    <xf numFmtId="179" fontId="106" fillId="0" borderId="0" xfId="150" applyNumberFormat="1" applyFont="1" applyFill="1" applyBorder="1" applyAlignment="1">
      <alignment vertical="center"/>
    </xf>
    <xf numFmtId="179" fontId="3" fillId="11" borderId="1" xfId="0" applyNumberFormat="1" applyFont="1" applyFill="1" applyBorder="1" applyAlignment="1">
      <alignment horizontal="left"/>
    </xf>
    <xf numFmtId="179" fontId="111" fillId="0" borderId="0" xfId="0" applyNumberFormat="1" applyFont="1" applyFill="1" applyBorder="1"/>
    <xf numFmtId="179" fontId="109" fillId="0" borderId="0" xfId="69" applyNumberFormat="1" applyFont="1" applyFill="1" applyBorder="1" applyAlignment="1">
      <alignment vertical="center"/>
    </xf>
    <xf numFmtId="179" fontId="109" fillId="0" borderId="22" xfId="69" applyNumberFormat="1" applyFont="1" applyFill="1" applyBorder="1" applyAlignment="1">
      <alignment vertical="center"/>
    </xf>
    <xf numFmtId="179" fontId="109" fillId="0" borderId="1" xfId="69" quotePrefix="1" applyNumberFormat="1" applyFont="1" applyFill="1" applyBorder="1" applyAlignment="1">
      <alignment vertical="center"/>
    </xf>
    <xf numFmtId="179" fontId="109" fillId="0" borderId="0" xfId="69" quotePrefix="1" applyNumberFormat="1" applyFont="1" applyFill="1" applyBorder="1" applyAlignment="1">
      <alignment vertical="center"/>
    </xf>
    <xf numFmtId="179" fontId="100" fillId="0" borderId="0" xfId="0" applyNumberFormat="1" applyFont="1" applyFill="1" applyBorder="1"/>
    <xf numFmtId="179" fontId="0" fillId="0" borderId="1" xfId="69" applyNumberFormat="1" applyFont="1" applyFill="1" applyBorder="1"/>
    <xf numFmtId="179" fontId="98" fillId="0" borderId="0" xfId="69" applyNumberFormat="1" applyFont="1" applyFill="1" applyBorder="1"/>
    <xf numFmtId="179" fontId="108" fillId="0" borderId="0" xfId="69" applyNumberFormat="1" applyFont="1" applyFill="1" applyBorder="1" applyAlignment="1">
      <alignment vertical="center"/>
    </xf>
    <xf numFmtId="179" fontId="108" fillId="0" borderId="22" xfId="69" applyNumberFormat="1" applyFont="1" applyFill="1" applyBorder="1" applyAlignment="1">
      <alignment vertical="center"/>
    </xf>
    <xf numFmtId="179" fontId="108" fillId="0" borderId="1" xfId="69" quotePrefix="1" applyNumberFormat="1" applyFont="1" applyFill="1" applyBorder="1" applyAlignment="1">
      <alignment vertical="center"/>
    </xf>
    <xf numFmtId="179" fontId="108" fillId="0" borderId="0" xfId="69" quotePrefix="1" applyNumberFormat="1" applyFont="1" applyFill="1" applyBorder="1" applyAlignment="1">
      <alignment vertical="center"/>
    </xf>
    <xf numFmtId="179" fontId="99" fillId="0" borderId="0" xfId="69" applyNumberFormat="1" applyFont="1" applyFill="1" applyBorder="1"/>
    <xf numFmtId="179" fontId="3" fillId="0" borderId="0" xfId="0" applyNumberFormat="1" applyFont="1" applyFill="1" applyBorder="1" applyAlignment="1">
      <alignment horizontal="right"/>
    </xf>
    <xf numFmtId="179" fontId="3" fillId="0" borderId="0" xfId="0" applyNumberFormat="1" applyFont="1" applyFill="1" applyAlignment="1">
      <alignment horizontal="right"/>
    </xf>
    <xf numFmtId="179" fontId="3" fillId="11" borderId="1" xfId="0" applyNumberFormat="1" applyFont="1" applyFill="1" applyBorder="1" applyAlignment="1">
      <alignment horizontal="left" indent="1"/>
    </xf>
    <xf numFmtId="179" fontId="3" fillId="0" borderId="0" xfId="0" applyNumberFormat="1" applyFont="1" applyFill="1" applyBorder="1" applyAlignment="1">
      <alignment horizontal="left" indent="1"/>
    </xf>
    <xf numFmtId="179" fontId="105" fillId="0" borderId="1" xfId="69" applyNumberFormat="1" applyFont="1" applyFill="1" applyBorder="1" applyAlignment="1">
      <alignment vertical="center"/>
    </xf>
    <xf numFmtId="179" fontId="0" fillId="0" borderId="1" xfId="115" applyNumberFormat="1" applyFont="1" applyFill="1" applyBorder="1" applyAlignment="1">
      <alignment horizontal="left"/>
    </xf>
    <xf numFmtId="179" fontId="0" fillId="0" borderId="0" xfId="115" applyNumberFormat="1" applyFont="1" applyFill="1" applyBorder="1" applyAlignment="1">
      <alignment horizontal="left"/>
    </xf>
    <xf numFmtId="179" fontId="105" fillId="0" borderId="0" xfId="0" applyNumberFormat="1" applyFont="1" applyFill="1" applyBorder="1" applyAlignment="1">
      <alignment vertical="center"/>
    </xf>
    <xf numFmtId="179" fontId="105" fillId="0" borderId="22" xfId="0" applyNumberFormat="1" applyFont="1" applyFill="1" applyBorder="1" applyAlignment="1">
      <alignment vertical="center"/>
    </xf>
    <xf numFmtId="179" fontId="105" fillId="0" borderId="22" xfId="115" applyNumberFormat="1" applyFont="1" applyFill="1" applyBorder="1" applyAlignment="1">
      <alignment vertical="center"/>
    </xf>
    <xf numFmtId="179" fontId="105" fillId="0" borderId="0" xfId="115" applyNumberFormat="1" applyFont="1" applyFill="1" applyBorder="1" applyAlignment="1">
      <alignment vertical="center"/>
    </xf>
    <xf numFmtId="179" fontId="104" fillId="11" borderId="0" xfId="55" applyNumberFormat="1" applyFont="1" applyFill="1" applyBorder="1" applyAlignment="1">
      <alignment vertical="center"/>
    </xf>
    <xf numFmtId="179" fontId="0" fillId="0" borderId="1" xfId="55" applyNumberFormat="1" applyFont="1" applyFill="1" applyBorder="1" applyAlignment="1">
      <alignment horizontal="left" indent="1"/>
    </xf>
    <xf numFmtId="179" fontId="0" fillId="0" borderId="0" xfId="55" applyNumberFormat="1" applyFont="1" applyFill="1" applyBorder="1" applyAlignment="1">
      <alignment horizontal="left" indent="1"/>
    </xf>
    <xf numFmtId="179" fontId="103" fillId="11" borderId="0" xfId="55" applyNumberFormat="1" applyFont="1" applyFill="1" applyBorder="1" applyAlignment="1">
      <alignment vertical="center"/>
    </xf>
    <xf numFmtId="179" fontId="0" fillId="0" borderId="20" xfId="55" applyNumberFormat="1" applyFont="1" applyFill="1" applyBorder="1" applyAlignment="1">
      <alignment horizontal="left" indent="1"/>
    </xf>
    <xf numFmtId="179" fontId="0" fillId="0" borderId="3" xfId="55" applyNumberFormat="1" applyFont="1" applyFill="1" applyBorder="1" applyAlignment="1">
      <alignment horizontal="left" indent="1"/>
    </xf>
    <xf numFmtId="179" fontId="103" fillId="0" borderId="21" xfId="55" applyNumberFormat="1" applyFont="1" applyFill="1" applyBorder="1" applyAlignment="1">
      <alignment vertical="center"/>
    </xf>
    <xf numFmtId="179" fontId="103" fillId="11" borderId="3" xfId="55" applyNumberFormat="1" applyFont="1" applyFill="1" applyBorder="1" applyAlignment="1">
      <alignment vertical="center"/>
    </xf>
    <xf numFmtId="179" fontId="3" fillId="0" borderId="1" xfId="55" applyNumberFormat="1" applyFont="1" applyFill="1" applyBorder="1" applyAlignment="1">
      <alignment horizontal="left"/>
    </xf>
    <xf numFmtId="179" fontId="3" fillId="0" borderId="0" xfId="55" applyNumberFormat="1" applyFont="1" applyFill="1" applyBorder="1" applyAlignment="1">
      <alignment horizontal="left"/>
    </xf>
    <xf numFmtId="179" fontId="0" fillId="0" borderId="1" xfId="55" applyNumberFormat="1" applyFont="1" applyFill="1" applyBorder="1"/>
    <xf numFmtId="179" fontId="3" fillId="0" borderId="1" xfId="55" applyNumberFormat="1" applyFont="1" applyFill="1" applyBorder="1" applyAlignment="1">
      <alignment horizontal="left" indent="1"/>
    </xf>
    <xf numFmtId="179" fontId="3" fillId="0" borderId="0" xfId="55" applyNumberFormat="1" applyFont="1" applyFill="1" applyBorder="1" applyAlignment="1">
      <alignment horizontal="left" indent="1"/>
    </xf>
    <xf numFmtId="179" fontId="3" fillId="0" borderId="1" xfId="55" applyNumberFormat="1" applyFont="1" applyFill="1" applyBorder="1"/>
    <xf numFmtId="179" fontId="103" fillId="0" borderId="0" xfId="150" applyNumberFormat="1" applyFont="1" applyFill="1" applyBorder="1" applyAlignment="1">
      <alignment vertical="center"/>
    </xf>
    <xf numFmtId="179" fontId="103" fillId="0" borderId="3" xfId="115" applyNumberFormat="1" applyFont="1" applyFill="1" applyBorder="1" applyAlignment="1">
      <alignment vertical="center"/>
    </xf>
    <xf numFmtId="179" fontId="106" fillId="0" borderId="3" xfId="115" applyNumberFormat="1" applyFont="1" applyFill="1" applyBorder="1" applyAlignment="1">
      <alignment vertical="center"/>
    </xf>
    <xf numFmtId="0" fontId="100" fillId="16" borderId="17" xfId="0" applyFont="1" applyFill="1" applyBorder="1" applyAlignment="1">
      <alignment vertical="center"/>
    </xf>
    <xf numFmtId="0" fontId="100" fillId="16" borderId="7" xfId="0" applyFont="1" applyFill="1" applyBorder="1" applyAlignment="1">
      <alignment vertical="center"/>
    </xf>
    <xf numFmtId="0" fontId="100" fillId="16" borderId="18" xfId="0" applyFont="1" applyFill="1" applyBorder="1" applyAlignment="1">
      <alignment vertical="center"/>
    </xf>
    <xf numFmtId="166" fontId="103" fillId="0" borderId="3" xfId="69" applyNumberFormat="1" applyFont="1" applyFill="1" applyBorder="1" applyAlignment="1">
      <alignment vertical="center"/>
    </xf>
    <xf numFmtId="166" fontId="103" fillId="0" borderId="21" xfId="69" applyNumberFormat="1" applyFont="1" applyFill="1" applyBorder="1" applyAlignment="1">
      <alignment vertical="center"/>
    </xf>
    <xf numFmtId="167" fontId="3" fillId="0" borderId="20" xfId="0" applyNumberFormat="1" applyFont="1" applyFill="1" applyBorder="1"/>
    <xf numFmtId="167" fontId="3" fillId="0" borderId="3" xfId="0" applyNumberFormat="1" applyFont="1" applyFill="1" applyBorder="1"/>
    <xf numFmtId="167" fontId="103" fillId="0" borderId="3" xfId="0" applyNumberFormat="1" applyFont="1" applyFill="1" applyBorder="1" applyAlignment="1">
      <alignment vertical="center"/>
    </xf>
    <xf numFmtId="167" fontId="103" fillId="0" borderId="21" xfId="0" applyNumberFormat="1" applyFont="1" applyFill="1" applyBorder="1" applyAlignment="1">
      <alignment vertical="center"/>
    </xf>
    <xf numFmtId="167" fontId="103" fillId="0" borderId="3" xfId="69" applyNumberFormat="1" applyFont="1" applyFill="1" applyBorder="1" applyAlignment="1">
      <alignment vertical="center"/>
    </xf>
    <xf numFmtId="167" fontId="103" fillId="0" borderId="21" xfId="69" applyNumberFormat="1" applyFont="1" applyFill="1" applyBorder="1" applyAlignment="1">
      <alignment vertical="center"/>
    </xf>
    <xf numFmtId="9" fontId="103" fillId="0" borderId="3" xfId="69" applyNumberFormat="1" applyFont="1" applyFill="1" applyBorder="1" applyAlignment="1">
      <alignment vertical="center"/>
    </xf>
    <xf numFmtId="9" fontId="103" fillId="0" borderId="21" xfId="69" applyNumberFormat="1" applyFont="1" applyFill="1" applyBorder="1" applyAlignment="1">
      <alignment vertical="center"/>
    </xf>
    <xf numFmtId="43" fontId="103" fillId="0" borderId="21" xfId="69" applyNumberFormat="1" applyFont="1" applyFill="1" applyBorder="1" applyAlignment="1">
      <alignment vertical="center"/>
    </xf>
    <xf numFmtId="167" fontId="103" fillId="0" borderId="3" xfId="115" applyNumberFormat="1" applyFont="1" applyFill="1" applyBorder="1" applyAlignment="1">
      <alignment vertical="center"/>
    </xf>
    <xf numFmtId="167" fontId="103" fillId="0" borderId="21" xfId="115" applyNumberFormat="1" applyFont="1" applyFill="1" applyBorder="1" applyAlignment="1">
      <alignment vertical="center"/>
    </xf>
    <xf numFmtId="167" fontId="103" fillId="0" borderId="20" xfId="0" applyNumberFormat="1" applyFont="1" applyFill="1" applyBorder="1" applyAlignment="1">
      <alignment vertical="center"/>
    </xf>
    <xf numFmtId="167" fontId="106" fillId="0" borderId="3" xfId="69" applyNumberFormat="1" applyFont="1" applyFill="1" applyBorder="1" applyAlignment="1">
      <alignment vertical="center"/>
    </xf>
    <xf numFmtId="43" fontId="103" fillId="0" borderId="3" xfId="69" applyNumberFormat="1" applyFont="1" applyFill="1" applyBorder="1" applyAlignment="1">
      <alignment vertical="center"/>
    </xf>
    <xf numFmtId="181" fontId="110" fillId="0" borderId="0" xfId="69" applyNumberFormat="1" applyFont="1" applyFill="1" applyBorder="1" applyAlignment="1">
      <alignment vertical="center"/>
    </xf>
    <xf numFmtId="181" fontId="110" fillId="0" borderId="22" xfId="69" applyNumberFormat="1" applyFont="1" applyFill="1" applyBorder="1" applyAlignment="1">
      <alignment vertical="center"/>
    </xf>
    <xf numFmtId="182" fontId="110" fillId="0" borderId="22" xfId="69" applyNumberFormat="1" applyFont="1" applyFill="1" applyBorder="1" applyAlignment="1">
      <alignment vertical="center"/>
    </xf>
    <xf numFmtId="179" fontId="112" fillId="0" borderId="0" xfId="69" applyNumberFormat="1" applyFont="1" applyFill="1" applyBorder="1" applyAlignment="1">
      <alignment vertical="center"/>
    </xf>
    <xf numFmtId="179" fontId="112" fillId="0" borderId="22" xfId="69" applyNumberFormat="1" applyFont="1" applyFill="1" applyBorder="1" applyAlignment="1">
      <alignment vertical="center"/>
    </xf>
    <xf numFmtId="170" fontId="2" fillId="0" borderId="0" xfId="55" applyNumberFormat="1" applyFont="1" applyFill="1" applyBorder="1"/>
    <xf numFmtId="0" fontId="2" fillId="0" borderId="0" xfId="115" applyFont="1" applyFill="1" applyBorder="1"/>
    <xf numFmtId="43" fontId="2" fillId="0" borderId="0" xfId="115" applyNumberFormat="1" applyFont="1" applyFill="1" applyBorder="1"/>
    <xf numFmtId="166" fontId="2" fillId="0" borderId="0" xfId="115" applyNumberFormat="1" applyFont="1" applyFill="1" applyBorder="1"/>
    <xf numFmtId="170" fontId="2" fillId="0" borderId="0" xfId="115" applyNumberFormat="1" applyFont="1" applyFill="1" applyBorder="1"/>
    <xf numFmtId="168" fontId="2" fillId="0" borderId="0" xfId="115" applyNumberFormat="1" applyFont="1" applyFill="1" applyBorder="1"/>
    <xf numFmtId="43" fontId="3" fillId="0" borderId="0" xfId="55" applyFont="1" applyFill="1" applyBorder="1"/>
    <xf numFmtId="181" fontId="0" fillId="0" borderId="0" xfId="0" applyNumberFormat="1" applyFont="1" applyFill="1" applyBorder="1"/>
    <xf numFmtId="181" fontId="0" fillId="0" borderId="1" xfId="0" applyNumberFormat="1" applyFont="1" applyFill="1" applyBorder="1" applyAlignment="1">
      <alignment horizontal="left" indent="1"/>
    </xf>
    <xf numFmtId="181" fontId="0" fillId="0" borderId="0" xfId="0" applyNumberFormat="1" applyFont="1" applyFill="1" applyBorder="1" applyAlignment="1">
      <alignment horizontal="left" indent="1"/>
    </xf>
    <xf numFmtId="181" fontId="103" fillId="0" borderId="0" xfId="0" applyNumberFormat="1" applyFont="1" applyFill="1" applyBorder="1" applyAlignment="1">
      <alignment vertical="center"/>
    </xf>
    <xf numFmtId="181" fontId="103" fillId="0" borderId="22" xfId="0" applyNumberFormat="1" applyFont="1" applyFill="1" applyBorder="1" applyAlignment="1">
      <alignment vertical="center"/>
    </xf>
    <xf numFmtId="181" fontId="103" fillId="11" borderId="0" xfId="69" applyNumberFormat="1" applyFont="1" applyFill="1" applyBorder="1" applyAlignment="1">
      <alignment vertical="center"/>
    </xf>
    <xf numFmtId="181" fontId="103" fillId="11" borderId="22" xfId="69" applyNumberFormat="1" applyFont="1" applyFill="1" applyBorder="1" applyAlignment="1">
      <alignment vertical="center"/>
    </xf>
    <xf numFmtId="181" fontId="103" fillId="0" borderId="22" xfId="69" applyNumberFormat="1" applyFont="1" applyFill="1" applyBorder="1" applyAlignment="1">
      <alignment vertical="center"/>
    </xf>
    <xf numFmtId="181" fontId="106" fillId="11" borderId="0" xfId="69" applyNumberFormat="1" applyFont="1" applyFill="1" applyBorder="1" applyAlignment="1">
      <alignment vertical="center"/>
    </xf>
    <xf numFmtId="181" fontId="106" fillId="11" borderId="22" xfId="69" applyNumberFormat="1" applyFont="1" applyFill="1" applyBorder="1" applyAlignment="1">
      <alignment vertical="center"/>
    </xf>
    <xf numFmtId="181" fontId="103" fillId="0" borderId="0" xfId="69" applyNumberFormat="1" applyFont="1" applyFill="1" applyBorder="1" applyAlignment="1">
      <alignment vertical="center"/>
    </xf>
    <xf numFmtId="181" fontId="103" fillId="0" borderId="1" xfId="0" applyNumberFormat="1" applyFont="1" applyFill="1" applyBorder="1" applyAlignment="1">
      <alignment vertical="center"/>
    </xf>
    <xf numFmtId="181" fontId="0" fillId="0" borderId="0" xfId="0" applyNumberFormat="1" applyFont="1" applyFill="1"/>
    <xf numFmtId="43" fontId="101" fillId="0" borderId="1" xfId="55" applyFont="1" applyFill="1" applyBorder="1"/>
    <xf numFmtId="43" fontId="101" fillId="0" borderId="0" xfId="55" applyFont="1" applyFill="1" applyBorder="1" applyAlignment="1">
      <alignment vertical="center"/>
    </xf>
    <xf numFmtId="43" fontId="101" fillId="0" borderId="22" xfId="55" applyFont="1" applyFill="1" applyBorder="1" applyAlignment="1">
      <alignment vertical="center"/>
    </xf>
    <xf numFmtId="43" fontId="101" fillId="11" borderId="0" xfId="55" applyFont="1" applyFill="1" applyBorder="1" applyAlignment="1">
      <alignment vertical="center"/>
    </xf>
    <xf numFmtId="43" fontId="101" fillId="0" borderId="1" xfId="55" applyFont="1" applyFill="1" applyBorder="1" applyAlignment="1">
      <alignment vertical="center"/>
    </xf>
    <xf numFmtId="43" fontId="101" fillId="0" borderId="0" xfId="55" applyFont="1" applyFill="1"/>
    <xf numFmtId="0" fontId="0" fillId="11" borderId="0" xfId="0" applyFont="1" applyFill="1" applyAlignment="1">
      <alignment vertical="center"/>
    </xf>
    <xf numFmtId="0" fontId="0" fillId="0" borderId="0" xfId="0" applyFont="1" applyFill="1" applyBorder="1" applyAlignment="1">
      <alignment horizontal="left" indent="2"/>
    </xf>
    <xf numFmtId="0" fontId="74" fillId="0" borderId="0" xfId="0" applyFont="1" applyFill="1" applyBorder="1" applyAlignment="1">
      <alignment horizontal="right"/>
    </xf>
    <xf numFmtId="0" fontId="73" fillId="0" borderId="0" xfId="0" applyFont="1" applyFill="1" applyBorder="1" applyAlignment="1">
      <alignment horizontal="right"/>
    </xf>
    <xf numFmtId="170" fontId="3" fillId="0" borderId="0" xfId="55" applyNumberFormat="1" applyFont="1" applyFill="1" applyBorder="1" applyAlignment="1">
      <alignment horizontal="right"/>
    </xf>
    <xf numFmtId="43" fontId="0" fillId="0" borderId="0" xfId="55" applyNumberFormat="1" applyFont="1" applyFill="1" applyBorder="1" applyAlignment="1">
      <alignment horizontal="right"/>
    </xf>
    <xf numFmtId="9" fontId="0" fillId="0" borderId="0" xfId="55" applyNumberFormat="1" applyFont="1" applyFill="1" applyBorder="1" applyAlignment="1">
      <alignment horizontal="right"/>
    </xf>
    <xf numFmtId="0" fontId="74" fillId="0" borderId="0" xfId="0" applyFont="1" applyFill="1" applyBorder="1" applyAlignment="1">
      <alignment horizontal="left" indent="1"/>
    </xf>
    <xf numFmtId="164" fontId="15" fillId="0" borderId="0" xfId="150" applyNumberFormat="1" applyFont="1" applyFill="1" applyBorder="1" applyAlignment="1">
      <alignment horizontal="right"/>
    </xf>
    <xf numFmtId="164" fontId="75" fillId="0" borderId="0" xfId="55" applyNumberFormat="1" applyFont="1" applyFill="1" applyBorder="1" applyAlignment="1">
      <alignment horizontal="right"/>
    </xf>
    <xf numFmtId="164" fontId="3" fillId="0" borderId="0" xfId="55" applyNumberFormat="1" applyFont="1" applyFill="1" applyBorder="1" applyAlignment="1">
      <alignment horizontal="right"/>
    </xf>
    <xf numFmtId="164" fontId="3" fillId="0" borderId="0" xfId="0" applyNumberFormat="1" applyFont="1" applyFill="1"/>
    <xf numFmtId="166" fontId="3" fillId="0" borderId="0" xfId="55" applyNumberFormat="1" applyFont="1" applyFill="1" applyBorder="1" applyAlignment="1">
      <alignment horizontal="right"/>
    </xf>
    <xf numFmtId="0" fontId="0" fillId="0" borderId="1" xfId="0" applyFont="1" applyFill="1" applyBorder="1" applyAlignment="1">
      <alignment horizontal="left" indent="2"/>
    </xf>
    <xf numFmtId="170" fontId="3" fillId="0" borderId="22" xfId="55" applyNumberFormat="1" applyFont="1" applyFill="1" applyBorder="1" applyAlignment="1">
      <alignment horizontal="right"/>
    </xf>
    <xf numFmtId="0" fontId="74" fillId="0" borderId="1" xfId="0" applyFont="1" applyFill="1" applyBorder="1" applyAlignment="1">
      <alignment horizontal="left" indent="1"/>
    </xf>
    <xf numFmtId="164" fontId="15" fillId="0" borderId="22" xfId="150" applyNumberFormat="1" applyFont="1" applyFill="1" applyBorder="1" applyAlignment="1">
      <alignment horizontal="right"/>
    </xf>
    <xf numFmtId="170" fontId="3" fillId="11" borderId="0" xfId="55" applyNumberFormat="1" applyFont="1" applyFill="1" applyBorder="1"/>
    <xf numFmtId="9" fontId="0" fillId="0" borderId="22" xfId="55" applyNumberFormat="1" applyFont="1" applyFill="1" applyBorder="1" applyAlignment="1">
      <alignment horizontal="right"/>
    </xf>
    <xf numFmtId="0" fontId="3" fillId="0" borderId="1" xfId="0" applyFont="1" applyFill="1" applyBorder="1" applyAlignment="1">
      <alignment horizontal="left" indent="1"/>
    </xf>
    <xf numFmtId="164" fontId="3" fillId="0" borderId="22" xfId="55" applyNumberFormat="1" applyFont="1" applyFill="1" applyBorder="1" applyAlignment="1">
      <alignment horizontal="right"/>
    </xf>
    <xf numFmtId="170" fontId="3" fillId="0" borderId="1" xfId="0" applyNumberFormat="1" applyFont="1" applyFill="1" applyBorder="1" applyAlignment="1">
      <alignment horizontal="left" indent="1"/>
    </xf>
    <xf numFmtId="166" fontId="3" fillId="0" borderId="22" xfId="55" applyNumberFormat="1" applyFont="1" applyFill="1" applyBorder="1" applyAlignment="1">
      <alignment horizontal="right"/>
    </xf>
    <xf numFmtId="9" fontId="3" fillId="0" borderId="0" xfId="55" applyNumberFormat="1" applyFont="1" applyFill="1" applyBorder="1"/>
    <xf numFmtId="9" fontId="0" fillId="11" borderId="0" xfId="55" applyNumberFormat="1" applyFont="1" applyFill="1" applyBorder="1"/>
    <xf numFmtId="0" fontId="100" fillId="16" borderId="9" xfId="0" applyFont="1" applyFill="1" applyBorder="1" applyAlignment="1">
      <alignment vertical="center"/>
    </xf>
    <xf numFmtId="164" fontId="0" fillId="0" borderId="0" xfId="55" applyNumberFormat="1" applyFont="1" applyFill="1" applyBorder="1"/>
    <xf numFmtId="164" fontId="0" fillId="0" borderId="22" xfId="55" applyNumberFormat="1" applyFont="1" applyFill="1" applyBorder="1"/>
    <xf numFmtId="170" fontId="3" fillId="0" borderId="22" xfId="0" applyNumberFormat="1" applyFont="1" applyFill="1" applyBorder="1"/>
    <xf numFmtId="9" fontId="3" fillId="0" borderId="22" xfId="55" applyNumberFormat="1" applyFont="1" applyFill="1" applyBorder="1"/>
    <xf numFmtId="9" fontId="0" fillId="11" borderId="22" xfId="55" applyNumberFormat="1" applyFont="1" applyFill="1" applyBorder="1"/>
    <xf numFmtId="164" fontId="75" fillId="0" borderId="22" xfId="55" applyNumberFormat="1" applyFont="1" applyFill="1" applyBorder="1" applyAlignment="1">
      <alignment horizontal="right"/>
    </xf>
    <xf numFmtId="0" fontId="0" fillId="0" borderId="23" xfId="0" applyFont="1" applyFill="1" applyBorder="1"/>
    <xf numFmtId="0" fontId="103" fillId="0" borderId="23" xfId="0" applyFont="1" applyFill="1" applyBorder="1" applyAlignment="1">
      <alignment vertical="center"/>
    </xf>
    <xf numFmtId="168" fontId="73" fillId="11" borderId="0" xfId="55" applyNumberFormat="1" applyFont="1" applyFill="1" applyBorder="1"/>
    <xf numFmtId="0" fontId="0" fillId="11" borderId="0" xfId="0" applyFont="1" applyFill="1" applyBorder="1" applyAlignment="1">
      <alignment vertical="center"/>
    </xf>
    <xf numFmtId="0" fontId="0" fillId="0" borderId="0" xfId="0" applyFont="1" applyBorder="1"/>
    <xf numFmtId="206" fontId="0" fillId="14" borderId="0" xfId="0" applyNumberFormat="1" applyFont="1" applyFill="1" applyBorder="1" applyAlignment="1">
      <alignment horizontal="right" vertical="center"/>
    </xf>
    <xf numFmtId="207" fontId="0" fillId="14" borderId="0" xfId="0" applyNumberFormat="1" applyFont="1" applyFill="1" applyBorder="1" applyAlignment="1">
      <alignment vertical="center"/>
    </xf>
    <xf numFmtId="210" fontId="0" fillId="14" borderId="0" xfId="0" applyNumberFormat="1" applyFont="1" applyFill="1" applyBorder="1" applyAlignment="1">
      <alignment vertical="center"/>
    </xf>
    <xf numFmtId="49" fontId="3" fillId="0" borderId="8" xfId="0" applyNumberFormat="1" applyFont="1" applyBorder="1" applyAlignment="1">
      <alignment horizontal="centerContinuous" vertical="center"/>
    </xf>
    <xf numFmtId="49" fontId="3" fillId="0" borderId="13" xfId="0" applyNumberFormat="1" applyFont="1" applyBorder="1" applyAlignment="1">
      <alignment horizontal="centerContinuous" vertical="center"/>
    </xf>
    <xf numFmtId="0" fontId="99" fillId="0" borderId="23" xfId="0" applyFont="1" applyFill="1" applyBorder="1"/>
    <xf numFmtId="0" fontId="103" fillId="0" borderId="0" xfId="0" applyFont="1" applyFill="1"/>
    <xf numFmtId="0" fontId="104" fillId="16" borderId="7" xfId="0" applyFont="1" applyFill="1" applyBorder="1" applyAlignment="1">
      <alignment vertical="center"/>
    </xf>
    <xf numFmtId="0" fontId="104" fillId="16" borderId="18" xfId="0" applyFont="1" applyFill="1" applyBorder="1" applyAlignment="1">
      <alignment vertical="center"/>
    </xf>
    <xf numFmtId="0" fontId="104" fillId="16" borderId="17" xfId="0" applyFont="1" applyFill="1" applyBorder="1" applyAlignment="1">
      <alignment vertical="center"/>
    </xf>
    <xf numFmtId="0" fontId="103" fillId="0" borderId="23" xfId="0" applyFont="1" applyBorder="1" applyAlignment="1">
      <alignment vertical="center"/>
    </xf>
    <xf numFmtId="0" fontId="104" fillId="16" borderId="9" xfId="0" applyFont="1" applyFill="1" applyBorder="1" applyAlignment="1">
      <alignment vertical="center"/>
    </xf>
    <xf numFmtId="0" fontId="103" fillId="0" borderId="0" xfId="0" applyFont="1"/>
    <xf numFmtId="43" fontId="104" fillId="0" borderId="0" xfId="55" applyNumberFormat="1" applyFont="1" applyFill="1" applyBorder="1" applyAlignment="1">
      <alignment vertical="center"/>
    </xf>
    <xf numFmtId="43" fontId="104" fillId="0" borderId="22" xfId="55" applyNumberFormat="1" applyFont="1" applyFill="1" applyBorder="1" applyAlignment="1">
      <alignment vertical="center"/>
    </xf>
    <xf numFmtId="0" fontId="104" fillId="0" borderId="23" xfId="0" applyFont="1" applyFill="1" applyBorder="1" applyAlignment="1">
      <alignment vertical="center"/>
    </xf>
    <xf numFmtId="0" fontId="104" fillId="0" borderId="0" xfId="0" applyFont="1" applyFill="1"/>
    <xf numFmtId="0" fontId="104" fillId="11" borderId="0" xfId="55" applyNumberFormat="1" applyFont="1" applyFill="1" applyBorder="1" applyAlignment="1">
      <alignment vertical="center"/>
    </xf>
    <xf numFmtId="0" fontId="104" fillId="0" borderId="22" xfId="55" applyNumberFormat="1" applyFont="1" applyFill="1" applyBorder="1" applyAlignment="1">
      <alignment vertical="center"/>
    </xf>
    <xf numFmtId="0" fontId="104" fillId="0" borderId="0" xfId="55" applyNumberFormat="1" applyFont="1" applyFill="1" applyBorder="1" applyAlignment="1">
      <alignment vertical="center"/>
    </xf>
    <xf numFmtId="0" fontId="104" fillId="0" borderId="1" xfId="55" quotePrefix="1" applyNumberFormat="1" applyFont="1" applyFill="1" applyBorder="1" applyAlignment="1">
      <alignment vertical="center"/>
    </xf>
    <xf numFmtId="0" fontId="104" fillId="0" borderId="0" xfId="55" quotePrefix="1" applyNumberFormat="1" applyFont="1" applyFill="1" applyBorder="1" applyAlignment="1">
      <alignment vertical="center"/>
    </xf>
    <xf numFmtId="0" fontId="104" fillId="11" borderId="0" xfId="55" quotePrefix="1" applyNumberFormat="1" applyFont="1" applyFill="1" applyBorder="1" applyAlignment="1">
      <alignment vertical="center"/>
    </xf>
    <xf numFmtId="170" fontId="104" fillId="0" borderId="23" xfId="0" applyNumberFormat="1" applyFont="1" applyFill="1" applyBorder="1" applyAlignment="1">
      <alignment vertical="center"/>
    </xf>
    <xf numFmtId="164" fontId="103" fillId="0" borderId="0" xfId="150" applyNumberFormat="1" applyFont="1" applyFill="1" applyBorder="1" applyAlignment="1">
      <alignment vertical="center"/>
    </xf>
    <xf numFmtId="170" fontId="104" fillId="0" borderId="0" xfId="0" applyNumberFormat="1" applyFont="1" applyFill="1"/>
    <xf numFmtId="9" fontId="104" fillId="0" borderId="0" xfId="55" applyNumberFormat="1" applyFont="1" applyFill="1" applyBorder="1" applyAlignment="1">
      <alignment vertical="center"/>
    </xf>
    <xf numFmtId="43" fontId="103" fillId="0" borderId="22" xfId="55" applyNumberFormat="1" applyFont="1" applyFill="1" applyBorder="1" applyAlignment="1">
      <alignment vertical="center"/>
    </xf>
    <xf numFmtId="9" fontId="103" fillId="0" borderId="0" xfId="55" applyNumberFormat="1" applyFont="1" applyFill="1" applyBorder="1" applyAlignment="1">
      <alignment vertical="center"/>
    </xf>
    <xf numFmtId="164" fontId="103" fillId="0" borderId="23" xfId="0" applyNumberFormat="1" applyFont="1" applyFill="1" applyBorder="1" applyAlignment="1">
      <alignment vertical="center"/>
    </xf>
    <xf numFmtId="164" fontId="103" fillId="0" borderId="0" xfId="0" applyNumberFormat="1" applyFont="1" applyFill="1"/>
    <xf numFmtId="166" fontId="103" fillId="0" borderId="0" xfId="0" applyNumberFormat="1" applyFont="1" applyFill="1"/>
    <xf numFmtId="9" fontId="103" fillId="0" borderId="22" xfId="55" applyNumberFormat="1" applyFont="1" applyFill="1" applyBorder="1" applyAlignment="1">
      <alignment vertical="center"/>
    </xf>
    <xf numFmtId="164" fontId="103" fillId="0" borderId="22" xfId="150" applyNumberFormat="1" applyFont="1" applyFill="1" applyBorder="1" applyAlignment="1">
      <alignment vertical="center"/>
    </xf>
    <xf numFmtId="0" fontId="103" fillId="0" borderId="23" xfId="115" applyFont="1" applyFill="1" applyBorder="1" applyAlignment="1">
      <alignment vertical="center"/>
    </xf>
    <xf numFmtId="171" fontId="103" fillId="0" borderId="0" xfId="55" applyNumberFormat="1" applyFont="1" applyFill="1" applyBorder="1" applyAlignment="1">
      <alignment vertical="center"/>
    </xf>
    <xf numFmtId="170" fontId="104" fillId="11" borderId="0" xfId="55" applyNumberFormat="1" applyFont="1" applyFill="1" applyBorder="1" applyAlignment="1">
      <alignment vertical="center"/>
    </xf>
    <xf numFmtId="164" fontId="104" fillId="0" borderId="23" xfId="0" applyNumberFormat="1" applyFont="1" applyFill="1" applyBorder="1" applyAlignment="1">
      <alignment vertical="center"/>
    </xf>
    <xf numFmtId="164" fontId="104" fillId="0" borderId="0" xfId="0" applyNumberFormat="1" applyFont="1" applyFill="1"/>
    <xf numFmtId="166" fontId="103" fillId="18" borderId="0" xfId="55" applyNumberFormat="1" applyFont="1" applyFill="1" applyBorder="1" applyAlignment="1">
      <alignment vertical="center"/>
    </xf>
    <xf numFmtId="164" fontId="106" fillId="0" borderId="0" xfId="150" applyNumberFormat="1" applyFont="1" applyFill="1" applyBorder="1" applyAlignment="1">
      <alignment vertical="center"/>
    </xf>
    <xf numFmtId="43" fontId="106" fillId="0" borderId="0" xfId="55" applyNumberFormat="1" applyFont="1" applyFill="1" applyBorder="1" applyAlignment="1">
      <alignment vertical="center"/>
    </xf>
    <xf numFmtId="164" fontId="106" fillId="0" borderId="0" xfId="55" applyNumberFormat="1" applyFont="1" applyFill="1" applyBorder="1" applyAlignment="1">
      <alignment vertical="center"/>
    </xf>
    <xf numFmtId="164" fontId="106" fillId="0" borderId="22" xfId="55" applyNumberFormat="1" applyFont="1" applyFill="1" applyBorder="1" applyAlignment="1">
      <alignment vertical="center"/>
    </xf>
    <xf numFmtId="164" fontId="105" fillId="0" borderId="0" xfId="55" applyNumberFormat="1" applyFont="1" applyFill="1" applyBorder="1" applyAlignment="1">
      <alignment vertical="center"/>
    </xf>
    <xf numFmtId="164" fontId="105" fillId="0" borderId="22" xfId="55" applyNumberFormat="1" applyFont="1" applyFill="1" applyBorder="1" applyAlignment="1">
      <alignment vertical="center"/>
    </xf>
    <xf numFmtId="0" fontId="0" fillId="0" borderId="22" xfId="0" applyFont="1" applyBorder="1"/>
    <xf numFmtId="0" fontId="99" fillId="16" borderId="0" xfId="0" applyFont="1" applyFill="1" applyBorder="1" applyAlignment="1">
      <alignment horizontal="right"/>
    </xf>
    <xf numFmtId="168" fontId="99" fillId="16" borderId="0" xfId="55" applyNumberFormat="1" applyFont="1" applyFill="1" applyBorder="1" applyAlignment="1">
      <alignment horizontal="right"/>
    </xf>
    <xf numFmtId="168" fontId="99" fillId="16" borderId="0" xfId="55" applyNumberFormat="1" applyFont="1" applyFill="1" applyBorder="1"/>
    <xf numFmtId="170" fontId="3" fillId="0" borderId="0" xfId="0" applyNumberFormat="1" applyFont="1" applyFill="1" applyBorder="1" applyAlignment="1">
      <alignment horizontal="right"/>
    </xf>
    <xf numFmtId="43" fontId="3" fillId="0" borderId="0" xfId="115" applyNumberFormat="1" applyFont="1" applyFill="1" applyBorder="1"/>
    <xf numFmtId="166" fontId="3" fillId="0" borderId="0" xfId="115" applyNumberFormat="1" applyFont="1" applyFill="1" applyBorder="1"/>
    <xf numFmtId="178" fontId="3" fillId="0" borderId="0" xfId="55" applyNumberFormat="1" applyFont="1" applyFill="1" applyBorder="1" applyAlignment="1">
      <alignment horizontal="right"/>
    </xf>
    <xf numFmtId="170" fontId="0" fillId="0" borderId="0" xfId="55" applyNumberFormat="1" applyFont="1" applyFill="1" applyBorder="1" applyAlignment="1">
      <alignment horizontal="right"/>
    </xf>
    <xf numFmtId="170" fontId="3" fillId="0" borderId="0" xfId="0" applyNumberFormat="1" applyFont="1" applyFill="1" applyBorder="1" applyAlignment="1">
      <alignment horizontal="left"/>
    </xf>
    <xf numFmtId="0" fontId="100" fillId="16" borderId="0" xfId="0" applyFont="1" applyFill="1" applyBorder="1" applyAlignment="1">
      <alignment horizontal="left"/>
    </xf>
    <xf numFmtId="170" fontId="73" fillId="0" borderId="0" xfId="55" applyNumberFormat="1" applyFont="1" applyFill="1" applyBorder="1" applyAlignment="1">
      <alignment horizontal="right"/>
    </xf>
    <xf numFmtId="166" fontId="73" fillId="0" borderId="0" xfId="55" applyNumberFormat="1" applyFont="1" applyFill="1" applyBorder="1" applyAlignment="1">
      <alignment horizontal="right"/>
    </xf>
    <xf numFmtId="173" fontId="3" fillId="0" borderId="0" xfId="115" applyNumberFormat="1" applyFont="1" applyFill="1" applyBorder="1"/>
    <xf numFmtId="0" fontId="75" fillId="0" borderId="0" xfId="0" applyFont="1" applyFill="1" applyBorder="1"/>
    <xf numFmtId="0" fontId="75" fillId="0" borderId="0" xfId="0" applyFont="1" applyFill="1" applyBorder="1" applyAlignment="1">
      <alignment horizontal="right"/>
    </xf>
    <xf numFmtId="0" fontId="75" fillId="0" borderId="0" xfId="115" applyFont="1" applyFill="1" applyBorder="1"/>
    <xf numFmtId="0" fontId="82" fillId="16" borderId="0" xfId="115" applyFont="1" applyFill="1" applyBorder="1" applyAlignment="1">
      <alignment horizontal="left"/>
    </xf>
    <xf numFmtId="170" fontId="0" fillId="0" borderId="0" xfId="0" applyNumberFormat="1" applyFont="1" applyFill="1" applyBorder="1" applyAlignment="1">
      <alignment horizontal="left"/>
    </xf>
    <xf numFmtId="168" fontId="3" fillId="0" borderId="0" xfId="0" applyNumberFormat="1" applyFont="1" applyFill="1" applyBorder="1" applyAlignment="1">
      <alignment horizontal="right"/>
    </xf>
    <xf numFmtId="0" fontId="81" fillId="0" borderId="0" xfId="0" applyFont="1" applyFill="1" applyBorder="1" applyAlignment="1">
      <alignment horizontal="left" indent="1"/>
    </xf>
    <xf numFmtId="167" fontId="0" fillId="0" borderId="0" xfId="55" applyNumberFormat="1" applyFont="1" applyFill="1" applyBorder="1" applyAlignment="1">
      <alignment horizontal="right"/>
    </xf>
    <xf numFmtId="170" fontId="0" fillId="0" borderId="0" xfId="0" applyNumberFormat="1" applyFont="1" applyFill="1" applyBorder="1" applyAlignment="1">
      <alignment horizontal="left" indent="1"/>
    </xf>
    <xf numFmtId="170" fontId="0" fillId="0" borderId="0" xfId="0" applyNumberFormat="1" applyFont="1" applyFill="1" applyBorder="1" applyAlignment="1">
      <alignment horizontal="right"/>
    </xf>
    <xf numFmtId="3" fontId="0" fillId="0" borderId="0" xfId="0" applyNumberFormat="1" applyFont="1" applyFill="1" applyBorder="1" applyAlignment="1">
      <alignment horizontal="left"/>
    </xf>
    <xf numFmtId="3" fontId="0" fillId="0" borderId="0" xfId="0" applyNumberFormat="1" applyFont="1" applyFill="1" applyBorder="1"/>
    <xf numFmtId="3" fontId="0" fillId="0" borderId="0" xfId="0" applyNumberFormat="1" applyFont="1" applyFill="1" applyBorder="1" applyAlignment="1">
      <alignment horizontal="right"/>
    </xf>
    <xf numFmtId="0" fontId="76" fillId="0" borderId="0" xfId="0" applyFont="1" applyFill="1" applyBorder="1" applyAlignment="1">
      <alignment horizontal="left" indent="1"/>
    </xf>
    <xf numFmtId="0" fontId="76" fillId="0" borderId="0" xfId="0" applyFont="1" applyFill="1" applyBorder="1" applyAlignment="1">
      <alignment horizontal="right"/>
    </xf>
    <xf numFmtId="170" fontId="80" fillId="0" borderId="0" xfId="55" applyNumberFormat="1" applyFont="1" applyFill="1" applyBorder="1"/>
    <xf numFmtId="10" fontId="0" fillId="0" borderId="0" xfId="150" applyNumberFormat="1" applyFont="1" applyFill="1" applyBorder="1" applyAlignment="1">
      <alignment horizontal="right"/>
    </xf>
    <xf numFmtId="10" fontId="0" fillId="0" borderId="0" xfId="150" applyNumberFormat="1" applyFont="1" applyFill="1" applyBorder="1"/>
    <xf numFmtId="168" fontId="3" fillId="0" borderId="0" xfId="0" applyNumberFormat="1" applyFont="1" applyFill="1" applyBorder="1" applyAlignment="1">
      <alignment horizontal="left" indent="1"/>
    </xf>
    <xf numFmtId="168" fontId="100" fillId="16" borderId="0" xfId="0" applyNumberFormat="1" applyFont="1" applyFill="1" applyBorder="1" applyAlignment="1">
      <alignment horizontal="left"/>
    </xf>
    <xf numFmtId="168" fontId="100" fillId="16" borderId="0" xfId="0" applyNumberFormat="1" applyFont="1" applyFill="1" applyBorder="1"/>
    <xf numFmtId="168" fontId="100" fillId="16" borderId="0" xfId="0" applyNumberFormat="1" applyFont="1" applyFill="1" applyBorder="1" applyAlignment="1">
      <alignment horizontal="right"/>
    </xf>
    <xf numFmtId="168" fontId="100" fillId="16" borderId="0" xfId="55" applyNumberFormat="1" applyFont="1" applyFill="1" applyBorder="1"/>
    <xf numFmtId="168" fontId="100" fillId="0" borderId="0" xfId="0" applyNumberFormat="1" applyFont="1" applyFill="1" applyBorder="1"/>
    <xf numFmtId="166" fontId="100" fillId="16" borderId="0" xfId="55" applyNumberFormat="1" applyFont="1" applyFill="1" applyBorder="1"/>
    <xf numFmtId="0" fontId="74" fillId="0" borderId="0" xfId="115" applyFont="1" applyFill="1" applyBorder="1" applyAlignment="1">
      <alignment horizontal="right"/>
    </xf>
    <xf numFmtId="188" fontId="0" fillId="0" borderId="0" xfId="55" applyNumberFormat="1" applyFont="1" applyFill="1" applyBorder="1"/>
    <xf numFmtId="188" fontId="0" fillId="0" borderId="0" xfId="115" applyNumberFormat="1" applyFont="1" applyFill="1" applyBorder="1"/>
    <xf numFmtId="172" fontId="0" fillId="0" borderId="0" xfId="55" applyNumberFormat="1" applyFont="1" applyFill="1" applyBorder="1" applyAlignment="1">
      <alignment horizontal="right"/>
    </xf>
    <xf numFmtId="0" fontId="83" fillId="0" borderId="0" xfId="0" applyFont="1" applyFill="1" applyBorder="1"/>
    <xf numFmtId="0" fontId="83" fillId="0" borderId="0" xfId="0" applyFont="1" applyFill="1" applyBorder="1" applyAlignment="1">
      <alignment horizontal="right"/>
    </xf>
    <xf numFmtId="8" fontId="83" fillId="0" borderId="0" xfId="0" applyNumberFormat="1" applyFont="1" applyFill="1" applyBorder="1"/>
    <xf numFmtId="164" fontId="81" fillId="0" borderId="0" xfId="150" applyNumberFormat="1" applyFont="1" applyFill="1" applyBorder="1" applyAlignment="1">
      <alignment horizontal="right"/>
    </xf>
    <xf numFmtId="172" fontId="83" fillId="0" borderId="0" xfId="55" applyNumberFormat="1" applyFont="1" applyFill="1" applyBorder="1" applyAlignment="1">
      <alignment horizontal="right"/>
    </xf>
    <xf numFmtId="0" fontId="81" fillId="0" borderId="0" xfId="0" applyFont="1" applyFill="1" applyBorder="1"/>
    <xf numFmtId="0" fontId="81" fillId="0" borderId="0" xfId="0" applyFont="1" applyFill="1" applyBorder="1" applyAlignment="1">
      <alignment horizontal="right"/>
    </xf>
    <xf numFmtId="166" fontId="81" fillId="0" borderId="0" xfId="55" applyNumberFormat="1" applyFont="1" applyFill="1" applyBorder="1" applyAlignment="1">
      <alignment horizontal="right"/>
    </xf>
    <xf numFmtId="0" fontId="81" fillId="0" borderId="0" xfId="115" applyFont="1" applyFill="1" applyBorder="1"/>
    <xf numFmtId="170" fontId="0" fillId="11" borderId="0" xfId="0" applyNumberFormat="1" applyFont="1" applyFill="1" applyBorder="1" applyAlignment="1">
      <alignment horizontal="left"/>
    </xf>
    <xf numFmtId="0" fontId="15" fillId="0" borderId="0" xfId="0" applyFont="1" applyFill="1" applyBorder="1"/>
    <xf numFmtId="168" fontId="3" fillId="0" borderId="0" xfId="55" applyNumberFormat="1" applyFont="1" applyFill="1" applyBorder="1" applyAlignment="1">
      <alignment horizontal="left" indent="1"/>
    </xf>
    <xf numFmtId="184" fontId="0" fillId="0" borderId="0" xfId="55" applyNumberFormat="1" applyFont="1" applyFill="1"/>
    <xf numFmtId="170" fontId="75" fillId="0" borderId="0" xfId="55" applyNumberFormat="1" applyFont="1" applyFill="1" applyBorder="1"/>
    <xf numFmtId="170" fontId="0" fillId="0" borderId="22" xfId="55" applyNumberFormat="1" applyFont="1" applyFill="1" applyBorder="1" applyAlignment="1">
      <alignment horizontal="right"/>
    </xf>
    <xf numFmtId="168" fontId="99" fillId="16" borderId="22" xfId="55" applyNumberFormat="1" applyFont="1" applyFill="1" applyBorder="1"/>
    <xf numFmtId="168" fontId="3" fillId="0" borderId="1" xfId="55" applyNumberFormat="1" applyFont="1" applyFill="1" applyBorder="1"/>
    <xf numFmtId="168" fontId="80" fillId="0" borderId="0" xfId="55" applyNumberFormat="1" applyFont="1" applyFill="1" applyBorder="1"/>
    <xf numFmtId="9" fontId="0" fillId="0" borderId="0" xfId="55" applyNumberFormat="1" applyFont="1" applyFill="1" applyBorder="1"/>
    <xf numFmtId="9" fontId="0" fillId="0" borderId="22" xfId="55" applyNumberFormat="1" applyFont="1" applyFill="1" applyBorder="1"/>
    <xf numFmtId="9" fontId="15" fillId="0" borderId="0" xfId="55" applyNumberFormat="1" applyFont="1" applyFill="1" applyBorder="1" applyAlignment="1">
      <alignment horizontal="right"/>
    </xf>
    <xf numFmtId="165" fontId="15" fillId="0" borderId="0" xfId="55" applyNumberFormat="1" applyFont="1" applyFill="1" applyBorder="1" applyAlignment="1">
      <alignment horizontal="right"/>
    </xf>
    <xf numFmtId="9" fontId="15" fillId="0" borderId="0" xfId="55" applyNumberFormat="1" applyFont="1" applyFill="1" applyBorder="1"/>
    <xf numFmtId="9" fontId="15" fillId="0" borderId="22" xfId="55" applyNumberFormat="1" applyFont="1" applyFill="1" applyBorder="1"/>
    <xf numFmtId="9" fontId="70" fillId="11" borderId="0" xfId="55" applyNumberFormat="1" applyFont="1" applyFill="1" applyBorder="1"/>
    <xf numFmtId="166" fontId="15" fillId="0" borderId="0" xfId="55" applyNumberFormat="1" applyFont="1" applyFill="1" applyBorder="1"/>
    <xf numFmtId="170" fontId="3" fillId="0" borderId="1" xfId="0" applyNumberFormat="1" applyFont="1" applyFill="1" applyBorder="1" applyAlignment="1">
      <alignment horizontal="left"/>
    </xf>
    <xf numFmtId="170" fontId="83" fillId="0" borderId="0" xfId="55" applyNumberFormat="1" applyFont="1" applyFill="1" applyBorder="1"/>
    <xf numFmtId="0" fontId="100" fillId="16" borderId="22" xfId="0" applyFont="1" applyFill="1" applyBorder="1" applyAlignment="1">
      <alignment horizontal="left"/>
    </xf>
    <xf numFmtId="188" fontId="0" fillId="0" borderId="22" xfId="115" applyNumberFormat="1" applyFont="1" applyFill="1" applyBorder="1"/>
    <xf numFmtId="170" fontId="76" fillId="0" borderId="0" xfId="55" applyNumberFormat="1" applyFont="1" applyFill="1" applyBorder="1" applyAlignment="1">
      <alignment horizontal="right"/>
    </xf>
    <xf numFmtId="170" fontId="73" fillId="0" borderId="22" xfId="55" applyNumberFormat="1" applyFont="1" applyFill="1" applyBorder="1" applyAlignment="1">
      <alignment horizontal="right"/>
    </xf>
    <xf numFmtId="164" fontId="73" fillId="0" borderId="0" xfId="55" applyNumberFormat="1" applyFont="1" applyFill="1" applyBorder="1" applyAlignment="1">
      <alignment horizontal="right"/>
    </xf>
    <xf numFmtId="164" fontId="73" fillId="0" borderId="22" xfId="55" applyNumberFormat="1" applyFont="1" applyFill="1" applyBorder="1" applyAlignment="1">
      <alignment horizontal="right"/>
    </xf>
    <xf numFmtId="0" fontId="82" fillId="16" borderId="1" xfId="115" applyFont="1" applyFill="1" applyBorder="1" applyAlignment="1">
      <alignment horizontal="left"/>
    </xf>
    <xf numFmtId="164" fontId="2" fillId="16" borderId="0" xfId="55" applyNumberFormat="1" applyFont="1" applyFill="1" applyBorder="1" applyAlignment="1">
      <alignment horizontal="right"/>
    </xf>
    <xf numFmtId="164" fontId="2" fillId="16" borderId="22" xfId="55" applyNumberFormat="1" applyFont="1" applyFill="1" applyBorder="1" applyAlignment="1">
      <alignment horizontal="right"/>
    </xf>
    <xf numFmtId="170" fontId="0" fillId="0" borderId="1" xfId="0" applyNumberFormat="1" applyFont="1" applyFill="1" applyBorder="1" applyAlignment="1">
      <alignment horizontal="left"/>
    </xf>
    <xf numFmtId="167" fontId="83" fillId="0" borderId="0" xfId="55" applyNumberFormat="1" applyFont="1" applyFill="1" applyBorder="1" applyAlignment="1">
      <alignment horizontal="right"/>
    </xf>
    <xf numFmtId="165" fontId="0" fillId="0" borderId="0" xfId="55" applyNumberFormat="1" applyFont="1" applyFill="1" applyBorder="1" applyAlignment="1">
      <alignment horizontal="right"/>
    </xf>
    <xf numFmtId="165" fontId="0" fillId="0" borderId="22" xfId="55" applyNumberFormat="1" applyFont="1" applyFill="1" applyBorder="1" applyAlignment="1">
      <alignment horizontal="right"/>
    </xf>
    <xf numFmtId="164" fontId="83" fillId="0" borderId="0" xfId="55" applyNumberFormat="1" applyFont="1" applyFill="1" applyBorder="1" applyAlignment="1">
      <alignment horizontal="right"/>
    </xf>
    <xf numFmtId="164" fontId="81" fillId="0" borderId="0" xfId="55" applyNumberFormat="1" applyFont="1" applyFill="1" applyBorder="1" applyAlignment="1">
      <alignment horizontal="right"/>
    </xf>
    <xf numFmtId="166" fontId="81" fillId="0" borderId="0" xfId="150" applyNumberFormat="1" applyFont="1" applyFill="1" applyBorder="1" applyAlignment="1">
      <alignment horizontal="right"/>
    </xf>
    <xf numFmtId="164" fontId="3" fillId="0" borderId="0" xfId="55" applyNumberFormat="1" applyFont="1" applyFill="1" applyBorder="1" applyAlignment="1">
      <alignment horizontal="left"/>
    </xf>
    <xf numFmtId="168" fontId="81" fillId="0" borderId="0" xfId="55" applyNumberFormat="1" applyFont="1" applyFill="1" applyBorder="1" applyAlignment="1">
      <alignment horizontal="left"/>
    </xf>
    <xf numFmtId="167" fontId="0" fillId="0" borderId="22" xfId="55" applyNumberFormat="1" applyFont="1" applyFill="1" applyBorder="1" applyAlignment="1">
      <alignment horizontal="right"/>
    </xf>
    <xf numFmtId="0" fontId="81" fillId="0" borderId="1" xfId="0" applyFont="1" applyFill="1" applyBorder="1" applyAlignment="1">
      <alignment horizontal="left" indent="1"/>
    </xf>
    <xf numFmtId="164" fontId="87" fillId="0" borderId="0" xfId="55" applyNumberFormat="1" applyFont="1" applyFill="1" applyBorder="1" applyAlignment="1">
      <alignment horizontal="right"/>
    </xf>
    <xf numFmtId="170" fontId="76" fillId="0" borderId="0" xfId="55" applyNumberFormat="1" applyFont="1" applyFill="1" applyBorder="1"/>
    <xf numFmtId="166" fontId="15" fillId="0" borderId="22" xfId="55" applyNumberFormat="1" applyFont="1" applyFill="1" applyBorder="1"/>
    <xf numFmtId="3" fontId="0" fillId="0" borderId="0" xfId="55" applyNumberFormat="1" applyFont="1" applyFill="1" applyBorder="1" applyAlignment="1">
      <alignment horizontal="right"/>
    </xf>
    <xf numFmtId="165" fontId="0" fillId="11" borderId="0" xfId="55" applyNumberFormat="1" applyFont="1" applyFill="1" applyBorder="1"/>
    <xf numFmtId="166" fontId="3" fillId="11" borderId="0" xfId="55" applyNumberFormat="1" applyFont="1" applyFill="1" applyBorder="1"/>
    <xf numFmtId="166" fontId="0" fillId="11" borderId="0" xfId="55" applyNumberFormat="1" applyFont="1" applyFill="1" applyBorder="1"/>
    <xf numFmtId="166" fontId="15" fillId="11" borderId="0" xfId="55" applyNumberFormat="1" applyFont="1" applyFill="1" applyBorder="1"/>
    <xf numFmtId="166" fontId="73" fillId="11" borderId="0" xfId="55" applyNumberFormat="1" applyFont="1" applyFill="1" applyBorder="1"/>
    <xf numFmtId="166" fontId="22" fillId="11" borderId="0" xfId="55" applyNumberFormat="1" applyFont="1" applyFill="1" applyBorder="1"/>
    <xf numFmtId="166" fontId="102" fillId="11" borderId="0" xfId="55" applyNumberFormat="1" applyFont="1" applyFill="1" applyBorder="1"/>
    <xf numFmtId="0" fontId="76" fillId="0" borderId="1" xfId="0" applyFont="1" applyFill="1" applyBorder="1" applyAlignment="1">
      <alignment horizontal="left" indent="1"/>
    </xf>
    <xf numFmtId="166" fontId="76" fillId="0" borderId="0" xfId="0" applyNumberFormat="1" applyFont="1" applyFill="1" applyBorder="1"/>
    <xf numFmtId="166" fontId="76" fillId="0" borderId="0" xfId="115" applyNumberFormat="1" applyFont="1" applyFill="1" applyBorder="1"/>
    <xf numFmtId="166" fontId="0" fillId="11" borderId="0" xfId="0" applyNumberFormat="1" applyFont="1" applyFill="1" applyBorder="1"/>
    <xf numFmtId="168" fontId="3" fillId="0" borderId="1" xfId="0" applyNumberFormat="1" applyFont="1" applyFill="1" applyBorder="1" applyAlignment="1">
      <alignment horizontal="left" indent="1"/>
    </xf>
    <xf numFmtId="168" fontId="100" fillId="16" borderId="1" xfId="0" applyNumberFormat="1" applyFont="1" applyFill="1" applyBorder="1" applyAlignment="1">
      <alignment horizontal="left"/>
    </xf>
    <xf numFmtId="9" fontId="99" fillId="16" borderId="0" xfId="55" applyNumberFormat="1" applyFont="1" applyFill="1" applyBorder="1"/>
    <xf numFmtId="168" fontId="100" fillId="16" borderId="22" xfId="55" applyNumberFormat="1" applyFont="1" applyFill="1" applyBorder="1"/>
    <xf numFmtId="166" fontId="99" fillId="16" borderId="0" xfId="55" applyNumberFormat="1" applyFont="1" applyFill="1" applyBorder="1" applyAlignment="1">
      <alignment horizontal="right"/>
    </xf>
    <xf numFmtId="9" fontId="3" fillId="0" borderId="0" xfId="150" applyFont="1" applyFill="1" applyBorder="1"/>
    <xf numFmtId="0" fontId="3" fillId="0" borderId="22" xfId="115" applyFont="1" applyFill="1" applyBorder="1" applyAlignment="1">
      <alignment horizontal="right"/>
    </xf>
    <xf numFmtId="9" fontId="73" fillId="0" borderId="0" xfId="150" applyFont="1" applyFill="1" applyBorder="1"/>
    <xf numFmtId="166" fontId="3" fillId="0" borderId="22" xfId="115" applyNumberFormat="1" applyFont="1" applyFill="1" applyBorder="1"/>
    <xf numFmtId="0" fontId="74" fillId="0" borderId="22" xfId="115" applyFont="1" applyFill="1" applyBorder="1" applyAlignment="1">
      <alignment horizontal="right"/>
    </xf>
    <xf numFmtId="188" fontId="0" fillId="11" borderId="0" xfId="55" applyNumberFormat="1" applyFont="1" applyFill="1" applyBorder="1"/>
    <xf numFmtId="166" fontId="113" fillId="0" borderId="0" xfId="55" applyNumberFormat="1" applyFont="1" applyFill="1" applyBorder="1" applyAlignment="1">
      <alignment horizontal="right"/>
    </xf>
    <xf numFmtId="166" fontId="113" fillId="0" borderId="22" xfId="55" applyNumberFormat="1" applyFont="1" applyFill="1" applyBorder="1" applyAlignment="1">
      <alignment horizontal="right"/>
    </xf>
    <xf numFmtId="172" fontId="0" fillId="0" borderId="22" xfId="55" applyNumberFormat="1" applyFont="1" applyFill="1" applyBorder="1" applyAlignment="1">
      <alignment horizontal="right"/>
    </xf>
    <xf numFmtId="166" fontId="81" fillId="0" borderId="22" xfId="55" applyNumberFormat="1" applyFont="1" applyFill="1" applyBorder="1" applyAlignment="1">
      <alignment horizontal="right"/>
    </xf>
    <xf numFmtId="168" fontId="81" fillId="0" borderId="0" xfId="55" applyNumberFormat="1" applyFont="1" applyFill="1" applyBorder="1" applyAlignment="1">
      <alignment horizontal="right"/>
    </xf>
    <xf numFmtId="168" fontId="81" fillId="0" borderId="22" xfId="55" applyNumberFormat="1" applyFont="1" applyFill="1" applyBorder="1" applyAlignment="1">
      <alignment horizontal="right"/>
    </xf>
    <xf numFmtId="170" fontId="0" fillId="11" borderId="1" xfId="0" applyNumberFormat="1" applyFont="1" applyFill="1" applyBorder="1" applyAlignment="1">
      <alignment horizontal="left"/>
    </xf>
    <xf numFmtId="166" fontId="70" fillId="0" borderId="0" xfId="55" applyNumberFormat="1" applyFont="1" applyFill="1" applyBorder="1" applyAlignment="1">
      <alignment horizontal="right"/>
    </xf>
    <xf numFmtId="168" fontId="3" fillId="0" borderId="1" xfId="55" applyNumberFormat="1" applyFont="1" applyFill="1" applyBorder="1" applyAlignment="1">
      <alignment horizontal="left" indent="1"/>
    </xf>
    <xf numFmtId="0" fontId="0" fillId="0" borderId="3" xfId="0" applyFont="1" applyFill="1" applyBorder="1" applyAlignment="1">
      <alignment horizontal="right"/>
    </xf>
    <xf numFmtId="164" fontId="0" fillId="0" borderId="3" xfId="55" applyNumberFormat="1" applyFont="1" applyFill="1" applyBorder="1" applyAlignment="1">
      <alignment horizontal="right"/>
    </xf>
    <xf numFmtId="164" fontId="0" fillId="0" borderId="21" xfId="55" applyNumberFormat="1" applyFont="1" applyFill="1" applyBorder="1" applyAlignment="1">
      <alignment horizontal="right"/>
    </xf>
    <xf numFmtId="170" fontId="3" fillId="0" borderId="1" xfId="55" applyNumberFormat="1" applyFont="1" applyFill="1" applyBorder="1" applyAlignment="1">
      <alignment horizontal="right"/>
    </xf>
    <xf numFmtId="164" fontId="99" fillId="16" borderId="0" xfId="55" applyNumberFormat="1" applyFont="1" applyFill="1" applyBorder="1"/>
    <xf numFmtId="166" fontId="73" fillId="0" borderId="22" xfId="55" applyNumberFormat="1" applyFont="1" applyFill="1" applyBorder="1" applyAlignment="1">
      <alignment horizontal="right"/>
    </xf>
    <xf numFmtId="164" fontId="74" fillId="0" borderId="0" xfId="55" applyNumberFormat="1" applyFont="1" applyFill="1" applyBorder="1" applyAlignment="1">
      <alignment horizontal="right"/>
    </xf>
    <xf numFmtId="0" fontId="75" fillId="0" borderId="1" xfId="0" applyFont="1" applyFill="1" applyBorder="1"/>
    <xf numFmtId="0" fontId="2" fillId="16" borderId="1" xfId="115" applyFont="1" applyFill="1" applyBorder="1"/>
    <xf numFmtId="3" fontId="0" fillId="0" borderId="1" xfId="0" applyNumberFormat="1" applyFont="1" applyFill="1" applyBorder="1"/>
    <xf numFmtId="168" fontId="83" fillId="11" borderId="0" xfId="55" applyNumberFormat="1" applyFont="1" applyFill="1" applyBorder="1"/>
    <xf numFmtId="168" fontId="71" fillId="0" borderId="0" xfId="55" applyNumberFormat="1" applyFont="1" applyFill="1" applyBorder="1"/>
    <xf numFmtId="168" fontId="71" fillId="11" borderId="0" xfId="55" applyNumberFormat="1" applyFont="1" applyFill="1" applyBorder="1"/>
    <xf numFmtId="168" fontId="80" fillId="0" borderId="22" xfId="55" applyNumberFormat="1" applyFont="1" applyFill="1" applyBorder="1"/>
    <xf numFmtId="168" fontId="100" fillId="16" borderId="1" xfId="0" applyNumberFormat="1" applyFont="1" applyFill="1" applyBorder="1"/>
    <xf numFmtId="168" fontId="100" fillId="16" borderId="0" xfId="115" applyNumberFormat="1" applyFont="1" applyFill="1" applyBorder="1"/>
    <xf numFmtId="170" fontId="0" fillId="0" borderId="1" xfId="55" applyNumberFormat="1" applyFont="1" applyFill="1" applyBorder="1" applyAlignment="1">
      <alignment horizontal="right"/>
    </xf>
    <xf numFmtId="0" fontId="111" fillId="16" borderId="0" xfId="0" applyFont="1" applyFill="1" applyBorder="1" applyAlignment="1">
      <alignment horizontal="right"/>
    </xf>
    <xf numFmtId="0" fontId="111" fillId="16" borderId="0" xfId="115" applyFont="1" applyFill="1" applyBorder="1" applyAlignment="1">
      <alignment horizontal="right"/>
    </xf>
    <xf numFmtId="0" fontId="111" fillId="16" borderId="22" xfId="115" applyFont="1" applyFill="1" applyBorder="1" applyAlignment="1">
      <alignment horizontal="right"/>
    </xf>
    <xf numFmtId="164" fontId="73" fillId="0" borderId="0" xfId="55" applyNumberFormat="1" applyFont="1" applyFill="1" applyBorder="1"/>
    <xf numFmtId="164" fontId="3" fillId="0" borderId="0" xfId="55" applyNumberFormat="1" applyFont="1" applyFill="1" applyBorder="1"/>
    <xf numFmtId="188" fontId="0" fillId="0" borderId="22" xfId="55" applyNumberFormat="1" applyFont="1" applyFill="1" applyBorder="1"/>
    <xf numFmtId="0" fontId="83" fillId="0" borderId="1" xfId="0" applyFont="1" applyFill="1" applyBorder="1"/>
    <xf numFmtId="170" fontId="3" fillId="0" borderId="0" xfId="115" applyNumberFormat="1" applyFont="1" applyFill="1" applyBorder="1"/>
    <xf numFmtId="170" fontId="3" fillId="0" borderId="22" xfId="115" applyNumberFormat="1" applyFont="1" applyFill="1" applyBorder="1"/>
    <xf numFmtId="0" fontId="81" fillId="0" borderId="1" xfId="0" applyFont="1" applyFill="1" applyBorder="1"/>
    <xf numFmtId="0" fontId="0" fillId="0" borderId="23" xfId="0" applyFont="1" applyFill="1" applyBorder="1" applyAlignment="1">
      <alignment horizontal="right"/>
    </xf>
    <xf numFmtId="0" fontId="75" fillId="0" borderId="22" xfId="0" applyFont="1" applyFill="1" applyBorder="1"/>
    <xf numFmtId="0" fontId="74" fillId="0" borderId="22" xfId="0" applyFont="1" applyFill="1" applyBorder="1"/>
    <xf numFmtId="3" fontId="0" fillId="0" borderId="22" xfId="0" applyNumberFormat="1" applyFont="1" applyFill="1" applyBorder="1"/>
    <xf numFmtId="168" fontId="100" fillId="16" borderId="22" xfId="0" applyNumberFormat="1" applyFont="1" applyFill="1" applyBorder="1"/>
    <xf numFmtId="0" fontId="83" fillId="0" borderId="22" xfId="0" applyFont="1" applyFill="1" applyBorder="1"/>
    <xf numFmtId="0" fontId="81" fillId="0" borderId="22" xfId="0" applyFont="1" applyFill="1" applyBorder="1"/>
    <xf numFmtId="170" fontId="3" fillId="0" borderId="22" xfId="0" applyNumberFormat="1" applyFont="1" applyFill="1" applyBorder="1" applyAlignment="1">
      <alignment horizontal="right"/>
    </xf>
    <xf numFmtId="0" fontId="3" fillId="0" borderId="22" xfId="0" applyFont="1" applyFill="1" applyBorder="1" applyAlignment="1">
      <alignment horizontal="right"/>
    </xf>
    <xf numFmtId="0" fontId="99" fillId="16" borderId="22" xfId="0" applyFont="1" applyFill="1" applyBorder="1" applyAlignment="1">
      <alignment horizontal="right"/>
    </xf>
    <xf numFmtId="0" fontId="73" fillId="0" borderId="22" xfId="0" applyFont="1" applyFill="1" applyBorder="1" applyAlignment="1">
      <alignment horizontal="right"/>
    </xf>
    <xf numFmtId="0" fontId="75" fillId="0" borderId="22" xfId="0" applyFont="1" applyFill="1" applyBorder="1" applyAlignment="1">
      <alignment horizontal="right"/>
    </xf>
    <xf numFmtId="0" fontId="74" fillId="0" borderId="22" xfId="0" applyFont="1" applyFill="1" applyBorder="1" applyAlignment="1">
      <alignment horizontal="right"/>
    </xf>
    <xf numFmtId="168" fontId="3" fillId="0" borderId="22" xfId="0" applyNumberFormat="1" applyFont="1" applyFill="1" applyBorder="1" applyAlignment="1">
      <alignment horizontal="right"/>
    </xf>
    <xf numFmtId="170" fontId="0" fillId="0" borderId="22" xfId="0" applyNumberFormat="1" applyFont="1" applyFill="1" applyBorder="1" applyAlignment="1">
      <alignment horizontal="right"/>
    </xf>
    <xf numFmtId="3" fontId="0" fillId="0" borderId="22" xfId="0" applyNumberFormat="1" applyFont="1" applyFill="1" applyBorder="1" applyAlignment="1">
      <alignment horizontal="right"/>
    </xf>
    <xf numFmtId="0" fontId="76" fillId="0" borderId="22" xfId="0" applyFont="1" applyFill="1" applyBorder="1" applyAlignment="1">
      <alignment horizontal="right"/>
    </xf>
    <xf numFmtId="168" fontId="100" fillId="16" borderId="22" xfId="0" applyNumberFormat="1" applyFont="1" applyFill="1" applyBorder="1" applyAlignment="1">
      <alignment horizontal="right"/>
    </xf>
    <xf numFmtId="0" fontId="83" fillId="0" borderId="22" xfId="0" applyFont="1" applyFill="1" applyBorder="1" applyAlignment="1">
      <alignment horizontal="right"/>
    </xf>
    <xf numFmtId="0" fontId="81" fillId="0" borderId="22" xfId="0" applyFont="1" applyFill="1" applyBorder="1" applyAlignment="1">
      <alignment horizontal="right"/>
    </xf>
    <xf numFmtId="0" fontId="0" fillId="0" borderId="21" xfId="0" applyFont="1" applyFill="1" applyBorder="1" applyAlignment="1">
      <alignment horizontal="right"/>
    </xf>
    <xf numFmtId="168" fontId="99" fillId="16" borderId="22" xfId="55" applyNumberFormat="1" applyFont="1" applyFill="1" applyBorder="1" applyAlignment="1">
      <alignment horizontal="right"/>
    </xf>
    <xf numFmtId="167" fontId="83" fillId="0" borderId="22" xfId="55" applyNumberFormat="1" applyFont="1" applyFill="1" applyBorder="1" applyAlignment="1">
      <alignment horizontal="right"/>
    </xf>
    <xf numFmtId="3" fontId="0" fillId="0" borderId="22" xfId="55" applyNumberFormat="1" applyFont="1" applyFill="1" applyBorder="1" applyAlignment="1">
      <alignment horizontal="right"/>
    </xf>
    <xf numFmtId="170" fontId="83" fillId="0" borderId="22" xfId="55" applyNumberFormat="1" applyFont="1" applyFill="1" applyBorder="1"/>
    <xf numFmtId="10" fontId="0" fillId="0" borderId="22" xfId="150" applyNumberFormat="1" applyFont="1" applyFill="1" applyBorder="1" applyAlignment="1">
      <alignment horizontal="right"/>
    </xf>
    <xf numFmtId="166" fontId="99" fillId="16" borderId="22" xfId="55" applyNumberFormat="1" applyFont="1" applyFill="1" applyBorder="1" applyAlignment="1">
      <alignment horizontal="right"/>
    </xf>
    <xf numFmtId="8" fontId="83" fillId="0" borderId="22" xfId="0" applyNumberFormat="1" applyFont="1" applyFill="1" applyBorder="1"/>
    <xf numFmtId="172" fontId="83" fillId="0" borderId="22" xfId="55" applyNumberFormat="1" applyFont="1" applyFill="1" applyBorder="1" applyAlignment="1">
      <alignment horizontal="right"/>
    </xf>
    <xf numFmtId="164" fontId="83" fillId="0" borderId="22" xfId="55" applyNumberFormat="1" applyFont="1" applyFill="1" applyBorder="1" applyAlignment="1">
      <alignment horizontal="right"/>
    </xf>
    <xf numFmtId="164" fontId="81" fillId="0" borderId="22" xfId="55" applyNumberFormat="1" applyFont="1" applyFill="1" applyBorder="1" applyAlignment="1">
      <alignment horizontal="right"/>
    </xf>
    <xf numFmtId="10" fontId="0" fillId="0" borderId="22" xfId="150" applyNumberFormat="1" applyFont="1" applyFill="1" applyBorder="1"/>
    <xf numFmtId="9" fontId="15" fillId="0" borderId="22" xfId="55" applyNumberFormat="1" applyFont="1" applyFill="1" applyBorder="1" applyAlignment="1">
      <alignment horizontal="right"/>
    </xf>
    <xf numFmtId="166" fontId="0" fillId="11" borderId="22" xfId="55" applyNumberFormat="1" applyFont="1" applyFill="1" applyBorder="1"/>
    <xf numFmtId="166" fontId="73" fillId="11" borderId="22" xfId="55" applyNumberFormat="1" applyFont="1" applyFill="1" applyBorder="1"/>
    <xf numFmtId="170" fontId="75" fillId="0" borderId="22" xfId="55" applyNumberFormat="1" applyFont="1" applyFill="1" applyBorder="1"/>
    <xf numFmtId="165" fontId="15" fillId="0" borderId="22" xfId="55" applyNumberFormat="1" applyFont="1" applyFill="1" applyBorder="1" applyAlignment="1">
      <alignment horizontal="right"/>
    </xf>
    <xf numFmtId="170" fontId="80" fillId="0" borderId="22" xfId="55" applyNumberFormat="1" applyFont="1" applyFill="1" applyBorder="1"/>
    <xf numFmtId="165" fontId="0" fillId="0" borderId="22" xfId="55" applyNumberFormat="1" applyFont="1" applyFill="1" applyBorder="1"/>
    <xf numFmtId="166" fontId="15" fillId="11" borderId="22" xfId="55" applyNumberFormat="1" applyFont="1" applyFill="1" applyBorder="1"/>
    <xf numFmtId="166" fontId="22" fillId="11" borderId="22" xfId="55" applyNumberFormat="1" applyFont="1" applyFill="1" applyBorder="1"/>
    <xf numFmtId="164" fontId="81" fillId="0" borderId="22" xfId="150" applyNumberFormat="1" applyFont="1" applyFill="1" applyBorder="1" applyAlignment="1">
      <alignment horizontal="right"/>
    </xf>
    <xf numFmtId="166" fontId="81" fillId="0" borderId="22" xfId="150" applyNumberFormat="1" applyFont="1" applyFill="1" applyBorder="1" applyAlignment="1">
      <alignment horizontal="right"/>
    </xf>
    <xf numFmtId="168" fontId="81" fillId="0" borderId="22" xfId="55" applyNumberFormat="1" applyFont="1" applyFill="1" applyBorder="1" applyAlignment="1">
      <alignment horizontal="left"/>
    </xf>
    <xf numFmtId="166" fontId="70" fillId="0" borderId="22" xfId="55" applyNumberFormat="1" applyFont="1" applyFill="1" applyBorder="1" applyAlignment="1">
      <alignment horizontal="right"/>
    </xf>
    <xf numFmtId="43" fontId="102" fillId="0" borderId="22" xfId="55" applyNumberFormat="1" applyFont="1" applyFill="1" applyBorder="1"/>
    <xf numFmtId="0" fontId="75" fillId="0" borderId="22" xfId="115" applyFont="1" applyFill="1" applyBorder="1"/>
    <xf numFmtId="166" fontId="82" fillId="0" borderId="0" xfId="0" applyNumberFormat="1" applyFont="1" applyFill="1" applyBorder="1"/>
    <xf numFmtId="166" fontId="103" fillId="0" borderId="1" xfId="55" applyNumberFormat="1" applyFont="1" applyFill="1" applyBorder="1" applyAlignment="1">
      <alignment vertical="center"/>
    </xf>
    <xf numFmtId="0" fontId="0" fillId="0" borderId="20" xfId="115" applyFont="1" applyFill="1" applyBorder="1" applyAlignment="1">
      <alignment horizontal="left"/>
    </xf>
    <xf numFmtId="168" fontId="0" fillId="0" borderId="0" xfId="55" applyNumberFormat="1" applyFont="1" applyFill="1" applyBorder="1" applyAlignment="1">
      <alignment vertical="center"/>
    </xf>
    <xf numFmtId="168" fontId="0" fillId="0" borderId="22" xfId="55" applyNumberFormat="1" applyFont="1" applyFill="1" applyBorder="1" applyAlignment="1">
      <alignment vertical="center"/>
    </xf>
    <xf numFmtId="166" fontId="0" fillId="0" borderId="0" xfId="55" applyNumberFormat="1" applyFont="1" applyFill="1" applyBorder="1" applyAlignment="1">
      <alignment vertical="center"/>
    </xf>
    <xf numFmtId="166" fontId="0" fillId="0" borderId="22" xfId="55" applyNumberFormat="1" applyFont="1" applyFill="1" applyBorder="1" applyAlignment="1">
      <alignment vertical="center"/>
    </xf>
    <xf numFmtId="164" fontId="0" fillId="0" borderId="22" xfId="0" applyNumberFormat="1" applyFont="1" applyFill="1" applyBorder="1" applyAlignment="1">
      <alignment vertical="center"/>
    </xf>
    <xf numFmtId="168" fontId="0" fillId="0" borderId="1" xfId="55" applyNumberFormat="1" applyFont="1" applyFill="1" applyBorder="1" applyAlignment="1">
      <alignment vertical="center"/>
    </xf>
    <xf numFmtId="168" fontId="0" fillId="0" borderId="3" xfId="55" applyNumberFormat="1" applyFont="1" applyFill="1" applyBorder="1" applyAlignment="1">
      <alignment vertical="center"/>
    </xf>
    <xf numFmtId="168" fontId="0" fillId="0" borderId="21" xfId="55" applyNumberFormat="1" applyFont="1" applyFill="1" applyBorder="1" applyAlignment="1">
      <alignment vertical="center"/>
    </xf>
    <xf numFmtId="179" fontId="3" fillId="0" borderId="22" xfId="0" applyNumberFormat="1" applyFont="1" applyFill="1" applyBorder="1" applyAlignment="1">
      <alignment vertical="center"/>
    </xf>
    <xf numFmtId="179" fontId="3" fillId="0" borderId="0" xfId="55" applyNumberFormat="1" applyFont="1" applyFill="1" applyBorder="1" applyAlignment="1">
      <alignment vertical="center"/>
    </xf>
    <xf numFmtId="179" fontId="3" fillId="0" borderId="22" xfId="55" applyNumberFormat="1" applyFont="1" applyFill="1" applyBorder="1" applyAlignment="1">
      <alignment vertical="center"/>
    </xf>
    <xf numFmtId="179" fontId="3" fillId="0" borderId="1" xfId="0" applyNumberFormat="1" applyFont="1" applyFill="1" applyBorder="1" applyAlignment="1">
      <alignment vertical="center"/>
    </xf>
    <xf numFmtId="166" fontId="0" fillId="0" borderId="22" xfId="0" applyNumberFormat="1" applyFont="1" applyFill="1" applyBorder="1" applyAlignment="1">
      <alignment vertical="center"/>
    </xf>
    <xf numFmtId="166" fontId="0" fillId="0" borderId="0" xfId="115" applyNumberFormat="1" applyFont="1" applyFill="1" applyBorder="1" applyAlignment="1">
      <alignment vertical="center"/>
    </xf>
    <xf numFmtId="166" fontId="0" fillId="0" borderId="22" xfId="115" applyNumberFormat="1" applyFont="1" applyFill="1" applyBorder="1" applyAlignment="1">
      <alignment vertical="center"/>
    </xf>
    <xf numFmtId="166" fontId="0" fillId="0" borderId="1" xfId="0" applyNumberFormat="1" applyFont="1" applyFill="1" applyBorder="1" applyAlignment="1">
      <alignment vertical="center"/>
    </xf>
    <xf numFmtId="167" fontId="0" fillId="0" borderId="3" xfId="0" applyNumberFormat="1" applyFont="1" applyFill="1" applyBorder="1" applyAlignment="1">
      <alignment vertical="center"/>
    </xf>
    <xf numFmtId="167" fontId="0" fillId="0" borderId="21" xfId="0" applyNumberFormat="1" applyFont="1" applyFill="1" applyBorder="1" applyAlignment="1">
      <alignment vertical="center"/>
    </xf>
    <xf numFmtId="167" fontId="0" fillId="0" borderId="3" xfId="69" applyNumberFormat="1" applyFont="1" applyFill="1" applyBorder="1" applyAlignment="1">
      <alignment vertical="center"/>
    </xf>
    <xf numFmtId="167" fontId="0" fillId="0" borderId="21" xfId="69" applyNumberFormat="1" applyFont="1" applyFill="1" applyBorder="1" applyAlignment="1">
      <alignment vertical="center"/>
    </xf>
    <xf numFmtId="9" fontId="0" fillId="0" borderId="3" xfId="69" applyNumberFormat="1" applyFont="1" applyFill="1" applyBorder="1" applyAlignment="1">
      <alignment vertical="center"/>
    </xf>
    <xf numFmtId="9" fontId="0" fillId="0" borderId="21" xfId="69" applyNumberFormat="1" applyFont="1" applyFill="1" applyBorder="1" applyAlignment="1">
      <alignment vertical="center"/>
    </xf>
    <xf numFmtId="43" fontId="0" fillId="0" borderId="21" xfId="69" applyNumberFormat="1" applyFont="1" applyFill="1" applyBorder="1" applyAlignment="1">
      <alignment vertical="center"/>
    </xf>
    <xf numFmtId="167" fontId="0" fillId="0" borderId="3" xfId="115" applyNumberFormat="1" applyFont="1" applyFill="1" applyBorder="1" applyAlignment="1">
      <alignment vertical="center"/>
    </xf>
    <xf numFmtId="167" fontId="0" fillId="0" borderId="21" xfId="115" applyNumberFormat="1" applyFont="1" applyFill="1" applyBorder="1" applyAlignment="1">
      <alignment vertical="center"/>
    </xf>
    <xf numFmtId="166" fontId="0" fillId="0" borderId="21" xfId="69" applyNumberFormat="1" applyFont="1" applyFill="1" applyBorder="1" applyAlignment="1">
      <alignment vertical="center"/>
    </xf>
    <xf numFmtId="166" fontId="0" fillId="0" borderId="3" xfId="69" applyNumberFormat="1" applyFont="1" applyFill="1" applyBorder="1" applyAlignment="1">
      <alignment vertical="center"/>
    </xf>
    <xf numFmtId="167" fontId="0" fillId="0" borderId="22" xfId="0" applyNumberFormat="1" applyFont="1" applyFill="1" applyBorder="1" applyAlignment="1">
      <alignment vertical="center"/>
    </xf>
    <xf numFmtId="167" fontId="0" fillId="0" borderId="20" xfId="0" applyNumberFormat="1" applyFont="1" applyFill="1" applyBorder="1" applyAlignment="1">
      <alignment vertical="center"/>
    </xf>
    <xf numFmtId="168" fontId="0" fillId="0" borderId="0" xfId="0" applyNumberFormat="1" applyFont="1" applyFill="1" applyBorder="1"/>
    <xf numFmtId="168" fontId="0" fillId="0" borderId="0" xfId="115" applyNumberFormat="1" applyFont="1" applyFill="1" applyBorder="1" applyAlignment="1">
      <alignment horizontal="left"/>
    </xf>
    <xf numFmtId="168" fontId="0" fillId="0" borderId="0" xfId="0" applyNumberFormat="1" applyFont="1" applyFill="1" applyBorder="1" applyAlignment="1">
      <alignment horizontal="right"/>
    </xf>
    <xf numFmtId="168" fontId="0" fillId="0" borderId="22" xfId="0" applyNumberFormat="1" applyFont="1" applyFill="1" applyBorder="1" applyAlignment="1">
      <alignment vertical="center"/>
    </xf>
    <xf numFmtId="168" fontId="0" fillId="0" borderId="0" xfId="0" applyNumberFormat="1" applyFont="1" applyFill="1" applyAlignment="1">
      <alignment horizontal="right"/>
    </xf>
    <xf numFmtId="168" fontId="0" fillId="0" borderId="3" xfId="115" applyNumberFormat="1" applyFont="1" applyFill="1" applyBorder="1" applyAlignment="1">
      <alignment horizontal="left"/>
    </xf>
    <xf numFmtId="168" fontId="0" fillId="0" borderId="3" xfId="0" applyNumberFormat="1" applyFont="1" applyFill="1" applyBorder="1" applyAlignment="1">
      <alignment horizontal="right"/>
    </xf>
    <xf numFmtId="166" fontId="3" fillId="0" borderId="1" xfId="115" applyNumberFormat="1" applyFont="1" applyFill="1" applyBorder="1" applyAlignment="1">
      <alignment horizontal="left"/>
    </xf>
    <xf numFmtId="166" fontId="0" fillId="0" borderId="1" xfId="55" applyNumberFormat="1" applyFont="1" applyFill="1" applyBorder="1" applyAlignment="1">
      <alignment vertical="center"/>
    </xf>
    <xf numFmtId="7" fontId="0" fillId="0" borderId="0" xfId="0" applyNumberFormat="1" applyFont="1" applyFill="1" applyBorder="1"/>
    <xf numFmtId="7" fontId="3" fillId="0" borderId="1" xfId="115" applyNumberFormat="1" applyFont="1" applyFill="1" applyBorder="1" applyAlignment="1">
      <alignment horizontal="left"/>
    </xf>
    <xf numFmtId="7" fontId="0" fillId="0" borderId="0" xfId="115" applyNumberFormat="1" applyFont="1" applyFill="1" applyBorder="1" applyAlignment="1">
      <alignment horizontal="left"/>
    </xf>
    <xf numFmtId="7" fontId="0" fillId="0" borderId="0" xfId="0" applyNumberFormat="1" applyFont="1" applyFill="1" applyBorder="1" applyAlignment="1">
      <alignment horizontal="right"/>
    </xf>
    <xf numFmtId="7" fontId="0" fillId="0" borderId="0" xfId="55" applyNumberFormat="1" applyFont="1" applyFill="1" applyBorder="1" applyAlignment="1">
      <alignment vertical="center"/>
    </xf>
    <xf numFmtId="7" fontId="0" fillId="0" borderId="22" xfId="55" applyNumberFormat="1" applyFont="1" applyFill="1" applyBorder="1" applyAlignment="1">
      <alignment vertical="center"/>
    </xf>
    <xf numFmtId="7" fontId="0" fillId="0" borderId="22" xfId="0" applyNumberFormat="1" applyFont="1" applyFill="1" applyBorder="1" applyAlignment="1">
      <alignment vertical="center"/>
    </xf>
    <xf numFmtId="7" fontId="0" fillId="0" borderId="1" xfId="55" applyNumberFormat="1" applyFont="1" applyFill="1" applyBorder="1" applyAlignment="1">
      <alignment vertical="center"/>
    </xf>
    <xf numFmtId="7" fontId="0" fillId="0" borderId="0" xfId="0" applyNumberFormat="1" applyFont="1" applyFill="1" applyAlignment="1">
      <alignment horizontal="right"/>
    </xf>
    <xf numFmtId="168" fontId="103" fillId="0" borderId="0" xfId="0" applyNumberFormat="1" applyFont="1" applyFill="1" applyBorder="1"/>
    <xf numFmtId="168" fontId="103" fillId="0" borderId="0" xfId="0" applyNumberFormat="1" applyFont="1" applyFill="1" applyAlignment="1">
      <alignment horizontal="right"/>
    </xf>
    <xf numFmtId="213" fontId="0" fillId="0" borderId="0" xfId="0" applyNumberFormat="1" applyFont="1" applyFill="1" applyBorder="1"/>
    <xf numFmtId="213" fontId="100" fillId="11" borderId="0" xfId="0" applyNumberFormat="1" applyFont="1" applyFill="1" applyAlignment="1">
      <alignment vertical="center"/>
    </xf>
    <xf numFmtId="213" fontId="3" fillId="0" borderId="0" xfId="0" applyNumberFormat="1" applyFont="1" applyFill="1" applyBorder="1" applyAlignment="1">
      <alignment vertical="center"/>
    </xf>
    <xf numFmtId="213" fontId="0" fillId="0" borderId="0" xfId="0" applyNumberFormat="1" applyFont="1" applyFill="1" applyBorder="1" applyAlignment="1">
      <alignment vertical="center"/>
    </xf>
    <xf numFmtId="213" fontId="70" fillId="0" borderId="0" xfId="0" applyNumberFormat="1" applyFont="1" applyFill="1" applyBorder="1"/>
    <xf numFmtId="213" fontId="71" fillId="0" borderId="0" xfId="0" applyNumberFormat="1" applyFont="1" applyFill="1" applyBorder="1"/>
    <xf numFmtId="213" fontId="97" fillId="0" borderId="0" xfId="0" applyNumberFormat="1" applyFont="1" applyFill="1" applyBorder="1"/>
    <xf numFmtId="213" fontId="97" fillId="0" borderId="0" xfId="0" applyNumberFormat="1" applyFont="1" applyFill="1" applyBorder="1" applyAlignment="1">
      <alignment horizontal="right"/>
    </xf>
    <xf numFmtId="213" fontId="3" fillId="0" borderId="0" xfId="0" applyNumberFormat="1" applyFont="1" applyFill="1" applyBorder="1"/>
    <xf numFmtId="213" fontId="101" fillId="0" borderId="0" xfId="55" applyNumberFormat="1" applyFont="1" applyFill="1" applyBorder="1"/>
    <xf numFmtId="213" fontId="2" fillId="11" borderId="0" xfId="0" applyNumberFormat="1" applyFont="1" applyFill="1" applyAlignment="1">
      <alignment vertical="center"/>
    </xf>
    <xf numFmtId="213" fontId="103" fillId="0" borderId="0" xfId="0" applyNumberFormat="1" applyFont="1" applyFill="1" applyBorder="1"/>
    <xf numFmtId="213" fontId="101" fillId="0" borderId="0" xfId="0" applyNumberFormat="1" applyFont="1" applyFill="1" applyBorder="1"/>
    <xf numFmtId="0" fontId="70" fillId="0" borderId="0" xfId="115" applyFont="1" applyAlignment="1">
      <alignment vertical="center"/>
    </xf>
    <xf numFmtId="0" fontId="2" fillId="14" borderId="0" xfId="115" applyFont="1" applyFill="1" applyAlignment="1">
      <alignment vertical="center"/>
    </xf>
    <xf numFmtId="0" fontId="2" fillId="0" borderId="0" xfId="115" applyFont="1" applyAlignment="1">
      <alignment vertical="center"/>
    </xf>
    <xf numFmtId="0" fontId="85" fillId="12" borderId="0" xfId="115" applyFont="1" applyFill="1" applyAlignment="1">
      <alignment vertical="center"/>
    </xf>
    <xf numFmtId="214" fontId="3" fillId="0" borderId="0" xfId="115" applyNumberFormat="1" applyFont="1" applyAlignment="1">
      <alignment vertical="center"/>
    </xf>
    <xf numFmtId="0" fontId="3" fillId="14" borderId="0" xfId="115" applyFont="1" applyFill="1" applyAlignment="1">
      <alignment vertical="center"/>
    </xf>
    <xf numFmtId="208" fontId="3" fillId="14" borderId="0" xfId="115" applyNumberFormat="1" applyFont="1" applyFill="1" applyAlignment="1">
      <alignment horizontal="right" vertical="center"/>
    </xf>
    <xf numFmtId="206" fontId="88" fillId="14" borderId="0" xfId="115" applyNumberFormat="1" applyFont="1" applyFill="1" applyAlignment="1">
      <alignment horizontal="right" vertical="center"/>
    </xf>
    <xf numFmtId="210" fontId="2" fillId="0" borderId="0" xfId="115" applyNumberFormat="1" applyFont="1" applyAlignment="1">
      <alignment vertical="center"/>
    </xf>
    <xf numFmtId="0" fontId="3" fillId="0" borderId="0" xfId="115" applyFont="1" applyBorder="1" applyAlignment="1">
      <alignment vertical="center"/>
    </xf>
    <xf numFmtId="0" fontId="77" fillId="0" borderId="0" xfId="115" applyFont="1" applyBorder="1" applyAlignment="1">
      <alignment horizontal="centerContinuous" vertical="center"/>
    </xf>
    <xf numFmtId="0" fontId="3" fillId="0" borderId="0" xfId="115" applyFont="1" applyBorder="1" applyAlignment="1">
      <alignment horizontal="center" vertical="center"/>
    </xf>
    <xf numFmtId="0" fontId="3" fillId="0" borderId="16" xfId="115" applyFont="1" applyBorder="1" applyAlignment="1">
      <alignment vertical="center"/>
    </xf>
    <xf numFmtId="211" fontId="3" fillId="0" borderId="16" xfId="115" applyNumberFormat="1" applyFont="1" applyBorder="1" applyAlignment="1">
      <alignment horizontal="right" vertical="center"/>
    </xf>
    <xf numFmtId="212" fontId="3" fillId="0" borderId="16" xfId="115" applyNumberFormat="1" applyFont="1" applyBorder="1" applyAlignment="1">
      <alignment horizontal="right" vertical="center"/>
    </xf>
    <xf numFmtId="0" fontId="3" fillId="0" borderId="16" xfId="115" applyFont="1" applyBorder="1" applyAlignment="1">
      <alignment horizontal="center" vertical="center"/>
    </xf>
    <xf numFmtId="0" fontId="3" fillId="0" borderId="3" xfId="115" applyFont="1" applyBorder="1" applyAlignment="1">
      <alignment vertical="center"/>
    </xf>
    <xf numFmtId="215" fontId="3" fillId="0" borderId="3" xfId="115" applyNumberFormat="1" applyFont="1" applyBorder="1" applyAlignment="1">
      <alignment vertical="center"/>
    </xf>
    <xf numFmtId="205" fontId="2" fillId="0" borderId="0" xfId="115" applyNumberFormat="1" applyFont="1" applyAlignment="1">
      <alignment horizontal="right" vertical="center"/>
    </xf>
    <xf numFmtId="205" fontId="2" fillId="0" borderId="0" xfId="115" applyNumberFormat="1" applyFont="1" applyAlignment="1">
      <alignment vertical="center"/>
    </xf>
    <xf numFmtId="0" fontId="0" fillId="0" borderId="0" xfId="115" applyFont="1" applyAlignment="1">
      <alignment horizontal="left" vertical="center" indent="1"/>
    </xf>
    <xf numFmtId="215" fontId="2" fillId="0" borderId="0" xfId="115" applyNumberFormat="1" applyFont="1" applyAlignment="1">
      <alignment horizontal="right" vertical="center"/>
    </xf>
    <xf numFmtId="215" fontId="103" fillId="18" borderId="0" xfId="115" applyNumberFormat="1" applyFont="1" applyFill="1" applyAlignment="1">
      <alignment horizontal="right" vertical="center"/>
    </xf>
    <xf numFmtId="216" fontId="2" fillId="0" borderId="0" xfId="115" applyNumberFormat="1" applyFont="1" applyAlignment="1">
      <alignment vertical="center"/>
    </xf>
    <xf numFmtId="208" fontId="2" fillId="0" borderId="0" xfId="115" applyNumberFormat="1" applyFont="1" applyAlignment="1">
      <alignment vertical="center"/>
    </xf>
    <xf numFmtId="205" fontId="84" fillId="0" borderId="0" xfId="115" applyNumberFormat="1" applyFont="1" applyAlignment="1">
      <alignment horizontal="right" vertical="center"/>
    </xf>
    <xf numFmtId="206" fontId="2" fillId="0" borderId="0" xfId="115" applyNumberFormat="1" applyFont="1" applyAlignment="1">
      <alignment horizontal="right" vertical="center"/>
    </xf>
    <xf numFmtId="206" fontId="84" fillId="0" borderId="0" xfId="115" applyNumberFormat="1" applyFont="1" applyAlignment="1">
      <alignment horizontal="right" vertical="center"/>
    </xf>
    <xf numFmtId="0" fontId="3" fillId="0" borderId="0" xfId="115" applyFont="1" applyAlignment="1">
      <alignment vertical="center"/>
    </xf>
    <xf numFmtId="205" fontId="3" fillId="0" borderId="13" xfId="115" applyNumberFormat="1" applyFont="1" applyBorder="1" applyAlignment="1">
      <alignment horizontal="right" vertical="center"/>
    </xf>
    <xf numFmtId="0" fontId="79" fillId="0" borderId="0" xfId="115" applyFont="1" applyAlignment="1">
      <alignment horizontal="left" vertical="center" indent="1"/>
    </xf>
    <xf numFmtId="0" fontId="79" fillId="0" borderId="0" xfId="115" applyFont="1" applyAlignment="1">
      <alignment vertical="center"/>
    </xf>
    <xf numFmtId="215" fontId="79" fillId="0" borderId="0" xfId="115" applyNumberFormat="1" applyFont="1" applyAlignment="1">
      <alignment horizontal="right" vertical="center"/>
    </xf>
    <xf numFmtId="215" fontId="79" fillId="0" borderId="0" xfId="115" applyNumberFormat="1" applyFont="1" applyBorder="1" applyAlignment="1">
      <alignment horizontal="right" vertical="center"/>
    </xf>
    <xf numFmtId="0" fontId="2" fillId="0" borderId="0" xfId="115" applyFont="1" applyBorder="1" applyAlignment="1">
      <alignment vertical="center"/>
    </xf>
    <xf numFmtId="210" fontId="3" fillId="0" borderId="0" xfId="115" applyNumberFormat="1" applyFont="1" applyBorder="1" applyAlignment="1">
      <alignment vertical="center"/>
    </xf>
    <xf numFmtId="0" fontId="0" fillId="0" borderId="0" xfId="115" applyFont="1" applyAlignment="1">
      <alignment vertical="center"/>
    </xf>
    <xf numFmtId="205" fontId="88" fillId="0" borderId="0" xfId="115" applyNumberFormat="1" applyFont="1" applyBorder="1" applyAlignment="1">
      <alignment vertical="center"/>
    </xf>
    <xf numFmtId="205" fontId="2" fillId="0" borderId="0" xfId="115" applyNumberFormat="1" applyFont="1" applyBorder="1" applyAlignment="1">
      <alignment vertical="center"/>
    </xf>
    <xf numFmtId="39" fontId="2" fillId="0" borderId="0" xfId="115" applyNumberFormat="1" applyFont="1" applyAlignment="1">
      <alignment vertical="center"/>
    </xf>
    <xf numFmtId="206" fontId="88" fillId="0" borderId="0" xfId="115" applyNumberFormat="1" applyFont="1" applyBorder="1" applyAlignment="1">
      <alignment vertical="center"/>
    </xf>
    <xf numFmtId="206" fontId="88" fillId="0" borderId="0" xfId="115" applyNumberFormat="1" applyFont="1" applyAlignment="1">
      <alignment vertical="center"/>
    </xf>
    <xf numFmtId="217" fontId="3" fillId="0" borderId="3" xfId="115" applyNumberFormat="1" applyFont="1" applyBorder="1" applyAlignment="1">
      <alignment vertical="center"/>
    </xf>
    <xf numFmtId="0" fontId="77" fillId="0" borderId="0" xfId="115" applyFont="1" applyAlignment="1">
      <alignment horizontal="centerContinuous" vertical="center"/>
    </xf>
    <xf numFmtId="206" fontId="2" fillId="0" borderId="0" xfId="115" applyNumberFormat="1" applyFont="1" applyAlignment="1">
      <alignment vertical="center"/>
    </xf>
    <xf numFmtId="207" fontId="70" fillId="0" borderId="0" xfId="115" applyNumberFormat="1" applyFont="1" applyBorder="1" applyAlignment="1">
      <alignment vertical="center"/>
    </xf>
    <xf numFmtId="217" fontId="2" fillId="0" borderId="0" xfId="115" applyNumberFormat="1" applyFont="1" applyAlignment="1">
      <alignment vertical="center"/>
    </xf>
    <xf numFmtId="205" fontId="82" fillId="0" borderId="0" xfId="115" applyNumberFormat="1" applyFont="1" applyAlignment="1">
      <alignment vertical="center"/>
    </xf>
    <xf numFmtId="215" fontId="3" fillId="0" borderId="0" xfId="115" applyNumberFormat="1" applyFont="1" applyAlignment="1">
      <alignment vertical="center"/>
    </xf>
    <xf numFmtId="215" fontId="89" fillId="15" borderId="24" xfId="115" applyNumberFormat="1" applyFont="1" applyFill="1" applyBorder="1" applyAlignment="1">
      <alignment vertical="center"/>
    </xf>
    <xf numFmtId="215" fontId="89" fillId="15" borderId="0" xfId="115" applyNumberFormat="1" applyFont="1" applyFill="1" applyBorder="1" applyAlignment="1">
      <alignment vertical="center"/>
    </xf>
    <xf numFmtId="216" fontId="3" fillId="0" borderId="0" xfId="115" applyNumberFormat="1" applyFont="1" applyAlignment="1">
      <alignment vertical="center"/>
    </xf>
    <xf numFmtId="206" fontId="2" fillId="0" borderId="8" xfId="115" applyNumberFormat="1" applyFont="1" applyBorder="1" applyAlignment="1">
      <alignment vertical="center"/>
    </xf>
    <xf numFmtId="206" fontId="2" fillId="0" borderId="13" xfId="115" applyNumberFormat="1" applyFont="1" applyBorder="1" applyAlignment="1">
      <alignment vertical="center"/>
    </xf>
    <xf numFmtId="206" fontId="2" fillId="15" borderId="25" xfId="115" applyNumberFormat="1" applyFont="1" applyFill="1" applyBorder="1" applyAlignment="1">
      <alignment vertical="center"/>
    </xf>
    <xf numFmtId="205" fontId="3" fillId="0" borderId="13" xfId="115" applyNumberFormat="1" applyFont="1" applyBorder="1" applyAlignment="1">
      <alignment vertical="center"/>
    </xf>
    <xf numFmtId="216" fontId="88" fillId="0" borderId="0" xfId="115" applyNumberFormat="1" applyFont="1" applyAlignment="1">
      <alignment vertical="center"/>
    </xf>
    <xf numFmtId="216" fontId="89" fillId="15" borderId="26" xfId="115" applyNumberFormat="1" applyFont="1" applyFill="1" applyBorder="1" applyAlignment="1">
      <alignment vertical="center"/>
    </xf>
    <xf numFmtId="206" fontId="2" fillId="15" borderId="27" xfId="115" applyNumberFormat="1" applyFont="1" applyFill="1" applyBorder="1" applyAlignment="1">
      <alignment vertical="center"/>
    </xf>
    <xf numFmtId="206" fontId="2" fillId="15" borderId="26" xfId="115" applyNumberFormat="1" applyFont="1" applyFill="1" applyBorder="1" applyAlignment="1">
      <alignment vertical="center"/>
    </xf>
    <xf numFmtId="205" fontId="3" fillId="15" borderId="28" xfId="115" applyNumberFormat="1" applyFont="1" applyFill="1" applyBorder="1" applyAlignment="1">
      <alignment vertical="center"/>
    </xf>
    <xf numFmtId="218" fontId="2" fillId="0" borderId="0" xfId="115" applyNumberFormat="1" applyFont="1" applyAlignment="1">
      <alignment vertical="center"/>
    </xf>
    <xf numFmtId="206" fontId="2" fillId="0" borderId="1" xfId="115" applyNumberFormat="1" applyFont="1" applyBorder="1" applyAlignment="1">
      <alignment vertical="center"/>
    </xf>
    <xf numFmtId="206" fontId="2" fillId="0" borderId="0" xfId="115" applyNumberFormat="1" applyFont="1" applyBorder="1" applyAlignment="1">
      <alignment vertical="center"/>
    </xf>
    <xf numFmtId="206" fontId="2" fillId="15" borderId="24" xfId="115" applyNumberFormat="1" applyFont="1" applyFill="1" applyBorder="1" applyAlignment="1">
      <alignment vertical="center"/>
    </xf>
    <xf numFmtId="215" fontId="3" fillId="15" borderId="24" xfId="115" applyNumberFormat="1" applyFont="1" applyFill="1" applyBorder="1" applyAlignment="1">
      <alignment vertical="center"/>
    </xf>
    <xf numFmtId="214" fontId="3" fillId="0" borderId="13" xfId="115" applyNumberFormat="1" applyFont="1" applyBorder="1" applyAlignment="1">
      <alignment vertical="center"/>
    </xf>
    <xf numFmtId="216" fontId="3" fillId="15" borderId="26" xfId="115" applyNumberFormat="1" applyFont="1" applyFill="1" applyBorder="1" applyAlignment="1">
      <alignment vertical="center"/>
    </xf>
    <xf numFmtId="0" fontId="2" fillId="0" borderId="29" xfId="115" applyFont="1" applyBorder="1" applyAlignment="1">
      <alignment vertical="center"/>
    </xf>
    <xf numFmtId="0" fontId="3" fillId="15" borderId="17" xfId="115" applyFont="1" applyFill="1" applyBorder="1" applyAlignment="1">
      <alignment vertical="center"/>
    </xf>
    <xf numFmtId="0" fontId="3" fillId="15" borderId="7" xfId="115" applyFont="1" applyFill="1" applyBorder="1" applyAlignment="1">
      <alignment vertical="center"/>
    </xf>
    <xf numFmtId="215" fontId="2" fillId="0" borderId="0" xfId="115" applyNumberFormat="1" applyFont="1" applyAlignment="1">
      <alignment vertical="center"/>
    </xf>
    <xf numFmtId="0" fontId="3" fillId="0" borderId="30" xfId="115" applyFont="1" applyBorder="1" applyAlignment="1">
      <alignment vertical="center"/>
    </xf>
    <xf numFmtId="0" fontId="2" fillId="0" borderId="0" xfId="115" applyFont="1" applyAlignment="1">
      <alignment horizontal="left" vertical="center" indent="1"/>
    </xf>
    <xf numFmtId="168" fontId="0" fillId="0" borderId="0" xfId="115" applyNumberFormat="1" applyFont="1" applyFill="1" applyBorder="1" applyAlignment="1">
      <alignment vertical="center"/>
    </xf>
    <xf numFmtId="168" fontId="0" fillId="0" borderId="22" xfId="115" applyNumberFormat="1" applyFont="1" applyFill="1" applyBorder="1" applyAlignment="1">
      <alignment vertical="center"/>
    </xf>
    <xf numFmtId="168" fontId="0" fillId="0" borderId="1" xfId="115" applyNumberFormat="1" applyFont="1" applyFill="1" applyBorder="1" applyAlignment="1">
      <alignment vertical="center"/>
    </xf>
    <xf numFmtId="168" fontId="0" fillId="0" borderId="0" xfId="115" applyNumberFormat="1" applyFont="1" applyFill="1"/>
    <xf numFmtId="166" fontId="0" fillId="0" borderId="22" xfId="0" applyNumberFormat="1" applyFont="1" applyFill="1" applyBorder="1"/>
    <xf numFmtId="166" fontId="0" fillId="0" borderId="22" xfId="0" applyNumberFormat="1" applyFont="1" applyFill="1" applyBorder="1" applyAlignment="1">
      <alignment horizontal="right"/>
    </xf>
    <xf numFmtId="166" fontId="0" fillId="11" borderId="0" xfId="0" applyNumberFormat="1" applyFont="1" applyFill="1"/>
    <xf numFmtId="166" fontId="0" fillId="11" borderId="0" xfId="0" applyNumberFormat="1" applyFont="1" applyFill="1" applyAlignment="1">
      <alignment vertical="center"/>
    </xf>
    <xf numFmtId="166" fontId="0" fillId="0" borderId="0" xfId="55" quotePrefix="1" applyNumberFormat="1" applyFont="1" applyFill="1" applyBorder="1" applyAlignment="1">
      <alignment horizontal="right"/>
    </xf>
    <xf numFmtId="166" fontId="0" fillId="0" borderId="22" xfId="55" quotePrefix="1" applyNumberFormat="1" applyFont="1" applyFill="1" applyBorder="1" applyAlignment="1">
      <alignment horizontal="right"/>
    </xf>
    <xf numFmtId="170" fontId="0" fillId="0" borderId="0" xfId="0" applyNumberFormat="1" applyFont="1" applyFill="1" applyBorder="1" applyAlignment="1">
      <alignment vertical="center"/>
    </xf>
    <xf numFmtId="166" fontId="103" fillId="11" borderId="0" xfId="55" applyNumberFormat="1" applyFont="1" applyFill="1" applyBorder="1"/>
    <xf numFmtId="166" fontId="103" fillId="11" borderId="22" xfId="55" applyNumberFormat="1" applyFont="1" applyFill="1" applyBorder="1"/>
    <xf numFmtId="166" fontId="73" fillId="0" borderId="1" xfId="0" applyNumberFormat="1" applyFont="1" applyFill="1" applyBorder="1"/>
    <xf numFmtId="166" fontId="73" fillId="0" borderId="0" xfId="0" applyNumberFormat="1" applyFont="1" applyFill="1" applyBorder="1"/>
    <xf numFmtId="166" fontId="73" fillId="0" borderId="22" xfId="0" applyNumberFormat="1" applyFont="1" applyFill="1" applyBorder="1"/>
    <xf numFmtId="166" fontId="73" fillId="0" borderId="0" xfId="0" applyNumberFormat="1" applyFont="1" applyFill="1" applyBorder="1" applyAlignment="1">
      <alignment horizontal="right"/>
    </xf>
    <xf numFmtId="166" fontId="73" fillId="0" borderId="22" xfId="0" applyNumberFormat="1" applyFont="1" applyFill="1" applyBorder="1" applyAlignment="1">
      <alignment horizontal="right"/>
    </xf>
    <xf numFmtId="166" fontId="3" fillId="0" borderId="22" xfId="0" applyNumberFormat="1" applyFont="1" applyFill="1" applyBorder="1"/>
    <xf numFmtId="166" fontId="3" fillId="0" borderId="0" xfId="0" applyNumberFormat="1" applyFont="1" applyFill="1" applyBorder="1" applyAlignment="1">
      <alignment horizontal="right"/>
    </xf>
    <xf numFmtId="166" fontId="3" fillId="0" borderId="22" xfId="0" applyNumberFormat="1" applyFont="1" applyFill="1" applyBorder="1" applyAlignment="1">
      <alignment horizontal="right"/>
    </xf>
    <xf numFmtId="166" fontId="104" fillId="0" borderId="23" xfId="0" applyNumberFormat="1" applyFont="1" applyFill="1" applyBorder="1" applyAlignment="1">
      <alignment vertical="center"/>
    </xf>
    <xf numFmtId="166" fontId="104" fillId="0" borderId="0" xfId="0" applyNumberFormat="1" applyFont="1" applyFill="1"/>
    <xf numFmtId="166" fontId="103" fillId="0" borderId="23" xfId="0" applyNumberFormat="1" applyFont="1" applyFill="1" applyBorder="1" applyAlignment="1">
      <alignment vertical="center"/>
    </xf>
    <xf numFmtId="166" fontId="104" fillId="0" borderId="0" xfId="55" quotePrefix="1" applyNumberFormat="1" applyFont="1" applyFill="1" applyBorder="1" applyAlignment="1">
      <alignment vertical="center"/>
    </xf>
    <xf numFmtId="166" fontId="104" fillId="11" borderId="0" xfId="55" quotePrefix="1" applyNumberFormat="1" applyFont="1" applyFill="1" applyBorder="1" applyAlignment="1">
      <alignment vertical="center"/>
    </xf>
    <xf numFmtId="166" fontId="106" fillId="0" borderId="0" xfId="0" applyNumberFormat="1" applyFont="1" applyFill="1" applyBorder="1" applyAlignment="1">
      <alignment vertical="center"/>
    </xf>
    <xf numFmtId="166" fontId="106" fillId="0" borderId="22" xfId="0" applyNumberFormat="1" applyFont="1" applyFill="1" applyBorder="1" applyAlignment="1">
      <alignment vertical="center"/>
    </xf>
    <xf numFmtId="166" fontId="0" fillId="0" borderId="1" xfId="55" applyNumberFormat="1" applyFont="1" applyFill="1" applyBorder="1" applyAlignment="1">
      <alignment horizontal="left" indent="1"/>
    </xf>
    <xf numFmtId="166" fontId="0" fillId="0" borderId="0" xfId="55" applyNumberFormat="1" applyFont="1" applyFill="1" applyBorder="1" applyAlignment="1">
      <alignment horizontal="left" indent="1"/>
    </xf>
    <xf numFmtId="166" fontId="0" fillId="11" borderId="0" xfId="55" applyNumberFormat="1" applyFont="1" applyFill="1" applyBorder="1" applyAlignment="1">
      <alignment vertical="center"/>
    </xf>
    <xf numFmtId="166" fontId="103" fillId="18" borderId="21" xfId="69" applyNumberFormat="1" applyFont="1" applyFill="1" applyBorder="1" applyAlignment="1">
      <alignment vertical="center"/>
    </xf>
    <xf numFmtId="166" fontId="103" fillId="18" borderId="3" xfId="69" applyNumberFormat="1" applyFont="1" applyFill="1" applyBorder="1" applyAlignment="1">
      <alignment vertical="center"/>
    </xf>
    <xf numFmtId="166" fontId="3" fillId="0" borderId="3" xfId="0" applyNumberFormat="1" applyFont="1" applyFill="1" applyBorder="1"/>
    <xf numFmtId="166" fontId="106" fillId="0" borderId="3" xfId="69" applyNumberFormat="1" applyFont="1" applyFill="1" applyBorder="1" applyAlignment="1">
      <alignment vertical="center"/>
    </xf>
    <xf numFmtId="166" fontId="2" fillId="0" borderId="3" xfId="69" applyNumberFormat="1" applyFont="1" applyFill="1" applyBorder="1" applyAlignment="1">
      <alignment vertical="center"/>
    </xf>
    <xf numFmtId="166" fontId="2" fillId="0" borderId="21" xfId="69" applyNumberFormat="1" applyFont="1" applyFill="1" applyBorder="1" applyAlignment="1">
      <alignment vertical="center"/>
    </xf>
    <xf numFmtId="166" fontId="2" fillId="0" borderId="3" xfId="0" applyNumberFormat="1" applyFont="1" applyFill="1" applyBorder="1" applyAlignment="1">
      <alignment vertical="center"/>
    </xf>
    <xf numFmtId="166" fontId="2" fillId="0" borderId="3" xfId="115" applyNumberFormat="1" applyFont="1" applyFill="1" applyBorder="1" applyAlignment="1">
      <alignment vertical="center"/>
    </xf>
    <xf numFmtId="166" fontId="2" fillId="0" borderId="21" xfId="115" applyNumberFormat="1" applyFont="1" applyFill="1" applyBorder="1" applyAlignment="1">
      <alignment vertical="center"/>
    </xf>
    <xf numFmtId="166" fontId="0" fillId="0" borderId="20" xfId="0" applyNumberFormat="1" applyFont="1" applyFill="1" applyBorder="1" applyAlignment="1">
      <alignment horizontal="left" indent="1"/>
    </xf>
    <xf numFmtId="168" fontId="104" fillId="0" borderId="3" xfId="55" applyNumberFormat="1" applyFont="1" applyFill="1" applyBorder="1" applyAlignment="1">
      <alignment vertical="center"/>
    </xf>
    <xf numFmtId="168" fontId="104" fillId="0" borderId="21" xfId="55" applyNumberFormat="1" applyFont="1" applyFill="1" applyBorder="1" applyAlignment="1">
      <alignment vertical="center"/>
    </xf>
    <xf numFmtId="1" fontId="105" fillId="0" borderId="20" xfId="55" applyNumberFormat="1" applyFont="1" applyFill="1" applyBorder="1" applyAlignment="1">
      <alignment vertical="center"/>
    </xf>
    <xf numFmtId="1" fontId="105" fillId="0" borderId="3" xfId="55" applyNumberFormat="1" applyFont="1" applyFill="1" applyBorder="1" applyAlignment="1">
      <alignment vertical="center"/>
    </xf>
    <xf numFmtId="0" fontId="2" fillId="0" borderId="1" xfId="115" applyFont="1" applyFill="1" applyBorder="1" applyAlignment="1">
      <alignment horizontal="left"/>
    </xf>
    <xf numFmtId="0" fontId="2" fillId="0" borderId="20" xfId="115" applyFont="1" applyFill="1" applyBorder="1" applyAlignment="1">
      <alignment horizontal="left"/>
    </xf>
    <xf numFmtId="9" fontId="100" fillId="16" borderId="7" xfId="0" applyNumberFormat="1" applyFont="1" applyFill="1" applyBorder="1" applyAlignment="1">
      <alignment vertical="center"/>
    </xf>
    <xf numFmtId="167" fontId="3" fillId="0" borderId="0" xfId="0" applyNumberFormat="1" applyFont="1" applyFill="1" applyBorder="1" applyAlignment="1">
      <alignment horizontal="right"/>
    </xf>
    <xf numFmtId="167" fontId="3" fillId="0" borderId="0" xfId="0" applyNumberFormat="1" applyFont="1" applyFill="1" applyAlignment="1">
      <alignment horizontal="right"/>
    </xf>
    <xf numFmtId="167" fontId="3" fillId="0" borderId="0" xfId="0" applyNumberFormat="1" applyFont="1" applyFill="1" applyBorder="1" applyAlignment="1">
      <alignment vertical="center"/>
    </xf>
    <xf numFmtId="167" fontId="3" fillId="0" borderId="22" xfId="0" applyNumberFormat="1" applyFont="1" applyFill="1" applyBorder="1" applyAlignment="1">
      <alignment vertical="center"/>
    </xf>
    <xf numFmtId="167" fontId="3" fillId="0" borderId="0" xfId="55" applyNumberFormat="1" applyFont="1" applyFill="1" applyBorder="1" applyAlignment="1">
      <alignment vertical="center"/>
    </xf>
    <xf numFmtId="167" fontId="3" fillId="0" borderId="22" xfId="55" applyNumberFormat="1" applyFont="1" applyFill="1" applyBorder="1" applyAlignment="1">
      <alignment vertical="center"/>
    </xf>
    <xf numFmtId="166" fontId="0" fillId="0" borderId="0" xfId="0" applyNumberFormat="1"/>
    <xf numFmtId="166" fontId="110" fillId="0" borderId="0" xfId="55" applyNumberFormat="1" applyFont="1" applyFill="1" applyBorder="1" applyAlignment="1">
      <alignment vertical="center"/>
    </xf>
    <xf numFmtId="166" fontId="110" fillId="0" borderId="22" xfId="55" applyNumberFormat="1" applyFont="1" applyFill="1" applyBorder="1" applyAlignment="1">
      <alignment vertical="center"/>
    </xf>
    <xf numFmtId="170" fontId="0" fillId="0" borderId="0" xfId="0" applyNumberFormat="1" applyFont="1" applyFill="1" applyAlignment="1">
      <alignment horizontal="right"/>
    </xf>
    <xf numFmtId="170" fontId="2" fillId="0" borderId="0" xfId="115" applyNumberFormat="1" applyFont="1" applyFill="1" applyBorder="1" applyAlignment="1">
      <alignment horizontal="left"/>
    </xf>
    <xf numFmtId="170" fontId="0" fillId="0" borderId="22" xfId="0" applyNumberFormat="1" applyFont="1" applyFill="1" applyBorder="1" applyAlignment="1">
      <alignment vertical="center"/>
    </xf>
    <xf numFmtId="170" fontId="2" fillId="0" borderId="0" xfId="55" applyNumberFormat="1" applyFont="1" applyFill="1" applyBorder="1" applyAlignment="1">
      <alignment vertical="center"/>
    </xf>
    <xf numFmtId="170" fontId="2" fillId="0" borderId="22" xfId="55" applyNumberFormat="1" applyFont="1" applyFill="1" applyBorder="1" applyAlignment="1">
      <alignment vertical="center"/>
    </xf>
    <xf numFmtId="170" fontId="2" fillId="0" borderId="0" xfId="55" applyNumberFormat="1" applyFont="1" applyFill="1" applyBorder="1" applyAlignment="1">
      <alignment horizontal="right"/>
    </xf>
    <xf numFmtId="167" fontId="2" fillId="0" borderId="1" xfId="115" applyNumberFormat="1" applyFont="1" applyFill="1" applyBorder="1" applyAlignment="1">
      <alignment horizontal="left"/>
    </xf>
    <xf numFmtId="166" fontId="0" fillId="0" borderId="20" xfId="115" applyNumberFormat="1" applyFont="1" applyFill="1" applyBorder="1" applyAlignment="1">
      <alignment horizontal="left"/>
    </xf>
    <xf numFmtId="166" fontId="0" fillId="0" borderId="3" xfId="115" applyNumberFormat="1" applyFont="1" applyFill="1" applyBorder="1" applyAlignment="1">
      <alignment horizontal="left"/>
    </xf>
    <xf numFmtId="166" fontId="0" fillId="0" borderId="3" xfId="0" applyNumberFormat="1" applyFont="1" applyFill="1" applyBorder="1" applyAlignment="1">
      <alignment horizontal="right"/>
    </xf>
    <xf numFmtId="43" fontId="106" fillId="0" borderId="3" xfId="55" applyFont="1" applyFill="1" applyBorder="1" applyAlignment="1">
      <alignment vertical="center"/>
    </xf>
    <xf numFmtId="166" fontId="2" fillId="0" borderId="0" xfId="55" applyNumberFormat="1" applyFont="1" applyFill="1" applyBorder="1" applyAlignment="1">
      <alignment horizontal="right"/>
    </xf>
    <xf numFmtId="166" fontId="2" fillId="0" borderId="22" xfId="55" applyNumberFormat="1" applyFont="1" applyFill="1" applyBorder="1" applyAlignment="1">
      <alignment horizontal="right"/>
    </xf>
    <xf numFmtId="166" fontId="2" fillId="0" borderId="0" xfId="55" applyNumberFormat="1" applyFont="1" applyFill="1" applyBorder="1" applyAlignment="1">
      <alignment vertical="center"/>
    </xf>
    <xf numFmtId="166" fontId="2" fillId="0" borderId="22" xfId="55" applyNumberFormat="1" applyFont="1" applyFill="1" applyBorder="1" applyAlignment="1">
      <alignment vertical="center"/>
    </xf>
    <xf numFmtId="179" fontId="106" fillId="0" borderId="1" xfId="55" applyNumberFormat="1" applyFont="1" applyFill="1" applyBorder="1" applyAlignment="1">
      <alignment vertical="center"/>
    </xf>
    <xf numFmtId="167" fontId="3" fillId="0" borderId="1" xfId="0" applyNumberFormat="1" applyFont="1" applyFill="1" applyBorder="1" applyAlignment="1">
      <alignment vertical="center"/>
    </xf>
    <xf numFmtId="170" fontId="0" fillId="0" borderId="1" xfId="0" applyNumberFormat="1" applyFont="1" applyFill="1" applyBorder="1" applyAlignment="1">
      <alignment vertical="center"/>
    </xf>
    <xf numFmtId="0" fontId="114" fillId="0" borderId="0" xfId="0" applyFont="1"/>
    <xf numFmtId="168" fontId="2" fillId="0" borderId="0" xfId="55" applyNumberFormat="1" applyFont="1" applyFill="1" applyBorder="1"/>
    <xf numFmtId="168" fontId="2" fillId="0" borderId="22" xfId="55" applyNumberFormat="1" applyFont="1" applyFill="1" applyBorder="1"/>
    <xf numFmtId="164" fontId="0" fillId="0" borderId="0" xfId="115" applyNumberFormat="1" applyFont="1" applyFill="1"/>
    <xf numFmtId="168" fontId="104" fillId="0" borderId="0" xfId="55" applyNumberFormat="1" applyFont="1" applyFill="1" applyBorder="1"/>
    <xf numFmtId="4" fontId="3" fillId="0" borderId="0" xfId="55" applyNumberFormat="1" applyFont="1" applyFill="1" applyBorder="1"/>
    <xf numFmtId="164" fontId="2" fillId="0" borderId="0" xfId="55" applyNumberFormat="1" applyFont="1" applyFill="1" applyBorder="1" applyAlignment="1">
      <alignment horizontal="right"/>
    </xf>
    <xf numFmtId="170" fontId="2" fillId="0" borderId="22" xfId="55" applyNumberFormat="1" applyFont="1" applyFill="1" applyBorder="1"/>
    <xf numFmtId="9" fontId="3" fillId="0" borderId="0" xfId="55" applyNumberFormat="1" applyFont="1" applyFill="1" applyBorder="1" applyAlignment="1">
      <alignment horizontal="right"/>
    </xf>
    <xf numFmtId="164" fontId="2" fillId="0" borderId="0" xfId="55" applyNumberFormat="1" applyFont="1" applyFill="1" applyBorder="1"/>
    <xf numFmtId="39" fontId="110" fillId="0" borderId="0" xfId="69" applyNumberFormat="1" applyFont="1" applyFill="1" applyBorder="1" applyAlignment="1">
      <alignment vertical="center"/>
    </xf>
    <xf numFmtId="168" fontId="2" fillId="0" borderId="0" xfId="55" applyNumberFormat="1" applyFont="1" applyFill="1" applyBorder="1" applyAlignment="1">
      <alignment horizontal="right"/>
    </xf>
    <xf numFmtId="168" fontId="2" fillId="0" borderId="22" xfId="55" applyNumberFormat="1" applyFont="1" applyFill="1" applyBorder="1" applyAlignment="1">
      <alignment horizontal="right"/>
    </xf>
    <xf numFmtId="168" fontId="2" fillId="11" borderId="0" xfId="55" applyNumberFormat="1" applyFont="1" applyFill="1" applyBorder="1"/>
    <xf numFmtId="166" fontId="2" fillId="0" borderId="0" xfId="55" applyNumberFormat="1" applyFont="1" applyFill="1" applyBorder="1"/>
    <xf numFmtId="168" fontId="15" fillId="11" borderId="0" xfId="55" applyNumberFormat="1" applyFont="1" applyFill="1" applyBorder="1"/>
    <xf numFmtId="9" fontId="0" fillId="0" borderId="0" xfId="0" applyNumberFormat="1" applyFont="1" applyFill="1" applyBorder="1"/>
    <xf numFmtId="168" fontId="74" fillId="0" borderId="0" xfId="55" applyNumberFormat="1" applyFont="1" applyFill="1" applyBorder="1"/>
    <xf numFmtId="170" fontId="73" fillId="0" borderId="0" xfId="55" applyNumberFormat="1" applyFont="1" applyFill="1" applyBorder="1"/>
    <xf numFmtId="166" fontId="73" fillId="0" borderId="22" xfId="115" applyNumberFormat="1" applyFont="1" applyFill="1" applyBorder="1"/>
    <xf numFmtId="166" fontId="73" fillId="0" borderId="0" xfId="115" applyNumberFormat="1" applyFont="1" applyFill="1" applyBorder="1"/>
    <xf numFmtId="43" fontId="3" fillId="0" borderId="0" xfId="55" applyNumberFormat="1" applyFont="1" applyFill="1" applyBorder="1" applyAlignment="1">
      <alignment horizontal="right"/>
    </xf>
    <xf numFmtId="0" fontId="105" fillId="0" borderId="0" xfId="125" applyFont="1" applyFill="1"/>
    <xf numFmtId="0" fontId="106" fillId="0" borderId="0" xfId="125" applyFont="1" applyFill="1"/>
    <xf numFmtId="14" fontId="106" fillId="0" borderId="0" xfId="125" applyNumberFormat="1" applyFont="1" applyFill="1"/>
    <xf numFmtId="0" fontId="106" fillId="0" borderId="0" xfId="125" applyFont="1" applyFill="1" applyBorder="1"/>
    <xf numFmtId="0" fontId="115" fillId="19" borderId="0" xfId="125" applyFont="1" applyFill="1" applyBorder="1" applyAlignment="1"/>
    <xf numFmtId="14" fontId="99" fillId="19" borderId="0" xfId="125" applyNumberFormat="1" applyFont="1" applyFill="1" applyBorder="1" applyAlignment="1">
      <alignment horizontal="center"/>
    </xf>
    <xf numFmtId="0" fontId="3" fillId="20" borderId="0" xfId="125" applyFont="1" applyFill="1" applyBorder="1"/>
    <xf numFmtId="0" fontId="3" fillId="20" borderId="0" xfId="125" applyFont="1" applyFill="1" applyBorder="1" applyAlignment="1">
      <alignment horizontal="center"/>
    </xf>
    <xf numFmtId="183" fontId="106" fillId="0" borderId="0" xfId="125" applyNumberFormat="1" applyFont="1" applyFill="1" applyBorder="1"/>
    <xf numFmtId="0" fontId="106" fillId="0" borderId="0" xfId="125" applyFont="1" applyFill="1" applyBorder="1" applyAlignment="1">
      <alignment horizontal="left" indent="1"/>
    </xf>
    <xf numFmtId="164" fontId="106" fillId="0" borderId="0" xfId="125" applyNumberFormat="1" applyFont="1" applyFill="1" applyBorder="1"/>
    <xf numFmtId="219" fontId="106" fillId="0" borderId="0" xfId="125" applyNumberFormat="1" applyFont="1" applyFill="1" applyBorder="1"/>
    <xf numFmtId="219" fontId="106" fillId="0" borderId="0" xfId="125" applyNumberFormat="1" applyFont="1" applyFill="1"/>
    <xf numFmtId="0" fontId="106" fillId="0" borderId="0" xfId="125" applyFont="1" applyFill="1" applyAlignment="1"/>
    <xf numFmtId="0" fontId="106" fillId="0" borderId="0" xfId="125" applyFont="1" applyFill="1" applyBorder="1" applyAlignment="1"/>
    <xf numFmtId="0" fontId="99" fillId="0" borderId="0" xfId="125" applyFont="1" applyFill="1" applyBorder="1" applyAlignment="1"/>
    <xf numFmtId="14" fontId="103" fillId="21" borderId="28" xfId="0" applyNumberFormat="1" applyFont="1" applyFill="1" applyBorder="1"/>
    <xf numFmtId="14" fontId="2" fillId="0" borderId="0" xfId="0" applyNumberFormat="1" applyFont="1" applyAlignment="1">
      <alignment horizontal="right"/>
    </xf>
    <xf numFmtId="164" fontId="106" fillId="0" borderId="0" xfId="125" applyNumberFormat="1" applyFont="1" applyFill="1" applyBorder="1" applyAlignment="1">
      <alignment horizontal="right"/>
    </xf>
    <xf numFmtId="219" fontId="106" fillId="0" borderId="0" xfId="125" applyNumberFormat="1" applyFont="1" applyFill="1" applyBorder="1" applyAlignment="1">
      <alignment horizontal="right"/>
    </xf>
    <xf numFmtId="9" fontId="2" fillId="0" borderId="0" xfId="115" applyNumberFormat="1" applyFont="1" applyFill="1" applyBorder="1"/>
    <xf numFmtId="166" fontId="103" fillId="11" borderId="1" xfId="55" applyNumberFormat="1" applyFont="1" applyFill="1" applyBorder="1"/>
    <xf numFmtId="164" fontId="2" fillId="0" borderId="0" xfId="150" applyNumberFormat="1" applyFont="1" applyFill="1" applyBorder="1" applyAlignment="1">
      <alignment vertical="center"/>
    </xf>
    <xf numFmtId="164" fontId="103" fillId="0" borderId="22" xfId="55" applyNumberFormat="1" applyFont="1" applyFill="1" applyBorder="1" applyAlignment="1">
      <alignment horizontal="right"/>
    </xf>
    <xf numFmtId="179" fontId="0" fillId="0" borderId="20" xfId="115" applyNumberFormat="1" applyFont="1" applyFill="1" applyBorder="1" applyAlignment="1">
      <alignment horizontal="left"/>
    </xf>
    <xf numFmtId="179" fontId="0" fillId="0" borderId="3" xfId="115" applyNumberFormat="1" applyFont="1" applyFill="1" applyBorder="1" applyAlignment="1">
      <alignment horizontal="left"/>
    </xf>
    <xf numFmtId="179" fontId="0" fillId="0" borderId="3" xfId="0" applyNumberFormat="1" applyFont="1" applyFill="1" applyBorder="1" applyAlignment="1">
      <alignment horizontal="right"/>
    </xf>
    <xf numFmtId="7" fontId="3" fillId="0" borderId="0" xfId="55" applyNumberFormat="1" applyFont="1" applyFill="1" applyBorder="1" applyAlignment="1">
      <alignment vertical="center"/>
    </xf>
    <xf numFmtId="7" fontId="3" fillId="0" borderId="22" xfId="55" applyNumberFormat="1" applyFont="1" applyFill="1" applyBorder="1" applyAlignment="1">
      <alignment vertical="center"/>
    </xf>
    <xf numFmtId="179" fontId="2" fillId="0" borderId="1" xfId="115" applyNumberFormat="1" applyFont="1" applyFill="1" applyBorder="1" applyAlignment="1">
      <alignment horizontal="left"/>
    </xf>
    <xf numFmtId="179" fontId="2" fillId="0" borderId="0" xfId="115" applyNumberFormat="1" applyFont="1" applyFill="1" applyBorder="1" applyAlignment="1">
      <alignment horizontal="left"/>
    </xf>
    <xf numFmtId="9" fontId="3" fillId="11" borderId="0" xfId="55" applyNumberFormat="1" applyFont="1" applyFill="1" applyBorder="1"/>
    <xf numFmtId="0" fontId="73" fillId="0" borderId="0" xfId="0" applyFont="1" applyFill="1" applyBorder="1" applyAlignment="1">
      <alignment vertical="center"/>
    </xf>
    <xf numFmtId="0" fontId="0" fillId="0" borderId="0" xfId="55" applyNumberFormat="1" applyFont="1" applyFill="1" applyBorder="1" applyAlignment="1">
      <alignment horizontal="right"/>
    </xf>
    <xf numFmtId="166" fontId="2" fillId="0" borderId="1" xfId="55" applyNumberFormat="1" applyFont="1" applyFill="1" applyBorder="1" applyAlignment="1">
      <alignment horizontal="right"/>
    </xf>
    <xf numFmtId="166" fontId="0" fillId="0" borderId="1" xfId="55" applyNumberFormat="1" applyFont="1" applyFill="1" applyBorder="1" applyAlignment="1">
      <alignment horizontal="right"/>
    </xf>
    <xf numFmtId="188" fontId="0" fillId="0" borderId="1" xfId="115" applyNumberFormat="1" applyFont="1" applyFill="1" applyBorder="1"/>
    <xf numFmtId="166" fontId="3" fillId="0" borderId="1" xfId="115" applyNumberFormat="1" applyFont="1" applyFill="1" applyBorder="1"/>
    <xf numFmtId="168" fontId="80" fillId="0" borderId="1" xfId="55" applyNumberFormat="1" applyFont="1" applyFill="1" applyBorder="1"/>
    <xf numFmtId="164" fontId="2" fillId="0" borderId="22" xfId="150" applyNumberFormat="1" applyFont="1" applyFill="1" applyBorder="1" applyAlignment="1">
      <alignment vertical="center"/>
    </xf>
    <xf numFmtId="164" fontId="74" fillId="0" borderId="22" xfId="55" applyNumberFormat="1" applyFont="1" applyFill="1" applyBorder="1" applyAlignment="1">
      <alignment horizontal="right"/>
    </xf>
    <xf numFmtId="167" fontId="3" fillId="0" borderId="0" xfId="55" applyNumberFormat="1" applyFont="1" applyFill="1" applyBorder="1" applyAlignment="1">
      <alignment horizontal="right"/>
    </xf>
    <xf numFmtId="167" fontId="3" fillId="0" borderId="22" xfId="55" applyNumberFormat="1" applyFont="1" applyFill="1" applyBorder="1" applyAlignment="1">
      <alignment horizontal="right"/>
    </xf>
    <xf numFmtId="170" fontId="73" fillId="0" borderId="0" xfId="0" applyNumberFormat="1" applyFont="1" applyFill="1" applyBorder="1" applyAlignment="1">
      <alignment horizontal="left" indent="1"/>
    </xf>
    <xf numFmtId="170" fontId="73" fillId="0" borderId="0" xfId="0" applyNumberFormat="1" applyFont="1" applyFill="1" applyBorder="1"/>
    <xf numFmtId="170" fontId="73" fillId="0" borderId="22" xfId="0" applyNumberFormat="1" applyFont="1" applyFill="1" applyBorder="1"/>
    <xf numFmtId="170" fontId="73" fillId="0" borderId="0" xfId="0" applyNumberFormat="1" applyFont="1" applyFill="1" applyBorder="1" applyAlignment="1">
      <alignment horizontal="right"/>
    </xf>
    <xf numFmtId="170" fontId="73" fillId="0" borderId="22" xfId="0" applyNumberFormat="1" applyFont="1" applyFill="1" applyBorder="1" applyAlignment="1">
      <alignment horizontal="right"/>
    </xf>
    <xf numFmtId="170" fontId="73" fillId="0" borderId="22" xfId="55" applyNumberFormat="1" applyFont="1" applyFill="1" applyBorder="1"/>
    <xf numFmtId="170" fontId="73" fillId="0" borderId="1" xfId="0" applyNumberFormat="1" applyFont="1" applyFill="1" applyBorder="1"/>
    <xf numFmtId="166" fontId="110" fillId="0" borderId="1" xfId="55" applyNumberFormat="1" applyFont="1" applyFill="1" applyBorder="1" applyAlignment="1">
      <alignment vertical="center"/>
    </xf>
    <xf numFmtId="166" fontId="103" fillId="0" borderId="22" xfId="55" applyNumberFormat="1" applyFont="1" applyFill="1" applyBorder="1"/>
    <xf numFmtId="166" fontId="103" fillId="0" borderId="0" xfId="55" applyNumberFormat="1" applyFont="1" applyFill="1" applyBorder="1"/>
    <xf numFmtId="166" fontId="103" fillId="0" borderId="22" xfId="55" applyNumberFormat="1" applyFont="1" applyFill="1" applyBorder="1" applyAlignment="1">
      <alignment horizontal="right"/>
    </xf>
    <xf numFmtId="166" fontId="103" fillId="0" borderId="0" xfId="150" applyNumberFormat="1" applyFont="1" applyFill="1" applyBorder="1" applyAlignment="1">
      <alignment horizontal="right"/>
    </xf>
    <xf numFmtId="166" fontId="103" fillId="0" borderId="0" xfId="55" applyNumberFormat="1" applyFont="1" applyFill="1" applyBorder="1" applyAlignment="1">
      <alignment horizontal="right"/>
    </xf>
    <xf numFmtId="0" fontId="73" fillId="0" borderId="0" xfId="115" applyFont="1" applyFill="1" applyBorder="1"/>
    <xf numFmtId="0" fontId="73" fillId="0" borderId="22" xfId="115" applyFont="1" applyFill="1" applyBorder="1"/>
    <xf numFmtId="173" fontId="0" fillId="0" borderId="0" xfId="55" applyNumberFormat="1" applyFont="1" applyFill="1" applyBorder="1"/>
    <xf numFmtId="173" fontId="73" fillId="0" borderId="0" xfId="55" applyNumberFormat="1" applyFont="1" applyFill="1" applyBorder="1"/>
    <xf numFmtId="173" fontId="3" fillId="0" borderId="0" xfId="55" applyNumberFormat="1" applyFont="1" applyFill="1" applyBorder="1"/>
    <xf numFmtId="0" fontId="2" fillId="0" borderId="22" xfId="115" applyFont="1" applyFill="1" applyBorder="1"/>
    <xf numFmtId="38" fontId="74" fillId="0" borderId="1" xfId="0" applyNumberFormat="1" applyFont="1" applyFill="1" applyBorder="1" applyAlignment="1">
      <alignment horizontal="left"/>
    </xf>
    <xf numFmtId="0" fontId="103" fillId="0" borderId="0" xfId="0" applyFont="1" applyFill="1" applyBorder="1" applyAlignment="1">
      <alignment horizontal="right"/>
    </xf>
    <xf numFmtId="0" fontId="103" fillId="0" borderId="22" xfId="0" applyFont="1" applyFill="1" applyBorder="1" applyAlignment="1">
      <alignment horizontal="right"/>
    </xf>
    <xf numFmtId="0" fontId="103" fillId="0" borderId="22" xfId="115" applyFont="1" applyFill="1" applyBorder="1"/>
    <xf numFmtId="0" fontId="103" fillId="0" borderId="0" xfId="115" applyFont="1" applyFill="1" applyBorder="1"/>
    <xf numFmtId="0" fontId="100" fillId="16" borderId="8" xfId="0" applyFont="1" applyFill="1" applyBorder="1" applyAlignment="1">
      <alignment horizontal="left"/>
    </xf>
    <xf numFmtId="0" fontId="100" fillId="16" borderId="13" xfId="0" applyFont="1" applyFill="1" applyBorder="1" applyAlignment="1">
      <alignment horizontal="left"/>
    </xf>
    <xf numFmtId="0" fontId="99" fillId="16" borderId="13" xfId="0" applyFont="1" applyFill="1" applyBorder="1"/>
    <xf numFmtId="0" fontId="99" fillId="16" borderId="19" xfId="0" applyFont="1" applyFill="1" applyBorder="1"/>
    <xf numFmtId="0" fontId="99" fillId="16" borderId="13" xfId="0" applyFont="1" applyFill="1" applyBorder="1" applyAlignment="1">
      <alignment horizontal="right"/>
    </xf>
    <xf numFmtId="0" fontId="99" fillId="16" borderId="19" xfId="0" applyFont="1" applyFill="1" applyBorder="1" applyAlignment="1">
      <alignment horizontal="right"/>
    </xf>
    <xf numFmtId="168" fontId="99" fillId="16" borderId="13" xfId="55" applyNumberFormat="1" applyFont="1" applyFill="1" applyBorder="1" applyAlignment="1">
      <alignment horizontal="right"/>
    </xf>
    <xf numFmtId="168" fontId="99" fillId="16" borderId="19" xfId="55" applyNumberFormat="1" applyFont="1" applyFill="1" applyBorder="1" applyAlignment="1">
      <alignment horizontal="right"/>
    </xf>
    <xf numFmtId="168" fontId="99" fillId="16" borderId="13" xfId="55" applyNumberFormat="1" applyFont="1" applyFill="1" applyBorder="1"/>
    <xf numFmtId="168" fontId="99" fillId="16" borderId="19" xfId="55" applyNumberFormat="1" applyFont="1" applyFill="1" applyBorder="1"/>
    <xf numFmtId="0" fontId="73" fillId="0" borderId="20" xfId="0" applyFont="1" applyFill="1" applyBorder="1" applyAlignment="1">
      <alignment horizontal="left" indent="1"/>
    </xf>
    <xf numFmtId="0" fontId="73" fillId="0" borderId="3" xfId="0" applyFont="1" applyFill="1" applyBorder="1" applyAlignment="1">
      <alignment horizontal="left" indent="1"/>
    </xf>
    <xf numFmtId="0" fontId="73" fillId="0" borderId="3" xfId="0" applyFont="1" applyFill="1" applyBorder="1"/>
    <xf numFmtId="0" fontId="73" fillId="0" borderId="21" xfId="0" applyFont="1" applyFill="1" applyBorder="1"/>
    <xf numFmtId="0" fontId="73" fillId="0" borderId="3" xfId="0" applyFont="1" applyFill="1" applyBorder="1" applyAlignment="1">
      <alignment horizontal="right"/>
    </xf>
    <xf numFmtId="0" fontId="73" fillId="0" borderId="21" xfId="0" applyFont="1" applyFill="1" applyBorder="1" applyAlignment="1">
      <alignment horizontal="right"/>
    </xf>
    <xf numFmtId="170" fontId="73" fillId="0" borderId="3" xfId="55" applyNumberFormat="1" applyFont="1" applyFill="1" applyBorder="1" applyAlignment="1">
      <alignment horizontal="right"/>
    </xf>
    <xf numFmtId="170" fontId="73" fillId="0" borderId="21" xfId="55" applyNumberFormat="1" applyFont="1" applyFill="1" applyBorder="1" applyAlignment="1">
      <alignment horizontal="right"/>
    </xf>
    <xf numFmtId="166" fontId="73" fillId="0" borderId="3" xfId="55" applyNumberFormat="1" applyFont="1" applyFill="1" applyBorder="1" applyAlignment="1">
      <alignment horizontal="right"/>
    </xf>
    <xf numFmtId="166" fontId="73" fillId="0" borderId="21" xfId="55" applyNumberFormat="1" applyFont="1" applyFill="1" applyBorder="1" applyAlignment="1">
      <alignment horizontal="right"/>
    </xf>
    <xf numFmtId="166" fontId="22" fillId="0" borderId="21" xfId="55" applyNumberFormat="1" applyFont="1" applyFill="1" applyBorder="1" applyAlignment="1">
      <alignment horizontal="right"/>
    </xf>
    <xf numFmtId="166" fontId="22" fillId="0" borderId="3" xfId="55" applyNumberFormat="1" applyFont="1" applyFill="1" applyBorder="1" applyAlignment="1">
      <alignment horizontal="right"/>
    </xf>
    <xf numFmtId="166" fontId="103" fillId="18" borderId="22" xfId="55" applyNumberFormat="1" applyFont="1" applyFill="1" applyBorder="1"/>
    <xf numFmtId="166" fontId="103" fillId="18" borderId="1" xfId="55" applyNumberFormat="1" applyFont="1" applyFill="1" applyBorder="1"/>
    <xf numFmtId="166" fontId="103" fillId="18" borderId="0" xfId="55" applyNumberFormat="1" applyFont="1" applyFill="1" applyBorder="1"/>
    <xf numFmtId="164" fontId="103" fillId="18" borderId="22" xfId="150" applyNumberFormat="1" applyFont="1" applyFill="1" applyBorder="1" applyAlignment="1">
      <alignment vertical="center"/>
    </xf>
    <xf numFmtId="164" fontId="103" fillId="18" borderId="0" xfId="150" applyNumberFormat="1" applyFont="1" applyFill="1" applyBorder="1" applyAlignment="1">
      <alignment vertical="center"/>
    </xf>
    <xf numFmtId="164" fontId="108" fillId="18" borderId="22" xfId="55" applyNumberFormat="1" applyFont="1" applyFill="1" applyBorder="1" applyAlignment="1">
      <alignment horizontal="right"/>
    </xf>
    <xf numFmtId="164" fontId="108" fillId="18" borderId="0" xfId="55" applyNumberFormat="1" applyFont="1" applyFill="1" applyBorder="1" applyAlignment="1">
      <alignment horizontal="right"/>
    </xf>
    <xf numFmtId="166" fontId="103" fillId="18" borderId="22" xfId="55" applyNumberFormat="1" applyFont="1" applyFill="1" applyBorder="1" applyAlignment="1">
      <alignment horizontal="right"/>
    </xf>
    <xf numFmtId="166" fontId="103" fillId="18" borderId="0" xfId="55" applyNumberFormat="1" applyFont="1" applyFill="1" applyBorder="1" applyAlignment="1">
      <alignment horizontal="right"/>
    </xf>
    <xf numFmtId="179" fontId="106" fillId="0" borderId="1" xfId="69" applyNumberFormat="1" applyFont="1" applyFill="1" applyBorder="1" applyAlignment="1">
      <alignment vertical="center"/>
    </xf>
    <xf numFmtId="179" fontId="106" fillId="0" borderId="20" xfId="69" applyNumberFormat="1" applyFont="1" applyFill="1" applyBorder="1" applyAlignment="1">
      <alignment vertical="center"/>
    </xf>
    <xf numFmtId="188" fontId="103" fillId="18" borderId="0" xfId="69" applyNumberFormat="1" applyFont="1" applyFill="1" applyBorder="1" applyAlignment="1">
      <alignment vertical="center"/>
    </xf>
    <xf numFmtId="167" fontId="103" fillId="0" borderId="22" xfId="115" applyNumberFormat="1" applyFont="1" applyFill="1" applyBorder="1" applyAlignment="1">
      <alignment vertical="center"/>
    </xf>
    <xf numFmtId="179" fontId="104" fillId="18" borderId="0" xfId="69" applyNumberFormat="1" applyFont="1" applyFill="1" applyBorder="1" applyAlignment="1">
      <alignment vertical="center"/>
    </xf>
    <xf numFmtId="179" fontId="104" fillId="18" borderId="22" xfId="69" applyNumberFormat="1" applyFont="1" applyFill="1" applyBorder="1" applyAlignment="1">
      <alignment vertical="center"/>
    </xf>
    <xf numFmtId="188" fontId="0" fillId="11" borderId="1" xfId="0" applyNumberFormat="1" applyFont="1" applyFill="1" applyBorder="1" applyAlignment="1">
      <alignment horizontal="left" indent="2"/>
    </xf>
    <xf numFmtId="164" fontId="116" fillId="0" borderId="1" xfId="150" applyNumberFormat="1" applyFont="1" applyFill="1" applyBorder="1" applyAlignment="1">
      <alignment horizontal="left" indent="1"/>
    </xf>
    <xf numFmtId="166" fontId="103" fillId="18" borderId="22" xfId="150" applyNumberFormat="1" applyFont="1" applyFill="1" applyBorder="1" applyAlignment="1">
      <alignment vertical="center"/>
    </xf>
    <xf numFmtId="166" fontId="103" fillId="18" borderId="0" xfId="150" applyNumberFormat="1" applyFont="1" applyFill="1" applyBorder="1" applyAlignment="1">
      <alignment vertical="center"/>
    </xf>
    <xf numFmtId="179" fontId="2" fillId="0" borderId="0" xfId="69" applyNumberFormat="1" applyFont="1" applyFill="1" applyBorder="1" applyAlignment="1">
      <alignment vertical="center"/>
    </xf>
    <xf numFmtId="179" fontId="2" fillId="0" borderId="22" xfId="69" applyNumberFormat="1" applyFont="1" applyFill="1" applyBorder="1" applyAlignment="1">
      <alignment vertical="center"/>
    </xf>
    <xf numFmtId="172" fontId="2" fillId="0" borderId="0" xfId="69" applyNumberFormat="1" applyFont="1" applyFill="1" applyBorder="1" applyAlignment="1">
      <alignment vertical="center"/>
    </xf>
    <xf numFmtId="172" fontId="2" fillId="11" borderId="0" xfId="69" applyNumberFormat="1" applyFont="1" applyFill="1" applyBorder="1" applyAlignment="1">
      <alignment vertical="center"/>
    </xf>
    <xf numFmtId="172" fontId="2" fillId="11" borderId="22" xfId="69" applyNumberFormat="1" applyFont="1" applyFill="1" applyBorder="1" applyAlignment="1">
      <alignment vertical="center"/>
    </xf>
    <xf numFmtId="172" fontId="2" fillId="0" borderId="22" xfId="69" applyNumberFormat="1" applyFont="1" applyFill="1" applyBorder="1" applyAlignment="1">
      <alignment vertical="center"/>
    </xf>
    <xf numFmtId="8" fontId="2" fillId="0" borderId="22" xfId="69" applyNumberFormat="1" applyFont="1" applyFill="1" applyBorder="1" applyAlignment="1">
      <alignment vertical="center"/>
    </xf>
    <xf numFmtId="179" fontId="2" fillId="11" borderId="0" xfId="69" applyNumberFormat="1" applyFont="1" applyFill="1" applyBorder="1" applyAlignment="1">
      <alignment vertical="center"/>
    </xf>
    <xf numFmtId="170" fontId="3" fillId="0" borderId="0" xfId="55" applyNumberFormat="1" applyFont="1" applyFill="1" applyBorder="1" applyAlignment="1">
      <alignment vertical="center"/>
    </xf>
    <xf numFmtId="170" fontId="3" fillId="0" borderId="22" xfId="55" applyNumberFormat="1" applyFont="1" applyFill="1" applyBorder="1" applyAlignment="1">
      <alignment vertical="center"/>
    </xf>
    <xf numFmtId="0" fontId="105" fillId="22" borderId="17" xfId="115" applyFont="1" applyFill="1" applyBorder="1" applyAlignment="1">
      <alignment horizontal="left"/>
    </xf>
    <xf numFmtId="0" fontId="105" fillId="22" borderId="7" xfId="115" applyFont="1" applyFill="1" applyBorder="1" applyAlignment="1">
      <alignment horizontal="left"/>
    </xf>
    <xf numFmtId="179" fontId="106" fillId="22" borderId="7" xfId="0" applyNumberFormat="1" applyFont="1" applyFill="1" applyBorder="1" applyAlignment="1">
      <alignment vertical="center"/>
    </xf>
    <xf numFmtId="179" fontId="105" fillId="22" borderId="7" xfId="55" applyNumberFormat="1" applyFont="1" applyFill="1" applyBorder="1" applyAlignment="1">
      <alignment vertical="center"/>
    </xf>
    <xf numFmtId="179" fontId="105" fillId="22" borderId="18" xfId="55" applyNumberFormat="1" applyFont="1" applyFill="1" applyBorder="1" applyAlignment="1">
      <alignment vertical="center"/>
    </xf>
    <xf numFmtId="179" fontId="106" fillId="22" borderId="7" xfId="55" applyNumberFormat="1" applyFont="1" applyFill="1" applyBorder="1" applyAlignment="1">
      <alignment vertical="center"/>
    </xf>
    <xf numFmtId="179" fontId="106" fillId="22" borderId="17" xfId="0" applyNumberFormat="1" applyFont="1" applyFill="1" applyBorder="1" applyAlignment="1">
      <alignment vertical="center"/>
    </xf>
    <xf numFmtId="164" fontId="105" fillId="22" borderId="7" xfId="150" applyNumberFormat="1" applyFont="1" applyFill="1" applyBorder="1" applyAlignment="1">
      <alignment vertical="center"/>
    </xf>
    <xf numFmtId="166" fontId="3" fillId="17" borderId="0" xfId="55" applyNumberFormat="1" applyFont="1" applyFill="1" applyBorder="1" applyAlignment="1">
      <alignment vertical="center"/>
    </xf>
    <xf numFmtId="179" fontId="103" fillId="16" borderId="0" xfId="0" applyNumberFormat="1" applyFont="1" applyFill="1" applyBorder="1" applyAlignment="1">
      <alignment vertical="center"/>
    </xf>
    <xf numFmtId="179" fontId="103" fillId="16" borderId="22" xfId="0" applyNumberFormat="1" applyFont="1" applyFill="1" applyBorder="1" applyAlignment="1">
      <alignment vertical="center"/>
    </xf>
    <xf numFmtId="179" fontId="104" fillId="16" borderId="0" xfId="55" applyNumberFormat="1" applyFont="1" applyFill="1" applyBorder="1" applyAlignment="1">
      <alignment vertical="center"/>
    </xf>
    <xf numFmtId="179" fontId="104" fillId="16" borderId="22" xfId="55" applyNumberFormat="1" applyFont="1" applyFill="1" applyBorder="1" applyAlignment="1">
      <alignment vertical="center"/>
    </xf>
    <xf numFmtId="179" fontId="103" fillId="16" borderId="0" xfId="55" applyNumberFormat="1" applyFont="1" applyFill="1" applyBorder="1" applyAlignment="1">
      <alignment vertical="center"/>
    </xf>
    <xf numFmtId="179" fontId="105" fillId="16" borderId="0" xfId="55" applyNumberFormat="1" applyFont="1" applyFill="1" applyBorder="1" applyAlignment="1">
      <alignment vertical="center"/>
    </xf>
    <xf numFmtId="179" fontId="105" fillId="16" borderId="22" xfId="55" applyNumberFormat="1" applyFont="1" applyFill="1" applyBorder="1" applyAlignment="1">
      <alignment vertical="center"/>
    </xf>
    <xf numFmtId="179" fontId="103" fillId="16" borderId="1" xfId="0" applyNumberFormat="1" applyFont="1" applyFill="1" applyBorder="1" applyAlignment="1">
      <alignment vertical="center"/>
    </xf>
    <xf numFmtId="164" fontId="104" fillId="16" borderId="0" xfId="150" applyNumberFormat="1" applyFont="1" applyFill="1" applyBorder="1" applyAlignment="1">
      <alignment vertical="center"/>
    </xf>
    <xf numFmtId="166" fontId="106" fillId="0" borderId="0" xfId="55" applyNumberFormat="1" applyFont="1" applyFill="1" applyBorder="1" applyAlignment="1">
      <alignment horizontal="right" vertical="center"/>
    </xf>
    <xf numFmtId="166" fontId="106" fillId="0" borderId="22" xfId="55" applyNumberFormat="1" applyFont="1" applyFill="1" applyBorder="1" applyAlignment="1">
      <alignment horizontal="right" vertical="center"/>
    </xf>
    <xf numFmtId="164" fontId="106" fillId="0" borderId="0" xfId="150" applyNumberFormat="1" applyFont="1" applyFill="1" applyBorder="1" applyAlignment="1">
      <alignment horizontal="right" vertical="center"/>
    </xf>
    <xf numFmtId="164" fontId="106" fillId="0" borderId="22" xfId="150" applyNumberFormat="1" applyFont="1" applyFill="1" applyBorder="1" applyAlignment="1">
      <alignment horizontal="right" vertical="center"/>
    </xf>
    <xf numFmtId="188" fontId="0" fillId="0" borderId="1" xfId="0" applyNumberFormat="1" applyFont="1" applyFill="1" applyBorder="1" applyAlignment="1">
      <alignment horizontal="left" indent="2"/>
    </xf>
    <xf numFmtId="164" fontId="103" fillId="18" borderId="1" xfId="150" applyNumberFormat="1" applyFont="1" applyFill="1" applyBorder="1" applyAlignment="1">
      <alignment vertical="center"/>
    </xf>
    <xf numFmtId="164" fontId="3" fillId="11" borderId="1" xfId="0" applyNumberFormat="1" applyFont="1" applyFill="1" applyBorder="1" applyAlignment="1">
      <alignment horizontal="left"/>
    </xf>
    <xf numFmtId="0" fontId="3" fillId="0" borderId="0" xfId="55" applyNumberFormat="1" applyFont="1" applyFill="1" applyBorder="1"/>
    <xf numFmtId="164" fontId="0" fillId="0" borderId="0" xfId="0" applyNumberFormat="1" applyFont="1" applyFill="1" applyBorder="1" applyAlignment="1">
      <alignment vertical="center"/>
    </xf>
    <xf numFmtId="164" fontId="106" fillId="0" borderId="0" xfId="69" applyNumberFormat="1" applyFont="1" applyFill="1" applyBorder="1" applyAlignment="1">
      <alignment vertical="center"/>
    </xf>
    <xf numFmtId="164" fontId="106" fillId="0" borderId="22" xfId="69" applyNumberFormat="1" applyFont="1" applyFill="1" applyBorder="1" applyAlignment="1">
      <alignment vertical="center"/>
    </xf>
    <xf numFmtId="166" fontId="73" fillId="0" borderId="0" xfId="0" applyNumberFormat="1" applyFont="1" applyFill="1" applyBorder="1" applyAlignment="1">
      <alignment vertical="center"/>
    </xf>
    <xf numFmtId="166" fontId="108" fillId="11" borderId="1" xfId="55" applyNumberFormat="1" applyFont="1" applyFill="1" applyBorder="1"/>
    <xf numFmtId="166" fontId="108" fillId="11" borderId="0" xfId="55" applyNumberFormat="1" applyFont="1" applyFill="1" applyBorder="1"/>
    <xf numFmtId="166" fontId="108" fillId="11" borderId="22" xfId="55" applyNumberFormat="1" applyFont="1" applyFill="1" applyBorder="1"/>
    <xf numFmtId="10" fontId="3" fillId="0" borderId="0" xfId="55" applyNumberFormat="1" applyFont="1" applyFill="1" applyBorder="1" applyAlignment="1">
      <alignment horizontal="right"/>
    </xf>
    <xf numFmtId="10" fontId="104" fillId="0" borderId="0" xfId="69" applyNumberFormat="1" applyFont="1" applyFill="1" applyBorder="1" applyAlignment="1">
      <alignment vertical="center"/>
    </xf>
    <xf numFmtId="9" fontId="106" fillId="0" borderId="0" xfId="125" applyNumberFormat="1" applyFont="1" applyFill="1"/>
    <xf numFmtId="170" fontId="103" fillId="18" borderId="0" xfId="55" applyNumberFormat="1" applyFont="1" applyFill="1" applyBorder="1" applyAlignment="1">
      <alignment vertical="center"/>
    </xf>
    <xf numFmtId="166" fontId="0" fillId="0" borderId="0" xfId="0" applyNumberFormat="1" applyFont="1"/>
    <xf numFmtId="179" fontId="3" fillId="0" borderId="1" xfId="141" applyNumberFormat="1" applyFont="1" applyFill="1" applyBorder="1" applyAlignment="1"/>
    <xf numFmtId="0" fontId="3" fillId="0" borderId="0" xfId="115" applyFont="1" applyFill="1" applyBorder="1" applyAlignment="1">
      <alignment vertical="center"/>
    </xf>
    <xf numFmtId="166" fontId="110" fillId="0" borderId="0" xfId="55" applyNumberFormat="1" applyFont="1" applyFill="1" applyBorder="1" applyAlignment="1">
      <alignment horizontal="right"/>
    </xf>
    <xf numFmtId="166" fontId="110" fillId="0" borderId="22" xfId="55" applyNumberFormat="1" applyFont="1" applyFill="1" applyBorder="1" applyAlignment="1">
      <alignment horizontal="right"/>
    </xf>
    <xf numFmtId="7" fontId="0" fillId="0" borderId="0" xfId="115" applyNumberFormat="1" applyFont="1" applyFill="1" applyBorder="1"/>
    <xf numFmtId="9" fontId="3" fillId="0" borderId="22" xfId="55" applyNumberFormat="1" applyFont="1" applyFill="1" applyBorder="1" applyAlignment="1">
      <alignment horizontal="right"/>
    </xf>
    <xf numFmtId="220" fontId="0" fillId="0" borderId="0" xfId="0" applyNumberFormat="1" applyFont="1" applyFill="1" applyBorder="1"/>
    <xf numFmtId="9" fontId="0" fillId="0" borderId="1" xfId="0" applyNumberFormat="1" applyFont="1" applyFill="1" applyBorder="1"/>
    <xf numFmtId="164" fontId="2" fillId="0" borderId="22" xfId="55" applyNumberFormat="1" applyFont="1" applyFill="1" applyBorder="1" applyAlignment="1">
      <alignment horizontal="right"/>
    </xf>
    <xf numFmtId="166" fontId="103" fillId="0" borderId="1" xfId="55" applyNumberFormat="1" applyFont="1" applyFill="1" applyBorder="1"/>
    <xf numFmtId="166" fontId="108" fillId="0" borderId="0" xfId="55" applyNumberFormat="1" applyFont="1" applyFill="1" applyBorder="1"/>
    <xf numFmtId="166" fontId="108" fillId="0" borderId="22" xfId="55" applyNumberFormat="1" applyFont="1" applyFill="1" applyBorder="1"/>
    <xf numFmtId="166" fontId="108" fillId="0" borderId="1" xfId="55" applyNumberFormat="1" applyFont="1" applyFill="1" applyBorder="1"/>
    <xf numFmtId="8" fontId="2" fillId="0" borderId="0" xfId="55" applyNumberFormat="1" applyFont="1" applyFill="1" applyBorder="1"/>
    <xf numFmtId="43" fontId="106" fillId="0" borderId="0" xfId="55" applyFont="1" applyFill="1" applyBorder="1" applyAlignment="1">
      <alignment vertical="center"/>
    </xf>
    <xf numFmtId="166" fontId="2" fillId="0" borderId="0" xfId="115" applyNumberFormat="1" applyFont="1" applyFill="1" applyBorder="1" applyAlignment="1">
      <alignment horizontal="left"/>
    </xf>
    <xf numFmtId="167" fontId="0" fillId="0" borderId="1" xfId="115" applyNumberFormat="1" applyFont="1" applyFill="1" applyBorder="1" applyAlignment="1">
      <alignment horizontal="left"/>
    </xf>
    <xf numFmtId="179" fontId="106" fillId="0" borderId="8" xfId="55" applyNumberFormat="1" applyFont="1" applyFill="1" applyBorder="1" applyAlignment="1">
      <alignment vertical="center"/>
    </xf>
    <xf numFmtId="179" fontId="106" fillId="0" borderId="13" xfId="55" applyNumberFormat="1" applyFont="1" applyFill="1" applyBorder="1" applyAlignment="1">
      <alignment vertical="center"/>
    </xf>
    <xf numFmtId="179" fontId="106" fillId="0" borderId="19" xfId="55" applyNumberFormat="1" applyFont="1" applyFill="1" applyBorder="1" applyAlignment="1">
      <alignment vertical="center"/>
    </xf>
    <xf numFmtId="167" fontId="3" fillId="0" borderId="1" xfId="55" applyNumberFormat="1" applyFont="1" applyFill="1" applyBorder="1" applyAlignment="1">
      <alignment vertical="center"/>
    </xf>
    <xf numFmtId="166" fontId="106" fillId="0" borderId="1" xfId="55" applyNumberFormat="1" applyFont="1" applyFill="1" applyBorder="1" applyAlignment="1">
      <alignment vertical="center"/>
    </xf>
    <xf numFmtId="170" fontId="2" fillId="0" borderId="1" xfId="55" applyNumberFormat="1" applyFont="1" applyFill="1" applyBorder="1" applyAlignment="1">
      <alignment vertical="center"/>
    </xf>
    <xf numFmtId="166" fontId="103" fillId="0" borderId="20" xfId="69" applyNumberFormat="1" applyFont="1" applyFill="1" applyBorder="1" applyAlignment="1">
      <alignment vertical="center"/>
    </xf>
    <xf numFmtId="9" fontId="103" fillId="0" borderId="0" xfId="55" applyNumberFormat="1" applyFont="1" applyFill="1" applyBorder="1"/>
    <xf numFmtId="9" fontId="103" fillId="0" borderId="22" xfId="55" applyNumberFormat="1" applyFont="1" applyFill="1" applyBorder="1"/>
    <xf numFmtId="188" fontId="106" fillId="0" borderId="0" xfId="155" applyNumberFormat="1" applyFont="1" applyFill="1" applyBorder="1"/>
    <xf numFmtId="164" fontId="106" fillId="0" borderId="0" xfId="155" applyNumberFormat="1" applyFont="1" applyFill="1" applyBorder="1"/>
    <xf numFmtId="0" fontId="0" fillId="0" borderId="22" xfId="0" applyFont="1" applyFill="1" applyBorder="1" applyAlignment="1">
      <alignment vertical="center"/>
    </xf>
    <xf numFmtId="0" fontId="0" fillId="0" borderId="23" xfId="0" applyFont="1" applyFill="1" applyBorder="1" applyAlignment="1">
      <alignment vertical="center"/>
    </xf>
    <xf numFmtId="0" fontId="0" fillId="0" borderId="1" xfId="0" applyFont="1" applyFill="1" applyBorder="1" applyAlignment="1">
      <alignment vertical="center"/>
    </xf>
    <xf numFmtId="168" fontId="3" fillId="0" borderId="0" xfId="55" applyNumberFormat="1" applyFont="1" applyFill="1" applyBorder="1" applyAlignment="1">
      <alignment vertical="center"/>
    </xf>
    <xf numFmtId="9" fontId="0" fillId="0" borderId="0" xfId="55" applyNumberFormat="1" applyFont="1" applyFill="1" applyBorder="1" applyAlignment="1">
      <alignment vertical="center"/>
    </xf>
    <xf numFmtId="225" fontId="2" fillId="0" borderId="22" xfId="55" applyNumberFormat="1" applyFont="1" applyFill="1" applyBorder="1" applyAlignment="1">
      <alignment vertical="center"/>
    </xf>
    <xf numFmtId="225" fontId="2" fillId="0" borderId="1" xfId="55" applyNumberFormat="1" applyFont="1" applyFill="1" applyBorder="1" applyAlignment="1">
      <alignment vertical="center"/>
    </xf>
    <xf numFmtId="225" fontId="2" fillId="0" borderId="0" xfId="55" applyNumberFormat="1" applyFont="1" applyFill="1" applyBorder="1" applyAlignment="1">
      <alignment vertical="center"/>
    </xf>
    <xf numFmtId="164" fontId="106" fillId="0" borderId="0" xfId="125" applyNumberFormat="1" applyFont="1" applyFill="1"/>
    <xf numFmtId="0" fontId="91" fillId="0" borderId="0" xfId="0" applyFont="1" applyFill="1" applyBorder="1"/>
    <xf numFmtId="170" fontId="74" fillId="0" borderId="1" xfId="0" applyNumberFormat="1" applyFont="1" applyFill="1" applyBorder="1"/>
    <xf numFmtId="0" fontId="108" fillId="0" borderId="0" xfId="0" applyFont="1" applyFill="1" applyBorder="1" applyAlignment="1">
      <alignment vertical="center"/>
    </xf>
    <xf numFmtId="0" fontId="108" fillId="0" borderId="22" xfId="0" applyFont="1" applyFill="1" applyBorder="1" applyAlignment="1">
      <alignment vertical="center"/>
    </xf>
    <xf numFmtId="168" fontId="108" fillId="0" borderId="0" xfId="55" applyNumberFormat="1" applyFont="1" applyFill="1" applyBorder="1" applyAlignment="1">
      <alignment vertical="center"/>
    </xf>
    <xf numFmtId="168" fontId="108" fillId="0" borderId="22" xfId="55" applyNumberFormat="1" applyFont="1" applyFill="1" applyBorder="1" applyAlignment="1">
      <alignment vertical="center"/>
    </xf>
    <xf numFmtId="166" fontId="108" fillId="0" borderId="0" xfId="55" applyNumberFormat="1" applyFont="1" applyFill="1" applyBorder="1" applyAlignment="1">
      <alignment vertical="center"/>
    </xf>
    <xf numFmtId="166" fontId="108" fillId="0" borderId="22" xfId="55" applyNumberFormat="1" applyFont="1" applyFill="1" applyBorder="1" applyAlignment="1">
      <alignment vertical="center"/>
    </xf>
    <xf numFmtId="0" fontId="108" fillId="0" borderId="23" xfId="0" applyFont="1" applyFill="1" applyBorder="1" applyAlignment="1">
      <alignment vertical="center"/>
    </xf>
    <xf numFmtId="0" fontId="108" fillId="0" borderId="1" xfId="0" applyFont="1" applyFill="1" applyBorder="1" applyAlignment="1">
      <alignment vertical="center"/>
    </xf>
    <xf numFmtId="168" fontId="109" fillId="0" borderId="0" xfId="55" applyNumberFormat="1" applyFont="1" applyFill="1" applyBorder="1" applyAlignment="1">
      <alignment vertical="center"/>
    </xf>
    <xf numFmtId="9" fontId="108" fillId="0" borderId="0" xfId="55" applyNumberFormat="1" applyFont="1" applyFill="1" applyBorder="1" applyAlignment="1">
      <alignment vertical="center"/>
    </xf>
    <xf numFmtId="0" fontId="73" fillId="0" borderId="0" xfId="0" applyFont="1"/>
    <xf numFmtId="0" fontId="108" fillId="0" borderId="0" xfId="0" applyFont="1" applyFill="1"/>
    <xf numFmtId="166" fontId="106" fillId="18" borderId="0" xfId="69" applyNumberFormat="1" applyFont="1" applyFill="1" applyBorder="1" applyAlignment="1">
      <alignment vertical="center"/>
    </xf>
    <xf numFmtId="166" fontId="106" fillId="18" borderId="22" xfId="69" applyNumberFormat="1" applyFont="1" applyFill="1" applyBorder="1" applyAlignment="1">
      <alignment vertical="center"/>
    </xf>
    <xf numFmtId="164" fontId="103" fillId="18" borderId="0" xfId="69" applyNumberFormat="1" applyFont="1" applyFill="1" applyBorder="1" applyAlignment="1">
      <alignment vertical="center"/>
    </xf>
    <xf numFmtId="164" fontId="103" fillId="18" borderId="22" xfId="69" applyNumberFormat="1" applyFont="1" applyFill="1" applyBorder="1" applyAlignment="1">
      <alignment vertical="center"/>
    </xf>
    <xf numFmtId="179" fontId="103" fillId="18" borderId="0" xfId="69" applyNumberFormat="1" applyFont="1" applyFill="1" applyBorder="1" applyAlignment="1">
      <alignment vertical="center"/>
    </xf>
    <xf numFmtId="179" fontId="103" fillId="18" borderId="22" xfId="69" applyNumberFormat="1" applyFont="1" applyFill="1" applyBorder="1" applyAlignment="1">
      <alignment vertical="center"/>
    </xf>
    <xf numFmtId="179" fontId="105" fillId="18" borderId="0" xfId="69" applyNumberFormat="1" applyFont="1" applyFill="1" applyBorder="1" applyAlignment="1">
      <alignment vertical="center"/>
    </xf>
    <xf numFmtId="179" fontId="105" fillId="18" borderId="22" xfId="69" applyNumberFormat="1" applyFont="1" applyFill="1" applyBorder="1" applyAlignment="1">
      <alignment vertical="center"/>
    </xf>
    <xf numFmtId="9" fontId="106" fillId="0" borderId="0" xfId="125" applyNumberFormat="1" applyFont="1" applyFill="1" applyBorder="1"/>
    <xf numFmtId="9" fontId="0" fillId="0" borderId="0" xfId="0" applyNumberFormat="1" applyFont="1" applyFill="1" applyAlignment="1">
      <alignment horizontal="right"/>
    </xf>
    <xf numFmtId="164" fontId="102" fillId="0" borderId="0" xfId="69" applyNumberFormat="1" applyFont="1" applyFill="1" applyBorder="1" applyAlignment="1">
      <alignment vertical="center"/>
    </xf>
    <xf numFmtId="43" fontId="103" fillId="0" borderId="0" xfId="55" applyFont="1" applyFill="1" applyBorder="1" applyAlignment="1">
      <alignment vertical="center"/>
    </xf>
    <xf numFmtId="179" fontId="3" fillId="17" borderId="0" xfId="0" applyNumberFormat="1" applyFont="1" applyFill="1" applyBorder="1"/>
    <xf numFmtId="0" fontId="0" fillId="17" borderId="0" xfId="0" applyFont="1" applyFill="1" applyAlignment="1">
      <alignment vertical="center"/>
    </xf>
    <xf numFmtId="227" fontId="103" fillId="0" borderId="3" xfId="115" applyNumberFormat="1" applyFont="1" applyFill="1" applyBorder="1" applyAlignment="1">
      <alignment vertical="center"/>
    </xf>
    <xf numFmtId="227" fontId="103" fillId="0" borderId="21" xfId="115" applyNumberFormat="1" applyFont="1" applyFill="1" applyBorder="1" applyAlignment="1">
      <alignment vertical="center"/>
    </xf>
    <xf numFmtId="49" fontId="0" fillId="0" borderId="0" xfId="0" applyNumberFormat="1"/>
    <xf numFmtId="170" fontId="2" fillId="0" borderId="22" xfId="55" applyNumberFormat="1" applyFont="1" applyFill="1" applyBorder="1" applyAlignment="1">
      <alignment horizontal="right"/>
    </xf>
    <xf numFmtId="177" fontId="103" fillId="0" borderId="8" xfId="69" applyNumberFormat="1" applyFont="1" applyFill="1" applyBorder="1" applyAlignment="1">
      <alignment vertical="center"/>
    </xf>
    <xf numFmtId="177" fontId="103" fillId="0" borderId="13" xfId="69" applyNumberFormat="1" applyFont="1" applyFill="1" applyBorder="1" applyAlignment="1">
      <alignment vertical="center"/>
    </xf>
    <xf numFmtId="177" fontId="103" fillId="0" borderId="19" xfId="69" applyNumberFormat="1" applyFont="1" applyFill="1" applyBorder="1" applyAlignment="1">
      <alignment vertical="center"/>
    </xf>
    <xf numFmtId="179" fontId="104" fillId="18" borderId="1" xfId="69" applyNumberFormat="1" applyFont="1" applyFill="1" applyBorder="1" applyAlignment="1">
      <alignment vertical="center"/>
    </xf>
    <xf numFmtId="166" fontId="106" fillId="18" borderId="1" xfId="69" applyNumberFormat="1" applyFont="1" applyFill="1" applyBorder="1" applyAlignment="1">
      <alignment vertical="center"/>
    </xf>
    <xf numFmtId="164" fontId="103" fillId="18" borderId="1" xfId="69" applyNumberFormat="1" applyFont="1" applyFill="1" applyBorder="1" applyAlignment="1">
      <alignment vertical="center"/>
    </xf>
    <xf numFmtId="179" fontId="103" fillId="18" borderId="1" xfId="69" applyNumberFormat="1" applyFont="1" applyFill="1" applyBorder="1" applyAlignment="1">
      <alignment vertical="center"/>
    </xf>
    <xf numFmtId="179" fontId="105" fillId="18" borderId="1" xfId="69" applyNumberFormat="1" applyFont="1" applyFill="1" applyBorder="1" applyAlignment="1">
      <alignment vertical="center"/>
    </xf>
    <xf numFmtId="167" fontId="103" fillId="0" borderId="20" xfId="115" applyNumberFormat="1" applyFont="1" applyFill="1" applyBorder="1" applyAlignment="1">
      <alignment vertical="center"/>
    </xf>
    <xf numFmtId="9" fontId="2" fillId="0" borderId="0" xfId="115" applyNumberFormat="1" applyFont="1" applyAlignment="1">
      <alignment vertical="center"/>
    </xf>
    <xf numFmtId="215" fontId="88" fillId="21" borderId="0" xfId="115" applyNumberFormat="1" applyFont="1" applyFill="1" applyAlignment="1">
      <alignment vertical="center"/>
    </xf>
    <xf numFmtId="217" fontId="3" fillId="15" borderId="9" xfId="115" applyNumberFormat="1" applyFont="1" applyFill="1" applyBorder="1" applyAlignment="1">
      <alignment horizontal="right" vertical="center"/>
    </xf>
    <xf numFmtId="232" fontId="2" fillId="0" borderId="0" xfId="115" applyNumberFormat="1" applyFont="1" applyAlignment="1">
      <alignment vertical="center"/>
    </xf>
    <xf numFmtId="172" fontId="103" fillId="0" borderId="22" xfId="69" applyNumberFormat="1" applyFont="1" applyFill="1" applyBorder="1" applyAlignment="1">
      <alignment vertical="center"/>
    </xf>
    <xf numFmtId="2" fontId="103" fillId="0" borderId="0" xfId="115" applyNumberFormat="1" applyFont="1" applyFill="1" applyBorder="1" applyAlignment="1">
      <alignment vertical="center"/>
    </xf>
    <xf numFmtId="185" fontId="2" fillId="11" borderId="0" xfId="0" applyNumberFormat="1" applyFont="1" applyFill="1" applyBorder="1" applyAlignment="1">
      <alignment horizontal="right"/>
    </xf>
    <xf numFmtId="166" fontId="3" fillId="0" borderId="0" xfId="0" applyNumberFormat="1" applyFont="1" applyFill="1" applyAlignment="1">
      <alignment horizontal="right"/>
    </xf>
    <xf numFmtId="0" fontId="3" fillId="0" borderId="0" xfId="0" applyFont="1" applyFill="1" applyAlignment="1">
      <alignment horizontal="right"/>
    </xf>
    <xf numFmtId="172" fontId="0" fillId="0" borderId="0" xfId="0" applyNumberFormat="1" applyFont="1" applyFill="1" applyAlignment="1">
      <alignment horizontal="right"/>
    </xf>
    <xf numFmtId="181" fontId="0" fillId="0" borderId="0" xfId="0" applyNumberFormat="1" applyFont="1" applyFill="1" applyAlignment="1">
      <alignment horizontal="right"/>
    </xf>
    <xf numFmtId="179" fontId="0" fillId="0" borderId="0" xfId="69" applyNumberFormat="1" applyFont="1" applyFill="1" applyBorder="1" applyAlignment="1">
      <alignment horizontal="right"/>
    </xf>
    <xf numFmtId="179" fontId="3" fillId="0" borderId="0" xfId="69" applyNumberFormat="1" applyFont="1" applyFill="1" applyBorder="1" applyAlignment="1">
      <alignment horizontal="right" vertical="center"/>
    </xf>
    <xf numFmtId="166" fontId="0" fillId="0" borderId="0" xfId="69" applyNumberFormat="1" applyFont="1" applyFill="1" applyBorder="1" applyAlignment="1">
      <alignment horizontal="right" vertical="center"/>
    </xf>
    <xf numFmtId="188" fontId="0" fillId="0" borderId="0" xfId="69" applyNumberFormat="1" applyFont="1" applyFill="1" applyBorder="1" applyAlignment="1">
      <alignment horizontal="right" vertical="center"/>
    </xf>
    <xf numFmtId="179" fontId="0" fillId="0" borderId="0" xfId="69" applyNumberFormat="1" applyFont="1" applyFill="1" applyBorder="1" applyAlignment="1">
      <alignment horizontal="right" vertical="center"/>
    </xf>
    <xf numFmtId="166" fontId="0" fillId="0" borderId="0" xfId="55" applyNumberFormat="1" applyFont="1" applyFill="1" applyBorder="1" applyAlignment="1">
      <alignment horizontal="right" vertical="center"/>
    </xf>
    <xf numFmtId="168" fontId="0" fillId="0" borderId="0" xfId="69" applyNumberFormat="1" applyFont="1" applyFill="1" applyBorder="1" applyAlignment="1">
      <alignment horizontal="right" vertical="center"/>
    </xf>
    <xf numFmtId="179" fontId="0" fillId="0" borderId="0" xfId="55" applyNumberFormat="1" applyFont="1" applyFill="1" applyBorder="1" applyAlignment="1">
      <alignment horizontal="right" vertical="center"/>
    </xf>
    <xf numFmtId="168" fontId="0" fillId="0" borderId="0" xfId="115" applyNumberFormat="1" applyFont="1" applyFill="1" applyAlignment="1">
      <alignment horizontal="right"/>
    </xf>
    <xf numFmtId="43" fontId="0" fillId="0" borderId="0" xfId="55" applyFont="1" applyFill="1" applyAlignment="1">
      <alignment horizontal="right"/>
    </xf>
    <xf numFmtId="0" fontId="0" fillId="0" borderId="9" xfId="0" applyFont="1" applyFill="1" applyBorder="1" applyAlignment="1">
      <alignment horizontal="right"/>
    </xf>
    <xf numFmtId="0" fontId="3" fillId="0" borderId="9" xfId="0" applyFont="1" applyFill="1" applyBorder="1" applyAlignment="1">
      <alignment horizontal="right"/>
    </xf>
    <xf numFmtId="167" fontId="0" fillId="0" borderId="1" xfId="0" applyNumberFormat="1" applyFont="1" applyFill="1" applyBorder="1"/>
    <xf numFmtId="167" fontId="0" fillId="0" borderId="0" xfId="0" applyNumberFormat="1" applyFont="1" applyFill="1" applyBorder="1"/>
    <xf numFmtId="167" fontId="0" fillId="0" borderId="0" xfId="0" applyNumberFormat="1" applyFont="1" applyFill="1"/>
    <xf numFmtId="179" fontId="74" fillId="0" borderId="31" xfId="0" applyNumberFormat="1" applyFont="1" applyFill="1" applyBorder="1" applyAlignment="1">
      <alignment horizontal="right"/>
    </xf>
    <xf numFmtId="9" fontId="3" fillId="0" borderId="23" xfId="0" applyNumberFormat="1" applyFont="1" applyFill="1" applyBorder="1" applyAlignment="1">
      <alignment horizontal="right"/>
    </xf>
    <xf numFmtId="166" fontId="0" fillId="0" borderId="23" xfId="150" applyNumberFormat="1" applyFont="1" applyFill="1" applyBorder="1" applyAlignment="1">
      <alignment horizontal="right"/>
    </xf>
    <xf numFmtId="9" fontId="0" fillId="0" borderId="23" xfId="0" applyNumberFormat="1" applyFont="1" applyFill="1" applyBorder="1" applyAlignment="1">
      <alignment horizontal="right"/>
    </xf>
    <xf numFmtId="179" fontId="0" fillId="0" borderId="23" xfId="0" applyNumberFormat="1" applyFont="1" applyFill="1" applyBorder="1" applyAlignment="1">
      <alignment horizontal="right"/>
    </xf>
    <xf numFmtId="166" fontId="0" fillId="0" borderId="23" xfId="0" applyNumberFormat="1" applyFont="1" applyFill="1" applyBorder="1" applyAlignment="1">
      <alignment horizontal="right"/>
    </xf>
    <xf numFmtId="166" fontId="3" fillId="0" borderId="23" xfId="0" applyNumberFormat="1" applyFont="1" applyFill="1" applyBorder="1" applyAlignment="1">
      <alignment horizontal="right"/>
    </xf>
    <xf numFmtId="188" fontId="0" fillId="0" borderId="23" xfId="0" applyNumberFormat="1" applyFont="1" applyFill="1" applyBorder="1" applyAlignment="1">
      <alignment horizontal="right"/>
    </xf>
    <xf numFmtId="168" fontId="0" fillId="0" borderId="23" xfId="0" applyNumberFormat="1" applyFont="1" applyFill="1" applyBorder="1" applyAlignment="1">
      <alignment horizontal="right"/>
    </xf>
    <xf numFmtId="166" fontId="0" fillId="0" borderId="23" xfId="69" applyNumberFormat="1" applyFont="1" applyFill="1" applyBorder="1" applyAlignment="1">
      <alignment horizontal="right"/>
    </xf>
    <xf numFmtId="164" fontId="0" fillId="0" borderId="23" xfId="115" applyNumberFormat="1" applyFont="1" applyFill="1" applyBorder="1" applyAlignment="1">
      <alignment horizontal="right"/>
    </xf>
    <xf numFmtId="188" fontId="3" fillId="0" borderId="23" xfId="0" applyNumberFormat="1" applyFont="1" applyFill="1" applyBorder="1" applyAlignment="1">
      <alignment horizontal="right"/>
    </xf>
    <xf numFmtId="179" fontId="79" fillId="0" borderId="23" xfId="0" applyNumberFormat="1" applyFont="1" applyFill="1" applyBorder="1" applyAlignment="1">
      <alignment horizontal="right"/>
    </xf>
    <xf numFmtId="179" fontId="3" fillId="0" borderId="23" xfId="0" applyNumberFormat="1" applyFont="1" applyFill="1" applyBorder="1" applyAlignment="1">
      <alignment horizontal="right"/>
    </xf>
    <xf numFmtId="179" fontId="0" fillId="0" borderId="23" xfId="55" applyNumberFormat="1" applyFont="1" applyFill="1" applyBorder="1" applyAlignment="1">
      <alignment horizontal="right"/>
    </xf>
    <xf numFmtId="166" fontId="0" fillId="0" borderId="23" xfId="55" applyNumberFormat="1" applyFont="1" applyFill="1" applyBorder="1" applyAlignment="1">
      <alignment horizontal="right"/>
    </xf>
    <xf numFmtId="0" fontId="3" fillId="0" borderId="23" xfId="0" applyFont="1" applyFill="1" applyBorder="1" applyAlignment="1">
      <alignment horizontal="right"/>
    </xf>
    <xf numFmtId="179" fontId="0" fillId="0" borderId="23" xfId="69" applyNumberFormat="1" applyFont="1" applyFill="1" applyBorder="1" applyAlignment="1">
      <alignment horizontal="right"/>
    </xf>
    <xf numFmtId="170" fontId="0" fillId="0" borderId="23" xfId="0" applyNumberFormat="1" applyFont="1" applyFill="1" applyBorder="1" applyAlignment="1">
      <alignment horizontal="right"/>
    </xf>
    <xf numFmtId="166" fontId="0" fillId="0" borderId="23" xfId="115" applyNumberFormat="1" applyFont="1" applyFill="1" applyBorder="1" applyAlignment="1">
      <alignment horizontal="right"/>
    </xf>
    <xf numFmtId="0" fontId="3" fillId="0" borderId="9" xfId="0" quotePrefix="1" applyFont="1" applyFill="1" applyBorder="1" applyAlignment="1">
      <alignment horizontal="right"/>
    </xf>
    <xf numFmtId="0" fontId="103" fillId="0" borderId="1" xfId="115" applyFont="1" applyFill="1" applyBorder="1" applyAlignment="1">
      <alignment vertical="center"/>
    </xf>
    <xf numFmtId="166" fontId="105" fillId="0" borderId="1" xfId="69" applyNumberFormat="1" applyFont="1" applyFill="1" applyBorder="1" applyAlignment="1">
      <alignment vertical="center"/>
    </xf>
    <xf numFmtId="188" fontId="106" fillId="0" borderId="1" xfId="69" applyNumberFormat="1" applyFont="1" applyFill="1" applyBorder="1" applyAlignment="1">
      <alignment vertical="center"/>
    </xf>
    <xf numFmtId="179" fontId="105" fillId="0" borderId="1" xfId="0" applyNumberFormat="1" applyFont="1" applyFill="1" applyBorder="1" applyAlignment="1">
      <alignment vertical="center"/>
    </xf>
    <xf numFmtId="166" fontId="106" fillId="0" borderId="1" xfId="150" applyNumberFormat="1" applyFont="1" applyFill="1" applyBorder="1" applyAlignment="1">
      <alignment vertical="center"/>
    </xf>
    <xf numFmtId="179" fontId="105" fillId="0" borderId="1" xfId="55" applyNumberFormat="1" applyFont="1" applyFill="1" applyBorder="1" applyAlignment="1">
      <alignment vertical="center"/>
    </xf>
    <xf numFmtId="179" fontId="2" fillId="0" borderId="1" xfId="69" applyNumberFormat="1" applyFont="1" applyFill="1" applyBorder="1" applyAlignment="1">
      <alignment vertical="center"/>
    </xf>
    <xf numFmtId="179" fontId="105" fillId="0" borderId="8" xfId="55" applyNumberFormat="1" applyFont="1" applyFill="1" applyBorder="1" applyAlignment="1">
      <alignment vertical="center"/>
    </xf>
    <xf numFmtId="179" fontId="105" fillId="0" borderId="13" xfId="55" applyNumberFormat="1" applyFont="1" applyFill="1" applyBorder="1" applyAlignment="1">
      <alignment vertical="center"/>
    </xf>
    <xf numFmtId="179" fontId="105" fillId="0" borderId="19" xfId="55" applyNumberFormat="1" applyFont="1" applyFill="1" applyBorder="1" applyAlignment="1">
      <alignment vertical="center"/>
    </xf>
    <xf numFmtId="188" fontId="106" fillId="0" borderId="1" xfId="55" applyNumberFormat="1" applyFont="1" applyFill="1" applyBorder="1" applyAlignment="1">
      <alignment vertical="center"/>
    </xf>
    <xf numFmtId="164" fontId="103" fillId="0" borderId="1" xfId="55" applyNumberFormat="1" applyFont="1" applyFill="1" applyBorder="1" applyAlignment="1">
      <alignment vertical="center"/>
    </xf>
    <xf numFmtId="179" fontId="105" fillId="0" borderId="1" xfId="115" applyNumberFormat="1" applyFont="1" applyFill="1" applyBorder="1" applyAlignment="1">
      <alignment vertical="center"/>
    </xf>
    <xf numFmtId="166" fontId="106" fillId="0" borderId="1" xfId="115" applyNumberFormat="1" applyFont="1" applyFill="1" applyBorder="1" applyAlignment="1">
      <alignment vertical="center"/>
    </xf>
    <xf numFmtId="0" fontId="103" fillId="0" borderId="3" xfId="115" applyFont="1" applyFill="1" applyBorder="1" applyAlignment="1">
      <alignment vertical="center"/>
    </xf>
    <xf numFmtId="170" fontId="103" fillId="18" borderId="1" xfId="55" applyNumberFormat="1" applyFont="1" applyFill="1" applyBorder="1" applyAlignment="1">
      <alignment vertical="center"/>
    </xf>
    <xf numFmtId="170" fontId="103" fillId="18" borderId="22" xfId="55" applyNumberFormat="1" applyFont="1" applyFill="1" applyBorder="1" applyAlignment="1">
      <alignment vertical="center"/>
    </xf>
    <xf numFmtId="176" fontId="103" fillId="0" borderId="1" xfId="55" applyNumberFormat="1" applyFont="1" applyFill="1" applyBorder="1" applyAlignment="1">
      <alignment vertical="center"/>
    </xf>
    <xf numFmtId="166" fontId="103" fillId="18" borderId="1" xfId="55" applyNumberFormat="1" applyFont="1" applyFill="1" applyBorder="1" applyAlignment="1">
      <alignment vertical="center"/>
    </xf>
    <xf numFmtId="166" fontId="106" fillId="0" borderId="1" xfId="55" applyNumberFormat="1" applyFont="1" applyFill="1" applyBorder="1" applyAlignment="1">
      <alignment horizontal="right" vertical="center"/>
    </xf>
    <xf numFmtId="164" fontId="106" fillId="0" borderId="1" xfId="150" applyNumberFormat="1" applyFont="1" applyFill="1" applyBorder="1" applyAlignment="1">
      <alignment horizontal="right" vertical="center"/>
    </xf>
    <xf numFmtId="179" fontId="2" fillId="0" borderId="1" xfId="55" applyNumberFormat="1" applyFont="1" applyFill="1" applyBorder="1" applyAlignment="1">
      <alignment horizontal="left" indent="1"/>
    </xf>
    <xf numFmtId="211" fontId="82" fillId="13" borderId="7" xfId="0" applyNumberFormat="1" applyFont="1" applyFill="1" applyBorder="1" applyAlignment="1">
      <alignment horizontal="right" vertical="center"/>
    </xf>
    <xf numFmtId="212" fontId="3" fillId="0" borderId="7" xfId="0" applyNumberFormat="1" applyFont="1" applyBorder="1" applyAlignment="1">
      <alignment horizontal="right" vertical="center"/>
    </xf>
    <xf numFmtId="206" fontId="2" fillId="0" borderId="0" xfId="115" applyNumberFormat="1" applyFont="1" applyBorder="1" applyAlignment="1">
      <alignment horizontal="right" vertical="center"/>
    </xf>
    <xf numFmtId="206" fontId="84" fillId="0" borderId="0" xfId="115" applyNumberFormat="1" applyFont="1" applyBorder="1" applyAlignment="1">
      <alignment horizontal="right" vertical="center"/>
    </xf>
    <xf numFmtId="205" fontId="3" fillId="0" borderId="0" xfId="115" applyNumberFormat="1" applyFont="1" applyBorder="1" applyAlignment="1">
      <alignment horizontal="right" vertical="center"/>
    </xf>
    <xf numFmtId="0" fontId="2" fillId="0" borderId="3" xfId="115" applyFont="1" applyBorder="1" applyAlignment="1">
      <alignment vertical="center"/>
    </xf>
    <xf numFmtId="206" fontId="2" fillId="0" borderId="3" xfId="115" applyNumberFormat="1" applyFont="1" applyBorder="1" applyAlignment="1">
      <alignment horizontal="right" vertical="center"/>
    </xf>
    <xf numFmtId="206" fontId="84" fillId="0" borderId="3" xfId="115" applyNumberFormat="1" applyFont="1" applyBorder="1" applyAlignment="1">
      <alignment horizontal="right" vertical="center"/>
    </xf>
    <xf numFmtId="0" fontId="3" fillId="20" borderId="0" xfId="125" applyFont="1" applyFill="1" applyBorder="1" applyAlignment="1">
      <alignment horizontal="left"/>
    </xf>
    <xf numFmtId="14" fontId="99" fillId="19" borderId="0" xfId="125" applyNumberFormat="1" applyFont="1" applyFill="1" applyBorder="1" applyAlignment="1">
      <alignment horizontal="right"/>
    </xf>
    <xf numFmtId="0" fontId="3" fillId="20" borderId="0" xfId="125" applyFont="1" applyFill="1" applyBorder="1" applyAlignment="1">
      <alignment horizontal="right"/>
    </xf>
    <xf numFmtId="0" fontId="106" fillId="0" borderId="0" xfId="125" applyFont="1" applyFill="1" applyAlignment="1">
      <alignment horizontal="right"/>
    </xf>
    <xf numFmtId="183" fontId="106" fillId="0" borderId="0" xfId="125" applyNumberFormat="1" applyFont="1" applyFill="1" applyBorder="1" applyAlignment="1">
      <alignment horizontal="right"/>
    </xf>
    <xf numFmtId="183" fontId="106" fillId="0" borderId="0" xfId="125" applyNumberFormat="1" applyFont="1" applyFill="1" applyAlignment="1">
      <alignment horizontal="right"/>
    </xf>
    <xf numFmtId="164" fontId="106" fillId="0" borderId="0" xfId="125" applyNumberFormat="1" applyFont="1" applyFill="1" applyAlignment="1">
      <alignment horizontal="right"/>
    </xf>
    <xf numFmtId="219" fontId="106" fillId="0" borderId="0" xfId="125" applyNumberFormat="1" applyFont="1" applyFill="1" applyAlignment="1">
      <alignment horizontal="right"/>
    </xf>
    <xf numFmtId="216" fontId="103" fillId="0" borderId="0" xfId="115" applyNumberFormat="1" applyFont="1" applyAlignment="1">
      <alignment vertical="center"/>
    </xf>
    <xf numFmtId="0" fontId="0" fillId="0" borderId="0" xfId="0" applyFill="1"/>
    <xf numFmtId="164" fontId="2" fillId="0" borderId="0" xfId="115" applyNumberFormat="1" applyFont="1" applyAlignment="1">
      <alignment vertical="center"/>
    </xf>
    <xf numFmtId="0" fontId="104" fillId="0" borderId="8" xfId="115" applyFont="1" applyFill="1" applyBorder="1" applyAlignment="1">
      <alignment vertical="center"/>
    </xf>
    <xf numFmtId="0" fontId="104" fillId="0" borderId="13" xfId="115" applyFont="1" applyFill="1" applyBorder="1" applyAlignment="1">
      <alignment vertical="center"/>
    </xf>
    <xf numFmtId="168" fontId="104" fillId="0" borderId="19" xfId="69" applyNumberFormat="1" applyFont="1" applyFill="1" applyBorder="1" applyAlignment="1">
      <alignment vertical="center"/>
    </xf>
    <xf numFmtId="43" fontId="104" fillId="0" borderId="1" xfId="115" applyNumberFormat="1" applyFont="1" applyFill="1" applyBorder="1" applyAlignment="1">
      <alignment vertical="center"/>
    </xf>
    <xf numFmtId="176" fontId="103" fillId="0" borderId="1" xfId="69" applyNumberFormat="1" applyFont="1" applyFill="1" applyBorder="1" applyAlignment="1">
      <alignment vertical="center"/>
    </xf>
    <xf numFmtId="179" fontId="106" fillId="11" borderId="20" xfId="69" applyNumberFormat="1" applyFont="1" applyFill="1" applyBorder="1" applyAlignment="1">
      <alignment vertical="center"/>
    </xf>
    <xf numFmtId="179" fontId="112" fillId="0" borderId="1" xfId="69" applyNumberFormat="1" applyFont="1" applyFill="1" applyBorder="1" applyAlignment="1">
      <alignment vertical="center"/>
    </xf>
    <xf numFmtId="168" fontId="104" fillId="0" borderId="8" xfId="69" applyNumberFormat="1" applyFont="1" applyFill="1" applyBorder="1" applyAlignment="1">
      <alignment vertical="center"/>
    </xf>
    <xf numFmtId="168" fontId="104" fillId="0" borderId="13" xfId="69" applyNumberFormat="1" applyFont="1" applyFill="1" applyBorder="1" applyAlignment="1">
      <alignment vertical="center"/>
    </xf>
    <xf numFmtId="176" fontId="104" fillId="0" borderId="1" xfId="69" applyNumberFormat="1" applyFont="1" applyFill="1" applyBorder="1" applyAlignment="1">
      <alignment vertical="center"/>
    </xf>
    <xf numFmtId="179" fontId="106" fillId="0" borderId="8" xfId="69" applyNumberFormat="1" applyFont="1" applyFill="1" applyBorder="1" applyAlignment="1">
      <alignment vertical="center"/>
    </xf>
    <xf numFmtId="179" fontId="106" fillId="0" borderId="13" xfId="69" applyNumberFormat="1" applyFont="1" applyFill="1" applyBorder="1" applyAlignment="1">
      <alignment vertical="center"/>
    </xf>
    <xf numFmtId="179" fontId="106" fillId="0" borderId="19" xfId="69" applyNumberFormat="1" applyFont="1" applyFill="1" applyBorder="1" applyAlignment="1">
      <alignment vertical="center"/>
    </xf>
    <xf numFmtId="188" fontId="103" fillId="18" borderId="1" xfId="69" applyNumberFormat="1" applyFont="1" applyFill="1" applyBorder="1" applyAlignment="1">
      <alignment vertical="center"/>
    </xf>
    <xf numFmtId="188" fontId="103" fillId="18" borderId="22" xfId="69" applyNumberFormat="1" applyFont="1" applyFill="1" applyBorder="1" applyAlignment="1">
      <alignment vertical="center"/>
    </xf>
    <xf numFmtId="168" fontId="104" fillId="0" borderId="1" xfId="69" applyNumberFormat="1" applyFont="1" applyFill="1" applyBorder="1" applyAlignment="1">
      <alignment vertical="center"/>
    </xf>
    <xf numFmtId="168" fontId="106" fillId="0" borderId="8" xfId="69" applyNumberFormat="1" applyFont="1" applyFill="1" applyBorder="1" applyAlignment="1">
      <alignment vertical="center"/>
    </xf>
    <xf numFmtId="168" fontId="106" fillId="0" borderId="13" xfId="69" applyNumberFormat="1" applyFont="1" applyFill="1" applyBorder="1" applyAlignment="1">
      <alignment vertical="center"/>
    </xf>
    <xf numFmtId="168" fontId="106" fillId="0" borderId="19" xfId="69" applyNumberFormat="1" applyFont="1" applyFill="1" applyBorder="1" applyAlignment="1">
      <alignment vertical="center"/>
    </xf>
    <xf numFmtId="166" fontId="103" fillId="0" borderId="8" xfId="69" applyNumberFormat="1" applyFont="1" applyFill="1" applyBorder="1" applyAlignment="1">
      <alignment vertical="center"/>
    </xf>
    <xf numFmtId="166" fontId="103" fillId="0" borderId="13" xfId="69" applyNumberFormat="1" applyFont="1" applyFill="1" applyBorder="1" applyAlignment="1">
      <alignment vertical="center"/>
    </xf>
    <xf numFmtId="166" fontId="103" fillId="0" borderId="19" xfId="69" applyNumberFormat="1" applyFont="1" applyFill="1" applyBorder="1" applyAlignment="1">
      <alignment vertical="center"/>
    </xf>
    <xf numFmtId="183" fontId="103" fillId="0" borderId="1" xfId="69" applyNumberFormat="1" applyFont="1" applyFill="1" applyBorder="1" applyAlignment="1">
      <alignment vertical="center"/>
    </xf>
    <xf numFmtId="166" fontId="103" fillId="18" borderId="1" xfId="69" applyNumberFormat="1" applyFont="1" applyFill="1" applyBorder="1" applyAlignment="1">
      <alignment vertical="center"/>
    </xf>
    <xf numFmtId="3" fontId="103" fillId="0" borderId="8" xfId="69" applyNumberFormat="1" applyFont="1" applyFill="1" applyBorder="1" applyAlignment="1">
      <alignment vertical="center"/>
    </xf>
    <xf numFmtId="3" fontId="103" fillId="0" borderId="13" xfId="69" applyNumberFormat="1" applyFont="1" applyFill="1" applyBorder="1" applyAlignment="1">
      <alignment vertical="center"/>
    </xf>
    <xf numFmtId="3" fontId="103" fillId="0" borderId="19" xfId="69" applyNumberFormat="1" applyFont="1" applyFill="1" applyBorder="1" applyAlignment="1">
      <alignment vertical="center"/>
    </xf>
    <xf numFmtId="179" fontId="106" fillId="18" borderId="1" xfId="69" applyNumberFormat="1" applyFont="1" applyFill="1" applyBorder="1" applyAlignment="1">
      <alignment vertical="center"/>
    </xf>
    <xf numFmtId="0" fontId="108" fillId="18" borderId="1" xfId="69" applyNumberFormat="1" applyFont="1" applyFill="1" applyBorder="1" applyAlignment="1">
      <alignment vertical="center"/>
    </xf>
    <xf numFmtId="167" fontId="103" fillId="0" borderId="1" xfId="115" applyNumberFormat="1" applyFont="1" applyFill="1" applyBorder="1" applyAlignment="1">
      <alignment vertical="center"/>
    </xf>
    <xf numFmtId="168" fontId="103" fillId="0" borderId="8" xfId="69" applyNumberFormat="1" applyFont="1" applyFill="1" applyBorder="1" applyAlignment="1">
      <alignment vertical="center"/>
    </xf>
    <xf numFmtId="168" fontId="103" fillId="0" borderId="13" xfId="69" applyNumberFormat="1" applyFont="1" applyFill="1" applyBorder="1" applyAlignment="1">
      <alignment vertical="center"/>
    </xf>
    <xf numFmtId="168" fontId="103" fillId="0" borderId="19" xfId="69" applyNumberFormat="1" applyFont="1" applyFill="1" applyBorder="1" applyAlignment="1">
      <alignment vertical="center"/>
    </xf>
    <xf numFmtId="188" fontId="105" fillId="0" borderId="1" xfId="69" applyNumberFormat="1" applyFont="1" applyFill="1" applyBorder="1" applyAlignment="1">
      <alignment vertical="center"/>
    </xf>
    <xf numFmtId="179" fontId="0" fillId="0" borderId="1" xfId="0" applyNumberFormat="1" applyFont="1" applyFill="1" applyBorder="1" applyAlignment="1">
      <alignment horizontal="right"/>
    </xf>
    <xf numFmtId="170" fontId="106" fillId="0" borderId="0" xfId="0" applyNumberFormat="1" applyFont="1" applyFill="1" applyBorder="1" applyAlignment="1">
      <alignment vertical="center"/>
    </xf>
    <xf numFmtId="164" fontId="73" fillId="0" borderId="22" xfId="55" applyNumberFormat="1" applyFont="1" applyFill="1" applyBorder="1"/>
    <xf numFmtId="0" fontId="73" fillId="0" borderId="20" xfId="0" applyFont="1" applyFill="1" applyBorder="1"/>
    <xf numFmtId="0" fontId="3" fillId="0" borderId="0" xfId="115" applyFont="1" applyFill="1" applyBorder="1" applyAlignment="1">
      <alignment horizontal="right"/>
    </xf>
    <xf numFmtId="168" fontId="103" fillId="0" borderId="8" xfId="55" applyNumberFormat="1" applyFont="1" applyFill="1" applyBorder="1" applyAlignment="1">
      <alignment vertical="center"/>
    </xf>
    <xf numFmtId="168" fontId="103" fillId="0" borderId="13" xfId="55" applyNumberFormat="1" applyFont="1" applyFill="1" applyBorder="1" applyAlignment="1">
      <alignment vertical="center"/>
    </xf>
    <xf numFmtId="168" fontId="103" fillId="0" borderId="19" xfId="55" applyNumberFormat="1" applyFont="1" applyFill="1" applyBorder="1" applyAlignment="1">
      <alignment vertical="center"/>
    </xf>
    <xf numFmtId="166" fontId="0" fillId="0" borderId="1" xfId="55" quotePrefix="1" applyNumberFormat="1" applyFont="1" applyFill="1" applyBorder="1" applyAlignment="1">
      <alignment horizontal="right"/>
    </xf>
    <xf numFmtId="168" fontId="99" fillId="16" borderId="1" xfId="55" applyNumberFormat="1" applyFont="1" applyFill="1" applyBorder="1"/>
    <xf numFmtId="9" fontId="15" fillId="0" borderId="1" xfId="55" applyNumberFormat="1" applyFont="1" applyFill="1" applyBorder="1"/>
    <xf numFmtId="168" fontId="0" fillId="0" borderId="1" xfId="55" applyNumberFormat="1" applyFont="1" applyFill="1" applyBorder="1"/>
    <xf numFmtId="9" fontId="0" fillId="0" borderId="1" xfId="55" applyNumberFormat="1" applyFont="1" applyFill="1" applyBorder="1"/>
    <xf numFmtId="164" fontId="2" fillId="0" borderId="1" xfId="150" applyNumberFormat="1" applyFont="1" applyFill="1" applyBorder="1" applyAlignment="1">
      <alignment vertical="center"/>
    </xf>
    <xf numFmtId="164" fontId="3" fillId="0" borderId="1" xfId="55" applyNumberFormat="1" applyFont="1" applyFill="1" applyBorder="1" applyAlignment="1">
      <alignment horizontal="right"/>
    </xf>
    <xf numFmtId="164" fontId="0" fillId="0" borderId="1" xfId="150" applyNumberFormat="1" applyFont="1" applyFill="1" applyBorder="1" applyAlignment="1">
      <alignment horizontal="right"/>
    </xf>
    <xf numFmtId="170" fontId="73" fillId="0" borderId="1" xfId="55" applyNumberFormat="1" applyFont="1" applyFill="1" applyBorder="1" applyAlignment="1">
      <alignment horizontal="right"/>
    </xf>
    <xf numFmtId="164" fontId="103" fillId="0" borderId="1" xfId="55" applyNumberFormat="1" applyFont="1" applyFill="1" applyBorder="1" applyAlignment="1">
      <alignment horizontal="right"/>
    </xf>
    <xf numFmtId="164" fontId="108" fillId="18" borderId="1" xfId="55" applyNumberFormat="1" applyFont="1" applyFill="1" applyBorder="1" applyAlignment="1">
      <alignment horizontal="right"/>
    </xf>
    <xf numFmtId="164" fontId="0" fillId="0" borderId="1" xfId="55" applyNumberFormat="1" applyFont="1" applyFill="1" applyBorder="1" applyAlignment="1">
      <alignment horizontal="right"/>
    </xf>
    <xf numFmtId="164" fontId="73" fillId="0" borderId="1" xfId="55" applyNumberFormat="1" applyFont="1" applyFill="1" applyBorder="1" applyAlignment="1">
      <alignment horizontal="right"/>
    </xf>
    <xf numFmtId="164" fontId="2" fillId="16" borderId="1" xfId="55" applyNumberFormat="1" applyFont="1" applyFill="1" applyBorder="1" applyAlignment="1">
      <alignment horizontal="right"/>
    </xf>
    <xf numFmtId="165" fontId="0" fillId="0" borderId="1" xfId="55" applyNumberFormat="1" applyFont="1" applyFill="1" applyBorder="1" applyAlignment="1">
      <alignment horizontal="right"/>
    </xf>
    <xf numFmtId="166" fontId="103" fillId="0" borderId="1" xfId="150" applyNumberFormat="1" applyFont="1" applyFill="1" applyBorder="1" applyAlignment="1">
      <alignment horizontal="right"/>
    </xf>
    <xf numFmtId="166" fontId="103" fillId="0" borderId="22" xfId="150" applyNumberFormat="1" applyFont="1" applyFill="1" applyBorder="1" applyAlignment="1">
      <alignment horizontal="right"/>
    </xf>
    <xf numFmtId="168" fontId="0" fillId="0" borderId="1" xfId="55" applyNumberFormat="1" applyFont="1" applyFill="1" applyBorder="1" applyAlignment="1">
      <alignment horizontal="right"/>
    </xf>
    <xf numFmtId="167" fontId="0" fillId="0" borderId="1" xfId="55" applyNumberFormat="1" applyFont="1" applyFill="1" applyBorder="1" applyAlignment="1">
      <alignment horizontal="right"/>
    </xf>
    <xf numFmtId="166" fontId="110" fillId="0" borderId="1" xfId="55" applyNumberFormat="1" applyFont="1" applyFill="1" applyBorder="1" applyAlignment="1">
      <alignment horizontal="right"/>
    </xf>
    <xf numFmtId="166" fontId="103" fillId="18" borderId="1" xfId="55" applyNumberFormat="1" applyFont="1" applyFill="1" applyBorder="1" applyAlignment="1">
      <alignment horizontal="right"/>
    </xf>
    <xf numFmtId="167" fontId="3" fillId="0" borderId="1" xfId="55" applyNumberFormat="1" applyFont="1" applyFill="1" applyBorder="1" applyAlignment="1">
      <alignment horizontal="right"/>
    </xf>
    <xf numFmtId="170" fontId="73" fillId="0" borderId="1" xfId="55" applyNumberFormat="1" applyFont="1" applyFill="1" applyBorder="1"/>
    <xf numFmtId="166" fontId="0" fillId="0" borderId="1" xfId="55" applyNumberFormat="1" applyFont="1" applyFill="1" applyBorder="1"/>
    <xf numFmtId="170" fontId="2" fillId="0" borderId="1" xfId="55" applyNumberFormat="1" applyFont="1" applyFill="1" applyBorder="1"/>
    <xf numFmtId="168" fontId="2" fillId="0" borderId="1" xfId="55" applyNumberFormat="1" applyFont="1" applyFill="1" applyBorder="1" applyAlignment="1">
      <alignment horizontal="right"/>
    </xf>
    <xf numFmtId="168" fontId="73" fillId="0" borderId="1" xfId="55" applyNumberFormat="1" applyFont="1" applyFill="1" applyBorder="1"/>
    <xf numFmtId="166" fontId="0" fillId="11" borderId="1" xfId="55" applyNumberFormat="1" applyFont="1" applyFill="1" applyBorder="1"/>
    <xf numFmtId="166" fontId="73" fillId="0" borderId="1" xfId="55" applyNumberFormat="1" applyFont="1" applyFill="1" applyBorder="1"/>
    <xf numFmtId="9" fontId="0" fillId="11" borderId="1" xfId="55" applyNumberFormat="1" applyFont="1" applyFill="1" applyBorder="1"/>
    <xf numFmtId="168" fontId="2" fillId="0" borderId="1" xfId="55" applyNumberFormat="1" applyFont="1" applyFill="1" applyBorder="1"/>
    <xf numFmtId="166" fontId="76" fillId="0" borderId="1" xfId="115" applyNumberFormat="1" applyFont="1" applyFill="1" applyBorder="1"/>
    <xf numFmtId="166" fontId="73" fillId="0" borderId="1" xfId="115" applyNumberFormat="1" applyFont="1" applyFill="1" applyBorder="1"/>
    <xf numFmtId="168" fontId="100" fillId="16" borderId="1" xfId="55" applyNumberFormat="1" applyFont="1" applyFill="1" applyBorder="1"/>
    <xf numFmtId="170" fontId="73" fillId="0" borderId="1" xfId="55" applyNumberFormat="1" applyFont="1" applyFill="1" applyBorder="1" applyAlignment="1">
      <alignment horizontal="left" indent="1"/>
    </xf>
    <xf numFmtId="170" fontId="0" fillId="0" borderId="1" xfId="55" applyNumberFormat="1" applyFont="1" applyFill="1" applyBorder="1" applyAlignment="1">
      <alignment horizontal="left" indent="1"/>
    </xf>
    <xf numFmtId="0" fontId="73" fillId="0" borderId="1" xfId="115" applyFont="1" applyFill="1" applyBorder="1"/>
    <xf numFmtId="0" fontId="3" fillId="0" borderId="1" xfId="115" applyFont="1" applyFill="1" applyBorder="1"/>
    <xf numFmtId="0" fontId="2" fillId="0" borderId="1" xfId="115" applyFont="1" applyFill="1" applyBorder="1"/>
    <xf numFmtId="166" fontId="103" fillId="0" borderId="1" xfId="55" applyNumberFormat="1" applyFont="1" applyFill="1" applyBorder="1" applyAlignment="1">
      <alignment horizontal="right"/>
    </xf>
    <xf numFmtId="166" fontId="113" fillId="0" borderId="1" xfId="55" applyNumberFormat="1" applyFont="1" applyFill="1" applyBorder="1" applyAlignment="1">
      <alignment horizontal="right"/>
    </xf>
    <xf numFmtId="188" fontId="0" fillId="0" borderId="1" xfId="55" applyNumberFormat="1" applyFont="1" applyFill="1" applyBorder="1" applyAlignment="1">
      <alignment horizontal="right"/>
    </xf>
    <xf numFmtId="172" fontId="0" fillId="0" borderId="1" xfId="55" applyNumberFormat="1" applyFont="1" applyFill="1" applyBorder="1" applyAlignment="1">
      <alignment horizontal="right"/>
    </xf>
    <xf numFmtId="164" fontId="15" fillId="0" borderId="1" xfId="150" applyNumberFormat="1" applyFont="1" applyFill="1" applyBorder="1" applyAlignment="1">
      <alignment horizontal="right"/>
    </xf>
    <xf numFmtId="166" fontId="81" fillId="0" borderId="1" xfId="55" applyNumberFormat="1" applyFont="1" applyFill="1" applyBorder="1" applyAlignment="1">
      <alignment horizontal="right"/>
    </xf>
    <xf numFmtId="168" fontId="81" fillId="0" borderId="1" xfId="55" applyNumberFormat="1" applyFont="1" applyFill="1" applyBorder="1" applyAlignment="1">
      <alignment horizontal="right"/>
    </xf>
    <xf numFmtId="0" fontId="103" fillId="0" borderId="1" xfId="115" applyFont="1" applyFill="1" applyBorder="1"/>
    <xf numFmtId="164" fontId="0" fillId="0" borderId="20" xfId="55" applyNumberFormat="1" applyFont="1" applyFill="1" applyBorder="1" applyAlignment="1">
      <alignment horizontal="right"/>
    </xf>
    <xf numFmtId="8" fontId="0" fillId="0" borderId="0" xfId="115" applyNumberFormat="1" applyFont="1" applyFill="1" applyBorder="1"/>
    <xf numFmtId="170" fontId="80" fillId="0" borderId="1" xfId="55" applyNumberFormat="1" applyFont="1" applyFill="1" applyBorder="1"/>
    <xf numFmtId="166" fontId="15" fillId="0" borderId="1" xfId="55" applyNumberFormat="1" applyFont="1" applyFill="1" applyBorder="1"/>
    <xf numFmtId="170" fontId="75" fillId="0" borderId="1" xfId="55" applyNumberFormat="1" applyFont="1" applyFill="1" applyBorder="1"/>
    <xf numFmtId="0" fontId="75" fillId="0" borderId="1" xfId="115" applyFont="1" applyFill="1" applyBorder="1"/>
    <xf numFmtId="166" fontId="81" fillId="0" borderId="1" xfId="150" applyNumberFormat="1" applyFont="1" applyFill="1" applyBorder="1" applyAlignment="1">
      <alignment horizontal="right"/>
    </xf>
    <xf numFmtId="164" fontId="2" fillId="0" borderId="1" xfId="55" applyNumberFormat="1" applyFont="1" applyFill="1" applyBorder="1" applyAlignment="1">
      <alignment horizontal="right"/>
    </xf>
    <xf numFmtId="4" fontId="0" fillId="0" borderId="1" xfId="115" applyNumberFormat="1" applyFont="1" applyFill="1" applyBorder="1"/>
    <xf numFmtId="9" fontId="0" fillId="0" borderId="1" xfId="115" applyNumberFormat="1" applyFont="1" applyFill="1" applyBorder="1"/>
    <xf numFmtId="43" fontId="0" fillId="0" borderId="1" xfId="115" applyNumberFormat="1" applyFont="1" applyFill="1" applyBorder="1"/>
    <xf numFmtId="9" fontId="0" fillId="0" borderId="1" xfId="150" applyFont="1" applyFill="1" applyBorder="1"/>
    <xf numFmtId="9" fontId="73" fillId="0" borderId="1" xfId="150" applyFont="1" applyFill="1" applyBorder="1"/>
    <xf numFmtId="0" fontId="81" fillId="0" borderId="1" xfId="115" applyFont="1" applyFill="1" applyBorder="1"/>
    <xf numFmtId="166" fontId="70" fillId="0" borderId="1" xfId="55" applyNumberFormat="1" applyFont="1" applyFill="1" applyBorder="1" applyAlignment="1">
      <alignment horizontal="right"/>
    </xf>
    <xf numFmtId="166" fontId="3" fillId="0" borderId="1" xfId="55" applyNumberFormat="1" applyFont="1" applyFill="1" applyBorder="1" applyAlignment="1">
      <alignment horizontal="right"/>
    </xf>
    <xf numFmtId="49" fontId="3" fillId="11" borderId="8" xfId="0" applyNumberFormat="1" applyFont="1" applyFill="1" applyBorder="1" applyAlignment="1">
      <alignment horizontal="centerContinuous" vertical="center"/>
    </xf>
    <xf numFmtId="209" fontId="3" fillId="0" borderId="17" xfId="0" applyNumberFormat="1" applyFont="1" applyBorder="1" applyAlignment="1">
      <alignment horizontal="right" vertical="center"/>
    </xf>
    <xf numFmtId="0" fontId="0" fillId="0" borderId="22" xfId="0" applyBorder="1"/>
    <xf numFmtId="0" fontId="99" fillId="0" borderId="22" xfId="0" applyFont="1" applyFill="1" applyBorder="1"/>
    <xf numFmtId="168" fontId="100" fillId="0" borderId="22" xfId="0" applyNumberFormat="1" applyFont="1" applyFill="1" applyBorder="1"/>
    <xf numFmtId="166" fontId="81" fillId="0" borderId="0" xfId="0" applyNumberFormat="1" applyFont="1" applyFill="1" applyBorder="1"/>
    <xf numFmtId="166" fontId="81" fillId="0" borderId="22" xfId="0" applyNumberFormat="1" applyFont="1" applyFill="1" applyBorder="1"/>
    <xf numFmtId="166" fontId="15" fillId="0" borderId="0" xfId="0" applyNumberFormat="1" applyFont="1" applyFill="1" applyBorder="1"/>
    <xf numFmtId="166" fontId="15" fillId="0" borderId="22" xfId="0" applyNumberFormat="1" applyFont="1" applyFill="1" applyBorder="1"/>
    <xf numFmtId="164" fontId="2" fillId="0" borderId="0" xfId="150" applyNumberFormat="1" applyFont="1" applyFill="1" applyBorder="1" applyAlignment="1">
      <alignment horizontal="right"/>
    </xf>
    <xf numFmtId="9" fontId="2" fillId="0" borderId="0" xfId="55" applyNumberFormat="1" applyFont="1" applyFill="1" applyBorder="1" applyAlignment="1">
      <alignment horizontal="right"/>
    </xf>
    <xf numFmtId="164" fontId="15" fillId="0" borderId="0" xfId="55" applyNumberFormat="1" applyFont="1" applyFill="1" applyBorder="1" applyAlignment="1">
      <alignment horizontal="right"/>
    </xf>
    <xf numFmtId="164" fontId="87" fillId="0" borderId="22" xfId="55" applyNumberFormat="1" applyFont="1" applyFill="1" applyBorder="1" applyAlignment="1">
      <alignment horizontal="right"/>
    </xf>
    <xf numFmtId="172" fontId="81" fillId="0" borderId="0" xfId="55" applyNumberFormat="1" applyFont="1" applyFill="1" applyBorder="1" applyAlignment="1">
      <alignment horizontal="right"/>
    </xf>
    <xf numFmtId="172" fontId="81" fillId="0" borderId="22" xfId="55" applyNumberFormat="1" applyFont="1" applyFill="1" applyBorder="1" applyAlignment="1">
      <alignment horizontal="right"/>
    </xf>
    <xf numFmtId="165" fontId="3" fillId="0" borderId="0" xfId="55" applyNumberFormat="1" applyFont="1" applyFill="1" applyBorder="1" applyAlignment="1">
      <alignment horizontal="right"/>
    </xf>
    <xf numFmtId="164" fontId="93" fillId="0" borderId="0" xfId="125" applyNumberFormat="1" applyFont="1" applyFill="1" applyBorder="1"/>
    <xf numFmtId="169" fontId="103" fillId="0" borderId="0" xfId="55" applyNumberFormat="1" applyFont="1" applyFill="1" applyBorder="1" applyAlignment="1">
      <alignment vertical="center"/>
    </xf>
    <xf numFmtId="0" fontId="2" fillId="0" borderId="1" xfId="0" applyFont="1" applyFill="1" applyBorder="1"/>
    <xf numFmtId="240" fontId="103" fillId="0" borderId="0" xfId="55" applyNumberFormat="1" applyFont="1" applyFill="1" applyBorder="1"/>
    <xf numFmtId="240" fontId="103" fillId="0" borderId="1" xfId="55" applyNumberFormat="1" applyFont="1" applyFill="1" applyBorder="1"/>
    <xf numFmtId="240" fontId="103" fillId="0" borderId="22" xfId="55" applyNumberFormat="1" applyFont="1" applyFill="1" applyBorder="1"/>
    <xf numFmtId="164" fontId="103" fillId="0" borderId="0" xfId="55" applyNumberFormat="1" applyFont="1" applyFill="1" applyBorder="1"/>
    <xf numFmtId="164" fontId="104" fillId="0" borderId="0" xfId="55" applyNumberFormat="1" applyFont="1" applyFill="1" applyBorder="1"/>
    <xf numFmtId="164" fontId="103" fillId="0" borderId="1" xfId="55" applyNumberFormat="1" applyFont="1" applyFill="1" applyBorder="1"/>
    <xf numFmtId="164" fontId="103" fillId="0" borderId="22" xfId="55" applyNumberFormat="1" applyFont="1" applyFill="1" applyBorder="1"/>
    <xf numFmtId="164" fontId="73" fillId="0" borderId="1" xfId="55" applyNumberFormat="1" applyFont="1" applyFill="1" applyBorder="1"/>
    <xf numFmtId="164" fontId="104" fillId="0" borderId="1" xfId="55" applyNumberFormat="1" applyFont="1" applyFill="1" applyBorder="1"/>
    <xf numFmtId="164" fontId="104" fillId="0" borderId="22" xfId="55" applyNumberFormat="1" applyFont="1" applyFill="1" applyBorder="1"/>
    <xf numFmtId="43" fontId="2" fillId="0" borderId="0" xfId="55" applyNumberFormat="1" applyFont="1" applyFill="1" applyBorder="1" applyAlignment="1">
      <alignment vertical="center"/>
    </xf>
    <xf numFmtId="43" fontId="2" fillId="0" borderId="1" xfId="55" applyNumberFormat="1" applyFont="1" applyFill="1" applyBorder="1" applyAlignment="1">
      <alignment vertical="center"/>
    </xf>
    <xf numFmtId="43" fontId="2" fillId="0" borderId="22" xfId="55" applyNumberFormat="1" applyFont="1" applyFill="1" applyBorder="1" applyAlignment="1">
      <alignment vertical="center"/>
    </xf>
    <xf numFmtId="188" fontId="117" fillId="0" borderId="0" xfId="0" applyNumberFormat="1" applyFont="1" applyFill="1" applyBorder="1"/>
    <xf numFmtId="188" fontId="117" fillId="0" borderId="0" xfId="0" applyNumberFormat="1" applyFont="1" applyFill="1" applyBorder="1" applyAlignment="1">
      <alignment vertical="center"/>
    </xf>
    <xf numFmtId="43" fontId="105" fillId="0" borderId="0" xfId="55" applyNumberFormat="1" applyFont="1" applyFill="1" applyBorder="1" applyAlignment="1">
      <alignment vertical="center"/>
    </xf>
    <xf numFmtId="43" fontId="105" fillId="0" borderId="22" xfId="55" applyNumberFormat="1" applyFont="1" applyFill="1" applyBorder="1" applyAlignment="1">
      <alignment vertical="center"/>
    </xf>
    <xf numFmtId="164" fontId="103" fillId="0" borderId="1" xfId="150" applyNumberFormat="1" applyFont="1" applyFill="1" applyBorder="1" applyAlignment="1">
      <alignment vertical="center"/>
    </xf>
    <xf numFmtId="0" fontId="2" fillId="0" borderId="0" xfId="115" applyFont="1" applyFill="1" applyBorder="1" applyAlignment="1">
      <alignment horizontal="left"/>
    </xf>
    <xf numFmtId="168" fontId="103" fillId="0" borderId="0" xfId="115" applyNumberFormat="1" applyFont="1" applyFill="1" applyBorder="1" applyAlignment="1">
      <alignment horizontal="left"/>
    </xf>
    <xf numFmtId="168" fontId="103" fillId="0" borderId="0" xfId="0" applyNumberFormat="1" applyFont="1" applyFill="1" applyBorder="1" applyAlignment="1">
      <alignment horizontal="right"/>
    </xf>
    <xf numFmtId="168" fontId="2" fillId="0" borderId="0" xfId="115" applyNumberFormat="1" applyFont="1" applyFill="1" applyBorder="1" applyAlignment="1">
      <alignment horizontal="left"/>
    </xf>
    <xf numFmtId="168" fontId="2" fillId="0" borderId="3" xfId="115" applyNumberFormat="1" applyFont="1" applyFill="1" applyBorder="1" applyAlignment="1">
      <alignment horizontal="left"/>
    </xf>
    <xf numFmtId="188" fontId="106" fillId="0" borderId="3" xfId="69" applyNumberFormat="1" applyFont="1" applyFill="1" applyBorder="1" applyAlignment="1">
      <alignment vertical="center"/>
    </xf>
    <xf numFmtId="188" fontId="106" fillId="0" borderId="21" xfId="69" applyNumberFormat="1" applyFont="1" applyFill="1" applyBorder="1" applyAlignment="1">
      <alignment vertical="center"/>
    </xf>
    <xf numFmtId="188" fontId="106" fillId="0" borderId="20" xfId="69" applyNumberFormat="1" applyFont="1" applyFill="1" applyBorder="1" applyAlignment="1">
      <alignment vertical="center"/>
    </xf>
    <xf numFmtId="170" fontId="103" fillId="0" borderId="3" xfId="55" applyNumberFormat="1" applyFont="1" applyFill="1" applyBorder="1" applyAlignment="1">
      <alignment vertical="center"/>
    </xf>
    <xf numFmtId="166" fontId="2" fillId="0" borderId="0" xfId="150" applyNumberFormat="1" applyFont="1" applyFill="1" applyBorder="1"/>
    <xf numFmtId="168" fontId="0" fillId="0" borderId="0" xfId="0" applyNumberFormat="1" applyFont="1" applyFill="1"/>
    <xf numFmtId="9" fontId="3" fillId="0" borderId="0" xfId="69" applyNumberFormat="1" applyFont="1" applyFill="1" applyBorder="1" applyAlignment="1">
      <alignment horizontal="right"/>
    </xf>
    <xf numFmtId="166" fontId="2" fillId="0" borderId="0" xfId="69" applyNumberFormat="1" applyFont="1" applyFill="1" applyBorder="1" applyAlignment="1">
      <alignment horizontal="right"/>
    </xf>
    <xf numFmtId="164" fontId="2" fillId="0" borderId="0" xfId="115" applyNumberFormat="1" applyFont="1" applyFill="1" applyAlignment="1">
      <alignment horizontal="right"/>
    </xf>
    <xf numFmtId="179" fontId="2" fillId="0" borderId="0" xfId="55" applyNumberFormat="1" applyFont="1" applyFill="1" applyBorder="1" applyAlignment="1">
      <alignment horizontal="right"/>
    </xf>
    <xf numFmtId="166" fontId="2" fillId="0" borderId="0" xfId="55" applyNumberFormat="1" applyFont="1" applyFill="1" applyAlignment="1">
      <alignment horizontal="right"/>
    </xf>
    <xf numFmtId="179" fontId="2" fillId="0" borderId="0" xfId="69" applyNumberFormat="1" applyFont="1" applyFill="1" applyAlignment="1">
      <alignment horizontal="left"/>
    </xf>
    <xf numFmtId="179" fontId="2" fillId="0" borderId="0" xfId="69" applyNumberFormat="1" applyFont="1" applyFill="1"/>
    <xf numFmtId="9" fontId="3" fillId="0" borderId="0" xfId="150" applyFont="1" applyFill="1" applyBorder="1" applyAlignment="1">
      <alignment vertical="center"/>
    </xf>
    <xf numFmtId="166" fontId="2" fillId="0" borderId="0" xfId="115" applyNumberFormat="1" applyFont="1" applyFill="1"/>
    <xf numFmtId="166" fontId="101" fillId="0" borderId="0" xfId="55" applyNumberFormat="1" applyFont="1" applyFill="1" applyBorder="1" applyAlignment="1">
      <alignment horizontal="left" vertical="center"/>
    </xf>
    <xf numFmtId="168" fontId="2" fillId="0" borderId="0" xfId="115" applyNumberFormat="1" applyFont="1" applyFill="1"/>
    <xf numFmtId="0" fontId="106" fillId="0" borderId="0" xfId="69" applyNumberFormat="1" applyFont="1" applyFill="1" applyBorder="1" applyAlignment="1">
      <alignment vertical="center"/>
    </xf>
    <xf numFmtId="168" fontId="80" fillId="0" borderId="0" xfId="55" applyNumberFormat="1" applyFont="1" applyFill="1" applyBorder="1" applyAlignment="1"/>
    <xf numFmtId="168" fontId="80" fillId="0" borderId="22" xfId="55" applyNumberFormat="1" applyFont="1" applyFill="1" applyBorder="1" applyAlignment="1"/>
    <xf numFmtId="168" fontId="80" fillId="0" borderId="1" xfId="55" applyNumberFormat="1" applyFont="1" applyFill="1" applyBorder="1" applyAlignment="1"/>
    <xf numFmtId="9" fontId="2" fillId="0" borderId="1" xfId="55" applyNumberFormat="1" applyFont="1" applyFill="1" applyBorder="1" applyAlignment="1">
      <alignment horizontal="right"/>
    </xf>
    <xf numFmtId="179" fontId="112" fillId="0" borderId="8" xfId="69" applyNumberFormat="1" applyFont="1" applyFill="1" applyBorder="1" applyAlignment="1">
      <alignment vertical="center"/>
    </xf>
    <xf numFmtId="181" fontId="106" fillId="0" borderId="1" xfId="69" applyNumberFormat="1" applyFont="1" applyFill="1" applyBorder="1" applyAlignment="1">
      <alignment vertical="center"/>
    </xf>
    <xf numFmtId="181" fontId="110" fillId="0" borderId="1" xfId="69" applyNumberFormat="1" applyFont="1" applyFill="1" applyBorder="1" applyAlignment="1">
      <alignment vertical="center"/>
    </xf>
    <xf numFmtId="9" fontId="3" fillId="0" borderId="1" xfId="55" applyNumberFormat="1" applyFont="1" applyFill="1" applyBorder="1" applyAlignment="1">
      <alignment horizontal="right"/>
    </xf>
    <xf numFmtId="43" fontId="103" fillId="0" borderId="3" xfId="55" applyFont="1" applyFill="1" applyBorder="1" applyAlignment="1">
      <alignment vertical="center"/>
    </xf>
    <xf numFmtId="188" fontId="0" fillId="11" borderId="20" xfId="0" applyNumberFormat="1" applyFont="1" applyFill="1" applyBorder="1" applyAlignment="1">
      <alignment horizontal="left" indent="1"/>
    </xf>
    <xf numFmtId="241" fontId="103" fillId="0" borderId="1" xfId="69" applyNumberFormat="1" applyFont="1" applyFill="1" applyBorder="1" applyAlignment="1">
      <alignment vertical="center"/>
    </xf>
    <xf numFmtId="164" fontId="106" fillId="0" borderId="1" xfId="69" applyNumberFormat="1" applyFont="1" applyFill="1" applyBorder="1" applyAlignment="1">
      <alignment vertical="center"/>
    </xf>
    <xf numFmtId="166" fontId="3" fillId="11" borderId="1" xfId="0" applyNumberFormat="1" applyFont="1" applyFill="1" applyBorder="1" applyAlignment="1">
      <alignment horizontal="left" indent="1"/>
    </xf>
    <xf numFmtId="166" fontId="104" fillId="0" borderId="1" xfId="69" applyNumberFormat="1" applyFont="1" applyFill="1" applyBorder="1" applyAlignment="1">
      <alignment vertical="center"/>
    </xf>
    <xf numFmtId="166" fontId="3" fillId="0" borderId="0" xfId="69" applyNumberFormat="1" applyFont="1" applyFill="1" applyBorder="1" applyAlignment="1">
      <alignment horizontal="right" vertical="center"/>
    </xf>
    <xf numFmtId="8" fontId="105" fillId="0" borderId="1" xfId="69" applyNumberFormat="1" applyFont="1" applyFill="1" applyBorder="1" applyAlignment="1">
      <alignment vertical="center"/>
    </xf>
    <xf numFmtId="8" fontId="105" fillId="0" borderId="0" xfId="69" applyNumberFormat="1" applyFont="1" applyFill="1" applyBorder="1" applyAlignment="1">
      <alignment vertical="center"/>
    </xf>
    <xf numFmtId="8" fontId="105" fillId="0" borderId="22" xfId="69" applyNumberFormat="1" applyFont="1" applyFill="1" applyBorder="1" applyAlignment="1">
      <alignment vertical="center"/>
    </xf>
    <xf numFmtId="166" fontId="0" fillId="0" borderId="1" xfId="150" applyNumberFormat="1" applyFont="1" applyFill="1" applyBorder="1" applyAlignment="1">
      <alignment horizontal="left" indent="2"/>
    </xf>
    <xf numFmtId="212" fontId="3" fillId="0" borderId="3" xfId="0" applyNumberFormat="1" applyFont="1" applyBorder="1" applyAlignment="1">
      <alignment horizontal="right" vertical="center"/>
    </xf>
    <xf numFmtId="212" fontId="3" fillId="0" borderId="21" xfId="0" applyNumberFormat="1" applyFont="1" applyBorder="1" applyAlignment="1">
      <alignment horizontal="right" vertical="center"/>
    </xf>
    <xf numFmtId="49" fontId="77" fillId="0" borderId="7" xfId="0" applyNumberFormat="1" applyFont="1" applyBorder="1" applyAlignment="1">
      <alignment horizontal="centerContinuous" vertical="center"/>
    </xf>
    <xf numFmtId="0" fontId="0" fillId="0" borderId="18" xfId="0" applyFont="1" applyFill="1" applyBorder="1"/>
    <xf numFmtId="166" fontId="108" fillId="18" borderId="0" xfId="55" applyNumberFormat="1" applyFont="1" applyFill="1" applyBorder="1"/>
    <xf numFmtId="168" fontId="2" fillId="11" borderId="22" xfId="55" applyNumberFormat="1" applyFont="1" applyFill="1" applyBorder="1"/>
    <xf numFmtId="168" fontId="2" fillId="11" borderId="1" xfId="55" applyNumberFormat="1" applyFont="1" applyFill="1" applyBorder="1"/>
    <xf numFmtId="166" fontId="104" fillId="0" borderId="0" xfId="55" applyNumberFormat="1" applyFont="1" applyFill="1" applyBorder="1"/>
    <xf numFmtId="166" fontId="104" fillId="0" borderId="22" xfId="55" applyNumberFormat="1" applyFont="1" applyFill="1" applyBorder="1"/>
    <xf numFmtId="166" fontId="3" fillId="0" borderId="1" xfId="55" applyNumberFormat="1" applyFont="1" applyFill="1" applyBorder="1"/>
    <xf numFmtId="166" fontId="3" fillId="11" borderId="1" xfId="55" applyNumberFormat="1" applyFont="1" applyFill="1" applyBorder="1"/>
    <xf numFmtId="166" fontId="3" fillId="11" borderId="22" xfId="55" applyNumberFormat="1" applyFont="1" applyFill="1" applyBorder="1"/>
    <xf numFmtId="166" fontId="83" fillId="11" borderId="0" xfId="55" applyNumberFormat="1" applyFont="1" applyFill="1" applyBorder="1"/>
    <xf numFmtId="166" fontId="83" fillId="11" borderId="22" xfId="55" applyNumberFormat="1" applyFont="1" applyFill="1" applyBorder="1"/>
    <xf numFmtId="170" fontId="2" fillId="0" borderId="1" xfId="55" applyNumberFormat="1" applyFont="1" applyFill="1" applyBorder="1" applyAlignment="1">
      <alignment horizontal="right"/>
    </xf>
    <xf numFmtId="164" fontId="103" fillId="18" borderId="0" xfId="55" applyNumberFormat="1" applyFont="1" applyFill="1" applyBorder="1" applyAlignment="1">
      <alignment horizontal="right"/>
    </xf>
    <xf numFmtId="164" fontId="103" fillId="18" borderId="0" xfId="55" applyNumberFormat="1" applyFont="1" applyFill="1" applyBorder="1" applyAlignment="1">
      <alignment vertical="center"/>
    </xf>
    <xf numFmtId="166" fontId="103" fillId="18" borderId="0" xfId="150" applyNumberFormat="1" applyFont="1" applyFill="1" applyBorder="1" applyAlignment="1">
      <alignment horizontal="right"/>
    </xf>
    <xf numFmtId="0" fontId="103" fillId="18" borderId="0" xfId="115" applyFont="1" applyFill="1" applyBorder="1"/>
    <xf numFmtId="166" fontId="3" fillId="0" borderId="0" xfId="0" applyNumberFormat="1" applyFont="1"/>
    <xf numFmtId="0" fontId="3" fillId="0" borderId="18" xfId="0" quotePrefix="1" applyFont="1" applyFill="1" applyBorder="1" applyAlignment="1">
      <alignment horizontal="right"/>
    </xf>
    <xf numFmtId="0" fontId="3" fillId="0" borderId="18" xfId="0" applyFont="1" applyFill="1" applyBorder="1" applyAlignment="1">
      <alignment horizontal="right"/>
    </xf>
    <xf numFmtId="0" fontId="0" fillId="0" borderId="18" xfId="0" applyFont="1" applyFill="1" applyBorder="1" applyAlignment="1">
      <alignment horizontal="right"/>
    </xf>
    <xf numFmtId="179" fontId="103" fillId="18" borderId="3" xfId="69" applyNumberFormat="1" applyFont="1" applyFill="1" applyBorder="1" applyAlignment="1">
      <alignment vertical="center"/>
    </xf>
    <xf numFmtId="172" fontId="103" fillId="18" borderId="0" xfId="69" applyNumberFormat="1" applyFont="1" applyFill="1" applyBorder="1" applyAlignment="1">
      <alignment vertical="center"/>
    </xf>
    <xf numFmtId="181" fontId="103" fillId="18" borderId="0" xfId="69" applyNumberFormat="1" applyFont="1" applyFill="1" applyBorder="1" applyAlignment="1">
      <alignment vertical="center"/>
    </xf>
    <xf numFmtId="179" fontId="103" fillId="18" borderId="0" xfId="55" applyNumberFormat="1" applyFont="1" applyFill="1" applyBorder="1" applyAlignment="1">
      <alignment vertical="center"/>
    </xf>
    <xf numFmtId="179" fontId="103" fillId="18" borderId="3" xfId="55" applyNumberFormat="1" applyFont="1" applyFill="1" applyBorder="1" applyAlignment="1">
      <alignment vertical="center"/>
    </xf>
    <xf numFmtId="0" fontId="3" fillId="18" borderId="0" xfId="0" applyFont="1" applyFill="1" applyBorder="1"/>
    <xf numFmtId="0" fontId="0" fillId="18" borderId="0" xfId="0" applyFont="1" applyFill="1" applyBorder="1"/>
    <xf numFmtId="168" fontId="2" fillId="18" borderId="0" xfId="55" applyNumberFormat="1" applyFont="1" applyFill="1" applyBorder="1" applyAlignment="1">
      <alignment horizontal="right"/>
    </xf>
    <xf numFmtId="168" fontId="2" fillId="18" borderId="0" xfId="55" applyNumberFormat="1" applyFont="1" applyFill="1" applyBorder="1"/>
    <xf numFmtId="0" fontId="2" fillId="18" borderId="0" xfId="115" applyFont="1" applyFill="1" applyBorder="1"/>
    <xf numFmtId="9" fontId="0" fillId="18" borderId="0" xfId="0" applyNumberFormat="1" applyFont="1" applyFill="1" applyBorder="1"/>
    <xf numFmtId="179" fontId="0" fillId="18" borderId="0" xfId="0" applyNumberFormat="1" applyFont="1" applyFill="1" applyBorder="1"/>
    <xf numFmtId="0" fontId="0" fillId="18" borderId="0" xfId="0" applyFont="1" applyFill="1" applyAlignment="1">
      <alignment vertical="center"/>
    </xf>
    <xf numFmtId="179" fontId="106" fillId="18" borderId="0" xfId="55" applyNumberFormat="1" applyFont="1" applyFill="1" applyBorder="1" applyAlignment="1">
      <alignment vertical="center"/>
    </xf>
    <xf numFmtId="179" fontId="106" fillId="18" borderId="0" xfId="69" applyNumberFormat="1" applyFont="1" applyFill="1" applyBorder="1" applyAlignment="1">
      <alignment vertical="center"/>
    </xf>
    <xf numFmtId="205" fontId="84" fillId="0" borderId="3" xfId="115" applyNumberFormat="1" applyFont="1" applyBorder="1" applyAlignment="1">
      <alignment horizontal="right" vertical="center"/>
    </xf>
    <xf numFmtId="0" fontId="3" fillId="0" borderId="17" xfId="121" applyFont="1" applyFill="1" applyBorder="1" applyAlignment="1">
      <alignment vertical="center"/>
    </xf>
    <xf numFmtId="0" fontId="2" fillId="0" borderId="7" xfId="121" applyFont="1" applyFill="1" applyBorder="1" applyAlignment="1">
      <alignment vertical="center"/>
    </xf>
    <xf numFmtId="0" fontId="2" fillId="0" borderId="18" xfId="121" applyFont="1" applyFill="1" applyBorder="1" applyAlignment="1">
      <alignment vertical="center"/>
    </xf>
    <xf numFmtId="0" fontId="2" fillId="0" borderId="1" xfId="121" applyFont="1" applyFill="1" applyBorder="1" applyAlignment="1">
      <alignment vertical="center"/>
    </xf>
    <xf numFmtId="0" fontId="2" fillId="0" borderId="0" xfId="121" applyFont="1" applyFill="1" applyBorder="1" applyAlignment="1">
      <alignment vertical="center"/>
    </xf>
    <xf numFmtId="37" fontId="2" fillId="0" borderId="22" xfId="121" applyNumberFormat="1" applyFont="1" applyFill="1" applyBorder="1" applyAlignment="1">
      <alignment vertical="center"/>
    </xf>
    <xf numFmtId="0" fontId="2" fillId="0" borderId="20" xfId="121" applyFont="1" applyFill="1" applyBorder="1" applyAlignment="1">
      <alignment vertical="center"/>
    </xf>
    <xf numFmtId="37" fontId="2" fillId="0" borderId="21" xfId="121" applyNumberFormat="1" applyFont="1" applyFill="1" applyBorder="1" applyAlignment="1">
      <alignment vertical="center"/>
    </xf>
    <xf numFmtId="0" fontId="3" fillId="0" borderId="1" xfId="121" applyFont="1" applyFill="1" applyBorder="1" applyAlignment="1">
      <alignment vertical="center"/>
    </xf>
    <xf numFmtId="0" fontId="3" fillId="0" borderId="0" xfId="121" applyFont="1" applyFill="1" applyBorder="1" applyAlignment="1">
      <alignment vertical="center"/>
    </xf>
    <xf numFmtId="37" fontId="3" fillId="0" borderId="22" xfId="121" applyNumberFormat="1" applyFont="1" applyFill="1" applyBorder="1" applyAlignment="1">
      <alignment vertical="center"/>
    </xf>
    <xf numFmtId="0" fontId="2" fillId="0" borderId="3" xfId="121" applyFont="1" applyFill="1" applyBorder="1" applyAlignment="1">
      <alignment vertical="center"/>
    </xf>
    <xf numFmtId="185" fontId="2" fillId="0" borderId="21" xfId="121" applyNumberFormat="1" applyFont="1" applyFill="1" applyBorder="1" applyAlignment="1">
      <alignment horizontal="right"/>
    </xf>
    <xf numFmtId="207" fontId="70" fillId="0" borderId="32" xfId="115" applyNumberFormat="1" applyFont="1" applyFill="1" applyBorder="1" applyAlignment="1">
      <alignment horizontal="right" vertical="center"/>
    </xf>
    <xf numFmtId="0" fontId="3" fillId="0" borderId="7" xfId="121" applyFont="1" applyFill="1" applyBorder="1" applyAlignment="1">
      <alignment vertical="center"/>
    </xf>
    <xf numFmtId="0" fontId="3" fillId="0" borderId="18" xfId="121" applyFont="1" applyFill="1" applyBorder="1" applyAlignment="1">
      <alignment vertical="center"/>
    </xf>
    <xf numFmtId="0" fontId="2" fillId="0" borderId="33" xfId="121" applyFont="1" applyFill="1" applyBorder="1" applyAlignment="1">
      <alignment vertical="center"/>
    </xf>
    <xf numFmtId="0" fontId="2" fillId="0" borderId="29" xfId="121" applyFont="1" applyFill="1" applyBorder="1" applyAlignment="1">
      <alignment vertical="center"/>
    </xf>
    <xf numFmtId="0" fontId="3" fillId="18" borderId="17" xfId="121" applyFont="1" applyFill="1" applyBorder="1" applyAlignment="1">
      <alignment vertical="center"/>
    </xf>
    <xf numFmtId="0" fontId="3" fillId="18" borderId="7" xfId="121" applyFont="1" applyFill="1" applyBorder="1" applyAlignment="1">
      <alignment vertical="center"/>
    </xf>
    <xf numFmtId="37" fontId="2" fillId="0" borderId="0" xfId="115" applyNumberFormat="1" applyFont="1" applyAlignment="1">
      <alignment vertical="center"/>
    </xf>
    <xf numFmtId="0" fontId="103" fillId="0" borderId="13" xfId="115" applyFont="1" applyFill="1" applyBorder="1" applyAlignment="1">
      <alignment vertical="center"/>
    </xf>
    <xf numFmtId="0" fontId="103" fillId="0" borderId="19" xfId="115" applyFont="1" applyFill="1" applyBorder="1" applyAlignment="1">
      <alignment vertical="center"/>
    </xf>
    <xf numFmtId="179" fontId="103" fillId="18" borderId="21" xfId="69" applyNumberFormat="1" applyFont="1" applyFill="1" applyBorder="1" applyAlignment="1">
      <alignment vertical="center"/>
    </xf>
    <xf numFmtId="172" fontId="103" fillId="18" borderId="22" xfId="69" applyNumberFormat="1" applyFont="1" applyFill="1" applyBorder="1" applyAlignment="1">
      <alignment vertical="center"/>
    </xf>
    <xf numFmtId="181" fontId="103" fillId="18" borderId="22" xfId="69" applyNumberFormat="1" applyFont="1" applyFill="1" applyBorder="1" applyAlignment="1">
      <alignment vertical="center"/>
    </xf>
    <xf numFmtId="179" fontId="103" fillId="18" borderId="22" xfId="55" applyNumberFormat="1" applyFont="1" applyFill="1" applyBorder="1" applyAlignment="1">
      <alignment vertical="center"/>
    </xf>
    <xf numFmtId="179" fontId="103" fillId="18" borderId="21" xfId="55" applyNumberFormat="1" applyFont="1" applyFill="1" applyBorder="1" applyAlignment="1">
      <alignment vertical="center"/>
    </xf>
    <xf numFmtId="179" fontId="103" fillId="0" borderId="13" xfId="115" applyNumberFormat="1" applyFont="1" applyFill="1" applyBorder="1" applyAlignment="1">
      <alignment vertical="center"/>
    </xf>
    <xf numFmtId="179" fontId="103" fillId="0" borderId="19" xfId="115" applyNumberFormat="1" applyFont="1" applyFill="1" applyBorder="1" applyAlignment="1">
      <alignment vertical="center"/>
    </xf>
    <xf numFmtId="0" fontId="0" fillId="0" borderId="13" xfId="0" applyFont="1" applyFill="1" applyBorder="1"/>
    <xf numFmtId="0" fontId="0" fillId="0" borderId="19" xfId="0" applyFont="1" applyFill="1" applyBorder="1"/>
    <xf numFmtId="166" fontId="103" fillId="18" borderId="22" xfId="150" applyNumberFormat="1" applyFont="1" applyFill="1" applyBorder="1" applyAlignment="1">
      <alignment horizontal="right"/>
    </xf>
    <xf numFmtId="166" fontId="108" fillId="18" borderId="22" xfId="55" applyNumberFormat="1" applyFont="1" applyFill="1" applyBorder="1"/>
    <xf numFmtId="0" fontId="103" fillId="18" borderId="22" xfId="115" applyFont="1" applyFill="1" applyBorder="1"/>
    <xf numFmtId="170" fontId="0" fillId="0" borderId="13" xfId="55" applyNumberFormat="1" applyFont="1" applyFill="1" applyBorder="1" applyAlignment="1">
      <alignment horizontal="right"/>
    </xf>
    <xf numFmtId="170" fontId="0" fillId="0" borderId="19" xfId="55" applyNumberFormat="1" applyFont="1" applyFill="1" applyBorder="1" applyAlignment="1">
      <alignment horizontal="right"/>
    </xf>
    <xf numFmtId="0" fontId="103" fillId="0" borderId="13" xfId="0" applyFont="1" applyFill="1" applyBorder="1" applyAlignment="1">
      <alignment vertical="center"/>
    </xf>
    <xf numFmtId="0" fontId="0" fillId="0" borderId="13" xfId="0" applyBorder="1"/>
    <xf numFmtId="0" fontId="0" fillId="0" borderId="19" xfId="0" applyBorder="1"/>
    <xf numFmtId="43" fontId="103" fillId="18" borderId="0" xfId="0" applyNumberFormat="1" applyFont="1" applyFill="1" applyBorder="1" applyAlignment="1">
      <alignment vertical="center"/>
    </xf>
    <xf numFmtId="43" fontId="103" fillId="18" borderId="22" xfId="0" applyNumberFormat="1" applyFont="1" applyFill="1" applyBorder="1" applyAlignment="1">
      <alignment vertical="center"/>
    </xf>
    <xf numFmtId="164" fontId="103" fillId="18" borderId="22" xfId="55" applyNumberFormat="1" applyFont="1" applyFill="1" applyBorder="1" applyAlignment="1">
      <alignment vertical="center"/>
    </xf>
    <xf numFmtId="0" fontId="73" fillId="0" borderId="0" xfId="0" applyFont="1" applyBorder="1"/>
    <xf numFmtId="0" fontId="73" fillId="0" borderId="22" xfId="0" applyFont="1" applyBorder="1"/>
    <xf numFmtId="0" fontId="0" fillId="0" borderId="3" xfId="0" applyBorder="1"/>
    <xf numFmtId="0" fontId="0" fillId="0" borderId="21" xfId="0" applyBorder="1"/>
    <xf numFmtId="0" fontId="0" fillId="0" borderId="3" xfId="115" applyFont="1" applyBorder="1" applyAlignment="1">
      <alignment vertical="center"/>
    </xf>
    <xf numFmtId="206" fontId="2" fillId="0" borderId="3" xfId="115" applyNumberFormat="1" applyFont="1" applyBorder="1" applyAlignment="1">
      <alignment vertical="center"/>
    </xf>
    <xf numFmtId="39" fontId="103" fillId="0" borderId="0" xfId="115" applyNumberFormat="1" applyFont="1" applyAlignment="1">
      <alignment vertical="center"/>
    </xf>
    <xf numFmtId="0" fontId="71" fillId="20" borderId="7" xfId="115" applyFont="1" applyFill="1" applyBorder="1" applyAlignment="1">
      <alignment vertical="center"/>
    </xf>
    <xf numFmtId="5" fontId="2" fillId="11" borderId="0" xfId="115" applyNumberFormat="1" applyFont="1" applyFill="1" applyAlignment="1">
      <alignment vertical="center"/>
    </xf>
    <xf numFmtId="179" fontId="103" fillId="11" borderId="0" xfId="0" applyNumberFormat="1" applyFont="1" applyFill="1" applyAlignment="1">
      <alignment vertical="center"/>
    </xf>
    <xf numFmtId="179" fontId="2" fillId="11" borderId="0" xfId="0" applyNumberFormat="1" applyFont="1" applyFill="1" applyAlignment="1">
      <alignment vertical="center"/>
    </xf>
    <xf numFmtId="215" fontId="0" fillId="11" borderId="0" xfId="0" applyNumberFormat="1" applyFont="1" applyFill="1" applyAlignment="1">
      <alignment horizontal="right" vertical="center"/>
    </xf>
    <xf numFmtId="215" fontId="103" fillId="11" borderId="21" xfId="121" applyNumberFormat="1" applyFont="1" applyFill="1" applyBorder="1" applyAlignment="1">
      <alignment vertical="center"/>
    </xf>
    <xf numFmtId="213" fontId="73" fillId="0" borderId="0" xfId="0" applyNumberFormat="1" applyFont="1" applyFill="1" applyBorder="1"/>
    <xf numFmtId="179" fontId="73" fillId="0" borderId="0" xfId="55" applyNumberFormat="1" applyFont="1" applyFill="1" applyBorder="1"/>
    <xf numFmtId="10" fontId="0" fillId="0" borderId="0" xfId="55" applyNumberFormat="1" applyFont="1" applyFill="1" applyBorder="1"/>
    <xf numFmtId="9" fontId="2" fillId="0" borderId="0" xfId="55" applyNumberFormat="1" applyFont="1" applyFill="1" applyBorder="1"/>
    <xf numFmtId="164" fontId="2" fillId="0" borderId="0" xfId="55" applyNumberFormat="1" applyFont="1" applyFill="1" applyBorder="1" applyAlignment="1">
      <alignment vertical="center"/>
    </xf>
    <xf numFmtId="164" fontId="3" fillId="0" borderId="0" xfId="55" applyNumberFormat="1" applyFont="1" applyFill="1" applyBorder="1" applyAlignment="1">
      <alignment vertical="center"/>
    </xf>
    <xf numFmtId="164" fontId="3" fillId="0" borderId="22" xfId="55" applyNumberFormat="1" applyFont="1" applyFill="1" applyBorder="1" applyAlignment="1">
      <alignment vertical="center"/>
    </xf>
    <xf numFmtId="166" fontId="103" fillId="18" borderId="21" xfId="55" applyNumberFormat="1" applyFont="1" applyFill="1" applyBorder="1" applyAlignment="1">
      <alignment vertical="center"/>
    </xf>
    <xf numFmtId="166" fontId="103" fillId="18" borderId="3" xfId="55" applyNumberFormat="1" applyFont="1" applyFill="1" applyBorder="1" applyAlignment="1">
      <alignment vertical="center"/>
    </xf>
    <xf numFmtId="168" fontId="105" fillId="0" borderId="22" xfId="55" applyNumberFormat="1" applyFont="1" applyFill="1" applyBorder="1" applyAlignment="1">
      <alignment vertical="center"/>
    </xf>
    <xf numFmtId="168" fontId="105" fillId="0" borderId="0" xfId="55" applyNumberFormat="1" applyFont="1" applyFill="1" applyBorder="1" applyAlignment="1">
      <alignment vertical="center"/>
    </xf>
    <xf numFmtId="9" fontId="2" fillId="0" borderId="0" xfId="115" applyNumberFormat="1" applyFont="1" applyBorder="1" applyAlignment="1">
      <alignment vertical="center"/>
    </xf>
    <xf numFmtId="8" fontId="2" fillId="0" borderId="0" xfId="115" applyNumberFormat="1" applyFont="1" applyBorder="1" applyAlignment="1">
      <alignment vertical="center"/>
    </xf>
    <xf numFmtId="8" fontId="2" fillId="0" borderId="0" xfId="115" applyNumberFormat="1" applyFont="1" applyAlignment="1">
      <alignment vertical="center"/>
    </xf>
    <xf numFmtId="9" fontId="0" fillId="0" borderId="1" xfId="0" applyNumberFormat="1" applyFont="1" applyFill="1" applyBorder="1" applyAlignment="1">
      <alignment horizontal="right"/>
    </xf>
    <xf numFmtId="9" fontId="0" fillId="0" borderId="0" xfId="0" applyNumberFormat="1" applyFont="1" applyFill="1" applyBorder="1" applyAlignment="1">
      <alignment horizontal="right"/>
    </xf>
    <xf numFmtId="170" fontId="104" fillId="0" borderId="0" xfId="55" applyNumberFormat="1" applyFont="1" applyFill="1" applyBorder="1"/>
    <xf numFmtId="170" fontId="104" fillId="0" borderId="1" xfId="55" applyNumberFormat="1" applyFont="1" applyFill="1" applyBorder="1"/>
    <xf numFmtId="43" fontId="2" fillId="0" borderId="1" xfId="55" applyNumberFormat="1" applyFont="1" applyFill="1" applyBorder="1"/>
    <xf numFmtId="43" fontId="2" fillId="0" borderId="0" xfId="55" applyNumberFormat="1" applyFont="1" applyFill="1" applyBorder="1"/>
    <xf numFmtId="179" fontId="112" fillId="0" borderId="13" xfId="69" applyNumberFormat="1" applyFont="1" applyFill="1" applyBorder="1" applyAlignment="1">
      <alignment vertical="center"/>
    </xf>
    <xf numFmtId="9" fontId="0" fillId="0" borderId="0" xfId="55" applyNumberFormat="1" applyFont="1" applyFill="1"/>
    <xf numFmtId="9" fontId="0" fillId="0" borderId="0" xfId="0" applyNumberFormat="1" applyFont="1" applyFill="1"/>
    <xf numFmtId="6" fontId="2" fillId="0" borderId="0" xfId="115" applyNumberFormat="1" applyFont="1" applyFill="1" applyBorder="1"/>
    <xf numFmtId="240" fontId="105" fillId="0" borderId="0" xfId="69" applyNumberFormat="1" applyFont="1" applyFill="1" applyBorder="1" applyAlignment="1">
      <alignment vertical="center"/>
    </xf>
    <xf numFmtId="44" fontId="103" fillId="0" borderId="3" xfId="75" applyFont="1" applyFill="1" applyBorder="1" applyAlignment="1">
      <alignment vertical="center"/>
    </xf>
    <xf numFmtId="9" fontId="106" fillId="0" borderId="0" xfId="69" applyNumberFormat="1" applyFont="1" applyFill="1" applyBorder="1" applyAlignment="1">
      <alignment vertical="center"/>
    </xf>
    <xf numFmtId="37" fontId="105" fillId="0" borderId="0" xfId="55" applyNumberFormat="1" applyFont="1" applyFill="1" applyBorder="1" applyAlignment="1">
      <alignment vertical="center"/>
    </xf>
    <xf numFmtId="37" fontId="105" fillId="0" borderId="22" xfId="55" applyNumberFormat="1" applyFont="1" applyFill="1" applyBorder="1" applyAlignment="1">
      <alignment vertical="center"/>
    </xf>
    <xf numFmtId="37" fontId="105" fillId="0" borderId="1" xfId="55" applyNumberFormat="1" applyFont="1" applyFill="1" applyBorder="1" applyAlignment="1">
      <alignment vertical="center"/>
    </xf>
    <xf numFmtId="9" fontId="106" fillId="0" borderId="22" xfId="69" applyNumberFormat="1" applyFont="1" applyFill="1" applyBorder="1" applyAlignment="1">
      <alignment vertical="center"/>
    </xf>
    <xf numFmtId="9" fontId="2" fillId="11" borderId="0" xfId="55" applyNumberFormat="1" applyFont="1" applyFill="1" applyBorder="1"/>
    <xf numFmtId="166" fontId="0" fillId="0" borderId="1" xfId="0" applyNumberFormat="1" applyFont="1" applyFill="1" applyBorder="1" applyAlignment="1">
      <alignment horizontal="left" indent="2"/>
    </xf>
    <xf numFmtId="9" fontId="2" fillId="0" borderId="22" xfId="55" applyNumberFormat="1" applyFont="1" applyFill="1" applyBorder="1" applyAlignment="1">
      <alignment horizontal="right"/>
    </xf>
    <xf numFmtId="164" fontId="0" fillId="0" borderId="1" xfId="115" applyNumberFormat="1" applyFont="1" applyFill="1" applyBorder="1" applyAlignment="1">
      <alignment horizontal="left"/>
    </xf>
    <xf numFmtId="164" fontId="2" fillId="0" borderId="0" xfId="115" applyNumberFormat="1" applyFont="1" applyFill="1" applyBorder="1" applyAlignment="1">
      <alignment horizontal="left"/>
    </xf>
    <xf numFmtId="164" fontId="2" fillId="0" borderId="22" xfId="55" applyNumberFormat="1" applyFont="1" applyFill="1" applyBorder="1" applyAlignment="1">
      <alignment vertical="center"/>
    </xf>
    <xf numFmtId="164" fontId="2" fillId="0" borderId="1" xfId="55" applyNumberFormat="1" applyFont="1" applyFill="1" applyBorder="1" applyAlignment="1">
      <alignment vertical="center"/>
    </xf>
    <xf numFmtId="164" fontId="0" fillId="0" borderId="1" xfId="0" applyNumberFormat="1" applyFont="1" applyFill="1" applyBorder="1" applyAlignment="1">
      <alignment vertical="center"/>
    </xf>
    <xf numFmtId="166" fontId="101" fillId="0" borderId="0" xfId="0" applyNumberFormat="1" applyFont="1" applyFill="1"/>
    <xf numFmtId="9" fontId="105" fillId="0" borderId="0" xfId="69" applyNumberFormat="1" applyFont="1" applyFill="1" applyBorder="1" applyAlignment="1">
      <alignment vertical="center"/>
    </xf>
    <xf numFmtId="164" fontId="3" fillId="11" borderId="1" xfId="0" applyNumberFormat="1" applyFont="1" applyFill="1" applyBorder="1" applyAlignment="1">
      <alignment horizontal="left" indent="1"/>
    </xf>
    <xf numFmtId="164" fontId="105" fillId="0" borderId="0" xfId="69" applyNumberFormat="1" applyFont="1" applyFill="1" applyBorder="1" applyAlignment="1">
      <alignment vertical="center"/>
    </xf>
    <xf numFmtId="164" fontId="105" fillId="0" borderId="22" xfId="69" applyNumberFormat="1" applyFont="1" applyFill="1" applyBorder="1" applyAlignment="1">
      <alignment vertical="center"/>
    </xf>
    <xf numFmtId="164" fontId="105" fillId="0" borderId="1" xfId="69" applyNumberFormat="1" applyFont="1" applyFill="1" applyBorder="1" applyAlignment="1">
      <alignment vertical="center"/>
    </xf>
    <xf numFmtId="0" fontId="103" fillId="21" borderId="28" xfId="125" applyFont="1" applyFill="1" applyBorder="1" applyAlignment="1">
      <alignment horizontal="left"/>
    </xf>
    <xf numFmtId="164" fontId="106" fillId="0" borderId="3" xfId="69" applyNumberFormat="1" applyFont="1" applyFill="1" applyBorder="1" applyAlignment="1">
      <alignment vertical="center"/>
    </xf>
    <xf numFmtId="205" fontId="84" fillId="0" borderId="3" xfId="115" applyNumberFormat="1" applyFont="1" applyFill="1" applyBorder="1" applyAlignment="1">
      <alignment horizontal="right" vertical="center"/>
    </xf>
    <xf numFmtId="0" fontId="2" fillId="0" borderId="0" xfId="115" applyFont="1" applyFill="1" applyAlignment="1">
      <alignment vertical="center"/>
    </xf>
    <xf numFmtId="179" fontId="0" fillId="0" borderId="0" xfId="115" applyNumberFormat="1" applyFont="1" applyFill="1" applyBorder="1"/>
    <xf numFmtId="179" fontId="2" fillId="0" borderId="0" xfId="115" applyNumberFormat="1" applyFont="1" applyFill="1" applyBorder="1"/>
    <xf numFmtId="166" fontId="2" fillId="0" borderId="1" xfId="150" applyNumberFormat="1" applyFont="1" applyFill="1" applyBorder="1" applyAlignment="1">
      <alignment horizontal="left" indent="2"/>
    </xf>
    <xf numFmtId="0" fontId="106" fillId="0" borderId="1" xfId="69" applyNumberFormat="1" applyFont="1" applyFill="1" applyBorder="1" applyAlignment="1">
      <alignment vertical="center"/>
    </xf>
    <xf numFmtId="8" fontId="105" fillId="17" borderId="0" xfId="69" applyNumberFormat="1" applyFont="1" applyFill="1" applyBorder="1" applyAlignment="1">
      <alignment vertical="center"/>
    </xf>
    <xf numFmtId="164" fontId="106" fillId="17" borderId="0" xfId="69" applyNumberFormat="1" applyFont="1" applyFill="1" applyBorder="1" applyAlignment="1">
      <alignment vertical="center"/>
    </xf>
    <xf numFmtId="164" fontId="106" fillId="17" borderId="22" xfId="69" applyNumberFormat="1" applyFont="1" applyFill="1" applyBorder="1" applyAlignment="1">
      <alignment vertical="center"/>
    </xf>
    <xf numFmtId="213" fontId="3" fillId="17" borderId="0" xfId="0" applyNumberFormat="1" applyFont="1" applyFill="1" applyBorder="1"/>
    <xf numFmtId="166" fontId="2" fillId="17" borderId="1" xfId="150" applyNumberFormat="1" applyFont="1" applyFill="1" applyBorder="1" applyAlignment="1">
      <alignment horizontal="left" indent="2"/>
    </xf>
    <xf numFmtId="179" fontId="3" fillId="17" borderId="0" xfId="0" applyNumberFormat="1" applyFont="1" applyFill="1" applyBorder="1" applyAlignment="1">
      <alignment horizontal="left" indent="1"/>
    </xf>
    <xf numFmtId="179" fontId="3" fillId="17" borderId="0" xfId="0" applyNumberFormat="1" applyFont="1" applyFill="1" applyBorder="1" applyAlignment="1">
      <alignment horizontal="right"/>
    </xf>
    <xf numFmtId="179" fontId="105" fillId="17" borderId="0" xfId="69" applyNumberFormat="1" applyFont="1" applyFill="1" applyBorder="1" applyAlignment="1">
      <alignment vertical="center"/>
    </xf>
    <xf numFmtId="188" fontId="106" fillId="17" borderId="0" xfId="69" applyNumberFormat="1" applyFont="1" applyFill="1" applyBorder="1" applyAlignment="1">
      <alignment vertical="center"/>
    </xf>
    <xf numFmtId="164" fontId="106" fillId="17" borderId="1" xfId="69" applyNumberFormat="1" applyFont="1" applyFill="1" applyBorder="1" applyAlignment="1">
      <alignment vertical="center"/>
    </xf>
    <xf numFmtId="0" fontId="106" fillId="17" borderId="1" xfId="69" applyNumberFormat="1" applyFont="1" applyFill="1" applyBorder="1" applyAlignment="1">
      <alignment vertical="center"/>
    </xf>
    <xf numFmtId="0" fontId="106" fillId="17" borderId="0" xfId="69" applyNumberFormat="1" applyFont="1" applyFill="1" applyBorder="1" applyAlignment="1">
      <alignment vertical="center"/>
    </xf>
    <xf numFmtId="179" fontId="104" fillId="17" borderId="22" xfId="0" applyNumberFormat="1" applyFont="1" applyFill="1" applyBorder="1" applyAlignment="1">
      <alignment vertical="center"/>
    </xf>
    <xf numFmtId="179" fontId="105" fillId="17" borderId="1" xfId="69" applyNumberFormat="1" applyFont="1" applyFill="1" applyBorder="1" applyAlignment="1">
      <alignment vertical="center"/>
    </xf>
    <xf numFmtId="179" fontId="3" fillId="17" borderId="0" xfId="69" applyNumberFormat="1" applyFont="1" applyFill="1" applyBorder="1" applyAlignment="1">
      <alignment horizontal="right" vertical="center"/>
    </xf>
    <xf numFmtId="179" fontId="3" fillId="17" borderId="0" xfId="0" applyNumberFormat="1" applyFont="1" applyFill="1" applyAlignment="1">
      <alignment horizontal="right"/>
    </xf>
    <xf numFmtId="166" fontId="0" fillId="0" borderId="20" xfId="150" applyNumberFormat="1" applyFont="1" applyFill="1" applyBorder="1" applyAlignment="1">
      <alignment horizontal="left" indent="2"/>
    </xf>
    <xf numFmtId="9" fontId="3" fillId="17" borderId="0" xfId="69" applyNumberFormat="1" applyFont="1" applyFill="1" applyBorder="1" applyAlignment="1">
      <alignment horizontal="right" vertical="center"/>
    </xf>
    <xf numFmtId="170" fontId="3" fillId="0" borderId="13" xfId="55" applyNumberFormat="1" applyFont="1" applyFill="1" applyBorder="1" applyAlignment="1">
      <alignment horizontal="right"/>
    </xf>
    <xf numFmtId="166" fontId="3" fillId="0" borderId="1" xfId="150" applyNumberFormat="1" applyFont="1" applyFill="1" applyBorder="1" applyAlignment="1">
      <alignment horizontal="left" indent="1"/>
    </xf>
    <xf numFmtId="6" fontId="3" fillId="11" borderId="0" xfId="0" applyNumberFormat="1" applyFont="1" applyFill="1" applyBorder="1" applyAlignment="1">
      <alignment vertical="center"/>
    </xf>
    <xf numFmtId="188" fontId="0" fillId="11" borderId="20" xfId="0" applyNumberFormat="1" applyFont="1" applyFill="1" applyBorder="1" applyAlignment="1">
      <alignment horizontal="left" indent="2"/>
    </xf>
    <xf numFmtId="179" fontId="3" fillId="0" borderId="3" xfId="0" applyNumberFormat="1" applyFont="1" applyFill="1" applyBorder="1" applyAlignment="1">
      <alignment horizontal="left" indent="1"/>
    </xf>
    <xf numFmtId="179" fontId="3" fillId="0" borderId="3" xfId="0" applyNumberFormat="1" applyFont="1" applyFill="1" applyBorder="1" applyAlignment="1">
      <alignment horizontal="right"/>
    </xf>
    <xf numFmtId="179" fontId="105" fillId="0" borderId="3" xfId="69" applyNumberFormat="1" applyFont="1" applyFill="1" applyBorder="1" applyAlignment="1">
      <alignment vertical="center"/>
    </xf>
    <xf numFmtId="179" fontId="105" fillId="0" borderId="21" xfId="69" applyNumberFormat="1" applyFont="1" applyFill="1" applyBorder="1" applyAlignment="1">
      <alignment vertical="center"/>
    </xf>
    <xf numFmtId="179" fontId="105" fillId="0" borderId="20" xfId="69" applyNumberFormat="1" applyFont="1" applyFill="1" applyBorder="1" applyAlignment="1">
      <alignment vertical="center"/>
    </xf>
    <xf numFmtId="179" fontId="0" fillId="0" borderId="1" xfId="55" applyNumberFormat="1" applyFont="1" applyFill="1" applyBorder="1" applyAlignment="1">
      <alignment vertical="center"/>
    </xf>
    <xf numFmtId="179" fontId="0" fillId="0" borderId="0" xfId="55" applyNumberFormat="1" applyFont="1" applyFill="1" applyBorder="1" applyAlignment="1">
      <alignment vertical="center"/>
    </xf>
    <xf numFmtId="179" fontId="0" fillId="0" borderId="22" xfId="55" applyNumberFormat="1" applyFont="1" applyFill="1" applyBorder="1" applyAlignment="1">
      <alignment vertical="center"/>
    </xf>
    <xf numFmtId="179" fontId="2" fillId="0" borderId="22" xfId="55" applyNumberFormat="1" applyFont="1" applyFill="1" applyBorder="1" applyAlignment="1">
      <alignment vertical="center"/>
    </xf>
    <xf numFmtId="168" fontId="103" fillId="0" borderId="0" xfId="55" applyNumberFormat="1" applyFont="1" applyFill="1" applyBorder="1"/>
    <xf numFmtId="168" fontId="108" fillId="0" borderId="0" xfId="55" applyNumberFormat="1" applyFont="1" applyFill="1" applyBorder="1"/>
    <xf numFmtId="37" fontId="103" fillId="0" borderId="0" xfId="55" applyNumberFormat="1" applyFont="1" applyFill="1" applyBorder="1" applyAlignment="1">
      <alignment vertical="center"/>
    </xf>
    <xf numFmtId="37" fontId="103" fillId="0" borderId="0" xfId="55" applyNumberFormat="1" applyFont="1" applyFill="1" applyBorder="1" applyAlignment="1">
      <alignment horizontal="right" vertical="center"/>
    </xf>
    <xf numFmtId="37" fontId="103" fillId="0" borderId="0" xfId="55" applyNumberFormat="1" applyFont="1" applyFill="1" applyBorder="1" applyAlignment="1">
      <alignment horizontal="right"/>
    </xf>
    <xf numFmtId="37" fontId="2" fillId="0" borderId="0" xfId="55" applyNumberFormat="1" applyFont="1" applyFill="1" applyBorder="1"/>
    <xf numFmtId="166" fontId="112" fillId="0" borderId="0" xfId="55" applyNumberFormat="1" applyFont="1" applyFill="1" applyBorder="1" applyAlignment="1">
      <alignment vertical="center"/>
    </xf>
    <xf numFmtId="166" fontId="112" fillId="0" borderId="22" xfId="55" applyNumberFormat="1" applyFont="1" applyFill="1" applyBorder="1" applyAlignment="1">
      <alignment vertical="center"/>
    </xf>
    <xf numFmtId="10" fontId="2" fillId="0" borderId="0" xfId="55" applyNumberFormat="1" applyFont="1" applyFill="1" applyBorder="1"/>
    <xf numFmtId="179" fontId="112" fillId="0" borderId="19" xfId="69" applyNumberFormat="1" applyFont="1" applyFill="1" applyBorder="1" applyAlignment="1">
      <alignment vertical="center"/>
    </xf>
    <xf numFmtId="164" fontId="2" fillId="0" borderId="22" xfId="55" applyNumberFormat="1" applyFont="1" applyFill="1" applyBorder="1"/>
    <xf numFmtId="9" fontId="104" fillId="0" borderId="22" xfId="55" applyNumberFormat="1" applyFont="1" applyFill="1" applyBorder="1" applyAlignment="1">
      <alignment vertical="center"/>
    </xf>
    <xf numFmtId="9" fontId="2" fillId="0" borderId="1" xfId="115" applyNumberFormat="1" applyFont="1" applyFill="1" applyBorder="1"/>
    <xf numFmtId="178" fontId="2" fillId="0" borderId="0" xfId="55" applyNumberFormat="1" applyFont="1" applyFill="1" applyBorder="1" applyAlignment="1">
      <alignment horizontal="right"/>
    </xf>
    <xf numFmtId="179" fontId="2" fillId="0" borderId="21" xfId="55" applyNumberFormat="1" applyFont="1" applyFill="1" applyBorder="1" applyAlignment="1">
      <alignment vertical="center"/>
    </xf>
    <xf numFmtId="0" fontId="3" fillId="0" borderId="0" xfId="115" applyFont="1" applyFill="1" applyBorder="1" applyAlignment="1">
      <alignment horizontal="left" indent="1"/>
    </xf>
    <xf numFmtId="170" fontId="104" fillId="0" borderId="22" xfId="55" applyNumberFormat="1" applyFont="1" applyFill="1" applyBorder="1"/>
    <xf numFmtId="179" fontId="3" fillId="0" borderId="22" xfId="69" applyNumberFormat="1" applyFont="1" applyFill="1" applyBorder="1" applyAlignment="1">
      <alignment vertical="center"/>
    </xf>
    <xf numFmtId="179" fontId="3" fillId="0" borderId="0" xfId="69" applyNumberFormat="1" applyFont="1" applyFill="1" applyBorder="1" applyAlignment="1">
      <alignment vertical="center"/>
    </xf>
    <xf numFmtId="209" fontId="82" fillId="13" borderId="17" xfId="0" applyNumberFormat="1" applyFont="1" applyFill="1" applyBorder="1" applyAlignment="1">
      <alignment horizontal="right" vertical="center"/>
    </xf>
    <xf numFmtId="209" fontId="82" fillId="13" borderId="7" xfId="0" applyNumberFormat="1" applyFont="1" applyFill="1" applyBorder="1" applyAlignment="1">
      <alignment horizontal="right" vertical="center"/>
    </xf>
    <xf numFmtId="209" fontId="82" fillId="13" borderId="18" xfId="0" applyNumberFormat="1" applyFont="1" applyFill="1" applyBorder="1" applyAlignment="1">
      <alignment horizontal="right" vertical="center"/>
    </xf>
    <xf numFmtId="166" fontId="2" fillId="0" borderId="22" xfId="55" applyNumberFormat="1" applyFont="1" applyFill="1" applyBorder="1"/>
    <xf numFmtId="0" fontId="2" fillId="11" borderId="1" xfId="115" applyFont="1" applyFill="1" applyBorder="1" applyAlignment="1">
      <alignment vertical="center"/>
    </xf>
    <xf numFmtId="0" fontId="2" fillId="11" borderId="0" xfId="115" applyFont="1" applyFill="1" applyBorder="1" applyAlignment="1">
      <alignment vertical="center"/>
    </xf>
    <xf numFmtId="164" fontId="2" fillId="11" borderId="22" xfId="115" applyNumberFormat="1" applyFont="1" applyFill="1" applyBorder="1" applyAlignment="1">
      <alignment horizontal="right" vertical="center"/>
    </xf>
    <xf numFmtId="164" fontId="103" fillId="11" borderId="22" xfId="115" applyNumberFormat="1" applyFont="1" applyFill="1" applyBorder="1" applyAlignment="1">
      <alignment horizontal="right" vertical="center"/>
    </xf>
    <xf numFmtId="0" fontId="0" fillId="11" borderId="1" xfId="115" applyFont="1" applyFill="1" applyBorder="1" applyAlignment="1">
      <alignment vertical="center"/>
    </xf>
    <xf numFmtId="0" fontId="2" fillId="18" borderId="0" xfId="115" applyFont="1" applyFill="1" applyAlignment="1">
      <alignment vertical="center"/>
    </xf>
    <xf numFmtId="0" fontId="2" fillId="18" borderId="0" xfId="115" applyFont="1" applyFill="1"/>
    <xf numFmtId="164" fontId="2" fillId="18" borderId="0" xfId="115" applyNumberFormat="1" applyFont="1" applyFill="1" applyAlignment="1">
      <alignment vertical="center"/>
    </xf>
    <xf numFmtId="10" fontId="2" fillId="0" borderId="0" xfId="115" applyNumberFormat="1" applyFont="1" applyAlignment="1">
      <alignment vertical="center"/>
    </xf>
    <xf numFmtId="215" fontId="3" fillId="18" borderId="18" xfId="116" applyNumberFormat="1" applyFont="1" applyFill="1" applyBorder="1" applyAlignment="1">
      <alignment vertical="center"/>
    </xf>
    <xf numFmtId="244" fontId="3" fillId="0" borderId="9" xfId="115" applyNumberFormat="1" applyFont="1" applyFill="1" applyBorder="1" applyAlignment="1">
      <alignment horizontal="right" vertical="center"/>
    </xf>
    <xf numFmtId="215" fontId="3" fillId="15" borderId="18" xfId="115" applyNumberFormat="1" applyFont="1" applyFill="1" applyBorder="1" applyAlignment="1">
      <alignment vertical="center"/>
    </xf>
    <xf numFmtId="164" fontId="106" fillId="0" borderId="20" xfId="69" applyNumberFormat="1" applyFont="1" applyFill="1" applyBorder="1" applyAlignment="1">
      <alignment vertical="center"/>
    </xf>
    <xf numFmtId="167" fontId="103" fillId="0" borderId="1" xfId="69" applyNumberFormat="1" applyFont="1" applyFill="1" applyBorder="1" applyAlignment="1">
      <alignment vertical="center"/>
    </xf>
    <xf numFmtId="170" fontId="0" fillId="0" borderId="1" xfId="0" applyNumberFormat="1" applyFont="1" applyFill="1" applyBorder="1" applyAlignment="1">
      <alignment horizontal="left" indent="1"/>
    </xf>
    <xf numFmtId="205" fontId="77" fillId="0" borderId="0" xfId="115" applyNumberFormat="1" applyFont="1" applyBorder="1" applyAlignment="1">
      <alignment horizontal="centerContinuous" vertical="center"/>
    </xf>
    <xf numFmtId="245" fontId="106" fillId="0" borderId="22" xfId="69" applyNumberFormat="1" applyFont="1" applyFill="1" applyBorder="1" applyAlignment="1">
      <alignment vertical="center"/>
    </xf>
    <xf numFmtId="245" fontId="106" fillId="0" borderId="1" xfId="69" applyNumberFormat="1" applyFont="1" applyFill="1" applyBorder="1" applyAlignment="1">
      <alignment vertical="center"/>
    </xf>
    <xf numFmtId="245" fontId="106" fillId="0" borderId="0" xfId="69" applyNumberFormat="1" applyFont="1" applyFill="1" applyBorder="1" applyAlignment="1">
      <alignment vertical="center"/>
    </xf>
    <xf numFmtId="167" fontId="0" fillId="0" borderId="0" xfId="0" applyNumberFormat="1" applyFont="1" applyFill="1" applyBorder="1" applyAlignment="1">
      <alignment vertical="center"/>
    </xf>
    <xf numFmtId="167" fontId="0" fillId="0" borderId="0" xfId="69" applyNumberFormat="1" applyFont="1" applyFill="1" applyBorder="1" applyAlignment="1">
      <alignment vertical="center"/>
    </xf>
    <xf numFmtId="166" fontId="0" fillId="0" borderId="0" xfId="69" applyNumberFormat="1" applyFont="1" applyFill="1" applyBorder="1" applyAlignment="1">
      <alignment vertical="center"/>
    </xf>
    <xf numFmtId="166" fontId="0" fillId="0" borderId="22" xfId="69" applyNumberFormat="1" applyFont="1" applyFill="1" applyBorder="1" applyAlignment="1">
      <alignment vertical="center"/>
    </xf>
    <xf numFmtId="9" fontId="106" fillId="0" borderId="3" xfId="69" applyNumberFormat="1" applyFont="1" applyFill="1" applyBorder="1" applyAlignment="1">
      <alignment vertical="center"/>
    </xf>
    <xf numFmtId="167" fontId="3" fillId="0" borderId="0" xfId="69" applyNumberFormat="1" applyFont="1" applyFill="1" applyBorder="1" applyAlignment="1">
      <alignment vertical="center"/>
    </xf>
    <xf numFmtId="166" fontId="3" fillId="0" borderId="0" xfId="69" applyNumberFormat="1" applyFont="1" applyFill="1" applyBorder="1" applyAlignment="1">
      <alignment vertical="center"/>
    </xf>
    <xf numFmtId="166" fontId="3" fillId="0" borderId="22" xfId="0" applyNumberFormat="1" applyFont="1" applyFill="1" applyBorder="1" applyAlignment="1">
      <alignment vertical="center"/>
    </xf>
    <xf numFmtId="166" fontId="3" fillId="0" borderId="22" xfId="69" applyNumberFormat="1" applyFont="1" applyFill="1" applyBorder="1" applyAlignment="1">
      <alignment vertical="center"/>
    </xf>
    <xf numFmtId="170" fontId="0" fillId="0" borderId="0" xfId="69" applyNumberFormat="1" applyFont="1" applyFill="1" applyBorder="1" applyAlignment="1">
      <alignment vertical="center"/>
    </xf>
    <xf numFmtId="170" fontId="3" fillId="0" borderId="0" xfId="0" applyNumberFormat="1" applyFont="1" applyFill="1" applyAlignment="1">
      <alignment horizontal="right"/>
    </xf>
    <xf numFmtId="9" fontId="0" fillId="0" borderId="0" xfId="69" applyNumberFormat="1" applyFont="1" applyFill="1" applyBorder="1" applyAlignment="1">
      <alignment vertical="center"/>
    </xf>
    <xf numFmtId="166" fontId="2" fillId="0" borderId="0" xfId="69" applyNumberFormat="1" applyFont="1" applyFill="1" applyBorder="1" applyAlignment="1">
      <alignment vertical="center"/>
    </xf>
    <xf numFmtId="9" fontId="106" fillId="0" borderId="1" xfId="69" applyNumberFormat="1" applyFont="1" applyFill="1" applyBorder="1" applyAlignment="1">
      <alignment vertical="center"/>
    </xf>
    <xf numFmtId="166" fontId="3" fillId="0" borderId="1" xfId="69" applyNumberFormat="1" applyFont="1" applyFill="1" applyBorder="1" applyAlignment="1">
      <alignment vertical="center"/>
    </xf>
    <xf numFmtId="166" fontId="0" fillId="0" borderId="1" xfId="69" applyNumberFormat="1" applyFont="1" applyFill="1" applyBorder="1" applyAlignment="1">
      <alignment vertical="center"/>
    </xf>
    <xf numFmtId="167" fontId="3" fillId="0" borderId="1" xfId="69" applyNumberFormat="1" applyFont="1" applyFill="1" applyBorder="1" applyAlignment="1">
      <alignment vertical="center"/>
    </xf>
    <xf numFmtId="167" fontId="3" fillId="0" borderId="22" xfId="69" applyNumberFormat="1" applyFont="1" applyFill="1" applyBorder="1" applyAlignment="1">
      <alignment vertical="center"/>
    </xf>
    <xf numFmtId="167" fontId="0" fillId="0" borderId="1" xfId="69" applyNumberFormat="1" applyFont="1" applyFill="1" applyBorder="1" applyAlignment="1">
      <alignment vertical="center"/>
    </xf>
    <xf numFmtId="167" fontId="0" fillId="0" borderId="22" xfId="69" applyNumberFormat="1" applyFont="1" applyFill="1" applyBorder="1" applyAlignment="1">
      <alignment vertical="center"/>
    </xf>
    <xf numFmtId="188" fontId="106" fillId="17" borderId="1" xfId="69" applyNumberFormat="1" applyFont="1" applyFill="1" applyBorder="1" applyAlignment="1">
      <alignment vertical="center"/>
    </xf>
    <xf numFmtId="188" fontId="106" fillId="17" borderId="22" xfId="69" applyNumberFormat="1" applyFont="1" applyFill="1" applyBorder="1" applyAlignment="1">
      <alignment vertical="center"/>
    </xf>
    <xf numFmtId="9" fontId="0" fillId="0" borderId="22" xfId="69" applyNumberFormat="1" applyFont="1" applyFill="1" applyBorder="1" applyAlignment="1">
      <alignment vertical="center"/>
    </xf>
    <xf numFmtId="168" fontId="103" fillId="18" borderId="0" xfId="55" applyNumberFormat="1" applyFont="1" applyFill="1" applyBorder="1" applyAlignment="1">
      <alignment horizontal="right"/>
    </xf>
    <xf numFmtId="168" fontId="103" fillId="18" borderId="22" xfId="55" applyNumberFormat="1" applyFont="1" applyFill="1" applyBorder="1" applyAlignment="1">
      <alignment horizontal="right"/>
    </xf>
    <xf numFmtId="168" fontId="103" fillId="18" borderId="1" xfId="55" applyNumberFormat="1" applyFont="1" applyFill="1" applyBorder="1" applyAlignment="1">
      <alignment horizontal="right"/>
    </xf>
    <xf numFmtId="9" fontId="2" fillId="0" borderId="22" xfId="115" applyNumberFormat="1" applyFont="1" applyFill="1" applyBorder="1"/>
    <xf numFmtId="166" fontId="3" fillId="17" borderId="0" xfId="55" applyNumberFormat="1" applyFont="1" applyFill="1" applyBorder="1" applyAlignment="1">
      <alignment horizontal="right" vertical="center"/>
    </xf>
    <xf numFmtId="166" fontId="3" fillId="17" borderId="22" xfId="55" applyNumberFormat="1" applyFont="1" applyFill="1" applyBorder="1" applyAlignment="1">
      <alignment horizontal="right" vertical="center"/>
    </xf>
    <xf numFmtId="166" fontId="3" fillId="0" borderId="22" xfId="55" applyNumberFormat="1" applyFont="1" applyFill="1" applyBorder="1" applyAlignment="1">
      <alignment horizontal="right" vertical="center"/>
    </xf>
    <xf numFmtId="168" fontId="3" fillId="0" borderId="0" xfId="55" applyNumberFormat="1" applyFont="1" applyFill="1" applyBorder="1" applyAlignment="1">
      <alignment horizontal="right" vertical="center"/>
    </xf>
    <xf numFmtId="166" fontId="2" fillId="0" borderId="1" xfId="55" applyNumberFormat="1" applyFont="1" applyFill="1" applyBorder="1" applyAlignment="1">
      <alignment vertical="center"/>
    </xf>
    <xf numFmtId="9" fontId="103" fillId="0" borderId="1" xfId="115" applyNumberFormat="1" applyFont="1" applyFill="1" applyBorder="1"/>
    <xf numFmtId="9" fontId="103" fillId="0" borderId="0" xfId="115" applyNumberFormat="1" applyFont="1" applyFill="1" applyBorder="1"/>
    <xf numFmtId="9" fontId="103" fillId="0" borderId="0" xfId="55" applyNumberFormat="1" applyFont="1" applyFill="1" applyBorder="1" applyAlignment="1">
      <alignment horizontal="right"/>
    </xf>
    <xf numFmtId="39" fontId="2" fillId="0" borderId="0" xfId="69" applyNumberFormat="1" applyFont="1" applyFill="1" applyBorder="1" applyAlignment="1">
      <alignment vertical="center"/>
    </xf>
    <xf numFmtId="39" fontId="2" fillId="0" borderId="0" xfId="55" applyNumberFormat="1" applyFont="1" applyFill="1" applyBorder="1"/>
    <xf numFmtId="168" fontId="104" fillId="0" borderId="0" xfId="55" applyNumberFormat="1" applyFont="1" applyFill="1" applyBorder="1" applyAlignment="1">
      <alignment horizontal="right"/>
    </xf>
    <xf numFmtId="0" fontId="104" fillId="0" borderId="0" xfId="115" applyFont="1" applyFill="1" applyBorder="1" applyAlignment="1">
      <alignment horizontal="right"/>
    </xf>
    <xf numFmtId="9" fontId="3" fillId="0" borderId="0" xfId="150" applyFont="1" applyFill="1" applyBorder="1" applyAlignment="1">
      <alignment horizontal="right"/>
    </xf>
    <xf numFmtId="9" fontId="71" fillId="0" borderId="0" xfId="55" applyNumberFormat="1" applyFont="1" applyFill="1" applyBorder="1"/>
    <xf numFmtId="9" fontId="3" fillId="0" borderId="1" xfId="0" applyNumberFormat="1" applyFont="1" applyFill="1" applyBorder="1" applyAlignment="1">
      <alignment horizontal="right"/>
    </xf>
    <xf numFmtId="9" fontId="3" fillId="0" borderId="0" xfId="0" applyNumberFormat="1" applyFont="1" applyFill="1" applyBorder="1" applyAlignment="1">
      <alignment horizontal="right"/>
    </xf>
    <xf numFmtId="166" fontId="3" fillId="17" borderId="1" xfId="55" applyNumberFormat="1" applyFont="1" applyFill="1" applyBorder="1" applyAlignment="1">
      <alignment vertical="center"/>
    </xf>
    <xf numFmtId="166" fontId="3" fillId="17" borderId="22" xfId="55" applyNumberFormat="1" applyFont="1" applyFill="1" applyBorder="1" applyAlignment="1">
      <alignment vertical="center"/>
    </xf>
    <xf numFmtId="167" fontId="102" fillId="0" borderId="0" xfId="69" applyNumberFormat="1" applyFont="1" applyFill="1" applyBorder="1" applyAlignment="1">
      <alignment vertical="center"/>
    </xf>
    <xf numFmtId="9" fontId="103" fillId="0" borderId="1" xfId="55" applyNumberFormat="1" applyFont="1" applyFill="1" applyBorder="1" applyAlignment="1">
      <alignment vertical="center"/>
    </xf>
    <xf numFmtId="9" fontId="84" fillId="0" borderId="0" xfId="115" applyNumberFormat="1" applyFont="1" applyBorder="1" applyAlignment="1">
      <alignment horizontal="right" vertical="center"/>
    </xf>
    <xf numFmtId="166" fontId="2" fillId="0" borderId="22" xfId="69" applyNumberFormat="1" applyFont="1" applyFill="1" applyBorder="1" applyAlignment="1">
      <alignment vertical="center"/>
    </xf>
    <xf numFmtId="170" fontId="3" fillId="0" borderId="1" xfId="115" applyNumberFormat="1" applyFont="1" applyFill="1" applyBorder="1"/>
    <xf numFmtId="166" fontId="110" fillId="0" borderId="1" xfId="55" quotePrefix="1" applyNumberFormat="1" applyFont="1" applyFill="1" applyBorder="1" applyAlignment="1">
      <alignment horizontal="right"/>
    </xf>
    <xf numFmtId="166" fontId="110" fillId="0" borderId="0" xfId="55" quotePrefix="1" applyNumberFormat="1" applyFont="1" applyFill="1" applyBorder="1" applyAlignment="1">
      <alignment horizontal="right"/>
    </xf>
    <xf numFmtId="179" fontId="3" fillId="11" borderId="1" xfId="0" applyNumberFormat="1" applyFont="1" applyFill="1" applyBorder="1" applyAlignment="1">
      <alignment horizontal="left" indent="2"/>
    </xf>
    <xf numFmtId="164" fontId="2" fillId="0" borderId="1" xfId="150" applyNumberFormat="1" applyFont="1" applyFill="1" applyBorder="1" applyAlignment="1">
      <alignment horizontal="right"/>
    </xf>
    <xf numFmtId="169" fontId="3" fillId="0" borderId="0" xfId="55" applyNumberFormat="1" applyFont="1" applyFill="1" applyBorder="1"/>
    <xf numFmtId="166" fontId="0" fillId="11" borderId="0" xfId="69" applyNumberFormat="1" applyFont="1" applyFill="1" applyBorder="1" applyAlignment="1">
      <alignment vertical="center"/>
    </xf>
    <xf numFmtId="166" fontId="0" fillId="11" borderId="22" xfId="69" applyNumberFormat="1" applyFont="1" applyFill="1" applyBorder="1" applyAlignment="1">
      <alignment vertical="center"/>
    </xf>
    <xf numFmtId="166" fontId="0" fillId="0" borderId="1" xfId="115" applyNumberFormat="1" applyFont="1" applyFill="1" applyBorder="1" applyAlignment="1">
      <alignment horizontal="left" indent="1"/>
    </xf>
    <xf numFmtId="188" fontId="0" fillId="0" borderId="0" xfId="69" applyNumberFormat="1" applyFont="1" applyFill="1" applyBorder="1" applyAlignment="1">
      <alignment vertical="center"/>
    </xf>
    <xf numFmtId="188" fontId="0" fillId="0" borderId="22" xfId="69" applyNumberFormat="1" applyFont="1" applyFill="1" applyBorder="1" applyAlignment="1">
      <alignment vertical="center"/>
    </xf>
    <xf numFmtId="188" fontId="0" fillId="0" borderId="1" xfId="69" applyNumberFormat="1" applyFont="1" applyFill="1" applyBorder="1" applyAlignment="1">
      <alignment vertical="center"/>
    </xf>
    <xf numFmtId="9" fontId="3" fillId="0" borderId="0" xfId="115" applyNumberFormat="1" applyFont="1" applyFill="1" applyBorder="1"/>
    <xf numFmtId="9" fontId="3" fillId="0" borderId="1" xfId="115" applyNumberFormat="1" applyFont="1" applyFill="1" applyBorder="1"/>
    <xf numFmtId="9" fontId="3" fillId="0" borderId="22" xfId="115" applyNumberFormat="1" applyFont="1" applyFill="1" applyBorder="1"/>
    <xf numFmtId="43" fontId="3" fillId="0" borderId="0" xfId="55" applyNumberFormat="1" applyFont="1" applyFill="1" applyBorder="1"/>
    <xf numFmtId="9" fontId="0" fillId="0" borderId="0" xfId="150" applyFont="1" applyFill="1"/>
    <xf numFmtId="0" fontId="3" fillId="24" borderId="0" xfId="0" applyFont="1" applyFill="1" applyBorder="1"/>
    <xf numFmtId="213" fontId="3" fillId="24" borderId="0" xfId="0" applyNumberFormat="1" applyFont="1" applyFill="1" applyBorder="1"/>
    <xf numFmtId="164" fontId="3" fillId="24" borderId="1" xfId="0" applyNumberFormat="1" applyFont="1" applyFill="1" applyBorder="1" applyAlignment="1">
      <alignment horizontal="left" indent="1"/>
    </xf>
    <xf numFmtId="167" fontId="3" fillId="24" borderId="0" xfId="0" applyNumberFormat="1" applyFont="1" applyFill="1" applyBorder="1"/>
    <xf numFmtId="167" fontId="104" fillId="24" borderId="0" xfId="0" applyNumberFormat="1" applyFont="1" applyFill="1" applyBorder="1" applyAlignment="1">
      <alignment vertical="center"/>
    </xf>
    <xf numFmtId="167" fontId="104" fillId="24" borderId="0" xfId="69" applyNumberFormat="1" applyFont="1" applyFill="1" applyBorder="1" applyAlignment="1">
      <alignment vertical="center"/>
    </xf>
    <xf numFmtId="167" fontId="104" fillId="24" borderId="1" xfId="69" applyNumberFormat="1" applyFont="1" applyFill="1" applyBorder="1" applyAlignment="1">
      <alignment vertical="center"/>
    </xf>
    <xf numFmtId="167" fontId="104" fillId="24" borderId="22" xfId="69" applyNumberFormat="1" applyFont="1" applyFill="1" applyBorder="1" applyAlignment="1">
      <alignment vertical="center"/>
    </xf>
    <xf numFmtId="8" fontId="105" fillId="24" borderId="0" xfId="69" applyNumberFormat="1" applyFont="1" applyFill="1" applyBorder="1" applyAlignment="1">
      <alignment vertical="center"/>
    </xf>
    <xf numFmtId="8" fontId="105" fillId="24" borderId="22" xfId="69" applyNumberFormat="1" applyFont="1" applyFill="1" applyBorder="1" applyAlignment="1">
      <alignment vertical="center"/>
    </xf>
    <xf numFmtId="8" fontId="105" fillId="24" borderId="1" xfId="69" applyNumberFormat="1" applyFont="1" applyFill="1" applyBorder="1" applyAlignment="1">
      <alignment vertical="center"/>
    </xf>
    <xf numFmtId="166" fontId="104" fillId="24" borderId="22" xfId="0" applyNumberFormat="1" applyFont="1" applyFill="1" applyBorder="1" applyAlignment="1">
      <alignment vertical="center"/>
    </xf>
    <xf numFmtId="167" fontId="105" fillId="24" borderId="0" xfId="69" applyNumberFormat="1" applyFont="1" applyFill="1" applyBorder="1" applyAlignment="1">
      <alignment vertical="center"/>
    </xf>
    <xf numFmtId="167" fontId="105" fillId="24" borderId="22" xfId="69" applyNumberFormat="1" applyFont="1" applyFill="1" applyBorder="1" applyAlignment="1">
      <alignment vertical="center"/>
    </xf>
    <xf numFmtId="9" fontId="3" fillId="24" borderId="1" xfId="0" applyNumberFormat="1" applyFont="1" applyFill="1" applyBorder="1" applyAlignment="1">
      <alignment horizontal="right"/>
    </xf>
    <xf numFmtId="9" fontId="3" fillId="24" borderId="0" xfId="0" applyNumberFormat="1" applyFont="1" applyFill="1" applyBorder="1" applyAlignment="1">
      <alignment horizontal="right"/>
    </xf>
    <xf numFmtId="167" fontId="3" fillId="24" borderId="0" xfId="0" applyNumberFormat="1" applyFont="1" applyFill="1"/>
    <xf numFmtId="43" fontId="0" fillId="0" borderId="0" xfId="55" applyNumberFormat="1" applyFont="1" applyFill="1" applyBorder="1"/>
    <xf numFmtId="186" fontId="3" fillId="0" borderId="19" xfId="115" applyNumberFormat="1" applyFont="1" applyFill="1" applyBorder="1" applyAlignment="1">
      <alignment vertical="center"/>
    </xf>
    <xf numFmtId="166" fontId="3" fillId="0" borderId="0" xfId="55" applyNumberFormat="1" applyFont="1" applyFill="1" applyBorder="1" applyAlignment="1">
      <alignment horizontal="right" vertical="center"/>
    </xf>
    <xf numFmtId="188" fontId="0" fillId="11" borderId="1" xfId="0" applyNumberFormat="1" applyFont="1" applyFill="1" applyBorder="1" applyAlignment="1">
      <alignment horizontal="left"/>
    </xf>
    <xf numFmtId="168" fontId="106" fillId="0" borderId="0" xfId="55" applyNumberFormat="1" applyFont="1" applyFill="1" applyBorder="1" applyAlignment="1">
      <alignment vertical="center"/>
    </xf>
    <xf numFmtId="240" fontId="103" fillId="18" borderId="0" xfId="115" applyNumberFormat="1" applyFont="1" applyFill="1" applyAlignment="1">
      <alignment vertical="center"/>
    </xf>
    <xf numFmtId="0" fontId="106" fillId="0" borderId="0" xfId="125" applyFont="1" applyFill="1" applyBorder="1" applyAlignment="1">
      <alignment horizontal="right"/>
    </xf>
    <xf numFmtId="9" fontId="106" fillId="0" borderId="0" xfId="125" applyNumberFormat="1" applyFont="1" applyFill="1" applyBorder="1" applyAlignment="1">
      <alignment horizontal="right"/>
    </xf>
    <xf numFmtId="164" fontId="106" fillId="0" borderId="0" xfId="155" applyNumberFormat="1" applyFont="1" applyFill="1" applyBorder="1" applyAlignment="1">
      <alignment horizontal="right"/>
    </xf>
    <xf numFmtId="188" fontId="106" fillId="0" borderId="0" xfId="155" applyNumberFormat="1" applyFont="1" applyFill="1" applyBorder="1" applyAlignment="1">
      <alignment horizontal="right"/>
    </xf>
    <xf numFmtId="246" fontId="106" fillId="0" borderId="0" xfId="66" applyNumberFormat="1" applyFont="1" applyFill="1" applyBorder="1" applyAlignment="1">
      <alignment horizontal="center" vertical="center"/>
    </xf>
    <xf numFmtId="215" fontId="103" fillId="11" borderId="0" xfId="0" applyNumberFormat="1" applyFont="1" applyFill="1" applyAlignment="1">
      <alignment horizontal="right" vertical="center"/>
    </xf>
    <xf numFmtId="0" fontId="73" fillId="0" borderId="23" xfId="0" applyFont="1" applyFill="1" applyBorder="1"/>
    <xf numFmtId="179" fontId="3" fillId="18" borderId="0" xfId="69" applyNumberFormat="1" applyFont="1" applyFill="1" applyBorder="1" applyAlignment="1">
      <alignment vertical="center"/>
    </xf>
    <xf numFmtId="179" fontId="3" fillId="18" borderId="22" xfId="69" applyNumberFormat="1" applyFont="1" applyFill="1" applyBorder="1" applyAlignment="1">
      <alignment vertical="center"/>
    </xf>
    <xf numFmtId="179" fontId="3" fillId="18" borderId="1" xfId="69" applyNumberFormat="1" applyFont="1" applyFill="1" applyBorder="1" applyAlignment="1">
      <alignment vertical="center"/>
    </xf>
    <xf numFmtId="179" fontId="3" fillId="0" borderId="1" xfId="69" applyNumberFormat="1" applyFont="1" applyFill="1" applyBorder="1" applyAlignment="1">
      <alignment vertical="center"/>
    </xf>
    <xf numFmtId="179" fontId="0" fillId="11" borderId="1" xfId="141" applyNumberFormat="1" applyFont="1" applyFill="1" applyBorder="1" applyAlignment="1"/>
    <xf numFmtId="179" fontId="0" fillId="0" borderId="22" xfId="0" applyNumberFormat="1" applyFont="1" applyFill="1" applyBorder="1" applyAlignment="1">
      <alignment vertical="center"/>
    </xf>
    <xf numFmtId="179" fontId="0" fillId="0" borderId="0" xfId="69" applyNumberFormat="1" applyFont="1" applyFill="1" applyBorder="1" applyAlignment="1">
      <alignment vertical="center"/>
    </xf>
    <xf numFmtId="179" fontId="0" fillId="0" borderId="22" xfId="69" applyNumberFormat="1" applyFont="1" applyFill="1" applyBorder="1" applyAlignment="1">
      <alignment vertical="center"/>
    </xf>
    <xf numFmtId="179" fontId="0" fillId="0" borderId="1" xfId="69" applyNumberFormat="1" applyFont="1" applyFill="1" applyBorder="1" applyAlignment="1">
      <alignment vertical="center"/>
    </xf>
    <xf numFmtId="179" fontId="0" fillId="0" borderId="1" xfId="0" applyNumberFormat="1" applyFont="1" applyFill="1" applyBorder="1" applyAlignment="1">
      <alignment vertical="center"/>
    </xf>
    <xf numFmtId="167" fontId="3" fillId="18" borderId="0" xfId="69" applyNumberFormat="1" applyFont="1" applyFill="1" applyBorder="1" applyAlignment="1">
      <alignment vertical="center"/>
    </xf>
    <xf numFmtId="167" fontId="3" fillId="18" borderId="22" xfId="69" applyNumberFormat="1" applyFont="1" applyFill="1" applyBorder="1" applyAlignment="1">
      <alignment vertical="center"/>
    </xf>
    <xf numFmtId="167" fontId="3" fillId="18" borderId="1" xfId="69" applyNumberFormat="1" applyFont="1" applyFill="1" applyBorder="1" applyAlignment="1">
      <alignment vertical="center"/>
    </xf>
    <xf numFmtId="166" fontId="0" fillId="0" borderId="1" xfId="115" applyNumberFormat="1" applyFont="1" applyFill="1" applyBorder="1" applyAlignment="1">
      <alignment vertical="center"/>
    </xf>
    <xf numFmtId="49" fontId="82" fillId="13" borderId="17" xfId="0" applyNumberFormat="1" applyFont="1" applyFill="1" applyBorder="1" applyAlignment="1">
      <alignment horizontal="centerContinuous" vertical="center"/>
    </xf>
    <xf numFmtId="0" fontId="0" fillId="23" borderId="0" xfId="0" applyFill="1"/>
    <xf numFmtId="43" fontId="0" fillId="0" borderId="0" xfId="55" applyFont="1" applyFill="1"/>
    <xf numFmtId="169" fontId="101" fillId="0" borderId="0" xfId="55" applyNumberFormat="1" applyFont="1" applyFill="1" applyBorder="1" applyAlignment="1">
      <alignment vertical="center"/>
    </xf>
    <xf numFmtId="10" fontId="118" fillId="18" borderId="0" xfId="115" applyNumberFormat="1" applyFont="1" applyFill="1" applyAlignment="1">
      <alignment vertical="center"/>
    </xf>
    <xf numFmtId="188" fontId="0" fillId="11" borderId="0" xfId="0" applyNumberFormat="1" applyFont="1" applyFill="1" applyBorder="1" applyAlignment="1">
      <alignment horizontal="left" indent="1"/>
    </xf>
    <xf numFmtId="10" fontId="106" fillId="0" borderId="0" xfId="69" applyNumberFormat="1" applyFont="1" applyFill="1" applyBorder="1" applyAlignment="1">
      <alignment vertical="center"/>
    </xf>
    <xf numFmtId="7" fontId="105" fillId="0" borderId="0" xfId="69" applyNumberFormat="1" applyFont="1" applyFill="1" applyBorder="1" applyAlignment="1">
      <alignment vertical="center"/>
    </xf>
    <xf numFmtId="167" fontId="104" fillId="0" borderId="3" xfId="0" applyNumberFormat="1" applyFont="1" applyFill="1" applyBorder="1" applyAlignment="1">
      <alignment vertical="center"/>
    </xf>
    <xf numFmtId="167" fontId="104" fillId="0" borderId="3" xfId="69" applyNumberFormat="1" applyFont="1" applyFill="1" applyBorder="1" applyAlignment="1">
      <alignment vertical="center"/>
    </xf>
    <xf numFmtId="188" fontId="105" fillId="0" borderId="3" xfId="69" applyNumberFormat="1" applyFont="1" applyFill="1" applyBorder="1" applyAlignment="1">
      <alignment vertical="center"/>
    </xf>
    <xf numFmtId="166" fontId="106" fillId="0" borderId="20" xfId="69" applyNumberFormat="1" applyFont="1" applyFill="1" applyBorder="1" applyAlignment="1">
      <alignment vertical="center"/>
    </xf>
    <xf numFmtId="167" fontId="104" fillId="0" borderId="20" xfId="0" applyNumberFormat="1" applyFont="1" applyFill="1" applyBorder="1" applyAlignment="1">
      <alignment vertical="center"/>
    </xf>
    <xf numFmtId="0" fontId="0" fillId="0" borderId="1" xfId="0" applyBorder="1"/>
    <xf numFmtId="7" fontId="105" fillId="0" borderId="1" xfId="69" applyNumberFormat="1" applyFont="1" applyFill="1" applyBorder="1" applyAlignment="1">
      <alignment vertical="center"/>
    </xf>
    <xf numFmtId="166" fontId="106" fillId="0" borderId="21" xfId="69" applyNumberFormat="1" applyFont="1" applyFill="1" applyBorder="1" applyAlignment="1">
      <alignment vertical="center"/>
    </xf>
    <xf numFmtId="168" fontId="2" fillId="0" borderId="13" xfId="69" applyNumberFormat="1" applyFont="1" applyFill="1" applyBorder="1" applyAlignment="1">
      <alignment vertical="center"/>
    </xf>
    <xf numFmtId="168" fontId="2" fillId="0" borderId="19" xfId="69" applyNumberFormat="1" applyFont="1" applyFill="1" applyBorder="1" applyAlignment="1">
      <alignment vertical="center"/>
    </xf>
    <xf numFmtId="7" fontId="3" fillId="0" borderId="0" xfId="69" applyNumberFormat="1" applyFont="1" applyFill="1" applyBorder="1" applyAlignment="1">
      <alignment vertical="center"/>
    </xf>
    <xf numFmtId="7" fontId="3" fillId="0" borderId="22" xfId="69" applyNumberFormat="1" applyFont="1" applyFill="1" applyBorder="1" applyAlignment="1">
      <alignment vertical="center"/>
    </xf>
    <xf numFmtId="0" fontId="108" fillId="0" borderId="8" xfId="69" applyNumberFormat="1" applyFont="1" applyFill="1" applyBorder="1" applyAlignment="1">
      <alignment vertical="center"/>
    </xf>
    <xf numFmtId="179" fontId="109" fillId="0" borderId="1" xfId="69" applyNumberFormat="1" applyFont="1" applyFill="1" applyBorder="1" applyAlignment="1">
      <alignment vertical="center"/>
    </xf>
    <xf numFmtId="179" fontId="108" fillId="0" borderId="1" xfId="69" applyNumberFormat="1" applyFont="1" applyFill="1" applyBorder="1" applyAlignment="1">
      <alignment vertical="center"/>
    </xf>
    <xf numFmtId="0" fontId="108" fillId="0" borderId="1" xfId="69" applyNumberFormat="1" applyFont="1" applyFill="1" applyBorder="1" applyAlignment="1">
      <alignment vertical="center"/>
    </xf>
    <xf numFmtId="166" fontId="108" fillId="0" borderId="1" xfId="69" applyNumberFormat="1" applyFont="1" applyFill="1" applyBorder="1" applyAlignment="1">
      <alignment vertical="center"/>
    </xf>
    <xf numFmtId="164" fontId="103" fillId="18" borderId="22" xfId="55" applyNumberFormat="1" applyFont="1" applyFill="1" applyBorder="1" applyAlignment="1">
      <alignment horizontal="right"/>
    </xf>
    <xf numFmtId="166" fontId="104" fillId="0" borderId="3" xfId="69" applyNumberFormat="1" applyFont="1" applyFill="1" applyBorder="1" applyAlignment="1">
      <alignment vertical="center"/>
    </xf>
    <xf numFmtId="0" fontId="77" fillId="0" borderId="0" xfId="0" applyFont="1" applyFill="1" applyBorder="1"/>
    <xf numFmtId="213" fontId="77" fillId="0" borderId="0" xfId="0" applyNumberFormat="1" applyFont="1" applyFill="1" applyBorder="1"/>
    <xf numFmtId="167" fontId="77" fillId="0" borderId="0" xfId="0" applyNumberFormat="1" applyFont="1" applyFill="1" applyBorder="1"/>
    <xf numFmtId="167" fontId="119" fillId="0" borderId="0" xfId="0" applyNumberFormat="1" applyFont="1" applyFill="1" applyBorder="1" applyAlignment="1">
      <alignment vertical="center"/>
    </xf>
    <xf numFmtId="167" fontId="119" fillId="0" borderId="0" xfId="69" applyNumberFormat="1" applyFont="1" applyFill="1" applyBorder="1" applyAlignment="1">
      <alignment vertical="center"/>
    </xf>
    <xf numFmtId="188" fontId="120" fillId="0" borderId="0" xfId="69" applyNumberFormat="1" applyFont="1" applyFill="1" applyBorder="1" applyAlignment="1">
      <alignment vertical="center"/>
    </xf>
    <xf numFmtId="170" fontId="121" fillId="0" borderId="1" xfId="69" applyNumberFormat="1" applyFont="1" applyFill="1" applyBorder="1" applyAlignment="1">
      <alignment vertical="center"/>
    </xf>
    <xf numFmtId="170" fontId="121" fillId="0" borderId="0" xfId="69" applyNumberFormat="1" applyFont="1" applyFill="1" applyBorder="1" applyAlignment="1">
      <alignment vertical="center"/>
    </xf>
    <xf numFmtId="167" fontId="119" fillId="0" borderId="1" xfId="0" applyNumberFormat="1" applyFont="1" applyFill="1" applyBorder="1" applyAlignment="1">
      <alignment vertical="center"/>
    </xf>
    <xf numFmtId="166" fontId="119" fillId="0" borderId="0" xfId="69" applyNumberFormat="1" applyFont="1" applyFill="1" applyBorder="1" applyAlignment="1">
      <alignment vertical="center"/>
    </xf>
    <xf numFmtId="170" fontId="76" fillId="0" borderId="0" xfId="69" applyNumberFormat="1" applyFont="1" applyFill="1" applyBorder="1" applyAlignment="1">
      <alignment vertical="center"/>
    </xf>
    <xf numFmtId="170" fontId="76" fillId="0" borderId="22" xfId="69" applyNumberFormat="1" applyFont="1" applyFill="1" applyBorder="1" applyAlignment="1">
      <alignment vertical="center"/>
    </xf>
    <xf numFmtId="167" fontId="77" fillId="0" borderId="0" xfId="0" applyNumberFormat="1" applyFont="1" applyFill="1" applyAlignment="1">
      <alignment horizontal="right"/>
    </xf>
    <xf numFmtId="167" fontId="77" fillId="0" borderId="0" xfId="0" applyNumberFormat="1" applyFont="1" applyFill="1"/>
    <xf numFmtId="170" fontId="2" fillId="0" borderId="0" xfId="55" applyNumberFormat="1" applyFont="1" applyAlignment="1">
      <alignment vertical="center"/>
    </xf>
    <xf numFmtId="168" fontId="2" fillId="0" borderId="8" xfId="69" applyNumberFormat="1" applyFont="1" applyFill="1" applyBorder="1" applyAlignment="1">
      <alignment vertical="center"/>
    </xf>
    <xf numFmtId="170" fontId="76" fillId="0" borderId="1" xfId="69" applyNumberFormat="1" applyFont="1" applyFill="1" applyBorder="1" applyAlignment="1">
      <alignment vertical="center"/>
    </xf>
    <xf numFmtId="7" fontId="3" fillId="0" borderId="1" xfId="69" applyNumberFormat="1" applyFont="1" applyFill="1" applyBorder="1" applyAlignment="1">
      <alignment vertical="center"/>
    </xf>
    <xf numFmtId="167" fontId="3" fillId="24" borderId="0" xfId="0" applyNumberFormat="1" applyFont="1" applyFill="1" applyBorder="1" applyAlignment="1">
      <alignment vertical="center"/>
    </xf>
    <xf numFmtId="167" fontId="3" fillId="24" borderId="0" xfId="69" applyNumberFormat="1" applyFont="1" applyFill="1" applyBorder="1" applyAlignment="1">
      <alignment vertical="center"/>
    </xf>
    <xf numFmtId="166" fontId="3" fillId="24" borderId="1" xfId="69" applyNumberFormat="1" applyFont="1" applyFill="1" applyBorder="1" applyAlignment="1">
      <alignment vertical="center"/>
    </xf>
    <xf numFmtId="166" fontId="3" fillId="24" borderId="0" xfId="69" applyNumberFormat="1" applyFont="1" applyFill="1" applyBorder="1" applyAlignment="1">
      <alignment vertical="center"/>
    </xf>
    <xf numFmtId="166" fontId="3" fillId="24" borderId="22" xfId="69" applyNumberFormat="1" applyFont="1" applyFill="1" applyBorder="1" applyAlignment="1">
      <alignment vertical="center"/>
    </xf>
    <xf numFmtId="166" fontId="3" fillId="24" borderId="22" xfId="0" applyNumberFormat="1" applyFont="1" applyFill="1" applyBorder="1" applyAlignment="1">
      <alignment vertical="center"/>
    </xf>
    <xf numFmtId="167" fontId="3" fillId="24" borderId="0" xfId="0" applyNumberFormat="1" applyFont="1" applyFill="1" applyAlignment="1">
      <alignment horizontal="right"/>
    </xf>
    <xf numFmtId="10" fontId="0" fillId="0" borderId="0" xfId="115" applyNumberFormat="1" applyFont="1" applyFill="1" applyBorder="1"/>
    <xf numFmtId="170" fontId="80" fillId="0" borderId="13" xfId="55" applyNumberFormat="1" applyFont="1" applyFill="1" applyBorder="1"/>
    <xf numFmtId="43" fontId="104" fillId="0" borderId="0" xfId="55" applyFont="1" applyFill="1" applyBorder="1" applyAlignment="1">
      <alignment vertical="center"/>
    </xf>
    <xf numFmtId="43" fontId="3" fillId="0" borderId="20" xfId="55" applyFont="1" applyFill="1" applyBorder="1"/>
    <xf numFmtId="43" fontId="3" fillId="0" borderId="3" xfId="55" applyFont="1" applyFill="1" applyBorder="1"/>
    <xf numFmtId="43" fontId="3" fillId="0" borderId="34" xfId="55" applyFont="1" applyFill="1" applyBorder="1" applyAlignment="1">
      <alignment horizontal="right"/>
    </xf>
    <xf numFmtId="43" fontId="3" fillId="0" borderId="0" xfId="55" applyFont="1" applyFill="1"/>
    <xf numFmtId="248" fontId="101" fillId="0" borderId="0" xfId="55" applyNumberFormat="1" applyFont="1" applyFill="1" applyBorder="1" applyAlignment="1">
      <alignment vertical="center"/>
    </xf>
    <xf numFmtId="249" fontId="101" fillId="0" borderId="0" xfId="55" applyNumberFormat="1" applyFont="1" applyFill="1" applyBorder="1" applyAlignment="1">
      <alignment vertical="center"/>
    </xf>
    <xf numFmtId="166" fontId="112" fillId="0" borderId="1" xfId="55" applyNumberFormat="1" applyFont="1" applyFill="1" applyBorder="1" applyAlignment="1">
      <alignment vertical="center"/>
    </xf>
    <xf numFmtId="2" fontId="2" fillId="21" borderId="22" xfId="55" applyNumberFormat="1" applyFont="1" applyFill="1" applyBorder="1"/>
    <xf numFmtId="169" fontId="101" fillId="0" borderId="22" xfId="55" applyNumberFormat="1" applyFont="1" applyFill="1" applyBorder="1" applyAlignment="1">
      <alignment vertical="center"/>
    </xf>
    <xf numFmtId="9" fontId="2" fillId="0" borderId="23" xfId="55" applyNumberFormat="1" applyFont="1" applyFill="1" applyBorder="1" applyAlignment="1">
      <alignment horizontal="right"/>
    </xf>
    <xf numFmtId="248" fontId="101" fillId="0" borderId="22" xfId="55" applyNumberFormat="1" applyFont="1" applyFill="1" applyBorder="1" applyAlignment="1">
      <alignment vertical="center"/>
    </xf>
    <xf numFmtId="9" fontId="0" fillId="0" borderId="0" xfId="115" applyNumberFormat="1" applyFont="1" applyFill="1"/>
    <xf numFmtId="166" fontId="2" fillId="0" borderId="22" xfId="55" quotePrefix="1" applyNumberFormat="1" applyFont="1" applyFill="1" applyBorder="1" applyAlignment="1">
      <alignment horizontal="right"/>
    </xf>
    <xf numFmtId="166" fontId="2" fillId="0" borderId="1" xfId="55" quotePrefix="1" applyNumberFormat="1" applyFont="1" applyFill="1" applyBorder="1" applyAlignment="1">
      <alignment horizontal="right"/>
    </xf>
    <xf numFmtId="166" fontId="2" fillId="0" borderId="0" xfId="55" quotePrefix="1" applyNumberFormat="1" applyFont="1" applyFill="1" applyBorder="1" applyAlignment="1">
      <alignment horizontal="right"/>
    </xf>
    <xf numFmtId="2" fontId="2" fillId="21" borderId="0" xfId="55" applyNumberFormat="1" applyFont="1" applyFill="1" applyBorder="1"/>
    <xf numFmtId="9" fontId="105" fillId="0" borderId="0" xfId="55" applyNumberFormat="1" applyFont="1" applyFill="1" applyBorder="1" applyAlignment="1">
      <alignment vertical="center"/>
    </xf>
    <xf numFmtId="170" fontId="105" fillId="0" borderId="39" xfId="55" applyNumberFormat="1" applyFont="1" applyFill="1" applyBorder="1" applyAlignment="1">
      <alignment vertical="center"/>
    </xf>
    <xf numFmtId="166" fontId="106" fillId="0" borderId="39" xfId="55" applyNumberFormat="1" applyFont="1" applyFill="1" applyBorder="1" applyAlignment="1">
      <alignment vertical="center"/>
    </xf>
    <xf numFmtId="166" fontId="110" fillId="0" borderId="39" xfId="55" applyNumberFormat="1" applyFont="1" applyFill="1" applyBorder="1" applyAlignment="1">
      <alignment vertical="center"/>
    </xf>
    <xf numFmtId="166" fontId="112" fillId="0" borderId="39" xfId="55" applyNumberFormat="1" applyFont="1" applyFill="1" applyBorder="1" applyAlignment="1">
      <alignment vertical="center"/>
    </xf>
    <xf numFmtId="0" fontId="4" fillId="0" borderId="0" xfId="115"/>
    <xf numFmtId="188" fontId="106" fillId="0" borderId="39" xfId="69" applyNumberFormat="1" applyFont="1" applyFill="1" applyBorder="1" applyAlignment="1">
      <alignment vertical="center"/>
    </xf>
    <xf numFmtId="179" fontId="3" fillId="0" borderId="39" xfId="69" applyNumberFormat="1" applyFont="1" applyFill="1" applyBorder="1" applyAlignment="1">
      <alignment vertical="center"/>
    </xf>
    <xf numFmtId="179" fontId="105" fillId="0" borderId="39" xfId="69" applyNumberFormat="1" applyFont="1" applyFill="1" applyBorder="1" applyAlignment="1">
      <alignment vertical="center"/>
    </xf>
    <xf numFmtId="166" fontId="106" fillId="0" borderId="39" xfId="69" applyNumberFormat="1" applyFont="1" applyFill="1" applyBorder="1" applyAlignment="1">
      <alignment vertical="center"/>
    </xf>
    <xf numFmtId="179" fontId="106" fillId="0" borderId="39" xfId="69" applyNumberFormat="1" applyFont="1" applyFill="1" applyBorder="1" applyAlignment="1">
      <alignment vertical="center"/>
    </xf>
    <xf numFmtId="8" fontId="3" fillId="0" borderId="0" xfId="55" applyNumberFormat="1" applyFont="1" applyFill="1" applyBorder="1" applyAlignment="1">
      <alignment horizontal="right"/>
    </xf>
    <xf numFmtId="166" fontId="75" fillId="0" borderId="1" xfId="55" applyNumberFormat="1" applyFont="1" applyFill="1" applyBorder="1" applyAlignment="1">
      <alignment horizontal="right"/>
    </xf>
    <xf numFmtId="166" fontId="75" fillId="0" borderId="0" xfId="55" applyNumberFormat="1" applyFont="1" applyFill="1" applyBorder="1" applyAlignment="1">
      <alignment horizontal="right"/>
    </xf>
    <xf numFmtId="167" fontId="0" fillId="0" borderId="39" xfId="55" applyNumberFormat="1" applyFont="1" applyFill="1" applyBorder="1" applyAlignment="1">
      <alignment horizontal="right"/>
    </xf>
    <xf numFmtId="166" fontId="0" fillId="0" borderId="39" xfId="55" applyNumberFormat="1" applyFont="1" applyFill="1" applyBorder="1" applyAlignment="1">
      <alignment horizontal="right"/>
    </xf>
    <xf numFmtId="168" fontId="3" fillId="0" borderId="39" xfId="55" applyNumberFormat="1" applyFont="1" applyFill="1" applyBorder="1" applyAlignment="1">
      <alignment horizontal="right"/>
    </xf>
    <xf numFmtId="164" fontId="0" fillId="0" borderId="39" xfId="55" applyNumberFormat="1" applyFont="1" applyFill="1" applyBorder="1" applyAlignment="1">
      <alignment horizontal="right"/>
    </xf>
    <xf numFmtId="166" fontId="75" fillId="0" borderId="39" xfId="55" applyNumberFormat="1" applyFont="1" applyFill="1" applyBorder="1" applyAlignment="1">
      <alignment horizontal="right"/>
    </xf>
    <xf numFmtId="167" fontId="3" fillId="0" borderId="39" xfId="55" applyNumberFormat="1" applyFont="1" applyFill="1" applyBorder="1" applyAlignment="1">
      <alignment horizontal="right"/>
    </xf>
    <xf numFmtId="43" fontId="101" fillId="0" borderId="22" xfId="55" applyNumberFormat="1" applyFont="1" applyFill="1" applyBorder="1" applyAlignment="1">
      <alignment vertical="center"/>
    </xf>
    <xf numFmtId="250" fontId="103" fillId="0" borderId="3" xfId="69" applyNumberFormat="1" applyFont="1" applyFill="1" applyBorder="1" applyAlignment="1">
      <alignment vertical="center"/>
    </xf>
    <xf numFmtId="235" fontId="106" fillId="0" borderId="0" xfId="69" applyNumberFormat="1" applyFont="1" applyFill="1" applyBorder="1" applyAlignment="1">
      <alignment vertical="center"/>
    </xf>
    <xf numFmtId="235" fontId="106" fillId="0" borderId="0" xfId="55" applyNumberFormat="1" applyFont="1" applyFill="1" applyBorder="1" applyAlignment="1">
      <alignment vertical="center"/>
    </xf>
    <xf numFmtId="188" fontId="106" fillId="0" borderId="39" xfId="55" applyNumberFormat="1" applyFont="1" applyFill="1" applyBorder="1" applyAlignment="1">
      <alignment vertical="center"/>
    </xf>
    <xf numFmtId="179" fontId="106" fillId="0" borderId="39" xfId="55" applyNumberFormat="1" applyFont="1" applyFill="1" applyBorder="1" applyAlignment="1">
      <alignment vertical="center"/>
    </xf>
    <xf numFmtId="170" fontId="103" fillId="18" borderId="39" xfId="55" applyNumberFormat="1" applyFont="1" applyFill="1" applyBorder="1" applyAlignment="1">
      <alignment vertical="center"/>
    </xf>
    <xf numFmtId="179" fontId="105" fillId="0" borderId="39" xfId="55" applyNumberFormat="1" applyFont="1" applyFill="1" applyBorder="1" applyAlignment="1">
      <alignment vertical="center"/>
    </xf>
    <xf numFmtId="176" fontId="103" fillId="0" borderId="39" xfId="55" applyNumberFormat="1" applyFont="1" applyFill="1" applyBorder="1" applyAlignment="1">
      <alignment vertical="center"/>
    </xf>
    <xf numFmtId="164" fontId="103" fillId="0" borderId="39" xfId="55" applyNumberFormat="1" applyFont="1" applyFill="1" applyBorder="1" applyAlignment="1">
      <alignment vertical="center"/>
    </xf>
    <xf numFmtId="179" fontId="105" fillId="0" borderId="39" xfId="115" applyNumberFormat="1" applyFont="1" applyFill="1" applyBorder="1" applyAlignment="1">
      <alignment vertical="center"/>
    </xf>
    <xf numFmtId="166" fontId="103" fillId="18" borderId="39" xfId="55" applyNumberFormat="1" applyFont="1" applyFill="1" applyBorder="1" applyAlignment="1">
      <alignment vertical="center"/>
    </xf>
    <xf numFmtId="166" fontId="103" fillId="0" borderId="39" xfId="55" applyNumberFormat="1" applyFont="1" applyFill="1" applyBorder="1" applyAlignment="1">
      <alignment vertical="center"/>
    </xf>
    <xf numFmtId="168" fontId="103" fillId="0" borderId="39" xfId="55" applyNumberFormat="1" applyFont="1" applyFill="1" applyBorder="1" applyAlignment="1">
      <alignment vertical="center"/>
    </xf>
    <xf numFmtId="164" fontId="103" fillId="0" borderId="39" xfId="69" applyNumberFormat="1" applyFont="1" applyFill="1" applyBorder="1" applyAlignment="1">
      <alignment vertical="center"/>
    </xf>
    <xf numFmtId="188" fontId="103" fillId="0" borderId="39" xfId="69" applyNumberFormat="1" applyFont="1" applyFill="1" applyBorder="1" applyAlignment="1">
      <alignment vertical="center"/>
    </xf>
    <xf numFmtId="179" fontId="2" fillId="0" borderId="39" xfId="55" applyNumberFormat="1" applyFont="1" applyFill="1" applyBorder="1" applyAlignment="1">
      <alignment vertical="center"/>
    </xf>
    <xf numFmtId="179" fontId="103" fillId="18" borderId="39" xfId="55" applyNumberFormat="1" applyFont="1" applyFill="1" applyBorder="1" applyAlignment="1">
      <alignment vertical="center"/>
    </xf>
    <xf numFmtId="179" fontId="2" fillId="0" borderId="0" xfId="55" applyNumberFormat="1" applyFont="1" applyFill="1" applyBorder="1" applyAlignment="1">
      <alignment vertical="center"/>
    </xf>
    <xf numFmtId="215" fontId="103" fillId="0" borderId="0" xfId="115" applyNumberFormat="1" applyFont="1" applyAlignment="1">
      <alignment vertical="center"/>
    </xf>
    <xf numFmtId="0" fontId="3" fillId="16" borderId="17" xfId="0" applyFont="1" applyFill="1" applyBorder="1" applyAlignment="1">
      <alignment vertical="center"/>
    </xf>
    <xf numFmtId="0" fontId="3" fillId="16" borderId="7" xfId="0" applyFont="1" applyFill="1" applyBorder="1" applyAlignment="1">
      <alignment vertical="center"/>
    </xf>
    <xf numFmtId="0" fontId="3" fillId="16" borderId="18" xfId="0" applyFont="1" applyFill="1" applyBorder="1" applyAlignment="1">
      <alignment vertical="center"/>
    </xf>
    <xf numFmtId="0" fontId="3" fillId="16" borderId="21" xfId="0" applyFont="1" applyFill="1" applyBorder="1" applyAlignment="1">
      <alignment vertical="center"/>
    </xf>
    <xf numFmtId="179" fontId="74" fillId="0" borderId="0" xfId="0" applyNumberFormat="1" applyFont="1" applyFill="1" applyBorder="1" applyAlignment="1">
      <alignment vertical="center"/>
    </xf>
    <xf numFmtId="179" fontId="74" fillId="0" borderId="22" xfId="0" applyNumberFormat="1" applyFont="1" applyFill="1" applyBorder="1" applyAlignment="1">
      <alignment vertical="center"/>
    </xf>
    <xf numFmtId="179" fontId="3" fillId="0" borderId="0" xfId="69" quotePrefix="1" applyNumberFormat="1" applyFont="1" applyFill="1" applyBorder="1" applyAlignment="1">
      <alignment vertical="center"/>
    </xf>
    <xf numFmtId="179" fontId="3" fillId="0" borderId="22" xfId="69" quotePrefix="1" applyNumberFormat="1" applyFont="1" applyFill="1" applyBorder="1" applyAlignment="1">
      <alignment vertical="center"/>
    </xf>
    <xf numFmtId="179" fontId="3" fillId="0" borderId="8" xfId="69" quotePrefix="1" applyNumberFormat="1" applyFont="1" applyFill="1" applyBorder="1" applyAlignment="1">
      <alignment vertical="center"/>
    </xf>
    <xf numFmtId="179" fontId="3" fillId="0" borderId="13" xfId="69" quotePrefix="1" applyNumberFormat="1" applyFont="1" applyFill="1" applyBorder="1" applyAlignment="1">
      <alignment vertical="center"/>
    </xf>
    <xf numFmtId="179" fontId="3" fillId="0" borderId="19" xfId="69" quotePrefix="1" applyNumberFormat="1" applyFont="1" applyFill="1" applyBorder="1" applyAlignment="1">
      <alignment vertical="center"/>
    </xf>
    <xf numFmtId="9" fontId="3" fillId="0" borderId="0" xfId="69" quotePrefix="1" applyNumberFormat="1" applyFont="1" applyFill="1" applyBorder="1" applyAlignment="1">
      <alignment vertical="center"/>
    </xf>
    <xf numFmtId="179" fontId="74" fillId="0" borderId="1" xfId="0" applyNumberFormat="1" applyFont="1" applyFill="1" applyBorder="1" applyAlignment="1">
      <alignment vertical="center"/>
    </xf>
    <xf numFmtId="179" fontId="3" fillId="0" borderId="1" xfId="69" quotePrefix="1" applyNumberFormat="1" applyFont="1" applyFill="1" applyBorder="1" applyAlignment="1">
      <alignment vertical="center"/>
    </xf>
    <xf numFmtId="166" fontId="0" fillId="0" borderId="0" xfId="150" applyNumberFormat="1" applyFont="1" applyFill="1" applyBorder="1" applyAlignment="1">
      <alignment vertical="center"/>
    </xf>
    <xf numFmtId="166" fontId="0" fillId="0" borderId="22" xfId="150" applyNumberFormat="1" applyFont="1" applyFill="1" applyBorder="1" applyAlignment="1">
      <alignment vertical="center"/>
    </xf>
    <xf numFmtId="166" fontId="0" fillId="0" borderId="0" xfId="150" quotePrefix="1" applyNumberFormat="1" applyFont="1" applyFill="1" applyBorder="1" applyAlignment="1">
      <alignment vertical="center"/>
    </xf>
    <xf numFmtId="166" fontId="0" fillId="0" borderId="22" xfId="150" quotePrefix="1" applyNumberFormat="1" applyFont="1" applyFill="1" applyBorder="1" applyAlignment="1">
      <alignment vertical="center"/>
    </xf>
    <xf numFmtId="166" fontId="0" fillId="0" borderId="1" xfId="150" quotePrefix="1" applyNumberFormat="1" applyFont="1" applyFill="1" applyBorder="1" applyAlignment="1">
      <alignment vertical="center"/>
    </xf>
    <xf numFmtId="166" fontId="0" fillId="0" borderId="1" xfId="150" applyNumberFormat="1" applyFont="1" applyFill="1" applyBorder="1" applyAlignment="1">
      <alignment vertical="center"/>
    </xf>
    <xf numFmtId="168" fontId="0" fillId="0" borderId="0" xfId="69" applyNumberFormat="1" applyFont="1" applyFill="1" applyBorder="1" applyAlignment="1">
      <alignment vertical="center"/>
    </xf>
    <xf numFmtId="168" fontId="0" fillId="0" borderId="22" xfId="69" applyNumberFormat="1" applyFont="1" applyFill="1" applyBorder="1" applyAlignment="1">
      <alignment vertical="center"/>
    </xf>
    <xf numFmtId="0" fontId="0" fillId="0" borderId="22" xfId="115" applyFont="1" applyFill="1" applyBorder="1" applyAlignment="1">
      <alignment vertical="center"/>
    </xf>
    <xf numFmtId="9" fontId="0" fillId="0" borderId="1" xfId="69" applyNumberFormat="1" applyFont="1" applyFill="1" applyBorder="1" applyAlignment="1">
      <alignment vertical="center"/>
    </xf>
    <xf numFmtId="179" fontId="0" fillId="0" borderId="3" xfId="0" applyNumberFormat="1" applyFont="1" applyFill="1" applyBorder="1" applyAlignment="1">
      <alignment vertical="center"/>
    </xf>
    <xf numFmtId="179" fontId="0" fillId="0" borderId="21" xfId="0" applyNumberFormat="1" applyFont="1" applyFill="1" applyBorder="1" applyAlignment="1">
      <alignment vertical="center"/>
    </xf>
    <xf numFmtId="179" fontId="0" fillId="0" borderId="3" xfId="69" applyNumberFormat="1" applyFont="1" applyFill="1" applyBorder="1" applyAlignment="1">
      <alignment vertical="center"/>
    </xf>
    <xf numFmtId="179" fontId="0" fillId="0" borderId="21" xfId="69" applyNumberFormat="1" applyFont="1" applyFill="1" applyBorder="1" applyAlignment="1">
      <alignment vertical="center"/>
    </xf>
    <xf numFmtId="179" fontId="0" fillId="0" borderId="20" xfId="69" applyNumberFormat="1" applyFont="1" applyFill="1" applyBorder="1" applyAlignment="1">
      <alignment vertical="center"/>
    </xf>
    <xf numFmtId="179" fontId="0" fillId="0" borderId="20" xfId="0" applyNumberFormat="1" applyFont="1" applyFill="1" applyBorder="1" applyAlignment="1">
      <alignment vertical="center"/>
    </xf>
    <xf numFmtId="170" fontId="0" fillId="0" borderId="22" xfId="69" applyNumberFormat="1" applyFont="1" applyFill="1" applyBorder="1" applyAlignment="1">
      <alignment vertical="center"/>
    </xf>
    <xf numFmtId="0" fontId="0" fillId="0" borderId="1" xfId="115" applyFont="1" applyFill="1" applyBorder="1" applyAlignment="1">
      <alignment vertical="center"/>
    </xf>
    <xf numFmtId="0" fontId="0" fillId="0" borderId="0" xfId="115" applyFont="1" applyFill="1" applyBorder="1" applyAlignment="1">
      <alignment vertical="center"/>
    </xf>
    <xf numFmtId="170" fontId="0" fillId="0" borderId="1" xfId="69" applyNumberFormat="1" applyFont="1" applyFill="1" applyBorder="1" applyAlignment="1">
      <alignment vertical="center"/>
    </xf>
    <xf numFmtId="166" fontId="3" fillId="0" borderId="1" xfId="0" applyNumberFormat="1" applyFont="1" applyFill="1" applyBorder="1" applyAlignment="1">
      <alignment vertical="center"/>
    </xf>
    <xf numFmtId="188" fontId="0" fillId="0" borderId="22" xfId="0" applyNumberFormat="1" applyFont="1" applyFill="1" applyBorder="1" applyAlignment="1">
      <alignment vertical="center"/>
    </xf>
    <xf numFmtId="188" fontId="0" fillId="0" borderId="1" xfId="0" applyNumberFormat="1" applyFont="1" applyFill="1" applyBorder="1" applyAlignment="1">
      <alignment vertical="center"/>
    </xf>
    <xf numFmtId="179" fontId="0" fillId="11" borderId="0" xfId="69" applyNumberFormat="1" applyFont="1" applyFill="1" applyBorder="1" applyAlignment="1">
      <alignment vertical="center"/>
    </xf>
    <xf numFmtId="179" fontId="0" fillId="11" borderId="22" xfId="69" applyNumberFormat="1" applyFont="1" applyFill="1" applyBorder="1" applyAlignment="1">
      <alignment vertical="center"/>
    </xf>
    <xf numFmtId="168" fontId="0" fillId="11" borderId="0" xfId="69" applyNumberFormat="1" applyFont="1" applyFill="1" applyBorder="1" applyAlignment="1">
      <alignment vertical="center"/>
    </xf>
    <xf numFmtId="164" fontId="0" fillId="0" borderId="0" xfId="69" applyNumberFormat="1" applyFont="1" applyFill="1" applyBorder="1" applyAlignment="1">
      <alignment vertical="center"/>
    </xf>
    <xf numFmtId="178" fontId="0" fillId="0" borderId="0" xfId="69" applyNumberFormat="1" applyFont="1" applyFill="1" applyBorder="1" applyAlignment="1">
      <alignment vertical="center"/>
    </xf>
    <xf numFmtId="168" fontId="0" fillId="0" borderId="1" xfId="69" applyNumberFormat="1" applyFont="1" applyFill="1" applyBorder="1" applyAlignment="1">
      <alignment vertical="center"/>
    </xf>
    <xf numFmtId="9" fontId="3" fillId="0" borderId="0" xfId="69" applyNumberFormat="1" applyFont="1" applyFill="1" applyBorder="1" applyAlignment="1">
      <alignment vertical="center"/>
    </xf>
    <xf numFmtId="10" fontId="0" fillId="0" borderId="0" xfId="69" applyNumberFormat="1" applyFont="1" applyFill="1" applyBorder="1" applyAlignment="1">
      <alignment vertical="center"/>
    </xf>
    <xf numFmtId="166" fontId="79" fillId="0" borderId="0" xfId="69" applyNumberFormat="1" applyFont="1" applyFill="1" applyBorder="1" applyAlignment="1">
      <alignment vertical="center"/>
    </xf>
    <xf numFmtId="166" fontId="79" fillId="0" borderId="22" xfId="69" applyNumberFormat="1" applyFont="1" applyFill="1" applyBorder="1" applyAlignment="1">
      <alignment vertical="center"/>
    </xf>
    <xf numFmtId="166" fontId="79" fillId="0" borderId="1" xfId="69" applyNumberFormat="1" applyFont="1" applyFill="1" applyBorder="1" applyAlignment="1">
      <alignment vertical="center"/>
    </xf>
    <xf numFmtId="164" fontId="0" fillId="0" borderId="22" xfId="69" applyNumberFormat="1" applyFont="1" applyFill="1" applyBorder="1" applyAlignment="1">
      <alignment vertical="center"/>
    </xf>
    <xf numFmtId="179" fontId="0" fillId="0" borderId="1" xfId="115" applyNumberFormat="1" applyFont="1" applyFill="1" applyBorder="1" applyAlignment="1">
      <alignment vertical="center"/>
    </xf>
    <xf numFmtId="179" fontId="0" fillId="0" borderId="0" xfId="115" applyNumberFormat="1" applyFont="1" applyFill="1" applyBorder="1" applyAlignment="1">
      <alignment vertical="center"/>
    </xf>
    <xf numFmtId="168" fontId="0" fillId="11" borderId="22" xfId="69" applyNumberFormat="1" applyFont="1" applyFill="1" applyBorder="1" applyAlignment="1">
      <alignment vertical="center"/>
    </xf>
    <xf numFmtId="43" fontId="0" fillId="11" borderId="0" xfId="0" applyNumberFormat="1" applyFont="1" applyFill="1" applyBorder="1" applyAlignment="1">
      <alignment vertical="center"/>
    </xf>
    <xf numFmtId="43" fontId="0" fillId="0" borderId="0" xfId="115" applyNumberFormat="1" applyFont="1" applyFill="1" applyBorder="1" applyAlignment="1">
      <alignment vertical="center"/>
    </xf>
    <xf numFmtId="168" fontId="0" fillId="11" borderId="1" xfId="115" applyNumberFormat="1" applyFont="1" applyFill="1" applyBorder="1" applyAlignment="1">
      <alignment vertical="center"/>
    </xf>
    <xf numFmtId="168" fontId="0" fillId="11" borderId="0" xfId="115" applyNumberFormat="1" applyFont="1" applyFill="1" applyBorder="1" applyAlignment="1">
      <alignment vertical="center"/>
    </xf>
    <xf numFmtId="168" fontId="0" fillId="11" borderId="22" xfId="115" applyNumberFormat="1" applyFont="1" applyFill="1" applyBorder="1" applyAlignment="1">
      <alignment vertical="center"/>
    </xf>
    <xf numFmtId="164" fontId="0" fillId="0" borderId="1" xfId="69" applyNumberFormat="1" applyFont="1" applyFill="1" applyBorder="1" applyAlignment="1">
      <alignment vertical="center"/>
    </xf>
    <xf numFmtId="176" fontId="0" fillId="0" borderId="0" xfId="69" applyNumberFormat="1" applyFont="1" applyFill="1" applyBorder="1" applyAlignment="1">
      <alignment vertical="center"/>
    </xf>
    <xf numFmtId="176" fontId="0" fillId="0" borderId="22" xfId="69" applyNumberFormat="1" applyFont="1" applyFill="1" applyBorder="1" applyAlignment="1">
      <alignment vertical="center"/>
    </xf>
    <xf numFmtId="164" fontId="0" fillId="0" borderId="22" xfId="115" applyNumberFormat="1" applyFont="1" applyFill="1" applyBorder="1" applyAlignment="1">
      <alignment vertical="center"/>
    </xf>
    <xf numFmtId="8" fontId="0" fillId="0" borderId="0" xfId="69" applyNumberFormat="1" applyFont="1" applyFill="1" applyBorder="1" applyAlignment="1">
      <alignment vertical="center"/>
    </xf>
    <xf numFmtId="164" fontId="0" fillId="18" borderId="0" xfId="69" applyNumberFormat="1" applyFont="1" applyFill="1" applyBorder="1" applyAlignment="1">
      <alignment vertical="center"/>
    </xf>
    <xf numFmtId="164" fontId="0" fillId="18" borderId="22" xfId="69" applyNumberFormat="1" applyFont="1" applyFill="1" applyBorder="1" applyAlignment="1">
      <alignment vertical="center"/>
    </xf>
    <xf numFmtId="164" fontId="0" fillId="0" borderId="39" xfId="69" applyNumberFormat="1" applyFont="1" applyFill="1" applyBorder="1" applyAlignment="1">
      <alignment vertical="center"/>
    </xf>
    <xf numFmtId="188" fontId="0" fillId="18" borderId="0" xfId="69" applyNumberFormat="1" applyFont="1" applyFill="1" applyBorder="1" applyAlignment="1">
      <alignment vertical="center"/>
    </xf>
    <xf numFmtId="188" fontId="0" fillId="18" borderId="22" xfId="69" applyNumberFormat="1" applyFont="1" applyFill="1" applyBorder="1" applyAlignment="1">
      <alignment vertical="center"/>
    </xf>
    <xf numFmtId="188" fontId="0" fillId="18" borderId="1" xfId="69" applyNumberFormat="1" applyFont="1" applyFill="1" applyBorder="1" applyAlignment="1">
      <alignment vertical="center"/>
    </xf>
    <xf numFmtId="188" fontId="0" fillId="0" borderId="39" xfId="69" applyNumberFormat="1" applyFont="1" applyFill="1" applyBorder="1" applyAlignment="1">
      <alignment vertical="center"/>
    </xf>
    <xf numFmtId="166" fontId="0" fillId="11" borderId="1" xfId="69" applyNumberFormat="1" applyFont="1" applyFill="1" applyBorder="1" applyAlignment="1">
      <alignment vertical="center"/>
    </xf>
    <xf numFmtId="166" fontId="0" fillId="11" borderId="39" xfId="69" applyNumberFormat="1" applyFont="1" applyFill="1" applyBorder="1" applyAlignment="1">
      <alignment vertical="center"/>
    </xf>
    <xf numFmtId="166" fontId="0" fillId="0" borderId="39" xfId="69" applyNumberFormat="1" applyFont="1" applyFill="1" applyBorder="1" applyAlignment="1">
      <alignment vertical="center"/>
    </xf>
    <xf numFmtId="179" fontId="0" fillId="0" borderId="39" xfId="69" applyNumberFormat="1" applyFont="1" applyFill="1" applyBorder="1" applyAlignment="1">
      <alignment vertical="center"/>
    </xf>
    <xf numFmtId="179" fontId="79" fillId="0" borderId="0" xfId="0" applyNumberFormat="1" applyFont="1" applyFill="1" applyBorder="1" applyAlignment="1">
      <alignment vertical="center"/>
    </xf>
    <xf numFmtId="179" fontId="79" fillId="0" borderId="22" xfId="0" applyNumberFormat="1" applyFont="1" applyFill="1" applyBorder="1" applyAlignment="1">
      <alignment vertical="center"/>
    </xf>
    <xf numFmtId="179" fontId="79" fillId="0" borderId="0" xfId="69" applyNumberFormat="1" applyFont="1" applyFill="1" applyBorder="1" applyAlignment="1">
      <alignment vertical="center"/>
    </xf>
    <xf numFmtId="179" fontId="79" fillId="0" borderId="22" xfId="69" applyNumberFormat="1" applyFont="1" applyFill="1" applyBorder="1" applyAlignment="1">
      <alignment vertical="center"/>
    </xf>
    <xf numFmtId="179" fontId="79" fillId="0" borderId="1" xfId="0" applyNumberFormat="1" applyFont="1" applyFill="1" applyBorder="1" applyAlignment="1">
      <alignment vertical="center"/>
    </xf>
    <xf numFmtId="9" fontId="79" fillId="0" borderId="0" xfId="69" applyNumberFormat="1" applyFont="1" applyFill="1" applyBorder="1" applyAlignment="1">
      <alignment vertical="center"/>
    </xf>
    <xf numFmtId="234" fontId="0" fillId="0" borderId="0" xfId="69" applyNumberFormat="1" applyFont="1" applyFill="1" applyBorder="1" applyAlignment="1">
      <alignment vertical="center"/>
    </xf>
    <xf numFmtId="166" fontId="0" fillId="18" borderId="0" xfId="69" applyNumberFormat="1" applyFont="1" applyFill="1" applyBorder="1" applyAlignment="1">
      <alignment vertical="center"/>
    </xf>
    <xf numFmtId="166" fontId="0" fillId="18" borderId="22" xfId="69" applyNumberFormat="1" applyFont="1" applyFill="1" applyBorder="1" applyAlignment="1">
      <alignment vertical="center"/>
    </xf>
    <xf numFmtId="166" fontId="0" fillId="18" borderId="1" xfId="69" applyNumberFormat="1" applyFont="1" applyFill="1" applyBorder="1" applyAlignment="1">
      <alignment vertical="center"/>
    </xf>
    <xf numFmtId="179" fontId="0" fillId="18" borderId="0" xfId="69" applyNumberFormat="1" applyFont="1" applyFill="1" applyBorder="1" applyAlignment="1">
      <alignment vertical="center"/>
    </xf>
    <xf numFmtId="179" fontId="0" fillId="18" borderId="22" xfId="69" applyNumberFormat="1" applyFont="1" applyFill="1" applyBorder="1" applyAlignment="1">
      <alignment vertical="center"/>
    </xf>
    <xf numFmtId="179" fontId="0" fillId="18" borderId="1" xfId="69" applyNumberFormat="1" applyFont="1" applyFill="1" applyBorder="1" applyAlignment="1">
      <alignment vertical="center"/>
    </xf>
    <xf numFmtId="179" fontId="0" fillId="18" borderId="3" xfId="69" applyNumberFormat="1" applyFont="1" applyFill="1" applyBorder="1" applyAlignment="1">
      <alignment vertical="center"/>
    </xf>
    <xf numFmtId="179" fontId="0" fillId="18" borderId="21" xfId="69" applyNumberFormat="1" applyFont="1" applyFill="1" applyBorder="1" applyAlignment="1">
      <alignment vertical="center"/>
    </xf>
    <xf numFmtId="179" fontId="0" fillId="0" borderId="22" xfId="115" applyNumberFormat="1" applyFont="1" applyFill="1" applyBorder="1" applyAlignment="1">
      <alignment vertical="center"/>
    </xf>
    <xf numFmtId="166" fontId="0" fillId="18" borderId="0" xfId="150" applyNumberFormat="1" applyFont="1" applyFill="1" applyBorder="1" applyAlignment="1">
      <alignment vertical="center"/>
    </xf>
    <xf numFmtId="166" fontId="0" fillId="18" borderId="22" xfId="150" applyNumberFormat="1" applyFont="1" applyFill="1" applyBorder="1" applyAlignment="1">
      <alignment vertical="center"/>
    </xf>
    <xf numFmtId="179" fontId="3" fillId="0" borderId="1" xfId="55" applyNumberFormat="1" applyFont="1" applyFill="1" applyBorder="1" applyAlignment="1">
      <alignment vertical="center"/>
    </xf>
    <xf numFmtId="179" fontId="0" fillId="11" borderId="0" xfId="0" applyNumberFormat="1" applyFont="1" applyFill="1" applyBorder="1" applyAlignment="1">
      <alignment vertical="center"/>
    </xf>
    <xf numFmtId="179" fontId="0" fillId="11" borderId="22" xfId="0" applyNumberFormat="1" applyFont="1" applyFill="1" applyBorder="1" applyAlignment="1">
      <alignment vertical="center"/>
    </xf>
    <xf numFmtId="38" fontId="0" fillId="11" borderId="0" xfId="0" applyNumberFormat="1" applyFont="1" applyFill="1" applyBorder="1" applyAlignment="1">
      <alignment vertical="center"/>
    </xf>
    <xf numFmtId="38" fontId="0" fillId="11" borderId="22" xfId="0" applyNumberFormat="1" applyFont="1" applyFill="1" applyBorder="1" applyAlignment="1">
      <alignment vertical="center"/>
    </xf>
    <xf numFmtId="166" fontId="0" fillId="11" borderId="0" xfId="0" applyNumberFormat="1" applyFont="1" applyFill="1" applyBorder="1" applyAlignment="1">
      <alignment vertical="center"/>
    </xf>
    <xf numFmtId="166" fontId="0" fillId="11" borderId="22" xfId="0" applyNumberFormat="1" applyFont="1" applyFill="1" applyBorder="1" applyAlignment="1">
      <alignment vertical="center"/>
    </xf>
    <xf numFmtId="166" fontId="0" fillId="0" borderId="0" xfId="55" quotePrefix="1" applyNumberFormat="1" applyFont="1" applyFill="1" applyBorder="1" applyAlignment="1">
      <alignment vertical="center"/>
    </xf>
    <xf numFmtId="166" fontId="0" fillId="0" borderId="22" xfId="55" quotePrefix="1" applyNumberFormat="1" applyFont="1" applyFill="1" applyBorder="1" applyAlignment="1">
      <alignment vertical="center"/>
    </xf>
    <xf numFmtId="166" fontId="0" fillId="0" borderId="1" xfId="55" quotePrefix="1" applyNumberFormat="1" applyFont="1" applyFill="1" applyBorder="1" applyAlignment="1">
      <alignment vertical="center"/>
    </xf>
    <xf numFmtId="166" fontId="0" fillId="18" borderId="0" xfId="0" applyNumberFormat="1" applyFont="1" applyFill="1" applyBorder="1" applyAlignment="1">
      <alignment vertical="center"/>
    </xf>
    <xf numFmtId="166" fontId="0" fillId="18" borderId="22" xfId="0" applyNumberFormat="1" applyFont="1" applyFill="1" applyBorder="1" applyAlignment="1">
      <alignment vertical="center"/>
    </xf>
    <xf numFmtId="43" fontId="0" fillId="0" borderId="0" xfId="0" applyNumberFormat="1" applyFont="1" applyFill="1" applyBorder="1" applyAlignment="1">
      <alignment vertical="center"/>
    </xf>
    <xf numFmtId="243" fontId="0" fillId="0" borderId="22" xfId="69" applyNumberFormat="1" applyFont="1" applyFill="1" applyBorder="1" applyAlignment="1">
      <alignment vertical="center"/>
    </xf>
    <xf numFmtId="243" fontId="0" fillId="0" borderId="1" xfId="69" applyNumberFormat="1" applyFont="1" applyFill="1" applyBorder="1" applyAlignment="1">
      <alignment vertical="center"/>
    </xf>
    <xf numFmtId="179" fontId="0" fillId="11" borderId="22" xfId="115" applyNumberFormat="1" applyFont="1" applyFill="1" applyBorder="1" applyAlignment="1">
      <alignment vertical="center"/>
    </xf>
    <xf numFmtId="243" fontId="0" fillId="11" borderId="0" xfId="69" applyNumberFormat="1" applyFont="1" applyFill="1" applyBorder="1" applyAlignment="1">
      <alignment vertical="center"/>
    </xf>
    <xf numFmtId="179" fontId="0" fillId="11" borderId="1" xfId="69" applyNumberFormat="1" applyFont="1" applyFill="1" applyBorder="1" applyAlignment="1">
      <alignment vertical="center"/>
    </xf>
    <xf numFmtId="166" fontId="0" fillId="17" borderId="0" xfId="69" applyNumberFormat="1" applyFont="1" applyFill="1" applyBorder="1" applyAlignment="1">
      <alignment vertical="center"/>
    </xf>
    <xf numFmtId="0" fontId="0" fillId="18" borderId="1" xfId="115" applyFont="1" applyFill="1" applyBorder="1" applyAlignment="1">
      <alignment vertical="center"/>
    </xf>
    <xf numFmtId="0" fontId="0" fillId="18" borderId="0" xfId="115" applyFont="1" applyFill="1" applyBorder="1" applyAlignment="1">
      <alignment vertical="center"/>
    </xf>
    <xf numFmtId="43" fontId="0" fillId="18" borderId="0" xfId="115" applyNumberFormat="1" applyFont="1" applyFill="1" applyBorder="1" applyAlignment="1">
      <alignment vertical="center"/>
    </xf>
    <xf numFmtId="0" fontId="0" fillId="18" borderId="22" xfId="115" applyFont="1" applyFill="1" applyBorder="1" applyAlignment="1">
      <alignment vertical="center"/>
    </xf>
    <xf numFmtId="169" fontId="0" fillId="0" borderId="0" xfId="69" applyNumberFormat="1" applyFont="1" applyFill="1" applyBorder="1" applyAlignment="1">
      <alignment vertical="center"/>
    </xf>
    <xf numFmtId="169" fontId="0" fillId="0" borderId="22" xfId="69" applyNumberFormat="1" applyFont="1" applyFill="1" applyBorder="1" applyAlignment="1">
      <alignment vertical="center"/>
    </xf>
    <xf numFmtId="43" fontId="0" fillId="0" borderId="0" xfId="69" applyNumberFormat="1" applyFont="1" applyFill="1" applyBorder="1" applyAlignment="1">
      <alignment vertical="center"/>
    </xf>
    <xf numFmtId="243" fontId="3" fillId="0" borderId="0" xfId="69" applyNumberFormat="1" applyFont="1" applyFill="1" applyBorder="1" applyAlignment="1">
      <alignment vertical="center"/>
    </xf>
    <xf numFmtId="170" fontId="0" fillId="11" borderId="0" xfId="69" applyNumberFormat="1" applyFont="1" applyFill="1" applyBorder="1" applyAlignment="1">
      <alignment vertical="center"/>
    </xf>
    <xf numFmtId="170" fontId="0" fillId="0" borderId="22" xfId="115" applyNumberFormat="1" applyFont="1" applyFill="1" applyBorder="1" applyAlignment="1">
      <alignment vertical="center"/>
    </xf>
    <xf numFmtId="9" fontId="0" fillId="11" borderId="0" xfId="69" applyNumberFormat="1" applyFont="1" applyFill="1" applyBorder="1" applyAlignment="1">
      <alignment vertical="center"/>
    </xf>
    <xf numFmtId="170" fontId="0" fillId="0" borderId="0" xfId="115" applyNumberFormat="1" applyFont="1" applyFill="1" applyBorder="1" applyAlignment="1">
      <alignment vertical="center"/>
    </xf>
    <xf numFmtId="167" fontId="0" fillId="0" borderId="1" xfId="0" applyNumberFormat="1" applyFont="1" applyFill="1" applyBorder="1" applyAlignment="1">
      <alignment vertical="center"/>
    </xf>
    <xf numFmtId="43" fontId="0" fillId="0" borderId="3" xfId="55" applyFont="1" applyFill="1" applyBorder="1" applyAlignment="1">
      <alignment vertical="center"/>
    </xf>
    <xf numFmtId="43" fontId="0" fillId="0" borderId="21" xfId="55" applyFont="1" applyFill="1" applyBorder="1" applyAlignment="1">
      <alignment vertical="center"/>
    </xf>
    <xf numFmtId="43" fontId="0" fillId="0" borderId="20" xfId="55" applyFont="1" applyFill="1" applyBorder="1" applyAlignment="1">
      <alignment vertical="center"/>
    </xf>
    <xf numFmtId="43" fontId="0" fillId="0" borderId="22" xfId="55" applyFont="1" applyFill="1" applyBorder="1" applyAlignment="1">
      <alignment vertical="center"/>
    </xf>
    <xf numFmtId="0" fontId="2" fillId="0" borderId="0" xfId="0" applyFont="1" applyFill="1" applyBorder="1"/>
    <xf numFmtId="0" fontId="2" fillId="0" borderId="0" xfId="0" applyFont="1" applyFill="1" applyBorder="1" applyAlignment="1">
      <alignment vertical="center"/>
    </xf>
    <xf numFmtId="0" fontId="2" fillId="0" borderId="22" xfId="0" applyFont="1" applyFill="1" applyBorder="1" applyAlignment="1">
      <alignment vertical="center"/>
    </xf>
    <xf numFmtId="168" fontId="2" fillId="0" borderId="0" xfId="55" applyNumberFormat="1" applyFont="1" applyFill="1" applyBorder="1" applyAlignment="1">
      <alignment vertical="center"/>
    </xf>
    <xf numFmtId="168" fontId="2" fillId="0" borderId="22" xfId="55" applyNumberFormat="1" applyFont="1" applyFill="1" applyBorder="1" applyAlignment="1">
      <alignment vertical="center"/>
    </xf>
    <xf numFmtId="168" fontId="2" fillId="11" borderId="0" xfId="55" applyNumberFormat="1" applyFont="1" applyFill="1" applyBorder="1" applyAlignment="1">
      <alignment vertical="center"/>
    </xf>
    <xf numFmtId="0" fontId="2" fillId="0" borderId="0" xfId="115" applyFont="1" applyFill="1" applyBorder="1" applyAlignment="1">
      <alignment vertical="center"/>
    </xf>
    <xf numFmtId="0" fontId="2" fillId="0" borderId="22" xfId="115" applyFont="1" applyFill="1" applyBorder="1" applyAlignment="1">
      <alignment vertical="center"/>
    </xf>
    <xf numFmtId="0" fontId="2" fillId="0" borderId="1" xfId="0" applyFont="1" applyFill="1" applyBorder="1" applyAlignment="1">
      <alignment vertical="center"/>
    </xf>
    <xf numFmtId="179" fontId="2" fillId="0" borderId="1" xfId="55" applyNumberFormat="1" applyFont="1" applyFill="1" applyBorder="1"/>
    <xf numFmtId="179" fontId="2" fillId="0" borderId="0" xfId="55" applyNumberFormat="1" applyFont="1" applyFill="1" applyBorder="1"/>
    <xf numFmtId="179" fontId="2" fillId="0" borderId="0" xfId="0" applyNumberFormat="1" applyFont="1" applyFill="1" applyBorder="1"/>
    <xf numFmtId="179" fontId="2" fillId="0" borderId="0" xfId="0" applyNumberFormat="1" applyFont="1" applyFill="1" applyBorder="1" applyAlignment="1">
      <alignment vertical="center"/>
    </xf>
    <xf numFmtId="179" fontId="2" fillId="0" borderId="22" xfId="0" applyNumberFormat="1" applyFont="1" applyFill="1" applyBorder="1" applyAlignment="1">
      <alignment vertical="center"/>
    </xf>
    <xf numFmtId="179" fontId="2" fillId="11" borderId="0" xfId="55" applyNumberFormat="1" applyFont="1" applyFill="1" applyBorder="1" applyAlignment="1">
      <alignment vertical="center"/>
    </xf>
    <xf numFmtId="179" fontId="2" fillId="0" borderId="1" xfId="0" applyNumberFormat="1" applyFont="1" applyFill="1" applyBorder="1" applyAlignment="1">
      <alignment vertical="center"/>
    </xf>
    <xf numFmtId="179" fontId="2" fillId="0" borderId="0" xfId="55" applyNumberFormat="1" applyFont="1" applyFill="1" applyBorder="1" applyAlignment="1">
      <alignment horizontal="left" indent="1"/>
    </xf>
    <xf numFmtId="179" fontId="2" fillId="18" borderId="0" xfId="55" applyNumberFormat="1" applyFont="1" applyFill="1" applyBorder="1" applyAlignment="1">
      <alignment vertical="center"/>
    </xf>
    <xf numFmtId="179" fontId="2" fillId="0" borderId="1" xfId="55" applyNumberFormat="1" applyFont="1" applyFill="1" applyBorder="1" applyAlignment="1">
      <alignment horizontal="left"/>
    </xf>
    <xf numFmtId="179" fontId="2" fillId="0" borderId="0" xfId="55" applyNumberFormat="1" applyFont="1" applyFill="1" applyBorder="1" applyAlignment="1">
      <alignment horizontal="left"/>
    </xf>
    <xf numFmtId="179" fontId="2" fillId="0" borderId="20" xfId="55" applyNumberFormat="1" applyFont="1" applyFill="1" applyBorder="1" applyAlignment="1">
      <alignment horizontal="left" indent="1"/>
    </xf>
    <xf numFmtId="179" fontId="2" fillId="0" borderId="3" xfId="55" applyNumberFormat="1" applyFont="1" applyFill="1" applyBorder="1" applyAlignment="1">
      <alignment horizontal="left" indent="1"/>
    </xf>
    <xf numFmtId="179" fontId="2" fillId="0" borderId="3" xfId="0" applyNumberFormat="1" applyFont="1" applyFill="1" applyBorder="1"/>
    <xf numFmtId="179" fontId="2" fillId="0" borderId="3" xfId="0" applyNumberFormat="1" applyFont="1" applyFill="1" applyBorder="1" applyAlignment="1">
      <alignment vertical="center"/>
    </xf>
    <xf numFmtId="179" fontId="2" fillId="0" borderId="21" xfId="0" applyNumberFormat="1" applyFont="1" applyFill="1" applyBorder="1" applyAlignment="1">
      <alignment vertical="center"/>
    </xf>
    <xf numFmtId="179" fontId="2" fillId="0" borderId="3" xfId="55" applyNumberFormat="1" applyFont="1" applyFill="1" applyBorder="1" applyAlignment="1">
      <alignment vertical="center"/>
    </xf>
    <xf numFmtId="179" fontId="2" fillId="11" borderId="3" xfId="55" applyNumberFormat="1" applyFont="1" applyFill="1" applyBorder="1" applyAlignment="1">
      <alignment vertical="center"/>
    </xf>
    <xf numFmtId="179" fontId="2" fillId="0" borderId="20" xfId="0" applyNumberFormat="1" applyFont="1" applyFill="1" applyBorder="1" applyAlignment="1">
      <alignment vertical="center"/>
    </xf>
    <xf numFmtId="179" fontId="3" fillId="11" borderId="0" xfId="55" applyNumberFormat="1" applyFont="1" applyFill="1" applyBorder="1" applyAlignment="1">
      <alignment vertical="center"/>
    </xf>
    <xf numFmtId="179" fontId="2" fillId="18" borderId="3" xfId="55" applyNumberFormat="1" applyFont="1" applyFill="1" applyBorder="1" applyAlignment="1">
      <alignment vertical="center"/>
    </xf>
    <xf numFmtId="179" fontId="2" fillId="0" borderId="39" xfId="0" applyNumberFormat="1" applyFont="1" applyFill="1" applyBorder="1" applyAlignment="1">
      <alignment vertical="center"/>
    </xf>
    <xf numFmtId="170" fontId="0" fillId="0" borderId="0" xfId="115" applyNumberFormat="1" applyFont="1" applyFill="1"/>
    <xf numFmtId="164" fontId="73" fillId="0" borderId="39" xfId="55" applyNumberFormat="1" applyFont="1" applyFill="1" applyBorder="1" applyAlignment="1">
      <alignment horizontal="right"/>
    </xf>
    <xf numFmtId="166" fontId="103" fillId="18" borderId="39" xfId="69" applyNumberFormat="1" applyFont="1" applyFill="1" applyBorder="1" applyAlignment="1">
      <alignment vertical="center"/>
    </xf>
    <xf numFmtId="0" fontId="4" fillId="25" borderId="0" xfId="196" applyFont="1" applyFill="1" applyAlignment="1">
      <alignment vertical="top"/>
    </xf>
    <xf numFmtId="0" fontId="4" fillId="25" borderId="0" xfId="115" applyFill="1" applyAlignment="1">
      <alignment vertical="top"/>
    </xf>
    <xf numFmtId="0" fontId="4" fillId="25" borderId="0" xfId="115" applyFill="1"/>
    <xf numFmtId="0" fontId="92" fillId="25" borderId="0" xfId="196" applyFont="1" applyFill="1" applyAlignment="1">
      <alignment horizontal="left" vertical="top"/>
    </xf>
    <xf numFmtId="0" fontId="4" fillId="25" borderId="0" xfId="115" applyFont="1" applyFill="1" applyAlignment="1">
      <alignment vertical="top"/>
    </xf>
    <xf numFmtId="0" fontId="123" fillId="25" borderId="0" xfId="196" applyFont="1" applyFill="1" applyAlignment="1">
      <alignment vertical="top"/>
    </xf>
    <xf numFmtId="0" fontId="0" fillId="25" borderId="0" xfId="0" applyFill="1" applyAlignment="1">
      <alignment vertical="top"/>
    </xf>
    <xf numFmtId="0" fontId="124" fillId="25" borderId="0" xfId="0" applyFont="1" applyFill="1" applyAlignment="1">
      <alignment vertical="top"/>
    </xf>
    <xf numFmtId="0" fontId="125" fillId="25" borderId="0" xfId="0" applyFont="1" applyFill="1" applyAlignment="1">
      <alignment vertical="top"/>
    </xf>
    <xf numFmtId="0" fontId="125" fillId="25" borderId="0" xfId="0" applyFont="1" applyFill="1" applyAlignment="1">
      <alignment vertical="top"/>
    </xf>
    <xf numFmtId="0" fontId="124" fillId="25" borderId="0" xfId="0" applyFont="1" applyFill="1" applyAlignment="1">
      <alignment vertical="top"/>
    </xf>
    <xf numFmtId="0" fontId="0" fillId="25" borderId="0" xfId="0" applyFill="1" applyAlignment="1">
      <alignment vertical="top"/>
    </xf>
    <xf numFmtId="0" fontId="0" fillId="25" borderId="36" xfId="0" applyFill="1" applyBorder="1" applyAlignment="1">
      <alignment vertical="top"/>
    </xf>
    <xf numFmtId="0" fontId="124" fillId="25" borderId="38" xfId="0" applyFont="1" applyFill="1" applyBorder="1" applyAlignment="1">
      <alignment vertical="top"/>
    </xf>
    <xf numFmtId="0" fontId="124" fillId="25" borderId="40" xfId="0" applyFont="1" applyFill="1" applyBorder="1" applyAlignment="1">
      <alignment vertical="top"/>
    </xf>
    <xf numFmtId="0" fontId="124" fillId="25" borderId="41" xfId="0" applyFont="1" applyFill="1" applyBorder="1" applyAlignment="1">
      <alignment vertical="top"/>
    </xf>
    <xf numFmtId="0" fontId="124" fillId="25" borderId="42" xfId="0" applyFont="1" applyFill="1" applyBorder="1" applyAlignment="1">
      <alignment vertical="top"/>
    </xf>
    <xf numFmtId="9" fontId="124" fillId="25" borderId="38" xfId="0" applyNumberFormat="1" applyFont="1" applyFill="1" applyBorder="1" applyAlignment="1">
      <alignment vertical="top"/>
    </xf>
    <xf numFmtId="3" fontId="124" fillId="25" borderId="38" xfId="0" applyNumberFormat="1" applyFont="1" applyFill="1" applyBorder="1" applyAlignment="1">
      <alignment vertical="top"/>
    </xf>
    <xf numFmtId="0" fontId="0" fillId="25" borderId="43" xfId="0" applyFill="1" applyBorder="1" applyAlignment="1">
      <alignment vertical="top"/>
    </xf>
    <xf numFmtId="2" fontId="4" fillId="0" borderId="0" xfId="115" applyNumberFormat="1" applyAlignment="1">
      <alignment horizontal="left"/>
    </xf>
    <xf numFmtId="0" fontId="4" fillId="0" borderId="0" xfId="115" applyNumberFormat="1" applyAlignment="1">
      <alignment horizontal="left"/>
    </xf>
    <xf numFmtId="1" fontId="4" fillId="0" borderId="0" xfId="115" applyNumberFormat="1" applyAlignment="1">
      <alignment horizontal="left"/>
    </xf>
    <xf numFmtId="0" fontId="4" fillId="0" borderId="0" xfId="115" applyFont="1"/>
    <xf numFmtId="256" fontId="4" fillId="0" borderId="0" xfId="115" applyNumberFormat="1" applyAlignment="1">
      <alignment horizontal="left"/>
    </xf>
    <xf numFmtId="49" fontId="4" fillId="0" borderId="0" xfId="115" applyNumberFormat="1"/>
  </cellXfs>
  <cellStyles count="197">
    <cellStyle name="-" xfId="1"/>
    <cellStyle name="$ 1 decimal" xfId="2"/>
    <cellStyle name="%" xfId="3"/>
    <cellStyle name="******************************************" xfId="4"/>
    <cellStyle name="_RRS1" xfId="5"/>
    <cellStyle name="_RRS15" xfId="6"/>
    <cellStyle name="_RRS20" xfId="7"/>
    <cellStyle name="_RRS3" xfId="8"/>
    <cellStyle name="_RRS6" xfId="9"/>
    <cellStyle name="_SUMMARY " xfId="10"/>
    <cellStyle name="’Ê‰Ý [0.00]_GE 3 MINIMUM" xfId="11"/>
    <cellStyle name="’Ê‰Ý_GE 3 MINIMUM" xfId="12"/>
    <cellStyle name="£ BP" xfId="13"/>
    <cellStyle name="¥ JY" xfId="14"/>
    <cellStyle name="=C:\WINNT35\SYSTEM32\COMMAND.COM" xfId="15"/>
    <cellStyle name="•W€_Comparables" xfId="16"/>
    <cellStyle name="•W_GE 3 MINIMUM" xfId="17"/>
    <cellStyle name="0" xfId="18"/>
    <cellStyle name="0%" xfId="19"/>
    <cellStyle name="0.0" xfId="20"/>
    <cellStyle name="0.0%" xfId="21"/>
    <cellStyle name="0.0_Diageo FRS 17 and Capacity" xfId="22"/>
    <cellStyle name="0.00" xfId="23"/>
    <cellStyle name="0.00%" xfId="24"/>
    <cellStyle name="0.00_SmartChart_B1035" xfId="25"/>
    <cellStyle name="0_Capex &amp; Depreciation " xfId="26"/>
    <cellStyle name="0_Capex &amp; Depreciation _RRST1" xfId="27"/>
    <cellStyle name="0_SmartChart_B1035" xfId="28"/>
    <cellStyle name="0_SmartChart_B1200" xfId="29"/>
    <cellStyle name="0_SmartChart_C1035" xfId="30"/>
    <cellStyle name="0_SmartChart_O1200" xfId="31"/>
    <cellStyle name="0_Valuing BP " xfId="32"/>
    <cellStyle name="0_Valuing BP _RRST1" xfId="33"/>
    <cellStyle name="1,comma" xfId="34"/>
    <cellStyle name="752131" xfId="35"/>
    <cellStyle name="Acctg" xfId="36"/>
    <cellStyle name="AFE" xfId="37"/>
    <cellStyle name="ales" xfId="38"/>
    <cellStyle name="Band 2" xfId="39"/>
    <cellStyle name="bch" xfId="40"/>
    <cellStyle name="bci" xfId="41"/>
    <cellStyle name="Blue" xfId="42"/>
    <cellStyle name="Bold/Border" xfId="43"/>
    <cellStyle name="Bullet" xfId="44"/>
    <cellStyle name="c_HardInc " xfId="45"/>
    <cellStyle name="c_HardInc _RRST1" xfId="46"/>
    <cellStyle name="C05_Style E Text" xfId="47"/>
    <cellStyle name="cell" xfId="48"/>
    <cellStyle name="Cents" xfId="49"/>
    <cellStyle name="ch" xfId="50"/>
    <cellStyle name="Changeable" xfId="51"/>
    <cellStyle name="Colhead_left" xfId="52"/>
    <cellStyle name="ColumnHeadings" xfId="53"/>
    <cellStyle name="ColumnHeadings2" xfId="54"/>
    <cellStyle name="Comma" xfId="55" builtinId="3"/>
    <cellStyle name="Comma  - Style1" xfId="56"/>
    <cellStyle name="Comma  - Style2" xfId="57"/>
    <cellStyle name="Comma  - Style3" xfId="58"/>
    <cellStyle name="Comma  - Style4" xfId="59"/>
    <cellStyle name="Comma  - Style5" xfId="60"/>
    <cellStyle name="Comma  - Style6" xfId="61"/>
    <cellStyle name="Comma  - Style7" xfId="62"/>
    <cellStyle name="Comma  - Style8" xfId="63"/>
    <cellStyle name="Comma 10" xfId="64"/>
    <cellStyle name="Comma 2" xfId="65"/>
    <cellStyle name="Comma 2 2" xfId="66"/>
    <cellStyle name="Comma 2 2 2" xfId="67"/>
    <cellStyle name="Comma 3" xfId="68"/>
    <cellStyle name="Comma 3 2" xfId="69"/>
    <cellStyle name="Comma 3 3" xfId="70"/>
    <cellStyle name="Comma 70" xfId="71"/>
    <cellStyle name="Comma 71" xfId="72"/>
    <cellStyle name="Comment" xfId="73"/>
    <cellStyle name="CompanyName" xfId="74"/>
    <cellStyle name="Currency" xfId="75" builtinId="4"/>
    <cellStyle name="Currency 2" xfId="76"/>
    <cellStyle name="Currency 3" xfId="77"/>
    <cellStyle name="Currency 7" xfId="78"/>
    <cellStyle name="dah" xfId="79"/>
    <cellStyle name="dan" xfId="80"/>
    <cellStyle name="Dash" xfId="81"/>
    <cellStyle name="Date" xfId="82"/>
    <cellStyle name="Date2" xfId="83"/>
    <cellStyle name="Decimal" xfId="84"/>
    <cellStyle name="decimal 1" xfId="85"/>
    <cellStyle name="Decimal_SmartChart_B1035" xfId="86"/>
    <cellStyle name="Dollar" xfId="87"/>
    <cellStyle name="Dollars" xfId="88"/>
    <cellStyle name="Fail" xfId="89"/>
    <cellStyle name="FieldName" xfId="90"/>
    <cellStyle name="FiscalPeriod" xfId="91"/>
    <cellStyle name="Fixed" xfId="92"/>
    <cellStyle name="Footnote" xfId="93"/>
    <cellStyle name="G02 Table Text" xfId="94"/>
    <cellStyle name="G04_Main head" xfId="95"/>
    <cellStyle name="G05 Tab Head Bold" xfId="96"/>
    <cellStyle name="G05 Tab Head Light" xfId="97"/>
    <cellStyle name="Green" xfId="98"/>
    <cellStyle name="Grey" xfId="99"/>
    <cellStyle name="hard no" xfId="100"/>
    <cellStyle name="hardno" xfId="101"/>
    <cellStyle name="Header1" xfId="102"/>
    <cellStyle name="Header2" xfId="103"/>
    <cellStyle name="Hidden" xfId="104"/>
    <cellStyle name="Input [yellow]" xfId="105"/>
    <cellStyle name="InputBlueFont" xfId="106"/>
    <cellStyle name="Integer" xfId="107"/>
    <cellStyle name="KP_Normal" xfId="108"/>
    <cellStyle name="MetricLabel" xfId="109"/>
    <cellStyle name="MetricLabelBlue" xfId="110"/>
    <cellStyle name="MetricValue" xfId="111"/>
    <cellStyle name="MonthYears" xfId="112"/>
    <cellStyle name="no dec" xfId="113"/>
    <cellStyle name="Normal" xfId="0" builtinId="0"/>
    <cellStyle name="Normal - Style1" xfId="114"/>
    <cellStyle name="Normal 16" xfId="115"/>
    <cellStyle name="Normal 2" xfId="116"/>
    <cellStyle name="Normal 2 2" xfId="117"/>
    <cellStyle name="Normal 2 3" xfId="118"/>
    <cellStyle name="Normal 2 3 2" xfId="119"/>
    <cellStyle name="Normal 2 3 3" xfId="120"/>
    <cellStyle name="Normal 2 4" xfId="121"/>
    <cellStyle name="Normal 3" xfId="122"/>
    <cellStyle name="Normal 3 2" xfId="123"/>
    <cellStyle name="Normal 3 3" xfId="124"/>
    <cellStyle name="Normal 4" xfId="125"/>
    <cellStyle name="Normal 4 2" xfId="126"/>
    <cellStyle name="Normal 5" xfId="127"/>
    <cellStyle name="Normal 5 2" xfId="128"/>
    <cellStyle name="Normal 5 3" xfId="129"/>
    <cellStyle name="Normal 6" xfId="130"/>
    <cellStyle name="Normal 7" xfId="131"/>
    <cellStyle name="Normal 7 2" xfId="132"/>
    <cellStyle name="Normal 7 2 2" xfId="133"/>
    <cellStyle name="Normal 7 3" xfId="134"/>
    <cellStyle name="Normal 74" xfId="135"/>
    <cellStyle name="Normal 74 2" xfId="136"/>
    <cellStyle name="Normal 74 3" xfId="137"/>
    <cellStyle name="Normal 75" xfId="138"/>
    <cellStyle name="Normal 8" xfId="139"/>
    <cellStyle name="Normal Bold" xfId="140"/>
    <cellStyle name="Normal_DisclaimerSheet Samples" xfId="196"/>
    <cellStyle name="Normal_Income Statements" xfId="141"/>
    <cellStyle name="number" xfId="142"/>
    <cellStyle name="Œ…‹æØ‚è [0.00]_GE 3 MINIMUM" xfId="143"/>
    <cellStyle name="Œ…‹æØ‚è_GE 3 MINIMUM" xfId="144"/>
    <cellStyle name="Onedec_FT Valuation " xfId="145"/>
    <cellStyle name="orh" xfId="146"/>
    <cellStyle name="outh America" xfId="147"/>
    <cellStyle name="p " xfId="148"/>
    <cellStyle name="Pass" xfId="149"/>
    <cellStyle name="Percent" xfId="150" builtinId="5"/>
    <cellStyle name="Percent [2]" xfId="151"/>
    <cellStyle name="Percent 10" xfId="152"/>
    <cellStyle name="Percent 2" xfId="153"/>
    <cellStyle name="Percent 2 2" xfId="154"/>
    <cellStyle name="Percent 2 3" xfId="155"/>
    <cellStyle name="Percent 4" xfId="156"/>
    <cellStyle name="Percent 4 2" xfId="157"/>
    <cellStyle name="Percent 4 3" xfId="158"/>
    <cellStyle name="Percent 6" xfId="159"/>
    <cellStyle name="Percent 78" xfId="160"/>
    <cellStyle name="Percent 79" xfId="161"/>
    <cellStyle name="ProtectedDates" xfId="162"/>
    <cellStyle name="RED" xfId="163"/>
    <cellStyle name="Restruct" xfId="164"/>
    <cellStyle name="rh" xfId="165"/>
    <cellStyle name="Right" xfId="166"/>
    <cellStyle name="RRSInstruction" xfId="167"/>
    <cellStyle name="s_HardInc " xfId="168"/>
    <cellStyle name="s_HardInc _RRST1" xfId="169"/>
    <cellStyle name="s_Valuation " xfId="170"/>
    <cellStyle name="s_Valuation _RRST1" xfId="171"/>
    <cellStyle name="srh" xfId="172"/>
    <cellStyle name="ssp " xfId="173"/>
    <cellStyle name="Style 1" xfId="174"/>
    <cellStyle name="Style 2" xfId="175"/>
    <cellStyle name="Style 3" xfId="176"/>
    <cellStyle name="Style 4" xfId="177"/>
    <cellStyle name="Style 5" xfId="178"/>
    <cellStyle name="Style 6" xfId="179"/>
    <cellStyle name="Style 7" xfId="180"/>
    <cellStyle name="Style 8" xfId="181"/>
    <cellStyle name="Subtotal_left" xfId="182"/>
    <cellStyle name="textbold" xfId="183"/>
    <cellStyle name="title1" xfId="184"/>
    <cellStyle name="title2" xfId="185"/>
    <cellStyle name="Titles" xfId="186"/>
    <cellStyle name="Top Line" xfId="187"/>
    <cellStyle name="Totals" xfId="188"/>
    <cellStyle name="underline 1 decimal" xfId="189"/>
    <cellStyle name="UnProtectedCalc" xfId="190"/>
    <cellStyle name="Upload Only" xfId="191"/>
    <cellStyle name="Year" xfId="192"/>
    <cellStyle name="쬞\?1@" xfId="193"/>
    <cellStyle name="콤마 [0]_#3이설 견적_준공내역총괄표 " xfId="194"/>
    <cellStyle name="콤마_#3이설 견적_준공내역총괄표 " xfId="195"/>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3EC65"/>
      <rgbColor rgb="00F26163"/>
      <rgbColor rgb="00F9CF49"/>
      <rgbColor rgb="00B2122B"/>
      <rgbColor rgb="00238B45"/>
      <rgbColor rgb="001B4694"/>
      <rgbColor rgb="0041A95C"/>
      <rgbColor rgb="00800080"/>
      <rgbColor rgb="00FFF9D7"/>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CAEAC3"/>
      <rgbColor rgb="00EFC49F"/>
      <rgbColor rgb="00ACD7E4"/>
      <rgbColor rgb="0097D0DD"/>
      <rgbColor rgb="00A5D981"/>
      <rgbColor rgb="00F8CD14"/>
      <rgbColor rgb="00EACC80"/>
      <rgbColor rgb="00FC7114"/>
      <rgbColor rgb="004091BF"/>
      <rgbColor rgb="00969696"/>
      <rgbColor rgb="00003366"/>
      <rgbColor rgb="00EEA58E"/>
      <rgbColor rgb="0098B187"/>
      <rgbColor rgb="00125A31"/>
      <rgbColor rgb="00DDDDDD"/>
      <rgbColor rgb="00EBEBEB"/>
      <rgbColor rgb="00002978"/>
      <rgbColor rgb="00333333"/>
    </indexedColors>
    <mruColors>
      <color rgb="FF0000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12.9819</v>
        <stp/>
        <stp>5659d83d-0c14-41b5-8d3d-7d026b4216b9</stp>
        <tr r="K26" s="19"/>
      </tp>
      <tp>
        <v>0.93989999999999996</v>
        <stp/>
        <stp>253d30e0-806b-4ec3-b270-061184c1d2fd</stp>
        <tr r="M23" s="19"/>
      </tp>
      <tp>
        <v>19042.647000000001</v>
        <stp/>
        <stp>962d700b-4e64-42fe-883f-b871c4a77ab3</stp>
        <tr r="AB21" s="19"/>
      </tp>
      <tp>
        <v>10719.7</v>
        <stp/>
        <stp>f7f59d01-abb3-4796-bd6b-588368a6e8d2</stp>
        <tr r="X21" s="19"/>
      </tp>
      <tp>
        <v>7146.34</v>
        <stp/>
        <stp>693c268b-2126-4276-9d85-767e39c9666f</stp>
        <tr r="AB24" s="19"/>
      </tp>
      <tp>
        <v>0.96858100000000003</v>
        <stp/>
        <stp>6e2156f3-0073-4664-9475-3cf2b8d0a03c</stp>
        <tr r="J23" s="19"/>
      </tp>
      <tp>
        <v>5152.46</v>
        <stp/>
        <stp>04271385-8898-4a66-a00a-ff6f3543fac3</stp>
        <tr r="T21" s="19"/>
      </tp>
      <tp>
        <v>4095.27</v>
        <stp/>
        <stp>ebe64cca-a570-46bd-a136-5a97b8ab3b45</stp>
        <tr r="X24" s="19"/>
      </tp>
      <tp>
        <v>12565</v>
        <stp/>
        <stp>57202704-9d42-4a94-af2c-21a5e69e44de</stp>
        <tr r="Y21" s="19"/>
      </tp>
      <tp>
        <v>2550.7339999999999</v>
        <stp/>
        <stp>e84b5bd7-939c-4eb9-9f46-b1aee3652a76</stp>
        <tr r="T24" s="19"/>
      </tp>
      <tp>
        <v>10.656000000000001</v>
        <stp/>
        <stp>e0484de1-1da1-4a54-bbf2-c993faed7bca</stp>
        <tr r="R26" s="19"/>
      </tp>
      <tp>
        <v>2151.5100000000002</v>
        <stp/>
        <stp>bab14d79-ebc0-4a24-a14c-e0ac28516fc9</stp>
        <tr r="O24" s="19"/>
      </tp>
      <tp>
        <v>12.693899999999999</v>
        <stp/>
        <stp>80dbc8ed-a2f3-4717-aca0-e2c5a5daf6e1</stp>
        <tr r="I26" s="19"/>
      </tp>
      <tp>
        <v>0.93505899999999997</v>
        <stp/>
        <stp>48b730a3-cdd9-4fb9-b82d-3c7728eb35cf</stp>
        <tr r="H23" s="19"/>
      </tp>
      <tp>
        <v>9.6549300000000002</v>
        <stp/>
        <stp>8da09046-55ff-4479-aa5b-ec9300325082</stp>
        <tr r="H26" s="19"/>
      </tp>
      <tp>
        <v>2985.44</v>
        <stp/>
        <stp>3d3f08fd-8c11-4d09-adfe-6fa4029a8a36</stp>
        <tr r="N21" s="19"/>
      </tp>
      <tp>
        <v>1521.61</v>
        <stp/>
        <stp>904116df-e43a-4bd9-9607-87d2a0327c8e</stp>
        <tr r="E24" s="19"/>
      </tp>
      <tp>
        <v>3616.8</v>
        <stp/>
        <stp>0b00c926-6658-4a79-8c1d-b9284d13f758</stp>
        <tr r="J21" s="19"/>
      </tp>
      <tp>
        <v>34.25</v>
        <stp/>
        <stp>e369a1fd-a0cc-44ca-b4ae-c3095f5c39fc</stp>
        <tr r="O26" s="19"/>
      </tp>
      <tp>
        <v>3281.4290000000001</v>
        <stp/>
        <stp>981b9743-c5bd-4e51-ae74-1e96b190e16d</stp>
        <tr r="U21" s="19"/>
      </tp>
      <tp>
        <v>2322.48</v>
        <stp/>
        <stp>56be8a83-c207-479c-87ee-76732572e1f2</stp>
        <tr r="K21" s="19"/>
      </tp>
      <tp>
        <v>1955.99</v>
        <stp/>
        <stp>f96e00b3-9eff-49fe-92a5-d6a07a642c91</stp>
        <tr r="F21" s="19"/>
      </tp>
      <tp>
        <v>8.8606099999999994</v>
        <stp/>
        <stp>24ee0476-5c71-4985-86b1-e55775870bb2</stp>
        <tr r="M26" s="19"/>
      </tp>
      <tp>
        <v>24.2302</v>
        <stp/>
        <stp>e9f52335-1e4e-439b-bbba-d91b03568182</stp>
        <tr r="E26" s="19"/>
      </tp>
      <tp>
        <v>775.23500000000001</v>
        <stp/>
        <stp>74ece001-d4c6-435e-830a-38354985258e</stp>
        <tr r="D24" s="19"/>
      </tp>
      <tp>
        <v>11.9816</v>
        <stp/>
        <stp>0fabf5b1-e66a-483c-8ce0-0b371078ac83</stp>
        <tr r="D26" s="19"/>
      </tp>
      <tp>
        <v>99.676000000000002</v>
        <stp/>
        <stp>e37f632f-3592-43ad-b0ec-dfe7cf1a7394</stp>
        <tr r="AA26" s="19"/>
      </tp>
      <tp>
        <v>16839.78</v>
        <stp/>
        <stp>91fd51bc-4820-4364-8221-5e811f0363a8</stp>
        <tr r="AA21" s="19"/>
      </tp>
      <tp>
        <v>2265.52</v>
        <stp/>
        <stp>19f75d00-8430-441d-a55f-1dcd26676ded</stp>
        <tr r="D21" s="19"/>
      </tp>
      <tp>
        <v>1251.2460000000001</v>
        <stp/>
        <stp>1ec4188f-1a39-4622-ae86-9aa15d15aabd</stp>
        <tr r="U24" s="19"/>
      </tp>
      <tp>
        <v>7.7185199999999998</v>
        <stp/>
        <stp>a5ae06af-8c6c-4a44-a603-f99c16898303</stp>
        <tr r="C26" s="19"/>
      </tp>
      <tp>
        <v>1798.69</v>
        <stp/>
        <stp>e33d97e3-a2dd-4a41-a4a8-ddcd8cfb9106</stp>
        <tr r="C21" s="19"/>
      </tp>
      <tp>
        <v>512.92700000000002</v>
        <stp/>
        <stp>1d59b1d4-6500-4da8-8c37-5b0ab8d906d2</stp>
        <tr r="C24" s="19"/>
      </tp>
      <tp>
        <v>0.98850000000000005</v>
        <stp/>
        <stp>f88f2f3a-dbb3-4d32-b8cb-458b9c85b8e5</stp>
        <tr r="AB23" s="19"/>
      </tp>
      <tp>
        <v>0.98850000000000005</v>
        <stp/>
        <stp>4be3cd3a-fc3c-4ee1-9af3-fa739c9d40f4</stp>
        <tr r="AA23" s="19"/>
      </tp>
      <tp>
        <v>0.98860000000000003</v>
        <stp/>
        <stp>dfb6c363-4264-42e7-815e-c625aa6482db</stp>
        <tr r="T23" s="19"/>
      </tp>
      <tp>
        <v>5638.5540000000001</v>
        <stp/>
        <stp>1424a3aa-2270-416b-9c2e-7b82640d25d6</stp>
        <tr r="Z24" s="19"/>
      </tp>
      <tp>
        <v>14.1181</v>
        <stp/>
        <stp>6e841369-2744-488f-aef8-f32870f33a80</stp>
        <tr r="P26" s="19"/>
      </tp>
      <tp>
        <v>64.672499999999999</v>
        <stp/>
        <stp>1e1435b3-6d59-4717-aacd-ad5aeca9c351</stp>
        <tr r="X26" s="19"/>
      </tp>
      <tp>
        <v>1822.11</v>
        <stp/>
        <stp>1bc1ea4b-a0a1-49aa-875a-8b38e6e6ee99</stp>
        <tr r="J24" s="19"/>
      </tp>
      <tp>
        <v>16.678000000000001</v>
        <stp/>
        <stp>f62a72d8-36f1-4d4a-b8b4-7397fe12fe47</stp>
        <tr r="S26" s="19"/>
      </tp>
      <tp>
        <v>29.916599999999999</v>
        <stp/>
        <stp>ccaf715d-87d0-4b69-850e-3a4aed3c1a00</stp>
        <tr r="J26" s="19"/>
      </tp>
      <tp>
        <v>0.98417900000000003</v>
        <stp/>
        <stp>4fce4ea5-6bc4-465b-a424-3c0ab957d8dd</stp>
        <tr r="O23" s="19"/>
      </tp>
      <tp>
        <v>6387.2730000000001</v>
        <stp/>
        <stp>492b52ea-af00-45b8-95d2-ad18c1422d3e</stp>
        <tr r="AA24" s="19"/>
      </tp>
      <tp>
        <v>87.037000000000006</v>
        <stp/>
        <stp>2758018f-bece-4408-bcf6-12cc45cfae99</stp>
        <tr r="Z26" s="19"/>
      </tp>
      <tp>
        <v>2866.7040000000002</v>
        <stp/>
        <stp>d675541d-81c4-4455-b2b2-4bccb1dbff91</stp>
        <tr r="R21" s="19"/>
      </tp>
      <tp>
        <v>40.152999999999999</v>
        <stp/>
        <stp>60ad4441-e967-4317-b10e-81ff99b8762d</stp>
        <tr r="T26" s="19"/>
      </tp>
      <tp>
        <v>2583.9299999999998</v>
        <stp/>
        <stp>cfaab3bd-56c2-4259-b171-94ae53aa619e</stp>
        <tr r="I21" s="19"/>
      </tp>
      <tp>
        <v>3514.1239999999998</v>
        <stp/>
        <stp>b3783721-b2bf-4fe8-9d29-27d7106423ab</stp>
        <tr r="S21" s="19"/>
      </tp>
      <tp>
        <v>113.47799999999999</v>
        <stp/>
        <stp>5283c447-b69b-4a1b-9694-173f7db185a4</stp>
        <tr r="AB26" s="19"/>
      </tp>
      <tp>
        <v>2703.12</v>
        <stp/>
        <stp>64ebf1c9-bb5b-48d5-b194-43f1a180f30e</stp>
        <tr r="P21" s="19"/>
      </tp>
      <tp>
        <v>74.453400000000002</v>
        <stp/>
        <stp>86830c3f-7f91-4b46-a936-39039a4b1b91</stp>
        <tr r="Y26" s="19"/>
      </tp>
      <tp>
        <v>620.58500000000004</v>
        <stp/>
        <stp>8ef420f1-a4b2-4438-b6eb-3043518be535</stp>
        <tr r="H24" s="19"/>
      </tp>
      <tp>
        <v>0.968113</v>
        <stp/>
        <stp>ff2e49d8-1da9-4d5d-aab7-44269c58da10</stp>
        <tr r="N23" s="19"/>
      </tp>
      <tp>
        <v>817.60299999999995</v>
        <stp/>
        <stp>568035d1-19d7-4486-a390-e76aea0075b1</stp>
        <tr r="K24" s="19"/>
      </tp>
      <tp>
        <v>18.983000000000001</v>
        <stp/>
        <stp>5f57482a-0bcf-4f45-806c-4191b5a287ab</stp>
        <tr r="U26" s="19"/>
      </tp>
      <tp>
        <v>2122.58</v>
        <stp/>
        <stp>da9d0785-ad5b-4d46-b8c3-e8b0517814f8</stp>
        <tr r="H21" s="19"/>
      </tp>
      <tp>
        <v>0.89209400000000005</v>
        <stp/>
        <stp>33ebf480-d018-49ed-a548-3922af997311</stp>
        <tr r="K23" s="19"/>
      </tp>
      <tp>
        <v>11.7997</v>
        <stp/>
        <stp>89e393fd-03a2-40a5-85f8-2cf690590e5f</stp>
        <tr r="F26" s="19"/>
      </tp>
      <tp>
        <v>0.9889</v>
        <stp/>
        <stp>36a5f1d9-fa37-49c8-8e3e-6287affc0adf</stp>
        <tr r="S23" s="19"/>
      </tp>
      <tp>
        <v>1105.3900000000001</v>
        <stp/>
        <stp>0fafe68d-f60f-4414-82e8-1077d1dfd60b</stp>
        <tr r="S24" s="19"/>
      </tp>
      <tp>
        <v>4735.72</v>
        <stp/>
        <stp>c6ee85ba-d272-4455-a8e6-4e7d2ca1cc31</stp>
        <tr r="Y24" s="19"/>
      </tp>
      <tp>
        <v>4338.53</v>
        <stp/>
        <stp>1303748b-45b8-413c-b0dd-11908dd5b2c5</stp>
        <tr r="O21" s="19"/>
      </tp>
      <tp>
        <v>0.93722000000000005</v>
        <stp/>
        <stp>e1fd3ef7-5302-4fad-86d5-0b119c60d32a</stp>
        <tr r="I23" s="19"/>
      </tp>
      <tp>
        <v>0.98095600000000005</v>
        <stp/>
        <stp>c4ad400a-d81b-4325-bfa9-3abf227d543d</stp>
        <tr r="P23" s="19"/>
      </tp>
      <tp>
        <v>0.98919999999999997</v>
        <stp/>
        <stp>807e1150-f3f1-4444-bd27-9589d68d610a</stp>
        <tr r="U23" s="19"/>
      </tp>
      <tp>
        <v>926.70100000000002</v>
        <stp/>
        <stp>9d81638d-b02b-42ad-b427-79da9819d628</stp>
        <tr r="N24" s="19"/>
      </tp>
      <tp>
        <v>929.53599999999994</v>
        <stp/>
        <stp>f4b60257-c71e-434f-a94f-4bb5960157d9</stp>
        <tr r="P24" s="19"/>
      </tp>
      <tp>
        <v>14.197800000000001</v>
        <stp/>
        <stp>5778996f-a39b-465f-b4b3-098fa102375d</stp>
        <tr r="N26" s="19"/>
      </tp>
      <tp>
        <v>750.91899999999998</v>
        <stp/>
        <stp>232753e4-5513-4376-b14a-0eda271c0023</stp>
        <tr r="F24" s="19"/>
      </tp>
      <tp>
        <v>607.053</v>
        <stp/>
        <stp>8e5578a2-94c7-4459-89ea-c733bb93c8f7</stp>
        <tr r="M24" s="19"/>
      </tp>
      <tp>
        <v>3053.27</v>
        <stp/>
        <stp>60c3c50b-415b-4038-80a4-550b99418238</stp>
        <tr r="E21" s="19"/>
      </tp>
      <tp>
        <v>727.25099999999998</v>
        <stp/>
        <stp>add70a85-126e-4687-bb6d-24664fb8f119</stp>
        <tr r="R24" s="19"/>
      </tp>
      <tp>
        <v>0.98480000000000001</v>
        <stp/>
        <stp>724260ce-0320-4d1f-945a-bef6a7418ea8</stp>
        <tr r="R23" s="19"/>
      </tp>
      <tp>
        <v>806.38900000000001</v>
        <stp/>
        <stp>49e516e8-34d0-4b19-9fa1-5729a5da21cc</stp>
        <tr r="I24" s="19"/>
      </tp>
      <tp>
        <v>2443.4899999999998</v>
        <stp/>
        <stp>4a8ab4f5-a152-421b-9a00-1ade12874b57</stp>
        <tr r="M21" s="19"/>
      </tp>
      <tp>
        <v>14814.717000000001</v>
        <stp/>
        <stp>946f630d-44b0-4d51-8549-2c9d56ee24c1</stp>
        <tr r="Z21" s="19"/>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externalLinks/externalLink1.xml" Type="http://schemas.openxmlformats.org/officeDocument/2006/relationships/externalLink"/>
<Relationship Id="rId14" Target="externalLinks/externalLink2.xml" Type="http://schemas.openxmlformats.org/officeDocument/2006/relationships/externalLink"/>
<Relationship Id="rId15" Target="externalLinks/externalLink3.xml" Type="http://schemas.openxmlformats.org/officeDocument/2006/relationships/externalLink"/>
<Relationship Id="rId16" Target="externalLinks/externalLink4.xml" Type="http://schemas.openxmlformats.org/officeDocument/2006/relationships/externalLink"/>
<Relationship Id="rId17" Target="theme/theme1.xml" Type="http://schemas.openxmlformats.org/officeDocument/2006/relationships/theme"/>
<Relationship Id="rId18" Target="styles.xml" Type="http://schemas.openxmlformats.org/officeDocument/2006/relationships/styles"/>
<Relationship Id="rId19" Target="sharedStrings.xml" Type="http://schemas.openxmlformats.org/officeDocument/2006/relationships/sharedStrings"/>
<Relationship Id="rId2" Target="worksheets/sheet2.xml" Type="http://schemas.openxmlformats.org/officeDocument/2006/relationships/worksheet"/>
<Relationship Id="rId20" Target="calcChain.xml" Type="http://schemas.openxmlformats.org/officeDocument/2006/relationships/calcChain"/>
<Relationship Id="rId21" Target="../customXml/item1.xml" Type="http://schemas.openxmlformats.org/officeDocument/2006/relationships/customXml"/>
<Relationship Id="rId22" Target="../customXml/item2.xml" Type="http://schemas.openxmlformats.org/officeDocument/2006/relationships/customXml"/>
<Relationship Id="rId23" Target="volatileDependencies.xml" Type="http://schemas.openxmlformats.org/officeDocument/2006/relationships/volatileDependencies"/>
<Relationship Id="rId24"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320" b="0" i="0" u="none" strike="noStrike" baseline="0">
                <a:solidFill>
                  <a:srgbClr val="333333"/>
                </a:solidFill>
                <a:latin typeface="Arial"/>
                <a:ea typeface="Arial"/>
                <a:cs typeface="Arial"/>
              </a:defRPr>
            </a:pPr>
            <a:r>
              <a:rPr lang="en-US"/>
              <a:t>Morgan Stanley Research vs Consensus Estimates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2.0410753937546611E-3"/>
          <c:y val="0.10551786326031572"/>
          <c:w val="0.98642691219380463"/>
          <c:h val="0.77461569054240254"/>
        </c:manualLayout>
      </c:layout>
      <c:barChart>
        <c:barDir val="col"/>
        <c:grouping val="clustered"/>
        <c:varyColors val="0"/>
        <c:ser>
          <c:idx val="0"/>
          <c:order val="0"/>
          <c:tx>
            <c:strRef>
              <c:f>'MS v Con'!$B$31</c:f>
              <c:strCache>
                <c:ptCount val="1"/>
                <c:pt idx="0">
                  <c:v>Gross Profit </c:v>
                </c:pt>
              </c:strCache>
            </c:strRef>
          </c:tx>
          <c:spPr>
            <a:solidFill>
              <a:srgbClr val="137CB1"/>
            </a:solidFill>
            <a:ln w="25400">
              <a:noFill/>
            </a:ln>
          </c:spPr>
          <c:invertIfNegative val="0"/>
          <c:dLbls>
            <c:numFmt formatCode="0%" sourceLinked="0"/>
            <c:spPr>
              <a:noFill/>
              <a:ln w="25400">
                <a:noFill/>
              </a:ln>
            </c:spPr>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multiLvlStrRef>
              <c:f>('MS v Con'!$H$28:$L$28,'MS v Con'!$X$28:$Y$28)</c:f>
            </c:multiLvlStrRef>
          </c:cat>
          <c:val>
            <c:numRef>
              <c:f>('MS v Con'!$H$31:$L$31,'MS v Con'!$X$31:$Y$31)</c:f>
            </c:numRef>
          </c:val>
        </c:ser>
        <c:ser>
          <c:idx val="4"/>
          <c:order val="1"/>
          <c:tx>
            <c:strRef>
              <c:f>'MS v Con'!$B$33</c:f>
              <c:strCache>
                <c:ptCount val="1"/>
                <c:pt idx="0">
                  <c:v>Adj. EBITDA</c:v>
                </c:pt>
              </c:strCache>
            </c:strRef>
          </c:tx>
          <c:spPr>
            <a:solidFill>
              <a:srgbClr val="EACC80"/>
            </a:solidFill>
            <a:ln w="25400">
              <a:noFill/>
            </a:ln>
          </c:spPr>
          <c:invertIfNegative val="0"/>
          <c:dLbls>
            <c:numFmt formatCode="0%" sourceLinked="0"/>
            <c:spPr>
              <a:noFill/>
              <a:ln w="25400">
                <a:noFill/>
              </a:ln>
            </c:spPr>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multiLvlStrRef>
              <c:f>('MS v Con'!$H$28:$L$28,'MS v Con'!$X$28:$Y$28)</c:f>
            </c:multiLvlStrRef>
          </c:cat>
          <c:val>
            <c:numRef>
              <c:f>('MS v Con'!$H$33:$L$33,'MS v Con'!$X$33:$Y$33)</c:f>
            </c:numRef>
          </c:val>
        </c:ser>
        <c:ser>
          <c:idx val="6"/>
          <c:order val="2"/>
          <c:tx>
            <c:strRef>
              <c:f>'MS v Con'!$B$35</c:f>
              <c:strCache>
                <c:ptCount val="1"/>
                <c:pt idx="0">
                  <c:v>Adj. EPS</c:v>
                </c:pt>
              </c:strCache>
            </c:strRef>
          </c:tx>
          <c:spPr>
            <a:solidFill>
              <a:srgbClr val="4AAC6B"/>
            </a:solidFill>
            <a:ln w="25400">
              <a:noFill/>
            </a:ln>
          </c:spPr>
          <c:invertIfNegative val="0"/>
          <c:dLbls>
            <c:numFmt formatCode="0%" sourceLinked="0"/>
            <c:spPr>
              <a:noFill/>
              <a:ln w="25400">
                <a:noFill/>
              </a:ln>
            </c:spPr>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multiLvlStrRef>
              <c:f>('MS v Con'!$H$28:$L$28,'MS v Con'!$X$28:$Y$28)</c:f>
            </c:multiLvlStrRef>
          </c:cat>
          <c:val>
            <c:numRef>
              <c:f>('MS v Con'!$H$35:$L$35,'MS v Con'!$X$35:$Y$35)</c:f>
            </c:numRef>
          </c:val>
        </c:ser>
        <c:dLbls>
          <c:showLegendKey val="0"/>
          <c:showVal val="0"/>
          <c:showCatName val="0"/>
          <c:showSerName val="0"/>
          <c:showPercent val="0"/>
          <c:showBubbleSize val="0"/>
        </c:dLbls>
        <c:gapWidth val="60"/>
        <c:axId val="621895680"/>
        <c:axId val="621897216"/>
      </c:barChart>
      <c:catAx>
        <c:axId val="621895680"/>
        <c:scaling>
          <c:orientation val="minMax"/>
        </c:scaling>
        <c:delete val="0"/>
        <c:axPos val="b"/>
        <c:numFmt formatCode="General" sourceLinked="1"/>
        <c:majorTickMark val="none"/>
        <c:minorTickMark val="none"/>
        <c:tickLblPos val="low"/>
        <c:spPr>
          <a:ln w="12700">
            <a:solidFill>
              <a:srgbClr val="808080"/>
            </a:solidFill>
            <a:prstDash val="solid"/>
          </a:ln>
        </c:spPr>
        <c:txPr>
          <a:bodyPr rot="0" vert="horz"/>
          <a:lstStyle/>
          <a:p>
            <a:pPr>
              <a:defRPr sz="1100" b="0" i="0" u="none" strike="noStrike" baseline="0">
                <a:solidFill>
                  <a:srgbClr val="333333"/>
                </a:solidFill>
                <a:latin typeface="Arial"/>
                <a:ea typeface="Arial"/>
                <a:cs typeface="Arial"/>
              </a:defRPr>
            </a:pPr>
            <a:endParaRPr lang="en-US"/>
          </a:p>
        </c:txPr>
        <c:crossAx val="621897216"/>
        <c:crosses val="autoZero"/>
        <c:auto val="1"/>
        <c:lblAlgn val="ctr"/>
        <c:lblOffset val="100"/>
        <c:tickLblSkip val="1"/>
        <c:tickMarkSkip val="1"/>
        <c:noMultiLvlLbl val="0"/>
      </c:catAx>
      <c:valAx>
        <c:axId val="621897216"/>
        <c:scaling>
          <c:orientation val="minMax"/>
        </c:scaling>
        <c:delete val="0"/>
        <c:axPos val="l"/>
        <c:numFmt formatCode="0.0%" sourceLinked="1"/>
        <c:majorTickMark val="none"/>
        <c:minorTickMark val="none"/>
        <c:tickLblPos val="nextTo"/>
        <c:spPr>
          <a:ln w="9525">
            <a:noFill/>
          </a:ln>
        </c:spPr>
        <c:txPr>
          <a:bodyPr rot="0" vert="horz"/>
          <a:lstStyle/>
          <a:p>
            <a:pPr>
              <a:defRPr sz="1100" b="0" i="0" u="none" strike="noStrike" baseline="0">
                <a:solidFill>
                  <a:srgbClr val="333333"/>
                </a:solidFill>
                <a:latin typeface="Arial"/>
                <a:ea typeface="Arial"/>
                <a:cs typeface="Arial"/>
              </a:defRPr>
            </a:pPr>
            <a:endParaRPr lang="en-US"/>
          </a:p>
        </c:txPr>
        <c:crossAx val="621895680"/>
        <c:crosses val="autoZero"/>
        <c:crossBetween val="between"/>
      </c:valAx>
      <c:spPr>
        <a:noFill/>
        <a:ln w="25400">
          <a:noFill/>
        </a:ln>
      </c:spPr>
    </c:plotArea>
    <c:legend>
      <c:legendPos val="r"/>
      <c:layout>
        <c:manualLayout>
          <c:xMode val="edge"/>
          <c:yMode val="edge"/>
          <c:x val="0.11053561408272243"/>
          <c:y val="0.9063386521129303"/>
          <c:w val="0.84110688750113138"/>
          <c:h val="6.8870835589995738E-2"/>
        </c:manualLayout>
      </c:layout>
      <c:overlay val="0"/>
      <c:spPr>
        <a:noFill/>
        <a:ln w="25400">
          <a:noFill/>
        </a:ln>
        <a:extLst>
          <a:ext uri="{909E8E84-426E-40DD-AFC4-6F175D3DCCD1}">
            <a14:hiddenFill xmlns:a14="http://schemas.microsoft.com/office/drawing/2010/main">
              <a:noFill/>
            </a14:hiddenFill>
          </a:ext>
        </a:extLst>
      </c:spPr>
      <c:txPr>
        <a:bodyPr/>
        <a:lstStyle/>
        <a:p>
          <a:pPr>
            <a:defRPr sz="105"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100" b="0" i="0" u="none" strike="noStrike" baseline="0">
          <a:solidFill>
            <a:srgbClr val="333333"/>
          </a:solidFill>
          <a:latin typeface="Arial"/>
          <a:ea typeface="Arial"/>
          <a:cs typeface="Aria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320" b="0" i="0" u="none" strike="noStrike" baseline="0">
                <a:solidFill>
                  <a:srgbClr val="333333"/>
                </a:solidFill>
                <a:latin typeface="Arial"/>
                <a:ea typeface="Arial"/>
                <a:cs typeface="Arial"/>
              </a:defRPr>
            </a:pPr>
            <a:r>
              <a:rPr lang="en-US"/>
              <a:t>Morgan Stanley Research vs Consensus Estimates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2.0410753937546611E-3"/>
          <c:y val="0.10551786326031572"/>
          <c:w val="0.98642691219380463"/>
          <c:h val="0.77461569054240254"/>
        </c:manualLayout>
      </c:layout>
      <c:barChart>
        <c:barDir val="col"/>
        <c:grouping val="clustered"/>
        <c:varyColors val="0"/>
        <c:ser>
          <c:idx val="0"/>
          <c:order val="0"/>
          <c:tx>
            <c:strRef>
              <c:f>'MS v Con'!$B$31</c:f>
              <c:strCache>
                <c:ptCount val="1"/>
                <c:pt idx="0">
                  <c:v>Gross Profit </c:v>
                </c:pt>
              </c:strCache>
            </c:strRef>
          </c:tx>
          <c:spPr>
            <a:solidFill>
              <a:srgbClr val="137CB1"/>
            </a:solidFill>
            <a:ln w="25400">
              <a:noFill/>
            </a:ln>
          </c:spPr>
          <c:invertIfNegative val="0"/>
          <c:dLbls>
            <c:numFmt formatCode="0%" sourceLinked="0"/>
            <c:spPr>
              <a:noFill/>
              <a:ln w="25400">
                <a:noFill/>
              </a:ln>
            </c:spPr>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'MS v Con'!$Y$28:$AA$28</c:f>
              <c:strCache>
                <c:ptCount val="2"/>
                <c:pt idx="0">
                  <c:v>2018</c:v>
                </c:pt>
                <c:pt idx="1">
                  <c:v>2019</c:v>
                </c:pt>
              </c:strCache>
            </c:strRef>
          </c:cat>
          <c:val>
            <c:numRef>
              <c:f>'MS v Con'!$Y$31:$AA$31</c:f>
              <c:numCache>
                <c:formatCode>0.0%</c:formatCode>
                <c:ptCount val="2"/>
                <c:pt idx="0">
                  <c:v>7.0988137587921774E-3</c:v>
                </c:pt>
                <c:pt idx="1">
                  <c:v>8.610968746305625E-3</c:v>
                </c:pt>
              </c:numCache>
            </c:numRef>
          </c:val>
        </c:ser>
        <c:ser>
          <c:idx val="4"/>
          <c:order val="1"/>
          <c:tx>
            <c:strRef>
              <c:f>'MS v Con'!$B$33</c:f>
              <c:strCache>
                <c:ptCount val="1"/>
                <c:pt idx="0">
                  <c:v>Adj. EBITDA</c:v>
                </c:pt>
              </c:strCache>
            </c:strRef>
          </c:tx>
          <c:spPr>
            <a:solidFill>
              <a:srgbClr val="EACC80"/>
            </a:solidFill>
            <a:ln w="25400">
              <a:noFill/>
            </a:ln>
          </c:spPr>
          <c:invertIfNegative val="0"/>
          <c:dLbls>
            <c:numFmt formatCode="0%" sourceLinked="0"/>
            <c:spPr>
              <a:noFill/>
              <a:ln w="25400">
                <a:noFill/>
              </a:ln>
            </c:spPr>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'MS v Con'!$Y$28:$AA$28</c:f>
              <c:strCache>
                <c:ptCount val="2"/>
                <c:pt idx="0">
                  <c:v>2018</c:v>
                </c:pt>
                <c:pt idx="1">
                  <c:v>2019</c:v>
                </c:pt>
              </c:strCache>
            </c:strRef>
          </c:cat>
          <c:val>
            <c:numRef>
              <c:f>'MS v Con'!$Y$33:$AA$33</c:f>
              <c:numCache>
                <c:formatCode>0.0%</c:formatCode>
                <c:ptCount val="2"/>
                <c:pt idx="0">
                  <c:v>5.0565323825124242E-2</c:v>
                </c:pt>
                <c:pt idx="1">
                  <c:v>6.4505375071439719E-2</c:v>
                </c:pt>
              </c:numCache>
            </c:numRef>
          </c:val>
        </c:ser>
        <c:ser>
          <c:idx val="6"/>
          <c:order val="2"/>
          <c:tx>
            <c:strRef>
              <c:f>'MS v Con'!$B$35</c:f>
              <c:strCache>
                <c:ptCount val="1"/>
                <c:pt idx="0">
                  <c:v>Adj. EPS</c:v>
                </c:pt>
              </c:strCache>
            </c:strRef>
          </c:tx>
          <c:spPr>
            <a:solidFill>
              <a:srgbClr val="4AAC6B"/>
            </a:solidFill>
            <a:ln w="25400">
              <a:noFill/>
            </a:ln>
          </c:spPr>
          <c:invertIfNegative val="0"/>
          <c:dLbls>
            <c:numFmt formatCode="0%" sourceLinked="0"/>
            <c:spPr>
              <a:noFill/>
              <a:ln w="25400">
                <a:noFill/>
              </a:ln>
            </c:spPr>
            <c:txPr>
              <a:bodyPr/>
              <a:lstStyle/>
              <a:p>
                <a:pPr>
                  <a:defRPr sz="11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'MS v Con'!$Y$28:$AA$28</c:f>
              <c:strCache>
                <c:ptCount val="2"/>
                <c:pt idx="0">
                  <c:v>2018</c:v>
                </c:pt>
                <c:pt idx="1">
                  <c:v>2019</c:v>
                </c:pt>
              </c:strCache>
            </c:strRef>
          </c:cat>
          <c:val>
            <c:numRef>
              <c:f>'MS v Con'!$Y$35:$AA$35</c:f>
              <c:numCache>
                <c:formatCode>0.0%</c:formatCode>
                <c:ptCount val="2"/>
                <c:pt idx="0">
                  <c:v>5.8058015153690912E-2</c:v>
                </c:pt>
                <c:pt idx="1">
                  <c:v>9.4264190231239553E-2</c:v>
                </c:pt>
              </c:numCache>
            </c:numRef>
          </c:val>
        </c:ser>
        <c:dLbls>
          <c:showLegendKey val="0"/>
          <c:showVal val="0"/>
          <c:showCatName val="0"/>
          <c:showSerName val="0"/>
          <c:showPercent val="0"/>
          <c:showBubbleSize val="0"/>
        </c:dLbls>
        <c:gapWidth val="60"/>
        <c:axId val="49557888"/>
        <c:axId val="49559424"/>
      </c:barChart>
      <c:catAx>
        <c:axId val="49557888"/>
        <c:scaling>
          <c:orientation val="minMax"/>
        </c:scaling>
        <c:delete val="0"/>
        <c:axPos val="b"/>
        <c:numFmt formatCode="m/d/yyyy" sourceLinked="1"/>
        <c:majorTickMark val="none"/>
        <c:minorTickMark val="none"/>
        <c:tickLblPos val="low"/>
        <c:spPr>
          <a:ln w="12700">
            <a:solidFill>
              <a:srgbClr val="808080"/>
            </a:solidFill>
            <a:prstDash val="solid"/>
          </a:ln>
        </c:spPr>
        <c:txPr>
          <a:bodyPr rot="0" vert="horz"/>
          <a:lstStyle/>
          <a:p>
            <a:pPr>
              <a:defRPr sz="1100" b="0" i="0" u="none" strike="noStrike" baseline="0">
                <a:solidFill>
                  <a:srgbClr val="333333"/>
                </a:solidFill>
                <a:latin typeface="Arial"/>
                <a:ea typeface="Arial"/>
                <a:cs typeface="Arial"/>
              </a:defRPr>
            </a:pPr>
            <a:endParaRPr lang="en-US"/>
          </a:p>
        </c:txPr>
        <c:crossAx val="49559424"/>
        <c:crosses val="autoZero"/>
        <c:auto val="1"/>
        <c:lblAlgn val="ctr"/>
        <c:lblOffset val="100"/>
        <c:tickLblSkip val="1"/>
        <c:tickMarkSkip val="1"/>
        <c:noMultiLvlLbl val="0"/>
      </c:catAx>
      <c:valAx>
        <c:axId val="49559424"/>
        <c:scaling>
          <c:orientation val="minMax"/>
        </c:scaling>
        <c:delete val="0"/>
        <c:axPos val="l"/>
        <c:numFmt formatCode="0.0%" sourceLinked="1"/>
        <c:majorTickMark val="none"/>
        <c:minorTickMark val="none"/>
        <c:tickLblPos val="nextTo"/>
        <c:spPr>
          <a:ln w="9525">
            <a:noFill/>
          </a:ln>
        </c:spPr>
        <c:txPr>
          <a:bodyPr rot="0" vert="horz"/>
          <a:lstStyle/>
          <a:p>
            <a:pPr>
              <a:defRPr sz="1100" b="0" i="0" u="none" strike="noStrike" baseline="0">
                <a:solidFill>
                  <a:srgbClr val="333333"/>
                </a:solidFill>
                <a:latin typeface="Arial"/>
                <a:ea typeface="Arial"/>
                <a:cs typeface="Arial"/>
              </a:defRPr>
            </a:pPr>
            <a:endParaRPr lang="en-US"/>
          </a:p>
        </c:txPr>
        <c:crossAx val="49557888"/>
        <c:crosses val="autoZero"/>
        <c:crossBetween val="between"/>
      </c:valAx>
      <c:spPr>
        <a:noFill/>
        <a:ln w="25400">
          <a:noFill/>
        </a:ln>
      </c:spPr>
    </c:plotArea>
    <c:legend>
      <c:legendPos val="r"/>
      <c:layout>
        <c:manualLayout>
          <c:xMode val="edge"/>
          <c:yMode val="edge"/>
          <c:x val="0.11053558719667812"/>
          <c:y val="0.90633844453653822"/>
          <c:w val="0.84110680465459953"/>
          <c:h val="6.8870838513606869E-2"/>
        </c:manualLayout>
      </c:layout>
      <c:overlay val="0"/>
      <c:spPr>
        <a:noFill/>
        <a:ln w="25400">
          <a:noFill/>
        </a:ln>
        <a:extLst>
          <a:ext uri="{909E8E84-426E-40DD-AFC4-6F175D3DCCD1}">
            <a14:hiddenFill xmlns:a14="http://schemas.microsoft.com/office/drawing/2010/main">
              <a:noFill/>
            </a14:hiddenFill>
          </a:ext>
        </a:extLst>
      </c:spPr>
      <c:txPr>
        <a:bodyPr/>
        <a:lstStyle/>
        <a:p>
          <a:pPr>
            <a:defRPr sz="10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100" b="0" i="0" u="none" strike="noStrike" baseline="0">
          <a:solidFill>
            <a:srgbClr val="333333"/>
          </a:solidFill>
          <a:latin typeface="Arial"/>
          <a:ea typeface="Arial"/>
          <a:cs typeface="Arial"/>
        </a:defRPr>
      </a:pPr>
      <a:endParaRPr lang="en-US"/>
    </a:p>
  </c:txPr>
  <c:printSettings>
    <c:headerFooter/>
    <c:pageMargins b="0.75" l="0.7" r="0.7" t="0.75" header="0.3" footer="0.3"/>
    <c:pageSetup orientation="portrait"/>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181</xdr:row>
      <xdr:rowOff>0</xdr:rowOff>
    </xdr:from>
    <xdr:to>
      <xdr:col>9</xdr:col>
      <xdr:colOff>114300</xdr:colOff>
      <xdr:row>204</xdr:row>
      <xdr:rowOff>104775</xdr:rowOff>
    </xdr:to>
    <xdr:pic>
      <xdr:nvPicPr>
        <xdr:cNvPr id="12609537" name="Picture 1" descr="C:\Users\alaxandw\AppData\Local\Temp\MercuryPriceRatingHistoryChart\BKNG.O_2018_04_18_18_44_2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2606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29</xdr:col>
      <xdr:colOff>85725</xdr:colOff>
      <xdr:row>5</xdr:row>
      <xdr:rowOff>85725</xdr:rowOff>
    </xdr:from>
    <xdr:to>
      <xdr:col>36</xdr:col>
      <xdr:colOff>609600</xdr:colOff>
      <xdr:row>30</xdr:row>
      <xdr:rowOff>114300</xdr:rowOff>
    </xdr:to>
    <xdr:graphicFrame macro="">
      <xdr:nvGraphicFramePr>
        <xdr:cNvPr id="122063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200025</xdr:colOff>
      <xdr:row>31</xdr:row>
      <xdr:rowOff>123825</xdr:rowOff>
    </xdr:from>
    <xdr:to>
      <xdr:col>36</xdr:col>
      <xdr:colOff>714375</xdr:colOff>
      <xdr:row>58</xdr:row>
      <xdr:rowOff>95250</xdr:rowOff>
    </xdr:to>
    <xdr:graphicFrame macro="">
      <xdr:nvGraphicFramePr>
        <xdr:cNvPr id="12206399" name="345345435sss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TECH/INTERNET/MODELS/PCLN_model%20new.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TECH/INTERNET/COMPANIES/AMZN/analyses/AMZN%20-%20model%20outputs.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TECH/INTERNET/MODELS/AWAY_model.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tr-inputs"/>
      <sheetName val="MW-Cache"/>
      <sheetName val="__FDSCACHE__"/>
      <sheetName val="ann-inputs"/>
      <sheetName val="quarterly"/>
      <sheetName val="annual"/>
      <sheetName val="DCF"/>
      <sheetName val="Marketing Pack Metrics"/>
      <sheetName val="Marketing Pack Charts"/>
      <sheetName val="mwareDates"/>
      <sheetName val="mwareSettings"/>
      <sheetName val="RR table"/>
      <sheetName val="MWA RR"/>
    </sheetNames>
    <sheetDataSet>
      <sheetData sheetId="0" refreshError="1">
        <row r="1">
          <cell r="B1" t="str">
            <v>ElementName</v>
          </cell>
          <cell r="C1" t="str">
            <v>ScaleOverride</v>
          </cell>
          <cell r="D1" t="str">
            <v>UnitOverride</v>
          </cell>
          <cell r="E1" t="str">
            <v>ReverseSign</v>
          </cell>
          <cell r="F1" t="str">
            <v>IsDrivingAssumption</v>
          </cell>
          <cell r="G1" t="str">
            <v>SegmentID</v>
          </cell>
          <cell r="I1" t="str">
            <v>Select Model Case:</v>
          </cell>
          <cell r="L1">
            <v>649.81451297948274</v>
          </cell>
          <cell r="M1">
            <v>0.25</v>
          </cell>
          <cell r="N1">
            <v>0.25</v>
          </cell>
          <cell r="O1">
            <v>0.25</v>
          </cell>
          <cell r="P1">
            <v>0.25</v>
          </cell>
          <cell r="Q1">
            <v>0.25</v>
          </cell>
          <cell r="R1">
            <v>0.25</v>
          </cell>
          <cell r="S1">
            <v>0.25</v>
          </cell>
          <cell r="T1">
            <v>0.25</v>
          </cell>
          <cell r="U1">
            <v>0.25</v>
          </cell>
          <cell r="V1">
            <v>0.25</v>
          </cell>
          <cell r="W1">
            <v>0.25</v>
          </cell>
          <cell r="X1">
            <v>0.25</v>
          </cell>
          <cell r="Y1">
            <v>0.25</v>
          </cell>
          <cell r="Z1">
            <v>0.25</v>
          </cell>
          <cell r="AA1">
            <v>0.25</v>
          </cell>
          <cell r="AB1">
            <v>0.25</v>
          </cell>
          <cell r="AC1">
            <v>0.25</v>
          </cell>
          <cell r="AD1">
            <v>0.25</v>
          </cell>
          <cell r="AE1">
            <v>0.25</v>
          </cell>
          <cell r="AF1">
            <v>0.25</v>
          </cell>
          <cell r="AG1">
            <v>0.25</v>
          </cell>
          <cell r="AH1">
            <v>0.25</v>
          </cell>
          <cell r="AI1">
            <v>0.25</v>
          </cell>
          <cell r="AJ1">
            <v>0.25</v>
          </cell>
          <cell r="AK1">
            <v>0.25</v>
          </cell>
          <cell r="AL1">
            <v>0.25</v>
          </cell>
          <cell r="AM1">
            <v>0.25</v>
          </cell>
          <cell r="AN1">
            <v>0.25</v>
          </cell>
        </row>
        <row r="3">
          <cell r="M3" t="str">
            <v>2006-Q1</v>
          </cell>
          <cell r="N3" t="str">
            <v>2006-Q2</v>
          </cell>
          <cell r="O3" t="str">
            <v>2006-Q3</v>
          </cell>
          <cell r="P3" t="str">
            <v>2006-Q4</v>
          </cell>
          <cell r="Q3" t="str">
            <v>2007-Q1</v>
          </cell>
          <cell r="R3" t="str">
            <v>2007-Q2</v>
          </cell>
          <cell r="S3" t="str">
            <v>2007-Q3</v>
          </cell>
          <cell r="T3" t="str">
            <v>2007-Q4</v>
          </cell>
          <cell r="U3" t="str">
            <v>2008-Q1</v>
          </cell>
          <cell r="V3" t="str">
            <v>2008-Q2</v>
          </cell>
          <cell r="W3" t="str">
            <v>2008-Q3</v>
          </cell>
          <cell r="X3" t="str">
            <v>2008-Q4</v>
          </cell>
          <cell r="Y3" t="str">
            <v>2009-Q1</v>
          </cell>
          <cell r="Z3" t="str">
            <v>2009-Q2</v>
          </cell>
          <cell r="AA3" t="str">
            <v>2009-Q3</v>
          </cell>
          <cell r="AB3" t="str">
            <v>2009-Q4</v>
          </cell>
          <cell r="AC3" t="str">
            <v>2010-Q1</v>
          </cell>
          <cell r="AD3" t="str">
            <v>2010-Q2</v>
          </cell>
          <cell r="AE3" t="str">
            <v>2010-Q3</v>
          </cell>
          <cell r="AF3" t="str">
            <v>2010-Q4</v>
          </cell>
          <cell r="AG3" t="str">
            <v>2011-Q1</v>
          </cell>
          <cell r="AH3" t="str">
            <v>2011-Q2</v>
          </cell>
          <cell r="AI3" t="str">
            <v>2011-Q3</v>
          </cell>
          <cell r="AJ3" t="str">
            <v>2011-Q4</v>
          </cell>
          <cell r="AK3" t="str">
            <v>2012-Q1</v>
          </cell>
          <cell r="AL3" t="str">
            <v>2012-Q2</v>
          </cell>
          <cell r="AM3" t="str">
            <v>2012-Q3</v>
          </cell>
          <cell r="AN3" t="str">
            <v>2012-Q4</v>
          </cell>
        </row>
        <row r="4">
          <cell r="I4" t="str">
            <v>Period-End Date</v>
          </cell>
          <cell r="M4">
            <v>38807</v>
          </cell>
          <cell r="N4">
            <v>38898</v>
          </cell>
          <cell r="O4">
            <v>38990</v>
          </cell>
          <cell r="P4">
            <v>39082</v>
          </cell>
          <cell r="Q4">
            <v>39172</v>
          </cell>
          <cell r="R4">
            <v>39263</v>
          </cell>
          <cell r="S4">
            <v>39355</v>
          </cell>
          <cell r="T4">
            <v>39447</v>
          </cell>
          <cell r="U4">
            <v>39538</v>
          </cell>
          <cell r="V4">
            <v>39629</v>
          </cell>
          <cell r="W4">
            <v>39721</v>
          </cell>
          <cell r="X4">
            <v>39813</v>
          </cell>
          <cell r="Y4">
            <v>39903</v>
          </cell>
          <cell r="Z4">
            <v>39994</v>
          </cell>
          <cell r="AA4">
            <v>40086</v>
          </cell>
          <cell r="AB4">
            <v>40178</v>
          </cell>
          <cell r="AC4">
            <v>40268</v>
          </cell>
          <cell r="AD4">
            <v>40359</v>
          </cell>
          <cell r="AE4">
            <v>40451</v>
          </cell>
          <cell r="AF4">
            <v>40543</v>
          </cell>
          <cell r="AG4">
            <v>40633</v>
          </cell>
          <cell r="AH4">
            <v>40724</v>
          </cell>
          <cell r="AI4">
            <v>40816</v>
          </cell>
          <cell r="AJ4">
            <v>40908</v>
          </cell>
          <cell r="AK4">
            <v>40999</v>
          </cell>
          <cell r="AL4">
            <v>41090</v>
          </cell>
          <cell r="AM4">
            <v>41182</v>
          </cell>
          <cell r="AN4">
            <v>41274</v>
          </cell>
        </row>
        <row r="5">
          <cell r="I5" t="str">
            <v>Priceline Model</v>
          </cell>
          <cell r="M5">
            <v>39082</v>
          </cell>
          <cell r="Q5">
            <v>39447</v>
          </cell>
          <cell r="U5">
            <v>39813</v>
          </cell>
          <cell r="Y5">
            <v>40178</v>
          </cell>
          <cell r="AC5">
            <v>40543</v>
          </cell>
          <cell r="AG5">
            <v>40908</v>
          </cell>
          <cell r="AK5">
            <v>41274</v>
          </cell>
        </row>
        <row r="6">
          <cell r="I6" t="str">
            <v>(USD millions)</v>
          </cell>
          <cell r="M6">
            <v>1</v>
          </cell>
          <cell r="N6">
            <v>2</v>
          </cell>
          <cell r="O6">
            <v>3</v>
          </cell>
          <cell r="P6">
            <v>4</v>
          </cell>
          <cell r="Q6">
            <v>1</v>
          </cell>
          <cell r="R6">
            <v>2</v>
          </cell>
          <cell r="S6">
            <v>3</v>
          </cell>
          <cell r="T6">
            <v>4</v>
          </cell>
          <cell r="U6">
            <v>1</v>
          </cell>
          <cell r="V6">
            <v>2</v>
          </cell>
          <cell r="W6">
            <v>3</v>
          </cell>
          <cell r="X6">
            <v>4</v>
          </cell>
          <cell r="Y6">
            <v>1</v>
          </cell>
          <cell r="Z6">
            <v>2</v>
          </cell>
          <cell r="AA6">
            <v>3</v>
          </cell>
          <cell r="AB6">
            <v>4</v>
          </cell>
          <cell r="AC6">
            <v>1</v>
          </cell>
          <cell r="AD6">
            <v>2</v>
          </cell>
          <cell r="AE6">
            <v>3</v>
          </cell>
          <cell r="AF6">
            <v>4</v>
          </cell>
          <cell r="AG6">
            <v>1</v>
          </cell>
          <cell r="AH6">
            <v>2</v>
          </cell>
          <cell r="AI6">
            <v>3</v>
          </cell>
          <cell r="AJ6">
            <v>4</v>
          </cell>
          <cell r="AK6">
            <v>1</v>
          </cell>
          <cell r="AL6">
            <v>2</v>
          </cell>
          <cell r="AM6">
            <v>3</v>
          </cell>
          <cell r="AN6">
            <v>4</v>
          </cell>
        </row>
        <row r="8">
          <cell r="I8" t="str">
            <v>Gross Bookings Build-Up</v>
          </cell>
        </row>
        <row r="9">
          <cell r="I9" t="str">
            <v xml:space="preserve">Merchant </v>
          </cell>
          <cell r="M9">
            <v>266.315</v>
          </cell>
          <cell r="N9">
            <v>318.06599999999997</v>
          </cell>
          <cell r="O9">
            <v>302.762</v>
          </cell>
          <cell r="P9">
            <v>251.34</v>
          </cell>
          <cell r="Q9">
            <v>287.96300000000002</v>
          </cell>
          <cell r="R9">
            <v>315.65100000000001</v>
          </cell>
          <cell r="S9">
            <v>348.06400000000002</v>
          </cell>
          <cell r="T9">
            <v>292.63299999999998</v>
          </cell>
          <cell r="U9">
            <v>388.49299999999999</v>
          </cell>
          <cell r="V9">
            <v>453.19</v>
          </cell>
          <cell r="W9">
            <v>446.73399999999998</v>
          </cell>
          <cell r="X9">
            <v>373.089</v>
          </cell>
          <cell r="Y9">
            <v>473.62799999999999</v>
          </cell>
          <cell r="Z9">
            <v>554.55999999999995</v>
          </cell>
          <cell r="AA9">
            <v>592.27499999999998</v>
          </cell>
          <cell r="AB9">
            <v>498.15899999999999</v>
          </cell>
          <cell r="AC9">
            <v>591.13</v>
          </cell>
          <cell r="AD9">
            <v>727.21500000000003</v>
          </cell>
          <cell r="AE9">
            <v>838</v>
          </cell>
          <cell r="AF9">
            <v>708</v>
          </cell>
          <cell r="AG9">
            <v>884</v>
          </cell>
          <cell r="AH9">
            <v>1055</v>
          </cell>
          <cell r="AI9">
            <v>1136</v>
          </cell>
          <cell r="AJ9">
            <v>949.00731524406183</v>
          </cell>
          <cell r="AK9">
            <v>1112.6233576501836</v>
          </cell>
          <cell r="AL9">
            <v>1339.0010273855592</v>
          </cell>
          <cell r="AM9">
            <v>1523.8350547593855</v>
          </cell>
          <cell r="AN9">
            <v>1263.7258347674435</v>
          </cell>
        </row>
        <row r="10">
          <cell r="I10" t="str">
            <v xml:space="preserve">Agency </v>
          </cell>
          <cell r="M10">
            <v>480.50599999999997</v>
          </cell>
          <cell r="N10">
            <v>609.28399999999999</v>
          </cell>
          <cell r="O10">
            <v>600.40599999999995</v>
          </cell>
          <cell r="P10">
            <v>491.07</v>
          </cell>
          <cell r="Q10">
            <v>710.52800000000002</v>
          </cell>
          <cell r="R10">
            <v>919.26</v>
          </cell>
          <cell r="S10">
            <v>1042.6189999999999</v>
          </cell>
          <cell r="T10">
            <v>912.69799999999998</v>
          </cell>
          <cell r="U10">
            <v>1370.1189999999999</v>
          </cell>
          <cell r="V10">
            <v>1656.7750000000001</v>
          </cell>
          <cell r="W10">
            <v>1603.693</v>
          </cell>
          <cell r="X10">
            <v>1108.0239999999999</v>
          </cell>
          <cell r="Y10">
            <v>1469.9559999999999</v>
          </cell>
          <cell r="Z10">
            <v>1824.6179999999999</v>
          </cell>
          <cell r="AA10">
            <v>2130.5709999999999</v>
          </cell>
          <cell r="AB10">
            <v>1766.2950000000001</v>
          </cell>
          <cell r="AC10">
            <v>2373.5650000000001</v>
          </cell>
          <cell r="AD10">
            <v>2682.9650000000001</v>
          </cell>
          <cell r="AE10">
            <v>3168</v>
          </cell>
          <cell r="AF10">
            <v>2557</v>
          </cell>
          <cell r="AG10">
            <v>3781</v>
          </cell>
          <cell r="AH10">
            <v>4725</v>
          </cell>
          <cell r="AI10">
            <v>5121</v>
          </cell>
          <cell r="AJ10">
            <v>3707.880058667145</v>
          </cell>
          <cell r="AK10">
            <v>4970.0361273072558</v>
          </cell>
          <cell r="AL10">
            <v>6206.6949388255107</v>
          </cell>
          <cell r="AM10">
            <v>6808.721784176314</v>
          </cell>
          <cell r="AN10">
            <v>4834.0348947752182</v>
          </cell>
        </row>
        <row r="11">
          <cell r="I11" t="str">
            <v>Total Gross Bookings</v>
          </cell>
          <cell r="M11">
            <v>746.82099999999991</v>
          </cell>
          <cell r="N11">
            <v>927.34999999999991</v>
          </cell>
          <cell r="O11">
            <v>903.16799999999989</v>
          </cell>
          <cell r="P11">
            <v>742.41</v>
          </cell>
          <cell r="Q11">
            <v>998.49099999999999</v>
          </cell>
          <cell r="R11">
            <v>1234.9110000000001</v>
          </cell>
          <cell r="S11">
            <v>1390.683</v>
          </cell>
          <cell r="T11">
            <v>1205.3309999999999</v>
          </cell>
          <cell r="U11">
            <v>1758.6119999999999</v>
          </cell>
          <cell r="V11">
            <v>2109.9650000000001</v>
          </cell>
          <cell r="W11">
            <v>2050.4270000000001</v>
          </cell>
          <cell r="X11">
            <v>1481.1129999999998</v>
          </cell>
          <cell r="Y11">
            <v>1943.5839999999998</v>
          </cell>
          <cell r="Z11">
            <v>2379.1779999999999</v>
          </cell>
          <cell r="AA11">
            <v>2722.846</v>
          </cell>
          <cell r="AB11">
            <v>2264.4540000000002</v>
          </cell>
          <cell r="AC11">
            <v>2964.6950000000002</v>
          </cell>
          <cell r="AD11">
            <v>3410.1800000000003</v>
          </cell>
          <cell r="AE11">
            <v>4006</v>
          </cell>
          <cell r="AF11">
            <v>3265</v>
          </cell>
          <cell r="AG11">
            <v>4665</v>
          </cell>
          <cell r="AH11">
            <v>5780</v>
          </cell>
          <cell r="AI11">
            <v>6257</v>
          </cell>
          <cell r="AJ11">
            <v>4656.8873739112069</v>
          </cell>
          <cell r="AK11">
            <v>6082.6594849574394</v>
          </cell>
          <cell r="AL11">
            <v>7545.6959662110694</v>
          </cell>
          <cell r="AM11">
            <v>8332.5568389356995</v>
          </cell>
          <cell r="AN11">
            <v>6097.7607295426615</v>
          </cell>
        </row>
        <row r="12">
          <cell r="I12" t="str">
            <v>y/y Growth - %</v>
          </cell>
          <cell r="Q12">
            <v>0.33698838141937637</v>
          </cell>
          <cell r="R12">
            <v>0.33165579338976681</v>
          </cell>
          <cell r="S12">
            <v>0.53978329613095255</v>
          </cell>
          <cell r="T12">
            <v>0.6235382066513111</v>
          </cell>
          <cell r="U12">
            <v>0.76126975606189728</v>
          </cell>
          <cell r="V12">
            <v>0.70859681385946027</v>
          </cell>
          <cell r="W12">
            <v>0.47440286535464948</v>
          </cell>
          <cell r="X12">
            <v>0.22880188097709264</v>
          </cell>
          <cell r="Y12">
            <v>0.1051806765790293</v>
          </cell>
          <cell r="Z12">
            <v>0.12759121596803724</v>
          </cell>
          <cell r="AA12">
            <v>0.32794096059015998</v>
          </cell>
          <cell r="AB12">
            <v>0.52888672235001688</v>
          </cell>
          <cell r="AC12">
            <v>0.52537528606944717</v>
          </cell>
          <cell r="AD12">
            <v>0.43334378512242488</v>
          </cell>
          <cell r="AE12">
            <v>0.47125470922703672</v>
          </cell>
          <cell r="AF12">
            <v>0.44184867522148807</v>
          </cell>
          <cell r="AG12">
            <v>0.57351768057085128</v>
          </cell>
          <cell r="AH12">
            <v>0.69492519456450963</v>
          </cell>
          <cell r="AI12">
            <v>0.56190713929106351</v>
          </cell>
          <cell r="AJ12">
            <v>0.42630547439853195</v>
          </cell>
          <cell r="AK12">
            <v>0.30389270845818639</v>
          </cell>
          <cell r="AL12">
            <v>0.30548373117838579</v>
          </cell>
          <cell r="AM12">
            <v>0.33171757055069517</v>
          </cell>
          <cell r="AN12">
            <v>0.30940695789713724</v>
          </cell>
        </row>
        <row r="13">
          <cell r="I13" t="str">
            <v>y/y Growth - % (ex F/X)</v>
          </cell>
          <cell r="AC13">
            <v>0.48008575909248075</v>
          </cell>
          <cell r="AD13">
            <v>0.47893306007368919</v>
          </cell>
          <cell r="AE13">
            <v>0.53872822774405904</v>
          </cell>
          <cell r="AF13">
            <v>0.4785599530836131</v>
          </cell>
          <cell r="AG13">
            <v>0.5672691457299992</v>
          </cell>
          <cell r="AH13">
            <v>0.56442181937610347</v>
          </cell>
          <cell r="AI13">
            <v>0.47887918122815765</v>
          </cell>
          <cell r="AJ13">
            <v>0.42621560697717031</v>
          </cell>
          <cell r="AK13">
            <v>0.32929079800209116</v>
          </cell>
          <cell r="AL13">
            <v>0.36280193113816694</v>
          </cell>
          <cell r="AM13">
            <v>0.38031960312090307</v>
          </cell>
          <cell r="AN13">
            <v>0.32599983877014771</v>
          </cell>
        </row>
        <row r="14">
          <cell r="I14" t="str">
            <v>Company Guidance - Bookings incl F/X Y/Y</v>
          </cell>
          <cell r="AC14" t="str">
            <v>42-48%</v>
          </cell>
          <cell r="AD14" t="str">
            <v>32.5-37.5%</v>
          </cell>
          <cell r="AE14" t="str">
            <v>33-38%</v>
          </cell>
          <cell r="AF14" t="str">
            <v>36-41%</v>
          </cell>
          <cell r="AG14" t="str">
            <v>45-50%</v>
          </cell>
          <cell r="AH14" t="str">
            <v>53-58%</v>
          </cell>
          <cell r="AI14" t="str">
            <v>47-52%</v>
          </cell>
          <cell r="AJ14" t="str">
            <v>39 - 44%</v>
          </cell>
        </row>
        <row r="16">
          <cell r="I16" t="str">
            <v>Revenue Build-Up</v>
          </cell>
        </row>
        <row r="17">
          <cell r="I17" t="str">
            <v xml:space="preserve">Merchant </v>
          </cell>
          <cell r="M17">
            <v>210.43799999999999</v>
          </cell>
          <cell r="N17">
            <v>250.524</v>
          </cell>
          <cell r="O17">
            <v>238.55799999999999</v>
          </cell>
          <cell r="P17">
            <v>204.649</v>
          </cell>
          <cell r="Q17">
            <v>230.13299999999998</v>
          </cell>
          <cell r="R17">
            <v>252.59099999999998</v>
          </cell>
          <cell r="S17">
            <v>274.81600000000003</v>
          </cell>
          <cell r="T17">
            <v>226.69300000000001</v>
          </cell>
          <cell r="U17">
            <v>289.15899999999999</v>
          </cell>
          <cell r="V17">
            <v>336.23</v>
          </cell>
          <cell r="W17">
            <v>323.95699999999999</v>
          </cell>
          <cell r="X17">
            <v>268.81599999999997</v>
          </cell>
          <cell r="Y17">
            <v>337.03399999999999</v>
          </cell>
          <cell r="Z17">
            <v>392.822</v>
          </cell>
          <cell r="AA17">
            <v>400.31400000000002</v>
          </cell>
          <cell r="AB17">
            <v>317.40699999999998</v>
          </cell>
          <cell r="AC17">
            <v>368.26499999999999</v>
          </cell>
          <cell r="AD17">
            <v>446.66899999999998</v>
          </cell>
          <cell r="AE17">
            <v>494.47300000000001</v>
          </cell>
          <cell r="AF17">
            <v>382.23399999999998</v>
          </cell>
          <cell r="AG17">
            <v>454.80399999999997</v>
          </cell>
          <cell r="AH17">
            <v>530.53</v>
          </cell>
          <cell r="AI17">
            <v>573.23</v>
          </cell>
          <cell r="AJ17">
            <v>446.6857167439311</v>
          </cell>
          <cell r="AK17">
            <v>521.26062775905655</v>
          </cell>
          <cell r="AL17">
            <v>612.71336792662964</v>
          </cell>
          <cell r="AM17">
            <v>678.42328499717064</v>
          </cell>
          <cell r="AN17">
            <v>525.88236287621567</v>
          </cell>
        </row>
        <row r="18">
          <cell r="I18" t="str">
            <v xml:space="preserve">Agency </v>
          </cell>
          <cell r="M18">
            <v>30.381</v>
          </cell>
          <cell r="N18">
            <v>55.892000000000003</v>
          </cell>
          <cell r="O18">
            <v>73.325999999999993</v>
          </cell>
          <cell r="P18">
            <v>54.301000000000002</v>
          </cell>
          <cell r="Q18">
            <v>54.511000000000003</v>
          </cell>
          <cell r="R18">
            <v>98.343999999999994</v>
          </cell>
          <cell r="S18">
            <v>139.62299999999999</v>
          </cell>
          <cell r="T18">
            <v>105.768</v>
          </cell>
          <cell r="U18">
            <v>109.932</v>
          </cell>
          <cell r="V18">
            <v>173.249</v>
          </cell>
          <cell r="W18">
            <v>232.63800000000001</v>
          </cell>
          <cell r="X18">
            <v>132.97300000000001</v>
          </cell>
          <cell r="Y18">
            <v>120.22499999999999</v>
          </cell>
          <cell r="Z18">
            <v>204.48500000000001</v>
          </cell>
          <cell r="AA18">
            <v>323.18799999999999</v>
          </cell>
          <cell r="AB18">
            <v>220.49600000000001</v>
          </cell>
          <cell r="AC18">
            <v>213.24199999999999</v>
          </cell>
          <cell r="AD18">
            <v>317.512</v>
          </cell>
          <cell r="AE18">
            <v>504.01</v>
          </cell>
          <cell r="AF18">
            <v>345.83800000000002</v>
          </cell>
          <cell r="AG18">
            <v>351.42200000000003</v>
          </cell>
          <cell r="AH18">
            <v>569.18100000000004</v>
          </cell>
          <cell r="AI18">
            <v>876.601</v>
          </cell>
          <cell r="AJ18">
            <v>516.06051599014324</v>
          </cell>
          <cell r="AK18">
            <v>479.43720354145313</v>
          </cell>
          <cell r="AL18">
            <v>758.23969826511734</v>
          </cell>
          <cell r="AM18">
            <v>1141.8719697332156</v>
          </cell>
          <cell r="AN18">
            <v>668.26935515274067</v>
          </cell>
        </row>
        <row r="19">
          <cell r="I19" t="str">
            <v>Other</v>
          </cell>
          <cell r="M19">
            <v>1.095</v>
          </cell>
          <cell r="N19">
            <v>1.2350000000000001</v>
          </cell>
          <cell r="O19">
            <v>1.583</v>
          </cell>
          <cell r="P19">
            <v>1.121</v>
          </cell>
          <cell r="Q19">
            <v>0.86699999999999999</v>
          </cell>
          <cell r="R19">
            <v>2.6269999999999998</v>
          </cell>
          <cell r="S19">
            <v>2.4529999999999998</v>
          </cell>
          <cell r="T19">
            <v>2.3919999999999999</v>
          </cell>
          <cell r="U19">
            <v>4.0890000000000004</v>
          </cell>
          <cell r="V19">
            <v>4.4969999999999999</v>
          </cell>
          <cell r="W19">
            <v>5.0140000000000002</v>
          </cell>
          <cell r="X19">
            <v>4.2519999999999998</v>
          </cell>
          <cell r="Y19">
            <v>4.7990000000000004</v>
          </cell>
          <cell r="Z19">
            <v>6.4340000000000002</v>
          </cell>
          <cell r="AA19">
            <v>7.1580000000000004</v>
          </cell>
          <cell r="AB19">
            <v>3.85</v>
          </cell>
          <cell r="AC19">
            <v>2.887</v>
          </cell>
          <cell r="AD19">
            <v>3.258</v>
          </cell>
          <cell r="AE19">
            <v>3.274</v>
          </cell>
          <cell r="AF19">
            <v>3.2440000000000002</v>
          </cell>
          <cell r="AG19">
            <v>3.0939999999999999</v>
          </cell>
          <cell r="AH19">
            <v>3.0049999999999999</v>
          </cell>
          <cell r="AI19">
            <v>2.9729999999999999</v>
          </cell>
          <cell r="AJ19">
            <v>3.2440000000000002</v>
          </cell>
          <cell r="AK19">
            <v>3.0939999999999999</v>
          </cell>
          <cell r="AL19">
            <v>3.0049999999999999</v>
          </cell>
          <cell r="AM19">
            <v>2.9729999999999999</v>
          </cell>
          <cell r="AN19">
            <v>3.2440000000000002</v>
          </cell>
        </row>
        <row r="20">
          <cell r="I20" t="str">
            <v>Total Revenue</v>
          </cell>
          <cell r="M20">
            <v>241.91399999999999</v>
          </cell>
          <cell r="N20">
            <v>307.65100000000001</v>
          </cell>
          <cell r="O20">
            <v>313.46700000000004</v>
          </cell>
          <cell r="P20">
            <v>260.07099999999997</v>
          </cell>
          <cell r="Q20">
            <v>285.51100000000002</v>
          </cell>
          <cell r="R20">
            <v>353.56199999999995</v>
          </cell>
          <cell r="S20">
            <v>416.892</v>
          </cell>
          <cell r="T20">
            <v>334.85300000000001</v>
          </cell>
          <cell r="U20">
            <v>403.18</v>
          </cell>
          <cell r="V20">
            <v>513.976</v>
          </cell>
          <cell r="W20">
            <v>561.60900000000004</v>
          </cell>
          <cell r="X20">
            <v>406.041</v>
          </cell>
          <cell r="Y20">
            <v>462.05799999999999</v>
          </cell>
          <cell r="Z20">
            <v>603.74099999999999</v>
          </cell>
          <cell r="AA20">
            <v>730.66</v>
          </cell>
          <cell r="AB20">
            <v>541.75300000000004</v>
          </cell>
          <cell r="AC20">
            <v>584.39399999999989</v>
          </cell>
          <cell r="AD20">
            <v>767.43900000000008</v>
          </cell>
          <cell r="AE20">
            <v>1001.7569999999999</v>
          </cell>
          <cell r="AF20">
            <v>731.31600000000003</v>
          </cell>
          <cell r="AG20">
            <v>809.32</v>
          </cell>
          <cell r="AH20">
            <v>1102.7160000000001</v>
          </cell>
          <cell r="AI20">
            <v>1452.8040000000001</v>
          </cell>
          <cell r="AJ20">
            <v>965.99023273407431</v>
          </cell>
          <cell r="AK20">
            <v>1003.7918313005098</v>
          </cell>
          <cell r="AL20">
            <v>1373.9580661917471</v>
          </cell>
          <cell r="AM20">
            <v>1823.2682547303862</v>
          </cell>
          <cell r="AN20">
            <v>1197.3957180289563</v>
          </cell>
        </row>
        <row r="21">
          <cell r="I21" t="str">
            <v>y/y Growth - %</v>
          </cell>
          <cell r="Q21">
            <v>0.18021693659730342</v>
          </cell>
          <cell r="R21">
            <v>0.14923078423278313</v>
          </cell>
          <cell r="S21">
            <v>0.32993903664500546</v>
          </cell>
          <cell r="T21">
            <v>0.28754455514071187</v>
          </cell>
          <cell r="U21">
            <v>0.41213473386314359</v>
          </cell>
          <cell r="V21">
            <v>0.45370826050310864</v>
          </cell>
          <cell r="W21">
            <v>0.34713307043550867</v>
          </cell>
          <cell r="X21">
            <v>0.21259478039617385</v>
          </cell>
          <cell r="Y21">
            <v>0.14603402946574717</v>
          </cell>
          <cell r="Z21">
            <v>0.17464823260230045</v>
          </cell>
          <cell r="AA21">
            <v>0.30101191398285976</v>
          </cell>
          <cell r="AB21">
            <v>0.33423225733361916</v>
          </cell>
          <cell r="AC21">
            <v>0.26476329811408927</v>
          </cell>
          <cell r="AD21">
            <v>0.27113944555695246</v>
          </cell>
          <cell r="AE21">
            <v>0.37103030137136295</v>
          </cell>
          <cell r="AF21">
            <v>0.34990669179496914</v>
          </cell>
          <cell r="AG21">
            <v>0.38488759295954478</v>
          </cell>
          <cell r="AH21">
            <v>0.43687771927149921</v>
          </cell>
          <cell r="AI21">
            <v>0.4502559003830271</v>
          </cell>
          <cell r="AJ21">
            <v>0.32089306501440462</v>
          </cell>
          <cell r="AK21">
            <v>0.24029040589693773</v>
          </cell>
          <cell r="AL21">
            <v>0.24597635854721145</v>
          </cell>
          <cell r="AM21">
            <v>0.25499947324648486</v>
          </cell>
          <cell r="AN21">
            <v>0.2395526139430284</v>
          </cell>
        </row>
        <row r="22">
          <cell r="I22" t="str">
            <v>y/y Growth - % (ex F/X)</v>
          </cell>
          <cell r="AC22">
            <v>0.24167961597894605</v>
          </cell>
          <cell r="AD22">
            <v>0.2866560329677792</v>
          </cell>
          <cell r="AE22">
            <v>0.42498152355404706</v>
          </cell>
          <cell r="AF22">
            <v>0.37791761190062623</v>
          </cell>
          <cell r="AG22">
            <v>0.38006550375260573</v>
          </cell>
          <cell r="AH22">
            <v>0.3570616035932499</v>
          </cell>
          <cell r="AI22">
            <v>0.38944274908984933</v>
          </cell>
          <cell r="AJ22">
            <v>0.32082941007493093</v>
          </cell>
          <cell r="AK22">
            <v>0.25639988136070913</v>
          </cell>
          <cell r="AL22">
            <v>0.28715239427100214</v>
          </cell>
          <cell r="AM22">
            <v>0.29498409176440044</v>
          </cell>
          <cell r="AN22">
            <v>0.25232371875882942</v>
          </cell>
        </row>
        <row r="23">
          <cell r="I23" t="str">
            <v>Company Guidance - Revenue incl F/X Y/Y</v>
          </cell>
          <cell r="AC23" t="str">
            <v>23-27%</v>
          </cell>
          <cell r="AD23" t="str">
            <v>18-23%</v>
          </cell>
          <cell r="AE23" t="str">
            <v>29-34%</v>
          </cell>
          <cell r="AF23" t="str">
            <v>31-36%</v>
          </cell>
          <cell r="AG23" t="str">
            <v>29-34%</v>
          </cell>
          <cell r="AH23" t="str">
            <v>36-41%</v>
          </cell>
          <cell r="AI23" t="str">
            <v>37-42%</v>
          </cell>
          <cell r="AJ23" t="str">
            <v>27-32%</v>
          </cell>
        </row>
        <row r="25">
          <cell r="I25" t="str">
            <v>Cost of Revenue Build-Up</v>
          </cell>
        </row>
        <row r="26">
          <cell r="I26" t="str">
            <v>Merchant</v>
          </cell>
          <cell r="M26">
            <v>169.68299999999999</v>
          </cell>
          <cell r="N26">
            <v>201.84700000000001</v>
          </cell>
          <cell r="O26">
            <v>189.92</v>
          </cell>
          <cell r="P26">
            <v>160.554</v>
          </cell>
          <cell r="Q26">
            <v>181.672</v>
          </cell>
          <cell r="R26">
            <v>198.66900000000001</v>
          </cell>
          <cell r="S26">
            <v>214.95599999999999</v>
          </cell>
          <cell r="T26">
            <v>174.70099999999999</v>
          </cell>
          <cell r="U26">
            <v>222.077</v>
          </cell>
          <cell r="V26">
            <v>260.25099999999998</v>
          </cell>
          <cell r="W26">
            <v>245.53100000000001</v>
          </cell>
          <cell r="X26">
            <v>200.976</v>
          </cell>
          <cell r="Y26">
            <v>253.72800000000001</v>
          </cell>
          <cell r="Z26">
            <v>298.50299999999999</v>
          </cell>
          <cell r="AA26">
            <v>296.654</v>
          </cell>
          <cell r="AB26">
            <v>228.56399999999999</v>
          </cell>
          <cell r="AC26">
            <v>265.27800000000002</v>
          </cell>
          <cell r="AD26">
            <v>322.18400000000003</v>
          </cell>
          <cell r="AE26">
            <v>335.56900000000002</v>
          </cell>
          <cell r="AF26">
            <v>252.90299999999999</v>
          </cell>
          <cell r="AG26">
            <v>303.512</v>
          </cell>
          <cell r="AH26">
            <v>353.48899999999998</v>
          </cell>
          <cell r="AI26">
            <v>352.65600000000001</v>
          </cell>
          <cell r="AJ26">
            <v>274.87916999999993</v>
          </cell>
          <cell r="AK26">
            <v>332.76893385599999</v>
          </cell>
          <cell r="AL26">
            <v>390.38298726400012</v>
          </cell>
          <cell r="AM26">
            <v>389.96650415000005</v>
          </cell>
          <cell r="AN26">
            <v>301.65772140000001</v>
          </cell>
        </row>
        <row r="27">
          <cell r="I27" t="str">
            <v>Agency</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row>
        <row r="28">
          <cell r="I28" t="str">
            <v>Other</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row>
        <row r="29">
          <cell r="I29" t="str">
            <v>Total Cost of Revenue</v>
          </cell>
          <cell r="M29">
            <v>169.68299999999999</v>
          </cell>
          <cell r="N29">
            <v>201.84700000000001</v>
          </cell>
          <cell r="O29">
            <v>189.92</v>
          </cell>
          <cell r="P29">
            <v>160.554</v>
          </cell>
          <cell r="Q29">
            <v>181.672</v>
          </cell>
          <cell r="R29">
            <v>198.66900000000001</v>
          </cell>
          <cell r="S29">
            <v>214.95599999999999</v>
          </cell>
          <cell r="T29">
            <v>174.70099999999999</v>
          </cell>
          <cell r="U29">
            <v>222.077</v>
          </cell>
          <cell r="V29">
            <v>260.25099999999998</v>
          </cell>
          <cell r="W29">
            <v>245.53100000000001</v>
          </cell>
          <cell r="X29">
            <v>200.976</v>
          </cell>
          <cell r="Y29">
            <v>253.72800000000001</v>
          </cell>
          <cell r="Z29">
            <v>298.50299999999999</v>
          </cell>
          <cell r="AA29">
            <v>296.654</v>
          </cell>
          <cell r="AB29">
            <v>228.56399999999999</v>
          </cell>
          <cell r="AC29">
            <v>265.27800000000002</v>
          </cell>
          <cell r="AD29">
            <v>322.18400000000003</v>
          </cell>
          <cell r="AE29">
            <v>335.56900000000002</v>
          </cell>
          <cell r="AF29">
            <v>252.90299999999999</v>
          </cell>
          <cell r="AG29">
            <v>303.512</v>
          </cell>
          <cell r="AH29">
            <v>353.48899999999998</v>
          </cell>
          <cell r="AI29">
            <v>352.65600000000001</v>
          </cell>
          <cell r="AJ29">
            <v>274.87916999999993</v>
          </cell>
          <cell r="AK29">
            <v>332.76893385599999</v>
          </cell>
          <cell r="AL29">
            <v>390.38298726400012</v>
          </cell>
          <cell r="AM29">
            <v>389.96650415000005</v>
          </cell>
          <cell r="AN29">
            <v>301.65772140000001</v>
          </cell>
        </row>
        <row r="31">
          <cell r="I31" t="str">
            <v>Gross Profit Build-Up</v>
          </cell>
        </row>
        <row r="32">
          <cell r="I32" t="str">
            <v xml:space="preserve">Merchant </v>
          </cell>
          <cell r="M32">
            <v>40.754999999999995</v>
          </cell>
          <cell r="N32">
            <v>48.676999999999992</v>
          </cell>
          <cell r="O32">
            <v>48.638000000000005</v>
          </cell>
          <cell r="P32">
            <v>44.094999999999999</v>
          </cell>
          <cell r="Q32">
            <v>48.460999999999984</v>
          </cell>
          <cell r="R32">
            <v>53.921999999999969</v>
          </cell>
          <cell r="S32">
            <v>59.860000000000042</v>
          </cell>
          <cell r="T32">
            <v>51.992000000000019</v>
          </cell>
          <cell r="U32">
            <v>67.081999999999994</v>
          </cell>
          <cell r="V32">
            <v>75.979000000000042</v>
          </cell>
          <cell r="W32">
            <v>78.425999999999988</v>
          </cell>
          <cell r="X32">
            <v>67.839999999999975</v>
          </cell>
          <cell r="Y32">
            <v>83.305999999999983</v>
          </cell>
          <cell r="Z32">
            <v>94.319000000000017</v>
          </cell>
          <cell r="AA32">
            <v>103.66000000000003</v>
          </cell>
          <cell r="AB32">
            <v>88.842999999999989</v>
          </cell>
          <cell r="AC32">
            <v>102.98699999999997</v>
          </cell>
          <cell r="AD32">
            <v>124.48499999999996</v>
          </cell>
          <cell r="AE32">
            <v>158.904</v>
          </cell>
          <cell r="AF32">
            <v>129.33099999999999</v>
          </cell>
          <cell r="AG32">
            <v>151.29199999999997</v>
          </cell>
          <cell r="AH32">
            <v>177.041</v>
          </cell>
          <cell r="AI32">
            <v>220.57400000000001</v>
          </cell>
          <cell r="AJ32">
            <v>171.80654674393114</v>
          </cell>
          <cell r="AK32">
            <v>188.49169390305656</v>
          </cell>
          <cell r="AL32">
            <v>222.33038066262949</v>
          </cell>
          <cell r="AM32">
            <v>288.45678084717059</v>
          </cell>
          <cell r="AN32">
            <v>224.22464147621568</v>
          </cell>
        </row>
        <row r="33">
          <cell r="I33" t="str">
            <v xml:space="preserve">Agency </v>
          </cell>
          <cell r="M33">
            <v>30.381</v>
          </cell>
          <cell r="N33">
            <v>55.892000000000003</v>
          </cell>
          <cell r="O33">
            <v>73.325999999999993</v>
          </cell>
          <cell r="P33">
            <v>54.301000000000002</v>
          </cell>
          <cell r="Q33">
            <v>54.511000000000003</v>
          </cell>
          <cell r="R33">
            <v>98.343999999999994</v>
          </cell>
          <cell r="S33">
            <v>139.62299999999999</v>
          </cell>
          <cell r="T33">
            <v>105.768</v>
          </cell>
          <cell r="U33">
            <v>109.932</v>
          </cell>
          <cell r="V33">
            <v>173.249</v>
          </cell>
          <cell r="W33">
            <v>232.63800000000001</v>
          </cell>
          <cell r="X33">
            <v>132.97300000000001</v>
          </cell>
          <cell r="Y33">
            <v>120.22499999999999</v>
          </cell>
          <cell r="Z33">
            <v>204.48500000000001</v>
          </cell>
          <cell r="AA33">
            <v>323.18799999999999</v>
          </cell>
          <cell r="AB33">
            <v>220.49600000000001</v>
          </cell>
          <cell r="AC33">
            <v>213.24199999999999</v>
          </cell>
          <cell r="AD33">
            <v>317.512</v>
          </cell>
          <cell r="AE33">
            <v>504.01</v>
          </cell>
          <cell r="AF33">
            <v>345.83800000000002</v>
          </cell>
          <cell r="AG33">
            <v>351.42200000000003</v>
          </cell>
          <cell r="AH33">
            <v>569.18100000000004</v>
          </cell>
          <cell r="AI33">
            <v>876.601</v>
          </cell>
          <cell r="AJ33">
            <v>516.06051599014324</v>
          </cell>
          <cell r="AK33">
            <v>479.43720354145313</v>
          </cell>
          <cell r="AL33">
            <v>758.23969826511734</v>
          </cell>
          <cell r="AM33">
            <v>1141.8719697332156</v>
          </cell>
          <cell r="AN33">
            <v>668.26935515274067</v>
          </cell>
        </row>
        <row r="34">
          <cell r="I34" t="str">
            <v>Other</v>
          </cell>
          <cell r="M34">
            <v>1.095</v>
          </cell>
          <cell r="N34">
            <v>1.2350000000000001</v>
          </cell>
          <cell r="O34">
            <v>1.583</v>
          </cell>
          <cell r="P34">
            <v>1.121</v>
          </cell>
          <cell r="Q34">
            <v>0.86699999999999999</v>
          </cell>
          <cell r="R34">
            <v>2.6269999999999998</v>
          </cell>
          <cell r="S34">
            <v>2.4529999999999998</v>
          </cell>
          <cell r="T34">
            <v>2.3919999999999999</v>
          </cell>
          <cell r="U34">
            <v>4.0890000000000004</v>
          </cell>
          <cell r="V34">
            <v>4.4969999999999999</v>
          </cell>
          <cell r="W34">
            <v>5.0140000000000002</v>
          </cell>
          <cell r="X34">
            <v>4.2519999999999998</v>
          </cell>
          <cell r="Y34">
            <v>4.7990000000000004</v>
          </cell>
          <cell r="Z34">
            <v>6.4340000000000002</v>
          </cell>
          <cell r="AA34">
            <v>7.1580000000000004</v>
          </cell>
          <cell r="AB34">
            <v>3.85</v>
          </cell>
          <cell r="AC34">
            <v>2.887</v>
          </cell>
          <cell r="AD34">
            <v>3.258</v>
          </cell>
          <cell r="AE34">
            <v>3.274</v>
          </cell>
          <cell r="AF34">
            <v>3.2440000000000002</v>
          </cell>
          <cell r="AG34">
            <v>3.0939999999999999</v>
          </cell>
          <cell r="AH34">
            <v>3.0049999999999999</v>
          </cell>
          <cell r="AI34">
            <v>2.9729999999999999</v>
          </cell>
          <cell r="AJ34">
            <v>3.2440000000000002</v>
          </cell>
          <cell r="AK34">
            <v>3.0939999999999999</v>
          </cell>
          <cell r="AL34">
            <v>3.0049999999999999</v>
          </cell>
          <cell r="AM34">
            <v>2.9729999999999999</v>
          </cell>
          <cell r="AN34">
            <v>3.2440000000000002</v>
          </cell>
        </row>
        <row r="35">
          <cell r="I35" t="str">
            <v>Total Gross Profit</v>
          </cell>
          <cell r="M35">
            <v>72.230999999999995</v>
          </cell>
          <cell r="N35">
            <v>105.80399999999999</v>
          </cell>
          <cell r="O35">
            <v>123.547</v>
          </cell>
          <cell r="P35">
            <v>99.516999999999996</v>
          </cell>
          <cell r="Q35">
            <v>103.83899999999998</v>
          </cell>
          <cell r="R35">
            <v>154.89299999999997</v>
          </cell>
          <cell r="S35">
            <v>201.93600000000004</v>
          </cell>
          <cell r="T35">
            <v>160.15200000000002</v>
          </cell>
          <cell r="U35">
            <v>181.10300000000001</v>
          </cell>
          <cell r="V35">
            <v>253.72500000000002</v>
          </cell>
          <cell r="W35">
            <v>316.07799999999997</v>
          </cell>
          <cell r="X35">
            <v>205.065</v>
          </cell>
          <cell r="Y35">
            <v>208.32999999999998</v>
          </cell>
          <cell r="Z35">
            <v>305.23800000000006</v>
          </cell>
          <cell r="AA35">
            <v>434.00600000000003</v>
          </cell>
          <cell r="AB35">
            <v>313.18900000000002</v>
          </cell>
          <cell r="AC35">
            <v>319.11599999999993</v>
          </cell>
          <cell r="AD35">
            <v>445.25499999999994</v>
          </cell>
          <cell r="AE35">
            <v>666.18799999999999</v>
          </cell>
          <cell r="AF35">
            <v>478.41300000000001</v>
          </cell>
          <cell r="AG35">
            <v>505.80799999999999</v>
          </cell>
          <cell r="AH35">
            <v>749.22699999999998</v>
          </cell>
          <cell r="AI35">
            <v>1100.1479999999999</v>
          </cell>
          <cell r="AJ35">
            <v>691.11106273407438</v>
          </cell>
          <cell r="AK35">
            <v>671.02289744450968</v>
          </cell>
          <cell r="AL35">
            <v>983.57507892774686</v>
          </cell>
          <cell r="AM35">
            <v>1433.3017505803862</v>
          </cell>
          <cell r="AN35">
            <v>895.73799662895635</v>
          </cell>
        </row>
        <row r="36">
          <cell r="I36" t="str">
            <v>y/y Growth - %</v>
          </cell>
          <cell r="Q36">
            <v>0.43759604601902224</v>
          </cell>
          <cell r="R36">
            <v>0.46396166496540769</v>
          </cell>
          <cell r="S36">
            <v>0.63448728014439881</v>
          </cell>
          <cell r="T36">
            <v>0.60929288463277653</v>
          </cell>
          <cell r="U36">
            <v>0.74407496220110003</v>
          </cell>
          <cell r="V36">
            <v>0.63806627801127269</v>
          </cell>
          <cell r="W36">
            <v>0.56523849140321647</v>
          </cell>
          <cell r="X36">
            <v>0.28043983215944834</v>
          </cell>
          <cell r="Y36">
            <v>0.15033986184657344</v>
          </cell>
          <cell r="Z36">
            <v>0.20302689920189199</v>
          </cell>
          <cell r="AA36">
            <v>0.37309777966198232</v>
          </cell>
          <cell r="AB36">
            <v>0.52726696413332363</v>
          </cell>
          <cell r="AC36">
            <v>0.53178130850093575</v>
          </cell>
          <cell r="AD36">
            <v>0.45871418368617234</v>
          </cell>
          <cell r="AE36">
            <v>0.53497417086399723</v>
          </cell>
          <cell r="AF36">
            <v>0.52755364971311236</v>
          </cell>
          <cell r="AG36">
            <v>0.58502864162248236</v>
          </cell>
          <cell r="AH36">
            <v>0.68269194057337956</v>
          </cell>
          <cell r="AI36">
            <v>0.65140771073630854</v>
          </cell>
          <cell r="AJ36">
            <v>0.44459089266820584</v>
          </cell>
          <cell r="AK36">
            <v>0.32663559580811241</v>
          </cell>
          <cell r="AL36">
            <v>0.31278648383967322</v>
          </cell>
          <cell r="AM36">
            <v>0.30282630207970773</v>
          </cell>
          <cell r="AN36">
            <v>0.29608400867635698</v>
          </cell>
        </row>
        <row r="37">
          <cell r="I37" t="str">
            <v>y/y Growth - % (ex F/X)</v>
          </cell>
          <cell r="AC37">
            <v>0.48058368933902895</v>
          </cell>
          <cell r="AD37">
            <v>0.48940498889391271</v>
          </cell>
          <cell r="AE37">
            <v>0.62580240826163691</v>
          </cell>
          <cell r="AF37">
            <v>0.57600682016290472</v>
          </cell>
          <cell r="AG37">
            <v>0.57619799696662111</v>
          </cell>
          <cell r="AH37">
            <v>0.5451213349653572</v>
          </cell>
          <cell r="AI37">
            <v>0.55996205275387778</v>
          </cell>
          <cell r="AJ37">
            <v>0.44449358787984083</v>
          </cell>
          <cell r="AK37">
            <v>0.35241162284275696</v>
          </cell>
          <cell r="AL37">
            <v>0.37338957663957983</v>
          </cell>
          <cell r="AM37">
            <v>0.35562811940001526</v>
          </cell>
          <cell r="AN37">
            <v>0.31393463092581375</v>
          </cell>
        </row>
        <row r="38">
          <cell r="I38" t="str">
            <v>Company Guidance - Gross Profit incl F/X Y/Y</v>
          </cell>
          <cell r="AC38">
            <v>0.5</v>
          </cell>
          <cell r="AD38" t="str">
            <v>34-39%</v>
          </cell>
          <cell r="AE38" t="str">
            <v>43-48%</v>
          </cell>
          <cell r="AF38" t="str">
            <v>49-54%</v>
          </cell>
          <cell r="AG38" t="str">
            <v>47-52%</v>
          </cell>
          <cell r="AH38" t="str">
            <v>57-62%</v>
          </cell>
          <cell r="AI38" t="str">
            <v>54-59%</v>
          </cell>
          <cell r="AJ38" t="str">
            <v>42-47%</v>
          </cell>
        </row>
        <row r="40">
          <cell r="I40" t="str">
            <v>Gross Bookings Scenarios</v>
          </cell>
        </row>
        <row r="41">
          <cell r="I41" t="str">
            <v>Gross bookings by brand</v>
          </cell>
        </row>
        <row r="42">
          <cell r="I42" t="str">
            <v>US</v>
          </cell>
        </row>
        <row r="43">
          <cell r="I43" t="str">
            <v>Agency (Priceline.com)</v>
          </cell>
          <cell r="M43">
            <v>207.69199999999989</v>
          </cell>
          <cell r="N43">
            <v>252.69099999999986</v>
          </cell>
          <cell r="O43">
            <v>201.9899999999999</v>
          </cell>
          <cell r="P43">
            <v>171.93399999999994</v>
          </cell>
          <cell r="Q43">
            <v>190.84899999999999</v>
          </cell>
          <cell r="R43">
            <v>232.13600000000002</v>
          </cell>
          <cell r="S43">
            <v>254.14100000000002</v>
          </cell>
          <cell r="T43">
            <v>246.33799999999991</v>
          </cell>
          <cell r="U43">
            <v>357.07499999999987</v>
          </cell>
          <cell r="V43">
            <v>443.2940000000001</v>
          </cell>
          <cell r="W43">
            <v>385.09300000000013</v>
          </cell>
          <cell r="X43">
            <v>353.52399999999983</v>
          </cell>
          <cell r="Y43">
            <v>417.31599999999986</v>
          </cell>
          <cell r="Z43">
            <v>453.41999999999996</v>
          </cell>
          <cell r="AA43">
            <v>474.61099999999999</v>
          </cell>
          <cell r="AB43">
            <v>427.04500000000019</v>
          </cell>
          <cell r="AC43">
            <v>485.1570000000001</v>
          </cell>
          <cell r="AD43">
            <v>558.46900000000005</v>
          </cell>
          <cell r="AE43">
            <v>538.9</v>
          </cell>
          <cell r="AF43">
            <v>445.875</v>
          </cell>
          <cell r="AG43">
            <v>539.86160000000007</v>
          </cell>
          <cell r="AH43">
            <v>608.48919999999998</v>
          </cell>
          <cell r="AI43">
            <v>660.58500000000004</v>
          </cell>
          <cell r="AJ43">
            <v>526.13249999999994</v>
          </cell>
          <cell r="AK43">
            <v>620.84084000000007</v>
          </cell>
          <cell r="AL43">
            <v>711.93236399999989</v>
          </cell>
          <cell r="AM43">
            <v>772.88445000000002</v>
          </cell>
          <cell r="AN43">
            <v>610.31369999999993</v>
          </cell>
        </row>
        <row r="44">
          <cell r="I44" t="str">
            <v>Base y/y Growth - %</v>
          </cell>
          <cell r="M44" t="str">
            <v>NA</v>
          </cell>
          <cell r="N44" t="str">
            <v>NA</v>
          </cell>
          <cell r="O44" t="str">
            <v>NA</v>
          </cell>
          <cell r="P44" t="str">
            <v>NA</v>
          </cell>
          <cell r="Q44">
            <v>-8.1096046068215966E-2</v>
          </cell>
          <cell r="R44">
            <v>-8.1344408783850075E-2</v>
          </cell>
          <cell r="S44">
            <v>0.25818604881429841</v>
          </cell>
          <cell r="T44">
            <v>0.43274744960275457</v>
          </cell>
          <cell r="U44">
            <v>0.87098177092884899</v>
          </cell>
          <cell r="V44">
            <v>0.90963056139504461</v>
          </cell>
          <cell r="W44">
            <v>0.51527301773425038</v>
          </cell>
          <cell r="X44">
            <v>0.43511760264352217</v>
          </cell>
          <cell r="Y44">
            <v>0.16870685430231736</v>
          </cell>
          <cell r="Z44">
            <v>2.2842628142947685E-2</v>
          </cell>
          <cell r="AA44">
            <v>0.23245813348983191</v>
          </cell>
          <cell r="AB44">
            <v>0.20796607868207073</v>
          </cell>
          <cell r="AC44">
            <v>0.16256505861265858</v>
          </cell>
          <cell r="AD44">
            <v>0.23168144325349593</v>
          </cell>
          <cell r="AE44">
            <v>0.1354561946520414</v>
          </cell>
          <cell r="AF44">
            <v>4.4093713777236143E-2</v>
          </cell>
          <cell r="AG44">
            <v>0.11275648913650627</v>
          </cell>
          <cell r="AH44">
            <v>8.9566654550207625E-2</v>
          </cell>
          <cell r="AI44">
            <v>0.22580256077194294</v>
          </cell>
          <cell r="AJ44">
            <v>0.18</v>
          </cell>
          <cell r="AK44">
            <v>0.15</v>
          </cell>
          <cell r="AL44">
            <v>0.17</v>
          </cell>
          <cell r="AM44">
            <v>0.17</v>
          </cell>
          <cell r="AN44">
            <v>0.16</v>
          </cell>
        </row>
        <row r="45">
          <cell r="I45" t="str">
            <v>Bull y/y Growth - %</v>
          </cell>
          <cell r="M45" t="str">
            <v>NA</v>
          </cell>
          <cell r="N45" t="str">
            <v>NA</v>
          </cell>
          <cell r="O45" t="str">
            <v>NA</v>
          </cell>
          <cell r="P45" t="str">
            <v>NA</v>
          </cell>
          <cell r="Q45">
            <v>-8.1096046068215966E-2</v>
          </cell>
          <cell r="R45">
            <v>-8.1344408783850075E-2</v>
          </cell>
          <cell r="S45">
            <v>0.25818604881429841</v>
          </cell>
          <cell r="T45">
            <v>0.43274744960275457</v>
          </cell>
          <cell r="U45">
            <v>0.87098177092884899</v>
          </cell>
          <cell r="V45">
            <v>0.90963056139504461</v>
          </cell>
          <cell r="W45">
            <v>0.51527301773425038</v>
          </cell>
          <cell r="X45">
            <v>0.43511760264352217</v>
          </cell>
          <cell r="Y45">
            <v>0.16870685430231736</v>
          </cell>
          <cell r="Z45">
            <v>2.2842628142947685E-2</v>
          </cell>
          <cell r="AA45">
            <v>0.23245813348983191</v>
          </cell>
          <cell r="AB45">
            <v>0.20796607868207073</v>
          </cell>
          <cell r="AC45">
            <v>0.16256505861265858</v>
          </cell>
          <cell r="AD45">
            <v>0.23168144325349593</v>
          </cell>
          <cell r="AE45">
            <v>0.1354561946520414</v>
          </cell>
          <cell r="AF45">
            <v>4.4093713777236143E-2</v>
          </cell>
          <cell r="AG45">
            <v>0.11275648913650627</v>
          </cell>
          <cell r="AH45">
            <v>8.9566654550207625E-2</v>
          </cell>
          <cell r="AI45">
            <v>0.22580256077194294</v>
          </cell>
          <cell r="AJ45">
            <v>0.19999999999999998</v>
          </cell>
          <cell r="AK45">
            <v>0.16999999999999998</v>
          </cell>
          <cell r="AL45">
            <v>0.19</v>
          </cell>
          <cell r="AM45">
            <v>0.19</v>
          </cell>
          <cell r="AN45">
            <v>0.18</v>
          </cell>
        </row>
        <row r="46">
          <cell r="I46" t="str">
            <v>Bear y/y Growth - %</v>
          </cell>
          <cell r="M46" t="str">
            <v>NA</v>
          </cell>
          <cell r="N46" t="str">
            <v>NA</v>
          </cell>
          <cell r="O46" t="str">
            <v>NA</v>
          </cell>
          <cell r="P46" t="str">
            <v>NA</v>
          </cell>
          <cell r="Q46">
            <v>-8.1096046068215966E-2</v>
          </cell>
          <cell r="R46">
            <v>-8.1344408783850075E-2</v>
          </cell>
          <cell r="S46">
            <v>0.25818604881429841</v>
          </cell>
          <cell r="T46">
            <v>0.43274744960275457</v>
          </cell>
          <cell r="U46">
            <v>0.87098177092884899</v>
          </cell>
          <cell r="V46">
            <v>0.90963056139504461</v>
          </cell>
          <cell r="W46">
            <v>0.51527301773425038</v>
          </cell>
          <cell r="X46">
            <v>0.43511760264352217</v>
          </cell>
          <cell r="Y46">
            <v>0.16870685430231736</v>
          </cell>
          <cell r="Z46">
            <v>2.2842628142947685E-2</v>
          </cell>
          <cell r="AA46">
            <v>0.23245813348983191</v>
          </cell>
          <cell r="AB46">
            <v>0.20796607868207073</v>
          </cell>
          <cell r="AC46">
            <v>0.16256505861265858</v>
          </cell>
          <cell r="AD46">
            <v>0.23168144325349593</v>
          </cell>
          <cell r="AE46">
            <v>0.1354561946520414</v>
          </cell>
          <cell r="AF46">
            <v>4.4093713777236143E-2</v>
          </cell>
          <cell r="AG46">
            <v>0.11275648913650627</v>
          </cell>
          <cell r="AH46">
            <v>8.9566654550207625E-2</v>
          </cell>
          <cell r="AI46">
            <v>0.22580256077194294</v>
          </cell>
          <cell r="AJ46">
            <v>0.12</v>
          </cell>
          <cell r="AK46">
            <v>0.09</v>
          </cell>
          <cell r="AL46">
            <v>0.09</v>
          </cell>
          <cell r="AM46">
            <v>7.0000000000000007E-2</v>
          </cell>
          <cell r="AN46">
            <v>0.09</v>
          </cell>
        </row>
        <row r="47">
          <cell r="I47" t="str">
            <v>Merchant (NYOP &amp; Priceline.com)</v>
          </cell>
          <cell r="M47">
            <v>266.315</v>
          </cell>
          <cell r="N47">
            <v>318.06599999999997</v>
          </cell>
          <cell r="O47">
            <v>302.762</v>
          </cell>
          <cell r="P47">
            <v>251.34</v>
          </cell>
          <cell r="Q47">
            <v>287.96300000000002</v>
          </cell>
          <cell r="R47">
            <v>315.65100000000001</v>
          </cell>
          <cell r="S47">
            <v>348.06400000000002</v>
          </cell>
          <cell r="T47">
            <v>279.233</v>
          </cell>
          <cell r="U47">
            <v>363.89299999999997</v>
          </cell>
          <cell r="V47">
            <v>428.99</v>
          </cell>
          <cell r="W47">
            <v>414.334</v>
          </cell>
          <cell r="X47">
            <v>335.589</v>
          </cell>
          <cell r="Y47">
            <v>434.26799999999997</v>
          </cell>
          <cell r="Z47">
            <v>510.75799999999992</v>
          </cell>
          <cell r="AA47">
            <v>524.23500000000001</v>
          </cell>
          <cell r="AB47">
            <v>404.40899999999999</v>
          </cell>
          <cell r="AC47">
            <v>504.53799999999995</v>
          </cell>
          <cell r="AD47">
            <v>595.71100000000001</v>
          </cell>
          <cell r="AE47">
            <v>582.1</v>
          </cell>
          <cell r="AF47">
            <v>456.125</v>
          </cell>
          <cell r="AG47">
            <v>589.13839999999993</v>
          </cell>
          <cell r="AH47">
            <v>699.51080000000002</v>
          </cell>
          <cell r="AI47">
            <v>607.41499999999996</v>
          </cell>
          <cell r="AJ47">
            <v>492.61500000000001</v>
          </cell>
          <cell r="AK47">
            <v>636.26947199999995</v>
          </cell>
          <cell r="AL47">
            <v>762.46677200000011</v>
          </cell>
          <cell r="AM47">
            <v>662.08235000000002</v>
          </cell>
          <cell r="AN47">
            <v>532.02420000000006</v>
          </cell>
        </row>
        <row r="48">
          <cell r="I48" t="str">
            <v>Base y/y Growth - %</v>
          </cell>
          <cell r="M48" t="str">
            <v>NA</v>
          </cell>
          <cell r="N48" t="str">
            <v>NA</v>
          </cell>
          <cell r="O48" t="str">
            <v>NA</v>
          </cell>
          <cell r="P48" t="str">
            <v>NA</v>
          </cell>
          <cell r="Q48">
            <v>8.128719749169222E-2</v>
          </cell>
          <cell r="R48">
            <v>-7.5927637660107017E-3</v>
          </cell>
          <cell r="S48">
            <v>0.14962908158883881</v>
          </cell>
          <cell r="T48">
            <v>0.11097716240948508</v>
          </cell>
          <cell r="U48">
            <v>0.26367970885148417</v>
          </cell>
          <cell r="V48">
            <v>0.35906428302143811</v>
          </cell>
          <cell r="W48">
            <v>0.19039601912291992</v>
          </cell>
          <cell r="X48">
            <v>0.20182428294649979</v>
          </cell>
          <cell r="Y48">
            <v>0.19339476164696756</v>
          </cell>
          <cell r="Z48">
            <v>0.19060584162800986</v>
          </cell>
          <cell r="AA48">
            <v>0.26524736082484179</v>
          </cell>
          <cell r="AB48">
            <v>0.2050722759089243</v>
          </cell>
          <cell r="AC48">
            <v>0.16181252130021084</v>
          </cell>
          <cell r="AD48">
            <v>0.1663273017750091</v>
          </cell>
          <cell r="AE48">
            <v>0.11037988688279121</v>
          </cell>
          <cell r="AF48">
            <v>0.12788043787353898</v>
          </cell>
          <cell r="AG48">
            <v>0.16767894588712839</v>
          </cell>
          <cell r="AH48">
            <v>0.17424522964994771</v>
          </cell>
          <cell r="AI48">
            <v>4.3489091221439402E-2</v>
          </cell>
          <cell r="AJ48">
            <v>0.08</v>
          </cell>
          <cell r="AK48">
            <v>0.08</v>
          </cell>
          <cell r="AL48">
            <v>0.09</v>
          </cell>
          <cell r="AM48">
            <v>0.09</v>
          </cell>
          <cell r="AN48">
            <v>0.08</v>
          </cell>
        </row>
        <row r="49">
          <cell r="I49" t="str">
            <v>Bull y/y Growth - %</v>
          </cell>
          <cell r="M49" t="str">
            <v>NA</v>
          </cell>
          <cell r="N49" t="str">
            <v>NA</v>
          </cell>
          <cell r="O49" t="str">
            <v>NA</v>
          </cell>
          <cell r="P49" t="str">
            <v>NA</v>
          </cell>
          <cell r="Q49">
            <v>8.128719749169222E-2</v>
          </cell>
          <cell r="R49">
            <v>-7.5927637660107017E-3</v>
          </cell>
          <cell r="S49">
            <v>0.14962908158883881</v>
          </cell>
          <cell r="T49">
            <v>0.11097716240948508</v>
          </cell>
          <cell r="U49">
            <v>0.26367970885148417</v>
          </cell>
          <cell r="V49">
            <v>0.35906428302143811</v>
          </cell>
          <cell r="W49">
            <v>0.19039601912291992</v>
          </cell>
          <cell r="X49">
            <v>0.20182428294649979</v>
          </cell>
          <cell r="Y49">
            <v>0.19339476164696756</v>
          </cell>
          <cell r="Z49">
            <v>0.19060584162800986</v>
          </cell>
          <cell r="AA49">
            <v>0.26524736082484179</v>
          </cell>
          <cell r="AB49">
            <v>0.2050722759089243</v>
          </cell>
          <cell r="AC49">
            <v>0.16181252130021084</v>
          </cell>
          <cell r="AD49">
            <v>0.1663273017750091</v>
          </cell>
          <cell r="AE49">
            <v>0.11037988688279121</v>
          </cell>
          <cell r="AF49">
            <v>0.12788043787353898</v>
          </cell>
          <cell r="AG49">
            <v>0.16767894588712839</v>
          </cell>
          <cell r="AH49">
            <v>0.17424522964994771</v>
          </cell>
          <cell r="AI49">
            <v>4.3489091221439402E-2</v>
          </cell>
          <cell r="AJ49">
            <v>0.1</v>
          </cell>
          <cell r="AK49">
            <v>0.1</v>
          </cell>
          <cell r="AL49">
            <v>0.11</v>
          </cell>
          <cell r="AM49">
            <v>0.11</v>
          </cell>
          <cell r="AN49">
            <v>0.1</v>
          </cell>
        </row>
        <row r="50">
          <cell r="I50" t="str">
            <v>Bear y/y Growth - %</v>
          </cell>
          <cell r="M50" t="str">
            <v>NA</v>
          </cell>
          <cell r="N50" t="str">
            <v>NA</v>
          </cell>
          <cell r="O50" t="str">
            <v>NA</v>
          </cell>
          <cell r="P50" t="str">
            <v>NA</v>
          </cell>
          <cell r="Q50">
            <v>8.128719749169222E-2</v>
          </cell>
          <cell r="R50">
            <v>-7.5927637660107017E-3</v>
          </cell>
          <cell r="S50">
            <v>0.14962908158883881</v>
          </cell>
          <cell r="T50">
            <v>0.11097716240948508</v>
          </cell>
          <cell r="U50">
            <v>0.26367970885148417</v>
          </cell>
          <cell r="V50">
            <v>0.35906428302143811</v>
          </cell>
          <cell r="W50">
            <v>0.19039601912291992</v>
          </cell>
          <cell r="X50">
            <v>0.20182428294649979</v>
          </cell>
          <cell r="Y50">
            <v>0.19339476164696756</v>
          </cell>
          <cell r="Z50">
            <v>0.19060584162800986</v>
          </cell>
          <cell r="AA50">
            <v>0.26524736082484179</v>
          </cell>
          <cell r="AB50">
            <v>0.2050722759089243</v>
          </cell>
          <cell r="AC50">
            <v>0.16181252130021084</v>
          </cell>
          <cell r="AD50">
            <v>0.1663273017750091</v>
          </cell>
          <cell r="AE50">
            <v>0.11037988688279121</v>
          </cell>
          <cell r="AF50">
            <v>0.12788043787353898</v>
          </cell>
          <cell r="AG50">
            <v>0.16767894588712839</v>
          </cell>
          <cell r="AH50">
            <v>0.17424522964994771</v>
          </cell>
          <cell r="AI50">
            <v>4.3489091221439402E-2</v>
          </cell>
          <cell r="AJ50">
            <v>0.1</v>
          </cell>
          <cell r="AK50">
            <v>0.08</v>
          </cell>
          <cell r="AL50">
            <v>0.09</v>
          </cell>
          <cell r="AM50">
            <v>0.09</v>
          </cell>
          <cell r="AN50">
            <v>0.09</v>
          </cell>
        </row>
        <row r="51">
          <cell r="I51" t="str">
            <v>Total US</v>
          </cell>
          <cell r="M51">
            <v>474.00699999999989</v>
          </cell>
          <cell r="N51">
            <v>570.75699999999983</v>
          </cell>
          <cell r="O51">
            <v>504.7519999999999</v>
          </cell>
          <cell r="P51">
            <v>423.27399999999994</v>
          </cell>
          <cell r="Q51">
            <v>478.81200000000001</v>
          </cell>
          <cell r="R51">
            <v>547.78700000000003</v>
          </cell>
          <cell r="S51">
            <v>602.20500000000004</v>
          </cell>
          <cell r="T51">
            <v>525.57099999999991</v>
          </cell>
          <cell r="U51">
            <v>720.96799999999985</v>
          </cell>
          <cell r="V51">
            <v>872.28400000000011</v>
          </cell>
          <cell r="W51">
            <v>799.42700000000013</v>
          </cell>
          <cell r="X51">
            <v>689.11299999999983</v>
          </cell>
          <cell r="Y51">
            <v>851.58399999999983</v>
          </cell>
          <cell r="Z51">
            <v>964.17799999999988</v>
          </cell>
          <cell r="AA51">
            <v>998.846</v>
          </cell>
          <cell r="AB51">
            <v>831.45400000000018</v>
          </cell>
          <cell r="AC51">
            <v>989.69500000000005</v>
          </cell>
          <cell r="AD51">
            <v>1154.18</v>
          </cell>
          <cell r="AE51">
            <v>1121</v>
          </cell>
          <cell r="AF51">
            <v>902</v>
          </cell>
          <cell r="AG51">
            <v>1129</v>
          </cell>
          <cell r="AH51">
            <v>1308</v>
          </cell>
          <cell r="AI51">
            <v>1268</v>
          </cell>
          <cell r="AJ51">
            <v>1018.7474999999999</v>
          </cell>
          <cell r="AK51">
            <v>1257.110312</v>
          </cell>
          <cell r="AL51">
            <v>1474.399136</v>
          </cell>
          <cell r="AM51">
            <v>1434.9668000000001</v>
          </cell>
          <cell r="AN51">
            <v>1142.3379</v>
          </cell>
        </row>
        <row r="52">
          <cell r="I52" t="str">
            <v>y/y Growth - %</v>
          </cell>
          <cell r="M52" t="str">
            <v>NA</v>
          </cell>
          <cell r="N52" t="str">
            <v>NA</v>
          </cell>
          <cell r="O52" t="str">
            <v>NA</v>
          </cell>
          <cell r="P52" t="str">
            <v>NA</v>
          </cell>
          <cell r="Q52">
            <v>1.0136981099435394E-2</v>
          </cell>
          <cell r="R52">
            <v>-4.0244797698494872E-2</v>
          </cell>
          <cell r="S52">
            <v>0.19307105271499703</v>
          </cell>
          <cell r="T52">
            <v>0.24168032999900779</v>
          </cell>
          <cell r="U52">
            <v>0.50574338153596776</v>
          </cell>
          <cell r="V52">
            <v>0.5923780593551875</v>
          </cell>
          <cell r="W52">
            <v>0.32749977167243727</v>
          </cell>
          <cell r="X52">
            <v>0.31117013686067141</v>
          </cell>
          <cell r="Y52">
            <v>0.1811675414165399</v>
          </cell>
          <cell r="Z52">
            <v>0.10534871670235813</v>
          </cell>
          <cell r="AA52">
            <v>0.24945242029603687</v>
          </cell>
          <cell r="AB52">
            <v>0.20655683465556507</v>
          </cell>
          <cell r="AC52">
            <v>0.16218129978956886</v>
          </cell>
          <cell r="AD52">
            <v>0.19706112356846983</v>
          </cell>
          <cell r="AE52">
            <v>0.12229512857837954</v>
          </cell>
          <cell r="AF52">
            <v>8.4846545930381989E-2</v>
          </cell>
          <cell r="AG52">
            <v>0.14075548527576665</v>
          </cell>
          <cell r="AH52">
            <v>0.13327210660382249</v>
          </cell>
          <cell r="AI52">
            <v>0.13113291703835861</v>
          </cell>
          <cell r="AJ52">
            <v>0.12943181818181815</v>
          </cell>
          <cell r="AK52">
            <v>0.11347237555358736</v>
          </cell>
          <cell r="AL52">
            <v>0.12721646483180438</v>
          </cell>
          <cell r="AM52">
            <v>0.13167728706624615</v>
          </cell>
          <cell r="AN52">
            <v>0.12131602776939343</v>
          </cell>
        </row>
        <row r="54">
          <cell r="I54" t="str">
            <v>Europe</v>
          </cell>
        </row>
        <row r="55">
          <cell r="I55" t="str">
            <v>Agency (Booking.com)</v>
          </cell>
          <cell r="M55">
            <v>267.26400000000007</v>
          </cell>
          <cell r="N55">
            <v>350.74300000000011</v>
          </cell>
          <cell r="O55">
            <v>392.76600000000008</v>
          </cell>
          <cell r="P55">
            <v>313.15600000000006</v>
          </cell>
          <cell r="Q55">
            <v>504.00400000000002</v>
          </cell>
          <cell r="R55">
            <v>670.29899999999998</v>
          </cell>
          <cell r="S55">
            <v>772.15299999999979</v>
          </cell>
          <cell r="T55">
            <v>649.81000000000006</v>
          </cell>
          <cell r="U55">
            <v>972.23150000000021</v>
          </cell>
          <cell r="V55">
            <v>1168.3035</v>
          </cell>
          <cell r="W55">
            <v>1173.1324999999999</v>
          </cell>
          <cell r="X55">
            <v>711.15499999999997</v>
          </cell>
          <cell r="Y55">
            <v>962.86</v>
          </cell>
          <cell r="Z55">
            <v>1262.009125</v>
          </cell>
          <cell r="AA55">
            <v>1538.44625</v>
          </cell>
          <cell r="AB55">
            <v>1228.8415</v>
          </cell>
          <cell r="AC55">
            <v>1656.6200000000001</v>
          </cell>
          <cell r="AD55">
            <v>1843.9102500000001</v>
          </cell>
          <cell r="AE55">
            <v>2305.939625</v>
          </cell>
          <cell r="AF55">
            <v>1857.9887500000002</v>
          </cell>
          <cell r="AG55">
            <v>2708.0260000000003</v>
          </cell>
          <cell r="AH55">
            <v>3431.0739750000002</v>
          </cell>
          <cell r="AI55">
            <v>3748.7228999999998</v>
          </cell>
          <cell r="AJ55">
            <v>2679.5012112589302</v>
          </cell>
          <cell r="AK55">
            <v>3449.3490420691924</v>
          </cell>
          <cell r="AL55">
            <v>4320.3888031699053</v>
          </cell>
          <cell r="AM55">
            <v>4811.7956430876802</v>
          </cell>
          <cell r="AN55">
            <v>3367.4356604679911</v>
          </cell>
        </row>
        <row r="56">
          <cell r="I56" t="str">
            <v>Base y/y Growth - %</v>
          </cell>
          <cell r="M56" t="str">
            <v>NA</v>
          </cell>
          <cell r="N56" t="str">
            <v>NA</v>
          </cell>
          <cell r="O56" t="str">
            <v>NA</v>
          </cell>
          <cell r="P56" t="str">
            <v>NA</v>
          </cell>
          <cell r="Q56">
            <v>0.88579082854406099</v>
          </cell>
          <cell r="R56">
            <v>0.91108304371006632</v>
          </cell>
          <cell r="S56">
            <v>0.96593646089529051</v>
          </cell>
          <cell r="T56">
            <v>1.0750360842519382</v>
          </cell>
          <cell r="U56">
            <v>0.92901544432187078</v>
          </cell>
          <cell r="V56">
            <v>0.74295873930887568</v>
          </cell>
          <cell r="W56">
            <v>0.51930057903032201</v>
          </cell>
          <cell r="X56">
            <v>9.4404518243794255E-2</v>
          </cell>
          <cell r="Y56">
            <v>-9.639165157681262E-3</v>
          </cell>
          <cell r="Z56">
            <v>8.0206577314884342E-2</v>
          </cell>
          <cell r="AA56">
            <v>0.31140024677519373</v>
          </cell>
          <cell r="AB56">
            <v>0.72795171235525324</v>
          </cell>
          <cell r="AC56">
            <v>0.72052011715098785</v>
          </cell>
          <cell r="AD56">
            <v>0.46109105986060128</v>
          </cell>
          <cell r="AE56">
            <v>0.49887565132678513</v>
          </cell>
          <cell r="AF56">
            <v>0.51198405164539129</v>
          </cell>
          <cell r="AG56">
            <v>0.63466938706522935</v>
          </cell>
          <cell r="AH56">
            <v>0.86075974955939416</v>
          </cell>
          <cell r="AI56">
            <v>0.62568128816468893</v>
          </cell>
          <cell r="AJ56">
            <v>0.44215147226210577</v>
          </cell>
          <cell r="AK56">
            <v>0.27375034141813703</v>
          </cell>
          <cell r="AL56">
            <v>0.25919430319770514</v>
          </cell>
          <cell r="AM56">
            <v>0.28358264172784808</v>
          </cell>
          <cell r="AN56">
            <v>0.2567397418289814</v>
          </cell>
        </row>
        <row r="57">
          <cell r="I57" t="str">
            <v>(+/-) FX y/y Growth - %</v>
          </cell>
          <cell r="M57" t="str">
            <v>NA</v>
          </cell>
          <cell r="N57" t="str">
            <v>NA</v>
          </cell>
          <cell r="O57" t="str">
            <v>NA</v>
          </cell>
          <cell r="P57" t="str">
            <v>NA</v>
          </cell>
          <cell r="Q57">
            <v>-9.1972109638473659E-2</v>
          </cell>
          <cell r="R57">
            <v>-7.3297305063479229E-2</v>
          </cell>
          <cell r="S57">
            <v>-7.896214873579005E-2</v>
          </cell>
          <cell r="T57">
            <v>-0.11721712931699564</v>
          </cell>
          <cell r="U57">
            <v>-0.13140358182497841</v>
          </cell>
          <cell r="V57">
            <v>-0.14161757392778682</v>
          </cell>
          <cell r="W57">
            <v>-7.7851551401563981E-2</v>
          </cell>
          <cell r="X57">
            <v>0.10256635929406802</v>
          </cell>
          <cell r="Y57">
            <v>0.14560563389727577</v>
          </cell>
          <cell r="Z57">
            <v>0.13692506323139333</v>
          </cell>
          <cell r="AA57">
            <v>5.799372733296853E-2</v>
          </cell>
          <cell r="AB57">
            <v>-0.11086810894296383</v>
          </cell>
          <cell r="AC57">
            <v>-6.5479792528646219E-2</v>
          </cell>
          <cell r="AD57">
            <v>6.0472143123514489E-2</v>
          </cell>
          <cell r="AE57">
            <v>9.3155893545851146E-2</v>
          </cell>
          <cell r="AF57">
            <v>7.4243104641365701E-2</v>
          </cell>
          <cell r="AG57">
            <v>9.4701139141183943E-3</v>
          </cell>
          <cell r="AH57">
            <v>-0.12422162731977604</v>
          </cell>
          <cell r="AI57">
            <v>-9.1726248536802363E-2</v>
          </cell>
          <cell r="AJ57">
            <v>7.8485277378942623E-3</v>
          </cell>
          <cell r="AK57">
            <v>4.6249658581862953E-2</v>
          </cell>
          <cell r="AL57">
            <v>9.0805696802294833E-2</v>
          </cell>
          <cell r="AM57">
            <v>7.6417358272151931E-2</v>
          </cell>
          <cell r="AN57">
            <v>3.3260258171018589E-2</v>
          </cell>
        </row>
        <row r="58">
          <cell r="I58" t="str">
            <v>Organic y/y Growth - %</v>
          </cell>
          <cell r="M58" t="str">
            <v>NA</v>
          </cell>
          <cell r="N58" t="str">
            <v>NA</v>
          </cell>
          <cell r="O58" t="str">
            <v>NA</v>
          </cell>
          <cell r="P58" t="str">
            <v>NA</v>
          </cell>
          <cell r="Q58">
            <v>0.79381871890558731</v>
          </cell>
          <cell r="R58">
            <v>0.83778573864658712</v>
          </cell>
          <cell r="S58">
            <v>0.8869743121595004</v>
          </cell>
          <cell r="T58">
            <v>0.95781895493494251</v>
          </cell>
          <cell r="U58">
            <v>0.79761186249689242</v>
          </cell>
          <cell r="V58">
            <v>0.60134116538108884</v>
          </cell>
          <cell r="W58">
            <v>0.44144902762875804</v>
          </cell>
          <cell r="X58">
            <v>0.19697087753786227</v>
          </cell>
          <cell r="Y58">
            <v>0.1359664687395945</v>
          </cell>
          <cell r="Z58">
            <v>0.21713164054627768</v>
          </cell>
          <cell r="AA58">
            <v>0.36939397410816227</v>
          </cell>
          <cell r="AB58">
            <v>0.61708360341228941</v>
          </cell>
          <cell r="AC58">
            <v>0.65504032462234163</v>
          </cell>
          <cell r="AD58">
            <v>0.52156320298411574</v>
          </cell>
          <cell r="AE58">
            <v>0.59203154487263632</v>
          </cell>
          <cell r="AF58">
            <v>0.58622715628675703</v>
          </cell>
          <cell r="AG58">
            <v>0.6441395009793478</v>
          </cell>
          <cell r="AH58">
            <v>0.73653812223961812</v>
          </cell>
          <cell r="AI58">
            <v>0.5339550396278866</v>
          </cell>
          <cell r="AJ58">
            <v>0.45</v>
          </cell>
          <cell r="AK58">
            <v>0.32</v>
          </cell>
          <cell r="AL58">
            <v>0.35</v>
          </cell>
          <cell r="AM58">
            <v>0.36</v>
          </cell>
          <cell r="AN58">
            <v>0.28999999999999998</v>
          </cell>
        </row>
        <row r="59">
          <cell r="I59" t="str">
            <v>Bull y/y Growth - %</v>
          </cell>
          <cell r="M59" t="str">
            <v>NA</v>
          </cell>
          <cell r="N59" t="str">
            <v>NA</v>
          </cell>
          <cell r="O59" t="str">
            <v>NA</v>
          </cell>
          <cell r="P59" t="str">
            <v>NA</v>
          </cell>
          <cell r="Q59">
            <v>0.88579082854406099</v>
          </cell>
          <cell r="R59">
            <v>0.91108304371006632</v>
          </cell>
          <cell r="S59">
            <v>0.96593646089529051</v>
          </cell>
          <cell r="T59">
            <v>1.0750360842519382</v>
          </cell>
          <cell r="U59">
            <v>0.92901544432187078</v>
          </cell>
          <cell r="V59">
            <v>0.74295873930887568</v>
          </cell>
          <cell r="W59">
            <v>0.51930057903032201</v>
          </cell>
          <cell r="X59">
            <v>9.4404518243794255E-2</v>
          </cell>
          <cell r="Y59">
            <v>-9.639165157681262E-3</v>
          </cell>
          <cell r="Z59">
            <v>8.0206577314884342E-2</v>
          </cell>
          <cell r="AA59">
            <v>0.31140024677519373</v>
          </cell>
          <cell r="AB59">
            <v>0.72795171235525324</v>
          </cell>
          <cell r="AC59">
            <v>0.72052011715098785</v>
          </cell>
          <cell r="AD59">
            <v>0.46109105986060128</v>
          </cell>
          <cell r="AE59">
            <v>0.49887565132678513</v>
          </cell>
          <cell r="AF59">
            <v>0.51198405164539129</v>
          </cell>
          <cell r="AG59">
            <v>0.63466938706522935</v>
          </cell>
          <cell r="AH59">
            <v>0.86075974955939416</v>
          </cell>
          <cell r="AI59">
            <v>0.62568128816468893</v>
          </cell>
          <cell r="AJ59">
            <v>0.47215147226210574</v>
          </cell>
          <cell r="AK59">
            <v>0.30375034141813706</v>
          </cell>
          <cell r="AL59">
            <v>0.28919430319770512</v>
          </cell>
          <cell r="AM59">
            <v>0.31358264172784811</v>
          </cell>
          <cell r="AN59">
            <v>0.28673974182898143</v>
          </cell>
        </row>
        <row r="60">
          <cell r="I60" t="str">
            <v>Bear y/y Growth - %</v>
          </cell>
          <cell r="M60" t="str">
            <v>NA</v>
          </cell>
          <cell r="N60" t="str">
            <v>NA</v>
          </cell>
          <cell r="O60" t="str">
            <v>NA</v>
          </cell>
          <cell r="P60" t="str">
            <v>NA</v>
          </cell>
          <cell r="Q60">
            <v>0.88579082854406099</v>
          </cell>
          <cell r="R60">
            <v>0.91108304371006632</v>
          </cell>
          <cell r="S60">
            <v>0.96593646089529051</v>
          </cell>
          <cell r="T60">
            <v>1.0750360842519382</v>
          </cell>
          <cell r="U60">
            <v>0.92901544432187078</v>
          </cell>
          <cell r="V60">
            <v>0.74295873930887568</v>
          </cell>
          <cell r="W60">
            <v>0.51930057903032201</v>
          </cell>
          <cell r="X60">
            <v>9.4404518243794255E-2</v>
          </cell>
          <cell r="Y60">
            <v>-9.639165157681262E-3</v>
          </cell>
          <cell r="Z60">
            <v>8.0206577314884342E-2</v>
          </cell>
          <cell r="AA60">
            <v>0.31140024677519373</v>
          </cell>
          <cell r="AB60">
            <v>0.72795171235525324</v>
          </cell>
          <cell r="AC60">
            <v>0.72052011715098785</v>
          </cell>
          <cell r="AD60">
            <v>0.46109105986060128</v>
          </cell>
          <cell r="AE60">
            <v>0.49887565132678513</v>
          </cell>
          <cell r="AF60">
            <v>0.51198405164539129</v>
          </cell>
          <cell r="AG60">
            <v>0.63466938706522935</v>
          </cell>
          <cell r="AH60">
            <v>0.86075974955939416</v>
          </cell>
          <cell r="AI60">
            <v>0.62568128816468893</v>
          </cell>
          <cell r="AJ60">
            <v>0.39215147226210578</v>
          </cell>
          <cell r="AK60">
            <v>0.22375034141813704</v>
          </cell>
          <cell r="AL60">
            <v>0.20919430319770516</v>
          </cell>
          <cell r="AM60">
            <v>0.23358264172784809</v>
          </cell>
          <cell r="AN60">
            <v>0.20673974182898142</v>
          </cell>
        </row>
        <row r="61">
          <cell r="I61" t="str">
            <v>Merchant (TravelJigsaw)</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43.9</v>
          </cell>
          <cell r="AE61">
            <v>85.8</v>
          </cell>
          <cell r="AF61">
            <v>55</v>
          </cell>
          <cell r="AG61">
            <v>95.7</v>
          </cell>
          <cell r="AH61">
            <v>154</v>
          </cell>
          <cell r="AI61">
            <v>145.85999999999999</v>
          </cell>
          <cell r="AJ61">
            <v>93.068330974415815</v>
          </cell>
          <cell r="AK61">
            <v>148.69390767371573</v>
          </cell>
          <cell r="AL61">
            <v>240.11592269244659</v>
          </cell>
          <cell r="AM61">
            <v>229.52276412242392</v>
          </cell>
          <cell r="AN61">
            <v>145.81385284331043</v>
          </cell>
        </row>
        <row r="62">
          <cell r="I62" t="str">
            <v>Base y/y Growth - %</v>
          </cell>
          <cell r="M62" t="str">
            <v>NA</v>
          </cell>
          <cell r="N62" t="str">
            <v>NA</v>
          </cell>
          <cell r="O62" t="str">
            <v>NA</v>
          </cell>
          <cell r="P62" t="str">
            <v>NA</v>
          </cell>
          <cell r="Q62" t="str">
            <v>NA</v>
          </cell>
          <cell r="R62" t="str">
            <v>NA</v>
          </cell>
          <cell r="S62" t="str">
            <v>NA</v>
          </cell>
          <cell r="T62" t="str">
            <v>NA</v>
          </cell>
          <cell r="U62" t="str">
            <v>NA</v>
          </cell>
          <cell r="V62" t="str">
            <v>NA</v>
          </cell>
          <cell r="W62" t="str">
            <v>NA</v>
          </cell>
          <cell r="X62" t="str">
            <v>NA</v>
          </cell>
          <cell r="Y62" t="str">
            <v>NA</v>
          </cell>
          <cell r="Z62" t="str">
            <v>NA</v>
          </cell>
          <cell r="AA62" t="str">
            <v>NA</v>
          </cell>
          <cell r="AB62" t="str">
            <v>NA</v>
          </cell>
          <cell r="AC62" t="str">
            <v>NA</v>
          </cell>
          <cell r="AD62" t="str">
            <v>NA</v>
          </cell>
          <cell r="AE62" t="str">
            <v>NA</v>
          </cell>
          <cell r="AF62" t="str">
            <v>NA</v>
          </cell>
          <cell r="AG62" t="str">
            <v>NA</v>
          </cell>
          <cell r="AH62" t="str">
            <v>NA</v>
          </cell>
          <cell r="AI62">
            <v>0.7</v>
          </cell>
          <cell r="AJ62">
            <v>0.69215147226210572</v>
          </cell>
          <cell r="AK62">
            <v>0.55375034141813706</v>
          </cell>
          <cell r="AL62">
            <v>0.55919430319770513</v>
          </cell>
          <cell r="AM62">
            <v>0.57358264172784812</v>
          </cell>
          <cell r="AN62">
            <v>0.56673974182898135</v>
          </cell>
        </row>
        <row r="63">
          <cell r="I63" t="str">
            <v>(+/-) FX y/y Growth - %</v>
          </cell>
          <cell r="M63" t="str">
            <v>NA</v>
          </cell>
          <cell r="N63" t="str">
            <v>NA</v>
          </cell>
          <cell r="O63" t="str">
            <v>NA</v>
          </cell>
          <cell r="P63" t="str">
            <v>NA</v>
          </cell>
          <cell r="Q63" t="str">
            <v>NA</v>
          </cell>
          <cell r="R63" t="str">
            <v>NA</v>
          </cell>
          <cell r="S63" t="str">
            <v>NA</v>
          </cell>
          <cell r="T63" t="str">
            <v>NA</v>
          </cell>
          <cell r="U63" t="str">
            <v>NA</v>
          </cell>
          <cell r="V63" t="str">
            <v>NA</v>
          </cell>
          <cell r="W63" t="str">
            <v>NA</v>
          </cell>
          <cell r="X63" t="str">
            <v>NA</v>
          </cell>
          <cell r="Y63" t="str">
            <v>NA</v>
          </cell>
          <cell r="Z63" t="str">
            <v>NA</v>
          </cell>
          <cell r="AA63" t="str">
            <v>NA</v>
          </cell>
          <cell r="AB63" t="str">
            <v>NA</v>
          </cell>
          <cell r="AC63" t="str">
            <v>NA</v>
          </cell>
          <cell r="AD63" t="str">
            <v>NA</v>
          </cell>
          <cell r="AE63" t="str">
            <v>NA</v>
          </cell>
          <cell r="AF63" t="str">
            <v>NA</v>
          </cell>
          <cell r="AG63" t="str">
            <v>NA</v>
          </cell>
          <cell r="AH63" t="str">
            <v>NA</v>
          </cell>
          <cell r="AI63">
            <v>-9.1726248536802363E-2</v>
          </cell>
          <cell r="AJ63">
            <v>7.8485277378942623E-3</v>
          </cell>
          <cell r="AK63">
            <v>4.6249658581862953E-2</v>
          </cell>
          <cell r="AL63">
            <v>9.0805696802294833E-2</v>
          </cell>
          <cell r="AM63">
            <v>7.6417358272151931E-2</v>
          </cell>
          <cell r="AN63">
            <v>3.3260258171018589E-2</v>
          </cell>
        </row>
        <row r="64">
          <cell r="I64" t="str">
            <v>Organic y/y Growth - %</v>
          </cell>
          <cell r="M64" t="str">
            <v>NA</v>
          </cell>
          <cell r="N64" t="str">
            <v>NA</v>
          </cell>
          <cell r="O64" t="str">
            <v>NA</v>
          </cell>
          <cell r="P64" t="str">
            <v>NA</v>
          </cell>
          <cell r="Q64" t="str">
            <v>NA</v>
          </cell>
          <cell r="R64" t="str">
            <v>NA</v>
          </cell>
          <cell r="S64" t="str">
            <v>NA</v>
          </cell>
          <cell r="T64" t="str">
            <v>NA</v>
          </cell>
          <cell r="U64" t="str">
            <v>NA</v>
          </cell>
          <cell r="V64" t="str">
            <v>NA</v>
          </cell>
          <cell r="W64" t="str">
            <v>NA</v>
          </cell>
          <cell r="X64" t="str">
            <v>NA</v>
          </cell>
          <cell r="Y64" t="str">
            <v>NA</v>
          </cell>
          <cell r="Z64" t="str">
            <v>NA</v>
          </cell>
          <cell r="AA64" t="str">
            <v>NA</v>
          </cell>
          <cell r="AB64" t="str">
            <v>NA</v>
          </cell>
          <cell r="AC64" t="str">
            <v>NA</v>
          </cell>
          <cell r="AD64" t="str">
            <v>NA</v>
          </cell>
          <cell r="AE64" t="str">
            <v>NA</v>
          </cell>
          <cell r="AF64" t="str">
            <v>NA</v>
          </cell>
          <cell r="AG64" t="str">
            <v>NA</v>
          </cell>
          <cell r="AH64" t="str">
            <v>NA</v>
          </cell>
          <cell r="AI64">
            <v>0.60827375146319762</v>
          </cell>
          <cell r="AJ64">
            <v>0.7</v>
          </cell>
          <cell r="AK64">
            <v>0.6</v>
          </cell>
          <cell r="AL64">
            <v>0.65</v>
          </cell>
          <cell r="AM64">
            <v>0.65</v>
          </cell>
          <cell r="AN64">
            <v>0.6</v>
          </cell>
        </row>
        <row r="65">
          <cell r="I65" t="str">
            <v>Bull y/y Growth - %</v>
          </cell>
          <cell r="M65" t="str">
            <v>NA</v>
          </cell>
          <cell r="N65" t="str">
            <v>NA</v>
          </cell>
          <cell r="O65" t="str">
            <v>NA</v>
          </cell>
          <cell r="P65" t="str">
            <v>NA</v>
          </cell>
          <cell r="Q65" t="str">
            <v>NA</v>
          </cell>
          <cell r="R65" t="str">
            <v>NA</v>
          </cell>
          <cell r="S65" t="str">
            <v>NA</v>
          </cell>
          <cell r="T65" t="str">
            <v>NA</v>
          </cell>
          <cell r="U65" t="str">
            <v>NA</v>
          </cell>
          <cell r="V65" t="str">
            <v>NA</v>
          </cell>
          <cell r="W65" t="str">
            <v>NA</v>
          </cell>
          <cell r="X65" t="str">
            <v>NA</v>
          </cell>
          <cell r="Y65" t="str">
            <v>NA</v>
          </cell>
          <cell r="Z65" t="str">
            <v>NA</v>
          </cell>
          <cell r="AA65" t="str">
            <v>NA</v>
          </cell>
          <cell r="AB65" t="str">
            <v>NA</v>
          </cell>
          <cell r="AC65" t="str">
            <v>NA</v>
          </cell>
          <cell r="AD65" t="str">
            <v>NA</v>
          </cell>
          <cell r="AE65" t="str">
            <v>NA</v>
          </cell>
          <cell r="AF65" t="str">
            <v>NA</v>
          </cell>
          <cell r="AG65" t="str">
            <v>NA</v>
          </cell>
          <cell r="AH65" t="str">
            <v>NA</v>
          </cell>
          <cell r="AI65">
            <v>0.7</v>
          </cell>
          <cell r="AJ65">
            <v>0.72</v>
          </cell>
          <cell r="AK65">
            <v>0.62</v>
          </cell>
          <cell r="AL65">
            <v>0.67</v>
          </cell>
          <cell r="AM65">
            <v>0.67</v>
          </cell>
          <cell r="AN65">
            <v>0.62</v>
          </cell>
        </row>
        <row r="66">
          <cell r="I66" t="str">
            <v>Bear y/y Growth - %</v>
          </cell>
          <cell r="M66" t="str">
            <v>NA</v>
          </cell>
          <cell r="N66" t="str">
            <v>NA</v>
          </cell>
          <cell r="O66" t="str">
            <v>NA</v>
          </cell>
          <cell r="P66" t="str">
            <v>NA</v>
          </cell>
          <cell r="Q66" t="str">
            <v>NA</v>
          </cell>
          <cell r="R66" t="str">
            <v>NA</v>
          </cell>
          <cell r="S66" t="str">
            <v>NA</v>
          </cell>
          <cell r="T66" t="str">
            <v>NA</v>
          </cell>
          <cell r="U66" t="str">
            <v>NA</v>
          </cell>
          <cell r="V66" t="str">
            <v>NA</v>
          </cell>
          <cell r="W66" t="str">
            <v>NA</v>
          </cell>
          <cell r="X66" t="str">
            <v>NA</v>
          </cell>
          <cell r="Y66" t="str">
            <v>NA</v>
          </cell>
          <cell r="Z66" t="str">
            <v>NA</v>
          </cell>
          <cell r="AA66" t="str">
            <v>NA</v>
          </cell>
          <cell r="AB66" t="str">
            <v>NA</v>
          </cell>
          <cell r="AC66" t="str">
            <v>NA</v>
          </cell>
          <cell r="AD66" t="str">
            <v>NA</v>
          </cell>
          <cell r="AE66" t="str">
            <v>NA</v>
          </cell>
          <cell r="AF66" t="str">
            <v>NA</v>
          </cell>
          <cell r="AG66" t="str">
            <v>NA</v>
          </cell>
          <cell r="AH66" t="str">
            <v>NA</v>
          </cell>
          <cell r="AI66">
            <v>0.7</v>
          </cell>
          <cell r="AJ66">
            <v>0.4</v>
          </cell>
          <cell r="AK66">
            <v>0.25</v>
          </cell>
          <cell r="AL66">
            <v>0.3</v>
          </cell>
          <cell r="AM66">
            <v>0.3</v>
          </cell>
          <cell r="AN66">
            <v>0.25</v>
          </cell>
        </row>
        <row r="67">
          <cell r="I67" t="str">
            <v>Total Europe</v>
          </cell>
          <cell r="M67">
            <v>267.26400000000007</v>
          </cell>
          <cell r="N67">
            <v>350.74300000000011</v>
          </cell>
          <cell r="O67">
            <v>392.76600000000008</v>
          </cell>
          <cell r="P67">
            <v>313.15600000000006</v>
          </cell>
          <cell r="Q67">
            <v>504.00400000000002</v>
          </cell>
          <cell r="R67">
            <v>670.29899999999998</v>
          </cell>
          <cell r="S67">
            <v>772.15299999999979</v>
          </cell>
          <cell r="T67">
            <v>649.81000000000006</v>
          </cell>
          <cell r="U67">
            <v>972.23150000000021</v>
          </cell>
          <cell r="V67">
            <v>1168.3035</v>
          </cell>
          <cell r="W67">
            <v>1173.1324999999999</v>
          </cell>
          <cell r="X67">
            <v>711.15499999999997</v>
          </cell>
          <cell r="Y67">
            <v>962.86</v>
          </cell>
          <cell r="Z67">
            <v>1262.009125</v>
          </cell>
          <cell r="AA67">
            <v>1538.44625</v>
          </cell>
          <cell r="AB67">
            <v>1228.8415</v>
          </cell>
          <cell r="AC67">
            <v>1656.6200000000001</v>
          </cell>
          <cell r="AD67">
            <v>1887.8102500000002</v>
          </cell>
          <cell r="AE67">
            <v>2391.7396250000002</v>
          </cell>
          <cell r="AF67">
            <v>1912.9887500000002</v>
          </cell>
          <cell r="AG67">
            <v>2803.7260000000001</v>
          </cell>
          <cell r="AH67">
            <v>3585.0739750000002</v>
          </cell>
          <cell r="AI67">
            <v>3894.5828999999999</v>
          </cell>
          <cell r="AJ67">
            <v>2772.5695422333461</v>
          </cell>
          <cell r="AK67">
            <v>3598.0429497429081</v>
          </cell>
          <cell r="AL67">
            <v>4560.5047258623517</v>
          </cell>
          <cell r="AM67">
            <v>5041.3184072101039</v>
          </cell>
          <cell r="AN67">
            <v>3513.2495133113016</v>
          </cell>
        </row>
        <row r="68">
          <cell r="I68" t="str">
            <v>y/y Growth - %</v>
          </cell>
          <cell r="M68" t="str">
            <v>NA</v>
          </cell>
          <cell r="N68" t="str">
            <v>NA</v>
          </cell>
          <cell r="O68" t="str">
            <v>NA</v>
          </cell>
          <cell r="P68" t="str">
            <v>NA</v>
          </cell>
          <cell r="Q68">
            <v>0.88579082854406099</v>
          </cell>
          <cell r="R68">
            <v>0.91108304371006632</v>
          </cell>
          <cell r="S68">
            <v>0.96593646089529051</v>
          </cell>
          <cell r="T68">
            <v>1.0750360842519382</v>
          </cell>
          <cell r="U68">
            <v>0.92901544432187078</v>
          </cell>
          <cell r="V68">
            <v>0.74295873930887568</v>
          </cell>
          <cell r="W68">
            <v>0.51930057903032201</v>
          </cell>
          <cell r="X68">
            <v>9.4404518243794255E-2</v>
          </cell>
          <cell r="Y68">
            <v>-9.639165157681262E-3</v>
          </cell>
          <cell r="Z68">
            <v>8.0206577314884342E-2</v>
          </cell>
          <cell r="AA68">
            <v>0.31140024677519373</v>
          </cell>
          <cell r="AB68">
            <v>0.72795171235525324</v>
          </cell>
          <cell r="AC68">
            <v>0.72052011715098785</v>
          </cell>
          <cell r="AD68">
            <v>0.49587686222157878</v>
          </cell>
          <cell r="AE68">
            <v>0.55464620554666766</v>
          </cell>
          <cell r="AF68">
            <v>0.55674165463975633</v>
          </cell>
          <cell r="AG68">
            <v>0.69243761393681114</v>
          </cell>
          <cell r="AH68">
            <v>0.8990647894829471</v>
          </cell>
          <cell r="AI68">
            <v>0.62834735825393184</v>
          </cell>
          <cell r="AJ68">
            <v>0.44933917788766187</v>
          </cell>
          <cell r="AK68">
            <v>0.28330762340646265</v>
          </cell>
          <cell r="AL68">
            <v>0.27208106657334774</v>
          </cell>
          <cell r="AM68">
            <v>0.29444372777636962</v>
          </cell>
          <cell r="AN68">
            <v>0.26714567833033565</v>
          </cell>
        </row>
        <row r="70">
          <cell r="I70" t="str">
            <v>Asia</v>
          </cell>
        </row>
        <row r="71">
          <cell r="I71" t="str">
            <v>Agency (Booking.com)</v>
          </cell>
          <cell r="M71">
            <v>3.55</v>
          </cell>
          <cell r="N71">
            <v>3.85</v>
          </cell>
          <cell r="O71">
            <v>3.65</v>
          </cell>
          <cell r="P71">
            <v>3.98</v>
          </cell>
          <cell r="Q71">
            <v>8.875</v>
          </cell>
          <cell r="R71">
            <v>9.625</v>
          </cell>
          <cell r="S71">
            <v>9.125</v>
          </cell>
          <cell r="T71">
            <v>9.9499999999999993</v>
          </cell>
          <cell r="U71">
            <v>20.412499999999998</v>
          </cell>
          <cell r="V71">
            <v>22.137499999999999</v>
          </cell>
          <cell r="W71">
            <v>20.987499999999997</v>
          </cell>
          <cell r="X71">
            <v>22.884999999999998</v>
          </cell>
          <cell r="Y71">
            <v>32.659999999999997</v>
          </cell>
          <cell r="Z71">
            <v>40.068874999999998</v>
          </cell>
          <cell r="AA71">
            <v>44.073749999999997</v>
          </cell>
          <cell r="AB71">
            <v>57.212499999999991</v>
          </cell>
          <cell r="AC71">
            <v>71.852000000000004</v>
          </cell>
          <cell r="AD71">
            <v>80.137749999999997</v>
          </cell>
          <cell r="AE71">
            <v>110.18437499999999</v>
          </cell>
          <cell r="AF71">
            <v>120.14624999999998</v>
          </cell>
          <cell r="AG71">
            <v>165.25960000000001</v>
          </cell>
          <cell r="AH71">
            <v>184.31682499999997</v>
          </cell>
          <cell r="AI71">
            <v>264.44249999999994</v>
          </cell>
          <cell r="AJ71">
            <v>245.75376680028927</v>
          </cell>
          <cell r="AK71">
            <v>288.41048440831901</v>
          </cell>
          <cell r="AL71">
            <v>326.177998202222</v>
          </cell>
          <cell r="AM71">
            <v>463.28131597920077</v>
          </cell>
          <cell r="AN71">
            <v>420.87216842516807</v>
          </cell>
        </row>
        <row r="72">
          <cell r="I72" t="str">
            <v>Base y/y Growth - %</v>
          </cell>
          <cell r="M72" t="str">
            <v>NA</v>
          </cell>
          <cell r="N72" t="str">
            <v>NA</v>
          </cell>
          <cell r="O72" t="str">
            <v>NA</v>
          </cell>
          <cell r="P72" t="str">
            <v>NA</v>
          </cell>
          <cell r="Q72">
            <v>1.5</v>
          </cell>
          <cell r="R72">
            <v>1.5</v>
          </cell>
          <cell r="S72">
            <v>1.5</v>
          </cell>
          <cell r="T72">
            <v>1.5</v>
          </cell>
          <cell r="U72">
            <v>1.3</v>
          </cell>
          <cell r="V72">
            <v>1.3</v>
          </cell>
          <cell r="W72">
            <v>1.3</v>
          </cell>
          <cell r="X72">
            <v>1.3</v>
          </cell>
          <cell r="Y72">
            <v>0.6</v>
          </cell>
          <cell r="Z72">
            <v>0.81</v>
          </cell>
          <cell r="AA72">
            <v>1.1000000000000001</v>
          </cell>
          <cell r="AB72">
            <v>1.5</v>
          </cell>
          <cell r="AC72">
            <v>1.2</v>
          </cell>
          <cell r="AD72">
            <v>1</v>
          </cell>
          <cell r="AE72">
            <v>1.5</v>
          </cell>
          <cell r="AF72">
            <v>1.1000000000000001</v>
          </cell>
          <cell r="AG72">
            <v>1.3</v>
          </cell>
          <cell r="AH72">
            <v>1.3</v>
          </cell>
          <cell r="AI72">
            <v>1.4</v>
          </cell>
          <cell r="AJ72">
            <v>1.0454551581950273</v>
          </cell>
          <cell r="AK72">
            <v>0.74519655383601913</v>
          </cell>
          <cell r="AL72">
            <v>0.76965937972413578</v>
          </cell>
          <cell r="AM72">
            <v>0.75191701779857967</v>
          </cell>
          <cell r="AN72">
            <v>0.71257667341143149</v>
          </cell>
        </row>
        <row r="73">
          <cell r="I73" t="str">
            <v>(+/-) FX y/y Growth - %</v>
          </cell>
          <cell r="M73" t="str">
            <v>NA</v>
          </cell>
          <cell r="N73" t="str">
            <v>NA</v>
          </cell>
          <cell r="O73" t="str">
            <v>NA</v>
          </cell>
          <cell r="P73" t="str">
            <v>NA</v>
          </cell>
          <cell r="Q73">
            <v>-2.7114964515475831E-2</v>
          </cell>
          <cell r="R73">
            <v>-3.4211541901186582E-2</v>
          </cell>
          <cell r="S73">
            <v>-5.3667030607420285E-2</v>
          </cell>
          <cell r="T73">
            <v>-8.474354363716928E-2</v>
          </cell>
          <cell r="U73">
            <v>-0.12354776741627822</v>
          </cell>
          <cell r="V73">
            <v>-0.13074681444069366</v>
          </cell>
          <cell r="W73">
            <v>-8.2310445150418632E-2</v>
          </cell>
          <cell r="X73">
            <v>-7.5301359626306005E-3</v>
          </cell>
          <cell r="Y73">
            <v>3.2330295958266086E-2</v>
          </cell>
          <cell r="Z73">
            <v>3.3462597536049597E-2</v>
          </cell>
          <cell r="AA73">
            <v>-2.9271240896782756E-2</v>
          </cell>
          <cell r="AB73">
            <v>-0.13826937592791694</v>
          </cell>
          <cell r="AC73">
            <v>-0.13063480763906371</v>
          </cell>
          <cell r="AD73">
            <v>-7.4418350796862556E-2</v>
          </cell>
          <cell r="AE73">
            <v>-5.916642356832387E-2</v>
          </cell>
          <cell r="AF73">
            <v>-6.7611718181859695E-2</v>
          </cell>
          <cell r="AG73">
            <v>-8.6538897368229367E-2</v>
          </cell>
          <cell r="AH73">
            <v>-0.12669478419858748</v>
          </cell>
          <cell r="AI73">
            <v>-0.11126439480515408</v>
          </cell>
          <cell r="AJ73">
            <v>-4.5455158195027323E-2</v>
          </cell>
          <cell r="AK73">
            <v>-4.5196553836019136E-2</v>
          </cell>
          <cell r="AL73">
            <v>-1.9659379724135749E-2</v>
          </cell>
          <cell r="AM73">
            <v>-1.9170177985796308E-3</v>
          </cell>
          <cell r="AN73">
            <v>-1.2576673411431575E-2</v>
          </cell>
        </row>
        <row r="74">
          <cell r="I74" t="str">
            <v>Organic y/y Growth - %</v>
          </cell>
          <cell r="M74" t="str">
            <v>NA</v>
          </cell>
          <cell r="N74" t="str">
            <v>NA</v>
          </cell>
          <cell r="O74" t="str">
            <v>NA</v>
          </cell>
          <cell r="P74" t="str">
            <v>NA</v>
          </cell>
          <cell r="Q74">
            <v>1.4728850354845242</v>
          </cell>
          <cell r="R74">
            <v>1.4657884580988134</v>
          </cell>
          <cell r="S74">
            <v>1.4463329693925797</v>
          </cell>
          <cell r="T74">
            <v>1.4152564563628307</v>
          </cell>
          <cell r="U74">
            <v>1.1764522325837219</v>
          </cell>
          <cell r="V74">
            <v>1.1692531855593065</v>
          </cell>
          <cell r="W74">
            <v>1.2176895548495814</v>
          </cell>
          <cell r="X74">
            <v>1.2924698640373695</v>
          </cell>
          <cell r="Y74">
            <v>0.63233029595826606</v>
          </cell>
          <cell r="Z74">
            <v>0.84346259753604969</v>
          </cell>
          <cell r="AA74">
            <v>1.0707287591032173</v>
          </cell>
          <cell r="AB74">
            <v>1.361730624072083</v>
          </cell>
          <cell r="AC74">
            <v>1.0693651923609362</v>
          </cell>
          <cell r="AD74">
            <v>0.92558164920313746</v>
          </cell>
          <cell r="AE74">
            <v>1.4408335764316762</v>
          </cell>
          <cell r="AF74">
            <v>1.0323882818181405</v>
          </cell>
          <cell r="AG74">
            <v>1.2134611026317708</v>
          </cell>
          <cell r="AH74">
            <v>1.1733052158014126</v>
          </cell>
          <cell r="AI74">
            <v>1.2887356051948458</v>
          </cell>
          <cell r="AJ74">
            <v>1</v>
          </cell>
          <cell r="AK74">
            <v>0.7</v>
          </cell>
          <cell r="AL74">
            <v>0.75</v>
          </cell>
          <cell r="AM74">
            <v>0.75</v>
          </cell>
          <cell r="AN74">
            <v>0.7</v>
          </cell>
        </row>
        <row r="75">
          <cell r="I75" t="str">
            <v>Bull y/y Growth - %</v>
          </cell>
          <cell r="M75" t="str">
            <v>NA</v>
          </cell>
          <cell r="N75" t="str">
            <v>NA</v>
          </cell>
          <cell r="O75" t="str">
            <v>NA</v>
          </cell>
          <cell r="P75" t="str">
            <v>NA</v>
          </cell>
          <cell r="Q75">
            <v>1.5</v>
          </cell>
          <cell r="R75">
            <v>1.5</v>
          </cell>
          <cell r="S75">
            <v>1.5</v>
          </cell>
          <cell r="T75">
            <v>1.5</v>
          </cell>
          <cell r="U75">
            <v>1.3</v>
          </cell>
          <cell r="V75">
            <v>1.3</v>
          </cell>
          <cell r="W75">
            <v>1.3</v>
          </cell>
          <cell r="X75">
            <v>1.3</v>
          </cell>
          <cell r="Y75">
            <v>0.6</v>
          </cell>
          <cell r="Z75">
            <v>0.81</v>
          </cell>
          <cell r="AA75">
            <v>1.1000000000000001</v>
          </cell>
          <cell r="AB75">
            <v>1.5</v>
          </cell>
          <cell r="AC75">
            <v>1.2</v>
          </cell>
          <cell r="AD75">
            <v>1</v>
          </cell>
          <cell r="AE75">
            <v>1.5</v>
          </cell>
          <cell r="AF75">
            <v>1.1000000000000001</v>
          </cell>
          <cell r="AG75">
            <v>1.3</v>
          </cell>
          <cell r="AH75">
            <v>1.3</v>
          </cell>
          <cell r="AI75">
            <v>1.4</v>
          </cell>
          <cell r="AJ75">
            <v>1.1454551581950274</v>
          </cell>
          <cell r="AK75">
            <v>0.8451965538360191</v>
          </cell>
          <cell r="AL75">
            <v>0.86965937972413576</v>
          </cell>
          <cell r="AM75">
            <v>0.85191701779857965</v>
          </cell>
          <cell r="AN75">
            <v>0.81257667341143147</v>
          </cell>
        </row>
        <row r="76">
          <cell r="I76" t="str">
            <v>Bear y/y Growth - %</v>
          </cell>
          <cell r="M76" t="str">
            <v>NA</v>
          </cell>
          <cell r="N76" t="str">
            <v>NA</v>
          </cell>
          <cell r="O76" t="str">
            <v>NA</v>
          </cell>
          <cell r="P76" t="str">
            <v>NA</v>
          </cell>
          <cell r="Q76">
            <v>1.5</v>
          </cell>
          <cell r="R76">
            <v>1.5</v>
          </cell>
          <cell r="S76">
            <v>1.5</v>
          </cell>
          <cell r="T76">
            <v>1.5</v>
          </cell>
          <cell r="U76">
            <v>1.3</v>
          </cell>
          <cell r="V76">
            <v>1.3</v>
          </cell>
          <cell r="W76">
            <v>1.3</v>
          </cell>
          <cell r="X76">
            <v>1.3</v>
          </cell>
          <cell r="Y76">
            <v>0.6</v>
          </cell>
          <cell r="Z76">
            <v>0.81</v>
          </cell>
          <cell r="AA76">
            <v>1.1000000000000001</v>
          </cell>
          <cell r="AB76">
            <v>1.5</v>
          </cell>
          <cell r="AC76">
            <v>1.2</v>
          </cell>
          <cell r="AD76">
            <v>1</v>
          </cell>
          <cell r="AE76">
            <v>1.5</v>
          </cell>
          <cell r="AF76">
            <v>1.1000000000000001</v>
          </cell>
          <cell r="AG76">
            <v>1.3</v>
          </cell>
          <cell r="AH76">
            <v>1.3</v>
          </cell>
          <cell r="AI76">
            <v>1.4</v>
          </cell>
          <cell r="AJ76">
            <v>0.94545515819502735</v>
          </cell>
          <cell r="AK76">
            <v>0.64519655383601915</v>
          </cell>
          <cell r="AL76">
            <v>0.66965937972413581</v>
          </cell>
          <cell r="AM76">
            <v>0.65191701779857969</v>
          </cell>
          <cell r="AN76">
            <v>0.61257667341143152</v>
          </cell>
        </row>
        <row r="77">
          <cell r="I77" t="str">
            <v>Merchant (Agoda)</v>
          </cell>
          <cell r="M77">
            <v>0</v>
          </cell>
          <cell r="N77">
            <v>0</v>
          </cell>
          <cell r="O77">
            <v>0</v>
          </cell>
          <cell r="P77">
            <v>0</v>
          </cell>
          <cell r="Q77">
            <v>0</v>
          </cell>
          <cell r="R77">
            <v>0</v>
          </cell>
          <cell r="S77">
            <v>0</v>
          </cell>
          <cell r="T77">
            <v>13.4</v>
          </cell>
          <cell r="U77">
            <v>24.6</v>
          </cell>
          <cell r="V77">
            <v>24.2</v>
          </cell>
          <cell r="W77">
            <v>32.4</v>
          </cell>
          <cell r="X77">
            <v>37.5</v>
          </cell>
          <cell r="Y77">
            <v>39.360000000000007</v>
          </cell>
          <cell r="Z77">
            <v>43.802</v>
          </cell>
          <cell r="AA77">
            <v>68.040000000000006</v>
          </cell>
          <cell r="AB77">
            <v>93.75</v>
          </cell>
          <cell r="AC77">
            <v>86.592000000000027</v>
          </cell>
          <cell r="AD77">
            <v>87.603999999999999</v>
          </cell>
          <cell r="AE77">
            <v>170.10000000000002</v>
          </cell>
          <cell r="AF77">
            <v>196.875</v>
          </cell>
          <cell r="AG77">
            <v>199.16160000000005</v>
          </cell>
          <cell r="AH77">
            <v>201.48919999999998</v>
          </cell>
          <cell r="AI77">
            <v>382.72500000000002</v>
          </cell>
          <cell r="AJ77">
            <v>363.32398426964602</v>
          </cell>
          <cell r="AK77">
            <v>327.65997797646781</v>
          </cell>
          <cell r="AL77">
            <v>336.41833269311235</v>
          </cell>
          <cell r="AM77">
            <v>632.22994063696137</v>
          </cell>
          <cell r="AN77">
            <v>585.88778192413304</v>
          </cell>
        </row>
        <row r="78">
          <cell r="I78" t="str">
            <v>Base y/y Growth - %</v>
          </cell>
          <cell r="M78" t="str">
            <v>NM</v>
          </cell>
          <cell r="N78" t="str">
            <v>NM</v>
          </cell>
          <cell r="O78" t="str">
            <v>NM</v>
          </cell>
          <cell r="P78" t="str">
            <v>NM</v>
          </cell>
          <cell r="Q78" t="str">
            <v>NM</v>
          </cell>
          <cell r="R78" t="str">
            <v>NM</v>
          </cell>
          <cell r="S78" t="str">
            <v>NM</v>
          </cell>
          <cell r="T78" t="str">
            <v>NM</v>
          </cell>
          <cell r="U78" t="str">
            <v>NM</v>
          </cell>
          <cell r="V78" t="str">
            <v>NM</v>
          </cell>
          <cell r="W78" t="str">
            <v>NM</v>
          </cell>
          <cell r="X78" t="str">
            <v>NM</v>
          </cell>
          <cell r="Y78">
            <v>0.6</v>
          </cell>
          <cell r="Z78">
            <v>0.81</v>
          </cell>
          <cell r="AA78">
            <v>1.1000000000000001</v>
          </cell>
          <cell r="AB78">
            <v>1.5</v>
          </cell>
          <cell r="AC78">
            <v>1.2</v>
          </cell>
          <cell r="AD78">
            <v>1</v>
          </cell>
          <cell r="AE78">
            <v>1.5</v>
          </cell>
          <cell r="AF78">
            <v>1.1000000000000001</v>
          </cell>
          <cell r="AG78">
            <v>1.3</v>
          </cell>
          <cell r="AH78">
            <v>1.3</v>
          </cell>
          <cell r="AI78">
            <v>1.25</v>
          </cell>
          <cell r="AJ78">
            <v>0.84545515819502737</v>
          </cell>
          <cell r="AK78">
            <v>0.64519655383601915</v>
          </cell>
          <cell r="AL78">
            <v>0.66965937972413581</v>
          </cell>
          <cell r="AM78">
            <v>0.65191701779857969</v>
          </cell>
          <cell r="AN78">
            <v>0.61257667341143152</v>
          </cell>
        </row>
        <row r="79">
          <cell r="I79" t="str">
            <v>(+/-) FX y/y Growth - %</v>
          </cell>
          <cell r="M79" t="str">
            <v>NA</v>
          </cell>
          <cell r="N79" t="str">
            <v>NA</v>
          </cell>
          <cell r="O79" t="str">
            <v>NA</v>
          </cell>
          <cell r="P79" t="str">
            <v>NA</v>
          </cell>
          <cell r="Q79" t="str">
            <v>NA</v>
          </cell>
          <cell r="R79" t="str">
            <v>NA</v>
          </cell>
          <cell r="S79" t="str">
            <v>NA</v>
          </cell>
          <cell r="T79" t="str">
            <v>NA</v>
          </cell>
          <cell r="U79" t="str">
            <v>NA</v>
          </cell>
          <cell r="V79" t="str">
            <v>NA</v>
          </cell>
          <cell r="W79" t="str">
            <v>NA</v>
          </cell>
          <cell r="X79" t="str">
            <v>NA</v>
          </cell>
          <cell r="Y79">
            <v>3.2330295958266086E-2</v>
          </cell>
          <cell r="Z79">
            <v>3.3462597536049597E-2</v>
          </cell>
          <cell r="AA79">
            <v>-2.9271240896782756E-2</v>
          </cell>
          <cell r="AB79">
            <v>-0.13826937592791694</v>
          </cell>
          <cell r="AC79">
            <v>-0.13063480763906371</v>
          </cell>
          <cell r="AD79">
            <v>-7.4418350796862556E-2</v>
          </cell>
          <cell r="AE79">
            <v>-5.916642356832387E-2</v>
          </cell>
          <cell r="AF79">
            <v>-6.7611718181859695E-2</v>
          </cell>
          <cell r="AG79">
            <v>-8.6538897368229367E-2</v>
          </cell>
          <cell r="AH79">
            <v>-0.12669478419858748</v>
          </cell>
          <cell r="AI79">
            <v>-0.11126439480515408</v>
          </cell>
          <cell r="AJ79">
            <v>-4.5455158195027323E-2</v>
          </cell>
          <cell r="AK79">
            <v>-4.5196553836019136E-2</v>
          </cell>
          <cell r="AL79">
            <v>-1.9659379724135749E-2</v>
          </cell>
          <cell r="AM79">
            <v>-1.9170177985796308E-3</v>
          </cell>
          <cell r="AN79">
            <v>-1.2576673411431575E-2</v>
          </cell>
        </row>
        <row r="80">
          <cell r="I80" t="str">
            <v>Organic y/y Growth - %</v>
          </cell>
          <cell r="M80" t="str">
            <v>NA</v>
          </cell>
          <cell r="N80" t="str">
            <v>NA</v>
          </cell>
          <cell r="O80" t="str">
            <v>NA</v>
          </cell>
          <cell r="P80" t="str">
            <v>NA</v>
          </cell>
          <cell r="Q80" t="str">
            <v>NA</v>
          </cell>
          <cell r="R80" t="str">
            <v>NA</v>
          </cell>
          <cell r="S80" t="str">
            <v>NA</v>
          </cell>
          <cell r="T80" t="str">
            <v>NA</v>
          </cell>
          <cell r="U80" t="str">
            <v>NA</v>
          </cell>
          <cell r="V80" t="str">
            <v>NA</v>
          </cell>
          <cell r="W80" t="str">
            <v>NA</v>
          </cell>
          <cell r="X80" t="str">
            <v>NA</v>
          </cell>
          <cell r="Y80">
            <v>0.63233029595826606</v>
          </cell>
          <cell r="Z80">
            <v>0.84346259753604969</v>
          </cell>
          <cell r="AA80">
            <v>1.0707287591032173</v>
          </cell>
          <cell r="AB80">
            <v>1.361730624072083</v>
          </cell>
          <cell r="AC80">
            <v>1.0693651923609362</v>
          </cell>
          <cell r="AD80">
            <v>0.92558164920313746</v>
          </cell>
          <cell r="AE80">
            <v>1.4408335764316762</v>
          </cell>
          <cell r="AF80">
            <v>1.0323882818181405</v>
          </cell>
          <cell r="AG80">
            <v>1.2134611026317708</v>
          </cell>
          <cell r="AH80">
            <v>1.1733052158014126</v>
          </cell>
          <cell r="AI80">
            <v>1.1387356051948458</v>
          </cell>
          <cell r="AJ80">
            <v>0.8</v>
          </cell>
          <cell r="AK80">
            <v>0.6</v>
          </cell>
          <cell r="AL80">
            <v>0.65</v>
          </cell>
          <cell r="AM80">
            <v>0.65</v>
          </cell>
          <cell r="AN80">
            <v>0.6</v>
          </cell>
        </row>
        <row r="81">
          <cell r="I81" t="str">
            <v>Bull y/y Growth - %</v>
          </cell>
          <cell r="M81" t="str">
            <v>NM</v>
          </cell>
          <cell r="N81" t="str">
            <v>NM</v>
          </cell>
          <cell r="O81" t="str">
            <v>NM</v>
          </cell>
          <cell r="P81" t="str">
            <v>NM</v>
          </cell>
          <cell r="Q81" t="str">
            <v>NM</v>
          </cell>
          <cell r="R81" t="str">
            <v>NM</v>
          </cell>
          <cell r="S81" t="str">
            <v>NM</v>
          </cell>
          <cell r="T81" t="str">
            <v>NM</v>
          </cell>
          <cell r="U81" t="str">
            <v>NM</v>
          </cell>
          <cell r="V81" t="str">
            <v>NM</v>
          </cell>
          <cell r="W81" t="str">
            <v>NM</v>
          </cell>
          <cell r="X81" t="str">
            <v>NM</v>
          </cell>
          <cell r="Y81">
            <v>0.6</v>
          </cell>
          <cell r="Z81">
            <v>0.81</v>
          </cell>
          <cell r="AA81">
            <v>1.1000000000000001</v>
          </cell>
          <cell r="AB81">
            <v>1.5</v>
          </cell>
          <cell r="AC81">
            <v>1.2</v>
          </cell>
          <cell r="AD81">
            <v>1</v>
          </cell>
          <cell r="AE81">
            <v>1.5</v>
          </cell>
          <cell r="AF81">
            <v>1.1000000000000001</v>
          </cell>
          <cell r="AG81">
            <v>1.3</v>
          </cell>
          <cell r="AH81">
            <v>1.3</v>
          </cell>
          <cell r="AI81">
            <v>1.25</v>
          </cell>
          <cell r="AJ81">
            <v>0.89545515819502741</v>
          </cell>
          <cell r="AK81">
            <v>0.69519655383601919</v>
          </cell>
          <cell r="AL81">
            <v>0.71965937972413585</v>
          </cell>
          <cell r="AM81">
            <v>0.70191701779857973</v>
          </cell>
          <cell r="AN81">
            <v>0.66257667341143156</v>
          </cell>
        </row>
        <row r="82">
          <cell r="I82" t="str">
            <v>Bear y/y Growth - %</v>
          </cell>
          <cell r="M82" t="str">
            <v>NM</v>
          </cell>
          <cell r="N82" t="str">
            <v>NM</v>
          </cell>
          <cell r="O82" t="str">
            <v>NM</v>
          </cell>
          <cell r="P82" t="str">
            <v>NM</v>
          </cell>
          <cell r="Q82" t="str">
            <v>NM</v>
          </cell>
          <cell r="R82" t="str">
            <v>NM</v>
          </cell>
          <cell r="S82" t="str">
            <v>NM</v>
          </cell>
          <cell r="T82" t="str">
            <v>NM</v>
          </cell>
          <cell r="U82" t="str">
            <v>NM</v>
          </cell>
          <cell r="V82" t="str">
            <v>NM</v>
          </cell>
          <cell r="W82" t="str">
            <v>NM</v>
          </cell>
          <cell r="X82" t="str">
            <v>NM</v>
          </cell>
          <cell r="Y82">
            <v>0.6</v>
          </cell>
          <cell r="Z82">
            <v>0.81</v>
          </cell>
          <cell r="AA82">
            <v>1.1000000000000001</v>
          </cell>
          <cell r="AB82">
            <v>1.5</v>
          </cell>
          <cell r="AC82">
            <v>1.2</v>
          </cell>
          <cell r="AD82">
            <v>1</v>
          </cell>
          <cell r="AE82">
            <v>1.5</v>
          </cell>
          <cell r="AF82">
            <v>1.1000000000000001</v>
          </cell>
          <cell r="AG82">
            <v>1.3</v>
          </cell>
          <cell r="AH82">
            <v>1.3</v>
          </cell>
          <cell r="AI82">
            <v>1.25</v>
          </cell>
          <cell r="AJ82">
            <v>0.74545515819502739</v>
          </cell>
          <cell r="AK82">
            <v>0.54519655383601917</v>
          </cell>
          <cell r="AL82">
            <v>0.56965937972413583</v>
          </cell>
          <cell r="AM82">
            <v>0.55191701779857971</v>
          </cell>
          <cell r="AN82">
            <v>0.51257667341143154</v>
          </cell>
        </row>
        <row r="83">
          <cell r="I83" t="str">
            <v>Total Asia Pacific</v>
          </cell>
          <cell r="M83">
            <v>3.55</v>
          </cell>
          <cell r="N83">
            <v>3.85</v>
          </cell>
          <cell r="O83">
            <v>3.65</v>
          </cell>
          <cell r="P83">
            <v>3.98</v>
          </cell>
          <cell r="Q83">
            <v>8.875</v>
          </cell>
          <cell r="R83">
            <v>9.625</v>
          </cell>
          <cell r="S83">
            <v>9.125</v>
          </cell>
          <cell r="T83">
            <v>23.35</v>
          </cell>
          <cell r="U83">
            <v>45.012500000000003</v>
          </cell>
          <cell r="V83">
            <v>46.337499999999999</v>
          </cell>
          <cell r="W83">
            <v>53.387499999999996</v>
          </cell>
          <cell r="X83">
            <v>60.384999999999998</v>
          </cell>
          <cell r="Y83">
            <v>72.02000000000001</v>
          </cell>
          <cell r="Z83">
            <v>83.870874999999998</v>
          </cell>
          <cell r="AA83">
            <v>112.11375000000001</v>
          </cell>
          <cell r="AB83">
            <v>150.96249999999998</v>
          </cell>
          <cell r="AC83">
            <v>158.44400000000002</v>
          </cell>
          <cell r="AD83">
            <v>167.74175</v>
          </cell>
          <cell r="AE83">
            <v>280.28437500000001</v>
          </cell>
          <cell r="AF83">
            <v>317.02125000000001</v>
          </cell>
          <cell r="AG83">
            <v>364.42120000000006</v>
          </cell>
          <cell r="AH83">
            <v>385.80602499999998</v>
          </cell>
          <cell r="AI83">
            <v>647.16750000000002</v>
          </cell>
          <cell r="AJ83">
            <v>609.07775106993529</v>
          </cell>
          <cell r="AK83">
            <v>616.07046238478688</v>
          </cell>
          <cell r="AL83">
            <v>662.5963308953344</v>
          </cell>
          <cell r="AM83">
            <v>1095.5112566161622</v>
          </cell>
          <cell r="AN83">
            <v>1006.7599503493011</v>
          </cell>
        </row>
        <row r="84">
          <cell r="I84" t="str">
            <v>y/y Growth - %</v>
          </cell>
          <cell r="M84" t="str">
            <v>NA</v>
          </cell>
          <cell r="N84" t="str">
            <v>NA</v>
          </cell>
          <cell r="O84" t="str">
            <v>NA</v>
          </cell>
          <cell r="P84" t="str">
            <v>NA</v>
          </cell>
          <cell r="Q84">
            <v>1.5</v>
          </cell>
          <cell r="R84">
            <v>1.5</v>
          </cell>
          <cell r="S84">
            <v>1.5</v>
          </cell>
          <cell r="T84">
            <v>4.8668341708542719</v>
          </cell>
          <cell r="U84">
            <v>4.0718309859154935</v>
          </cell>
          <cell r="V84">
            <v>3.8142857142857141</v>
          </cell>
          <cell r="W84">
            <v>4.8506849315068488</v>
          </cell>
          <cell r="X84">
            <v>1.5860813704496786</v>
          </cell>
          <cell r="Y84">
            <v>0.60000000000000009</v>
          </cell>
          <cell r="Z84">
            <v>0.81</v>
          </cell>
          <cell r="AA84">
            <v>1.1000000000000005</v>
          </cell>
          <cell r="AB84">
            <v>1.4999999999999996</v>
          </cell>
          <cell r="AC84">
            <v>1.1999999999999997</v>
          </cell>
          <cell r="AD84">
            <v>1</v>
          </cell>
          <cell r="AE84">
            <v>1.5</v>
          </cell>
          <cell r="AF84">
            <v>1.1000000000000005</v>
          </cell>
          <cell r="AG84">
            <v>1.3000000000000003</v>
          </cell>
          <cell r="AH84">
            <v>1.2999999999999998</v>
          </cell>
          <cell r="AI84">
            <v>1.3089674549285881</v>
          </cell>
          <cell r="AJ84">
            <v>0.92125212764108166</v>
          </cell>
          <cell r="AK84">
            <v>0.69054506813760219</v>
          </cell>
          <cell r="AL84">
            <v>0.71743386043630197</v>
          </cell>
          <cell r="AM84">
            <v>0.69277854128361227</v>
          </cell>
          <cell r="AN84">
            <v>0.65292517840419895</v>
          </cell>
        </row>
        <row r="86">
          <cell r="I86" t="str">
            <v>Latin America &amp; RoW</v>
          </cell>
        </row>
        <row r="87">
          <cell r="I87" t="str">
            <v>Agency (Booking.com)</v>
          </cell>
          <cell r="M87">
            <v>2</v>
          </cell>
          <cell r="N87">
            <v>2</v>
          </cell>
          <cell r="O87">
            <v>2</v>
          </cell>
          <cell r="P87">
            <v>2</v>
          </cell>
          <cell r="Q87">
            <v>6.8</v>
          </cell>
          <cell r="R87">
            <v>7.2</v>
          </cell>
          <cell r="S87">
            <v>7.2</v>
          </cell>
          <cell r="T87">
            <v>6.6</v>
          </cell>
          <cell r="U87">
            <v>20.399999999999999</v>
          </cell>
          <cell r="V87">
            <v>23.040000000000003</v>
          </cell>
          <cell r="W87">
            <v>24.48</v>
          </cell>
          <cell r="X87">
            <v>20.46</v>
          </cell>
          <cell r="Y87">
            <v>57.11999999999999</v>
          </cell>
          <cell r="Z87">
            <v>69.12</v>
          </cell>
          <cell r="AA87">
            <v>73.44</v>
          </cell>
          <cell r="AB87">
            <v>53.196000000000005</v>
          </cell>
          <cell r="AC87">
            <v>159.93599999999995</v>
          </cell>
          <cell r="AD87">
            <v>200.44800000000001</v>
          </cell>
          <cell r="AE87">
            <v>212.976</v>
          </cell>
          <cell r="AF87">
            <v>132.99</v>
          </cell>
          <cell r="AG87">
            <v>367.85279999999983</v>
          </cell>
          <cell r="AH87">
            <v>501.12</v>
          </cell>
          <cell r="AI87">
            <v>447.24960000000004</v>
          </cell>
          <cell r="AJ87">
            <v>256.49258060792613</v>
          </cell>
          <cell r="AK87">
            <v>611.43576082974494</v>
          </cell>
          <cell r="AL87">
            <v>848.19577345338382</v>
          </cell>
          <cell r="AM87">
            <v>760.76037510943434</v>
          </cell>
          <cell r="AN87">
            <v>435.41336588205945</v>
          </cell>
        </row>
        <row r="88">
          <cell r="I88" t="str">
            <v>Base y/y Growth - %</v>
          </cell>
          <cell r="M88" t="str">
            <v>NA</v>
          </cell>
          <cell r="N88" t="str">
            <v>NA</v>
          </cell>
          <cell r="O88" t="str">
            <v>NA</v>
          </cell>
          <cell r="P88" t="str">
            <v>NA</v>
          </cell>
          <cell r="Q88">
            <v>2.4</v>
          </cell>
          <cell r="R88">
            <v>2.6</v>
          </cell>
          <cell r="S88">
            <v>2.6</v>
          </cell>
          <cell r="T88">
            <v>2.2999999999999998</v>
          </cell>
          <cell r="U88">
            <v>2</v>
          </cell>
          <cell r="V88">
            <v>2.2000000000000002</v>
          </cell>
          <cell r="W88">
            <v>2.4</v>
          </cell>
          <cell r="X88">
            <v>2.1</v>
          </cell>
          <cell r="Y88">
            <v>1.8</v>
          </cell>
          <cell r="Z88">
            <v>2</v>
          </cell>
          <cell r="AA88">
            <v>2</v>
          </cell>
          <cell r="AB88">
            <v>1.6</v>
          </cell>
          <cell r="AC88">
            <v>1.8</v>
          </cell>
          <cell r="AD88">
            <v>1.9</v>
          </cell>
          <cell r="AE88">
            <v>1.9</v>
          </cell>
          <cell r="AF88">
            <v>1.5</v>
          </cell>
          <cell r="AG88">
            <v>1.3</v>
          </cell>
          <cell r="AH88">
            <v>1.5</v>
          </cell>
          <cell r="AI88">
            <v>1.1000000000000001</v>
          </cell>
          <cell r="AJ88">
            <v>0.92866065574799694</v>
          </cell>
          <cell r="AK88">
            <v>0.66217508968191952</v>
          </cell>
          <cell r="AL88">
            <v>0.6926001226320716</v>
          </cell>
          <cell r="AM88">
            <v>0.70097497037321943</v>
          </cell>
          <cell r="AN88">
            <v>0.69756709862743027</v>
          </cell>
        </row>
        <row r="89">
          <cell r="I89" t="str">
            <v>(+/-) FX y/y Growth - %</v>
          </cell>
          <cell r="M89" t="str">
            <v>NA</v>
          </cell>
          <cell r="N89" t="str">
            <v>NA</v>
          </cell>
          <cell r="O89" t="str">
            <v>NA</v>
          </cell>
          <cell r="P89" t="str">
            <v>NA</v>
          </cell>
          <cell r="Q89">
            <v>-8.1143406318173739E-3</v>
          </cell>
          <cell r="R89">
            <v>-4.1015659552330629E-2</v>
          </cell>
          <cell r="S89">
            <v>-6.9013045004786708E-2</v>
          </cell>
          <cell r="T89">
            <v>-0.12258214748189453</v>
          </cell>
          <cell r="U89">
            <v>-0.12642428880961254</v>
          </cell>
          <cell r="V89">
            <v>-9.4470722294937109E-2</v>
          </cell>
          <cell r="W89">
            <v>-5.4101841788178673E-2</v>
          </cell>
          <cell r="X89">
            <v>0.13525696990200167</v>
          </cell>
          <cell r="Y89">
            <v>0.14778293452233821</v>
          </cell>
          <cell r="Z89">
            <v>0.11270414437715015</v>
          </cell>
          <cell r="AA89">
            <v>5.6352893409448379E-2</v>
          </cell>
          <cell r="AB89">
            <v>-0.14942487094956314</v>
          </cell>
          <cell r="AC89">
            <v>-0.1603604817548569</v>
          </cell>
          <cell r="AD89">
            <v>-9.7680188920470007E-2</v>
          </cell>
          <cell r="AE89">
            <v>-4.1083185173079365E-2</v>
          </cell>
          <cell r="AF89">
            <v>-2.3473147635738007E-2</v>
          </cell>
          <cell r="AG89">
            <v>-4.5608038336317915E-2</v>
          </cell>
          <cell r="AH89">
            <v>-6.2689762326748763E-2</v>
          </cell>
          <cell r="AI89">
            <v>-4.8421131506136771E-2</v>
          </cell>
          <cell r="AJ89">
            <v>2.1339344252002974E-2</v>
          </cell>
          <cell r="AK89">
            <v>3.7824910318080406E-2</v>
          </cell>
          <cell r="AL89">
            <v>5.7399877367928433E-2</v>
          </cell>
          <cell r="AM89">
            <v>4.9025029626780528E-2</v>
          </cell>
          <cell r="AN89">
            <v>2.4329013725697215E-3</v>
          </cell>
        </row>
        <row r="90">
          <cell r="I90" t="str">
            <v>Organic y/y Growth - %</v>
          </cell>
          <cell r="M90" t="str">
            <v>NA</v>
          </cell>
          <cell r="N90" t="str">
            <v>NA</v>
          </cell>
          <cell r="O90" t="str">
            <v>NA</v>
          </cell>
          <cell r="P90" t="str">
            <v>NA</v>
          </cell>
          <cell r="Q90">
            <v>2.3918856593681825</v>
          </cell>
          <cell r="R90">
            <v>2.5589843404476693</v>
          </cell>
          <cell r="S90">
            <v>2.5309869549952135</v>
          </cell>
          <cell r="T90">
            <v>2.1774178525181052</v>
          </cell>
          <cell r="U90">
            <v>1.8735757111903875</v>
          </cell>
          <cell r="V90">
            <v>2.1055292777050632</v>
          </cell>
          <cell r="W90">
            <v>2.3458981582118215</v>
          </cell>
          <cell r="X90">
            <v>2.235256969902002</v>
          </cell>
          <cell r="Y90">
            <v>1.9477829345223383</v>
          </cell>
          <cell r="Z90">
            <v>2.1127041443771502</v>
          </cell>
          <cell r="AA90">
            <v>2.0563528934094482</v>
          </cell>
          <cell r="AB90">
            <v>1.450575129050437</v>
          </cell>
          <cell r="AC90">
            <v>1.6396395182451431</v>
          </cell>
          <cell r="AD90">
            <v>1.80231981107953</v>
          </cell>
          <cell r="AE90">
            <v>1.8589168148269206</v>
          </cell>
          <cell r="AF90">
            <v>1.4765268523642621</v>
          </cell>
          <cell r="AG90">
            <v>1.2543919616636821</v>
          </cell>
          <cell r="AH90">
            <v>1.4373102376732512</v>
          </cell>
          <cell r="AI90">
            <v>1.0515788684938634</v>
          </cell>
          <cell r="AJ90">
            <v>0.95</v>
          </cell>
          <cell r="AK90">
            <v>0.7</v>
          </cell>
          <cell r="AL90">
            <v>0.75</v>
          </cell>
          <cell r="AM90">
            <v>0.75</v>
          </cell>
          <cell r="AN90">
            <v>0.7</v>
          </cell>
        </row>
        <row r="91">
          <cell r="I91" t="str">
            <v>Bull y/y Growth - %</v>
          </cell>
          <cell r="M91" t="str">
            <v>NA</v>
          </cell>
          <cell r="N91" t="str">
            <v>NA</v>
          </cell>
          <cell r="O91" t="str">
            <v>NA</v>
          </cell>
          <cell r="P91" t="str">
            <v>NA</v>
          </cell>
          <cell r="Q91">
            <v>2.4</v>
          </cell>
          <cell r="R91">
            <v>2.6</v>
          </cell>
          <cell r="S91">
            <v>2.6</v>
          </cell>
          <cell r="T91">
            <v>2.2999999999999998</v>
          </cell>
          <cell r="U91">
            <v>2</v>
          </cell>
          <cell r="V91">
            <v>2.2000000000000002</v>
          </cell>
          <cell r="W91">
            <v>2.4</v>
          </cell>
          <cell r="X91">
            <v>2.1</v>
          </cell>
          <cell r="Y91">
            <v>1.8</v>
          </cell>
          <cell r="Z91">
            <v>2</v>
          </cell>
          <cell r="AA91">
            <v>2</v>
          </cell>
          <cell r="AB91">
            <v>1.6</v>
          </cell>
          <cell r="AC91">
            <v>1.8</v>
          </cell>
          <cell r="AD91">
            <v>1.9</v>
          </cell>
          <cell r="AE91">
            <v>1.9</v>
          </cell>
          <cell r="AF91">
            <v>1.5</v>
          </cell>
          <cell r="AG91">
            <v>1.3</v>
          </cell>
          <cell r="AH91">
            <v>1.5</v>
          </cell>
          <cell r="AI91">
            <v>1.1000000000000001</v>
          </cell>
          <cell r="AJ91">
            <v>0.97866065574799699</v>
          </cell>
          <cell r="AK91">
            <v>0.71217508968191956</v>
          </cell>
          <cell r="AL91">
            <v>0.74260012263207165</v>
          </cell>
          <cell r="AM91">
            <v>0.75097497037321947</v>
          </cell>
          <cell r="AN91">
            <v>0.74756709862743032</v>
          </cell>
        </row>
        <row r="92">
          <cell r="I92" t="str">
            <v>Bear y/y Growth - %</v>
          </cell>
          <cell r="M92" t="str">
            <v>NA</v>
          </cell>
          <cell r="N92" t="str">
            <v>NA</v>
          </cell>
          <cell r="O92" t="str">
            <v>NA</v>
          </cell>
          <cell r="P92" t="str">
            <v>NA</v>
          </cell>
          <cell r="Q92">
            <v>2.4</v>
          </cell>
          <cell r="R92">
            <v>2.6</v>
          </cell>
          <cell r="S92">
            <v>2.6</v>
          </cell>
          <cell r="T92">
            <v>2.2999999999999998</v>
          </cell>
          <cell r="U92">
            <v>2</v>
          </cell>
          <cell r="V92">
            <v>2.2000000000000002</v>
          </cell>
          <cell r="W92">
            <v>2.4</v>
          </cell>
          <cell r="X92">
            <v>2.1</v>
          </cell>
          <cell r="Y92">
            <v>1.8</v>
          </cell>
          <cell r="Z92">
            <v>2</v>
          </cell>
          <cell r="AA92">
            <v>2</v>
          </cell>
          <cell r="AB92">
            <v>1.6</v>
          </cell>
          <cell r="AC92">
            <v>1.8</v>
          </cell>
          <cell r="AD92">
            <v>1.9</v>
          </cell>
          <cell r="AE92">
            <v>1.9</v>
          </cell>
          <cell r="AF92">
            <v>1.5</v>
          </cell>
          <cell r="AG92">
            <v>1.3</v>
          </cell>
          <cell r="AH92">
            <v>1.5</v>
          </cell>
          <cell r="AI92">
            <v>1.1000000000000001</v>
          </cell>
          <cell r="AJ92">
            <v>0.82866065574799697</v>
          </cell>
          <cell r="AK92">
            <v>0.56217508968191954</v>
          </cell>
          <cell r="AL92">
            <v>0.59260012263207162</v>
          </cell>
          <cell r="AM92">
            <v>0.60097497037321945</v>
          </cell>
          <cell r="AN92">
            <v>0.59756709862743029</v>
          </cell>
        </row>
        <row r="94">
          <cell r="I94" t="str">
            <v>Agency Check</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row>
        <row r="95">
          <cell r="I95" t="str">
            <v>Merchant Check</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row>
        <row r="96">
          <cell r="I96" t="str">
            <v>Geography US Check</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row>
        <row r="97">
          <cell r="I97" t="str">
            <v>Geography International Check</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row>
        <row r="99">
          <cell r="I99" t="str">
            <v>Revenue Scenarios</v>
          </cell>
        </row>
        <row r="100">
          <cell r="I100" t="str">
            <v>Revenue by brand</v>
          </cell>
        </row>
        <row r="101">
          <cell r="I101" t="str">
            <v>US</v>
          </cell>
        </row>
        <row r="102">
          <cell r="I102" t="str">
            <v>Agency (Priceline.com)</v>
          </cell>
          <cell r="M102">
            <v>7.9809999999999937</v>
          </cell>
          <cell r="N102">
            <v>8.7919999999999874</v>
          </cell>
          <cell r="O102">
            <v>8.3260000000000485</v>
          </cell>
          <cell r="P102">
            <v>6.1009999999999796</v>
          </cell>
          <cell r="Q102">
            <v>6.6110000000000371</v>
          </cell>
          <cell r="R102">
            <v>7.9439999999999413</v>
          </cell>
          <cell r="S102">
            <v>7.8229999999999542</v>
          </cell>
          <cell r="T102">
            <v>5.7799999999999976</v>
          </cell>
          <cell r="U102">
            <v>10.160000000000023</v>
          </cell>
          <cell r="V102">
            <v>13.104999999999976</v>
          </cell>
          <cell r="W102">
            <v>14.770000000000049</v>
          </cell>
          <cell r="X102">
            <v>12.32299999999999</v>
          </cell>
          <cell r="Y102">
            <v>12.709799999999952</v>
          </cell>
          <cell r="Z102">
            <v>14.769359999999974</v>
          </cell>
          <cell r="AA102">
            <v>18.535199999999989</v>
          </cell>
          <cell r="AB102">
            <v>14.471000000000084</v>
          </cell>
          <cell r="AC102">
            <v>13.028559999999914</v>
          </cell>
          <cell r="AD102">
            <v>18.582720000000034</v>
          </cell>
          <cell r="AE102">
            <v>19.071999999999946</v>
          </cell>
          <cell r="AF102">
            <v>16.275500000000051</v>
          </cell>
          <cell r="AG102">
            <v>15.397088000000048</v>
          </cell>
          <cell r="AH102">
            <v>19.913566800000122</v>
          </cell>
          <cell r="AI102">
            <v>19.274885000000111</v>
          </cell>
          <cell r="AJ102">
            <v>17.362372499999999</v>
          </cell>
          <cell r="AK102">
            <v>17.383543520000003</v>
          </cell>
          <cell r="AL102">
            <v>22.781835647999998</v>
          </cell>
          <cell r="AM102">
            <v>22.41364905</v>
          </cell>
          <cell r="AN102">
            <v>18.309410999999997</v>
          </cell>
        </row>
        <row r="103">
          <cell r="I103" t="str">
            <v>y/y Growth - %</v>
          </cell>
          <cell r="M103" t="str">
            <v>NA</v>
          </cell>
          <cell r="N103" t="str">
            <v>NA</v>
          </cell>
          <cell r="O103" t="str">
            <v>NA</v>
          </cell>
          <cell r="P103" t="str">
            <v>NA</v>
          </cell>
          <cell r="Q103">
            <v>-0.17165768700663542</v>
          </cell>
          <cell r="R103">
            <v>-9.6451319381261058E-2</v>
          </cell>
          <cell r="S103">
            <v>-6.0413163583964868E-2</v>
          </cell>
          <cell r="T103">
            <v>-5.2614325520403682E-2</v>
          </cell>
          <cell r="U103">
            <v>0.53683255180758827</v>
          </cell>
          <cell r="V103">
            <v>0.64967270896274831</v>
          </cell>
          <cell r="W103">
            <v>0.88802249776302378</v>
          </cell>
          <cell r="X103">
            <v>1.1320069204152241</v>
          </cell>
          <cell r="Y103">
            <v>0.25096456692912628</v>
          </cell>
          <cell r="Z103">
            <v>0.12700190766882891</v>
          </cell>
          <cell r="AA103">
            <v>0.25492213947189768</v>
          </cell>
          <cell r="AB103">
            <v>0.17430820417106996</v>
          </cell>
          <cell r="AC103">
            <v>2.5079859635868562E-2</v>
          </cell>
          <cell r="AD103">
            <v>0.25819399080258498</v>
          </cell>
          <cell r="AE103">
            <v>2.8961111830460906E-2</v>
          </cell>
          <cell r="AF103">
            <v>0.12469767120447495</v>
          </cell>
          <cell r="AG103">
            <v>0.18179507175007448</v>
          </cell>
          <cell r="AH103">
            <v>7.1617438136079459E-2</v>
          </cell>
          <cell r="AI103">
            <v>1.0637846057055755E-2</v>
          </cell>
          <cell r="AJ103">
            <v>6.6779668827375183E-2</v>
          </cell>
          <cell r="AK103">
            <v>0.1290150137480508</v>
          </cell>
          <cell r="AL103">
            <v>0.14403591665958393</v>
          </cell>
          <cell r="AM103">
            <v>0.16284216741110891</v>
          </cell>
          <cell r="AN103">
            <v>5.4545454545454453E-2</v>
          </cell>
        </row>
        <row r="104">
          <cell r="I104" t="str">
            <v>Revenue margin</v>
          </cell>
          <cell r="M104">
            <v>3.8427093966065126E-2</v>
          </cell>
          <cell r="N104">
            <v>3.4793482949531218E-2</v>
          </cell>
          <cell r="O104">
            <v>4.1219862369424487E-2</v>
          </cell>
          <cell r="P104">
            <v>3.5484546395709873E-2</v>
          </cell>
          <cell r="Q104">
            <v>3.463995095599158E-2</v>
          </cell>
          <cell r="R104">
            <v>3.4221318537408847E-2</v>
          </cell>
          <cell r="S104">
            <v>3.078212488343067E-2</v>
          </cell>
          <cell r="T104">
            <v>2.3463696222263717E-2</v>
          </cell>
          <cell r="U104">
            <v>2.8453406147168035E-2</v>
          </cell>
          <cell r="V104">
            <v>2.9562773238527868E-2</v>
          </cell>
          <cell r="W104">
            <v>3.8354371541419977E-2</v>
          </cell>
          <cell r="X104">
            <v>3.4857605141376528E-2</v>
          </cell>
          <cell r="Y104">
            <v>3.0456057280334223E-2</v>
          </cell>
          <cell r="Z104">
            <v>3.2573243350535873E-2</v>
          </cell>
          <cell r="AA104">
            <v>3.9053456409564861E-2</v>
          </cell>
          <cell r="AB104">
            <v>3.388635858047765E-2</v>
          </cell>
          <cell r="AC104">
            <v>2.6854317262246883E-2</v>
          </cell>
          <cell r="AD104">
            <v>3.3274398399911247E-2</v>
          </cell>
          <cell r="AE104">
            <v>3.5390610502876133E-2</v>
          </cell>
          <cell r="AF104">
            <v>3.6502382954864146E-2</v>
          </cell>
          <cell r="AG104">
            <v>2.8520435607941083E-2</v>
          </cell>
          <cell r="AH104">
            <v>3.27262452645012E-2</v>
          </cell>
          <cell r="AI104">
            <v>2.917850844327393E-2</v>
          </cell>
          <cell r="AJ104">
            <v>3.3000000000000002E-2</v>
          </cell>
          <cell r="AK104">
            <v>2.8000000000000001E-2</v>
          </cell>
          <cell r="AL104">
            <v>3.2000000000000001E-2</v>
          </cell>
          <cell r="AM104">
            <v>2.9000000000000001E-2</v>
          </cell>
          <cell r="AN104">
            <v>0.03</v>
          </cell>
        </row>
        <row r="105">
          <cell r="I105" t="str">
            <v>Merchant (NYOP &amp; Priceline.com)</v>
          </cell>
          <cell r="M105">
            <v>210.43799999999999</v>
          </cell>
          <cell r="N105">
            <v>250.524</v>
          </cell>
          <cell r="O105">
            <v>238.55799999999999</v>
          </cell>
          <cell r="P105">
            <v>204.649</v>
          </cell>
          <cell r="Q105">
            <v>230.13299999999998</v>
          </cell>
          <cell r="R105">
            <v>252.59099999999998</v>
          </cell>
          <cell r="S105">
            <v>274.81600000000003</v>
          </cell>
          <cell r="T105">
            <v>224.28100000000001</v>
          </cell>
          <cell r="U105">
            <v>284.73099999999999</v>
          </cell>
          <cell r="V105">
            <v>331.87400000000002</v>
          </cell>
          <cell r="W105">
            <v>318.125</v>
          </cell>
          <cell r="X105">
            <v>262.06599999999997</v>
          </cell>
          <cell r="Y105">
            <v>329.94920000000002</v>
          </cell>
          <cell r="Z105">
            <v>384.93763999999999</v>
          </cell>
          <cell r="AA105">
            <v>388.0668</v>
          </cell>
          <cell r="AB105">
            <v>300.53199999999998</v>
          </cell>
          <cell r="AC105">
            <v>352.67843999999997</v>
          </cell>
          <cell r="AD105">
            <v>422.99828000000002</v>
          </cell>
          <cell r="AE105">
            <v>448.411</v>
          </cell>
          <cell r="AF105">
            <v>336.8965</v>
          </cell>
          <cell r="AG105">
            <v>401.72891199999998</v>
          </cell>
          <cell r="AH105">
            <v>466.89743320000002</v>
          </cell>
          <cell r="AI105">
            <v>477.55611499999998</v>
          </cell>
          <cell r="AJ105">
            <v>364.5351</v>
          </cell>
          <cell r="AK105">
            <v>435.84458832000001</v>
          </cell>
          <cell r="AL105">
            <v>510.09027046800009</v>
          </cell>
          <cell r="AM105">
            <v>525.03130355000008</v>
          </cell>
          <cell r="AN105">
            <v>394.76195640000003</v>
          </cell>
        </row>
        <row r="106">
          <cell r="I106" t="str">
            <v>y/y Growth - %</v>
          </cell>
          <cell r="M106" t="str">
            <v>NA</v>
          </cell>
          <cell r="N106" t="str">
            <v>NA</v>
          </cell>
          <cell r="O106" t="str">
            <v>NA</v>
          </cell>
          <cell r="P106" t="str">
            <v>NA</v>
          </cell>
          <cell r="Q106">
            <v>9.3590511219456607E-2</v>
          </cell>
          <cell r="R106">
            <v>8.2507065191357309E-3</v>
          </cell>
          <cell r="S106">
            <v>0.15198819574275446</v>
          </cell>
          <cell r="T106">
            <v>9.5930104715879372E-2</v>
          </cell>
          <cell r="U106">
            <v>0.23724541895338791</v>
          </cell>
          <cell r="V106">
            <v>0.31387895847437175</v>
          </cell>
          <cell r="W106">
            <v>0.15759271658127605</v>
          </cell>
          <cell r="X106">
            <v>0.16847169399102002</v>
          </cell>
          <cell r="Y106">
            <v>0.15881024545974975</v>
          </cell>
          <cell r="Z106">
            <v>0.15989092245852321</v>
          </cell>
          <cell r="AA106">
            <v>0.21985634577603141</v>
          </cell>
          <cell r="AB106">
            <v>0.14677981882426572</v>
          </cell>
          <cell r="AC106">
            <v>6.8887089285259551E-2</v>
          </cell>
          <cell r="AD106">
            <v>9.8874820347524484E-2</v>
          </cell>
          <cell r="AE106">
            <v>0.15549951709344878</v>
          </cell>
          <cell r="AF106">
            <v>0.12100042591138394</v>
          </cell>
          <cell r="AG106">
            <v>0.1390798711710306</v>
          </cell>
          <cell r="AH106">
            <v>0.10378092601227595</v>
          </cell>
          <cell r="AI106">
            <v>6.4996431844892344E-2</v>
          </cell>
          <cell r="AJ106">
            <v>8.2038845758267032E-2</v>
          </cell>
          <cell r="AK106">
            <v>8.4922133560553892E-2</v>
          </cell>
          <cell r="AL106">
            <v>9.251033352650273E-2</v>
          </cell>
          <cell r="AM106">
            <v>9.9412795813535126E-2</v>
          </cell>
          <cell r="AN106">
            <v>8.2918918918919005E-2</v>
          </cell>
        </row>
        <row r="107">
          <cell r="I107" t="str">
            <v>Revenue margin</v>
          </cell>
          <cell r="M107">
            <v>0.79018455588307079</v>
          </cell>
          <cell r="N107">
            <v>0.78764784667333199</v>
          </cell>
          <cell r="O107">
            <v>0.78793904122710245</v>
          </cell>
          <cell r="P107">
            <v>0.81423171799156524</v>
          </cell>
          <cell r="Q107">
            <v>0.79917558853047077</v>
          </cell>
          <cell r="R107">
            <v>0.80022239752131297</v>
          </cell>
          <cell r="S107">
            <v>0.78955594373448568</v>
          </cell>
          <cell r="T107">
            <v>0.80320377605798743</v>
          </cell>
          <cell r="U107">
            <v>0.78245803024515448</v>
          </cell>
          <cell r="V107">
            <v>0.7736171006317164</v>
          </cell>
          <cell r="W107">
            <v>0.76779844280218379</v>
          </cell>
          <cell r="X107">
            <v>0.78091355795332973</v>
          </cell>
          <cell r="Y107">
            <v>0.7597824384942018</v>
          </cell>
          <cell r="Z107">
            <v>0.75365954130919155</v>
          </cell>
          <cell r="AA107">
            <v>0.74025351226072278</v>
          </cell>
          <cell r="AB107">
            <v>0.74313875309402111</v>
          </cell>
          <cell r="AC107">
            <v>0.69901264126785301</v>
          </cell>
          <cell r="AD107">
            <v>0.71007297162550298</v>
          </cell>
          <cell r="AE107">
            <v>0.77033327606940383</v>
          </cell>
          <cell r="AF107">
            <v>0.73860564538229656</v>
          </cell>
          <cell r="AG107">
            <v>0.68189225485896021</v>
          </cell>
          <cell r="AH107">
            <v>0.66746279428423405</v>
          </cell>
          <cell r="AI107">
            <v>0.78621060559913736</v>
          </cell>
          <cell r="AJ107">
            <v>0.74</v>
          </cell>
          <cell r="AK107">
            <v>0.68500000000000005</v>
          </cell>
          <cell r="AL107">
            <v>0.66900000000000004</v>
          </cell>
          <cell r="AM107">
            <v>0.79300000000000004</v>
          </cell>
          <cell r="AN107">
            <v>0.74199999999999999</v>
          </cell>
        </row>
        <row r="108">
          <cell r="I108" t="str">
            <v>Other</v>
          </cell>
          <cell r="M108">
            <v>1.095</v>
          </cell>
          <cell r="N108">
            <v>1.2350000000000001</v>
          </cell>
          <cell r="O108">
            <v>1.583</v>
          </cell>
          <cell r="P108">
            <v>1.121</v>
          </cell>
          <cell r="Q108">
            <v>0.86699999999999999</v>
          </cell>
          <cell r="R108">
            <v>2.6269999999999998</v>
          </cell>
          <cell r="S108">
            <v>2.4529999999999998</v>
          </cell>
          <cell r="T108">
            <v>2.3919999999999999</v>
          </cell>
          <cell r="U108">
            <v>4.0890000000000004</v>
          </cell>
          <cell r="V108">
            <v>4.4969999999999999</v>
          </cell>
          <cell r="W108">
            <v>5.0140000000000002</v>
          </cell>
          <cell r="X108">
            <v>4.2519999999999998</v>
          </cell>
          <cell r="Y108">
            <v>4.7990000000000004</v>
          </cell>
          <cell r="Z108">
            <v>6.4340000000000002</v>
          </cell>
          <cell r="AA108">
            <v>7.1580000000000004</v>
          </cell>
          <cell r="AB108">
            <v>3.85</v>
          </cell>
          <cell r="AC108">
            <v>2.887</v>
          </cell>
          <cell r="AD108">
            <v>3.258</v>
          </cell>
          <cell r="AE108">
            <v>3.274</v>
          </cell>
          <cell r="AF108">
            <v>3.2440000000000002</v>
          </cell>
          <cell r="AG108">
            <v>3.0939999999999999</v>
          </cell>
          <cell r="AH108">
            <v>3.0049999999999999</v>
          </cell>
          <cell r="AI108">
            <v>2.9729999999999999</v>
          </cell>
          <cell r="AJ108">
            <v>3.2440000000000002</v>
          </cell>
          <cell r="AK108">
            <v>3.0939999999999999</v>
          </cell>
          <cell r="AL108">
            <v>3.0049999999999999</v>
          </cell>
          <cell r="AM108">
            <v>2.9729999999999999</v>
          </cell>
          <cell r="AN108">
            <v>3.2440000000000002</v>
          </cell>
        </row>
        <row r="109">
          <cell r="I109" t="str">
            <v>y/y Growth - %</v>
          </cell>
          <cell r="M109" t="str">
            <v>NA</v>
          </cell>
          <cell r="N109" t="str">
            <v>NA</v>
          </cell>
          <cell r="O109" t="str">
            <v>NA</v>
          </cell>
          <cell r="P109" t="str">
            <v>NA</v>
          </cell>
          <cell r="Q109">
            <v>-0.20821917808219181</v>
          </cell>
          <cell r="R109">
            <v>1.1271255060728742</v>
          </cell>
          <cell r="S109">
            <v>0.54958938723941886</v>
          </cell>
          <cell r="T109">
            <v>1.1338090990187331</v>
          </cell>
          <cell r="U109">
            <v>3.7162629757785473</v>
          </cell>
          <cell r="V109">
            <v>0.71183859916254288</v>
          </cell>
          <cell r="W109">
            <v>1.0440277211577662</v>
          </cell>
          <cell r="X109">
            <v>0.77759197324414719</v>
          </cell>
          <cell r="Y109">
            <v>0.17363658596233789</v>
          </cell>
          <cell r="Z109">
            <v>0.43073159884367374</v>
          </cell>
          <cell r="AA109">
            <v>0.42760271240526526</v>
          </cell>
          <cell r="AB109">
            <v>-9.4543744120413886E-2</v>
          </cell>
          <cell r="AC109">
            <v>-0.3984163367368202</v>
          </cell>
          <cell r="AD109">
            <v>-0.49362760335716505</v>
          </cell>
          <cell r="AE109">
            <v>-0.5426096675048897</v>
          </cell>
          <cell r="AF109">
            <v>-0.15740259740259732</v>
          </cell>
          <cell r="AG109">
            <v>7.1700727398683606E-2</v>
          </cell>
          <cell r="AH109">
            <v>-7.765500306936779E-2</v>
          </cell>
          <cell r="AI109">
            <v>-9.1936469150885824E-2</v>
          </cell>
          <cell r="AJ109">
            <v>0</v>
          </cell>
          <cell r="AK109">
            <v>0</v>
          </cell>
          <cell r="AL109">
            <v>0</v>
          </cell>
          <cell r="AM109">
            <v>0</v>
          </cell>
          <cell r="AN109">
            <v>0</v>
          </cell>
        </row>
        <row r="110">
          <cell r="I110" t="str">
            <v>Total US</v>
          </cell>
          <cell r="M110">
            <v>219.51399999999998</v>
          </cell>
          <cell r="N110">
            <v>260.55099999999999</v>
          </cell>
          <cell r="O110">
            <v>248.46700000000004</v>
          </cell>
          <cell r="P110">
            <v>211.87099999999998</v>
          </cell>
          <cell r="Q110">
            <v>237.61100000000002</v>
          </cell>
          <cell r="R110">
            <v>263.16199999999992</v>
          </cell>
          <cell r="S110">
            <v>285.09199999999998</v>
          </cell>
          <cell r="T110">
            <v>232.453</v>
          </cell>
          <cell r="U110">
            <v>298.98</v>
          </cell>
          <cell r="V110">
            <v>349.476</v>
          </cell>
          <cell r="W110">
            <v>337.90900000000005</v>
          </cell>
          <cell r="X110">
            <v>278.64099999999996</v>
          </cell>
          <cell r="Y110">
            <v>347.45799999999997</v>
          </cell>
          <cell r="Z110">
            <v>406.14099999999996</v>
          </cell>
          <cell r="AA110">
            <v>413.76</v>
          </cell>
          <cell r="AB110">
            <v>318.85300000000007</v>
          </cell>
          <cell r="AC110">
            <v>368.59399999999988</v>
          </cell>
          <cell r="AD110">
            <v>444.83900000000006</v>
          </cell>
          <cell r="AE110">
            <v>470.75699999999995</v>
          </cell>
          <cell r="AF110">
            <v>356.41600000000005</v>
          </cell>
          <cell r="AG110">
            <v>420.22</v>
          </cell>
          <cell r="AH110">
            <v>489.81600000000014</v>
          </cell>
          <cell r="AI110">
            <v>499.80400000000009</v>
          </cell>
          <cell r="AJ110">
            <v>385.14147250000002</v>
          </cell>
          <cell r="AK110">
            <v>456.32213184</v>
          </cell>
          <cell r="AL110">
            <v>535.87710611600005</v>
          </cell>
          <cell r="AM110">
            <v>550.41795260000004</v>
          </cell>
          <cell r="AN110">
            <v>416.31536740000007</v>
          </cell>
        </row>
        <row r="111">
          <cell r="I111" t="str">
            <v>y/y Growth - %</v>
          </cell>
          <cell r="M111" t="str">
            <v>NA</v>
          </cell>
          <cell r="N111" t="str">
            <v>NA</v>
          </cell>
          <cell r="O111" t="str">
            <v>NA</v>
          </cell>
          <cell r="P111" t="str">
            <v>NA</v>
          </cell>
          <cell r="Q111">
            <v>8.244121103893165E-2</v>
          </cell>
          <cell r="R111">
            <v>1.0021070730873882E-2</v>
          </cell>
          <cell r="S111">
            <v>0.14740388059581333</v>
          </cell>
          <cell r="T111">
            <v>9.7144016878194961E-2</v>
          </cell>
          <cell r="U111">
            <v>0.25827507985741405</v>
          </cell>
          <cell r="V111">
            <v>0.32798808338589946</v>
          </cell>
          <cell r="W111">
            <v>0.18526300282014252</v>
          </cell>
          <cell r="X111">
            <v>0.19869823147044752</v>
          </cell>
          <cell r="Y111">
            <v>0.16214462505853211</v>
          </cell>
          <cell r="Z111">
            <v>0.16214275086128938</v>
          </cell>
          <cell r="AA111">
            <v>0.22447167728589634</v>
          </cell>
          <cell r="AB111">
            <v>0.14431472755265773</v>
          </cell>
          <cell r="AC111">
            <v>6.0830373743013366E-2</v>
          </cell>
          <cell r="AD111">
            <v>9.5282180326537125E-2</v>
          </cell>
          <cell r="AE111">
            <v>0.13775377030162406</v>
          </cell>
          <cell r="AF111">
            <v>0.11780663816868575</v>
          </cell>
          <cell r="AG111">
            <v>0.1400619651974806</v>
          </cell>
          <cell r="AH111">
            <v>0.10110849093717067</v>
          </cell>
          <cell r="AI111">
            <v>6.1702746852410284E-2</v>
          </cell>
          <cell r="AJ111">
            <v>8.0595350657658438E-2</v>
          </cell>
          <cell r="AK111">
            <v>8.5912454999761856E-2</v>
          </cell>
          <cell r="AL111">
            <v>9.4037569446485891E-2</v>
          </cell>
          <cell r="AM111">
            <v>0.10126760210002317</v>
          </cell>
          <cell r="AN111">
            <v>8.0941412768784637E-2</v>
          </cell>
        </row>
        <row r="113">
          <cell r="I113" t="str">
            <v>Europe</v>
          </cell>
        </row>
        <row r="114">
          <cell r="I114" t="str">
            <v>Agency (Booking.com)</v>
          </cell>
          <cell r="M114">
            <v>21.567499999999999</v>
          </cell>
          <cell r="N114">
            <v>46.222500000000004</v>
          </cell>
          <cell r="O114">
            <v>64.152500000000003</v>
          </cell>
          <cell r="P114">
            <v>47.303000000000004</v>
          </cell>
          <cell r="Q114">
            <v>45.548749999999998</v>
          </cell>
          <cell r="R114">
            <v>87.876250000000013</v>
          </cell>
          <cell r="S114">
            <v>129.35124999999999</v>
          </cell>
          <cell r="T114">
            <v>97.505499999999998</v>
          </cell>
          <cell r="U114">
            <v>93.650125000000003</v>
          </cell>
          <cell r="V114">
            <v>153.36737500000001</v>
          </cell>
          <cell r="W114">
            <v>211.047875</v>
          </cell>
          <cell r="X114">
            <v>114.14825</v>
          </cell>
          <cell r="Y114">
            <v>94.048199999999994</v>
          </cell>
          <cell r="Z114">
            <v>173.33730875000001</v>
          </cell>
          <cell r="AA114">
            <v>287.02573749999993</v>
          </cell>
          <cell r="AB114">
            <v>189.46372500000001</v>
          </cell>
          <cell r="AC114">
            <v>165.44524000000001</v>
          </cell>
          <cell r="AD114">
            <v>256.84141750000003</v>
          </cell>
          <cell r="AE114">
            <v>436.46394375000006</v>
          </cell>
          <cell r="AF114">
            <v>291.5920625</v>
          </cell>
          <cell r="AG114">
            <v>256.05805200000003</v>
          </cell>
          <cell r="AH114">
            <v>446.4519094499999</v>
          </cell>
          <cell r="AI114">
            <v>751.01954959999989</v>
          </cell>
          <cell r="AJ114">
            <v>423.36119137891097</v>
          </cell>
          <cell r="AK114">
            <v>327.68815899657329</v>
          </cell>
          <cell r="AL114">
            <v>561.6505444120877</v>
          </cell>
          <cell r="AM114">
            <v>938.30015040209764</v>
          </cell>
          <cell r="AN114">
            <v>521.95252737253861</v>
          </cell>
        </row>
        <row r="115">
          <cell r="I115" t="str">
            <v>y/y Growth - %</v>
          </cell>
          <cell r="M115" t="str">
            <v>NA</v>
          </cell>
          <cell r="N115" t="str">
            <v>NA</v>
          </cell>
          <cell r="O115" t="str">
            <v>NA</v>
          </cell>
          <cell r="P115" t="str">
            <v>NA</v>
          </cell>
          <cell r="Q115">
            <v>1.1119160774313204</v>
          </cell>
          <cell r="R115">
            <v>0.9011574449672779</v>
          </cell>
          <cell r="S115">
            <v>1.0163087954483454</v>
          </cell>
          <cell r="T115">
            <v>1.0612963237003994</v>
          </cell>
          <cell r="U115">
            <v>1.056041603776174</v>
          </cell>
          <cell r="V115">
            <v>0.74526535895648705</v>
          </cell>
          <cell r="W115">
            <v>0.63158744117277577</v>
          </cell>
          <cell r="X115">
            <v>0.17068524339652646</v>
          </cell>
          <cell r="Y115">
            <v>4.2506617049362649E-3</v>
          </cell>
          <cell r="Z115">
            <v>0.13020979038077685</v>
          </cell>
          <cell r="AA115">
            <v>0.36000297325902908</v>
          </cell>
          <cell r="AB115">
            <v>0.65980402678096262</v>
          </cell>
          <cell r="AC115">
            <v>0.75915371054416791</v>
          </cell>
          <cell r="AD115">
            <v>0.48174342472592491</v>
          </cell>
          <cell r="AE115">
            <v>0.52064392396169756</v>
          </cell>
          <cell r="AF115">
            <v>0.53903900337650379</v>
          </cell>
          <cell r="AG115">
            <v>0.54769065583270948</v>
          </cell>
          <cell r="AH115">
            <v>0.73823954794985447</v>
          </cell>
          <cell r="AI115">
            <v>0.72069093072708101</v>
          </cell>
          <cell r="AJ115">
            <v>0.4518954588447035</v>
          </cell>
          <cell r="AK115">
            <v>0.27974166966080505</v>
          </cell>
          <cell r="AL115">
            <v>0.25803145316145049</v>
          </cell>
          <cell r="AM115">
            <v>0.24936847636235981</v>
          </cell>
          <cell r="AN115">
            <v>0.23287759483222858</v>
          </cell>
        </row>
        <row r="116">
          <cell r="I116" t="str">
            <v>Base revenue margin</v>
          </cell>
          <cell r="M116">
            <v>8.0697362907088094E-2</v>
          </cell>
          <cell r="N116">
            <v>0.13178452599196561</v>
          </cell>
          <cell r="O116">
            <v>0.16333516648589744</v>
          </cell>
          <cell r="P116">
            <v>0.15105251056981184</v>
          </cell>
          <cell r="Q116">
            <v>9.0373786715978441E-2</v>
          </cell>
          <cell r="R116">
            <v>0.1311000762346356</v>
          </cell>
          <cell r="S116">
            <v>0.16752023238917679</v>
          </cell>
          <cell r="T116">
            <v>0.15005232298671917</v>
          </cell>
          <cell r="U116">
            <v>9.6324923642157223E-2</v>
          </cell>
          <cell r="V116">
            <v>0.13127357317683291</v>
          </cell>
          <cell r="W116">
            <v>0.17990114074923336</v>
          </cell>
          <cell r="X116">
            <v>0.16051107001989723</v>
          </cell>
          <cell r="Y116">
            <v>9.7675882267411668E-2</v>
          </cell>
          <cell r="Z116">
            <v>0.13735028163920765</v>
          </cell>
          <cell r="AA116">
            <v>0.1865685834002975</v>
          </cell>
          <cell r="AB116">
            <v>0.15418076700697364</v>
          </cell>
          <cell r="AC116">
            <v>9.9869155267955229E-2</v>
          </cell>
          <cell r="AD116">
            <v>0.1392917130863609</v>
          </cell>
          <cell r="AE116">
            <v>0.18927813157727408</v>
          </cell>
          <cell r="AF116">
            <v>0.15693962759462346</v>
          </cell>
          <cell r="AG116">
            <v>9.4555241345540997E-2</v>
          </cell>
          <cell r="AH116">
            <v>0.1301201643284301</v>
          </cell>
          <cell r="AI116">
            <v>0.20034010772041858</v>
          </cell>
          <cell r="AJ116">
            <v>0.158</v>
          </cell>
          <cell r="AK116">
            <v>9.5000000000000001E-2</v>
          </cell>
          <cell r="AL116">
            <v>0.13</v>
          </cell>
          <cell r="AM116">
            <v>0.19500000000000001</v>
          </cell>
          <cell r="AN116">
            <v>0.155</v>
          </cell>
        </row>
        <row r="117">
          <cell r="I117" t="str">
            <v>Merchant (TravelJigsaw)</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7.9019999999999992</v>
          </cell>
          <cell r="AE117">
            <v>15.443999999999999</v>
          </cell>
          <cell r="AF117">
            <v>9.9</v>
          </cell>
          <cell r="AG117">
            <v>17.225999999999999</v>
          </cell>
          <cell r="AH117">
            <v>27.565999999999999</v>
          </cell>
          <cell r="AI117">
            <v>26.400659999999995</v>
          </cell>
          <cell r="AJ117">
            <v>16.752299575394847</v>
          </cell>
          <cell r="AK117">
            <v>26.76490338126883</v>
          </cell>
          <cell r="AL117">
            <v>42.740634239255492</v>
          </cell>
          <cell r="AM117">
            <v>40.855052013791457</v>
          </cell>
          <cell r="AN117">
            <v>26.246493511795876</v>
          </cell>
        </row>
        <row r="118">
          <cell r="I118" t="str">
            <v>y/y Growth - %</v>
          </cell>
          <cell r="M118" t="str">
            <v>NA</v>
          </cell>
          <cell r="N118" t="str">
            <v>NA</v>
          </cell>
          <cell r="O118" t="str">
            <v>NA</v>
          </cell>
          <cell r="P118" t="str">
            <v>NA</v>
          </cell>
          <cell r="Q118" t="str">
            <v>NA</v>
          </cell>
          <cell r="R118" t="str">
            <v>NA</v>
          </cell>
          <cell r="S118" t="str">
            <v>NA</v>
          </cell>
          <cell r="T118" t="str">
            <v>NA</v>
          </cell>
          <cell r="U118" t="str">
            <v>NA</v>
          </cell>
          <cell r="V118" t="str">
            <v>NA</v>
          </cell>
          <cell r="W118" t="str">
            <v>NA</v>
          </cell>
          <cell r="X118" t="str">
            <v>NA</v>
          </cell>
          <cell r="Y118" t="str">
            <v>NA</v>
          </cell>
          <cell r="Z118" t="str">
            <v>NA</v>
          </cell>
          <cell r="AA118" t="str">
            <v>NA</v>
          </cell>
          <cell r="AB118" t="str">
            <v>NA</v>
          </cell>
          <cell r="AC118" t="str">
            <v>NA</v>
          </cell>
          <cell r="AD118" t="str">
            <v>NA</v>
          </cell>
          <cell r="AE118" t="str">
            <v>NA</v>
          </cell>
          <cell r="AF118" t="str">
            <v>NA</v>
          </cell>
          <cell r="AG118" t="str">
            <v>NA</v>
          </cell>
          <cell r="AH118" t="str">
            <v>NM</v>
          </cell>
          <cell r="AI118">
            <v>0.70944444444444432</v>
          </cell>
          <cell r="AJ118">
            <v>0.6921514722621056</v>
          </cell>
          <cell r="AK118">
            <v>0.55375034141813728</v>
          </cell>
          <cell r="AL118">
            <v>0.55048372049827665</v>
          </cell>
          <cell r="AM118">
            <v>0.54750116147821548</v>
          </cell>
          <cell r="AN118">
            <v>0.56673974182898124</v>
          </cell>
        </row>
        <row r="119">
          <cell r="I119" t="str">
            <v>Revenue Margin</v>
          </cell>
          <cell r="M119" t="str">
            <v>NA</v>
          </cell>
          <cell r="N119" t="str">
            <v>NA</v>
          </cell>
          <cell r="O119" t="str">
            <v>NA</v>
          </cell>
          <cell r="P119" t="str">
            <v>NA</v>
          </cell>
          <cell r="Q119" t="str">
            <v>NA</v>
          </cell>
          <cell r="R119" t="str">
            <v>NA</v>
          </cell>
          <cell r="S119" t="str">
            <v>NA</v>
          </cell>
          <cell r="T119" t="str">
            <v>NA</v>
          </cell>
          <cell r="U119" t="str">
            <v>NA</v>
          </cell>
          <cell r="V119" t="str">
            <v>NA</v>
          </cell>
          <cell r="W119" t="str">
            <v>NA</v>
          </cell>
          <cell r="X119" t="str">
            <v>NA</v>
          </cell>
          <cell r="Y119" t="str">
            <v>NA</v>
          </cell>
          <cell r="Z119" t="str">
            <v>NA</v>
          </cell>
          <cell r="AA119" t="str">
            <v>NA</v>
          </cell>
          <cell r="AB119" t="str">
            <v>NA</v>
          </cell>
          <cell r="AC119" t="str">
            <v>NA</v>
          </cell>
          <cell r="AD119">
            <v>0.18</v>
          </cell>
          <cell r="AE119">
            <v>0.18</v>
          </cell>
          <cell r="AF119">
            <v>0.18</v>
          </cell>
          <cell r="AG119">
            <v>0.18</v>
          </cell>
          <cell r="AH119">
            <v>0.17899999999999999</v>
          </cell>
          <cell r="AI119">
            <v>0.18099999999999999</v>
          </cell>
          <cell r="AJ119">
            <v>0.18</v>
          </cell>
          <cell r="AK119">
            <v>0.18</v>
          </cell>
          <cell r="AL119">
            <v>0.17799999999999999</v>
          </cell>
          <cell r="AM119">
            <v>0.17799999999999999</v>
          </cell>
          <cell r="AN119">
            <v>0.18</v>
          </cell>
        </row>
        <row r="120">
          <cell r="I120" t="str">
            <v>Total Europe</v>
          </cell>
          <cell r="M120">
            <v>21.567499999999999</v>
          </cell>
          <cell r="N120">
            <v>46.222500000000004</v>
          </cell>
          <cell r="O120">
            <v>64.152500000000003</v>
          </cell>
          <cell r="P120">
            <v>47.303000000000004</v>
          </cell>
          <cell r="Q120">
            <v>45.548749999999998</v>
          </cell>
          <cell r="R120">
            <v>87.876250000000013</v>
          </cell>
          <cell r="S120">
            <v>129.35124999999999</v>
          </cell>
          <cell r="T120">
            <v>97.505499999999998</v>
          </cell>
          <cell r="U120">
            <v>93.650125000000003</v>
          </cell>
          <cell r="V120">
            <v>153.36737500000001</v>
          </cell>
          <cell r="W120">
            <v>211.047875</v>
          </cell>
          <cell r="X120">
            <v>114.14825</v>
          </cell>
          <cell r="Y120">
            <v>94.048199999999994</v>
          </cell>
          <cell r="Z120">
            <v>173.33730875000001</v>
          </cell>
          <cell r="AA120">
            <v>287.02573749999993</v>
          </cell>
          <cell r="AB120">
            <v>189.46372500000001</v>
          </cell>
          <cell r="AC120">
            <v>165.44524000000001</v>
          </cell>
          <cell r="AD120">
            <v>264.74341750000002</v>
          </cell>
          <cell r="AE120">
            <v>451.90794375000007</v>
          </cell>
          <cell r="AF120">
            <v>301.49206249999997</v>
          </cell>
          <cell r="AG120">
            <v>273.28405200000003</v>
          </cell>
          <cell r="AH120">
            <v>474.01790944999988</v>
          </cell>
          <cell r="AI120">
            <v>777.42020959999991</v>
          </cell>
          <cell r="AJ120">
            <v>440.1134909543058</v>
          </cell>
          <cell r="AK120">
            <v>354.45306237784212</v>
          </cell>
          <cell r="AL120">
            <v>604.39117865134324</v>
          </cell>
          <cell r="AM120">
            <v>979.15520241588911</v>
          </cell>
          <cell r="AN120">
            <v>548.19902088433446</v>
          </cell>
        </row>
        <row r="121">
          <cell r="I121" t="str">
            <v>y/y Growth - %</v>
          </cell>
          <cell r="M121" t="str">
            <v>NA</v>
          </cell>
          <cell r="N121" t="str">
            <v>NA</v>
          </cell>
          <cell r="O121" t="str">
            <v>NA</v>
          </cell>
          <cell r="P121" t="str">
            <v>NA</v>
          </cell>
          <cell r="Q121">
            <v>1.1119160774313204</v>
          </cell>
          <cell r="R121">
            <v>0.9011574449672779</v>
          </cell>
          <cell r="S121">
            <v>1.0163087954483454</v>
          </cell>
          <cell r="T121">
            <v>1.0612963237003994</v>
          </cell>
          <cell r="U121">
            <v>1.056041603776174</v>
          </cell>
          <cell r="V121">
            <v>0.74526535895648705</v>
          </cell>
          <cell r="W121">
            <v>0.63158744117277577</v>
          </cell>
          <cell r="X121">
            <v>0.17068524339652646</v>
          </cell>
          <cell r="Y121">
            <v>4.2506617049362649E-3</v>
          </cell>
          <cell r="Z121">
            <v>0.13020979038077685</v>
          </cell>
          <cell r="AA121">
            <v>0.36000297325902908</v>
          </cell>
          <cell r="AB121">
            <v>0.65980402678096262</v>
          </cell>
          <cell r="AC121">
            <v>0.75915371054416791</v>
          </cell>
          <cell r="AD121">
            <v>0.52733084071261738</v>
          </cell>
          <cell r="AE121">
            <v>0.57445094536165131</v>
          </cell>
          <cell r="AF121">
            <v>0.59129174991149336</v>
          </cell>
          <cell r="AG121">
            <v>0.65180969848392145</v>
          </cell>
          <cell r="AH121">
            <v>0.79048043545785163</v>
          </cell>
          <cell r="AI121">
            <v>0.72030658091302868</v>
          </cell>
          <cell r="AJ121">
            <v>0.45978466996724277</v>
          </cell>
          <cell r="AK121">
            <v>0.29701334484692898</v>
          </cell>
          <cell r="AL121">
            <v>0.27503869917618662</v>
          </cell>
          <cell r="AM121">
            <v>0.25949285897736862</v>
          </cell>
          <cell r="AN121">
            <v>0.2455855867895913</v>
          </cell>
        </row>
        <row r="123">
          <cell r="I123" t="str">
            <v>Asia</v>
          </cell>
        </row>
        <row r="124">
          <cell r="I124" t="str">
            <v>Agency (Booking.com)</v>
          </cell>
          <cell r="M124">
            <v>0.53249999999999997</v>
          </cell>
          <cell r="N124">
            <v>0.57750000000000001</v>
          </cell>
          <cell r="O124">
            <v>0.54749999999999999</v>
          </cell>
          <cell r="P124">
            <v>0.59699999999999998</v>
          </cell>
          <cell r="Q124">
            <v>1.33125</v>
          </cell>
          <cell r="R124">
            <v>1.4437499999999999</v>
          </cell>
          <cell r="S124">
            <v>1.3687499999999999</v>
          </cell>
          <cell r="T124">
            <v>1.4924999999999999</v>
          </cell>
          <cell r="U124">
            <v>3.0618749999999997</v>
          </cell>
          <cell r="V124">
            <v>3.3206249999999997</v>
          </cell>
          <cell r="W124">
            <v>3.1481249999999994</v>
          </cell>
          <cell r="X124">
            <v>3.4327499999999995</v>
          </cell>
          <cell r="Y124">
            <v>4.8989999999999991</v>
          </cell>
          <cell r="Z124">
            <v>6.0103312499999992</v>
          </cell>
          <cell r="AA124">
            <v>6.6110624999999992</v>
          </cell>
          <cell r="AB124">
            <v>8.5818749999999984</v>
          </cell>
          <cell r="AC124">
            <v>10.777800000000001</v>
          </cell>
          <cell r="AD124">
            <v>12.020662499999998</v>
          </cell>
          <cell r="AE124">
            <v>16.527656249999996</v>
          </cell>
          <cell r="AF124">
            <v>18.021937499999996</v>
          </cell>
          <cell r="AG124">
            <v>24.78894</v>
          </cell>
          <cell r="AH124">
            <v>27.647523749999994</v>
          </cell>
          <cell r="AI124">
            <v>39.666374999999988</v>
          </cell>
          <cell r="AJ124">
            <v>36.863065020043386</v>
          </cell>
          <cell r="AK124">
            <v>43.261572661247847</v>
          </cell>
          <cell r="AL124">
            <v>48.274343733928852</v>
          </cell>
          <cell r="AM124">
            <v>68.565634764921711</v>
          </cell>
          <cell r="AN124">
            <v>63.130825263775208</v>
          </cell>
        </row>
        <row r="125">
          <cell r="I125" t="str">
            <v>y/y Growth - %</v>
          </cell>
          <cell r="M125" t="str">
            <v>NA</v>
          </cell>
          <cell r="N125" t="str">
            <v>NA</v>
          </cell>
          <cell r="O125" t="str">
            <v>NA</v>
          </cell>
          <cell r="P125" t="str">
            <v>NA</v>
          </cell>
          <cell r="Q125">
            <v>1.5</v>
          </cell>
          <cell r="R125">
            <v>1.4999999999999996</v>
          </cell>
          <cell r="S125">
            <v>1.5</v>
          </cell>
          <cell r="T125">
            <v>1.5</v>
          </cell>
          <cell r="U125">
            <v>1.2999999999999998</v>
          </cell>
          <cell r="V125">
            <v>1.2999999999999998</v>
          </cell>
          <cell r="W125">
            <v>1.2999999999999998</v>
          </cell>
          <cell r="X125">
            <v>1.2999999999999998</v>
          </cell>
          <cell r="Y125">
            <v>0.59999999999999987</v>
          </cell>
          <cell r="Z125">
            <v>0.80999999999999983</v>
          </cell>
          <cell r="AA125">
            <v>1.1000000000000001</v>
          </cell>
          <cell r="AB125">
            <v>1.5</v>
          </cell>
          <cell r="AC125">
            <v>1.2000000000000006</v>
          </cell>
          <cell r="AD125">
            <v>1</v>
          </cell>
          <cell r="AE125">
            <v>1.4999999999999996</v>
          </cell>
          <cell r="AF125">
            <v>1.1000000000000001</v>
          </cell>
          <cell r="AG125">
            <v>1.2999999999999998</v>
          </cell>
          <cell r="AH125">
            <v>1.2999999999999998</v>
          </cell>
          <cell r="AI125">
            <v>1.4</v>
          </cell>
          <cell r="AJ125">
            <v>1.0454551581950273</v>
          </cell>
          <cell r="AK125">
            <v>0.74519655383601902</v>
          </cell>
          <cell r="AL125">
            <v>0.74606392132781374</v>
          </cell>
          <cell r="AM125">
            <v>0.72855812422793198</v>
          </cell>
          <cell r="AN125">
            <v>0.7125766734114316</v>
          </cell>
        </row>
        <row r="126">
          <cell r="I126" t="str">
            <v>Revenue Margin</v>
          </cell>
          <cell r="M126">
            <v>0.15</v>
          </cell>
          <cell r="N126">
            <v>0.15</v>
          </cell>
          <cell r="O126">
            <v>0.15</v>
          </cell>
          <cell r="P126">
            <v>0.15</v>
          </cell>
          <cell r="Q126">
            <v>0.15</v>
          </cell>
          <cell r="R126">
            <v>0.15</v>
          </cell>
          <cell r="S126">
            <v>0.15</v>
          </cell>
          <cell r="T126">
            <v>0.15</v>
          </cell>
          <cell r="U126">
            <v>0.15</v>
          </cell>
          <cell r="V126">
            <v>0.15</v>
          </cell>
          <cell r="W126">
            <v>0.15</v>
          </cell>
          <cell r="X126">
            <v>0.15</v>
          </cell>
          <cell r="Y126">
            <v>0.15</v>
          </cell>
          <cell r="Z126">
            <v>0.15</v>
          </cell>
          <cell r="AA126">
            <v>0.15</v>
          </cell>
          <cell r="AB126">
            <v>0.15</v>
          </cell>
          <cell r="AC126">
            <v>0.15</v>
          </cell>
          <cell r="AD126">
            <v>0.15</v>
          </cell>
          <cell r="AE126">
            <v>0.15</v>
          </cell>
          <cell r="AF126">
            <v>0.15</v>
          </cell>
          <cell r="AG126">
            <v>0.15</v>
          </cell>
          <cell r="AH126">
            <v>0.15</v>
          </cell>
          <cell r="AI126">
            <v>0.15</v>
          </cell>
          <cell r="AJ126">
            <v>0.15</v>
          </cell>
          <cell r="AK126">
            <v>0.15</v>
          </cell>
          <cell r="AL126">
            <v>0.14799999999999999</v>
          </cell>
          <cell r="AM126">
            <v>0.14799999999999999</v>
          </cell>
          <cell r="AN126">
            <v>0.15</v>
          </cell>
        </row>
        <row r="127">
          <cell r="I127" t="str">
            <v>Merchant (Agoda)</v>
          </cell>
          <cell r="M127">
            <v>0</v>
          </cell>
          <cell r="N127">
            <v>0</v>
          </cell>
          <cell r="O127">
            <v>0</v>
          </cell>
          <cell r="P127">
            <v>0</v>
          </cell>
          <cell r="Q127">
            <v>0</v>
          </cell>
          <cell r="R127">
            <v>0</v>
          </cell>
          <cell r="S127">
            <v>0</v>
          </cell>
          <cell r="T127">
            <v>2.4119999999999999</v>
          </cell>
          <cell r="U127">
            <v>4.4279999999999999</v>
          </cell>
          <cell r="V127">
            <v>4.3559999999999999</v>
          </cell>
          <cell r="W127">
            <v>5.8319999999999999</v>
          </cell>
          <cell r="X127">
            <v>6.75</v>
          </cell>
          <cell r="Y127">
            <v>7.0848000000000013</v>
          </cell>
          <cell r="Z127">
            <v>7.88436</v>
          </cell>
          <cell r="AA127">
            <v>12.247200000000001</v>
          </cell>
          <cell r="AB127">
            <v>16.875</v>
          </cell>
          <cell r="AC127">
            <v>15.586560000000004</v>
          </cell>
          <cell r="AD127">
            <v>15.76872</v>
          </cell>
          <cell r="AE127">
            <v>30.618000000000002</v>
          </cell>
          <cell r="AF127">
            <v>35.4375</v>
          </cell>
          <cell r="AG127">
            <v>35.849088000000009</v>
          </cell>
          <cell r="AH127">
            <v>36.066566799999997</v>
          </cell>
          <cell r="AI127">
            <v>69.273224999999996</v>
          </cell>
          <cell r="AJ127">
            <v>65.398317168536281</v>
          </cell>
          <cell r="AK127">
            <v>58.651136057787738</v>
          </cell>
          <cell r="AL127">
            <v>59.882463219373996</v>
          </cell>
          <cell r="AM127">
            <v>112.53692943337911</v>
          </cell>
          <cell r="AN127">
            <v>104.87391296441982</v>
          </cell>
        </row>
        <row r="128">
          <cell r="I128" t="str">
            <v>y/y Growth - %</v>
          </cell>
          <cell r="M128" t="str">
            <v>NM</v>
          </cell>
          <cell r="N128" t="str">
            <v>NM</v>
          </cell>
          <cell r="O128" t="str">
            <v>NM</v>
          </cell>
          <cell r="P128" t="str">
            <v>NM</v>
          </cell>
          <cell r="Q128" t="str">
            <v>NM</v>
          </cell>
          <cell r="R128" t="str">
            <v>NM</v>
          </cell>
          <cell r="S128" t="str">
            <v>NM</v>
          </cell>
          <cell r="T128" t="str">
            <v>NM</v>
          </cell>
          <cell r="U128" t="str">
            <v>NM</v>
          </cell>
          <cell r="V128" t="str">
            <v>NM</v>
          </cell>
          <cell r="W128" t="str">
            <v>NM</v>
          </cell>
          <cell r="X128" t="str">
            <v>NM</v>
          </cell>
          <cell r="Y128">
            <v>0.60000000000000031</v>
          </cell>
          <cell r="Z128">
            <v>0.81</v>
          </cell>
          <cell r="AA128">
            <v>1.1000000000000001</v>
          </cell>
          <cell r="AB128">
            <v>1.5</v>
          </cell>
          <cell r="AC128">
            <v>1.2000000000000002</v>
          </cell>
          <cell r="AD128">
            <v>1</v>
          </cell>
          <cell r="AE128">
            <v>1.5</v>
          </cell>
          <cell r="AF128">
            <v>1.1000000000000001</v>
          </cell>
          <cell r="AG128">
            <v>1.2999999999999998</v>
          </cell>
          <cell r="AH128">
            <v>1.2872222222222218</v>
          </cell>
          <cell r="AI128">
            <v>1.2624999999999997</v>
          </cell>
          <cell r="AJ128">
            <v>0.84545515819502737</v>
          </cell>
          <cell r="AK128">
            <v>0.63605657298137475</v>
          </cell>
          <cell r="AL128">
            <v>0.66033167369215739</v>
          </cell>
          <cell r="AM128">
            <v>0.62453717772456985</v>
          </cell>
          <cell r="AN128">
            <v>0.60361791411470134</v>
          </cell>
        </row>
        <row r="129">
          <cell r="I129" t="str">
            <v>Revenue Margin</v>
          </cell>
          <cell r="M129" t="str">
            <v>NA</v>
          </cell>
          <cell r="N129" t="str">
            <v>NA</v>
          </cell>
          <cell r="O129" t="str">
            <v>NA</v>
          </cell>
          <cell r="P129" t="str">
            <v>NA</v>
          </cell>
          <cell r="Q129" t="str">
            <v>NA</v>
          </cell>
          <cell r="R129" t="str">
            <v>NA</v>
          </cell>
          <cell r="S129" t="str">
            <v>NA</v>
          </cell>
          <cell r="T129">
            <v>0.18</v>
          </cell>
          <cell r="U129">
            <v>0.18</v>
          </cell>
          <cell r="V129">
            <v>0.18</v>
          </cell>
          <cell r="W129">
            <v>0.18</v>
          </cell>
          <cell r="X129">
            <v>0.18</v>
          </cell>
          <cell r="Y129">
            <v>0.18</v>
          </cell>
          <cell r="Z129">
            <v>0.18</v>
          </cell>
          <cell r="AA129">
            <v>0.18</v>
          </cell>
          <cell r="AB129">
            <v>0.18</v>
          </cell>
          <cell r="AC129">
            <v>0.18</v>
          </cell>
          <cell r="AD129">
            <v>0.18</v>
          </cell>
          <cell r="AE129">
            <v>0.18</v>
          </cell>
          <cell r="AF129">
            <v>0.18</v>
          </cell>
          <cell r="AG129">
            <v>0.18</v>
          </cell>
          <cell r="AH129">
            <v>0.17899999999999999</v>
          </cell>
          <cell r="AI129">
            <v>0.18099999999999999</v>
          </cell>
          <cell r="AJ129">
            <v>0.18</v>
          </cell>
          <cell r="AK129">
            <v>0.17899999999999999</v>
          </cell>
          <cell r="AL129">
            <v>0.17799999999999999</v>
          </cell>
          <cell r="AM129">
            <v>0.17799999999999999</v>
          </cell>
          <cell r="AN129">
            <v>0.17899999999999999</v>
          </cell>
        </row>
        <row r="130">
          <cell r="I130" t="str">
            <v>Total Asia Pacific</v>
          </cell>
          <cell r="M130">
            <v>0.53249999999999997</v>
          </cell>
          <cell r="N130">
            <v>0.57750000000000001</v>
          </cell>
          <cell r="O130">
            <v>0.54749999999999999</v>
          </cell>
          <cell r="P130">
            <v>0.59699999999999998</v>
          </cell>
          <cell r="Q130">
            <v>1.33125</v>
          </cell>
          <cell r="R130">
            <v>1.4437499999999999</v>
          </cell>
          <cell r="S130">
            <v>1.3687499999999999</v>
          </cell>
          <cell r="T130">
            <v>3.9044999999999996</v>
          </cell>
          <cell r="U130">
            <v>7.4898749999999996</v>
          </cell>
          <cell r="V130">
            <v>7.6766249999999996</v>
          </cell>
          <cell r="W130">
            <v>8.9801249999999992</v>
          </cell>
          <cell r="X130">
            <v>10.182749999999999</v>
          </cell>
          <cell r="Y130">
            <v>11.9838</v>
          </cell>
          <cell r="Z130">
            <v>13.894691249999999</v>
          </cell>
          <cell r="AA130">
            <v>18.858262500000002</v>
          </cell>
          <cell r="AB130">
            <v>25.456874999999997</v>
          </cell>
          <cell r="AC130">
            <v>26.364360000000005</v>
          </cell>
          <cell r="AD130">
            <v>27.789382499999999</v>
          </cell>
          <cell r="AE130">
            <v>47.145656250000002</v>
          </cell>
          <cell r="AF130">
            <v>53.459437499999993</v>
          </cell>
          <cell r="AG130">
            <v>60.638028000000006</v>
          </cell>
          <cell r="AH130">
            <v>63.714090549999995</v>
          </cell>
          <cell r="AI130">
            <v>108.93959999999998</v>
          </cell>
          <cell r="AJ130">
            <v>102.26138218857966</v>
          </cell>
          <cell r="AK130">
            <v>101.91270871903558</v>
          </cell>
          <cell r="AL130">
            <v>108.15680695330285</v>
          </cell>
          <cell r="AM130">
            <v>181.10256419830083</v>
          </cell>
          <cell r="AN130">
            <v>168.00473822819504</v>
          </cell>
        </row>
        <row r="131">
          <cell r="I131" t="str">
            <v>y/y Growth - %</v>
          </cell>
          <cell r="M131" t="str">
            <v>NA</v>
          </cell>
          <cell r="N131" t="str">
            <v>NA</v>
          </cell>
          <cell r="O131" t="str">
            <v>NA</v>
          </cell>
          <cell r="P131" t="str">
            <v>NA</v>
          </cell>
          <cell r="Q131">
            <v>1.5</v>
          </cell>
          <cell r="R131">
            <v>1.4999999999999996</v>
          </cell>
          <cell r="S131">
            <v>1.5</v>
          </cell>
          <cell r="T131">
            <v>5.5402010050251249</v>
          </cell>
          <cell r="U131">
            <v>4.6261971830985908</v>
          </cell>
          <cell r="V131">
            <v>4.3171428571428576</v>
          </cell>
          <cell r="W131">
            <v>5.5608219178082194</v>
          </cell>
          <cell r="X131">
            <v>1.6079523626584709</v>
          </cell>
          <cell r="Y131">
            <v>0.60000000000000009</v>
          </cell>
          <cell r="Z131">
            <v>0.81</v>
          </cell>
          <cell r="AA131">
            <v>1.1000000000000005</v>
          </cell>
          <cell r="AB131">
            <v>1.5</v>
          </cell>
          <cell r="AC131">
            <v>1.2000000000000002</v>
          </cell>
          <cell r="AD131">
            <v>1</v>
          </cell>
          <cell r="AE131">
            <v>1.5</v>
          </cell>
          <cell r="AF131">
            <v>1.1000000000000001</v>
          </cell>
          <cell r="AG131">
            <v>1.2999999999999998</v>
          </cell>
          <cell r="AH131">
            <v>1.2927494178756942</v>
          </cell>
          <cell r="AI131">
            <v>1.3107028020211295</v>
          </cell>
          <cell r="AJ131">
            <v>0.91287800565764798</v>
          </cell>
          <cell r="AK131">
            <v>0.68067320261528907</v>
          </cell>
          <cell r="AL131">
            <v>0.6975335599968453</v>
          </cell>
          <cell r="AM131">
            <v>0.66241260476723673</v>
          </cell>
          <cell r="AN131">
            <v>0.64289524190449931</v>
          </cell>
        </row>
        <row r="133">
          <cell r="I133" t="str">
            <v>Latin America &amp; RoW</v>
          </cell>
        </row>
        <row r="134">
          <cell r="I134" t="str">
            <v>Agency (Booking.com)</v>
          </cell>
          <cell r="M134">
            <v>0.3</v>
          </cell>
          <cell r="N134">
            <v>0.3</v>
          </cell>
          <cell r="O134">
            <v>0.3</v>
          </cell>
          <cell r="P134">
            <v>0.3</v>
          </cell>
          <cell r="Q134">
            <v>1.02</v>
          </cell>
          <cell r="R134">
            <v>1.08</v>
          </cell>
          <cell r="S134">
            <v>1.08</v>
          </cell>
          <cell r="T134">
            <v>0.98999999999999988</v>
          </cell>
          <cell r="U134">
            <v>3.0599999999999996</v>
          </cell>
          <cell r="V134">
            <v>3.4560000000000004</v>
          </cell>
          <cell r="W134">
            <v>3.6719999999999997</v>
          </cell>
          <cell r="X134">
            <v>3.069</v>
          </cell>
          <cell r="Y134">
            <v>8.5679999999999978</v>
          </cell>
          <cell r="Z134">
            <v>10.368</v>
          </cell>
          <cell r="AA134">
            <v>11.016</v>
          </cell>
          <cell r="AB134">
            <v>7.9794</v>
          </cell>
          <cell r="AC134">
            <v>23.99039999999999</v>
          </cell>
          <cell r="AD134">
            <v>30.0672</v>
          </cell>
          <cell r="AE134">
            <v>31.946399999999997</v>
          </cell>
          <cell r="AF134">
            <v>19.948499999999999</v>
          </cell>
          <cell r="AG134">
            <v>55.177919999999972</v>
          </cell>
          <cell r="AH134">
            <v>75.167999999999992</v>
          </cell>
          <cell r="AI134">
            <v>66.640190400000009</v>
          </cell>
          <cell r="AJ134">
            <v>38.473887091188921</v>
          </cell>
          <cell r="AK134">
            <v>91.103928363631994</v>
          </cell>
          <cell r="AL134">
            <v>125.5329744711008</v>
          </cell>
          <cell r="AM134">
            <v>112.59253551619628</v>
          </cell>
          <cell r="AN134">
            <v>64.876591516426856</v>
          </cell>
        </row>
        <row r="135">
          <cell r="I135" t="str">
            <v>y/y Growth - %</v>
          </cell>
          <cell r="M135" t="str">
            <v>NA</v>
          </cell>
          <cell r="N135" t="str">
            <v>NA</v>
          </cell>
          <cell r="O135" t="str">
            <v>NA</v>
          </cell>
          <cell r="P135" t="str">
            <v>NA</v>
          </cell>
          <cell r="Q135">
            <v>2.4000000000000004</v>
          </cell>
          <cell r="R135">
            <v>2.6000000000000005</v>
          </cell>
          <cell r="S135">
            <v>2.6000000000000005</v>
          </cell>
          <cell r="T135">
            <v>2.2999999999999998</v>
          </cell>
          <cell r="U135">
            <v>1.9999999999999996</v>
          </cell>
          <cell r="V135">
            <v>2.2000000000000002</v>
          </cell>
          <cell r="W135">
            <v>2.3999999999999995</v>
          </cell>
          <cell r="X135">
            <v>2.1000000000000005</v>
          </cell>
          <cell r="Y135">
            <v>1.7999999999999998</v>
          </cell>
          <cell r="Z135">
            <v>1.9999999999999996</v>
          </cell>
          <cell r="AA135">
            <v>2.0000000000000004</v>
          </cell>
          <cell r="AB135">
            <v>1.6</v>
          </cell>
          <cell r="AC135">
            <v>1.7999999999999994</v>
          </cell>
          <cell r="AD135">
            <v>1.9</v>
          </cell>
          <cell r="AE135">
            <v>1.9</v>
          </cell>
          <cell r="AF135">
            <v>1.5</v>
          </cell>
          <cell r="AG135">
            <v>1.2999999999999998</v>
          </cell>
          <cell r="AH135">
            <v>1.4999999999999996</v>
          </cell>
          <cell r="AI135">
            <v>1.0860000000000003</v>
          </cell>
          <cell r="AJ135">
            <v>0.92866065574799728</v>
          </cell>
          <cell r="AK135">
            <v>0.65109392241737352</v>
          </cell>
          <cell r="AL135">
            <v>0.67003212099697751</v>
          </cell>
          <cell r="AM135">
            <v>0.68955903097474147</v>
          </cell>
          <cell r="AN135">
            <v>0.6862499846365806</v>
          </cell>
        </row>
        <row r="136">
          <cell r="I136" t="str">
            <v>Revenue Margin</v>
          </cell>
          <cell r="M136">
            <v>0.15</v>
          </cell>
          <cell r="N136">
            <v>0.15</v>
          </cell>
          <cell r="O136">
            <v>0.15</v>
          </cell>
          <cell r="P136">
            <v>0.15</v>
          </cell>
          <cell r="Q136">
            <v>0.15</v>
          </cell>
          <cell r="R136">
            <v>0.15</v>
          </cell>
          <cell r="S136">
            <v>0.15</v>
          </cell>
          <cell r="T136">
            <v>0.15</v>
          </cell>
          <cell r="U136">
            <v>0.15</v>
          </cell>
          <cell r="V136">
            <v>0.15</v>
          </cell>
          <cell r="W136">
            <v>0.15</v>
          </cell>
          <cell r="X136">
            <v>0.15</v>
          </cell>
          <cell r="Y136">
            <v>0.15</v>
          </cell>
          <cell r="Z136">
            <v>0.15</v>
          </cell>
          <cell r="AA136">
            <v>0.15</v>
          </cell>
          <cell r="AB136">
            <v>0.15</v>
          </cell>
          <cell r="AC136">
            <v>0.15</v>
          </cell>
          <cell r="AD136">
            <v>0.15</v>
          </cell>
          <cell r="AE136">
            <v>0.15</v>
          </cell>
          <cell r="AF136">
            <v>0.15</v>
          </cell>
          <cell r="AG136">
            <v>0.15</v>
          </cell>
          <cell r="AH136">
            <v>0.15</v>
          </cell>
          <cell r="AI136">
            <v>0.14899999999999999</v>
          </cell>
          <cell r="AJ136">
            <v>0.15</v>
          </cell>
          <cell r="AK136">
            <v>0.14899999999999999</v>
          </cell>
          <cell r="AL136">
            <v>0.14799999999999999</v>
          </cell>
          <cell r="AM136">
            <v>0.14799999999999999</v>
          </cell>
          <cell r="AN136">
            <v>0.14899999999999999</v>
          </cell>
        </row>
        <row r="138">
          <cell r="I138" t="str">
            <v>Agency Check</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row>
        <row r="139">
          <cell r="I139" t="str">
            <v>Merchant Check</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row>
        <row r="140">
          <cell r="I140" t="str">
            <v>Geography US Check</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row>
        <row r="141">
          <cell r="I141" t="str">
            <v>Geography International Check</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row>
        <row r="143">
          <cell r="I143" t="str">
            <v>Gross Profit Scenarios</v>
          </cell>
        </row>
        <row r="144">
          <cell r="I144" t="str">
            <v>Gross Profit by brand</v>
          </cell>
        </row>
        <row r="145">
          <cell r="I145" t="str">
            <v>US</v>
          </cell>
        </row>
        <row r="146">
          <cell r="I146" t="str">
            <v>Agency (Priceline.com)</v>
          </cell>
          <cell r="M146">
            <v>7.9809999999999937</v>
          </cell>
          <cell r="N146">
            <v>8.7919999999999874</v>
          </cell>
          <cell r="O146">
            <v>8.3260000000000485</v>
          </cell>
          <cell r="P146">
            <v>6.1009999999999796</v>
          </cell>
          <cell r="Q146">
            <v>6.6110000000000371</v>
          </cell>
          <cell r="R146">
            <v>7.9439999999999413</v>
          </cell>
          <cell r="S146">
            <v>7.8229999999999542</v>
          </cell>
          <cell r="T146">
            <v>5.7799999999999976</v>
          </cell>
          <cell r="U146">
            <v>10.160000000000023</v>
          </cell>
          <cell r="V146">
            <v>13.104999999999976</v>
          </cell>
          <cell r="W146">
            <v>14.770000000000049</v>
          </cell>
          <cell r="X146">
            <v>12.32299999999999</v>
          </cell>
          <cell r="Y146">
            <v>12.709799999999952</v>
          </cell>
          <cell r="Z146">
            <v>14.769359999999974</v>
          </cell>
          <cell r="AA146">
            <v>18.535199999999989</v>
          </cell>
          <cell r="AB146">
            <v>14.471000000000084</v>
          </cell>
          <cell r="AC146">
            <v>13.028559999999914</v>
          </cell>
          <cell r="AD146">
            <v>18.582720000000034</v>
          </cell>
          <cell r="AE146">
            <v>19.071999999999946</v>
          </cell>
          <cell r="AF146">
            <v>16.275500000000051</v>
          </cell>
          <cell r="AG146">
            <v>15.397088000000048</v>
          </cell>
          <cell r="AH146">
            <v>19.913566800000122</v>
          </cell>
          <cell r="AI146">
            <v>19.274885000000111</v>
          </cell>
          <cell r="AJ146">
            <v>17.362372499999999</v>
          </cell>
          <cell r="AK146">
            <v>17.383543520000003</v>
          </cell>
          <cell r="AL146">
            <v>22.781835647999998</v>
          </cell>
          <cell r="AM146">
            <v>22.41364905</v>
          </cell>
          <cell r="AN146">
            <v>18.309410999999997</v>
          </cell>
        </row>
        <row r="147">
          <cell r="I147" t="str">
            <v>y/y Growth - %</v>
          </cell>
          <cell r="M147" t="str">
            <v>NA</v>
          </cell>
          <cell r="N147" t="str">
            <v>NA</v>
          </cell>
          <cell r="O147" t="str">
            <v>NA</v>
          </cell>
          <cell r="P147" t="str">
            <v>NA</v>
          </cell>
          <cell r="Q147">
            <v>-0.17165768700663542</v>
          </cell>
          <cell r="R147">
            <v>-9.6451319381261058E-2</v>
          </cell>
          <cell r="S147">
            <v>-6.0413163583964868E-2</v>
          </cell>
          <cell r="T147">
            <v>-5.2614325520403682E-2</v>
          </cell>
          <cell r="U147">
            <v>0.53683255180758827</v>
          </cell>
          <cell r="V147">
            <v>0.64967270896274831</v>
          </cell>
          <cell r="W147">
            <v>0.88802249776302378</v>
          </cell>
          <cell r="X147">
            <v>1.1320069204152241</v>
          </cell>
          <cell r="Y147">
            <v>0.25096456692912628</v>
          </cell>
          <cell r="Z147">
            <v>0.12700190766882891</v>
          </cell>
          <cell r="AA147">
            <v>0.25492213947189768</v>
          </cell>
          <cell r="AB147">
            <v>0.17430820417106996</v>
          </cell>
          <cell r="AC147">
            <v>2.5079859635868562E-2</v>
          </cell>
          <cell r="AD147">
            <v>0.25819399080258498</v>
          </cell>
          <cell r="AE147">
            <v>2.8961111830460906E-2</v>
          </cell>
          <cell r="AF147">
            <v>0.12469767120447495</v>
          </cell>
          <cell r="AG147">
            <v>0.18179507175007448</v>
          </cell>
          <cell r="AH147">
            <v>7.1617438136079459E-2</v>
          </cell>
          <cell r="AI147">
            <v>1.0637846057055755E-2</v>
          </cell>
          <cell r="AJ147">
            <v>6.6779668827375183E-2</v>
          </cell>
          <cell r="AK147">
            <v>0.1290150137480508</v>
          </cell>
          <cell r="AL147">
            <v>0.14403591665958393</v>
          </cell>
          <cell r="AM147">
            <v>0.16284216741110891</v>
          </cell>
          <cell r="AN147">
            <v>5.4545454545454453E-2</v>
          </cell>
        </row>
        <row r="148">
          <cell r="I148" t="str">
            <v>Merchant (NYOP &amp; Priceline.com)</v>
          </cell>
          <cell r="M148">
            <v>40.754999999999995</v>
          </cell>
          <cell r="N148">
            <v>48.676999999999992</v>
          </cell>
          <cell r="O148">
            <v>48.638000000000005</v>
          </cell>
          <cell r="P148">
            <v>44.094999999999999</v>
          </cell>
          <cell r="Q148">
            <v>48.460999999999984</v>
          </cell>
          <cell r="R148">
            <v>53.921999999999969</v>
          </cell>
          <cell r="S148">
            <v>59.860000000000042</v>
          </cell>
          <cell r="T148">
            <v>49.580000000000013</v>
          </cell>
          <cell r="U148">
            <v>62.653999999999996</v>
          </cell>
          <cell r="V148">
            <v>71.623000000000047</v>
          </cell>
          <cell r="W148">
            <v>72.593999999999994</v>
          </cell>
          <cell r="X148">
            <v>61.089999999999975</v>
          </cell>
          <cell r="Y148">
            <v>76.22120000000001</v>
          </cell>
          <cell r="Z148">
            <v>86.434640000000002</v>
          </cell>
          <cell r="AA148">
            <v>91.412800000000004</v>
          </cell>
          <cell r="AB148">
            <v>71.967999999999989</v>
          </cell>
          <cell r="AC148">
            <v>87.400439999999946</v>
          </cell>
          <cell r="AD148">
            <v>100.81428</v>
          </cell>
          <cell r="AE148">
            <v>112.84199999999998</v>
          </cell>
          <cell r="AF148">
            <v>83.993500000000012</v>
          </cell>
          <cell r="AG148">
            <v>98.216911999999979</v>
          </cell>
          <cell r="AH148">
            <v>113.40843320000005</v>
          </cell>
          <cell r="AI148">
            <v>124.90011499999997</v>
          </cell>
          <cell r="AJ148">
            <v>89.655929999999998</v>
          </cell>
          <cell r="AK148">
            <v>103.075654464</v>
          </cell>
          <cell r="AL148">
            <v>119.70728320400002</v>
          </cell>
          <cell r="AM148">
            <v>135.0647994</v>
          </cell>
          <cell r="AN148">
            <v>93.104235000000003</v>
          </cell>
        </row>
        <row r="149">
          <cell r="I149" t="str">
            <v>y/y Growth - %</v>
          </cell>
          <cell r="M149" t="str">
            <v>NA</v>
          </cell>
          <cell r="N149" t="str">
            <v>NA</v>
          </cell>
          <cell r="O149" t="str">
            <v>NA</v>
          </cell>
          <cell r="P149" t="str">
            <v>NA</v>
          </cell>
          <cell r="Q149">
            <v>0.18908109434425202</v>
          </cell>
          <cell r="R149">
            <v>0.10775109394580551</v>
          </cell>
          <cell r="S149">
            <v>0.23072494757185802</v>
          </cell>
          <cell r="T149">
            <v>0.12439052046717336</v>
          </cell>
          <cell r="U149">
            <v>0.29287468273457051</v>
          </cell>
          <cell r="V149">
            <v>0.32827046474537469</v>
          </cell>
          <cell r="W149">
            <v>0.2127297026394912</v>
          </cell>
          <cell r="X149">
            <v>0.2321500605082687</v>
          </cell>
          <cell r="Y149">
            <v>0.21654164139560139</v>
          </cell>
          <cell r="Z149">
            <v>0.20680005026318282</v>
          </cell>
          <cell r="AA149">
            <v>0.25923354547207778</v>
          </cell>
          <cell r="AB149">
            <v>0.17806514977901489</v>
          </cell>
          <cell r="AC149">
            <v>0.14666838097537083</v>
          </cell>
          <cell r="AD149">
            <v>0.16636431874998259</v>
          </cell>
          <cell r="AE149">
            <v>0.2344223128489662</v>
          </cell>
          <cell r="AF149">
            <v>0.1670950978212542</v>
          </cell>
          <cell r="AG149">
            <v>0.12375763783340266</v>
          </cell>
          <cell r="AH149">
            <v>0.12492429842280339</v>
          </cell>
          <cell r="AI149">
            <v>0.10685839492387572</v>
          </cell>
          <cell r="AJ149">
            <v>6.7415097596837725E-2</v>
          </cell>
          <cell r="AK149">
            <v>4.9469509528053734E-2</v>
          </cell>
          <cell r="AL149">
            <v>5.554128406740011E-2</v>
          </cell>
          <cell r="AM149">
            <v>8.138250633316102E-2</v>
          </cell>
          <cell r="AN149">
            <v>3.8461538461538547E-2</v>
          </cell>
        </row>
        <row r="150">
          <cell r="I150" t="str">
            <v>Base Gross Profit margin (% of total gross bookings)</v>
          </cell>
          <cell r="M150">
            <v>0.15303306235097533</v>
          </cell>
          <cell r="N150">
            <v>0.15304056390811968</v>
          </cell>
          <cell r="O150">
            <v>0.16064763741817006</v>
          </cell>
          <cell r="P150">
            <v>0.1754396435107822</v>
          </cell>
          <cell r="Q150">
            <v>0.16828898157054892</v>
          </cell>
          <cell r="R150">
            <v>0.17082790803767442</v>
          </cell>
          <cell r="S150">
            <v>0.17197986577181218</v>
          </cell>
          <cell r="T150">
            <v>0.17755781014421651</v>
          </cell>
          <cell r="U150">
            <v>0.17217698609206553</v>
          </cell>
          <cell r="V150">
            <v>0.16695727173127589</v>
          </cell>
          <cell r="W150">
            <v>0.17520647593487379</v>
          </cell>
          <cell r="X150">
            <v>0.18203814785347547</v>
          </cell>
          <cell r="Y150">
            <v>0.17551650133097538</v>
          </cell>
          <cell r="Z150">
            <v>0.16922816676390778</v>
          </cell>
          <cell r="AA150">
            <v>0.17437370644844394</v>
          </cell>
          <cell r="AB150">
            <v>0.1779584529523329</v>
          </cell>
          <cell r="AC150">
            <v>0.17322865671168466</v>
          </cell>
          <cell r="AD150">
            <v>0.16923353773893715</v>
          </cell>
          <cell r="AE150">
            <v>0.19385328981274691</v>
          </cell>
          <cell r="AF150">
            <v>0.18414579336804607</v>
          </cell>
          <cell r="AG150">
            <v>0.16671279957307145</v>
          </cell>
          <cell r="AH150">
            <v>0.16212534988737851</v>
          </cell>
          <cell r="AI150">
            <v>0.2056256677889087</v>
          </cell>
          <cell r="AJ150">
            <v>0.182</v>
          </cell>
          <cell r="AK150">
            <v>0.16200000000000001</v>
          </cell>
          <cell r="AL150">
            <v>0.157</v>
          </cell>
          <cell r="AM150">
            <v>0.20399999999999999</v>
          </cell>
          <cell r="AN150">
            <v>0.17499999999999999</v>
          </cell>
        </row>
        <row r="151">
          <cell r="I151" t="str">
            <v>Other</v>
          </cell>
          <cell r="M151">
            <v>1.095</v>
          </cell>
          <cell r="N151">
            <v>1.2350000000000001</v>
          </cell>
          <cell r="O151">
            <v>1.583</v>
          </cell>
          <cell r="P151">
            <v>1.121</v>
          </cell>
          <cell r="Q151">
            <v>0.86699999999999999</v>
          </cell>
          <cell r="R151">
            <v>2.6269999999999998</v>
          </cell>
          <cell r="S151">
            <v>2.4529999999999998</v>
          </cell>
          <cell r="T151">
            <v>2.3919999999999999</v>
          </cell>
          <cell r="U151">
            <v>4.0890000000000004</v>
          </cell>
          <cell r="V151">
            <v>4.4969999999999999</v>
          </cell>
          <cell r="W151">
            <v>5.0140000000000002</v>
          </cell>
          <cell r="X151">
            <v>4.2519999999999998</v>
          </cell>
          <cell r="Y151">
            <v>4.7990000000000004</v>
          </cell>
          <cell r="Z151">
            <v>6.4340000000000002</v>
          </cell>
          <cell r="AA151">
            <v>7.1580000000000004</v>
          </cell>
          <cell r="AB151">
            <v>3.85</v>
          </cell>
          <cell r="AC151">
            <v>2.887</v>
          </cell>
          <cell r="AD151">
            <v>3.258</v>
          </cell>
          <cell r="AE151">
            <v>3.274</v>
          </cell>
          <cell r="AF151">
            <v>3.2440000000000002</v>
          </cell>
          <cell r="AG151">
            <v>3.0939999999999999</v>
          </cell>
          <cell r="AH151">
            <v>3.0049999999999999</v>
          </cell>
          <cell r="AI151">
            <v>2.9729999999999999</v>
          </cell>
          <cell r="AJ151">
            <v>3.2440000000000002</v>
          </cell>
          <cell r="AK151">
            <v>3.0939999999999999</v>
          </cell>
          <cell r="AL151">
            <v>3.0049999999999999</v>
          </cell>
          <cell r="AM151">
            <v>2.9729999999999999</v>
          </cell>
          <cell r="AN151">
            <v>3.2440000000000002</v>
          </cell>
        </row>
        <row r="152">
          <cell r="I152" t="str">
            <v>y/y Growth - %</v>
          </cell>
          <cell r="M152" t="str">
            <v>NA</v>
          </cell>
          <cell r="N152" t="str">
            <v>NA</v>
          </cell>
          <cell r="O152" t="str">
            <v>NA</v>
          </cell>
          <cell r="P152" t="str">
            <v>NA</v>
          </cell>
          <cell r="Q152">
            <v>-0.20821917808219181</v>
          </cell>
          <cell r="R152">
            <v>1.1271255060728742</v>
          </cell>
          <cell r="S152">
            <v>0.54958938723941886</v>
          </cell>
          <cell r="T152">
            <v>1.1338090990187331</v>
          </cell>
          <cell r="U152">
            <v>3.7162629757785473</v>
          </cell>
          <cell r="V152">
            <v>0.71183859916254288</v>
          </cell>
          <cell r="W152">
            <v>1.0440277211577662</v>
          </cell>
          <cell r="X152">
            <v>0.77759197324414719</v>
          </cell>
          <cell r="Y152">
            <v>0.17363658596233789</v>
          </cell>
          <cell r="Z152">
            <v>0.43073159884367374</v>
          </cell>
          <cell r="AA152">
            <v>0.42760271240526526</v>
          </cell>
          <cell r="AB152">
            <v>-9.4543744120413886E-2</v>
          </cell>
          <cell r="AC152">
            <v>-0.3984163367368202</v>
          </cell>
          <cell r="AD152">
            <v>-0.49362760335716505</v>
          </cell>
          <cell r="AE152">
            <v>-0.5426096675048897</v>
          </cell>
          <cell r="AF152">
            <v>-0.15740259740259732</v>
          </cell>
          <cell r="AG152">
            <v>7.1700727398683606E-2</v>
          </cell>
          <cell r="AH152">
            <v>-7.765500306936779E-2</v>
          </cell>
          <cell r="AI152">
            <v>-9.1936469150885824E-2</v>
          </cell>
          <cell r="AJ152">
            <v>0</v>
          </cell>
          <cell r="AK152">
            <v>0</v>
          </cell>
          <cell r="AL152">
            <v>0</v>
          </cell>
          <cell r="AM152">
            <v>0</v>
          </cell>
          <cell r="AN152">
            <v>0</v>
          </cell>
        </row>
        <row r="153">
          <cell r="I153" t="str">
            <v>Total US</v>
          </cell>
          <cell r="M153">
            <v>49.830999999999989</v>
          </cell>
          <cell r="N153">
            <v>58.703999999999979</v>
          </cell>
          <cell r="O153">
            <v>58.547000000000054</v>
          </cell>
          <cell r="P153">
            <v>51.316999999999979</v>
          </cell>
          <cell r="Q153">
            <v>55.939000000000021</v>
          </cell>
          <cell r="R153">
            <v>64.49299999999991</v>
          </cell>
          <cell r="S153">
            <v>70.135999999999996</v>
          </cell>
          <cell r="T153">
            <v>57.752000000000017</v>
          </cell>
          <cell r="U153">
            <v>76.90300000000002</v>
          </cell>
          <cell r="V153">
            <v>89.225000000000023</v>
          </cell>
          <cell r="W153">
            <v>92.378000000000043</v>
          </cell>
          <cell r="X153">
            <v>77.664999999999964</v>
          </cell>
          <cell r="Y153">
            <v>93.729999999999961</v>
          </cell>
          <cell r="Z153">
            <v>107.63799999999998</v>
          </cell>
          <cell r="AA153">
            <v>117.10599999999999</v>
          </cell>
          <cell r="AB153">
            <v>90.289000000000073</v>
          </cell>
          <cell r="AC153">
            <v>103.31599999999986</v>
          </cell>
          <cell r="AD153">
            <v>122.65500000000003</v>
          </cell>
          <cell r="AE153">
            <v>135.18799999999993</v>
          </cell>
          <cell r="AF153">
            <v>103.51300000000006</v>
          </cell>
          <cell r="AG153">
            <v>116.70800000000003</v>
          </cell>
          <cell r="AH153">
            <v>136.32700000000017</v>
          </cell>
          <cell r="AI153">
            <v>147.14800000000008</v>
          </cell>
          <cell r="AJ153">
            <v>110.2623025</v>
          </cell>
          <cell r="AK153">
            <v>123.55319798399999</v>
          </cell>
          <cell r="AL153">
            <v>145.49411885200001</v>
          </cell>
          <cell r="AM153">
            <v>160.45144845000002</v>
          </cell>
          <cell r="AN153">
            <v>114.657646</v>
          </cell>
        </row>
        <row r="154">
          <cell r="I154" t="str">
            <v>y/y Growth - %</v>
          </cell>
          <cell r="M154" t="str">
            <v>NA</v>
          </cell>
          <cell r="N154" t="str">
            <v>NA</v>
          </cell>
          <cell r="O154" t="str">
            <v>NA</v>
          </cell>
          <cell r="P154" t="str">
            <v>NA</v>
          </cell>
          <cell r="Q154">
            <v>0.12257430113784662</v>
          </cell>
          <cell r="R154">
            <v>9.8613382393021531E-2</v>
          </cell>
          <cell r="S154">
            <v>0.19794353254649999</v>
          </cell>
          <cell r="T154">
            <v>0.12539704191593515</v>
          </cell>
          <cell r="U154">
            <v>0.37476536942026129</v>
          </cell>
          <cell r="V154">
            <v>0.38348347882716172</v>
          </cell>
          <cell r="W154">
            <v>0.31712672521957419</v>
          </cell>
          <cell r="X154">
            <v>0.34480191162210727</v>
          </cell>
          <cell r="Y154">
            <v>0.21880810891642644</v>
          </cell>
          <cell r="Z154">
            <v>0.20636592883160487</v>
          </cell>
          <cell r="AA154">
            <v>0.26768278161466941</v>
          </cell>
          <cell r="AB154">
            <v>0.16254426060645222</v>
          </cell>
          <cell r="AC154">
            <v>0.10227248479675555</v>
          </cell>
          <cell r="AD154">
            <v>0.13951392630855319</v>
          </cell>
          <cell r="AE154">
            <v>0.15440711833723242</v>
          </cell>
          <cell r="AF154">
            <v>0.14646302428867286</v>
          </cell>
          <cell r="AG154">
            <v>0.12962174300205365</v>
          </cell>
          <cell r="AH154">
            <v>0.11146712323183028</v>
          </cell>
          <cell r="AI154">
            <v>8.8469390774330137E-2</v>
          </cell>
          <cell r="AJ154">
            <v>6.5202462492633284E-2</v>
          </cell>
          <cell r="AK154">
            <v>5.8652345888884794E-2</v>
          </cell>
          <cell r="AL154">
            <v>6.7243604363037557E-2</v>
          </cell>
          <cell r="AM154">
            <v>9.0408625669393672E-2</v>
          </cell>
          <cell r="AN154">
            <v>3.9862613063063934E-2</v>
          </cell>
        </row>
        <row r="156">
          <cell r="I156" t="str">
            <v>Europe</v>
          </cell>
        </row>
        <row r="157">
          <cell r="I157" t="str">
            <v>Agency (Booking.com)</v>
          </cell>
          <cell r="M157">
            <v>21.567499999999999</v>
          </cell>
          <cell r="N157">
            <v>46.222500000000004</v>
          </cell>
          <cell r="O157">
            <v>64.152500000000003</v>
          </cell>
          <cell r="P157">
            <v>47.303000000000004</v>
          </cell>
          <cell r="Q157">
            <v>45.548749999999998</v>
          </cell>
          <cell r="R157">
            <v>87.876250000000013</v>
          </cell>
          <cell r="S157">
            <v>129.35124999999999</v>
          </cell>
          <cell r="T157">
            <v>97.505499999999998</v>
          </cell>
          <cell r="U157">
            <v>93.650125000000003</v>
          </cell>
          <cell r="V157">
            <v>153.36737500000001</v>
          </cell>
          <cell r="W157">
            <v>211.047875</v>
          </cell>
          <cell r="X157">
            <v>114.14825</v>
          </cell>
          <cell r="Y157">
            <v>94.048199999999994</v>
          </cell>
          <cell r="Z157">
            <v>173.33730875000001</v>
          </cell>
          <cell r="AA157">
            <v>287.02573749999993</v>
          </cell>
          <cell r="AB157">
            <v>189.46372500000001</v>
          </cell>
          <cell r="AC157">
            <v>165.44524000000001</v>
          </cell>
          <cell r="AD157">
            <v>256.84141750000003</v>
          </cell>
          <cell r="AE157">
            <v>436.46394375000006</v>
          </cell>
          <cell r="AF157">
            <v>291.5920625</v>
          </cell>
          <cell r="AG157">
            <v>256.05805200000003</v>
          </cell>
          <cell r="AH157">
            <v>446.4519094499999</v>
          </cell>
          <cell r="AI157">
            <v>751.01954959999989</v>
          </cell>
          <cell r="AJ157">
            <v>423.36119137891097</v>
          </cell>
          <cell r="AK157">
            <v>327.68815899657329</v>
          </cell>
          <cell r="AL157">
            <v>561.6505444120877</v>
          </cell>
          <cell r="AM157">
            <v>938.30015040209764</v>
          </cell>
          <cell r="AN157">
            <v>521.95252737253861</v>
          </cell>
        </row>
        <row r="158">
          <cell r="I158" t="str">
            <v>y/y Growth - %</v>
          </cell>
          <cell r="M158" t="str">
            <v>NA</v>
          </cell>
          <cell r="N158" t="str">
            <v>NA</v>
          </cell>
          <cell r="O158" t="str">
            <v>NA</v>
          </cell>
          <cell r="P158" t="str">
            <v>NA</v>
          </cell>
          <cell r="Q158">
            <v>1.1119160774313204</v>
          </cell>
          <cell r="R158">
            <v>0.9011574449672779</v>
          </cell>
          <cell r="S158">
            <v>1.0163087954483454</v>
          </cell>
          <cell r="T158">
            <v>1.0612963237003994</v>
          </cell>
          <cell r="U158">
            <v>1.056041603776174</v>
          </cell>
          <cell r="V158">
            <v>0.74526535895648705</v>
          </cell>
          <cell r="W158">
            <v>0.63158744117277577</v>
          </cell>
          <cell r="X158">
            <v>0.17068524339652646</v>
          </cell>
          <cell r="Y158">
            <v>4.2506617049362649E-3</v>
          </cell>
          <cell r="Z158">
            <v>0.13020979038077685</v>
          </cell>
          <cell r="AA158">
            <v>0.36000297325902908</v>
          </cell>
          <cell r="AB158">
            <v>0.65980402678096262</v>
          </cell>
          <cell r="AC158">
            <v>0.75915371054416791</v>
          </cell>
          <cell r="AD158">
            <v>0.48174342472592491</v>
          </cell>
          <cell r="AE158">
            <v>0.52064392396169756</v>
          </cell>
          <cell r="AF158">
            <v>0.53903900337650379</v>
          </cell>
          <cell r="AG158">
            <v>0.54769065583270948</v>
          </cell>
          <cell r="AH158">
            <v>0.73823954794985447</v>
          </cell>
          <cell r="AI158">
            <v>0.72069093072708101</v>
          </cell>
          <cell r="AJ158">
            <v>0.4518954588447035</v>
          </cell>
          <cell r="AK158">
            <v>0.27974166966080505</v>
          </cell>
          <cell r="AL158">
            <v>0.25803145316145049</v>
          </cell>
          <cell r="AM158">
            <v>0.24936847636235981</v>
          </cell>
          <cell r="AN158">
            <v>0.23287759483222858</v>
          </cell>
        </row>
        <row r="159">
          <cell r="I159" t="str">
            <v>Merchant (TravelJigsaw)</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7.9019999999999992</v>
          </cell>
          <cell r="AE159">
            <v>15.443999999999999</v>
          </cell>
          <cell r="AF159">
            <v>9.9</v>
          </cell>
          <cell r="AG159">
            <v>17.225999999999999</v>
          </cell>
          <cell r="AH159">
            <v>27.565999999999999</v>
          </cell>
          <cell r="AI159">
            <v>26.400659999999995</v>
          </cell>
          <cell r="AJ159">
            <v>16.752299575394847</v>
          </cell>
          <cell r="AK159">
            <v>26.76490338126883</v>
          </cell>
          <cell r="AL159">
            <v>42.740634239255492</v>
          </cell>
          <cell r="AM159">
            <v>40.855052013791457</v>
          </cell>
          <cell r="AN159">
            <v>26.246493511795876</v>
          </cell>
        </row>
        <row r="160">
          <cell r="I160" t="str">
            <v>y/y Growth - %</v>
          </cell>
          <cell r="M160" t="str">
            <v>NA</v>
          </cell>
          <cell r="N160" t="str">
            <v>NA</v>
          </cell>
          <cell r="O160" t="str">
            <v>NA</v>
          </cell>
          <cell r="P160" t="str">
            <v>NA</v>
          </cell>
          <cell r="Q160" t="str">
            <v>NA</v>
          </cell>
          <cell r="R160" t="str">
            <v>NA</v>
          </cell>
          <cell r="S160" t="str">
            <v>NA</v>
          </cell>
          <cell r="T160" t="str">
            <v>NA</v>
          </cell>
          <cell r="U160" t="str">
            <v>NA</v>
          </cell>
          <cell r="V160" t="str">
            <v>NA</v>
          </cell>
          <cell r="W160" t="str">
            <v>NA</v>
          </cell>
          <cell r="X160" t="str">
            <v>NA</v>
          </cell>
          <cell r="Y160" t="str">
            <v>NA</v>
          </cell>
          <cell r="Z160" t="str">
            <v>NA</v>
          </cell>
          <cell r="AA160" t="str">
            <v>NA</v>
          </cell>
          <cell r="AB160" t="str">
            <v>NA</v>
          </cell>
          <cell r="AC160" t="str">
            <v>NA</v>
          </cell>
          <cell r="AD160" t="str">
            <v>NA</v>
          </cell>
          <cell r="AE160" t="str">
            <v>NA</v>
          </cell>
          <cell r="AF160" t="str">
            <v>NA</v>
          </cell>
          <cell r="AG160" t="str">
            <v>NA</v>
          </cell>
          <cell r="AH160">
            <v>2.4884839281194635</v>
          </cell>
          <cell r="AI160">
            <v>0.70944444444444432</v>
          </cell>
          <cell r="AJ160">
            <v>0.6921514722621056</v>
          </cell>
          <cell r="AK160">
            <v>0.55375034141813728</v>
          </cell>
          <cell r="AL160">
            <v>0.55048372049827665</v>
          </cell>
          <cell r="AM160">
            <v>0.54750116147821548</v>
          </cell>
          <cell r="AN160">
            <v>0.56673974182898124</v>
          </cell>
        </row>
        <row r="161">
          <cell r="I161" t="str">
            <v>Total Europe</v>
          </cell>
          <cell r="M161">
            <v>21.567499999999999</v>
          </cell>
          <cell r="N161">
            <v>46.222500000000004</v>
          </cell>
          <cell r="O161">
            <v>64.152500000000003</v>
          </cell>
          <cell r="P161">
            <v>47.303000000000004</v>
          </cell>
          <cell r="Q161">
            <v>45.548749999999998</v>
          </cell>
          <cell r="R161">
            <v>87.876250000000013</v>
          </cell>
          <cell r="S161">
            <v>129.35124999999999</v>
          </cell>
          <cell r="T161">
            <v>97.505499999999998</v>
          </cell>
          <cell r="U161">
            <v>93.650125000000003</v>
          </cell>
          <cell r="V161">
            <v>153.36737500000001</v>
          </cell>
          <cell r="W161">
            <v>211.047875</v>
          </cell>
          <cell r="X161">
            <v>114.14825</v>
          </cell>
          <cell r="Y161">
            <v>94.048199999999994</v>
          </cell>
          <cell r="Z161">
            <v>173.33730875000001</v>
          </cell>
          <cell r="AA161">
            <v>287.02573749999993</v>
          </cell>
          <cell r="AB161">
            <v>189.46372500000001</v>
          </cell>
          <cell r="AC161">
            <v>165.44524000000001</v>
          </cell>
          <cell r="AD161">
            <v>264.74341750000002</v>
          </cell>
          <cell r="AE161">
            <v>451.90794375000007</v>
          </cell>
          <cell r="AF161">
            <v>301.49206249999997</v>
          </cell>
          <cell r="AG161">
            <v>273.28405200000003</v>
          </cell>
          <cell r="AH161">
            <v>474.01790944999988</v>
          </cell>
          <cell r="AI161">
            <v>777.42020959999991</v>
          </cell>
          <cell r="AJ161">
            <v>440.1134909543058</v>
          </cell>
          <cell r="AK161">
            <v>354.45306237784212</v>
          </cell>
          <cell r="AL161">
            <v>604.39117865134324</v>
          </cell>
          <cell r="AM161">
            <v>979.15520241588911</v>
          </cell>
          <cell r="AN161">
            <v>548.19902088433446</v>
          </cell>
        </row>
        <row r="162">
          <cell r="I162" t="str">
            <v>y/y Growth - %</v>
          </cell>
          <cell r="M162" t="str">
            <v>NA</v>
          </cell>
          <cell r="N162" t="str">
            <v>NA</v>
          </cell>
          <cell r="O162" t="str">
            <v>NA</v>
          </cell>
          <cell r="P162" t="str">
            <v>NA</v>
          </cell>
          <cell r="Q162">
            <v>1.1119160774313204</v>
          </cell>
          <cell r="R162">
            <v>0.9011574449672779</v>
          </cell>
          <cell r="S162">
            <v>1.0163087954483454</v>
          </cell>
          <cell r="T162">
            <v>1.0612963237003994</v>
          </cell>
          <cell r="U162">
            <v>1.056041603776174</v>
          </cell>
          <cell r="V162">
            <v>0.74526535895648705</v>
          </cell>
          <cell r="W162">
            <v>0.63158744117277577</v>
          </cell>
          <cell r="X162">
            <v>0.17068524339652646</v>
          </cell>
          <cell r="Y162">
            <v>4.2506617049362649E-3</v>
          </cell>
          <cell r="Z162">
            <v>0.13020979038077685</v>
          </cell>
          <cell r="AA162">
            <v>0.36000297325902908</v>
          </cell>
          <cell r="AB162">
            <v>0.65980402678096262</v>
          </cell>
          <cell r="AC162">
            <v>0.75915371054416791</v>
          </cell>
          <cell r="AD162">
            <v>0.52733084071261738</v>
          </cell>
          <cell r="AE162">
            <v>0.57445094536165131</v>
          </cell>
          <cell r="AF162">
            <v>0.59129174991149336</v>
          </cell>
          <cell r="AG162">
            <v>0.65180969848392145</v>
          </cell>
          <cell r="AH162">
            <v>0.79048043545785163</v>
          </cell>
          <cell r="AI162">
            <v>0.72030658091302868</v>
          </cell>
          <cell r="AJ162">
            <v>0.45978466996724277</v>
          </cell>
          <cell r="AK162">
            <v>0.29701334484692898</v>
          </cell>
          <cell r="AL162">
            <v>0.27503869917618662</v>
          </cell>
          <cell r="AM162">
            <v>0.25949285897736862</v>
          </cell>
          <cell r="AN162">
            <v>0.2455855867895913</v>
          </cell>
        </row>
        <row r="164">
          <cell r="I164" t="str">
            <v>Asia</v>
          </cell>
        </row>
        <row r="165">
          <cell r="I165" t="str">
            <v>Agency (Booking.com)</v>
          </cell>
          <cell r="M165">
            <v>0.53249999999999997</v>
          </cell>
          <cell r="N165">
            <v>0.57750000000000001</v>
          </cell>
          <cell r="O165">
            <v>0.54749999999999999</v>
          </cell>
          <cell r="P165">
            <v>0.59699999999999998</v>
          </cell>
          <cell r="Q165">
            <v>1.33125</v>
          </cell>
          <cell r="R165">
            <v>1.4437499999999999</v>
          </cell>
          <cell r="S165">
            <v>1.3687499999999999</v>
          </cell>
          <cell r="T165">
            <v>1.4924999999999999</v>
          </cell>
          <cell r="U165">
            <v>3.0618749999999997</v>
          </cell>
          <cell r="V165">
            <v>3.3206249999999997</v>
          </cell>
          <cell r="W165">
            <v>3.1481249999999994</v>
          </cell>
          <cell r="X165">
            <v>3.4327499999999995</v>
          </cell>
          <cell r="Y165">
            <v>4.8989999999999991</v>
          </cell>
          <cell r="Z165">
            <v>6.0103312499999992</v>
          </cell>
          <cell r="AA165">
            <v>6.6110624999999992</v>
          </cell>
          <cell r="AB165">
            <v>8.5818749999999984</v>
          </cell>
          <cell r="AC165">
            <v>10.777800000000001</v>
          </cell>
          <cell r="AD165">
            <v>12.020662499999998</v>
          </cell>
          <cell r="AE165">
            <v>16.527656249999996</v>
          </cell>
          <cell r="AF165">
            <v>18.021937499999996</v>
          </cell>
          <cell r="AG165">
            <v>24.78894</v>
          </cell>
          <cell r="AH165">
            <v>27.647523749999994</v>
          </cell>
          <cell r="AI165">
            <v>39.666374999999988</v>
          </cell>
          <cell r="AJ165">
            <v>36.863065020043386</v>
          </cell>
          <cell r="AK165">
            <v>43.261572661247847</v>
          </cell>
          <cell r="AL165">
            <v>48.274343733928852</v>
          </cell>
          <cell r="AM165">
            <v>68.565634764921711</v>
          </cell>
          <cell r="AN165">
            <v>63.130825263775208</v>
          </cell>
        </row>
        <row r="166">
          <cell r="I166" t="str">
            <v>y/y Growth - %</v>
          </cell>
          <cell r="M166" t="str">
            <v>NA</v>
          </cell>
          <cell r="N166" t="str">
            <v>NA</v>
          </cell>
          <cell r="O166" t="str">
            <v>NA</v>
          </cell>
          <cell r="P166" t="str">
            <v>NA</v>
          </cell>
          <cell r="Q166">
            <v>1.5</v>
          </cell>
          <cell r="R166">
            <v>1.4999999999999996</v>
          </cell>
          <cell r="S166">
            <v>1.5</v>
          </cell>
          <cell r="T166">
            <v>1.5</v>
          </cell>
          <cell r="U166">
            <v>1.2999999999999998</v>
          </cell>
          <cell r="V166">
            <v>1.2999999999999998</v>
          </cell>
          <cell r="W166">
            <v>1.2999999999999998</v>
          </cell>
          <cell r="X166">
            <v>1.2999999999999998</v>
          </cell>
          <cell r="Y166">
            <v>0.59999999999999987</v>
          </cell>
          <cell r="Z166">
            <v>0.80999999999999983</v>
          </cell>
          <cell r="AA166">
            <v>1.1000000000000001</v>
          </cell>
          <cell r="AB166">
            <v>1.5</v>
          </cell>
          <cell r="AC166">
            <v>1.2000000000000006</v>
          </cell>
          <cell r="AD166">
            <v>1</v>
          </cell>
          <cell r="AE166">
            <v>1.4999999999999996</v>
          </cell>
          <cell r="AF166">
            <v>1.1000000000000001</v>
          </cell>
          <cell r="AG166">
            <v>1.2999999999999998</v>
          </cell>
          <cell r="AH166">
            <v>1.2999999999999998</v>
          </cell>
          <cell r="AI166">
            <v>1.4</v>
          </cell>
          <cell r="AJ166">
            <v>1.0454551581950273</v>
          </cell>
          <cell r="AK166">
            <v>0.74519655383601902</v>
          </cell>
          <cell r="AL166">
            <v>0.74606392132781374</v>
          </cell>
          <cell r="AM166">
            <v>0.72855812422793198</v>
          </cell>
          <cell r="AN166">
            <v>0.7125766734114316</v>
          </cell>
        </row>
        <row r="167">
          <cell r="I167" t="str">
            <v>Merchant (Agoda)</v>
          </cell>
          <cell r="M167">
            <v>0</v>
          </cell>
          <cell r="N167">
            <v>0</v>
          </cell>
          <cell r="O167">
            <v>0</v>
          </cell>
          <cell r="P167">
            <v>0</v>
          </cell>
          <cell r="Q167">
            <v>0</v>
          </cell>
          <cell r="R167">
            <v>0</v>
          </cell>
          <cell r="S167">
            <v>0</v>
          </cell>
          <cell r="T167">
            <v>2.4119999999999999</v>
          </cell>
          <cell r="U167">
            <v>4.4279999999999999</v>
          </cell>
          <cell r="V167">
            <v>4.3559999999999999</v>
          </cell>
          <cell r="W167">
            <v>5.8319999999999999</v>
          </cell>
          <cell r="X167">
            <v>6.75</v>
          </cell>
          <cell r="Y167">
            <v>7.0848000000000013</v>
          </cell>
          <cell r="Z167">
            <v>7.88436</v>
          </cell>
          <cell r="AA167">
            <v>12.247200000000001</v>
          </cell>
          <cell r="AB167">
            <v>16.875</v>
          </cell>
          <cell r="AC167">
            <v>15.586560000000004</v>
          </cell>
          <cell r="AD167">
            <v>15.76872</v>
          </cell>
          <cell r="AE167">
            <v>30.618000000000002</v>
          </cell>
          <cell r="AF167">
            <v>35.4375</v>
          </cell>
          <cell r="AG167">
            <v>35.849088000000009</v>
          </cell>
          <cell r="AH167">
            <v>36.066566799999997</v>
          </cell>
          <cell r="AI167">
            <v>69.273224999999996</v>
          </cell>
          <cell r="AJ167">
            <v>65.398317168536281</v>
          </cell>
          <cell r="AK167">
            <v>58.651136057787738</v>
          </cell>
          <cell r="AL167">
            <v>59.882463219373996</v>
          </cell>
          <cell r="AM167">
            <v>112.53692943337911</v>
          </cell>
          <cell r="AN167">
            <v>104.87391296441982</v>
          </cell>
        </row>
        <row r="168">
          <cell r="I168" t="str">
            <v>y/y Growth - %</v>
          </cell>
          <cell r="M168" t="str">
            <v>NA</v>
          </cell>
          <cell r="N168" t="str">
            <v>NA</v>
          </cell>
          <cell r="O168" t="str">
            <v>NA</v>
          </cell>
          <cell r="P168" t="str">
            <v>NA</v>
          </cell>
          <cell r="Q168" t="str">
            <v>NA</v>
          </cell>
          <cell r="R168" t="str">
            <v>NA</v>
          </cell>
          <cell r="S168" t="str">
            <v>NA</v>
          </cell>
          <cell r="T168" t="str">
            <v>NA</v>
          </cell>
          <cell r="U168" t="str">
            <v>NA</v>
          </cell>
          <cell r="V168" t="str">
            <v>NA</v>
          </cell>
          <cell r="W168" t="str">
            <v>NA</v>
          </cell>
          <cell r="X168">
            <v>1.7985074626865671</v>
          </cell>
          <cell r="Y168">
            <v>0.60000000000000031</v>
          </cell>
          <cell r="Z168">
            <v>0.81</v>
          </cell>
          <cell r="AA168">
            <v>1.1000000000000001</v>
          </cell>
          <cell r="AB168">
            <v>1.5</v>
          </cell>
          <cell r="AC168">
            <v>1.2000000000000002</v>
          </cell>
          <cell r="AD168">
            <v>1</v>
          </cell>
          <cell r="AE168">
            <v>1.5</v>
          </cell>
          <cell r="AF168">
            <v>1.1000000000000001</v>
          </cell>
          <cell r="AG168">
            <v>1.2999999999999998</v>
          </cell>
          <cell r="AH168">
            <v>1.2872222222222218</v>
          </cell>
          <cell r="AI168">
            <v>1.2624999999999997</v>
          </cell>
          <cell r="AJ168">
            <v>0.84545515819502737</v>
          </cell>
          <cell r="AK168">
            <v>0.63605657298137475</v>
          </cell>
          <cell r="AL168">
            <v>0.66033167369215739</v>
          </cell>
          <cell r="AM168">
            <v>0.62453717772456985</v>
          </cell>
          <cell r="AN168">
            <v>0.60361791411470134</v>
          </cell>
        </row>
        <row r="169">
          <cell r="I169" t="str">
            <v>Total Asia Pacific</v>
          </cell>
          <cell r="M169">
            <v>0.53249999999999997</v>
          </cell>
          <cell r="N169">
            <v>0.57750000000000001</v>
          </cell>
          <cell r="O169">
            <v>0.54749999999999999</v>
          </cell>
          <cell r="P169">
            <v>0.59699999999999998</v>
          </cell>
          <cell r="Q169">
            <v>1.33125</v>
          </cell>
          <cell r="R169">
            <v>1.4437499999999999</v>
          </cell>
          <cell r="S169">
            <v>1.3687499999999999</v>
          </cell>
          <cell r="T169">
            <v>3.9044999999999996</v>
          </cell>
          <cell r="U169">
            <v>7.4898749999999996</v>
          </cell>
          <cell r="V169">
            <v>7.6766249999999996</v>
          </cell>
          <cell r="W169">
            <v>8.9801249999999992</v>
          </cell>
          <cell r="X169">
            <v>10.182749999999999</v>
          </cell>
          <cell r="Y169">
            <v>11.9838</v>
          </cell>
          <cell r="Z169">
            <v>13.894691249999999</v>
          </cell>
          <cell r="AA169">
            <v>18.858262500000002</v>
          </cell>
          <cell r="AB169">
            <v>25.456874999999997</v>
          </cell>
          <cell r="AC169">
            <v>26.364360000000005</v>
          </cell>
          <cell r="AD169">
            <v>27.789382499999999</v>
          </cell>
          <cell r="AE169">
            <v>47.145656250000002</v>
          </cell>
          <cell r="AF169">
            <v>53.459437499999993</v>
          </cell>
          <cell r="AG169">
            <v>60.638028000000006</v>
          </cell>
          <cell r="AH169">
            <v>63.714090549999995</v>
          </cell>
          <cell r="AI169">
            <v>108.93959999999998</v>
          </cell>
          <cell r="AJ169">
            <v>102.26138218857966</v>
          </cell>
          <cell r="AK169">
            <v>101.91270871903558</v>
          </cell>
          <cell r="AL169">
            <v>108.15680695330285</v>
          </cell>
          <cell r="AM169">
            <v>181.10256419830083</v>
          </cell>
          <cell r="AN169">
            <v>168.00473822819504</v>
          </cell>
        </row>
        <row r="170">
          <cell r="I170" t="str">
            <v>y/y Growth - %</v>
          </cell>
          <cell r="M170" t="str">
            <v>NA</v>
          </cell>
          <cell r="N170" t="str">
            <v>NA</v>
          </cell>
          <cell r="O170" t="str">
            <v>NA</v>
          </cell>
          <cell r="P170" t="str">
            <v>NA</v>
          </cell>
          <cell r="Q170">
            <v>1.5</v>
          </cell>
          <cell r="R170">
            <v>1.4999999999999996</v>
          </cell>
          <cell r="S170">
            <v>1.5</v>
          </cell>
          <cell r="T170">
            <v>5.5402010050251249</v>
          </cell>
          <cell r="U170">
            <v>4.6261971830985908</v>
          </cell>
          <cell r="V170">
            <v>4.3171428571428576</v>
          </cell>
          <cell r="W170">
            <v>5.5608219178082194</v>
          </cell>
          <cell r="X170">
            <v>1.6079523626584709</v>
          </cell>
          <cell r="Y170">
            <v>0.60000000000000009</v>
          </cell>
          <cell r="Z170">
            <v>0.81</v>
          </cell>
          <cell r="AA170">
            <v>1.1000000000000005</v>
          </cell>
          <cell r="AB170">
            <v>1.5</v>
          </cell>
          <cell r="AC170">
            <v>1.2000000000000002</v>
          </cell>
          <cell r="AD170">
            <v>1</v>
          </cell>
          <cell r="AE170">
            <v>1.5</v>
          </cell>
          <cell r="AF170">
            <v>1.1000000000000001</v>
          </cell>
          <cell r="AG170">
            <v>1.2999999999999998</v>
          </cell>
          <cell r="AH170">
            <v>1.2927494178756942</v>
          </cell>
          <cell r="AI170">
            <v>1.3107028020211295</v>
          </cell>
          <cell r="AJ170">
            <v>0.91287800565764798</v>
          </cell>
          <cell r="AK170">
            <v>0.68067320261528907</v>
          </cell>
          <cell r="AL170">
            <v>0.6975335599968453</v>
          </cell>
          <cell r="AM170">
            <v>0.66241260476723673</v>
          </cell>
          <cell r="AN170">
            <v>0.64289524190449931</v>
          </cell>
        </row>
        <row r="172">
          <cell r="I172" t="str">
            <v>Latin America &amp; RoW</v>
          </cell>
        </row>
        <row r="173">
          <cell r="I173" t="str">
            <v>Agency (Booking.com)</v>
          </cell>
          <cell r="M173">
            <v>0.3</v>
          </cell>
          <cell r="N173">
            <v>0.3</v>
          </cell>
          <cell r="O173">
            <v>0.3</v>
          </cell>
          <cell r="P173">
            <v>0.3</v>
          </cell>
          <cell r="Q173">
            <v>1.02</v>
          </cell>
          <cell r="R173">
            <v>1.08</v>
          </cell>
          <cell r="S173">
            <v>1.08</v>
          </cell>
          <cell r="T173">
            <v>0.98999999999999988</v>
          </cell>
          <cell r="U173">
            <v>3.0599999999999996</v>
          </cell>
          <cell r="V173">
            <v>3.4560000000000004</v>
          </cell>
          <cell r="W173">
            <v>3.6719999999999997</v>
          </cell>
          <cell r="X173">
            <v>3.069</v>
          </cell>
          <cell r="Y173">
            <v>8.5679999999999978</v>
          </cell>
          <cell r="Z173">
            <v>10.368</v>
          </cell>
          <cell r="AA173">
            <v>11.016</v>
          </cell>
          <cell r="AB173">
            <v>7.9794</v>
          </cell>
          <cell r="AC173">
            <v>23.99039999999999</v>
          </cell>
          <cell r="AD173">
            <v>30.0672</v>
          </cell>
          <cell r="AE173">
            <v>31.946399999999997</v>
          </cell>
          <cell r="AF173">
            <v>19.948499999999999</v>
          </cell>
          <cell r="AG173">
            <v>55.177919999999972</v>
          </cell>
          <cell r="AH173">
            <v>75.167999999999992</v>
          </cell>
          <cell r="AI173">
            <v>66.640190400000009</v>
          </cell>
          <cell r="AJ173">
            <v>38.473887091188921</v>
          </cell>
          <cell r="AK173">
            <v>91.103928363631994</v>
          </cell>
          <cell r="AL173">
            <v>125.5329744711008</v>
          </cell>
          <cell r="AM173">
            <v>112.59253551619628</v>
          </cell>
          <cell r="AN173">
            <v>64.876591516426856</v>
          </cell>
        </row>
        <row r="174">
          <cell r="I174" t="str">
            <v>y/y Growth - %</v>
          </cell>
          <cell r="M174" t="str">
            <v>NA</v>
          </cell>
          <cell r="N174" t="str">
            <v>NA</v>
          </cell>
          <cell r="O174" t="str">
            <v>NA</v>
          </cell>
          <cell r="P174" t="str">
            <v>NA</v>
          </cell>
          <cell r="Q174">
            <v>2.4000000000000004</v>
          </cell>
          <cell r="R174">
            <v>2.6000000000000005</v>
          </cell>
          <cell r="S174">
            <v>2.6000000000000005</v>
          </cell>
          <cell r="T174">
            <v>2.2999999999999998</v>
          </cell>
          <cell r="U174">
            <v>1.9999999999999996</v>
          </cell>
          <cell r="V174">
            <v>2.2000000000000002</v>
          </cell>
          <cell r="W174">
            <v>2.3999999999999995</v>
          </cell>
          <cell r="X174">
            <v>2.1000000000000005</v>
          </cell>
          <cell r="Y174">
            <v>1.7999999999999998</v>
          </cell>
          <cell r="Z174">
            <v>1.9999999999999996</v>
          </cell>
          <cell r="AA174">
            <v>2.0000000000000004</v>
          </cell>
          <cell r="AB174">
            <v>1.6</v>
          </cell>
          <cell r="AC174">
            <v>1.7999999999999994</v>
          </cell>
          <cell r="AD174">
            <v>1.9</v>
          </cell>
          <cell r="AE174">
            <v>1.9</v>
          </cell>
          <cell r="AF174">
            <v>1.5</v>
          </cell>
          <cell r="AG174">
            <v>1.2999999999999998</v>
          </cell>
          <cell r="AH174">
            <v>1.4999999999999996</v>
          </cell>
          <cell r="AI174">
            <v>1.0860000000000003</v>
          </cell>
          <cell r="AJ174">
            <v>0.92866065574799728</v>
          </cell>
          <cell r="AK174">
            <v>0.65109392241737352</v>
          </cell>
          <cell r="AL174">
            <v>0.67003212099697751</v>
          </cell>
          <cell r="AM174">
            <v>0.68955903097474147</v>
          </cell>
          <cell r="AN174">
            <v>0.6862499846365806</v>
          </cell>
        </row>
        <row r="176">
          <cell r="I176" t="str">
            <v>Agency Check</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row>
        <row r="177">
          <cell r="I177" t="str">
            <v>Merchant Check</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row>
        <row r="178">
          <cell r="I178" t="str">
            <v>Geography US Check</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row>
        <row r="179">
          <cell r="I179" t="str">
            <v>Geography International Check</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row>
        <row r="181">
          <cell r="I181" t="str">
            <v>Gross bookings by type</v>
          </cell>
        </row>
        <row r="182">
          <cell r="I182" t="str">
            <v>Air</v>
          </cell>
        </row>
        <row r="183">
          <cell r="I183" t="str">
            <v>Airline Tickets Sold</v>
          </cell>
          <cell r="M183">
            <v>0.72799999999999998</v>
          </cell>
          <cell r="N183">
            <v>0.82099999999999995</v>
          </cell>
          <cell r="O183">
            <v>0.66600000000000004</v>
          </cell>
          <cell r="P183">
            <v>0.58799999999999997</v>
          </cell>
          <cell r="Q183">
            <v>0.63900000000000001</v>
          </cell>
          <cell r="R183">
            <v>0.68700000000000006</v>
          </cell>
          <cell r="S183">
            <v>0.81899999999999995</v>
          </cell>
          <cell r="T183">
            <v>0.79</v>
          </cell>
          <cell r="U183">
            <v>1.169</v>
          </cell>
          <cell r="V183">
            <v>1.3620000000000001</v>
          </cell>
          <cell r="W183">
            <v>1.1859999999999999</v>
          </cell>
          <cell r="X183">
            <v>1.135</v>
          </cell>
          <cell r="Y183">
            <v>1.496</v>
          </cell>
          <cell r="Z183">
            <v>1.5509999999999999</v>
          </cell>
          <cell r="AA183">
            <v>1.544</v>
          </cell>
          <cell r="AB183">
            <v>1.3180000000000001</v>
          </cell>
          <cell r="AC183">
            <v>1.538</v>
          </cell>
          <cell r="AD183">
            <v>1.6140000000000001</v>
          </cell>
          <cell r="AE183">
            <v>1.4730000000000001</v>
          </cell>
          <cell r="AF183">
            <v>1.288</v>
          </cell>
          <cell r="AG183">
            <v>1.6</v>
          </cell>
          <cell r="AH183">
            <v>1.732</v>
          </cell>
          <cell r="AI183">
            <v>1.5864210000000001</v>
          </cell>
        </row>
        <row r="184">
          <cell r="I184" t="str">
            <v>y/y Growth - %</v>
          </cell>
          <cell r="M184" t="str">
            <v>NA</v>
          </cell>
          <cell r="N184" t="str">
            <v>NA</v>
          </cell>
          <cell r="O184" t="str">
            <v>NA</v>
          </cell>
          <cell r="P184" t="str">
            <v>NA</v>
          </cell>
          <cell r="Q184">
            <v>-0.12225274725274726</v>
          </cell>
          <cell r="R184">
            <v>-0.16321559074299619</v>
          </cell>
          <cell r="S184">
            <v>0.2297297297297296</v>
          </cell>
          <cell r="T184">
            <v>0.34353741496598644</v>
          </cell>
          <cell r="U184">
            <v>0.82942097026604067</v>
          </cell>
          <cell r="V184">
            <v>0.98253275109170302</v>
          </cell>
          <cell r="W184">
            <v>0.44810744810744807</v>
          </cell>
          <cell r="X184">
            <v>0.43670886075949356</v>
          </cell>
          <cell r="Y184">
            <v>0.27972626176218984</v>
          </cell>
          <cell r="Z184">
            <v>0.1387665198237884</v>
          </cell>
          <cell r="AA184">
            <v>0.30185497470489042</v>
          </cell>
          <cell r="AB184">
            <v>0.16123348017621142</v>
          </cell>
          <cell r="AC184">
            <v>2.8074866310160429E-2</v>
          </cell>
          <cell r="AD184">
            <v>4.0618955512572663E-2</v>
          </cell>
          <cell r="AE184">
            <v>-4.5984455958549164E-2</v>
          </cell>
          <cell r="AF184">
            <v>-2.2761760242792084E-2</v>
          </cell>
          <cell r="AG184">
            <v>4.0312093628088519E-2</v>
          </cell>
          <cell r="AH184">
            <v>7.3110285006195763E-2</v>
          </cell>
          <cell r="AI184">
            <v>7.6999999999999957E-2</v>
          </cell>
        </row>
        <row r="185">
          <cell r="I185" t="str">
            <v>Average Domestic Airfare (ARC)</v>
          </cell>
          <cell r="M185">
            <v>311.92063782953522</v>
          </cell>
          <cell r="N185">
            <v>341.01857367919735</v>
          </cell>
          <cell r="O185">
            <v>317.30508970444583</v>
          </cell>
          <cell r="P185">
            <v>301.63608144100056</v>
          </cell>
          <cell r="Q185">
            <v>322.56233211686407</v>
          </cell>
          <cell r="R185">
            <v>326.44796434618843</v>
          </cell>
          <cell r="S185">
            <v>320.5083908626242</v>
          </cell>
          <cell r="T185">
            <v>320.89448946463301</v>
          </cell>
          <cell r="U185">
            <v>322.95636419101464</v>
          </cell>
          <cell r="V185">
            <v>356.59723287715144</v>
          </cell>
          <cell r="W185">
            <v>350.49185660918198</v>
          </cell>
          <cell r="X185">
            <v>327.68566590718746</v>
          </cell>
          <cell r="Y185">
            <v>294.04241939629168</v>
          </cell>
          <cell r="Z185">
            <v>291.63770003056356</v>
          </cell>
          <cell r="AA185">
            <v>301.61395621072967</v>
          </cell>
          <cell r="AB185">
            <v>312.0655686733574</v>
          </cell>
          <cell r="AC185">
            <v>309.55116796653533</v>
          </cell>
          <cell r="AD185">
            <v>335.47114806799431</v>
          </cell>
          <cell r="AE185">
            <v>317.09226353921798</v>
          </cell>
          <cell r="AF185">
            <v>319.28034424303218</v>
          </cell>
          <cell r="AG185">
            <v>342.09256584613507</v>
          </cell>
          <cell r="AH185">
            <v>349.09257156861554</v>
          </cell>
          <cell r="AI185">
            <v>346.9532358781222</v>
          </cell>
        </row>
        <row r="186">
          <cell r="I186" t="str">
            <v>y/y Growth - %</v>
          </cell>
          <cell r="M186" t="str">
            <v>NA</v>
          </cell>
          <cell r="N186" t="str">
            <v>NA</v>
          </cell>
          <cell r="O186" t="str">
            <v>NA</v>
          </cell>
          <cell r="P186" t="str">
            <v>NA</v>
          </cell>
          <cell r="Q186">
            <v>3.411667262986473E-2</v>
          </cell>
          <cell r="R186">
            <v>-4.2726732376506149E-2</v>
          </cell>
          <cell r="S186">
            <v>1.0095334938251543E-2</v>
          </cell>
          <cell r="T186">
            <v>6.3846499833937642E-2</v>
          </cell>
          <cell r="U186">
            <v>1.2215687788610374E-3</v>
          </cell>
          <cell r="V186">
            <v>9.2355510904612581E-2</v>
          </cell>
          <cell r="W186">
            <v>9.3549706033778213E-2</v>
          </cell>
          <cell r="X186">
            <v>2.1163269129004236E-2</v>
          </cell>
          <cell r="Y186">
            <v>-8.952895189772947E-2</v>
          </cell>
          <cell r="Z186">
            <v>-0.18216499416574716</v>
          </cell>
          <cell r="AA186">
            <v>-0.13945516700821359</v>
          </cell>
          <cell r="AB186">
            <v>-4.7667929540299858E-2</v>
          </cell>
          <cell r="AC186">
            <v>5.2743235489917328E-2</v>
          </cell>
          <cell r="AD186">
            <v>0.15030103458104693</v>
          </cell>
          <cell r="AE186">
            <v>5.1318272943822407E-2</v>
          </cell>
          <cell r="AF186">
            <v>2.3119421986686817E-2</v>
          </cell>
          <cell r="AG186">
            <v>0.10512445516961422</v>
          </cell>
          <cell r="AH186">
            <v>4.060385991185278E-2</v>
          </cell>
          <cell r="AI186">
            <v>9.4171242166591007E-2</v>
          </cell>
        </row>
        <row r="187">
          <cell r="I187" t="str">
            <v>Air Gross Bookings</v>
          </cell>
          <cell r="M187">
            <v>227.07822433990162</v>
          </cell>
          <cell r="N187">
            <v>279.976248990621</v>
          </cell>
          <cell r="O187">
            <v>211.32518974316093</v>
          </cell>
          <cell r="P187">
            <v>177.3620158873083</v>
          </cell>
          <cell r="Q187">
            <v>206.11733022267615</v>
          </cell>
          <cell r="R187">
            <v>224.26975150583147</v>
          </cell>
          <cell r="S187">
            <v>262.49637211648923</v>
          </cell>
          <cell r="T187">
            <v>253.5066466770601</v>
          </cell>
          <cell r="U187">
            <v>377.53598973929616</v>
          </cell>
          <cell r="V187">
            <v>485.68543117868029</v>
          </cell>
          <cell r="W187">
            <v>415.68334193848983</v>
          </cell>
          <cell r="X187">
            <v>371.92323080465775</v>
          </cell>
          <cell r="Y187">
            <v>439.88745941685232</v>
          </cell>
          <cell r="Z187">
            <v>452.33007274740407</v>
          </cell>
          <cell r="AA187">
            <v>465.69194838936664</v>
          </cell>
          <cell r="AB187">
            <v>411.30241951148508</v>
          </cell>
          <cell r="AC187">
            <v>476.08969633253133</v>
          </cell>
          <cell r="AD187">
            <v>541.45043298174289</v>
          </cell>
          <cell r="AE187">
            <v>467.07690419326809</v>
          </cell>
          <cell r="AF187">
            <v>411.23308338502545</v>
          </cell>
          <cell r="AG187">
            <v>547.34810535381609</v>
          </cell>
          <cell r="AH187">
            <v>604.62833395684208</v>
          </cell>
          <cell r="AI187">
            <v>550.41389941500654</v>
          </cell>
        </row>
        <row r="188">
          <cell r="I188" t="str">
            <v>y/y Growth - %</v>
          </cell>
          <cell r="M188" t="str">
            <v>NA</v>
          </cell>
          <cell r="N188" t="str">
            <v>NA</v>
          </cell>
          <cell r="O188" t="str">
            <v>NA</v>
          </cell>
          <cell r="P188" t="str">
            <v>NA</v>
          </cell>
          <cell r="Q188">
            <v>-9.2306931579006046E-2</v>
          </cell>
          <cell r="R188">
            <v>-0.198968654254153</v>
          </cell>
          <cell r="S188">
            <v>0.24214426323487692</v>
          </cell>
          <cell r="T188">
            <v>0.42931757630750167</v>
          </cell>
          <cell r="U188">
            <v>0.83165573380671143</v>
          </cell>
          <cell r="V188">
            <v>1.1656305762039048</v>
          </cell>
          <cell r="W188">
            <v>0.58357747418322448</v>
          </cell>
          <cell r="X188">
            <v>0.4671143170397718</v>
          </cell>
          <cell r="Y188">
            <v>0.16515371083062136</v>
          </cell>
          <cell r="Z188">
            <v>-6.8676876616060145E-2</v>
          </cell>
          <cell r="AA188">
            <v>0.12030457178694642</v>
          </cell>
          <cell r="AB188">
            <v>0.10587988446333463</v>
          </cell>
          <cell r="AC188">
            <v>8.2298861085222663E-2</v>
          </cell>
          <cell r="AD188">
            <v>0.1970250611307609</v>
          </cell>
          <cell r="AE188">
            <v>2.9739741232190919E-3</v>
          </cell>
          <cell r="AF188">
            <v>-1.6857699631811496E-4</v>
          </cell>
          <cell r="AG188">
            <v>0.14967433567710176</v>
          </cell>
          <cell r="AH188">
            <v>0.11668270468855546</v>
          </cell>
          <cell r="AI188">
            <v>0.17842242781341877</v>
          </cell>
        </row>
        <row r="189">
          <cell r="I189" t="str">
            <v>% of total bookings</v>
          </cell>
          <cell r="M189">
            <v>0.30405977381447719</v>
          </cell>
          <cell r="N189">
            <v>0.30191001131247214</v>
          </cell>
          <cell r="O189">
            <v>0.23398214921604946</v>
          </cell>
          <cell r="P189">
            <v>0.23890035948776056</v>
          </cell>
          <cell r="Q189">
            <v>0.20642883132915185</v>
          </cell>
          <cell r="R189">
            <v>0.18160802803265291</v>
          </cell>
          <cell r="S189">
            <v>0.18875356362052978</v>
          </cell>
          <cell r="T189">
            <v>0.21032118702419511</v>
          </cell>
          <cell r="U189">
            <v>0.21467838826261632</v>
          </cell>
          <cell r="V189">
            <v>0.23018648706432585</v>
          </cell>
          <cell r="W189">
            <v>0.20273013471754411</v>
          </cell>
          <cell r="X189">
            <v>0.25111063828665187</v>
          </cell>
          <cell r="Y189">
            <v>0.22632798964019685</v>
          </cell>
          <cell r="Z189">
            <v>0.19012031581806998</v>
          </cell>
          <cell r="AA189">
            <v>0.17103132104767094</v>
          </cell>
          <cell r="AB189">
            <v>0.18163425687229021</v>
          </cell>
          <cell r="AC189">
            <v>0.1605863997249401</v>
          </cell>
          <cell r="AD189">
            <v>0.15877473710529733</v>
          </cell>
          <cell r="AE189">
            <v>0.11659433454649727</v>
          </cell>
          <cell r="AF189">
            <v>0.12595193978101851</v>
          </cell>
          <cell r="AG189">
            <v>0.11733078356994986</v>
          </cell>
          <cell r="AH189">
            <v>0.10460697819322527</v>
          </cell>
          <cell r="AI189">
            <v>8.7967700082308864E-2</v>
          </cell>
        </row>
        <row r="190">
          <cell r="I190" t="str">
            <v>Air Gross Profit</v>
          </cell>
          <cell r="M190">
            <v>10.92</v>
          </cell>
          <cell r="N190">
            <v>12.315</v>
          </cell>
          <cell r="O190">
            <v>9.99</v>
          </cell>
          <cell r="P190">
            <v>8.82</v>
          </cell>
          <cell r="Q190">
            <v>9.5850000000000009</v>
          </cell>
          <cell r="R190">
            <v>10.305000000000001</v>
          </cell>
          <cell r="S190">
            <v>12.285</v>
          </cell>
          <cell r="T190">
            <v>11.850000000000001</v>
          </cell>
          <cell r="U190">
            <v>17.535</v>
          </cell>
          <cell r="V190">
            <v>20.43</v>
          </cell>
          <cell r="W190">
            <v>17.79</v>
          </cell>
          <cell r="X190">
            <v>17.024999999999999</v>
          </cell>
          <cell r="Y190">
            <v>22.44</v>
          </cell>
          <cell r="Z190">
            <v>23.265000000000001</v>
          </cell>
          <cell r="AA190">
            <v>15.440000000000001</v>
          </cell>
          <cell r="AB190">
            <v>13.18</v>
          </cell>
          <cell r="AC190">
            <v>15.38</v>
          </cell>
          <cell r="AD190">
            <v>16.14</v>
          </cell>
          <cell r="AE190">
            <v>14.73</v>
          </cell>
          <cell r="AF190">
            <v>12.88</v>
          </cell>
          <cell r="AG190">
            <v>16</v>
          </cell>
          <cell r="AH190">
            <v>17.32</v>
          </cell>
          <cell r="AI190">
            <v>15.86421</v>
          </cell>
        </row>
        <row r="191">
          <cell r="I191" t="str">
            <v>Gross Profit margin (%)</v>
          </cell>
          <cell r="M191">
            <v>4.8089155319685863E-2</v>
          </cell>
          <cell r="N191">
            <v>4.3985873960374913E-2</v>
          </cell>
          <cell r="O191">
            <v>4.7273115013603359E-2</v>
          </cell>
          <cell r="P191">
            <v>4.9728798784087022E-2</v>
          </cell>
          <cell r="Q191">
            <v>4.6502639975226599E-2</v>
          </cell>
          <cell r="R191">
            <v>4.5949130147103459E-2</v>
          </cell>
          <cell r="S191">
            <v>4.680064680874229E-2</v>
          </cell>
          <cell r="T191">
            <v>4.6744336510811932E-2</v>
          </cell>
          <cell r="U191">
            <v>4.6445903110081309E-2</v>
          </cell>
          <cell r="V191">
            <v>4.206426359221787E-2</v>
          </cell>
          <cell r="W191">
            <v>4.2797000036225774E-2</v>
          </cell>
          <cell r="X191">
            <v>4.5775575683095482E-2</v>
          </cell>
          <cell r="Y191">
            <v>5.1013047813975289E-2</v>
          </cell>
          <cell r="Z191">
            <v>5.1433679522325144E-2</v>
          </cell>
          <cell r="AA191">
            <v>3.3154964463956257E-2</v>
          </cell>
          <cell r="AB191">
            <v>3.2044547697176788E-2</v>
          </cell>
          <cell r="AC191">
            <v>3.2304836921439338E-2</v>
          </cell>
          <cell r="AD191">
            <v>2.9808822778324796E-2</v>
          </cell>
          <cell r="AE191">
            <v>3.1536562539827465E-2</v>
          </cell>
          <cell r="AF191">
            <v>3.1320437290646763E-2</v>
          </cell>
          <cell r="AG191">
            <v>2.9231854177438506E-2</v>
          </cell>
          <cell r="AH191">
            <v>2.8645696913761055E-2</v>
          </cell>
          <cell r="AI191">
            <v>2.8822328100472888E-2</v>
          </cell>
        </row>
        <row r="192">
          <cell r="I192" t="str">
            <v>% of total gross profit</v>
          </cell>
          <cell r="M192">
            <v>0.15118162561780954</v>
          </cell>
          <cell r="N192">
            <v>0.11639446523760917</v>
          </cell>
          <cell r="O192">
            <v>8.085991565962751E-2</v>
          </cell>
          <cell r="P192">
            <v>8.8628073595466109E-2</v>
          </cell>
          <cell r="Q192">
            <v>9.2306358882500814E-2</v>
          </cell>
          <cell r="R192">
            <v>6.652979798957992E-2</v>
          </cell>
          <cell r="S192">
            <v>6.083610648918468E-2</v>
          </cell>
          <cell r="T192">
            <v>7.3992207402967178E-2</v>
          </cell>
          <cell r="U192">
            <v>9.6823354665577038E-2</v>
          </cell>
          <cell r="V192">
            <v>8.0520248300325142E-2</v>
          </cell>
          <cell r="W192">
            <v>5.6283575573118028E-2</v>
          </cell>
          <cell r="X192">
            <v>8.3022456294345695E-2</v>
          </cell>
          <cell r="Y192">
            <v>0.10771372341957473</v>
          </cell>
          <cell r="Z192">
            <v>7.6219212548896256E-2</v>
          </cell>
          <cell r="AA192">
            <v>3.5575545038547852E-2</v>
          </cell>
          <cell r="AB192">
            <v>4.208321492772734E-2</v>
          </cell>
          <cell r="AC192">
            <v>4.8195640456761821E-2</v>
          </cell>
          <cell r="AD192">
            <v>3.6248891084883952E-2</v>
          </cell>
          <cell r="AE192">
            <v>2.2110875608687037E-2</v>
          </cell>
          <cell r="AF192">
            <v>2.6922345337605794E-2</v>
          </cell>
          <cell r="AG192">
            <v>3.1632556226868697E-2</v>
          </cell>
          <cell r="AH192">
            <v>2.3117159418974492E-2</v>
          </cell>
          <cell r="AI192">
            <v>1.4420068936179496E-2</v>
          </cell>
        </row>
        <row r="193">
          <cell r="I193" t="str">
            <v>GDS fees per segment</v>
          </cell>
          <cell r="M193">
            <v>4</v>
          </cell>
          <cell r="N193">
            <v>4</v>
          </cell>
          <cell r="O193">
            <v>4</v>
          </cell>
          <cell r="P193">
            <v>4</v>
          </cell>
          <cell r="Q193">
            <v>4</v>
          </cell>
          <cell r="R193">
            <v>4</v>
          </cell>
          <cell r="S193">
            <v>4</v>
          </cell>
          <cell r="T193">
            <v>4</v>
          </cell>
          <cell r="U193">
            <v>4</v>
          </cell>
          <cell r="V193">
            <v>4</v>
          </cell>
          <cell r="W193">
            <v>4</v>
          </cell>
          <cell r="X193">
            <v>4</v>
          </cell>
          <cell r="Y193">
            <v>4</v>
          </cell>
          <cell r="Z193">
            <v>4</v>
          </cell>
          <cell r="AA193">
            <v>4</v>
          </cell>
          <cell r="AB193">
            <v>4</v>
          </cell>
          <cell r="AC193">
            <v>4</v>
          </cell>
          <cell r="AD193">
            <v>4</v>
          </cell>
          <cell r="AE193">
            <v>4</v>
          </cell>
          <cell r="AF193">
            <v>4</v>
          </cell>
          <cell r="AG193">
            <v>4</v>
          </cell>
          <cell r="AH193">
            <v>4</v>
          </cell>
          <cell r="AI193">
            <v>4</v>
          </cell>
        </row>
        <row r="194">
          <cell r="I194" t="str">
            <v>Average segments</v>
          </cell>
          <cell r="M194">
            <v>2.5</v>
          </cell>
          <cell r="N194">
            <v>2.5</v>
          </cell>
          <cell r="O194">
            <v>2.5</v>
          </cell>
          <cell r="P194">
            <v>2.5</v>
          </cell>
          <cell r="Q194">
            <v>2.5</v>
          </cell>
          <cell r="R194">
            <v>2.5</v>
          </cell>
          <cell r="S194">
            <v>2.5</v>
          </cell>
          <cell r="T194">
            <v>2.5</v>
          </cell>
          <cell r="U194">
            <v>2.5</v>
          </cell>
          <cell r="V194">
            <v>2.5</v>
          </cell>
          <cell r="W194">
            <v>2.5</v>
          </cell>
          <cell r="X194">
            <v>2.5</v>
          </cell>
          <cell r="Y194">
            <v>2.5</v>
          </cell>
          <cell r="Z194">
            <v>2.5</v>
          </cell>
          <cell r="AA194">
            <v>2.5</v>
          </cell>
          <cell r="AB194">
            <v>2.5</v>
          </cell>
          <cell r="AC194">
            <v>2.5</v>
          </cell>
          <cell r="AD194">
            <v>2.5</v>
          </cell>
          <cell r="AE194">
            <v>2.5</v>
          </cell>
          <cell r="AF194">
            <v>2.5</v>
          </cell>
          <cell r="AG194">
            <v>2.5</v>
          </cell>
          <cell r="AH194">
            <v>2.5</v>
          </cell>
          <cell r="AI194">
            <v>2.5</v>
          </cell>
        </row>
        <row r="195">
          <cell r="I195" t="str">
            <v>GDS fees per ticket</v>
          </cell>
          <cell r="M195">
            <v>10</v>
          </cell>
          <cell r="N195">
            <v>10</v>
          </cell>
          <cell r="O195">
            <v>10</v>
          </cell>
          <cell r="P195">
            <v>10</v>
          </cell>
          <cell r="Q195">
            <v>10</v>
          </cell>
          <cell r="R195">
            <v>10</v>
          </cell>
          <cell r="S195">
            <v>10</v>
          </cell>
          <cell r="T195">
            <v>10</v>
          </cell>
          <cell r="U195">
            <v>10</v>
          </cell>
          <cell r="V195">
            <v>10</v>
          </cell>
          <cell r="W195">
            <v>10</v>
          </cell>
          <cell r="X195">
            <v>10</v>
          </cell>
          <cell r="Y195">
            <v>10</v>
          </cell>
          <cell r="Z195">
            <v>10</v>
          </cell>
          <cell r="AA195">
            <v>10</v>
          </cell>
          <cell r="AB195">
            <v>10</v>
          </cell>
          <cell r="AC195">
            <v>10</v>
          </cell>
          <cell r="AD195">
            <v>10</v>
          </cell>
          <cell r="AE195">
            <v>10</v>
          </cell>
          <cell r="AF195">
            <v>10</v>
          </cell>
          <cell r="AG195">
            <v>10</v>
          </cell>
          <cell r="AH195">
            <v>10</v>
          </cell>
          <cell r="AI195">
            <v>10</v>
          </cell>
        </row>
        <row r="196">
          <cell r="I196" t="str">
            <v>OTA fees per ticket</v>
          </cell>
          <cell r="M196">
            <v>5</v>
          </cell>
          <cell r="N196">
            <v>5</v>
          </cell>
          <cell r="O196">
            <v>5</v>
          </cell>
          <cell r="P196">
            <v>5</v>
          </cell>
          <cell r="Q196">
            <v>5</v>
          </cell>
          <cell r="R196">
            <v>5</v>
          </cell>
          <cell r="S196">
            <v>5</v>
          </cell>
          <cell r="T196">
            <v>5</v>
          </cell>
          <cell r="U196">
            <v>5</v>
          </cell>
          <cell r="V196">
            <v>5</v>
          </cell>
          <cell r="W196">
            <v>5</v>
          </cell>
          <cell r="X196">
            <v>5</v>
          </cell>
          <cell r="Y196">
            <v>5</v>
          </cell>
          <cell r="Z196">
            <v>5</v>
          </cell>
          <cell r="AA196">
            <v>0</v>
          </cell>
          <cell r="AB196">
            <v>0</v>
          </cell>
          <cell r="AC196">
            <v>0</v>
          </cell>
          <cell r="AD196">
            <v>0</v>
          </cell>
          <cell r="AE196">
            <v>0</v>
          </cell>
          <cell r="AF196">
            <v>0</v>
          </cell>
          <cell r="AG196">
            <v>0</v>
          </cell>
          <cell r="AH196">
            <v>0</v>
          </cell>
          <cell r="AI196">
            <v>0</v>
          </cell>
        </row>
        <row r="198">
          <cell r="I198" t="str">
            <v>Hotel</v>
          </cell>
        </row>
        <row r="199">
          <cell r="I199" t="str">
            <v>Global Hotel Room Nights</v>
          </cell>
          <cell r="M199">
            <v>4.1529999999999996</v>
          </cell>
          <cell r="N199">
            <v>4.9950000000000001</v>
          </cell>
          <cell r="O199">
            <v>5.2380000000000004</v>
          </cell>
          <cell r="P199">
            <v>4.2649999999999997</v>
          </cell>
          <cell r="Q199">
            <v>5.9550000000000001</v>
          </cell>
          <cell r="R199">
            <v>7.242</v>
          </cell>
          <cell r="S199">
            <v>7.9640000000000004</v>
          </cell>
          <cell r="T199">
            <v>6.6159999999999997</v>
          </cell>
          <cell r="U199">
            <v>9.375</v>
          </cell>
          <cell r="V199">
            <v>10.879</v>
          </cell>
          <cell r="W199">
            <v>11.433999999999999</v>
          </cell>
          <cell r="X199">
            <v>9.1259999999999994</v>
          </cell>
          <cell r="Y199">
            <v>12.785</v>
          </cell>
          <cell r="Z199">
            <v>15.664999999999999</v>
          </cell>
          <cell r="AA199">
            <v>17.869</v>
          </cell>
          <cell r="AB199">
            <v>14.593</v>
          </cell>
          <cell r="AC199">
            <v>20.042000000000002</v>
          </cell>
          <cell r="AD199">
            <v>23.21</v>
          </cell>
          <cell r="AE199">
            <v>27.53</v>
          </cell>
          <cell r="AF199">
            <v>21.98</v>
          </cell>
          <cell r="AG199">
            <v>31.2</v>
          </cell>
          <cell r="AH199">
            <v>36.11</v>
          </cell>
          <cell r="AI199">
            <v>40.579219999999999</v>
          </cell>
        </row>
        <row r="200">
          <cell r="I200" t="str">
            <v>y/y Growth - %</v>
          </cell>
          <cell r="M200" t="str">
            <v>NA</v>
          </cell>
          <cell r="N200" t="str">
            <v>NA</v>
          </cell>
          <cell r="O200" t="str">
            <v>NA</v>
          </cell>
          <cell r="P200" t="str">
            <v>NA</v>
          </cell>
          <cell r="Q200">
            <v>0.43390320250421399</v>
          </cell>
          <cell r="R200">
            <v>0.44984984984984977</v>
          </cell>
          <cell r="S200">
            <v>0.52042764413898435</v>
          </cell>
          <cell r="T200">
            <v>0.55123094958968344</v>
          </cell>
          <cell r="U200">
            <v>0.5743073047858942</v>
          </cell>
          <cell r="V200">
            <v>0.50220933443800053</v>
          </cell>
          <cell r="W200">
            <v>0.43571069814163721</v>
          </cell>
          <cell r="X200">
            <v>0.37938331318016938</v>
          </cell>
          <cell r="Y200">
            <v>0.36373333333333324</v>
          </cell>
          <cell r="Z200">
            <v>0.43993014063792635</v>
          </cell>
          <cell r="AA200">
            <v>0.56279517229316078</v>
          </cell>
          <cell r="AB200">
            <v>0.59905763751917607</v>
          </cell>
          <cell r="AC200">
            <v>0.56761830269847491</v>
          </cell>
          <cell r="AD200">
            <v>0.48164698372167258</v>
          </cell>
          <cell r="AE200">
            <v>0.54065700374951042</v>
          </cell>
          <cell r="AF200">
            <v>0.50620160350853149</v>
          </cell>
          <cell r="AG200">
            <v>0.55673086518311532</v>
          </cell>
          <cell r="AH200">
            <v>0.55579491598448927</v>
          </cell>
          <cell r="AI200">
            <v>0.47399999999999998</v>
          </cell>
        </row>
        <row r="202">
          <cell r="I202" t="str">
            <v>Car</v>
          </cell>
        </row>
        <row r="203">
          <cell r="I203" t="str">
            <v>Rental Car Days</v>
          </cell>
          <cell r="M203">
            <v>1.621</v>
          </cell>
          <cell r="N203">
            <v>2</v>
          </cell>
          <cell r="O203">
            <v>2.044</v>
          </cell>
          <cell r="P203">
            <v>1.7889999999999999</v>
          </cell>
          <cell r="Q203">
            <v>2.0030000000000001</v>
          </cell>
          <cell r="R203">
            <v>2.278</v>
          </cell>
          <cell r="S203">
            <v>2.3380000000000001</v>
          </cell>
          <cell r="T203">
            <v>2.0019999999999998</v>
          </cell>
          <cell r="U203">
            <v>2.6120000000000001</v>
          </cell>
          <cell r="V203">
            <v>2.8149999999999999</v>
          </cell>
          <cell r="W203">
            <v>2.3330000000000002</v>
          </cell>
          <cell r="X203">
            <v>2.2240000000000002</v>
          </cell>
          <cell r="Y203">
            <v>3.0139999999999998</v>
          </cell>
          <cell r="Z203">
            <v>3.2370000000000001</v>
          </cell>
          <cell r="AA203">
            <v>2.6040000000000001</v>
          </cell>
          <cell r="AB203">
            <v>2.37</v>
          </cell>
          <cell r="AC203">
            <v>2.9860000000000002</v>
          </cell>
          <cell r="AD203">
            <v>4.2720000000000002</v>
          </cell>
          <cell r="AE203">
            <v>5.1369999999999996</v>
          </cell>
          <cell r="AF203">
            <v>3.92</v>
          </cell>
          <cell r="AG203">
            <v>4.9000000000000004</v>
          </cell>
          <cell r="AH203">
            <v>6.6050000000000004</v>
          </cell>
          <cell r="AI203">
            <v>6.9657719999999985</v>
          </cell>
        </row>
        <row r="204">
          <cell r="I204" t="str">
            <v>y/y Growth - %</v>
          </cell>
          <cell r="M204" t="str">
            <v>NA</v>
          </cell>
          <cell r="N204" t="str">
            <v>NA</v>
          </cell>
          <cell r="O204" t="str">
            <v>NA</v>
          </cell>
          <cell r="P204" t="str">
            <v>NA</v>
          </cell>
          <cell r="Q204">
            <v>0.23565700185070959</v>
          </cell>
          <cell r="R204">
            <v>0.13900000000000001</v>
          </cell>
          <cell r="S204">
            <v>0.14383561643835607</v>
          </cell>
          <cell r="T204">
            <v>0.1190609278926773</v>
          </cell>
          <cell r="U204">
            <v>0.30404393409885166</v>
          </cell>
          <cell r="V204">
            <v>0.23573309920983321</v>
          </cell>
          <cell r="W204">
            <v>-2.1385799828913532E-3</v>
          </cell>
          <cell r="X204">
            <v>0.11088911088911102</v>
          </cell>
          <cell r="Y204">
            <v>0.15390505359877471</v>
          </cell>
          <cell r="Z204">
            <v>0.14991119005328613</v>
          </cell>
          <cell r="AA204">
            <v>0.1161594513501929</v>
          </cell>
          <cell r="AB204">
            <v>6.5647482014388414E-2</v>
          </cell>
          <cell r="AC204">
            <v>-9.2899800928996079E-3</v>
          </cell>
          <cell r="AD204">
            <v>0.31974050046339197</v>
          </cell>
          <cell r="AE204">
            <v>0.97273425499231925</v>
          </cell>
          <cell r="AF204">
            <v>0.65400843881856541</v>
          </cell>
          <cell r="AG204">
            <v>0.64099129269926314</v>
          </cell>
          <cell r="AH204">
            <v>0.54611423220973787</v>
          </cell>
          <cell r="AI204">
            <v>0.35599999999999987</v>
          </cell>
        </row>
        <row r="206">
          <cell r="I206" t="str">
            <v>Air Check</v>
          </cell>
          <cell r="M206" t="str">
            <v>YES</v>
          </cell>
          <cell r="N206" t="str">
            <v>YES</v>
          </cell>
          <cell r="O206" t="str">
            <v>YES</v>
          </cell>
          <cell r="P206" t="str">
            <v>YES</v>
          </cell>
          <cell r="Q206" t="str">
            <v>YES</v>
          </cell>
          <cell r="R206" t="str">
            <v>YES</v>
          </cell>
          <cell r="S206" t="str">
            <v>YES</v>
          </cell>
          <cell r="T206" t="str">
            <v>YES</v>
          </cell>
          <cell r="U206" t="str">
            <v>YES</v>
          </cell>
          <cell r="V206" t="str">
            <v>YES</v>
          </cell>
          <cell r="W206" t="str">
            <v>YES</v>
          </cell>
          <cell r="X206" t="str">
            <v>YES</v>
          </cell>
          <cell r="Y206" t="str">
            <v>YES</v>
          </cell>
          <cell r="Z206" t="str">
            <v>YES</v>
          </cell>
          <cell r="AA206" t="str">
            <v>YES</v>
          </cell>
          <cell r="AB206" t="str">
            <v>YES</v>
          </cell>
          <cell r="AC206" t="str">
            <v>YES</v>
          </cell>
          <cell r="AD206" t="str">
            <v>YES</v>
          </cell>
          <cell r="AE206" t="str">
            <v>YES</v>
          </cell>
          <cell r="AF206" t="str">
            <v>YES</v>
          </cell>
          <cell r="AG206" t="str">
            <v>YES</v>
          </cell>
          <cell r="AH206" t="str">
            <v>YES</v>
          </cell>
          <cell r="AI206" t="str">
            <v>YES</v>
          </cell>
        </row>
        <row r="207">
          <cell r="I207" t="str">
            <v>Air Check</v>
          </cell>
          <cell r="M207" t="str">
            <v>YES</v>
          </cell>
          <cell r="N207" t="str">
            <v>YES</v>
          </cell>
          <cell r="O207" t="str">
            <v>YES</v>
          </cell>
          <cell r="P207" t="str">
            <v>YES</v>
          </cell>
          <cell r="Q207" t="str">
            <v>YES</v>
          </cell>
          <cell r="R207" t="str">
            <v>YES</v>
          </cell>
          <cell r="S207" t="str">
            <v>YES</v>
          </cell>
          <cell r="T207" t="str">
            <v>YES</v>
          </cell>
          <cell r="U207" t="str">
            <v>YES</v>
          </cell>
          <cell r="V207" t="str">
            <v>YES</v>
          </cell>
          <cell r="W207" t="str">
            <v>YES</v>
          </cell>
          <cell r="X207" t="str">
            <v>YES</v>
          </cell>
          <cell r="Y207" t="str">
            <v>YES</v>
          </cell>
          <cell r="Z207" t="str">
            <v>YES</v>
          </cell>
          <cell r="AA207" t="str">
            <v>YES</v>
          </cell>
          <cell r="AB207" t="str">
            <v>YES</v>
          </cell>
          <cell r="AC207" t="str">
            <v>YES</v>
          </cell>
          <cell r="AD207" t="str">
            <v>YES</v>
          </cell>
          <cell r="AE207" t="str">
            <v>YES</v>
          </cell>
          <cell r="AF207" t="str">
            <v>YES</v>
          </cell>
          <cell r="AG207" t="str">
            <v>YES</v>
          </cell>
          <cell r="AH207" t="str">
            <v>YES</v>
          </cell>
          <cell r="AI207" t="str">
            <v>YES</v>
          </cell>
        </row>
        <row r="209">
          <cell r="I209" t="str">
            <v>Gross bookings by Geography</v>
          </cell>
        </row>
        <row r="210">
          <cell r="I210" t="str">
            <v>US</v>
          </cell>
          <cell r="M210">
            <v>474.00699999999989</v>
          </cell>
          <cell r="N210">
            <v>570.75699999999983</v>
          </cell>
          <cell r="O210">
            <v>504.7519999999999</v>
          </cell>
          <cell r="P210">
            <v>423.27399999999994</v>
          </cell>
          <cell r="Q210">
            <v>478.81200000000001</v>
          </cell>
          <cell r="R210">
            <v>547.78700000000003</v>
          </cell>
          <cell r="S210">
            <v>602.20500000000004</v>
          </cell>
          <cell r="T210">
            <v>525.57099999999991</v>
          </cell>
          <cell r="U210">
            <v>720.96799999999985</v>
          </cell>
          <cell r="V210">
            <v>872.28400000000011</v>
          </cell>
          <cell r="W210">
            <v>799.42700000000013</v>
          </cell>
          <cell r="X210">
            <v>689.11299999999983</v>
          </cell>
          <cell r="Y210">
            <v>851.58399999999983</v>
          </cell>
          <cell r="Z210">
            <v>964.17799999999988</v>
          </cell>
          <cell r="AA210">
            <v>998.846</v>
          </cell>
          <cell r="AB210">
            <v>831.45400000000018</v>
          </cell>
          <cell r="AC210">
            <v>989.69500000000005</v>
          </cell>
          <cell r="AD210">
            <v>1154.18</v>
          </cell>
          <cell r="AE210">
            <v>1121</v>
          </cell>
          <cell r="AF210">
            <v>902</v>
          </cell>
          <cell r="AG210">
            <v>1129</v>
          </cell>
          <cell r="AH210">
            <v>1308</v>
          </cell>
          <cell r="AI210">
            <v>1268</v>
          </cell>
          <cell r="AJ210">
            <v>1018.7474999999999</v>
          </cell>
          <cell r="AK210">
            <v>1257.110312</v>
          </cell>
          <cell r="AL210">
            <v>1474.399136</v>
          </cell>
          <cell r="AM210">
            <v>1434.9668000000001</v>
          </cell>
          <cell r="AN210">
            <v>1142.3379</v>
          </cell>
        </row>
        <row r="211">
          <cell r="I211" t="str">
            <v>y/y Growth - %</v>
          </cell>
          <cell r="M211" t="str">
            <v>NA</v>
          </cell>
          <cell r="N211" t="str">
            <v>NA</v>
          </cell>
          <cell r="O211" t="str">
            <v>NA</v>
          </cell>
          <cell r="P211" t="str">
            <v>NA</v>
          </cell>
          <cell r="Q211">
            <v>1.0136981099435394E-2</v>
          </cell>
          <cell r="R211">
            <v>-4.0244797698494872E-2</v>
          </cell>
          <cell r="S211">
            <v>0.19307105271499703</v>
          </cell>
          <cell r="T211">
            <v>0.24168032999900779</v>
          </cell>
          <cell r="U211">
            <v>0.50574338153596776</v>
          </cell>
          <cell r="V211">
            <v>0.5923780593551875</v>
          </cell>
          <cell r="W211">
            <v>0.32749977167243727</v>
          </cell>
          <cell r="X211">
            <v>0.31117013686067141</v>
          </cell>
          <cell r="Y211">
            <v>0.1811675414165399</v>
          </cell>
          <cell r="Z211">
            <v>0.10534871670235813</v>
          </cell>
          <cell r="AA211">
            <v>0.24945242029603687</v>
          </cell>
          <cell r="AB211">
            <v>0.20655683465556507</v>
          </cell>
          <cell r="AC211">
            <v>0.16218129978956886</v>
          </cell>
          <cell r="AD211">
            <v>0.19706112356846983</v>
          </cell>
          <cell r="AE211">
            <v>0.12229512857837954</v>
          </cell>
          <cell r="AF211">
            <v>8.4846545930381989E-2</v>
          </cell>
          <cell r="AG211">
            <v>0.14075548527576665</v>
          </cell>
          <cell r="AH211">
            <v>0.13327210660382249</v>
          </cell>
          <cell r="AI211">
            <v>0.13113291703835861</v>
          </cell>
          <cell r="AJ211">
            <v>0.12943181818181815</v>
          </cell>
          <cell r="AK211">
            <v>0.11347237555358736</v>
          </cell>
          <cell r="AL211">
            <v>0.12721646483180438</v>
          </cell>
          <cell r="AM211">
            <v>0.13167728706624615</v>
          </cell>
          <cell r="AN211">
            <v>0.12131602776939343</v>
          </cell>
        </row>
        <row r="212">
          <cell r="I212" t="str">
            <v>% of total gross bookings</v>
          </cell>
          <cell r="M212">
            <v>0.6346996134281172</v>
          </cell>
          <cell r="N212">
            <v>0.61547096565482273</v>
          </cell>
          <cell r="O212">
            <v>0.55886833900226751</v>
          </cell>
          <cell r="P212">
            <v>0.57013510055090844</v>
          </cell>
          <cell r="Q212">
            <v>0.47953561924944743</v>
          </cell>
          <cell r="R212">
            <v>0.44358419351677975</v>
          </cell>
          <cell r="S212">
            <v>0.43302823145173991</v>
          </cell>
          <cell r="T212">
            <v>0.4360387312696678</v>
          </cell>
          <cell r="U212">
            <v>0.40996422178399777</v>
          </cell>
          <cell r="V212">
            <v>0.4134115968748297</v>
          </cell>
          <cell r="W212">
            <v>0.38988318043022263</v>
          </cell>
          <cell r="X212">
            <v>0.46526699853421039</v>
          </cell>
          <cell r="Y212">
            <v>0.43815137395656678</v>
          </cell>
          <cell r="Z212">
            <v>0.40525677355792628</v>
          </cell>
          <cell r="AA212">
            <v>0.36683896188032666</v>
          </cell>
          <cell r="AB212">
            <v>0.36717637010952758</v>
          </cell>
          <cell r="AC212">
            <v>0.33382691980119372</v>
          </cell>
          <cell r="AD212">
            <v>0.33845134274437128</v>
          </cell>
          <cell r="AE212">
            <v>0.27983025461807287</v>
          </cell>
          <cell r="AF212">
            <v>0.27626339969372127</v>
          </cell>
          <cell r="AG212">
            <v>0.24201500535905682</v>
          </cell>
          <cell r="AH212">
            <v>0.22629757785467128</v>
          </cell>
          <cell r="AI212">
            <v>0.20265302860795908</v>
          </cell>
          <cell r="AJ212">
            <v>0.21876146408590907</v>
          </cell>
          <cell r="AK212">
            <v>0.20667116334702995</v>
          </cell>
          <cell r="AL212">
            <v>0.19539604333413688</v>
          </cell>
          <cell r="AM212">
            <v>0.17221206260421806</v>
          </cell>
          <cell r="AN212">
            <v>0.18733727849726181</v>
          </cell>
        </row>
        <row r="213">
          <cell r="I213" t="str">
            <v>International</v>
          </cell>
          <cell r="M213">
            <v>272.81400000000002</v>
          </cell>
          <cell r="N213">
            <v>356.59300000000002</v>
          </cell>
          <cell r="O213">
            <v>398.416</v>
          </cell>
          <cell r="P213">
            <v>319.13600000000002</v>
          </cell>
          <cell r="Q213">
            <v>519.67899999999997</v>
          </cell>
          <cell r="R213">
            <v>687.12400000000002</v>
          </cell>
          <cell r="S213">
            <v>788.47799999999995</v>
          </cell>
          <cell r="T213">
            <v>679.76</v>
          </cell>
          <cell r="U213">
            <v>1037.644</v>
          </cell>
          <cell r="V213">
            <v>1237.681</v>
          </cell>
          <cell r="W213">
            <v>1251</v>
          </cell>
          <cell r="X213">
            <v>792</v>
          </cell>
          <cell r="Y213">
            <v>1092</v>
          </cell>
          <cell r="Z213">
            <v>1415</v>
          </cell>
          <cell r="AA213">
            <v>1724</v>
          </cell>
          <cell r="AB213">
            <v>1433</v>
          </cell>
          <cell r="AC213">
            <v>1975</v>
          </cell>
          <cell r="AD213">
            <v>2256</v>
          </cell>
          <cell r="AE213">
            <v>2885</v>
          </cell>
          <cell r="AF213">
            <v>2363</v>
          </cell>
          <cell r="AG213">
            <v>3536</v>
          </cell>
          <cell r="AH213">
            <v>4472</v>
          </cell>
          <cell r="AI213">
            <v>4989</v>
          </cell>
          <cell r="AJ213">
            <v>3638.1398739112074</v>
          </cell>
          <cell r="AK213">
            <v>4825.5491729574405</v>
          </cell>
          <cell r="AL213">
            <v>6071.2968302110694</v>
          </cell>
          <cell r="AM213">
            <v>6897.5900389357012</v>
          </cell>
          <cell r="AN213">
            <v>4955.4228295426619</v>
          </cell>
        </row>
        <row r="214">
          <cell r="I214" t="str">
            <v>y/y Growth - %</v>
          </cell>
          <cell r="M214" t="str">
            <v>NA</v>
          </cell>
          <cell r="N214" t="str">
            <v>NA</v>
          </cell>
          <cell r="O214" t="str">
            <v>NA</v>
          </cell>
          <cell r="P214" t="str">
            <v>NA</v>
          </cell>
          <cell r="Q214">
            <v>0.90488391358214737</v>
          </cell>
          <cell r="R214">
            <v>0.92691387660442004</v>
          </cell>
          <cell r="S214">
            <v>0.97903196658768721</v>
          </cell>
          <cell r="T214">
            <v>1.1300010027073095</v>
          </cell>
          <cell r="U214">
            <v>0.99670181015588488</v>
          </cell>
          <cell r="V214">
            <v>0.80124839184775953</v>
          </cell>
          <cell r="W214">
            <v>0.58660102120794755</v>
          </cell>
          <cell r="X214">
            <v>0.16511710015299519</v>
          </cell>
          <cell r="Y214">
            <v>5.2384054646873013E-2</v>
          </cell>
          <cell r="Z214">
            <v>0.14326712618194826</v>
          </cell>
          <cell r="AA214">
            <v>0.37809752198241409</v>
          </cell>
          <cell r="AB214">
            <v>0.80934343434343425</v>
          </cell>
          <cell r="AC214">
            <v>0.80860805860805862</v>
          </cell>
          <cell r="AD214">
            <v>0.59434628975265014</v>
          </cell>
          <cell r="AE214">
            <v>0.67343387470997684</v>
          </cell>
          <cell r="AF214">
            <v>0.64898813677599443</v>
          </cell>
          <cell r="AG214">
            <v>0.79037974683544299</v>
          </cell>
          <cell r="AH214">
            <v>0.98226950354609932</v>
          </cell>
          <cell r="AI214">
            <v>0.72928942807625652</v>
          </cell>
          <cell r="AJ214">
            <v>0.5396275386843874</v>
          </cell>
          <cell r="AK214">
            <v>0.36469150818932139</v>
          </cell>
          <cell r="AL214">
            <v>0.35762451480569535</v>
          </cell>
          <cell r="AM214">
            <v>0.38255963899292467</v>
          </cell>
          <cell r="AN214">
            <v>0.36207595125123659</v>
          </cell>
        </row>
        <row r="215">
          <cell r="I215" t="str">
            <v>(+/-) FX y/y Growth - %</v>
          </cell>
          <cell r="M215" t="str">
            <v>NA</v>
          </cell>
          <cell r="N215" t="str">
            <v>NA</v>
          </cell>
          <cell r="O215" t="str">
            <v>NA</v>
          </cell>
          <cell r="P215" t="str">
            <v>NA</v>
          </cell>
          <cell r="Q215">
            <v>-0.15988391358214737</v>
          </cell>
          <cell r="R215">
            <v>-0.13091387660442011</v>
          </cell>
          <cell r="S215">
            <v>-0.14503196658768713</v>
          </cell>
          <cell r="T215">
            <v>-0.2310010027073095</v>
          </cell>
          <cell r="U215">
            <v>-0.24670181015588488</v>
          </cell>
          <cell r="V215">
            <v>-0.24324839184775959</v>
          </cell>
          <cell r="W215">
            <v>-0.13960102120794754</v>
          </cell>
          <cell r="X215">
            <v>0.11088289984700483</v>
          </cell>
          <cell r="Y215">
            <v>0.18261594535312697</v>
          </cell>
          <cell r="Z215">
            <v>0.18073287381805175</v>
          </cell>
          <cell r="AA215">
            <v>0.1069024780175859</v>
          </cell>
          <cell r="AB215">
            <v>-0.1143434343434343</v>
          </cell>
          <cell r="AC215">
            <v>-8.0608058608058641E-2</v>
          </cell>
          <cell r="AD215">
            <v>7.6653710247349793E-2</v>
          </cell>
          <cell r="AE215">
            <v>0.10656612529002318</v>
          </cell>
          <cell r="AF215">
            <v>5.8011863224005644E-2</v>
          </cell>
          <cell r="AG215">
            <v>-9.3797468354430702E-3</v>
          </cell>
          <cell r="AH215">
            <v>-0.19726950354609929</v>
          </cell>
          <cell r="AI215">
            <v>-0.11528942807625653</v>
          </cell>
          <cell r="AJ215">
            <v>-1.2417144762863358E-4</v>
          </cell>
          <cell r="AK215">
            <v>3.3507377749523511E-2</v>
          </cell>
          <cell r="AL215">
            <v>7.4083004420289852E-2</v>
          </cell>
          <cell r="AM215">
            <v>6.0954683862856254E-2</v>
          </cell>
          <cell r="AN215">
            <v>2.1239199182098902E-2</v>
          </cell>
        </row>
        <row r="216">
          <cell r="I216" t="str">
            <v>Organic y/y Growth - %</v>
          </cell>
          <cell r="M216">
            <v>3.1379999999999999</v>
          </cell>
          <cell r="N216">
            <v>3.6150000000000002</v>
          </cell>
          <cell r="O216">
            <v>1.3180000000000001</v>
          </cell>
          <cell r="P216">
            <v>0.86299999999999999</v>
          </cell>
          <cell r="Q216">
            <v>0.745</v>
          </cell>
          <cell r="R216">
            <v>0.79599999999999993</v>
          </cell>
          <cell r="S216">
            <v>0.83400000000000007</v>
          </cell>
          <cell r="T216">
            <v>0.89900000000000002</v>
          </cell>
          <cell r="U216">
            <v>0.75</v>
          </cell>
          <cell r="V216">
            <v>0.55799999999999994</v>
          </cell>
          <cell r="W216">
            <v>0.44700000000000001</v>
          </cell>
          <cell r="X216">
            <v>0.27600000000000002</v>
          </cell>
          <cell r="Y216">
            <v>0.23499999999999999</v>
          </cell>
          <cell r="Z216">
            <v>0.32400000000000001</v>
          </cell>
          <cell r="AA216">
            <v>0.48499999999999999</v>
          </cell>
          <cell r="AB216">
            <v>0.69499999999999995</v>
          </cell>
          <cell r="AC216">
            <v>0.72799999999999998</v>
          </cell>
          <cell r="AD216">
            <v>0.67099999999999993</v>
          </cell>
          <cell r="AE216">
            <v>0.78</v>
          </cell>
          <cell r="AF216">
            <v>0.70700000000000007</v>
          </cell>
          <cell r="AG216">
            <v>0.78099999999999992</v>
          </cell>
          <cell r="AH216">
            <v>0.78500000000000003</v>
          </cell>
          <cell r="AI216">
            <v>0.61399999999999999</v>
          </cell>
          <cell r="AJ216">
            <v>0.53950336723675874</v>
          </cell>
          <cell r="AK216">
            <v>0.39819888593884489</v>
          </cell>
          <cell r="AL216">
            <v>0.43170751922598521</v>
          </cell>
          <cell r="AM216">
            <v>0.44351432285578091</v>
          </cell>
          <cell r="AN216">
            <v>0.38331515043333547</v>
          </cell>
        </row>
        <row r="217">
          <cell r="I217" t="str">
            <v>% of total gross bookings</v>
          </cell>
          <cell r="M217">
            <v>0.36530038657188274</v>
          </cell>
          <cell r="N217">
            <v>0.38452903434517716</v>
          </cell>
          <cell r="O217">
            <v>0.44113166099773249</v>
          </cell>
          <cell r="P217">
            <v>0.42986489944909151</v>
          </cell>
          <cell r="Q217">
            <v>0.52046438075055257</v>
          </cell>
          <cell r="R217">
            <v>0.5564158064832202</v>
          </cell>
          <cell r="S217">
            <v>0.56697176854826004</v>
          </cell>
          <cell r="T217">
            <v>0.56396126873033225</v>
          </cell>
          <cell r="U217">
            <v>0.59003577821600217</v>
          </cell>
          <cell r="V217">
            <v>0.58658840312517035</v>
          </cell>
          <cell r="W217">
            <v>0.61011681956977737</v>
          </cell>
          <cell r="X217">
            <v>0.53473300146578961</v>
          </cell>
          <cell r="Y217">
            <v>0.56184862604343322</v>
          </cell>
          <cell r="Z217">
            <v>0.59474322644207367</v>
          </cell>
          <cell r="AA217">
            <v>0.63316103811967328</v>
          </cell>
          <cell r="AB217">
            <v>0.63282362989047247</v>
          </cell>
          <cell r="AC217">
            <v>0.66617308019880628</v>
          </cell>
          <cell r="AD217">
            <v>0.66154865725562872</v>
          </cell>
          <cell r="AE217">
            <v>0.72016974538192713</v>
          </cell>
          <cell r="AF217">
            <v>0.72373660030627873</v>
          </cell>
          <cell r="AG217">
            <v>0.75798499464094315</v>
          </cell>
          <cell r="AH217">
            <v>0.77370242214532869</v>
          </cell>
          <cell r="AI217">
            <v>0.79734697139204092</v>
          </cell>
          <cell r="AJ217">
            <v>0.78123853591409098</v>
          </cell>
          <cell r="AK217">
            <v>0.79332883665297027</v>
          </cell>
          <cell r="AL217">
            <v>0.80460395666586315</v>
          </cell>
          <cell r="AM217">
            <v>0.82778793739578216</v>
          </cell>
          <cell r="AN217">
            <v>0.81266272150273822</v>
          </cell>
        </row>
        <row r="218">
          <cell r="I218" t="str">
            <v>Total Check</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row>
        <row r="220">
          <cell r="I220" t="str">
            <v>Company Guidance - US Bookings Y/Y</v>
          </cell>
          <cell r="AC220" t="str">
            <v>10-15%</v>
          </cell>
          <cell r="AD220" t="str">
            <v>15-20%</v>
          </cell>
          <cell r="AE220">
            <v>0.13</v>
          </cell>
          <cell r="AF220" t="str">
            <v>5-10%</v>
          </cell>
          <cell r="AG220" t="str">
            <v>7-12%</v>
          </cell>
          <cell r="AH220" t="str">
            <v>8-13%</v>
          </cell>
          <cell r="AI220" t="str">
            <v>8-13%</v>
          </cell>
          <cell r="AJ220">
            <v>0.13</v>
          </cell>
        </row>
        <row r="221">
          <cell r="I221" t="str">
            <v>Company Guidance - International Bookings Y/Y</v>
          </cell>
          <cell r="AC221" t="str">
            <v>65-73%</v>
          </cell>
          <cell r="AD221" t="str">
            <v>45-50%</v>
          </cell>
          <cell r="AE221" t="str">
            <v>46-51%</v>
          </cell>
          <cell r="AF221" t="str">
            <v>54-59%</v>
          </cell>
          <cell r="AG221" t="str">
            <v>64-69%</v>
          </cell>
          <cell r="AH221" t="str">
            <v>76-81%</v>
          </cell>
          <cell r="AI221" t="str">
            <v>62-67%</v>
          </cell>
          <cell r="AJ221" t="str">
            <v>50-55%</v>
          </cell>
        </row>
        <row r="222">
          <cell r="I222" t="str">
            <v xml:space="preserve">Company Guidance - International Bookings ex F/X Y/Y </v>
          </cell>
          <cell r="AC222" t="str">
            <v>56-64%</v>
          </cell>
          <cell r="AD222" t="str">
            <v>55-60%</v>
          </cell>
          <cell r="AE222" t="str">
            <v>57.5-62.5%</v>
          </cell>
          <cell r="AF222" t="str">
            <v>58-63%</v>
          </cell>
          <cell r="AG222" t="str">
            <v>66-71%</v>
          </cell>
          <cell r="AH222" t="str">
            <v>53-58%</v>
          </cell>
          <cell r="AI222" t="str">
            <v>49-54%</v>
          </cell>
          <cell r="AJ222" t="str">
            <v>49-54%</v>
          </cell>
        </row>
        <row r="224">
          <cell r="I224" t="str">
            <v>Exchange Rates</v>
          </cell>
        </row>
        <row r="225">
          <cell r="I225" t="str">
            <v>EUR / USD Exchange Rate</v>
          </cell>
          <cell r="M225">
            <v>1.2028896612903226</v>
          </cell>
          <cell r="N225">
            <v>1.2582159206349206</v>
          </cell>
          <cell r="O225">
            <v>1.2740698412698412</v>
          </cell>
          <cell r="P225">
            <v>1.2892777936507938</v>
          </cell>
          <cell r="Q225">
            <v>1.3104360655737701</v>
          </cell>
          <cell r="R225">
            <v>1.3486722222222223</v>
          </cell>
          <cell r="S225">
            <v>1.3748341269841271</v>
          </cell>
          <cell r="T225">
            <v>1.4475453125000004</v>
          </cell>
          <cell r="U225">
            <v>1.4999024590163936</v>
          </cell>
          <cell r="V225">
            <v>1.5620843750000004</v>
          </cell>
          <cell r="W225">
            <v>1.5034601562500003</v>
          </cell>
          <cell r="X225">
            <v>1.3196531250000001</v>
          </cell>
          <cell r="Y225">
            <v>1.3028999999999999</v>
          </cell>
          <cell r="Z225">
            <v>1.3616999999999999</v>
          </cell>
          <cell r="AA225">
            <v>1.4288000000000001</v>
          </cell>
          <cell r="AB225">
            <v>1.4766999999999999</v>
          </cell>
          <cell r="AC225">
            <v>1.3852</v>
          </cell>
          <cell r="AD225">
            <v>1.2757000000000001</v>
          </cell>
          <cell r="AE225">
            <v>1.2898000000000001</v>
          </cell>
          <cell r="AF225">
            <v>1.36</v>
          </cell>
          <cell r="AG225">
            <v>1.3667</v>
          </cell>
          <cell r="AH225">
            <v>1.4384999999999999</v>
          </cell>
          <cell r="AI225">
            <v>1.4155</v>
          </cell>
          <cell r="AJ225">
            <v>1.349</v>
          </cell>
          <cell r="AK225">
            <v>1.3003</v>
          </cell>
          <cell r="AL225">
            <v>1.3003</v>
          </cell>
          <cell r="AM225">
            <v>1.3003</v>
          </cell>
          <cell r="AN225">
            <v>1.3003</v>
          </cell>
        </row>
        <row r="226">
          <cell r="I226" t="str">
            <v>GBP / USD Exchange Rate</v>
          </cell>
          <cell r="M226">
            <v>1.7524686935483871</v>
          </cell>
          <cell r="N226">
            <v>1.82940473015873</v>
          </cell>
          <cell r="O226">
            <v>1.8752729523809533</v>
          </cell>
          <cell r="P226">
            <v>1.915321523809524</v>
          </cell>
          <cell r="Q226">
            <v>1.9541090163934427</v>
          </cell>
          <cell r="R226">
            <v>1.9866246031746033</v>
          </cell>
          <cell r="S226">
            <v>2.0212158730158731</v>
          </cell>
          <cell r="T226">
            <v>2.0443390624999997</v>
          </cell>
          <cell r="U226">
            <v>1.9791049180327867</v>
          </cell>
          <cell r="V226">
            <v>1.9707859375000003</v>
          </cell>
          <cell r="W226">
            <v>1.89286484375</v>
          </cell>
          <cell r="X226">
            <v>1.5731109374999996</v>
          </cell>
          <cell r="Y226">
            <v>1.4369000000000001</v>
          </cell>
          <cell r="Z226">
            <v>1.5476000000000001</v>
          </cell>
          <cell r="AA226">
            <v>1.6411</v>
          </cell>
          <cell r="AB226">
            <v>1.6323000000000001</v>
          </cell>
          <cell r="AC226">
            <v>1.5609</v>
          </cell>
          <cell r="AD226">
            <v>1.4914000000000001</v>
          </cell>
          <cell r="AE226">
            <v>1.5491999999999999</v>
          </cell>
          <cell r="AF226">
            <v>1.5813999999999999</v>
          </cell>
          <cell r="AG226">
            <v>1.6007</v>
          </cell>
          <cell r="AH226">
            <v>1.6311</v>
          </cell>
          <cell r="AI226">
            <v>1.6113999999999999</v>
          </cell>
          <cell r="AJ226">
            <v>1.5724</v>
          </cell>
          <cell r="AK226">
            <v>1.5603</v>
          </cell>
          <cell r="AL226">
            <v>1.5603</v>
          </cell>
          <cell r="AM226">
            <v>1.5603</v>
          </cell>
          <cell r="AN226">
            <v>1.5603</v>
          </cell>
        </row>
        <row r="227">
          <cell r="I227" t="str">
            <v>YEN / USD Exchange Rate</v>
          </cell>
          <cell r="M227">
            <v>8.5563769838709683E-3</v>
          </cell>
          <cell r="N227">
            <v>8.7513493492063481E-3</v>
          </cell>
          <cell r="O227">
            <v>8.602287428571425E-3</v>
          </cell>
          <cell r="P227">
            <v>8.4910499682539688E-3</v>
          </cell>
          <cell r="Q227">
            <v>8.3801849836065596E-3</v>
          </cell>
          <cell r="R227">
            <v>8.2793680634920611E-3</v>
          </cell>
          <cell r="S227">
            <v>8.4975262857142821E-3</v>
          </cell>
          <cell r="T227">
            <v>8.8368685312500035E-3</v>
          </cell>
          <cell r="U227">
            <v>9.5101622459016384E-3</v>
          </cell>
          <cell r="V227">
            <v>9.5618232499999987E-3</v>
          </cell>
          <cell r="W227">
            <v>9.2980728749999988E-3</v>
          </cell>
          <cell r="X227">
            <v>1.0426574828125E-2</v>
          </cell>
          <cell r="Y227">
            <v>1.0699999999999999E-2</v>
          </cell>
          <cell r="Z227">
            <v>1.03E-2</v>
          </cell>
          <cell r="AA227">
            <v>1.0699999999999999E-2</v>
          </cell>
          <cell r="AB227">
            <v>1.11E-2</v>
          </cell>
          <cell r="AC227">
            <v>1.0999999999999999E-2</v>
          </cell>
          <cell r="AD227">
            <v>1.09E-2</v>
          </cell>
          <cell r="AE227">
            <v>1.1599999999999999E-2</v>
          </cell>
          <cell r="AF227">
            <v>1.21E-2</v>
          </cell>
          <cell r="AG227">
            <v>1.2200000000000001E-2</v>
          </cell>
          <cell r="AH227">
            <v>1.23E-2</v>
          </cell>
          <cell r="AI227">
            <v>1.29E-2</v>
          </cell>
          <cell r="AJ227">
            <v>1.29E-2</v>
          </cell>
          <cell r="AK227">
            <v>1.2999999999999999E-2</v>
          </cell>
          <cell r="AL227">
            <v>1.2999999999999999E-2</v>
          </cell>
          <cell r="AM227">
            <v>1.2999999999999999E-2</v>
          </cell>
          <cell r="AN227">
            <v>1.2999999999999999E-2</v>
          </cell>
        </row>
        <row r="228">
          <cell r="I228" t="str">
            <v>AUD / USD Exchange Rate</v>
          </cell>
          <cell r="M228">
            <v>0.73857501451612906</v>
          </cell>
          <cell r="N228">
            <v>0.74733413650793645</v>
          </cell>
          <cell r="O228">
            <v>0.75714126984126995</v>
          </cell>
          <cell r="P228">
            <v>0.77006031746031767</v>
          </cell>
          <cell r="Q228">
            <v>0.78614262295081982</v>
          </cell>
          <cell r="R228">
            <v>0.83181507936507915</v>
          </cell>
          <cell r="S228">
            <v>0.84742460317460344</v>
          </cell>
          <cell r="T228">
            <v>0.8899531249999999</v>
          </cell>
          <cell r="U228">
            <v>0.90592459016393467</v>
          </cell>
          <cell r="V228">
            <v>0.94325156250000031</v>
          </cell>
          <cell r="W228">
            <v>0.88815937500000008</v>
          </cell>
          <cell r="X228">
            <v>0.67281328125000017</v>
          </cell>
          <cell r="Y228">
            <v>0.66290000000000004</v>
          </cell>
          <cell r="Z228">
            <v>0.75949999999999995</v>
          </cell>
          <cell r="AA228">
            <v>0.83199999999999996</v>
          </cell>
          <cell r="AB228">
            <v>0.90790000000000004</v>
          </cell>
          <cell r="AC228">
            <v>0.9032</v>
          </cell>
          <cell r="AD228">
            <v>0.88429999999999997</v>
          </cell>
          <cell r="AE228">
            <v>0.90229999999999999</v>
          </cell>
          <cell r="AF228">
            <v>0.98729999999999996</v>
          </cell>
          <cell r="AG228">
            <v>1.0052000000000001</v>
          </cell>
          <cell r="AH228">
            <v>1.0621</v>
          </cell>
          <cell r="AI228">
            <v>1.0522</v>
          </cell>
          <cell r="AJ228">
            <v>1.0119</v>
          </cell>
          <cell r="AK228">
            <v>1.0331999999999999</v>
          </cell>
          <cell r="AL228">
            <v>1.0331999999999999</v>
          </cell>
          <cell r="AM228">
            <v>1.0331999999999999</v>
          </cell>
          <cell r="AN228">
            <v>1.0331999999999999</v>
          </cell>
        </row>
        <row r="229">
          <cell r="I229" t="str">
            <v>CNY / USD Exchange Rate</v>
          </cell>
          <cell r="M229">
            <v>0.12423598612903231</v>
          </cell>
          <cell r="N229">
            <v>0.12482675634920637</v>
          </cell>
          <cell r="O229">
            <v>0.12554230349206352</v>
          </cell>
          <cell r="P229">
            <v>0.12716859365079361</v>
          </cell>
          <cell r="Q229">
            <v>0.128898837704918</v>
          </cell>
          <cell r="R229">
            <v>0.13025971111111112</v>
          </cell>
          <cell r="S229">
            <v>0.13231367777777775</v>
          </cell>
          <cell r="T229">
            <v>0.13452026875</v>
          </cell>
          <cell r="U229">
            <v>0.13965382295081971</v>
          </cell>
          <cell r="V229">
            <v>0.14372529218749999</v>
          </cell>
          <cell r="W229">
            <v>0.146160709375</v>
          </cell>
          <cell r="X229">
            <v>0.14618127343750001</v>
          </cell>
          <cell r="Y229">
            <v>0.14610000000000001</v>
          </cell>
          <cell r="Z229">
            <v>0.1462</v>
          </cell>
          <cell r="AA229">
            <v>0.1462</v>
          </cell>
          <cell r="AB229">
            <v>0.14630000000000001</v>
          </cell>
          <cell r="AC229">
            <v>0.14630000000000001</v>
          </cell>
          <cell r="AD229">
            <v>0.14630000000000001</v>
          </cell>
          <cell r="AE229">
            <v>0.14749999999999999</v>
          </cell>
          <cell r="AF229">
            <v>0.15</v>
          </cell>
          <cell r="AG229">
            <v>0.15179999999999999</v>
          </cell>
          <cell r="AH229">
            <v>0.1537</v>
          </cell>
          <cell r="AI229">
            <v>0.15570000000000001</v>
          </cell>
          <cell r="AJ229">
            <v>0.15679999999999999</v>
          </cell>
          <cell r="AK229">
            <v>0.15820000000000001</v>
          </cell>
          <cell r="AL229">
            <v>0.15820000000000001</v>
          </cell>
          <cell r="AM229">
            <v>0.15820000000000001</v>
          </cell>
          <cell r="AN229">
            <v>0.15820000000000001</v>
          </cell>
        </row>
        <row r="230">
          <cell r="I230" t="str">
            <v>BRL / USD Exchange Rate</v>
          </cell>
          <cell r="M230">
            <v>0.45569999999999999</v>
          </cell>
          <cell r="N230">
            <v>0.45750000000000002</v>
          </cell>
          <cell r="O230">
            <v>0.4592</v>
          </cell>
          <cell r="P230">
            <v>0.46410000000000001</v>
          </cell>
          <cell r="Q230">
            <v>0.47339999999999999</v>
          </cell>
          <cell r="R230">
            <v>0.50329999999999997</v>
          </cell>
          <cell r="S230">
            <v>0.52080000000000004</v>
          </cell>
          <cell r="T230">
            <v>0.55959999999999999</v>
          </cell>
          <cell r="U230">
            <v>0.5736</v>
          </cell>
          <cell r="V230">
            <v>0.60299999999999998</v>
          </cell>
          <cell r="W230">
            <v>0.60299999999999998</v>
          </cell>
          <cell r="X230">
            <v>0.43830000000000002</v>
          </cell>
          <cell r="Y230">
            <v>0.4299</v>
          </cell>
          <cell r="Z230">
            <v>0.47989999999999999</v>
          </cell>
          <cell r="AA230">
            <v>0.53320000000000001</v>
          </cell>
          <cell r="AB230">
            <v>0.57230000000000003</v>
          </cell>
          <cell r="AC230">
            <v>0.55310000000000004</v>
          </cell>
          <cell r="AD230">
            <v>0.55569999999999997</v>
          </cell>
          <cell r="AE230">
            <v>0.56850000000000001</v>
          </cell>
          <cell r="AF230">
            <v>0.58760000000000001</v>
          </cell>
          <cell r="AG230">
            <v>0.59819999999999995</v>
          </cell>
          <cell r="AH230">
            <v>0.626</v>
          </cell>
          <cell r="AI230">
            <v>0.61519999999999997</v>
          </cell>
          <cell r="AJ230">
            <v>0.55569999999999997</v>
          </cell>
          <cell r="AK230">
            <v>0.54590000000000005</v>
          </cell>
          <cell r="AL230">
            <v>0.54590000000000005</v>
          </cell>
          <cell r="AM230">
            <v>0.54590000000000005</v>
          </cell>
          <cell r="AN230">
            <v>0.54590000000000005</v>
          </cell>
        </row>
        <row r="231">
          <cell r="I231" t="str">
            <v>CAD / USD Exchange Rate</v>
          </cell>
          <cell r="M231">
            <v>0.86573837258064512</v>
          </cell>
          <cell r="N231">
            <v>0.89153962698412681</v>
          </cell>
          <cell r="O231">
            <v>0.89174674126984144</v>
          </cell>
          <cell r="P231">
            <v>0.87807072857142854</v>
          </cell>
          <cell r="Q231">
            <v>0.85318661967213127</v>
          </cell>
          <cell r="R231">
            <v>0.91198948571428562</v>
          </cell>
          <cell r="S231">
            <v>0.95674865238095219</v>
          </cell>
          <cell r="T231">
            <v>1.020293446875</v>
          </cell>
          <cell r="U231">
            <v>0.99619139344262342</v>
          </cell>
          <cell r="V231">
            <v>0.98980004374999986</v>
          </cell>
          <cell r="W231">
            <v>0.96102668125000001</v>
          </cell>
          <cell r="X231">
            <v>0.82744886718749988</v>
          </cell>
          <cell r="Y231">
            <v>0.80410000000000004</v>
          </cell>
          <cell r="Z231">
            <v>0.85719999999999996</v>
          </cell>
          <cell r="AA231">
            <v>0.90980000000000005</v>
          </cell>
          <cell r="AB231">
            <v>0.94540000000000002</v>
          </cell>
          <cell r="AC231">
            <v>0.96050000000000002</v>
          </cell>
          <cell r="AD231">
            <v>0.97299999999999998</v>
          </cell>
          <cell r="AE231">
            <v>0.9617</v>
          </cell>
          <cell r="AF231">
            <v>0.98670000000000002</v>
          </cell>
          <cell r="AG231">
            <v>1.0136000000000001</v>
          </cell>
          <cell r="AH231">
            <v>1.0328999999999999</v>
          </cell>
          <cell r="AI231">
            <v>1.0224</v>
          </cell>
          <cell r="AJ231">
            <v>0.97709999999999997</v>
          </cell>
          <cell r="AK231">
            <v>0.98719999999999997</v>
          </cell>
          <cell r="AL231">
            <v>0.98719999999999997</v>
          </cell>
          <cell r="AM231">
            <v>0.98719999999999997</v>
          </cell>
          <cell r="AN231">
            <v>0.98719999999999997</v>
          </cell>
        </row>
        <row r="232">
          <cell r="I232" t="str">
            <v>USD / USD Exchange Rate</v>
          </cell>
          <cell r="M232">
            <v>1</v>
          </cell>
          <cell r="N232">
            <v>1</v>
          </cell>
          <cell r="O232">
            <v>1</v>
          </cell>
          <cell r="P232">
            <v>1</v>
          </cell>
          <cell r="Q232">
            <v>1</v>
          </cell>
          <cell r="R232">
            <v>1</v>
          </cell>
          <cell r="S232">
            <v>1</v>
          </cell>
          <cell r="T232">
            <v>1</v>
          </cell>
          <cell r="U232">
            <v>1</v>
          </cell>
          <cell r="V232">
            <v>1</v>
          </cell>
          <cell r="W232">
            <v>1</v>
          </cell>
          <cell r="X232">
            <v>1</v>
          </cell>
          <cell r="Y232">
            <v>1</v>
          </cell>
          <cell r="Z232">
            <v>1</v>
          </cell>
          <cell r="AA232">
            <v>1</v>
          </cell>
          <cell r="AB232">
            <v>1</v>
          </cell>
          <cell r="AC232">
            <v>1</v>
          </cell>
          <cell r="AD232">
            <v>1</v>
          </cell>
          <cell r="AE232">
            <v>1</v>
          </cell>
          <cell r="AF232">
            <v>1</v>
          </cell>
          <cell r="AG232">
            <v>1</v>
          </cell>
          <cell r="AH232">
            <v>1</v>
          </cell>
          <cell r="AI232">
            <v>1</v>
          </cell>
          <cell r="AJ232">
            <v>1</v>
          </cell>
          <cell r="AK232">
            <v>1</v>
          </cell>
          <cell r="AL232">
            <v>1</v>
          </cell>
          <cell r="AM232">
            <v>1</v>
          </cell>
          <cell r="AN232">
            <v>1</v>
          </cell>
        </row>
        <row r="234">
          <cell r="I234" t="str">
            <v>Exchange Rate Change</v>
          </cell>
        </row>
        <row r="235">
          <cell r="I235" t="str">
            <v>EUR / USD change</v>
          </cell>
          <cell r="Q235">
            <v>8.9406707651044304E-2</v>
          </cell>
          <cell r="R235">
            <v>7.1892510739854254E-2</v>
          </cell>
          <cell r="S235">
            <v>7.9088510260831635E-2</v>
          </cell>
          <cell r="T235">
            <v>0.12275672444574348</v>
          </cell>
          <cell r="U235">
            <v>0.14458270679513552</v>
          </cell>
          <cell r="V235">
            <v>0.15823871008934742</v>
          </cell>
          <cell r="W235">
            <v>9.3557489402762206E-2</v>
          </cell>
          <cell r="X235">
            <v>-8.8351077092794106E-2</v>
          </cell>
          <cell r="Y235">
            <v>-0.13134351359460006</v>
          </cell>
          <cell r="Z235">
            <v>-0.12828012251258869</v>
          </cell>
          <cell r="AA235">
            <v>-4.9658885830550448E-2</v>
          </cell>
          <cell r="AB235">
            <v>0.11900617823338977</v>
          </cell>
          <cell r="AC235">
            <v>6.316678179445856E-2</v>
          </cell>
          <cell r="AD235">
            <v>-6.3156348681794761E-2</v>
          </cell>
          <cell r="AE235">
            <v>-9.7284434490481519E-2</v>
          </cell>
          <cell r="AF235">
            <v>-7.9027561454594553E-2</v>
          </cell>
          <cell r="AG235">
            <v>-1.33554721339878E-2</v>
          </cell>
          <cell r="AH235">
            <v>0.12761621070784646</v>
          </cell>
          <cell r="AI235">
            <v>9.7456970072879345E-2</v>
          </cell>
          <cell r="AJ235">
            <v>-8.0882352941177293E-3</v>
          </cell>
          <cell r="AK235">
            <v>-4.858418087363725E-2</v>
          </cell>
          <cell r="AL235">
            <v>-9.6072297532151518E-2</v>
          </cell>
          <cell r="AM235">
            <v>-8.1384669728011283E-2</v>
          </cell>
          <cell r="AN235">
            <v>-3.6100815418828702E-2</v>
          </cell>
        </row>
        <row r="236">
          <cell r="I236" t="str">
            <v>GBP / USD change</v>
          </cell>
          <cell r="Q236">
            <v>0.11506072752533769</v>
          </cell>
          <cell r="R236">
            <v>8.5940453976103948E-2</v>
          </cell>
          <cell r="S236">
            <v>7.7824895010415673E-2</v>
          </cell>
          <cell r="T236">
            <v>6.7360773158265053E-2</v>
          </cell>
          <cell r="U236">
            <v>1.2791457093564329E-2</v>
          </cell>
          <cell r="V236">
            <v>-7.9726515262587005E-3</v>
          </cell>
          <cell r="W236">
            <v>-6.3501890609220069E-2</v>
          </cell>
          <cell r="X236">
            <v>-0.23050389910553315</v>
          </cell>
          <cell r="Y236">
            <v>-0.27396471662135713</v>
          </cell>
          <cell r="Z236">
            <v>-0.21472952970063508</v>
          </cell>
          <cell r="AA236">
            <v>-0.13300730085473123</v>
          </cell>
          <cell r="AB236">
            <v>3.7625485329130237E-2</v>
          </cell>
          <cell r="AC236">
            <v>8.6296889136335153E-2</v>
          </cell>
          <cell r="AD236">
            <v>-3.6314293098992034E-2</v>
          </cell>
          <cell r="AE236">
            <v>-5.5999025044177753E-2</v>
          </cell>
          <cell r="AF236">
            <v>-3.1182993322306007E-2</v>
          </cell>
          <cell r="AG236">
            <v>2.5498110064706259E-2</v>
          </cell>
          <cell r="AH236">
            <v>9.3670376827142299E-2</v>
          </cell>
          <cell r="AI236">
            <v>4.0149754712109464E-2</v>
          </cell>
          <cell r="AJ236">
            <v>-5.6911597318830554E-3</v>
          </cell>
          <cell r="AK236">
            <v>-2.5238957955894259E-2</v>
          </cell>
          <cell r="AL236">
            <v>-4.3406290233584666E-2</v>
          </cell>
          <cell r="AM236">
            <v>-3.1711555169417815E-2</v>
          </cell>
          <cell r="AN236">
            <v>-7.6952429407275424E-3</v>
          </cell>
        </row>
        <row r="237">
          <cell r="I237" t="str">
            <v>YEN / USD change</v>
          </cell>
          <cell r="Q237">
            <v>-2.0591893110429305E-2</v>
          </cell>
          <cell r="R237">
            <v>-5.3932401379575889E-2</v>
          </cell>
          <cell r="S237">
            <v>-1.217828905707008E-2</v>
          </cell>
          <cell r="T237">
            <v>4.0727420553284821E-2</v>
          </cell>
          <cell r="U237">
            <v>0.13483917890900465</v>
          </cell>
          <cell r="V237">
            <v>0.15489771401309405</v>
          </cell>
          <cell r="W237">
            <v>9.4209368982072439E-2</v>
          </cell>
          <cell r="X237">
            <v>0.17989475471466898</v>
          </cell>
          <cell r="Y237">
            <v>0.12511224554671685</v>
          </cell>
          <cell r="Z237">
            <v>7.7200417817804956E-2</v>
          </cell>
          <cell r="AA237">
            <v>0.15077609563261252</v>
          </cell>
          <cell r="AB237">
            <v>6.4587382047887942E-2</v>
          </cell>
          <cell r="AC237">
            <v>2.8037383177569986E-2</v>
          </cell>
          <cell r="AD237">
            <v>5.8252427184465994E-2</v>
          </cell>
          <cell r="AE237">
            <v>8.4112149532710179E-2</v>
          </cell>
          <cell r="AF237">
            <v>9.0090090090090058E-2</v>
          </cell>
          <cell r="AG237">
            <v>0.10909090909090913</v>
          </cell>
          <cell r="AH237">
            <v>0.12844036697247718</v>
          </cell>
          <cell r="AI237">
            <v>0.11206896551724155</v>
          </cell>
          <cell r="AJ237">
            <v>6.6115702479338845E-2</v>
          </cell>
          <cell r="AK237">
            <v>6.5573770491803129E-2</v>
          </cell>
          <cell r="AL237">
            <v>5.6910569105691033E-2</v>
          </cell>
          <cell r="AM237">
            <v>7.7519379844961378E-3</v>
          </cell>
          <cell r="AN237">
            <v>7.7519379844961378E-3</v>
          </cell>
        </row>
        <row r="238">
          <cell r="I238" t="str">
            <v>AUD / USD change</v>
          </cell>
          <cell r="Q238">
            <v>6.4404572995004905E-2</v>
          </cell>
          <cell r="R238">
            <v>0.11304306698994937</v>
          </cell>
          <cell r="S238">
            <v>0.11924238834882273</v>
          </cell>
          <cell r="T238">
            <v>0.15569274876426875</v>
          </cell>
          <cell r="U238">
            <v>0.15236671275182623</v>
          </cell>
          <cell r="V238">
            <v>0.1339678564374911</v>
          </cell>
          <cell r="W238">
            <v>4.8068903915223782E-2</v>
          </cell>
          <cell r="X238">
            <v>-0.24399020313569864</v>
          </cell>
          <cell r="Y238">
            <v>-0.26826139040994268</v>
          </cell>
          <cell r="Z238">
            <v>-0.19480652861362235</v>
          </cell>
          <cell r="AA238">
            <v>-6.3231190910978285E-2</v>
          </cell>
          <cell r="AB238">
            <v>0.34940855851305308</v>
          </cell>
          <cell r="AC238">
            <v>0.36249811434605506</v>
          </cell>
          <cell r="AD238">
            <v>0.16431863067807773</v>
          </cell>
          <cell r="AE238">
            <v>8.4495192307692424E-2</v>
          </cell>
          <cell r="AF238">
            <v>8.7454565480779678E-2</v>
          </cell>
          <cell r="AG238">
            <v>0.1129317980513731</v>
          </cell>
          <cell r="AH238">
            <v>0.20106298767386632</v>
          </cell>
          <cell r="AI238">
            <v>0.16613099855923763</v>
          </cell>
          <cell r="AJ238">
            <v>2.4916438772409677E-2</v>
          </cell>
          <cell r="AK238">
            <v>2.785515320334242E-2</v>
          </cell>
          <cell r="AL238">
            <v>-2.721024385651083E-2</v>
          </cell>
          <cell r="AM238">
            <v>-1.8057403535449601E-2</v>
          </cell>
          <cell r="AN238">
            <v>2.1049510821227191E-2</v>
          </cell>
        </row>
        <row r="239">
          <cell r="I239" t="str">
            <v>CNY / USD change</v>
          </cell>
          <cell r="Q239">
            <v>3.7532213661851888E-2</v>
          </cell>
          <cell r="R239">
            <v>4.3523960093186265E-2</v>
          </cell>
          <cell r="S239">
            <v>5.393699253050821E-2</v>
          </cell>
          <cell r="T239">
            <v>5.781046159395431E-2</v>
          </cell>
          <cell r="U239">
            <v>8.3437410588003802E-2</v>
          </cell>
          <cell r="V239">
            <v>0.10337487287149583</v>
          </cell>
          <cell r="W239">
            <v>0.10465306255395967</v>
          </cell>
          <cell r="X239">
            <v>8.668585630892145E-2</v>
          </cell>
          <cell r="Y239">
            <v>4.6158256988427571E-2</v>
          </cell>
          <cell r="Z239">
            <v>1.7218318187668613E-2</v>
          </cell>
          <cell r="AA239">
            <v>2.6881796871403019E-4</v>
          </cell>
          <cell r="AB239">
            <v>8.1218722280973488E-4</v>
          </cell>
          <cell r="AC239">
            <v>1.3689253935660339E-3</v>
          </cell>
          <cell r="AD239">
            <v>6.8399452804390748E-4</v>
          </cell>
          <cell r="AE239">
            <v>8.8919288645690209E-3</v>
          </cell>
          <cell r="AF239">
            <v>2.5290498974709363E-2</v>
          </cell>
          <cell r="AG239">
            <v>3.7593984962405846E-2</v>
          </cell>
          <cell r="AH239">
            <v>5.0580997949418949E-2</v>
          </cell>
          <cell r="AI239">
            <v>5.5593220338983063E-2</v>
          </cell>
          <cell r="AJ239">
            <v>4.5333333333333448E-2</v>
          </cell>
          <cell r="AK239">
            <v>4.2160737812911853E-2</v>
          </cell>
          <cell r="AL239">
            <v>2.9277813923227036E-2</v>
          </cell>
          <cell r="AM239">
            <v>1.6056518946692355E-2</v>
          </cell>
          <cell r="AN239">
            <v>8.9285714285713969E-3</v>
          </cell>
        </row>
        <row r="240">
          <cell r="I240" t="str">
            <v>BRL / USD change</v>
          </cell>
          <cell r="Q240">
            <v>3.8841342988808369E-2</v>
          </cell>
          <cell r="R240">
            <v>0.10010928961748622</v>
          </cell>
          <cell r="S240">
            <v>0.13414634146341475</v>
          </cell>
          <cell r="T240">
            <v>0.20577461753932336</v>
          </cell>
          <cell r="U240">
            <v>0.21166032953105196</v>
          </cell>
          <cell r="V240">
            <v>0.19809258891317305</v>
          </cell>
          <cell r="W240">
            <v>0.15783410138248843</v>
          </cell>
          <cell r="X240">
            <v>-0.21676197283774123</v>
          </cell>
          <cell r="Y240">
            <v>-0.25052301255230125</v>
          </cell>
          <cell r="Z240">
            <v>-0.20414593698175787</v>
          </cell>
          <cell r="AA240">
            <v>-0.1157545605306799</v>
          </cell>
          <cell r="AB240">
            <v>0.30572667122975128</v>
          </cell>
          <cell r="AC240">
            <v>0.28657827401721336</v>
          </cell>
          <cell r="AD240">
            <v>0.1579495728276723</v>
          </cell>
          <cell r="AE240">
            <v>6.6204051012753284E-2</v>
          </cell>
          <cell r="AF240">
            <v>2.6734230298794293E-2</v>
          </cell>
          <cell r="AG240">
            <v>8.1540408606038506E-2</v>
          </cell>
          <cell r="AH240">
            <v>0.12650710815188049</v>
          </cell>
          <cell r="AI240">
            <v>8.2145998240984897E-2</v>
          </cell>
          <cell r="AJ240">
            <v>-5.4288631722260061E-2</v>
          </cell>
          <cell r="AK240">
            <v>-8.7428953527248221E-2</v>
          </cell>
          <cell r="AL240">
            <v>-0.12795527156549513</v>
          </cell>
          <cell r="AM240">
            <v>-0.11264629388816627</v>
          </cell>
          <cell r="AN240">
            <v>-1.7635414792153914E-2</v>
          </cell>
        </row>
        <row r="241">
          <cell r="I241" t="str">
            <v>CAD / USD change</v>
          </cell>
          <cell r="Q241">
            <v>-1.4498321093356248E-2</v>
          </cell>
          <cell r="R241">
            <v>2.293768903950566E-2</v>
          </cell>
          <cell r="S241">
            <v>7.2892793550945356E-2</v>
          </cell>
          <cell r="T241">
            <v>0.1619718249063602</v>
          </cell>
          <cell r="U241">
            <v>0.16761253689778566</v>
          </cell>
          <cell r="V241">
            <v>8.531957797163825E-2</v>
          </cell>
          <cell r="W241">
            <v>4.4714239820475843E-3</v>
          </cell>
          <cell r="X241">
            <v>-0.18900893686826381</v>
          </cell>
          <cell r="Y241">
            <v>-0.19282579101471331</v>
          </cell>
          <cell r="Z241">
            <v>-0.13396649614969258</v>
          </cell>
          <cell r="AA241">
            <v>-5.3304119697665242E-2</v>
          </cell>
          <cell r="AB241">
            <v>0.14254794161893813</v>
          </cell>
          <cell r="AC241">
            <v>0.19450317124735728</v>
          </cell>
          <cell r="AD241">
            <v>0.13509099393373769</v>
          </cell>
          <cell r="AE241">
            <v>5.7045504506484823E-2</v>
          </cell>
          <cell r="AF241">
            <v>4.3685212608419732E-2</v>
          </cell>
          <cell r="AG241">
            <v>5.5283706402915245E-2</v>
          </cell>
          <cell r="AH241">
            <v>6.1562178828365788E-2</v>
          </cell>
          <cell r="AI241">
            <v>6.3117396277425408E-2</v>
          </cell>
          <cell r="AJ241">
            <v>-9.7294010337488634E-3</v>
          </cell>
          <cell r="AK241">
            <v>-2.6045777426992989E-2</v>
          </cell>
          <cell r="AL241">
            <v>-4.4244360538290173E-2</v>
          </cell>
          <cell r="AM241">
            <v>-3.4428794992175327E-2</v>
          </cell>
          <cell r="AN241">
            <v>1.0336710674444749E-2</v>
          </cell>
        </row>
        <row r="242">
          <cell r="I242" t="str">
            <v>USD / USD change</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row>
        <row r="244">
          <cell r="I244" t="str">
            <v>Weighting</v>
          </cell>
        </row>
        <row r="245">
          <cell r="I245" t="str">
            <v xml:space="preserve">EUR / USD </v>
          </cell>
          <cell r="Q245">
            <v>0.87285343452400432</v>
          </cell>
          <cell r="R245">
            <v>0.87796249294159412</v>
          </cell>
          <cell r="S245">
            <v>0.88136599879768351</v>
          </cell>
          <cell r="T245">
            <v>0.86034629869365675</v>
          </cell>
          <cell r="U245">
            <v>0.84326450111984474</v>
          </cell>
          <cell r="V245">
            <v>0.8495510151646507</v>
          </cell>
          <cell r="W245">
            <v>0.84398021582733818</v>
          </cell>
          <cell r="X245">
            <v>0.80813068181818182</v>
          </cell>
          <cell r="Y245">
            <v>0.79356593406593412</v>
          </cell>
          <cell r="Z245">
            <v>0.80269131625441692</v>
          </cell>
          <cell r="AA245">
            <v>0.8031331931554524</v>
          </cell>
          <cell r="AB245">
            <v>0.77177763433356605</v>
          </cell>
          <cell r="AC245">
            <v>0.75491544303797475</v>
          </cell>
          <cell r="AD245">
            <v>0.75311579122340433</v>
          </cell>
          <cell r="AE245">
            <v>0.7461232798960139</v>
          </cell>
          <cell r="AF245">
            <v>0.72860341726618716</v>
          </cell>
          <cell r="AG245">
            <v>0.71361804298642539</v>
          </cell>
          <cell r="AH245">
            <v>0.72150415418157432</v>
          </cell>
          <cell r="AI245">
            <v>0.70257057726999395</v>
          </cell>
          <cell r="AJ245">
            <v>0.68587593509081024</v>
          </cell>
          <cell r="AK245">
            <v>0.67106116603594645</v>
          </cell>
          <cell r="AL245">
            <v>0.67604242850590857</v>
          </cell>
          <cell r="AM245">
            <v>0.65779301768841891</v>
          </cell>
          <cell r="AN245">
            <v>0.63807361566197307</v>
          </cell>
        </row>
        <row r="246">
          <cell r="I246" t="str">
            <v>GBP / USD</v>
          </cell>
          <cell r="Q246">
            <v>9.6983714947111596E-2</v>
          </cell>
          <cell r="R246">
            <v>9.7551388104621578E-2</v>
          </cell>
          <cell r="S246">
            <v>9.792955542196484E-2</v>
          </cell>
          <cell r="T246">
            <v>9.5594033188184088E-2</v>
          </cell>
          <cell r="U246">
            <v>9.3696055679982751E-2</v>
          </cell>
          <cell r="V246">
            <v>9.4394557240516749E-2</v>
          </cell>
          <cell r="W246">
            <v>9.3775579536370904E-2</v>
          </cell>
          <cell r="X246">
            <v>8.9792297979797986E-2</v>
          </cell>
          <cell r="Y246">
            <v>8.8173992673992674E-2</v>
          </cell>
          <cell r="Z246">
            <v>8.9187924028268556E-2</v>
          </cell>
          <cell r="AA246">
            <v>8.9237021461716942E-2</v>
          </cell>
          <cell r="AB246">
            <v>8.5753070481507335E-2</v>
          </cell>
          <cell r="AC246">
            <v>8.3879493670886096E-2</v>
          </cell>
          <cell r="AD246">
            <v>8.3679532358156047E-2</v>
          </cell>
          <cell r="AE246">
            <v>8.2902586655112659E-2</v>
          </cell>
          <cell r="AF246">
            <v>8.0955935251798575E-2</v>
          </cell>
          <cell r="AG246">
            <v>7.9290893665158388E-2</v>
          </cell>
          <cell r="AH246">
            <v>8.0167128242397148E-2</v>
          </cell>
          <cell r="AI246">
            <v>7.8063397474443783E-2</v>
          </cell>
          <cell r="AJ246">
            <v>7.6208437232312243E-2</v>
          </cell>
          <cell r="AK246">
            <v>7.4562351781771827E-2</v>
          </cell>
          <cell r="AL246">
            <v>7.5115825389545407E-2</v>
          </cell>
          <cell r="AM246">
            <v>7.308811307649099E-2</v>
          </cell>
          <cell r="AN246">
            <v>7.0897068406885907E-2</v>
          </cell>
        </row>
        <row r="247">
          <cell r="I247" t="str">
            <v>YEN / USD</v>
          </cell>
          <cell r="Q247">
            <v>5.6926166601562371E-3</v>
          </cell>
          <cell r="R247">
            <v>4.6692203056993105E-3</v>
          </cell>
          <cell r="S247">
            <v>3.8576430371762647E-3</v>
          </cell>
          <cell r="T247">
            <v>1.1450119650072576E-2</v>
          </cell>
          <cell r="U247">
            <v>1.4459840433392058E-2</v>
          </cell>
          <cell r="V247">
            <v>1.2479656174194588E-2</v>
          </cell>
          <cell r="W247">
            <v>1.4225286437516652E-2</v>
          </cell>
          <cell r="X247">
            <v>2.5414562289562289E-2</v>
          </cell>
          <cell r="Y247">
            <v>2.1984126984126984E-2</v>
          </cell>
          <cell r="Z247">
            <v>1.9757567726737337E-2</v>
          </cell>
          <cell r="AA247">
            <v>2.167705916473318E-2</v>
          </cell>
          <cell r="AB247">
            <v>3.5115724587113276E-2</v>
          </cell>
          <cell r="AC247">
            <v>2.6741603375527431E-2</v>
          </cell>
          <cell r="AD247">
            <v>2.4784537529550829E-2</v>
          </cell>
          <cell r="AE247">
            <v>3.2384098786828422E-2</v>
          </cell>
          <cell r="AF247">
            <v>4.4720165044435045E-2</v>
          </cell>
          <cell r="AG247">
            <v>3.4353431372549023E-2</v>
          </cell>
          <cell r="AH247">
            <v>2.8757157498509239E-2</v>
          </cell>
          <cell r="AI247">
            <v>4.3239627179795549E-2</v>
          </cell>
          <cell r="AJ247">
            <v>5.5804868438180021E-2</v>
          </cell>
          <cell r="AK247">
            <v>4.2556155462212746E-2</v>
          </cell>
          <cell r="AL247">
            <v>3.6378627138231971E-2</v>
          </cell>
          <cell r="AM247">
            <v>5.2941740058590071E-2</v>
          </cell>
          <cell r="AN247">
            <v>6.7721092964211319E-2</v>
          </cell>
        </row>
        <row r="248">
          <cell r="I248" t="str">
            <v xml:space="preserve">AUD / USD </v>
          </cell>
          <cell r="Q248">
            <v>5.6926166601562371E-3</v>
          </cell>
          <cell r="R248">
            <v>4.6692203056993105E-3</v>
          </cell>
          <cell r="S248">
            <v>3.8576430371762647E-3</v>
          </cell>
          <cell r="T248">
            <v>1.1450119650072576E-2</v>
          </cell>
          <cell r="U248">
            <v>1.4459840433392058E-2</v>
          </cell>
          <cell r="V248">
            <v>1.2479656174194588E-2</v>
          </cell>
          <cell r="W248">
            <v>1.4225286437516652E-2</v>
          </cell>
          <cell r="X248">
            <v>2.5414562289562289E-2</v>
          </cell>
          <cell r="Y248">
            <v>2.1984126984126984E-2</v>
          </cell>
          <cell r="Z248">
            <v>1.9757567726737337E-2</v>
          </cell>
          <cell r="AA248">
            <v>2.167705916473318E-2</v>
          </cell>
          <cell r="AB248">
            <v>3.5115724587113276E-2</v>
          </cell>
          <cell r="AC248">
            <v>2.6741603375527431E-2</v>
          </cell>
          <cell r="AD248">
            <v>2.4784537529550829E-2</v>
          </cell>
          <cell r="AE248">
            <v>3.2384098786828422E-2</v>
          </cell>
          <cell r="AF248">
            <v>4.4720165044435045E-2</v>
          </cell>
          <cell r="AG248">
            <v>3.4353431372549023E-2</v>
          </cell>
          <cell r="AH248">
            <v>2.8757157498509239E-2</v>
          </cell>
          <cell r="AI248">
            <v>4.3239627179795549E-2</v>
          </cell>
          <cell r="AJ248">
            <v>5.5804868438180021E-2</v>
          </cell>
          <cell r="AK248">
            <v>4.2556155462212746E-2</v>
          </cell>
          <cell r="AL248">
            <v>3.6378627138231971E-2</v>
          </cell>
          <cell r="AM248">
            <v>5.2941740058590071E-2</v>
          </cell>
          <cell r="AN248">
            <v>6.7721092964211319E-2</v>
          </cell>
        </row>
        <row r="249">
          <cell r="I249" t="str">
            <v xml:space="preserve">CNY / USD </v>
          </cell>
          <cell r="Q249">
            <v>5.6926166601562371E-3</v>
          </cell>
          <cell r="R249">
            <v>4.6692203056993105E-3</v>
          </cell>
          <cell r="S249">
            <v>3.8576430371762647E-3</v>
          </cell>
          <cell r="T249">
            <v>1.1450119650072576E-2</v>
          </cell>
          <cell r="U249">
            <v>1.4459840433392058E-2</v>
          </cell>
          <cell r="V249">
            <v>1.2479656174194588E-2</v>
          </cell>
          <cell r="W249">
            <v>1.4225286437516652E-2</v>
          </cell>
          <cell r="X249">
            <v>2.5414562289562289E-2</v>
          </cell>
          <cell r="Y249">
            <v>2.1984126984126984E-2</v>
          </cell>
          <cell r="Z249">
            <v>1.9757567726737337E-2</v>
          </cell>
          <cell r="AA249">
            <v>2.167705916473318E-2</v>
          </cell>
          <cell r="AB249">
            <v>3.5115724587113276E-2</v>
          </cell>
          <cell r="AC249">
            <v>2.6741603375527431E-2</v>
          </cell>
          <cell r="AD249">
            <v>2.4784537529550829E-2</v>
          </cell>
          <cell r="AE249">
            <v>3.2384098786828422E-2</v>
          </cell>
          <cell r="AF249">
            <v>4.4720165044435045E-2</v>
          </cell>
          <cell r="AG249">
            <v>3.4353431372549023E-2</v>
          </cell>
          <cell r="AH249">
            <v>2.8757157498509239E-2</v>
          </cell>
          <cell r="AI249">
            <v>4.3239627179795549E-2</v>
          </cell>
          <cell r="AJ249">
            <v>5.5804868438180021E-2</v>
          </cell>
          <cell r="AK249">
            <v>4.2556155462212746E-2</v>
          </cell>
          <cell r="AL249">
            <v>3.6378627138231971E-2</v>
          </cell>
          <cell r="AM249">
            <v>5.2941740058590071E-2</v>
          </cell>
          <cell r="AN249">
            <v>6.7721092964211319E-2</v>
          </cell>
        </row>
        <row r="250">
          <cell r="I250" t="str">
            <v xml:space="preserve">BRL / USD </v>
          </cell>
          <cell r="Q250">
            <v>4.361666849471822E-3</v>
          </cell>
          <cell r="R250">
            <v>3.4928193455620819E-3</v>
          </cell>
          <cell r="S250">
            <v>3.0438388896075735E-3</v>
          </cell>
          <cell r="T250">
            <v>3.2364363893138755E-3</v>
          </cell>
          <cell r="U250">
            <v>6.553307299998843E-3</v>
          </cell>
          <cell r="V250">
            <v>6.2051530240829428E-3</v>
          </cell>
          <cell r="W250">
            <v>6.5227817745803357E-3</v>
          </cell>
          <cell r="X250">
            <v>8.611111111111111E-3</v>
          </cell>
          <cell r="Y250">
            <v>1.7435897435897432E-2</v>
          </cell>
          <cell r="Z250">
            <v>1.628268551236749E-2</v>
          </cell>
          <cell r="AA250">
            <v>1.4199535962877029E-2</v>
          </cell>
          <cell r="AB250">
            <v>1.2374040474528961E-2</v>
          </cell>
          <cell r="AC250">
            <v>2.6993417721518979E-2</v>
          </cell>
          <cell r="AD250">
            <v>2.9617021276595743E-2</v>
          </cell>
          <cell r="AE250">
            <v>2.4607279029462737E-2</v>
          </cell>
          <cell r="AF250">
            <v>1.876005078290309E-2</v>
          </cell>
          <cell r="AG250">
            <v>3.4676923076923057E-2</v>
          </cell>
          <cell r="AH250">
            <v>3.7352415026833632E-2</v>
          </cell>
          <cell r="AI250">
            <v>2.9882381238725195E-2</v>
          </cell>
          <cell r="AJ250">
            <v>2.3500340787445867E-2</v>
          </cell>
          <cell r="AK250">
            <v>4.2236005265214434E-2</v>
          </cell>
          <cell r="AL250">
            <v>4.656862156328339E-2</v>
          </cell>
          <cell r="AM250">
            <v>3.676454968643994E-2</v>
          </cell>
          <cell r="AN250">
            <v>2.9288679012835717E-2</v>
          </cell>
        </row>
        <row r="251">
          <cell r="I251" t="str">
            <v>CAD / USD</v>
          </cell>
          <cell r="Q251">
            <v>4.361666849471822E-3</v>
          </cell>
          <cell r="R251">
            <v>3.4928193455620819E-3</v>
          </cell>
          <cell r="S251">
            <v>3.0438388896075735E-3</v>
          </cell>
          <cell r="T251">
            <v>3.2364363893138755E-3</v>
          </cell>
          <cell r="U251">
            <v>6.553307299998843E-3</v>
          </cell>
          <cell r="V251">
            <v>6.2051530240829428E-3</v>
          </cell>
          <cell r="W251">
            <v>6.5227817745803357E-3</v>
          </cell>
          <cell r="X251">
            <v>8.611111111111111E-3</v>
          </cell>
          <cell r="Y251">
            <v>1.7435897435897432E-2</v>
          </cell>
          <cell r="Z251">
            <v>1.628268551236749E-2</v>
          </cell>
          <cell r="AA251">
            <v>1.4199535962877029E-2</v>
          </cell>
          <cell r="AB251">
            <v>1.2374040474528961E-2</v>
          </cell>
          <cell r="AC251">
            <v>2.6993417721518979E-2</v>
          </cell>
          <cell r="AD251">
            <v>2.9617021276595743E-2</v>
          </cell>
          <cell r="AE251">
            <v>2.4607279029462737E-2</v>
          </cell>
          <cell r="AF251">
            <v>1.876005078290309E-2</v>
          </cell>
          <cell r="AG251">
            <v>3.4676923076923057E-2</v>
          </cell>
          <cell r="AH251">
            <v>3.7352415026833632E-2</v>
          </cell>
          <cell r="AI251">
            <v>2.9882381238725195E-2</v>
          </cell>
          <cell r="AJ251">
            <v>2.3500340787445867E-2</v>
          </cell>
          <cell r="AK251">
            <v>4.2236005265214434E-2</v>
          </cell>
          <cell r="AL251">
            <v>4.656862156328339E-2</v>
          </cell>
          <cell r="AM251">
            <v>3.676454968643994E-2</v>
          </cell>
          <cell r="AN251">
            <v>2.9288679012835717E-2</v>
          </cell>
        </row>
        <row r="252">
          <cell r="I252" t="str">
            <v>USD / USD</v>
          </cell>
          <cell r="Q252">
            <v>4.361666849471822E-3</v>
          </cell>
          <cell r="R252">
            <v>3.4928193455620819E-3</v>
          </cell>
          <cell r="S252">
            <v>3.0438388896075735E-3</v>
          </cell>
          <cell r="T252">
            <v>3.2364363893138755E-3</v>
          </cell>
          <cell r="U252">
            <v>6.553307299998843E-3</v>
          </cell>
          <cell r="V252">
            <v>6.2051530240829428E-3</v>
          </cell>
          <cell r="W252">
            <v>6.5227817745803357E-3</v>
          </cell>
          <cell r="X252">
            <v>8.611111111111111E-3</v>
          </cell>
          <cell r="Y252">
            <v>1.7435897435897432E-2</v>
          </cell>
          <cell r="Z252">
            <v>1.628268551236749E-2</v>
          </cell>
          <cell r="AA252">
            <v>1.4199535962877029E-2</v>
          </cell>
          <cell r="AB252">
            <v>1.2374040474528961E-2</v>
          </cell>
          <cell r="AC252">
            <v>2.6993417721518979E-2</v>
          </cell>
          <cell r="AD252">
            <v>2.9617021276595743E-2</v>
          </cell>
          <cell r="AE252">
            <v>2.4607279029462737E-2</v>
          </cell>
          <cell r="AF252">
            <v>1.876005078290309E-2</v>
          </cell>
          <cell r="AG252">
            <v>3.4676923076923057E-2</v>
          </cell>
          <cell r="AH252">
            <v>3.7352415026833632E-2</v>
          </cell>
          <cell r="AI252">
            <v>2.9882381238725195E-2</v>
          </cell>
          <cell r="AJ252">
            <v>2.3500340787445867E-2</v>
          </cell>
          <cell r="AK252">
            <v>4.2236005265214434E-2</v>
          </cell>
          <cell r="AL252">
            <v>4.656862156328339E-2</v>
          </cell>
          <cell r="AM252">
            <v>3.676454968643994E-2</v>
          </cell>
          <cell r="AN252">
            <v>2.9288679012835717E-2</v>
          </cell>
        </row>
        <row r="254">
          <cell r="I254" t="str">
            <v>Weighted Exchange rates</v>
          </cell>
        </row>
        <row r="255">
          <cell r="I255" t="str">
            <v xml:space="preserve">EUR / USD </v>
          </cell>
          <cell r="Q255">
            <v>7.8038951842697601E-2</v>
          </cell>
          <cell r="R255">
            <v>6.3118927952992773E-2</v>
          </cell>
          <cell r="S255">
            <v>6.9705923839458714E-2</v>
          </cell>
          <cell r="T255">
            <v>0.10561329351665254</v>
          </cell>
          <cell r="U255">
            <v>0.12192146411615674</v>
          </cell>
          <cell r="V255">
            <v>0.13443185679474995</v>
          </cell>
          <cell r="W255">
            <v>7.8960670098407154E-2</v>
          </cell>
          <cell r="X255">
            <v>-7.1399216170370441E-2</v>
          </cell>
          <cell r="Y255">
            <v>-0.10422973804920051</v>
          </cell>
          <cell r="Z255">
            <v>-0.10296934038890768</v>
          </cell>
          <cell r="AA255">
            <v>-3.9882699545632033E-2</v>
          </cell>
          <cell r="AB255">
            <v>9.1846306708044279E-2</v>
          </cell>
          <cell r="AC255">
            <v>4.768557906364676E-2</v>
          </cell>
          <cell r="AD255">
            <v>-4.7564043508271071E-2</v>
          </cell>
          <cell r="AE255">
            <v>-7.2586181344866968E-2</v>
          </cell>
          <cell r="AF255">
            <v>-5.7579751334031204E-2</v>
          </cell>
          <cell r="AG255">
            <v>-9.5307058874161132E-3</v>
          </cell>
          <cell r="AH255">
            <v>9.2075626166622321E-2</v>
          </cell>
          <cell r="AI255">
            <v>6.8470399723087369E-2</v>
          </cell>
          <cell r="AJ255">
            <v>-5.5475259455874922E-3</v>
          </cell>
          <cell r="AK255">
            <v>-3.2602957067964344E-2</v>
          </cell>
          <cell r="AL255">
            <v>-6.4948949335777925E-2</v>
          </cell>
          <cell r="AM255">
            <v>-5.3534267493963859E-2</v>
          </cell>
          <cell r="AN255">
            <v>-2.3034977822637536E-2</v>
          </cell>
        </row>
        <row r="256">
          <cell r="I256" t="str">
            <v>GBP / USD</v>
          </cell>
          <cell r="Q256">
            <v>1.1159016799924627E-2</v>
          </cell>
          <cell r="R256">
            <v>8.3836105797102847E-3</v>
          </cell>
          <cell r="S256">
            <v>7.6213573691310968E-3</v>
          </cell>
          <cell r="T256">
            <v>6.439287984872929E-3</v>
          </cell>
          <cell r="U256">
            <v>1.1985090760667136E-3</v>
          </cell>
          <cell r="V256">
            <v>-7.525749108541201E-4</v>
          </cell>
          <cell r="W256">
            <v>-5.9549265935348412E-3</v>
          </cell>
          <cell r="X256">
            <v>-2.0697474793989323E-2</v>
          </cell>
          <cell r="Y256">
            <v>-2.4156562916304022E-2</v>
          </cell>
          <cell r="Z256">
            <v>-1.9151280981566078E-2</v>
          </cell>
          <cell r="AA256">
            <v>-1.1869175360938693E-2</v>
          </cell>
          <cell r="AB256">
            <v>3.2265008953298252E-3</v>
          </cell>
          <cell r="AC256">
            <v>7.2385393661283833E-3</v>
          </cell>
          <cell r="AD256">
            <v>-3.0387630644406667E-3</v>
          </cell>
          <cell r="AE256">
            <v>-4.6424640263267704E-3</v>
          </cell>
          <cell r="AF256">
            <v>-2.5244483883578727E-3</v>
          </cell>
          <cell r="AG256">
            <v>2.0217679338031288E-3</v>
          </cell>
          <cell r="AH256">
            <v>7.5092851116151825E-3</v>
          </cell>
          <cell r="AI256">
            <v>3.1342262605928233E-3</v>
          </cell>
          <cell r="AJ256">
            <v>-4.3371438920627282E-4</v>
          </cell>
          <cell r="AK256">
            <v>-1.8818760617127365E-3</v>
          </cell>
          <cell r="AL256">
            <v>-3.2604993179938761E-3</v>
          </cell>
          <cell r="AM256">
            <v>-2.3177377300537916E-3</v>
          </cell>
          <cell r="AN256">
            <v>-5.455701651763665E-4</v>
          </cell>
        </row>
        <row r="257">
          <cell r="I257" t="str">
            <v>YEN / USD</v>
          </cell>
          <cell r="Q257">
            <v>-1.172217537845863E-4</v>
          </cell>
          <cell r="R257">
            <v>-2.5182226365664124E-4</v>
          </cell>
          <cell r="S257">
            <v>-4.6979491985726293E-5</v>
          </cell>
          <cell r="T257">
            <v>4.6633383837393623E-4</v>
          </cell>
          <cell r="U257">
            <v>1.9497530111938111E-3</v>
          </cell>
          <cell r="V257">
            <v>1.9330702130521368E-3</v>
          </cell>
          <cell r="W257">
            <v>1.3401552588676771E-3</v>
          </cell>
          <cell r="X257">
            <v>4.5719464492614843E-3</v>
          </cell>
          <cell r="Y257">
            <v>2.7504834933682991E-3</v>
          </cell>
          <cell r="Z257">
            <v>1.5252924835677012E-3</v>
          </cell>
          <cell r="AA257">
            <v>3.2683823456556098E-3</v>
          </cell>
          <cell r="AB257">
            <v>2.2680327197962973E-3</v>
          </cell>
          <cell r="AC257">
            <v>7.4976458062226152E-4</v>
          </cell>
          <cell r="AD257">
            <v>1.4437594677408243E-3</v>
          </cell>
          <cell r="AE257">
            <v>2.7238961596397705E-3</v>
          </cell>
          <cell r="AF257">
            <v>4.0288436976968498E-3</v>
          </cell>
          <cell r="AG257">
            <v>3.7476470588235309E-3</v>
          </cell>
          <cell r="AH257">
            <v>3.6935798621938508E-3</v>
          </cell>
          <cell r="AI257">
            <v>4.8458202873908878E-3</v>
          </cell>
          <cell r="AJ257">
            <v>3.689578078557357E-3</v>
          </cell>
          <cell r="AK257">
            <v>2.7905675712926329E-3</v>
          </cell>
          <cell r="AL257">
            <v>2.0703283737205178E-3</v>
          </cell>
          <cell r="AM257">
            <v>4.1040108572550516E-4</v>
          </cell>
          <cell r="AN257">
            <v>5.2496971290086391E-4</v>
          </cell>
        </row>
        <row r="258">
          <cell r="I258" t="str">
            <v xml:space="preserve">AUD / USD </v>
          </cell>
          <cell r="Q258">
            <v>3.6663054522161341E-4</v>
          </cell>
          <cell r="R258">
            <v>5.2782298380799899E-4</v>
          </cell>
          <cell r="S258">
            <v>4.5999456915010414E-4</v>
          </cell>
          <cell r="T258">
            <v>1.7827006019995664E-3</v>
          </cell>
          <cell r="U258">
            <v>2.2031983537518902E-3</v>
          </cell>
          <cell r="V258">
            <v>1.67187278673375E-3</v>
          </cell>
          <cell r="W258">
            <v>6.8379392693152397E-4</v>
          </cell>
          <cell r="X258">
            <v>-6.2009042156351687E-3</v>
          </cell>
          <cell r="Y258">
            <v>-5.8974924717106443E-3</v>
          </cell>
          <cell r="Z258">
            <v>-3.8489031826942385E-3</v>
          </cell>
          <cell r="AA258">
            <v>-1.3706662664338153E-3</v>
          </cell>
          <cell r="AB258">
            <v>1.2269734709124626E-2</v>
          </cell>
          <cell r="AC258">
            <v>9.6937807982187939E-3</v>
          </cell>
          <cell r="AD258">
            <v>4.0725612688452192E-3</v>
          </cell>
          <cell r="AE258">
            <v>2.7363006547043763E-3</v>
          </cell>
          <cell r="AF258">
            <v>3.9109826021898192E-3</v>
          </cell>
          <cell r="AG258">
            <v>3.8795947741364113E-3</v>
          </cell>
          <cell r="AH258">
            <v>5.782000003658196E-3</v>
          </cell>
          <cell r="AI258">
            <v>7.1834424407085868E-3</v>
          </cell>
          <cell r="AJ258">
            <v>1.3904585876422897E-3</v>
          </cell>
          <cell r="AK258">
            <v>1.1854082301451935E-3</v>
          </cell>
          <cell r="AL258">
            <v>-9.8987131559637458E-4</v>
          </cell>
          <cell r="AM258">
            <v>-9.5599036410683809E-4</v>
          </cell>
          <cell r="AN258">
            <v>1.4254958791754988E-3</v>
          </cell>
        </row>
        <row r="259">
          <cell r="I259" t="str">
            <v xml:space="preserve">CNY / USD </v>
          </cell>
          <cell r="Q259">
            <v>2.1365650478400157E-4</v>
          </cell>
          <cell r="R259">
            <v>2.0322295825155176E-4</v>
          </cell>
          <cell r="S259">
            <v>2.080696636815432E-4</v>
          </cell>
          <cell r="T259">
            <v>6.6193670227670219E-4</v>
          </cell>
          <cell r="U259">
            <v>1.206491643277952E-3</v>
          </cell>
          <cell r="V259">
            <v>1.2900828704873436E-3</v>
          </cell>
          <cell r="W259">
            <v>1.4887197913934242E-3</v>
          </cell>
          <cell r="X259">
            <v>2.2030830947871302E-3</v>
          </cell>
          <cell r="Y259">
            <v>1.0147489829995585E-3</v>
          </cell>
          <cell r="Z259">
            <v>3.4019208773337591E-4</v>
          </cell>
          <cell r="AA259">
            <v>5.8271830123574255E-6</v>
          </cell>
          <cell r="AB259">
            <v>2.8520542829359057E-5</v>
          </cell>
          <cell r="AC259">
            <v>3.660725992543067E-5</v>
          </cell>
          <cell r="AD259">
            <v>1.6952488050311631E-5</v>
          </cell>
          <cell r="AE259">
            <v>2.8795710275565428E-4</v>
          </cell>
          <cell r="AF259">
            <v>1.1309952882051181E-3</v>
          </cell>
          <cell r="AG259">
            <v>1.2914823824266492E-3</v>
          </cell>
          <cell r="AH259">
            <v>1.4545657244632135E-3</v>
          </cell>
          <cell r="AI259">
            <v>2.4038301211818549E-3</v>
          </cell>
          <cell r="AJ259">
            <v>2.5298207025308342E-3</v>
          </cell>
          <cell r="AK259">
            <v>1.7941989127678681E-3</v>
          </cell>
          <cell r="AL259">
            <v>1.065086676135613E-3</v>
          </cell>
          <cell r="AM259">
            <v>8.5006005232161311E-4</v>
          </cell>
          <cell r="AN259">
            <v>6.046526157518846E-4</v>
          </cell>
        </row>
        <row r="260">
          <cell r="I260" t="str">
            <v xml:space="preserve">BRL / USD </v>
          </cell>
          <cell r="Q260">
            <v>1.6941299810325025E-4</v>
          </cell>
          <cell r="R260">
            <v>3.4966366344643316E-4</v>
          </cell>
          <cell r="S260">
            <v>4.0831985104491876E-4</v>
          </cell>
          <cell r="T260">
            <v>6.6597646020141136E-4</v>
          </cell>
          <cell r="U260">
            <v>1.3870751826360035E-3</v>
          </cell>
          <cell r="V260">
            <v>1.229194827142995E-3</v>
          </cell>
          <cell r="W260">
            <v>1.0295173999049605E-3</v>
          </cell>
          <cell r="X260">
            <v>-1.8665614327694384E-3</v>
          </cell>
          <cell r="Y260">
            <v>-4.3680935521939693E-3</v>
          </cell>
          <cell r="Z260">
            <v>-3.3240440905015554E-3</v>
          </cell>
          <cell r="AA260">
            <v>-1.6436610451224152E-3</v>
          </cell>
          <cell r="AB260">
            <v>3.7830742039399508E-3</v>
          </cell>
          <cell r="AC260">
            <v>7.7357270604585691E-3</v>
          </cell>
          <cell r="AD260">
            <v>4.6779958590663796E-3</v>
          </cell>
          <cell r="AE260">
            <v>1.6291015561516052E-3</v>
          </cell>
          <cell r="AF260">
            <v>5.0153551804720735E-4</v>
          </cell>
          <cell r="AG260">
            <v>2.8275704768924719E-3</v>
          </cell>
          <cell r="AH260">
            <v>4.7253460075335684E-3</v>
          </cell>
          <cell r="AI260">
            <v>2.4547180366727601E-3</v>
          </cell>
          <cell r="AJ260">
            <v>-1.2758013463572556E-3</v>
          </cell>
          <cell r="AK260">
            <v>-3.6926497415090439E-3</v>
          </cell>
          <cell r="AL260">
            <v>-5.9587006185606983E-3</v>
          </cell>
          <cell r="AM260">
            <v>-4.1413902686448043E-3</v>
          </cell>
          <cell r="AN260">
            <v>-5.1651800310561092E-4</v>
          </cell>
        </row>
        <row r="261">
          <cell r="I261" t="str">
            <v>CAD / USD</v>
          </cell>
          <cell r="Q261">
            <v>-6.3236846485890011E-5</v>
          </cell>
          <cell r="R261">
            <v>8.0117204019672703E-5</v>
          </cell>
          <cell r="S261">
            <v>2.2187391978250361E-4</v>
          </cell>
          <cell r="T261">
            <v>5.2421150817051967E-4</v>
          </cell>
          <cell r="U261">
            <v>1.0984164616235843E-3</v>
          </cell>
          <cell r="V261">
            <v>5.2942103726419149E-4</v>
          </cell>
          <cell r="W261">
            <v>2.9166122856521412E-5</v>
          </cell>
          <cell r="X261">
            <v>-1.6275769563656049E-3</v>
          </cell>
          <cell r="Y261">
            <v>-3.3620907151283336E-3</v>
          </cell>
          <cell r="Z261">
            <v>-2.1813343259992346E-3</v>
          </cell>
          <cell r="AA261">
            <v>-7.5689376461649947E-4</v>
          </cell>
          <cell r="AB261">
            <v>1.7638939991535317E-3</v>
          </cell>
          <cell r="AC261">
            <v>5.250305349640055E-3</v>
          </cell>
          <cell r="AD261">
            <v>4.0009928416119755E-3</v>
          </cell>
          <cell r="AE261">
            <v>1.403734646767546E-3</v>
          </cell>
          <cell r="AF261">
            <v>8.1953680699587252E-4</v>
          </cell>
          <cell r="AG261">
            <v>1.9170688343410906E-3</v>
          </cell>
          <cell r="AH261">
            <v>2.2994960535532697E-3</v>
          </cell>
          <cell r="AI261">
            <v>1.8860980983577205E-3</v>
          </cell>
          <cell r="AJ261">
            <v>-2.2864423995082639E-4</v>
          </cell>
          <cell r="AK261">
            <v>-1.100069592543079E-3</v>
          </cell>
          <cell r="AL261">
            <v>-2.0603988822171042E-3</v>
          </cell>
          <cell r="AM261">
            <v>-1.2657591441340844E-3</v>
          </cell>
          <cell r="AN261">
            <v>3.0274860099236485E-4</v>
          </cell>
        </row>
        <row r="262">
          <cell r="I262" t="str">
            <v>USD / USD</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row>
        <row r="264">
          <cell r="I264" t="str">
            <v xml:space="preserve">Weighted F/X favorable / (unfavorable) </v>
          </cell>
          <cell r="Q264">
            <v>8.9767210090460597E-2</v>
          </cell>
          <cell r="R264">
            <v>7.2411543078572074E-2</v>
          </cell>
          <cell r="S264">
            <v>7.8578559720263147E-2</v>
          </cell>
          <cell r="T264">
            <v>0.1161537406125476</v>
          </cell>
          <cell r="U264">
            <v>0.13096490784470671</v>
          </cell>
          <cell r="V264">
            <v>0.14033292361857624</v>
          </cell>
          <cell r="W264">
            <v>7.7577096004826415E-2</v>
          </cell>
          <cell r="X264">
            <v>-9.5016704025081361E-2</v>
          </cell>
          <cell r="Y264">
            <v>-0.13824874522816963</v>
          </cell>
          <cell r="Z264">
            <v>-0.1296094183983677</v>
          </cell>
          <cell r="AA264">
            <v>-5.2248886454075487E-2</v>
          </cell>
          <cell r="AB264">
            <v>0.11518606377821786</v>
          </cell>
          <cell r="AC264">
            <v>7.8390303478640247E-2</v>
          </cell>
          <cell r="AD264">
            <v>-3.6390544647397036E-2</v>
          </cell>
          <cell r="AE264">
            <v>-6.8447655251174785E-2</v>
          </cell>
          <cell r="AF264">
            <v>-4.9712305809254211E-2</v>
          </cell>
          <cell r="AG264">
            <v>6.1544255730071693E-3</v>
          </cell>
          <cell r="AH264">
            <v>0.11753989892963959</v>
          </cell>
          <cell r="AI264">
            <v>9.0378534967992002E-2</v>
          </cell>
          <cell r="AJ264">
            <v>1.2417144762863358E-4</v>
          </cell>
          <cell r="AK264">
            <v>-3.3507377749523511E-2</v>
          </cell>
          <cell r="AL264">
            <v>-7.4083004420289852E-2</v>
          </cell>
          <cell r="AM264">
            <v>-6.0954683862856254E-2</v>
          </cell>
          <cell r="AN264">
            <v>-2.1239199182098902E-2</v>
          </cell>
        </row>
        <row r="265">
          <cell r="I265" t="str">
            <v xml:space="preserve">Actual </v>
          </cell>
          <cell r="Q265">
            <v>0.15988391358214737</v>
          </cell>
          <cell r="R265">
            <v>0.13091387660442011</v>
          </cell>
          <cell r="S265">
            <v>0.14503196658768713</v>
          </cell>
          <cell r="T265">
            <v>0.2310010027073095</v>
          </cell>
          <cell r="U265">
            <v>0.24670181015588488</v>
          </cell>
          <cell r="V265">
            <v>0.24324839184775959</v>
          </cell>
          <cell r="W265">
            <v>0.13960102120794754</v>
          </cell>
          <cell r="X265">
            <v>-0.11088289984700483</v>
          </cell>
          <cell r="Y265">
            <v>-0.18261594535312697</v>
          </cell>
          <cell r="Z265">
            <v>-0.18073287381805175</v>
          </cell>
          <cell r="AA265">
            <v>-0.1069024780175859</v>
          </cell>
          <cell r="AB265">
            <v>0.1143434343434343</v>
          </cell>
          <cell r="AC265">
            <v>8.0608058608058641E-2</v>
          </cell>
          <cell r="AD265">
            <v>-7.6653710247349793E-2</v>
          </cell>
          <cell r="AE265">
            <v>-0.10656612529002318</v>
          </cell>
          <cell r="AF265">
            <v>-5.8011863224005644E-2</v>
          </cell>
          <cell r="AG265">
            <v>9.3797468354430702E-3</v>
          </cell>
          <cell r="AH265">
            <v>0.19726950354609929</v>
          </cell>
          <cell r="AI265">
            <v>0.11528942807625653</v>
          </cell>
        </row>
        <row r="266">
          <cell r="I266" t="str">
            <v>Difference</v>
          </cell>
          <cell r="Q266">
            <v>7.0116703491686777E-2</v>
          </cell>
          <cell r="R266">
            <v>5.8502333525848035E-2</v>
          </cell>
          <cell r="S266">
            <v>6.6453406867423986E-2</v>
          </cell>
          <cell r="T266">
            <v>0.1148472620947619</v>
          </cell>
          <cell r="U266">
            <v>0.11573690231117817</v>
          </cell>
          <cell r="V266">
            <v>0.10291546822918335</v>
          </cell>
          <cell r="W266">
            <v>6.2023925203121125E-2</v>
          </cell>
          <cell r="X266">
            <v>-1.5866195821923473E-2</v>
          </cell>
          <cell r="Y266">
            <v>-4.4367200124957346E-2</v>
          </cell>
          <cell r="Z266">
            <v>-5.112345541968405E-2</v>
          </cell>
          <cell r="AA266">
            <v>-5.4653591563510413E-2</v>
          </cell>
          <cell r="AB266">
            <v>-8.426294347835539E-4</v>
          </cell>
          <cell r="AC266">
            <v>2.2177551294183945E-3</v>
          </cell>
          <cell r="AD266">
            <v>-4.0263165599952758E-2</v>
          </cell>
          <cell r="AE266">
            <v>-3.8118470038848398E-2</v>
          </cell>
          <cell r="AF266">
            <v>-8.2995574147514337E-3</v>
          </cell>
          <cell r="AG266">
            <v>3.2253212624359009E-3</v>
          </cell>
          <cell r="AH266">
            <v>7.9729604616459698E-2</v>
          </cell>
          <cell r="AI266">
            <v>2.4910893108264526E-2</v>
          </cell>
          <cell r="AJ266">
            <v>-1.2417144762863358E-4</v>
          </cell>
          <cell r="AK266">
            <v>3.3507377749523511E-2</v>
          </cell>
          <cell r="AL266">
            <v>7.4083004420289852E-2</v>
          </cell>
          <cell r="AM266">
            <v>6.0954683862856254E-2</v>
          </cell>
          <cell r="AN266">
            <v>2.1239199182098902E-2</v>
          </cell>
        </row>
        <row r="268">
          <cell r="I268" t="str">
            <v>Revenue by Geography</v>
          </cell>
        </row>
        <row r="269">
          <cell r="I269" t="str">
            <v>US</v>
          </cell>
          <cell r="M269">
            <v>219.51399999999998</v>
          </cell>
          <cell r="N269">
            <v>260.55099999999999</v>
          </cell>
          <cell r="O269">
            <v>248.46700000000004</v>
          </cell>
          <cell r="P269">
            <v>211.87099999999998</v>
          </cell>
          <cell r="Q269">
            <v>237.61100000000002</v>
          </cell>
          <cell r="R269">
            <v>263.16199999999992</v>
          </cell>
          <cell r="S269">
            <v>285.09199999999998</v>
          </cell>
          <cell r="T269">
            <v>232.453</v>
          </cell>
          <cell r="U269">
            <v>298.98</v>
          </cell>
          <cell r="V269">
            <v>349.476</v>
          </cell>
          <cell r="W269">
            <v>337.90900000000005</v>
          </cell>
          <cell r="X269">
            <v>278.64099999999996</v>
          </cell>
          <cell r="Y269">
            <v>347.45799999999997</v>
          </cell>
          <cell r="Z269">
            <v>406.14099999999996</v>
          </cell>
          <cell r="AA269">
            <v>413.76</v>
          </cell>
          <cell r="AB269">
            <v>318.85300000000007</v>
          </cell>
          <cell r="AC269">
            <v>368.59399999999988</v>
          </cell>
          <cell r="AD269">
            <v>444.83900000000006</v>
          </cell>
          <cell r="AE269">
            <v>470.75699999999995</v>
          </cell>
          <cell r="AF269">
            <v>356.41600000000005</v>
          </cell>
          <cell r="AG269">
            <v>420.22</v>
          </cell>
          <cell r="AH269">
            <v>489.81600000000014</v>
          </cell>
          <cell r="AI269">
            <v>499.80400000000009</v>
          </cell>
          <cell r="AJ269">
            <v>385.14147250000002</v>
          </cell>
          <cell r="AK269">
            <v>456.32213184</v>
          </cell>
          <cell r="AL269">
            <v>535.87710611600005</v>
          </cell>
          <cell r="AM269">
            <v>550.41795260000004</v>
          </cell>
          <cell r="AN269">
            <v>416.31536740000007</v>
          </cell>
        </row>
        <row r="270">
          <cell r="I270" t="str">
            <v>y/y Growth - %</v>
          </cell>
          <cell r="M270" t="str">
            <v>NA</v>
          </cell>
          <cell r="N270" t="str">
            <v>NA</v>
          </cell>
          <cell r="O270" t="str">
            <v>NA</v>
          </cell>
          <cell r="P270" t="str">
            <v>NA</v>
          </cell>
          <cell r="Q270">
            <v>8.244121103893165E-2</v>
          </cell>
          <cell r="R270">
            <v>1.0021070730873882E-2</v>
          </cell>
          <cell r="S270">
            <v>0.14740388059581333</v>
          </cell>
          <cell r="T270">
            <v>9.7144016878194961E-2</v>
          </cell>
          <cell r="U270">
            <v>0.25827507985741405</v>
          </cell>
          <cell r="V270">
            <v>0.32798808338589946</v>
          </cell>
          <cell r="W270">
            <v>0.18526300282014252</v>
          </cell>
          <cell r="X270">
            <v>0.19869823147044752</v>
          </cell>
          <cell r="Y270">
            <v>0.16214462505853211</v>
          </cell>
          <cell r="Z270">
            <v>0.16214275086128938</v>
          </cell>
          <cell r="AA270">
            <v>0.22447167728589634</v>
          </cell>
          <cell r="AB270">
            <v>0.14431472755265773</v>
          </cell>
          <cell r="AC270">
            <v>6.0830373743013366E-2</v>
          </cell>
          <cell r="AD270">
            <v>9.5282180326537125E-2</v>
          </cell>
          <cell r="AE270">
            <v>0.13775377030162406</v>
          </cell>
          <cell r="AF270">
            <v>0.11780663816868575</v>
          </cell>
          <cell r="AG270">
            <v>0.1400619651974806</v>
          </cell>
          <cell r="AH270">
            <v>0.10110849093717067</v>
          </cell>
          <cell r="AI270">
            <v>6.1702746852410284E-2</v>
          </cell>
          <cell r="AJ270">
            <v>8.0595350657658438E-2</v>
          </cell>
          <cell r="AK270">
            <v>8.5912454999761856E-2</v>
          </cell>
          <cell r="AL270">
            <v>9.4037569446485891E-2</v>
          </cell>
          <cell r="AM270">
            <v>0.10126760210002317</v>
          </cell>
          <cell r="AN270">
            <v>8.0941412768784637E-2</v>
          </cell>
        </row>
        <row r="271">
          <cell r="I271" t="str">
            <v>% of total revenue</v>
          </cell>
          <cell r="M271">
            <v>0.9074051109071819</v>
          </cell>
          <cell r="N271">
            <v>0.84690444692199918</v>
          </cell>
          <cell r="O271">
            <v>0.79264164967923256</v>
          </cell>
          <cell r="P271">
            <v>0.81466599505519643</v>
          </cell>
          <cell r="Q271">
            <v>0.83223063209473536</v>
          </cell>
          <cell r="R271">
            <v>0.74431641409427474</v>
          </cell>
          <cell r="S271">
            <v>0.68385097339358869</v>
          </cell>
          <cell r="T271">
            <v>0.69419416878451146</v>
          </cell>
          <cell r="U271">
            <v>0.74155464060717302</v>
          </cell>
          <cell r="V271">
            <v>0.67994614534530795</v>
          </cell>
          <cell r="W271">
            <v>0.60168017250435801</v>
          </cell>
          <cell r="X271">
            <v>0.68623858181809216</v>
          </cell>
          <cell r="Y271">
            <v>0.75197918875985259</v>
          </cell>
          <cell r="Z271">
            <v>0.67270733642406255</v>
          </cell>
          <cell r="AA271">
            <v>0.56628253907426163</v>
          </cell>
          <cell r="AB271">
            <v>0.58855788523552255</v>
          </cell>
          <cell r="AC271">
            <v>0.63072858379791708</v>
          </cell>
          <cell r="AD271">
            <v>0.57964085744925653</v>
          </cell>
          <cell r="AE271">
            <v>0.46993133065204434</v>
          </cell>
          <cell r="AF271">
            <v>0.48736250813601784</v>
          </cell>
          <cell r="AG271">
            <v>0.51922601690307912</v>
          </cell>
          <cell r="AH271">
            <v>0.44419052593777553</v>
          </cell>
          <cell r="AI271">
            <v>0.34402713648916167</v>
          </cell>
          <cell r="AJ271">
            <v>0.39870120778542584</v>
          </cell>
          <cell r="AK271">
            <v>0.45459837150576365</v>
          </cell>
          <cell r="AL271">
            <v>0.39002435321866219</v>
          </cell>
          <cell r="AM271">
            <v>0.30188533759196751</v>
          </cell>
          <cell r="AN271">
            <v>0.34768402887334565</v>
          </cell>
        </row>
        <row r="272">
          <cell r="I272" t="str">
            <v>International</v>
          </cell>
          <cell r="M272">
            <v>22.4</v>
          </cell>
          <cell r="N272">
            <v>47.1</v>
          </cell>
          <cell r="O272">
            <v>65</v>
          </cell>
          <cell r="P272">
            <v>48.2</v>
          </cell>
          <cell r="Q272">
            <v>47.9</v>
          </cell>
          <cell r="R272">
            <v>90.4</v>
          </cell>
          <cell r="S272">
            <v>131.80000000000001</v>
          </cell>
          <cell r="T272">
            <v>102.4</v>
          </cell>
          <cell r="U272">
            <v>104.2</v>
          </cell>
          <cell r="V272">
            <v>164.5</v>
          </cell>
          <cell r="W272">
            <v>223.7</v>
          </cell>
          <cell r="X272">
            <v>127.4</v>
          </cell>
          <cell r="Y272">
            <v>114.6</v>
          </cell>
          <cell r="Z272">
            <v>197.6</v>
          </cell>
          <cell r="AA272">
            <v>316.89999999999998</v>
          </cell>
          <cell r="AB272">
            <v>222.9</v>
          </cell>
          <cell r="AC272">
            <v>215.8</v>
          </cell>
          <cell r="AD272">
            <v>322.60000000000002</v>
          </cell>
          <cell r="AE272">
            <v>531</v>
          </cell>
          <cell r="AF272">
            <v>374.9</v>
          </cell>
          <cell r="AG272">
            <v>389.1</v>
          </cell>
          <cell r="AH272">
            <v>612.9</v>
          </cell>
          <cell r="AI272">
            <v>953</v>
          </cell>
          <cell r="AJ272">
            <v>580.84876023407435</v>
          </cell>
          <cell r="AK272">
            <v>547.46969946050967</v>
          </cell>
          <cell r="AL272">
            <v>838.08096007574693</v>
          </cell>
          <cell r="AM272">
            <v>1272.8503021303861</v>
          </cell>
          <cell r="AN272">
            <v>781.08035062895635</v>
          </cell>
        </row>
        <row r="273">
          <cell r="I273" t="str">
            <v>y/y Growth - %</v>
          </cell>
          <cell r="M273" t="str">
            <v>NA</v>
          </cell>
          <cell r="N273" t="str">
            <v>NA</v>
          </cell>
          <cell r="O273" t="str">
            <v>NA</v>
          </cell>
          <cell r="P273" t="str">
            <v>NA</v>
          </cell>
          <cell r="Q273">
            <v>1.1383928571428572</v>
          </cell>
          <cell r="R273">
            <v>0.91932059447983017</v>
          </cell>
          <cell r="S273">
            <v>1.0276923076923077</v>
          </cell>
          <cell r="T273">
            <v>1.1244813278008299</v>
          </cell>
          <cell r="U273">
            <v>1.1753653444676408</v>
          </cell>
          <cell r="V273">
            <v>0.81969026548672552</v>
          </cell>
          <cell r="W273">
            <v>0.69726858877086473</v>
          </cell>
          <cell r="X273">
            <v>0.244140625</v>
          </cell>
          <cell r="Y273">
            <v>9.9808061420345373E-2</v>
          </cell>
          <cell r="Z273">
            <v>0.20121580547112461</v>
          </cell>
          <cell r="AA273">
            <v>0.41662941439427792</v>
          </cell>
          <cell r="AB273">
            <v>0.74960753532182101</v>
          </cell>
          <cell r="AC273">
            <v>0.88307155322862152</v>
          </cell>
          <cell r="AD273">
            <v>0.63259109311740902</v>
          </cell>
          <cell r="AE273">
            <v>0.67560744714420973</v>
          </cell>
          <cell r="AF273">
            <v>0.68192014356213537</v>
          </cell>
          <cell r="AG273">
            <v>0.80305838739573687</v>
          </cell>
          <cell r="AH273">
            <v>0.89987600743955332</v>
          </cell>
          <cell r="AI273">
            <v>0.79472693032015074</v>
          </cell>
          <cell r="AJ273">
            <v>0.5493431854736579</v>
          </cell>
          <cell r="AK273">
            <v>0.40701541881395431</v>
          </cell>
          <cell r="AL273">
            <v>0.36740244750488982</v>
          </cell>
          <cell r="AM273">
            <v>0.33562466120712076</v>
          </cell>
          <cell r="AN273">
            <v>0.34472242019452937</v>
          </cell>
        </row>
        <row r="274">
          <cell r="I274" t="str">
            <v>(+/-) FX y/y Growth - %</v>
          </cell>
          <cell r="M274" t="str">
            <v>NA</v>
          </cell>
          <cell r="N274" t="str">
            <v>NA</v>
          </cell>
          <cell r="O274" t="str">
            <v>NA</v>
          </cell>
          <cell r="P274" t="str">
            <v>NA</v>
          </cell>
          <cell r="Q274" t="str">
            <v>NA</v>
          </cell>
          <cell r="R274" t="str">
            <v>NA</v>
          </cell>
          <cell r="S274" t="str">
            <v>NA</v>
          </cell>
          <cell r="T274" t="str">
            <v>NA</v>
          </cell>
          <cell r="U274" t="str">
            <v>NA</v>
          </cell>
          <cell r="V274" t="str">
            <v>NA</v>
          </cell>
          <cell r="W274">
            <v>-6.7268588770864723E-2</v>
          </cell>
          <cell r="X274">
            <v>0.195859375</v>
          </cell>
          <cell r="Y274">
            <v>0.20019193857965462</v>
          </cell>
          <cell r="Z274">
            <v>0.1787841945288754</v>
          </cell>
          <cell r="AA274">
            <v>8.3370585605722081E-2</v>
          </cell>
          <cell r="AB274">
            <v>-0.119607535321821</v>
          </cell>
          <cell r="AC274">
            <v>-9.3071553228621484E-2</v>
          </cell>
          <cell r="AD274">
            <v>4.7408906882591029E-2</v>
          </cell>
          <cell r="AE274">
            <v>0.12439255285579032</v>
          </cell>
          <cell r="AF274">
            <v>6.8079856437864628E-2</v>
          </cell>
          <cell r="AG274">
            <v>-1.3058387395736837E-2</v>
          </cell>
          <cell r="AH274">
            <v>-0.18987600743955335</v>
          </cell>
          <cell r="AI274">
            <v>-0.11472693032015069</v>
          </cell>
          <cell r="AJ274">
            <v>-1.2417144762863358E-4</v>
          </cell>
          <cell r="AK274">
            <v>3.3507377749523511E-2</v>
          </cell>
          <cell r="AL274">
            <v>7.4083004420289852E-2</v>
          </cell>
          <cell r="AM274">
            <v>6.0954683862856254E-2</v>
          </cell>
          <cell r="AN274">
            <v>2.1239199182098902E-2</v>
          </cell>
        </row>
        <row r="275">
          <cell r="I275" t="str">
            <v>y/y Growth - % (excl F/X)</v>
          </cell>
          <cell r="M275" t="str">
            <v>NA</v>
          </cell>
          <cell r="N275" t="str">
            <v>NA</v>
          </cell>
          <cell r="O275" t="str">
            <v>NA</v>
          </cell>
          <cell r="P275" t="str">
            <v>NA</v>
          </cell>
          <cell r="Q275" t="str">
            <v>NA</v>
          </cell>
          <cell r="R275" t="str">
            <v>NA</v>
          </cell>
          <cell r="S275" t="str">
            <v>NA</v>
          </cell>
          <cell r="T275" t="str">
            <v>NA</v>
          </cell>
          <cell r="U275" t="str">
            <v>NA</v>
          </cell>
          <cell r="V275" t="str">
            <v>NA</v>
          </cell>
          <cell r="W275">
            <v>0.63</v>
          </cell>
          <cell r="X275">
            <v>0.44</v>
          </cell>
          <cell r="Y275">
            <v>0.3</v>
          </cell>
          <cell r="Z275">
            <v>0.38</v>
          </cell>
          <cell r="AA275">
            <v>0.5</v>
          </cell>
          <cell r="AB275">
            <v>0.63</v>
          </cell>
          <cell r="AC275">
            <v>0.79</v>
          </cell>
          <cell r="AD275">
            <v>0.68</v>
          </cell>
          <cell r="AE275">
            <v>0.8</v>
          </cell>
          <cell r="AF275">
            <v>0.75</v>
          </cell>
          <cell r="AG275">
            <v>0.79</v>
          </cell>
          <cell r="AH275">
            <v>0.71</v>
          </cell>
          <cell r="AI275">
            <v>0.68</v>
          </cell>
          <cell r="AJ275">
            <v>0.54921901402602924</v>
          </cell>
          <cell r="AK275">
            <v>0.44052279656347781</v>
          </cell>
          <cell r="AL275">
            <v>0.44148545192517968</v>
          </cell>
          <cell r="AM275">
            <v>0.396579345069977</v>
          </cell>
          <cell r="AN275">
            <v>0.36596161937662824</v>
          </cell>
        </row>
        <row r="276">
          <cell r="I276" t="str">
            <v>% of total revenue</v>
          </cell>
          <cell r="M276">
            <v>9.2594889092818114E-2</v>
          </cell>
          <cell r="N276">
            <v>0.15309555307800071</v>
          </cell>
          <cell r="O276">
            <v>0.20735835032076738</v>
          </cell>
          <cell r="P276">
            <v>0.18533400494480357</v>
          </cell>
          <cell r="Q276">
            <v>0.16776936790526459</v>
          </cell>
          <cell r="R276">
            <v>0.25568358590572521</v>
          </cell>
          <cell r="S276">
            <v>0.31614902660641131</v>
          </cell>
          <cell r="T276">
            <v>0.3058058312154886</v>
          </cell>
          <cell r="U276">
            <v>0.25844535939282703</v>
          </cell>
          <cell r="V276">
            <v>0.32005385465469205</v>
          </cell>
          <cell r="W276">
            <v>0.39831982749564193</v>
          </cell>
          <cell r="X276">
            <v>0.31376141818190778</v>
          </cell>
          <cell r="Y276">
            <v>0.24802081124014733</v>
          </cell>
          <cell r="Z276">
            <v>0.32729266357593734</v>
          </cell>
          <cell r="AA276">
            <v>0.43371746092573837</v>
          </cell>
          <cell r="AB276">
            <v>0.41144211476447751</v>
          </cell>
          <cell r="AC276">
            <v>0.36927141620208292</v>
          </cell>
          <cell r="AD276">
            <v>0.42035914255074341</v>
          </cell>
          <cell r="AE276">
            <v>0.53006866934795571</v>
          </cell>
          <cell r="AF276">
            <v>0.51263749186398211</v>
          </cell>
          <cell r="AG276">
            <v>0.48077398309692088</v>
          </cell>
          <cell r="AH276">
            <v>0.55580947406222447</v>
          </cell>
          <cell r="AI276">
            <v>0.65597286351083828</v>
          </cell>
          <cell r="AJ276">
            <v>0.60129879221457427</v>
          </cell>
          <cell r="AK276">
            <v>0.54540162849423623</v>
          </cell>
          <cell r="AL276">
            <v>0.60997564678133775</v>
          </cell>
          <cell r="AM276">
            <v>0.69811466240803244</v>
          </cell>
          <cell r="AN276">
            <v>0.65231597112665451</v>
          </cell>
        </row>
        <row r="278">
          <cell r="I278" t="str">
            <v>Gross Profit by Geography</v>
          </cell>
        </row>
        <row r="279">
          <cell r="I279" t="str">
            <v>US</v>
          </cell>
          <cell r="M279">
            <v>49.830999999999989</v>
          </cell>
          <cell r="N279">
            <v>58.703999999999979</v>
          </cell>
          <cell r="O279">
            <v>58.547000000000054</v>
          </cell>
          <cell r="P279">
            <v>51.316999999999979</v>
          </cell>
          <cell r="Q279">
            <v>55.939000000000021</v>
          </cell>
          <cell r="R279">
            <v>64.49299999999991</v>
          </cell>
          <cell r="S279">
            <v>70.135999999999996</v>
          </cell>
          <cell r="T279">
            <v>57.75200000000001</v>
          </cell>
          <cell r="U279">
            <v>76.90300000000002</v>
          </cell>
          <cell r="V279">
            <v>89.225000000000023</v>
          </cell>
          <cell r="W279">
            <v>92.378000000000043</v>
          </cell>
          <cell r="X279">
            <v>77.664999999999964</v>
          </cell>
          <cell r="Y279">
            <v>93.729999999999961</v>
          </cell>
          <cell r="Z279">
            <v>107.63799999999998</v>
          </cell>
          <cell r="AA279">
            <v>117.10599999999999</v>
          </cell>
          <cell r="AB279">
            <v>90.289000000000073</v>
          </cell>
          <cell r="AC279">
            <v>103.31599999999986</v>
          </cell>
          <cell r="AD279">
            <v>122.65500000000003</v>
          </cell>
          <cell r="AE279">
            <v>135.18799999999993</v>
          </cell>
          <cell r="AF279">
            <v>103.51300000000006</v>
          </cell>
          <cell r="AG279">
            <v>116.70800000000003</v>
          </cell>
          <cell r="AH279">
            <v>136.32700000000017</v>
          </cell>
          <cell r="AI279">
            <v>147.14800000000008</v>
          </cell>
          <cell r="AJ279">
            <v>110.2623025</v>
          </cell>
          <cell r="AK279">
            <v>123.55319798399999</v>
          </cell>
          <cell r="AL279">
            <v>145.49411885200001</v>
          </cell>
          <cell r="AM279">
            <v>160.45144845000002</v>
          </cell>
          <cell r="AN279">
            <v>114.657646</v>
          </cell>
        </row>
        <row r="280">
          <cell r="I280" t="str">
            <v>y/y Growth - %</v>
          </cell>
          <cell r="M280" t="str">
            <v>NA</v>
          </cell>
          <cell r="N280" t="str">
            <v>NA</v>
          </cell>
          <cell r="O280" t="str">
            <v>NA</v>
          </cell>
          <cell r="P280" t="str">
            <v>NA</v>
          </cell>
          <cell r="Q280">
            <v>0.12257430113784662</v>
          </cell>
          <cell r="R280">
            <v>9.8613382393021531E-2</v>
          </cell>
          <cell r="S280">
            <v>0.19794353254649999</v>
          </cell>
          <cell r="T280">
            <v>0.12539704191593493</v>
          </cell>
          <cell r="U280">
            <v>0.37476536942026129</v>
          </cell>
          <cell r="V280">
            <v>0.38348347882716172</v>
          </cell>
          <cell r="W280">
            <v>0.31712672521957419</v>
          </cell>
          <cell r="X280">
            <v>0.34480191162210749</v>
          </cell>
          <cell r="Y280">
            <v>0.21880810891642644</v>
          </cell>
          <cell r="Z280">
            <v>0.20636592883160487</v>
          </cell>
          <cell r="AA280">
            <v>0.26768278161466941</v>
          </cell>
          <cell r="AB280">
            <v>0.16254426060645222</v>
          </cell>
          <cell r="AC280">
            <v>0.10227248479675555</v>
          </cell>
          <cell r="AD280">
            <v>0.13951392630855319</v>
          </cell>
          <cell r="AE280">
            <v>0.15440711833723242</v>
          </cell>
          <cell r="AF280">
            <v>0.14646302428867286</v>
          </cell>
          <cell r="AG280">
            <v>0.12962174300205365</v>
          </cell>
          <cell r="AH280">
            <v>0.11146712323183028</v>
          </cell>
          <cell r="AI280">
            <v>8.8469390774330137E-2</v>
          </cell>
          <cell r="AJ280">
            <v>6.5202462492633284E-2</v>
          </cell>
          <cell r="AK280">
            <v>5.8652345888884794E-2</v>
          </cell>
          <cell r="AL280">
            <v>6.7243604363037557E-2</v>
          </cell>
          <cell r="AM280">
            <v>9.0408625669393672E-2</v>
          </cell>
          <cell r="AN280">
            <v>3.9862613063063934E-2</v>
          </cell>
        </row>
        <row r="281">
          <cell r="I281" t="str">
            <v>% of total gross profit</v>
          </cell>
          <cell r="M281">
            <v>0.68988384488654442</v>
          </cell>
          <cell r="N281">
            <v>0.55483724622887587</v>
          </cell>
          <cell r="O281">
            <v>0.47388443264506669</v>
          </cell>
          <cell r="P281">
            <v>0.51566064089552521</v>
          </cell>
          <cell r="Q281">
            <v>0.53870896291374171</v>
          </cell>
          <cell r="R281">
            <v>0.41637130147908508</v>
          </cell>
          <cell r="S281">
            <v>0.34731796212661431</v>
          </cell>
          <cell r="T281">
            <v>0.36060742294819925</v>
          </cell>
          <cell r="U281">
            <v>0.42463680888776012</v>
          </cell>
          <cell r="V281">
            <v>0.35166026209478773</v>
          </cell>
          <cell r="W281">
            <v>0.29226330209631818</v>
          </cell>
          <cell r="X281">
            <v>0.3787335722819592</v>
          </cell>
          <cell r="Y281">
            <v>0.44991119857917711</v>
          </cell>
          <cell r="Z281">
            <v>0.35263630347466551</v>
          </cell>
          <cell r="AA281">
            <v>0.26982576277747311</v>
          </cell>
          <cell r="AB281">
            <v>0.28828918001590115</v>
          </cell>
          <cell r="AC281">
            <v>0.32375687837651473</v>
          </cell>
          <cell r="AD281">
            <v>0.27547135910882536</v>
          </cell>
          <cell r="AE281">
            <v>0.20292770209010058</v>
          </cell>
          <cell r="AF281">
            <v>0.21636744820897438</v>
          </cell>
          <cell r="AG281">
            <v>0.23073577325783703</v>
          </cell>
          <cell r="AH281">
            <v>0.18195687021423437</v>
          </cell>
          <cell r="AI281">
            <v>0.13375291324439992</v>
          </cell>
          <cell r="AJ281">
            <v>0.15954353568556132</v>
          </cell>
          <cell r="AK281">
            <v>0.18412664970827949</v>
          </cell>
          <cell r="AL281">
            <v>0.14792375485012463</v>
          </cell>
          <cell r="AM281">
            <v>0.11194533766879758</v>
          </cell>
          <cell r="AN281">
            <v>0.128003552859771</v>
          </cell>
        </row>
        <row r="282">
          <cell r="I282" t="str">
            <v>International</v>
          </cell>
          <cell r="M282">
            <v>22.4</v>
          </cell>
          <cell r="N282">
            <v>47.1</v>
          </cell>
          <cell r="O282">
            <v>65</v>
          </cell>
          <cell r="P282">
            <v>48.2</v>
          </cell>
          <cell r="Q282">
            <v>47.9</v>
          </cell>
          <cell r="R282">
            <v>90.4</v>
          </cell>
          <cell r="S282">
            <v>131.80000000000001</v>
          </cell>
          <cell r="T282">
            <v>102.4</v>
          </cell>
          <cell r="U282">
            <v>104.2</v>
          </cell>
          <cell r="V282">
            <v>164.5</v>
          </cell>
          <cell r="W282">
            <v>223.7</v>
          </cell>
          <cell r="X282">
            <v>127.4</v>
          </cell>
          <cell r="Y282">
            <v>114.6</v>
          </cell>
          <cell r="Z282">
            <v>197.6</v>
          </cell>
          <cell r="AA282">
            <v>316.89999999999998</v>
          </cell>
          <cell r="AB282">
            <v>222.9</v>
          </cell>
          <cell r="AC282">
            <v>215.8</v>
          </cell>
          <cell r="AD282">
            <v>322.60000000000002</v>
          </cell>
          <cell r="AE282">
            <v>531</v>
          </cell>
          <cell r="AF282">
            <v>374.9</v>
          </cell>
          <cell r="AG282">
            <v>389.1</v>
          </cell>
          <cell r="AH282">
            <v>612.9</v>
          </cell>
          <cell r="AI282">
            <v>953</v>
          </cell>
          <cell r="AJ282">
            <v>580.84876023407435</v>
          </cell>
          <cell r="AK282">
            <v>547.46969946050967</v>
          </cell>
          <cell r="AL282">
            <v>838.08096007574693</v>
          </cell>
          <cell r="AM282">
            <v>1272.8503021303861</v>
          </cell>
          <cell r="AN282">
            <v>781.08035062895635</v>
          </cell>
        </row>
        <row r="283">
          <cell r="I283" t="str">
            <v>y/y Growth - %</v>
          </cell>
          <cell r="M283" t="str">
            <v>NA</v>
          </cell>
          <cell r="N283" t="str">
            <v>NA</v>
          </cell>
          <cell r="O283" t="str">
            <v>NA</v>
          </cell>
          <cell r="P283" t="str">
            <v>NA</v>
          </cell>
          <cell r="Q283">
            <v>1.1383928571428572</v>
          </cell>
          <cell r="R283">
            <v>0.91932059447983017</v>
          </cell>
          <cell r="S283">
            <v>1.0276923076923077</v>
          </cell>
          <cell r="T283">
            <v>1.1244813278008299</v>
          </cell>
          <cell r="U283">
            <v>1.1753653444676408</v>
          </cell>
          <cell r="V283">
            <v>0.81969026548672552</v>
          </cell>
          <cell r="W283">
            <v>0.69726858877086473</v>
          </cell>
          <cell r="X283">
            <v>0.244140625</v>
          </cell>
          <cell r="Y283">
            <v>9.9808061420345373E-2</v>
          </cell>
          <cell r="Z283">
            <v>0.20121580547112461</v>
          </cell>
          <cell r="AA283">
            <v>0.41662941439427792</v>
          </cell>
          <cell r="AB283">
            <v>0.74960753532182101</v>
          </cell>
          <cell r="AC283">
            <v>0.88307155322862152</v>
          </cell>
          <cell r="AD283">
            <v>0.63259109311740902</v>
          </cell>
          <cell r="AE283">
            <v>0.67560744714420973</v>
          </cell>
          <cell r="AF283">
            <v>0.68192014356213537</v>
          </cell>
          <cell r="AG283">
            <v>0.80305838739573687</v>
          </cell>
          <cell r="AH283">
            <v>0.89987600743955332</v>
          </cell>
          <cell r="AI283">
            <v>0.79472693032015074</v>
          </cell>
          <cell r="AJ283">
            <v>0.5493431854736579</v>
          </cell>
          <cell r="AK283">
            <v>0.40701541881395431</v>
          </cell>
          <cell r="AL283">
            <v>0.36740244750488982</v>
          </cell>
          <cell r="AM283">
            <v>0.33562466120712076</v>
          </cell>
          <cell r="AN283">
            <v>0.34472242019452937</v>
          </cell>
        </row>
        <row r="284">
          <cell r="I284" t="str">
            <v>(+/-) FX y/y Growth - %</v>
          </cell>
          <cell r="Q284" t="str">
            <v>NA</v>
          </cell>
          <cell r="R284" t="str">
            <v>NA</v>
          </cell>
          <cell r="S284" t="str">
            <v>NA</v>
          </cell>
          <cell r="T284" t="str">
            <v>NA</v>
          </cell>
          <cell r="U284" t="str">
            <v>NA</v>
          </cell>
          <cell r="V284" t="str">
            <v>NA</v>
          </cell>
          <cell r="W284">
            <v>-6.7268588770864723E-2</v>
          </cell>
          <cell r="X284">
            <v>0.195859375</v>
          </cell>
          <cell r="Y284">
            <v>0.20019193857965462</v>
          </cell>
          <cell r="Z284">
            <v>0.1787841945288754</v>
          </cell>
          <cell r="AA284">
            <v>8.3370585605722081E-2</v>
          </cell>
          <cell r="AB284">
            <v>-0.119607535321821</v>
          </cell>
          <cell r="AC284">
            <v>-9.3071553228621484E-2</v>
          </cell>
          <cell r="AD284">
            <v>4.7408906882591029E-2</v>
          </cell>
          <cell r="AE284">
            <v>0.12439255285579032</v>
          </cell>
          <cell r="AF284">
            <v>6.8079856437864628E-2</v>
          </cell>
          <cell r="AG284">
            <v>-1.3058387395736837E-2</v>
          </cell>
          <cell r="AH284">
            <v>-0.18987600743955335</v>
          </cell>
          <cell r="AI284">
            <v>-0.11472693032015069</v>
          </cell>
          <cell r="AJ284">
            <v>-1.2417144762863358E-4</v>
          </cell>
          <cell r="AK284">
            <v>3.3507377749523511E-2</v>
          </cell>
          <cell r="AL284">
            <v>7.4083004420289852E-2</v>
          </cell>
          <cell r="AM284">
            <v>6.0954683862856254E-2</v>
          </cell>
          <cell r="AN284">
            <v>2.1239199182098902E-2</v>
          </cell>
        </row>
        <row r="285">
          <cell r="I285" t="str">
            <v>y/y Growth - % (excl F/X)</v>
          </cell>
          <cell r="Q285" t="str">
            <v>NA</v>
          </cell>
          <cell r="R285" t="str">
            <v>NA</v>
          </cell>
          <cell r="S285" t="str">
            <v>NA</v>
          </cell>
          <cell r="T285" t="str">
            <v>NA</v>
          </cell>
          <cell r="U285" t="str">
            <v>NA</v>
          </cell>
          <cell r="V285" t="str">
            <v>NA</v>
          </cell>
          <cell r="W285">
            <v>0.63</v>
          </cell>
          <cell r="X285">
            <v>0.44</v>
          </cell>
          <cell r="Y285">
            <v>0.3</v>
          </cell>
          <cell r="Z285">
            <v>0.38</v>
          </cell>
          <cell r="AA285">
            <v>0.5</v>
          </cell>
          <cell r="AB285">
            <v>0.63</v>
          </cell>
          <cell r="AC285">
            <v>0.79</v>
          </cell>
          <cell r="AD285">
            <v>0.68</v>
          </cell>
          <cell r="AE285">
            <v>0.8</v>
          </cell>
          <cell r="AF285">
            <v>0.75</v>
          </cell>
          <cell r="AG285">
            <v>0.79</v>
          </cell>
          <cell r="AH285">
            <v>0.71</v>
          </cell>
          <cell r="AI285">
            <v>0.68</v>
          </cell>
          <cell r="AJ285">
            <v>0.54921901402602924</v>
          </cell>
          <cell r="AK285">
            <v>0.44052279656347781</v>
          </cell>
          <cell r="AL285">
            <v>0.44148545192517968</v>
          </cell>
          <cell r="AM285">
            <v>0.396579345069977</v>
          </cell>
          <cell r="AN285">
            <v>0.36596161937662824</v>
          </cell>
        </row>
        <row r="286">
          <cell r="I286" t="str">
            <v>% of total gross profit</v>
          </cell>
          <cell r="M286">
            <v>0.31011615511345547</v>
          </cell>
          <cell r="N286">
            <v>0.44516275377112402</v>
          </cell>
          <cell r="O286">
            <v>0.52611556735493381</v>
          </cell>
          <cell r="P286">
            <v>0.48433935910447468</v>
          </cell>
          <cell r="Q286">
            <v>0.46129103708625857</v>
          </cell>
          <cell r="R286">
            <v>0.58362869852091459</v>
          </cell>
          <cell r="S286">
            <v>0.65268203787338552</v>
          </cell>
          <cell r="T286">
            <v>0.63939257705180075</v>
          </cell>
          <cell r="U286">
            <v>0.57536319111223999</v>
          </cell>
          <cell r="V286">
            <v>0.64833973790521227</v>
          </cell>
          <cell r="W286">
            <v>0.70773669790368199</v>
          </cell>
          <cell r="X286">
            <v>0.62126642771804064</v>
          </cell>
          <cell r="Y286">
            <v>0.55008880142082273</v>
          </cell>
          <cell r="Z286">
            <v>0.64736369652533421</v>
          </cell>
          <cell r="AA286">
            <v>0.73017423722252672</v>
          </cell>
          <cell r="AB286">
            <v>0.71171081998409902</v>
          </cell>
          <cell r="AC286">
            <v>0.6762431216234851</v>
          </cell>
          <cell r="AD286">
            <v>0.72452864089117486</v>
          </cell>
          <cell r="AE286">
            <v>0.79707229790989931</v>
          </cell>
          <cell r="AF286">
            <v>0.78363255179102564</v>
          </cell>
          <cell r="AG286">
            <v>0.7692642267421631</v>
          </cell>
          <cell r="AH286">
            <v>0.81804312978576588</v>
          </cell>
          <cell r="AI286">
            <v>0.86624708675560025</v>
          </cell>
          <cell r="AJ286">
            <v>0.84045646431443866</v>
          </cell>
          <cell r="AK286">
            <v>0.81587335029172048</v>
          </cell>
          <cell r="AL286">
            <v>0.85207624514987546</v>
          </cell>
          <cell r="AM286">
            <v>0.88805466233120245</v>
          </cell>
          <cell r="AN286">
            <v>0.87199644714022895</v>
          </cell>
        </row>
        <row r="288">
          <cell r="I288" t="str">
            <v>Market Share Forecast - Gross Bookings</v>
          </cell>
        </row>
        <row r="289">
          <cell r="I289" t="str">
            <v>Booking.com Europe</v>
          </cell>
          <cell r="M289">
            <v>267.26400000000007</v>
          </cell>
          <cell r="N289">
            <v>350.74300000000011</v>
          </cell>
          <cell r="O289">
            <v>392.76600000000008</v>
          </cell>
          <cell r="P289">
            <v>313.15600000000006</v>
          </cell>
          <cell r="Q289">
            <v>504.00400000000002</v>
          </cell>
          <cell r="R289">
            <v>670.29899999999998</v>
          </cell>
          <cell r="S289">
            <v>772.15299999999979</v>
          </cell>
          <cell r="T289">
            <v>649.81000000000006</v>
          </cell>
          <cell r="U289">
            <v>972.23150000000021</v>
          </cell>
          <cell r="V289">
            <v>1168.3035</v>
          </cell>
          <cell r="W289">
            <v>1173.1324999999999</v>
          </cell>
          <cell r="X289">
            <v>711.15499999999997</v>
          </cell>
          <cell r="Y289">
            <v>962.86</v>
          </cell>
          <cell r="Z289">
            <v>1262.009125</v>
          </cell>
          <cell r="AA289">
            <v>1538.44625</v>
          </cell>
          <cell r="AB289">
            <v>1228.8415</v>
          </cell>
          <cell r="AC289">
            <v>1656.6200000000001</v>
          </cell>
          <cell r="AD289">
            <v>1843.9102500000001</v>
          </cell>
          <cell r="AE289">
            <v>2305.939625</v>
          </cell>
          <cell r="AF289">
            <v>1857.9887500000002</v>
          </cell>
          <cell r="AG289">
            <v>2708.0260000000003</v>
          </cell>
          <cell r="AH289">
            <v>3431.0739750000002</v>
          </cell>
          <cell r="AI289">
            <v>3748.7228999999998</v>
          </cell>
          <cell r="AJ289">
            <v>2679.5012112589302</v>
          </cell>
          <cell r="AK289">
            <v>3449.3490420691924</v>
          </cell>
          <cell r="AL289">
            <v>4320.3888031699053</v>
          </cell>
          <cell r="AM289">
            <v>4811.7956430876802</v>
          </cell>
          <cell r="AN289">
            <v>3367.4356604679911</v>
          </cell>
        </row>
        <row r="290">
          <cell r="I290" t="str">
            <v>Europe Hotel Market</v>
          </cell>
          <cell r="M290">
            <v>24252.939077679963</v>
          </cell>
          <cell r="N290">
            <v>29764.970686243592</v>
          </cell>
          <cell r="O290">
            <v>30867.377007956322</v>
          </cell>
          <cell r="P290">
            <v>25355.345399392689</v>
          </cell>
          <cell r="Q290">
            <v>24854.436153598326</v>
          </cell>
          <cell r="R290">
            <v>30503.17164305249</v>
          </cell>
          <cell r="S290">
            <v>31632.918740943325</v>
          </cell>
          <cell r="T290">
            <v>25984.183251489158</v>
          </cell>
          <cell r="U290">
            <v>25002.336453129821</v>
          </cell>
          <cell r="V290">
            <v>30684.685647022961</v>
          </cell>
          <cell r="W290">
            <v>31821.155485801592</v>
          </cell>
          <cell r="X290">
            <v>26138.806291908448</v>
          </cell>
          <cell r="Y290">
            <v>22304.692703686338</v>
          </cell>
          <cell r="Z290">
            <v>27373.941045433232</v>
          </cell>
          <cell r="AA290">
            <v>28387.790713782611</v>
          </cell>
          <cell r="AB290">
            <v>23318.542372035718</v>
          </cell>
          <cell r="AC290">
            <v>22740.693818227413</v>
          </cell>
          <cell r="AD290">
            <v>27909.033322370007</v>
          </cell>
          <cell r="AE290">
            <v>28942.701223198528</v>
          </cell>
          <cell r="AF290">
            <v>23774.361719055931</v>
          </cell>
          <cell r="AG290">
            <v>23650.321570956512</v>
          </cell>
          <cell r="AH290">
            <v>29025.394655264812</v>
          </cell>
          <cell r="AI290">
            <v>30100.409272126471</v>
          </cell>
          <cell r="AJ290">
            <v>24725.336187818171</v>
          </cell>
          <cell r="AK290">
            <v>24832.837649504334</v>
          </cell>
          <cell r="AL290">
            <v>30476.66438802805</v>
          </cell>
          <cell r="AM290">
            <v>31605.429735732792</v>
          </cell>
          <cell r="AN290">
            <v>25961.602997209076</v>
          </cell>
        </row>
        <row r="291">
          <cell r="I291" t="str">
            <v>y/y Growth - %</v>
          </cell>
          <cell r="M291" t="str">
            <v>NA</v>
          </cell>
          <cell r="N291" t="str">
            <v>NA</v>
          </cell>
          <cell r="O291" t="str">
            <v>NA</v>
          </cell>
          <cell r="P291" t="str">
            <v>NA</v>
          </cell>
          <cell r="Q291">
            <v>2.480099727261198E-2</v>
          </cell>
          <cell r="R291">
            <v>2.4800997272611758E-2</v>
          </cell>
          <cell r="S291">
            <v>2.4800997272611758E-2</v>
          </cell>
          <cell r="T291">
            <v>2.4800997272611758E-2</v>
          </cell>
          <cell r="U291">
            <v>5.9506600197036796E-3</v>
          </cell>
          <cell r="V291">
            <v>5.9506600197036796E-3</v>
          </cell>
          <cell r="W291">
            <v>5.9506600197036796E-3</v>
          </cell>
          <cell r="X291">
            <v>5.9506600197036796E-3</v>
          </cell>
          <cell r="Y291">
            <v>-0.10789566625105507</v>
          </cell>
          <cell r="Z291">
            <v>-0.10789566625105507</v>
          </cell>
          <cell r="AA291">
            <v>-0.10789566625105507</v>
          </cell>
          <cell r="AB291">
            <v>-0.10789566625105496</v>
          </cell>
          <cell r="AC291">
            <v>1.954750600392785E-2</v>
          </cell>
          <cell r="AD291">
            <v>1.954750600392785E-2</v>
          </cell>
          <cell r="AE291">
            <v>1.9547506003928072E-2</v>
          </cell>
          <cell r="AF291">
            <v>1.954750600392785E-2</v>
          </cell>
          <cell r="AG291">
            <v>4.0000000000000036E-2</v>
          </cell>
          <cell r="AH291">
            <v>4.0000000000000258E-2</v>
          </cell>
          <cell r="AI291">
            <v>4.0000000000000036E-2</v>
          </cell>
          <cell r="AJ291">
            <v>4.0000000000000036E-2</v>
          </cell>
          <cell r="AK291">
            <v>4.9999999999999822E-2</v>
          </cell>
          <cell r="AL291">
            <v>4.9999999999999822E-2</v>
          </cell>
          <cell r="AM291">
            <v>4.9999999999999822E-2</v>
          </cell>
          <cell r="AN291">
            <v>4.9999999999999822E-2</v>
          </cell>
        </row>
        <row r="292">
          <cell r="I292" t="str">
            <v>Europe Online Hotel Market</v>
          </cell>
          <cell r="M292">
            <v>2606.473565875659</v>
          </cell>
          <cell r="N292">
            <v>3198.8539217564908</v>
          </cell>
          <cell r="O292">
            <v>3317.3299929326572</v>
          </cell>
          <cell r="P292">
            <v>2724.9496370518254</v>
          </cell>
          <cell r="Q292">
            <v>3262.2839713351136</v>
          </cell>
          <cell r="R292">
            <v>4003.7121466385488</v>
          </cell>
          <cell r="S292">
            <v>4151.9977816992359</v>
          </cell>
          <cell r="T292">
            <v>3410.5696063958007</v>
          </cell>
          <cell r="U292">
            <v>4015.1391185635116</v>
          </cell>
          <cell r="V292">
            <v>4927.670736418856</v>
          </cell>
          <cell r="W292">
            <v>5110.1770599899246</v>
          </cell>
          <cell r="X292">
            <v>4197.6454421345807</v>
          </cell>
          <cell r="Y292">
            <v>4243.6591451970762</v>
          </cell>
          <cell r="Z292">
            <v>5208.1271327418663</v>
          </cell>
          <cell r="AA292">
            <v>5401.0207302508252</v>
          </cell>
          <cell r="AB292">
            <v>4436.5527427060342</v>
          </cell>
          <cell r="AC292">
            <v>4934.6412165259526</v>
          </cell>
          <cell r="AD292">
            <v>6056.1505839182155</v>
          </cell>
          <cell r="AE292">
            <v>6280.4524573966673</v>
          </cell>
          <cell r="AF292">
            <v>5158.9430900044053</v>
          </cell>
          <cell r="AG292">
            <v>5724.1838111701045</v>
          </cell>
          <cell r="AH292">
            <v>7025.1346773451296</v>
          </cell>
          <cell r="AI292">
            <v>7285.3248505801339</v>
          </cell>
          <cell r="AJ292">
            <v>5984.3739844051097</v>
          </cell>
          <cell r="AK292">
            <v>6525.5695447339203</v>
          </cell>
          <cell r="AL292">
            <v>8008.6535321734482</v>
          </cell>
          <cell r="AM292">
            <v>8305.2703296613545</v>
          </cell>
          <cell r="AN292">
            <v>6822.1863422218257</v>
          </cell>
        </row>
        <row r="293">
          <cell r="I293" t="str">
            <v>y/y Growth - %</v>
          </cell>
          <cell r="M293" t="str">
            <v>NA</v>
          </cell>
          <cell r="N293" t="str">
            <v>NA</v>
          </cell>
          <cell r="O293" t="str">
            <v>NA</v>
          </cell>
          <cell r="P293" t="str">
            <v>NA</v>
          </cell>
          <cell r="Q293">
            <v>0.25160830865327855</v>
          </cell>
          <cell r="R293">
            <v>0.25160830865327877</v>
          </cell>
          <cell r="S293">
            <v>0.25160830865327877</v>
          </cell>
          <cell r="T293">
            <v>0.25160830865327855</v>
          </cell>
          <cell r="U293">
            <v>0.23077547934010378</v>
          </cell>
          <cell r="V293">
            <v>0.23077547934010378</v>
          </cell>
          <cell r="W293">
            <v>0.23077547934010378</v>
          </cell>
          <cell r="X293">
            <v>0.23077547934010378</v>
          </cell>
          <cell r="Y293">
            <v>5.6914597448698645E-2</v>
          </cell>
          <cell r="Z293">
            <v>5.6914597448698423E-2</v>
          </cell>
          <cell r="AA293">
            <v>5.6914597448698645E-2</v>
          </cell>
          <cell r="AB293">
            <v>5.6914597448698423E-2</v>
          </cell>
          <cell r="AC293">
            <v>0.16282694902839268</v>
          </cell>
          <cell r="AD293">
            <v>0.16282694902839268</v>
          </cell>
          <cell r="AE293">
            <v>0.16282694902839245</v>
          </cell>
          <cell r="AF293">
            <v>0.16282694902839268</v>
          </cell>
          <cell r="AG293">
            <v>0.15999999999999992</v>
          </cell>
          <cell r="AH293">
            <v>0.15999999999999992</v>
          </cell>
          <cell r="AI293">
            <v>0.15999999999999992</v>
          </cell>
          <cell r="AJ293">
            <v>0.15999999999999992</v>
          </cell>
          <cell r="AK293">
            <v>0.14000000000000012</v>
          </cell>
          <cell r="AL293">
            <v>0.14000000000000012</v>
          </cell>
          <cell r="AM293">
            <v>0.14000000000000035</v>
          </cell>
          <cell r="AN293">
            <v>0.14000000000000012</v>
          </cell>
        </row>
        <row r="294">
          <cell r="I294" t="str">
            <v>Seasonality</v>
          </cell>
          <cell r="M294">
            <v>0.22</v>
          </cell>
          <cell r="N294">
            <v>0.27</v>
          </cell>
          <cell r="O294">
            <v>0.28000000000000003</v>
          </cell>
          <cell r="P294">
            <v>0.23</v>
          </cell>
          <cell r="Q294">
            <v>0.22</v>
          </cell>
          <cell r="R294">
            <v>0.27</v>
          </cell>
          <cell r="S294">
            <v>0.28000000000000003</v>
          </cell>
          <cell r="T294">
            <v>0.23</v>
          </cell>
          <cell r="U294">
            <v>0.22</v>
          </cell>
          <cell r="V294">
            <v>0.27</v>
          </cell>
          <cell r="W294">
            <v>0.28000000000000003</v>
          </cell>
          <cell r="X294">
            <v>0.23</v>
          </cell>
          <cell r="Y294">
            <v>0.22</v>
          </cell>
          <cell r="Z294">
            <v>0.27</v>
          </cell>
          <cell r="AA294">
            <v>0.28000000000000003</v>
          </cell>
          <cell r="AB294">
            <v>0.23</v>
          </cell>
          <cell r="AC294">
            <v>0.22</v>
          </cell>
          <cell r="AD294">
            <v>0.27</v>
          </cell>
          <cell r="AE294">
            <v>0.28000000000000003</v>
          </cell>
          <cell r="AF294">
            <v>0.23</v>
          </cell>
          <cell r="AG294">
            <v>0.22</v>
          </cell>
          <cell r="AH294">
            <v>0.27</v>
          </cell>
          <cell r="AI294">
            <v>0.28000000000000003</v>
          </cell>
          <cell r="AJ294">
            <v>0.23</v>
          </cell>
          <cell r="AK294">
            <v>0.22</v>
          </cell>
          <cell r="AL294">
            <v>0.27</v>
          </cell>
          <cell r="AM294">
            <v>0.28000000000000003</v>
          </cell>
          <cell r="AN294">
            <v>0.23</v>
          </cell>
        </row>
        <row r="295">
          <cell r="I295" t="str">
            <v>Booking.com Europe Hotel Market Share</v>
          </cell>
          <cell r="M295">
            <v>1.1019860279365636E-2</v>
          </cell>
          <cell r="N295">
            <v>1.1783750896220508E-2</v>
          </cell>
          <cell r="O295">
            <v>1.2724307604716831E-2</v>
          </cell>
          <cell r="P295">
            <v>1.2350689571261009E-2</v>
          </cell>
          <cell r="Q295">
            <v>2.0278231092642686E-2</v>
          </cell>
          <cell r="R295">
            <v>2.1974731278564263E-2</v>
          </cell>
          <cell r="S295">
            <v>2.4409793048928541E-2</v>
          </cell>
          <cell r="T295">
            <v>2.5007905528943625E-2</v>
          </cell>
          <cell r="U295">
            <v>3.8885625822313703E-2</v>
          </cell>
          <cell r="V295">
            <v>3.8074481630329143E-2</v>
          </cell>
          <cell r="W295">
            <v>3.686643310370815E-2</v>
          </cell>
          <cell r="X295">
            <v>2.72068659929641E-2</v>
          </cell>
          <cell r="Y295">
            <v>4.3168494307068678E-2</v>
          </cell>
          <cell r="Z295">
            <v>4.6102573352715677E-2</v>
          </cell>
          <cell r="AA295">
            <v>5.4193940821645761E-2</v>
          </cell>
          <cell r="AB295">
            <v>5.2698040915012893E-2</v>
          </cell>
          <cell r="AC295">
            <v>7.2848261061945474E-2</v>
          </cell>
          <cell r="AD295">
            <v>6.6068581763526923E-2</v>
          </cell>
          <cell r="AE295">
            <v>7.9672578147326256E-2</v>
          </cell>
          <cell r="AF295">
            <v>7.8150941419838887E-2</v>
          </cell>
          <cell r="AG295">
            <v>0.11450271371047904</v>
          </cell>
          <cell r="AH295">
            <v>0.11820938236158143</v>
          </cell>
          <cell r="AI295">
            <v>0.12454059564802614</v>
          </cell>
          <cell r="AJ295">
            <v>0.10837066848777907</v>
          </cell>
          <cell r="AK295">
            <v>0.1389027339828818</v>
          </cell>
          <cell r="AL295">
            <v>0.14176055319449773</v>
          </cell>
          <cell r="AM295">
            <v>0.15224585406119351</v>
          </cell>
          <cell r="AN295">
            <v>0.12970831041634823</v>
          </cell>
        </row>
        <row r="296">
          <cell r="I296" t="str">
            <v>Booking.com Europe Online Hotel Market Share</v>
          </cell>
          <cell r="M296">
            <v>0.1025385423044608</v>
          </cell>
          <cell r="N296">
            <v>0.10964645731850335</v>
          </cell>
          <cell r="O296">
            <v>0.11839823015399763</v>
          </cell>
          <cell r="P296">
            <v>0.1149217569902721</v>
          </cell>
          <cell r="Q296">
            <v>0.15449421461422708</v>
          </cell>
          <cell r="R296">
            <v>0.16741937867905216</v>
          </cell>
          <cell r="S296">
            <v>0.18597143847316566</v>
          </cell>
          <cell r="T296">
            <v>0.19052829145648253</v>
          </cell>
          <cell r="U296">
            <v>0.24214142307174491</v>
          </cell>
          <cell r="V296">
            <v>0.23709041502416919</v>
          </cell>
          <cell r="W296">
            <v>0.229567877243438</v>
          </cell>
          <cell r="X296">
            <v>0.16941759607937837</v>
          </cell>
          <cell r="Y296">
            <v>0.22689381193344751</v>
          </cell>
          <cell r="Z296">
            <v>0.24231534538896785</v>
          </cell>
          <cell r="AA296">
            <v>0.28484361139057396</v>
          </cell>
          <cell r="AB296">
            <v>0.27698115434788667</v>
          </cell>
          <cell r="AC296">
            <v>0.33571235016074397</v>
          </cell>
          <cell r="AD296">
            <v>0.30446902276446119</v>
          </cell>
          <cell r="AE296">
            <v>0.36716138536869736</v>
          </cell>
          <cell r="AF296">
            <v>0.360149107595295</v>
          </cell>
          <cell r="AG296">
            <v>0.47308508764438878</v>
          </cell>
          <cell r="AH296">
            <v>0.48839974357568305</v>
          </cell>
          <cell r="AI296">
            <v>0.51455809821596177</v>
          </cell>
          <cell r="AJ296">
            <v>0.44774962564865373</v>
          </cell>
          <cell r="AK296">
            <v>0.52858972974286789</v>
          </cell>
          <cell r="AL296">
            <v>0.53946506560852636</v>
          </cell>
          <cell r="AM296">
            <v>0.57936652897412433</v>
          </cell>
          <cell r="AN296">
            <v>0.49360065696641414</v>
          </cell>
        </row>
        <row r="298">
          <cell r="I298" t="str">
            <v>Priceline Asia Pacific</v>
          </cell>
          <cell r="M298">
            <v>3.55</v>
          </cell>
          <cell r="N298">
            <v>3.85</v>
          </cell>
          <cell r="O298">
            <v>3.65</v>
          </cell>
          <cell r="P298">
            <v>3.98</v>
          </cell>
          <cell r="Q298">
            <v>8.875</v>
          </cell>
          <cell r="R298">
            <v>9.625</v>
          </cell>
          <cell r="S298">
            <v>9.125</v>
          </cell>
          <cell r="T298">
            <v>23.35</v>
          </cell>
          <cell r="U298">
            <v>45.012500000000003</v>
          </cell>
          <cell r="V298">
            <v>46.337499999999999</v>
          </cell>
          <cell r="W298">
            <v>53.387499999999996</v>
          </cell>
          <cell r="X298">
            <v>60.384999999999998</v>
          </cell>
          <cell r="Y298">
            <v>72.02000000000001</v>
          </cell>
          <cell r="Z298">
            <v>83.870874999999998</v>
          </cell>
          <cell r="AA298">
            <v>112.11375000000001</v>
          </cell>
          <cell r="AB298">
            <v>150.96249999999998</v>
          </cell>
          <cell r="AC298">
            <v>158.44400000000002</v>
          </cell>
          <cell r="AD298">
            <v>167.74175</v>
          </cell>
          <cell r="AE298">
            <v>280.28437500000001</v>
          </cell>
          <cell r="AF298">
            <v>317.02125000000001</v>
          </cell>
          <cell r="AG298">
            <v>364.42120000000006</v>
          </cell>
          <cell r="AH298">
            <v>385.80602499999998</v>
          </cell>
          <cell r="AI298">
            <v>647.16750000000002</v>
          </cell>
          <cell r="AJ298">
            <v>609.07775106993529</v>
          </cell>
          <cell r="AK298">
            <v>616.07046238478688</v>
          </cell>
          <cell r="AL298">
            <v>662.5963308953344</v>
          </cell>
          <cell r="AM298">
            <v>1095.5112566161622</v>
          </cell>
          <cell r="AN298">
            <v>1006.7599503493011</v>
          </cell>
        </row>
        <row r="299">
          <cell r="I299" t="str">
            <v>Asia Hotel Market</v>
          </cell>
          <cell r="M299" t="str">
            <v>NA</v>
          </cell>
          <cell r="N299" t="str">
            <v>NA</v>
          </cell>
          <cell r="O299" t="str">
            <v>NA</v>
          </cell>
          <cell r="P299" t="str">
            <v>NA</v>
          </cell>
          <cell r="Q299" t="str">
            <v>NA</v>
          </cell>
          <cell r="R299" t="str">
            <v>NA</v>
          </cell>
          <cell r="S299" t="str">
            <v>NA</v>
          </cell>
          <cell r="T299" t="str">
            <v>NA</v>
          </cell>
          <cell r="U299">
            <v>16785.000496344401</v>
          </cell>
          <cell r="V299">
            <v>20599.773336422673</v>
          </cell>
          <cell r="W299">
            <v>21362.727904438329</v>
          </cell>
          <cell r="X299">
            <v>17547.955064360056</v>
          </cell>
          <cell r="Y299">
            <v>15879.845068389021</v>
          </cell>
          <cell r="Z299">
            <v>19488.900765750164</v>
          </cell>
          <cell r="AA299">
            <v>20210.711905222393</v>
          </cell>
          <cell r="AB299">
            <v>16601.656207861251</v>
          </cell>
          <cell r="AC299">
            <v>18509.007643891378</v>
          </cell>
          <cell r="AD299">
            <v>22715.60029023033</v>
          </cell>
          <cell r="AE299">
            <v>23556.918819498122</v>
          </cell>
          <cell r="AF299">
            <v>19350.32617315917</v>
          </cell>
          <cell r="AG299">
            <v>20730.088561158347</v>
          </cell>
          <cell r="AH299">
            <v>25441.472325057974</v>
          </cell>
          <cell r="AI299">
            <v>26383.7490778379</v>
          </cell>
          <cell r="AJ299">
            <v>21672.365313938273</v>
          </cell>
          <cell r="AK299">
            <v>23010.398302885766</v>
          </cell>
          <cell r="AL299">
            <v>28240.034280814354</v>
          </cell>
          <cell r="AM299">
            <v>29285.961476400069</v>
          </cell>
          <cell r="AN299">
            <v>24056.325498471484</v>
          </cell>
        </row>
        <row r="300">
          <cell r="I300" t="str">
            <v>y/y Growth - %</v>
          </cell>
          <cell r="M300" t="str">
            <v>NA</v>
          </cell>
          <cell r="N300" t="str">
            <v>NA</v>
          </cell>
          <cell r="O300" t="str">
            <v>NA</v>
          </cell>
          <cell r="P300" t="str">
            <v>NA</v>
          </cell>
          <cell r="Q300" t="str">
            <v>NA</v>
          </cell>
          <cell r="R300" t="str">
            <v>NA</v>
          </cell>
          <cell r="S300" t="str">
            <v>NA</v>
          </cell>
          <cell r="T300" t="str">
            <v>NA</v>
          </cell>
          <cell r="U300" t="str">
            <v>NA</v>
          </cell>
          <cell r="V300" t="str">
            <v>NA</v>
          </cell>
          <cell r="W300" t="str">
            <v>NA</v>
          </cell>
          <cell r="X300" t="str">
            <v>NA</v>
          </cell>
          <cell r="Y300">
            <v>-5.3926446302608899E-2</v>
          </cell>
          <cell r="Z300">
            <v>-5.3926446302608788E-2</v>
          </cell>
          <cell r="AA300">
            <v>-5.3926446302608788E-2</v>
          </cell>
          <cell r="AB300">
            <v>-5.3926446302608788E-2</v>
          </cell>
          <cell r="AC300">
            <v>0.16556600925131582</v>
          </cell>
          <cell r="AD300">
            <v>0.16556600925131582</v>
          </cell>
          <cell r="AE300">
            <v>0.16556600925131582</v>
          </cell>
          <cell r="AF300">
            <v>0.16556600925131559</v>
          </cell>
          <cell r="AG300">
            <v>0.12000000000000011</v>
          </cell>
          <cell r="AH300">
            <v>0.12000000000000011</v>
          </cell>
          <cell r="AI300">
            <v>0.12000000000000011</v>
          </cell>
          <cell r="AJ300">
            <v>0.12000000000000011</v>
          </cell>
          <cell r="AK300">
            <v>0.1100000000000001</v>
          </cell>
          <cell r="AL300">
            <v>0.1100000000000001</v>
          </cell>
          <cell r="AM300">
            <v>0.1100000000000001</v>
          </cell>
          <cell r="AN300">
            <v>0.1100000000000001</v>
          </cell>
        </row>
        <row r="301">
          <cell r="I301" t="str">
            <v>Asia Online Hotel Market</v>
          </cell>
          <cell r="M301" t="str">
            <v>NA</v>
          </cell>
          <cell r="N301" t="str">
            <v>NA</v>
          </cell>
          <cell r="O301" t="str">
            <v>NA</v>
          </cell>
          <cell r="P301" t="str">
            <v>NA</v>
          </cell>
          <cell r="Q301" t="str">
            <v>NA</v>
          </cell>
          <cell r="R301" t="str">
            <v>NA</v>
          </cell>
          <cell r="S301" t="str">
            <v>NA</v>
          </cell>
          <cell r="T301" t="str">
            <v>NA</v>
          </cell>
          <cell r="U301">
            <v>2049.6031960961727</v>
          </cell>
          <cell r="V301">
            <v>2515.4221042998483</v>
          </cell>
          <cell r="W301">
            <v>2608.5858859405839</v>
          </cell>
          <cell r="X301">
            <v>2142.7669777369078</v>
          </cell>
          <cell r="Y301">
            <v>2431.7848389763217</v>
          </cell>
          <cell r="Z301">
            <v>2984.4632114709402</v>
          </cell>
          <cell r="AA301">
            <v>3094.9988859698642</v>
          </cell>
          <cell r="AB301">
            <v>2542.3205134752452</v>
          </cell>
          <cell r="AC301">
            <v>3236.7655171355882</v>
          </cell>
          <cell r="AD301">
            <v>3972.3940437573133</v>
          </cell>
          <cell r="AE301">
            <v>4119.5197490816581</v>
          </cell>
          <cell r="AF301">
            <v>3383.8912224599335</v>
          </cell>
          <cell r="AG301">
            <v>4143.0598619335542</v>
          </cell>
          <cell r="AH301">
            <v>5084.6643760093621</v>
          </cell>
          <cell r="AI301">
            <v>5272.9852788245234</v>
          </cell>
          <cell r="AJ301">
            <v>4331.3807647487156</v>
          </cell>
          <cell r="AK301">
            <v>5054.5330315589354</v>
          </cell>
          <cell r="AL301">
            <v>6203.2905387314204</v>
          </cell>
          <cell r="AM301">
            <v>6433.0420401659176</v>
          </cell>
          <cell r="AN301">
            <v>5284.2845329934325</v>
          </cell>
        </row>
        <row r="302">
          <cell r="I302" t="str">
            <v>y/y Growth - %</v>
          </cell>
          <cell r="M302" t="str">
            <v>NA</v>
          </cell>
          <cell r="N302" t="str">
            <v>NA</v>
          </cell>
          <cell r="O302" t="str">
            <v>NA</v>
          </cell>
          <cell r="P302" t="str">
            <v>NA</v>
          </cell>
          <cell r="Q302" t="str">
            <v>NA</v>
          </cell>
          <cell r="R302" t="str">
            <v>NA</v>
          </cell>
          <cell r="S302" t="str">
            <v>NA</v>
          </cell>
          <cell r="T302" t="str">
            <v>NA</v>
          </cell>
          <cell r="U302" t="str">
            <v>NA</v>
          </cell>
          <cell r="V302" t="str">
            <v>NA</v>
          </cell>
          <cell r="W302" t="str">
            <v>NA</v>
          </cell>
          <cell r="X302" t="str">
            <v>NA</v>
          </cell>
          <cell r="Y302">
            <v>0.18646616262507809</v>
          </cell>
          <cell r="Z302">
            <v>0.18646616262507809</v>
          </cell>
          <cell r="AA302">
            <v>0.18646616262507809</v>
          </cell>
          <cell r="AB302">
            <v>0.18646616262507809</v>
          </cell>
          <cell r="AC302">
            <v>0.33102463065693311</v>
          </cell>
          <cell r="AD302">
            <v>0.33102463065693333</v>
          </cell>
          <cell r="AE302">
            <v>0.33102463065693311</v>
          </cell>
          <cell r="AF302">
            <v>0.33102463065693333</v>
          </cell>
          <cell r="AG302">
            <v>0.28000000000000047</v>
          </cell>
          <cell r="AH302">
            <v>0.28000000000000025</v>
          </cell>
          <cell r="AI302">
            <v>0.28000000000000025</v>
          </cell>
          <cell r="AJ302">
            <v>0.28000000000000025</v>
          </cell>
          <cell r="AK302">
            <v>0.21999999999999975</v>
          </cell>
          <cell r="AL302">
            <v>0.21999999999999975</v>
          </cell>
          <cell r="AM302">
            <v>0.21999999999999975</v>
          </cell>
          <cell r="AN302">
            <v>0.21999999999999997</v>
          </cell>
          <cell r="AQ302" t="str">
            <v>NA</v>
          </cell>
          <cell r="AR302" t="str">
            <v>NA</v>
          </cell>
          <cell r="AS302" t="str">
            <v>NA</v>
          </cell>
          <cell r="AT302" t="str">
            <v>NA</v>
          </cell>
          <cell r="AU302" t="str">
            <v>NA</v>
          </cell>
          <cell r="AV302" t="str">
            <v>NA</v>
          </cell>
          <cell r="AW302" t="str">
            <v>NA</v>
          </cell>
          <cell r="AX302" t="str">
            <v>NA</v>
          </cell>
          <cell r="AY302" t="str">
            <v>NA</v>
          </cell>
          <cell r="AZ302" t="str">
            <v>NA</v>
          </cell>
          <cell r="BA302" t="str">
            <v>NA</v>
          </cell>
          <cell r="BB302" t="str">
            <v>NA</v>
          </cell>
          <cell r="BC302" t="str">
            <v>NA</v>
          </cell>
          <cell r="BD302" t="str">
            <v>NA</v>
          </cell>
          <cell r="BE302" t="str">
            <v>NA</v>
          </cell>
          <cell r="BF302" t="str">
            <v>NA</v>
          </cell>
          <cell r="BG302" t="str">
            <v>NA</v>
          </cell>
          <cell r="BH302" t="str">
            <v>NA</v>
          </cell>
          <cell r="BI302" t="str">
            <v>NA</v>
          </cell>
          <cell r="BJ302" t="str">
            <v>NA</v>
          </cell>
          <cell r="BK302" t="str">
            <v>NA</v>
          </cell>
          <cell r="BL302" t="str">
            <v>NA</v>
          </cell>
          <cell r="BM302" t="str">
            <v>NA</v>
          </cell>
          <cell r="BN302" t="str">
            <v>NA</v>
          </cell>
          <cell r="BO302" t="str">
            <v>NA</v>
          </cell>
          <cell r="BP302" t="str">
            <v>NA</v>
          </cell>
          <cell r="BQ302" t="str">
            <v>NA</v>
          </cell>
          <cell r="BR302" t="str">
            <v>NA</v>
          </cell>
        </row>
        <row r="303">
          <cell r="I303" t="str">
            <v>Seasonality</v>
          </cell>
          <cell r="M303">
            <v>0.22</v>
          </cell>
          <cell r="N303">
            <v>0.27</v>
          </cell>
          <cell r="O303">
            <v>0.28000000000000003</v>
          </cell>
          <cell r="P303">
            <v>0.23</v>
          </cell>
          <cell r="Q303">
            <v>0.22</v>
          </cell>
          <cell r="R303">
            <v>0.27</v>
          </cell>
          <cell r="S303">
            <v>0.28000000000000003</v>
          </cell>
          <cell r="T303">
            <v>0.23</v>
          </cell>
          <cell r="U303">
            <v>0.22</v>
          </cell>
          <cell r="V303">
            <v>0.27</v>
          </cell>
          <cell r="W303">
            <v>0.28000000000000003</v>
          </cell>
          <cell r="X303">
            <v>0.23</v>
          </cell>
          <cell r="Y303">
            <v>0.22</v>
          </cell>
          <cell r="Z303">
            <v>0.27</v>
          </cell>
          <cell r="AA303">
            <v>0.28000000000000003</v>
          </cell>
          <cell r="AB303">
            <v>0.23</v>
          </cell>
          <cell r="AC303">
            <v>0.22</v>
          </cell>
          <cell r="AD303">
            <v>0.27</v>
          </cell>
          <cell r="AE303">
            <v>0.28000000000000003</v>
          </cell>
          <cell r="AF303">
            <v>0.23</v>
          </cell>
          <cell r="AG303">
            <v>0.22</v>
          </cell>
          <cell r="AH303">
            <v>0.27</v>
          </cell>
          <cell r="AI303">
            <v>0.28000000000000003</v>
          </cell>
          <cell r="AJ303">
            <v>0.23</v>
          </cell>
          <cell r="AK303">
            <v>0.22</v>
          </cell>
          <cell r="AL303">
            <v>0.27</v>
          </cell>
          <cell r="AM303">
            <v>0.28000000000000003</v>
          </cell>
          <cell r="AN303">
            <v>0.23</v>
          </cell>
        </row>
        <row r="304">
          <cell r="I304" t="str">
            <v>Asia Hotel Market Share</v>
          </cell>
          <cell r="M304" t="str">
            <v>NA</v>
          </cell>
          <cell r="N304" t="str">
            <v>NA</v>
          </cell>
          <cell r="O304" t="str">
            <v>NA</v>
          </cell>
          <cell r="P304" t="str">
            <v>NA</v>
          </cell>
          <cell r="Q304" t="str">
            <v>NA</v>
          </cell>
          <cell r="R304" t="str">
            <v>NA</v>
          </cell>
          <cell r="S304" t="str">
            <v>NA</v>
          </cell>
          <cell r="T304" t="str">
            <v>NA</v>
          </cell>
          <cell r="U304">
            <v>2.6817097806939747E-3</v>
          </cell>
          <cell r="V304">
            <v>2.249417954423323E-3</v>
          </cell>
          <cell r="W304">
            <v>2.4990956323002263E-3</v>
          </cell>
          <cell r="X304">
            <v>3.4411417044623105E-3</v>
          </cell>
          <cell r="Y304">
            <v>4.5353087319073134E-3</v>
          </cell>
          <cell r="Z304">
            <v>4.3035200398472374E-3</v>
          </cell>
          <cell r="AA304">
            <v>5.5472439825848055E-3</v>
          </cell>
          <cell r="AB304">
            <v>9.093219261372E-3</v>
          </cell>
          <cell r="AC304">
            <v>8.5603724979978653E-3</v>
          </cell>
          <cell r="AD304">
            <v>7.3844295487160618E-3</v>
          </cell>
          <cell r="AE304">
            <v>1.189817637644563E-2</v>
          </cell>
          <cell r="AF304">
            <v>1.638325096761108E-2</v>
          </cell>
          <cell r="AG304">
            <v>1.7579336379817043E-2</v>
          </cell>
          <cell r="AH304">
            <v>1.516445353754191E-2</v>
          </cell>
          <cell r="AI304">
            <v>2.4529019666261708E-2</v>
          </cell>
          <cell r="AJ304">
            <v>2.8103889088571962E-2</v>
          </cell>
          <cell r="AK304">
            <v>2.6773567944172641E-2</v>
          </cell>
          <cell r="AL304">
            <v>2.3463014396745526E-2</v>
          </cell>
          <cell r="AM304">
            <v>3.7407385702496875E-2</v>
          </cell>
          <cell r="AN304">
            <v>4.1850113410432099E-2</v>
          </cell>
        </row>
        <row r="305">
          <cell r="I305" t="str">
            <v>Asia Online Hotel Market Share</v>
          </cell>
          <cell r="M305" t="str">
            <v>NA</v>
          </cell>
          <cell r="N305" t="str">
            <v>NA</v>
          </cell>
          <cell r="O305" t="str">
            <v>NA</v>
          </cell>
          <cell r="P305" t="str">
            <v>NA</v>
          </cell>
          <cell r="Q305" t="str">
            <v>NA</v>
          </cell>
          <cell r="R305" t="str">
            <v>NA</v>
          </cell>
          <cell r="S305" t="str">
            <v>NA</v>
          </cell>
          <cell r="T305" t="str">
            <v>NA</v>
          </cell>
          <cell r="U305">
            <v>2.1961568017523671E-2</v>
          </cell>
          <cell r="V305">
            <v>1.8421361536416068E-2</v>
          </cell>
          <cell r="W305">
            <v>2.0466069485287404E-2</v>
          </cell>
          <cell r="X305">
            <v>2.8180852433975747E-2</v>
          </cell>
          <cell r="Y305">
            <v>2.9616107003248435E-2</v>
          </cell>
          <cell r="Z305">
            <v>2.8102499195713958E-2</v>
          </cell>
          <cell r="AA305">
            <v>3.6224164896546479E-2</v>
          </cell>
          <cell r="AB305">
            <v>5.937980644055009E-2</v>
          </cell>
          <cell r="AC305">
            <v>4.8951337117622534E-2</v>
          </cell>
          <cell r="AD305">
            <v>4.2226865752054255E-2</v>
          </cell>
          <cell r="AE305">
            <v>6.8038119021636506E-2</v>
          </cell>
          <cell r="AF305">
            <v>9.3685413968342665E-2</v>
          </cell>
          <cell r="AG305">
            <v>8.7959433883227967E-2</v>
          </cell>
          <cell r="AH305">
            <v>7.5876399398222466E-2</v>
          </cell>
          <cell r="AI305">
            <v>0.12273265821524716</v>
          </cell>
          <cell r="AJ305">
            <v>0.1406197663403233</v>
          </cell>
          <cell r="AK305">
            <v>0.12188474356349718</v>
          </cell>
          <cell r="AL305">
            <v>0.1068136865036852</v>
          </cell>
          <cell r="AM305">
            <v>0.17029443454218549</v>
          </cell>
          <cell r="AN305">
            <v>0.19051963308625877</v>
          </cell>
        </row>
        <row r="307">
          <cell r="I307" t="str">
            <v xml:space="preserve">Booking.com </v>
          </cell>
        </row>
        <row r="308">
          <cell r="I308" t="str">
            <v>Number of Hotels (#)</v>
          </cell>
          <cell r="M308">
            <v>22000</v>
          </cell>
          <cell r="N308">
            <v>24000</v>
          </cell>
          <cell r="O308">
            <v>25000</v>
          </cell>
          <cell r="P308">
            <v>25000</v>
          </cell>
          <cell r="Q308">
            <v>32000</v>
          </cell>
          <cell r="R308">
            <v>35000</v>
          </cell>
          <cell r="S308">
            <v>38000</v>
          </cell>
          <cell r="T308">
            <v>41000</v>
          </cell>
          <cell r="U308">
            <v>45000</v>
          </cell>
          <cell r="V308">
            <v>52000</v>
          </cell>
          <cell r="W308">
            <v>57000</v>
          </cell>
          <cell r="X308">
            <v>60000</v>
          </cell>
          <cell r="Y308">
            <v>66000</v>
          </cell>
          <cell r="Z308">
            <v>71000</v>
          </cell>
          <cell r="AA308">
            <v>73000</v>
          </cell>
          <cell r="AB308">
            <v>78000</v>
          </cell>
          <cell r="AC308">
            <v>86000</v>
          </cell>
          <cell r="AD308">
            <v>96000</v>
          </cell>
          <cell r="AE308">
            <v>105000</v>
          </cell>
          <cell r="AF308">
            <v>120000</v>
          </cell>
          <cell r="AG308">
            <v>135000</v>
          </cell>
          <cell r="AH308">
            <v>155000</v>
          </cell>
          <cell r="AI308">
            <v>170000</v>
          </cell>
        </row>
        <row r="309">
          <cell r="I309" t="str">
            <v>y/y Growth - %</v>
          </cell>
          <cell r="Q309">
            <v>0.45454545454545459</v>
          </cell>
          <cell r="R309">
            <v>0.45833333333333326</v>
          </cell>
          <cell r="S309">
            <v>0.52</v>
          </cell>
          <cell r="T309">
            <v>0.6399999999999999</v>
          </cell>
          <cell r="U309">
            <v>0.40625</v>
          </cell>
          <cell r="V309">
            <v>0.48571428571428577</v>
          </cell>
          <cell r="W309">
            <v>0.5</v>
          </cell>
          <cell r="X309">
            <v>0.46341463414634143</v>
          </cell>
          <cell r="Y309">
            <v>0.46666666666666656</v>
          </cell>
          <cell r="Z309">
            <v>0.36538461538461542</v>
          </cell>
          <cell r="AA309">
            <v>0.2807017543859649</v>
          </cell>
          <cell r="AB309">
            <v>0.30000000000000004</v>
          </cell>
          <cell r="AC309">
            <v>0.30303030303030298</v>
          </cell>
          <cell r="AD309">
            <v>0.352112676056338</v>
          </cell>
          <cell r="AE309">
            <v>0.43835616438356162</v>
          </cell>
          <cell r="AF309">
            <v>0.53846153846153855</v>
          </cell>
          <cell r="AG309">
            <v>0.56976744186046502</v>
          </cell>
          <cell r="AH309">
            <v>0.61458333333333326</v>
          </cell>
          <cell r="AI309">
            <v>0.61904761904761907</v>
          </cell>
        </row>
        <row r="311">
          <cell r="I311" t="str">
            <v>Operating Scenarios</v>
          </cell>
        </row>
        <row r="312">
          <cell r="I312" t="str">
            <v>Offline Advertising as % of Gross Profit</v>
          </cell>
        </row>
        <row r="313">
          <cell r="I313" t="str">
            <v>Base Case</v>
          </cell>
          <cell r="M313">
            <v>0.13066411928396396</v>
          </cell>
          <cell r="N313">
            <v>8.3749196627726757E-2</v>
          </cell>
          <cell r="O313">
            <v>5.3947080868009749E-2</v>
          </cell>
          <cell r="P313">
            <v>6.9023382939598255E-2</v>
          </cell>
          <cell r="Q313">
            <v>0.10914974142663163</v>
          </cell>
          <cell r="R313">
            <v>5.9918782643502304E-2</v>
          </cell>
          <cell r="S313">
            <v>4.166171460264638E-2</v>
          </cell>
          <cell r="T313">
            <v>4.330261251810779E-2</v>
          </cell>
          <cell r="U313">
            <v>6.6431809522757762E-2</v>
          </cell>
          <cell r="V313">
            <v>3.9128978224455609E-2</v>
          </cell>
          <cell r="W313">
            <v>2.6237194616518706E-2</v>
          </cell>
          <cell r="X313">
            <v>3.7939190012922737E-2</v>
          </cell>
          <cell r="Y313">
            <v>5.1677626842029478E-2</v>
          </cell>
          <cell r="Z313">
            <v>3.6211087741369025E-2</v>
          </cell>
          <cell r="AA313">
            <v>1.9525075690197829E-2</v>
          </cell>
          <cell r="AB313">
            <v>1.9084322884903363E-2</v>
          </cell>
          <cell r="AC313">
            <v>3.693954549442837E-2</v>
          </cell>
          <cell r="AD313">
            <v>2.273528652120695E-2</v>
          </cell>
          <cell r="AE313">
            <v>1.1667877536070898E-2</v>
          </cell>
          <cell r="AF313">
            <v>1.2604172545478489E-2</v>
          </cell>
          <cell r="AG313">
            <v>2.2961281751178314E-2</v>
          </cell>
          <cell r="AH313">
            <v>1.3100168573743338E-2</v>
          </cell>
          <cell r="AI313">
            <v>7.3035627933696204E-3</v>
          </cell>
          <cell r="AJ313">
            <v>0.01</v>
          </cell>
          <cell r="AK313">
            <v>2.1999999999999999E-2</v>
          </cell>
          <cell r="AL313">
            <v>1.2E-2</v>
          </cell>
          <cell r="AM313">
            <v>7.0000000000000001E-3</v>
          </cell>
          <cell r="AN313">
            <v>0.01</v>
          </cell>
        </row>
        <row r="314">
          <cell r="I314" t="str">
            <v>Bull Case</v>
          </cell>
          <cell r="M314">
            <v>0.13066411928396396</v>
          </cell>
          <cell r="N314">
            <v>8.3749196627726757E-2</v>
          </cell>
          <cell r="O314">
            <v>5.3947080868009749E-2</v>
          </cell>
          <cell r="P314">
            <v>6.9023382939598255E-2</v>
          </cell>
          <cell r="Q314">
            <v>0.10914974142663163</v>
          </cell>
          <cell r="R314">
            <v>5.9918782643502304E-2</v>
          </cell>
          <cell r="S314">
            <v>4.166171460264638E-2</v>
          </cell>
          <cell r="T314">
            <v>4.330261251810779E-2</v>
          </cell>
          <cell r="U314">
            <v>6.6431809522757762E-2</v>
          </cell>
          <cell r="V314">
            <v>3.9128978224455609E-2</v>
          </cell>
          <cell r="W314">
            <v>2.6237194616518706E-2</v>
          </cell>
          <cell r="X314">
            <v>3.7939190012922737E-2</v>
          </cell>
          <cell r="Y314">
            <v>5.1677626842029478E-2</v>
          </cell>
          <cell r="Z314">
            <v>3.6211087741369025E-2</v>
          </cell>
          <cell r="AA314">
            <v>1.9525075690197829E-2</v>
          </cell>
          <cell r="AB314">
            <v>1.9084322884903363E-2</v>
          </cell>
          <cell r="AC314">
            <v>3.693954549442837E-2</v>
          </cell>
          <cell r="AD314">
            <v>2.273528652120695E-2</v>
          </cell>
          <cell r="AE314">
            <v>1.1667877536070898E-2</v>
          </cell>
          <cell r="AF314">
            <v>1.2604172545478489E-2</v>
          </cell>
          <cell r="AG314">
            <v>2.2961281751178314E-2</v>
          </cell>
          <cell r="AH314">
            <v>1.3100168573743338E-2</v>
          </cell>
          <cell r="AI314">
            <v>7.3035627933696204E-3</v>
          </cell>
          <cell r="AJ314">
            <v>7.4999999999999997E-3</v>
          </cell>
          <cell r="AK314">
            <v>1.95E-2</v>
          </cell>
          <cell r="AL314">
            <v>9.4999999999999998E-3</v>
          </cell>
          <cell r="AM314">
            <v>4.5000000000000005E-3</v>
          </cell>
          <cell r="AN314">
            <v>7.4999999999999997E-3</v>
          </cell>
        </row>
        <row r="315">
          <cell r="I315" t="str">
            <v>Bull vs. Base Case - bps</v>
          </cell>
          <cell r="M315">
            <v>0</v>
          </cell>
          <cell r="N315">
            <v>0</v>
          </cell>
          <cell r="O315">
            <v>0</v>
          </cell>
          <cell r="P315">
            <v>0</v>
          </cell>
          <cell r="Q315">
            <v>0</v>
          </cell>
          <cell r="R315">
            <v>0</v>
          </cell>
          <cell r="S315">
            <v>0</v>
          </cell>
          <cell r="T315">
            <v>0</v>
          </cell>
          <cell r="U315">
            <v>0</v>
          </cell>
          <cell r="V315">
            <v>0</v>
          </cell>
          <cell r="W315">
            <v>0</v>
          </cell>
          <cell r="X315">
            <v>0</v>
          </cell>
          <cell r="Y315">
            <v>0</v>
          </cell>
          <cell r="Z315">
            <v>0</v>
          </cell>
          <cell r="AA315">
            <v>0</v>
          </cell>
          <cell r="AB315">
            <v>0</v>
          </cell>
          <cell r="AC315">
            <v>0</v>
          </cell>
          <cell r="AD315">
            <v>0</v>
          </cell>
          <cell r="AE315">
            <v>0</v>
          </cell>
          <cell r="AF315">
            <v>0</v>
          </cell>
          <cell r="AG315">
            <v>0</v>
          </cell>
          <cell r="AH315">
            <v>0</v>
          </cell>
          <cell r="AI315">
            <v>0</v>
          </cell>
          <cell r="AJ315">
            <v>-25</v>
          </cell>
          <cell r="AK315">
            <v>-25</v>
          </cell>
          <cell r="AL315">
            <v>-25</v>
          </cell>
          <cell r="AM315">
            <v>-25</v>
          </cell>
          <cell r="AN315">
            <v>-25</v>
          </cell>
        </row>
        <row r="316">
          <cell r="I316" t="str">
            <v>Bear Case</v>
          </cell>
          <cell r="M316">
            <v>0.13066411928396396</v>
          </cell>
          <cell r="N316">
            <v>8.3749196627726757E-2</v>
          </cell>
          <cell r="O316">
            <v>5.3947080868009749E-2</v>
          </cell>
          <cell r="P316">
            <v>6.9023382939598255E-2</v>
          </cell>
          <cell r="Q316">
            <v>0.10914974142663163</v>
          </cell>
          <cell r="R316">
            <v>5.9918782643502304E-2</v>
          </cell>
          <cell r="S316">
            <v>4.166171460264638E-2</v>
          </cell>
          <cell r="T316">
            <v>4.330261251810779E-2</v>
          </cell>
          <cell r="U316">
            <v>6.6431809522757762E-2</v>
          </cell>
          <cell r="V316">
            <v>3.9128978224455609E-2</v>
          </cell>
          <cell r="W316">
            <v>2.6237194616518706E-2</v>
          </cell>
          <cell r="X316">
            <v>3.7939190012922737E-2</v>
          </cell>
          <cell r="Y316">
            <v>5.1677626842029478E-2</v>
          </cell>
          <cell r="Z316">
            <v>3.6211087741369025E-2</v>
          </cell>
          <cell r="AA316">
            <v>1.9525075690197829E-2</v>
          </cell>
          <cell r="AB316">
            <v>1.9084322884903363E-2</v>
          </cell>
          <cell r="AC316">
            <v>3.693954549442837E-2</v>
          </cell>
          <cell r="AD316">
            <v>2.273528652120695E-2</v>
          </cell>
          <cell r="AE316">
            <v>1.1667877536070898E-2</v>
          </cell>
          <cell r="AF316">
            <v>1.2604172545478489E-2</v>
          </cell>
          <cell r="AG316">
            <v>2.2961281751178314E-2</v>
          </cell>
          <cell r="AH316">
            <v>1.3100168573743338E-2</v>
          </cell>
          <cell r="AI316">
            <v>7.3035627933696204E-3</v>
          </cell>
          <cell r="AJ316">
            <v>1.2500000000000001E-2</v>
          </cell>
          <cell r="AK316">
            <v>2.4499999999999997E-2</v>
          </cell>
          <cell r="AL316">
            <v>1.4500000000000001E-2</v>
          </cell>
          <cell r="AM316">
            <v>9.4999999999999998E-3</v>
          </cell>
          <cell r="AN316">
            <v>1.2500000000000001E-2</v>
          </cell>
        </row>
        <row r="317">
          <cell r="I317" t="str">
            <v>Bear vs. Base Case - bps</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0</v>
          </cell>
          <cell r="AC317">
            <v>0</v>
          </cell>
          <cell r="AD317">
            <v>0</v>
          </cell>
          <cell r="AE317">
            <v>0</v>
          </cell>
          <cell r="AF317">
            <v>0</v>
          </cell>
          <cell r="AG317">
            <v>0</v>
          </cell>
          <cell r="AH317">
            <v>0</v>
          </cell>
          <cell r="AI317">
            <v>0</v>
          </cell>
          <cell r="AJ317">
            <v>25</v>
          </cell>
          <cell r="AK317">
            <v>25</v>
          </cell>
          <cell r="AL317">
            <v>25</v>
          </cell>
          <cell r="AM317">
            <v>25</v>
          </cell>
          <cell r="AN317">
            <v>25</v>
          </cell>
        </row>
        <row r="319">
          <cell r="I319" t="str">
            <v>Online Advertising as % of Gross Profit</v>
          </cell>
        </row>
        <row r="320">
          <cell r="I320" t="str">
            <v>Base Case</v>
          </cell>
          <cell r="M320">
            <v>0.30265398513103797</v>
          </cell>
          <cell r="N320">
            <v>0.28820271445313977</v>
          </cell>
          <cell r="O320">
            <v>0.27973160011979248</v>
          </cell>
          <cell r="P320">
            <v>0.27038596420712041</v>
          </cell>
          <cell r="Q320">
            <v>0.30746636620152357</v>
          </cell>
          <cell r="R320">
            <v>0.28064534872460351</v>
          </cell>
          <cell r="S320">
            <v>0.26663893510815306</v>
          </cell>
          <cell r="T320">
            <v>0.27120485538738193</v>
          </cell>
          <cell r="U320">
            <v>0.31915539775707741</v>
          </cell>
          <cell r="V320">
            <v>0.28716129667947576</v>
          </cell>
          <cell r="W320">
            <v>0.26667784534197259</v>
          </cell>
          <cell r="X320">
            <v>0.27192353643966549</v>
          </cell>
          <cell r="Y320">
            <v>0.32696683146930355</v>
          </cell>
          <cell r="Z320">
            <v>0.29520243220044678</v>
          </cell>
          <cell r="AA320">
            <v>0.26521061920802935</v>
          </cell>
          <cell r="AB320">
            <v>0.29392475470083557</v>
          </cell>
          <cell r="AC320">
            <v>0.35444477870116203</v>
          </cell>
          <cell r="AD320">
            <v>0.29762271058157691</v>
          </cell>
          <cell r="AE320">
            <v>0.25927666064234123</v>
          </cell>
          <cell r="AF320">
            <v>0.27964541097336404</v>
          </cell>
          <cell r="AG320">
            <v>0.36596495112770067</v>
          </cell>
          <cell r="AH320">
            <v>0.31536770564862188</v>
          </cell>
          <cell r="AI320">
            <v>0.25444394754160349</v>
          </cell>
          <cell r="AJ320">
            <v>0.27500000000000002</v>
          </cell>
          <cell r="AK320">
            <v>0.36499999999999999</v>
          </cell>
          <cell r="AL320">
            <v>0.316</v>
          </cell>
          <cell r="AM320">
            <v>0.255</v>
          </cell>
          <cell r="AN320">
            <v>0.27700000000000002</v>
          </cell>
        </row>
        <row r="321">
          <cell r="I321" t="str">
            <v>Bull Case</v>
          </cell>
          <cell r="M321">
            <v>0.30265398513103797</v>
          </cell>
          <cell r="N321">
            <v>0.28820271445313977</v>
          </cell>
          <cell r="O321">
            <v>0.27973160011979248</v>
          </cell>
          <cell r="P321">
            <v>0.27038596420712041</v>
          </cell>
          <cell r="Q321">
            <v>0.30746636620152357</v>
          </cell>
          <cell r="R321">
            <v>0.28064534872460351</v>
          </cell>
          <cell r="S321">
            <v>0.26663893510815306</v>
          </cell>
          <cell r="T321">
            <v>0.27120485538738193</v>
          </cell>
          <cell r="U321">
            <v>0.31915539775707741</v>
          </cell>
          <cell r="V321">
            <v>0.28716129667947576</v>
          </cell>
          <cell r="W321">
            <v>0.26667784534197259</v>
          </cell>
          <cell r="X321">
            <v>0.27192353643966549</v>
          </cell>
          <cell r="Y321">
            <v>0.32696683146930355</v>
          </cell>
          <cell r="Z321">
            <v>0.29520243220044678</v>
          </cell>
          <cell r="AA321">
            <v>0.26521061920802935</v>
          </cell>
          <cell r="AB321">
            <v>0.29392475470083557</v>
          </cell>
          <cell r="AC321">
            <v>0.35444477870116203</v>
          </cell>
          <cell r="AD321">
            <v>0.29762271058157691</v>
          </cell>
          <cell r="AE321">
            <v>0.25927666064234123</v>
          </cell>
          <cell r="AF321">
            <v>0.27964541097336404</v>
          </cell>
          <cell r="AG321">
            <v>0.36596495112770067</v>
          </cell>
          <cell r="AH321">
            <v>0.31536770564862188</v>
          </cell>
          <cell r="AI321">
            <v>0.25444394754160349</v>
          </cell>
          <cell r="AJ321">
            <v>0.26500000000000001</v>
          </cell>
          <cell r="AK321">
            <v>0.35499999999999998</v>
          </cell>
          <cell r="AL321">
            <v>0.30599999999999999</v>
          </cell>
          <cell r="AM321">
            <v>0.245</v>
          </cell>
          <cell r="AN321">
            <v>0.26700000000000002</v>
          </cell>
        </row>
        <row r="322">
          <cell r="I322" t="str">
            <v>Bull vs. Base Case - bps</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-100</v>
          </cell>
          <cell r="AK322">
            <v>-100</v>
          </cell>
          <cell r="AL322">
            <v>-100</v>
          </cell>
          <cell r="AM322">
            <v>-100</v>
          </cell>
          <cell r="AN322">
            <v>-100</v>
          </cell>
        </row>
        <row r="323">
          <cell r="I323" t="str">
            <v>Bear Case</v>
          </cell>
          <cell r="M323">
            <v>0.30265398513103797</v>
          </cell>
          <cell r="N323">
            <v>0.28820271445313977</v>
          </cell>
          <cell r="O323">
            <v>0.27973160011979248</v>
          </cell>
          <cell r="P323">
            <v>0.27038596420712041</v>
          </cell>
          <cell r="Q323">
            <v>0.30746636620152357</v>
          </cell>
          <cell r="R323">
            <v>0.28064534872460351</v>
          </cell>
          <cell r="S323">
            <v>0.26663893510815306</v>
          </cell>
          <cell r="T323">
            <v>0.27120485538738193</v>
          </cell>
          <cell r="U323">
            <v>0.31915539775707741</v>
          </cell>
          <cell r="V323">
            <v>0.28716129667947576</v>
          </cell>
          <cell r="W323">
            <v>0.26667784534197259</v>
          </cell>
          <cell r="X323">
            <v>0.27192353643966549</v>
          </cell>
          <cell r="Y323">
            <v>0.32696683146930355</v>
          </cell>
          <cell r="Z323">
            <v>0.29520243220044678</v>
          </cell>
          <cell r="AA323">
            <v>0.26521061920802935</v>
          </cell>
          <cell r="AB323">
            <v>0.29392475470083557</v>
          </cell>
          <cell r="AC323">
            <v>0.35444477870116203</v>
          </cell>
          <cell r="AD323">
            <v>0.29762271058157691</v>
          </cell>
          <cell r="AE323">
            <v>0.25927666064234123</v>
          </cell>
          <cell r="AF323">
            <v>0.27964541097336404</v>
          </cell>
          <cell r="AG323">
            <v>0.36596495112770067</v>
          </cell>
          <cell r="AH323">
            <v>0.31536770564862188</v>
          </cell>
          <cell r="AI323">
            <v>0.25444394754160349</v>
          </cell>
          <cell r="AJ323">
            <v>0.29000000000000004</v>
          </cell>
          <cell r="AK323">
            <v>0.38</v>
          </cell>
          <cell r="AL323">
            <v>0.33100000000000002</v>
          </cell>
          <cell r="AM323">
            <v>0.27</v>
          </cell>
          <cell r="AN323">
            <v>0.29200000000000004</v>
          </cell>
        </row>
        <row r="324">
          <cell r="I324" t="str">
            <v>Bear vs. Base Case - bps</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150</v>
          </cell>
          <cell r="AK324">
            <v>150</v>
          </cell>
          <cell r="AL324">
            <v>150</v>
          </cell>
          <cell r="AM324">
            <v>150</v>
          </cell>
          <cell r="AN324">
            <v>150</v>
          </cell>
        </row>
        <row r="326">
          <cell r="I326" t="str">
            <v>Selling &amp; Marketing as % of Gross Profit</v>
          </cell>
        </row>
        <row r="327">
          <cell r="I327" t="str">
            <v>Base Case</v>
          </cell>
          <cell r="M327">
            <v>0.13265772313826477</v>
          </cell>
          <cell r="N327">
            <v>0.10120600355374089</v>
          </cell>
          <cell r="O327">
            <v>9.0686135640687351E-2</v>
          </cell>
          <cell r="P327">
            <v>0.10675562969140952</v>
          </cell>
          <cell r="Q327">
            <v>0.10988164369841776</v>
          </cell>
          <cell r="R327">
            <v>7.4406202991742706E-2</v>
          </cell>
          <cell r="S327">
            <v>6.4837374217573879E-2</v>
          </cell>
          <cell r="T327">
            <v>6.9502722413706974E-2</v>
          </cell>
          <cell r="U327">
            <v>9.018624760495407E-2</v>
          </cell>
          <cell r="V327">
            <v>7.8549610799093506E-2</v>
          </cell>
          <cell r="W327">
            <v>6.7869323394858239E-2</v>
          </cell>
          <cell r="X327">
            <v>9.8666276546460888E-2</v>
          </cell>
          <cell r="Y327">
            <v>8.8412614601833639E-2</v>
          </cell>
          <cell r="Z327">
            <v>6.7786448607316238E-2</v>
          </cell>
          <cell r="AA327">
            <v>5.6388621355465122E-2</v>
          </cell>
          <cell r="AB327">
            <v>5.6371711650153741E-2</v>
          </cell>
          <cell r="AC327">
            <v>7.5561864651098681E-2</v>
          </cell>
          <cell r="AD327">
            <v>6.398580588651448E-2</v>
          </cell>
          <cell r="AE327">
            <v>4.9625631203203902E-2</v>
          </cell>
          <cell r="AF327">
            <v>6.4047172631178498E-2</v>
          </cell>
          <cell r="AG327">
            <v>6.8757315028627461E-2</v>
          </cell>
          <cell r="AH327">
            <v>5.4763109177859315E-2</v>
          </cell>
          <cell r="AI327">
            <v>4.2834236848133166E-2</v>
          </cell>
          <cell r="AJ327">
            <v>6.3E-2</v>
          </cell>
          <cell r="AK327">
            <v>6.9000000000000006E-2</v>
          </cell>
          <cell r="AL327">
            <v>5.6000000000000001E-2</v>
          </cell>
          <cell r="AM327">
            <v>4.2999999999999997E-2</v>
          </cell>
          <cell r="AN327">
            <v>6.0999999999999999E-2</v>
          </cell>
        </row>
        <row r="328">
          <cell r="I328" t="str">
            <v>Bull Case</v>
          </cell>
          <cell r="M328">
            <v>0.13265772313826477</v>
          </cell>
          <cell r="N328">
            <v>0.10120600355374089</v>
          </cell>
          <cell r="O328">
            <v>9.0686135640687351E-2</v>
          </cell>
          <cell r="P328">
            <v>0.10675562969140952</v>
          </cell>
          <cell r="Q328">
            <v>0.10988164369841776</v>
          </cell>
          <cell r="R328">
            <v>7.4406202991742706E-2</v>
          </cell>
          <cell r="S328">
            <v>6.4837374217573879E-2</v>
          </cell>
          <cell r="T328">
            <v>6.9502722413706974E-2</v>
          </cell>
          <cell r="U328">
            <v>9.018624760495407E-2</v>
          </cell>
          <cell r="V328">
            <v>7.8549610799093506E-2</v>
          </cell>
          <cell r="W328">
            <v>6.7869323394858239E-2</v>
          </cell>
          <cell r="X328">
            <v>9.8666276546460888E-2</v>
          </cell>
          <cell r="Y328">
            <v>8.8412614601833639E-2</v>
          </cell>
          <cell r="Z328">
            <v>6.7786448607316238E-2</v>
          </cell>
          <cell r="AA328">
            <v>5.6388621355465122E-2</v>
          </cell>
          <cell r="AB328">
            <v>5.6371711650153741E-2</v>
          </cell>
          <cell r="AC328">
            <v>7.5561864651098681E-2</v>
          </cell>
          <cell r="AD328">
            <v>6.398580588651448E-2</v>
          </cell>
          <cell r="AE328">
            <v>4.9625631203203902E-2</v>
          </cell>
          <cell r="AF328">
            <v>6.4047172631178498E-2</v>
          </cell>
          <cell r="AG328">
            <v>6.8757315028627461E-2</v>
          </cell>
          <cell r="AH328">
            <v>5.4763109177859315E-2</v>
          </cell>
          <cell r="AI328">
            <v>4.2834236848133166E-2</v>
          </cell>
          <cell r="AJ328">
            <v>6.0499999999999998E-2</v>
          </cell>
          <cell r="AK328">
            <v>6.6500000000000004E-2</v>
          </cell>
          <cell r="AL328">
            <v>5.3499999999999999E-2</v>
          </cell>
          <cell r="AM328">
            <v>4.0499999999999994E-2</v>
          </cell>
          <cell r="AN328">
            <v>5.8499999999999996E-2</v>
          </cell>
        </row>
        <row r="329">
          <cell r="I329" t="str">
            <v>Bull vs. Base Case - bps</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-25</v>
          </cell>
          <cell r="AK329">
            <v>-25</v>
          </cell>
          <cell r="AL329">
            <v>-25</v>
          </cell>
          <cell r="AM329">
            <v>-25</v>
          </cell>
          <cell r="AN329">
            <v>-25</v>
          </cell>
        </row>
        <row r="330">
          <cell r="I330" t="str">
            <v>Bear Case</v>
          </cell>
          <cell r="M330">
            <v>0.13265772313826477</v>
          </cell>
          <cell r="N330">
            <v>0.10120600355374089</v>
          </cell>
          <cell r="O330">
            <v>9.0686135640687351E-2</v>
          </cell>
          <cell r="P330">
            <v>0.10675562969140952</v>
          </cell>
          <cell r="Q330">
            <v>0.10988164369841776</v>
          </cell>
          <cell r="R330">
            <v>7.4406202991742706E-2</v>
          </cell>
          <cell r="S330">
            <v>6.4837374217573879E-2</v>
          </cell>
          <cell r="T330">
            <v>6.9502722413706974E-2</v>
          </cell>
          <cell r="U330">
            <v>9.018624760495407E-2</v>
          </cell>
          <cell r="V330">
            <v>7.8549610799093506E-2</v>
          </cell>
          <cell r="W330">
            <v>6.7869323394858239E-2</v>
          </cell>
          <cell r="X330">
            <v>9.8666276546460888E-2</v>
          </cell>
          <cell r="Y330">
            <v>8.8412614601833639E-2</v>
          </cell>
          <cell r="Z330">
            <v>6.7786448607316238E-2</v>
          </cell>
          <cell r="AA330">
            <v>5.6388621355465122E-2</v>
          </cell>
          <cell r="AB330">
            <v>5.6371711650153741E-2</v>
          </cell>
          <cell r="AC330">
            <v>7.5561864651098681E-2</v>
          </cell>
          <cell r="AD330">
            <v>6.398580588651448E-2</v>
          </cell>
          <cell r="AE330">
            <v>4.9625631203203902E-2</v>
          </cell>
          <cell r="AF330">
            <v>6.4047172631178498E-2</v>
          </cell>
          <cell r="AG330">
            <v>6.8757315028627461E-2</v>
          </cell>
          <cell r="AH330">
            <v>5.4763109177859315E-2</v>
          </cell>
          <cell r="AI330">
            <v>4.2834236848133166E-2</v>
          </cell>
          <cell r="AJ330">
            <v>6.5500000000000003E-2</v>
          </cell>
          <cell r="AK330">
            <v>7.1500000000000008E-2</v>
          </cell>
          <cell r="AL330">
            <v>5.8500000000000003E-2</v>
          </cell>
          <cell r="AM330">
            <v>4.5499999999999999E-2</v>
          </cell>
          <cell r="AN330">
            <v>6.3500000000000001E-2</v>
          </cell>
        </row>
        <row r="331">
          <cell r="I331" t="str">
            <v>Bear vs. Base Case - bps</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25</v>
          </cell>
          <cell r="AK331">
            <v>25</v>
          </cell>
          <cell r="AL331">
            <v>25</v>
          </cell>
          <cell r="AM331">
            <v>25</v>
          </cell>
          <cell r="AN331">
            <v>25</v>
          </cell>
        </row>
        <row r="333">
          <cell r="I333" t="str">
            <v>Personnel (ex-SBC) as % of Gross Profit</v>
          </cell>
        </row>
        <row r="334">
          <cell r="I334" t="str">
            <v>Base Case</v>
          </cell>
          <cell r="M334">
            <v>0.18602815965444203</v>
          </cell>
          <cell r="N334">
            <v>0.14214963517447357</v>
          </cell>
          <cell r="O334">
            <v>0.14662436157899422</v>
          </cell>
          <cell r="P334">
            <v>0.17987881467487968</v>
          </cell>
          <cell r="Q334">
            <v>0.17646548984485599</v>
          </cell>
          <cell r="R334">
            <v>0.12892125531818741</v>
          </cell>
          <cell r="S334">
            <v>0.11416983598763962</v>
          </cell>
          <cell r="T334">
            <v>0.15854313402267844</v>
          </cell>
          <cell r="U334">
            <v>0.1487772151758944</v>
          </cell>
          <cell r="V334">
            <v>0.12047295300029559</v>
          </cell>
          <cell r="W334">
            <v>0.11137757135896836</v>
          </cell>
          <cell r="X334">
            <v>0.14896740058030378</v>
          </cell>
          <cell r="Y334">
            <v>0.13880382086113377</v>
          </cell>
          <cell r="Z334">
            <v>0.11007803746584631</v>
          </cell>
          <cell r="AA334">
            <v>9.2369690741602659E-2</v>
          </cell>
          <cell r="AB334">
            <v>0.11774040595295492</v>
          </cell>
          <cell r="AC334">
            <v>0.11866531292696077</v>
          </cell>
          <cell r="AD334">
            <v>0.10642216258099292</v>
          </cell>
          <cell r="AE334">
            <v>9.1312062060559487E-2</v>
          </cell>
          <cell r="AF334">
            <v>0.1166084533656067</v>
          </cell>
          <cell r="AG334">
            <v>0.12104988454116977</v>
          </cell>
          <cell r="AH334">
            <v>9.6970611043115121E-2</v>
          </cell>
          <cell r="AI334">
            <v>7.3776437352065363E-2</v>
          </cell>
          <cell r="AJ334">
            <v>0.11700000000000001</v>
          </cell>
          <cell r="AK334">
            <v>0.121</v>
          </cell>
          <cell r="AL334">
            <v>9.9000000000000005E-2</v>
          </cell>
          <cell r="AM334">
            <v>7.6999999999999999E-2</v>
          </cell>
          <cell r="AN334">
            <v>0.11899999999999999</v>
          </cell>
        </row>
        <row r="335">
          <cell r="I335" t="str">
            <v>Bull Case</v>
          </cell>
          <cell r="M335">
            <v>0.18602815965444203</v>
          </cell>
          <cell r="N335">
            <v>0.14214963517447357</v>
          </cell>
          <cell r="O335">
            <v>0.14662436157899422</v>
          </cell>
          <cell r="P335">
            <v>0.17987881467487968</v>
          </cell>
          <cell r="Q335">
            <v>0.17646548984485599</v>
          </cell>
          <cell r="R335">
            <v>0.12892125531818741</v>
          </cell>
          <cell r="S335">
            <v>0.11416983598763962</v>
          </cell>
          <cell r="T335">
            <v>0.15854313402267844</v>
          </cell>
          <cell r="U335">
            <v>0.1487772151758944</v>
          </cell>
          <cell r="V335">
            <v>0.12047295300029559</v>
          </cell>
          <cell r="W335">
            <v>0.11137757135896836</v>
          </cell>
          <cell r="X335">
            <v>0.14896740058030378</v>
          </cell>
          <cell r="Y335">
            <v>0.13880382086113377</v>
          </cell>
          <cell r="Z335">
            <v>0.11007803746584631</v>
          </cell>
          <cell r="AA335">
            <v>9.2369690741602659E-2</v>
          </cell>
          <cell r="AB335">
            <v>0.11774040595295492</v>
          </cell>
          <cell r="AC335">
            <v>0.11866531292696077</v>
          </cell>
          <cell r="AD335">
            <v>0.10642216258099292</v>
          </cell>
          <cell r="AE335">
            <v>9.1312062060559487E-2</v>
          </cell>
          <cell r="AF335">
            <v>0.1166084533656067</v>
          </cell>
          <cell r="AG335">
            <v>0.12104988454116977</v>
          </cell>
          <cell r="AH335">
            <v>9.6970611043115121E-2</v>
          </cell>
          <cell r="AI335">
            <v>7.3776437352065363E-2</v>
          </cell>
          <cell r="AJ335">
            <v>0.112</v>
          </cell>
          <cell r="AK335">
            <v>0.11599999999999999</v>
          </cell>
          <cell r="AL335">
            <v>9.4E-2</v>
          </cell>
          <cell r="AM335">
            <v>7.1999999999999995E-2</v>
          </cell>
          <cell r="AN335">
            <v>0.11399999999999999</v>
          </cell>
        </row>
        <row r="336">
          <cell r="I336" t="str">
            <v>Bull vs. Base Case - bps</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-50</v>
          </cell>
          <cell r="AK336">
            <v>-50</v>
          </cell>
          <cell r="AL336">
            <v>-50</v>
          </cell>
          <cell r="AM336">
            <v>-50</v>
          </cell>
          <cell r="AN336">
            <v>-50</v>
          </cell>
        </row>
        <row r="337">
          <cell r="I337" t="str">
            <v>Bear Case</v>
          </cell>
          <cell r="M337">
            <v>0.18602815965444203</v>
          </cell>
          <cell r="N337">
            <v>0.14214963517447357</v>
          </cell>
          <cell r="O337">
            <v>0.14662436157899422</v>
          </cell>
          <cell r="P337">
            <v>0.17987881467487968</v>
          </cell>
          <cell r="Q337">
            <v>0.17646548984485599</v>
          </cell>
          <cell r="R337">
            <v>0.12892125531818741</v>
          </cell>
          <cell r="S337">
            <v>0.11416983598763962</v>
          </cell>
          <cell r="T337">
            <v>0.15854313402267844</v>
          </cell>
          <cell r="U337">
            <v>0.1487772151758944</v>
          </cell>
          <cell r="V337">
            <v>0.12047295300029559</v>
          </cell>
          <cell r="W337">
            <v>0.11137757135896836</v>
          </cell>
          <cell r="X337">
            <v>0.14896740058030378</v>
          </cell>
          <cell r="Y337">
            <v>0.13880382086113377</v>
          </cell>
          <cell r="Z337">
            <v>0.11007803746584631</v>
          </cell>
          <cell r="AA337">
            <v>9.2369690741602659E-2</v>
          </cell>
          <cell r="AB337">
            <v>0.11774040595295492</v>
          </cell>
          <cell r="AC337">
            <v>0.11866531292696077</v>
          </cell>
          <cell r="AD337">
            <v>0.10642216258099292</v>
          </cell>
          <cell r="AE337">
            <v>9.1312062060559487E-2</v>
          </cell>
          <cell r="AF337">
            <v>0.1166084533656067</v>
          </cell>
          <cell r="AG337">
            <v>0.12104988454116977</v>
          </cell>
          <cell r="AH337">
            <v>9.6970611043115121E-2</v>
          </cell>
          <cell r="AI337">
            <v>7.3776437352065363E-2</v>
          </cell>
          <cell r="AJ337">
            <v>0.12200000000000001</v>
          </cell>
          <cell r="AK337">
            <v>0.126</v>
          </cell>
          <cell r="AL337">
            <v>0.10400000000000001</v>
          </cell>
          <cell r="AM337">
            <v>8.2000000000000003E-2</v>
          </cell>
          <cell r="AN337">
            <v>0.124</v>
          </cell>
        </row>
        <row r="338">
          <cell r="I338" t="str">
            <v>Bear vs. Base Case - bps</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50</v>
          </cell>
          <cell r="AK338">
            <v>50</v>
          </cell>
          <cell r="AL338">
            <v>50</v>
          </cell>
          <cell r="AM338">
            <v>50</v>
          </cell>
          <cell r="AN338">
            <v>50</v>
          </cell>
        </row>
        <row r="340">
          <cell r="I340" t="str">
            <v>General &amp; Administrative as % of Gross Profit</v>
          </cell>
        </row>
        <row r="341">
          <cell r="I341" t="str">
            <v>Base Case</v>
          </cell>
          <cell r="M341">
            <v>7.9425731334191702E-2</v>
          </cell>
          <cell r="N341">
            <v>6.8579637820876352E-2</v>
          </cell>
          <cell r="O341">
            <v>5.3769010983674231E-2</v>
          </cell>
          <cell r="P341">
            <v>8.9934383070229204E-2</v>
          </cell>
          <cell r="Q341">
            <v>8.6845982723254292E-2</v>
          </cell>
          <cell r="R341">
            <v>6.0661230656001243E-2</v>
          </cell>
          <cell r="S341">
            <v>4.5138063544885504E-2</v>
          </cell>
          <cell r="T341">
            <v>5.5840701333732944E-2</v>
          </cell>
          <cell r="U341">
            <v>6.5095553359138164E-2</v>
          </cell>
          <cell r="V341">
            <v>5.6001576510000976E-2</v>
          </cell>
          <cell r="W341">
            <v>4.2786907029277586E-2</v>
          </cell>
          <cell r="X341">
            <v>7.6780533001731155E-2</v>
          </cell>
          <cell r="Y341">
            <v>7.098353573657179E-2</v>
          </cell>
          <cell r="Z341">
            <v>4.8250873089195963E-2</v>
          </cell>
          <cell r="AA341">
            <v>4.4623807044142247E-2</v>
          </cell>
          <cell r="AB341">
            <v>6.2815105255931716E-2</v>
          </cell>
          <cell r="AC341">
            <v>5.6509231752716896E-2</v>
          </cell>
          <cell r="AD341">
            <v>5.0447496378479756E-2</v>
          </cell>
          <cell r="AE341">
            <v>2.3611953382528656E-2</v>
          </cell>
          <cell r="AF341">
            <v>5.2174585556830598E-2</v>
          </cell>
          <cell r="AG341">
            <v>5.1163682662195932E-2</v>
          </cell>
          <cell r="AH341">
            <v>3.968890603248415E-2</v>
          </cell>
          <cell r="AI341">
            <v>2.8829757450815709E-2</v>
          </cell>
          <cell r="AJ341">
            <v>5.0999999999999997E-2</v>
          </cell>
          <cell r="AK341">
            <v>5.1999999999999998E-2</v>
          </cell>
          <cell r="AL341">
            <v>0.04</v>
          </cell>
          <cell r="AM341">
            <v>0.03</v>
          </cell>
          <cell r="AN341">
            <v>5.0999999999999997E-2</v>
          </cell>
        </row>
        <row r="342">
          <cell r="I342" t="str">
            <v>Bull Case</v>
          </cell>
          <cell r="M342">
            <v>7.9425731334191702E-2</v>
          </cell>
          <cell r="N342">
            <v>6.8579637820876352E-2</v>
          </cell>
          <cell r="O342">
            <v>5.3769010983674231E-2</v>
          </cell>
          <cell r="P342">
            <v>8.9934383070229204E-2</v>
          </cell>
          <cell r="Q342">
            <v>8.6845982723254292E-2</v>
          </cell>
          <cell r="R342">
            <v>6.0661230656001243E-2</v>
          </cell>
          <cell r="S342">
            <v>4.5138063544885504E-2</v>
          </cell>
          <cell r="T342">
            <v>5.5840701333732944E-2</v>
          </cell>
          <cell r="U342">
            <v>6.5095553359138164E-2</v>
          </cell>
          <cell r="V342">
            <v>5.6001576510000976E-2</v>
          </cell>
          <cell r="W342">
            <v>4.2786907029277586E-2</v>
          </cell>
          <cell r="X342">
            <v>7.6780533001731155E-2</v>
          </cell>
          <cell r="Y342">
            <v>7.098353573657179E-2</v>
          </cell>
          <cell r="Z342">
            <v>4.8250873089195963E-2</v>
          </cell>
          <cell r="AA342">
            <v>4.4623807044142247E-2</v>
          </cell>
          <cell r="AB342">
            <v>6.2815105255931716E-2</v>
          </cell>
          <cell r="AC342">
            <v>5.6509231752716896E-2</v>
          </cell>
          <cell r="AD342">
            <v>5.0447496378479756E-2</v>
          </cell>
          <cell r="AE342">
            <v>2.3611953382528656E-2</v>
          </cell>
          <cell r="AF342">
            <v>5.2174585556830598E-2</v>
          </cell>
          <cell r="AG342">
            <v>5.1163682662195932E-2</v>
          </cell>
          <cell r="AH342">
            <v>3.968890603248415E-2</v>
          </cell>
          <cell r="AI342">
            <v>2.8829757450815709E-2</v>
          </cell>
          <cell r="AJ342">
            <v>4.8499999999999995E-2</v>
          </cell>
          <cell r="AK342">
            <v>4.9499999999999995E-2</v>
          </cell>
          <cell r="AL342">
            <v>3.7499999999999999E-2</v>
          </cell>
          <cell r="AM342">
            <v>2.75E-2</v>
          </cell>
          <cell r="AN342">
            <v>4.8499999999999995E-2</v>
          </cell>
        </row>
        <row r="343">
          <cell r="I343" t="str">
            <v>Bull vs. Base Case - bps</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-25</v>
          </cell>
          <cell r="AK343">
            <v>-25</v>
          </cell>
          <cell r="AL343">
            <v>-25</v>
          </cell>
          <cell r="AM343">
            <v>-25</v>
          </cell>
          <cell r="AN343">
            <v>-25</v>
          </cell>
        </row>
        <row r="344">
          <cell r="I344" t="str">
            <v>Bear Case</v>
          </cell>
          <cell r="M344">
            <v>7.9425731334191702E-2</v>
          </cell>
          <cell r="N344">
            <v>6.8579637820876352E-2</v>
          </cell>
          <cell r="O344">
            <v>5.3769010983674231E-2</v>
          </cell>
          <cell r="P344">
            <v>8.9934383070229204E-2</v>
          </cell>
          <cell r="Q344">
            <v>8.6845982723254292E-2</v>
          </cell>
          <cell r="R344">
            <v>6.0661230656001243E-2</v>
          </cell>
          <cell r="S344">
            <v>4.5138063544885504E-2</v>
          </cell>
          <cell r="T344">
            <v>5.5840701333732944E-2</v>
          </cell>
          <cell r="U344">
            <v>6.5095553359138164E-2</v>
          </cell>
          <cell r="V344">
            <v>5.6001576510000976E-2</v>
          </cell>
          <cell r="W344">
            <v>4.2786907029277586E-2</v>
          </cell>
          <cell r="X344">
            <v>7.6780533001731155E-2</v>
          </cell>
          <cell r="Y344">
            <v>7.098353573657179E-2</v>
          </cell>
          <cell r="Z344">
            <v>4.8250873089195963E-2</v>
          </cell>
          <cell r="AA344">
            <v>4.4623807044142247E-2</v>
          </cell>
          <cell r="AB344">
            <v>6.2815105255931716E-2</v>
          </cell>
          <cell r="AC344">
            <v>5.6509231752716896E-2</v>
          </cell>
          <cell r="AD344">
            <v>5.0447496378479756E-2</v>
          </cell>
          <cell r="AE344">
            <v>2.3611953382528656E-2</v>
          </cell>
          <cell r="AF344">
            <v>5.2174585556830598E-2</v>
          </cell>
          <cell r="AG344">
            <v>5.1163682662195932E-2</v>
          </cell>
          <cell r="AH344">
            <v>3.968890603248415E-2</v>
          </cell>
          <cell r="AI344">
            <v>2.8829757450815709E-2</v>
          </cell>
          <cell r="AJ344">
            <v>5.3499999999999999E-2</v>
          </cell>
          <cell r="AK344">
            <v>5.45E-2</v>
          </cell>
          <cell r="AL344">
            <v>4.2500000000000003E-2</v>
          </cell>
          <cell r="AM344">
            <v>3.2500000000000001E-2</v>
          </cell>
          <cell r="AN344">
            <v>5.3499999999999999E-2</v>
          </cell>
        </row>
        <row r="345">
          <cell r="I345" t="str">
            <v>Bear vs. Base Case - bps</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25</v>
          </cell>
          <cell r="AK345">
            <v>25</v>
          </cell>
          <cell r="AL345">
            <v>25</v>
          </cell>
          <cell r="AM345">
            <v>25</v>
          </cell>
          <cell r="AN345">
            <v>25</v>
          </cell>
        </row>
        <row r="347">
          <cell r="I347" t="str">
            <v>Information Technology as % of Gross Profit</v>
          </cell>
        </row>
        <row r="348">
          <cell r="I348" t="str">
            <v>Base Case</v>
          </cell>
          <cell r="M348">
            <v>3.1939195082443826E-2</v>
          </cell>
          <cell r="N348">
            <v>2.2040754602850553E-2</v>
          </cell>
          <cell r="O348">
            <v>2.0648012497268248E-2</v>
          </cell>
          <cell r="P348">
            <v>2.5714199583990679E-2</v>
          </cell>
          <cell r="Q348">
            <v>2.8033783068018764E-2</v>
          </cell>
          <cell r="R348">
            <v>2.0349531612145162E-2</v>
          </cell>
          <cell r="S348">
            <v>1.6554750019808252E-2</v>
          </cell>
          <cell r="T348">
            <v>2.7305309955542232E-2</v>
          </cell>
          <cell r="U348">
            <v>2.2909614970486408E-2</v>
          </cell>
          <cell r="V348">
            <v>2.0242388412651493E-2</v>
          </cell>
          <cell r="W348">
            <v>1.3926942083915997E-2</v>
          </cell>
          <cell r="X348">
            <v>2.0817789481383953E-2</v>
          </cell>
          <cell r="Y348">
            <v>2.1729947679162868E-2</v>
          </cell>
          <cell r="Z348">
            <v>1.5387992320746431E-2</v>
          </cell>
          <cell r="AA348">
            <v>1.1006760275203567E-2</v>
          </cell>
          <cell r="AB348">
            <v>1.6402236349297068E-2</v>
          </cell>
          <cell r="AC348">
            <v>1.4439890196668298E-2</v>
          </cell>
          <cell r="AD348">
            <v>1.099370023918878E-2</v>
          </cell>
          <cell r="AE348">
            <v>8.0262628567311332E-3</v>
          </cell>
          <cell r="AF348">
            <v>1.2850821361459659E-2</v>
          </cell>
          <cell r="AG348">
            <v>1.3186821877075887E-2</v>
          </cell>
          <cell r="AH348">
            <v>1.0996667231693466E-2</v>
          </cell>
          <cell r="AI348">
            <v>7.7698636910670206E-3</v>
          </cell>
          <cell r="AJ348">
            <v>1.2999999999999999E-2</v>
          </cell>
          <cell r="AK348">
            <v>1.2999999999999999E-2</v>
          </cell>
          <cell r="AL348">
            <v>1.0999999999999999E-2</v>
          </cell>
          <cell r="AM348">
            <v>8.0000000000000002E-3</v>
          </cell>
          <cell r="AN348">
            <v>1.2999999999999999E-2</v>
          </cell>
        </row>
        <row r="349">
          <cell r="I349" t="str">
            <v>Bull Case</v>
          </cell>
          <cell r="M349">
            <v>3.1939195082443826E-2</v>
          </cell>
          <cell r="N349">
            <v>2.2040754602850553E-2</v>
          </cell>
          <cell r="O349">
            <v>2.0648012497268248E-2</v>
          </cell>
          <cell r="P349">
            <v>2.5714199583990679E-2</v>
          </cell>
          <cell r="Q349">
            <v>2.8033783068018764E-2</v>
          </cell>
          <cell r="R349">
            <v>2.0349531612145162E-2</v>
          </cell>
          <cell r="S349">
            <v>1.6554750019808252E-2</v>
          </cell>
          <cell r="T349">
            <v>2.7305309955542232E-2</v>
          </cell>
          <cell r="U349">
            <v>2.2909614970486408E-2</v>
          </cell>
          <cell r="V349">
            <v>2.0242388412651493E-2</v>
          </cell>
          <cell r="W349">
            <v>1.3926942083915997E-2</v>
          </cell>
          <cell r="X349">
            <v>2.0817789481383953E-2</v>
          </cell>
          <cell r="Y349">
            <v>2.1729947679162868E-2</v>
          </cell>
          <cell r="Z349">
            <v>1.5387992320746431E-2</v>
          </cell>
          <cell r="AA349">
            <v>1.1006760275203567E-2</v>
          </cell>
          <cell r="AB349">
            <v>1.6402236349297068E-2</v>
          </cell>
          <cell r="AC349">
            <v>1.4439890196668298E-2</v>
          </cell>
          <cell r="AD349">
            <v>1.099370023918878E-2</v>
          </cell>
          <cell r="AE349">
            <v>8.0262628567311332E-3</v>
          </cell>
          <cell r="AF349">
            <v>1.2850821361459659E-2</v>
          </cell>
          <cell r="AG349">
            <v>1.3186821877075887E-2</v>
          </cell>
          <cell r="AH349">
            <v>1.0996667231693466E-2</v>
          </cell>
          <cell r="AI349">
            <v>7.7698636910670206E-3</v>
          </cell>
          <cell r="AJ349">
            <v>1.0499999999999999E-2</v>
          </cell>
          <cell r="AK349">
            <v>1.0499999999999999E-2</v>
          </cell>
          <cell r="AL349">
            <v>8.4999999999999989E-3</v>
          </cell>
          <cell r="AM349">
            <v>5.4999999999999997E-3</v>
          </cell>
          <cell r="AN349">
            <v>1.0499999999999999E-2</v>
          </cell>
        </row>
        <row r="350">
          <cell r="I350" t="str">
            <v>Bull vs. Base Case - bps</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-25</v>
          </cell>
          <cell r="AK350">
            <v>-25</v>
          </cell>
          <cell r="AL350">
            <v>-25</v>
          </cell>
          <cell r="AM350">
            <v>-25</v>
          </cell>
          <cell r="AN350">
            <v>-25</v>
          </cell>
        </row>
        <row r="351">
          <cell r="I351" t="str">
            <v>Bear Case</v>
          </cell>
          <cell r="M351">
            <v>3.1939195082443826E-2</v>
          </cell>
          <cell r="N351">
            <v>2.2040754602850553E-2</v>
          </cell>
          <cell r="O351">
            <v>2.0648012497268248E-2</v>
          </cell>
          <cell r="P351">
            <v>2.5714199583990679E-2</v>
          </cell>
          <cell r="Q351">
            <v>2.8033783068018764E-2</v>
          </cell>
          <cell r="R351">
            <v>2.0349531612145162E-2</v>
          </cell>
          <cell r="S351">
            <v>1.6554750019808252E-2</v>
          </cell>
          <cell r="T351">
            <v>2.7305309955542232E-2</v>
          </cell>
          <cell r="U351">
            <v>2.2909614970486408E-2</v>
          </cell>
          <cell r="V351">
            <v>2.0242388412651493E-2</v>
          </cell>
          <cell r="W351">
            <v>1.3926942083915997E-2</v>
          </cell>
          <cell r="X351">
            <v>2.0817789481383953E-2</v>
          </cell>
          <cell r="Y351">
            <v>2.1729947679162868E-2</v>
          </cell>
          <cell r="Z351">
            <v>1.5387992320746431E-2</v>
          </cell>
          <cell r="AA351">
            <v>1.1006760275203567E-2</v>
          </cell>
          <cell r="AB351">
            <v>1.6402236349297068E-2</v>
          </cell>
          <cell r="AC351">
            <v>1.4439890196668298E-2</v>
          </cell>
          <cell r="AD351">
            <v>1.099370023918878E-2</v>
          </cell>
          <cell r="AE351">
            <v>8.0262628567311332E-3</v>
          </cell>
          <cell r="AF351">
            <v>1.2850821361459659E-2</v>
          </cell>
          <cell r="AG351">
            <v>1.3186821877075887E-2</v>
          </cell>
          <cell r="AH351">
            <v>1.0996667231693466E-2</v>
          </cell>
          <cell r="AI351">
            <v>7.7698636910670206E-3</v>
          </cell>
          <cell r="AJ351">
            <v>1.55E-2</v>
          </cell>
          <cell r="AK351">
            <v>1.55E-2</v>
          </cell>
          <cell r="AL351">
            <v>1.35E-2</v>
          </cell>
          <cell r="AM351">
            <v>1.0500000000000001E-2</v>
          </cell>
          <cell r="AN351">
            <v>1.55E-2</v>
          </cell>
        </row>
        <row r="352">
          <cell r="I352" t="str">
            <v>Bear vs. Base Case - bps</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25</v>
          </cell>
          <cell r="AK352">
            <v>25</v>
          </cell>
          <cell r="AL352">
            <v>25</v>
          </cell>
          <cell r="AM352">
            <v>25</v>
          </cell>
          <cell r="AN352">
            <v>25</v>
          </cell>
        </row>
        <row r="354">
          <cell r="I354" t="str">
            <v>Stock-Based Compensation as % of Gross Profit</v>
          </cell>
        </row>
        <row r="355">
          <cell r="I355" t="str">
            <v>Base Case</v>
          </cell>
          <cell r="M355">
            <v>4.1768769641843534E-2</v>
          </cell>
          <cell r="N355">
            <v>3.513099693773393E-2</v>
          </cell>
          <cell r="O355">
            <v>2.86773454636697E-2</v>
          </cell>
          <cell r="P355">
            <v>4.6735733593255425E-2</v>
          </cell>
          <cell r="Q355">
            <v>3.0489507795722227E-2</v>
          </cell>
          <cell r="R355">
            <v>2.2376737489750994E-2</v>
          </cell>
          <cell r="S355">
            <v>2.0437168211710637E-2</v>
          </cell>
          <cell r="T355">
            <v>3.4304910335181571E-2</v>
          </cell>
          <cell r="U355">
            <v>5.4880371943037937E-2</v>
          </cell>
          <cell r="V355">
            <v>3.5774953197359342E-2</v>
          </cell>
          <cell r="W355">
            <v>3.1811767981321071E-2</v>
          </cell>
          <cell r="X355">
            <v>5.5840830956038333E-2</v>
          </cell>
          <cell r="Y355">
            <v>5.0847213555416888E-2</v>
          </cell>
          <cell r="Z355">
            <v>3.6902351607598E-2</v>
          </cell>
          <cell r="AA355">
            <v>2.5045736694884399E-2</v>
          </cell>
          <cell r="AB355">
            <v>2.5364875522448104E-2</v>
          </cell>
          <cell r="AC355">
            <v>3.7318717958359983E-2</v>
          </cell>
          <cell r="AD355">
            <v>3.4732905862932484E-2</v>
          </cell>
          <cell r="AE355">
            <v>3.1786822938870106E-2</v>
          </cell>
          <cell r="AF355">
            <v>4.1073298593474673E-2</v>
          </cell>
          <cell r="AG355">
            <v>2.7664647455160854E-2</v>
          </cell>
          <cell r="AH355">
            <v>1.7502038767956841E-2</v>
          </cell>
          <cell r="AI355">
            <v>1.2087464595672583E-2</v>
          </cell>
          <cell r="AJ355">
            <v>0.03</v>
          </cell>
          <cell r="AK355">
            <v>2.8000000000000001E-2</v>
          </cell>
          <cell r="AL355">
            <v>1.9502038767956843E-2</v>
          </cell>
          <cell r="AM355">
            <v>1.4999999999999999E-2</v>
          </cell>
          <cell r="AN355">
            <v>0.03</v>
          </cell>
        </row>
        <row r="356">
          <cell r="I356" t="str">
            <v>Bull Case</v>
          </cell>
          <cell r="M356">
            <v>4.1768769641843534E-2</v>
          </cell>
          <cell r="N356">
            <v>3.513099693773393E-2</v>
          </cell>
          <cell r="O356">
            <v>2.86773454636697E-2</v>
          </cell>
          <cell r="P356">
            <v>4.6735733593255425E-2</v>
          </cell>
          <cell r="Q356">
            <v>3.0489507795722227E-2</v>
          </cell>
          <cell r="R356">
            <v>2.2376737489750994E-2</v>
          </cell>
          <cell r="S356">
            <v>2.0437168211710637E-2</v>
          </cell>
          <cell r="T356">
            <v>3.4304910335181571E-2</v>
          </cell>
          <cell r="U356">
            <v>5.4880371943037937E-2</v>
          </cell>
          <cell r="V356">
            <v>3.5774953197359342E-2</v>
          </cell>
          <cell r="W356">
            <v>3.1811767981321071E-2</v>
          </cell>
          <cell r="X356">
            <v>5.5840830956038333E-2</v>
          </cell>
          <cell r="Y356">
            <v>5.0847213555416888E-2</v>
          </cell>
          <cell r="Z356">
            <v>3.6902351607598E-2</v>
          </cell>
          <cell r="AA356">
            <v>2.5045736694884399E-2</v>
          </cell>
          <cell r="AB356">
            <v>2.5364875522448104E-2</v>
          </cell>
          <cell r="AC356">
            <v>3.7318717958359983E-2</v>
          </cell>
          <cell r="AD356">
            <v>3.4732905862932484E-2</v>
          </cell>
          <cell r="AE356">
            <v>3.1786822938870106E-2</v>
          </cell>
          <cell r="AF356">
            <v>4.1073298593474673E-2</v>
          </cell>
          <cell r="AG356">
            <v>2.7664647455160854E-2</v>
          </cell>
          <cell r="AH356">
            <v>1.7502038767956841E-2</v>
          </cell>
          <cell r="AI356">
            <v>1.2087464595672583E-2</v>
          </cell>
          <cell r="AJ356">
            <v>2.75E-2</v>
          </cell>
          <cell r="AK356">
            <v>2.5500000000000002E-2</v>
          </cell>
          <cell r="AL356">
            <v>1.7002038767956845E-2</v>
          </cell>
          <cell r="AM356">
            <v>1.2499999999999999E-2</v>
          </cell>
          <cell r="AN356">
            <v>2.75E-2</v>
          </cell>
        </row>
        <row r="357">
          <cell r="I357" t="str">
            <v>Bull vs. Base Case - bps</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-25</v>
          </cell>
          <cell r="AK357">
            <v>-25</v>
          </cell>
          <cell r="AL357">
            <v>-25</v>
          </cell>
          <cell r="AM357">
            <v>-25</v>
          </cell>
          <cell r="AN357">
            <v>-25</v>
          </cell>
        </row>
        <row r="358">
          <cell r="I358" t="str">
            <v>Bear Case</v>
          </cell>
          <cell r="M358">
            <v>4.1768769641843534E-2</v>
          </cell>
          <cell r="N358">
            <v>3.513099693773393E-2</v>
          </cell>
          <cell r="O358">
            <v>2.86773454636697E-2</v>
          </cell>
          <cell r="P358">
            <v>4.6735733593255425E-2</v>
          </cell>
          <cell r="Q358">
            <v>3.0489507795722227E-2</v>
          </cell>
          <cell r="R358">
            <v>2.2376737489750994E-2</v>
          </cell>
          <cell r="S358">
            <v>2.0437168211710637E-2</v>
          </cell>
          <cell r="T358">
            <v>3.4304910335181571E-2</v>
          </cell>
          <cell r="U358">
            <v>5.4880371943037937E-2</v>
          </cell>
          <cell r="V358">
            <v>3.5774953197359342E-2</v>
          </cell>
          <cell r="W358">
            <v>3.1811767981321071E-2</v>
          </cell>
          <cell r="X358">
            <v>5.5840830956038333E-2</v>
          </cell>
          <cell r="Y358">
            <v>5.0847213555416888E-2</v>
          </cell>
          <cell r="Z358">
            <v>3.6902351607598E-2</v>
          </cell>
          <cell r="AA358">
            <v>2.5045736694884399E-2</v>
          </cell>
          <cell r="AB358">
            <v>2.5364875522448104E-2</v>
          </cell>
          <cell r="AC358">
            <v>3.7318717958359983E-2</v>
          </cell>
          <cell r="AD358">
            <v>3.4732905862932484E-2</v>
          </cell>
          <cell r="AE358">
            <v>3.1786822938870106E-2</v>
          </cell>
          <cell r="AF358">
            <v>4.1073298593474673E-2</v>
          </cell>
          <cell r="AG358">
            <v>2.7664647455160854E-2</v>
          </cell>
          <cell r="AH358">
            <v>1.7502038767956841E-2</v>
          </cell>
          <cell r="AI358">
            <v>1.2087464595672583E-2</v>
          </cell>
          <cell r="AJ358">
            <v>3.2500000000000001E-2</v>
          </cell>
          <cell r="AK358">
            <v>3.0499999999999999E-2</v>
          </cell>
          <cell r="AL358">
            <v>2.2002038767956842E-2</v>
          </cell>
          <cell r="AM358">
            <v>1.7499999999999998E-2</v>
          </cell>
          <cell r="AN358">
            <v>3.2500000000000001E-2</v>
          </cell>
        </row>
        <row r="359">
          <cell r="I359" t="str">
            <v>Bear vs. Base Case - bps</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25</v>
          </cell>
          <cell r="AK359">
            <v>25</v>
          </cell>
          <cell r="AL359">
            <v>25</v>
          </cell>
          <cell r="AM359">
            <v>25</v>
          </cell>
          <cell r="AN359">
            <v>25</v>
          </cell>
        </row>
        <row r="361">
          <cell r="I361" t="str">
            <v>Model Drivers</v>
          </cell>
        </row>
        <row r="362">
          <cell r="I362" t="str">
            <v>Gross Bookings Model Drivers:</v>
          </cell>
        </row>
        <row r="363">
          <cell r="I363" t="str">
            <v>US</v>
          </cell>
        </row>
        <row r="364">
          <cell r="I364" t="str">
            <v>Agency (Priceline.com) - Y/Y Growth</v>
          </cell>
          <cell r="AJ364">
            <v>0.18</v>
          </cell>
          <cell r="AK364">
            <v>0.15</v>
          </cell>
          <cell r="AL364">
            <v>0.17</v>
          </cell>
          <cell r="AM364">
            <v>0.17</v>
          </cell>
          <cell r="AN364">
            <v>0.16</v>
          </cell>
        </row>
        <row r="365">
          <cell r="I365" t="str">
            <v>Merchant (NYOP &amp; Priceline.com) - Y/Y growth</v>
          </cell>
          <cell r="AJ365">
            <v>0.08</v>
          </cell>
          <cell r="AK365">
            <v>0.08</v>
          </cell>
          <cell r="AL365">
            <v>0.09</v>
          </cell>
          <cell r="AM365">
            <v>0.09</v>
          </cell>
          <cell r="AN365">
            <v>0.08</v>
          </cell>
        </row>
        <row r="366">
          <cell r="I366" t="str">
            <v>Europe</v>
          </cell>
        </row>
        <row r="367">
          <cell r="I367" t="str">
            <v>Agency (Booking.com &amp; Other) - Y/Y growth</v>
          </cell>
          <cell r="AJ367">
            <v>0.44215147226210577</v>
          </cell>
          <cell r="AK367">
            <v>0.27375034141813703</v>
          </cell>
          <cell r="AL367">
            <v>0.25919430319770514</v>
          </cell>
          <cell r="AM367">
            <v>0.28358264172784808</v>
          </cell>
          <cell r="AN367">
            <v>0.2567397418289814</v>
          </cell>
        </row>
        <row r="368">
          <cell r="I368" t="str">
            <v>Merchant (TravelJigsaw) - Y/Y growth</v>
          </cell>
          <cell r="AJ368">
            <v>0.69215147226210572</v>
          </cell>
          <cell r="AK368">
            <v>0.55375034141813706</v>
          </cell>
          <cell r="AL368">
            <v>0.55919430319770513</v>
          </cell>
          <cell r="AM368">
            <v>0.57358264172784812</v>
          </cell>
          <cell r="AN368">
            <v>0.56673974182898135</v>
          </cell>
        </row>
        <row r="369">
          <cell r="I369" t="str">
            <v>Asia</v>
          </cell>
        </row>
        <row r="370">
          <cell r="I370" t="str">
            <v>Agency (Booking.com) - Y/Y growth</v>
          </cell>
          <cell r="AJ370">
            <v>1.0454551581950273</v>
          </cell>
          <cell r="AK370">
            <v>0.74519655383601913</v>
          </cell>
          <cell r="AL370">
            <v>0.76965937972413578</v>
          </cell>
          <cell r="AM370">
            <v>0.75191701779857967</v>
          </cell>
          <cell r="AN370">
            <v>0.71257667341143149</v>
          </cell>
        </row>
        <row r="371">
          <cell r="I371" t="str">
            <v>Merchant (Agoda) - Y/Y growth</v>
          </cell>
          <cell r="AJ371">
            <v>0.84545515819502737</v>
          </cell>
          <cell r="AK371">
            <v>0.64519655383601915</v>
          </cell>
          <cell r="AL371">
            <v>0.66965937972413581</v>
          </cell>
          <cell r="AM371">
            <v>0.65191701779857969</v>
          </cell>
          <cell r="AN371">
            <v>0.61257667341143152</v>
          </cell>
        </row>
        <row r="372">
          <cell r="I372" t="str">
            <v>Latin America</v>
          </cell>
        </row>
        <row r="373">
          <cell r="I373" t="str">
            <v>Agency (Booking.com) - Y/Y growth</v>
          </cell>
          <cell r="AJ373">
            <v>0.92866065574799694</v>
          </cell>
          <cell r="AK373">
            <v>0.66217508968191952</v>
          </cell>
          <cell r="AL373">
            <v>0.6926001226320716</v>
          </cell>
          <cell r="AM373">
            <v>0.70097497037321943</v>
          </cell>
          <cell r="AN373">
            <v>0.69756709862743027</v>
          </cell>
        </row>
        <row r="375">
          <cell r="I375" t="str">
            <v>US</v>
          </cell>
        </row>
        <row r="376">
          <cell r="I376" t="str">
            <v xml:space="preserve">Agency (Priceline.com) </v>
          </cell>
          <cell r="M376">
            <v>207.69199999999989</v>
          </cell>
          <cell r="N376">
            <v>252.69099999999986</v>
          </cell>
          <cell r="O376">
            <v>201.9899999999999</v>
          </cell>
          <cell r="P376">
            <v>171.93399999999994</v>
          </cell>
          <cell r="Q376">
            <v>190.84899999999999</v>
          </cell>
          <cell r="R376">
            <v>232.13600000000002</v>
          </cell>
          <cell r="S376">
            <v>254.14100000000002</v>
          </cell>
          <cell r="T376">
            <v>246.33799999999991</v>
          </cell>
          <cell r="U376">
            <v>357.07499999999987</v>
          </cell>
          <cell r="V376">
            <v>443.2940000000001</v>
          </cell>
          <cell r="W376">
            <v>385.09300000000013</v>
          </cell>
          <cell r="X376">
            <v>353.52399999999983</v>
          </cell>
          <cell r="Y376">
            <v>417.31599999999986</v>
          </cell>
          <cell r="Z376">
            <v>453.41999999999996</v>
          </cell>
          <cell r="AA376">
            <v>474.61099999999999</v>
          </cell>
          <cell r="AB376">
            <v>427.04500000000019</v>
          </cell>
          <cell r="AC376">
            <v>485.1570000000001</v>
          </cell>
          <cell r="AD376">
            <v>558.46900000000005</v>
          </cell>
          <cell r="AE376">
            <v>538.9</v>
          </cell>
          <cell r="AF376">
            <v>445.875</v>
          </cell>
          <cell r="AG376">
            <v>539.86160000000007</v>
          </cell>
          <cell r="AH376">
            <v>608.48919999999998</v>
          </cell>
          <cell r="AI376">
            <v>660.58500000000004</v>
          </cell>
          <cell r="AJ376">
            <v>526.13249999999994</v>
          </cell>
          <cell r="AK376">
            <v>620.84084000000007</v>
          </cell>
          <cell r="AL376">
            <v>711.93236399999989</v>
          </cell>
          <cell r="AM376">
            <v>772.88445000000002</v>
          </cell>
          <cell r="AN376">
            <v>610.31369999999993</v>
          </cell>
        </row>
        <row r="377">
          <cell r="I377" t="str">
            <v xml:space="preserve">Merchant (NYOP &amp; Priceline.com) </v>
          </cell>
          <cell r="M377">
            <v>266.315</v>
          </cell>
          <cell r="N377">
            <v>318.06599999999997</v>
          </cell>
          <cell r="O377">
            <v>302.762</v>
          </cell>
          <cell r="P377">
            <v>251.34</v>
          </cell>
          <cell r="Q377">
            <v>287.96300000000002</v>
          </cell>
          <cell r="R377">
            <v>315.65100000000001</v>
          </cell>
          <cell r="S377">
            <v>348.06400000000002</v>
          </cell>
          <cell r="T377">
            <v>279.233</v>
          </cell>
          <cell r="U377">
            <v>363.89299999999997</v>
          </cell>
          <cell r="V377">
            <v>428.99</v>
          </cell>
          <cell r="W377">
            <v>414.334</v>
          </cell>
          <cell r="X377">
            <v>335.589</v>
          </cell>
          <cell r="Y377">
            <v>434.26799999999997</v>
          </cell>
          <cell r="Z377">
            <v>510.75799999999992</v>
          </cell>
          <cell r="AA377">
            <v>524.23500000000001</v>
          </cell>
          <cell r="AB377">
            <v>404.40899999999999</v>
          </cell>
          <cell r="AC377">
            <v>504.53799999999995</v>
          </cell>
          <cell r="AD377">
            <v>595.71100000000001</v>
          </cell>
          <cell r="AE377">
            <v>582.1</v>
          </cell>
          <cell r="AF377">
            <v>456.125</v>
          </cell>
          <cell r="AG377">
            <v>589.13839999999993</v>
          </cell>
          <cell r="AH377">
            <v>699.51080000000002</v>
          </cell>
          <cell r="AI377">
            <v>607.41499999999996</v>
          </cell>
          <cell r="AJ377">
            <v>492.61500000000001</v>
          </cell>
          <cell r="AK377">
            <v>636.26947199999995</v>
          </cell>
          <cell r="AL377">
            <v>762.46677200000011</v>
          </cell>
          <cell r="AM377">
            <v>662.08235000000002</v>
          </cell>
          <cell r="AN377">
            <v>532.02420000000006</v>
          </cell>
        </row>
        <row r="378">
          <cell r="I378" t="str">
            <v>Europe</v>
          </cell>
        </row>
        <row r="379">
          <cell r="I379" t="str">
            <v xml:space="preserve">Agency (Booking.com &amp; Other) </v>
          </cell>
          <cell r="M379">
            <v>267.26400000000007</v>
          </cell>
          <cell r="N379">
            <v>350.74300000000011</v>
          </cell>
          <cell r="O379">
            <v>392.76600000000008</v>
          </cell>
          <cell r="P379">
            <v>313.15600000000006</v>
          </cell>
          <cell r="Q379">
            <v>504.00400000000002</v>
          </cell>
          <cell r="R379">
            <v>670.29899999999998</v>
          </cell>
          <cell r="S379">
            <v>772.15299999999979</v>
          </cell>
          <cell r="T379">
            <v>649.81000000000006</v>
          </cell>
          <cell r="U379">
            <v>972.23150000000021</v>
          </cell>
          <cell r="V379">
            <v>1168.3035</v>
          </cell>
          <cell r="W379">
            <v>1173.1324999999999</v>
          </cell>
          <cell r="X379">
            <v>711.15499999999997</v>
          </cell>
          <cell r="Y379">
            <v>962.86</v>
          </cell>
          <cell r="Z379">
            <v>1262.009125</v>
          </cell>
          <cell r="AA379">
            <v>1538.44625</v>
          </cell>
          <cell r="AB379">
            <v>1228.8415</v>
          </cell>
          <cell r="AC379">
            <v>1656.6200000000001</v>
          </cell>
          <cell r="AD379">
            <v>1843.9102500000001</v>
          </cell>
          <cell r="AE379">
            <v>2305.939625</v>
          </cell>
          <cell r="AF379">
            <v>1857.9887500000002</v>
          </cell>
          <cell r="AG379">
            <v>2708.0260000000003</v>
          </cell>
          <cell r="AH379">
            <v>3431.0739750000002</v>
          </cell>
          <cell r="AI379">
            <v>3748.7228999999998</v>
          </cell>
          <cell r="AJ379">
            <v>2679.5012112589302</v>
          </cell>
          <cell r="AK379">
            <v>3449.3490420691924</v>
          </cell>
          <cell r="AL379">
            <v>4320.3888031699053</v>
          </cell>
          <cell r="AM379">
            <v>4811.7956430876802</v>
          </cell>
          <cell r="AN379">
            <v>3367.4356604679911</v>
          </cell>
        </row>
        <row r="380">
          <cell r="I380" t="str">
            <v xml:space="preserve">Merchant (TravelJigsaw) </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43.9</v>
          </cell>
          <cell r="AE380">
            <v>85.8</v>
          </cell>
          <cell r="AF380">
            <v>55</v>
          </cell>
          <cell r="AG380">
            <v>95.7</v>
          </cell>
          <cell r="AH380">
            <v>154</v>
          </cell>
          <cell r="AI380">
            <v>145.85999999999999</v>
          </cell>
          <cell r="AJ380">
            <v>93.068330974415815</v>
          </cell>
          <cell r="AK380">
            <v>148.69390767371573</v>
          </cell>
          <cell r="AL380">
            <v>240.11592269244659</v>
          </cell>
          <cell r="AM380">
            <v>229.52276412242392</v>
          </cell>
          <cell r="AN380">
            <v>145.81385284331043</v>
          </cell>
        </row>
        <row r="381">
          <cell r="I381" t="str">
            <v>Asia</v>
          </cell>
        </row>
        <row r="382">
          <cell r="I382" t="str">
            <v xml:space="preserve">Agency (Booking.com) </v>
          </cell>
          <cell r="M382">
            <v>3.55</v>
          </cell>
          <cell r="N382">
            <v>3.85</v>
          </cell>
          <cell r="O382">
            <v>3.65</v>
          </cell>
          <cell r="P382">
            <v>3.98</v>
          </cell>
          <cell r="Q382">
            <v>8.875</v>
          </cell>
          <cell r="R382">
            <v>9.625</v>
          </cell>
          <cell r="S382">
            <v>9.125</v>
          </cell>
          <cell r="T382">
            <v>9.9499999999999993</v>
          </cell>
          <cell r="U382">
            <v>20.412499999999998</v>
          </cell>
          <cell r="V382">
            <v>22.137499999999999</v>
          </cell>
          <cell r="W382">
            <v>20.987499999999997</v>
          </cell>
          <cell r="X382">
            <v>22.884999999999998</v>
          </cell>
          <cell r="Y382">
            <v>32.659999999999997</v>
          </cell>
          <cell r="Z382">
            <v>40.068874999999998</v>
          </cell>
          <cell r="AA382">
            <v>44.073749999999997</v>
          </cell>
          <cell r="AB382">
            <v>57.212499999999991</v>
          </cell>
          <cell r="AC382">
            <v>71.852000000000004</v>
          </cell>
          <cell r="AD382">
            <v>80.137749999999997</v>
          </cell>
          <cell r="AE382">
            <v>110.18437499999999</v>
          </cell>
          <cell r="AF382">
            <v>120.14624999999998</v>
          </cell>
          <cell r="AG382">
            <v>165.25960000000001</v>
          </cell>
          <cell r="AH382">
            <v>184.31682499999997</v>
          </cell>
          <cell r="AI382">
            <v>264.44249999999994</v>
          </cell>
          <cell r="AJ382">
            <v>245.75376680028927</v>
          </cell>
          <cell r="AK382">
            <v>288.41048440831901</v>
          </cell>
          <cell r="AL382">
            <v>326.177998202222</v>
          </cell>
          <cell r="AM382">
            <v>463.28131597920077</v>
          </cell>
          <cell r="AN382">
            <v>420.87216842516807</v>
          </cell>
        </row>
        <row r="383">
          <cell r="I383" t="str">
            <v xml:space="preserve">Merchant (Agoda) </v>
          </cell>
          <cell r="M383">
            <v>0</v>
          </cell>
          <cell r="N383">
            <v>0</v>
          </cell>
          <cell r="O383">
            <v>0</v>
          </cell>
          <cell r="P383">
            <v>0</v>
          </cell>
          <cell r="Q383">
            <v>0</v>
          </cell>
          <cell r="R383">
            <v>0</v>
          </cell>
          <cell r="S383">
            <v>0</v>
          </cell>
          <cell r="T383">
            <v>13.4</v>
          </cell>
          <cell r="U383">
            <v>24.6</v>
          </cell>
          <cell r="V383">
            <v>24.2</v>
          </cell>
          <cell r="W383">
            <v>32.4</v>
          </cell>
          <cell r="X383">
            <v>37.5</v>
          </cell>
          <cell r="Y383">
            <v>39.360000000000007</v>
          </cell>
          <cell r="Z383">
            <v>43.802</v>
          </cell>
          <cell r="AA383">
            <v>68.040000000000006</v>
          </cell>
          <cell r="AB383">
            <v>93.75</v>
          </cell>
          <cell r="AC383">
            <v>86.592000000000027</v>
          </cell>
          <cell r="AD383">
            <v>87.603999999999999</v>
          </cell>
          <cell r="AE383">
            <v>170.10000000000002</v>
          </cell>
          <cell r="AF383">
            <v>196.875</v>
          </cell>
          <cell r="AG383">
            <v>199.16160000000005</v>
          </cell>
          <cell r="AH383">
            <v>201.48919999999998</v>
          </cell>
          <cell r="AI383">
            <v>382.72500000000002</v>
          </cell>
          <cell r="AJ383">
            <v>363.32398426964602</v>
          </cell>
          <cell r="AK383">
            <v>327.65997797646781</v>
          </cell>
          <cell r="AL383">
            <v>336.41833269311235</v>
          </cell>
          <cell r="AM383">
            <v>632.22994063696137</v>
          </cell>
          <cell r="AN383">
            <v>585.88778192413304</v>
          </cell>
        </row>
        <row r="384">
          <cell r="I384" t="str">
            <v>Latin America</v>
          </cell>
        </row>
        <row r="385">
          <cell r="I385" t="str">
            <v xml:space="preserve">Agency (Booking.com) </v>
          </cell>
          <cell r="M385">
            <v>2</v>
          </cell>
          <cell r="N385">
            <v>2</v>
          </cell>
          <cell r="O385">
            <v>2</v>
          </cell>
          <cell r="P385">
            <v>2</v>
          </cell>
          <cell r="Q385">
            <v>6.8</v>
          </cell>
          <cell r="R385">
            <v>7.2</v>
          </cell>
          <cell r="S385">
            <v>7.2</v>
          </cell>
          <cell r="T385">
            <v>6.6</v>
          </cell>
          <cell r="U385">
            <v>20.399999999999999</v>
          </cell>
          <cell r="V385">
            <v>23.040000000000003</v>
          </cell>
          <cell r="W385">
            <v>24.48</v>
          </cell>
          <cell r="X385">
            <v>20.46</v>
          </cell>
          <cell r="Y385">
            <v>57.11999999999999</v>
          </cell>
          <cell r="Z385">
            <v>69.12</v>
          </cell>
          <cell r="AA385">
            <v>73.44</v>
          </cell>
          <cell r="AB385">
            <v>53.196000000000005</v>
          </cell>
          <cell r="AC385">
            <v>159.93599999999995</v>
          </cell>
          <cell r="AD385">
            <v>200.44800000000001</v>
          </cell>
          <cell r="AE385">
            <v>212.976</v>
          </cell>
          <cell r="AF385">
            <v>132.99</v>
          </cell>
          <cell r="AG385">
            <v>367.85279999999983</v>
          </cell>
          <cell r="AH385">
            <v>501.12</v>
          </cell>
          <cell r="AI385">
            <v>447.24960000000004</v>
          </cell>
          <cell r="AJ385">
            <v>256.49258060792613</v>
          </cell>
          <cell r="AK385">
            <v>611.43576082974494</v>
          </cell>
          <cell r="AL385">
            <v>848.19577345338382</v>
          </cell>
          <cell r="AM385">
            <v>760.76037510943434</v>
          </cell>
          <cell r="AN385">
            <v>435.41336588205945</v>
          </cell>
        </row>
        <row r="387">
          <cell r="I387" t="str">
            <v>Revenue Model Drivers:</v>
          </cell>
        </row>
        <row r="388">
          <cell r="I388" t="str">
            <v>US</v>
          </cell>
        </row>
        <row r="389">
          <cell r="I389" t="str">
            <v>Agency (Priceline.com) - % of gross bookings</v>
          </cell>
          <cell r="AI389">
            <v>2.917850844327393E-2</v>
          </cell>
          <cell r="AJ389">
            <v>3.3000000000000002E-2</v>
          </cell>
          <cell r="AK389">
            <v>2.8000000000000001E-2</v>
          </cell>
          <cell r="AL389">
            <v>3.2000000000000001E-2</v>
          </cell>
          <cell r="AM389">
            <v>2.9000000000000001E-2</v>
          </cell>
          <cell r="AN389">
            <v>0.03</v>
          </cell>
        </row>
        <row r="390">
          <cell r="I390" t="str">
            <v>Merchant (NYOP &amp; Priceline.com) - % of gross bookings</v>
          </cell>
          <cell r="AI390">
            <v>0.78621060559913736</v>
          </cell>
          <cell r="AJ390">
            <v>0.74</v>
          </cell>
          <cell r="AK390">
            <v>0.68500000000000005</v>
          </cell>
          <cell r="AL390">
            <v>0.66900000000000004</v>
          </cell>
          <cell r="AM390">
            <v>0.79300000000000004</v>
          </cell>
          <cell r="AN390">
            <v>0.74199999999999999</v>
          </cell>
        </row>
        <row r="391">
          <cell r="I391" t="str">
            <v>Other - Y/Y growth</v>
          </cell>
          <cell r="AI391">
            <v>-9.1936469150885824E-2</v>
          </cell>
          <cell r="AJ391">
            <v>0</v>
          </cell>
          <cell r="AK391">
            <v>0</v>
          </cell>
          <cell r="AL391">
            <v>0</v>
          </cell>
          <cell r="AM391">
            <v>0</v>
          </cell>
          <cell r="AN391">
            <v>0</v>
          </cell>
        </row>
        <row r="392">
          <cell r="I392" t="str">
            <v>Europe</v>
          </cell>
        </row>
        <row r="393">
          <cell r="I393" t="str">
            <v>Agency (Booking.com &amp; Other) -  % of gross bookings</v>
          </cell>
          <cell r="AI393">
            <v>0.20034010772041858</v>
          </cell>
          <cell r="AJ393">
            <v>0.158</v>
          </cell>
          <cell r="AK393">
            <v>9.5000000000000001E-2</v>
          </cell>
          <cell r="AL393">
            <v>0.13</v>
          </cell>
          <cell r="AM393">
            <v>0.19500000000000001</v>
          </cell>
          <cell r="AN393">
            <v>0.155</v>
          </cell>
        </row>
        <row r="394">
          <cell r="I394" t="str">
            <v>Merchant (TravelJigsaw) - % of gross bookings</v>
          </cell>
          <cell r="AI394">
            <v>0.18099999999999999</v>
          </cell>
          <cell r="AJ394">
            <v>0.18</v>
          </cell>
          <cell r="AK394">
            <v>0.18</v>
          </cell>
          <cell r="AL394">
            <v>0.17799999999999999</v>
          </cell>
          <cell r="AM394">
            <v>0.17799999999999999</v>
          </cell>
          <cell r="AN394">
            <v>0.18</v>
          </cell>
        </row>
        <row r="395">
          <cell r="I395" t="str">
            <v>Asia</v>
          </cell>
        </row>
        <row r="396">
          <cell r="I396" t="str">
            <v>Agency (Booking.com) - % of gross bookings</v>
          </cell>
          <cell r="AI396">
            <v>0.15</v>
          </cell>
          <cell r="AJ396">
            <v>0.15</v>
          </cell>
          <cell r="AK396">
            <v>0.15</v>
          </cell>
          <cell r="AL396">
            <v>0.14799999999999999</v>
          </cell>
          <cell r="AM396">
            <v>0.14799999999999999</v>
          </cell>
          <cell r="AN396">
            <v>0.15</v>
          </cell>
        </row>
        <row r="397">
          <cell r="I397" t="str">
            <v>Merchant (Agoda) - % of gross bookings</v>
          </cell>
          <cell r="AI397">
            <v>0.18099999999999999</v>
          </cell>
          <cell r="AJ397">
            <v>0.18</v>
          </cell>
          <cell r="AK397">
            <v>0.17899999999999999</v>
          </cell>
          <cell r="AL397">
            <v>0.17799999999999999</v>
          </cell>
          <cell r="AM397">
            <v>0.17799999999999999</v>
          </cell>
          <cell r="AN397">
            <v>0.17899999999999999</v>
          </cell>
        </row>
        <row r="398">
          <cell r="I398" t="str">
            <v>Latin America</v>
          </cell>
        </row>
        <row r="399">
          <cell r="I399" t="str">
            <v>Agency (Booking.com) - % of gross bookings</v>
          </cell>
          <cell r="AI399">
            <v>0.14899999999999999</v>
          </cell>
          <cell r="AJ399">
            <v>0.15</v>
          </cell>
          <cell r="AK399">
            <v>0.14899999999999999</v>
          </cell>
          <cell r="AL399">
            <v>0.14799999999999999</v>
          </cell>
          <cell r="AM399">
            <v>0.14799999999999999</v>
          </cell>
          <cell r="AN399">
            <v>0.14899999999999999</v>
          </cell>
        </row>
        <row r="401">
          <cell r="I401" t="str">
            <v>US</v>
          </cell>
        </row>
        <row r="402">
          <cell r="I402" t="str">
            <v xml:space="preserve">Agency (Priceline.com) </v>
          </cell>
          <cell r="M402">
            <v>7.9809999999999937</v>
          </cell>
          <cell r="N402">
            <v>8.7919999999999874</v>
          </cell>
          <cell r="O402">
            <v>8.3260000000000485</v>
          </cell>
          <cell r="P402">
            <v>6.1009999999999796</v>
          </cell>
          <cell r="Q402">
            <v>6.6110000000000371</v>
          </cell>
          <cell r="R402">
            <v>7.9439999999999413</v>
          </cell>
          <cell r="S402">
            <v>7.8229999999999542</v>
          </cell>
          <cell r="T402">
            <v>5.7799999999999976</v>
          </cell>
          <cell r="U402">
            <v>10.160000000000023</v>
          </cell>
          <cell r="V402">
            <v>13.104999999999976</v>
          </cell>
          <cell r="W402">
            <v>14.770000000000049</v>
          </cell>
          <cell r="X402">
            <v>12.32299999999999</v>
          </cell>
          <cell r="Y402">
            <v>12.709799999999952</v>
          </cell>
          <cell r="Z402">
            <v>14.769359999999974</v>
          </cell>
          <cell r="AA402">
            <v>18.535199999999989</v>
          </cell>
          <cell r="AB402">
            <v>14.471000000000084</v>
          </cell>
          <cell r="AC402">
            <v>13.028559999999914</v>
          </cell>
          <cell r="AD402">
            <v>18.582720000000034</v>
          </cell>
          <cell r="AE402">
            <v>19.071999999999946</v>
          </cell>
          <cell r="AF402">
            <v>16.275500000000051</v>
          </cell>
          <cell r="AG402">
            <v>15.397088000000048</v>
          </cell>
          <cell r="AH402">
            <v>19.913566800000122</v>
          </cell>
          <cell r="AI402">
            <v>19.274885000000111</v>
          </cell>
          <cell r="AJ402">
            <v>17.362372499999999</v>
          </cell>
          <cell r="AK402">
            <v>17.383543520000003</v>
          </cell>
          <cell r="AL402">
            <v>22.781835647999998</v>
          </cell>
          <cell r="AM402">
            <v>22.41364905</v>
          </cell>
          <cell r="AN402">
            <v>18.309410999999997</v>
          </cell>
        </row>
        <row r="403">
          <cell r="I403" t="str">
            <v xml:space="preserve">Merchant (NYOP &amp; Priceline.com) </v>
          </cell>
          <cell r="M403">
            <v>210.43799999999999</v>
          </cell>
          <cell r="N403">
            <v>250.524</v>
          </cell>
          <cell r="O403">
            <v>238.55799999999999</v>
          </cell>
          <cell r="P403">
            <v>204.649</v>
          </cell>
          <cell r="Q403">
            <v>230.13299999999998</v>
          </cell>
          <cell r="R403">
            <v>252.59099999999998</v>
          </cell>
          <cell r="S403">
            <v>274.81600000000003</v>
          </cell>
          <cell r="T403">
            <v>224.28100000000001</v>
          </cell>
          <cell r="U403">
            <v>284.73099999999999</v>
          </cell>
          <cell r="V403">
            <v>331.87400000000002</v>
          </cell>
          <cell r="W403">
            <v>318.125</v>
          </cell>
          <cell r="X403">
            <v>262.06599999999997</v>
          </cell>
          <cell r="Y403">
            <v>329.94920000000002</v>
          </cell>
          <cell r="Z403">
            <v>384.93763999999999</v>
          </cell>
          <cell r="AA403">
            <v>388.0668</v>
          </cell>
          <cell r="AB403">
            <v>300.53199999999998</v>
          </cell>
          <cell r="AC403">
            <v>352.67843999999997</v>
          </cell>
          <cell r="AD403">
            <v>422.99828000000002</v>
          </cell>
          <cell r="AE403">
            <v>448.411</v>
          </cell>
          <cell r="AF403">
            <v>336.8965</v>
          </cell>
          <cell r="AG403">
            <v>401.72891199999998</v>
          </cell>
          <cell r="AH403">
            <v>466.89743320000002</v>
          </cell>
          <cell r="AI403">
            <v>477.55611499999998</v>
          </cell>
          <cell r="AJ403">
            <v>364.5351</v>
          </cell>
          <cell r="AK403">
            <v>435.84458832000001</v>
          </cell>
          <cell r="AL403">
            <v>510.09027046800009</v>
          </cell>
          <cell r="AM403">
            <v>525.03130355000008</v>
          </cell>
          <cell r="AN403">
            <v>394.76195640000003</v>
          </cell>
        </row>
        <row r="404">
          <cell r="I404" t="str">
            <v>Other</v>
          </cell>
          <cell r="M404">
            <v>1.095</v>
          </cell>
          <cell r="N404">
            <v>1.2350000000000001</v>
          </cell>
          <cell r="O404">
            <v>1.583</v>
          </cell>
          <cell r="P404">
            <v>1.121</v>
          </cell>
          <cell r="Q404">
            <v>0.86699999999999999</v>
          </cell>
          <cell r="R404">
            <v>2.6269999999999998</v>
          </cell>
          <cell r="S404">
            <v>2.4529999999999998</v>
          </cell>
          <cell r="T404">
            <v>2.3919999999999999</v>
          </cell>
          <cell r="U404">
            <v>4.0890000000000004</v>
          </cell>
          <cell r="V404">
            <v>4.4969999999999999</v>
          </cell>
          <cell r="W404">
            <v>5.0140000000000002</v>
          </cell>
          <cell r="X404">
            <v>4.2519999999999998</v>
          </cell>
          <cell r="Y404">
            <v>4.7990000000000004</v>
          </cell>
          <cell r="Z404">
            <v>6.4340000000000002</v>
          </cell>
          <cell r="AA404">
            <v>7.1580000000000004</v>
          </cell>
          <cell r="AB404">
            <v>3.85</v>
          </cell>
          <cell r="AC404">
            <v>2.887</v>
          </cell>
          <cell r="AD404">
            <v>3.258</v>
          </cell>
          <cell r="AE404">
            <v>3.274</v>
          </cell>
          <cell r="AF404">
            <v>3.2440000000000002</v>
          </cell>
          <cell r="AG404">
            <v>3.0939999999999999</v>
          </cell>
          <cell r="AH404">
            <v>3.0049999999999999</v>
          </cell>
          <cell r="AI404">
            <v>2.9729999999999999</v>
          </cell>
          <cell r="AJ404">
            <v>3.2440000000000002</v>
          </cell>
          <cell r="AK404">
            <v>3.0939999999999999</v>
          </cell>
          <cell r="AL404">
            <v>3.0049999999999999</v>
          </cell>
          <cell r="AM404">
            <v>2.9729999999999999</v>
          </cell>
          <cell r="AN404">
            <v>3.2440000000000002</v>
          </cell>
        </row>
        <row r="405">
          <cell r="I405" t="str">
            <v>Europe</v>
          </cell>
        </row>
        <row r="406">
          <cell r="I406" t="str">
            <v xml:space="preserve">Agency (Booking.com &amp; Other) </v>
          </cell>
          <cell r="M406">
            <v>21.567499999999999</v>
          </cell>
          <cell r="N406">
            <v>46.222500000000004</v>
          </cell>
          <cell r="O406">
            <v>64.152500000000003</v>
          </cell>
          <cell r="P406">
            <v>47.303000000000004</v>
          </cell>
          <cell r="Q406">
            <v>45.548749999999998</v>
          </cell>
          <cell r="R406">
            <v>87.876250000000013</v>
          </cell>
          <cell r="S406">
            <v>129.35124999999999</v>
          </cell>
          <cell r="T406">
            <v>97.505499999999998</v>
          </cell>
          <cell r="U406">
            <v>93.650125000000003</v>
          </cell>
          <cell r="V406">
            <v>153.36737500000001</v>
          </cell>
          <cell r="W406">
            <v>211.047875</v>
          </cell>
          <cell r="X406">
            <v>114.14825</v>
          </cell>
          <cell r="Y406">
            <v>94.048199999999994</v>
          </cell>
          <cell r="Z406">
            <v>173.33730875000001</v>
          </cell>
          <cell r="AA406">
            <v>287.02573749999993</v>
          </cell>
          <cell r="AB406">
            <v>189.46372500000001</v>
          </cell>
          <cell r="AC406">
            <v>165.44524000000001</v>
          </cell>
          <cell r="AD406">
            <v>256.84141750000003</v>
          </cell>
          <cell r="AE406">
            <v>436.46394375000006</v>
          </cell>
          <cell r="AF406">
            <v>291.5920625</v>
          </cell>
          <cell r="AG406">
            <v>256.05805200000003</v>
          </cell>
          <cell r="AH406">
            <v>446.4519094499999</v>
          </cell>
          <cell r="AI406">
            <v>751.01954959999989</v>
          </cell>
          <cell r="AJ406">
            <v>423.36119137891097</v>
          </cell>
          <cell r="AK406">
            <v>327.68815899657329</v>
          </cell>
          <cell r="AL406">
            <v>561.6505444120877</v>
          </cell>
          <cell r="AM406">
            <v>938.30015040209764</v>
          </cell>
          <cell r="AN406">
            <v>521.95252737253861</v>
          </cell>
        </row>
        <row r="407">
          <cell r="I407" t="str">
            <v xml:space="preserve">Merchant (TravelJigsaw) </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7.9019999999999992</v>
          </cell>
          <cell r="AE407">
            <v>15.443999999999999</v>
          </cell>
          <cell r="AF407">
            <v>9.9</v>
          </cell>
          <cell r="AG407">
            <v>17.225999999999999</v>
          </cell>
          <cell r="AH407">
            <v>27.565999999999999</v>
          </cell>
          <cell r="AI407">
            <v>26.400659999999995</v>
          </cell>
          <cell r="AJ407">
            <v>16.752299575394847</v>
          </cell>
          <cell r="AK407">
            <v>26.76490338126883</v>
          </cell>
          <cell r="AL407">
            <v>42.740634239255492</v>
          </cell>
          <cell r="AM407">
            <v>40.855052013791457</v>
          </cell>
          <cell r="AN407">
            <v>26.246493511795876</v>
          </cell>
        </row>
        <row r="408">
          <cell r="I408" t="str">
            <v>Asia</v>
          </cell>
        </row>
        <row r="409">
          <cell r="I409" t="str">
            <v xml:space="preserve">Agency (Booking.com) </v>
          </cell>
          <cell r="M409">
            <v>0.53249999999999997</v>
          </cell>
          <cell r="N409">
            <v>0.57750000000000001</v>
          </cell>
          <cell r="O409">
            <v>0.54749999999999999</v>
          </cell>
          <cell r="P409">
            <v>0.59699999999999998</v>
          </cell>
          <cell r="Q409">
            <v>1.33125</v>
          </cell>
          <cell r="R409">
            <v>1.4437499999999999</v>
          </cell>
          <cell r="S409">
            <v>1.3687499999999999</v>
          </cell>
          <cell r="T409">
            <v>1.4924999999999999</v>
          </cell>
          <cell r="U409">
            <v>3.0618749999999997</v>
          </cell>
          <cell r="V409">
            <v>3.3206249999999997</v>
          </cell>
          <cell r="W409">
            <v>3.1481249999999994</v>
          </cell>
          <cell r="X409">
            <v>3.4327499999999995</v>
          </cell>
          <cell r="Y409">
            <v>4.8989999999999991</v>
          </cell>
          <cell r="Z409">
            <v>6.0103312499999992</v>
          </cell>
          <cell r="AA409">
            <v>6.6110624999999992</v>
          </cell>
          <cell r="AB409">
            <v>8.5818749999999984</v>
          </cell>
          <cell r="AC409">
            <v>10.777800000000001</v>
          </cell>
          <cell r="AD409">
            <v>12.020662499999998</v>
          </cell>
          <cell r="AE409">
            <v>16.527656249999996</v>
          </cell>
          <cell r="AF409">
            <v>18.021937499999996</v>
          </cell>
          <cell r="AG409">
            <v>24.78894</v>
          </cell>
          <cell r="AH409">
            <v>27.647523749999994</v>
          </cell>
          <cell r="AI409">
            <v>39.666374999999988</v>
          </cell>
          <cell r="AJ409">
            <v>36.863065020043386</v>
          </cell>
          <cell r="AK409">
            <v>43.261572661247847</v>
          </cell>
          <cell r="AL409">
            <v>48.274343733928852</v>
          </cell>
          <cell r="AM409">
            <v>68.565634764921711</v>
          </cell>
          <cell r="AN409">
            <v>63.130825263775208</v>
          </cell>
        </row>
        <row r="410">
          <cell r="I410" t="str">
            <v xml:space="preserve">Merchant (Agoda) </v>
          </cell>
          <cell r="M410">
            <v>0</v>
          </cell>
          <cell r="N410">
            <v>0</v>
          </cell>
          <cell r="O410">
            <v>0</v>
          </cell>
          <cell r="P410">
            <v>0</v>
          </cell>
          <cell r="Q410">
            <v>0</v>
          </cell>
          <cell r="R410">
            <v>0</v>
          </cell>
          <cell r="S410">
            <v>0</v>
          </cell>
          <cell r="T410">
            <v>2.4119999999999999</v>
          </cell>
          <cell r="U410">
            <v>4.4279999999999999</v>
          </cell>
          <cell r="V410">
            <v>4.3559999999999999</v>
          </cell>
          <cell r="W410">
            <v>5.8319999999999999</v>
          </cell>
          <cell r="X410">
            <v>6.75</v>
          </cell>
          <cell r="Y410">
            <v>7.0848000000000013</v>
          </cell>
          <cell r="Z410">
            <v>7.88436</v>
          </cell>
          <cell r="AA410">
            <v>12.247200000000001</v>
          </cell>
          <cell r="AB410">
            <v>16.875</v>
          </cell>
          <cell r="AC410">
            <v>15.586560000000004</v>
          </cell>
          <cell r="AD410">
            <v>15.76872</v>
          </cell>
          <cell r="AE410">
            <v>30.618000000000002</v>
          </cell>
          <cell r="AF410">
            <v>35.4375</v>
          </cell>
          <cell r="AG410">
            <v>35.849088000000009</v>
          </cell>
          <cell r="AH410">
            <v>36.066566799999997</v>
          </cell>
          <cell r="AI410">
            <v>69.273224999999996</v>
          </cell>
          <cell r="AJ410">
            <v>65.398317168536281</v>
          </cell>
          <cell r="AK410">
            <v>58.651136057787738</v>
          </cell>
          <cell r="AL410">
            <v>59.882463219373996</v>
          </cell>
          <cell r="AM410">
            <v>112.53692943337911</v>
          </cell>
          <cell r="AN410">
            <v>104.87391296441982</v>
          </cell>
        </row>
        <row r="411">
          <cell r="I411" t="str">
            <v>Latin America</v>
          </cell>
        </row>
        <row r="412">
          <cell r="I412" t="str">
            <v xml:space="preserve">Agency (Booking.com) </v>
          </cell>
          <cell r="M412">
            <v>0.3</v>
          </cell>
          <cell r="N412">
            <v>0.3</v>
          </cell>
          <cell r="O412">
            <v>0.3</v>
          </cell>
          <cell r="P412">
            <v>0.3</v>
          </cell>
          <cell r="Q412">
            <v>1.02</v>
          </cell>
          <cell r="R412">
            <v>1.08</v>
          </cell>
          <cell r="S412">
            <v>1.08</v>
          </cell>
          <cell r="T412">
            <v>0.98999999999999988</v>
          </cell>
          <cell r="U412">
            <v>3.0599999999999996</v>
          </cell>
          <cell r="V412">
            <v>3.4560000000000004</v>
          </cell>
          <cell r="W412">
            <v>3.6719999999999997</v>
          </cell>
          <cell r="X412">
            <v>3.069</v>
          </cell>
          <cell r="Y412">
            <v>8.5679999999999978</v>
          </cell>
          <cell r="Z412">
            <v>10.368</v>
          </cell>
          <cell r="AA412">
            <v>11.016</v>
          </cell>
          <cell r="AB412">
            <v>7.9794</v>
          </cell>
          <cell r="AC412">
            <v>23.99039999999999</v>
          </cell>
          <cell r="AD412">
            <v>30.0672</v>
          </cell>
          <cell r="AE412">
            <v>31.946399999999997</v>
          </cell>
          <cell r="AF412">
            <v>19.948499999999999</v>
          </cell>
          <cell r="AG412">
            <v>55.177919999999972</v>
          </cell>
          <cell r="AH412">
            <v>75.167999999999992</v>
          </cell>
          <cell r="AI412">
            <v>66.640190400000009</v>
          </cell>
          <cell r="AJ412">
            <v>38.473887091188921</v>
          </cell>
          <cell r="AK412">
            <v>91.103928363631994</v>
          </cell>
          <cell r="AL412">
            <v>125.5329744711008</v>
          </cell>
          <cell r="AM412">
            <v>112.59253551619628</v>
          </cell>
          <cell r="AN412">
            <v>64.876591516426856</v>
          </cell>
        </row>
        <row r="414">
          <cell r="I414" t="str">
            <v>Gross Profit Model Drivers:</v>
          </cell>
        </row>
        <row r="415">
          <cell r="I415" t="str">
            <v>US</v>
          </cell>
        </row>
        <row r="416">
          <cell r="I416" t="str">
            <v xml:space="preserve">Merchant (NYOP &amp; Priceline.com) </v>
          </cell>
          <cell r="AI416">
            <v>0.2056256677889087</v>
          </cell>
          <cell r="AJ416">
            <v>0.182</v>
          </cell>
          <cell r="AK416">
            <v>0.16200000000000001</v>
          </cell>
          <cell r="AL416">
            <v>0.157</v>
          </cell>
          <cell r="AM416">
            <v>0.20399999999999999</v>
          </cell>
          <cell r="AN416">
            <v>0.17499999999999999</v>
          </cell>
        </row>
        <row r="418">
          <cell r="I418" t="str">
            <v>US</v>
          </cell>
        </row>
        <row r="419">
          <cell r="I419" t="str">
            <v>Merchant (NYOP &amp; Priceline.com) - Y/Y growth</v>
          </cell>
          <cell r="M419">
            <v>40.754999999999995</v>
          </cell>
          <cell r="N419">
            <v>48.676999999999992</v>
          </cell>
          <cell r="O419">
            <v>48.638000000000005</v>
          </cell>
          <cell r="P419">
            <v>44.094999999999999</v>
          </cell>
          <cell r="Q419">
            <v>48.460999999999984</v>
          </cell>
          <cell r="R419">
            <v>53.921999999999969</v>
          </cell>
          <cell r="S419">
            <v>59.860000000000042</v>
          </cell>
          <cell r="T419">
            <v>49.580000000000013</v>
          </cell>
          <cell r="U419">
            <v>62.653999999999996</v>
          </cell>
          <cell r="V419">
            <v>71.623000000000047</v>
          </cell>
          <cell r="W419">
            <v>72.593999999999994</v>
          </cell>
          <cell r="X419">
            <v>61.089999999999975</v>
          </cell>
          <cell r="Y419">
            <v>76.22120000000001</v>
          </cell>
          <cell r="Z419">
            <v>86.434640000000002</v>
          </cell>
          <cell r="AA419">
            <v>91.412800000000004</v>
          </cell>
          <cell r="AB419">
            <v>71.967999999999989</v>
          </cell>
          <cell r="AC419">
            <v>87.400439999999946</v>
          </cell>
          <cell r="AD419">
            <v>100.81428</v>
          </cell>
          <cell r="AE419">
            <v>112.84199999999998</v>
          </cell>
          <cell r="AF419">
            <v>83.993500000000012</v>
          </cell>
          <cell r="AG419">
            <v>98.216911999999979</v>
          </cell>
          <cell r="AH419">
            <v>113.40843320000005</v>
          </cell>
          <cell r="AI419">
            <v>124.90011499999997</v>
          </cell>
          <cell r="AJ419">
            <v>89.655929999999998</v>
          </cell>
          <cell r="AK419">
            <v>103.075654464</v>
          </cell>
          <cell r="AL419">
            <v>119.70728320400002</v>
          </cell>
          <cell r="AM419">
            <v>135.0647994</v>
          </cell>
          <cell r="AN419">
            <v>93.104235000000003</v>
          </cell>
        </row>
        <row r="422">
          <cell r="I422" t="str">
            <v>Other P&amp;L Model Drivers:</v>
          </cell>
        </row>
        <row r="423">
          <cell r="I423" t="str">
            <v xml:space="preserve">Offline Advertising </v>
          </cell>
          <cell r="AJ423">
            <v>0.01</v>
          </cell>
          <cell r="AK423">
            <v>2.1999999999999999E-2</v>
          </cell>
          <cell r="AL423">
            <v>1.2E-2</v>
          </cell>
          <cell r="AM423">
            <v>7.0000000000000001E-3</v>
          </cell>
          <cell r="AN423">
            <v>0.01</v>
          </cell>
        </row>
        <row r="424">
          <cell r="I424" t="str">
            <v xml:space="preserve">Online Advertising </v>
          </cell>
          <cell r="AJ424">
            <v>0.27500000000000002</v>
          </cell>
          <cell r="AK424">
            <v>0.36499999999999999</v>
          </cell>
          <cell r="AL424">
            <v>0.316</v>
          </cell>
          <cell r="AM424">
            <v>0.255</v>
          </cell>
          <cell r="AN424">
            <v>0.27700000000000002</v>
          </cell>
        </row>
        <row r="425">
          <cell r="I425" t="str">
            <v xml:space="preserve">Selling &amp; Marketing  </v>
          </cell>
          <cell r="AJ425">
            <v>6.3E-2</v>
          </cell>
          <cell r="AK425">
            <v>6.9000000000000006E-2</v>
          </cell>
          <cell r="AL425">
            <v>5.6000000000000001E-2</v>
          </cell>
          <cell r="AM425">
            <v>4.2999999999999997E-2</v>
          </cell>
          <cell r="AN425">
            <v>6.0999999999999999E-2</v>
          </cell>
        </row>
        <row r="426">
          <cell r="I426" t="str">
            <v>Personnel (ex-SBC)</v>
          </cell>
          <cell r="AJ426">
            <v>0.11700000000000001</v>
          </cell>
          <cell r="AK426">
            <v>0.121</v>
          </cell>
          <cell r="AL426">
            <v>9.9000000000000005E-2</v>
          </cell>
          <cell r="AM426">
            <v>7.6999999999999999E-2</v>
          </cell>
          <cell r="AN426">
            <v>0.11899999999999999</v>
          </cell>
        </row>
        <row r="427">
          <cell r="I427" t="str">
            <v xml:space="preserve">General &amp; Administrative </v>
          </cell>
          <cell r="AJ427">
            <v>5.0999999999999997E-2</v>
          </cell>
          <cell r="AK427">
            <v>5.1999999999999998E-2</v>
          </cell>
          <cell r="AL427">
            <v>0.04</v>
          </cell>
          <cell r="AM427">
            <v>0.03</v>
          </cell>
          <cell r="AN427">
            <v>5.0999999999999997E-2</v>
          </cell>
        </row>
        <row r="428">
          <cell r="I428" t="str">
            <v xml:space="preserve">Information Technology </v>
          </cell>
          <cell r="AJ428">
            <v>1.2999999999999999E-2</v>
          </cell>
          <cell r="AK428">
            <v>1.2999999999999999E-2</v>
          </cell>
          <cell r="AL428">
            <v>1.0999999999999999E-2</v>
          </cell>
          <cell r="AM428">
            <v>8.0000000000000002E-3</v>
          </cell>
          <cell r="AN428">
            <v>1.2999999999999999E-2</v>
          </cell>
        </row>
        <row r="429">
          <cell r="I429" t="str">
            <v>Stock-based Compensation</v>
          </cell>
          <cell r="AJ429">
            <v>0.03</v>
          </cell>
          <cell r="AK429">
            <v>2.8000000000000001E-2</v>
          </cell>
          <cell r="AL429">
            <v>1.9502038767956843E-2</v>
          </cell>
          <cell r="AM429">
            <v>1.4999999999999999E-2</v>
          </cell>
          <cell r="AN429">
            <v>0.03</v>
          </cell>
        </row>
        <row r="430">
          <cell r="I430" t="str">
            <v>Interest Rate on Cash &amp; Equivalents</v>
          </cell>
          <cell r="AJ430">
            <v>4.0000000000000001E-3</v>
          </cell>
          <cell r="AK430">
            <v>4.0000000000000001E-3</v>
          </cell>
          <cell r="AL430">
            <v>4.0000000000000001E-3</v>
          </cell>
          <cell r="AM430">
            <v>4.0000000000000001E-3</v>
          </cell>
          <cell r="AN430">
            <v>4.0000000000000001E-3</v>
          </cell>
        </row>
        <row r="432">
          <cell r="I432" t="str">
            <v>Cash Flow Statement Model Drivers:</v>
          </cell>
        </row>
        <row r="433">
          <cell r="I433" t="str">
            <v>Capex as % of Gross Profit</v>
          </cell>
          <cell r="M433">
            <v>2.87272777616259E-2</v>
          </cell>
          <cell r="N433">
            <v>3.9818910438168695E-2</v>
          </cell>
          <cell r="O433">
            <v>2.7034246076391981E-2</v>
          </cell>
          <cell r="P433">
            <v>3.2386426439703776E-2</v>
          </cell>
          <cell r="Q433">
            <v>2.1350359691445414E-2</v>
          </cell>
          <cell r="R433">
            <v>2.1240469227143902E-2</v>
          </cell>
          <cell r="S433">
            <v>2.7261112431661513E-2</v>
          </cell>
          <cell r="T433">
            <v>3.0826964383835351E-2</v>
          </cell>
          <cell r="U433">
            <v>1.5758987979216248E-2</v>
          </cell>
          <cell r="V433">
            <v>1.6446940585279336E-2</v>
          </cell>
          <cell r="W433">
            <v>1.8533399983548367E-2</v>
          </cell>
          <cell r="X433">
            <v>2.6513544485894724E-2</v>
          </cell>
          <cell r="Y433">
            <v>1.4837037392598283E-2</v>
          </cell>
          <cell r="Z433">
            <v>1.6456011374730538E-2</v>
          </cell>
          <cell r="AA433">
            <v>4.11975871301318E-3</v>
          </cell>
          <cell r="AB433">
            <v>1.6616164680113291E-2</v>
          </cell>
          <cell r="AC433">
            <v>1.5138695646724079E-2</v>
          </cell>
          <cell r="AD433">
            <v>1.2132373583676772E-2</v>
          </cell>
          <cell r="AE433">
            <v>6.3615676055407775E-3</v>
          </cell>
          <cell r="AF433">
            <v>1.69769634186362E-2</v>
          </cell>
          <cell r="AG433">
            <v>1.6367870812640368E-2</v>
          </cell>
          <cell r="AH433">
            <v>1.3077478521195849E-2</v>
          </cell>
          <cell r="AI433">
            <v>1.0628569974221649E-2</v>
          </cell>
          <cell r="AJ433">
            <v>1.7999999999999999E-2</v>
          </cell>
          <cell r="AK433">
            <v>1.7999999999999999E-2</v>
          </cell>
          <cell r="AL433">
            <v>1.4999999999999999E-2</v>
          </cell>
          <cell r="AM433">
            <v>1.2999999999999999E-2</v>
          </cell>
          <cell r="AN433">
            <v>0.02</v>
          </cell>
        </row>
      </sheetData>
      <sheetData sheetId="1"/>
      <sheetData sheetId="2"/>
      <sheetData sheetId="3" refreshError="1">
        <row r="1">
          <cell r="B1" t="str">
            <v>ElementName</v>
          </cell>
          <cell r="C1" t="str">
            <v>ScaleOverride</v>
          </cell>
          <cell r="D1" t="str">
            <v>UnitOverride</v>
          </cell>
          <cell r="E1" t="str">
            <v>ReverseSign</v>
          </cell>
          <cell r="F1" t="str">
            <v>IsDrivingAssumption</v>
          </cell>
          <cell r="G1" t="str">
            <v>SegmentID</v>
          </cell>
          <cell r="I1" t="str">
            <v>Select Model Case:</v>
          </cell>
          <cell r="L1">
            <v>649.81451297948274</v>
          </cell>
          <cell r="M1">
            <v>1</v>
          </cell>
          <cell r="N1">
            <v>1</v>
          </cell>
          <cell r="O1">
            <v>1</v>
          </cell>
          <cell r="P1">
            <v>1</v>
          </cell>
          <cell r="Q1">
            <v>1</v>
          </cell>
          <cell r="R1">
            <v>1</v>
          </cell>
          <cell r="S1">
            <v>1</v>
          </cell>
          <cell r="T1">
            <v>1</v>
          </cell>
          <cell r="U1">
            <v>1</v>
          </cell>
          <cell r="V1">
            <v>1</v>
          </cell>
          <cell r="W1">
            <v>1</v>
          </cell>
          <cell r="X1">
            <v>1</v>
          </cell>
          <cell r="Y1">
            <v>1</v>
          </cell>
          <cell r="Z1">
            <v>1</v>
          </cell>
          <cell r="AA1">
            <v>1</v>
          </cell>
          <cell r="AB1">
            <v>1</v>
          </cell>
          <cell r="AC1">
            <v>1</v>
          </cell>
          <cell r="AD1">
            <v>1</v>
          </cell>
          <cell r="AE1">
            <v>1</v>
          </cell>
          <cell r="AF1">
            <v>1</v>
          </cell>
          <cell r="AG1">
            <v>1</v>
          </cell>
          <cell r="AH1">
            <v>1</v>
          </cell>
          <cell r="AI1">
            <v>1</v>
          </cell>
          <cell r="AJ1">
            <v>1</v>
          </cell>
        </row>
        <row r="3">
          <cell r="M3" t="str">
            <v>2006-FY</v>
          </cell>
          <cell r="N3" t="str">
            <v>2007-FY</v>
          </cell>
          <cell r="O3" t="str">
            <v>2008-FY</v>
          </cell>
          <cell r="P3" t="str">
            <v>2009-FY</v>
          </cell>
          <cell r="Q3" t="str">
            <v>2010-FY</v>
          </cell>
          <cell r="R3" t="str">
            <v>2011-FY</v>
          </cell>
          <cell r="S3" t="str">
            <v>2012-FY</v>
          </cell>
          <cell r="T3" t="str">
            <v>2013-FY</v>
          </cell>
          <cell r="U3" t="str">
            <v>2014-FY</v>
          </cell>
          <cell r="V3" t="str">
            <v>2015-FY</v>
          </cell>
          <cell r="W3" t="str">
            <v>2016-FY</v>
          </cell>
          <cell r="X3" t="str">
            <v>2017-FY</v>
          </cell>
          <cell r="Y3" t="str">
            <v>2018-FY</v>
          </cell>
          <cell r="Z3" t="str">
            <v>2019-FY</v>
          </cell>
          <cell r="AA3" t="str">
            <v>2020-FY</v>
          </cell>
          <cell r="AB3" t="str">
            <v>2021-FY</v>
          </cell>
          <cell r="AC3" t="str">
            <v>2022-FY</v>
          </cell>
          <cell r="AD3" t="str">
            <v>2023-FY</v>
          </cell>
          <cell r="AE3" t="str">
            <v>2024-FY</v>
          </cell>
          <cell r="AF3" t="str">
            <v>2025-FY</v>
          </cell>
          <cell r="AG3" t="str">
            <v>2026-FY</v>
          </cell>
          <cell r="AH3" t="str">
            <v>2027-FY</v>
          </cell>
          <cell r="AI3" t="str">
            <v>2028-FY</v>
          </cell>
          <cell r="AJ3" t="str">
            <v>2029-FY</v>
          </cell>
        </row>
        <row r="4">
          <cell r="I4" t="str">
            <v>Period-End Date</v>
          </cell>
          <cell r="M4">
            <v>39082</v>
          </cell>
          <cell r="N4">
            <v>39447</v>
          </cell>
          <cell r="O4">
            <v>39813</v>
          </cell>
          <cell r="P4">
            <v>40178</v>
          </cell>
          <cell r="Q4">
            <v>40543</v>
          </cell>
          <cell r="R4">
            <v>40908</v>
          </cell>
          <cell r="S4">
            <v>41274</v>
          </cell>
          <cell r="T4">
            <v>41639</v>
          </cell>
          <cell r="U4">
            <v>42004</v>
          </cell>
          <cell r="V4">
            <v>42369</v>
          </cell>
          <cell r="W4">
            <v>42735</v>
          </cell>
          <cell r="X4">
            <v>43100</v>
          </cell>
          <cell r="Y4">
            <v>43465</v>
          </cell>
          <cell r="Z4">
            <v>43830</v>
          </cell>
          <cell r="AA4">
            <v>44196</v>
          </cell>
          <cell r="AB4">
            <v>44561</v>
          </cell>
          <cell r="AC4">
            <v>44926</v>
          </cell>
          <cell r="AD4">
            <v>45291</v>
          </cell>
          <cell r="AE4">
            <v>45657</v>
          </cell>
          <cell r="AF4">
            <v>46022</v>
          </cell>
          <cell r="AG4">
            <v>46387</v>
          </cell>
          <cell r="AH4">
            <v>46752</v>
          </cell>
          <cell r="AI4">
            <v>47118</v>
          </cell>
          <cell r="AJ4">
            <v>47483</v>
          </cell>
        </row>
        <row r="5">
          <cell r="I5" t="str">
            <v>Priceline Model</v>
          </cell>
          <cell r="M5" t="str">
            <v>Historical Financials</v>
          </cell>
          <cell r="P5" t="str">
            <v>Historical Financials</v>
          </cell>
          <cell r="R5" t="str">
            <v>Projected Financials</v>
          </cell>
          <cell r="T5" t="str">
            <v>Projected Financials</v>
          </cell>
          <cell r="AB5" t="str">
            <v>Projected Financials</v>
          </cell>
        </row>
        <row r="6">
          <cell r="I6" t="str">
            <v>(USD millions)</v>
          </cell>
          <cell r="M6">
            <v>39082</v>
          </cell>
          <cell r="N6">
            <v>39447</v>
          </cell>
          <cell r="O6">
            <v>39813</v>
          </cell>
          <cell r="P6">
            <v>40178</v>
          </cell>
          <cell r="Q6">
            <v>40543</v>
          </cell>
          <cell r="R6">
            <v>40908</v>
          </cell>
          <cell r="S6">
            <v>41274</v>
          </cell>
          <cell r="T6">
            <v>41639</v>
          </cell>
          <cell r="U6">
            <v>42004</v>
          </cell>
          <cell r="V6">
            <v>42369</v>
          </cell>
          <cell r="W6">
            <v>42735</v>
          </cell>
          <cell r="X6">
            <v>43100</v>
          </cell>
          <cell r="Y6">
            <v>43465</v>
          </cell>
          <cell r="Z6">
            <v>43830</v>
          </cell>
          <cell r="AA6">
            <v>44196</v>
          </cell>
          <cell r="AB6">
            <v>44561</v>
          </cell>
          <cell r="AC6">
            <v>44926</v>
          </cell>
          <cell r="AD6">
            <v>45291</v>
          </cell>
          <cell r="AE6">
            <v>45657</v>
          </cell>
          <cell r="AF6">
            <v>46022</v>
          </cell>
          <cell r="AG6">
            <v>46387</v>
          </cell>
          <cell r="AH6">
            <v>46752</v>
          </cell>
          <cell r="AI6">
            <v>47118</v>
          </cell>
          <cell r="AJ6">
            <v>47483</v>
          </cell>
        </row>
        <row r="8">
          <cell r="I8" t="str">
            <v>Gross Bookings Build-Up</v>
          </cell>
        </row>
        <row r="9">
          <cell r="I9" t="str">
            <v xml:space="preserve">Merchant </v>
          </cell>
          <cell r="M9">
            <v>1138.4829999999999</v>
          </cell>
          <cell r="N9">
            <v>1244.3110000000001</v>
          </cell>
          <cell r="O9">
            <v>1661.5059999999999</v>
          </cell>
          <cell r="P9">
            <v>2118.6219999999998</v>
          </cell>
          <cell r="Q9">
            <v>2864.3450000000003</v>
          </cell>
          <cell r="R9">
            <v>4024.0073152440618</v>
          </cell>
          <cell r="S9">
            <v>5239.185274562572</v>
          </cell>
          <cell r="T9">
            <v>6265.7585506479372</v>
          </cell>
          <cell r="U9">
            <v>7107.6233834520281</v>
          </cell>
          <cell r="V9">
            <v>7651.1895083203344</v>
          </cell>
          <cell r="W9">
            <v>8151.5731125413895</v>
          </cell>
          <cell r="X9">
            <v>8589.7045349926429</v>
          </cell>
          <cell r="Y9">
            <v>8984.8305235696625</v>
          </cell>
          <cell r="Z9">
            <v>9398.3384420486291</v>
          </cell>
          <cell r="AA9">
            <v>9831.0924121435619</v>
          </cell>
          <cell r="AB9">
            <v>10283.997562662942</v>
          </cell>
          <cell r="AC9">
            <v>10758.001991904781</v>
          </cell>
          <cell r="AD9">
            <v>11254.098824653058</v>
          </cell>
          <cell r="AE9">
            <v>11773.32836836487</v>
          </cell>
          <cell r="AF9">
            <v>12316.780373361438</v>
          </cell>
          <cell r="AG9">
            <v>12885.596402070969</v>
          </cell>
          <cell r="AH9">
            <v>13480.972312617636</v>
          </cell>
          <cell r="AI9">
            <v>14104.16086230936</v>
          </cell>
          <cell r="AJ9">
            <v>14756.474436848102</v>
          </cell>
        </row>
        <row r="10">
          <cell r="I10" t="str">
            <v xml:space="preserve">Agency </v>
          </cell>
          <cell r="M10">
            <v>2181.2660000000001</v>
          </cell>
          <cell r="N10">
            <v>3585.105</v>
          </cell>
          <cell r="O10">
            <v>5738.6110000000008</v>
          </cell>
          <cell r="P10">
            <v>7191.44</v>
          </cell>
          <cell r="Q10">
            <v>10781.53</v>
          </cell>
          <cell r="R10">
            <v>17334.880058667146</v>
          </cell>
          <cell r="S10">
            <v>22819.487745084298</v>
          </cell>
          <cell r="T10">
            <v>28156.50672572702</v>
          </cell>
          <cell r="U10">
            <v>31953.283854999176</v>
          </cell>
          <cell r="V10">
            <v>34937.303148752631</v>
          </cell>
          <cell r="W10">
            <v>37509.573486086643</v>
          </cell>
          <cell r="X10">
            <v>39851.579047012099</v>
          </cell>
          <cell r="Y10">
            <v>41915.662172776829</v>
          </cell>
          <cell r="Z10">
            <v>44019.938333142061</v>
          </cell>
          <cell r="AA10">
            <v>46233.648964412758</v>
          </cell>
          <cell r="AB10">
            <v>48562.719183736364</v>
          </cell>
          <cell r="AC10">
            <v>51013.408895522873</v>
          </cell>
          <cell r="AD10">
            <v>53592.332514903319</v>
          </cell>
          <cell r="AE10">
            <v>56306.47989802892</v>
          </cell>
          <cell r="AF10">
            <v>59163.238555461583</v>
          </cell>
          <cell r="AG10">
            <v>62170.417229849932</v>
          </cell>
          <cell r="AH10">
            <v>65336.270924354736</v>
          </cell>
          <cell r="AI10">
            <v>68669.52747390575</v>
          </cell>
          <cell r="AJ10">
            <v>72179.415757362745</v>
          </cell>
        </row>
        <row r="11">
          <cell r="I11" t="str">
            <v>Total Gross Bookings</v>
          </cell>
          <cell r="M11">
            <v>3319.7489999999998</v>
          </cell>
          <cell r="N11">
            <v>4829.4160000000002</v>
          </cell>
          <cell r="O11">
            <v>7400.1170000000002</v>
          </cell>
          <cell r="P11">
            <v>9310.0619999999999</v>
          </cell>
          <cell r="Q11">
            <v>13645.875</v>
          </cell>
          <cell r="R11">
            <v>21358.88737391121</v>
          </cell>
          <cell r="S11">
            <v>28058.673019646871</v>
          </cell>
          <cell r="T11">
            <v>34422.265276374957</v>
          </cell>
          <cell r="U11">
            <v>39060.907238451204</v>
          </cell>
          <cell r="V11">
            <v>42588.492657072966</v>
          </cell>
          <cell r="W11">
            <v>45661.146598628031</v>
          </cell>
          <cell r="X11">
            <v>48441.28358200474</v>
          </cell>
          <cell r="Y11">
            <v>50900.49269634649</v>
          </cell>
          <cell r="Z11">
            <v>53418.276775190694</v>
          </cell>
          <cell r="AA11">
            <v>56064.741376556318</v>
          </cell>
          <cell r="AB11">
            <v>58846.71674639931</v>
          </cell>
          <cell r="AC11">
            <v>61771.410887427657</v>
          </cell>
          <cell r="AD11">
            <v>64846.43133955638</v>
          </cell>
          <cell r="AE11">
            <v>68079.808266393782</v>
          </cell>
          <cell r="AF11">
            <v>71480.018928823018</v>
          </cell>
          <cell r="AG11">
            <v>75056.013631920898</v>
          </cell>
          <cell r="AH11">
            <v>78817.243236972368</v>
          </cell>
          <cell r="AI11">
            <v>82773.688336215113</v>
          </cell>
          <cell r="AJ11">
            <v>86935.89019421085</v>
          </cell>
        </row>
        <row r="12">
          <cell r="I12" t="str">
            <v>y/y Growth - %</v>
          </cell>
          <cell r="P12">
            <v>0.25809659495924175</v>
          </cell>
          <cell r="Q12">
            <v>0.46571258064661647</v>
          </cell>
          <cell r="R12">
            <v>0.56522666182353354</v>
          </cell>
          <cell r="S12">
            <v>0.31367671585361268</v>
          </cell>
          <cell r="T12">
            <v>0.22679590913911918</v>
          </cell>
          <cell r="U12">
            <v>0.13475702208535023</v>
          </cell>
          <cell r="V12">
            <v>9.0309869074142624E-2</v>
          </cell>
          <cell r="W12">
            <v>7.214751567510036E-2</v>
          </cell>
          <cell r="X12">
            <v>6.0886271819118987E-2</v>
          </cell>
          <cell r="Y12">
            <v>5.0766803282134898E-2</v>
          </cell>
          <cell r="Z12">
            <v>4.9464827263350442E-2</v>
          </cell>
          <cell r="AA12">
            <v>4.9542305763684569E-2</v>
          </cell>
          <cell r="AB12">
            <v>4.9620765235640407E-2</v>
          </cell>
          <cell r="AC12">
            <v>4.9700209335932E-2</v>
          </cell>
          <cell r="AD12">
            <v>4.9780641367130896E-2</v>
          </cell>
          <cell r="AE12">
            <v>4.9862064265439932E-2</v>
          </cell>
          <cell r="AF12">
            <v>4.994448058849299E-2</v>
          </cell>
          <cell r="AG12">
            <v>5.0027892503200277E-2</v>
          </cell>
          <cell r="AH12">
            <v>5.0112301773669543E-2</v>
          </cell>
          <cell r="AI12">
            <v>5.0197709749214114E-2</v>
          </cell>
          <cell r="AJ12">
            <v>5.0284117352478619E-2</v>
          </cell>
        </row>
        <row r="13">
          <cell r="I13" t="str">
            <v>y/y Growth - % (ex F/X)</v>
          </cell>
          <cell r="P13">
            <v>0.31976521236083144</v>
          </cell>
          <cell r="Q13">
            <v>0.49657080693984645</v>
          </cell>
          <cell r="R13">
            <v>0.50685968886425092</v>
          </cell>
          <cell r="S13">
            <v>0.35259051150999099</v>
          </cell>
          <cell r="T13">
            <v>0.22679590913911896</v>
          </cell>
          <cell r="U13">
            <v>0.13475702208535045</v>
          </cell>
          <cell r="V13">
            <v>9.0309869074142624E-2</v>
          </cell>
          <cell r="W13">
            <v>7.214751567510036E-2</v>
          </cell>
          <cell r="X13">
            <v>6.0886271819118987E-2</v>
          </cell>
          <cell r="Y13">
            <v>5.0766803282134898E-2</v>
          </cell>
          <cell r="Z13">
            <v>4.9464827263349997E-2</v>
          </cell>
          <cell r="AA13">
            <v>4.9542305763684569E-2</v>
          </cell>
          <cell r="AB13">
            <v>4.9620765235640629E-2</v>
          </cell>
          <cell r="AC13">
            <v>4.9700209335931556E-2</v>
          </cell>
          <cell r="AD13">
            <v>4.9780641367131118E-2</v>
          </cell>
          <cell r="AE13">
            <v>4.9862064265440376E-2</v>
          </cell>
          <cell r="AF13">
            <v>4.9944480588492768E-2</v>
          </cell>
          <cell r="AG13">
            <v>5.0027892503200277E-2</v>
          </cell>
          <cell r="AH13">
            <v>5.0112301773669543E-2</v>
          </cell>
          <cell r="AI13">
            <v>5.0197709749213892E-2</v>
          </cell>
          <cell r="AJ13">
            <v>5.0284117352478841E-2</v>
          </cell>
        </row>
        <row r="16">
          <cell r="I16" t="str">
            <v>Revenue Build-Up</v>
          </cell>
        </row>
        <row r="17">
          <cell r="I17" t="str">
            <v xml:space="preserve">Merchant </v>
          </cell>
          <cell r="M17">
            <v>904.16899999999998</v>
          </cell>
          <cell r="N17">
            <v>984.23299999999995</v>
          </cell>
          <cell r="O17">
            <v>1218.162</v>
          </cell>
          <cell r="P17">
            <v>1447.577</v>
          </cell>
          <cell r="Q17">
            <v>1691.6409999999998</v>
          </cell>
          <cell r="R17">
            <v>2005.249716743931</v>
          </cell>
          <cell r="S17">
            <v>2338.2796435590726</v>
          </cell>
          <cell r="T17">
            <v>2624.8222810267835</v>
          </cell>
          <cell r="U17">
            <v>2876.2152234370596</v>
          </cell>
          <cell r="V17">
            <v>3052.4160729374566</v>
          </cell>
          <cell r="W17">
            <v>3225.6560991252113</v>
          </cell>
          <cell r="X17">
            <v>3374.2943302313997</v>
          </cell>
          <cell r="Y17">
            <v>3518.2852196966851</v>
          </cell>
          <cell r="Z17">
            <v>3668.4867005533838</v>
          </cell>
          <cell r="AA17">
            <v>3825.1697442477921</v>
          </cell>
          <cell r="AB17">
            <v>3988.6172884735906</v>
          </cell>
          <cell r="AC17">
            <v>4159.1247721912159</v>
          </cell>
          <cell r="AD17">
            <v>4337.0006948664795</v>
          </cell>
          <cell r="AE17">
            <v>4522.567201038134</v>
          </cell>
          <cell r="AF17">
            <v>4716.1606913755049</v>
          </cell>
          <cell r="AG17">
            <v>4918.1324614411633</v>
          </cell>
          <cell r="AH17">
            <v>5128.8493694299796</v>
          </cell>
          <cell r="AI17">
            <v>5348.6945342149065</v>
          </cell>
          <cell r="AJ17">
            <v>5578.0680650916174</v>
          </cell>
        </row>
        <row r="18">
          <cell r="I18" t="str">
            <v xml:space="preserve">Agency </v>
          </cell>
          <cell r="M18">
            <v>213.89999999999998</v>
          </cell>
          <cell r="N18">
            <v>398.24599999999998</v>
          </cell>
          <cell r="O18">
            <v>648.79199999999992</v>
          </cell>
          <cell r="P18">
            <v>868.39400000000001</v>
          </cell>
          <cell r="Q18">
            <v>1380.6020000000001</v>
          </cell>
          <cell r="R18">
            <v>2313.2645159901435</v>
          </cell>
          <cell r="S18">
            <v>3047.8182266925269</v>
          </cell>
          <cell r="T18">
            <v>3740.7909697282435</v>
          </cell>
          <cell r="U18">
            <v>4255.4236797480644</v>
          </cell>
          <cell r="V18">
            <v>4665.7668524836854</v>
          </cell>
          <cell r="W18">
            <v>5020.7396567132728</v>
          </cell>
          <cell r="X18">
            <v>5341.5137806028461</v>
          </cell>
          <cell r="Y18">
            <v>5621.1424006841071</v>
          </cell>
          <cell r="Z18">
            <v>5905.7141562904808</v>
          </cell>
          <cell r="AA18">
            <v>6205.2292372340498</v>
          </cell>
          <cell r="AB18">
            <v>6520.5051752187137</v>
          </cell>
          <cell r="AC18">
            <v>6852.4061736387193</v>
          </cell>
          <cell r="AD18">
            <v>7201.8458832193392</v>
          </cell>
          <cell r="AE18">
            <v>7569.7903488576794</v>
          </cell>
          <cell r="AF18">
            <v>7957.261138549371</v>
          </cell>
          <cell r="AG18">
            <v>8365.3386659960179</v>
          </cell>
          <cell r="AH18">
            <v>8795.1657192442635</v>
          </cell>
          <cell r="AI18">
            <v>9247.9512085137376</v>
          </cell>
          <cell r="AJ18">
            <v>9724.9741472308851</v>
          </cell>
        </row>
        <row r="19">
          <cell r="I19" t="str">
            <v>Other</v>
          </cell>
          <cell r="M19">
            <v>5.0340000000000007</v>
          </cell>
          <cell r="N19">
            <v>8.3389999999999986</v>
          </cell>
          <cell r="O19">
            <v>17.852</v>
          </cell>
          <cell r="P19">
            <v>22.241000000000003</v>
          </cell>
          <cell r="Q19">
            <v>12.663</v>
          </cell>
          <cell r="R19">
            <v>12.315999999999999</v>
          </cell>
          <cell r="S19">
            <v>12.315999999999999</v>
          </cell>
          <cell r="T19">
            <v>12.315999999999999</v>
          </cell>
          <cell r="U19">
            <v>12.315999999999999</v>
          </cell>
          <cell r="V19">
            <v>12.315999999999999</v>
          </cell>
          <cell r="W19">
            <v>12.315999999999999</v>
          </cell>
          <cell r="X19">
            <v>12.315999999999999</v>
          </cell>
          <cell r="Y19">
            <v>12.315999999999999</v>
          </cell>
          <cell r="Z19">
            <v>12.315999999999999</v>
          </cell>
          <cell r="AA19">
            <v>12.315999999999999</v>
          </cell>
          <cell r="AB19">
            <v>12.315999999999999</v>
          </cell>
          <cell r="AC19">
            <v>12.315999999999999</v>
          </cell>
          <cell r="AD19">
            <v>12.315999999999999</v>
          </cell>
          <cell r="AE19">
            <v>12.315999999999999</v>
          </cell>
          <cell r="AF19">
            <v>12.315999999999999</v>
          </cell>
          <cell r="AG19">
            <v>12.315999999999999</v>
          </cell>
          <cell r="AH19">
            <v>12.315999999999999</v>
          </cell>
          <cell r="AI19">
            <v>12.315999999999999</v>
          </cell>
          <cell r="AJ19">
            <v>12.315999999999999</v>
          </cell>
        </row>
        <row r="20">
          <cell r="I20" t="str">
            <v>Total Revenue</v>
          </cell>
          <cell r="M20">
            <v>1123.1030000000001</v>
          </cell>
          <cell r="N20">
            <v>1390.8179999999998</v>
          </cell>
          <cell r="O20">
            <v>1884.806</v>
          </cell>
          <cell r="P20">
            <v>2338.212</v>
          </cell>
          <cell r="Q20">
            <v>3084.9059999999999</v>
          </cell>
          <cell r="R20">
            <v>4330.8302327340743</v>
          </cell>
          <cell r="S20">
            <v>5398.4138702515993</v>
          </cell>
          <cell r="T20">
            <v>6377.9292507550263</v>
          </cell>
          <cell r="U20">
            <v>7143.9549031851238</v>
          </cell>
          <cell r="V20">
            <v>7730.4989254211423</v>
          </cell>
          <cell r="W20">
            <v>8258.7117558384853</v>
          </cell>
          <cell r="X20">
            <v>8728.1241108342456</v>
          </cell>
          <cell r="Y20">
            <v>9151.7436203807938</v>
          </cell>
          <cell r="Z20">
            <v>9586.5168568438658</v>
          </cell>
          <cell r="AA20">
            <v>10042.714981481842</v>
          </cell>
          <cell r="AB20">
            <v>10521.438463692304</v>
          </cell>
          <cell r="AC20">
            <v>11023.846945829935</v>
          </cell>
          <cell r="AD20">
            <v>11551.162578085819</v>
          </cell>
          <cell r="AE20">
            <v>12104.673549895813</v>
          </cell>
          <cell r="AF20">
            <v>12685.737829924876</v>
          </cell>
          <cell r="AG20">
            <v>13295.787127437181</v>
          </cell>
          <cell r="AH20">
            <v>13936.331088674244</v>
          </cell>
          <cell r="AI20">
            <v>14608.961742728645</v>
          </cell>
          <cell r="AJ20">
            <v>15315.358212322504</v>
          </cell>
        </row>
        <row r="21">
          <cell r="I21" t="str">
            <v>y/y Growth - %</v>
          </cell>
          <cell r="N21">
            <v>0.23837083508814394</v>
          </cell>
          <cell r="O21">
            <v>0.35517803192078357</v>
          </cell>
          <cell r="P21">
            <v>0.240558444741793</v>
          </cell>
          <cell r="Q21">
            <v>0.31934401157807768</v>
          </cell>
          <cell r="R21">
            <v>0.40387753556642392</v>
          </cell>
          <cell r="S21">
            <v>0.24650784725947439</v>
          </cell>
          <cell r="T21">
            <v>0.18144503256801525</v>
          </cell>
          <cell r="U21">
            <v>0.12010569925017811</v>
          </cell>
          <cell r="V21">
            <v>8.2103544911027893E-2</v>
          </cell>
          <cell r="W21">
            <v>6.832842686005125E-2</v>
          </cell>
          <cell r="X21">
            <v>5.683844755374956E-2</v>
          </cell>
          <cell r="Y21">
            <v>4.8535000667635719E-2</v>
          </cell>
          <cell r="Z21">
            <v>4.7507147763059976E-2</v>
          </cell>
          <cell r="AA21">
            <v>4.7587474309012778E-2</v>
          </cell>
          <cell r="AB21">
            <v>4.7668731323471603E-2</v>
          </cell>
          <cell r="AC21">
            <v>4.7750931003527342E-2</v>
          </cell>
          <cell r="AD21">
            <v>4.7834085038286567E-2</v>
          </cell>
          <cell r="AE21">
            <v>4.7918204602200198E-2</v>
          </cell>
          <cell r="AF21">
            <v>4.8003300347911004E-2</v>
          </cell>
          <cell r="AG21">
            <v>4.8089382398652125E-2</v>
          </cell>
          <cell r="AH21">
            <v>4.8176460340225935E-2</v>
          </cell>
          <cell r="AI21">
            <v>4.8264543212598765E-2</v>
          </cell>
          <cell r="AJ21">
            <v>4.8353639501140799E-2</v>
          </cell>
        </row>
        <row r="22">
          <cell r="I22" t="str">
            <v>y/y Growth - % (ex F/X)</v>
          </cell>
          <cell r="Q22">
            <v>0.34660415736468719</v>
          </cell>
          <cell r="R22">
            <v>0.36453869897795554</v>
          </cell>
          <cell r="S22">
            <v>0.27576337597985168</v>
          </cell>
          <cell r="T22">
            <v>0.18144503256801547</v>
          </cell>
          <cell r="U22">
            <v>0.12010569925017789</v>
          </cell>
          <cell r="V22">
            <v>8.2103544911028115E-2</v>
          </cell>
          <cell r="W22">
            <v>6.8328426860051028E-2</v>
          </cell>
          <cell r="X22">
            <v>5.6838447553750004E-2</v>
          </cell>
          <cell r="Y22">
            <v>4.8535000667635275E-2</v>
          </cell>
          <cell r="Z22">
            <v>4.7507147763060198E-2</v>
          </cell>
          <cell r="AA22">
            <v>4.7587474309013E-2</v>
          </cell>
          <cell r="AB22">
            <v>4.7668731323471825E-2</v>
          </cell>
          <cell r="AC22">
            <v>4.7750931003527342E-2</v>
          </cell>
          <cell r="AD22">
            <v>4.7834085038286567E-2</v>
          </cell>
          <cell r="AE22">
            <v>4.7918204602200198E-2</v>
          </cell>
          <cell r="AF22">
            <v>4.8003300347911004E-2</v>
          </cell>
          <cell r="AG22">
            <v>4.8089382398651903E-2</v>
          </cell>
          <cell r="AH22">
            <v>4.8176460340225935E-2</v>
          </cell>
          <cell r="AI22">
            <v>4.8264543212598765E-2</v>
          </cell>
          <cell r="AJ22">
            <v>4.8353639501140577E-2</v>
          </cell>
        </row>
        <row r="25">
          <cell r="I25" t="str">
            <v>Cost of Revenue Build-Up</v>
          </cell>
        </row>
        <row r="26">
          <cell r="I26" t="str">
            <v>Merchant</v>
          </cell>
          <cell r="M26">
            <v>722.00399999999991</v>
          </cell>
          <cell r="N26">
            <v>769.99800000000005</v>
          </cell>
          <cell r="O26">
            <v>928.83499999999992</v>
          </cell>
          <cell r="P26">
            <v>1077.4490000000001</v>
          </cell>
          <cell r="Q26">
            <v>1175.934</v>
          </cell>
          <cell r="R26">
            <v>1284.5361699999999</v>
          </cell>
          <cell r="S26">
            <v>1414.7761466700003</v>
          </cell>
          <cell r="T26">
            <v>1526.2410950327505</v>
          </cell>
          <cell r="U26">
            <v>1639.0428065326403</v>
          </cell>
          <cell r="V26">
            <v>1729.1901608919352</v>
          </cell>
          <cell r="W26">
            <v>1815.6496689365322</v>
          </cell>
          <cell r="X26">
            <v>1888.2756556939939</v>
          </cell>
          <cell r="Y26">
            <v>1963.8066819217529</v>
          </cell>
          <cell r="Z26">
            <v>2042.3589491986229</v>
          </cell>
          <cell r="AA26">
            <v>2124.0533071665677</v>
          </cell>
          <cell r="AB26">
            <v>2209.0154394532306</v>
          </cell>
          <cell r="AC26">
            <v>2297.3760570313607</v>
          </cell>
          <cell r="AD26">
            <v>2389.2710993126148</v>
          </cell>
          <cell r="AE26">
            <v>2484.8419432851192</v>
          </cell>
          <cell r="AF26">
            <v>2584.235621016524</v>
          </cell>
          <cell r="AG26">
            <v>2687.6050458571854</v>
          </cell>
          <cell r="AH26">
            <v>2795.1092476914728</v>
          </cell>
          <cell r="AI26">
            <v>2906.9136175991312</v>
          </cell>
          <cell r="AJ26">
            <v>3023.1901623030967</v>
          </cell>
        </row>
        <row r="27">
          <cell r="I27" t="str">
            <v>Agency</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row>
        <row r="28">
          <cell r="I28" t="str">
            <v>Other</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row>
        <row r="29">
          <cell r="I29" t="str">
            <v>Total Cost of Revenue</v>
          </cell>
          <cell r="M29">
            <v>722.00399999999991</v>
          </cell>
          <cell r="N29">
            <v>769.99800000000005</v>
          </cell>
          <cell r="O29">
            <v>928.83499999999992</v>
          </cell>
          <cell r="P29">
            <v>1077.4490000000001</v>
          </cell>
          <cell r="Q29">
            <v>1175.934</v>
          </cell>
          <cell r="R29">
            <v>1284.5361699999999</v>
          </cell>
          <cell r="S29">
            <v>1414.7761466700003</v>
          </cell>
          <cell r="T29">
            <v>1526.2410950327505</v>
          </cell>
          <cell r="U29">
            <v>1639.0428065326403</v>
          </cell>
          <cell r="V29">
            <v>1729.1901608919352</v>
          </cell>
          <cell r="W29">
            <v>1815.6496689365322</v>
          </cell>
          <cell r="X29">
            <v>1888.2756556939939</v>
          </cell>
          <cell r="Y29">
            <v>1963.8066819217529</v>
          </cell>
          <cell r="Z29">
            <v>2042.3589491986229</v>
          </cell>
          <cell r="AA29">
            <v>2124.0533071665677</v>
          </cell>
          <cell r="AB29">
            <v>2209.0154394532306</v>
          </cell>
          <cell r="AC29">
            <v>2297.3760570313607</v>
          </cell>
          <cell r="AD29">
            <v>2389.2710993126148</v>
          </cell>
          <cell r="AE29">
            <v>2484.8419432851192</v>
          </cell>
          <cell r="AF29">
            <v>2584.235621016524</v>
          </cell>
          <cell r="AG29">
            <v>2687.6050458571854</v>
          </cell>
          <cell r="AH29">
            <v>2795.1092476914728</v>
          </cell>
          <cell r="AI29">
            <v>2906.9136175991312</v>
          </cell>
          <cell r="AJ29">
            <v>3023.1901623030967</v>
          </cell>
        </row>
        <row r="31">
          <cell r="I31" t="str">
            <v>Gross Profit Build-Up</v>
          </cell>
        </row>
        <row r="32">
          <cell r="I32" t="str">
            <v xml:space="preserve">Merchant </v>
          </cell>
          <cell r="M32">
            <v>182.16499999999999</v>
          </cell>
          <cell r="N32">
            <v>214.23500000000001</v>
          </cell>
          <cell r="O32">
            <v>289.327</v>
          </cell>
          <cell r="P32">
            <v>370.12800000000004</v>
          </cell>
          <cell r="Q32">
            <v>515.70699999999988</v>
          </cell>
          <cell r="R32">
            <v>720.71354674393103</v>
          </cell>
          <cell r="S32">
            <v>923.50349688907238</v>
          </cell>
          <cell r="T32">
            <v>1098.5811859940329</v>
          </cell>
          <cell r="U32">
            <v>1237.1724169044194</v>
          </cell>
          <cell r="V32">
            <v>1323.2259120455215</v>
          </cell>
          <cell r="W32">
            <v>1410.0064301886791</v>
          </cell>
          <cell r="X32">
            <v>1486.0186745374058</v>
          </cell>
          <cell r="Y32">
            <v>1554.4785377749322</v>
          </cell>
          <cell r="Z32">
            <v>1626.1277513547609</v>
          </cell>
          <cell r="AA32">
            <v>1701.1164370812244</v>
          </cell>
          <cell r="AB32">
            <v>1779.6018490203601</v>
          </cell>
          <cell r="AC32">
            <v>1861.7487151598555</v>
          </cell>
          <cell r="AD32">
            <v>1947.7295955538646</v>
          </cell>
          <cell r="AE32">
            <v>2037.7252577530148</v>
          </cell>
          <cell r="AF32">
            <v>2131.925070358981</v>
          </cell>
          <cell r="AG32">
            <v>2230.5274155839779</v>
          </cell>
          <cell r="AH32">
            <v>2333.7401217385068</v>
          </cell>
          <cell r="AI32">
            <v>2441.7809166157754</v>
          </cell>
          <cell r="AJ32">
            <v>2554.8779027885207</v>
          </cell>
        </row>
        <row r="33">
          <cell r="I33" t="str">
            <v xml:space="preserve">Agency </v>
          </cell>
          <cell r="M33">
            <v>213.89999999999998</v>
          </cell>
          <cell r="N33">
            <v>398.24599999999998</v>
          </cell>
          <cell r="O33">
            <v>648.79199999999992</v>
          </cell>
          <cell r="P33">
            <v>868.39400000000001</v>
          </cell>
          <cell r="Q33">
            <v>1380.6020000000001</v>
          </cell>
          <cell r="R33">
            <v>2313.2645159901435</v>
          </cell>
          <cell r="S33">
            <v>3047.8182266925269</v>
          </cell>
          <cell r="T33">
            <v>3740.7909697282435</v>
          </cell>
          <cell r="U33">
            <v>4255.4236797480644</v>
          </cell>
          <cell r="V33">
            <v>4665.7668524836854</v>
          </cell>
          <cell r="W33">
            <v>5020.7396567132728</v>
          </cell>
          <cell r="X33">
            <v>5341.5137806028461</v>
          </cell>
          <cell r="Y33">
            <v>5621.1424006841071</v>
          </cell>
          <cell r="Z33">
            <v>5905.7141562904808</v>
          </cell>
          <cell r="AA33">
            <v>6205.2292372340498</v>
          </cell>
          <cell r="AB33">
            <v>6520.5051752187137</v>
          </cell>
          <cell r="AC33">
            <v>6852.4061736387193</v>
          </cell>
          <cell r="AD33">
            <v>7201.8458832193392</v>
          </cell>
          <cell r="AE33">
            <v>7569.7903488576794</v>
          </cell>
          <cell r="AF33">
            <v>7957.261138549371</v>
          </cell>
          <cell r="AG33">
            <v>8365.3386659960179</v>
          </cell>
          <cell r="AH33">
            <v>8795.1657192442635</v>
          </cell>
          <cell r="AI33">
            <v>9247.9512085137376</v>
          </cell>
          <cell r="AJ33">
            <v>9724.9741472308851</v>
          </cell>
        </row>
        <row r="34">
          <cell r="I34" t="str">
            <v>Other</v>
          </cell>
          <cell r="M34">
            <v>5.0340000000000007</v>
          </cell>
          <cell r="N34">
            <v>8.3389999999999986</v>
          </cell>
          <cell r="O34">
            <v>17.852</v>
          </cell>
          <cell r="P34">
            <v>22.241000000000003</v>
          </cell>
          <cell r="Q34">
            <v>12.663</v>
          </cell>
          <cell r="R34">
            <v>12.315999999999999</v>
          </cell>
          <cell r="S34">
            <v>12.315999999999999</v>
          </cell>
          <cell r="T34">
            <v>12.315999999999999</v>
          </cell>
          <cell r="U34">
            <v>12.315999999999999</v>
          </cell>
          <cell r="V34">
            <v>12.315999999999999</v>
          </cell>
          <cell r="W34">
            <v>12.315999999999999</v>
          </cell>
          <cell r="X34">
            <v>12.315999999999999</v>
          </cell>
          <cell r="Y34">
            <v>12.315999999999999</v>
          </cell>
          <cell r="Z34">
            <v>12.315999999999999</v>
          </cell>
          <cell r="AA34">
            <v>12.315999999999999</v>
          </cell>
          <cell r="AB34">
            <v>12.315999999999999</v>
          </cell>
          <cell r="AC34">
            <v>12.315999999999999</v>
          </cell>
          <cell r="AD34">
            <v>12.315999999999999</v>
          </cell>
          <cell r="AE34">
            <v>12.315999999999999</v>
          </cell>
          <cell r="AF34">
            <v>12.315999999999999</v>
          </cell>
          <cell r="AG34">
            <v>12.315999999999999</v>
          </cell>
          <cell r="AH34">
            <v>12.315999999999999</v>
          </cell>
          <cell r="AI34">
            <v>12.315999999999999</v>
          </cell>
          <cell r="AJ34">
            <v>12.315999999999999</v>
          </cell>
        </row>
        <row r="35">
          <cell r="I35" t="str">
            <v>Total Gross Profit</v>
          </cell>
          <cell r="M35">
            <v>401.09899999999993</v>
          </cell>
          <cell r="N35">
            <v>620.81999999999994</v>
          </cell>
          <cell r="O35">
            <v>955.97099999999989</v>
          </cell>
          <cell r="P35">
            <v>1260.7629999999999</v>
          </cell>
          <cell r="Q35">
            <v>1908.972</v>
          </cell>
          <cell r="R35">
            <v>3046.2940627340745</v>
          </cell>
          <cell r="S35">
            <v>3983.6377235815989</v>
          </cell>
          <cell r="T35">
            <v>4851.688155722276</v>
          </cell>
          <cell r="U35">
            <v>5504.9120966524833</v>
          </cell>
          <cell r="V35">
            <v>6001.3087645292062</v>
          </cell>
          <cell r="W35">
            <v>6443.0620869019522</v>
          </cell>
          <cell r="X35">
            <v>6839.8484551402516</v>
          </cell>
          <cell r="Y35">
            <v>7187.9369384590391</v>
          </cell>
          <cell r="Z35">
            <v>7544.1579076452417</v>
          </cell>
          <cell r="AA35">
            <v>7918.6616743152745</v>
          </cell>
          <cell r="AB35">
            <v>8312.4230242390749</v>
          </cell>
          <cell r="AC35">
            <v>8726.4708887985762</v>
          </cell>
          <cell r="AD35">
            <v>9161.8914787732047</v>
          </cell>
          <cell r="AE35">
            <v>9619.8316066106945</v>
          </cell>
          <cell r="AF35">
            <v>10101.502208908352</v>
          </cell>
          <cell r="AG35">
            <v>10608.182081579997</v>
          </cell>
          <cell r="AH35">
            <v>11141.221840982771</v>
          </cell>
          <cell r="AI35">
            <v>11702.048125129513</v>
          </cell>
          <cell r="AJ35">
            <v>12292.168050019407</v>
          </cell>
        </row>
        <row r="36">
          <cell r="I36" t="str">
            <v>y/y Growth - %</v>
          </cell>
          <cell r="N36">
            <v>0.54779742657049768</v>
          </cell>
          <cell r="O36">
            <v>0.53985213105247887</v>
          </cell>
          <cell r="P36">
            <v>0.31882975529592428</v>
          </cell>
          <cell r="Q36">
            <v>0.51414024681879167</v>
          </cell>
          <cell r="R36">
            <v>0.59577723650953218</v>
          </cell>
          <cell r="S36">
            <v>0.30769966442643781</v>
          </cell>
          <cell r="T36">
            <v>0.21790395923860073</v>
          </cell>
          <cell r="U36">
            <v>0.13463848457773797</v>
          </cell>
          <cell r="V36">
            <v>9.0173404981085836E-2</v>
          </cell>
          <cell r="W36">
            <v>7.3609497478905439E-2</v>
          </cell>
          <cell r="X36">
            <v>6.1583508413635135E-2</v>
          </cell>
          <cell r="Y36">
            <v>5.0891256670634766E-2</v>
          </cell>
          <cell r="Z36">
            <v>4.9558165609417504E-2</v>
          </cell>
          <cell r="AA36">
            <v>4.9641559900345023E-2</v>
          </cell>
          <cell r="AB36">
            <v>4.9725744844105746E-2</v>
          </cell>
          <cell r="AC36">
            <v>4.9810730680107884E-2</v>
          </cell>
          <cell r="AD36">
            <v>4.9896526960691689E-2</v>
          </cell>
          <cell r="AE36">
            <v>4.9983142552874726E-2</v>
          </cell>
          <cell r="AF36">
            <v>5.0070585639633958E-2</v>
          </cell>
          <cell r="AG36">
            <v>5.0158863720765279E-2</v>
          </cell>
          <cell r="AH36">
            <v>5.0247983613360248E-2</v>
          </cell>
          <cell r="AI36">
            <v>5.0337951451945084E-2</v>
          </cell>
          <cell r="AJ36">
            <v>5.0428772688316359E-2</v>
          </cell>
        </row>
        <row r="37">
          <cell r="I37" t="str">
            <v>y/y Growth - % (ex F/X)</v>
          </cell>
          <cell r="Q37">
            <v>0.5646969335235883</v>
          </cell>
          <cell r="R37">
            <v>0.53220552722056125</v>
          </cell>
          <cell r="S37">
            <v>0.34929142334649299</v>
          </cell>
          <cell r="T37">
            <v>0.21790395923860095</v>
          </cell>
          <cell r="U37">
            <v>0.13463848457773775</v>
          </cell>
          <cell r="V37">
            <v>9.0173404981086058E-2</v>
          </cell>
          <cell r="W37">
            <v>7.3609497478905217E-2</v>
          </cell>
          <cell r="X37">
            <v>6.1583508413635579E-2</v>
          </cell>
          <cell r="Y37">
            <v>5.0891256670634544E-2</v>
          </cell>
          <cell r="Z37">
            <v>4.9558165609417504E-2</v>
          </cell>
          <cell r="AA37">
            <v>4.9641559900345023E-2</v>
          </cell>
          <cell r="AB37">
            <v>4.9725744844105968E-2</v>
          </cell>
          <cell r="AC37">
            <v>4.9810730680107662E-2</v>
          </cell>
          <cell r="AD37">
            <v>4.9896526960691689E-2</v>
          </cell>
          <cell r="AE37">
            <v>4.9983142552874948E-2</v>
          </cell>
          <cell r="AF37">
            <v>5.0070585639633958E-2</v>
          </cell>
          <cell r="AG37">
            <v>5.0158863720765279E-2</v>
          </cell>
          <cell r="AH37">
            <v>5.0247983613360248E-2</v>
          </cell>
          <cell r="AI37">
            <v>5.0337951451945306E-2</v>
          </cell>
          <cell r="AJ37">
            <v>5.0428772688315915E-2</v>
          </cell>
        </row>
        <row r="40">
          <cell r="I40" t="str">
            <v>Gross Bookings Scenarios</v>
          </cell>
        </row>
        <row r="41">
          <cell r="I41" t="str">
            <v>Gross bookings by brand</v>
          </cell>
        </row>
        <row r="42">
          <cell r="I42" t="str">
            <v>US</v>
          </cell>
        </row>
        <row r="43">
          <cell r="I43" t="str">
            <v>Agency (Priceline.com)</v>
          </cell>
          <cell r="M43">
            <v>834.30699999999956</v>
          </cell>
          <cell r="N43">
            <v>923.46399999999994</v>
          </cell>
          <cell r="O43">
            <v>1538.9859999999999</v>
          </cell>
          <cell r="P43">
            <v>1772.3919999999998</v>
          </cell>
          <cell r="Q43">
            <v>2028.4010000000003</v>
          </cell>
          <cell r="R43">
            <v>2335.0682999999999</v>
          </cell>
          <cell r="S43">
            <v>2715.9713540000002</v>
          </cell>
          <cell r="T43">
            <v>3041.8879164800005</v>
          </cell>
          <cell r="U43">
            <v>3285.2389497984009</v>
          </cell>
          <cell r="V43">
            <v>3449.5008972883211</v>
          </cell>
          <cell r="W43">
            <v>3604.7284376662951</v>
          </cell>
          <cell r="X43">
            <v>3766.9412173612782</v>
          </cell>
          <cell r="Y43">
            <v>3936.4535721425354</v>
          </cell>
          <cell r="Z43">
            <v>4113.5939828889495</v>
          </cell>
          <cell r="AA43">
            <v>4298.7057121189519</v>
          </cell>
          <cell r="AB43">
            <v>4492.1474691643043</v>
          </cell>
          <cell r="AC43">
            <v>4694.2941052766973</v>
          </cell>
          <cell r="AD43">
            <v>4905.537340014148</v>
          </cell>
          <cell r="AE43">
            <v>5126.286520314784</v>
          </cell>
          <cell r="AF43">
            <v>5356.9694137289489</v>
          </cell>
          <cell r="AG43">
            <v>5598.0330373467514</v>
          </cell>
          <cell r="AH43">
            <v>5849.9445240273544</v>
          </cell>
          <cell r="AI43">
            <v>6113.1920276085848</v>
          </cell>
          <cell r="AJ43">
            <v>6388.285668850971</v>
          </cell>
        </row>
        <row r="44">
          <cell r="I44" t="str">
            <v>Base y/y Growth - %</v>
          </cell>
          <cell r="M44" t="str">
            <v>NA</v>
          </cell>
          <cell r="N44">
            <v>0.10686354063911785</v>
          </cell>
          <cell r="O44">
            <v>0.66653599923765294</v>
          </cell>
          <cell r="P44">
            <v>0.15166219835658024</v>
          </cell>
          <cell r="Q44">
            <v>0.14444265151275815</v>
          </cell>
          <cell r="R44">
            <v>0.15118672294087787</v>
          </cell>
          <cell r="S44">
            <v>0.16312287482126342</v>
          </cell>
          <cell r="T44">
            <v>0.12</v>
          </cell>
          <cell r="U44">
            <v>0.08</v>
          </cell>
          <cell r="V44">
            <v>0.05</v>
          </cell>
          <cell r="W44">
            <v>4.4999999999999998E-2</v>
          </cell>
          <cell r="X44">
            <v>4.4999999999999998E-2</v>
          </cell>
          <cell r="Y44">
            <v>4.4999999999999998E-2</v>
          </cell>
          <cell r="Z44">
            <v>4.4999999999999998E-2</v>
          </cell>
          <cell r="AA44">
            <v>4.4999999999999998E-2</v>
          </cell>
          <cell r="AB44">
            <v>4.4999999999999998E-2</v>
          </cell>
          <cell r="AC44">
            <v>4.4999999999999998E-2</v>
          </cell>
          <cell r="AD44">
            <v>4.4999999999999998E-2</v>
          </cell>
          <cell r="AE44">
            <v>4.4999999999999998E-2</v>
          </cell>
          <cell r="AF44">
            <v>4.4999999999999998E-2</v>
          </cell>
          <cell r="AG44">
            <v>4.4999999999999998E-2</v>
          </cell>
          <cell r="AH44">
            <v>4.4999999999999998E-2</v>
          </cell>
          <cell r="AI44">
            <v>4.4999999999999998E-2</v>
          </cell>
          <cell r="AJ44">
            <v>4.4999999999999998E-2</v>
          </cell>
        </row>
        <row r="45">
          <cell r="I45" t="str">
            <v>Bull y/y Growth - %</v>
          </cell>
          <cell r="M45" t="str">
            <v>NA</v>
          </cell>
          <cell r="N45">
            <v>0.10686354063911785</v>
          </cell>
          <cell r="O45">
            <v>0.66653599923765294</v>
          </cell>
          <cell r="P45">
            <v>0.15166219835658024</v>
          </cell>
          <cell r="Q45">
            <v>0.14444265151275815</v>
          </cell>
          <cell r="R45">
            <v>0.15558304299790815</v>
          </cell>
          <cell r="S45">
            <v>0.18312287482126322</v>
          </cell>
          <cell r="T45">
            <v>0.13</v>
          </cell>
          <cell r="U45">
            <v>0.09</v>
          </cell>
          <cell r="V45">
            <v>6.0000000000000005E-2</v>
          </cell>
          <cell r="W45">
            <v>5.5E-2</v>
          </cell>
          <cell r="X45">
            <v>5.5E-2</v>
          </cell>
          <cell r="Y45">
            <v>5.5E-2</v>
          </cell>
          <cell r="Z45">
            <v>5.5E-2</v>
          </cell>
          <cell r="AA45">
            <v>5.5E-2</v>
          </cell>
          <cell r="AB45">
            <v>5.5E-2</v>
          </cell>
          <cell r="AC45">
            <v>5.5E-2</v>
          </cell>
          <cell r="AD45">
            <v>5.5E-2</v>
          </cell>
          <cell r="AE45">
            <v>5.5E-2</v>
          </cell>
          <cell r="AF45">
            <v>5.5E-2</v>
          </cell>
          <cell r="AG45">
            <v>5.5E-2</v>
          </cell>
          <cell r="AH45">
            <v>5.5E-2</v>
          </cell>
          <cell r="AI45">
            <v>5.5E-2</v>
          </cell>
          <cell r="AJ45">
            <v>5.5E-2</v>
          </cell>
        </row>
        <row r="46">
          <cell r="I46" t="str">
            <v>Bear y/y Growth - %</v>
          </cell>
          <cell r="M46" t="str">
            <v>NA</v>
          </cell>
          <cell r="N46">
            <v>0.10686354063911785</v>
          </cell>
          <cell r="O46">
            <v>0.66653599923765294</v>
          </cell>
          <cell r="P46">
            <v>0.15166219835658024</v>
          </cell>
          <cell r="Q46">
            <v>0.14444265151275815</v>
          </cell>
          <cell r="R46">
            <v>0.1379977627697877</v>
          </cell>
          <cell r="S46">
            <v>8.4342049866378721E-2</v>
          </cell>
          <cell r="T46">
            <v>0.04</v>
          </cell>
          <cell r="U46">
            <v>0.03</v>
          </cell>
          <cell r="V46">
            <v>3.0000000000000002E-2</v>
          </cell>
          <cell r="W46">
            <v>2.4999999999999998E-2</v>
          </cell>
          <cell r="X46">
            <v>2.4999999999999998E-2</v>
          </cell>
          <cell r="Y46">
            <v>2.4999999999999998E-2</v>
          </cell>
          <cell r="Z46">
            <v>2.4999999999999998E-2</v>
          </cell>
          <cell r="AA46">
            <v>2.4999999999999998E-2</v>
          </cell>
          <cell r="AB46">
            <v>2.4999999999999998E-2</v>
          </cell>
          <cell r="AC46">
            <v>2.4999999999999998E-2</v>
          </cell>
          <cell r="AD46">
            <v>2.4999999999999998E-2</v>
          </cell>
          <cell r="AE46">
            <v>2.4999999999999998E-2</v>
          </cell>
          <cell r="AF46">
            <v>2.4999999999999998E-2</v>
          </cell>
          <cell r="AG46">
            <v>2.4999999999999998E-2</v>
          </cell>
          <cell r="AH46">
            <v>2.4999999999999998E-2</v>
          </cell>
          <cell r="AI46">
            <v>2.4999999999999998E-2</v>
          </cell>
          <cell r="AJ46">
            <v>2.4999999999999998E-2</v>
          </cell>
        </row>
        <row r="47">
          <cell r="I47" t="str">
            <v>Merchant (NYOP &amp; Priceline.com)</v>
          </cell>
          <cell r="M47">
            <v>1138.4829999999999</v>
          </cell>
          <cell r="N47">
            <v>1230.9110000000001</v>
          </cell>
          <cell r="O47">
            <v>1542.806</v>
          </cell>
          <cell r="P47">
            <v>1873.67</v>
          </cell>
          <cell r="Q47">
            <v>2138.4740000000002</v>
          </cell>
          <cell r="R47">
            <v>2388.6791999999996</v>
          </cell>
          <cell r="S47">
            <v>2592.8427940000001</v>
          </cell>
          <cell r="T47">
            <v>2787.3060035500002</v>
          </cell>
          <cell r="U47">
            <v>2982.4174237985003</v>
          </cell>
          <cell r="V47">
            <v>3146.4503821074177</v>
          </cell>
          <cell r="W47">
            <v>3303.7729012127888</v>
          </cell>
          <cell r="X47">
            <v>3435.9238172613004</v>
          </cell>
          <cell r="Y47">
            <v>3573.3607699517524</v>
          </cell>
          <cell r="Z47">
            <v>3716.2952007498225</v>
          </cell>
          <cell r="AA47">
            <v>3864.9470087798154</v>
          </cell>
          <cell r="AB47">
            <v>4019.5448891310079</v>
          </cell>
          <cell r="AC47">
            <v>4180.3266846962488</v>
          </cell>
          <cell r="AD47">
            <v>4347.5397520840988</v>
          </cell>
          <cell r="AE47">
            <v>4521.4413421674626</v>
          </cell>
          <cell r="AF47">
            <v>4702.2989958541611</v>
          </cell>
          <cell r="AG47">
            <v>4890.3909556883282</v>
          </cell>
          <cell r="AH47">
            <v>5086.0065939158612</v>
          </cell>
          <cell r="AI47">
            <v>5289.4468576724958</v>
          </cell>
          <cell r="AJ47">
            <v>5501.0247319793962</v>
          </cell>
        </row>
        <row r="48">
          <cell r="I48" t="str">
            <v>Base y/y Growth - %</v>
          </cell>
          <cell r="M48" t="str">
            <v>NA</v>
          </cell>
          <cell r="N48">
            <v>8.1185226305531266E-2</v>
          </cell>
          <cell r="O48">
            <v>0.25338550065764287</v>
          </cell>
          <cell r="P48">
            <v>0.21445599770807222</v>
          </cell>
          <cell r="Q48">
            <v>0.14132904940571178</v>
          </cell>
          <cell r="R48">
            <v>0.11700174984591794</v>
          </cell>
          <cell r="S48">
            <v>8.5471332441794834E-2</v>
          </cell>
          <cell r="T48">
            <v>7.4999999999999997E-2</v>
          </cell>
          <cell r="U48">
            <v>7.0000000000000007E-2</v>
          </cell>
          <cell r="V48">
            <v>5.5E-2</v>
          </cell>
          <cell r="W48">
            <v>0.05</v>
          </cell>
          <cell r="X48">
            <v>0.04</v>
          </cell>
          <cell r="Y48">
            <v>0.04</v>
          </cell>
          <cell r="Z48">
            <v>0.04</v>
          </cell>
          <cell r="AA48">
            <v>0.04</v>
          </cell>
          <cell r="AB48">
            <v>0.04</v>
          </cell>
          <cell r="AC48">
            <v>0.04</v>
          </cell>
          <cell r="AD48">
            <v>0.04</v>
          </cell>
          <cell r="AE48">
            <v>0.04</v>
          </cell>
          <cell r="AF48">
            <v>0.04</v>
          </cell>
          <cell r="AG48">
            <v>0.04</v>
          </cell>
          <cell r="AH48">
            <v>0.04</v>
          </cell>
          <cell r="AI48">
            <v>0.04</v>
          </cell>
          <cell r="AJ48">
            <v>0.04</v>
          </cell>
        </row>
        <row r="49">
          <cell r="I49" t="str">
            <v>Bull y/y Growth - %</v>
          </cell>
          <cell r="M49" t="str">
            <v>NA</v>
          </cell>
          <cell r="N49">
            <v>8.1185226305531266E-2</v>
          </cell>
          <cell r="O49">
            <v>0.25338550065764287</v>
          </cell>
          <cell r="P49">
            <v>0.21445599770807222</v>
          </cell>
          <cell r="Q49">
            <v>0.14132904940571178</v>
          </cell>
          <cell r="R49">
            <v>0.12126764225330766</v>
          </cell>
          <cell r="S49">
            <v>0.10547133244179507</v>
          </cell>
          <cell r="T49">
            <v>8.4999999999999992E-2</v>
          </cell>
          <cell r="U49">
            <v>0.08</v>
          </cell>
          <cell r="V49">
            <v>6.5000000000000002E-2</v>
          </cell>
          <cell r="W49">
            <v>6.0000000000000005E-2</v>
          </cell>
          <cell r="X49">
            <v>5.5E-2</v>
          </cell>
          <cell r="Y49">
            <v>5.5E-2</v>
          </cell>
          <cell r="Z49">
            <v>5.5E-2</v>
          </cell>
          <cell r="AA49">
            <v>5.5E-2</v>
          </cell>
          <cell r="AB49">
            <v>0.05</v>
          </cell>
          <cell r="AC49">
            <v>0.05</v>
          </cell>
          <cell r="AD49">
            <v>0.05</v>
          </cell>
          <cell r="AE49">
            <v>0.05</v>
          </cell>
          <cell r="AF49">
            <v>0.05</v>
          </cell>
          <cell r="AG49">
            <v>0.05</v>
          </cell>
          <cell r="AH49">
            <v>0.05</v>
          </cell>
          <cell r="AI49">
            <v>0.05</v>
          </cell>
          <cell r="AJ49">
            <v>0.05</v>
          </cell>
        </row>
        <row r="50">
          <cell r="I50" t="str">
            <v>Bear y/y Growth - %</v>
          </cell>
          <cell r="M50" t="str">
            <v>NA</v>
          </cell>
          <cell r="N50">
            <v>8.1185226305531266E-2</v>
          </cell>
          <cell r="O50">
            <v>0.25338550065764287</v>
          </cell>
          <cell r="P50">
            <v>0.21445599770807222</v>
          </cell>
          <cell r="Q50">
            <v>0.14132904940571178</v>
          </cell>
          <cell r="R50">
            <v>0.12126764225330766</v>
          </cell>
          <cell r="S50">
            <v>8.7533622765250785E-2</v>
          </cell>
          <cell r="T50">
            <v>0.04</v>
          </cell>
          <cell r="U50">
            <v>0.03</v>
          </cell>
          <cell r="V50">
            <v>2.5000000000000001E-2</v>
          </cell>
          <cell r="W50">
            <v>0.03</v>
          </cell>
          <cell r="X50">
            <v>1.0000000000000002E-2</v>
          </cell>
          <cell r="Y50">
            <v>1.0000000000000002E-2</v>
          </cell>
          <cell r="Z50">
            <v>1.0000000000000002E-2</v>
          </cell>
          <cell r="AA50">
            <v>1.0000000000000002E-2</v>
          </cell>
          <cell r="AB50">
            <v>1.0000000000000002E-2</v>
          </cell>
          <cell r="AC50">
            <v>1.0000000000000002E-2</v>
          </cell>
          <cell r="AD50">
            <v>1.0000000000000002E-2</v>
          </cell>
          <cell r="AE50">
            <v>1.0000000000000002E-2</v>
          </cell>
          <cell r="AF50">
            <v>1.0000000000000002E-2</v>
          </cell>
          <cell r="AG50">
            <v>1.0000000000000002E-2</v>
          </cell>
          <cell r="AH50">
            <v>1.0000000000000002E-2</v>
          </cell>
          <cell r="AI50">
            <v>1.0000000000000002E-2</v>
          </cell>
          <cell r="AJ50">
            <v>1.0000000000000002E-2</v>
          </cell>
        </row>
        <row r="51">
          <cell r="I51" t="str">
            <v>Total US</v>
          </cell>
          <cell r="M51">
            <v>1972.7899999999995</v>
          </cell>
          <cell r="N51">
            <v>2154.375</v>
          </cell>
          <cell r="O51">
            <v>3081.7919999999999</v>
          </cell>
          <cell r="P51">
            <v>3646.0619999999999</v>
          </cell>
          <cell r="Q51">
            <v>4166.875</v>
          </cell>
          <cell r="R51">
            <v>4723.7474999999995</v>
          </cell>
          <cell r="S51">
            <v>5308.8141480000004</v>
          </cell>
          <cell r="T51">
            <v>5829.1939200300003</v>
          </cell>
          <cell r="U51">
            <v>6267.6563735969012</v>
          </cell>
          <cell r="V51">
            <v>6595.9512793957383</v>
          </cell>
          <cell r="W51">
            <v>6908.501338879084</v>
          </cell>
          <cell r="X51">
            <v>7202.8650346225786</v>
          </cell>
          <cell r="Y51">
            <v>7509.8143420942879</v>
          </cell>
          <cell r="Z51">
            <v>7829.889183638772</v>
          </cell>
          <cell r="AA51">
            <v>8163.6527208987673</v>
          </cell>
          <cell r="AB51">
            <v>8511.6923582953132</v>
          </cell>
          <cell r="AC51">
            <v>8874.6207899729452</v>
          </cell>
          <cell r="AD51">
            <v>9253.0770920982468</v>
          </cell>
          <cell r="AE51">
            <v>9647.7278624822466</v>
          </cell>
          <cell r="AF51">
            <v>10059.26840958311</v>
          </cell>
          <cell r="AG51">
            <v>10488.42399303508</v>
          </cell>
          <cell r="AH51">
            <v>10935.951117943216</v>
          </cell>
          <cell r="AI51">
            <v>11402.638885281081</v>
          </cell>
          <cell r="AJ51">
            <v>11889.310400830367</v>
          </cell>
        </row>
        <row r="52">
          <cell r="I52" t="str">
            <v>y/y Growth - %</v>
          </cell>
          <cell r="M52" t="str">
            <v>NA</v>
          </cell>
          <cell r="N52">
            <v>9.2044769083379663E-2</v>
          </cell>
          <cell r="O52">
            <v>0.43048076588337691</v>
          </cell>
          <cell r="P52">
            <v>0.18309801569995643</v>
          </cell>
          <cell r="Q52">
            <v>0.14284260662599824</v>
          </cell>
          <cell r="R52">
            <v>0.13364271786410664</v>
          </cell>
          <cell r="S52">
            <v>0.12385646099839187</v>
          </cell>
          <cell r="T52">
            <v>9.8021847727715938E-2</v>
          </cell>
          <cell r="U52">
            <v>7.5218368025170124E-2</v>
          </cell>
          <cell r="V52">
            <v>5.237921261634737E-2</v>
          </cell>
          <cell r="W52">
            <v>4.7385137676756672E-2</v>
          </cell>
          <cell r="X52">
            <v>4.2608907678268748E-2</v>
          </cell>
          <cell r="Y52">
            <v>4.26148908797086E-2</v>
          </cell>
          <cell r="Z52">
            <v>4.2620872762511475E-2</v>
          </cell>
          <cell r="AA52">
            <v>4.2626853258335151E-2</v>
          </cell>
          <cell r="AB52">
            <v>4.2632832298901135E-2</v>
          </cell>
          <cell r="AC52">
            <v>4.2638809815997325E-2</v>
          </cell>
          <cell r="AD52">
            <v>4.2644785741482449E-2</v>
          </cell>
          <cell r="AE52">
            <v>4.265076000728607E-2</v>
          </cell>
          <cell r="AF52">
            <v>4.2656732545416132E-2</v>
          </cell>
          <cell r="AG52">
            <v>4.2662703287957626E-2</v>
          </cell>
          <cell r="AH52">
            <v>4.2668672167078592E-2</v>
          </cell>
          <cell r="AI52">
            <v>4.2674639115032775E-2</v>
          </cell>
          <cell r="AJ52">
            <v>4.2680604064160743E-2</v>
          </cell>
        </row>
        <row r="54">
          <cell r="I54" t="str">
            <v>Europe</v>
          </cell>
        </row>
        <row r="55">
          <cell r="I55" t="str">
            <v>Agency (Booking.com &amp; Other)</v>
          </cell>
          <cell r="M55">
            <v>1323.9290000000003</v>
          </cell>
          <cell r="N55">
            <v>2596.2659999999996</v>
          </cell>
          <cell r="O55">
            <v>4024.8225000000002</v>
          </cell>
          <cell r="P55">
            <v>4992.1568750000006</v>
          </cell>
          <cell r="Q55">
            <v>7664.4586250000011</v>
          </cell>
          <cell r="R55">
            <v>12567.324086258932</v>
          </cell>
          <cell r="S55">
            <v>15948.969148794769</v>
          </cell>
          <cell r="T55">
            <v>19298.252670041671</v>
          </cell>
          <cell r="U55">
            <v>21614.042990446673</v>
          </cell>
          <cell r="V55">
            <v>23451.236644634639</v>
          </cell>
          <cell r="W55">
            <v>25092.823209759066</v>
          </cell>
          <cell r="X55">
            <v>26598.392602344611</v>
          </cell>
          <cell r="Y55">
            <v>27861.816250955984</v>
          </cell>
          <cell r="Z55">
            <v>29115.597982249001</v>
          </cell>
          <cell r="AA55">
            <v>30425.799891450202</v>
          </cell>
          <cell r="AB55">
            <v>31794.960886565459</v>
          </cell>
          <cell r="AC55">
            <v>33225.734126460906</v>
          </cell>
          <cell r="AD55">
            <v>34720.892162151642</v>
          </cell>
          <cell r="AE55">
            <v>36283.332309448466</v>
          </cell>
          <cell r="AF55">
            <v>37916.082263373646</v>
          </cell>
          <cell r="AG55">
            <v>39622.30596522546</v>
          </cell>
          <cell r="AH55">
            <v>41405.309733660601</v>
          </cell>
          <cell r="AI55">
            <v>43268.548671675322</v>
          </cell>
          <cell r="AJ55">
            <v>45215.633361900705</v>
          </cell>
        </row>
        <row r="56">
          <cell r="I56" t="str">
            <v>Base y/y Growth - %</v>
          </cell>
          <cell r="M56" t="str">
            <v>NA</v>
          </cell>
          <cell r="N56">
            <v>0.96103114290872016</v>
          </cell>
          <cell r="O56">
            <v>0.55023502984671091</v>
          </cell>
          <cell r="P56">
            <v>0.24034212067737148</v>
          </cell>
          <cell r="Q56">
            <v>0.53530003501742929</v>
          </cell>
          <cell r="R56">
            <v>0.63968842434176887</v>
          </cell>
          <cell r="S56">
            <v>0.2690823471508399</v>
          </cell>
          <cell r="T56">
            <v>0.21</v>
          </cell>
          <cell r="U56">
            <v>0.12</v>
          </cell>
          <cell r="V56">
            <v>8.5000000000000006E-2</v>
          </cell>
          <cell r="W56">
            <v>7.0000000000000007E-2</v>
          </cell>
          <cell r="X56">
            <v>0.06</v>
          </cell>
          <cell r="Y56">
            <v>4.7500000000000001E-2</v>
          </cell>
          <cell r="Z56">
            <v>4.4999999999999998E-2</v>
          </cell>
          <cell r="AA56">
            <v>4.4999999999999998E-2</v>
          </cell>
          <cell r="AB56">
            <v>4.4999999999999998E-2</v>
          </cell>
          <cell r="AC56">
            <v>4.4999999999999998E-2</v>
          </cell>
          <cell r="AD56">
            <v>4.4999999999999998E-2</v>
          </cell>
          <cell r="AE56">
            <v>4.4999999999999998E-2</v>
          </cell>
          <cell r="AF56">
            <v>4.4999999999999998E-2</v>
          </cell>
          <cell r="AG56">
            <v>4.4999999999999998E-2</v>
          </cell>
          <cell r="AH56">
            <v>4.4999999999999998E-2</v>
          </cell>
          <cell r="AI56">
            <v>4.4999999999999998E-2</v>
          </cell>
          <cell r="AJ56">
            <v>4.4999999999999998E-2</v>
          </cell>
        </row>
        <row r="57">
          <cell r="I57" t="str">
            <v>(+/-) FX y/y Growth - %</v>
          </cell>
          <cell r="M57" t="str">
            <v>NA</v>
          </cell>
          <cell r="N57">
            <v>-9.0575564185765581E-2</v>
          </cell>
          <cell r="O57">
            <v>-5.8672391623203229E-2</v>
          </cell>
          <cell r="P57">
            <v>6.2524109754471285E-2</v>
          </cell>
          <cell r="Q57">
            <v>4.4309026369021662E-2</v>
          </cell>
          <cell r="R57">
            <v>-4.775857161340416E-2</v>
          </cell>
          <cell r="S57">
            <v>6.2248681346400075E-2</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row>
        <row r="58">
          <cell r="I58" t="str">
            <v>Organic y/y Growth - %</v>
          </cell>
          <cell r="M58" t="str">
            <v>NA</v>
          </cell>
          <cell r="N58">
            <v>0.87045557872295454</v>
          </cell>
          <cell r="O58">
            <v>0.49156263822350765</v>
          </cell>
          <cell r="P58">
            <v>0.3028662304318428</v>
          </cell>
          <cell r="Q58">
            <v>0.57960906138645096</v>
          </cell>
          <cell r="R58">
            <v>0.59192985272836474</v>
          </cell>
          <cell r="S58">
            <v>0.33133102849723994</v>
          </cell>
          <cell r="T58">
            <v>0.21</v>
          </cell>
          <cell r="U58">
            <v>0.12</v>
          </cell>
          <cell r="V58">
            <v>8.5000000000000006E-2</v>
          </cell>
          <cell r="W58">
            <v>7.0000000000000007E-2</v>
          </cell>
          <cell r="X58">
            <v>0.06</v>
          </cell>
          <cell r="Y58">
            <v>4.7500000000000001E-2</v>
          </cell>
          <cell r="Z58">
            <v>4.4999999999999998E-2</v>
          </cell>
          <cell r="AA58">
            <v>4.4999999999999998E-2</v>
          </cell>
          <cell r="AB58">
            <v>4.4999999999999998E-2</v>
          </cell>
          <cell r="AC58">
            <v>4.4999999999999998E-2</v>
          </cell>
          <cell r="AD58">
            <v>4.4999999999999998E-2</v>
          </cell>
          <cell r="AE58">
            <v>4.4999999999999998E-2</v>
          </cell>
          <cell r="AF58">
            <v>4.4999999999999998E-2</v>
          </cell>
          <cell r="AG58">
            <v>4.4999999999999998E-2</v>
          </cell>
          <cell r="AH58">
            <v>4.4999999999999998E-2</v>
          </cell>
          <cell r="AI58">
            <v>4.4999999999999998E-2</v>
          </cell>
          <cell r="AJ58">
            <v>4.4999999999999998E-2</v>
          </cell>
        </row>
        <row r="59">
          <cell r="I59" t="str">
            <v>Bull y/y Growth - %</v>
          </cell>
          <cell r="M59" t="str">
            <v>NA</v>
          </cell>
          <cell r="N59">
            <v>0.96103114290872016</v>
          </cell>
          <cell r="O59">
            <v>0.55023502984671091</v>
          </cell>
          <cell r="P59">
            <v>0.24034212067737148</v>
          </cell>
          <cell r="Q59">
            <v>0.53530003501742929</v>
          </cell>
          <cell r="R59">
            <v>0.64696090961792208</v>
          </cell>
          <cell r="S59">
            <v>0.29908234715083992</v>
          </cell>
          <cell r="T59">
            <v>0.26</v>
          </cell>
          <cell r="U59">
            <v>0.16999999999999998</v>
          </cell>
          <cell r="V59">
            <v>0.13500000000000001</v>
          </cell>
          <cell r="W59">
            <v>0.12000000000000001</v>
          </cell>
          <cell r="X59">
            <v>0.11</v>
          </cell>
          <cell r="Y59">
            <v>9.7500000000000003E-2</v>
          </cell>
          <cell r="Z59">
            <v>9.5000000000000001E-2</v>
          </cell>
          <cell r="AA59">
            <v>9.5000000000000001E-2</v>
          </cell>
          <cell r="AB59">
            <v>9.5000000000000001E-2</v>
          </cell>
          <cell r="AC59">
            <v>9.5000000000000001E-2</v>
          </cell>
          <cell r="AD59">
            <v>9.5000000000000001E-2</v>
          </cell>
          <cell r="AE59">
            <v>9.5000000000000001E-2</v>
          </cell>
          <cell r="AF59">
            <v>9.5000000000000001E-2</v>
          </cell>
          <cell r="AG59">
            <v>9.5000000000000001E-2</v>
          </cell>
          <cell r="AH59">
            <v>9.5000000000000001E-2</v>
          </cell>
          <cell r="AI59">
            <v>9.5000000000000001E-2</v>
          </cell>
          <cell r="AJ59">
            <v>9.5000000000000001E-2</v>
          </cell>
        </row>
        <row r="60">
          <cell r="I60" t="str">
            <v>Bear y/y Growth - %</v>
          </cell>
          <cell r="M60" t="str">
            <v>NA</v>
          </cell>
          <cell r="N60">
            <v>0.96103114290872016</v>
          </cell>
          <cell r="O60">
            <v>0.55023502984671091</v>
          </cell>
          <cell r="P60">
            <v>0.24034212067737148</v>
          </cell>
          <cell r="Q60">
            <v>0.53530003501742929</v>
          </cell>
          <cell r="R60">
            <v>0.62756761554817975</v>
          </cell>
          <cell r="S60">
            <v>0.21908234715083985</v>
          </cell>
          <cell r="T60">
            <v>0.15999999999999998</v>
          </cell>
          <cell r="U60">
            <v>6.9999999999999993E-2</v>
          </cell>
          <cell r="V60">
            <v>3.5000000000000003E-2</v>
          </cell>
          <cell r="W60">
            <v>0.01</v>
          </cell>
          <cell r="X60">
            <v>0.01</v>
          </cell>
          <cell r="Y60">
            <v>0.01</v>
          </cell>
          <cell r="Z60">
            <v>0.01</v>
          </cell>
          <cell r="AA60">
            <v>0.01</v>
          </cell>
          <cell r="AB60">
            <v>0.01</v>
          </cell>
          <cell r="AC60">
            <v>0.01</v>
          </cell>
          <cell r="AD60">
            <v>0.01</v>
          </cell>
          <cell r="AE60">
            <v>0.01</v>
          </cell>
          <cell r="AF60">
            <v>0.01</v>
          </cell>
          <cell r="AG60">
            <v>0.01</v>
          </cell>
          <cell r="AH60">
            <v>0.01</v>
          </cell>
          <cell r="AI60">
            <v>0.01</v>
          </cell>
          <cell r="AJ60">
            <v>0.01</v>
          </cell>
        </row>
        <row r="61">
          <cell r="I61" t="str">
            <v>Merchant (TravelJigsaw)</v>
          </cell>
          <cell r="M61">
            <v>0</v>
          </cell>
          <cell r="N61">
            <v>0</v>
          </cell>
          <cell r="O61">
            <v>0</v>
          </cell>
          <cell r="P61">
            <v>0</v>
          </cell>
          <cell r="Q61">
            <v>184.7</v>
          </cell>
          <cell r="R61">
            <v>488.62833097441575</v>
          </cell>
          <cell r="S61">
            <v>764.14644733189664</v>
          </cell>
          <cell r="T61">
            <v>1031.5977038980604</v>
          </cell>
          <cell r="U61">
            <v>1237.9172446776724</v>
          </cell>
          <cell r="V61">
            <v>1386.4673140389932</v>
          </cell>
          <cell r="W61">
            <v>1511.2493723025027</v>
          </cell>
          <cell r="X61">
            <v>1617.0368283636781</v>
          </cell>
          <cell r="Y61">
            <v>1697.8886697818621</v>
          </cell>
          <cell r="Z61">
            <v>1782.7831032709553</v>
          </cell>
          <cell r="AA61">
            <v>1871.9222584345032</v>
          </cell>
          <cell r="AB61">
            <v>1965.5183713562285</v>
          </cell>
          <cell r="AC61">
            <v>2063.7942899240402</v>
          </cell>
          <cell r="AD61">
            <v>2166.9840044202424</v>
          </cell>
          <cell r="AE61">
            <v>2275.3332046412547</v>
          </cell>
          <cell r="AF61">
            <v>2389.0998648733175</v>
          </cell>
          <cell r="AG61">
            <v>2508.5548581169837</v>
          </cell>
          <cell r="AH61">
            <v>2633.982601022833</v>
          </cell>
          <cell r="AI61">
            <v>2765.6817310739748</v>
          </cell>
          <cell r="AJ61">
            <v>2903.9658176276735</v>
          </cell>
        </row>
        <row r="62">
          <cell r="I62" t="str">
            <v>Base y/y Growth - %</v>
          </cell>
          <cell r="M62" t="str">
            <v>NA</v>
          </cell>
          <cell r="N62" t="str">
            <v>NA</v>
          </cell>
          <cell r="O62" t="str">
            <v>NA</v>
          </cell>
          <cell r="P62" t="str">
            <v>NA</v>
          </cell>
          <cell r="Q62" t="str">
            <v>NA</v>
          </cell>
          <cell r="R62" t="str">
            <v>NM</v>
          </cell>
          <cell r="S62">
            <v>0.56386029808801008</v>
          </cell>
          <cell r="T62">
            <v>0.35</v>
          </cell>
          <cell r="U62">
            <v>0.2</v>
          </cell>
          <cell r="V62">
            <v>0.12</v>
          </cell>
          <cell r="W62">
            <v>0.09</v>
          </cell>
          <cell r="X62">
            <v>7.0000000000000007E-2</v>
          </cell>
          <cell r="Y62">
            <v>0.05</v>
          </cell>
          <cell r="Z62">
            <v>0.05</v>
          </cell>
          <cell r="AA62">
            <v>0.05</v>
          </cell>
          <cell r="AB62">
            <v>0.05</v>
          </cell>
          <cell r="AC62">
            <v>0.05</v>
          </cell>
          <cell r="AD62">
            <v>0.05</v>
          </cell>
          <cell r="AE62">
            <v>0.05</v>
          </cell>
          <cell r="AF62">
            <v>0.05</v>
          </cell>
          <cell r="AG62">
            <v>0.05</v>
          </cell>
          <cell r="AH62">
            <v>0.05</v>
          </cell>
          <cell r="AI62">
            <v>0.05</v>
          </cell>
          <cell r="AJ62">
            <v>0.05</v>
          </cell>
        </row>
        <row r="63">
          <cell r="I63" t="str">
            <v>(+/-) FX y/y Growth - %</v>
          </cell>
          <cell r="M63" t="str">
            <v>NA</v>
          </cell>
          <cell r="N63" t="str">
            <v>NA</v>
          </cell>
          <cell r="O63" t="str">
            <v>NA</v>
          </cell>
          <cell r="P63" t="str">
            <v>NA</v>
          </cell>
          <cell r="Q63" t="str">
            <v>NA</v>
          </cell>
          <cell r="R63" t="str">
            <v>NA</v>
          </cell>
          <cell r="S63">
            <v>6.2248681346400075E-2</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row>
        <row r="64">
          <cell r="I64" t="str">
            <v>Organic y/y Growth - %</v>
          </cell>
          <cell r="M64" t="str">
            <v>NA</v>
          </cell>
          <cell r="N64" t="str">
            <v>NA</v>
          </cell>
          <cell r="O64" t="str">
            <v>NA</v>
          </cell>
          <cell r="P64" t="str">
            <v>NA</v>
          </cell>
          <cell r="Q64" t="str">
            <v>NA</v>
          </cell>
          <cell r="R64" t="str">
            <v>NA</v>
          </cell>
          <cell r="S64">
            <v>0.62610897943441013</v>
          </cell>
          <cell r="T64">
            <v>0.35</v>
          </cell>
          <cell r="U64">
            <v>0.2</v>
          </cell>
          <cell r="V64">
            <v>0.12</v>
          </cell>
          <cell r="W64">
            <v>0.09</v>
          </cell>
          <cell r="X64">
            <v>7.0000000000000007E-2</v>
          </cell>
          <cell r="Y64">
            <v>0.05</v>
          </cell>
          <cell r="Z64">
            <v>0.05</v>
          </cell>
          <cell r="AA64">
            <v>0.05</v>
          </cell>
          <cell r="AB64">
            <v>0.05</v>
          </cell>
          <cell r="AC64">
            <v>0.05</v>
          </cell>
          <cell r="AD64">
            <v>0.05</v>
          </cell>
          <cell r="AE64">
            <v>0.05</v>
          </cell>
          <cell r="AF64">
            <v>0.05</v>
          </cell>
          <cell r="AG64">
            <v>0.05</v>
          </cell>
          <cell r="AH64">
            <v>0.05</v>
          </cell>
          <cell r="AI64">
            <v>0.05</v>
          </cell>
          <cell r="AJ64">
            <v>0.05</v>
          </cell>
        </row>
        <row r="65">
          <cell r="I65" t="str">
            <v>Bull y/y Growth - %</v>
          </cell>
          <cell r="M65" t="str">
            <v>NA</v>
          </cell>
          <cell r="N65" t="str">
            <v>NA</v>
          </cell>
          <cell r="O65" t="str">
            <v>NA</v>
          </cell>
          <cell r="P65" t="str">
            <v>NA</v>
          </cell>
          <cell r="Q65" t="str">
            <v>NA</v>
          </cell>
          <cell r="R65" t="str">
            <v>NM</v>
          </cell>
          <cell r="S65">
            <v>0.65068385324711175</v>
          </cell>
          <cell r="T65">
            <v>0.39999999999999997</v>
          </cell>
          <cell r="U65">
            <v>0.25</v>
          </cell>
          <cell r="V65">
            <v>0.16999999999999998</v>
          </cell>
          <cell r="W65">
            <v>0.14000000000000001</v>
          </cell>
          <cell r="X65">
            <v>0.12000000000000001</v>
          </cell>
          <cell r="Y65">
            <v>0.1</v>
          </cell>
          <cell r="Z65">
            <v>0.1</v>
          </cell>
          <cell r="AA65">
            <v>0.1</v>
          </cell>
          <cell r="AB65">
            <v>0.1</v>
          </cell>
          <cell r="AC65">
            <v>0.1</v>
          </cell>
          <cell r="AD65">
            <v>0.1</v>
          </cell>
          <cell r="AE65">
            <v>0.1</v>
          </cell>
          <cell r="AF65">
            <v>0.1</v>
          </cell>
          <cell r="AG65">
            <v>0.1</v>
          </cell>
          <cell r="AH65">
            <v>0.1</v>
          </cell>
          <cell r="AI65">
            <v>0.1</v>
          </cell>
          <cell r="AJ65">
            <v>0.1</v>
          </cell>
        </row>
        <row r="66">
          <cell r="I66" t="str">
            <v>Bear y/y Growth - %</v>
          </cell>
          <cell r="M66" t="str">
            <v>NA</v>
          </cell>
          <cell r="N66" t="str">
            <v>NA</v>
          </cell>
          <cell r="O66" t="str">
            <v>NA</v>
          </cell>
          <cell r="P66" t="str">
            <v>NA</v>
          </cell>
          <cell r="Q66" t="str">
            <v>NA</v>
          </cell>
          <cell r="R66" t="str">
            <v>NM</v>
          </cell>
          <cell r="S66">
            <v>0.28068385324711165</v>
          </cell>
          <cell r="T66">
            <v>0.19999999999999998</v>
          </cell>
          <cell r="U66">
            <v>0.15000000000000002</v>
          </cell>
          <cell r="V66">
            <v>6.9999999999999993E-2</v>
          </cell>
          <cell r="W66">
            <v>3.9999999999999994E-2</v>
          </cell>
          <cell r="X66">
            <v>0.01</v>
          </cell>
          <cell r="Y66">
            <v>0.01</v>
          </cell>
          <cell r="Z66">
            <v>0.01</v>
          </cell>
          <cell r="AA66">
            <v>0.01</v>
          </cell>
          <cell r="AB66">
            <v>0.01</v>
          </cell>
          <cell r="AC66">
            <v>0.01</v>
          </cell>
          <cell r="AD66">
            <v>0.01</v>
          </cell>
          <cell r="AE66">
            <v>0.01</v>
          </cell>
          <cell r="AF66">
            <v>0.01</v>
          </cell>
          <cell r="AG66">
            <v>0.01</v>
          </cell>
          <cell r="AH66">
            <v>0.01</v>
          </cell>
          <cell r="AI66">
            <v>0.01</v>
          </cell>
          <cell r="AJ66">
            <v>0.01</v>
          </cell>
        </row>
        <row r="67">
          <cell r="I67" t="str">
            <v>Total Europe</v>
          </cell>
          <cell r="M67">
            <v>1323.9290000000003</v>
          </cell>
          <cell r="N67">
            <v>2596.2659999999996</v>
          </cell>
          <cell r="O67">
            <v>4024.8225000000002</v>
          </cell>
          <cell r="P67">
            <v>4992.1568750000006</v>
          </cell>
          <cell r="Q67">
            <v>7849.1586250000009</v>
          </cell>
          <cell r="R67">
            <v>13055.952417233348</v>
          </cell>
          <cell r="S67">
            <v>16713.115596126667</v>
          </cell>
          <cell r="T67">
            <v>20329.850373939731</v>
          </cell>
          <cell r="U67">
            <v>22851.960235124345</v>
          </cell>
          <cell r="V67">
            <v>24837.703958673632</v>
          </cell>
          <cell r="W67">
            <v>26604.07258206157</v>
          </cell>
          <cell r="X67">
            <v>28215.429430708289</v>
          </cell>
          <cell r="Y67">
            <v>29559.704920737848</v>
          </cell>
          <cell r="Z67">
            <v>30898.381085519955</v>
          </cell>
          <cell r="AA67">
            <v>32297.722149884707</v>
          </cell>
          <cell r="AB67">
            <v>33760.479257921688</v>
          </cell>
          <cell r="AC67">
            <v>35289.528416384943</v>
          </cell>
          <cell r="AD67">
            <v>36887.876166571885</v>
          </cell>
          <cell r="AE67">
            <v>38558.66551408972</v>
          </cell>
          <cell r="AF67">
            <v>40305.182128246961</v>
          </cell>
          <cell r="AG67">
            <v>42130.860823342446</v>
          </cell>
          <cell r="AH67">
            <v>44039.292334683436</v>
          </cell>
          <cell r="AI67">
            <v>46034.230402749294</v>
          </cell>
          <cell r="AJ67">
            <v>48119.599179528377</v>
          </cell>
        </row>
        <row r="68">
          <cell r="I68" t="str">
            <v>y/y Growth - %</v>
          </cell>
          <cell r="M68" t="str">
            <v>NA</v>
          </cell>
          <cell r="N68">
            <v>0.96103114290872016</v>
          </cell>
          <cell r="O68">
            <v>0.55023502984671091</v>
          </cell>
          <cell r="P68">
            <v>0.24034212067737148</v>
          </cell>
          <cell r="Q68">
            <v>0.57229807106171915</v>
          </cell>
          <cell r="R68">
            <v>0.66335693301565124</v>
          </cell>
          <cell r="S68">
            <v>0.28011462220603733</v>
          </cell>
          <cell r="T68">
            <v>0.21640099100680299</v>
          </cell>
          <cell r="U68">
            <v>0.12405944041858952</v>
          </cell>
          <cell r="V68">
            <v>8.6895990677295254E-2</v>
          </cell>
          <cell r="W68">
            <v>7.1116421482715131E-2</v>
          </cell>
          <cell r="X68">
            <v>6.0568051890416807E-2</v>
          </cell>
          <cell r="Y68">
            <v>4.7643275936339879E-2</v>
          </cell>
          <cell r="Z68">
            <v>4.5287196484933512E-2</v>
          </cell>
          <cell r="AA68">
            <v>4.5288491344956938E-2</v>
          </cell>
          <cell r="AB68">
            <v>4.5289791684030689E-2</v>
          </cell>
          <cell r="AC68">
            <v>4.5291097522096813E-2</v>
          </cell>
          <cell r="AD68">
            <v>4.5292408879140211E-2</v>
          </cell>
          <cell r="AE68">
            <v>4.5293725775188864E-2</v>
          </cell>
          <cell r="AF68">
            <v>4.529504823031405E-2</v>
          </cell>
          <cell r="AG68">
            <v>4.5296376264629234E-2</v>
          </cell>
          <cell r="AH68">
            <v>4.5297709898289851E-2</v>
          </cell>
          <cell r="AI68">
            <v>4.5299049151494408E-2</v>
          </cell>
          <cell r="AJ68">
            <v>4.5300394044483383E-2</v>
          </cell>
        </row>
        <row r="70">
          <cell r="I70" t="str">
            <v>Asia</v>
          </cell>
        </row>
        <row r="71">
          <cell r="I71" t="str">
            <v>Agency (Booking.com)</v>
          </cell>
          <cell r="M71">
            <v>15.030000000000001</v>
          </cell>
          <cell r="N71">
            <v>37.575000000000003</v>
          </cell>
          <cell r="O71">
            <v>86.422499999999985</v>
          </cell>
          <cell r="P71">
            <v>174.01512499999995</v>
          </cell>
          <cell r="Q71">
            <v>382.32037500000001</v>
          </cell>
          <cell r="R71">
            <v>859.77269180028907</v>
          </cell>
          <cell r="S71">
            <v>1498.7419670149097</v>
          </cell>
          <cell r="T71">
            <v>2098.2387538208736</v>
          </cell>
          <cell r="U71">
            <v>2517.8865045850484</v>
          </cell>
          <cell r="V71">
            <v>2820.0328851352547</v>
          </cell>
          <cell r="W71">
            <v>3073.8358447974279</v>
          </cell>
          <cell r="X71">
            <v>3289.0043539332478</v>
          </cell>
          <cell r="Y71">
            <v>3486.3446151692428</v>
          </cell>
          <cell r="Z71">
            <v>3695.5252920793978</v>
          </cell>
          <cell r="AA71">
            <v>3917.2568096041618</v>
          </cell>
          <cell r="AB71">
            <v>4152.2922181804115</v>
          </cell>
          <cell r="AC71">
            <v>4401.4297512712365</v>
          </cell>
          <cell r="AD71">
            <v>4665.5155363475105</v>
          </cell>
          <cell r="AE71">
            <v>4945.446468528361</v>
          </cell>
          <cell r="AF71">
            <v>5242.1732566400633</v>
          </cell>
          <cell r="AG71">
            <v>5556.7036520384672</v>
          </cell>
          <cell r="AH71">
            <v>5890.1058711607757</v>
          </cell>
          <cell r="AI71">
            <v>6243.5122234304226</v>
          </cell>
          <cell r="AJ71">
            <v>6618.1229568362487</v>
          </cell>
        </row>
        <row r="72">
          <cell r="I72" t="str">
            <v>Base y/y Growth - %</v>
          </cell>
          <cell r="M72" t="str">
            <v>NA</v>
          </cell>
          <cell r="N72">
            <v>1.5</v>
          </cell>
          <cell r="O72">
            <v>1.2999999999999994</v>
          </cell>
          <cell r="P72">
            <v>1.013539587491683</v>
          </cell>
          <cell r="Q72">
            <v>1.197052555058074</v>
          </cell>
          <cell r="R72">
            <v>1.2488278104463801</v>
          </cell>
          <cell r="S72">
            <v>0.74318396165464939</v>
          </cell>
          <cell r="T72">
            <v>0.4</v>
          </cell>
          <cell r="U72">
            <v>0.2</v>
          </cell>
          <cell r="V72">
            <v>0.12</v>
          </cell>
          <cell r="W72">
            <v>0.09</v>
          </cell>
          <cell r="X72">
            <v>7.0000000000000007E-2</v>
          </cell>
          <cell r="Y72">
            <v>0.06</v>
          </cell>
          <cell r="Z72">
            <v>0.06</v>
          </cell>
          <cell r="AA72">
            <v>0.06</v>
          </cell>
          <cell r="AB72">
            <v>0.06</v>
          </cell>
          <cell r="AC72">
            <v>0.06</v>
          </cell>
          <cell r="AD72">
            <v>0.06</v>
          </cell>
          <cell r="AE72">
            <v>0.06</v>
          </cell>
          <cell r="AF72">
            <v>0.06</v>
          </cell>
          <cell r="AG72">
            <v>0.06</v>
          </cell>
          <cell r="AH72">
            <v>0.06</v>
          </cell>
          <cell r="AI72">
            <v>0.06</v>
          </cell>
          <cell r="AJ72">
            <v>0.06</v>
          </cell>
        </row>
        <row r="73">
          <cell r="I73" t="str">
            <v>(+/-) FX y/y Growth - %</v>
          </cell>
          <cell r="M73" t="str">
            <v>NA</v>
          </cell>
          <cell r="N73">
            <v>-4.9835767202717984E-2</v>
          </cell>
          <cell r="O73">
            <v>-8.4064635022904621E-2</v>
          </cell>
          <cell r="P73">
            <v>-1.6504690511064662E-2</v>
          </cell>
          <cell r="Q73">
            <v>-7.8481315201383614E-2</v>
          </cell>
          <cell r="R73">
            <v>-9.2016226869604395E-2</v>
          </cell>
          <cell r="S73">
            <v>-1.8661565396885939E-2</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row>
        <row r="74">
          <cell r="I74" t="str">
            <v>Organic y/y Growth - %</v>
          </cell>
          <cell r="M74" t="str">
            <v>NA</v>
          </cell>
          <cell r="N74">
            <v>1.4501642327972819</v>
          </cell>
          <cell r="O74">
            <v>1.2159353649770948</v>
          </cell>
          <cell r="P74">
            <v>0.99703489698061842</v>
          </cell>
          <cell r="Q74">
            <v>1.1185712398566903</v>
          </cell>
          <cell r="R74">
            <v>1.1568115835767758</v>
          </cell>
          <cell r="S74">
            <v>0.72452239625776349</v>
          </cell>
          <cell r="T74">
            <v>0.4</v>
          </cell>
          <cell r="U74">
            <v>0.2</v>
          </cell>
          <cell r="V74">
            <v>0.12</v>
          </cell>
          <cell r="W74">
            <v>0.09</v>
          </cell>
          <cell r="X74">
            <v>7.0000000000000007E-2</v>
          </cell>
          <cell r="Y74">
            <v>0.06</v>
          </cell>
          <cell r="Z74">
            <v>0.06</v>
          </cell>
          <cell r="AA74">
            <v>0.06</v>
          </cell>
          <cell r="AB74">
            <v>0.06</v>
          </cell>
          <cell r="AC74">
            <v>0.06</v>
          </cell>
          <cell r="AD74">
            <v>0.06</v>
          </cell>
          <cell r="AE74">
            <v>0.06</v>
          </cell>
          <cell r="AF74">
            <v>0.06</v>
          </cell>
          <cell r="AG74">
            <v>0.06</v>
          </cell>
          <cell r="AH74">
            <v>0.06</v>
          </cell>
          <cell r="AI74">
            <v>0.06</v>
          </cell>
          <cell r="AJ74">
            <v>0.06</v>
          </cell>
        </row>
        <row r="75">
          <cell r="I75" t="str">
            <v>Bull y/y Growth - %</v>
          </cell>
          <cell r="M75" t="str">
            <v>NA</v>
          </cell>
          <cell r="N75">
            <v>1.5</v>
          </cell>
          <cell r="O75">
            <v>1.2999999999999994</v>
          </cell>
          <cell r="P75">
            <v>1.013539587491683</v>
          </cell>
          <cell r="Q75">
            <v>1.197052555058074</v>
          </cell>
          <cell r="R75">
            <v>1.2802533524411013</v>
          </cell>
          <cell r="S75">
            <v>0.84318396165464948</v>
          </cell>
          <cell r="T75">
            <v>0.45</v>
          </cell>
          <cell r="U75">
            <v>0.25</v>
          </cell>
          <cell r="V75">
            <v>0.16999999999999998</v>
          </cell>
          <cell r="W75">
            <v>0.14000000000000001</v>
          </cell>
          <cell r="X75">
            <v>0.12000000000000001</v>
          </cell>
          <cell r="Y75">
            <v>0.11</v>
          </cell>
          <cell r="Z75">
            <v>0.11</v>
          </cell>
          <cell r="AA75">
            <v>0.11</v>
          </cell>
          <cell r="AB75">
            <v>0.11</v>
          </cell>
          <cell r="AC75">
            <v>0.11</v>
          </cell>
          <cell r="AD75">
            <v>0.11</v>
          </cell>
          <cell r="AE75">
            <v>0.11</v>
          </cell>
          <cell r="AF75">
            <v>0.11</v>
          </cell>
          <cell r="AG75">
            <v>0.11</v>
          </cell>
          <cell r="AH75">
            <v>0.11</v>
          </cell>
          <cell r="AI75">
            <v>0.11</v>
          </cell>
          <cell r="AJ75">
            <v>0.11</v>
          </cell>
        </row>
        <row r="76">
          <cell r="I76" t="str">
            <v>Bear y/y Growth - %</v>
          </cell>
          <cell r="M76" t="str">
            <v>NA</v>
          </cell>
          <cell r="N76">
            <v>1.5</v>
          </cell>
          <cell r="O76">
            <v>1.2999999999999994</v>
          </cell>
          <cell r="P76">
            <v>1.013539587491683</v>
          </cell>
          <cell r="Q76">
            <v>1.197052555058074</v>
          </cell>
          <cell r="R76">
            <v>1.217402268451659</v>
          </cell>
          <cell r="S76">
            <v>0.64318396165464953</v>
          </cell>
          <cell r="T76">
            <v>0.30000000000000004</v>
          </cell>
          <cell r="U76">
            <v>0.1</v>
          </cell>
          <cell r="V76">
            <v>0.05</v>
          </cell>
          <cell r="W76">
            <v>0.03</v>
          </cell>
          <cell r="X76">
            <v>0.02</v>
          </cell>
          <cell r="Y76">
            <v>0.02</v>
          </cell>
          <cell r="Z76">
            <v>0.02</v>
          </cell>
          <cell r="AA76">
            <v>0.02</v>
          </cell>
          <cell r="AB76">
            <v>0.02</v>
          </cell>
          <cell r="AC76">
            <v>0.02</v>
          </cell>
          <cell r="AD76">
            <v>0.02</v>
          </cell>
          <cell r="AE76">
            <v>0.02</v>
          </cell>
          <cell r="AF76">
            <v>0.02</v>
          </cell>
          <cell r="AG76">
            <v>0.02</v>
          </cell>
          <cell r="AH76">
            <v>0.02</v>
          </cell>
          <cell r="AI76">
            <v>0.02</v>
          </cell>
          <cell r="AJ76">
            <v>0.02</v>
          </cell>
        </row>
        <row r="77">
          <cell r="I77" t="str">
            <v>Merchant (Agoda)</v>
          </cell>
          <cell r="M77">
            <v>0</v>
          </cell>
          <cell r="N77">
            <v>13.4</v>
          </cell>
          <cell r="O77">
            <v>118.69999999999999</v>
          </cell>
          <cell r="P77">
            <v>244.952</v>
          </cell>
          <cell r="Q77">
            <v>541.17100000000005</v>
          </cell>
          <cell r="R77">
            <v>1146.699784269646</v>
          </cell>
          <cell r="S77">
            <v>1882.1960332306744</v>
          </cell>
          <cell r="T77">
            <v>2446.854843199877</v>
          </cell>
          <cell r="U77">
            <v>2887.2887149758549</v>
          </cell>
          <cell r="V77">
            <v>3118.2718121739235</v>
          </cell>
          <cell r="W77">
            <v>3336.5508390260984</v>
          </cell>
          <cell r="X77">
            <v>3536.7438893676645</v>
          </cell>
          <cell r="Y77">
            <v>3713.581083836048</v>
          </cell>
          <cell r="Z77">
            <v>3899.2601380278506</v>
          </cell>
          <cell r="AA77">
            <v>4094.2231449292435</v>
          </cell>
          <cell r="AB77">
            <v>4298.9343021757059</v>
          </cell>
          <cell r="AC77">
            <v>4513.8810172844915</v>
          </cell>
          <cell r="AD77">
            <v>4739.5750681487161</v>
          </cell>
          <cell r="AE77">
            <v>4976.5538215561519</v>
          </cell>
          <cell r="AF77">
            <v>5225.3815126339596</v>
          </cell>
          <cell r="AG77">
            <v>5486.6505882656575</v>
          </cell>
          <cell r="AH77">
            <v>5760.9831176789403</v>
          </cell>
          <cell r="AI77">
            <v>6049.0322735628879</v>
          </cell>
          <cell r="AJ77">
            <v>6351.4838872410328</v>
          </cell>
        </row>
        <row r="78">
          <cell r="I78" t="str">
            <v>Base y/y Growth - %</v>
          </cell>
          <cell r="M78" t="str">
            <v>NA</v>
          </cell>
          <cell r="N78" t="str">
            <v>NA</v>
          </cell>
          <cell r="O78" t="str">
            <v>NM</v>
          </cell>
          <cell r="P78">
            <v>1.0636225779275486</v>
          </cell>
          <cell r="Q78">
            <v>1.2092940657761524</v>
          </cell>
          <cell r="R78">
            <v>1.1189231948305545</v>
          </cell>
          <cell r="S78">
            <v>0.64140262259618308</v>
          </cell>
          <cell r="T78">
            <v>0.3</v>
          </cell>
          <cell r="U78">
            <v>0.18</v>
          </cell>
          <cell r="V78">
            <v>0.08</v>
          </cell>
          <cell r="W78">
            <v>7.0000000000000007E-2</v>
          </cell>
          <cell r="X78">
            <v>0.06</v>
          </cell>
          <cell r="Y78">
            <v>0.05</v>
          </cell>
          <cell r="Z78">
            <v>0.05</v>
          </cell>
          <cell r="AA78">
            <v>0.05</v>
          </cell>
          <cell r="AB78">
            <v>0.05</v>
          </cell>
          <cell r="AC78">
            <v>0.05</v>
          </cell>
          <cell r="AD78">
            <v>0.05</v>
          </cell>
          <cell r="AE78">
            <v>0.05</v>
          </cell>
          <cell r="AF78">
            <v>0.05</v>
          </cell>
          <cell r="AG78">
            <v>0.05</v>
          </cell>
          <cell r="AH78">
            <v>0.05</v>
          </cell>
          <cell r="AI78">
            <v>0.05</v>
          </cell>
          <cell r="AJ78">
            <v>0.05</v>
          </cell>
        </row>
        <row r="79">
          <cell r="I79" t="str">
            <v>(+/-) FX y/y Growth - %</v>
          </cell>
          <cell r="M79" t="str">
            <v>NA</v>
          </cell>
          <cell r="N79" t="str">
            <v>NA</v>
          </cell>
          <cell r="O79" t="str">
            <v>NA</v>
          </cell>
          <cell r="P79">
            <v>-1.6504690511064662E-2</v>
          </cell>
          <cell r="Q79">
            <v>-7.8481315201383614E-2</v>
          </cell>
          <cell r="R79">
            <v>-9.2016226869604395E-2</v>
          </cell>
          <cell r="S79">
            <v>-1.8661565396885939E-2</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row>
        <row r="80">
          <cell r="I80" t="str">
            <v>Organic y/y Growth - %</v>
          </cell>
          <cell r="M80" t="str">
            <v>NA</v>
          </cell>
          <cell r="N80" t="str">
            <v>NA</v>
          </cell>
          <cell r="O80" t="str">
            <v>NA</v>
          </cell>
          <cell r="P80">
            <v>1.0471178874164839</v>
          </cell>
          <cell r="Q80">
            <v>1.1308127505747687</v>
          </cell>
          <cell r="R80">
            <v>1.0269069679609502</v>
          </cell>
          <cell r="S80">
            <v>0.62274105719929718</v>
          </cell>
          <cell r="T80">
            <v>0.3</v>
          </cell>
          <cell r="U80">
            <v>0.18</v>
          </cell>
          <cell r="V80">
            <v>0.08</v>
          </cell>
          <cell r="W80">
            <v>7.0000000000000007E-2</v>
          </cell>
          <cell r="X80">
            <v>0.06</v>
          </cell>
          <cell r="Y80">
            <v>0.05</v>
          </cell>
          <cell r="Z80">
            <v>0.05</v>
          </cell>
          <cell r="AA80">
            <v>0.05</v>
          </cell>
          <cell r="AB80">
            <v>0.05</v>
          </cell>
          <cell r="AC80">
            <v>0.05</v>
          </cell>
          <cell r="AD80">
            <v>0.05</v>
          </cell>
          <cell r="AE80">
            <v>0.05</v>
          </cell>
          <cell r="AF80">
            <v>0.05</v>
          </cell>
          <cell r="AG80">
            <v>0.05</v>
          </cell>
          <cell r="AH80">
            <v>0.05</v>
          </cell>
          <cell r="AI80">
            <v>0.05</v>
          </cell>
          <cell r="AJ80">
            <v>0.05</v>
          </cell>
        </row>
        <row r="81">
          <cell r="I81" t="str">
            <v>Bull y/y Growth - %</v>
          </cell>
          <cell r="M81" t="str">
            <v>NA</v>
          </cell>
          <cell r="N81" t="str">
            <v>NA</v>
          </cell>
          <cell r="O81" t="str">
            <v>NM</v>
          </cell>
          <cell r="P81">
            <v>1.0636225779275486</v>
          </cell>
          <cell r="Q81">
            <v>1.2092940657761524</v>
          </cell>
          <cell r="R81">
            <v>1.1371129167483955</v>
          </cell>
          <cell r="S81">
            <v>0.69140262259618335</v>
          </cell>
          <cell r="T81">
            <v>0.32999999999999996</v>
          </cell>
          <cell r="U81">
            <v>0.21</v>
          </cell>
          <cell r="V81">
            <v>0.11</v>
          </cell>
          <cell r="W81">
            <v>0.1</v>
          </cell>
          <cell r="X81">
            <v>0.09</v>
          </cell>
          <cell r="Y81">
            <v>0.08</v>
          </cell>
          <cell r="Z81">
            <v>0.08</v>
          </cell>
          <cell r="AA81">
            <v>0.08</v>
          </cell>
          <cell r="AB81">
            <v>0.08</v>
          </cell>
          <cell r="AC81">
            <v>0.08</v>
          </cell>
          <cell r="AD81">
            <v>0.08</v>
          </cell>
          <cell r="AE81">
            <v>0.08</v>
          </cell>
          <cell r="AF81">
            <v>0.08</v>
          </cell>
          <cell r="AG81">
            <v>0.08</v>
          </cell>
          <cell r="AH81">
            <v>0.08</v>
          </cell>
          <cell r="AI81">
            <v>0.08</v>
          </cell>
          <cell r="AJ81">
            <v>0.08</v>
          </cell>
        </row>
        <row r="82">
          <cell r="I82" t="str">
            <v>Bear y/y Growth - %</v>
          </cell>
          <cell r="M82" t="str">
            <v>NA</v>
          </cell>
          <cell r="N82" t="str">
            <v>NA</v>
          </cell>
          <cell r="O82" t="str">
            <v>NM</v>
          </cell>
          <cell r="P82">
            <v>1.0636225779275486</v>
          </cell>
          <cell r="Q82">
            <v>1.2092940657761524</v>
          </cell>
          <cell r="R82">
            <v>1.0825437509948719</v>
          </cell>
          <cell r="S82">
            <v>0.54140262259618321</v>
          </cell>
          <cell r="T82">
            <v>0.19999999999999998</v>
          </cell>
          <cell r="U82">
            <v>7.9999999999999988E-2</v>
          </cell>
          <cell r="V82">
            <v>0.05</v>
          </cell>
          <cell r="W82">
            <v>0.03</v>
          </cell>
          <cell r="X82">
            <v>0.02</v>
          </cell>
          <cell r="Y82">
            <v>0.02</v>
          </cell>
          <cell r="Z82">
            <v>0.02</v>
          </cell>
          <cell r="AA82">
            <v>0.02</v>
          </cell>
          <cell r="AB82">
            <v>0.02</v>
          </cell>
          <cell r="AC82">
            <v>0.02</v>
          </cell>
          <cell r="AD82">
            <v>0.02</v>
          </cell>
          <cell r="AE82">
            <v>0.02</v>
          </cell>
          <cell r="AF82">
            <v>0.02</v>
          </cell>
          <cell r="AG82">
            <v>0.02</v>
          </cell>
          <cell r="AH82">
            <v>0.02</v>
          </cell>
          <cell r="AI82">
            <v>0.02</v>
          </cell>
          <cell r="AJ82">
            <v>0.02</v>
          </cell>
        </row>
        <row r="83">
          <cell r="I83" t="str">
            <v>Total Asia Pacific</v>
          </cell>
          <cell r="M83">
            <v>15.030000000000001</v>
          </cell>
          <cell r="N83">
            <v>50.975000000000001</v>
          </cell>
          <cell r="O83">
            <v>205.12249999999997</v>
          </cell>
          <cell r="P83">
            <v>418.96712499999995</v>
          </cell>
          <cell r="Q83">
            <v>923.49137500000006</v>
          </cell>
          <cell r="R83">
            <v>2006.4724760699351</v>
          </cell>
          <cell r="S83">
            <v>3380.9380002455841</v>
          </cell>
          <cell r="T83">
            <v>4545.0935970207502</v>
          </cell>
          <cell r="U83">
            <v>5405.1752195609033</v>
          </cell>
          <cell r="V83">
            <v>5938.3046973091787</v>
          </cell>
          <cell r="W83">
            <v>6410.3866838235263</v>
          </cell>
          <cell r="X83">
            <v>6825.7482433009118</v>
          </cell>
          <cell r="Y83">
            <v>7199.9256990052909</v>
          </cell>
          <cell r="Z83">
            <v>7594.7854301072484</v>
          </cell>
          <cell r="AA83">
            <v>8011.4799545334054</v>
          </cell>
          <cell r="AB83">
            <v>8451.2265203561183</v>
          </cell>
          <cell r="AC83">
            <v>8915.3107685557279</v>
          </cell>
          <cell r="AD83">
            <v>9405.0906044962267</v>
          </cell>
          <cell r="AE83">
            <v>9922.0002900845138</v>
          </cell>
          <cell r="AF83">
            <v>10467.554769274022</v>
          </cell>
          <cell r="AG83">
            <v>11043.354240304125</v>
          </cell>
          <cell r="AH83">
            <v>11651.088988839716</v>
          </cell>
          <cell r="AI83">
            <v>12292.544496993311</v>
          </cell>
          <cell r="AJ83">
            <v>12969.606844077281</v>
          </cell>
        </row>
        <row r="84">
          <cell r="I84" t="str">
            <v>y/y Growth - %</v>
          </cell>
          <cell r="M84" t="str">
            <v>NA</v>
          </cell>
          <cell r="N84">
            <v>2.3915502328675982</v>
          </cell>
          <cell r="O84">
            <v>3.0239823442864147</v>
          </cell>
          <cell r="P84">
            <v>1.042521542005387</v>
          </cell>
          <cell r="Q84">
            <v>1.2042096381667182</v>
          </cell>
          <cell r="R84">
            <v>1.1727029947301184</v>
          </cell>
          <cell r="S84">
            <v>0.685015887617759</v>
          </cell>
          <cell r="T84">
            <v>0.3443291763086469</v>
          </cell>
          <cell r="U84">
            <v>0.18923298369563302</v>
          </cell>
          <cell r="V84">
            <v>9.8633153615246716E-2</v>
          </cell>
          <cell r="W84">
            <v>7.9497770925810229E-2</v>
          </cell>
          <cell r="X84">
            <v>6.4795086468893093E-2</v>
          </cell>
          <cell r="Y84">
            <v>5.4818525730364165E-2</v>
          </cell>
          <cell r="Z84">
            <v>5.4842195268280269E-2</v>
          </cell>
          <cell r="AA84">
            <v>5.4865871888137407E-2</v>
          </cell>
          <cell r="AB84">
            <v>5.4889554529045093E-2</v>
          </cell>
          <cell r="AC84">
            <v>5.4913242129031703E-2</v>
          </cell>
          <cell r="AD84">
            <v>5.4936933625236106E-2</v>
          </cell>
          <cell r="AE84">
            <v>5.4960627954096619E-2</v>
          </cell>
          <cell r="AF84">
            <v>5.4984324051542854E-2</v>
          </cell>
          <cell r="AG84">
            <v>5.5008020853187123E-2</v>
          </cell>
          <cell r="AH84">
            <v>5.5031717294514282E-2</v>
          </cell>
          <cell r="AI84">
            <v>5.5055412311074914E-2</v>
          </cell>
          <cell r="AJ84">
            <v>5.5079104838674953E-2</v>
          </cell>
        </row>
        <row r="86">
          <cell r="I86" t="str">
            <v>Latin America &amp; RoW</v>
          </cell>
        </row>
        <row r="87">
          <cell r="I87" t="str">
            <v>Agency (Booking.com)</v>
          </cell>
          <cell r="M87">
            <v>8</v>
          </cell>
          <cell r="N87">
            <v>27.799999999999997</v>
          </cell>
          <cell r="O87">
            <v>88.38</v>
          </cell>
          <cell r="P87">
            <v>252.876</v>
          </cell>
          <cell r="Q87">
            <v>706.34999999999991</v>
          </cell>
          <cell r="R87">
            <v>1572.714980607926</v>
          </cell>
          <cell r="S87">
            <v>2655.8052752746225</v>
          </cell>
          <cell r="T87">
            <v>3718.1273853844714</v>
          </cell>
          <cell r="U87">
            <v>4536.1154101690554</v>
          </cell>
          <cell r="V87">
            <v>5216.5327216944133</v>
          </cell>
          <cell r="W87">
            <v>5738.1859938638554</v>
          </cell>
          <cell r="X87">
            <v>6197.2408733729644</v>
          </cell>
          <cell r="Y87">
            <v>6631.0477345090721</v>
          </cell>
          <cell r="Z87">
            <v>7095.2210759247073</v>
          </cell>
          <cell r="AA87">
            <v>7591.8865512394368</v>
          </cell>
          <cell r="AB87">
            <v>8123.3186098261976</v>
          </cell>
          <cell r="AC87">
            <v>8691.9509125140321</v>
          </cell>
          <cell r="AD87">
            <v>9300.3874763900149</v>
          </cell>
          <cell r="AE87">
            <v>9951.4145997373162</v>
          </cell>
          <cell r="AF87">
            <v>10648.013621718928</v>
          </cell>
          <cell r="AG87">
            <v>11393.374575239253</v>
          </cell>
          <cell r="AH87">
            <v>12190.910795506003</v>
          </cell>
          <cell r="AI87">
            <v>13044.274551191424</v>
          </cell>
          <cell r="AJ87">
            <v>13957.373769774824</v>
          </cell>
        </row>
        <row r="88">
          <cell r="I88" t="str">
            <v>Base y/y Growth - %</v>
          </cell>
          <cell r="M88" t="str">
            <v>NA</v>
          </cell>
          <cell r="N88">
            <v>2.4749999999999996</v>
          </cell>
          <cell r="O88">
            <v>2.1791366906474821</v>
          </cell>
          <cell r="P88">
            <v>1.861235573659199</v>
          </cell>
          <cell r="Q88">
            <v>1.7932662648887199</v>
          </cell>
          <cell r="R88">
            <v>1.2265378078968303</v>
          </cell>
          <cell r="S88">
            <v>0.68867551210584432</v>
          </cell>
          <cell r="T88">
            <v>0.4</v>
          </cell>
          <cell r="U88">
            <v>0.22</v>
          </cell>
          <cell r="V88">
            <v>0.15</v>
          </cell>
          <cell r="W88">
            <v>0.1</v>
          </cell>
          <cell r="X88">
            <v>0.08</v>
          </cell>
          <cell r="Y88">
            <v>7.0000000000000007E-2</v>
          </cell>
          <cell r="Z88">
            <v>7.0000000000000007E-2</v>
          </cell>
          <cell r="AA88">
            <v>7.0000000000000007E-2</v>
          </cell>
          <cell r="AB88">
            <v>7.0000000000000007E-2</v>
          </cell>
          <cell r="AC88">
            <v>7.0000000000000007E-2</v>
          </cell>
          <cell r="AD88">
            <v>7.0000000000000007E-2</v>
          </cell>
          <cell r="AE88">
            <v>7.0000000000000007E-2</v>
          </cell>
          <cell r="AF88">
            <v>7.0000000000000007E-2</v>
          </cell>
          <cell r="AG88">
            <v>7.0000000000000007E-2</v>
          </cell>
          <cell r="AH88">
            <v>7.0000000000000007E-2</v>
          </cell>
          <cell r="AI88">
            <v>7.0000000000000007E-2</v>
          </cell>
          <cell r="AJ88">
            <v>7.0000000000000007E-2</v>
          </cell>
        </row>
        <row r="89">
          <cell r="I89" t="str">
            <v>(+/-) FX y/y Growth - %</v>
          </cell>
          <cell r="M89" t="str">
            <v>NA</v>
          </cell>
          <cell r="N89">
            <v>-6.0449704343933819E-2</v>
          </cell>
          <cell r="O89">
            <v>-2.874392129249766E-2</v>
          </cell>
          <cell r="P89">
            <v>5.2572811374055152E-2</v>
          </cell>
          <cell r="Q89">
            <v>-7.53447681905004E-2</v>
          </cell>
          <cell r="R89">
            <v>-3.3153251964805897E-2</v>
          </cell>
          <cell r="S89">
            <v>3.7404935937569814E-2</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row>
        <row r="90">
          <cell r="I90" t="str">
            <v>Organic y/y Growth - %</v>
          </cell>
          <cell r="M90" t="str">
            <v>NA</v>
          </cell>
          <cell r="N90">
            <v>2.414550295656066</v>
          </cell>
          <cell r="O90">
            <v>2.1503927693549842</v>
          </cell>
          <cell r="P90">
            <v>1.9138083850332541</v>
          </cell>
          <cell r="Q90">
            <v>1.7179214966982195</v>
          </cell>
          <cell r="R90">
            <v>1.1933845559320244</v>
          </cell>
          <cell r="S90">
            <v>0.7260804480434141</v>
          </cell>
          <cell r="T90">
            <v>0.4</v>
          </cell>
          <cell r="U90">
            <v>0.22</v>
          </cell>
          <cell r="V90">
            <v>0.15</v>
          </cell>
          <cell r="W90">
            <v>0.1</v>
          </cell>
          <cell r="X90">
            <v>0.08</v>
          </cell>
          <cell r="Y90">
            <v>7.0000000000000007E-2</v>
          </cell>
          <cell r="Z90">
            <v>7.0000000000000007E-2</v>
          </cell>
          <cell r="AA90">
            <v>7.0000000000000007E-2</v>
          </cell>
          <cell r="AB90">
            <v>7.0000000000000007E-2</v>
          </cell>
          <cell r="AC90">
            <v>7.0000000000000007E-2</v>
          </cell>
          <cell r="AD90">
            <v>7.0000000000000007E-2</v>
          </cell>
          <cell r="AE90">
            <v>7.0000000000000007E-2</v>
          </cell>
          <cell r="AF90">
            <v>7.0000000000000007E-2</v>
          </cell>
          <cell r="AG90">
            <v>7.0000000000000007E-2</v>
          </cell>
          <cell r="AH90">
            <v>7.0000000000000007E-2</v>
          </cell>
          <cell r="AI90">
            <v>7.0000000000000007E-2</v>
          </cell>
          <cell r="AJ90">
            <v>7.0000000000000007E-2</v>
          </cell>
        </row>
        <row r="91">
          <cell r="I91" t="str">
            <v>Bull y/y Growth - %</v>
          </cell>
          <cell r="M91" t="str">
            <v>NA</v>
          </cell>
          <cell r="N91">
            <v>2.4749999999999996</v>
          </cell>
          <cell r="O91">
            <v>2.1791366906474821</v>
          </cell>
          <cell r="P91">
            <v>1.861235573659199</v>
          </cell>
          <cell r="Q91">
            <v>1.7932662648887199</v>
          </cell>
          <cell r="R91">
            <v>1.2359516961958326</v>
          </cell>
          <cell r="S91">
            <v>0.73867551210584415</v>
          </cell>
          <cell r="T91">
            <v>0.45</v>
          </cell>
          <cell r="U91">
            <v>0.27</v>
          </cell>
          <cell r="V91">
            <v>0.2</v>
          </cell>
          <cell r="W91">
            <v>0.15000000000000002</v>
          </cell>
          <cell r="X91">
            <v>0.13</v>
          </cell>
          <cell r="Y91">
            <v>0.12000000000000001</v>
          </cell>
          <cell r="Z91">
            <v>0.12000000000000001</v>
          </cell>
          <cell r="AA91">
            <v>0.12000000000000001</v>
          </cell>
          <cell r="AB91">
            <v>0.12000000000000001</v>
          </cell>
          <cell r="AC91">
            <v>0.12000000000000001</v>
          </cell>
          <cell r="AD91">
            <v>0.12000000000000001</v>
          </cell>
          <cell r="AE91">
            <v>0.12000000000000001</v>
          </cell>
          <cell r="AF91">
            <v>0.12000000000000001</v>
          </cell>
          <cell r="AG91">
            <v>0.12000000000000001</v>
          </cell>
          <cell r="AH91">
            <v>0.12000000000000001</v>
          </cell>
          <cell r="AI91">
            <v>0.12000000000000001</v>
          </cell>
          <cell r="AJ91">
            <v>0.12000000000000001</v>
          </cell>
        </row>
        <row r="92">
          <cell r="I92" t="str">
            <v>Bear y/y Growth - %</v>
          </cell>
          <cell r="M92" t="str">
            <v>NA</v>
          </cell>
          <cell r="N92">
            <v>2.4749999999999996</v>
          </cell>
          <cell r="O92">
            <v>2.1791366906474821</v>
          </cell>
          <cell r="P92">
            <v>1.861235573659199</v>
          </cell>
          <cell r="Q92">
            <v>1.7932662648887199</v>
          </cell>
          <cell r="R92">
            <v>1.2077100312988267</v>
          </cell>
          <cell r="S92">
            <v>0.58867551210584446</v>
          </cell>
          <cell r="T92">
            <v>0.30000000000000004</v>
          </cell>
          <cell r="U92">
            <v>0.12</v>
          </cell>
          <cell r="V92">
            <v>4.9999999999999989E-2</v>
          </cell>
          <cell r="W92">
            <v>0.04</v>
          </cell>
          <cell r="X92">
            <v>0.04</v>
          </cell>
          <cell r="Y92">
            <v>0.04</v>
          </cell>
          <cell r="Z92">
            <v>0.04</v>
          </cell>
          <cell r="AA92">
            <v>0.04</v>
          </cell>
          <cell r="AB92">
            <v>0.04</v>
          </cell>
          <cell r="AC92">
            <v>0.04</v>
          </cell>
          <cell r="AD92">
            <v>0.04</v>
          </cell>
          <cell r="AE92">
            <v>0.04</v>
          </cell>
          <cell r="AF92">
            <v>0.04</v>
          </cell>
          <cell r="AG92">
            <v>0.04</v>
          </cell>
          <cell r="AH92">
            <v>0.04</v>
          </cell>
          <cell r="AI92">
            <v>0.04</v>
          </cell>
          <cell r="AJ92">
            <v>0.04</v>
          </cell>
        </row>
        <row r="94">
          <cell r="I94" t="str">
            <v>Agency Check</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row>
        <row r="95">
          <cell r="I95" t="str">
            <v>Merchant Check</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row>
        <row r="96">
          <cell r="I96" t="str">
            <v>Geography US Check</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row>
        <row r="97">
          <cell r="I97" t="str">
            <v>Geography International Check</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row>
        <row r="99">
          <cell r="I99" t="str">
            <v>Revenue Scenarios</v>
          </cell>
        </row>
        <row r="100">
          <cell r="I100" t="str">
            <v>Revenue by brand</v>
          </cell>
        </row>
        <row r="101">
          <cell r="I101" t="str">
            <v>US</v>
          </cell>
        </row>
        <row r="102">
          <cell r="I102" t="str">
            <v>Agency (Priceline.com)</v>
          </cell>
          <cell r="M102">
            <v>31.20000000000001</v>
          </cell>
          <cell r="N102">
            <v>28.15799999999993</v>
          </cell>
          <cell r="O102">
            <v>50.358000000000047</v>
          </cell>
          <cell r="P102">
            <v>60.485359999999993</v>
          </cell>
          <cell r="Q102">
            <v>66.958779999999948</v>
          </cell>
          <cell r="R102">
            <v>71.947912300000283</v>
          </cell>
          <cell r="S102">
            <v>80.888439218000002</v>
          </cell>
          <cell r="T102">
            <v>91.25663749440001</v>
          </cell>
          <cell r="U102">
            <v>98.55716849395202</v>
          </cell>
          <cell r="V102">
            <v>100.03552602136132</v>
          </cell>
          <cell r="W102">
            <v>104.53712469232256</v>
          </cell>
          <cell r="X102">
            <v>109.24129530347707</v>
          </cell>
          <cell r="Y102">
            <v>114.15715359213354</v>
          </cell>
          <cell r="Z102">
            <v>119.29422550377954</v>
          </cell>
          <cell r="AA102">
            <v>124.66246565144961</v>
          </cell>
          <cell r="AB102">
            <v>130.27227660576483</v>
          </cell>
          <cell r="AC102">
            <v>136.13452905302424</v>
          </cell>
          <cell r="AD102">
            <v>142.2605828604103</v>
          </cell>
          <cell r="AE102">
            <v>148.66230908912874</v>
          </cell>
          <cell r="AF102">
            <v>155.35211299813952</v>
          </cell>
          <cell r="AG102">
            <v>162.34295808305581</v>
          </cell>
          <cell r="AH102">
            <v>169.64839119679328</v>
          </cell>
          <cell r="AI102">
            <v>177.28256880064896</v>
          </cell>
          <cell r="AJ102">
            <v>185.26028439667817</v>
          </cell>
        </row>
        <row r="103">
          <cell r="I103" t="str">
            <v>y/y Growth - %</v>
          </cell>
          <cell r="M103" t="str">
            <v>NA</v>
          </cell>
          <cell r="N103">
            <v>-9.7500000000002474E-2</v>
          </cell>
          <cell r="O103">
            <v>0.78840826763265048</v>
          </cell>
          <cell r="P103">
            <v>0.20110727193295874</v>
          </cell>
          <cell r="Q103">
            <v>0.10702457586430758</v>
          </cell>
          <cell r="R103">
            <v>7.4510501834118559E-2</v>
          </cell>
          <cell r="S103">
            <v>0.12426388246986964</v>
          </cell>
          <cell r="T103">
            <v>0.12817898795719107</v>
          </cell>
          <cell r="U103">
            <v>8.0000000000000071E-2</v>
          </cell>
          <cell r="V103">
            <v>1.5000000000000124E-2</v>
          </cell>
          <cell r="W103">
            <v>4.4999999999999929E-2</v>
          </cell>
          <cell r="X103">
            <v>4.4999999999999929E-2</v>
          </cell>
          <cell r="Y103">
            <v>4.4999999999999929E-2</v>
          </cell>
          <cell r="Z103">
            <v>4.4999999999999929E-2</v>
          </cell>
          <cell r="AA103">
            <v>4.4999999999999929E-2</v>
          </cell>
          <cell r="AB103">
            <v>4.4999999999999929E-2</v>
          </cell>
          <cell r="AC103">
            <v>4.4999999999999929E-2</v>
          </cell>
          <cell r="AD103">
            <v>4.4999999999999707E-2</v>
          </cell>
          <cell r="AE103">
            <v>4.4999999999999929E-2</v>
          </cell>
          <cell r="AF103">
            <v>4.4999999999999929E-2</v>
          </cell>
          <cell r="AG103">
            <v>4.5000000000000151E-2</v>
          </cell>
          <cell r="AH103">
            <v>4.4999999999999707E-2</v>
          </cell>
          <cell r="AI103">
            <v>4.4999999999999929E-2</v>
          </cell>
          <cell r="AJ103">
            <v>4.5000000000000151E-2</v>
          </cell>
        </row>
        <row r="104">
          <cell r="I104" t="str">
            <v>Revenue margin</v>
          </cell>
          <cell r="M104">
            <v>3.7396306155887495E-2</v>
          </cell>
          <cell r="N104">
            <v>3.0491713808009767E-2</v>
          </cell>
          <cell r="O104">
            <v>3.2721545225232754E-2</v>
          </cell>
          <cell r="P104">
            <v>3.412640093162235E-2</v>
          </cell>
          <cell r="Q104">
            <v>3.3010622653015818E-2</v>
          </cell>
          <cell r="R104">
            <v>3.081190914201537E-2</v>
          </cell>
          <cell r="S104">
            <v>2.9782508235541572E-2</v>
          </cell>
          <cell r="T104">
            <v>0.03</v>
          </cell>
          <cell r="U104">
            <v>0.03</v>
          </cell>
          <cell r="V104">
            <v>2.9000000000000001E-2</v>
          </cell>
          <cell r="W104">
            <v>2.9000000000000001E-2</v>
          </cell>
          <cell r="X104">
            <v>2.9000000000000001E-2</v>
          </cell>
          <cell r="Y104">
            <v>2.9000000000000001E-2</v>
          </cell>
          <cell r="Z104">
            <v>2.9000000000000001E-2</v>
          </cell>
          <cell r="AA104">
            <v>2.9000000000000001E-2</v>
          </cell>
          <cell r="AB104">
            <v>2.9000000000000001E-2</v>
          </cell>
          <cell r="AC104">
            <v>2.9000000000000001E-2</v>
          </cell>
          <cell r="AD104">
            <v>2.9000000000000001E-2</v>
          </cell>
          <cell r="AE104">
            <v>2.9000000000000001E-2</v>
          </cell>
          <cell r="AF104">
            <v>2.9000000000000001E-2</v>
          </cell>
          <cell r="AG104">
            <v>2.9000000000000001E-2</v>
          </cell>
          <cell r="AH104">
            <v>2.9000000000000001E-2</v>
          </cell>
          <cell r="AI104">
            <v>2.9000000000000001E-2</v>
          </cell>
          <cell r="AJ104">
            <v>2.9000000000000001E-2</v>
          </cell>
        </row>
        <row r="105">
          <cell r="I105" t="str">
            <v>Merchant (NYOP &amp; Priceline.com)</v>
          </cell>
          <cell r="M105">
            <v>904.16899999999998</v>
          </cell>
          <cell r="N105">
            <v>981.82099999999991</v>
          </cell>
          <cell r="O105">
            <v>1196.796</v>
          </cell>
          <cell r="P105">
            <v>1403.4856399999999</v>
          </cell>
          <cell r="Q105">
            <v>1560.9842200000001</v>
          </cell>
          <cell r="R105">
            <v>1710.7175602000002</v>
          </cell>
          <cell r="S105">
            <v>1865.7281187380004</v>
          </cell>
          <cell r="T105">
            <v>2005.6577276433504</v>
          </cell>
          <cell r="U105">
            <v>2146.0537685783852</v>
          </cell>
          <cell r="V105">
            <v>2264.0867258501962</v>
          </cell>
          <cell r="W105">
            <v>2377.2910621427063</v>
          </cell>
          <cell r="X105">
            <v>2472.3827046284146</v>
          </cell>
          <cell r="Y105">
            <v>2571.278012813551</v>
          </cell>
          <cell r="Z105">
            <v>2674.1291333260929</v>
          </cell>
          <cell r="AA105">
            <v>2781.0942986591367</v>
          </cell>
          <cell r="AB105">
            <v>2892.3380706055023</v>
          </cell>
          <cell r="AC105">
            <v>3008.0315934297228</v>
          </cell>
          <cell r="AD105">
            <v>3128.3528571669117</v>
          </cell>
          <cell r="AE105">
            <v>3253.486971453588</v>
          </cell>
          <cell r="AF105">
            <v>3383.6264503117313</v>
          </cell>
          <cell r="AG105">
            <v>3518.9715083242013</v>
          </cell>
          <cell r="AH105">
            <v>3659.730368657169</v>
          </cell>
          <cell r="AI105">
            <v>3806.1195834034561</v>
          </cell>
          <cell r="AJ105">
            <v>3958.3643667395945</v>
          </cell>
        </row>
        <row r="106">
          <cell r="I106" t="str">
            <v>y/y Growth - %</v>
          </cell>
          <cell r="M106" t="str">
            <v>NA</v>
          </cell>
          <cell r="N106">
            <v>8.5882174681945367E-2</v>
          </cell>
          <cell r="O106">
            <v>0.21895539003545461</v>
          </cell>
          <cell r="P106">
            <v>0.17270248229439256</v>
          </cell>
          <cell r="Q106">
            <v>0.11221958779713637</v>
          </cell>
          <cell r="R106">
            <v>9.5922391963706222E-2</v>
          </cell>
          <cell r="S106">
            <v>9.0611426540730511E-2</v>
          </cell>
          <cell r="T106">
            <v>7.4999999999999956E-2</v>
          </cell>
          <cell r="U106">
            <v>7.0000000000000062E-2</v>
          </cell>
          <cell r="V106">
            <v>5.4999999999999938E-2</v>
          </cell>
          <cell r="W106">
            <v>5.0000000000000044E-2</v>
          </cell>
          <cell r="X106">
            <v>4.0000000000000036E-2</v>
          </cell>
          <cell r="Y106">
            <v>4.0000000000000036E-2</v>
          </cell>
          <cell r="Z106">
            <v>4.0000000000000036E-2</v>
          </cell>
          <cell r="AA106">
            <v>4.0000000000000036E-2</v>
          </cell>
          <cell r="AB106">
            <v>4.0000000000000036E-2</v>
          </cell>
          <cell r="AC106">
            <v>4.0000000000000036E-2</v>
          </cell>
          <cell r="AD106">
            <v>4.0000000000000036E-2</v>
          </cell>
          <cell r="AE106">
            <v>4.0000000000000036E-2</v>
          </cell>
          <cell r="AF106">
            <v>4.0000000000000036E-2</v>
          </cell>
          <cell r="AG106">
            <v>4.0000000000000258E-2</v>
          </cell>
          <cell r="AH106">
            <v>3.9999999999999813E-2</v>
          </cell>
          <cell r="AI106">
            <v>4.0000000000000036E-2</v>
          </cell>
          <cell r="AJ106">
            <v>4.0000000000000036E-2</v>
          </cell>
        </row>
        <row r="107">
          <cell r="I107" t="str">
            <v>Revenue margin</v>
          </cell>
          <cell r="M107">
            <v>0.79418752849186158</v>
          </cell>
          <cell r="N107">
            <v>0.79763768460920392</v>
          </cell>
          <cell r="O107">
            <v>0.77572682501882939</v>
          </cell>
          <cell r="P107">
            <v>0.74905700576942569</v>
          </cell>
          <cell r="Q107">
            <v>0.72995239596085804</v>
          </cell>
          <cell r="R107">
            <v>0.71617719122768786</v>
          </cell>
          <cell r="S107">
            <v>0.719568545788974</v>
          </cell>
          <cell r="T107">
            <v>0.719568545788974</v>
          </cell>
          <cell r="U107">
            <v>0.719568545788974</v>
          </cell>
          <cell r="V107">
            <v>0.719568545788974</v>
          </cell>
          <cell r="W107">
            <v>0.719568545788974</v>
          </cell>
          <cell r="X107">
            <v>0.719568545788974</v>
          </cell>
          <cell r="Y107">
            <v>0.719568545788974</v>
          </cell>
          <cell r="Z107">
            <v>0.719568545788974</v>
          </cell>
          <cell r="AA107">
            <v>0.719568545788974</v>
          </cell>
          <cell r="AB107">
            <v>0.719568545788974</v>
          </cell>
          <cell r="AC107">
            <v>0.719568545788974</v>
          </cell>
          <cell r="AD107">
            <v>0.719568545788974</v>
          </cell>
          <cell r="AE107">
            <v>0.719568545788974</v>
          </cell>
          <cell r="AF107">
            <v>0.719568545788974</v>
          </cell>
          <cell r="AG107">
            <v>0.719568545788974</v>
          </cell>
          <cell r="AH107">
            <v>0.719568545788974</v>
          </cell>
          <cell r="AI107">
            <v>0.719568545788974</v>
          </cell>
          <cell r="AJ107">
            <v>0.719568545788974</v>
          </cell>
        </row>
        <row r="108">
          <cell r="I108" t="str">
            <v>Other</v>
          </cell>
          <cell r="M108">
            <v>5.0340000000000007</v>
          </cell>
          <cell r="N108">
            <v>8.3389999999999986</v>
          </cell>
          <cell r="O108">
            <v>17.852</v>
          </cell>
          <cell r="P108">
            <v>22.241000000000003</v>
          </cell>
          <cell r="Q108">
            <v>12.663</v>
          </cell>
          <cell r="R108">
            <v>12.315999999999999</v>
          </cell>
          <cell r="S108">
            <v>12.315999999999999</v>
          </cell>
          <cell r="T108">
            <v>12.315999999999999</v>
          </cell>
          <cell r="U108">
            <v>12.315999999999999</v>
          </cell>
          <cell r="V108">
            <v>12.315999999999999</v>
          </cell>
          <cell r="W108">
            <v>12.315999999999999</v>
          </cell>
          <cell r="X108">
            <v>12.315999999999999</v>
          </cell>
          <cell r="Y108">
            <v>12.315999999999999</v>
          </cell>
          <cell r="Z108">
            <v>12.315999999999999</v>
          </cell>
          <cell r="AA108">
            <v>12.315999999999999</v>
          </cell>
          <cell r="AB108">
            <v>12.315999999999999</v>
          </cell>
          <cell r="AC108">
            <v>12.315999999999999</v>
          </cell>
          <cell r="AD108">
            <v>12.315999999999999</v>
          </cell>
          <cell r="AE108">
            <v>12.315999999999999</v>
          </cell>
          <cell r="AF108">
            <v>12.315999999999999</v>
          </cell>
          <cell r="AG108">
            <v>12.315999999999999</v>
          </cell>
          <cell r="AH108">
            <v>12.315999999999999</v>
          </cell>
          <cell r="AI108">
            <v>12.315999999999999</v>
          </cell>
          <cell r="AJ108">
            <v>12.315999999999999</v>
          </cell>
        </row>
        <row r="109">
          <cell r="I109" t="str">
            <v>y/y Growth - %</v>
          </cell>
          <cell r="M109" t="str">
            <v>NA</v>
          </cell>
          <cell r="N109">
            <v>0.65653555820421095</v>
          </cell>
          <cell r="O109">
            <v>1.1407842666986454</v>
          </cell>
          <cell r="P109">
            <v>0.24585480618418121</v>
          </cell>
          <cell r="Q109">
            <v>-0.43064610404208448</v>
          </cell>
          <cell r="R109">
            <v>-2.7402669193714035E-2</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row>
        <row r="110">
          <cell r="I110" t="str">
            <v>Total US</v>
          </cell>
          <cell r="M110">
            <v>940.40300000000002</v>
          </cell>
          <cell r="N110">
            <v>1018.3179999999998</v>
          </cell>
          <cell r="O110">
            <v>1265.0060000000001</v>
          </cell>
          <cell r="P110">
            <v>1486.2119999999998</v>
          </cell>
          <cell r="Q110">
            <v>1640.606</v>
          </cell>
          <cell r="R110">
            <v>1794.9814725000006</v>
          </cell>
          <cell r="S110">
            <v>1958.9325579560004</v>
          </cell>
          <cell r="T110">
            <v>2109.2303651377501</v>
          </cell>
          <cell r="U110">
            <v>2256.9269370723368</v>
          </cell>
          <cell r="V110">
            <v>2376.4382518715574</v>
          </cell>
          <cell r="W110">
            <v>2494.1441868350289</v>
          </cell>
          <cell r="X110">
            <v>2593.9399999318916</v>
          </cell>
          <cell r="Y110">
            <v>2697.7511664056842</v>
          </cell>
          <cell r="Z110">
            <v>2805.7393588298723</v>
          </cell>
          <cell r="AA110">
            <v>2918.0727643105861</v>
          </cell>
          <cell r="AB110">
            <v>3034.9263472112671</v>
          </cell>
          <cell r="AC110">
            <v>3156.4821224827469</v>
          </cell>
          <cell r="AD110">
            <v>3282.929440027322</v>
          </cell>
          <cell r="AE110">
            <v>3414.4652805427168</v>
          </cell>
          <cell r="AF110">
            <v>3551.2945633098707</v>
          </cell>
          <cell r="AG110">
            <v>3693.6304664072568</v>
          </cell>
          <cell r="AH110">
            <v>3841.6947598539623</v>
          </cell>
          <cell r="AI110">
            <v>3995.7181522041046</v>
          </cell>
          <cell r="AJ110">
            <v>4155.9406511362722</v>
          </cell>
        </row>
        <row r="111">
          <cell r="I111" t="str">
            <v>y/y Growth - %</v>
          </cell>
          <cell r="M111" t="str">
            <v>NA</v>
          </cell>
          <cell r="N111">
            <v>8.2852776947755169E-2</v>
          </cell>
          <cell r="O111">
            <v>0.24225045614434815</v>
          </cell>
          <cell r="P111">
            <v>0.17486557376012413</v>
          </cell>
          <cell r="Q111">
            <v>0.10388423724206253</v>
          </cell>
          <cell r="R111">
            <v>9.4096615823665575E-2</v>
          </cell>
          <cell r="S111">
            <v>9.1338594836666065E-2</v>
          </cell>
          <cell r="T111">
            <v>7.6724339779504325E-2</v>
          </cell>
          <cell r="U111">
            <v>7.0023916958421362E-2</v>
          </cell>
          <cell r="V111">
            <v>5.2953116397400635E-2</v>
          </cell>
          <cell r="W111">
            <v>4.9530399062871711E-2</v>
          </cell>
          <cell r="X111">
            <v>4.0012046466126661E-2</v>
          </cell>
          <cell r="Y111">
            <v>4.002065062280491E-2</v>
          </cell>
          <cell r="Z111">
            <v>4.0028967003678417E-2</v>
          </cell>
          <cell r="AA111">
            <v>4.0037006690301524E-2</v>
          </cell>
          <cell r="AB111">
            <v>4.0044780352928688E-2</v>
          </cell>
          <cell r="AC111">
            <v>4.0052298265219832E-2</v>
          </cell>
          <cell r="AD111">
            <v>4.0059570318464965E-2</v>
          </cell>
          <cell r="AE111">
            <v>4.0066606035340291E-2</v>
          </cell>
          <cell r="AF111">
            <v>4.0073414583206901E-2</v>
          </cell>
          <cell r="AG111">
            <v>4.008000478696605E-2</v>
          </cell>
          <cell r="AH111">
            <v>4.0086385141479886E-2</v>
          </cell>
          <cell r="AI111">
            <v>4.0092563823576066E-2</v>
          </cell>
          <cell r="AJ111">
            <v>4.009854870363827E-2</v>
          </cell>
        </row>
        <row r="113">
          <cell r="I113" t="str">
            <v>Europe</v>
          </cell>
        </row>
        <row r="114">
          <cell r="I114" t="str">
            <v>Agency (Booking.com &amp; Other)</v>
          </cell>
          <cell r="M114">
            <v>179.24549999999999</v>
          </cell>
          <cell r="N114">
            <v>360.28174999999999</v>
          </cell>
          <cell r="O114">
            <v>572.21362499999998</v>
          </cell>
          <cell r="P114">
            <v>743.87497125000004</v>
          </cell>
          <cell r="Q114">
            <v>1150.3426637500002</v>
          </cell>
          <cell r="R114">
            <v>1876.8907024289108</v>
          </cell>
          <cell r="S114">
            <v>2349.591381183297</v>
          </cell>
          <cell r="T114">
            <v>2798.2466371560422</v>
          </cell>
          <cell r="U114">
            <v>3134.0362336147673</v>
          </cell>
          <cell r="V114">
            <v>3400.4293134720224</v>
          </cell>
          <cell r="W114">
            <v>3638.4593654150644</v>
          </cell>
          <cell r="X114">
            <v>3856.7669273399683</v>
          </cell>
          <cell r="Y114">
            <v>4039.9633563886173</v>
          </cell>
          <cell r="Z114">
            <v>4221.7617074261052</v>
          </cell>
          <cell r="AA114">
            <v>4411.7409842602792</v>
          </cell>
          <cell r="AB114">
            <v>4610.2693285519908</v>
          </cell>
          <cell r="AC114">
            <v>4817.7314483368309</v>
          </cell>
          <cell r="AD114">
            <v>5034.5293635119879</v>
          </cell>
          <cell r="AE114">
            <v>5261.0831848700273</v>
          </cell>
          <cell r="AF114">
            <v>5497.8319281891781</v>
          </cell>
          <cell r="AG114">
            <v>5745.2343649576915</v>
          </cell>
          <cell r="AH114">
            <v>6003.7699113807867</v>
          </cell>
          <cell r="AI114">
            <v>6273.9395573929214</v>
          </cell>
          <cell r="AJ114">
            <v>6556.2668374756022</v>
          </cell>
        </row>
        <row r="115">
          <cell r="I115" t="str">
            <v>y/y Growth - %</v>
          </cell>
          <cell r="M115" t="str">
            <v>NA</v>
          </cell>
          <cell r="N115">
            <v>1.0099904879062516</v>
          </cell>
          <cell r="O115">
            <v>0.58823927384609398</v>
          </cell>
          <cell r="P115">
            <v>0.29999520939404412</v>
          </cell>
          <cell r="Q115">
            <v>0.54641936912728206</v>
          </cell>
          <cell r="R115">
            <v>0.63159270848082594</v>
          </cell>
          <cell r="S115">
            <v>0.25185306642664784</v>
          </cell>
          <cell r="T115">
            <v>0.19095033271138151</v>
          </cell>
          <cell r="U115">
            <v>0.12000000000000011</v>
          </cell>
          <cell r="V115">
            <v>8.4999999999999964E-2</v>
          </cell>
          <cell r="W115">
            <v>7.0000000000000062E-2</v>
          </cell>
          <cell r="X115">
            <v>6.0000000000000053E-2</v>
          </cell>
          <cell r="Y115">
            <v>4.7500000000000098E-2</v>
          </cell>
          <cell r="Z115">
            <v>4.4999999999999929E-2</v>
          </cell>
          <cell r="AA115">
            <v>4.4999999999999929E-2</v>
          </cell>
          <cell r="AB115">
            <v>4.4999999999999707E-2</v>
          </cell>
          <cell r="AC115">
            <v>4.5000000000000151E-2</v>
          </cell>
          <cell r="AD115">
            <v>4.4999999999999929E-2</v>
          </cell>
          <cell r="AE115">
            <v>4.4999999999999929E-2</v>
          </cell>
          <cell r="AF115">
            <v>4.4999999999999929E-2</v>
          </cell>
          <cell r="AG115">
            <v>4.5000000000000151E-2</v>
          </cell>
          <cell r="AH115">
            <v>4.4999999999999929E-2</v>
          </cell>
          <cell r="AI115">
            <v>4.4999999999999929E-2</v>
          </cell>
          <cell r="AJ115">
            <v>4.4999999999999929E-2</v>
          </cell>
        </row>
        <row r="116">
          <cell r="I116" t="str">
            <v>Base revenue margin</v>
          </cell>
          <cell r="M116">
            <v>0.13538905787243874</v>
          </cell>
          <cell r="N116">
            <v>0.13876919776324922</v>
          </cell>
          <cell r="O116">
            <v>0.14217114543560616</v>
          </cell>
          <cell r="P116">
            <v>0.14900873307391807</v>
          </cell>
          <cell r="Q116">
            <v>0.15008792140880009</v>
          </cell>
          <cell r="R116">
            <v>0.14934688478998456</v>
          </cell>
          <cell r="S116">
            <v>0.14731932573591133</v>
          </cell>
          <cell r="T116">
            <v>0.14499999999999999</v>
          </cell>
          <cell r="U116">
            <v>0.14499999999999999</v>
          </cell>
          <cell r="V116">
            <v>0.14499999999999999</v>
          </cell>
          <cell r="W116">
            <v>0.14499999999999999</v>
          </cell>
          <cell r="X116">
            <v>0.14499999999999999</v>
          </cell>
          <cell r="Y116">
            <v>0.14499999999999999</v>
          </cell>
          <cell r="Z116">
            <v>0.14499999999999999</v>
          </cell>
          <cell r="AA116">
            <v>0.14499999999999999</v>
          </cell>
          <cell r="AB116">
            <v>0.14499999999999999</v>
          </cell>
          <cell r="AC116">
            <v>0.14499999999999999</v>
          </cell>
          <cell r="AD116">
            <v>0.14499999999999999</v>
          </cell>
          <cell r="AE116">
            <v>0.14499999999999999</v>
          </cell>
          <cell r="AF116">
            <v>0.14499999999999999</v>
          </cell>
          <cell r="AG116">
            <v>0.14499999999999999</v>
          </cell>
          <cell r="AH116">
            <v>0.14499999999999999</v>
          </cell>
          <cell r="AI116">
            <v>0.14499999999999999</v>
          </cell>
          <cell r="AJ116">
            <v>0.14499999999999999</v>
          </cell>
        </row>
        <row r="117">
          <cell r="I117" t="str">
            <v>Merchant (TravelJigsaw)</v>
          </cell>
          <cell r="M117">
            <v>0</v>
          </cell>
          <cell r="N117">
            <v>0</v>
          </cell>
          <cell r="O117">
            <v>0</v>
          </cell>
          <cell r="P117">
            <v>0</v>
          </cell>
          <cell r="Q117">
            <v>33.245999999999995</v>
          </cell>
          <cell r="R117">
            <v>87.944959575394833</v>
          </cell>
          <cell r="S117">
            <v>136.60708314611165</v>
          </cell>
          <cell r="T117">
            <v>183.62439129385476</v>
          </cell>
          <cell r="U117">
            <v>219.11135230794801</v>
          </cell>
          <cell r="V117">
            <v>242.63177995682381</v>
          </cell>
          <cell r="W117">
            <v>264.46864015293795</v>
          </cell>
          <cell r="X117">
            <v>282.98144496364364</v>
          </cell>
          <cell r="Y117">
            <v>297.13051721182586</v>
          </cell>
          <cell r="Z117">
            <v>311.98704307241718</v>
          </cell>
          <cell r="AA117">
            <v>327.58639522603806</v>
          </cell>
          <cell r="AB117">
            <v>343.96571498733999</v>
          </cell>
          <cell r="AC117">
            <v>361.16400073670701</v>
          </cell>
          <cell r="AD117">
            <v>379.2222007735424</v>
          </cell>
          <cell r="AE117">
            <v>398.18331081221953</v>
          </cell>
          <cell r="AF117">
            <v>418.09247635283054</v>
          </cell>
          <cell r="AG117">
            <v>438.99710017047215</v>
          </cell>
          <cell r="AH117">
            <v>460.94695517899572</v>
          </cell>
          <cell r="AI117">
            <v>483.99430293794558</v>
          </cell>
          <cell r="AJ117">
            <v>508.19401808484281</v>
          </cell>
        </row>
        <row r="118">
          <cell r="I118" t="str">
            <v>y/y Growth - %</v>
          </cell>
          <cell r="M118" t="str">
            <v>NA</v>
          </cell>
          <cell r="N118" t="str">
            <v>NA</v>
          </cell>
          <cell r="O118" t="str">
            <v>NA</v>
          </cell>
          <cell r="P118" t="str">
            <v>NA</v>
          </cell>
          <cell r="Q118" t="str">
            <v>NA</v>
          </cell>
          <cell r="R118" t="str">
            <v>NM</v>
          </cell>
          <cell r="S118">
            <v>0.55332475909547707</v>
          </cell>
          <cell r="T118">
            <v>0.3441791381890098</v>
          </cell>
          <cell r="U118">
            <v>0.19325842696629203</v>
          </cell>
          <cell r="V118">
            <v>0.10734463276836159</v>
          </cell>
          <cell r="W118">
            <v>9.000000000000008E-2</v>
          </cell>
          <cell r="X118">
            <v>7.0000000000000062E-2</v>
          </cell>
          <cell r="Y118">
            <v>5.0000000000000044E-2</v>
          </cell>
          <cell r="Z118">
            <v>5.0000000000000044E-2</v>
          </cell>
          <cell r="AA118">
            <v>5.0000000000000044E-2</v>
          </cell>
          <cell r="AB118">
            <v>5.0000000000000044E-2</v>
          </cell>
          <cell r="AC118">
            <v>5.0000000000000044E-2</v>
          </cell>
          <cell r="AD118">
            <v>5.0000000000000044E-2</v>
          </cell>
          <cell r="AE118">
            <v>5.0000000000000044E-2</v>
          </cell>
          <cell r="AF118">
            <v>5.0000000000000044E-2</v>
          </cell>
          <cell r="AG118">
            <v>5.0000000000000266E-2</v>
          </cell>
          <cell r="AH118">
            <v>4.9999999999999822E-2</v>
          </cell>
          <cell r="AI118">
            <v>5.0000000000000044E-2</v>
          </cell>
          <cell r="AJ118">
            <v>4.9999999999999822E-2</v>
          </cell>
        </row>
        <row r="119">
          <cell r="I119" t="str">
            <v>Revenue Margin</v>
          </cell>
          <cell r="M119" t="str">
            <v>NA</v>
          </cell>
          <cell r="N119" t="str">
            <v>NA</v>
          </cell>
          <cell r="O119" t="str">
            <v>NA</v>
          </cell>
          <cell r="P119" t="str">
            <v>NA</v>
          </cell>
          <cell r="Q119">
            <v>0.18</v>
          </cell>
          <cell r="R119">
            <v>0.17998334112149458</v>
          </cell>
          <cell r="S119">
            <v>0.17877081497020716</v>
          </cell>
          <cell r="T119">
            <v>0.17799999999999999</v>
          </cell>
          <cell r="U119">
            <v>0.17699999999999999</v>
          </cell>
          <cell r="V119">
            <v>0.17499999999999999</v>
          </cell>
          <cell r="W119">
            <v>0.17499999999999999</v>
          </cell>
          <cell r="X119">
            <v>0.17499999999999999</v>
          </cell>
          <cell r="Y119">
            <v>0.17499999999999999</v>
          </cell>
          <cell r="Z119">
            <v>0.17499999999999999</v>
          </cell>
          <cell r="AA119">
            <v>0.17499999999999999</v>
          </cell>
          <cell r="AB119">
            <v>0.17499999999999999</v>
          </cell>
          <cell r="AC119">
            <v>0.17499999999999999</v>
          </cell>
          <cell r="AD119">
            <v>0.17499999999999999</v>
          </cell>
          <cell r="AE119">
            <v>0.17499999999999999</v>
          </cell>
          <cell r="AF119">
            <v>0.17499999999999999</v>
          </cell>
          <cell r="AG119">
            <v>0.17499999999999999</v>
          </cell>
          <cell r="AH119">
            <v>0.17499999999999999</v>
          </cell>
          <cell r="AI119">
            <v>0.17499999999999999</v>
          </cell>
          <cell r="AJ119">
            <v>0.17499999999999999</v>
          </cell>
        </row>
        <row r="120">
          <cell r="I120" t="str">
            <v>Total Europe</v>
          </cell>
          <cell r="M120">
            <v>179.24549999999999</v>
          </cell>
          <cell r="N120">
            <v>360.28174999999999</v>
          </cell>
          <cell r="O120">
            <v>572.21362499999998</v>
          </cell>
          <cell r="P120">
            <v>743.87497125000004</v>
          </cell>
          <cell r="Q120">
            <v>1183.5886637500003</v>
          </cell>
          <cell r="R120">
            <v>1964.8356620043057</v>
          </cell>
          <cell r="S120">
            <v>2486.1984643294086</v>
          </cell>
          <cell r="T120">
            <v>2981.871028449897</v>
          </cell>
          <cell r="U120">
            <v>3353.1475859227153</v>
          </cell>
          <cell r="V120">
            <v>3643.0610934288461</v>
          </cell>
          <cell r="W120">
            <v>3902.9280055680024</v>
          </cell>
          <cell r="X120">
            <v>4139.7483723036121</v>
          </cell>
          <cell r="Y120">
            <v>4337.0938736004427</v>
          </cell>
          <cell r="Z120">
            <v>4533.748750498522</v>
          </cell>
          <cell r="AA120">
            <v>4739.3273794863171</v>
          </cell>
          <cell r="AB120">
            <v>4954.2350435393309</v>
          </cell>
          <cell r="AC120">
            <v>5178.8954490735377</v>
          </cell>
          <cell r="AD120">
            <v>5413.7515642855305</v>
          </cell>
          <cell r="AE120">
            <v>5659.2664956822464</v>
          </cell>
          <cell r="AF120">
            <v>5915.9244045420091</v>
          </cell>
          <cell r="AG120">
            <v>6184.231465128164</v>
          </cell>
          <cell r="AH120">
            <v>6464.7168665597819</v>
          </cell>
          <cell r="AI120">
            <v>6757.933860330867</v>
          </cell>
          <cell r="AJ120">
            <v>7064.4608555604445</v>
          </cell>
        </row>
        <row r="121">
          <cell r="I121" t="str">
            <v>y/y Growth - %</v>
          </cell>
          <cell r="M121" t="str">
            <v>NA</v>
          </cell>
          <cell r="N121">
            <v>1.0099904879062516</v>
          </cell>
          <cell r="O121">
            <v>0.58823927384609398</v>
          </cell>
          <cell r="P121">
            <v>0.29999520939404412</v>
          </cell>
          <cell r="Q121">
            <v>0.59111236362894393</v>
          </cell>
          <cell r="R121">
            <v>0.66006630697108637</v>
          </cell>
          <cell r="S121">
            <v>0.26534677296790643</v>
          </cell>
          <cell r="T121">
            <v>0.19936966868579575</v>
          </cell>
          <cell r="U121">
            <v>0.12451127293249287</v>
          </cell>
          <cell r="V121">
            <v>8.6460109517175532E-2</v>
          </cell>
          <cell r="W121">
            <v>7.1332021471693041E-2</v>
          </cell>
          <cell r="X121">
            <v>6.067761598414223E-2</v>
          </cell>
          <cell r="Y121">
            <v>4.7670892901883199E-2</v>
          </cell>
          <cell r="Z121">
            <v>4.5342545637552911E-2</v>
          </cell>
          <cell r="AA121">
            <v>4.5344071826915799E-2</v>
          </cell>
          <cell r="AB121">
            <v>4.534560431153567E-2</v>
          </cell>
          <cell r="AC121">
            <v>4.5347143112876687E-2</v>
          </cell>
          <cell r="AD121">
            <v>4.5348688252435432E-2</v>
          </cell>
          <cell r="AE121">
            <v>4.5350239751741794E-2</v>
          </cell>
          <cell r="AF121">
            <v>4.5351797632357638E-2</v>
          </cell>
          <cell r="AG121">
            <v>4.535336191587569E-2</v>
          </cell>
          <cell r="AH121">
            <v>4.5354932623920652E-2</v>
          </cell>
          <cell r="AI121">
            <v>4.5356509778149201E-2</v>
          </cell>
          <cell r="AJ121">
            <v>4.5358093400246657E-2</v>
          </cell>
        </row>
        <row r="123">
          <cell r="I123" t="str">
            <v>Asia</v>
          </cell>
        </row>
        <row r="124">
          <cell r="I124" t="str">
            <v>Agency (Booking.com)</v>
          </cell>
          <cell r="M124">
            <v>2.2544999999999997</v>
          </cell>
          <cell r="N124">
            <v>5.6362499999999995</v>
          </cell>
          <cell r="O124">
            <v>12.963374999999999</v>
          </cell>
          <cell r="P124">
            <v>26.102268749999993</v>
          </cell>
          <cell r="Q124">
            <v>57.348056249999985</v>
          </cell>
          <cell r="R124">
            <v>128.96590377004338</v>
          </cell>
          <cell r="S124">
            <v>223.23237642387363</v>
          </cell>
          <cell r="T124">
            <v>308.44109681166839</v>
          </cell>
          <cell r="U124">
            <v>365.093543164832</v>
          </cell>
          <cell r="V124">
            <v>408.90476834461191</v>
          </cell>
          <cell r="W124">
            <v>445.70619749562701</v>
          </cell>
          <cell r="X124">
            <v>476.90563132032088</v>
          </cell>
          <cell r="Y124">
            <v>505.51996919954018</v>
          </cell>
          <cell r="Z124">
            <v>535.85116735151269</v>
          </cell>
          <cell r="AA124">
            <v>568.00223739260343</v>
          </cell>
          <cell r="AB124">
            <v>602.08237163615968</v>
          </cell>
          <cell r="AC124">
            <v>638.20731393432925</v>
          </cell>
          <cell r="AD124">
            <v>676.49975277038902</v>
          </cell>
          <cell r="AE124">
            <v>717.08973793661232</v>
          </cell>
          <cell r="AF124">
            <v>760.11512221280907</v>
          </cell>
          <cell r="AG124">
            <v>805.7220295455777</v>
          </cell>
          <cell r="AH124">
            <v>854.06535131831242</v>
          </cell>
          <cell r="AI124">
            <v>905.30927239741118</v>
          </cell>
          <cell r="AJ124">
            <v>959.62782874125594</v>
          </cell>
        </row>
        <row r="125">
          <cell r="I125" t="str">
            <v>y/y Growth - %</v>
          </cell>
          <cell r="M125" t="str">
            <v>NA</v>
          </cell>
          <cell r="N125">
            <v>1.5</v>
          </cell>
          <cell r="O125">
            <v>1.3000000000000003</v>
          </cell>
          <cell r="P125">
            <v>1.013539587491683</v>
          </cell>
          <cell r="Q125">
            <v>1.1970525550580731</v>
          </cell>
          <cell r="R125">
            <v>1.2488278104463815</v>
          </cell>
          <cell r="S125">
            <v>0.73094104641731494</v>
          </cell>
          <cell r="T125">
            <v>0.38170413159962258</v>
          </cell>
          <cell r="U125">
            <v>0.18367346938775531</v>
          </cell>
          <cell r="V125">
            <v>0.12000000000000011</v>
          </cell>
          <cell r="W125">
            <v>9.000000000000008E-2</v>
          </cell>
          <cell r="X125">
            <v>7.0000000000000062E-2</v>
          </cell>
          <cell r="Y125">
            <v>6.0000000000000053E-2</v>
          </cell>
          <cell r="Z125">
            <v>6.0000000000000275E-2</v>
          </cell>
          <cell r="AA125">
            <v>6.0000000000000053E-2</v>
          </cell>
          <cell r="AB125">
            <v>6.0000000000000053E-2</v>
          </cell>
          <cell r="AC125">
            <v>6.0000000000000053E-2</v>
          </cell>
          <cell r="AD125">
            <v>6.0000000000000053E-2</v>
          </cell>
          <cell r="AE125">
            <v>5.9999999999999831E-2</v>
          </cell>
          <cell r="AF125">
            <v>6.0000000000000053E-2</v>
          </cell>
          <cell r="AG125">
            <v>6.0000000000000053E-2</v>
          </cell>
          <cell r="AH125">
            <v>6.0000000000000053E-2</v>
          </cell>
          <cell r="AI125">
            <v>6.0000000000000053E-2</v>
          </cell>
          <cell r="AJ125">
            <v>6.0000000000000053E-2</v>
          </cell>
        </row>
        <row r="126">
          <cell r="I126" t="str">
            <v>Revenue Margin</v>
          </cell>
          <cell r="M126">
            <v>0.15</v>
          </cell>
          <cell r="N126">
            <v>0.15</v>
          </cell>
          <cell r="O126">
            <v>0.15</v>
          </cell>
          <cell r="P126" t="str">
            <v>NA</v>
          </cell>
          <cell r="Q126">
            <v>0.14999999999999997</v>
          </cell>
          <cell r="R126">
            <v>0.15000000000000002</v>
          </cell>
          <cell r="S126">
            <v>0.14894650402596812</v>
          </cell>
          <cell r="T126">
            <v>0.14699999999999999</v>
          </cell>
          <cell r="U126">
            <v>0.14499999999999999</v>
          </cell>
          <cell r="V126">
            <v>0.14499999999999999</v>
          </cell>
          <cell r="W126">
            <v>0.14499999999999999</v>
          </cell>
          <cell r="X126">
            <v>0.14499999999999999</v>
          </cell>
          <cell r="Y126">
            <v>0.14499999999999999</v>
          </cell>
          <cell r="Z126">
            <v>0.14499999999999999</v>
          </cell>
          <cell r="AA126">
            <v>0.14499999999999999</v>
          </cell>
          <cell r="AB126">
            <v>0.14499999999999999</v>
          </cell>
          <cell r="AC126">
            <v>0.14499999999999999</v>
          </cell>
          <cell r="AD126">
            <v>0.14499999999999999</v>
          </cell>
          <cell r="AE126">
            <v>0.14499999999999999</v>
          </cell>
          <cell r="AF126">
            <v>0.14499999999999999</v>
          </cell>
          <cell r="AG126">
            <v>0.14499999999999999</v>
          </cell>
          <cell r="AH126">
            <v>0.14499999999999999</v>
          </cell>
          <cell r="AI126">
            <v>0.14499999999999999</v>
          </cell>
          <cell r="AJ126">
            <v>0.14499999999999999</v>
          </cell>
        </row>
        <row r="127">
          <cell r="I127" t="str">
            <v>Merchant (Agoda)</v>
          </cell>
          <cell r="M127">
            <v>0</v>
          </cell>
          <cell r="N127">
            <v>2.4119999999999999</v>
          </cell>
          <cell r="O127">
            <v>21.366</v>
          </cell>
          <cell r="P127">
            <v>44.091360000000002</v>
          </cell>
          <cell r="Q127">
            <v>97.410780000000003</v>
          </cell>
          <cell r="R127">
            <v>206.58719696853626</v>
          </cell>
          <cell r="S127">
            <v>335.94444167496067</v>
          </cell>
          <cell r="T127">
            <v>435.54016208957808</v>
          </cell>
          <cell r="U127">
            <v>511.05010255072631</v>
          </cell>
          <cell r="V127">
            <v>545.6975671304366</v>
          </cell>
          <cell r="W127">
            <v>583.89639682956715</v>
          </cell>
          <cell r="X127">
            <v>618.93018063934119</v>
          </cell>
          <cell r="Y127">
            <v>649.87668967130833</v>
          </cell>
          <cell r="Z127">
            <v>682.37052415487381</v>
          </cell>
          <cell r="AA127">
            <v>716.4890503626176</v>
          </cell>
          <cell r="AB127">
            <v>752.3135028807485</v>
          </cell>
          <cell r="AC127">
            <v>789.92917802478598</v>
          </cell>
          <cell r="AD127">
            <v>829.42563692602528</v>
          </cell>
          <cell r="AE127">
            <v>870.89691877232656</v>
          </cell>
          <cell r="AF127">
            <v>914.44176471094283</v>
          </cell>
          <cell r="AG127">
            <v>960.16385294649001</v>
          </cell>
          <cell r="AH127">
            <v>1008.1720455938145</v>
          </cell>
          <cell r="AI127">
            <v>1058.5806478735053</v>
          </cell>
          <cell r="AJ127">
            <v>1111.5096802671806</v>
          </cell>
        </row>
        <row r="128">
          <cell r="I128" t="str">
            <v>y/y Growth - %</v>
          </cell>
          <cell r="M128" t="str">
            <v>NA</v>
          </cell>
          <cell r="N128" t="str">
            <v>NA</v>
          </cell>
          <cell r="O128">
            <v>7.8582089552238799</v>
          </cell>
          <cell r="P128">
            <v>1.0636225779275486</v>
          </cell>
          <cell r="Q128">
            <v>1.2092940657761519</v>
          </cell>
          <cell r="R128">
            <v>1.120783726077712</v>
          </cell>
          <cell r="S128">
            <v>0.62616293073634099</v>
          </cell>
          <cell r="T128">
            <v>0.29646485567092706</v>
          </cell>
          <cell r="U128">
            <v>0.17337078651685411</v>
          </cell>
          <cell r="V128">
            <v>6.7796610169491567E-2</v>
          </cell>
          <cell r="W128">
            <v>7.0000000000000062E-2</v>
          </cell>
          <cell r="X128">
            <v>6.0000000000000053E-2</v>
          </cell>
          <cell r="Y128">
            <v>5.0000000000000044E-2</v>
          </cell>
          <cell r="Z128">
            <v>5.0000000000000044E-2</v>
          </cell>
          <cell r="AA128">
            <v>5.0000000000000266E-2</v>
          </cell>
          <cell r="AB128">
            <v>5.0000000000000044E-2</v>
          </cell>
          <cell r="AC128">
            <v>5.0000000000000044E-2</v>
          </cell>
          <cell r="AD128">
            <v>5.0000000000000044E-2</v>
          </cell>
          <cell r="AE128">
            <v>5.0000000000000044E-2</v>
          </cell>
          <cell r="AF128">
            <v>5.0000000000000044E-2</v>
          </cell>
          <cell r="AG128">
            <v>5.0000000000000044E-2</v>
          </cell>
          <cell r="AH128">
            <v>5.0000000000000044E-2</v>
          </cell>
          <cell r="AI128">
            <v>5.0000000000000044E-2</v>
          </cell>
          <cell r="AJ128">
            <v>5.0000000000000044E-2</v>
          </cell>
        </row>
        <row r="129">
          <cell r="I129" t="str">
            <v>Revenue Margin</v>
          </cell>
          <cell r="M129" t="str">
            <v>NA</v>
          </cell>
          <cell r="N129" t="str">
            <v>NA</v>
          </cell>
          <cell r="O129" t="str">
            <v>NA</v>
          </cell>
          <cell r="P129" t="str">
            <v>NA</v>
          </cell>
          <cell r="Q129">
            <v>0.18</v>
          </cell>
          <cell r="R129">
            <v>0.18015804991200501</v>
          </cell>
          <cell r="S129">
            <v>0.17848536270599433</v>
          </cell>
          <cell r="T129">
            <v>0.17799999999999999</v>
          </cell>
          <cell r="U129">
            <v>0.17699999999999999</v>
          </cell>
          <cell r="V129">
            <v>0.17499999999999999</v>
          </cell>
          <cell r="W129">
            <v>0.17499999999999999</v>
          </cell>
          <cell r="X129">
            <v>0.17499999999999999</v>
          </cell>
          <cell r="Y129">
            <v>0.17499999999999999</v>
          </cell>
          <cell r="Z129">
            <v>0.17499999999999999</v>
          </cell>
          <cell r="AA129">
            <v>0.17499999999999999</v>
          </cell>
          <cell r="AB129">
            <v>0.17499999999999999</v>
          </cell>
          <cell r="AC129">
            <v>0.17499999999999999</v>
          </cell>
          <cell r="AD129">
            <v>0.17499999999999999</v>
          </cell>
          <cell r="AE129">
            <v>0.17499999999999999</v>
          </cell>
          <cell r="AF129">
            <v>0.17499999999999999</v>
          </cell>
          <cell r="AG129">
            <v>0.17499999999999999</v>
          </cell>
          <cell r="AH129">
            <v>0.17499999999999999</v>
          </cell>
          <cell r="AI129">
            <v>0.17499999999999999</v>
          </cell>
          <cell r="AJ129">
            <v>0.17499999999999999</v>
          </cell>
        </row>
        <row r="130">
          <cell r="I130" t="str">
            <v>Total Asia Pacific</v>
          </cell>
          <cell r="M130">
            <v>2.2544999999999997</v>
          </cell>
          <cell r="N130">
            <v>8.0482499999999995</v>
          </cell>
          <cell r="O130">
            <v>34.329374999999999</v>
          </cell>
          <cell r="P130">
            <v>70.193628749999988</v>
          </cell>
          <cell r="Q130">
            <v>154.75883625</v>
          </cell>
          <cell r="R130">
            <v>335.55310073857964</v>
          </cell>
          <cell r="S130">
            <v>559.17681809883425</v>
          </cell>
          <cell r="T130">
            <v>743.98125890124652</v>
          </cell>
          <cell r="U130">
            <v>876.14364571555825</v>
          </cell>
          <cell r="V130">
            <v>954.60233547504845</v>
          </cell>
          <cell r="W130">
            <v>1029.6025943251941</v>
          </cell>
          <cell r="X130">
            <v>1095.8358119596621</v>
          </cell>
          <cell r="Y130">
            <v>1155.3966588708486</v>
          </cell>
          <cell r="Z130">
            <v>1218.2216915063864</v>
          </cell>
          <cell r="AA130">
            <v>1284.491287755221</v>
          </cell>
          <cell r="AB130">
            <v>1354.3958745169082</v>
          </cell>
          <cell r="AC130">
            <v>1428.1364919591151</v>
          </cell>
          <cell r="AD130">
            <v>1505.9253896964142</v>
          </cell>
          <cell r="AE130">
            <v>1587.9866567089389</v>
          </cell>
          <cell r="AF130">
            <v>1674.5568869237518</v>
          </cell>
          <cell r="AG130">
            <v>1765.8858824920676</v>
          </cell>
          <cell r="AH130">
            <v>1862.2373969121268</v>
          </cell>
          <cell r="AI130">
            <v>1963.8899202709165</v>
          </cell>
          <cell r="AJ130">
            <v>2071.1375090084366</v>
          </cell>
        </row>
        <row r="131">
          <cell r="I131" t="str">
            <v>y/y Growth - %</v>
          </cell>
          <cell r="M131" t="str">
            <v>NA</v>
          </cell>
          <cell r="N131">
            <v>2.5698602794411181</v>
          </cell>
          <cell r="O131">
            <v>3.2654459043891535</v>
          </cell>
          <cell r="P131">
            <v>1.0447103610246322</v>
          </cell>
          <cell r="Q131">
            <v>1.2047419260968186</v>
          </cell>
          <cell r="R131">
            <v>1.1682322565189205</v>
          </cell>
          <cell r="S131">
            <v>0.66643317218061937</v>
          </cell>
          <cell r="T131">
            <v>0.33049374512830432</v>
          </cell>
          <cell r="U131">
            <v>0.17764209142780918</v>
          </cell>
          <cell r="V131">
            <v>8.9550030001543712E-2</v>
          </cell>
          <cell r="W131">
            <v>7.8567017974895847E-2</v>
          </cell>
          <cell r="X131">
            <v>6.4328914864358433E-2</v>
          </cell>
          <cell r="Y131">
            <v>5.4351980708382763E-2</v>
          </cell>
          <cell r="Z131">
            <v>5.437529367354732E-2</v>
          </cell>
          <cell r="AA131">
            <v>5.4398634264088086E-2</v>
          </cell>
          <cell r="AB131">
            <v>5.4422001478774185E-2</v>
          </cell>
          <cell r="AC131">
            <v>5.4445394311695594E-2</v>
          </cell>
          <cell r="AD131">
            <v>5.4468811752431678E-2</v>
          </cell>
          <cell r="AE131">
            <v>5.4492252786220607E-2</v>
          </cell>
          <cell r="AF131">
            <v>5.4515716394133662E-2</v>
          </cell>
          <cell r="AG131">
            <v>5.4539201553249095E-2</v>
          </cell>
          <cell r="AH131">
            <v>5.4562707236826213E-2</v>
          </cell>
          <cell r="AI131">
            <v>5.4586232414484348E-2</v>
          </cell>
          <cell r="AJ131">
            <v>5.4609776052379377E-2</v>
          </cell>
        </row>
        <row r="133">
          <cell r="I133" t="str">
            <v>Latin America &amp; RoW</v>
          </cell>
        </row>
        <row r="134">
          <cell r="I134" t="str">
            <v>Agency (Booking.com)</v>
          </cell>
          <cell r="M134">
            <v>1.2</v>
          </cell>
          <cell r="N134">
            <v>4.17</v>
          </cell>
          <cell r="O134">
            <v>13.256999999999998</v>
          </cell>
          <cell r="P134">
            <v>37.931399999999996</v>
          </cell>
          <cell r="Q134">
            <v>105.95249999999999</v>
          </cell>
          <cell r="R134">
            <v>235.45999749118889</v>
          </cell>
          <cell r="S134">
            <v>394.10602986735591</v>
          </cell>
          <cell r="T134">
            <v>542.84659826613279</v>
          </cell>
          <cell r="U134">
            <v>657.73673447451301</v>
          </cell>
          <cell r="V134">
            <v>756.39724464568985</v>
          </cell>
          <cell r="W134">
            <v>832.03696911025895</v>
          </cell>
          <cell r="X134">
            <v>898.59992663907974</v>
          </cell>
          <cell r="Y134">
            <v>961.50192150381542</v>
          </cell>
          <cell r="Z134">
            <v>1028.8070560090825</v>
          </cell>
          <cell r="AA134">
            <v>1100.8235499297182</v>
          </cell>
          <cell r="AB134">
            <v>1177.8811984247986</v>
          </cell>
          <cell r="AC134">
            <v>1260.3328823145346</v>
          </cell>
          <cell r="AD134">
            <v>1348.556184076552</v>
          </cell>
          <cell r="AE134">
            <v>1442.9551169619108</v>
          </cell>
          <cell r="AF134">
            <v>1543.9619751492446</v>
          </cell>
          <cell r="AG134">
            <v>1652.0393134096917</v>
          </cell>
          <cell r="AH134">
            <v>1767.6820653483703</v>
          </cell>
          <cell r="AI134">
            <v>1891.4198099227563</v>
          </cell>
          <cell r="AJ134">
            <v>2023.8191966173492</v>
          </cell>
        </row>
        <row r="135">
          <cell r="I135" t="str">
            <v>y/y Growth - %</v>
          </cell>
          <cell r="M135" t="str">
            <v>NA</v>
          </cell>
          <cell r="N135">
            <v>2.4750000000000001</v>
          </cell>
          <cell r="O135">
            <v>2.1791366906474816</v>
          </cell>
          <cell r="P135">
            <v>1.861235573659199</v>
          </cell>
          <cell r="Q135">
            <v>1.7932662648887199</v>
          </cell>
          <cell r="R135">
            <v>1.2223165804600074</v>
          </cell>
          <cell r="S135">
            <v>0.67377063648403257</v>
          </cell>
          <cell r="T135">
            <v>0.37741256699076242</v>
          </cell>
          <cell r="U135">
            <v>0.21164383561643851</v>
          </cell>
          <cell r="V135">
            <v>0.14999999999999991</v>
          </cell>
          <cell r="W135">
            <v>0.10000000000000009</v>
          </cell>
          <cell r="X135">
            <v>8.0000000000000071E-2</v>
          </cell>
          <cell r="Y135">
            <v>7.0000000000000062E-2</v>
          </cell>
          <cell r="Z135">
            <v>7.0000000000000062E-2</v>
          </cell>
          <cell r="AA135">
            <v>6.999999999999984E-2</v>
          </cell>
          <cell r="AB135">
            <v>7.0000000000000062E-2</v>
          </cell>
          <cell r="AC135">
            <v>7.0000000000000062E-2</v>
          </cell>
          <cell r="AD135">
            <v>7.0000000000000062E-2</v>
          </cell>
          <cell r="AE135">
            <v>7.0000000000000062E-2</v>
          </cell>
          <cell r="AF135">
            <v>7.0000000000000062E-2</v>
          </cell>
          <cell r="AG135">
            <v>7.0000000000000062E-2</v>
          </cell>
          <cell r="AH135">
            <v>7.0000000000000062E-2</v>
          </cell>
          <cell r="AI135">
            <v>7.0000000000000062E-2</v>
          </cell>
          <cell r="AJ135">
            <v>7.0000000000000062E-2</v>
          </cell>
        </row>
        <row r="136">
          <cell r="I136" t="str">
            <v>Revenue Margin</v>
          </cell>
          <cell r="M136">
            <v>0.15</v>
          </cell>
          <cell r="N136">
            <v>0.15</v>
          </cell>
          <cell r="O136">
            <v>0.15</v>
          </cell>
          <cell r="P136" t="str">
            <v>NA</v>
          </cell>
          <cell r="Q136">
            <v>0.15</v>
          </cell>
          <cell r="R136">
            <v>0.1497156194189572</v>
          </cell>
          <cell r="S136">
            <v>0.14839417390139928</v>
          </cell>
          <cell r="T136">
            <v>0.14599999999999999</v>
          </cell>
          <cell r="U136">
            <v>0.14499999999999999</v>
          </cell>
          <cell r="V136">
            <v>0.14499999999999999</v>
          </cell>
          <cell r="W136">
            <v>0.14499999999999999</v>
          </cell>
          <cell r="X136">
            <v>0.14499999999999999</v>
          </cell>
          <cell r="Y136">
            <v>0.14499999999999999</v>
          </cell>
          <cell r="Z136">
            <v>0.14499999999999999</v>
          </cell>
          <cell r="AA136">
            <v>0.14499999999999999</v>
          </cell>
          <cell r="AB136">
            <v>0.14499999999999999</v>
          </cell>
          <cell r="AC136">
            <v>0.14499999999999999</v>
          </cell>
          <cell r="AD136">
            <v>0.14499999999999999</v>
          </cell>
          <cell r="AE136">
            <v>0.14499999999999999</v>
          </cell>
          <cell r="AF136">
            <v>0.14499999999999999</v>
          </cell>
          <cell r="AG136">
            <v>0.14499999999999999</v>
          </cell>
          <cell r="AH136">
            <v>0.14499999999999999</v>
          </cell>
          <cell r="AI136">
            <v>0.14499999999999999</v>
          </cell>
          <cell r="AJ136">
            <v>0.14499999999999999</v>
          </cell>
        </row>
        <row r="138">
          <cell r="I138" t="str">
            <v>Agency Check</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row>
        <row r="139">
          <cell r="I139" t="str">
            <v>Merchant Check</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row>
        <row r="140">
          <cell r="I140" t="str">
            <v>Geography US Check</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row>
        <row r="141">
          <cell r="I141" t="str">
            <v>Geography International Check</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row>
        <row r="143">
          <cell r="I143" t="str">
            <v>Gross Profit Scenarios</v>
          </cell>
        </row>
        <row r="144">
          <cell r="I144" t="str">
            <v>Gross Profit by brand</v>
          </cell>
        </row>
        <row r="145">
          <cell r="I145" t="str">
            <v>US</v>
          </cell>
        </row>
        <row r="146">
          <cell r="I146" t="str">
            <v>Agency (Priceline.com)</v>
          </cell>
          <cell r="M146">
            <v>31.20000000000001</v>
          </cell>
          <cell r="N146">
            <v>28.15799999999993</v>
          </cell>
          <cell r="O146">
            <v>50.358000000000047</v>
          </cell>
          <cell r="P146">
            <v>60.485359999999993</v>
          </cell>
          <cell r="Q146">
            <v>66.958779999999948</v>
          </cell>
          <cell r="R146">
            <v>71.947912300000283</v>
          </cell>
          <cell r="S146">
            <v>80.888439218000002</v>
          </cell>
          <cell r="T146">
            <v>91.25663749440001</v>
          </cell>
          <cell r="U146">
            <v>98.55716849395202</v>
          </cell>
          <cell r="V146">
            <v>100.03552602136132</v>
          </cell>
          <cell r="W146">
            <v>104.53712469232256</v>
          </cell>
          <cell r="X146">
            <v>109.24129530347707</v>
          </cell>
          <cell r="Y146">
            <v>114.15715359213354</v>
          </cell>
          <cell r="Z146">
            <v>119.29422550377954</v>
          </cell>
          <cell r="AA146">
            <v>124.66246565144961</v>
          </cell>
          <cell r="AB146">
            <v>130.27227660576483</v>
          </cell>
          <cell r="AC146">
            <v>136.13452905302424</v>
          </cell>
          <cell r="AD146">
            <v>142.2605828604103</v>
          </cell>
          <cell r="AE146">
            <v>148.66230908912874</v>
          </cell>
          <cell r="AF146">
            <v>155.35211299813952</v>
          </cell>
          <cell r="AG146">
            <v>162.34295808305581</v>
          </cell>
          <cell r="AH146">
            <v>169.64839119679328</v>
          </cell>
          <cell r="AI146">
            <v>177.28256880064896</v>
          </cell>
          <cell r="AJ146">
            <v>185.26028439667817</v>
          </cell>
        </row>
        <row r="147">
          <cell r="I147" t="str">
            <v>y/y Growth - %</v>
          </cell>
          <cell r="M147" t="str">
            <v>NA</v>
          </cell>
          <cell r="N147">
            <v>-9.7500000000002474E-2</v>
          </cell>
          <cell r="O147">
            <v>0.78840826763265048</v>
          </cell>
          <cell r="P147">
            <v>0.20110727193295874</v>
          </cell>
          <cell r="Q147">
            <v>0.10702457586430758</v>
          </cell>
          <cell r="R147">
            <v>7.4510501834118559E-2</v>
          </cell>
          <cell r="S147">
            <v>0.12426388246986964</v>
          </cell>
          <cell r="T147">
            <v>0.12817898795719107</v>
          </cell>
          <cell r="U147">
            <v>8.0000000000000071E-2</v>
          </cell>
          <cell r="V147">
            <v>1.5000000000000124E-2</v>
          </cell>
          <cell r="W147">
            <v>4.4999999999999929E-2</v>
          </cell>
          <cell r="X147">
            <v>4.4999999999999929E-2</v>
          </cell>
          <cell r="Y147">
            <v>4.4999999999999929E-2</v>
          </cell>
          <cell r="Z147">
            <v>4.4999999999999929E-2</v>
          </cell>
          <cell r="AA147">
            <v>4.4999999999999929E-2</v>
          </cell>
          <cell r="AB147">
            <v>4.4999999999999929E-2</v>
          </cell>
          <cell r="AC147">
            <v>4.4999999999999929E-2</v>
          </cell>
          <cell r="AD147">
            <v>4.4999999999999707E-2</v>
          </cell>
          <cell r="AE147">
            <v>4.4999999999999929E-2</v>
          </cell>
          <cell r="AF147">
            <v>4.4999999999999929E-2</v>
          </cell>
          <cell r="AG147">
            <v>4.5000000000000151E-2</v>
          </cell>
          <cell r="AH147">
            <v>4.4999999999999707E-2</v>
          </cell>
          <cell r="AI147">
            <v>4.4999999999999929E-2</v>
          </cell>
          <cell r="AJ147">
            <v>4.5000000000000151E-2</v>
          </cell>
        </row>
        <row r="148">
          <cell r="I148" t="str">
            <v>Merchant (NYOP &amp; Priceline.com)</v>
          </cell>
          <cell r="M148">
            <v>182.16499999999999</v>
          </cell>
          <cell r="N148">
            <v>211.82300000000001</v>
          </cell>
          <cell r="O148">
            <v>267.96100000000001</v>
          </cell>
          <cell r="P148">
            <v>326.03664000000003</v>
          </cell>
          <cell r="Q148">
            <v>385.05021999999997</v>
          </cell>
          <cell r="R148">
            <v>426.18139020000001</v>
          </cell>
          <cell r="S148">
            <v>450.95197206800003</v>
          </cell>
          <cell r="T148">
            <v>479.4166326106</v>
          </cell>
          <cell r="U148">
            <v>507.01096204574509</v>
          </cell>
          <cell r="V148">
            <v>534.89656495826102</v>
          </cell>
          <cell r="W148">
            <v>561.64139320617414</v>
          </cell>
          <cell r="X148">
            <v>584.10704893442107</v>
          </cell>
          <cell r="Y148">
            <v>607.47133089179795</v>
          </cell>
          <cell r="Z148">
            <v>631.77018412746986</v>
          </cell>
          <cell r="AA148">
            <v>657.04099149256865</v>
          </cell>
          <cell r="AB148">
            <v>683.32263115227136</v>
          </cell>
          <cell r="AC148">
            <v>710.6555363983623</v>
          </cell>
          <cell r="AD148">
            <v>739.08175785429682</v>
          </cell>
          <cell r="AE148">
            <v>768.64502816846868</v>
          </cell>
          <cell r="AF148">
            <v>799.39082929520748</v>
          </cell>
          <cell r="AG148">
            <v>831.36646246701582</v>
          </cell>
          <cell r="AH148">
            <v>864.62112096569649</v>
          </cell>
          <cell r="AI148">
            <v>899.20596580432436</v>
          </cell>
          <cell r="AJ148">
            <v>935.17420443649746</v>
          </cell>
        </row>
        <row r="149">
          <cell r="I149" t="str">
            <v>y/y Growth - %</v>
          </cell>
          <cell r="M149" t="str">
            <v>NA</v>
          </cell>
          <cell r="N149">
            <v>0.16280844289517749</v>
          </cell>
          <cell r="O149">
            <v>0.26502315612563332</v>
          </cell>
          <cell r="P149">
            <v>0.21673168856661973</v>
          </cell>
          <cell r="Q149">
            <v>0.18100290813940401</v>
          </cell>
          <cell r="R149">
            <v>0.10682027450860843</v>
          </cell>
          <cell r="S149">
            <v>5.8122157460642754E-2</v>
          </cell>
          <cell r="T149">
            <v>6.3121268573380851E-2</v>
          </cell>
          <cell r="U149">
            <v>5.7558139534883868E-2</v>
          </cell>
          <cell r="V149">
            <v>5.4999999999999938E-2</v>
          </cell>
          <cell r="W149">
            <v>5.0000000000000044E-2</v>
          </cell>
          <cell r="X149">
            <v>4.0000000000000036E-2</v>
          </cell>
          <cell r="Y149">
            <v>4.0000000000000036E-2</v>
          </cell>
          <cell r="Z149">
            <v>4.0000000000000036E-2</v>
          </cell>
          <cell r="AA149">
            <v>4.0000000000000036E-2</v>
          </cell>
          <cell r="AB149">
            <v>4.0000000000000036E-2</v>
          </cell>
          <cell r="AC149">
            <v>4.0000000000000036E-2</v>
          </cell>
          <cell r="AD149">
            <v>4.0000000000000036E-2</v>
          </cell>
          <cell r="AE149">
            <v>4.0000000000000036E-2</v>
          </cell>
          <cell r="AF149">
            <v>4.0000000000000036E-2</v>
          </cell>
          <cell r="AG149">
            <v>4.0000000000000036E-2</v>
          </cell>
          <cell r="AH149">
            <v>4.0000000000000036E-2</v>
          </cell>
          <cell r="AI149">
            <v>4.0000000000000036E-2</v>
          </cell>
          <cell r="AJ149">
            <v>4.0000000000000036E-2</v>
          </cell>
        </row>
        <row r="150">
          <cell r="I150" t="str">
            <v>Base Gross Profit margin (% of total gross bookings)</v>
          </cell>
          <cell r="M150">
            <v>0.16000678095325094</v>
          </cell>
          <cell r="N150">
            <v>0.1720863653017968</v>
          </cell>
          <cell r="O150">
            <v>0.17368418323496279</v>
          </cell>
          <cell r="P150">
            <v>0.17400963883714848</v>
          </cell>
          <cell r="Q150">
            <v>0.18005840613446783</v>
          </cell>
          <cell r="R150">
            <v>0.17841717305530189</v>
          </cell>
          <cell r="S150">
            <v>0.17392183325249452</v>
          </cell>
          <cell r="T150">
            <v>0.17199999999999999</v>
          </cell>
          <cell r="U150">
            <v>0.17</v>
          </cell>
          <cell r="V150">
            <v>0.17</v>
          </cell>
          <cell r="W150">
            <v>0.17</v>
          </cell>
          <cell r="X150">
            <v>0.17</v>
          </cell>
          <cell r="Y150">
            <v>0.17</v>
          </cell>
          <cell r="Z150">
            <v>0.17</v>
          </cell>
          <cell r="AA150">
            <v>0.17</v>
          </cell>
          <cell r="AB150">
            <v>0.17</v>
          </cell>
          <cell r="AC150">
            <v>0.17</v>
          </cell>
          <cell r="AD150">
            <v>0.17</v>
          </cell>
          <cell r="AE150">
            <v>0.17</v>
          </cell>
          <cell r="AF150">
            <v>0.17</v>
          </cell>
          <cell r="AG150">
            <v>0.17</v>
          </cell>
          <cell r="AH150">
            <v>0.17</v>
          </cell>
          <cell r="AI150">
            <v>0.17</v>
          </cell>
          <cell r="AJ150">
            <v>0.17</v>
          </cell>
        </row>
        <row r="151">
          <cell r="I151" t="str">
            <v>Other</v>
          </cell>
          <cell r="M151">
            <v>5.0340000000000007</v>
          </cell>
          <cell r="N151">
            <v>8.3389999999999986</v>
          </cell>
          <cell r="O151">
            <v>17.852</v>
          </cell>
          <cell r="P151">
            <v>22.241000000000003</v>
          </cell>
          <cell r="Q151">
            <v>12.663</v>
          </cell>
          <cell r="R151">
            <v>12.315999999999999</v>
          </cell>
          <cell r="S151">
            <v>12.315999999999999</v>
          </cell>
          <cell r="T151">
            <v>12.315999999999999</v>
          </cell>
          <cell r="U151">
            <v>12.315999999999999</v>
          </cell>
          <cell r="V151">
            <v>12.315999999999999</v>
          </cell>
          <cell r="W151">
            <v>12.315999999999999</v>
          </cell>
          <cell r="X151">
            <v>12.315999999999999</v>
          </cell>
          <cell r="Y151">
            <v>12.315999999999999</v>
          </cell>
          <cell r="Z151">
            <v>12.315999999999999</v>
          </cell>
          <cell r="AA151">
            <v>12.315999999999999</v>
          </cell>
          <cell r="AB151">
            <v>12.315999999999999</v>
          </cell>
          <cell r="AC151">
            <v>12.315999999999999</v>
          </cell>
          <cell r="AD151">
            <v>12.315999999999999</v>
          </cell>
          <cell r="AE151">
            <v>12.315999999999999</v>
          </cell>
          <cell r="AF151">
            <v>12.315999999999999</v>
          </cell>
          <cell r="AG151">
            <v>12.315999999999999</v>
          </cell>
          <cell r="AH151">
            <v>12.315999999999999</v>
          </cell>
          <cell r="AI151">
            <v>12.315999999999999</v>
          </cell>
          <cell r="AJ151">
            <v>12.315999999999999</v>
          </cell>
        </row>
        <row r="152">
          <cell r="I152" t="str">
            <v>y/y Growth - %</v>
          </cell>
          <cell r="M152" t="str">
            <v>NA</v>
          </cell>
          <cell r="N152">
            <v>0.65653555820421095</v>
          </cell>
          <cell r="O152">
            <v>1.1407842666986454</v>
          </cell>
          <cell r="P152">
            <v>0.24585480618418121</v>
          </cell>
          <cell r="Q152">
            <v>-0.43064610404208448</v>
          </cell>
          <cell r="R152">
            <v>-2.7402669193714035E-2</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row>
        <row r="153">
          <cell r="I153" t="str">
            <v>Total US</v>
          </cell>
          <cell r="M153">
            <v>218.399</v>
          </cell>
          <cell r="N153">
            <v>248.31999999999994</v>
          </cell>
          <cell r="O153">
            <v>336.17100000000005</v>
          </cell>
          <cell r="P153">
            <v>408.76300000000003</v>
          </cell>
          <cell r="Q153">
            <v>464.67199999999991</v>
          </cell>
          <cell r="R153">
            <v>510.44530250000025</v>
          </cell>
          <cell r="S153">
            <v>544.15641128600009</v>
          </cell>
          <cell r="T153">
            <v>582.98927010500006</v>
          </cell>
          <cell r="U153">
            <v>617.88413053969714</v>
          </cell>
          <cell r="V153">
            <v>647.24809097962236</v>
          </cell>
          <cell r="W153">
            <v>678.49451789849672</v>
          </cell>
          <cell r="X153">
            <v>705.66434423789815</v>
          </cell>
          <cell r="Y153">
            <v>733.94448448393155</v>
          </cell>
          <cell r="Z153">
            <v>763.38040963124945</v>
          </cell>
          <cell r="AA153">
            <v>794.01945714401825</v>
          </cell>
          <cell r="AB153">
            <v>825.91090775803627</v>
          </cell>
          <cell r="AC153">
            <v>859.1060654513866</v>
          </cell>
          <cell r="AD153">
            <v>893.65834071470715</v>
          </cell>
          <cell r="AE153">
            <v>929.62333725759743</v>
          </cell>
          <cell r="AF153">
            <v>967.05894229334706</v>
          </cell>
          <cell r="AG153">
            <v>1006.0254205500717</v>
          </cell>
          <cell r="AH153">
            <v>1046.5855121624897</v>
          </cell>
          <cell r="AI153">
            <v>1088.8045346049732</v>
          </cell>
          <cell r="AJ153">
            <v>1132.7504888331757</v>
          </cell>
        </row>
        <row r="154">
          <cell r="I154" t="str">
            <v>y/y Growth - %</v>
          </cell>
          <cell r="M154" t="str">
            <v>NA</v>
          </cell>
          <cell r="N154">
            <v>0.1370015430473579</v>
          </cell>
          <cell r="O154">
            <v>0.35378141108247485</v>
          </cell>
          <cell r="P154">
            <v>0.21593772217115692</v>
          </cell>
          <cell r="Q154">
            <v>0.13677607806968806</v>
          </cell>
          <cell r="R154">
            <v>9.8506693969079961E-2</v>
          </cell>
          <cell r="S154">
            <v>6.6042548772402121E-2</v>
          </cell>
          <cell r="T154">
            <v>7.1363413190752567E-2</v>
          </cell>
          <cell r="U154">
            <v>5.9855064619649401E-2</v>
          </cell>
          <cell r="V154">
            <v>4.7523409306979625E-2</v>
          </cell>
          <cell r="W154">
            <v>4.8275811631336429E-2</v>
          </cell>
          <cell r="X154">
            <v>4.0044282779991613E-2</v>
          </cell>
          <cell r="Y154">
            <v>4.007590928598681E-2</v>
          </cell>
          <cell r="Z154">
            <v>4.0106473676977838E-2</v>
          </cell>
          <cell r="AA154">
            <v>4.0136014922846908E-2</v>
          </cell>
          <cell r="AB154">
            <v>4.016457068788637E-2</v>
          </cell>
          <cell r="AC154">
            <v>4.0192177366272785E-2</v>
          </cell>
          <cell r="AD154">
            <v>4.0218870117237904E-2</v>
          </cell>
          <cell r="AE154">
            <v>4.0244682899873263E-2</v>
          </cell>
          <cell r="AF154">
            <v>4.0269648507518241E-2</v>
          </cell>
          <cell r="AG154">
            <v>4.0293798601682917E-2</v>
          </cell>
          <cell r="AH154">
            <v>4.0317163745465567E-2</v>
          </cell>
          <cell r="AI154">
            <v>4.0339773436428583E-2</v>
          </cell>
          <cell r="AJ154">
            <v>4.0361656138901303E-2</v>
          </cell>
        </row>
        <row r="156">
          <cell r="I156" t="str">
            <v>Europe</v>
          </cell>
        </row>
        <row r="157">
          <cell r="I157" t="str">
            <v>Agency (Booking.com &amp; Other)</v>
          </cell>
          <cell r="M157">
            <v>179.24549999999999</v>
          </cell>
          <cell r="N157">
            <v>360.28174999999999</v>
          </cell>
          <cell r="O157">
            <v>572.21362499999998</v>
          </cell>
          <cell r="P157">
            <v>743.87497125000004</v>
          </cell>
          <cell r="Q157">
            <v>1150.3426637500002</v>
          </cell>
          <cell r="R157">
            <v>1876.8907024289108</v>
          </cell>
          <cell r="S157">
            <v>2349.591381183297</v>
          </cell>
          <cell r="T157">
            <v>2798.2466371560422</v>
          </cell>
          <cell r="U157">
            <v>3134.0362336147673</v>
          </cell>
          <cell r="V157">
            <v>3400.4293134720224</v>
          </cell>
          <cell r="W157">
            <v>3638.4593654150644</v>
          </cell>
          <cell r="X157">
            <v>3856.7669273399683</v>
          </cell>
          <cell r="Y157">
            <v>4039.9633563886173</v>
          </cell>
          <cell r="Z157">
            <v>4221.7617074261052</v>
          </cell>
          <cell r="AA157">
            <v>4411.7409842602792</v>
          </cell>
          <cell r="AB157">
            <v>4610.2693285519908</v>
          </cell>
          <cell r="AC157">
            <v>4817.7314483368309</v>
          </cell>
          <cell r="AD157">
            <v>5034.5293635119879</v>
          </cell>
          <cell r="AE157">
            <v>5261.0831848700273</v>
          </cell>
          <cell r="AF157">
            <v>5497.8319281891781</v>
          </cell>
          <cell r="AG157">
            <v>5745.2343649576915</v>
          </cell>
          <cell r="AH157">
            <v>6003.7699113807867</v>
          </cell>
          <cell r="AI157">
            <v>6273.9395573929214</v>
          </cell>
          <cell r="AJ157">
            <v>6556.2668374756022</v>
          </cell>
        </row>
        <row r="158">
          <cell r="I158" t="str">
            <v>y/y Growth - %</v>
          </cell>
          <cell r="M158" t="str">
            <v>NA</v>
          </cell>
          <cell r="N158">
            <v>1.0099904879062516</v>
          </cell>
          <cell r="O158">
            <v>0.58823927384609398</v>
          </cell>
          <cell r="P158">
            <v>0.29999520939404412</v>
          </cell>
          <cell r="Q158">
            <v>0.54641936912728206</v>
          </cell>
          <cell r="R158">
            <v>0.63159270848082594</v>
          </cell>
          <cell r="S158">
            <v>0.25185306642664784</v>
          </cell>
          <cell r="T158">
            <v>0.19095033271138151</v>
          </cell>
          <cell r="U158">
            <v>0.12000000000000011</v>
          </cell>
          <cell r="V158">
            <v>8.4999999999999964E-2</v>
          </cell>
          <cell r="W158">
            <v>7.0000000000000062E-2</v>
          </cell>
          <cell r="X158">
            <v>6.0000000000000053E-2</v>
          </cell>
          <cell r="Y158">
            <v>4.7500000000000098E-2</v>
          </cell>
          <cell r="Z158">
            <v>4.4999999999999929E-2</v>
          </cell>
          <cell r="AA158">
            <v>4.4999999999999929E-2</v>
          </cell>
          <cell r="AB158">
            <v>4.4999999999999707E-2</v>
          </cell>
          <cell r="AC158">
            <v>4.5000000000000151E-2</v>
          </cell>
          <cell r="AD158">
            <v>4.4999999999999929E-2</v>
          </cell>
          <cell r="AE158">
            <v>4.4999999999999929E-2</v>
          </cell>
          <cell r="AF158">
            <v>4.4999999999999929E-2</v>
          </cell>
          <cell r="AG158">
            <v>4.5000000000000151E-2</v>
          </cell>
          <cell r="AH158">
            <v>4.4999999999999929E-2</v>
          </cell>
          <cell r="AI158">
            <v>4.4999999999999929E-2</v>
          </cell>
          <cell r="AJ158">
            <v>4.4999999999999929E-2</v>
          </cell>
        </row>
        <row r="159">
          <cell r="I159" t="str">
            <v>Merchant (TravelJigsaw)</v>
          </cell>
          <cell r="M159">
            <v>0</v>
          </cell>
          <cell r="N159">
            <v>0</v>
          </cell>
          <cell r="O159">
            <v>0</v>
          </cell>
          <cell r="P159">
            <v>0</v>
          </cell>
          <cell r="Q159">
            <v>33.245999999999995</v>
          </cell>
          <cell r="R159">
            <v>87.944959575394833</v>
          </cell>
          <cell r="S159">
            <v>136.60708314611165</v>
          </cell>
          <cell r="T159">
            <v>183.62439129385476</v>
          </cell>
          <cell r="U159">
            <v>219.11135230794801</v>
          </cell>
          <cell r="V159">
            <v>242.63177995682381</v>
          </cell>
          <cell r="W159">
            <v>264.46864015293795</v>
          </cell>
          <cell r="X159">
            <v>282.98144496364364</v>
          </cell>
          <cell r="Y159">
            <v>297.13051721182586</v>
          </cell>
          <cell r="Z159">
            <v>311.98704307241718</v>
          </cell>
          <cell r="AA159">
            <v>327.58639522603806</v>
          </cell>
          <cell r="AB159">
            <v>343.96571498733999</v>
          </cell>
          <cell r="AC159">
            <v>361.16400073670701</v>
          </cell>
          <cell r="AD159">
            <v>379.2222007735424</v>
          </cell>
          <cell r="AE159">
            <v>398.18331081221953</v>
          </cell>
          <cell r="AF159">
            <v>418.09247635283054</v>
          </cell>
          <cell r="AG159">
            <v>438.99710017047215</v>
          </cell>
          <cell r="AH159">
            <v>460.94695517899572</v>
          </cell>
          <cell r="AI159">
            <v>483.99430293794558</v>
          </cell>
          <cell r="AJ159">
            <v>508.19401808484281</v>
          </cell>
        </row>
        <row r="160">
          <cell r="I160" t="str">
            <v>y/y Growth - %</v>
          </cell>
          <cell r="M160" t="str">
            <v>NA</v>
          </cell>
          <cell r="N160" t="str">
            <v>NA</v>
          </cell>
          <cell r="O160" t="str">
            <v>NA</v>
          </cell>
          <cell r="P160" t="str">
            <v>NA</v>
          </cell>
          <cell r="Q160" t="str">
            <v>NA</v>
          </cell>
          <cell r="R160">
            <v>1.6452794193405174</v>
          </cell>
          <cell r="S160">
            <v>0.55332475909547707</v>
          </cell>
          <cell r="T160">
            <v>0.3441791381890098</v>
          </cell>
          <cell r="U160">
            <v>0.19325842696629203</v>
          </cell>
          <cell r="V160">
            <v>0.10734463276836159</v>
          </cell>
          <cell r="W160">
            <v>9.000000000000008E-2</v>
          </cell>
          <cell r="X160">
            <v>7.0000000000000062E-2</v>
          </cell>
          <cell r="Y160">
            <v>5.0000000000000044E-2</v>
          </cell>
          <cell r="Z160">
            <v>5.0000000000000044E-2</v>
          </cell>
          <cell r="AA160">
            <v>5.0000000000000044E-2</v>
          </cell>
          <cell r="AB160">
            <v>5.0000000000000044E-2</v>
          </cell>
          <cell r="AC160">
            <v>5.0000000000000044E-2</v>
          </cell>
          <cell r="AD160">
            <v>5.0000000000000044E-2</v>
          </cell>
          <cell r="AE160">
            <v>5.0000000000000044E-2</v>
          </cell>
          <cell r="AF160">
            <v>5.0000000000000044E-2</v>
          </cell>
          <cell r="AG160">
            <v>5.0000000000000266E-2</v>
          </cell>
          <cell r="AH160">
            <v>4.9999999999999822E-2</v>
          </cell>
          <cell r="AI160">
            <v>5.0000000000000044E-2</v>
          </cell>
          <cell r="AJ160">
            <v>4.9999999999999822E-2</v>
          </cell>
        </row>
        <row r="161">
          <cell r="I161" t="str">
            <v>Total Europe</v>
          </cell>
          <cell r="M161">
            <v>179.24549999999999</v>
          </cell>
          <cell r="N161">
            <v>360.28174999999999</v>
          </cell>
          <cell r="O161">
            <v>572.21362499999998</v>
          </cell>
          <cell r="P161">
            <v>743.87497125000004</v>
          </cell>
          <cell r="Q161">
            <v>1183.5886637500003</v>
          </cell>
          <cell r="R161">
            <v>1964.8356620043057</v>
          </cell>
          <cell r="S161">
            <v>2486.1984643294086</v>
          </cell>
          <cell r="T161">
            <v>2981.871028449897</v>
          </cell>
          <cell r="U161">
            <v>3353.1475859227153</v>
          </cell>
          <cell r="V161">
            <v>3643.0610934288461</v>
          </cell>
          <cell r="W161">
            <v>3902.9280055680024</v>
          </cell>
          <cell r="X161">
            <v>4139.7483723036121</v>
          </cell>
          <cell r="Y161">
            <v>4337.0938736004427</v>
          </cell>
          <cell r="Z161">
            <v>4533.748750498522</v>
          </cell>
          <cell r="AA161">
            <v>4739.3273794863171</v>
          </cell>
          <cell r="AB161">
            <v>4954.2350435393309</v>
          </cell>
          <cell r="AC161">
            <v>5178.8954490735377</v>
          </cell>
          <cell r="AD161">
            <v>5413.7515642855305</v>
          </cell>
          <cell r="AE161">
            <v>5659.2664956822464</v>
          </cell>
          <cell r="AF161">
            <v>5915.9244045420091</v>
          </cell>
          <cell r="AG161">
            <v>6184.231465128164</v>
          </cell>
          <cell r="AH161">
            <v>6464.7168665597819</v>
          </cell>
          <cell r="AI161">
            <v>6757.933860330867</v>
          </cell>
          <cell r="AJ161">
            <v>7064.4608555604445</v>
          </cell>
        </row>
        <row r="162">
          <cell r="I162" t="str">
            <v>y/y Growth - %</v>
          </cell>
          <cell r="M162" t="str">
            <v>NA</v>
          </cell>
          <cell r="N162">
            <v>1.0099904879062516</v>
          </cell>
          <cell r="O162">
            <v>0.58823927384609398</v>
          </cell>
          <cell r="P162">
            <v>0.29999520939404412</v>
          </cell>
          <cell r="Q162">
            <v>0.59111236362894393</v>
          </cell>
          <cell r="R162">
            <v>0.66006630697108637</v>
          </cell>
          <cell r="S162">
            <v>0.26534677296790643</v>
          </cell>
          <cell r="T162">
            <v>0.19936966868579575</v>
          </cell>
          <cell r="U162">
            <v>0.12451127293249287</v>
          </cell>
          <cell r="V162">
            <v>8.6460109517175532E-2</v>
          </cell>
          <cell r="W162">
            <v>7.1332021471693041E-2</v>
          </cell>
          <cell r="X162">
            <v>6.067761598414223E-2</v>
          </cell>
          <cell r="Y162">
            <v>4.7670892901883199E-2</v>
          </cell>
          <cell r="Z162">
            <v>4.5342545637552911E-2</v>
          </cell>
          <cell r="AA162">
            <v>4.5344071826915799E-2</v>
          </cell>
          <cell r="AB162">
            <v>4.534560431153567E-2</v>
          </cell>
          <cell r="AC162">
            <v>4.5347143112876687E-2</v>
          </cell>
          <cell r="AD162">
            <v>4.5348688252435432E-2</v>
          </cell>
          <cell r="AE162">
            <v>4.5350239751741794E-2</v>
          </cell>
          <cell r="AF162">
            <v>4.5351797632357638E-2</v>
          </cell>
          <cell r="AG162">
            <v>4.535336191587569E-2</v>
          </cell>
          <cell r="AH162">
            <v>4.5354932623920652E-2</v>
          </cell>
          <cell r="AI162">
            <v>4.5356509778149201E-2</v>
          </cell>
          <cell r="AJ162">
            <v>4.5358093400246657E-2</v>
          </cell>
        </row>
        <row r="164">
          <cell r="I164" t="str">
            <v>Asia</v>
          </cell>
        </row>
        <row r="165">
          <cell r="I165" t="str">
            <v>Agency (Booking.com)</v>
          </cell>
          <cell r="M165">
            <v>2.2544999999999997</v>
          </cell>
          <cell r="N165">
            <v>5.6362499999999995</v>
          </cell>
          <cell r="O165">
            <v>12.963374999999999</v>
          </cell>
          <cell r="P165">
            <v>26.102268749999993</v>
          </cell>
          <cell r="Q165">
            <v>57.348056249999985</v>
          </cell>
          <cell r="R165">
            <v>128.96590377004338</v>
          </cell>
          <cell r="S165">
            <v>223.23237642387363</v>
          </cell>
          <cell r="T165">
            <v>308.44109681166839</v>
          </cell>
          <cell r="U165">
            <v>365.093543164832</v>
          </cell>
          <cell r="V165">
            <v>408.90476834461191</v>
          </cell>
          <cell r="W165">
            <v>445.70619749562701</v>
          </cell>
          <cell r="X165">
            <v>476.90563132032088</v>
          </cell>
          <cell r="Y165">
            <v>505.51996919954018</v>
          </cell>
          <cell r="Z165">
            <v>535.85116735151269</v>
          </cell>
          <cell r="AA165">
            <v>568.00223739260343</v>
          </cell>
          <cell r="AB165">
            <v>602.08237163615968</v>
          </cell>
          <cell r="AC165">
            <v>638.20731393432925</v>
          </cell>
          <cell r="AD165">
            <v>676.49975277038902</v>
          </cell>
          <cell r="AE165">
            <v>717.08973793661232</v>
          </cell>
          <cell r="AF165">
            <v>760.11512221280907</v>
          </cell>
          <cell r="AG165">
            <v>805.7220295455777</v>
          </cell>
          <cell r="AH165">
            <v>854.06535131831242</v>
          </cell>
          <cell r="AI165">
            <v>905.30927239741118</v>
          </cell>
          <cell r="AJ165">
            <v>959.62782874125594</v>
          </cell>
        </row>
        <row r="166">
          <cell r="I166" t="str">
            <v>y/y Growth - %</v>
          </cell>
          <cell r="M166" t="str">
            <v>NA</v>
          </cell>
          <cell r="N166">
            <v>1.5</v>
          </cell>
          <cell r="O166">
            <v>1.3000000000000003</v>
          </cell>
          <cell r="P166">
            <v>1.013539587491683</v>
          </cell>
          <cell r="Q166">
            <v>1.1970525550580731</v>
          </cell>
          <cell r="R166">
            <v>1.2488278104463815</v>
          </cell>
          <cell r="S166">
            <v>0.73094104641731494</v>
          </cell>
          <cell r="T166">
            <v>0.38170413159962258</v>
          </cell>
          <cell r="U166">
            <v>0.18367346938775531</v>
          </cell>
          <cell r="V166">
            <v>0.12000000000000011</v>
          </cell>
          <cell r="W166">
            <v>9.000000000000008E-2</v>
          </cell>
          <cell r="X166">
            <v>7.0000000000000062E-2</v>
          </cell>
          <cell r="Y166">
            <v>6.0000000000000053E-2</v>
          </cell>
          <cell r="Z166">
            <v>6.0000000000000275E-2</v>
          </cell>
          <cell r="AA166">
            <v>6.0000000000000053E-2</v>
          </cell>
          <cell r="AB166">
            <v>6.0000000000000053E-2</v>
          </cell>
          <cell r="AC166">
            <v>6.0000000000000053E-2</v>
          </cell>
          <cell r="AD166">
            <v>6.0000000000000053E-2</v>
          </cell>
          <cell r="AE166">
            <v>5.9999999999999831E-2</v>
          </cell>
          <cell r="AF166">
            <v>6.0000000000000053E-2</v>
          </cell>
          <cell r="AG166">
            <v>6.0000000000000053E-2</v>
          </cell>
          <cell r="AH166">
            <v>6.0000000000000053E-2</v>
          </cell>
          <cell r="AI166">
            <v>6.0000000000000053E-2</v>
          </cell>
          <cell r="AJ166">
            <v>6.0000000000000053E-2</v>
          </cell>
        </row>
        <row r="167">
          <cell r="I167" t="str">
            <v>Merchant (Agoda)</v>
          </cell>
          <cell r="M167">
            <v>0</v>
          </cell>
          <cell r="N167">
            <v>2.4119999999999999</v>
          </cell>
          <cell r="O167">
            <v>21.366</v>
          </cell>
          <cell r="P167">
            <v>44.091360000000002</v>
          </cell>
          <cell r="Q167">
            <v>97.410780000000003</v>
          </cell>
          <cell r="R167">
            <v>206.58719696853626</v>
          </cell>
          <cell r="S167">
            <v>335.94444167496067</v>
          </cell>
          <cell r="T167">
            <v>435.54016208957808</v>
          </cell>
          <cell r="U167">
            <v>511.05010255072631</v>
          </cell>
          <cell r="V167">
            <v>545.6975671304366</v>
          </cell>
          <cell r="W167">
            <v>583.89639682956715</v>
          </cell>
          <cell r="X167">
            <v>618.93018063934119</v>
          </cell>
          <cell r="Y167">
            <v>649.87668967130833</v>
          </cell>
          <cell r="Z167">
            <v>682.37052415487381</v>
          </cell>
          <cell r="AA167">
            <v>716.4890503626176</v>
          </cell>
          <cell r="AB167">
            <v>752.3135028807485</v>
          </cell>
          <cell r="AC167">
            <v>789.92917802478598</v>
          </cell>
          <cell r="AD167">
            <v>829.42563692602528</v>
          </cell>
          <cell r="AE167">
            <v>870.89691877232656</v>
          </cell>
          <cell r="AF167">
            <v>914.44176471094283</v>
          </cell>
          <cell r="AG167">
            <v>960.16385294649001</v>
          </cell>
          <cell r="AH167">
            <v>1008.1720455938145</v>
          </cell>
          <cell r="AI167">
            <v>1058.5806478735053</v>
          </cell>
          <cell r="AJ167">
            <v>1111.5096802671806</v>
          </cell>
        </row>
        <row r="168">
          <cell r="I168" t="str">
            <v>y/y Growth - %</v>
          </cell>
          <cell r="M168" t="str">
            <v>NA</v>
          </cell>
          <cell r="N168" t="str">
            <v>NA</v>
          </cell>
          <cell r="O168">
            <v>7.8582089552238799</v>
          </cell>
          <cell r="P168">
            <v>1.0636225779275486</v>
          </cell>
          <cell r="Q168">
            <v>1.2092940657761519</v>
          </cell>
          <cell r="R168">
            <v>1.120783726077712</v>
          </cell>
          <cell r="S168">
            <v>0.62616293073634099</v>
          </cell>
          <cell r="T168">
            <v>0.29646485567092706</v>
          </cell>
          <cell r="U168">
            <v>0.17337078651685411</v>
          </cell>
          <cell r="V168">
            <v>6.7796610169491567E-2</v>
          </cell>
          <cell r="W168">
            <v>7.0000000000000062E-2</v>
          </cell>
          <cell r="X168">
            <v>6.0000000000000053E-2</v>
          </cell>
          <cell r="Y168">
            <v>5.0000000000000044E-2</v>
          </cell>
          <cell r="Z168">
            <v>5.0000000000000044E-2</v>
          </cell>
          <cell r="AA168">
            <v>5.0000000000000266E-2</v>
          </cell>
          <cell r="AB168">
            <v>5.0000000000000044E-2</v>
          </cell>
          <cell r="AC168">
            <v>5.0000000000000044E-2</v>
          </cell>
          <cell r="AD168">
            <v>5.0000000000000044E-2</v>
          </cell>
          <cell r="AE168">
            <v>5.0000000000000044E-2</v>
          </cell>
          <cell r="AF168">
            <v>5.0000000000000044E-2</v>
          </cell>
          <cell r="AG168">
            <v>5.0000000000000044E-2</v>
          </cell>
          <cell r="AH168">
            <v>5.0000000000000044E-2</v>
          </cell>
          <cell r="AI168">
            <v>5.0000000000000044E-2</v>
          </cell>
          <cell r="AJ168">
            <v>5.0000000000000044E-2</v>
          </cell>
        </row>
        <row r="169">
          <cell r="I169" t="str">
            <v>Total Asia Pacific</v>
          </cell>
          <cell r="M169">
            <v>2.2544999999999997</v>
          </cell>
          <cell r="N169">
            <v>8.0482499999999995</v>
          </cell>
          <cell r="O169">
            <v>34.329374999999999</v>
          </cell>
          <cell r="P169">
            <v>70.193628749999988</v>
          </cell>
          <cell r="Q169">
            <v>154.75883625</v>
          </cell>
          <cell r="R169">
            <v>335.55310073857964</v>
          </cell>
          <cell r="S169">
            <v>559.17681809883425</v>
          </cell>
          <cell r="T169">
            <v>743.98125890124652</v>
          </cell>
          <cell r="U169">
            <v>876.14364571555825</v>
          </cell>
          <cell r="V169">
            <v>954.60233547504845</v>
          </cell>
          <cell r="W169">
            <v>1029.6025943251941</v>
          </cell>
          <cell r="X169">
            <v>1095.8358119596621</v>
          </cell>
          <cell r="Y169">
            <v>1155.3966588708486</v>
          </cell>
          <cell r="Z169">
            <v>1218.2216915063864</v>
          </cell>
          <cell r="AA169">
            <v>1284.491287755221</v>
          </cell>
          <cell r="AB169">
            <v>1354.3958745169082</v>
          </cell>
          <cell r="AC169">
            <v>1428.1364919591151</v>
          </cell>
          <cell r="AD169">
            <v>1505.9253896964142</v>
          </cell>
          <cell r="AE169">
            <v>1587.9866567089389</v>
          </cell>
          <cell r="AF169">
            <v>1674.5568869237518</v>
          </cell>
          <cell r="AG169">
            <v>1765.8858824920676</v>
          </cell>
          <cell r="AH169">
            <v>1862.2373969121268</v>
          </cell>
          <cell r="AI169">
            <v>1963.8899202709165</v>
          </cell>
          <cell r="AJ169">
            <v>2071.1375090084366</v>
          </cell>
        </row>
        <row r="170">
          <cell r="I170" t="str">
            <v>y/y Growth - %</v>
          </cell>
          <cell r="M170" t="str">
            <v>NA</v>
          </cell>
          <cell r="N170">
            <v>2.5698602794411181</v>
          </cell>
          <cell r="O170">
            <v>3.2654459043891535</v>
          </cell>
          <cell r="P170">
            <v>1.0447103610246322</v>
          </cell>
          <cell r="Q170">
            <v>1.2047419260968186</v>
          </cell>
          <cell r="R170">
            <v>1.1682322565189205</v>
          </cell>
          <cell r="S170">
            <v>0.66643317218061937</v>
          </cell>
          <cell r="T170">
            <v>0.33049374512830432</v>
          </cell>
          <cell r="U170">
            <v>0.17764209142780918</v>
          </cell>
          <cell r="V170">
            <v>8.9550030001543712E-2</v>
          </cell>
          <cell r="W170">
            <v>7.8567017974895847E-2</v>
          </cell>
          <cell r="X170">
            <v>6.4328914864358433E-2</v>
          </cell>
          <cell r="Y170">
            <v>5.4351980708382763E-2</v>
          </cell>
          <cell r="Z170">
            <v>5.437529367354732E-2</v>
          </cell>
          <cell r="AA170">
            <v>5.4398634264088086E-2</v>
          </cell>
          <cell r="AB170">
            <v>5.4422001478774185E-2</v>
          </cell>
          <cell r="AC170">
            <v>5.4445394311695594E-2</v>
          </cell>
          <cell r="AD170">
            <v>5.4468811752431678E-2</v>
          </cell>
          <cell r="AE170">
            <v>5.4492252786220607E-2</v>
          </cell>
          <cell r="AF170">
            <v>5.4515716394133662E-2</v>
          </cell>
          <cell r="AG170">
            <v>5.4539201553249095E-2</v>
          </cell>
          <cell r="AH170">
            <v>5.4562707236826213E-2</v>
          </cell>
          <cell r="AI170">
            <v>5.4586232414484348E-2</v>
          </cell>
          <cell r="AJ170">
            <v>5.4609776052379377E-2</v>
          </cell>
        </row>
        <row r="172">
          <cell r="I172" t="str">
            <v>Latin America &amp; RoW</v>
          </cell>
        </row>
        <row r="173">
          <cell r="I173" t="str">
            <v>Agency (Booking.com)</v>
          </cell>
          <cell r="M173">
            <v>1.2</v>
          </cell>
          <cell r="N173">
            <v>4.17</v>
          </cell>
          <cell r="O173">
            <v>13.256999999999998</v>
          </cell>
          <cell r="P173">
            <v>37.931399999999996</v>
          </cell>
          <cell r="Q173">
            <v>105.95249999999999</v>
          </cell>
          <cell r="R173">
            <v>235.45999749118889</v>
          </cell>
          <cell r="S173">
            <v>394.10602986735591</v>
          </cell>
          <cell r="T173">
            <v>542.84659826613279</v>
          </cell>
          <cell r="U173">
            <v>657.73673447451301</v>
          </cell>
          <cell r="V173">
            <v>756.39724464568985</v>
          </cell>
          <cell r="W173">
            <v>832.03696911025895</v>
          </cell>
          <cell r="X173">
            <v>898.59992663907974</v>
          </cell>
          <cell r="Y173">
            <v>961.50192150381542</v>
          </cell>
          <cell r="Z173">
            <v>1028.8070560090825</v>
          </cell>
          <cell r="AA173">
            <v>1100.8235499297182</v>
          </cell>
          <cell r="AB173">
            <v>1177.8811984247986</v>
          </cell>
          <cell r="AC173">
            <v>1260.3328823145346</v>
          </cell>
          <cell r="AD173">
            <v>1348.556184076552</v>
          </cell>
          <cell r="AE173">
            <v>1442.9551169619108</v>
          </cell>
          <cell r="AF173">
            <v>1543.9619751492446</v>
          </cell>
          <cell r="AG173">
            <v>1652.0393134096917</v>
          </cell>
          <cell r="AH173">
            <v>1767.6820653483703</v>
          </cell>
          <cell r="AI173">
            <v>1891.4198099227563</v>
          </cell>
          <cell r="AJ173">
            <v>2023.8191966173492</v>
          </cell>
        </row>
        <row r="174">
          <cell r="I174" t="str">
            <v>y/y Growth - %</v>
          </cell>
          <cell r="M174" t="str">
            <v>NA</v>
          </cell>
          <cell r="N174">
            <v>2.4750000000000001</v>
          </cell>
          <cell r="O174">
            <v>2.1791366906474816</v>
          </cell>
          <cell r="P174">
            <v>1.861235573659199</v>
          </cell>
          <cell r="Q174">
            <v>1.7932662648887199</v>
          </cell>
          <cell r="R174">
            <v>1.2223165804600074</v>
          </cell>
          <cell r="S174">
            <v>0.67377063648403257</v>
          </cell>
          <cell r="T174">
            <v>0.37741256699076242</v>
          </cell>
          <cell r="U174">
            <v>0.21164383561643851</v>
          </cell>
          <cell r="V174">
            <v>0.14999999999999991</v>
          </cell>
          <cell r="W174">
            <v>0.10000000000000009</v>
          </cell>
          <cell r="X174">
            <v>8.0000000000000071E-2</v>
          </cell>
          <cell r="Y174">
            <v>7.0000000000000062E-2</v>
          </cell>
          <cell r="Z174">
            <v>7.0000000000000062E-2</v>
          </cell>
          <cell r="AA174">
            <v>6.999999999999984E-2</v>
          </cell>
          <cell r="AB174">
            <v>7.0000000000000062E-2</v>
          </cell>
          <cell r="AC174">
            <v>7.0000000000000062E-2</v>
          </cell>
          <cell r="AD174">
            <v>7.0000000000000062E-2</v>
          </cell>
          <cell r="AE174">
            <v>7.0000000000000062E-2</v>
          </cell>
          <cell r="AF174">
            <v>7.0000000000000062E-2</v>
          </cell>
          <cell r="AG174">
            <v>7.0000000000000062E-2</v>
          </cell>
          <cell r="AH174">
            <v>7.0000000000000062E-2</v>
          </cell>
          <cell r="AI174">
            <v>7.0000000000000062E-2</v>
          </cell>
          <cell r="AJ174">
            <v>7.0000000000000062E-2</v>
          </cell>
        </row>
        <row r="176">
          <cell r="I176" t="str">
            <v>Agency Check</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row>
        <row r="177">
          <cell r="I177" t="str">
            <v>Merchant Check</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row>
        <row r="178">
          <cell r="I178" t="str">
            <v>Geography US Check</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row>
        <row r="179">
          <cell r="I179" t="str">
            <v>Geography International Check</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row>
        <row r="181">
          <cell r="I181" t="str">
            <v>Gross bookings by type</v>
          </cell>
        </row>
        <row r="182">
          <cell r="I182" t="str">
            <v>Air</v>
          </cell>
        </row>
        <row r="183">
          <cell r="I183" t="str">
            <v>Airline Tickets Sold</v>
          </cell>
          <cell r="M183">
            <v>2.8029999999999999</v>
          </cell>
          <cell r="N183">
            <v>2.9350000000000001</v>
          </cell>
          <cell r="O183">
            <v>4.8520000000000003</v>
          </cell>
          <cell r="P183">
            <v>5.9089999999999989</v>
          </cell>
          <cell r="Q183">
            <v>5.9130000000000003</v>
          </cell>
        </row>
        <row r="184">
          <cell r="I184" t="str">
            <v>y/y Growth - %</v>
          </cell>
          <cell r="M184" t="str">
            <v>NA</v>
          </cell>
          <cell r="N184">
            <v>4.7092400998929751E-2</v>
          </cell>
          <cell r="O184">
            <v>0.65315161839863722</v>
          </cell>
          <cell r="P184">
            <v>0.21784830997526772</v>
          </cell>
          <cell r="Q184">
            <v>6.7693349128461477E-4</v>
          </cell>
        </row>
        <row r="185">
          <cell r="I185" t="str">
            <v>Average Domestic Airfare (ARC)</v>
          </cell>
          <cell r="M185">
            <v>319.56535103852724</v>
          </cell>
          <cell r="N185">
            <v>322.44977871279622</v>
          </cell>
          <cell r="O185">
            <v>340.23660215604372</v>
          </cell>
          <cell r="P185">
            <v>299.40969708328117</v>
          </cell>
          <cell r="Q185">
            <v>320.62406847498187</v>
          </cell>
        </row>
        <row r="186">
          <cell r="I186" t="str">
            <v>y/y Growth - %</v>
          </cell>
          <cell r="M186" t="str">
            <v>NA</v>
          </cell>
          <cell r="N186">
            <v>9.0260964303392477E-3</v>
          </cell>
          <cell r="O186">
            <v>5.5161530934372482E-2</v>
          </cell>
          <cell r="P186">
            <v>-0.11999562896539262</v>
          </cell>
          <cell r="Q186">
            <v>7.0853989026948172E-2</v>
          </cell>
        </row>
        <row r="187">
          <cell r="I187" t="str">
            <v>Air Gross Bookings</v>
          </cell>
          <cell r="M187">
            <v>895.74167896099186</v>
          </cell>
          <cell r="N187">
            <v>946.39010052205697</v>
          </cell>
          <cell r="O187">
            <v>1650.8279936611241</v>
          </cell>
          <cell r="P187">
            <v>1769.2119000651082</v>
          </cell>
          <cell r="Q187">
            <v>1895.8501168925677</v>
          </cell>
        </row>
        <row r="188">
          <cell r="I188" t="str">
            <v>y/y Growth - %</v>
          </cell>
          <cell r="M188" t="str">
            <v>NA</v>
          </cell>
          <cell r="N188">
            <v>5.6543557981821646E-2</v>
          </cell>
          <cell r="O188">
            <v>0.74434199253614142</v>
          </cell>
          <cell r="P188">
            <v>7.1711836035345033E-2</v>
          </cell>
          <cell r="Q188">
            <v>7.1578885956396165E-2</v>
          </cell>
        </row>
        <row r="189">
          <cell r="I189" t="str">
            <v>% of total bookings</v>
          </cell>
          <cell r="M189">
            <v>0.26982210973208876</v>
          </cell>
          <cell r="N189">
            <v>0.19596367356261232</v>
          </cell>
          <cell r="O189">
            <v>0.22308133691144669</v>
          </cell>
          <cell r="P189">
            <v>0.19003223609736522</v>
          </cell>
          <cell r="Q189">
            <v>0.13893210342997922</v>
          </cell>
        </row>
        <row r="190">
          <cell r="I190" t="str">
            <v>Air Gross Profit</v>
          </cell>
          <cell r="M190">
            <v>42.045000000000002</v>
          </cell>
          <cell r="N190">
            <v>44.024999999999999</v>
          </cell>
          <cell r="O190">
            <v>72.78</v>
          </cell>
          <cell r="P190">
            <v>74.324999999999989</v>
          </cell>
          <cell r="Q190">
            <v>59.13</v>
          </cell>
        </row>
        <row r="191">
          <cell r="I191" t="str">
            <v>Gross Profit margin (%)</v>
          </cell>
          <cell r="M191">
            <v>4.6938755879674762E-2</v>
          </cell>
          <cell r="N191">
            <v>4.6518872054678612E-2</v>
          </cell>
          <cell r="O191">
            <v>4.4086967436620786E-2</v>
          </cell>
          <cell r="P191">
            <v>4.2010230655392257E-2</v>
          </cell>
          <cell r="Q191">
            <v>3.1189174435855851E-2</v>
          </cell>
        </row>
        <row r="192">
          <cell r="I192" t="str">
            <v>% of total gross profit</v>
          </cell>
          <cell r="M192">
            <v>0.10482449470080955</v>
          </cell>
          <cell r="N192">
            <v>7.0914274668986185E-2</v>
          </cell>
          <cell r="O192">
            <v>7.6132016556987619E-2</v>
          </cell>
          <cell r="P192">
            <v>5.8952396287010322E-2</v>
          </cell>
          <cell r="Q192">
            <v>3.0974786429554757E-2</v>
          </cell>
        </row>
        <row r="193">
          <cell r="I193" t="str">
            <v>GDS fees per segment</v>
          </cell>
          <cell r="M193">
            <v>4</v>
          </cell>
          <cell r="N193">
            <v>4</v>
          </cell>
          <cell r="O193">
            <v>4</v>
          </cell>
          <cell r="P193">
            <v>4</v>
          </cell>
          <cell r="Q193">
            <v>4</v>
          </cell>
        </row>
        <row r="194">
          <cell r="I194" t="str">
            <v>Average segments</v>
          </cell>
          <cell r="M194">
            <v>2.5</v>
          </cell>
          <cell r="N194">
            <v>2.5</v>
          </cell>
          <cell r="O194">
            <v>2.5</v>
          </cell>
          <cell r="P194">
            <v>2.5</v>
          </cell>
          <cell r="Q194">
            <v>2.5</v>
          </cell>
        </row>
        <row r="195">
          <cell r="I195" t="str">
            <v>GDS fees per ticket</v>
          </cell>
          <cell r="M195">
            <v>10</v>
          </cell>
          <cell r="N195">
            <v>10</v>
          </cell>
          <cell r="O195">
            <v>10</v>
          </cell>
          <cell r="P195">
            <v>10</v>
          </cell>
          <cell r="Q195">
            <v>10</v>
          </cell>
        </row>
        <row r="196">
          <cell r="I196" t="str">
            <v>OTA fees per ticket</v>
          </cell>
          <cell r="M196">
            <v>5</v>
          </cell>
          <cell r="N196">
            <v>5</v>
          </cell>
          <cell r="O196">
            <v>0</v>
          </cell>
          <cell r="P196">
            <v>0</v>
          </cell>
          <cell r="Q196">
            <v>0</v>
          </cell>
        </row>
        <row r="198">
          <cell r="I198" t="str">
            <v>Hotel</v>
          </cell>
        </row>
        <row r="199">
          <cell r="I199" t="str">
            <v>Global Hotel Room Nights</v>
          </cell>
          <cell r="M199">
            <v>18.651</v>
          </cell>
          <cell r="N199">
            <v>27.777000000000001</v>
          </cell>
          <cell r="O199">
            <v>40.813999999999993</v>
          </cell>
          <cell r="P199">
            <v>60.912000000000006</v>
          </cell>
          <cell r="Q199">
            <v>92.762000000000015</v>
          </cell>
        </row>
        <row r="200">
          <cell r="I200" t="str">
            <v>y/y Growth - %</v>
          </cell>
          <cell r="M200" t="str">
            <v>NA</v>
          </cell>
          <cell r="N200">
            <v>0.48930352259932453</v>
          </cell>
          <cell r="O200">
            <v>0.46934514166396624</v>
          </cell>
          <cell r="P200">
            <v>0.49242906845690237</v>
          </cell>
          <cell r="Q200">
            <v>0.52288547412660891</v>
          </cell>
        </row>
        <row r="202">
          <cell r="I202" t="str">
            <v>Car</v>
          </cell>
        </row>
        <row r="203">
          <cell r="I203" t="str">
            <v>Rental Car Days</v>
          </cell>
          <cell r="M203">
            <v>7.4539999999999997</v>
          </cell>
          <cell r="N203">
            <v>8.6210000000000004</v>
          </cell>
          <cell r="O203">
            <v>9.984</v>
          </cell>
          <cell r="P203">
            <v>11.225000000000001</v>
          </cell>
          <cell r="Q203">
            <v>16.314999999999998</v>
          </cell>
        </row>
        <row r="204">
          <cell r="I204" t="str">
            <v>y/y Growth - %</v>
          </cell>
          <cell r="M204" t="str">
            <v>NA</v>
          </cell>
          <cell r="N204">
            <v>0.15656023611483771</v>
          </cell>
          <cell r="O204">
            <v>0.15810230831690064</v>
          </cell>
          <cell r="P204">
            <v>0.12429887820512842</v>
          </cell>
          <cell r="Q204">
            <v>0.45345211581291722</v>
          </cell>
        </row>
        <row r="206">
          <cell r="I206" t="str">
            <v>Air Check</v>
          </cell>
          <cell r="M206" t="str">
            <v>YES</v>
          </cell>
          <cell r="N206" t="str">
            <v>YES</v>
          </cell>
          <cell r="O206" t="str">
            <v>YES</v>
          </cell>
          <cell r="P206" t="str">
            <v>YES</v>
          </cell>
          <cell r="Q206" t="str">
            <v>YES</v>
          </cell>
          <cell r="R206" t="str">
            <v>YES</v>
          </cell>
          <cell r="S206" t="str">
            <v>YES</v>
          </cell>
          <cell r="T206" t="str">
            <v>YES</v>
          </cell>
          <cell r="U206" t="str">
            <v>YES</v>
          </cell>
          <cell r="V206" t="str">
            <v>YES</v>
          </cell>
          <cell r="W206" t="str">
            <v>YES</v>
          </cell>
          <cell r="X206" t="str">
            <v>YES</v>
          </cell>
          <cell r="Y206" t="str">
            <v>YES</v>
          </cell>
          <cell r="Z206" t="str">
            <v>YES</v>
          </cell>
          <cell r="AA206" t="str">
            <v>YES</v>
          </cell>
          <cell r="AB206" t="str">
            <v>YES</v>
          </cell>
          <cell r="AC206" t="str">
            <v>YES</v>
          </cell>
          <cell r="AD206" t="str">
            <v>YES</v>
          </cell>
          <cell r="AE206" t="str">
            <v>YES</v>
          </cell>
          <cell r="AF206" t="str">
            <v>YES</v>
          </cell>
          <cell r="AG206" t="str">
            <v>YES</v>
          </cell>
          <cell r="AH206" t="str">
            <v>YES</v>
          </cell>
          <cell r="AI206" t="str">
            <v>YES</v>
          </cell>
          <cell r="AJ206" t="str">
            <v>YES</v>
          </cell>
        </row>
        <row r="207">
          <cell r="I207" t="str">
            <v>Air Check</v>
          </cell>
          <cell r="M207" t="str">
            <v>YES</v>
          </cell>
          <cell r="N207" t="str">
            <v>YES</v>
          </cell>
          <cell r="O207" t="str">
            <v>YES</v>
          </cell>
          <cell r="P207" t="str">
            <v>YES</v>
          </cell>
          <cell r="Q207" t="str">
            <v>YES</v>
          </cell>
          <cell r="R207" t="str">
            <v>YES</v>
          </cell>
          <cell r="S207" t="str">
            <v>YES</v>
          </cell>
          <cell r="T207" t="str">
            <v>YES</v>
          </cell>
          <cell r="U207" t="str">
            <v>YES</v>
          </cell>
          <cell r="V207" t="str">
            <v>YES</v>
          </cell>
          <cell r="W207" t="str">
            <v>YES</v>
          </cell>
          <cell r="X207" t="str">
            <v>YES</v>
          </cell>
          <cell r="Y207" t="str">
            <v>YES</v>
          </cell>
          <cell r="Z207" t="str">
            <v>YES</v>
          </cell>
          <cell r="AA207" t="str">
            <v>YES</v>
          </cell>
          <cell r="AB207" t="str">
            <v>YES</v>
          </cell>
          <cell r="AC207" t="str">
            <v>YES</v>
          </cell>
          <cell r="AD207" t="str">
            <v>YES</v>
          </cell>
          <cell r="AE207" t="str">
            <v>YES</v>
          </cell>
          <cell r="AF207" t="str">
            <v>YES</v>
          </cell>
          <cell r="AG207" t="str">
            <v>YES</v>
          </cell>
          <cell r="AH207" t="str">
            <v>YES</v>
          </cell>
          <cell r="AI207" t="str">
            <v>YES</v>
          </cell>
          <cell r="AJ207" t="str">
            <v>YES</v>
          </cell>
        </row>
        <row r="209">
          <cell r="I209" t="str">
            <v>Gross bookings by Geography</v>
          </cell>
        </row>
        <row r="210">
          <cell r="I210" t="str">
            <v>US</v>
          </cell>
          <cell r="M210">
            <v>1972.7899999999995</v>
          </cell>
          <cell r="N210">
            <v>2154.375</v>
          </cell>
          <cell r="O210">
            <v>3081.7919999999999</v>
          </cell>
          <cell r="P210">
            <v>3646.0619999999999</v>
          </cell>
          <cell r="Q210">
            <v>4166.875</v>
          </cell>
          <cell r="R210">
            <v>4723.7474999999995</v>
          </cell>
          <cell r="S210">
            <v>5308.8141479999995</v>
          </cell>
          <cell r="T210">
            <v>5829.1939200300003</v>
          </cell>
          <cell r="U210">
            <v>6267.6563735969012</v>
          </cell>
          <cell r="V210">
            <v>6595.9512793957383</v>
          </cell>
          <cell r="W210">
            <v>6908.501338879084</v>
          </cell>
          <cell r="X210">
            <v>7202.8650346225786</v>
          </cell>
          <cell r="Y210">
            <v>7509.8143420942879</v>
          </cell>
          <cell r="Z210">
            <v>7829.889183638772</v>
          </cell>
          <cell r="AA210">
            <v>8163.6527208987673</v>
          </cell>
          <cell r="AB210">
            <v>8511.6923582953132</v>
          </cell>
          <cell r="AC210">
            <v>8874.6207899729452</v>
          </cell>
          <cell r="AD210">
            <v>9253.0770920982468</v>
          </cell>
          <cell r="AE210">
            <v>9647.7278624822466</v>
          </cell>
          <cell r="AF210">
            <v>10059.26840958311</v>
          </cell>
          <cell r="AG210">
            <v>10488.42399303508</v>
          </cell>
          <cell r="AH210">
            <v>10935.951117943216</v>
          </cell>
          <cell r="AI210">
            <v>11402.638885281081</v>
          </cell>
          <cell r="AJ210">
            <v>11889.310400830367</v>
          </cell>
        </row>
        <row r="211">
          <cell r="I211" t="str">
            <v>y/y Growth - %</v>
          </cell>
          <cell r="M211" t="str">
            <v>NA</v>
          </cell>
          <cell r="N211">
            <v>9.2044769083379663E-2</v>
          </cell>
          <cell r="O211">
            <v>0.43048076588337691</v>
          </cell>
          <cell r="P211">
            <v>0.18309801569995643</v>
          </cell>
          <cell r="Q211">
            <v>0.14284260662599824</v>
          </cell>
          <cell r="R211">
            <v>0.13364271786410664</v>
          </cell>
          <cell r="S211">
            <v>0.12385646099839165</v>
          </cell>
          <cell r="T211">
            <v>9.802184772771616E-2</v>
          </cell>
          <cell r="U211">
            <v>7.5218368025170124E-2</v>
          </cell>
          <cell r="V211">
            <v>5.237921261634737E-2</v>
          </cell>
          <cell r="W211">
            <v>4.7385137676756672E-2</v>
          </cell>
          <cell r="X211">
            <v>4.2608907678268748E-2</v>
          </cell>
          <cell r="Y211">
            <v>4.26148908797086E-2</v>
          </cell>
          <cell r="Z211">
            <v>4.2620872762511475E-2</v>
          </cell>
          <cell r="AA211">
            <v>4.2626853258335151E-2</v>
          </cell>
          <cell r="AB211">
            <v>4.2632832298901135E-2</v>
          </cell>
          <cell r="AC211">
            <v>4.2638809815997325E-2</v>
          </cell>
          <cell r="AD211">
            <v>4.2644785741482449E-2</v>
          </cell>
          <cell r="AE211">
            <v>4.265076000728607E-2</v>
          </cell>
          <cell r="AF211">
            <v>4.2656732545416132E-2</v>
          </cell>
          <cell r="AG211">
            <v>4.2662703287957626E-2</v>
          </cell>
          <cell r="AH211">
            <v>4.2668672167078592E-2</v>
          </cell>
          <cell r="AI211">
            <v>4.2674639115032775E-2</v>
          </cell>
          <cell r="AJ211">
            <v>4.2680604064160743E-2</v>
          </cell>
        </row>
        <row r="212">
          <cell r="I212" t="str">
            <v>% of total gross bookings</v>
          </cell>
          <cell r="M212">
            <v>0.59425878281761657</v>
          </cell>
          <cell r="N212">
            <v>0.44609431036796166</v>
          </cell>
          <cell r="O212">
            <v>0.41645179393785259</v>
          </cell>
          <cell r="P212">
            <v>0.39162596339315464</v>
          </cell>
          <cell r="Q212">
            <v>0.30535784623558404</v>
          </cell>
          <cell r="R212">
            <v>0.22116074762254778</v>
          </cell>
          <cell r="S212">
            <v>0.1892040348552026</v>
          </cell>
          <cell r="T212">
            <v>0.16934370452460468</v>
          </cell>
          <cell r="U212">
            <v>0.16045854581245048</v>
          </cell>
          <cell r="V212">
            <v>0.15487637312048194</v>
          </cell>
          <cell r="W212">
            <v>0.15129933988750652</v>
          </cell>
          <cell r="X212">
            <v>0.14869269561012091</v>
          </cell>
          <cell r="Y212">
            <v>0.14753912868574892</v>
          </cell>
          <cell r="Z212">
            <v>0.14657697058612804</v>
          </cell>
          <cell r="AA212">
            <v>0.14561117237780444</v>
          </cell>
          <cell r="AB212">
            <v>0.14464175452602671</v>
          </cell>
          <cell r="AC212">
            <v>0.14366874031979085</v>
          </cell>
          <cell r="AD212">
            <v>0.14269215592830722</v>
          </cell>
          <cell r="AE212">
            <v>0.14171203045594727</v>
          </cell>
          <cell r="AF212">
            <v>0.14072839599552614</v>
          </cell>
          <cell r="AG212">
            <v>0.13974128767977109</v>
          </cell>
          <cell r="AH212">
            <v>0.13875074373082452</v>
          </cell>
          <cell r="AI212">
            <v>0.13775680550762898</v>
          </cell>
          <cell r="AJ212">
            <v>0.13675951755103888</v>
          </cell>
        </row>
        <row r="213">
          <cell r="I213" t="str">
            <v>International</v>
          </cell>
          <cell r="M213">
            <v>1346.9590000000001</v>
          </cell>
          <cell r="N213">
            <v>2675.0410000000002</v>
          </cell>
          <cell r="O213">
            <v>4318.3249999999998</v>
          </cell>
          <cell r="P213">
            <v>5664</v>
          </cell>
          <cell r="Q213">
            <v>9479</v>
          </cell>
          <cell r="R213">
            <v>16635.139873911208</v>
          </cell>
          <cell r="S213">
            <v>22749.858871646873</v>
          </cell>
          <cell r="T213">
            <v>28593.071356344954</v>
          </cell>
          <cell r="U213">
            <v>32793.250864854301</v>
          </cell>
          <cell r="V213">
            <v>35992.541377677226</v>
          </cell>
          <cell r="W213">
            <v>38752.645259748955</v>
          </cell>
          <cell r="X213">
            <v>41238.418547382171</v>
          </cell>
          <cell r="Y213">
            <v>43390.67835425221</v>
          </cell>
          <cell r="Z213">
            <v>45588.387591551917</v>
          </cell>
          <cell r="AA213">
            <v>47901.088655657542</v>
          </cell>
          <cell r="AB213">
            <v>50335.024388104008</v>
          </cell>
          <cell r="AC213">
            <v>52896.790097454701</v>
          </cell>
          <cell r="AD213">
            <v>55593.354247458126</v>
          </cell>
          <cell r="AE213">
            <v>58432.080403911546</v>
          </cell>
          <cell r="AF213">
            <v>61420.750519239911</v>
          </cell>
          <cell r="AG213">
            <v>64567.589638885824</v>
          </cell>
          <cell r="AH213">
            <v>67881.292119029153</v>
          </cell>
          <cell r="AI213">
            <v>71371.049450934021</v>
          </cell>
          <cell r="AJ213">
            <v>75046.579793380486</v>
          </cell>
        </row>
        <row r="214">
          <cell r="I214" t="str">
            <v>y/y Growth - %</v>
          </cell>
          <cell r="M214" t="str">
            <v>NA</v>
          </cell>
          <cell r="N214">
            <v>0.98598546800607889</v>
          </cell>
          <cell r="O214">
            <v>0.61430236022550666</v>
          </cell>
          <cell r="P214">
            <v>0.31161966734787216</v>
          </cell>
          <cell r="Q214">
            <v>0.67355225988700562</v>
          </cell>
          <cell r="R214">
            <v>0.75494671103610167</v>
          </cell>
          <cell r="S214">
            <v>0.36757845404866973</v>
          </cell>
          <cell r="T214">
            <v>0.25684609815230419</v>
          </cell>
          <cell r="U214">
            <v>0.14689501019894124</v>
          </cell>
          <cell r="V214">
            <v>9.755941934539103E-2</v>
          </cell>
          <cell r="W214">
            <v>7.668544027245483E-2</v>
          </cell>
          <cell r="X214">
            <v>6.4144609251103324E-2</v>
          </cell>
          <cell r="Y214">
            <v>5.219064849436772E-2</v>
          </cell>
          <cell r="Z214">
            <v>5.0649340380370722E-2</v>
          </cell>
          <cell r="AA214">
            <v>5.0730047415280755E-2</v>
          </cell>
          <cell r="AB214">
            <v>5.0811699707768554E-2</v>
          </cell>
          <cell r="AC214">
            <v>5.0894297568993219E-2</v>
          </cell>
          <cell r="AD214">
            <v>5.0977840905571004E-2</v>
          </cell>
          <cell r="AE214">
            <v>5.1062329209668356E-2</v>
          </cell>
          <cell r="AF214">
            <v>5.114776154929257E-2</v>
          </cell>
          <cell r="AG214">
            <v>5.1234136558786725E-2</v>
          </cell>
          <cell r="AH214">
            <v>5.1321452429558434E-2</v>
          </cell>
          <cell r="AI214">
            <v>5.1409706901065055E-2</v>
          </cell>
          <cell r="AJ214">
            <v>5.1498897252075793E-2</v>
          </cell>
        </row>
        <row r="215">
          <cell r="I215" t="str">
            <v>(+/-) FX y/y Growth - %</v>
          </cell>
          <cell r="M215" t="str">
            <v>NA</v>
          </cell>
          <cell r="N215">
            <v>-0.16467118449782081</v>
          </cell>
          <cell r="O215">
            <v>-0.12337984053328532</v>
          </cell>
          <cell r="P215">
            <v>0.10567870273775126</v>
          </cell>
          <cell r="Q215">
            <v>5.07224576271188E-2</v>
          </cell>
          <cell r="R215">
            <v>-8.4024519161382649E-2</v>
          </cell>
          <cell r="S215">
            <v>4.9963834690652353E-2</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row>
        <row r="216">
          <cell r="I216" t="str">
            <v>y/y Growth - % (excl F/X)</v>
          </cell>
          <cell r="M216" t="str">
            <v>NA</v>
          </cell>
          <cell r="N216">
            <v>0.82131428350825808</v>
          </cell>
          <cell r="O216">
            <v>0.49092251969222134</v>
          </cell>
          <cell r="P216">
            <v>0.41729837008562343</v>
          </cell>
          <cell r="Q216">
            <v>0.72427471751412442</v>
          </cell>
          <cell r="R216">
            <v>0.67092219187471902</v>
          </cell>
          <cell r="S216">
            <v>0.41754228873932209</v>
          </cell>
          <cell r="T216">
            <v>0.25684609815230419</v>
          </cell>
          <cell r="U216">
            <v>0.14689501019894124</v>
          </cell>
          <cell r="V216">
            <v>9.755941934539103E-2</v>
          </cell>
          <cell r="W216">
            <v>7.668544027245483E-2</v>
          </cell>
          <cell r="X216">
            <v>6.4144609251103324E-2</v>
          </cell>
          <cell r="Y216">
            <v>5.219064849436772E-2</v>
          </cell>
          <cell r="Z216">
            <v>5.0649340380370722E-2</v>
          </cell>
          <cell r="AA216">
            <v>5.0730047415280755E-2</v>
          </cell>
          <cell r="AB216">
            <v>5.0811699707768554E-2</v>
          </cell>
          <cell r="AC216">
            <v>5.0894297568993219E-2</v>
          </cell>
          <cell r="AD216">
            <v>5.0977840905571004E-2</v>
          </cell>
          <cell r="AE216">
            <v>5.1062329209668356E-2</v>
          </cell>
          <cell r="AF216">
            <v>5.114776154929257E-2</v>
          </cell>
          <cell r="AG216">
            <v>5.1234136558786725E-2</v>
          </cell>
          <cell r="AH216">
            <v>5.1321452429558434E-2</v>
          </cell>
          <cell r="AI216">
            <v>5.1409706901065055E-2</v>
          </cell>
          <cell r="AJ216">
            <v>5.1498897252075793E-2</v>
          </cell>
        </row>
        <row r="217">
          <cell r="I217" t="str">
            <v>% of total gross bookings</v>
          </cell>
          <cell r="M217">
            <v>0.40574121718238343</v>
          </cell>
          <cell r="N217">
            <v>0.55390568963203834</v>
          </cell>
          <cell r="O217">
            <v>0.5835482060621473</v>
          </cell>
          <cell r="P217">
            <v>0.60837403660684541</v>
          </cell>
          <cell r="Q217">
            <v>0.69464215376441596</v>
          </cell>
          <cell r="R217">
            <v>0.77883925237745211</v>
          </cell>
          <cell r="S217">
            <v>0.81079596514479746</v>
          </cell>
          <cell r="T217">
            <v>0.83065629547539521</v>
          </cell>
          <cell r="U217">
            <v>0.83954145418754944</v>
          </cell>
          <cell r="V217">
            <v>0.84512362687951803</v>
          </cell>
          <cell r="W217">
            <v>0.84870066011249368</v>
          </cell>
          <cell r="X217">
            <v>0.85130730438987923</v>
          </cell>
          <cell r="Y217">
            <v>0.85246087131425119</v>
          </cell>
          <cell r="Z217">
            <v>0.85342302941387183</v>
          </cell>
          <cell r="AA217">
            <v>0.85438882762219537</v>
          </cell>
          <cell r="AB217">
            <v>0.85535824547397354</v>
          </cell>
          <cell r="AC217">
            <v>0.85633125968020896</v>
          </cell>
          <cell r="AD217">
            <v>0.85730784407169269</v>
          </cell>
          <cell r="AE217">
            <v>0.85828796954405284</v>
          </cell>
          <cell r="AF217">
            <v>0.85927160400447389</v>
          </cell>
          <cell r="AG217">
            <v>0.86025871232022899</v>
          </cell>
          <cell r="AH217">
            <v>0.86124925626917548</v>
          </cell>
          <cell r="AI217">
            <v>0.86224319449237086</v>
          </cell>
          <cell r="AJ217">
            <v>0.86324048244896112</v>
          </cell>
        </row>
        <row r="218">
          <cell r="I218" t="str">
            <v>Total Check</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row>
        <row r="220">
          <cell r="I220" t="str">
            <v>Exchange Rates</v>
          </cell>
        </row>
        <row r="221">
          <cell r="I221" t="str">
            <v>EUR / USD Exchange Rate</v>
          </cell>
          <cell r="M221">
            <v>1.256</v>
          </cell>
          <cell r="N221">
            <v>1.3704000000000001</v>
          </cell>
          <cell r="O221">
            <v>1.4709000000000001</v>
          </cell>
          <cell r="P221">
            <v>1.3942000000000001</v>
          </cell>
          <cell r="Q221">
            <v>1.3274999999999999</v>
          </cell>
          <cell r="R221">
            <v>1.3924000000000001</v>
          </cell>
          <cell r="S221">
            <v>1.3003</v>
          </cell>
          <cell r="T221">
            <v>1.3003</v>
          </cell>
          <cell r="U221">
            <v>1.3003</v>
          </cell>
          <cell r="V221">
            <v>1.3003</v>
          </cell>
          <cell r="W221">
            <v>1.3003</v>
          </cell>
          <cell r="X221">
            <v>1.3003</v>
          </cell>
          <cell r="Y221">
            <v>1.3003</v>
          </cell>
          <cell r="Z221">
            <v>1.3003</v>
          </cell>
          <cell r="AA221">
            <v>1.3003</v>
          </cell>
          <cell r="AB221">
            <v>1.3003</v>
          </cell>
          <cell r="AC221">
            <v>1.3003</v>
          </cell>
          <cell r="AD221">
            <v>1.3003</v>
          </cell>
          <cell r="AE221">
            <v>1.3003</v>
          </cell>
          <cell r="AF221">
            <v>1.3003</v>
          </cell>
          <cell r="AG221">
            <v>1.3003</v>
          </cell>
          <cell r="AH221">
            <v>1.3003</v>
          </cell>
          <cell r="AI221">
            <v>1.3003</v>
          </cell>
          <cell r="AJ221">
            <v>1.3003</v>
          </cell>
        </row>
        <row r="222">
          <cell r="I222" t="str">
            <v>GBP / USD Exchange Rate</v>
          </cell>
          <cell r="M222">
            <v>1.8428</v>
          </cell>
          <cell r="N222">
            <v>2.0013000000000001</v>
          </cell>
          <cell r="O222">
            <v>1.8546</v>
          </cell>
          <cell r="P222">
            <v>1.5653999999999999</v>
          </cell>
          <cell r="Q222">
            <v>1.5458000000000001</v>
          </cell>
          <cell r="R222">
            <v>1.6039000000000001</v>
          </cell>
          <cell r="S222">
            <v>1.5603</v>
          </cell>
          <cell r="T222">
            <v>1.5603</v>
          </cell>
          <cell r="U222">
            <v>1.5603</v>
          </cell>
          <cell r="V222">
            <v>1.5603</v>
          </cell>
          <cell r="W222">
            <v>1.5603</v>
          </cell>
          <cell r="X222">
            <v>1.5603</v>
          </cell>
          <cell r="Y222">
            <v>1.5603</v>
          </cell>
          <cell r="Z222">
            <v>1.5603</v>
          </cell>
          <cell r="AA222">
            <v>1.5603</v>
          </cell>
          <cell r="AB222">
            <v>1.5603</v>
          </cell>
          <cell r="AC222">
            <v>1.5603</v>
          </cell>
          <cell r="AD222">
            <v>1.5603</v>
          </cell>
          <cell r="AE222">
            <v>1.5603</v>
          </cell>
          <cell r="AF222">
            <v>1.5603</v>
          </cell>
          <cell r="AG222">
            <v>1.5603</v>
          </cell>
          <cell r="AH222">
            <v>1.5603</v>
          </cell>
          <cell r="AI222">
            <v>1.5603</v>
          </cell>
          <cell r="AJ222">
            <v>1.5603</v>
          </cell>
        </row>
        <row r="223">
          <cell r="I223" t="str">
            <v>YEN / USD Exchange Rate</v>
          </cell>
          <cell r="M223">
            <v>8.6E-3</v>
          </cell>
          <cell r="N223">
            <v>8.5000000000000006E-3</v>
          </cell>
          <cell r="O223">
            <v>9.7000000000000003E-3</v>
          </cell>
          <cell r="P223">
            <v>1.0699999999999999E-2</v>
          </cell>
          <cell r="Q223">
            <v>1.14E-2</v>
          </cell>
          <cell r="R223">
            <v>1.26E-2</v>
          </cell>
          <cell r="S223">
            <v>1.2999999999999999E-2</v>
          </cell>
          <cell r="T223">
            <v>1.2999999999999999E-2</v>
          </cell>
          <cell r="U223">
            <v>1.2999999999999999E-2</v>
          </cell>
          <cell r="V223">
            <v>1.2999999999999999E-2</v>
          </cell>
          <cell r="W223">
            <v>1.2999999999999999E-2</v>
          </cell>
          <cell r="X223">
            <v>1.2999999999999999E-2</v>
          </cell>
          <cell r="Y223">
            <v>1.2999999999999999E-2</v>
          </cell>
          <cell r="Z223">
            <v>1.2999999999999999E-2</v>
          </cell>
          <cell r="AA223">
            <v>1.2999999999999999E-2</v>
          </cell>
          <cell r="AB223">
            <v>1.2999999999999999E-2</v>
          </cell>
          <cell r="AC223">
            <v>1.2999999999999999E-2</v>
          </cell>
          <cell r="AD223">
            <v>1.2999999999999999E-2</v>
          </cell>
          <cell r="AE223">
            <v>1.2999999999999999E-2</v>
          </cell>
          <cell r="AF223">
            <v>1.2999999999999999E-2</v>
          </cell>
          <cell r="AG223">
            <v>1.2999999999999999E-2</v>
          </cell>
          <cell r="AH223">
            <v>1.2999999999999999E-2</v>
          </cell>
          <cell r="AI223">
            <v>1.2999999999999999E-2</v>
          </cell>
          <cell r="AJ223">
            <v>1.2999999999999999E-2</v>
          </cell>
        </row>
        <row r="224">
          <cell r="I224" t="str">
            <v>AUD / USD Exchange Rate</v>
          </cell>
          <cell r="M224">
            <v>0.75319999999999998</v>
          </cell>
          <cell r="N224">
            <v>0.83850000000000002</v>
          </cell>
          <cell r="O224">
            <v>0.85240000000000005</v>
          </cell>
          <cell r="P224">
            <v>0.79190000000000005</v>
          </cell>
          <cell r="Q224">
            <v>0.91949999999999998</v>
          </cell>
          <cell r="R224">
            <v>1.0328999999999999</v>
          </cell>
          <cell r="S224">
            <v>1.0331999999999999</v>
          </cell>
          <cell r="T224">
            <v>1.0331999999999999</v>
          </cell>
          <cell r="U224">
            <v>1.0331999999999999</v>
          </cell>
          <cell r="V224">
            <v>1.0331999999999999</v>
          </cell>
          <cell r="W224">
            <v>1.0331999999999999</v>
          </cell>
          <cell r="X224">
            <v>1.0331999999999999</v>
          </cell>
          <cell r="Y224">
            <v>1.0331999999999999</v>
          </cell>
          <cell r="Z224">
            <v>1.0331999999999999</v>
          </cell>
          <cell r="AA224">
            <v>1.0331999999999999</v>
          </cell>
          <cell r="AB224">
            <v>1.0331999999999999</v>
          </cell>
          <cell r="AC224">
            <v>1.0331999999999999</v>
          </cell>
          <cell r="AD224">
            <v>1.0331999999999999</v>
          </cell>
          <cell r="AE224">
            <v>1.0331999999999999</v>
          </cell>
          <cell r="AF224">
            <v>1.0331999999999999</v>
          </cell>
          <cell r="AG224">
            <v>1.0331999999999999</v>
          </cell>
          <cell r="AH224">
            <v>1.0331999999999999</v>
          </cell>
          <cell r="AI224">
            <v>1.0331999999999999</v>
          </cell>
          <cell r="AJ224">
            <v>1.0331999999999999</v>
          </cell>
        </row>
        <row r="225">
          <cell r="I225" t="str">
            <v>CNY / USD Exchange Rate</v>
          </cell>
          <cell r="M225">
            <v>0.12529999999999999</v>
          </cell>
          <cell r="N225">
            <v>0.1313</v>
          </cell>
          <cell r="O225">
            <v>0.14369999999999999</v>
          </cell>
          <cell r="P225">
            <v>0.1462</v>
          </cell>
          <cell r="Q225">
            <v>0.14749999999999999</v>
          </cell>
          <cell r="R225">
            <v>0.1545</v>
          </cell>
          <cell r="S225">
            <v>0.15820000000000001</v>
          </cell>
          <cell r="T225">
            <v>0.15820000000000001</v>
          </cell>
          <cell r="U225">
            <v>0.15820000000000001</v>
          </cell>
          <cell r="V225">
            <v>0.15820000000000001</v>
          </cell>
          <cell r="W225">
            <v>0.15820000000000001</v>
          </cell>
          <cell r="X225">
            <v>0.15820000000000001</v>
          </cell>
          <cell r="Y225">
            <v>0.15820000000000001</v>
          </cell>
          <cell r="Z225">
            <v>0.15820000000000001</v>
          </cell>
          <cell r="AA225">
            <v>0.15820000000000001</v>
          </cell>
          <cell r="AB225">
            <v>0.15820000000000001</v>
          </cell>
          <cell r="AC225">
            <v>0.15820000000000001</v>
          </cell>
          <cell r="AD225">
            <v>0.15820000000000001</v>
          </cell>
          <cell r="AE225">
            <v>0.15820000000000001</v>
          </cell>
          <cell r="AF225">
            <v>0.15820000000000001</v>
          </cell>
          <cell r="AG225">
            <v>0.15820000000000001</v>
          </cell>
          <cell r="AH225">
            <v>0.15820000000000001</v>
          </cell>
          <cell r="AI225">
            <v>0.15820000000000001</v>
          </cell>
          <cell r="AJ225">
            <v>0.15820000000000001</v>
          </cell>
        </row>
        <row r="226">
          <cell r="I226" t="str">
            <v>BRL / USD Exchange Rate</v>
          </cell>
          <cell r="M226">
            <v>0.45910000000000001</v>
          </cell>
          <cell r="N226">
            <v>0.51449999999999996</v>
          </cell>
          <cell r="O226">
            <v>0.55430000000000001</v>
          </cell>
          <cell r="P226">
            <v>0.50429999999999997</v>
          </cell>
          <cell r="Q226">
            <v>0.56630000000000003</v>
          </cell>
          <cell r="R226">
            <v>0.59870000000000001</v>
          </cell>
          <cell r="S226">
            <v>0.54590000000000005</v>
          </cell>
          <cell r="T226">
            <v>0.54590000000000005</v>
          </cell>
          <cell r="U226">
            <v>0.54590000000000005</v>
          </cell>
          <cell r="V226">
            <v>0.54590000000000005</v>
          </cell>
          <cell r="W226">
            <v>0.54590000000000005</v>
          </cell>
          <cell r="X226">
            <v>0.54590000000000005</v>
          </cell>
          <cell r="Y226">
            <v>0.54590000000000005</v>
          </cell>
          <cell r="Z226">
            <v>0.54590000000000005</v>
          </cell>
          <cell r="AA226">
            <v>0.54590000000000005</v>
          </cell>
          <cell r="AB226">
            <v>0.54590000000000005</v>
          </cell>
          <cell r="AC226">
            <v>0.54590000000000005</v>
          </cell>
          <cell r="AD226">
            <v>0.54590000000000005</v>
          </cell>
          <cell r="AE226">
            <v>0.54590000000000005</v>
          </cell>
          <cell r="AF226">
            <v>0.54590000000000005</v>
          </cell>
          <cell r="AG226">
            <v>0.54590000000000005</v>
          </cell>
          <cell r="AH226">
            <v>0.54590000000000005</v>
          </cell>
          <cell r="AI226">
            <v>0.54590000000000005</v>
          </cell>
          <cell r="AJ226">
            <v>0.54590000000000005</v>
          </cell>
        </row>
        <row r="227">
          <cell r="I227" t="str">
            <v>CAD / USD Exchange Rate</v>
          </cell>
          <cell r="M227">
            <v>0.88170000000000004</v>
          </cell>
          <cell r="N227">
            <v>0.93520000000000003</v>
          </cell>
          <cell r="O227">
            <v>0.94350000000000001</v>
          </cell>
          <cell r="P227">
            <v>0.87980000000000003</v>
          </cell>
          <cell r="Q227">
            <v>0.97050000000000003</v>
          </cell>
          <cell r="R227">
            <v>1.0115000000000001</v>
          </cell>
          <cell r="S227">
            <v>0.98719999999999997</v>
          </cell>
          <cell r="T227">
            <v>0.98719999999999997</v>
          </cell>
          <cell r="U227">
            <v>0.98719999999999997</v>
          </cell>
          <cell r="V227">
            <v>0.98719999999999997</v>
          </cell>
          <cell r="W227">
            <v>0.98719999999999997</v>
          </cell>
          <cell r="X227">
            <v>0.98719999999999997</v>
          </cell>
          <cell r="Y227">
            <v>0.98719999999999997</v>
          </cell>
          <cell r="Z227">
            <v>0.98719999999999997</v>
          </cell>
          <cell r="AA227">
            <v>0.98719999999999997</v>
          </cell>
          <cell r="AB227">
            <v>0.98719999999999997</v>
          </cell>
          <cell r="AC227">
            <v>0.98719999999999997</v>
          </cell>
          <cell r="AD227">
            <v>0.98719999999999997</v>
          </cell>
          <cell r="AE227">
            <v>0.98719999999999997</v>
          </cell>
          <cell r="AF227">
            <v>0.98719999999999997</v>
          </cell>
          <cell r="AG227">
            <v>0.98719999999999997</v>
          </cell>
          <cell r="AH227">
            <v>0.98719999999999997</v>
          </cell>
          <cell r="AI227">
            <v>0.98719999999999997</v>
          </cell>
          <cell r="AJ227">
            <v>0.98719999999999997</v>
          </cell>
        </row>
        <row r="228">
          <cell r="I228" t="str">
            <v>USD / USD Exchange Rate</v>
          </cell>
          <cell r="M228">
            <v>1</v>
          </cell>
          <cell r="N228">
            <v>1</v>
          </cell>
          <cell r="O228">
            <v>1</v>
          </cell>
          <cell r="P228">
            <v>1</v>
          </cell>
          <cell r="Q228">
            <v>1</v>
          </cell>
          <cell r="R228">
            <v>1</v>
          </cell>
          <cell r="S228">
            <v>1</v>
          </cell>
          <cell r="T228">
            <v>1</v>
          </cell>
          <cell r="U228">
            <v>1</v>
          </cell>
          <cell r="V228">
            <v>1</v>
          </cell>
          <cell r="W228">
            <v>1</v>
          </cell>
          <cell r="X228">
            <v>1</v>
          </cell>
          <cell r="Y228">
            <v>1</v>
          </cell>
          <cell r="Z228">
            <v>1</v>
          </cell>
          <cell r="AA228">
            <v>1</v>
          </cell>
          <cell r="AB228">
            <v>1</v>
          </cell>
          <cell r="AC228">
            <v>1</v>
          </cell>
          <cell r="AD228">
            <v>1</v>
          </cell>
          <cell r="AE228">
            <v>1</v>
          </cell>
          <cell r="AF228">
            <v>1</v>
          </cell>
          <cell r="AG228">
            <v>1</v>
          </cell>
          <cell r="AH228">
            <v>1</v>
          </cell>
          <cell r="AI228">
            <v>1</v>
          </cell>
          <cell r="AJ228">
            <v>1</v>
          </cell>
        </row>
        <row r="230">
          <cell r="I230" t="str">
            <v>Exchange Rate Change</v>
          </cell>
        </row>
        <row r="231">
          <cell r="I231" t="str">
            <v>EUR / USD change</v>
          </cell>
          <cell r="N231">
            <v>9.1082802547770791E-2</v>
          </cell>
          <cell r="O231">
            <v>7.333625218914186E-2</v>
          </cell>
          <cell r="P231">
            <v>-5.2144945271602405E-2</v>
          </cell>
          <cell r="Q231">
            <v>-4.7841055802610999E-2</v>
          </cell>
          <cell r="R231">
            <v>4.8888888888888982E-2</v>
          </cell>
          <cell r="S231">
            <v>-6.6144785981040011E-2</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row>
        <row r="232">
          <cell r="I232" t="str">
            <v>GBP / USD change</v>
          </cell>
          <cell r="N232">
            <v>8.6010418927718657E-2</v>
          </cell>
          <cell r="O232">
            <v>-7.3302353470244386E-2</v>
          </cell>
          <cell r="P232">
            <v>-0.15593659010029126</v>
          </cell>
          <cell r="Q232">
            <v>-1.2520761466717656E-2</v>
          </cell>
          <cell r="R232">
            <v>3.7585716134040714E-2</v>
          </cell>
          <cell r="S232">
            <v>-2.7183739634640602E-2</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row>
        <row r="233">
          <cell r="I233" t="str">
            <v>YEN / USD change</v>
          </cell>
          <cell r="N233">
            <v>-1.1627906976744096E-2</v>
          </cell>
          <cell r="O233">
            <v>0.14117647058823524</v>
          </cell>
          <cell r="P233">
            <v>0.10309278350515449</v>
          </cell>
          <cell r="Q233">
            <v>6.542056074766367E-2</v>
          </cell>
          <cell r="R233">
            <v>0.10526315789473673</v>
          </cell>
          <cell r="S233">
            <v>3.1746031746031633E-2</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row>
        <row r="234">
          <cell r="I234" t="str">
            <v>AUD / USD change</v>
          </cell>
          <cell r="N234">
            <v>0.11325013276686136</v>
          </cell>
          <cell r="O234">
            <v>1.657722122838412E-2</v>
          </cell>
          <cell r="P234">
            <v>-7.0976067573908952E-2</v>
          </cell>
          <cell r="Q234">
            <v>0.16113145599191814</v>
          </cell>
          <cell r="R234">
            <v>0.12332789559543222</v>
          </cell>
          <cell r="S234">
            <v>2.904443799012224E-4</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row>
        <row r="235">
          <cell r="I235" t="str">
            <v>CNY / USD change</v>
          </cell>
          <cell r="N235">
            <v>4.7885075818036693E-2</v>
          </cell>
          <cell r="O235">
            <v>9.4440213252094507E-2</v>
          </cell>
          <cell r="P235">
            <v>1.7397355601948439E-2</v>
          </cell>
          <cell r="Q235">
            <v>8.8919288645690209E-3</v>
          </cell>
          <cell r="R235">
            <v>4.7457627118644208E-2</v>
          </cell>
          <cell r="S235">
            <v>2.3948220064724968E-2</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row>
        <row r="236">
          <cell r="I236" t="str">
            <v>BRL / USD change</v>
          </cell>
          <cell r="N236">
            <v>0.12067087780439989</v>
          </cell>
          <cell r="O236">
            <v>7.7356656948493807E-2</v>
          </cell>
          <cell r="P236">
            <v>-9.0203860725239116E-2</v>
          </cell>
          <cell r="Q236">
            <v>0.12294269284156267</v>
          </cell>
          <cell r="R236">
            <v>5.7213491082465096E-2</v>
          </cell>
          <cell r="S236">
            <v>-8.8191080674795308E-2</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row>
        <row r="237">
          <cell r="I237" t="str">
            <v>CAD / USD change</v>
          </cell>
          <cell r="N237">
            <v>6.0678235227401567E-2</v>
          </cell>
          <cell r="O237">
            <v>8.8751069289991769E-3</v>
          </cell>
          <cell r="P237">
            <v>-6.7514573396926347E-2</v>
          </cell>
          <cell r="Q237">
            <v>0.10309161172993853</v>
          </cell>
          <cell r="R237">
            <v>4.2246264811952594E-2</v>
          </cell>
          <cell r="S237">
            <v>-2.4023727137914119E-2</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row>
        <row r="238">
          <cell r="I238" t="str">
            <v>USD / USD change</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row>
        <row r="240">
          <cell r="I240" t="str">
            <v>Weighting</v>
          </cell>
        </row>
        <row r="241">
          <cell r="I241" t="str">
            <v xml:space="preserve">EUR / USD </v>
          </cell>
          <cell r="N241">
            <v>0.87349666790153857</v>
          </cell>
          <cell r="O241">
            <v>0.83882992827079961</v>
          </cell>
          <cell r="P241">
            <v>0.79324526615466107</v>
          </cell>
          <cell r="Q241">
            <v>0.74525190025319143</v>
          </cell>
          <cell r="R241">
            <v>0.70635758187630449</v>
          </cell>
          <cell r="S241">
            <v>0.6611823010146487</v>
          </cell>
          <cell r="T241">
            <v>0.63990555993508502</v>
          </cell>
          <cell r="U241">
            <v>0.62716454359375662</v>
          </cell>
          <cell r="V241">
            <v>0.62107127496893855</v>
          </cell>
          <cell r="W241">
            <v>0.6178588626238859</v>
          </cell>
          <cell r="X241">
            <v>0.61578225795590014</v>
          </cell>
          <cell r="Y241">
            <v>0.61312096140707018</v>
          </cell>
          <cell r="Z241">
            <v>0.60999180813583376</v>
          </cell>
          <cell r="AA241">
            <v>0.60683276206631798</v>
          </cell>
          <cell r="AB241">
            <v>0.60364391795766092</v>
          </cell>
          <cell r="AC241">
            <v>0.60042538528769274</v>
          </cell>
          <cell r="AD241">
            <v>0.59717728853233654</v>
          </cell>
          <cell r="AE241">
            <v>0.59389976743593198</v>
          </cell>
          <cell r="AF241">
            <v>0.59059297727173343</v>
          </cell>
          <cell r="AG241">
            <v>0.58725708909183483</v>
          </cell>
          <cell r="AH241">
            <v>0.58389228996576692</v>
          </cell>
          <cell r="AI241">
            <v>0.58049878320700754</v>
          </cell>
          <cell r="AJ241">
            <v>0.57707678858664668</v>
          </cell>
        </row>
        <row r="242">
          <cell r="I242" t="str">
            <v>GBP / USD</v>
          </cell>
          <cell r="N242">
            <v>9.705518532239317E-2</v>
          </cell>
          <cell r="O242">
            <v>9.3203325363422185E-2</v>
          </cell>
          <cell r="P242">
            <v>8.8138362906073464E-2</v>
          </cell>
          <cell r="Q242">
            <v>8.2805766694799054E-2</v>
          </cell>
          <cell r="R242">
            <v>7.8484175764033826E-2</v>
          </cell>
          <cell r="S242">
            <v>7.3464700112738743E-2</v>
          </cell>
          <cell r="T242">
            <v>7.1100617770565006E-2</v>
          </cell>
          <cell r="U242">
            <v>6.9684949288195172E-2</v>
          </cell>
          <cell r="V242">
            <v>6.9007919440993173E-2</v>
          </cell>
          <cell r="W242">
            <v>6.8650984735987325E-2</v>
          </cell>
          <cell r="X242">
            <v>6.8420250883988898E-2</v>
          </cell>
          <cell r="Y242">
            <v>6.8124551267452246E-2</v>
          </cell>
          <cell r="Z242">
            <v>6.77768675706482E-2</v>
          </cell>
          <cell r="AA242">
            <v>6.7425862451813118E-2</v>
          </cell>
          <cell r="AB242">
            <v>6.7071546439740101E-2</v>
          </cell>
          <cell r="AC242">
            <v>6.6713931698632531E-2</v>
          </cell>
          <cell r="AD242">
            <v>6.6353032059148498E-2</v>
          </cell>
          <cell r="AE242">
            <v>6.5988863048436888E-2</v>
          </cell>
          <cell r="AF242">
            <v>6.5621441919081494E-2</v>
          </cell>
          <cell r="AG242">
            <v>6.5250787676870536E-2</v>
          </cell>
          <cell r="AH242">
            <v>6.4876921107307431E-2</v>
          </cell>
          <cell r="AI242">
            <v>6.4499864800778614E-2</v>
          </cell>
          <cell r="AJ242">
            <v>6.411964317629408E-2</v>
          </cell>
        </row>
        <row r="243">
          <cell r="I243" t="str">
            <v>YEN / USD</v>
          </cell>
          <cell r="N243">
            <v>6.3519275654715822E-3</v>
          </cell>
          <cell r="O243">
            <v>1.5833492538580737E-2</v>
          </cell>
          <cell r="P243">
            <v>2.4656728166195855E-2</v>
          </cell>
          <cell r="Q243">
            <v>3.2474992966909311E-2</v>
          </cell>
          <cell r="R243">
            <v>4.0205502554198018E-2</v>
          </cell>
          <cell r="S243">
            <v>4.953786042249906E-2</v>
          </cell>
          <cell r="T243">
            <v>5.2985955238093831E-2</v>
          </cell>
          <cell r="U243">
            <v>5.494194767734787E-2</v>
          </cell>
          <cell r="V243">
            <v>5.4995696978783391E-2</v>
          </cell>
          <cell r="W243">
            <v>5.5139347183969532E-2</v>
          </cell>
          <cell r="X243">
            <v>5.5173052085385338E-2</v>
          </cell>
          <cell r="Y243">
            <v>5.5310848413287601E-2</v>
          </cell>
          <cell r="Z243">
            <v>5.5531578919852352E-2</v>
          </cell>
          <cell r="AA243">
            <v>5.5750159195231415E-2</v>
          </cell>
          <cell r="AB243">
            <v>5.5966507238867057E-2</v>
          </cell>
          <cell r="AC243">
            <v>5.6180540458318641E-2</v>
          </cell>
          <cell r="AD243">
            <v>5.6392175718414837E-2</v>
          </cell>
          <cell r="AE243">
            <v>5.6601329392454297E-2</v>
          </cell>
          <cell r="AF243">
            <v>5.6807917415440272E-2</v>
          </cell>
          <cell r="AG243">
            <v>5.7011855339329905E-2</v>
          </cell>
          <cell r="AH243">
            <v>5.7213058390273665E-2</v>
          </cell>
          <cell r="AI243">
            <v>5.7411441527815167E-2</v>
          </cell>
          <cell r="AJ243">
            <v>5.7606919506016228E-2</v>
          </cell>
        </row>
        <row r="244">
          <cell r="I244" t="str">
            <v xml:space="preserve">AUD / USD </v>
          </cell>
          <cell r="N244">
            <v>6.3519275654715822E-3</v>
          </cell>
          <cell r="O244">
            <v>1.5833492538580737E-2</v>
          </cell>
          <cell r="P244">
            <v>2.4656728166195855E-2</v>
          </cell>
          <cell r="Q244">
            <v>3.2474992966909311E-2</v>
          </cell>
          <cell r="R244">
            <v>4.0205502554198018E-2</v>
          </cell>
          <cell r="S244">
            <v>4.953786042249906E-2</v>
          </cell>
          <cell r="T244">
            <v>5.2985955238093831E-2</v>
          </cell>
          <cell r="U244">
            <v>5.494194767734787E-2</v>
          </cell>
          <cell r="V244">
            <v>5.4995696978783391E-2</v>
          </cell>
          <cell r="W244">
            <v>5.5139347183969532E-2</v>
          </cell>
          <cell r="X244">
            <v>5.5173052085385338E-2</v>
          </cell>
          <cell r="Y244">
            <v>5.5310848413287601E-2</v>
          </cell>
          <cell r="Z244">
            <v>5.5531578919852352E-2</v>
          </cell>
          <cell r="AA244">
            <v>5.5750159195231415E-2</v>
          </cell>
          <cell r="AB244">
            <v>5.5966507238867057E-2</v>
          </cell>
          <cell r="AC244">
            <v>5.6180540458318641E-2</v>
          </cell>
          <cell r="AD244">
            <v>5.6392175718414837E-2</v>
          </cell>
          <cell r="AE244">
            <v>5.6601329392454297E-2</v>
          </cell>
          <cell r="AF244">
            <v>5.6807917415440272E-2</v>
          </cell>
          <cell r="AG244">
            <v>5.7011855339329905E-2</v>
          </cell>
          <cell r="AH244">
            <v>5.7213058390273665E-2</v>
          </cell>
          <cell r="AI244">
            <v>5.7411441527815167E-2</v>
          </cell>
          <cell r="AJ244">
            <v>5.7606919506016228E-2</v>
          </cell>
        </row>
        <row r="245">
          <cell r="I245" t="str">
            <v xml:space="preserve">CNY / USD </v>
          </cell>
          <cell r="N245">
            <v>6.3519275654715822E-3</v>
          </cell>
          <cell r="O245">
            <v>1.5833492538580737E-2</v>
          </cell>
          <cell r="P245">
            <v>2.4656728166195855E-2</v>
          </cell>
          <cell r="Q245">
            <v>3.2474992966909311E-2</v>
          </cell>
          <cell r="R245">
            <v>4.0205502554198018E-2</v>
          </cell>
          <cell r="S245">
            <v>4.953786042249906E-2</v>
          </cell>
          <cell r="T245">
            <v>5.2985955238093831E-2</v>
          </cell>
          <cell r="U245">
            <v>5.494194767734787E-2</v>
          </cell>
          <cell r="V245">
            <v>5.4995696978783391E-2</v>
          </cell>
          <cell r="W245">
            <v>5.5139347183969532E-2</v>
          </cell>
          <cell r="X245">
            <v>5.5173052085385338E-2</v>
          </cell>
          <cell r="Y245">
            <v>5.5310848413287601E-2</v>
          </cell>
          <cell r="Z245">
            <v>5.5531578919852352E-2</v>
          </cell>
          <cell r="AA245">
            <v>5.5750159195231415E-2</v>
          </cell>
          <cell r="AB245">
            <v>5.5966507238867057E-2</v>
          </cell>
          <cell r="AC245">
            <v>5.6180540458318641E-2</v>
          </cell>
          <cell r="AD245">
            <v>5.6392175718414837E-2</v>
          </cell>
          <cell r="AE245">
            <v>5.6601329392454297E-2</v>
          </cell>
          <cell r="AF245">
            <v>5.6807917415440272E-2</v>
          </cell>
          <cell r="AG245">
            <v>5.7011855339329905E-2</v>
          </cell>
          <cell r="AH245">
            <v>5.7213058390273665E-2</v>
          </cell>
          <cell r="AI245">
            <v>5.7411441527815167E-2</v>
          </cell>
          <cell r="AJ245">
            <v>5.7606919506016228E-2</v>
          </cell>
        </row>
        <row r="246">
          <cell r="I246" t="str">
            <v xml:space="preserve">BRL / USD </v>
          </cell>
          <cell r="N246">
            <v>3.4641213598844522E-3</v>
          </cell>
          <cell r="O246">
            <v>6.8220895833453936E-3</v>
          </cell>
          <cell r="P246">
            <v>1.4882062146892654E-2</v>
          </cell>
          <cell r="Q246">
            <v>2.4839118050427256E-2</v>
          </cell>
          <cell r="R246">
            <v>3.1513911565689244E-2</v>
          </cell>
          <cell r="S246">
            <v>3.8913139201705117E-2</v>
          </cell>
          <cell r="T246">
            <v>4.3345318860022818E-2</v>
          </cell>
          <cell r="U246">
            <v>4.6108221362001579E-2</v>
          </cell>
          <cell r="V246">
            <v>4.831123821790604E-2</v>
          </cell>
          <cell r="W246">
            <v>4.9357370362739357E-2</v>
          </cell>
          <cell r="X246">
            <v>5.0092778301318308E-2</v>
          </cell>
          <cell r="Y246">
            <v>5.0940647361871615E-2</v>
          </cell>
          <cell r="Z246">
            <v>5.187886251132031E-2</v>
          </cell>
          <cell r="AA246">
            <v>5.2830299298724931E-2</v>
          </cell>
          <cell r="AB246">
            <v>5.3795004628665898E-2</v>
          </cell>
          <cell r="AC246">
            <v>5.4773020546239615E-2</v>
          </cell>
          <cell r="AD246">
            <v>5.5764384084423503E-2</v>
          </cell>
          <cell r="AE246">
            <v>5.6769127112756085E-2</v>
          </cell>
          <cell r="AF246">
            <v>5.7787276187621438E-2</v>
          </cell>
          <cell r="AG246">
            <v>5.881885240443499E-2</v>
          </cell>
          <cell r="AH246">
            <v>5.9863871252034927E-2</v>
          </cell>
          <cell r="AI246">
            <v>6.0922342469589469E-2</v>
          </cell>
          <cell r="AJ246">
            <v>6.199426990633685E-2</v>
          </cell>
        </row>
        <row r="247">
          <cell r="I247" t="str">
            <v>CAD / USD</v>
          </cell>
          <cell r="N247">
            <v>3.4641213598844522E-3</v>
          </cell>
          <cell r="O247">
            <v>6.8220895833453936E-3</v>
          </cell>
          <cell r="P247">
            <v>1.4882062146892654E-2</v>
          </cell>
          <cell r="Q247">
            <v>2.4839118050427256E-2</v>
          </cell>
          <cell r="R247">
            <v>3.1513911565689244E-2</v>
          </cell>
          <cell r="S247">
            <v>3.8913139201705117E-2</v>
          </cell>
          <cell r="T247">
            <v>4.3345318860022818E-2</v>
          </cell>
          <cell r="U247">
            <v>4.6108221362001579E-2</v>
          </cell>
          <cell r="V247">
            <v>4.831123821790604E-2</v>
          </cell>
          <cell r="W247">
            <v>4.9357370362739357E-2</v>
          </cell>
          <cell r="X247">
            <v>5.0092778301318308E-2</v>
          </cell>
          <cell r="Y247">
            <v>5.0940647361871615E-2</v>
          </cell>
          <cell r="Z247">
            <v>5.187886251132031E-2</v>
          </cell>
          <cell r="AA247">
            <v>5.2830299298724931E-2</v>
          </cell>
          <cell r="AB247">
            <v>5.3795004628665898E-2</v>
          </cell>
          <cell r="AC247">
            <v>5.4773020546239615E-2</v>
          </cell>
          <cell r="AD247">
            <v>5.5764384084423503E-2</v>
          </cell>
          <cell r="AE247">
            <v>5.6769127112756085E-2</v>
          </cell>
          <cell r="AF247">
            <v>5.7787276187621438E-2</v>
          </cell>
          <cell r="AG247">
            <v>5.881885240443499E-2</v>
          </cell>
          <cell r="AH247">
            <v>5.9863871252034927E-2</v>
          </cell>
          <cell r="AI247">
            <v>6.0922342469589469E-2</v>
          </cell>
          <cell r="AJ247">
            <v>6.199426990633685E-2</v>
          </cell>
        </row>
        <row r="248">
          <cell r="I248" t="str">
            <v>USD / USD</v>
          </cell>
          <cell r="N248">
            <v>3.4641213598844522E-3</v>
          </cell>
          <cell r="O248">
            <v>6.8220895833453936E-3</v>
          </cell>
          <cell r="P248">
            <v>1.4882062146892654E-2</v>
          </cell>
          <cell r="Q248">
            <v>2.4839118050427256E-2</v>
          </cell>
          <cell r="R248">
            <v>3.1513911565689244E-2</v>
          </cell>
          <cell r="S248">
            <v>3.8913139201705117E-2</v>
          </cell>
          <cell r="T248">
            <v>4.3345318860022818E-2</v>
          </cell>
          <cell r="U248">
            <v>4.6108221362001579E-2</v>
          </cell>
          <cell r="V248">
            <v>4.831123821790604E-2</v>
          </cell>
          <cell r="W248">
            <v>4.9357370362739357E-2</v>
          </cell>
          <cell r="X248">
            <v>5.0092778301318308E-2</v>
          </cell>
          <cell r="Y248">
            <v>5.0940647361871615E-2</v>
          </cell>
          <cell r="Z248">
            <v>5.187886251132031E-2</v>
          </cell>
          <cell r="AA248">
            <v>5.2830299298724931E-2</v>
          </cell>
          <cell r="AB248">
            <v>5.3795004628665898E-2</v>
          </cell>
          <cell r="AC248">
            <v>5.4773020546239615E-2</v>
          </cell>
          <cell r="AD248">
            <v>5.5764384084423503E-2</v>
          </cell>
          <cell r="AE248">
            <v>5.6769127112756085E-2</v>
          </cell>
          <cell r="AF248">
            <v>5.7787276187621438E-2</v>
          </cell>
          <cell r="AG248">
            <v>5.881885240443499E-2</v>
          </cell>
          <cell r="AH248">
            <v>5.9863871252034927E-2</v>
          </cell>
          <cell r="AI248">
            <v>6.0922342469589469E-2</v>
          </cell>
          <cell r="AJ248">
            <v>6.199426990633685E-2</v>
          </cell>
        </row>
        <row r="250">
          <cell r="I250" t="str">
            <v>Weighted Exchange rates</v>
          </cell>
        </row>
        <row r="251">
          <cell r="I251" t="str">
            <v xml:space="preserve">EUR / USD </v>
          </cell>
          <cell r="N251">
            <v>7.9560524528611551E-2</v>
          </cell>
          <cell r="O251">
            <v>6.1516643163467138E-2</v>
          </cell>
          <cell r="P251">
            <v>-4.1363730990592484E-2</v>
          </cell>
          <cell r="Q251">
            <v>-3.565363774701482E-2</v>
          </cell>
          <cell r="R251">
            <v>3.4533037336174952E-2</v>
          </cell>
          <cell r="S251">
            <v>-4.3733761795065509E-2</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row>
        <row r="252">
          <cell r="I252" t="str">
            <v>GBP / USD</v>
          </cell>
          <cell r="N252">
            <v>8.3477571486864077E-3</v>
          </cell>
          <cell r="O252">
            <v>-6.8320231003917665E-3</v>
          </cell>
          <cell r="P252">
            <v>-1.3743995768595094E-2</v>
          </cell>
          <cell r="Q252">
            <v>-1.0367912528542523E-3</v>
          </cell>
          <cell r="R252">
            <v>2.9498839512811332E-3</v>
          </cell>
          <cell r="S252">
            <v>-1.9970452802016421E-3</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row>
        <row r="253">
          <cell r="I253" t="str">
            <v>YEN / USD</v>
          </cell>
          <cell r="N253">
            <v>-7.3859622854320148E-5</v>
          </cell>
          <cell r="O253">
            <v>2.2353165936819853E-3</v>
          </cell>
          <cell r="P253">
            <v>2.5419307387830742E-3</v>
          </cell>
          <cell r="Q253">
            <v>2.1245322501716409E-3</v>
          </cell>
          <cell r="R253">
            <v>4.2321581635997862E-3</v>
          </cell>
          <cell r="S253">
            <v>1.5726304896031391E-3</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row>
        <row r="254">
          <cell r="I254" t="str">
            <v xml:space="preserve">AUD / USD </v>
          </cell>
          <cell r="N254">
            <v>7.1935664011514306E-4</v>
          </cell>
          <cell r="O254">
            <v>2.6247530863002217E-4</v>
          </cell>
          <cell r="P254">
            <v>-1.7500376044754212E-3</v>
          </cell>
          <cell r="Q254">
            <v>5.2327429000853989E-3</v>
          </cell>
          <cell r="R254">
            <v>4.9584600213660171E-3</v>
          </cell>
          <cell r="S254">
            <v>1.4387993152046047E-5</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row>
        <row r="255">
          <cell r="I255" t="str">
            <v xml:space="preserve">CNY / USD </v>
          </cell>
          <cell r="N255">
            <v>3.0416253306328396E-4</v>
          </cell>
          <cell r="O255">
            <v>1.495318411869012E-3</v>
          </cell>
          <cell r="P255">
            <v>4.2896186788788732E-4</v>
          </cell>
          <cell r="Q255">
            <v>2.8876532733913683E-4</v>
          </cell>
          <cell r="R255">
            <v>1.9080577483348267E-3</v>
          </cell>
          <cell r="S255">
            <v>1.1863435829336368E-3</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row>
        <row r="256">
          <cell r="I256" t="str">
            <v xml:space="preserve">BRL / USD </v>
          </cell>
          <cell r="N256">
            <v>4.180185653182283E-4</v>
          </cell>
          <cell r="O256">
            <v>5.2773404357074269E-4</v>
          </cell>
          <cell r="P256">
            <v>-1.342419461202658E-3</v>
          </cell>
          <cell r="Q256">
            <v>3.0537880609289932E-3</v>
          </cell>
          <cell r="R256">
            <v>1.8030208983371551E-3</v>
          </cell>
          <cell r="S256">
            <v>-3.4317917986471159E-3</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row>
        <row r="257">
          <cell r="I257" t="str">
            <v>CAD / USD</v>
          </cell>
          <cell r="N257">
            <v>2.1019677073133499E-4</v>
          </cell>
          <cell r="O257">
            <v>6.054677453140181E-5</v>
          </cell>
          <cell r="P257">
            <v>-1.0047560771140034E-3</v>
          </cell>
          <cell r="Q257">
            <v>2.5607047137687542E-3</v>
          </cell>
          <cell r="R257">
            <v>1.3313450532645634E-3</v>
          </cell>
          <cell r="S257">
            <v>-9.3483863826143297E-4</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row>
        <row r="258">
          <cell r="I258" t="str">
            <v>USD / USD</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row>
        <row r="260">
          <cell r="I260" t="str">
            <v xml:space="preserve">Weighted F/X favorable / (unfavorable) </v>
          </cell>
          <cell r="N260">
            <v>8.9486156563671634E-2</v>
          </cell>
          <cell r="O260">
            <v>5.9266011195358535E-2</v>
          </cell>
          <cell r="P260">
            <v>-5.6234047295308703E-2</v>
          </cell>
          <cell r="Q260">
            <v>-2.342989574757515E-2</v>
          </cell>
          <cell r="R260">
            <v>5.1715963172358437E-2</v>
          </cell>
          <cell r="S260">
            <v>-4.7324075446486875E-2</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row>
        <row r="261">
          <cell r="I261" t="str">
            <v xml:space="preserve">Actual </v>
          </cell>
        </row>
        <row r="262">
          <cell r="I262" t="str">
            <v>Difference</v>
          </cell>
        </row>
        <row r="264">
          <cell r="I264" t="str">
            <v>Revenue by Geography</v>
          </cell>
        </row>
        <row r="265">
          <cell r="I265" t="str">
            <v>US</v>
          </cell>
          <cell r="M265">
            <v>940.40299999999991</v>
          </cell>
          <cell r="N265">
            <v>1018.3179999999999</v>
          </cell>
          <cell r="O265">
            <v>1265.0059999999999</v>
          </cell>
          <cell r="P265">
            <v>1486.212</v>
          </cell>
          <cell r="Q265">
            <v>1640.6060000000002</v>
          </cell>
          <cell r="R265">
            <v>1794.9814725000001</v>
          </cell>
          <cell r="S265">
            <v>1958.932557956</v>
          </cell>
          <cell r="T265">
            <v>2109.2303651377501</v>
          </cell>
          <cell r="U265">
            <v>2256.9269370723368</v>
          </cell>
          <cell r="V265">
            <v>2376.4382518715574</v>
          </cell>
          <cell r="W265">
            <v>2494.1441868350289</v>
          </cell>
          <cell r="X265">
            <v>2593.9399999318916</v>
          </cell>
          <cell r="Y265">
            <v>2697.7511664056842</v>
          </cell>
          <cell r="Z265">
            <v>2805.7393588298723</v>
          </cell>
          <cell r="AA265">
            <v>2918.0727643105861</v>
          </cell>
          <cell r="AB265">
            <v>3034.9263472112671</v>
          </cell>
          <cell r="AC265">
            <v>3156.4821224827469</v>
          </cell>
          <cell r="AD265">
            <v>3282.929440027322</v>
          </cell>
          <cell r="AE265">
            <v>3414.4652805427168</v>
          </cell>
          <cell r="AF265">
            <v>3551.2945633098707</v>
          </cell>
          <cell r="AG265">
            <v>3693.6304664072568</v>
          </cell>
          <cell r="AH265">
            <v>3841.6947598539623</v>
          </cell>
          <cell r="AI265">
            <v>3995.7181522041046</v>
          </cell>
          <cell r="AJ265">
            <v>4155.9406511362722</v>
          </cell>
        </row>
        <row r="266">
          <cell r="I266" t="str">
            <v>y/y Growth - %</v>
          </cell>
          <cell r="M266" t="str">
            <v>NA</v>
          </cell>
          <cell r="N266">
            <v>8.2852776947755391E-2</v>
          </cell>
          <cell r="O266">
            <v>0.24225045614434793</v>
          </cell>
          <cell r="P266">
            <v>0.17486557376012457</v>
          </cell>
          <cell r="Q266">
            <v>0.10388423724206253</v>
          </cell>
          <cell r="R266">
            <v>9.4096615823665131E-2</v>
          </cell>
          <cell r="S266">
            <v>9.1338594836666065E-2</v>
          </cell>
          <cell r="T266">
            <v>7.6724339779504547E-2</v>
          </cell>
          <cell r="U266">
            <v>7.0023916958421362E-2</v>
          </cell>
          <cell r="V266">
            <v>5.2953116397400635E-2</v>
          </cell>
          <cell r="W266">
            <v>4.9530399062871711E-2</v>
          </cell>
          <cell r="X266">
            <v>4.0012046466126661E-2</v>
          </cell>
          <cell r="Y266">
            <v>4.002065062280491E-2</v>
          </cell>
          <cell r="Z266">
            <v>4.0028967003678417E-2</v>
          </cell>
          <cell r="AA266">
            <v>4.0037006690301524E-2</v>
          </cell>
          <cell r="AB266">
            <v>4.0044780352928688E-2</v>
          </cell>
          <cell r="AC266">
            <v>4.0052298265219832E-2</v>
          </cell>
          <cell r="AD266">
            <v>4.0059570318464965E-2</v>
          </cell>
          <cell r="AE266">
            <v>4.0066606035340291E-2</v>
          </cell>
          <cell r="AF266">
            <v>4.0073414583206901E-2</v>
          </cell>
          <cell r="AG266">
            <v>4.008000478696605E-2</v>
          </cell>
          <cell r="AH266">
            <v>4.0086385141479886E-2</v>
          </cell>
          <cell r="AI266">
            <v>4.0092563823576066E-2</v>
          </cell>
          <cell r="AJ266">
            <v>4.009854870363827E-2</v>
          </cell>
        </row>
        <row r="267">
          <cell r="I267" t="str">
            <v>% of total revenue</v>
          </cell>
          <cell r="M267">
            <v>0.83732569497187692</v>
          </cell>
          <cell r="N267">
            <v>0.73217200237558044</v>
          </cell>
          <cell r="O267">
            <v>0.67115979045058205</v>
          </cell>
          <cell r="P267">
            <v>0.6356190114497744</v>
          </cell>
          <cell r="Q267">
            <v>0.53181717692532615</v>
          </cell>
          <cell r="R267">
            <v>0.41446590515897908</v>
          </cell>
          <cell r="S267">
            <v>0.36287187404264387</v>
          </cell>
          <cell r="T267">
            <v>0.33070770813082589</v>
          </cell>
          <cell r="U267">
            <v>0.31592121838088433</v>
          </cell>
          <cell r="V267">
            <v>0.30741072145509596</v>
          </cell>
          <cell r="W267">
            <v>0.3020016027404997</v>
          </cell>
          <cell r="X267">
            <v>0.29719329915485809</v>
          </cell>
          <cell r="Y267">
            <v>0.29478001988580987</v>
          </cell>
          <cell r="Z267">
            <v>0.29267557766060154</v>
          </cell>
          <cell r="AA267">
            <v>0.29056612377144381</v>
          </cell>
          <cell r="AB267">
            <v>0.28845165589137667</v>
          </cell>
          <cell r="AC267">
            <v>0.2863321795008022</v>
          </cell>
          <cell r="AD267">
            <v>0.28420770791119337</v>
          </cell>
          <cell r="AE267">
            <v>0.28207826229003141</v>
          </cell>
          <cell r="AF267">
            <v>0.27994387168656326</v>
          </cell>
          <cell r="AG267">
            <v>0.2778045730579638</v>
          </cell>
          <cell r="AH267">
            <v>0.27566041129548258</v>
          </cell>
          <cell r="AI267">
            <v>0.27351143925015092</v>
          </cell>
          <cell r="AJ267">
            <v>0.27135771775762096</v>
          </cell>
        </row>
        <row r="268">
          <cell r="I268" t="str">
            <v>International</v>
          </cell>
          <cell r="M268">
            <v>182.7</v>
          </cell>
          <cell r="N268">
            <v>372.5</v>
          </cell>
          <cell r="O268">
            <v>619.79999999999995</v>
          </cell>
          <cell r="P268">
            <v>851.99999999999989</v>
          </cell>
          <cell r="Q268">
            <v>1444.3000000000002</v>
          </cell>
          <cell r="R268">
            <v>2535.8487602340742</v>
          </cell>
          <cell r="S268">
            <v>3439.4813122955989</v>
          </cell>
          <cell r="T268">
            <v>4268.6988856172766</v>
          </cell>
          <cell r="U268">
            <v>4887.0279661127861</v>
          </cell>
          <cell r="V268">
            <v>5354.0606735495849</v>
          </cell>
          <cell r="W268">
            <v>5764.567569003455</v>
          </cell>
          <cell r="X268">
            <v>6134.1841109023544</v>
          </cell>
          <cell r="Y268">
            <v>6453.9924539751064</v>
          </cell>
          <cell r="Z268">
            <v>6780.7774980139911</v>
          </cell>
          <cell r="AA268">
            <v>7124.6422171712557</v>
          </cell>
          <cell r="AB268">
            <v>7486.512116481038</v>
          </cell>
          <cell r="AC268">
            <v>7867.3648233471877</v>
          </cell>
          <cell r="AD268">
            <v>8268.2331380584965</v>
          </cell>
          <cell r="AE268">
            <v>8690.2082693530974</v>
          </cell>
          <cell r="AF268">
            <v>9134.443266615006</v>
          </cell>
          <cell r="AG268">
            <v>9602.1566610299233</v>
          </cell>
          <cell r="AH268">
            <v>10094.636328820279</v>
          </cell>
          <cell r="AI268">
            <v>10613.24359052454</v>
          </cell>
          <cell r="AJ268">
            <v>11159.41756118623</v>
          </cell>
        </row>
        <row r="269">
          <cell r="I269" t="str">
            <v>y/y Growth - %</v>
          </cell>
          <cell r="M269" t="str">
            <v>NA</v>
          </cell>
          <cell r="N269">
            <v>1.0388615216201424</v>
          </cell>
          <cell r="O269">
            <v>0.66389261744966421</v>
          </cell>
          <cell r="P269">
            <v>0.37463697967086151</v>
          </cell>
          <cell r="Q269">
            <v>0.69518779342723058</v>
          </cell>
          <cell r="R269">
            <v>0.75576317955692995</v>
          </cell>
          <cell r="S269">
            <v>0.35634323553984903</v>
          </cell>
          <cell r="T269">
            <v>0.24108797171171026</v>
          </cell>
          <cell r="U269">
            <v>0.14485188509755842</v>
          </cell>
          <cell r="V269">
            <v>9.5565793908947816E-2</v>
          </cell>
          <cell r="W269">
            <v>7.6672066396609617E-2</v>
          </cell>
          <cell r="X269">
            <v>6.4118693635643709E-2</v>
          </cell>
          <cell r="Y269">
            <v>5.2135432730874953E-2</v>
          </cell>
          <cell r="Z269">
            <v>5.0633006835577143E-2</v>
          </cell>
          <cell r="AA269">
            <v>5.0711694825258391E-2</v>
          </cell>
          <cell r="AB269">
            <v>5.0791308290208947E-2</v>
          </cell>
          <cell r="AC269">
            <v>5.0871848056951441E-2</v>
          </cell>
          <cell r="AD269">
            <v>5.0953314573857433E-2</v>
          </cell>
          <cell r="AE269">
            <v>5.1035707901396554E-2</v>
          </cell>
          <cell r="AF269">
            <v>5.111902770254062E-2</v>
          </cell>
          <cell r="AG269">
            <v>5.1203273233338509E-2</v>
          </cell>
          <cell r="AH269">
            <v>5.1288443333680434E-2</v>
          </cell>
          <cell r="AI269">
            <v>5.137453641827916E-2</v>
          </cell>
          <cell r="AJ269">
            <v>5.146155046788059E-2</v>
          </cell>
        </row>
        <row r="270">
          <cell r="I270" t="str">
            <v>(+/-) FX y/y Growth - %</v>
          </cell>
          <cell r="M270" t="str">
            <v>NA</v>
          </cell>
          <cell r="N270" t="str">
            <v>NA</v>
          </cell>
          <cell r="O270" t="str">
            <v>NA</v>
          </cell>
          <cell r="P270" t="str">
            <v>NA</v>
          </cell>
          <cell r="Q270">
            <v>7.4812206572769435E-2</v>
          </cell>
          <cell r="R270">
            <v>-8.4024519161382649E-2</v>
          </cell>
          <cell r="S270">
            <v>4.9963834690652353E-2</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row>
        <row r="271">
          <cell r="I271" t="str">
            <v>y/y Growth - % (excl F/X)</v>
          </cell>
          <cell r="M271" t="str">
            <v>NA</v>
          </cell>
          <cell r="N271" t="str">
            <v>NA</v>
          </cell>
          <cell r="O271" t="str">
            <v>NA</v>
          </cell>
          <cell r="P271" t="str">
            <v>NA</v>
          </cell>
          <cell r="Q271">
            <v>0.77</v>
          </cell>
          <cell r="R271">
            <v>0.6717386603955473</v>
          </cell>
          <cell r="S271">
            <v>0.40630707023050139</v>
          </cell>
          <cell r="T271">
            <v>0.24108797171171026</v>
          </cell>
          <cell r="U271">
            <v>0.14485188509755842</v>
          </cell>
          <cell r="V271">
            <v>9.5565793908947816E-2</v>
          </cell>
          <cell r="W271">
            <v>7.6672066396609617E-2</v>
          </cell>
          <cell r="X271">
            <v>6.4118693635643709E-2</v>
          </cell>
          <cell r="Y271">
            <v>5.2135432730874953E-2</v>
          </cell>
          <cell r="Z271">
            <v>5.0633006835577143E-2</v>
          </cell>
          <cell r="AA271">
            <v>5.0711694825258391E-2</v>
          </cell>
          <cell r="AB271">
            <v>5.0791308290208947E-2</v>
          </cell>
          <cell r="AC271">
            <v>5.0871848056951441E-2</v>
          </cell>
          <cell r="AD271">
            <v>5.0953314573857433E-2</v>
          </cell>
          <cell r="AE271">
            <v>5.1035707901396554E-2</v>
          </cell>
          <cell r="AF271">
            <v>5.111902770254062E-2</v>
          </cell>
          <cell r="AG271">
            <v>5.1203273233338509E-2</v>
          </cell>
          <cell r="AH271">
            <v>5.1288443333680434E-2</v>
          </cell>
          <cell r="AI271">
            <v>5.137453641827916E-2</v>
          </cell>
          <cell r="AJ271">
            <v>5.146155046788059E-2</v>
          </cell>
        </row>
        <row r="272">
          <cell r="I272" t="str">
            <v>% of total revenue</v>
          </cell>
          <cell r="M272">
            <v>0.16267430502812297</v>
          </cell>
          <cell r="N272">
            <v>0.26782799762441961</v>
          </cell>
          <cell r="O272">
            <v>0.32884020954941778</v>
          </cell>
          <cell r="P272">
            <v>0.36438098855022549</v>
          </cell>
          <cell r="Q272">
            <v>0.46818282307467396</v>
          </cell>
          <cell r="R272">
            <v>0.58553409484102092</v>
          </cell>
          <cell r="S272">
            <v>0.63712812595735602</v>
          </cell>
          <cell r="T272">
            <v>0.66929229186917416</v>
          </cell>
          <cell r="U272">
            <v>0.68407878161911551</v>
          </cell>
          <cell r="V272">
            <v>0.69258927854490404</v>
          </cell>
          <cell r="W272">
            <v>0.69799839725950019</v>
          </cell>
          <cell r="X272">
            <v>0.70280670084514196</v>
          </cell>
          <cell r="Y272">
            <v>0.70521998011418974</v>
          </cell>
          <cell r="Z272">
            <v>0.7073244223393983</v>
          </cell>
          <cell r="AA272">
            <v>0.70943387622855614</v>
          </cell>
          <cell r="AB272">
            <v>0.71154834410862344</v>
          </cell>
          <cell r="AC272">
            <v>0.71366782049919775</v>
          </cell>
          <cell r="AD272">
            <v>0.71579229208880657</v>
          </cell>
          <cell r="AE272">
            <v>0.7179217377099687</v>
          </cell>
          <cell r="AF272">
            <v>0.72005612831343679</v>
          </cell>
          <cell r="AG272">
            <v>0.7221954269420362</v>
          </cell>
          <cell r="AH272">
            <v>0.72433958870451731</v>
          </cell>
          <cell r="AI272">
            <v>0.72648856074984913</v>
          </cell>
          <cell r="AJ272">
            <v>0.72864228224237892</v>
          </cell>
        </row>
        <row r="274">
          <cell r="I274" t="str">
            <v>Gross Profit by Geography</v>
          </cell>
        </row>
        <row r="275">
          <cell r="I275" t="str">
            <v>US</v>
          </cell>
          <cell r="M275">
            <v>218.399</v>
          </cell>
          <cell r="N275">
            <v>248.31999999999994</v>
          </cell>
          <cell r="O275">
            <v>336.17100000000005</v>
          </cell>
          <cell r="P275">
            <v>408.76300000000003</v>
          </cell>
          <cell r="Q275">
            <v>464.67199999999991</v>
          </cell>
          <cell r="R275">
            <v>510.44530250000025</v>
          </cell>
          <cell r="S275">
            <v>544.15641128599998</v>
          </cell>
          <cell r="T275">
            <v>582.98927010500006</v>
          </cell>
          <cell r="U275">
            <v>617.88413053969714</v>
          </cell>
          <cell r="V275">
            <v>647.24809097962236</v>
          </cell>
          <cell r="W275">
            <v>678.49451789849672</v>
          </cell>
          <cell r="X275">
            <v>705.66434423789815</v>
          </cell>
          <cell r="Y275">
            <v>733.94448448393155</v>
          </cell>
          <cell r="Z275">
            <v>763.38040963124945</v>
          </cell>
          <cell r="AA275">
            <v>794.01945714401825</v>
          </cell>
          <cell r="AB275">
            <v>825.91090775803627</v>
          </cell>
          <cell r="AC275">
            <v>859.1060654513866</v>
          </cell>
          <cell r="AD275">
            <v>893.65834071470715</v>
          </cell>
          <cell r="AE275">
            <v>929.62333725759743</v>
          </cell>
          <cell r="AF275">
            <v>967.05894229334706</v>
          </cell>
          <cell r="AG275">
            <v>1006.0254205500717</v>
          </cell>
          <cell r="AH275">
            <v>1046.5855121624897</v>
          </cell>
          <cell r="AI275">
            <v>1088.8045346049732</v>
          </cell>
          <cell r="AJ275">
            <v>1132.7504888331757</v>
          </cell>
        </row>
        <row r="276">
          <cell r="I276" t="str">
            <v>y/y Growth - %</v>
          </cell>
          <cell r="M276" t="str">
            <v>NA</v>
          </cell>
          <cell r="N276">
            <v>0.1370015430473579</v>
          </cell>
          <cell r="O276">
            <v>0.35378141108247485</v>
          </cell>
          <cell r="P276">
            <v>0.21593772217115692</v>
          </cell>
          <cell r="Q276">
            <v>0.13677607806968806</v>
          </cell>
          <cell r="R276">
            <v>9.8506693969079961E-2</v>
          </cell>
          <cell r="S276">
            <v>6.6042548772401899E-2</v>
          </cell>
          <cell r="T276">
            <v>7.1363413190752789E-2</v>
          </cell>
          <cell r="U276">
            <v>5.9855064619649401E-2</v>
          </cell>
          <cell r="V276">
            <v>4.7523409306979625E-2</v>
          </cell>
          <cell r="W276">
            <v>4.8275811631336429E-2</v>
          </cell>
          <cell r="X276">
            <v>4.0044282779991613E-2</v>
          </cell>
          <cell r="Y276">
            <v>4.007590928598681E-2</v>
          </cell>
          <cell r="Z276">
            <v>4.0106473676977838E-2</v>
          </cell>
          <cell r="AA276">
            <v>4.0136014922846908E-2</v>
          </cell>
          <cell r="AB276">
            <v>4.016457068788637E-2</v>
          </cell>
          <cell r="AC276">
            <v>4.0192177366272785E-2</v>
          </cell>
          <cell r="AD276">
            <v>4.0218870117237904E-2</v>
          </cell>
          <cell r="AE276">
            <v>4.0244682899873263E-2</v>
          </cell>
          <cell r="AF276">
            <v>4.0269648507518241E-2</v>
          </cell>
          <cell r="AG276">
            <v>4.0293798601682917E-2</v>
          </cell>
          <cell r="AH276">
            <v>4.0317163745465567E-2</v>
          </cell>
          <cell r="AI276">
            <v>4.0339773436428583E-2</v>
          </cell>
          <cell r="AJ276">
            <v>4.0361656138901303E-2</v>
          </cell>
        </row>
        <row r="277">
          <cell r="I277" t="str">
            <v>% of total gross profit</v>
          </cell>
          <cell r="M277">
            <v>0.54450148217771677</v>
          </cell>
          <cell r="N277">
            <v>0.39998711381720942</v>
          </cell>
          <cell r="O277">
            <v>0.35165397276695642</v>
          </cell>
          <cell r="P277">
            <v>0.32421874690167785</v>
          </cell>
          <cell r="Q277">
            <v>0.24341478031107838</v>
          </cell>
          <cell r="R277">
            <v>0.16756271456008792</v>
          </cell>
          <cell r="S277">
            <v>0.13659786583122352</v>
          </cell>
          <cell r="T277">
            <v>0.12016214797676127</v>
          </cell>
          <cell r="U277">
            <v>0.11224232461685087</v>
          </cell>
          <cell r="V277">
            <v>0.10785115653525253</v>
          </cell>
          <cell r="W277">
            <v>0.10530622066762366</v>
          </cell>
          <cell r="X277">
            <v>0.10316958758166353</v>
          </cell>
          <cell r="Y277">
            <v>0.10210780795209309</v>
          </cell>
          <cell r="Z277">
            <v>0.10118828621782168</v>
          </cell>
          <cell r="AA277">
            <v>0.10027192596439309</v>
          </cell>
          <cell r="AB277">
            <v>9.9358623273824637E-2</v>
          </cell>
          <cell r="AC277">
            <v>9.8448281831106266E-2</v>
          </cell>
          <cell r="AD277">
            <v>9.7540812700650958E-2</v>
          </cell>
          <cell r="AE277">
            <v>9.6636134110576893E-2</v>
          </cell>
          <cell r="AF277">
            <v>9.5734171244402963E-2</v>
          </cell>
          <cell r="AG277">
            <v>9.4834856039747853E-2</v>
          </cell>
          <cell r="AH277">
            <v>9.393812699363413E-2</v>
          </cell>
          <cell r="AI277">
            <v>9.3043928974007942E-2</v>
          </cell>
          <cell r="AJ277">
            <v>9.2152213037096198E-2</v>
          </cell>
        </row>
        <row r="278">
          <cell r="I278" t="str">
            <v>International</v>
          </cell>
          <cell r="M278">
            <v>182.7</v>
          </cell>
          <cell r="N278">
            <v>372.5</v>
          </cell>
          <cell r="O278">
            <v>619.79999999999995</v>
          </cell>
          <cell r="P278">
            <v>851.99999999999989</v>
          </cell>
          <cell r="Q278">
            <v>1444.3000000000002</v>
          </cell>
          <cell r="R278">
            <v>2535.8487602340742</v>
          </cell>
          <cell r="S278">
            <v>3439.4813122955989</v>
          </cell>
          <cell r="T278">
            <v>4268.6988856172766</v>
          </cell>
          <cell r="U278">
            <v>4887.0279661127861</v>
          </cell>
          <cell r="V278">
            <v>5354.0606735495849</v>
          </cell>
          <cell r="W278">
            <v>5764.567569003455</v>
          </cell>
          <cell r="X278">
            <v>6134.1841109023544</v>
          </cell>
          <cell r="Y278">
            <v>6453.9924539751064</v>
          </cell>
          <cell r="Z278">
            <v>6780.7774980139911</v>
          </cell>
          <cell r="AA278">
            <v>7124.6422171712557</v>
          </cell>
          <cell r="AB278">
            <v>7486.512116481038</v>
          </cell>
          <cell r="AC278">
            <v>7867.3648233471877</v>
          </cell>
          <cell r="AD278">
            <v>8268.2331380584965</v>
          </cell>
          <cell r="AE278">
            <v>8690.2082693530974</v>
          </cell>
          <cell r="AF278">
            <v>9134.443266615006</v>
          </cell>
          <cell r="AG278">
            <v>9602.1566610299233</v>
          </cell>
          <cell r="AH278">
            <v>10094.636328820279</v>
          </cell>
          <cell r="AI278">
            <v>10613.24359052454</v>
          </cell>
          <cell r="AJ278">
            <v>11159.41756118623</v>
          </cell>
        </row>
        <row r="279">
          <cell r="I279" t="str">
            <v>y/y Growth - %</v>
          </cell>
          <cell r="M279" t="str">
            <v>NA</v>
          </cell>
          <cell r="N279">
            <v>1.0388615216201424</v>
          </cell>
          <cell r="O279">
            <v>0.66389261744966421</v>
          </cell>
          <cell r="P279">
            <v>0.37463697967086151</v>
          </cell>
          <cell r="Q279">
            <v>0.69518779342723058</v>
          </cell>
          <cell r="R279">
            <v>0.75576317955692995</v>
          </cell>
          <cell r="S279">
            <v>0.35634323553984903</v>
          </cell>
          <cell r="T279">
            <v>0.24108797171171026</v>
          </cell>
          <cell r="U279">
            <v>0.14485188509755842</v>
          </cell>
          <cell r="V279">
            <v>9.5565793908947816E-2</v>
          </cell>
          <cell r="W279">
            <v>7.6672066396609617E-2</v>
          </cell>
          <cell r="X279">
            <v>6.4118693635643709E-2</v>
          </cell>
          <cell r="Y279">
            <v>5.2135432730874953E-2</v>
          </cell>
          <cell r="Z279">
            <v>5.0633006835577143E-2</v>
          </cell>
          <cell r="AA279">
            <v>5.0711694825258391E-2</v>
          </cell>
          <cell r="AB279">
            <v>5.0791308290208947E-2</v>
          </cell>
          <cell r="AC279">
            <v>5.0871848056951441E-2</v>
          </cell>
          <cell r="AD279">
            <v>5.0953314573857433E-2</v>
          </cell>
          <cell r="AE279">
            <v>5.1035707901396554E-2</v>
          </cell>
          <cell r="AF279">
            <v>5.111902770254062E-2</v>
          </cell>
          <cell r="AG279">
            <v>5.1203273233338509E-2</v>
          </cell>
          <cell r="AH279">
            <v>5.1288443333680434E-2</v>
          </cell>
          <cell r="AI279">
            <v>5.137453641827916E-2</v>
          </cell>
          <cell r="AJ279">
            <v>5.146155046788059E-2</v>
          </cell>
        </row>
        <row r="280">
          <cell r="I280" t="str">
            <v>(+/-) FX y/y Growth - %</v>
          </cell>
          <cell r="M280" t="str">
            <v>NA</v>
          </cell>
          <cell r="N280" t="str">
            <v>NA</v>
          </cell>
          <cell r="O280" t="str">
            <v>NA</v>
          </cell>
          <cell r="P280" t="str">
            <v>NA</v>
          </cell>
          <cell r="Q280">
            <v>7.4812206572769435E-2</v>
          </cell>
          <cell r="R280">
            <v>-8.4024519161382649E-2</v>
          </cell>
          <cell r="S280">
            <v>4.9963834690652353E-2</v>
          </cell>
          <cell r="T280">
            <v>0</v>
          </cell>
          <cell r="U280">
            <v>0</v>
          </cell>
          <cell r="V280">
            <v>0</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row>
        <row r="281">
          <cell r="I281" t="str">
            <v>y/y Growth - % (excl F/X)</v>
          </cell>
          <cell r="M281" t="str">
            <v>NA</v>
          </cell>
          <cell r="N281" t="str">
            <v>NA</v>
          </cell>
          <cell r="O281" t="str">
            <v>NA</v>
          </cell>
          <cell r="P281" t="str">
            <v>NA</v>
          </cell>
          <cell r="Q281">
            <v>0.77</v>
          </cell>
          <cell r="R281">
            <v>0.6717386603955473</v>
          </cell>
          <cell r="S281">
            <v>0.40630707023050139</v>
          </cell>
          <cell r="T281">
            <v>0.24108797171171026</v>
          </cell>
          <cell r="U281">
            <v>0.14485188509755842</v>
          </cell>
          <cell r="V281">
            <v>9.5565793908947816E-2</v>
          </cell>
          <cell r="W281">
            <v>7.6672066396609617E-2</v>
          </cell>
          <cell r="X281">
            <v>6.4118693635643709E-2</v>
          </cell>
          <cell r="Y281">
            <v>5.2135432730874953E-2</v>
          </cell>
          <cell r="Z281">
            <v>5.0633006835577143E-2</v>
          </cell>
          <cell r="AA281">
            <v>5.0711694825258391E-2</v>
          </cell>
          <cell r="AB281">
            <v>5.0791308290208947E-2</v>
          </cell>
          <cell r="AC281">
            <v>5.0871848056951441E-2</v>
          </cell>
          <cell r="AD281">
            <v>5.0953314573857433E-2</v>
          </cell>
          <cell r="AE281">
            <v>5.1035707901396554E-2</v>
          </cell>
          <cell r="AF281">
            <v>5.111902770254062E-2</v>
          </cell>
          <cell r="AG281">
            <v>5.1203273233338509E-2</v>
          </cell>
          <cell r="AH281">
            <v>5.1288443333680434E-2</v>
          </cell>
          <cell r="AI281">
            <v>5.137453641827916E-2</v>
          </cell>
          <cell r="AJ281">
            <v>5.146155046788059E-2</v>
          </cell>
        </row>
        <row r="282">
          <cell r="I282" t="str">
            <v>% of total gross profit</v>
          </cell>
          <cell r="M282">
            <v>0.45549851782228334</v>
          </cell>
          <cell r="N282">
            <v>0.60001288618279058</v>
          </cell>
          <cell r="O282">
            <v>0.64834602723304369</v>
          </cell>
          <cell r="P282">
            <v>0.67578125309832215</v>
          </cell>
          <cell r="Q282">
            <v>0.75658521968892167</v>
          </cell>
          <cell r="R282">
            <v>0.83243728543991213</v>
          </cell>
          <cell r="S282">
            <v>0.86340213416877643</v>
          </cell>
          <cell r="T282">
            <v>0.87983785202323883</v>
          </cell>
          <cell r="U282">
            <v>0.88775767538314909</v>
          </cell>
          <cell r="V282">
            <v>0.89214884346474765</v>
          </cell>
          <cell r="W282">
            <v>0.89469377933237626</v>
          </cell>
          <cell r="X282">
            <v>0.89683041241833661</v>
          </cell>
          <cell r="Y282">
            <v>0.89789219204790671</v>
          </cell>
          <cell r="Z282">
            <v>0.89881171378217817</v>
          </cell>
          <cell r="AA282">
            <v>0.89972807403560684</v>
          </cell>
          <cell r="AB282">
            <v>0.90064137672617528</v>
          </cell>
          <cell r="AC282">
            <v>0.90155171816889357</v>
          </cell>
          <cell r="AD282">
            <v>0.90245918729934893</v>
          </cell>
          <cell r="AE282">
            <v>0.90336386588942319</v>
          </cell>
          <cell r="AF282">
            <v>0.90426582875559713</v>
          </cell>
          <cell r="AG282">
            <v>0.90516514396025205</v>
          </cell>
          <cell r="AH282">
            <v>0.90606187300636565</v>
          </cell>
          <cell r="AI282">
            <v>0.90695607102599207</v>
          </cell>
          <cell r="AJ282">
            <v>0.90784778696290369</v>
          </cell>
        </row>
        <row r="284">
          <cell r="I284" t="str">
            <v>Market Share Forecast - Gross Bookings</v>
          </cell>
        </row>
        <row r="285">
          <cell r="I285" t="str">
            <v>Booking.com Europe</v>
          </cell>
          <cell r="M285">
            <v>1323.9290000000003</v>
          </cell>
          <cell r="N285">
            <v>2596.2659999999996</v>
          </cell>
          <cell r="O285">
            <v>4024.8225000000002</v>
          </cell>
          <cell r="P285">
            <v>4992.1568750000006</v>
          </cell>
          <cell r="Q285">
            <v>7664.4586250000011</v>
          </cell>
          <cell r="R285">
            <v>12567.324086258932</v>
          </cell>
          <cell r="S285">
            <v>15948.969148794769</v>
          </cell>
          <cell r="T285">
            <v>19298.252670041671</v>
          </cell>
          <cell r="U285">
            <v>21614.042990446673</v>
          </cell>
          <cell r="V285">
            <v>23451.236644634639</v>
          </cell>
        </row>
        <row r="286">
          <cell r="I286" t="str">
            <v>y/y Growth - %</v>
          </cell>
          <cell r="M286" t="str">
            <v>NA</v>
          </cell>
          <cell r="N286">
            <v>0.96103114290872016</v>
          </cell>
          <cell r="O286">
            <v>0.55023502984671091</v>
          </cell>
          <cell r="P286">
            <v>0.24034212067737148</v>
          </cell>
          <cell r="Q286">
            <v>0.53530003501742929</v>
          </cell>
          <cell r="R286">
            <v>0.63968842434176887</v>
          </cell>
          <cell r="S286">
            <v>0.2690823471508399</v>
          </cell>
          <cell r="T286">
            <v>0.20999999999999996</v>
          </cell>
          <cell r="U286">
            <v>0.12000000000000011</v>
          </cell>
          <cell r="V286">
            <v>8.4999999999999964E-2</v>
          </cell>
        </row>
        <row r="287">
          <cell r="I287" t="str">
            <v>Europe Hotel Market</v>
          </cell>
          <cell r="M287">
            <v>110240.63217127256</v>
          </cell>
          <cell r="N287">
            <v>112974.7097890833</v>
          </cell>
          <cell r="O287">
            <v>113646.98387786282</v>
          </cell>
          <cell r="P287">
            <v>101384.96683493789</v>
          </cell>
          <cell r="Q287">
            <v>103366.79008285188</v>
          </cell>
          <cell r="R287">
            <v>107501.46168616596</v>
          </cell>
          <cell r="S287">
            <v>112876.53477047425</v>
          </cell>
          <cell r="T287">
            <v>117391.59616129322</v>
          </cell>
          <cell r="U287">
            <v>122087.26000774496</v>
          </cell>
          <cell r="V287">
            <v>127581.18670809348</v>
          </cell>
        </row>
        <row r="288">
          <cell r="I288" t="str">
            <v>y/y Growth - %</v>
          </cell>
          <cell r="M288" t="str">
            <v>NA</v>
          </cell>
          <cell r="N288">
            <v>2.4800997272611758E-2</v>
          </cell>
          <cell r="O288">
            <v>5.9506600197036796E-3</v>
          </cell>
          <cell r="P288">
            <v>-0.10789566625105507</v>
          </cell>
          <cell r="Q288">
            <v>1.954750600392785E-2</v>
          </cell>
          <cell r="R288">
            <v>4.0000000000000036E-2</v>
          </cell>
          <cell r="S288">
            <v>4.9999999999999822E-2</v>
          </cell>
          <cell r="T288">
            <v>4.0000000000000036E-2</v>
          </cell>
          <cell r="U288">
            <v>4.0000000000000036E-2</v>
          </cell>
          <cell r="V288">
            <v>4.4999999999999929E-2</v>
          </cell>
        </row>
        <row r="289">
          <cell r="I289" t="str">
            <v>Europe Online Hotel Market</v>
          </cell>
          <cell r="M289">
            <v>11847.607117616632</v>
          </cell>
          <cell r="N289">
            <v>14828.563506068698</v>
          </cell>
          <cell r="O289">
            <v>18250.632357106871</v>
          </cell>
          <cell r="P289">
            <v>19289.359750895801</v>
          </cell>
          <cell r="Q289">
            <v>22430.18734784524</v>
          </cell>
          <cell r="R289">
            <v>26019.017323500477</v>
          </cell>
          <cell r="S289">
            <v>29661.679748790546</v>
          </cell>
          <cell r="T289">
            <v>33517.698116133317</v>
          </cell>
          <cell r="U289">
            <v>37204.644908907991</v>
          </cell>
          <cell r="V289">
            <v>40925.109399798792</v>
          </cell>
        </row>
        <row r="290">
          <cell r="I290" t="str">
            <v>y/y Growth - %</v>
          </cell>
          <cell r="M290" t="str">
            <v>NA</v>
          </cell>
          <cell r="N290">
            <v>0.25160830865327877</v>
          </cell>
          <cell r="O290">
            <v>0.23077547934010378</v>
          </cell>
          <cell r="P290">
            <v>5.6914597448698423E-2</v>
          </cell>
          <cell r="Q290">
            <v>0.16282694902839268</v>
          </cell>
          <cell r="R290">
            <v>0.15999999999999992</v>
          </cell>
          <cell r="S290">
            <v>0.14000000000000012</v>
          </cell>
          <cell r="T290">
            <v>0.12999999999999989</v>
          </cell>
          <cell r="U290">
            <v>0.11000000000000032</v>
          </cell>
          <cell r="V290">
            <v>0.10000000000000009</v>
          </cell>
        </row>
        <row r="291">
          <cell r="I291" t="str">
            <v>Seasonality</v>
          </cell>
          <cell r="M291" t="str">
            <v>NA</v>
          </cell>
          <cell r="N291" t="str">
            <v>NA</v>
          </cell>
          <cell r="O291" t="str">
            <v>NA</v>
          </cell>
          <cell r="P291" t="str">
            <v>NA</v>
          </cell>
          <cell r="Q291" t="str">
            <v>NA</v>
          </cell>
          <cell r="R291" t="str">
            <v>NA</v>
          </cell>
          <cell r="S291" t="str">
            <v>NA</v>
          </cell>
          <cell r="T291" t="str">
            <v>NA</v>
          </cell>
          <cell r="U291" t="str">
            <v>NA</v>
          </cell>
          <cell r="V291" t="str">
            <v>NA</v>
          </cell>
        </row>
        <row r="292">
          <cell r="I292" t="str">
            <v>Booking.com Europe Hotel Market Share</v>
          </cell>
          <cell r="M292">
            <v>1.2009446734150723E-2</v>
          </cell>
          <cell r="N292">
            <v>2.2980948610950767E-2</v>
          </cell>
          <cell r="O292">
            <v>3.5415128168517912E-2</v>
          </cell>
          <cell r="P292">
            <v>4.9239616393302127E-2</v>
          </cell>
          <cell r="Q292">
            <v>7.4148172917594582E-2</v>
          </cell>
          <cell r="R292">
            <v>0.1169037507875689</v>
          </cell>
          <cell r="S292">
            <v>0.14129570137164266</v>
          </cell>
          <cell r="T292">
            <v>0.1643921140958535</v>
          </cell>
          <cell r="U292">
            <v>0.17703766133399607</v>
          </cell>
          <cell r="V292">
            <v>0.18381422253338348</v>
          </cell>
        </row>
        <row r="293">
          <cell r="I293" t="str">
            <v>Booking.com Europe Online Hotel Market Share</v>
          </cell>
          <cell r="M293">
            <v>0.11174653133385921</v>
          </cell>
          <cell r="N293">
            <v>0.17508546926595139</v>
          </cell>
          <cell r="O293">
            <v>0.22053057785872926</v>
          </cell>
          <cell r="P293">
            <v>0.25880365856975446</v>
          </cell>
          <cell r="Q293">
            <v>0.34170283583192135</v>
          </cell>
          <cell r="R293">
            <v>0.4830053314468597</v>
          </cell>
          <cell r="S293">
            <v>0.53769608747276321</v>
          </cell>
          <cell r="T293">
            <v>0.57576306711685266</v>
          </cell>
          <cell r="U293">
            <v>0.58095012177556293</v>
          </cell>
          <cell r="V293">
            <v>0.57302807466044148</v>
          </cell>
        </row>
        <row r="295">
          <cell r="I295" t="str">
            <v>Priceline Asia Pacific</v>
          </cell>
          <cell r="M295">
            <v>15.030000000000001</v>
          </cell>
          <cell r="N295">
            <v>50.975000000000001</v>
          </cell>
          <cell r="O295">
            <v>205.12249999999997</v>
          </cell>
          <cell r="P295">
            <v>418.96712499999995</v>
          </cell>
          <cell r="Q295">
            <v>923.49137500000006</v>
          </cell>
          <cell r="R295">
            <v>2006.4724760699351</v>
          </cell>
          <cell r="S295">
            <v>3380.9380002455841</v>
          </cell>
          <cell r="T295">
            <v>4545.0935970207502</v>
          </cell>
          <cell r="U295">
            <v>5405.1752195609033</v>
          </cell>
          <cell r="V295">
            <v>5938.3046973091787</v>
          </cell>
        </row>
        <row r="296">
          <cell r="I296" t="str">
            <v>y/y Growth - %</v>
          </cell>
          <cell r="M296" t="str">
            <v>NA</v>
          </cell>
          <cell r="N296" t="str">
            <v>NM</v>
          </cell>
          <cell r="O296" t="str">
            <v>NM</v>
          </cell>
          <cell r="P296">
            <v>1.042521542005387</v>
          </cell>
          <cell r="Q296">
            <v>1.2042096381667182</v>
          </cell>
          <cell r="R296">
            <v>1.1727029947301184</v>
          </cell>
          <cell r="S296">
            <v>0.685015887617759</v>
          </cell>
          <cell r="T296">
            <v>0.3443291763086469</v>
          </cell>
          <cell r="U296">
            <v>0.18923298369563302</v>
          </cell>
          <cell r="V296">
            <v>9.8633153615246716E-2</v>
          </cell>
        </row>
        <row r="297">
          <cell r="I297" t="str">
            <v>Asia Hotel Market</v>
          </cell>
          <cell r="M297" t="str">
            <v>NA</v>
          </cell>
          <cell r="N297" t="str">
            <v>NA</v>
          </cell>
          <cell r="O297">
            <v>76295.456801565451</v>
          </cell>
          <cell r="P297">
            <v>72181.113947222824</v>
          </cell>
          <cell r="Q297">
            <v>84131.852926779</v>
          </cell>
          <cell r="R297">
            <v>94227.675277992486</v>
          </cell>
          <cell r="S297">
            <v>104592.71955857167</v>
          </cell>
          <cell r="T297">
            <v>116097.91871001456</v>
          </cell>
          <cell r="U297">
            <v>127707.71058101603</v>
          </cell>
          <cell r="V297">
            <v>137924.32742749734</v>
          </cell>
        </row>
        <row r="298">
          <cell r="I298" t="str">
            <v>y/y Growth - %</v>
          </cell>
          <cell r="M298" t="str">
            <v>NA</v>
          </cell>
          <cell r="N298" t="str">
            <v>NA</v>
          </cell>
          <cell r="O298" t="str">
            <v>NA</v>
          </cell>
          <cell r="P298">
            <v>-5.3926446302608788E-2</v>
          </cell>
          <cell r="Q298">
            <v>0.16556600925131582</v>
          </cell>
          <cell r="R298">
            <v>0.12000000000000011</v>
          </cell>
          <cell r="S298">
            <v>0.1100000000000001</v>
          </cell>
          <cell r="T298">
            <v>0.1100000000000001</v>
          </cell>
          <cell r="U298">
            <v>0.10000000000000009</v>
          </cell>
          <cell r="V298">
            <v>8.0000000000000293E-2</v>
          </cell>
        </row>
        <row r="299">
          <cell r="I299" t="str">
            <v xml:space="preserve">Asia Online Hotel Market </v>
          </cell>
          <cell r="M299" t="str">
            <v>NA</v>
          </cell>
          <cell r="N299" t="str">
            <v>NA</v>
          </cell>
          <cell r="O299">
            <v>9316.3781640735124</v>
          </cell>
          <cell r="P299">
            <v>11053.567449892371</v>
          </cell>
          <cell r="Q299">
            <v>14712.570532434493</v>
          </cell>
          <cell r="R299">
            <v>18832.090281516153</v>
          </cell>
          <cell r="S299">
            <v>22975.150143449704</v>
          </cell>
          <cell r="T299">
            <v>27799.931673574141</v>
          </cell>
          <cell r="U299">
            <v>32803.91937481748</v>
          </cell>
          <cell r="V299">
            <v>37396.468087291934</v>
          </cell>
        </row>
        <row r="300">
          <cell r="I300" t="str">
            <v>y/y Growth - %</v>
          </cell>
          <cell r="M300" t="str">
            <v>NA</v>
          </cell>
          <cell r="N300" t="str">
            <v>NA</v>
          </cell>
          <cell r="O300" t="str">
            <v>NA</v>
          </cell>
          <cell r="P300">
            <v>0.18646616262507809</v>
          </cell>
          <cell r="Q300">
            <v>0.33102463065693333</v>
          </cell>
          <cell r="R300">
            <v>0.28000000000000025</v>
          </cell>
          <cell r="S300">
            <v>0.21999999999999975</v>
          </cell>
          <cell r="T300">
            <v>0.20999999999999996</v>
          </cell>
          <cell r="U300">
            <v>0.17999999999999972</v>
          </cell>
          <cell r="V300">
            <v>0.14000000000000012</v>
          </cell>
        </row>
        <row r="301">
          <cell r="I301" t="str">
            <v>Seasonality</v>
          </cell>
          <cell r="M301" t="str">
            <v>NA</v>
          </cell>
          <cell r="N301" t="str">
            <v>NA</v>
          </cell>
          <cell r="O301" t="str">
            <v>NA</v>
          </cell>
          <cell r="P301" t="str">
            <v>NA</v>
          </cell>
          <cell r="Q301" t="str">
            <v>NA</v>
          </cell>
          <cell r="R301" t="str">
            <v>NA</v>
          </cell>
          <cell r="S301" t="str">
            <v>NA</v>
          </cell>
          <cell r="T301" t="str">
            <v>NA</v>
          </cell>
          <cell r="U301" t="str">
            <v>NA</v>
          </cell>
          <cell r="V301" t="str">
            <v>NA</v>
          </cell>
        </row>
        <row r="302">
          <cell r="I302" t="str">
            <v>Asia Hotel Market Share</v>
          </cell>
          <cell r="M302" t="str">
            <v>NA</v>
          </cell>
          <cell r="N302" t="str">
            <v>NA</v>
          </cell>
          <cell r="O302">
            <v>2.6885283685173663E-3</v>
          </cell>
          <cell r="P302">
            <v>5.8043870770176685E-3</v>
          </cell>
          <cell r="Q302">
            <v>1.0976715035668192E-2</v>
          </cell>
          <cell r="R302">
            <v>2.1293876455620891E-2</v>
          </cell>
          <cell r="S302">
            <v>3.2324792915937775E-2</v>
          </cell>
          <cell r="T302">
            <v>3.9148794806333528E-2</v>
          </cell>
          <cell r="U302">
            <v>4.2324580050567377E-2</v>
          </cell>
          <cell r="V302">
            <v>4.3054802644810916E-2</v>
          </cell>
        </row>
        <row r="303">
          <cell r="I303" t="str">
            <v>Asia Online Hotel Market Share</v>
          </cell>
          <cell r="M303" t="str">
            <v>NA</v>
          </cell>
          <cell r="N303" t="str">
            <v>NA</v>
          </cell>
          <cell r="O303">
            <v>2.2017408094382442E-2</v>
          </cell>
          <cell r="P303">
            <v>3.790333997591696E-2</v>
          </cell>
          <cell r="Q303">
            <v>6.2768866457708641E-2</v>
          </cell>
          <cell r="R303">
            <v>0.10654539385037379</v>
          </cell>
          <cell r="S303">
            <v>0.14715629622161583</v>
          </cell>
          <cell r="T303">
            <v>0.16349297726300502</v>
          </cell>
          <cell r="U303">
            <v>0.16477223827437776</v>
          </cell>
          <cell r="V303">
            <v>0.15879319628387936</v>
          </cell>
        </row>
        <row r="305">
          <cell r="I305" t="str">
            <v>Operating Scenarios</v>
          </cell>
        </row>
        <row r="306">
          <cell r="I306" t="str">
            <v>Offline Advertising as % of Gross Profit</v>
          </cell>
        </row>
        <row r="307">
          <cell r="I307" t="str">
            <v>Base Case</v>
          </cell>
          <cell r="M307">
            <v>7.936444618410915E-2</v>
          </cell>
          <cell r="N307">
            <v>5.7928223961856908E-2</v>
          </cell>
          <cell r="O307">
            <v>3.9783633603948237E-2</v>
          </cell>
          <cell r="P307">
            <v>2.8768293485770129E-2</v>
          </cell>
          <cell r="Q307">
            <v>1.8708498605532191E-2</v>
          </cell>
          <cell r="R307">
            <v>1.1940774553686317E-2</v>
          </cell>
          <cell r="S307">
            <v>1.1435752965584974E-2</v>
          </cell>
          <cell r="T307">
            <v>1.0999999999999999E-2</v>
          </cell>
          <cell r="U307">
            <v>0.01</v>
          </cell>
          <cell r="V307">
            <v>0.01</v>
          </cell>
          <cell r="W307">
            <v>0.01</v>
          </cell>
          <cell r="X307">
            <v>0.01</v>
          </cell>
          <cell r="Y307">
            <v>0.01</v>
          </cell>
          <cell r="Z307">
            <v>0.01</v>
          </cell>
          <cell r="AA307">
            <v>0.01</v>
          </cell>
          <cell r="AB307">
            <v>0.01</v>
          </cell>
          <cell r="AC307">
            <v>0.01</v>
          </cell>
          <cell r="AD307">
            <v>0.01</v>
          </cell>
          <cell r="AE307">
            <v>0.01</v>
          </cell>
          <cell r="AF307">
            <v>0.01</v>
          </cell>
          <cell r="AG307">
            <v>0.01</v>
          </cell>
          <cell r="AH307">
            <v>0.01</v>
          </cell>
          <cell r="AI307">
            <v>0.01</v>
          </cell>
          <cell r="AJ307">
            <v>0.01</v>
          </cell>
        </row>
        <row r="308">
          <cell r="I308" t="str">
            <v>Bull Case</v>
          </cell>
          <cell r="M308">
            <v>7.936444618410915E-2</v>
          </cell>
          <cell r="N308">
            <v>5.7928223961856908E-2</v>
          </cell>
          <cell r="O308">
            <v>3.9783633603948237E-2</v>
          </cell>
          <cell r="P308">
            <v>2.8768293485770129E-2</v>
          </cell>
          <cell r="Q308">
            <v>1.8708498605532191E-2</v>
          </cell>
          <cell r="R308">
            <v>1.1940774553686317E-2</v>
          </cell>
          <cell r="S308">
            <v>1.1435752965584974E-2</v>
          </cell>
          <cell r="T308">
            <v>8.9999999999999993E-3</v>
          </cell>
          <cell r="U308">
            <v>8.0000000000000002E-3</v>
          </cell>
          <cell r="V308">
            <v>8.0000000000000002E-3</v>
          </cell>
          <cell r="W308">
            <v>8.0000000000000002E-3</v>
          </cell>
          <cell r="X308">
            <v>8.0000000000000002E-3</v>
          </cell>
          <cell r="Y308">
            <v>8.0000000000000002E-3</v>
          </cell>
          <cell r="Z308">
            <v>8.0000000000000002E-3</v>
          </cell>
          <cell r="AA308">
            <v>8.0000000000000002E-3</v>
          </cell>
          <cell r="AB308">
            <v>8.0000000000000002E-3</v>
          </cell>
          <cell r="AC308">
            <v>8.0000000000000002E-3</v>
          </cell>
          <cell r="AD308">
            <v>8.0000000000000002E-3</v>
          </cell>
          <cell r="AE308">
            <v>8.0000000000000002E-3</v>
          </cell>
          <cell r="AF308">
            <v>8.0000000000000002E-3</v>
          </cell>
          <cell r="AG308">
            <v>8.0000000000000002E-3</v>
          </cell>
          <cell r="AH308">
            <v>8.0000000000000002E-3</v>
          </cell>
          <cell r="AI308">
            <v>8.0000000000000002E-3</v>
          </cell>
          <cell r="AJ308">
            <v>8.0000000000000002E-3</v>
          </cell>
        </row>
        <row r="309">
          <cell r="I309" t="str">
            <v>Bull vs. Base Case - bps</v>
          </cell>
          <cell r="M309">
            <v>0</v>
          </cell>
          <cell r="N309">
            <v>0</v>
          </cell>
          <cell r="O309">
            <v>0</v>
          </cell>
          <cell r="P309">
            <v>0</v>
          </cell>
          <cell r="Q309">
            <v>0</v>
          </cell>
          <cell r="R309">
            <v>0</v>
          </cell>
          <cell r="S309">
            <v>0</v>
          </cell>
          <cell r="T309">
            <v>-20</v>
          </cell>
          <cell r="U309">
            <v>-20</v>
          </cell>
          <cell r="V309">
            <v>-20</v>
          </cell>
          <cell r="W309">
            <v>-20</v>
          </cell>
          <cell r="X309">
            <v>-20</v>
          </cell>
          <cell r="Y309">
            <v>-20</v>
          </cell>
          <cell r="Z309">
            <v>-20</v>
          </cell>
          <cell r="AA309">
            <v>-20</v>
          </cell>
          <cell r="AB309">
            <v>-20</v>
          </cell>
          <cell r="AC309">
            <v>-20</v>
          </cell>
          <cell r="AD309">
            <v>-20</v>
          </cell>
          <cell r="AE309">
            <v>-20</v>
          </cell>
          <cell r="AF309">
            <v>-20</v>
          </cell>
          <cell r="AG309">
            <v>-20</v>
          </cell>
          <cell r="AH309">
            <v>-20</v>
          </cell>
          <cell r="AI309">
            <v>-20</v>
          </cell>
          <cell r="AJ309">
            <v>-20</v>
          </cell>
        </row>
        <row r="310">
          <cell r="I310" t="str">
            <v>Bear Case</v>
          </cell>
          <cell r="M310">
            <v>7.936444618410915E-2</v>
          </cell>
          <cell r="N310">
            <v>5.7928223961856908E-2</v>
          </cell>
          <cell r="O310">
            <v>3.9783633603948237E-2</v>
          </cell>
          <cell r="P310">
            <v>2.8768293485770129E-2</v>
          </cell>
          <cell r="Q310">
            <v>1.8708498605532191E-2</v>
          </cell>
          <cell r="R310">
            <v>1.1940774553686317E-2</v>
          </cell>
          <cell r="S310">
            <v>1.1435752965584974E-2</v>
          </cell>
          <cell r="T310">
            <v>1.2999999999999999E-2</v>
          </cell>
          <cell r="U310">
            <v>1.2E-2</v>
          </cell>
          <cell r="V310">
            <v>1.2E-2</v>
          </cell>
          <cell r="W310">
            <v>1.2E-2</v>
          </cell>
          <cell r="X310">
            <v>1.2E-2</v>
          </cell>
          <cell r="Y310">
            <v>1.2E-2</v>
          </cell>
          <cell r="Z310">
            <v>1.2E-2</v>
          </cell>
          <cell r="AA310">
            <v>1.2E-2</v>
          </cell>
          <cell r="AB310">
            <v>1.2E-2</v>
          </cell>
          <cell r="AC310">
            <v>1.2E-2</v>
          </cell>
          <cell r="AD310">
            <v>1.2E-2</v>
          </cell>
          <cell r="AE310">
            <v>1.2E-2</v>
          </cell>
          <cell r="AF310">
            <v>1.2E-2</v>
          </cell>
          <cell r="AG310">
            <v>1.2E-2</v>
          </cell>
          <cell r="AH310">
            <v>1.2E-2</v>
          </cell>
          <cell r="AI310">
            <v>1.2E-2</v>
          </cell>
          <cell r="AJ310">
            <v>1.2E-2</v>
          </cell>
        </row>
        <row r="311">
          <cell r="I311" t="str">
            <v>Bear vs. Base Case - bps</v>
          </cell>
          <cell r="M311">
            <v>0</v>
          </cell>
          <cell r="N311">
            <v>0</v>
          </cell>
          <cell r="O311">
            <v>0</v>
          </cell>
          <cell r="P311">
            <v>0</v>
          </cell>
          <cell r="Q311">
            <v>0</v>
          </cell>
          <cell r="R311">
            <v>0</v>
          </cell>
          <cell r="S311">
            <v>0</v>
          </cell>
          <cell r="T311">
            <v>20</v>
          </cell>
          <cell r="U311">
            <v>20</v>
          </cell>
          <cell r="V311">
            <v>20</v>
          </cell>
          <cell r="W311">
            <v>20</v>
          </cell>
          <cell r="X311">
            <v>20</v>
          </cell>
          <cell r="Y311">
            <v>20</v>
          </cell>
          <cell r="Z311">
            <v>20</v>
          </cell>
          <cell r="AA311">
            <v>20</v>
          </cell>
          <cell r="AB311">
            <v>20</v>
          </cell>
          <cell r="AC311">
            <v>20</v>
          </cell>
          <cell r="AD311">
            <v>20</v>
          </cell>
          <cell r="AE311">
            <v>20</v>
          </cell>
          <cell r="AF311">
            <v>20</v>
          </cell>
          <cell r="AG311">
            <v>20</v>
          </cell>
          <cell r="AH311">
            <v>20</v>
          </cell>
          <cell r="AI311">
            <v>20</v>
          </cell>
          <cell r="AJ311">
            <v>20</v>
          </cell>
        </row>
        <row r="313">
          <cell r="I313" t="str">
            <v>Online Advertising as % of Gross Profit</v>
          </cell>
        </row>
        <row r="314">
          <cell r="I314" t="str">
            <v>Base Case</v>
          </cell>
          <cell r="M314">
            <v>0.28377532728827543</v>
          </cell>
          <cell r="N314">
            <v>0.27814020166876069</v>
          </cell>
          <cell r="O314">
            <v>0.28318118436647133</v>
          </cell>
          <cell r="P314">
            <v>0.28980942492760337</v>
          </cell>
          <cell r="Q314">
            <v>0.2892342056352844</v>
          </cell>
          <cell r="R314">
            <v>0.29260850196840721</v>
          </cell>
          <cell r="S314">
            <v>0.29353684624748005</v>
          </cell>
          <cell r="T314">
            <v>0.29299999999999998</v>
          </cell>
          <cell r="U314">
            <v>0.29199999999999998</v>
          </cell>
          <cell r="V314">
            <v>0.29099999999999998</v>
          </cell>
          <cell r="W314">
            <v>0.29099999999999998</v>
          </cell>
          <cell r="X314">
            <v>0.28999999999999998</v>
          </cell>
          <cell r="Y314">
            <v>0.28999999999999998</v>
          </cell>
          <cell r="Z314">
            <v>0.28999999999999998</v>
          </cell>
          <cell r="AA314">
            <v>0.28999999999999998</v>
          </cell>
          <cell r="AB314">
            <v>0.28999999999999998</v>
          </cell>
          <cell r="AC314">
            <v>0.28999999999999998</v>
          </cell>
          <cell r="AD314">
            <v>0.28999999999999998</v>
          </cell>
          <cell r="AE314">
            <v>0.28999999999999998</v>
          </cell>
          <cell r="AF314">
            <v>0.28999999999999998</v>
          </cell>
          <cell r="AG314">
            <v>0.28999999999999998</v>
          </cell>
          <cell r="AH314">
            <v>0.28999999999999998</v>
          </cell>
          <cell r="AI314">
            <v>0.28999999999999998</v>
          </cell>
          <cell r="AJ314">
            <v>0.28999999999999998</v>
          </cell>
        </row>
        <row r="315">
          <cell r="I315" t="str">
            <v>Bull Case</v>
          </cell>
          <cell r="M315">
            <v>0.28377532728827543</v>
          </cell>
          <cell r="N315">
            <v>0.27814020166876069</v>
          </cell>
          <cell r="O315">
            <v>0.28318118436647133</v>
          </cell>
          <cell r="P315">
            <v>0.28980942492760337</v>
          </cell>
          <cell r="Q315">
            <v>0.2892342056352844</v>
          </cell>
          <cell r="R315">
            <v>0.29260850196840721</v>
          </cell>
          <cell r="S315">
            <v>0.29353684624748005</v>
          </cell>
          <cell r="T315">
            <v>0.28299999999999997</v>
          </cell>
          <cell r="U315">
            <v>0.28199999999999997</v>
          </cell>
          <cell r="V315">
            <v>0.28099999999999997</v>
          </cell>
          <cell r="W315">
            <v>0.28599999999999998</v>
          </cell>
          <cell r="X315">
            <v>0.28499999999999998</v>
          </cell>
          <cell r="Y315">
            <v>0.28499999999999998</v>
          </cell>
          <cell r="Z315">
            <v>0.28499999999999998</v>
          </cell>
          <cell r="AA315">
            <v>0.28499999999999998</v>
          </cell>
          <cell r="AB315">
            <v>0.28499999999999998</v>
          </cell>
          <cell r="AC315">
            <v>0.28499999999999998</v>
          </cell>
          <cell r="AD315">
            <v>0.28499999999999998</v>
          </cell>
          <cell r="AE315">
            <v>0.28499999999999998</v>
          </cell>
          <cell r="AF315">
            <v>0.28499999999999998</v>
          </cell>
          <cell r="AG315">
            <v>0.28499999999999998</v>
          </cell>
          <cell r="AH315">
            <v>0.28499999999999998</v>
          </cell>
          <cell r="AI315">
            <v>0.28499999999999998</v>
          </cell>
          <cell r="AJ315">
            <v>0.28499999999999998</v>
          </cell>
        </row>
        <row r="316">
          <cell r="I316" t="str">
            <v>Bull vs. Base Case - bps</v>
          </cell>
          <cell r="M316">
            <v>0</v>
          </cell>
          <cell r="N316">
            <v>0</v>
          </cell>
          <cell r="O316">
            <v>0</v>
          </cell>
          <cell r="P316">
            <v>0</v>
          </cell>
          <cell r="Q316">
            <v>0</v>
          </cell>
          <cell r="R316">
            <v>0</v>
          </cell>
          <cell r="S316">
            <v>0</v>
          </cell>
          <cell r="T316">
            <v>-100</v>
          </cell>
          <cell r="U316">
            <v>-100</v>
          </cell>
          <cell r="V316">
            <v>-100</v>
          </cell>
          <cell r="W316">
            <v>-50</v>
          </cell>
          <cell r="X316">
            <v>-50</v>
          </cell>
          <cell r="Y316">
            <v>-50</v>
          </cell>
          <cell r="Z316">
            <v>-50</v>
          </cell>
          <cell r="AA316">
            <v>-50</v>
          </cell>
          <cell r="AB316">
            <v>-50</v>
          </cell>
          <cell r="AC316">
            <v>-50</v>
          </cell>
          <cell r="AD316">
            <v>-50</v>
          </cell>
          <cell r="AE316">
            <v>-50</v>
          </cell>
          <cell r="AF316">
            <v>-50</v>
          </cell>
          <cell r="AG316">
            <v>-50</v>
          </cell>
          <cell r="AH316">
            <v>-50</v>
          </cell>
          <cell r="AI316">
            <v>-50</v>
          </cell>
          <cell r="AJ316">
            <v>-50</v>
          </cell>
        </row>
        <row r="317">
          <cell r="I317" t="str">
            <v>Bear Case</v>
          </cell>
          <cell r="M317">
            <v>0.28377532728827543</v>
          </cell>
          <cell r="N317">
            <v>0.27814020166876069</v>
          </cell>
          <cell r="O317">
            <v>0.28318118436647133</v>
          </cell>
          <cell r="P317">
            <v>0.28980942492760337</v>
          </cell>
          <cell r="Q317">
            <v>0.2892342056352844</v>
          </cell>
          <cell r="R317">
            <v>0.29260850196840721</v>
          </cell>
          <cell r="S317">
            <v>0.29353684624748005</v>
          </cell>
          <cell r="T317">
            <v>0.308</v>
          </cell>
          <cell r="U317">
            <v>0.312</v>
          </cell>
          <cell r="V317">
            <v>0.311</v>
          </cell>
          <cell r="W317">
            <v>0.311</v>
          </cell>
          <cell r="X317">
            <v>0.31</v>
          </cell>
          <cell r="Y317">
            <v>0.31</v>
          </cell>
          <cell r="Z317">
            <v>0.31</v>
          </cell>
          <cell r="AA317">
            <v>0.31</v>
          </cell>
          <cell r="AB317">
            <v>0.31</v>
          </cell>
          <cell r="AC317">
            <v>0.31</v>
          </cell>
          <cell r="AD317">
            <v>0.31</v>
          </cell>
          <cell r="AE317">
            <v>0.31</v>
          </cell>
          <cell r="AF317">
            <v>0.31</v>
          </cell>
          <cell r="AG317">
            <v>0.31</v>
          </cell>
          <cell r="AH317">
            <v>0.31</v>
          </cell>
          <cell r="AI317">
            <v>0.31</v>
          </cell>
          <cell r="AJ317">
            <v>0.31</v>
          </cell>
        </row>
        <row r="318">
          <cell r="I318" t="str">
            <v>Bear vs. Base Case - bps</v>
          </cell>
          <cell r="M318">
            <v>0</v>
          </cell>
          <cell r="N318">
            <v>0</v>
          </cell>
          <cell r="O318">
            <v>0</v>
          </cell>
          <cell r="P318">
            <v>0</v>
          </cell>
          <cell r="Q318">
            <v>0</v>
          </cell>
          <cell r="R318">
            <v>0</v>
          </cell>
          <cell r="S318">
            <v>0</v>
          </cell>
          <cell r="T318">
            <v>150</v>
          </cell>
          <cell r="U318">
            <v>200</v>
          </cell>
          <cell r="V318">
            <v>200</v>
          </cell>
          <cell r="W318">
            <v>200</v>
          </cell>
          <cell r="X318">
            <v>200</v>
          </cell>
          <cell r="Y318">
            <v>200</v>
          </cell>
          <cell r="Z318">
            <v>200</v>
          </cell>
          <cell r="AA318">
            <v>200</v>
          </cell>
          <cell r="AB318">
            <v>200</v>
          </cell>
          <cell r="AC318">
            <v>200</v>
          </cell>
          <cell r="AD318">
            <v>200</v>
          </cell>
          <cell r="AE318">
            <v>200</v>
          </cell>
          <cell r="AF318">
            <v>200</v>
          </cell>
          <cell r="AG318">
            <v>200</v>
          </cell>
          <cell r="AH318">
            <v>200</v>
          </cell>
          <cell r="AI318">
            <v>200</v>
          </cell>
          <cell r="AJ318">
            <v>200</v>
          </cell>
        </row>
        <row r="320">
          <cell r="I320" t="str">
            <v>Selling &amp; Marketing as % of Gross Profit</v>
          </cell>
        </row>
        <row r="321">
          <cell r="I321" t="str">
            <v>Base Case</v>
          </cell>
          <cell r="M321">
            <v>0.10500649465593281</v>
          </cell>
          <cell r="N321">
            <v>7.5962436777165701E-2</v>
          </cell>
          <cell r="O321">
            <v>8.1538038287772341E-2</v>
          </cell>
          <cell r="P321">
            <v>6.4435583848828054E-2</v>
          </cell>
          <cell r="Q321">
            <v>6.0924937610399736E-2</v>
          </cell>
          <cell r="R321">
            <v>5.4647382532347077E-2</v>
          </cell>
          <cell r="S321">
            <v>5.4636689507313235E-2</v>
          </cell>
          <cell r="T321">
            <v>5.5E-2</v>
          </cell>
          <cell r="U321">
            <v>5.3999999999999999E-2</v>
          </cell>
          <cell r="V321">
            <v>5.2999999999999999E-2</v>
          </cell>
          <cell r="W321">
            <v>5.2999999999999999E-2</v>
          </cell>
          <cell r="X321">
            <v>5.2999999999999999E-2</v>
          </cell>
          <cell r="Y321">
            <v>5.2999999999999999E-2</v>
          </cell>
          <cell r="Z321">
            <v>5.2999999999999999E-2</v>
          </cell>
          <cell r="AA321">
            <v>5.2999999999999999E-2</v>
          </cell>
          <cell r="AB321">
            <v>5.3999999999999999E-2</v>
          </cell>
          <cell r="AC321">
            <v>5.3999999999999999E-2</v>
          </cell>
          <cell r="AD321">
            <v>5.3999999999999999E-2</v>
          </cell>
          <cell r="AE321">
            <v>5.3999999999999999E-2</v>
          </cell>
          <cell r="AF321">
            <v>5.3999999999999999E-2</v>
          </cell>
          <cell r="AG321">
            <v>5.3999999999999999E-2</v>
          </cell>
          <cell r="AH321">
            <v>5.3999999999999999E-2</v>
          </cell>
          <cell r="AI321">
            <v>5.3999999999999999E-2</v>
          </cell>
          <cell r="AJ321">
            <v>5.3999999999999999E-2</v>
          </cell>
        </row>
        <row r="322">
          <cell r="I322" t="str">
            <v>Bull Case</v>
          </cell>
          <cell r="M322">
            <v>0.10500649465593281</v>
          </cell>
          <cell r="N322">
            <v>7.5962436777165701E-2</v>
          </cell>
          <cell r="O322">
            <v>8.1538038287772341E-2</v>
          </cell>
          <cell r="P322">
            <v>6.4435583848828054E-2</v>
          </cell>
          <cell r="Q322">
            <v>6.0924937610399736E-2</v>
          </cell>
          <cell r="R322">
            <v>5.4647382532347077E-2</v>
          </cell>
          <cell r="S322">
            <v>5.4636689507313235E-2</v>
          </cell>
          <cell r="T322">
            <v>5.2499999999999998E-2</v>
          </cell>
          <cell r="U322">
            <v>5.1499999999999997E-2</v>
          </cell>
          <cell r="V322">
            <v>5.0499999999999996E-2</v>
          </cell>
          <cell r="W322">
            <v>5.0499999999999996E-2</v>
          </cell>
          <cell r="X322">
            <v>5.0499999999999996E-2</v>
          </cell>
          <cell r="Y322">
            <v>5.0499999999999996E-2</v>
          </cell>
          <cell r="Z322">
            <v>5.0499999999999996E-2</v>
          </cell>
          <cell r="AA322">
            <v>5.0499999999999996E-2</v>
          </cell>
          <cell r="AB322">
            <v>5.1499999999999997E-2</v>
          </cell>
          <cell r="AC322">
            <v>5.1499999999999997E-2</v>
          </cell>
          <cell r="AD322">
            <v>5.1499999999999997E-2</v>
          </cell>
          <cell r="AE322">
            <v>5.1499999999999997E-2</v>
          </cell>
          <cell r="AF322">
            <v>5.1499999999999997E-2</v>
          </cell>
          <cell r="AG322">
            <v>5.1499999999999997E-2</v>
          </cell>
          <cell r="AH322">
            <v>5.1499999999999997E-2</v>
          </cell>
          <cell r="AI322">
            <v>5.1499999999999997E-2</v>
          </cell>
          <cell r="AJ322">
            <v>5.1499999999999997E-2</v>
          </cell>
        </row>
        <row r="323">
          <cell r="I323" t="str">
            <v>Bull vs. Base Case - bps</v>
          </cell>
          <cell r="M323">
            <v>0</v>
          </cell>
          <cell r="N323">
            <v>0</v>
          </cell>
          <cell r="O323">
            <v>0</v>
          </cell>
          <cell r="P323">
            <v>0</v>
          </cell>
          <cell r="Q323">
            <v>0</v>
          </cell>
          <cell r="R323">
            <v>0</v>
          </cell>
          <cell r="S323">
            <v>0</v>
          </cell>
          <cell r="T323">
            <v>-25</v>
          </cell>
          <cell r="U323">
            <v>-25</v>
          </cell>
          <cell r="V323">
            <v>-25</v>
          </cell>
          <cell r="W323">
            <v>-25</v>
          </cell>
          <cell r="X323">
            <v>-25</v>
          </cell>
          <cell r="Y323">
            <v>-25</v>
          </cell>
          <cell r="Z323">
            <v>-25</v>
          </cell>
          <cell r="AA323">
            <v>-25</v>
          </cell>
          <cell r="AB323">
            <v>-25</v>
          </cell>
          <cell r="AC323">
            <v>-25</v>
          </cell>
          <cell r="AD323">
            <v>-25</v>
          </cell>
          <cell r="AE323">
            <v>-25</v>
          </cell>
          <cell r="AF323">
            <v>-25</v>
          </cell>
          <cell r="AG323">
            <v>-25</v>
          </cell>
          <cell r="AH323">
            <v>-25</v>
          </cell>
          <cell r="AI323">
            <v>-25</v>
          </cell>
          <cell r="AJ323">
            <v>-25</v>
          </cell>
        </row>
        <row r="324">
          <cell r="I324" t="str">
            <v>Bear Case</v>
          </cell>
          <cell r="M324">
            <v>0.10500649465593281</v>
          </cell>
          <cell r="N324">
            <v>7.5962436777165701E-2</v>
          </cell>
          <cell r="O324">
            <v>8.1538038287772341E-2</v>
          </cell>
          <cell r="P324">
            <v>6.4435583848828054E-2</v>
          </cell>
          <cell r="Q324">
            <v>6.0924937610399736E-2</v>
          </cell>
          <cell r="R324">
            <v>5.4647382532347077E-2</v>
          </cell>
          <cell r="S324">
            <v>5.4636689507313235E-2</v>
          </cell>
          <cell r="T324">
            <v>0.06</v>
          </cell>
          <cell r="U324">
            <v>5.8999999999999997E-2</v>
          </cell>
          <cell r="V324">
            <v>5.7999999999999996E-2</v>
          </cell>
          <cell r="W324">
            <v>5.7999999999999996E-2</v>
          </cell>
          <cell r="X324">
            <v>5.7999999999999996E-2</v>
          </cell>
          <cell r="Y324">
            <v>5.7999999999999996E-2</v>
          </cell>
          <cell r="Z324">
            <v>5.7999999999999996E-2</v>
          </cell>
          <cell r="AA324">
            <v>5.7999999999999996E-2</v>
          </cell>
          <cell r="AB324">
            <v>5.8999999999999997E-2</v>
          </cell>
          <cell r="AC324">
            <v>5.8999999999999997E-2</v>
          </cell>
          <cell r="AD324">
            <v>5.8999999999999997E-2</v>
          </cell>
          <cell r="AE324">
            <v>5.8999999999999997E-2</v>
          </cell>
          <cell r="AF324">
            <v>5.8999999999999997E-2</v>
          </cell>
          <cell r="AG324">
            <v>5.8999999999999997E-2</v>
          </cell>
          <cell r="AH324">
            <v>5.8999999999999997E-2</v>
          </cell>
          <cell r="AI324">
            <v>5.8999999999999997E-2</v>
          </cell>
          <cell r="AJ324">
            <v>5.8999999999999997E-2</v>
          </cell>
        </row>
        <row r="325">
          <cell r="I325" t="str">
            <v>Bear vs. Base Case - bps</v>
          </cell>
          <cell r="M325">
            <v>0</v>
          </cell>
          <cell r="N325">
            <v>0</v>
          </cell>
          <cell r="O325">
            <v>0</v>
          </cell>
          <cell r="P325">
            <v>0</v>
          </cell>
          <cell r="Q325">
            <v>0</v>
          </cell>
          <cell r="R325">
            <v>0</v>
          </cell>
          <cell r="S325">
            <v>0</v>
          </cell>
          <cell r="T325">
            <v>50</v>
          </cell>
          <cell r="U325">
            <v>50</v>
          </cell>
          <cell r="V325">
            <v>50</v>
          </cell>
          <cell r="W325">
            <v>50</v>
          </cell>
          <cell r="X325">
            <v>50</v>
          </cell>
          <cell r="Y325">
            <v>50</v>
          </cell>
          <cell r="Z325">
            <v>50</v>
          </cell>
          <cell r="AA325">
            <v>50</v>
          </cell>
          <cell r="AB325">
            <v>50</v>
          </cell>
          <cell r="AC325">
            <v>50</v>
          </cell>
          <cell r="AD325">
            <v>50</v>
          </cell>
          <cell r="AE325">
            <v>50</v>
          </cell>
          <cell r="AF325">
            <v>50</v>
          </cell>
          <cell r="AG325">
            <v>50</v>
          </cell>
          <cell r="AH325">
            <v>50</v>
          </cell>
          <cell r="AI325">
            <v>50</v>
          </cell>
          <cell r="AJ325">
            <v>50</v>
          </cell>
        </row>
        <row r="327">
          <cell r="I327" t="str">
            <v>Personnel (ex-SBC) as % of Gross Profit</v>
          </cell>
        </row>
        <row r="328">
          <cell r="I328" t="str">
            <v>Base Case</v>
          </cell>
          <cell r="M328">
            <v>0.16079072747625894</v>
          </cell>
          <cell r="N328">
            <v>0.13971682613317871</v>
          </cell>
          <cell r="O328">
            <v>0.12894010383160159</v>
          </cell>
          <cell r="P328">
            <v>0.11063221239836513</v>
          </cell>
          <cell r="Q328">
            <v>0.10574853900423893</v>
          </cell>
          <cell r="R328">
            <v>9.7136385472356077E-2</v>
          </cell>
          <cell r="S328">
            <v>9.9287331640830215E-2</v>
          </cell>
          <cell r="T328">
            <v>9.8000000000000004E-2</v>
          </cell>
          <cell r="U328">
            <v>9.8000000000000004E-2</v>
          </cell>
          <cell r="V328">
            <v>9.7000000000000003E-2</v>
          </cell>
          <cell r="W328">
            <v>9.6000000000000002E-2</v>
          </cell>
          <cell r="X328">
            <v>9.5000000000000001E-2</v>
          </cell>
          <cell r="Y328">
            <v>9.5000000000000001E-2</v>
          </cell>
          <cell r="Z328">
            <v>9.5000000000000001E-2</v>
          </cell>
          <cell r="AA328">
            <v>9.5000000000000001E-2</v>
          </cell>
          <cell r="AB328">
            <v>9.5000000000000001E-2</v>
          </cell>
          <cell r="AC328">
            <v>9.5000000000000001E-2</v>
          </cell>
          <cell r="AD328">
            <v>9.5000000000000001E-2</v>
          </cell>
          <cell r="AE328">
            <v>9.5000000000000001E-2</v>
          </cell>
          <cell r="AF328">
            <v>9.5000000000000001E-2</v>
          </cell>
          <cell r="AG328">
            <v>9.5000000000000001E-2</v>
          </cell>
          <cell r="AH328">
            <v>9.5000000000000001E-2</v>
          </cell>
          <cell r="AI328">
            <v>9.5000000000000001E-2</v>
          </cell>
          <cell r="AJ328">
            <v>9.5000000000000001E-2</v>
          </cell>
        </row>
        <row r="329">
          <cell r="I329" t="str">
            <v>Bull Case</v>
          </cell>
          <cell r="M329">
            <v>0.16079072747625894</v>
          </cell>
          <cell r="N329">
            <v>0.13971682613317871</v>
          </cell>
          <cell r="O329">
            <v>0.12894010383160159</v>
          </cell>
          <cell r="P329">
            <v>0.11063221239836513</v>
          </cell>
          <cell r="Q329">
            <v>0.10574853900423893</v>
          </cell>
          <cell r="R329">
            <v>9.7136385472356077E-2</v>
          </cell>
          <cell r="S329">
            <v>9.9287331640830215E-2</v>
          </cell>
          <cell r="T329">
            <v>9.5500000000000002E-2</v>
          </cell>
          <cell r="U329">
            <v>9.5500000000000002E-2</v>
          </cell>
          <cell r="V329">
            <v>9.4500000000000001E-2</v>
          </cell>
          <cell r="W329">
            <v>9.35E-2</v>
          </cell>
          <cell r="X329">
            <v>9.2499999999999999E-2</v>
          </cell>
          <cell r="Y329">
            <v>9.2499999999999999E-2</v>
          </cell>
          <cell r="Z329">
            <v>9.2499999999999999E-2</v>
          </cell>
          <cell r="AA329">
            <v>9.2499999999999999E-2</v>
          </cell>
          <cell r="AB329">
            <v>9.2499999999999999E-2</v>
          </cell>
          <cell r="AC329">
            <v>9.2499999999999999E-2</v>
          </cell>
          <cell r="AD329">
            <v>9.2499999999999999E-2</v>
          </cell>
          <cell r="AE329">
            <v>9.2499999999999999E-2</v>
          </cell>
          <cell r="AF329">
            <v>9.2499999999999999E-2</v>
          </cell>
          <cell r="AG329">
            <v>9.2499999999999999E-2</v>
          </cell>
          <cell r="AH329">
            <v>9.2499999999999999E-2</v>
          </cell>
          <cell r="AI329">
            <v>9.2499999999999999E-2</v>
          </cell>
          <cell r="AJ329">
            <v>9.2499999999999999E-2</v>
          </cell>
        </row>
        <row r="330">
          <cell r="I330" t="str">
            <v>Bull vs. Base Case - bps</v>
          </cell>
          <cell r="M330">
            <v>0</v>
          </cell>
          <cell r="N330">
            <v>0</v>
          </cell>
          <cell r="O330">
            <v>0</v>
          </cell>
          <cell r="P330">
            <v>0</v>
          </cell>
          <cell r="Q330">
            <v>0</v>
          </cell>
          <cell r="R330">
            <v>0</v>
          </cell>
          <cell r="S330">
            <v>0</v>
          </cell>
          <cell r="T330">
            <v>-25</v>
          </cell>
          <cell r="U330">
            <v>-25</v>
          </cell>
          <cell r="V330">
            <v>-25</v>
          </cell>
          <cell r="W330">
            <v>-25</v>
          </cell>
          <cell r="X330">
            <v>-25</v>
          </cell>
          <cell r="Y330">
            <v>-25</v>
          </cell>
          <cell r="Z330">
            <v>-25</v>
          </cell>
          <cell r="AA330">
            <v>-25</v>
          </cell>
          <cell r="AB330">
            <v>-25</v>
          </cell>
          <cell r="AC330">
            <v>-25</v>
          </cell>
          <cell r="AD330">
            <v>-25</v>
          </cell>
          <cell r="AE330">
            <v>-25</v>
          </cell>
          <cell r="AF330">
            <v>-25</v>
          </cell>
          <cell r="AG330">
            <v>-25</v>
          </cell>
          <cell r="AH330">
            <v>-25</v>
          </cell>
          <cell r="AI330">
            <v>-25</v>
          </cell>
          <cell r="AJ330">
            <v>-25</v>
          </cell>
        </row>
        <row r="331">
          <cell r="I331" t="str">
            <v>Bear Case</v>
          </cell>
          <cell r="M331">
            <v>0.16079072747625894</v>
          </cell>
          <cell r="N331">
            <v>0.13971682613317871</v>
          </cell>
          <cell r="O331">
            <v>0.12894010383160159</v>
          </cell>
          <cell r="P331">
            <v>0.11063221239836513</v>
          </cell>
          <cell r="Q331">
            <v>0.10574853900423893</v>
          </cell>
          <cell r="R331">
            <v>9.7136385472356077E-2</v>
          </cell>
          <cell r="S331">
            <v>9.9287331640830215E-2</v>
          </cell>
          <cell r="T331">
            <v>0.10300000000000001</v>
          </cell>
          <cell r="U331">
            <v>0.10300000000000001</v>
          </cell>
          <cell r="V331">
            <v>0.10200000000000001</v>
          </cell>
          <cell r="W331">
            <v>0.10100000000000001</v>
          </cell>
          <cell r="X331">
            <v>0.1</v>
          </cell>
          <cell r="Y331">
            <v>0.1</v>
          </cell>
          <cell r="Z331">
            <v>0.1</v>
          </cell>
          <cell r="AA331">
            <v>0.1</v>
          </cell>
          <cell r="AB331">
            <v>0.1</v>
          </cell>
          <cell r="AC331">
            <v>0.1</v>
          </cell>
          <cell r="AD331">
            <v>0.1</v>
          </cell>
          <cell r="AE331">
            <v>0.1</v>
          </cell>
          <cell r="AF331">
            <v>0.1</v>
          </cell>
          <cell r="AG331">
            <v>0.1</v>
          </cell>
          <cell r="AH331">
            <v>0.1</v>
          </cell>
          <cell r="AI331">
            <v>0.1</v>
          </cell>
          <cell r="AJ331">
            <v>0.1</v>
          </cell>
        </row>
        <row r="332">
          <cell r="I332" t="str">
            <v>Bear vs. Base Case - bps</v>
          </cell>
          <cell r="M332">
            <v>0</v>
          </cell>
          <cell r="N332">
            <v>0</v>
          </cell>
          <cell r="O332">
            <v>0</v>
          </cell>
          <cell r="P332">
            <v>0</v>
          </cell>
          <cell r="Q332">
            <v>0</v>
          </cell>
          <cell r="R332">
            <v>0</v>
          </cell>
          <cell r="S332">
            <v>0</v>
          </cell>
          <cell r="T332">
            <v>50</v>
          </cell>
          <cell r="U332">
            <v>50</v>
          </cell>
          <cell r="V332">
            <v>50</v>
          </cell>
          <cell r="W332">
            <v>50</v>
          </cell>
          <cell r="X332">
            <v>50</v>
          </cell>
          <cell r="Y332">
            <v>50</v>
          </cell>
          <cell r="Z332">
            <v>50</v>
          </cell>
          <cell r="AA332">
            <v>50</v>
          </cell>
          <cell r="AB332">
            <v>50</v>
          </cell>
          <cell r="AC332">
            <v>50</v>
          </cell>
          <cell r="AD332">
            <v>50</v>
          </cell>
          <cell r="AE332">
            <v>50</v>
          </cell>
          <cell r="AF332">
            <v>50</v>
          </cell>
          <cell r="AG332">
            <v>50</v>
          </cell>
          <cell r="AH332">
            <v>50</v>
          </cell>
          <cell r="AI332">
            <v>50</v>
          </cell>
          <cell r="AJ332">
            <v>50</v>
          </cell>
        </row>
        <row r="334">
          <cell r="I334" t="str">
            <v>General &amp; Administrative as % of Gross Profit</v>
          </cell>
        </row>
        <row r="335">
          <cell r="I335" t="str">
            <v>Base Case</v>
          </cell>
          <cell r="M335">
            <v>7.1269187906227632E-2</v>
          </cell>
          <cell r="N335">
            <v>5.8748107341902653E-2</v>
          </cell>
          <cell r="O335">
            <v>5.7812423180201071E-2</v>
          </cell>
          <cell r="P335">
            <v>5.4376595759869223E-2</v>
          </cell>
          <cell r="Q335">
            <v>4.2528648927276043E-2</v>
          </cell>
          <cell r="R335">
            <v>4.0238618358932297E-2</v>
          </cell>
          <cell r="S335">
            <v>4.0896762073845648E-2</v>
          </cell>
          <cell r="T335">
            <v>4.1000000000000002E-2</v>
          </cell>
          <cell r="U335">
            <v>0.04</v>
          </cell>
          <cell r="V335">
            <v>3.9E-2</v>
          </cell>
          <cell r="W335">
            <v>3.7999999999999999E-2</v>
          </cell>
          <cell r="X335">
            <v>3.7999999999999999E-2</v>
          </cell>
          <cell r="Y335">
            <v>3.7999999999999999E-2</v>
          </cell>
          <cell r="Z335">
            <v>3.7999999999999999E-2</v>
          </cell>
          <cell r="AA335">
            <v>3.7999999999999999E-2</v>
          </cell>
          <cell r="AB335">
            <v>3.7999999999999999E-2</v>
          </cell>
          <cell r="AC335">
            <v>3.7999999999999999E-2</v>
          </cell>
          <cell r="AD335">
            <v>3.7999999999999999E-2</v>
          </cell>
          <cell r="AE335">
            <v>3.7999999999999999E-2</v>
          </cell>
          <cell r="AF335">
            <v>3.7999999999999999E-2</v>
          </cell>
          <cell r="AG335">
            <v>3.7999999999999999E-2</v>
          </cell>
          <cell r="AH335">
            <v>3.7999999999999999E-2</v>
          </cell>
          <cell r="AI335">
            <v>3.7999999999999999E-2</v>
          </cell>
          <cell r="AJ335">
            <v>3.7999999999999999E-2</v>
          </cell>
        </row>
        <row r="336">
          <cell r="I336" t="str">
            <v>Bull Case</v>
          </cell>
          <cell r="M336">
            <v>7.1269187906227632E-2</v>
          </cell>
          <cell r="N336">
            <v>5.8748107341902653E-2</v>
          </cell>
          <cell r="O336">
            <v>5.7812423180201071E-2</v>
          </cell>
          <cell r="P336">
            <v>5.4376595759869223E-2</v>
          </cell>
          <cell r="Q336">
            <v>4.2528648927276043E-2</v>
          </cell>
          <cell r="R336">
            <v>4.0238618358932297E-2</v>
          </cell>
          <cell r="S336">
            <v>4.0896762073845648E-2</v>
          </cell>
          <cell r="T336">
            <v>3.9E-2</v>
          </cell>
          <cell r="U336">
            <v>3.7999999999999999E-2</v>
          </cell>
          <cell r="V336">
            <v>3.6999999999999998E-2</v>
          </cell>
          <cell r="W336">
            <v>3.5999999999999997E-2</v>
          </cell>
          <cell r="X336">
            <v>3.5999999999999997E-2</v>
          </cell>
          <cell r="Y336">
            <v>3.5999999999999997E-2</v>
          </cell>
          <cell r="Z336">
            <v>3.5999999999999997E-2</v>
          </cell>
          <cell r="AA336">
            <v>3.5999999999999997E-2</v>
          </cell>
          <cell r="AB336">
            <v>3.5999999999999997E-2</v>
          </cell>
          <cell r="AC336">
            <v>3.5999999999999997E-2</v>
          </cell>
          <cell r="AD336">
            <v>3.5999999999999997E-2</v>
          </cell>
          <cell r="AE336">
            <v>3.5999999999999997E-2</v>
          </cell>
          <cell r="AF336">
            <v>3.5999999999999997E-2</v>
          </cell>
          <cell r="AG336">
            <v>3.5999999999999997E-2</v>
          </cell>
          <cell r="AH336">
            <v>3.5999999999999997E-2</v>
          </cell>
          <cell r="AI336">
            <v>3.5999999999999997E-2</v>
          </cell>
          <cell r="AJ336">
            <v>3.5999999999999997E-2</v>
          </cell>
        </row>
        <row r="337">
          <cell r="I337" t="str">
            <v>Bull vs. Base Case - bps</v>
          </cell>
          <cell r="M337">
            <v>0</v>
          </cell>
          <cell r="N337">
            <v>0</v>
          </cell>
          <cell r="O337">
            <v>0</v>
          </cell>
          <cell r="P337">
            <v>0</v>
          </cell>
          <cell r="Q337">
            <v>0</v>
          </cell>
          <cell r="R337">
            <v>0</v>
          </cell>
          <cell r="S337">
            <v>0</v>
          </cell>
          <cell r="T337">
            <v>-20</v>
          </cell>
          <cell r="U337">
            <v>-20</v>
          </cell>
          <cell r="V337">
            <v>-20</v>
          </cell>
          <cell r="W337">
            <v>-20</v>
          </cell>
          <cell r="X337">
            <v>-20</v>
          </cell>
          <cell r="Y337">
            <v>-20</v>
          </cell>
          <cell r="Z337">
            <v>-20</v>
          </cell>
          <cell r="AA337">
            <v>-20</v>
          </cell>
          <cell r="AB337">
            <v>-20</v>
          </cell>
          <cell r="AC337">
            <v>-20</v>
          </cell>
          <cell r="AD337">
            <v>-20</v>
          </cell>
          <cell r="AE337">
            <v>-20</v>
          </cell>
          <cell r="AF337">
            <v>-20</v>
          </cell>
          <cell r="AG337">
            <v>-20</v>
          </cell>
          <cell r="AH337">
            <v>-20</v>
          </cell>
          <cell r="AI337">
            <v>-20</v>
          </cell>
          <cell r="AJ337">
            <v>-20</v>
          </cell>
        </row>
        <row r="338">
          <cell r="I338" t="str">
            <v>Bear Case</v>
          </cell>
          <cell r="M338">
            <v>7.1269187906227632E-2</v>
          </cell>
          <cell r="N338">
            <v>5.8748107341902653E-2</v>
          </cell>
          <cell r="O338">
            <v>5.7812423180201071E-2</v>
          </cell>
          <cell r="P338">
            <v>5.4376595759869223E-2</v>
          </cell>
          <cell r="Q338">
            <v>4.2528648927276043E-2</v>
          </cell>
          <cell r="R338">
            <v>4.0238618358932297E-2</v>
          </cell>
          <cell r="S338">
            <v>4.0896762073845648E-2</v>
          </cell>
          <cell r="T338">
            <v>4.3500000000000004E-2</v>
          </cell>
          <cell r="U338">
            <v>4.2500000000000003E-2</v>
          </cell>
          <cell r="V338">
            <v>4.1500000000000002E-2</v>
          </cell>
          <cell r="W338">
            <v>4.0500000000000001E-2</v>
          </cell>
          <cell r="X338">
            <v>4.0500000000000001E-2</v>
          </cell>
          <cell r="Y338">
            <v>4.0500000000000001E-2</v>
          </cell>
          <cell r="Z338">
            <v>4.0500000000000001E-2</v>
          </cell>
          <cell r="AA338">
            <v>4.0500000000000001E-2</v>
          </cell>
          <cell r="AB338">
            <v>4.0500000000000001E-2</v>
          </cell>
          <cell r="AC338">
            <v>4.0500000000000001E-2</v>
          </cell>
          <cell r="AD338">
            <v>4.0500000000000001E-2</v>
          </cell>
          <cell r="AE338">
            <v>4.0500000000000001E-2</v>
          </cell>
          <cell r="AF338">
            <v>4.0500000000000001E-2</v>
          </cell>
          <cell r="AG338">
            <v>4.0500000000000001E-2</v>
          </cell>
          <cell r="AH338">
            <v>4.0500000000000001E-2</v>
          </cell>
          <cell r="AI338">
            <v>4.0500000000000001E-2</v>
          </cell>
          <cell r="AJ338">
            <v>4.0500000000000001E-2</v>
          </cell>
        </row>
        <row r="339">
          <cell r="I339" t="str">
            <v>Bear vs. Base Case - bps</v>
          </cell>
          <cell r="M339">
            <v>0</v>
          </cell>
          <cell r="N339">
            <v>0</v>
          </cell>
          <cell r="O339">
            <v>0</v>
          </cell>
          <cell r="P339">
            <v>0</v>
          </cell>
          <cell r="Q339">
            <v>0</v>
          </cell>
          <cell r="R339">
            <v>0</v>
          </cell>
          <cell r="S339">
            <v>0</v>
          </cell>
          <cell r="T339">
            <v>25</v>
          </cell>
          <cell r="U339">
            <v>25</v>
          </cell>
          <cell r="V339">
            <v>25</v>
          </cell>
          <cell r="W339">
            <v>25</v>
          </cell>
          <cell r="X339">
            <v>25</v>
          </cell>
          <cell r="Y339">
            <v>25</v>
          </cell>
          <cell r="Z339">
            <v>25</v>
          </cell>
          <cell r="AA339">
            <v>25</v>
          </cell>
          <cell r="AB339">
            <v>25</v>
          </cell>
          <cell r="AC339">
            <v>25</v>
          </cell>
          <cell r="AD339">
            <v>25</v>
          </cell>
          <cell r="AE339">
            <v>25</v>
          </cell>
          <cell r="AF339">
            <v>25</v>
          </cell>
          <cell r="AG339">
            <v>25</v>
          </cell>
          <cell r="AH339">
            <v>25</v>
          </cell>
          <cell r="AI339">
            <v>25</v>
          </cell>
          <cell r="AJ339">
            <v>25</v>
          </cell>
        </row>
        <row r="341">
          <cell r="I341" t="str">
            <v>Information Technology as % of Gross Profit</v>
          </cell>
        </row>
        <row r="342">
          <cell r="I342" t="str">
            <v>Base Case</v>
          </cell>
          <cell r="M342">
            <v>2.4305720034206012E-2</v>
          </cell>
          <cell r="N342">
            <v>2.2194839083792404E-2</v>
          </cell>
          <cell r="O342">
            <v>1.878299655533484E-2</v>
          </cell>
          <cell r="P342">
            <v>1.5179696739196821E-2</v>
          </cell>
          <cell r="Q342">
            <v>1.099963750123103E-2</v>
          </cell>
          <cell r="R342">
            <v>1.0649478726432109E-2</v>
          </cell>
          <cell r="S342">
            <v>1.070720644181832E-2</v>
          </cell>
          <cell r="T342">
            <v>1.0999999999999999E-2</v>
          </cell>
          <cell r="U342">
            <v>1.0999999999999999E-2</v>
          </cell>
          <cell r="V342">
            <v>1.0999999999999999E-2</v>
          </cell>
          <cell r="W342">
            <v>1.0999999999999999E-2</v>
          </cell>
          <cell r="X342">
            <v>1.0999999999999999E-2</v>
          </cell>
          <cell r="Y342">
            <v>1.0999999999999999E-2</v>
          </cell>
          <cell r="Z342">
            <v>1.0999999999999999E-2</v>
          </cell>
          <cell r="AA342">
            <v>1.0999999999999999E-2</v>
          </cell>
          <cell r="AB342">
            <v>1.0999999999999999E-2</v>
          </cell>
          <cell r="AC342">
            <v>1.0999999999999999E-2</v>
          </cell>
          <cell r="AD342">
            <v>1.0999999999999999E-2</v>
          </cell>
          <cell r="AE342">
            <v>1.0999999999999999E-2</v>
          </cell>
          <cell r="AF342">
            <v>1.0999999999999999E-2</v>
          </cell>
          <cell r="AG342">
            <v>1.0999999999999999E-2</v>
          </cell>
          <cell r="AH342">
            <v>1.0999999999999999E-2</v>
          </cell>
          <cell r="AI342">
            <v>1.0999999999999999E-2</v>
          </cell>
          <cell r="AJ342">
            <v>1.0999999999999999E-2</v>
          </cell>
        </row>
        <row r="343">
          <cell r="I343" t="str">
            <v>Bull Case</v>
          </cell>
          <cell r="M343">
            <v>2.4305720034206012E-2</v>
          </cell>
          <cell r="N343">
            <v>2.2194839083792404E-2</v>
          </cell>
          <cell r="O343">
            <v>1.878299655533484E-2</v>
          </cell>
          <cell r="P343">
            <v>1.5179696739196821E-2</v>
          </cell>
          <cell r="Q343">
            <v>1.099963750123103E-2</v>
          </cell>
          <cell r="R343">
            <v>1.0649478726432109E-2</v>
          </cell>
          <cell r="S343">
            <v>1.070720644181832E-2</v>
          </cell>
          <cell r="T343">
            <v>8.9999999999999993E-3</v>
          </cell>
          <cell r="U343">
            <v>8.9999999999999993E-3</v>
          </cell>
          <cell r="V343">
            <v>8.9999999999999993E-3</v>
          </cell>
          <cell r="W343">
            <v>8.9999999999999993E-3</v>
          </cell>
          <cell r="X343">
            <v>8.9999999999999993E-3</v>
          </cell>
          <cell r="Y343">
            <v>8.9999999999999993E-3</v>
          </cell>
          <cell r="Z343">
            <v>8.9999999999999993E-3</v>
          </cell>
          <cell r="AA343">
            <v>8.9999999999999993E-3</v>
          </cell>
          <cell r="AB343">
            <v>8.9999999999999993E-3</v>
          </cell>
          <cell r="AC343">
            <v>8.9999999999999993E-3</v>
          </cell>
          <cell r="AD343">
            <v>8.9999999999999993E-3</v>
          </cell>
          <cell r="AE343">
            <v>8.9999999999999993E-3</v>
          </cell>
          <cell r="AF343">
            <v>8.9999999999999993E-3</v>
          </cell>
          <cell r="AG343">
            <v>8.9999999999999993E-3</v>
          </cell>
          <cell r="AH343">
            <v>8.9999999999999993E-3</v>
          </cell>
          <cell r="AI343">
            <v>8.9999999999999993E-3</v>
          </cell>
          <cell r="AJ343">
            <v>8.9999999999999993E-3</v>
          </cell>
        </row>
        <row r="344">
          <cell r="I344" t="str">
            <v>Bull vs. Base Case - bps</v>
          </cell>
          <cell r="M344">
            <v>0</v>
          </cell>
          <cell r="N344">
            <v>0</v>
          </cell>
          <cell r="O344">
            <v>0</v>
          </cell>
          <cell r="P344">
            <v>0</v>
          </cell>
          <cell r="Q344">
            <v>0</v>
          </cell>
          <cell r="R344">
            <v>0</v>
          </cell>
          <cell r="S344">
            <v>0</v>
          </cell>
          <cell r="T344">
            <v>-20</v>
          </cell>
          <cell r="U344">
            <v>-20</v>
          </cell>
          <cell r="V344">
            <v>-20</v>
          </cell>
          <cell r="W344">
            <v>-20</v>
          </cell>
          <cell r="X344">
            <v>-20</v>
          </cell>
          <cell r="Y344">
            <v>-20</v>
          </cell>
          <cell r="Z344">
            <v>-20</v>
          </cell>
          <cell r="AA344">
            <v>-20</v>
          </cell>
          <cell r="AB344">
            <v>-20</v>
          </cell>
          <cell r="AC344">
            <v>-20</v>
          </cell>
          <cell r="AD344">
            <v>-20</v>
          </cell>
          <cell r="AE344">
            <v>-20</v>
          </cell>
          <cell r="AF344">
            <v>-20</v>
          </cell>
          <cell r="AG344">
            <v>-20</v>
          </cell>
          <cell r="AH344">
            <v>-20</v>
          </cell>
          <cell r="AI344">
            <v>-20</v>
          </cell>
          <cell r="AJ344">
            <v>-20</v>
          </cell>
        </row>
        <row r="345">
          <cell r="I345" t="str">
            <v>Bear Case</v>
          </cell>
          <cell r="M345">
            <v>2.4305720034206012E-2</v>
          </cell>
          <cell r="N345">
            <v>2.2194839083792404E-2</v>
          </cell>
          <cell r="O345">
            <v>1.878299655533484E-2</v>
          </cell>
          <cell r="P345">
            <v>1.5179696739196821E-2</v>
          </cell>
          <cell r="Q345">
            <v>1.099963750123103E-2</v>
          </cell>
          <cell r="R345">
            <v>1.0649478726432109E-2</v>
          </cell>
          <cell r="S345">
            <v>1.070720644181832E-2</v>
          </cell>
          <cell r="T345">
            <v>1.35E-2</v>
          </cell>
          <cell r="U345">
            <v>1.35E-2</v>
          </cell>
          <cell r="V345">
            <v>1.35E-2</v>
          </cell>
          <cell r="W345">
            <v>1.35E-2</v>
          </cell>
          <cell r="X345">
            <v>1.35E-2</v>
          </cell>
          <cell r="Y345">
            <v>1.35E-2</v>
          </cell>
          <cell r="Z345">
            <v>1.35E-2</v>
          </cell>
          <cell r="AA345">
            <v>1.35E-2</v>
          </cell>
          <cell r="AB345">
            <v>1.35E-2</v>
          </cell>
          <cell r="AC345">
            <v>1.35E-2</v>
          </cell>
          <cell r="AD345">
            <v>1.35E-2</v>
          </cell>
          <cell r="AE345">
            <v>1.35E-2</v>
          </cell>
          <cell r="AF345">
            <v>1.35E-2</v>
          </cell>
          <cell r="AG345">
            <v>1.35E-2</v>
          </cell>
          <cell r="AH345">
            <v>1.35E-2</v>
          </cell>
          <cell r="AI345">
            <v>1.35E-2</v>
          </cell>
          <cell r="AJ345">
            <v>1.35E-2</v>
          </cell>
        </row>
        <row r="346">
          <cell r="I346" t="str">
            <v>Bear vs. Base Case - bps</v>
          </cell>
          <cell r="M346">
            <v>0</v>
          </cell>
          <cell r="N346">
            <v>0</v>
          </cell>
          <cell r="O346">
            <v>0</v>
          </cell>
          <cell r="P346">
            <v>0</v>
          </cell>
          <cell r="Q346">
            <v>0</v>
          </cell>
          <cell r="R346">
            <v>0</v>
          </cell>
          <cell r="S346">
            <v>0</v>
          </cell>
          <cell r="T346">
            <v>25</v>
          </cell>
          <cell r="U346">
            <v>25</v>
          </cell>
          <cell r="V346">
            <v>25</v>
          </cell>
          <cell r="W346">
            <v>25</v>
          </cell>
          <cell r="X346">
            <v>25</v>
          </cell>
          <cell r="Y346">
            <v>25</v>
          </cell>
          <cell r="Z346">
            <v>25</v>
          </cell>
          <cell r="AA346">
            <v>25</v>
          </cell>
          <cell r="AB346">
            <v>25</v>
          </cell>
          <cell r="AC346">
            <v>25</v>
          </cell>
          <cell r="AD346">
            <v>25</v>
          </cell>
          <cell r="AE346">
            <v>25</v>
          </cell>
          <cell r="AF346">
            <v>25</v>
          </cell>
          <cell r="AG346">
            <v>25</v>
          </cell>
          <cell r="AH346">
            <v>25</v>
          </cell>
          <cell r="AI346">
            <v>25</v>
          </cell>
          <cell r="AJ346">
            <v>25</v>
          </cell>
        </row>
        <row r="348">
          <cell r="I348" t="str">
            <v>Stock-Based Compensation as % of Gross Profit</v>
          </cell>
        </row>
        <row r="349">
          <cell r="I349" t="str">
            <v>Base Case</v>
          </cell>
          <cell r="M349">
            <v>3.7217744247679499E-2</v>
          </cell>
          <cell r="N349">
            <v>2.6179891111755425E-2</v>
          </cell>
          <cell r="O349">
            <v>4.2388315126714093E-2</v>
          </cell>
          <cell r="P349">
            <v>3.2259036789626598E-2</v>
          </cell>
          <cell r="Q349">
            <v>3.572603474540223E-2</v>
          </cell>
          <cell r="R349">
            <v>2.0069412414883865E-2</v>
          </cell>
          <cell r="S349">
            <v>2.1674166326760683E-2</v>
          </cell>
          <cell r="T349">
            <v>2.5000000000000001E-2</v>
          </cell>
          <cell r="U349">
            <v>2.5000000000000001E-2</v>
          </cell>
          <cell r="V349">
            <v>2.5000000000000001E-2</v>
          </cell>
          <cell r="W349">
            <v>2.5000000000000001E-2</v>
          </cell>
          <cell r="X349">
            <v>2.5000000000000001E-2</v>
          </cell>
          <cell r="Y349">
            <v>2.5000000000000001E-2</v>
          </cell>
          <cell r="Z349">
            <v>2.5000000000000001E-2</v>
          </cell>
          <cell r="AA349">
            <v>2.5000000000000001E-2</v>
          </cell>
          <cell r="AB349">
            <v>2.5000000000000001E-2</v>
          </cell>
          <cell r="AC349">
            <v>2.5000000000000001E-2</v>
          </cell>
          <cell r="AD349">
            <v>2.5000000000000001E-2</v>
          </cell>
          <cell r="AE349">
            <v>2.5000000000000001E-2</v>
          </cell>
          <cell r="AF349">
            <v>2.5000000000000001E-2</v>
          </cell>
          <cell r="AG349">
            <v>2.5000000000000001E-2</v>
          </cell>
          <cell r="AH349">
            <v>2.5000000000000001E-2</v>
          </cell>
          <cell r="AI349">
            <v>2.5000000000000001E-2</v>
          </cell>
          <cell r="AJ349">
            <v>2.5000000000000001E-2</v>
          </cell>
        </row>
        <row r="350">
          <cell r="I350" t="str">
            <v>Bull Case</v>
          </cell>
          <cell r="M350">
            <v>3.7217744247679499E-2</v>
          </cell>
          <cell r="N350">
            <v>2.6179891111755425E-2</v>
          </cell>
          <cell r="O350">
            <v>4.2388315126714093E-2</v>
          </cell>
          <cell r="P350">
            <v>3.2259036789626598E-2</v>
          </cell>
          <cell r="Q350">
            <v>3.572603474540223E-2</v>
          </cell>
          <cell r="R350">
            <v>2.0069412414883865E-2</v>
          </cell>
          <cell r="S350">
            <v>2.1674166326760683E-2</v>
          </cell>
          <cell r="T350">
            <v>2.2500000000000003E-2</v>
          </cell>
          <cell r="U350">
            <v>2.2500000000000003E-2</v>
          </cell>
          <cell r="V350">
            <v>2.2500000000000003E-2</v>
          </cell>
          <cell r="W350">
            <v>2.2500000000000003E-2</v>
          </cell>
          <cell r="X350">
            <v>2.2500000000000003E-2</v>
          </cell>
          <cell r="Y350">
            <v>2.2500000000000003E-2</v>
          </cell>
          <cell r="Z350">
            <v>2.2500000000000003E-2</v>
          </cell>
          <cell r="AA350">
            <v>2.2500000000000003E-2</v>
          </cell>
          <cell r="AB350">
            <v>2.2500000000000003E-2</v>
          </cell>
          <cell r="AC350">
            <v>2.2500000000000003E-2</v>
          </cell>
          <cell r="AD350">
            <v>2.2500000000000003E-2</v>
          </cell>
          <cell r="AE350">
            <v>2.2500000000000003E-2</v>
          </cell>
          <cell r="AF350">
            <v>2.2500000000000003E-2</v>
          </cell>
          <cell r="AG350">
            <v>2.2500000000000003E-2</v>
          </cell>
          <cell r="AH350">
            <v>2.2500000000000003E-2</v>
          </cell>
          <cell r="AI350">
            <v>2.2500000000000003E-2</v>
          </cell>
          <cell r="AJ350">
            <v>2.2500000000000003E-2</v>
          </cell>
        </row>
        <row r="351">
          <cell r="I351" t="str">
            <v>Bull vs. Base Case - bps</v>
          </cell>
          <cell r="M351">
            <v>0</v>
          </cell>
          <cell r="N351">
            <v>0</v>
          </cell>
          <cell r="O351">
            <v>0</v>
          </cell>
          <cell r="P351">
            <v>0</v>
          </cell>
          <cell r="Q351">
            <v>0</v>
          </cell>
          <cell r="R351">
            <v>0</v>
          </cell>
          <cell r="S351">
            <v>0</v>
          </cell>
          <cell r="T351">
            <v>-25</v>
          </cell>
          <cell r="U351">
            <v>-25</v>
          </cell>
          <cell r="V351">
            <v>-25</v>
          </cell>
          <cell r="W351">
            <v>-25</v>
          </cell>
          <cell r="X351">
            <v>-25</v>
          </cell>
          <cell r="Y351">
            <v>-25</v>
          </cell>
          <cell r="Z351">
            <v>-25</v>
          </cell>
          <cell r="AA351">
            <v>-25</v>
          </cell>
          <cell r="AB351">
            <v>-25</v>
          </cell>
          <cell r="AC351">
            <v>-25</v>
          </cell>
          <cell r="AD351">
            <v>-25</v>
          </cell>
          <cell r="AE351">
            <v>-25</v>
          </cell>
          <cell r="AF351">
            <v>-25</v>
          </cell>
          <cell r="AG351">
            <v>-25</v>
          </cell>
          <cell r="AH351">
            <v>-25</v>
          </cell>
          <cell r="AI351">
            <v>-25</v>
          </cell>
          <cell r="AJ351">
            <v>-25</v>
          </cell>
        </row>
        <row r="352">
          <cell r="I352" t="str">
            <v>Bear Case</v>
          </cell>
          <cell r="M352">
            <v>3.7217744247679499E-2</v>
          </cell>
          <cell r="N352">
            <v>2.6179891111755425E-2</v>
          </cell>
          <cell r="O352">
            <v>4.2388315126714093E-2</v>
          </cell>
          <cell r="P352">
            <v>3.2259036789626598E-2</v>
          </cell>
          <cell r="Q352">
            <v>3.572603474540223E-2</v>
          </cell>
          <cell r="R352">
            <v>2.0069412414883865E-2</v>
          </cell>
          <cell r="S352">
            <v>2.1674166326760683E-2</v>
          </cell>
          <cell r="T352">
            <v>2.75E-2</v>
          </cell>
          <cell r="U352">
            <v>2.75E-2</v>
          </cell>
          <cell r="V352">
            <v>2.75E-2</v>
          </cell>
          <cell r="W352">
            <v>2.75E-2</v>
          </cell>
          <cell r="X352">
            <v>2.75E-2</v>
          </cell>
          <cell r="Y352">
            <v>2.75E-2</v>
          </cell>
          <cell r="Z352">
            <v>2.75E-2</v>
          </cell>
          <cell r="AA352">
            <v>2.75E-2</v>
          </cell>
          <cell r="AB352">
            <v>2.75E-2</v>
          </cell>
          <cell r="AC352">
            <v>2.75E-2</v>
          </cell>
          <cell r="AD352">
            <v>2.75E-2</v>
          </cell>
          <cell r="AE352">
            <v>2.75E-2</v>
          </cell>
          <cell r="AF352">
            <v>2.75E-2</v>
          </cell>
          <cell r="AG352">
            <v>2.75E-2</v>
          </cell>
          <cell r="AH352">
            <v>2.75E-2</v>
          </cell>
          <cell r="AI352">
            <v>2.75E-2</v>
          </cell>
          <cell r="AJ352">
            <v>2.75E-2</v>
          </cell>
        </row>
        <row r="353">
          <cell r="I353" t="str">
            <v>Bear vs. Base Case - bps</v>
          </cell>
          <cell r="M353">
            <v>0</v>
          </cell>
          <cell r="N353">
            <v>0</v>
          </cell>
          <cell r="O353">
            <v>0</v>
          </cell>
          <cell r="P353">
            <v>0</v>
          </cell>
          <cell r="Q353">
            <v>0</v>
          </cell>
          <cell r="R353">
            <v>0</v>
          </cell>
          <cell r="S353">
            <v>0</v>
          </cell>
          <cell r="T353">
            <v>25</v>
          </cell>
          <cell r="U353">
            <v>25</v>
          </cell>
          <cell r="V353">
            <v>25</v>
          </cell>
          <cell r="W353">
            <v>25</v>
          </cell>
          <cell r="X353">
            <v>25</v>
          </cell>
          <cell r="Y353">
            <v>25</v>
          </cell>
          <cell r="Z353">
            <v>25</v>
          </cell>
          <cell r="AA353">
            <v>25</v>
          </cell>
          <cell r="AB353">
            <v>25</v>
          </cell>
          <cell r="AC353">
            <v>25</v>
          </cell>
          <cell r="AD353">
            <v>25</v>
          </cell>
          <cell r="AE353">
            <v>25</v>
          </cell>
          <cell r="AF353">
            <v>25</v>
          </cell>
          <cell r="AG353">
            <v>25</v>
          </cell>
          <cell r="AH353">
            <v>25</v>
          </cell>
          <cell r="AI353">
            <v>25</v>
          </cell>
          <cell r="AJ353">
            <v>25</v>
          </cell>
        </row>
        <row r="355">
          <cell r="I355" t="str">
            <v>Model Drivers</v>
          </cell>
        </row>
        <row r="356">
          <cell r="I356" t="str">
            <v>Gross Bookings Model Drivers:</v>
          </cell>
        </row>
        <row r="357">
          <cell r="I357" t="str">
            <v>US</v>
          </cell>
        </row>
        <row r="358">
          <cell r="I358" t="str">
            <v>Agency (Priceline.com &amp; Booking.com) - Y/Y growth</v>
          </cell>
          <cell r="T358">
            <v>0.12</v>
          </cell>
          <cell r="U358">
            <v>0.08</v>
          </cell>
          <cell r="V358">
            <v>0.05</v>
          </cell>
          <cell r="W358">
            <v>4.4999999999999998E-2</v>
          </cell>
          <cell r="X358">
            <v>4.4999999999999998E-2</v>
          </cell>
          <cell r="Y358">
            <v>4.4999999999999998E-2</v>
          </cell>
          <cell r="Z358">
            <v>4.4999999999999998E-2</v>
          </cell>
          <cell r="AA358">
            <v>4.4999999999999998E-2</v>
          </cell>
          <cell r="AB358">
            <v>4.4999999999999998E-2</v>
          </cell>
          <cell r="AC358">
            <v>4.4999999999999998E-2</v>
          </cell>
          <cell r="AD358">
            <v>4.4999999999999998E-2</v>
          </cell>
          <cell r="AE358">
            <v>4.4999999999999998E-2</v>
          </cell>
          <cell r="AF358">
            <v>4.4999999999999998E-2</v>
          </cell>
          <cell r="AG358">
            <v>4.4999999999999998E-2</v>
          </cell>
          <cell r="AH358">
            <v>4.4999999999999998E-2</v>
          </cell>
          <cell r="AI358">
            <v>4.4999999999999998E-2</v>
          </cell>
          <cell r="AJ358">
            <v>4.4999999999999998E-2</v>
          </cell>
        </row>
        <row r="359">
          <cell r="I359" t="str">
            <v>Merchant (NYOP &amp; Priceline.com) - Y/Y growth</v>
          </cell>
          <cell r="T359">
            <v>7.4999999999999997E-2</v>
          </cell>
          <cell r="U359">
            <v>7.0000000000000007E-2</v>
          </cell>
          <cell r="V359">
            <v>5.5E-2</v>
          </cell>
          <cell r="W359">
            <v>0.05</v>
          </cell>
          <cell r="X359">
            <v>0.04</v>
          </cell>
          <cell r="Y359">
            <v>0.04</v>
          </cell>
          <cell r="Z359">
            <v>0.04</v>
          </cell>
          <cell r="AA359">
            <v>0.04</v>
          </cell>
          <cell r="AB359">
            <v>0.04</v>
          </cell>
          <cell r="AC359">
            <v>0.04</v>
          </cell>
          <cell r="AD359">
            <v>0.04</v>
          </cell>
          <cell r="AE359">
            <v>0.04</v>
          </cell>
          <cell r="AF359">
            <v>0.04</v>
          </cell>
          <cell r="AG359">
            <v>0.04</v>
          </cell>
          <cell r="AH359">
            <v>0.04</v>
          </cell>
          <cell r="AI359">
            <v>0.04</v>
          </cell>
          <cell r="AJ359">
            <v>0.04</v>
          </cell>
        </row>
        <row r="360">
          <cell r="I360" t="str">
            <v>Europe</v>
          </cell>
        </row>
        <row r="361">
          <cell r="I361" t="str">
            <v>Agency (Booking.com &amp; Other) - Y/Y growth</v>
          </cell>
          <cell r="T361">
            <v>0.21</v>
          </cell>
          <cell r="U361">
            <v>0.12</v>
          </cell>
          <cell r="V361">
            <v>8.5000000000000006E-2</v>
          </cell>
          <cell r="W361">
            <v>7.0000000000000007E-2</v>
          </cell>
          <cell r="X361">
            <v>0.06</v>
          </cell>
          <cell r="Y361">
            <v>4.7500000000000001E-2</v>
          </cell>
          <cell r="Z361">
            <v>4.4999999999999998E-2</v>
          </cell>
          <cell r="AA361">
            <v>4.4999999999999998E-2</v>
          </cell>
          <cell r="AB361">
            <v>4.4999999999999998E-2</v>
          </cell>
          <cell r="AC361">
            <v>4.4999999999999998E-2</v>
          </cell>
          <cell r="AD361">
            <v>4.4999999999999998E-2</v>
          </cell>
          <cell r="AE361">
            <v>4.4999999999999998E-2</v>
          </cell>
          <cell r="AF361">
            <v>4.4999999999999998E-2</v>
          </cell>
          <cell r="AG361">
            <v>4.4999999999999998E-2</v>
          </cell>
          <cell r="AH361">
            <v>4.4999999999999998E-2</v>
          </cell>
          <cell r="AI361">
            <v>4.4999999999999998E-2</v>
          </cell>
          <cell r="AJ361">
            <v>4.4999999999999998E-2</v>
          </cell>
        </row>
        <row r="362">
          <cell r="I362" t="str">
            <v>Merchant (TravelJigsaw) - Y/Y growth</v>
          </cell>
          <cell r="T362">
            <v>0.35</v>
          </cell>
          <cell r="U362">
            <v>0.2</v>
          </cell>
          <cell r="V362">
            <v>0.12</v>
          </cell>
          <cell r="W362">
            <v>0.09</v>
          </cell>
          <cell r="X362">
            <v>7.0000000000000007E-2</v>
          </cell>
          <cell r="Y362">
            <v>0.05</v>
          </cell>
          <cell r="Z362">
            <v>0.05</v>
          </cell>
          <cell r="AA362">
            <v>0.05</v>
          </cell>
          <cell r="AB362">
            <v>0.05</v>
          </cell>
          <cell r="AC362">
            <v>0.05</v>
          </cell>
          <cell r="AD362">
            <v>0.05</v>
          </cell>
          <cell r="AE362">
            <v>0.05</v>
          </cell>
          <cell r="AF362">
            <v>0.05</v>
          </cell>
          <cell r="AG362">
            <v>0.05</v>
          </cell>
          <cell r="AH362">
            <v>0.05</v>
          </cell>
          <cell r="AI362">
            <v>0.05</v>
          </cell>
          <cell r="AJ362">
            <v>0.05</v>
          </cell>
        </row>
        <row r="363">
          <cell r="I363" t="str">
            <v>Asia</v>
          </cell>
        </row>
        <row r="364">
          <cell r="I364" t="str">
            <v>Agency (Booking.com) - Y/Y growth</v>
          </cell>
          <cell r="T364">
            <v>0.4</v>
          </cell>
          <cell r="U364">
            <v>0.2</v>
          </cell>
          <cell r="V364">
            <v>0.12</v>
          </cell>
          <cell r="W364">
            <v>0.09</v>
          </cell>
          <cell r="X364">
            <v>7.0000000000000007E-2</v>
          </cell>
          <cell r="Y364">
            <v>0.06</v>
          </cell>
          <cell r="Z364">
            <v>0.06</v>
          </cell>
          <cell r="AA364">
            <v>0.06</v>
          </cell>
          <cell r="AB364">
            <v>0.06</v>
          </cell>
          <cell r="AC364">
            <v>0.06</v>
          </cell>
          <cell r="AD364">
            <v>0.06</v>
          </cell>
          <cell r="AE364">
            <v>0.06</v>
          </cell>
          <cell r="AF364">
            <v>0.06</v>
          </cell>
          <cell r="AG364">
            <v>0.06</v>
          </cell>
          <cell r="AH364">
            <v>0.06</v>
          </cell>
          <cell r="AI364">
            <v>0.06</v>
          </cell>
          <cell r="AJ364">
            <v>0.06</v>
          </cell>
        </row>
        <row r="365">
          <cell r="I365" t="str">
            <v>Merchant (Agoda) - Y/Y growth</v>
          </cell>
          <cell r="T365">
            <v>0.3</v>
          </cell>
          <cell r="U365">
            <v>0.18</v>
          </cell>
          <cell r="V365">
            <v>0.08</v>
          </cell>
          <cell r="W365">
            <v>7.0000000000000007E-2</v>
          </cell>
          <cell r="X365">
            <v>0.06</v>
          </cell>
          <cell r="Y365">
            <v>0.05</v>
          </cell>
          <cell r="Z365">
            <v>0.05</v>
          </cell>
          <cell r="AA365">
            <v>0.05</v>
          </cell>
          <cell r="AB365">
            <v>0.05</v>
          </cell>
          <cell r="AC365">
            <v>0.05</v>
          </cell>
          <cell r="AD365">
            <v>0.05</v>
          </cell>
          <cell r="AE365">
            <v>0.05</v>
          </cell>
          <cell r="AF365">
            <v>0.05</v>
          </cell>
          <cell r="AG365">
            <v>0.05</v>
          </cell>
          <cell r="AH365">
            <v>0.05</v>
          </cell>
          <cell r="AI365">
            <v>0.05</v>
          </cell>
          <cell r="AJ365">
            <v>0.05</v>
          </cell>
        </row>
        <row r="366">
          <cell r="I366" t="str">
            <v>Latin America</v>
          </cell>
        </row>
        <row r="367">
          <cell r="I367" t="str">
            <v>Agency (Booking.com) - Y/Y growth</v>
          </cell>
          <cell r="T367">
            <v>0.4</v>
          </cell>
          <cell r="U367">
            <v>0.22</v>
          </cell>
          <cell r="V367">
            <v>0.15</v>
          </cell>
          <cell r="W367">
            <v>0.1</v>
          </cell>
          <cell r="X367">
            <v>0.08</v>
          </cell>
          <cell r="Y367">
            <v>7.0000000000000007E-2</v>
          </cell>
          <cell r="Z367">
            <v>7.0000000000000007E-2</v>
          </cell>
          <cell r="AA367">
            <v>7.0000000000000007E-2</v>
          </cell>
          <cell r="AB367">
            <v>7.0000000000000007E-2</v>
          </cell>
          <cell r="AC367">
            <v>7.0000000000000007E-2</v>
          </cell>
          <cell r="AD367">
            <v>7.0000000000000007E-2</v>
          </cell>
          <cell r="AE367">
            <v>7.0000000000000007E-2</v>
          </cell>
          <cell r="AF367">
            <v>7.0000000000000007E-2</v>
          </cell>
          <cell r="AG367">
            <v>7.0000000000000007E-2</v>
          </cell>
          <cell r="AH367">
            <v>7.0000000000000007E-2</v>
          </cell>
          <cell r="AI367">
            <v>7.0000000000000007E-2</v>
          </cell>
          <cell r="AJ367">
            <v>7.0000000000000007E-2</v>
          </cell>
        </row>
        <row r="369">
          <cell r="I369" t="str">
            <v>US</v>
          </cell>
        </row>
        <row r="370">
          <cell r="I370" t="str">
            <v xml:space="preserve">Agency (Priceline.com &amp; Booking.com) </v>
          </cell>
          <cell r="M370">
            <v>834.30699999999956</v>
          </cell>
          <cell r="N370">
            <v>923.46399999999994</v>
          </cell>
          <cell r="O370">
            <v>1538.9859999999999</v>
          </cell>
          <cell r="P370">
            <v>1772.3919999999998</v>
          </cell>
          <cell r="Q370">
            <v>2028.4010000000003</v>
          </cell>
          <cell r="R370">
            <v>2335.0682999999999</v>
          </cell>
          <cell r="S370">
            <v>2715.9713540000002</v>
          </cell>
          <cell r="T370">
            <v>3041.8879164800005</v>
          </cell>
          <cell r="U370">
            <v>3285.2389497984009</v>
          </cell>
          <cell r="V370">
            <v>3449.5008972883211</v>
          </cell>
          <cell r="W370">
            <v>3604.7284376662951</v>
          </cell>
          <cell r="X370">
            <v>3766.9412173612782</v>
          </cell>
          <cell r="Y370">
            <v>3936.4535721425354</v>
          </cell>
          <cell r="Z370">
            <v>4113.5939828889495</v>
          </cell>
          <cell r="AA370">
            <v>4298.7057121189519</v>
          </cell>
          <cell r="AB370">
            <v>4492.1474691643043</v>
          </cell>
          <cell r="AC370">
            <v>4694.2941052766973</v>
          </cell>
          <cell r="AD370">
            <v>4905.537340014148</v>
          </cell>
          <cell r="AE370">
            <v>5126.286520314784</v>
          </cell>
          <cell r="AF370">
            <v>5356.9694137289489</v>
          </cell>
          <cell r="AG370">
            <v>5598.0330373467514</v>
          </cell>
          <cell r="AH370">
            <v>5849.9445240273544</v>
          </cell>
          <cell r="AI370">
            <v>6113.1920276085848</v>
          </cell>
          <cell r="AJ370">
            <v>6388.285668850971</v>
          </cell>
        </row>
        <row r="371">
          <cell r="I371" t="str">
            <v xml:space="preserve">Merchant (NYOP &amp; Priceline.com) </v>
          </cell>
          <cell r="M371">
            <v>1138.4829999999999</v>
          </cell>
          <cell r="N371">
            <v>1230.9110000000001</v>
          </cell>
          <cell r="O371">
            <v>1542.806</v>
          </cell>
          <cell r="P371">
            <v>1873.67</v>
          </cell>
          <cell r="Q371">
            <v>2138.4740000000002</v>
          </cell>
          <cell r="R371">
            <v>2388.6791999999996</v>
          </cell>
          <cell r="S371">
            <v>2592.8427940000001</v>
          </cell>
          <cell r="T371">
            <v>2787.3060035500002</v>
          </cell>
          <cell r="U371">
            <v>2982.4174237985003</v>
          </cell>
          <cell r="V371">
            <v>3146.4503821074177</v>
          </cell>
          <cell r="W371">
            <v>3303.7729012127888</v>
          </cell>
          <cell r="X371">
            <v>3435.9238172613004</v>
          </cell>
          <cell r="Y371">
            <v>3573.3607699517524</v>
          </cell>
          <cell r="Z371">
            <v>3716.2952007498225</v>
          </cell>
          <cell r="AA371">
            <v>3864.9470087798154</v>
          </cell>
          <cell r="AB371">
            <v>4019.5448891310079</v>
          </cell>
          <cell r="AC371">
            <v>4180.3266846962488</v>
          </cell>
          <cell r="AD371">
            <v>4347.5397520840988</v>
          </cell>
          <cell r="AE371">
            <v>4521.4413421674626</v>
          </cell>
          <cell r="AF371">
            <v>4702.2989958541611</v>
          </cell>
          <cell r="AG371">
            <v>4890.3909556883282</v>
          </cell>
          <cell r="AH371">
            <v>5086.0065939158612</v>
          </cell>
          <cell r="AI371">
            <v>5289.4468576724958</v>
          </cell>
          <cell r="AJ371">
            <v>5501.0247319793962</v>
          </cell>
        </row>
        <row r="372">
          <cell r="I372" t="str">
            <v>Europe</v>
          </cell>
        </row>
        <row r="373">
          <cell r="I373" t="str">
            <v xml:space="preserve">Agency (Booking.com &amp; Other) </v>
          </cell>
          <cell r="M373">
            <v>1323.9290000000003</v>
          </cell>
          <cell r="N373">
            <v>2596.2659999999996</v>
          </cell>
          <cell r="O373">
            <v>4024.8225000000002</v>
          </cell>
          <cell r="P373">
            <v>4992.1568750000006</v>
          </cell>
          <cell r="Q373">
            <v>7664.4586250000011</v>
          </cell>
          <cell r="R373">
            <v>12567.324086258932</v>
          </cell>
          <cell r="S373">
            <v>15948.969148794769</v>
          </cell>
          <cell r="T373">
            <v>19298.252670041671</v>
          </cell>
          <cell r="U373">
            <v>21614.042990446673</v>
          </cell>
          <cell r="V373">
            <v>23451.236644634639</v>
          </cell>
          <cell r="W373">
            <v>25092.823209759066</v>
          </cell>
          <cell r="X373">
            <v>26598.392602344611</v>
          </cell>
          <cell r="Y373">
            <v>27861.816250955984</v>
          </cell>
          <cell r="Z373">
            <v>29115.597982249001</v>
          </cell>
          <cell r="AA373">
            <v>30425.799891450202</v>
          </cell>
          <cell r="AB373">
            <v>31794.960886565459</v>
          </cell>
          <cell r="AC373">
            <v>33225.734126460906</v>
          </cell>
          <cell r="AD373">
            <v>34720.892162151642</v>
          </cell>
          <cell r="AE373">
            <v>36283.332309448466</v>
          </cell>
          <cell r="AF373">
            <v>37916.082263373646</v>
          </cell>
          <cell r="AG373">
            <v>39622.30596522546</v>
          </cell>
          <cell r="AH373">
            <v>41405.309733660601</v>
          </cell>
          <cell r="AI373">
            <v>43268.548671675322</v>
          </cell>
          <cell r="AJ373">
            <v>45215.633361900705</v>
          </cell>
        </row>
        <row r="374">
          <cell r="I374" t="str">
            <v xml:space="preserve">Merchant (TravelJigsaw) </v>
          </cell>
          <cell r="M374">
            <v>0</v>
          </cell>
          <cell r="N374">
            <v>0</v>
          </cell>
          <cell r="O374">
            <v>0</v>
          </cell>
          <cell r="P374">
            <v>0</v>
          </cell>
          <cell r="Q374">
            <v>184.7</v>
          </cell>
          <cell r="R374">
            <v>488.62833097441575</v>
          </cell>
          <cell r="S374">
            <v>764.14644733189664</v>
          </cell>
          <cell r="T374">
            <v>1031.5977038980604</v>
          </cell>
          <cell r="U374">
            <v>1237.9172446776724</v>
          </cell>
          <cell r="V374">
            <v>1386.4673140389932</v>
          </cell>
          <cell r="W374">
            <v>1511.2493723025027</v>
          </cell>
          <cell r="X374">
            <v>1617.0368283636781</v>
          </cell>
          <cell r="Y374">
            <v>1697.8886697818621</v>
          </cell>
          <cell r="Z374">
            <v>1782.7831032709553</v>
          </cell>
          <cell r="AA374">
            <v>1871.9222584345032</v>
          </cell>
          <cell r="AB374">
            <v>1965.5183713562285</v>
          </cell>
          <cell r="AC374">
            <v>2063.7942899240402</v>
          </cell>
          <cell r="AD374">
            <v>2166.9840044202424</v>
          </cell>
          <cell r="AE374">
            <v>2275.3332046412547</v>
          </cell>
          <cell r="AF374">
            <v>2389.0998648733175</v>
          </cell>
          <cell r="AG374">
            <v>2508.5548581169837</v>
          </cell>
          <cell r="AH374">
            <v>2633.982601022833</v>
          </cell>
          <cell r="AI374">
            <v>2765.6817310739748</v>
          </cell>
          <cell r="AJ374">
            <v>2903.9658176276735</v>
          </cell>
        </row>
        <row r="375">
          <cell r="I375" t="str">
            <v>Asia</v>
          </cell>
        </row>
        <row r="376">
          <cell r="I376" t="str">
            <v xml:space="preserve">Agency (Booking.com) </v>
          </cell>
          <cell r="M376">
            <v>15.030000000000001</v>
          </cell>
          <cell r="N376">
            <v>37.575000000000003</v>
          </cell>
          <cell r="O376">
            <v>86.422499999999985</v>
          </cell>
          <cell r="P376">
            <v>174.01512499999995</v>
          </cell>
          <cell r="Q376">
            <v>382.32037500000001</v>
          </cell>
          <cell r="R376">
            <v>859.77269180028907</v>
          </cell>
          <cell r="S376">
            <v>1498.7419670149097</v>
          </cell>
          <cell r="T376">
            <v>2098.2387538208736</v>
          </cell>
          <cell r="U376">
            <v>2517.8865045850484</v>
          </cell>
          <cell r="V376">
            <v>2820.0328851352547</v>
          </cell>
          <cell r="W376">
            <v>3073.8358447974279</v>
          </cell>
          <cell r="X376">
            <v>3289.0043539332478</v>
          </cell>
          <cell r="Y376">
            <v>3486.3446151692428</v>
          </cell>
          <cell r="Z376">
            <v>3695.5252920793978</v>
          </cell>
          <cell r="AA376">
            <v>3917.2568096041618</v>
          </cell>
          <cell r="AB376">
            <v>4152.2922181804115</v>
          </cell>
          <cell r="AC376">
            <v>4401.4297512712365</v>
          </cell>
          <cell r="AD376">
            <v>4665.5155363475105</v>
          </cell>
          <cell r="AE376">
            <v>4945.446468528361</v>
          </cell>
          <cell r="AF376">
            <v>5242.1732566400633</v>
          </cell>
          <cell r="AG376">
            <v>5556.7036520384672</v>
          </cell>
          <cell r="AH376">
            <v>5890.1058711607757</v>
          </cell>
          <cell r="AI376">
            <v>6243.5122234304226</v>
          </cell>
          <cell r="AJ376">
            <v>6618.1229568362487</v>
          </cell>
        </row>
        <row r="377">
          <cell r="I377" t="str">
            <v xml:space="preserve">Merchant (Agoda) </v>
          </cell>
          <cell r="M377">
            <v>0</v>
          </cell>
          <cell r="N377">
            <v>13.4</v>
          </cell>
          <cell r="O377">
            <v>118.69999999999999</v>
          </cell>
          <cell r="P377">
            <v>244.952</v>
          </cell>
          <cell r="Q377">
            <v>541.17100000000005</v>
          </cell>
          <cell r="R377">
            <v>1146.699784269646</v>
          </cell>
          <cell r="S377">
            <v>1882.1960332306744</v>
          </cell>
          <cell r="T377">
            <v>2446.854843199877</v>
          </cell>
          <cell r="U377">
            <v>2887.2887149758549</v>
          </cell>
          <cell r="V377">
            <v>3118.2718121739235</v>
          </cell>
          <cell r="W377">
            <v>3336.5508390260984</v>
          </cell>
          <cell r="X377">
            <v>3536.7438893676645</v>
          </cell>
          <cell r="Y377">
            <v>3713.581083836048</v>
          </cell>
          <cell r="Z377">
            <v>3899.2601380278506</v>
          </cell>
          <cell r="AA377">
            <v>4094.2231449292435</v>
          </cell>
          <cell r="AB377">
            <v>4298.9343021757059</v>
          </cell>
          <cell r="AC377">
            <v>4513.8810172844915</v>
          </cell>
          <cell r="AD377">
            <v>4739.5750681487161</v>
          </cell>
          <cell r="AE377">
            <v>4976.5538215561519</v>
          </cell>
          <cell r="AF377">
            <v>5225.3815126339596</v>
          </cell>
          <cell r="AG377">
            <v>5486.6505882656575</v>
          </cell>
          <cell r="AH377">
            <v>5760.9831176789403</v>
          </cell>
          <cell r="AI377">
            <v>6049.0322735628879</v>
          </cell>
          <cell r="AJ377">
            <v>6351.4838872410328</v>
          </cell>
        </row>
        <row r="378">
          <cell r="I378" t="str">
            <v>Latin America</v>
          </cell>
        </row>
        <row r="379">
          <cell r="I379" t="str">
            <v xml:space="preserve">Agency (Booking.com) </v>
          </cell>
          <cell r="M379">
            <v>8</v>
          </cell>
          <cell r="N379">
            <v>27.799999999999997</v>
          </cell>
          <cell r="O379">
            <v>88.38</v>
          </cell>
          <cell r="P379">
            <v>252.876</v>
          </cell>
          <cell r="Q379">
            <v>706.34999999999991</v>
          </cell>
          <cell r="R379">
            <v>1572.714980607926</v>
          </cell>
          <cell r="S379">
            <v>2655.8052752746225</v>
          </cell>
          <cell r="T379">
            <v>3718.1273853844714</v>
          </cell>
          <cell r="U379">
            <v>4536.1154101690554</v>
          </cell>
          <cell r="V379">
            <v>5216.5327216944133</v>
          </cell>
          <cell r="W379">
            <v>5738.1859938638554</v>
          </cell>
          <cell r="X379">
            <v>6197.2408733729644</v>
          </cell>
          <cell r="Y379">
            <v>6631.0477345090721</v>
          </cell>
          <cell r="Z379">
            <v>7095.2210759247073</v>
          </cell>
          <cell r="AA379">
            <v>7591.8865512394368</v>
          </cell>
          <cell r="AB379">
            <v>8123.3186098261976</v>
          </cell>
          <cell r="AC379">
            <v>8691.9509125140321</v>
          </cell>
          <cell r="AD379">
            <v>9300.3874763900149</v>
          </cell>
          <cell r="AE379">
            <v>9951.4145997373162</v>
          </cell>
          <cell r="AF379">
            <v>10648.013621718928</v>
          </cell>
          <cell r="AG379">
            <v>11393.374575239253</v>
          </cell>
          <cell r="AH379">
            <v>12190.910795506003</v>
          </cell>
          <cell r="AI379">
            <v>13044.274551191424</v>
          </cell>
          <cell r="AJ379">
            <v>13957.373769774824</v>
          </cell>
        </row>
        <row r="381">
          <cell r="I381" t="str">
            <v>Revenue Model Drivers:</v>
          </cell>
        </row>
        <row r="382">
          <cell r="I382" t="str">
            <v>US</v>
          </cell>
        </row>
        <row r="383">
          <cell r="I383" t="str">
            <v>Agency (Priceline.com &amp; Booking.com) - % of gross bookings</v>
          </cell>
          <cell r="T383">
            <v>0.03</v>
          </cell>
          <cell r="U383">
            <v>0.03</v>
          </cell>
          <cell r="V383">
            <v>2.9000000000000001E-2</v>
          </cell>
          <cell r="W383">
            <v>2.9000000000000001E-2</v>
          </cell>
          <cell r="X383">
            <v>2.9000000000000001E-2</v>
          </cell>
          <cell r="Y383">
            <v>2.9000000000000001E-2</v>
          </cell>
          <cell r="Z383">
            <v>2.9000000000000001E-2</v>
          </cell>
          <cell r="AA383">
            <v>2.9000000000000001E-2</v>
          </cell>
          <cell r="AB383">
            <v>2.9000000000000001E-2</v>
          </cell>
          <cell r="AC383">
            <v>2.9000000000000001E-2</v>
          </cell>
          <cell r="AD383">
            <v>2.9000000000000001E-2</v>
          </cell>
          <cell r="AE383">
            <v>2.9000000000000001E-2</v>
          </cell>
          <cell r="AF383">
            <v>2.9000000000000001E-2</v>
          </cell>
          <cell r="AG383">
            <v>2.9000000000000001E-2</v>
          </cell>
          <cell r="AH383">
            <v>2.9000000000000001E-2</v>
          </cell>
          <cell r="AI383">
            <v>2.9000000000000001E-2</v>
          </cell>
          <cell r="AJ383">
            <v>2.9000000000000001E-2</v>
          </cell>
        </row>
        <row r="384">
          <cell r="I384" t="str">
            <v>Merchant (NYOP &amp; Priceline.com) - % of gross bookings</v>
          </cell>
          <cell r="T384">
            <v>0.719568545788974</v>
          </cell>
          <cell r="U384">
            <v>0.719568545788974</v>
          </cell>
          <cell r="V384">
            <v>0.719568545788974</v>
          </cell>
          <cell r="W384">
            <v>0.719568545788974</v>
          </cell>
          <cell r="X384">
            <v>0.719568545788974</v>
          </cell>
          <cell r="Y384">
            <v>0.719568545788974</v>
          </cell>
          <cell r="Z384">
            <v>0.719568545788974</v>
          </cell>
          <cell r="AA384">
            <v>0.719568545788974</v>
          </cell>
          <cell r="AB384">
            <v>0.719568545788974</v>
          </cell>
          <cell r="AC384">
            <v>0.719568545788974</v>
          </cell>
          <cell r="AD384">
            <v>0.719568545788974</v>
          </cell>
          <cell r="AE384">
            <v>0.719568545788974</v>
          </cell>
          <cell r="AF384">
            <v>0.719568545788974</v>
          </cell>
          <cell r="AG384">
            <v>0.719568545788974</v>
          </cell>
          <cell r="AH384">
            <v>0.719568545788974</v>
          </cell>
          <cell r="AI384">
            <v>0.719568545788974</v>
          </cell>
          <cell r="AJ384">
            <v>0.719568545788974</v>
          </cell>
        </row>
        <row r="385">
          <cell r="I385" t="str">
            <v>Other - Y/Y growth</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row>
        <row r="386">
          <cell r="I386" t="str">
            <v>Europe</v>
          </cell>
        </row>
        <row r="387">
          <cell r="I387" t="str">
            <v>Agency (Booking.com &amp; Other) -  % of gross bookings</v>
          </cell>
          <cell r="T387">
            <v>0.14499999999999999</v>
          </cell>
          <cell r="U387">
            <v>0.14499999999999999</v>
          </cell>
          <cell r="V387">
            <v>0.14499999999999999</v>
          </cell>
          <cell r="W387">
            <v>0.14499999999999999</v>
          </cell>
          <cell r="X387">
            <v>0.14499999999999999</v>
          </cell>
          <cell r="Y387">
            <v>0.14499999999999999</v>
          </cell>
          <cell r="Z387">
            <v>0.14499999999999999</v>
          </cell>
          <cell r="AA387">
            <v>0.14499999999999999</v>
          </cell>
          <cell r="AB387">
            <v>0.14499999999999999</v>
          </cell>
          <cell r="AC387">
            <v>0.14499999999999999</v>
          </cell>
          <cell r="AD387">
            <v>0.14499999999999999</v>
          </cell>
          <cell r="AE387">
            <v>0.14499999999999999</v>
          </cell>
          <cell r="AF387">
            <v>0.14499999999999999</v>
          </cell>
          <cell r="AG387">
            <v>0.14499999999999999</v>
          </cell>
          <cell r="AH387">
            <v>0.14499999999999999</v>
          </cell>
          <cell r="AI387">
            <v>0.14499999999999999</v>
          </cell>
          <cell r="AJ387">
            <v>0.14499999999999999</v>
          </cell>
        </row>
        <row r="388">
          <cell r="I388" t="str">
            <v>Merchant (TravelJigsaw) - % of gross bookings</v>
          </cell>
          <cell r="T388">
            <v>0.17799999999999999</v>
          </cell>
          <cell r="U388">
            <v>0.17699999999999999</v>
          </cell>
          <cell r="V388">
            <v>0.17499999999999999</v>
          </cell>
          <cell r="W388">
            <v>0.17499999999999999</v>
          </cell>
          <cell r="X388">
            <v>0.17499999999999999</v>
          </cell>
          <cell r="Y388">
            <v>0.17499999999999999</v>
          </cell>
          <cell r="Z388">
            <v>0.17499999999999999</v>
          </cell>
          <cell r="AA388">
            <v>0.17499999999999999</v>
          </cell>
          <cell r="AB388">
            <v>0.17499999999999999</v>
          </cell>
          <cell r="AC388">
            <v>0.17499999999999999</v>
          </cell>
          <cell r="AD388">
            <v>0.17499999999999999</v>
          </cell>
          <cell r="AE388">
            <v>0.17499999999999999</v>
          </cell>
          <cell r="AF388">
            <v>0.17499999999999999</v>
          </cell>
          <cell r="AG388">
            <v>0.17499999999999999</v>
          </cell>
          <cell r="AH388">
            <v>0.17499999999999999</v>
          </cell>
          <cell r="AI388">
            <v>0.17499999999999999</v>
          </cell>
          <cell r="AJ388">
            <v>0.17499999999999999</v>
          </cell>
        </row>
        <row r="389">
          <cell r="I389" t="str">
            <v>Asia</v>
          </cell>
        </row>
        <row r="390">
          <cell r="I390" t="str">
            <v>Agency (Booking.com) - % of gross bookings</v>
          </cell>
          <cell r="T390">
            <v>0.14699999999999999</v>
          </cell>
          <cell r="U390">
            <v>0.14499999999999999</v>
          </cell>
          <cell r="V390">
            <v>0.14499999999999999</v>
          </cell>
          <cell r="W390">
            <v>0.14499999999999999</v>
          </cell>
          <cell r="X390">
            <v>0.14499999999999999</v>
          </cell>
          <cell r="Y390">
            <v>0.14499999999999999</v>
          </cell>
          <cell r="Z390">
            <v>0.14499999999999999</v>
          </cell>
          <cell r="AA390">
            <v>0.14499999999999999</v>
          </cell>
          <cell r="AB390">
            <v>0.14499999999999999</v>
          </cell>
          <cell r="AC390">
            <v>0.14499999999999999</v>
          </cell>
          <cell r="AD390">
            <v>0.14499999999999999</v>
          </cell>
          <cell r="AE390">
            <v>0.14499999999999999</v>
          </cell>
          <cell r="AF390">
            <v>0.14499999999999999</v>
          </cell>
          <cell r="AG390">
            <v>0.14499999999999999</v>
          </cell>
          <cell r="AH390">
            <v>0.14499999999999999</v>
          </cell>
          <cell r="AI390">
            <v>0.14499999999999999</v>
          </cell>
          <cell r="AJ390">
            <v>0.14499999999999999</v>
          </cell>
        </row>
        <row r="391">
          <cell r="I391" t="str">
            <v>Merchant (Agoda) - % of gross bookings</v>
          </cell>
          <cell r="T391">
            <v>0.17799999999999999</v>
          </cell>
          <cell r="U391">
            <v>0.17699999999999999</v>
          </cell>
          <cell r="V391">
            <v>0.17499999999999999</v>
          </cell>
          <cell r="W391">
            <v>0.17499999999999999</v>
          </cell>
          <cell r="X391">
            <v>0.17499999999999999</v>
          </cell>
          <cell r="Y391">
            <v>0.17499999999999999</v>
          </cell>
          <cell r="Z391">
            <v>0.17499999999999999</v>
          </cell>
          <cell r="AA391">
            <v>0.17499999999999999</v>
          </cell>
          <cell r="AB391">
            <v>0.17499999999999999</v>
          </cell>
          <cell r="AC391">
            <v>0.17499999999999999</v>
          </cell>
          <cell r="AD391">
            <v>0.17499999999999999</v>
          </cell>
          <cell r="AE391">
            <v>0.17499999999999999</v>
          </cell>
          <cell r="AF391">
            <v>0.17499999999999999</v>
          </cell>
          <cell r="AG391">
            <v>0.17499999999999999</v>
          </cell>
          <cell r="AH391">
            <v>0.17499999999999999</v>
          </cell>
          <cell r="AI391">
            <v>0.17499999999999999</v>
          </cell>
          <cell r="AJ391">
            <v>0.17499999999999999</v>
          </cell>
        </row>
        <row r="392">
          <cell r="I392" t="str">
            <v>Latin America</v>
          </cell>
        </row>
        <row r="393">
          <cell r="I393" t="str">
            <v>Agency (Booking.com) - % of gross bookings</v>
          </cell>
          <cell r="T393">
            <v>0.14599999999999999</v>
          </cell>
          <cell r="U393">
            <v>0.14499999999999999</v>
          </cell>
          <cell r="V393">
            <v>0.14499999999999999</v>
          </cell>
          <cell r="W393">
            <v>0.14499999999999999</v>
          </cell>
          <cell r="X393">
            <v>0.14499999999999999</v>
          </cell>
          <cell r="Y393">
            <v>0.14499999999999999</v>
          </cell>
          <cell r="Z393">
            <v>0.14499999999999999</v>
          </cell>
          <cell r="AA393">
            <v>0.14499999999999999</v>
          </cell>
          <cell r="AB393">
            <v>0.14499999999999999</v>
          </cell>
          <cell r="AC393">
            <v>0.14499999999999999</v>
          </cell>
          <cell r="AD393">
            <v>0.14499999999999999</v>
          </cell>
          <cell r="AE393">
            <v>0.14499999999999999</v>
          </cell>
          <cell r="AF393">
            <v>0.14499999999999999</v>
          </cell>
          <cell r="AG393">
            <v>0.14499999999999999</v>
          </cell>
          <cell r="AH393">
            <v>0.14499999999999999</v>
          </cell>
          <cell r="AI393">
            <v>0.14499999999999999</v>
          </cell>
          <cell r="AJ393">
            <v>0.14499999999999999</v>
          </cell>
        </row>
        <row r="395">
          <cell r="I395" t="str">
            <v>US</v>
          </cell>
        </row>
        <row r="396">
          <cell r="I396" t="str">
            <v xml:space="preserve">Agency (Priceline.com &amp; Booking.com) </v>
          </cell>
          <cell r="M396">
            <v>31.20000000000001</v>
          </cell>
          <cell r="N396">
            <v>28.15799999999993</v>
          </cell>
          <cell r="O396">
            <v>50.358000000000047</v>
          </cell>
          <cell r="P396">
            <v>60.485359999999993</v>
          </cell>
          <cell r="Q396">
            <v>66.958779999999948</v>
          </cell>
          <cell r="R396">
            <v>71.947912300000283</v>
          </cell>
          <cell r="S396">
            <v>80.888439218000002</v>
          </cell>
          <cell r="T396">
            <v>91.25663749440001</v>
          </cell>
          <cell r="U396">
            <v>98.55716849395202</v>
          </cell>
          <cell r="V396">
            <v>100.03552602136132</v>
          </cell>
          <cell r="W396">
            <v>104.53712469232256</v>
          </cell>
          <cell r="X396">
            <v>109.24129530347707</v>
          </cell>
          <cell r="Y396">
            <v>114.15715359213354</v>
          </cell>
          <cell r="Z396">
            <v>119.29422550377954</v>
          </cell>
          <cell r="AA396">
            <v>124.66246565144961</v>
          </cell>
          <cell r="AB396">
            <v>130.27227660576483</v>
          </cell>
          <cell r="AC396">
            <v>136.13452905302424</v>
          </cell>
          <cell r="AD396">
            <v>142.2605828604103</v>
          </cell>
          <cell r="AE396">
            <v>148.66230908912874</v>
          </cell>
          <cell r="AF396">
            <v>155.35211299813952</v>
          </cell>
          <cell r="AG396">
            <v>162.34295808305581</v>
          </cell>
          <cell r="AH396">
            <v>169.64839119679328</v>
          </cell>
          <cell r="AI396">
            <v>177.28256880064896</v>
          </cell>
          <cell r="AJ396">
            <v>185.26028439667817</v>
          </cell>
        </row>
        <row r="397">
          <cell r="I397" t="str">
            <v xml:space="preserve">Merchant (NYOP &amp; Priceline.com) </v>
          </cell>
          <cell r="M397">
            <v>904.16899999999998</v>
          </cell>
          <cell r="N397">
            <v>981.82099999999991</v>
          </cell>
          <cell r="O397">
            <v>1196.796</v>
          </cell>
          <cell r="P397">
            <v>1403.4856399999999</v>
          </cell>
          <cell r="Q397">
            <v>1560.9842200000001</v>
          </cell>
          <cell r="R397">
            <v>1710.7175602000002</v>
          </cell>
          <cell r="S397">
            <v>1865.7281187380004</v>
          </cell>
          <cell r="T397">
            <v>2005.6577276433504</v>
          </cell>
          <cell r="U397">
            <v>2146.0537685783852</v>
          </cell>
          <cell r="V397">
            <v>2264.0867258501962</v>
          </cell>
          <cell r="W397">
            <v>2377.2910621427063</v>
          </cell>
          <cell r="X397">
            <v>2472.3827046284146</v>
          </cell>
          <cell r="Y397">
            <v>2571.278012813551</v>
          </cell>
          <cell r="Z397">
            <v>2674.1291333260929</v>
          </cell>
          <cell r="AA397">
            <v>2781.0942986591367</v>
          </cell>
          <cell r="AB397">
            <v>2892.3380706055023</v>
          </cell>
          <cell r="AC397">
            <v>3008.0315934297228</v>
          </cell>
          <cell r="AD397">
            <v>3128.3528571669117</v>
          </cell>
          <cell r="AE397">
            <v>3253.486971453588</v>
          </cell>
          <cell r="AF397">
            <v>3383.6264503117313</v>
          </cell>
          <cell r="AG397">
            <v>3518.9715083242013</v>
          </cell>
          <cell r="AH397">
            <v>3659.730368657169</v>
          </cell>
          <cell r="AI397">
            <v>3806.1195834034561</v>
          </cell>
          <cell r="AJ397">
            <v>3958.3643667395945</v>
          </cell>
        </row>
        <row r="398">
          <cell r="I398" t="str">
            <v>Other</v>
          </cell>
          <cell r="M398">
            <v>5.0340000000000007</v>
          </cell>
          <cell r="N398">
            <v>8.3389999999999986</v>
          </cell>
          <cell r="O398">
            <v>17.852</v>
          </cell>
          <cell r="P398">
            <v>22.241000000000003</v>
          </cell>
          <cell r="Q398">
            <v>12.663</v>
          </cell>
          <cell r="R398">
            <v>12.315999999999999</v>
          </cell>
          <cell r="S398">
            <v>12.315999999999999</v>
          </cell>
          <cell r="T398">
            <v>12.315999999999999</v>
          </cell>
          <cell r="U398">
            <v>12.315999999999999</v>
          </cell>
          <cell r="V398">
            <v>12.315999999999999</v>
          </cell>
          <cell r="W398">
            <v>12.315999999999999</v>
          </cell>
          <cell r="X398">
            <v>12.315999999999999</v>
          </cell>
          <cell r="Y398">
            <v>12.315999999999999</v>
          </cell>
          <cell r="Z398">
            <v>12.315999999999999</v>
          </cell>
          <cell r="AA398">
            <v>12.315999999999999</v>
          </cell>
          <cell r="AB398">
            <v>12.315999999999999</v>
          </cell>
          <cell r="AC398">
            <v>12.315999999999999</v>
          </cell>
          <cell r="AD398">
            <v>12.315999999999999</v>
          </cell>
          <cell r="AE398">
            <v>12.315999999999999</v>
          </cell>
          <cell r="AF398">
            <v>12.315999999999999</v>
          </cell>
          <cell r="AG398">
            <v>12.315999999999999</v>
          </cell>
          <cell r="AH398">
            <v>12.315999999999999</v>
          </cell>
          <cell r="AI398">
            <v>12.315999999999999</v>
          </cell>
          <cell r="AJ398">
            <v>12.315999999999999</v>
          </cell>
        </row>
        <row r="399">
          <cell r="I399" t="str">
            <v>Europe</v>
          </cell>
        </row>
        <row r="400">
          <cell r="I400" t="str">
            <v xml:space="preserve">Agency (Booking.com &amp; Other) </v>
          </cell>
          <cell r="M400">
            <v>179.24549999999999</v>
          </cell>
          <cell r="N400">
            <v>360.28174999999999</v>
          </cell>
          <cell r="O400">
            <v>572.21362499999998</v>
          </cell>
          <cell r="P400">
            <v>743.87497125000004</v>
          </cell>
          <cell r="Q400">
            <v>1150.3426637500002</v>
          </cell>
          <cell r="R400">
            <v>1876.8907024289108</v>
          </cell>
          <cell r="S400">
            <v>2349.591381183297</v>
          </cell>
          <cell r="T400">
            <v>2798.2466371560422</v>
          </cell>
          <cell r="U400">
            <v>3134.0362336147673</v>
          </cell>
          <cell r="V400">
            <v>3400.4293134720224</v>
          </cell>
          <cell r="W400">
            <v>3638.4593654150644</v>
          </cell>
          <cell r="X400">
            <v>3856.7669273399683</v>
          </cell>
          <cell r="Y400">
            <v>4039.9633563886173</v>
          </cell>
          <cell r="Z400">
            <v>4221.7617074261052</v>
          </cell>
          <cell r="AA400">
            <v>4411.7409842602792</v>
          </cell>
          <cell r="AB400">
            <v>4610.2693285519908</v>
          </cell>
          <cell r="AC400">
            <v>4817.7314483368309</v>
          </cell>
          <cell r="AD400">
            <v>5034.5293635119879</v>
          </cell>
          <cell r="AE400">
            <v>5261.0831848700273</v>
          </cell>
          <cell r="AF400">
            <v>5497.8319281891781</v>
          </cell>
          <cell r="AG400">
            <v>5745.2343649576915</v>
          </cell>
          <cell r="AH400">
            <v>6003.7699113807867</v>
          </cell>
          <cell r="AI400">
            <v>6273.9395573929214</v>
          </cell>
          <cell r="AJ400">
            <v>6556.2668374756022</v>
          </cell>
        </row>
        <row r="401">
          <cell r="I401" t="str">
            <v xml:space="preserve">Merchant (TravelJigsaw) </v>
          </cell>
          <cell r="M401">
            <v>0</v>
          </cell>
          <cell r="N401">
            <v>0</v>
          </cell>
          <cell r="O401">
            <v>0</v>
          </cell>
          <cell r="P401">
            <v>0</v>
          </cell>
          <cell r="Q401">
            <v>33.245999999999995</v>
          </cell>
          <cell r="R401">
            <v>87.944959575394833</v>
          </cell>
          <cell r="S401">
            <v>136.60708314611165</v>
          </cell>
          <cell r="T401">
            <v>183.62439129385476</v>
          </cell>
          <cell r="U401">
            <v>219.11135230794801</v>
          </cell>
          <cell r="V401">
            <v>242.63177995682381</v>
          </cell>
          <cell r="W401">
            <v>264.46864015293795</v>
          </cell>
          <cell r="X401">
            <v>282.98144496364364</v>
          </cell>
          <cell r="Y401">
            <v>297.13051721182586</v>
          </cell>
          <cell r="Z401">
            <v>311.98704307241718</v>
          </cell>
          <cell r="AA401">
            <v>327.58639522603806</v>
          </cell>
          <cell r="AB401">
            <v>343.96571498733999</v>
          </cell>
          <cell r="AC401">
            <v>361.16400073670701</v>
          </cell>
          <cell r="AD401">
            <v>379.2222007735424</v>
          </cell>
          <cell r="AE401">
            <v>398.18331081221953</v>
          </cell>
          <cell r="AF401">
            <v>418.09247635283054</v>
          </cell>
          <cell r="AG401">
            <v>438.99710017047215</v>
          </cell>
          <cell r="AH401">
            <v>460.94695517899572</v>
          </cell>
          <cell r="AI401">
            <v>483.99430293794558</v>
          </cell>
          <cell r="AJ401">
            <v>508.19401808484281</v>
          </cell>
        </row>
        <row r="402">
          <cell r="I402" t="str">
            <v>Asia</v>
          </cell>
        </row>
        <row r="403">
          <cell r="I403" t="str">
            <v xml:space="preserve">Agency (Booking.com) </v>
          </cell>
          <cell r="M403">
            <v>2.2544999999999997</v>
          </cell>
          <cell r="N403">
            <v>5.6362499999999995</v>
          </cell>
          <cell r="O403">
            <v>12.963374999999999</v>
          </cell>
          <cell r="P403">
            <v>26.102268749999993</v>
          </cell>
          <cell r="Q403">
            <v>57.348056249999985</v>
          </cell>
          <cell r="R403">
            <v>128.96590377004338</v>
          </cell>
          <cell r="S403">
            <v>223.23237642387363</v>
          </cell>
          <cell r="T403">
            <v>308.44109681166839</v>
          </cell>
          <cell r="U403">
            <v>365.093543164832</v>
          </cell>
          <cell r="V403">
            <v>408.90476834461191</v>
          </cell>
          <cell r="W403">
            <v>445.70619749562701</v>
          </cell>
          <cell r="X403">
            <v>476.90563132032088</v>
          </cell>
          <cell r="Y403">
            <v>505.51996919954018</v>
          </cell>
          <cell r="Z403">
            <v>535.85116735151269</v>
          </cell>
          <cell r="AA403">
            <v>568.00223739260343</v>
          </cell>
          <cell r="AB403">
            <v>602.08237163615968</v>
          </cell>
          <cell r="AC403">
            <v>638.20731393432925</v>
          </cell>
          <cell r="AD403">
            <v>676.49975277038902</v>
          </cell>
          <cell r="AE403">
            <v>717.08973793661232</v>
          </cell>
          <cell r="AF403">
            <v>760.11512221280907</v>
          </cell>
          <cell r="AG403">
            <v>805.7220295455777</v>
          </cell>
          <cell r="AH403">
            <v>854.06535131831242</v>
          </cell>
          <cell r="AI403">
            <v>905.30927239741118</v>
          </cell>
          <cell r="AJ403">
            <v>959.62782874125594</v>
          </cell>
        </row>
        <row r="404">
          <cell r="I404" t="str">
            <v xml:space="preserve">Merchant (Agoda) </v>
          </cell>
          <cell r="M404">
            <v>0</v>
          </cell>
          <cell r="N404">
            <v>2.4119999999999999</v>
          </cell>
          <cell r="O404">
            <v>21.366</v>
          </cell>
          <cell r="P404">
            <v>44.091360000000002</v>
          </cell>
          <cell r="Q404">
            <v>97.410780000000003</v>
          </cell>
          <cell r="R404">
            <v>206.58719696853626</v>
          </cell>
          <cell r="S404">
            <v>335.94444167496067</v>
          </cell>
          <cell r="T404">
            <v>435.54016208957808</v>
          </cell>
          <cell r="U404">
            <v>511.05010255072631</v>
          </cell>
          <cell r="V404">
            <v>545.6975671304366</v>
          </cell>
          <cell r="W404">
            <v>583.89639682956715</v>
          </cell>
          <cell r="X404">
            <v>618.93018063934119</v>
          </cell>
          <cell r="Y404">
            <v>649.87668967130833</v>
          </cell>
          <cell r="Z404">
            <v>682.37052415487381</v>
          </cell>
          <cell r="AA404">
            <v>716.4890503626176</v>
          </cell>
          <cell r="AB404">
            <v>752.3135028807485</v>
          </cell>
          <cell r="AC404">
            <v>789.92917802478598</v>
          </cell>
          <cell r="AD404">
            <v>829.42563692602528</v>
          </cell>
          <cell r="AE404">
            <v>870.89691877232656</v>
          </cell>
          <cell r="AF404">
            <v>914.44176471094283</v>
          </cell>
          <cell r="AG404">
            <v>960.16385294649001</v>
          </cell>
          <cell r="AH404">
            <v>1008.1720455938145</v>
          </cell>
          <cell r="AI404">
            <v>1058.5806478735053</v>
          </cell>
          <cell r="AJ404">
            <v>1111.5096802671806</v>
          </cell>
        </row>
        <row r="405">
          <cell r="I405" t="str">
            <v>Latin America</v>
          </cell>
        </row>
        <row r="406">
          <cell r="I406" t="str">
            <v xml:space="preserve">Agency (Booking.com) </v>
          </cell>
          <cell r="M406">
            <v>1.2</v>
          </cell>
          <cell r="N406">
            <v>4.17</v>
          </cell>
          <cell r="O406">
            <v>13.256999999999998</v>
          </cell>
          <cell r="P406">
            <v>37.931399999999996</v>
          </cell>
          <cell r="Q406">
            <v>105.95249999999999</v>
          </cell>
          <cell r="R406">
            <v>235.45999749118889</v>
          </cell>
          <cell r="S406">
            <v>394.10602986735591</v>
          </cell>
          <cell r="T406">
            <v>542.84659826613279</v>
          </cell>
          <cell r="U406">
            <v>657.73673447451301</v>
          </cell>
          <cell r="V406">
            <v>756.39724464568985</v>
          </cell>
          <cell r="W406">
            <v>832.03696911025895</v>
          </cell>
          <cell r="X406">
            <v>898.59992663907974</v>
          </cell>
          <cell r="Y406">
            <v>961.50192150381542</v>
          </cell>
          <cell r="Z406">
            <v>1028.8070560090825</v>
          </cell>
          <cell r="AA406">
            <v>1100.8235499297182</v>
          </cell>
          <cell r="AB406">
            <v>1177.8811984247986</v>
          </cell>
          <cell r="AC406">
            <v>1260.3328823145346</v>
          </cell>
          <cell r="AD406">
            <v>1348.556184076552</v>
          </cell>
          <cell r="AE406">
            <v>1442.9551169619108</v>
          </cell>
          <cell r="AF406">
            <v>1543.9619751492446</v>
          </cell>
          <cell r="AG406">
            <v>1652.0393134096917</v>
          </cell>
          <cell r="AH406">
            <v>1767.6820653483703</v>
          </cell>
          <cell r="AI406">
            <v>1891.4198099227563</v>
          </cell>
          <cell r="AJ406">
            <v>2023.8191966173492</v>
          </cell>
        </row>
        <row r="408">
          <cell r="I408" t="str">
            <v>Gross Profit Model Drivers:</v>
          </cell>
        </row>
        <row r="409">
          <cell r="I409" t="str">
            <v>US</v>
          </cell>
        </row>
        <row r="410">
          <cell r="I410" t="str">
            <v>Merchant (NYOP &amp; Priceline.com) - % of gross bookings</v>
          </cell>
          <cell r="T410">
            <v>0.17199999999999999</v>
          </cell>
          <cell r="U410">
            <v>0.17</v>
          </cell>
          <cell r="V410">
            <v>0.17</v>
          </cell>
          <cell r="W410">
            <v>0.17</v>
          </cell>
          <cell r="X410">
            <v>0.17</v>
          </cell>
          <cell r="Y410">
            <v>0.17</v>
          </cell>
          <cell r="Z410">
            <v>0.17</v>
          </cell>
          <cell r="AA410">
            <v>0.17</v>
          </cell>
          <cell r="AB410">
            <v>0.17</v>
          </cell>
          <cell r="AC410">
            <v>0.17</v>
          </cell>
          <cell r="AD410">
            <v>0.17</v>
          </cell>
          <cell r="AE410">
            <v>0.17</v>
          </cell>
          <cell r="AF410">
            <v>0.17</v>
          </cell>
          <cell r="AG410">
            <v>0.17</v>
          </cell>
          <cell r="AH410">
            <v>0.17</v>
          </cell>
          <cell r="AI410">
            <v>0.17</v>
          </cell>
          <cell r="AJ410">
            <v>0.17</v>
          </cell>
        </row>
        <row r="412">
          <cell r="I412" t="str">
            <v>US</v>
          </cell>
        </row>
        <row r="413">
          <cell r="I413" t="str">
            <v>Merchant (NYOP &amp; Priceline.com) - Y/Y growth</v>
          </cell>
          <cell r="M413">
            <v>182.16499999999999</v>
          </cell>
          <cell r="N413">
            <v>211.82300000000001</v>
          </cell>
          <cell r="O413">
            <v>267.96100000000001</v>
          </cell>
          <cell r="P413">
            <v>326.03664000000003</v>
          </cell>
          <cell r="Q413">
            <v>385.05021999999997</v>
          </cell>
          <cell r="R413">
            <v>426.18139020000001</v>
          </cell>
          <cell r="S413">
            <v>450.95197206800003</v>
          </cell>
          <cell r="T413">
            <v>479.4166326106</v>
          </cell>
          <cell r="U413">
            <v>507.01096204574509</v>
          </cell>
          <cell r="V413">
            <v>534.89656495826102</v>
          </cell>
          <cell r="W413">
            <v>561.64139320617414</v>
          </cell>
          <cell r="X413">
            <v>584.10704893442107</v>
          </cell>
          <cell r="Y413">
            <v>607.47133089179795</v>
          </cell>
          <cell r="Z413">
            <v>631.77018412746986</v>
          </cell>
          <cell r="AA413">
            <v>657.04099149256865</v>
          </cell>
          <cell r="AB413">
            <v>683.32263115227136</v>
          </cell>
          <cell r="AC413">
            <v>710.6555363983623</v>
          </cell>
          <cell r="AD413">
            <v>739.08175785429682</v>
          </cell>
          <cell r="AE413">
            <v>768.64502816846868</v>
          </cell>
          <cell r="AF413">
            <v>799.39082929520748</v>
          </cell>
          <cell r="AG413">
            <v>831.36646246701582</v>
          </cell>
          <cell r="AH413">
            <v>864.62112096569649</v>
          </cell>
          <cell r="AI413">
            <v>899.20596580432436</v>
          </cell>
          <cell r="AJ413">
            <v>935.17420443649746</v>
          </cell>
        </row>
        <row r="415">
          <cell r="I415" t="str">
            <v>Other P&amp;L Model Drivers:</v>
          </cell>
        </row>
        <row r="416">
          <cell r="I416" t="str">
            <v xml:space="preserve">Offline Advertising </v>
          </cell>
          <cell r="T416">
            <v>1.0999999999999999E-2</v>
          </cell>
          <cell r="U416">
            <v>0.01</v>
          </cell>
          <cell r="V416">
            <v>0.01</v>
          </cell>
          <cell r="W416">
            <v>0.01</v>
          </cell>
          <cell r="X416">
            <v>0.01</v>
          </cell>
          <cell r="Y416">
            <v>0.01</v>
          </cell>
          <cell r="Z416">
            <v>0.01</v>
          </cell>
          <cell r="AA416">
            <v>0.01</v>
          </cell>
          <cell r="AB416">
            <v>0.01</v>
          </cell>
          <cell r="AC416">
            <v>0.01</v>
          </cell>
          <cell r="AD416">
            <v>0.01</v>
          </cell>
          <cell r="AE416">
            <v>0.01</v>
          </cell>
          <cell r="AF416">
            <v>0.01</v>
          </cell>
          <cell r="AG416">
            <v>0.01</v>
          </cell>
          <cell r="AH416">
            <v>0.01</v>
          </cell>
          <cell r="AI416">
            <v>0.01</v>
          </cell>
          <cell r="AJ416">
            <v>0.01</v>
          </cell>
        </row>
        <row r="417">
          <cell r="I417" t="str">
            <v xml:space="preserve">Online Advertising </v>
          </cell>
          <cell r="T417">
            <v>0.29299999999999998</v>
          </cell>
          <cell r="U417">
            <v>0.29199999999999998</v>
          </cell>
          <cell r="V417">
            <v>0.29099999999999998</v>
          </cell>
          <cell r="W417">
            <v>0.29099999999999998</v>
          </cell>
          <cell r="X417">
            <v>0.28999999999999998</v>
          </cell>
          <cell r="Y417">
            <v>0.28999999999999998</v>
          </cell>
          <cell r="Z417">
            <v>0.28999999999999998</v>
          </cell>
          <cell r="AA417">
            <v>0.28999999999999998</v>
          </cell>
          <cell r="AB417">
            <v>0.28999999999999998</v>
          </cell>
          <cell r="AC417">
            <v>0.28999999999999998</v>
          </cell>
          <cell r="AD417">
            <v>0.28999999999999998</v>
          </cell>
          <cell r="AE417">
            <v>0.28999999999999998</v>
          </cell>
          <cell r="AF417">
            <v>0.28999999999999998</v>
          </cell>
          <cell r="AG417">
            <v>0.28999999999999998</v>
          </cell>
          <cell r="AH417">
            <v>0.28999999999999998</v>
          </cell>
          <cell r="AI417">
            <v>0.28999999999999998</v>
          </cell>
          <cell r="AJ417">
            <v>0.28999999999999998</v>
          </cell>
        </row>
        <row r="418">
          <cell r="I418" t="str">
            <v xml:space="preserve">Selling &amp; Marketing  </v>
          </cell>
          <cell r="T418">
            <v>5.5E-2</v>
          </cell>
          <cell r="U418">
            <v>5.3999999999999999E-2</v>
          </cell>
          <cell r="V418">
            <v>5.2999999999999999E-2</v>
          </cell>
          <cell r="W418">
            <v>5.2999999999999999E-2</v>
          </cell>
          <cell r="X418">
            <v>5.2999999999999999E-2</v>
          </cell>
          <cell r="Y418">
            <v>5.2999999999999999E-2</v>
          </cell>
          <cell r="Z418">
            <v>5.2999999999999999E-2</v>
          </cell>
          <cell r="AA418">
            <v>5.2999999999999999E-2</v>
          </cell>
          <cell r="AB418">
            <v>5.3999999999999999E-2</v>
          </cell>
          <cell r="AC418">
            <v>5.3999999999999999E-2</v>
          </cell>
          <cell r="AD418">
            <v>5.3999999999999999E-2</v>
          </cell>
          <cell r="AE418">
            <v>5.3999999999999999E-2</v>
          </cell>
          <cell r="AF418">
            <v>5.3999999999999999E-2</v>
          </cell>
          <cell r="AG418">
            <v>5.3999999999999999E-2</v>
          </cell>
          <cell r="AH418">
            <v>5.3999999999999999E-2</v>
          </cell>
          <cell r="AI418">
            <v>5.3999999999999999E-2</v>
          </cell>
          <cell r="AJ418">
            <v>5.3999999999999999E-2</v>
          </cell>
        </row>
        <row r="419">
          <cell r="I419" t="str">
            <v>Personnel (ex-SBC)</v>
          </cell>
          <cell r="T419">
            <v>9.8000000000000004E-2</v>
          </cell>
          <cell r="U419">
            <v>9.8000000000000004E-2</v>
          </cell>
          <cell r="V419">
            <v>9.7000000000000003E-2</v>
          </cell>
          <cell r="W419">
            <v>9.6000000000000002E-2</v>
          </cell>
          <cell r="X419">
            <v>9.5000000000000001E-2</v>
          </cell>
          <cell r="Y419">
            <v>9.5000000000000001E-2</v>
          </cell>
          <cell r="Z419">
            <v>9.5000000000000001E-2</v>
          </cell>
          <cell r="AA419">
            <v>9.5000000000000001E-2</v>
          </cell>
          <cell r="AB419">
            <v>9.5000000000000001E-2</v>
          </cell>
          <cell r="AC419">
            <v>9.5000000000000001E-2</v>
          </cell>
          <cell r="AD419">
            <v>9.5000000000000001E-2</v>
          </cell>
          <cell r="AE419">
            <v>9.5000000000000001E-2</v>
          </cell>
          <cell r="AF419">
            <v>9.5000000000000001E-2</v>
          </cell>
          <cell r="AG419">
            <v>9.5000000000000001E-2</v>
          </cell>
          <cell r="AH419">
            <v>9.5000000000000001E-2</v>
          </cell>
          <cell r="AI419">
            <v>9.5000000000000001E-2</v>
          </cell>
          <cell r="AJ419">
            <v>9.5000000000000001E-2</v>
          </cell>
        </row>
        <row r="420">
          <cell r="I420" t="str">
            <v xml:space="preserve">General &amp; Administrative </v>
          </cell>
          <cell r="T420">
            <v>4.1000000000000002E-2</v>
          </cell>
          <cell r="U420">
            <v>0.04</v>
          </cell>
          <cell r="V420">
            <v>3.9E-2</v>
          </cell>
          <cell r="W420">
            <v>3.7999999999999999E-2</v>
          </cell>
          <cell r="X420">
            <v>3.7999999999999999E-2</v>
          </cell>
          <cell r="Y420">
            <v>3.7999999999999999E-2</v>
          </cell>
          <cell r="Z420">
            <v>3.7999999999999999E-2</v>
          </cell>
          <cell r="AA420">
            <v>3.7999999999999999E-2</v>
          </cell>
          <cell r="AB420">
            <v>3.7999999999999999E-2</v>
          </cell>
          <cell r="AC420">
            <v>3.7999999999999999E-2</v>
          </cell>
          <cell r="AD420">
            <v>3.7999999999999999E-2</v>
          </cell>
          <cell r="AE420">
            <v>3.7999999999999999E-2</v>
          </cell>
          <cell r="AF420">
            <v>3.7999999999999999E-2</v>
          </cell>
          <cell r="AG420">
            <v>3.7999999999999999E-2</v>
          </cell>
          <cell r="AH420">
            <v>3.7999999999999999E-2</v>
          </cell>
          <cell r="AI420">
            <v>3.7999999999999999E-2</v>
          </cell>
          <cell r="AJ420">
            <v>3.7999999999999999E-2</v>
          </cell>
        </row>
        <row r="421">
          <cell r="I421" t="str">
            <v xml:space="preserve">Information Technology </v>
          </cell>
          <cell r="T421">
            <v>1.0999999999999999E-2</v>
          </cell>
          <cell r="U421">
            <v>1.0999999999999999E-2</v>
          </cell>
          <cell r="V421">
            <v>1.0999999999999999E-2</v>
          </cell>
          <cell r="W421">
            <v>1.0999999999999999E-2</v>
          </cell>
          <cell r="X421">
            <v>1.0999999999999999E-2</v>
          </cell>
          <cell r="Y421">
            <v>1.0999999999999999E-2</v>
          </cell>
          <cell r="Z421">
            <v>1.0999999999999999E-2</v>
          </cell>
          <cell r="AA421">
            <v>1.0999999999999999E-2</v>
          </cell>
          <cell r="AB421">
            <v>1.0999999999999999E-2</v>
          </cell>
          <cell r="AC421">
            <v>1.0999999999999999E-2</v>
          </cell>
          <cell r="AD421">
            <v>1.0999999999999999E-2</v>
          </cell>
          <cell r="AE421">
            <v>1.0999999999999999E-2</v>
          </cell>
          <cell r="AF421">
            <v>1.0999999999999999E-2</v>
          </cell>
          <cell r="AG421">
            <v>1.0999999999999999E-2</v>
          </cell>
          <cell r="AH421">
            <v>1.0999999999999999E-2</v>
          </cell>
          <cell r="AI421">
            <v>1.0999999999999999E-2</v>
          </cell>
          <cell r="AJ421">
            <v>1.0999999999999999E-2</v>
          </cell>
        </row>
        <row r="422">
          <cell r="I422" t="str">
            <v>Stock-based Compensation</v>
          </cell>
          <cell r="T422">
            <v>2.5000000000000001E-2</v>
          </cell>
          <cell r="U422">
            <v>2.5000000000000001E-2</v>
          </cell>
          <cell r="V422">
            <v>2.5000000000000001E-2</v>
          </cell>
          <cell r="W422">
            <v>2.5000000000000001E-2</v>
          </cell>
          <cell r="X422">
            <v>2.5000000000000001E-2</v>
          </cell>
          <cell r="Y422">
            <v>2.5000000000000001E-2</v>
          </cell>
          <cell r="Z422">
            <v>2.5000000000000001E-2</v>
          </cell>
          <cell r="AA422">
            <v>2.5000000000000001E-2</v>
          </cell>
          <cell r="AB422">
            <v>2.5000000000000001E-2</v>
          </cell>
          <cell r="AC422">
            <v>2.5000000000000001E-2</v>
          </cell>
          <cell r="AD422">
            <v>2.5000000000000001E-2</v>
          </cell>
          <cell r="AE422">
            <v>2.5000000000000001E-2</v>
          </cell>
          <cell r="AF422">
            <v>2.5000000000000001E-2</v>
          </cell>
          <cell r="AG422">
            <v>2.5000000000000001E-2</v>
          </cell>
          <cell r="AH422">
            <v>2.5000000000000001E-2</v>
          </cell>
          <cell r="AI422">
            <v>2.5000000000000001E-2</v>
          </cell>
          <cell r="AJ422">
            <v>2.5000000000000001E-2</v>
          </cell>
        </row>
        <row r="423">
          <cell r="I423" t="str">
            <v>Interest Rate on Cash &amp; Equivalents</v>
          </cell>
          <cell r="T423">
            <v>4.0000000000000001E-3</v>
          </cell>
          <cell r="U423">
            <v>4.0000000000000001E-3</v>
          </cell>
          <cell r="V423">
            <v>4.0000000000000001E-3</v>
          </cell>
          <cell r="W423">
            <v>4.0000000000000001E-3</v>
          </cell>
          <cell r="X423">
            <v>4.0000000000000001E-3</v>
          </cell>
          <cell r="Y423">
            <v>4.0000000000000001E-3</v>
          </cell>
          <cell r="Z423">
            <v>4.0000000000000001E-3</v>
          </cell>
          <cell r="AA423">
            <v>4.0000000000000001E-3</v>
          </cell>
          <cell r="AB423">
            <v>4.0000000000000001E-3</v>
          </cell>
          <cell r="AC423">
            <v>4.0000000000000001E-3</v>
          </cell>
          <cell r="AD423">
            <v>4.0000000000000001E-3</v>
          </cell>
          <cell r="AE423">
            <v>4.0000000000000001E-3</v>
          </cell>
          <cell r="AF423">
            <v>4.0000000000000001E-3</v>
          </cell>
          <cell r="AG423">
            <v>4.0000000000000001E-3</v>
          </cell>
          <cell r="AH423">
            <v>4.0000000000000001E-3</v>
          </cell>
          <cell r="AI423">
            <v>4.0000000000000001E-3</v>
          </cell>
          <cell r="AJ423">
            <v>4.0000000000000001E-3</v>
          </cell>
        </row>
        <row r="425">
          <cell r="I425" t="str">
            <v>Cash Flow Statement Model Drivers:</v>
          </cell>
        </row>
        <row r="426">
          <cell r="I426" t="str">
            <v>Capex as % of Gross Profit</v>
          </cell>
          <cell r="M426">
            <v>3.2039471551911121E-2</v>
          </cell>
          <cell r="N426">
            <v>2.5690216165716314E-2</v>
          </cell>
          <cell r="O426">
            <v>1.9165853357476326E-2</v>
          </cell>
          <cell r="P426">
            <v>1.1981633344252649E-2</v>
          </cell>
          <cell r="Q426">
            <v>1.1835165733179952E-2</v>
          </cell>
          <cell r="R426">
            <v>1.3856180086347116E-2</v>
          </cell>
          <cell r="S426">
            <v>1.591001125751421E-2</v>
          </cell>
          <cell r="T426">
            <v>1.7999999999999999E-2</v>
          </cell>
          <cell r="U426">
            <v>0.02</v>
          </cell>
          <cell r="V426">
            <v>0.02</v>
          </cell>
          <cell r="W426">
            <v>0.02</v>
          </cell>
          <cell r="X426">
            <v>0.02</v>
          </cell>
          <cell r="Y426">
            <v>0.02</v>
          </cell>
          <cell r="Z426">
            <v>0.02</v>
          </cell>
          <cell r="AA426">
            <v>0.02</v>
          </cell>
          <cell r="AB426">
            <v>0.02</v>
          </cell>
          <cell r="AC426">
            <v>0.02</v>
          </cell>
          <cell r="AD426">
            <v>0.02</v>
          </cell>
          <cell r="AE426">
            <v>0.02</v>
          </cell>
          <cell r="AF426">
            <v>0.02</v>
          </cell>
          <cell r="AG426">
            <v>0.02</v>
          </cell>
          <cell r="AH426">
            <v>0.02</v>
          </cell>
          <cell r="AI426">
            <v>0.02</v>
          </cell>
          <cell r="AJ426">
            <v>0.02</v>
          </cell>
        </row>
      </sheetData>
      <sheetData sheetId="4"/>
      <sheetData sheetId="5"/>
      <sheetData sheetId="6"/>
      <sheetData sheetId="7"/>
      <sheetData sheetId="8"/>
      <sheetData sheetId="9"/>
      <sheetData sheetId="10"/>
      <sheetData sheetId="11" refreshError="1">
        <row r="3">
          <cell r="D3" t="str">
            <v>UFCF Valuation Year</v>
          </cell>
          <cell r="E3">
            <v>41274</v>
          </cell>
        </row>
        <row r="4">
          <cell r="D4" t="str">
            <v>Beginning Year of CAGR</v>
          </cell>
          <cell r="E4">
            <v>40543</v>
          </cell>
        </row>
        <row r="5">
          <cell r="D5" t="str">
            <v>Ending Year of CAGR</v>
          </cell>
          <cell r="E5">
            <v>44196</v>
          </cell>
        </row>
        <row r="7">
          <cell r="B7" t="str">
            <v xml:space="preserve">Price Target = $650 </v>
          </cell>
          <cell r="D7" t="str">
            <v>Derived from base case, utilizing DCF analysis.</v>
          </cell>
        </row>
        <row r="8">
          <cell r="B8" t="str">
            <v xml:space="preserve">Bull Case $934 </v>
          </cell>
          <cell r="C8" t="str">
            <v>22x Bull Case 12E EV / EBITDA</v>
          </cell>
          <cell r="D8" t="str">
            <v>Economy improves and growth recovers quickly. PCLN continues its momentum, taking market share and receiving higher commissions per booking as the economic cycle improves. 10-year gross bookings CAGR (C10-C20E) of 19%, Adj. EBITDA margin expands to 52% in</v>
          </cell>
          <cell r="E8">
            <v>0.19208566924467307</v>
          </cell>
          <cell r="F8">
            <v>0.51900000000000002</v>
          </cell>
        </row>
        <row r="9">
          <cell r="B9" t="str">
            <v xml:space="preserve">Base Case $650 </v>
          </cell>
          <cell r="C9" t="str">
            <v>16x Base Case 12E EV / EBITDA</v>
          </cell>
          <cell r="D9" t="str">
            <v>Continued market share gains in Europe and APAC despite weak economic conditions. Priceline is able to maintain strong growth by continuing to take share from offline channels and local online travel agencies. 10-year gross bookings CAGR (C10-C20E) of 15%</v>
          </cell>
          <cell r="E9">
            <v>0.15177817128386772</v>
          </cell>
          <cell r="F9">
            <v>0.50300000000000011</v>
          </cell>
        </row>
        <row r="10">
          <cell r="B10" t="str">
            <v xml:space="preserve">Bear Case $396 </v>
          </cell>
          <cell r="C10" t="str">
            <v>11x Bear Case 12E EV / EBITDA</v>
          </cell>
          <cell r="D10" t="str">
            <v>Global recessionary conditions and increased competition. Consumers significantly cut back on travel expenditures, leading to large declines in hotel occupancy and ADRs. New models from entrants pressure long term growth. 10-year gross bookings CAGR of (C</v>
          </cell>
          <cell r="E10">
            <v>0.10570221905422805</v>
          </cell>
          <cell r="F10">
            <v>0.46599999999999991</v>
          </cell>
        </row>
      </sheetData>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ipping"/>
      <sheetName val="merchandise"/>
      <sheetName val="FX"/>
      <sheetName val="ROAA"/>
      <sheetName val="gm"/>
      <sheetName val="Sheet1"/>
      <sheetName val="#REF"/>
    </sheetNames>
    <sheetDataSet>
      <sheetData sheetId="0" refreshError="1">
        <row r="2">
          <cell r="C2" t="str">
            <v>Active</v>
          </cell>
          <cell r="D2" t="str">
            <v>Outbound</v>
          </cell>
          <cell r="E2" t="str">
            <v>Avg LTM</v>
          </cell>
          <cell r="F2" t="str">
            <v>LTM Out</v>
          </cell>
          <cell r="G2" t="str">
            <v>LTM Shipping</v>
          </cell>
        </row>
        <row r="3">
          <cell r="C3" t="str">
            <v>Accounts</v>
          </cell>
          <cell r="D3" t="str">
            <v>Shipping</v>
          </cell>
          <cell r="E3" t="str">
            <v>Accounts</v>
          </cell>
          <cell r="F3" t="str">
            <v>Shipping</v>
          </cell>
          <cell r="G3" t="str">
            <v>/ Account</v>
          </cell>
        </row>
        <row r="4">
          <cell r="B4">
            <v>36525</v>
          </cell>
          <cell r="C4">
            <v>14.1</v>
          </cell>
          <cell r="D4">
            <v>97</v>
          </cell>
          <cell r="I4">
            <v>676.04200000000003</v>
          </cell>
          <cell r="J4">
            <v>92.5</v>
          </cell>
          <cell r="K4">
            <v>583.54200000000003</v>
          </cell>
        </row>
        <row r="5">
          <cell r="B5">
            <v>36616</v>
          </cell>
          <cell r="C5">
            <v>15.9</v>
          </cell>
          <cell r="D5">
            <v>78</v>
          </cell>
          <cell r="I5">
            <v>573.88900000000001</v>
          </cell>
          <cell r="J5">
            <v>74.599999999999994</v>
          </cell>
          <cell r="K5">
            <v>499.28899999999999</v>
          </cell>
        </row>
        <row r="6">
          <cell r="B6">
            <v>36707</v>
          </cell>
          <cell r="C6">
            <v>17</v>
          </cell>
          <cell r="D6">
            <v>62.6</v>
          </cell>
          <cell r="I6">
            <v>577.87599999999998</v>
          </cell>
          <cell r="J6">
            <v>73.5</v>
          </cell>
          <cell r="K6">
            <v>504.37599999999998</v>
          </cell>
        </row>
        <row r="7">
          <cell r="B7">
            <v>36799</v>
          </cell>
          <cell r="C7">
            <v>18.2</v>
          </cell>
          <cell r="D7">
            <v>69.900000000000006</v>
          </cell>
          <cell r="E7">
            <v>16.3</v>
          </cell>
          <cell r="F7">
            <v>307.5</v>
          </cell>
          <cell r="G7">
            <v>18.865030674846626</v>
          </cell>
          <cell r="I7">
            <v>637.85799999999995</v>
          </cell>
          <cell r="J7">
            <v>78.099999999999994</v>
          </cell>
          <cell r="K7">
            <v>559.75799999999992</v>
          </cell>
          <cell r="L7">
            <v>2146.9650000000001</v>
          </cell>
        </row>
        <row r="8">
          <cell r="B8">
            <v>36891</v>
          </cell>
          <cell r="C8">
            <v>19.8</v>
          </cell>
          <cell r="D8">
            <v>129.5</v>
          </cell>
          <cell r="E8">
            <v>17.724999999999998</v>
          </cell>
          <cell r="F8">
            <v>340</v>
          </cell>
          <cell r="G8">
            <v>19.181946403385052</v>
          </cell>
          <cell r="I8">
            <v>972.36</v>
          </cell>
          <cell r="J8">
            <v>112.8</v>
          </cell>
          <cell r="K8">
            <v>859.56000000000006</v>
          </cell>
          <cell r="L8">
            <v>2422.9829999999997</v>
          </cell>
        </row>
        <row r="9">
          <cell r="B9">
            <v>36981</v>
          </cell>
          <cell r="C9">
            <v>20.5</v>
          </cell>
          <cell r="D9">
            <v>87</v>
          </cell>
          <cell r="E9">
            <v>18.875</v>
          </cell>
          <cell r="F9">
            <v>349</v>
          </cell>
          <cell r="G9">
            <v>18.490066225165563</v>
          </cell>
          <cell r="I9">
            <v>700.35599999999999</v>
          </cell>
          <cell r="J9">
            <v>82</v>
          </cell>
          <cell r="K9">
            <v>618.35599999999999</v>
          </cell>
          <cell r="L9">
            <v>2542.0500000000002</v>
          </cell>
        </row>
        <row r="10">
          <cell r="B10">
            <v>37072</v>
          </cell>
          <cell r="C10">
            <v>21.1</v>
          </cell>
          <cell r="D10">
            <v>78</v>
          </cell>
          <cell r="E10">
            <v>19.899999999999999</v>
          </cell>
          <cell r="F10">
            <v>364.4</v>
          </cell>
          <cell r="G10">
            <v>18.311557788944725</v>
          </cell>
          <cell r="I10">
            <v>667.625</v>
          </cell>
          <cell r="J10">
            <v>76</v>
          </cell>
          <cell r="K10">
            <v>591.625</v>
          </cell>
          <cell r="L10">
            <v>2629.299</v>
          </cell>
          <cell r="P10" t="str">
            <v>Sales / Account y/y</v>
          </cell>
          <cell r="Q10" t="str">
            <v>Shipping / Account y/y</v>
          </cell>
        </row>
        <row r="11">
          <cell r="B11">
            <v>37164</v>
          </cell>
          <cell r="C11">
            <v>23</v>
          </cell>
          <cell r="D11">
            <v>76</v>
          </cell>
          <cell r="E11">
            <v>21.1</v>
          </cell>
          <cell r="F11">
            <v>370.5</v>
          </cell>
          <cell r="G11">
            <v>17.559241706161135</v>
          </cell>
          <cell r="H11">
            <v>-6.9217431510808169E-2</v>
          </cell>
          <cell r="I11">
            <v>639.28100000000006</v>
          </cell>
          <cell r="J11">
            <v>74</v>
          </cell>
          <cell r="K11">
            <v>565.28100000000006</v>
          </cell>
          <cell r="L11">
            <v>2634.8220000000001</v>
          </cell>
          <cell r="M11">
            <v>0.22723099817649572</v>
          </cell>
          <cell r="N11">
            <v>0.29644842968730389</v>
          </cell>
          <cell r="O11">
            <v>37164</v>
          </cell>
          <cell r="P11">
            <v>0.22723099817649572</v>
          </cell>
          <cell r="Q11">
            <v>-6.9217431510808169E-2</v>
          </cell>
        </row>
        <row r="12">
          <cell r="B12">
            <v>37256</v>
          </cell>
          <cell r="C12">
            <v>24.7</v>
          </cell>
          <cell r="D12">
            <v>135</v>
          </cell>
          <cell r="E12">
            <v>22.324999999999999</v>
          </cell>
          <cell r="F12">
            <v>376</v>
          </cell>
          <cell r="G12">
            <v>16.842105263157894</v>
          </cell>
          <cell r="H12">
            <v>-0.12198142414860691</v>
          </cell>
          <cell r="I12">
            <v>1115.1709999999998</v>
          </cell>
          <cell r="J12">
            <v>125</v>
          </cell>
          <cell r="K12">
            <v>990.17099999999982</v>
          </cell>
          <cell r="L12">
            <v>2765.433</v>
          </cell>
          <cell r="M12">
            <v>0.14133404980554976</v>
          </cell>
          <cell r="N12">
            <v>0.26331547395415666</v>
          </cell>
          <cell r="O12">
            <v>37256</v>
          </cell>
          <cell r="P12">
            <v>0.14133404980554976</v>
          </cell>
          <cell r="Q12">
            <v>-0.12198142414860691</v>
          </cell>
        </row>
        <row r="13">
          <cell r="B13">
            <v>37346</v>
          </cell>
          <cell r="C13">
            <v>26.2</v>
          </cell>
          <cell r="D13">
            <v>90</v>
          </cell>
          <cell r="E13">
            <v>23.75</v>
          </cell>
          <cell r="F13">
            <v>379</v>
          </cell>
          <cell r="G13">
            <v>15.957894736842105</v>
          </cell>
          <cell r="H13">
            <v>-0.13694767003468555</v>
          </cell>
          <cell r="I13">
            <v>847.42200000000014</v>
          </cell>
          <cell r="J13">
            <v>89</v>
          </cell>
          <cell r="K13">
            <v>758.42200000000014</v>
          </cell>
          <cell r="L13">
            <v>2905.4989999999998</v>
          </cell>
          <cell r="M13">
            <v>0.14297476446175317</v>
          </cell>
          <cell r="N13">
            <v>0.27992243449643872</v>
          </cell>
          <cell r="O13">
            <v>37346</v>
          </cell>
          <cell r="P13">
            <v>0.14297476446175317</v>
          </cell>
          <cell r="Q13">
            <v>-0.13694767003468555</v>
          </cell>
        </row>
        <row r="14">
          <cell r="B14">
            <v>37437</v>
          </cell>
          <cell r="C14">
            <v>27.3</v>
          </cell>
          <cell r="D14">
            <v>83</v>
          </cell>
          <cell r="E14">
            <v>25.3</v>
          </cell>
          <cell r="F14">
            <v>384</v>
          </cell>
          <cell r="G14">
            <v>15.177865612648221</v>
          </cell>
          <cell r="H14">
            <v>-0.1711319273004952</v>
          </cell>
          <cell r="I14">
            <v>805.60500000000002</v>
          </cell>
          <cell r="J14">
            <v>81</v>
          </cell>
          <cell r="K14">
            <v>724.60500000000002</v>
          </cell>
          <cell r="L14">
            <v>3038.4789999999998</v>
          </cell>
          <cell r="M14">
            <v>0.15562322885301372</v>
          </cell>
          <cell r="N14">
            <v>0.32675515615350892</v>
          </cell>
          <cell r="O14">
            <v>37437</v>
          </cell>
          <cell r="P14">
            <v>0.15562322885301372</v>
          </cell>
          <cell r="Q14">
            <v>-0.1711319273004952</v>
          </cell>
        </row>
        <row r="15">
          <cell r="B15">
            <v>37529</v>
          </cell>
          <cell r="C15">
            <v>29</v>
          </cell>
          <cell r="D15">
            <v>83</v>
          </cell>
          <cell r="E15">
            <v>26.8</v>
          </cell>
          <cell r="F15">
            <v>391</v>
          </cell>
          <cell r="G15">
            <v>14.58955223880597</v>
          </cell>
          <cell r="H15">
            <v>-0.1691240155497814</v>
          </cell>
          <cell r="I15">
            <v>851.29899999999998</v>
          </cell>
          <cell r="J15">
            <v>73</v>
          </cell>
          <cell r="K15">
            <v>778.29899999999998</v>
          </cell>
          <cell r="L15">
            <v>3251.4969999999998</v>
          </cell>
          <cell r="M15">
            <v>0.23404806852227567</v>
          </cell>
          <cell r="N15">
            <v>0.40317208407205707</v>
          </cell>
          <cell r="O15">
            <v>37529</v>
          </cell>
          <cell r="P15">
            <v>0.23404806852227567</v>
          </cell>
          <cell r="Q15">
            <v>-0.1691240155497814</v>
          </cell>
        </row>
        <row r="16">
          <cell r="B16">
            <v>37621</v>
          </cell>
          <cell r="C16">
            <v>31</v>
          </cell>
          <cell r="D16">
            <v>148.303</v>
          </cell>
          <cell r="E16">
            <v>28.375</v>
          </cell>
          <cell r="F16">
            <v>404.303</v>
          </cell>
          <cell r="G16">
            <v>14.248563876651982</v>
          </cell>
          <cell r="H16">
            <v>-0.15399151982378856</v>
          </cell>
          <cell r="I16">
            <v>1428.61</v>
          </cell>
          <cell r="J16">
            <v>121.74900000000002</v>
          </cell>
          <cell r="K16">
            <v>1306.8609999999999</v>
          </cell>
          <cell r="L16">
            <v>3568.1869999999999</v>
          </cell>
          <cell r="M16">
            <v>0.29028148575648016</v>
          </cell>
          <cell r="N16">
            <v>0.44427300558026872</v>
          </cell>
          <cell r="O16">
            <v>37621</v>
          </cell>
          <cell r="P16">
            <v>0.29028148575648016</v>
          </cell>
          <cell r="Q16">
            <v>-0.15399151982378856</v>
          </cell>
        </row>
        <row r="17">
          <cell r="B17">
            <v>37711</v>
          </cell>
          <cell r="C17">
            <v>33.4</v>
          </cell>
          <cell r="D17">
            <v>105</v>
          </cell>
          <cell r="E17">
            <v>30.174999999999997</v>
          </cell>
          <cell r="F17">
            <v>419.303</v>
          </cell>
          <cell r="G17">
            <v>13.895708367854185</v>
          </cell>
          <cell r="H17">
            <v>-0.1292267183732535</v>
          </cell>
          <cell r="I17">
            <v>1083.559</v>
          </cell>
          <cell r="J17">
            <v>78</v>
          </cell>
          <cell r="K17">
            <v>1005.559</v>
          </cell>
          <cell r="L17">
            <v>3815.3239999999996</v>
          </cell>
          <cell r="M17">
            <v>0.31313898232282988</v>
          </cell>
          <cell r="N17">
            <v>0.44236570069608339</v>
          </cell>
          <cell r="O17">
            <v>37711</v>
          </cell>
          <cell r="P17">
            <v>0.31313898232282988</v>
          </cell>
          <cell r="Q17">
            <v>-0.1292267183732535</v>
          </cell>
        </row>
        <row r="18">
          <cell r="B18">
            <v>37802</v>
          </cell>
          <cell r="C18">
            <v>34.700000000000003</v>
          </cell>
          <cell r="D18">
            <v>106</v>
          </cell>
          <cell r="E18">
            <v>32.025000000000006</v>
          </cell>
          <cell r="F18">
            <v>442.303</v>
          </cell>
          <cell r="G18">
            <v>13.811178766588601</v>
          </cell>
          <cell r="H18">
            <v>-9.0044732305490593E-2</v>
          </cell>
          <cell r="I18">
            <v>1099.912</v>
          </cell>
          <cell r="J18">
            <v>80</v>
          </cell>
          <cell r="K18">
            <v>1019.912</v>
          </cell>
          <cell r="L18">
            <v>4110.6310000000003</v>
          </cell>
          <cell r="M18">
            <v>0.35285812408116057</v>
          </cell>
          <cell r="N18">
            <v>0.44290285638665117</v>
          </cell>
          <cell r="O18">
            <v>37802</v>
          </cell>
          <cell r="P18">
            <v>0.35285812408116057</v>
          </cell>
          <cell r="Q18">
            <v>-9.0044732305490593E-2</v>
          </cell>
        </row>
        <row r="19">
          <cell r="B19">
            <v>37894</v>
          </cell>
          <cell r="C19">
            <v>36.9</v>
          </cell>
          <cell r="D19">
            <v>104</v>
          </cell>
          <cell r="E19">
            <v>34</v>
          </cell>
          <cell r="F19">
            <v>463.303</v>
          </cell>
          <cell r="G19">
            <v>13.626558823529411</v>
          </cell>
          <cell r="H19">
            <v>-6.600568677598917E-2</v>
          </cell>
          <cell r="I19">
            <v>1134.4560000000001</v>
          </cell>
          <cell r="J19">
            <v>77</v>
          </cell>
          <cell r="K19">
            <v>1057.4560000000001</v>
          </cell>
          <cell r="L19">
            <v>4389.7880000000005</v>
          </cell>
          <cell r="M19">
            <v>0.35008213139978306</v>
          </cell>
          <cell r="N19">
            <v>0.41608781817577223</v>
          </cell>
          <cell r="O19">
            <v>37894</v>
          </cell>
          <cell r="P19">
            <v>0.35008213139978306</v>
          </cell>
          <cell r="Q19">
            <v>-6.600568677598917E-2</v>
          </cell>
        </row>
        <row r="20">
          <cell r="B20">
            <v>37986</v>
          </cell>
          <cell r="C20">
            <v>39.49</v>
          </cell>
          <cell r="D20">
            <v>193.46800000000002</v>
          </cell>
          <cell r="E20">
            <v>36.122500000000002</v>
          </cell>
          <cell r="F20">
            <v>508.46800000000002</v>
          </cell>
          <cell r="G20">
            <v>14.076212886704962</v>
          </cell>
          <cell r="H20">
            <v>-1.2096025356593154E-2</v>
          </cell>
          <cell r="I20">
            <v>1945.7719999999999</v>
          </cell>
          <cell r="J20">
            <v>137</v>
          </cell>
          <cell r="K20">
            <v>1808.7719999999999</v>
          </cell>
          <cell r="L20">
            <v>4891.6990000000005</v>
          </cell>
          <cell r="M20">
            <v>0.37092002184863082</v>
          </cell>
          <cell r="N20">
            <v>0.38301604720522398</v>
          </cell>
          <cell r="O20">
            <v>37986</v>
          </cell>
          <cell r="P20">
            <v>0.37092002184863082</v>
          </cell>
          <cell r="Q20">
            <v>-1.2096025356593154E-2</v>
          </cell>
        </row>
        <row r="21">
          <cell r="B21">
            <v>38077</v>
          </cell>
          <cell r="C21">
            <v>41</v>
          </cell>
          <cell r="D21">
            <v>136.6</v>
          </cell>
          <cell r="E21">
            <v>38.022500000000001</v>
          </cell>
          <cell r="F21">
            <v>540.06799999999998</v>
          </cell>
          <cell r="G21">
            <v>14.203905582221052</v>
          </cell>
          <cell r="H21">
            <v>2.217930933840262E-2</v>
          </cell>
          <cell r="I21">
            <v>1530.3489999999999</v>
          </cell>
          <cell r="J21">
            <v>93.6</v>
          </cell>
          <cell r="K21">
            <v>1436.749</v>
          </cell>
          <cell r="L21">
            <v>5322.8890000000001</v>
          </cell>
          <cell r="M21">
            <v>0.39513420092238571</v>
          </cell>
          <cell r="N21">
            <v>0.37295489158398309</v>
          </cell>
          <cell r="O21">
            <v>38077</v>
          </cell>
          <cell r="P21">
            <v>0.39513420092238571</v>
          </cell>
          <cell r="Q21">
            <v>2.217930933840262E-2</v>
          </cell>
        </row>
        <row r="22">
          <cell r="B22">
            <v>38168</v>
          </cell>
          <cell r="C22">
            <v>42.1</v>
          </cell>
          <cell r="D22">
            <v>119</v>
          </cell>
          <cell r="E22">
            <v>39.872500000000002</v>
          </cell>
          <cell r="F22">
            <v>553.06799999999998</v>
          </cell>
          <cell r="G22">
            <v>13.870913536898865</v>
          </cell>
          <cell r="H22">
            <v>4.3251029705568822E-3</v>
          </cell>
          <cell r="I22">
            <v>1387.3409999999999</v>
          </cell>
          <cell r="J22">
            <v>84</v>
          </cell>
          <cell r="K22">
            <v>1303.3409999999999</v>
          </cell>
          <cell r="L22">
            <v>5606.3179999999993</v>
          </cell>
          <cell r="M22">
            <v>0.36385824949989409</v>
          </cell>
          <cell r="N22">
            <v>0.35953314652933721</v>
          </cell>
          <cell r="O22">
            <v>38168</v>
          </cell>
          <cell r="P22">
            <v>0.36385824949989409</v>
          </cell>
          <cell r="Q22">
            <v>4.3251029705568822E-3</v>
          </cell>
        </row>
        <row r="23">
          <cell r="B23">
            <v>38260</v>
          </cell>
          <cell r="C23">
            <v>44</v>
          </cell>
          <cell r="D23">
            <v>128</v>
          </cell>
          <cell r="E23">
            <v>41.647500000000001</v>
          </cell>
          <cell r="F23">
            <v>577.06799999999998</v>
          </cell>
          <cell r="G23">
            <v>13.856005762650819</v>
          </cell>
          <cell r="H23">
            <v>1.6838215876279428E-2</v>
          </cell>
          <cell r="I23">
            <v>1462.4749999999999</v>
          </cell>
          <cell r="J23">
            <v>87</v>
          </cell>
          <cell r="K23">
            <v>1375.4749999999999</v>
          </cell>
          <cell r="L23">
            <v>5924.3369999999995</v>
          </cell>
          <cell r="M23">
            <v>0.34957246226924821</v>
          </cell>
          <cell r="N23">
            <v>0.33273424639296878</v>
          </cell>
          <cell r="O23">
            <v>38260</v>
          </cell>
          <cell r="P23">
            <v>0.34957246226924821</v>
          </cell>
          <cell r="Q23">
            <v>1.6838215876279428E-2</v>
          </cell>
        </row>
        <row r="24">
          <cell r="B24">
            <v>38352</v>
          </cell>
          <cell r="C24">
            <v>47</v>
          </cell>
          <cell r="D24">
            <v>232.97199999999998</v>
          </cell>
          <cell r="E24">
            <v>43.524999999999999</v>
          </cell>
          <cell r="F24">
            <v>616.572</v>
          </cell>
          <cell r="G24">
            <v>14.165927627800116</v>
          </cell>
          <cell r="H24">
            <v>6.3734998765108131E-3</v>
          </cell>
          <cell r="I24">
            <v>2540.9589999999998</v>
          </cell>
          <cell r="J24">
            <v>155.45299999999997</v>
          </cell>
          <cell r="K24">
            <v>2385.5059999999999</v>
          </cell>
          <cell r="L24">
            <v>6501.0709999999999</v>
          </cell>
          <cell r="M24">
            <v>0.3290006192122612</v>
          </cell>
          <cell r="N24">
            <v>0.32262711933575039</v>
          </cell>
          <cell r="O24">
            <v>38352</v>
          </cell>
          <cell r="P24">
            <v>0.3290006192122612</v>
          </cell>
          <cell r="Q24">
            <v>6.3734998765108131E-3</v>
          </cell>
        </row>
        <row r="25">
          <cell r="B25">
            <v>38442</v>
          </cell>
          <cell r="C25">
            <v>48.5</v>
          </cell>
          <cell r="D25">
            <v>163.1</v>
          </cell>
          <cell r="E25">
            <v>45.4</v>
          </cell>
          <cell r="F25">
            <v>643.072</v>
          </cell>
          <cell r="G25">
            <v>14.164581497797357</v>
          </cell>
          <cell r="H25">
            <v>-2.7685402578934148E-3</v>
          </cell>
          <cell r="I25">
            <v>1901.923</v>
          </cell>
          <cell r="J25">
            <v>107.8</v>
          </cell>
          <cell r="K25">
            <v>1794.123</v>
          </cell>
          <cell r="L25">
            <v>6858.4449999999997</v>
          </cell>
          <cell r="M25">
            <v>0.28848168729424928</v>
          </cell>
          <cell r="N25">
            <v>0.29125022755214269</v>
          </cell>
          <cell r="O25">
            <v>38442</v>
          </cell>
          <cell r="P25">
            <v>0.28848168729424928</v>
          </cell>
          <cell r="Q25">
            <v>-2.7685402578934148E-3</v>
          </cell>
        </row>
        <row r="26">
          <cell r="B26">
            <v>38533</v>
          </cell>
          <cell r="C26">
            <v>50</v>
          </cell>
          <cell r="D26">
            <v>148</v>
          </cell>
          <cell r="E26">
            <v>47.375</v>
          </cell>
          <cell r="F26">
            <v>672.072</v>
          </cell>
          <cell r="G26">
            <v>14.186216358839051</v>
          </cell>
          <cell r="H26">
            <v>2.2731222503941773E-2</v>
          </cell>
          <cell r="I26">
            <v>1753</v>
          </cell>
          <cell r="J26">
            <v>103</v>
          </cell>
          <cell r="K26">
            <v>1650</v>
          </cell>
          <cell r="L26">
            <v>7205.1039999999994</v>
          </cell>
          <cell r="M26">
            <v>0.28517576063291461</v>
          </cell>
          <cell r="N26">
            <v>0.26244453812897284</v>
          </cell>
          <cell r="O26">
            <v>38533</v>
          </cell>
          <cell r="P26">
            <v>0.28517576063291461</v>
          </cell>
          <cell r="Q26">
            <v>2.2731222503941773E-2</v>
          </cell>
        </row>
        <row r="27">
          <cell r="B27">
            <v>38625</v>
          </cell>
          <cell r="C27">
            <v>52.2</v>
          </cell>
          <cell r="D27">
            <v>159</v>
          </cell>
          <cell r="E27">
            <v>49.424999999999997</v>
          </cell>
          <cell r="F27">
            <v>703.072</v>
          </cell>
          <cell r="G27">
            <v>14.225027819929187</v>
          </cell>
          <cell r="H27">
            <v>2.6632643172903148E-2</v>
          </cell>
          <cell r="I27">
            <v>1858</v>
          </cell>
          <cell r="J27">
            <v>112</v>
          </cell>
          <cell r="K27">
            <v>1746</v>
          </cell>
          <cell r="L27">
            <v>7575.6289999999999</v>
          </cell>
          <cell r="M27">
            <v>0.27873026129337353</v>
          </cell>
          <cell r="N27">
            <v>0.25209761812047038</v>
          </cell>
          <cell r="O27">
            <v>38625</v>
          </cell>
          <cell r="P27">
            <v>0.27873026129337353</v>
          </cell>
          <cell r="Q27">
            <v>2.6632643172903148E-2</v>
          </cell>
        </row>
        <row r="28">
          <cell r="B28">
            <v>38717</v>
          </cell>
          <cell r="C28">
            <v>55</v>
          </cell>
          <cell r="D28">
            <v>279.89999999999998</v>
          </cell>
          <cell r="E28">
            <v>51.424999999999997</v>
          </cell>
          <cell r="F28">
            <v>750</v>
          </cell>
          <cell r="G28">
            <v>14.584346135148275</v>
          </cell>
          <cell r="H28">
            <v>2.9536964916228037E-2</v>
          </cell>
          <cell r="I28">
            <v>2977</v>
          </cell>
          <cell r="J28">
            <v>188.2</v>
          </cell>
          <cell r="K28">
            <v>2788.8</v>
          </cell>
          <cell r="L28">
            <v>7978.9229999999998</v>
          </cell>
          <cell r="M28">
            <v>0.22732439008895611</v>
          </cell>
          <cell r="N28">
            <v>0.19778742517272807</v>
          </cell>
          <cell r="O28">
            <v>38717</v>
          </cell>
          <cell r="P28">
            <v>0.22732439008895611</v>
          </cell>
          <cell r="Q28">
            <v>2.9536964916228037E-2</v>
          </cell>
        </row>
        <row r="29">
          <cell r="B29">
            <v>38807</v>
          </cell>
          <cell r="C29">
            <v>57.5</v>
          </cell>
          <cell r="D29">
            <v>197</v>
          </cell>
          <cell r="E29">
            <v>53.674999999999997</v>
          </cell>
          <cell r="F29">
            <v>783.9</v>
          </cell>
          <cell r="G29">
            <v>14.604564508616674</v>
          </cell>
          <cell r="H29">
            <v>3.1062196287813704E-2</v>
          </cell>
          <cell r="I29">
            <v>2279</v>
          </cell>
          <cell r="J29">
            <v>129</v>
          </cell>
          <cell r="K29">
            <v>2150</v>
          </cell>
          <cell r="L29">
            <v>8334.7999999999993</v>
          </cell>
          <cell r="M29">
            <v>0.21526089368654255</v>
          </cell>
          <cell r="N29">
            <v>0.18419869739872885</v>
          </cell>
          <cell r="O29">
            <v>38807</v>
          </cell>
          <cell r="P29">
            <v>0.21526089368654255</v>
          </cell>
          <cell r="Q29">
            <v>3.1062196287813704E-2</v>
          </cell>
        </row>
        <row r="30">
          <cell r="B30">
            <v>38898</v>
          </cell>
          <cell r="C30">
            <v>59</v>
          </cell>
          <cell r="D30">
            <v>188</v>
          </cell>
          <cell r="E30">
            <v>55.924999999999997</v>
          </cell>
          <cell r="F30">
            <v>823.9</v>
          </cell>
          <cell r="G30">
            <v>14.732230666070631</v>
          </cell>
          <cell r="H30">
            <v>3.8489072309359829E-2</v>
          </cell>
          <cell r="I30">
            <v>2139</v>
          </cell>
          <cell r="J30">
            <v>128</v>
          </cell>
          <cell r="K30">
            <v>2011</v>
          </cell>
          <cell r="L30">
            <v>8695.7999999999993</v>
          </cell>
          <cell r="M30">
            <v>0.20689444593721351</v>
          </cell>
          <cell r="N30">
            <v>0.16840537362785368</v>
          </cell>
          <cell r="O30">
            <v>38898</v>
          </cell>
          <cell r="P30">
            <v>0.20689444593721351</v>
          </cell>
          <cell r="Q30">
            <v>3.8489072309359829E-2</v>
          </cell>
        </row>
        <row r="31">
          <cell r="B31">
            <v>38990</v>
          </cell>
          <cell r="C31">
            <v>61.3</v>
          </cell>
          <cell r="D31">
            <v>182</v>
          </cell>
          <cell r="E31">
            <v>58.2</v>
          </cell>
          <cell r="F31">
            <v>846.9</v>
          </cell>
          <cell r="G31">
            <v>14.551546391752575</v>
          </cell>
          <cell r="H31">
            <v>2.2953809015820559E-2</v>
          </cell>
          <cell r="I31">
            <v>2307</v>
          </cell>
          <cell r="J31">
            <v>118</v>
          </cell>
          <cell r="K31">
            <v>2189</v>
          </cell>
          <cell r="L31">
            <v>9138.7999999999993</v>
          </cell>
          <cell r="M31">
            <v>0.20634207403768046</v>
          </cell>
          <cell r="N31">
            <v>0.1833882650218599</v>
          </cell>
          <cell r="O31">
            <v>38990</v>
          </cell>
          <cell r="P31">
            <v>0.20634207403768046</v>
          </cell>
          <cell r="Q31">
            <v>2.2953809015820559E-2</v>
          </cell>
        </row>
        <row r="32">
          <cell r="B32">
            <v>39082</v>
          </cell>
          <cell r="C32">
            <v>64</v>
          </cell>
          <cell r="D32">
            <v>317</v>
          </cell>
          <cell r="E32">
            <v>60.45</v>
          </cell>
          <cell r="F32">
            <v>884</v>
          </cell>
          <cell r="G32">
            <v>14.623655913978494</v>
          </cell>
          <cell r="H32">
            <v>2.6953405017919874E-3</v>
          </cell>
          <cell r="I32">
            <v>3986</v>
          </cell>
          <cell r="J32">
            <v>192</v>
          </cell>
          <cell r="K32">
            <v>3794</v>
          </cell>
          <cell r="L32">
            <v>10144</v>
          </cell>
          <cell r="M32">
            <v>0.27134952925350952</v>
          </cell>
          <cell r="N32">
            <v>0.26865418875171754</v>
          </cell>
          <cell r="O32">
            <v>39082</v>
          </cell>
          <cell r="P32">
            <v>0.27134952925350952</v>
          </cell>
          <cell r="Q32">
            <v>2.6953405017919874E-3</v>
          </cell>
        </row>
        <row r="33">
          <cell r="B33">
            <v>39172</v>
          </cell>
          <cell r="C33">
            <v>66</v>
          </cell>
          <cell r="D33">
            <v>238</v>
          </cell>
          <cell r="E33">
            <v>62.575000000000003</v>
          </cell>
          <cell r="F33">
            <v>925</v>
          </cell>
          <cell r="G33">
            <v>14.782261286456253</v>
          </cell>
          <cell r="H33">
            <v>1.216720825429185E-2</v>
          </cell>
          <cell r="I33">
            <v>3015</v>
          </cell>
          <cell r="J33">
            <v>151</v>
          </cell>
          <cell r="K33">
            <v>2864</v>
          </cell>
          <cell r="L33">
            <v>10858</v>
          </cell>
          <cell r="M33">
            <v>0.3027307193933868</v>
          </cell>
          <cell r="N33">
            <v>0.29056351113909495</v>
          </cell>
          <cell r="O33">
            <v>39172</v>
          </cell>
          <cell r="P33">
            <v>0.3027307193933868</v>
          </cell>
          <cell r="Q33">
            <v>1.216720825429185E-2</v>
          </cell>
        </row>
        <row r="34">
          <cell r="B34">
            <v>39263</v>
          </cell>
          <cell r="C34">
            <v>69</v>
          </cell>
          <cell r="D34">
            <v>227</v>
          </cell>
          <cell r="E34">
            <v>65.075000000000003</v>
          </cell>
          <cell r="F34">
            <v>964</v>
          </cell>
          <cell r="G34">
            <v>14.813676527084134</v>
          </cell>
          <cell r="H34">
            <v>5.5284133719870621E-3</v>
          </cell>
          <cell r="I34">
            <v>2886</v>
          </cell>
          <cell r="J34">
            <v>152</v>
          </cell>
          <cell r="K34">
            <v>2734</v>
          </cell>
          <cell r="L34">
            <v>11581</v>
          </cell>
          <cell r="M34">
            <v>0.33179235952988817</v>
          </cell>
          <cell r="N34">
            <v>0.32626394615790111</v>
          </cell>
          <cell r="O34">
            <v>39263</v>
          </cell>
          <cell r="P34">
            <v>0.33179235952988817</v>
          </cell>
          <cell r="Q34">
            <v>5.5284133719870621E-3</v>
          </cell>
        </row>
        <row r="35">
          <cell r="B35">
            <v>39355</v>
          </cell>
          <cell r="C35">
            <v>72</v>
          </cell>
          <cell r="D35">
            <v>260</v>
          </cell>
          <cell r="E35">
            <v>67.75</v>
          </cell>
          <cell r="F35">
            <v>1042</v>
          </cell>
          <cell r="G35">
            <v>15.380073800738007</v>
          </cell>
          <cell r="H35">
            <v>5.6937413157341021E-2</v>
          </cell>
          <cell r="I35">
            <v>3262</v>
          </cell>
          <cell r="J35">
            <v>171</v>
          </cell>
          <cell r="K35">
            <v>3091</v>
          </cell>
          <cell r="L35">
            <v>12483</v>
          </cell>
          <cell r="M35">
            <v>0.36593425832713278</v>
          </cell>
          <cell r="N35">
            <v>0.30899684516979176</v>
          </cell>
          <cell r="O35">
            <v>39355</v>
          </cell>
          <cell r="P35">
            <v>0.36593425832713278</v>
          </cell>
          <cell r="Q35">
            <v>5.6937413157341021E-2</v>
          </cell>
        </row>
        <row r="36">
          <cell r="B36">
            <v>39447</v>
          </cell>
          <cell r="C36">
            <v>76</v>
          </cell>
          <cell r="D36">
            <v>449</v>
          </cell>
          <cell r="E36">
            <v>70.75</v>
          </cell>
          <cell r="F36">
            <v>1174</v>
          </cell>
          <cell r="G36">
            <v>16.593639575971732</v>
          </cell>
          <cell r="H36">
            <v>0.13471211806277283</v>
          </cell>
          <cell r="I36">
            <v>5673</v>
          </cell>
          <cell r="J36">
            <v>266</v>
          </cell>
          <cell r="K36">
            <v>5407</v>
          </cell>
          <cell r="L36">
            <v>14096</v>
          </cell>
          <cell r="M36">
            <v>0.38958990536277605</v>
          </cell>
          <cell r="N36">
            <v>0.25487778730000321</v>
          </cell>
          <cell r="O36">
            <v>39447</v>
          </cell>
          <cell r="P36">
            <v>0.38958990536277605</v>
          </cell>
          <cell r="Q36">
            <v>0.13471211806277283</v>
          </cell>
        </row>
        <row r="37">
          <cell r="B37">
            <v>39538</v>
          </cell>
          <cell r="C37">
            <v>79</v>
          </cell>
          <cell r="D37">
            <v>321</v>
          </cell>
          <cell r="E37">
            <v>74</v>
          </cell>
          <cell r="F37">
            <v>1257</v>
          </cell>
          <cell r="G37">
            <v>16.986486486486488</v>
          </cell>
          <cell r="H37">
            <v>0.14911285609934266</v>
          </cell>
          <cell r="I37">
            <v>4135</v>
          </cell>
          <cell r="J37">
            <v>192</v>
          </cell>
          <cell r="K37">
            <v>3943</v>
          </cell>
          <cell r="L37">
            <v>15175</v>
          </cell>
          <cell r="M37">
            <v>0.39758703260268935</v>
          </cell>
          <cell r="N37">
            <v>0.24847417650334669</v>
          </cell>
          <cell r="O37">
            <v>39538</v>
          </cell>
          <cell r="P37">
            <v>0.39758703260268935</v>
          </cell>
          <cell r="Q37">
            <v>0.14911285609934266</v>
          </cell>
        </row>
        <row r="38">
          <cell r="B38">
            <v>39629</v>
          </cell>
          <cell r="C38">
            <v>81</v>
          </cell>
          <cell r="D38">
            <v>314</v>
          </cell>
          <cell r="E38">
            <v>77</v>
          </cell>
          <cell r="F38">
            <v>1344</v>
          </cell>
          <cell r="G38">
            <v>17.454545454545453</v>
          </cell>
          <cell r="H38">
            <v>0.17827235005658237</v>
          </cell>
          <cell r="I38">
            <v>4063</v>
          </cell>
          <cell r="J38">
            <v>186</v>
          </cell>
          <cell r="K38">
            <v>3877</v>
          </cell>
          <cell r="L38">
            <v>16318</v>
          </cell>
          <cell r="M38">
            <v>0.40903203523011822</v>
          </cell>
          <cell r="N38">
            <v>0.23075968517353584</v>
          </cell>
          <cell r="O38">
            <v>39629</v>
          </cell>
          <cell r="P38">
            <v>0.40903203523011822</v>
          </cell>
          <cell r="Q38">
            <v>0.17827235005658237</v>
          </cell>
        </row>
        <row r="39">
          <cell r="B39">
            <v>39721</v>
          </cell>
          <cell r="C39">
            <v>84</v>
          </cell>
          <cell r="D39">
            <v>323</v>
          </cell>
          <cell r="E39">
            <v>80</v>
          </cell>
          <cell r="F39">
            <v>1407</v>
          </cell>
          <cell r="G39">
            <v>17.587499999999999</v>
          </cell>
          <cell r="H39">
            <v>0.1435250719769674</v>
          </cell>
          <cell r="I39">
            <v>4264</v>
          </cell>
          <cell r="J39">
            <v>191</v>
          </cell>
          <cell r="K39">
            <v>4073</v>
          </cell>
          <cell r="L39">
            <v>17300</v>
          </cell>
          <cell r="M39">
            <v>0.38588480333253217</v>
          </cell>
          <cell r="N39">
            <v>0.24235973135556477</v>
          </cell>
          <cell r="O39">
            <v>39721</v>
          </cell>
          <cell r="P39">
            <v>0.38588480333253217</v>
          </cell>
          <cell r="Q39">
            <v>0.1435250719769674</v>
          </cell>
        </row>
        <row r="40">
          <cell r="B40">
            <v>39813</v>
          </cell>
          <cell r="C40">
            <v>88</v>
          </cell>
          <cell r="D40">
            <v>508</v>
          </cell>
          <cell r="E40">
            <v>83</v>
          </cell>
          <cell r="F40">
            <v>1466</v>
          </cell>
          <cell r="G40">
            <v>17.662650602409638</v>
          </cell>
          <cell r="H40">
            <v>6.4422938773834648E-2</v>
          </cell>
          <cell r="I40">
            <v>6704</v>
          </cell>
          <cell r="J40">
            <v>266</v>
          </cell>
          <cell r="K40">
            <v>6438</v>
          </cell>
          <cell r="L40">
            <v>18331</v>
          </cell>
          <cell r="M40">
            <v>0.30043984108967092</v>
          </cell>
          <cell r="N40">
            <v>0.23601690231583627</v>
          </cell>
          <cell r="O40">
            <v>39813</v>
          </cell>
          <cell r="P40">
            <v>0.30043984108967092</v>
          </cell>
          <cell r="Q40">
            <v>6.4422938773834648E-2</v>
          </cell>
        </row>
        <row r="41">
          <cell r="B41">
            <v>39903</v>
          </cell>
          <cell r="C41">
            <v>91</v>
          </cell>
          <cell r="D41">
            <v>358</v>
          </cell>
          <cell r="E41">
            <v>86</v>
          </cell>
          <cell r="F41">
            <v>1503</v>
          </cell>
          <cell r="G41">
            <v>17.476744186046513</v>
          </cell>
          <cell r="H41">
            <v>2.8861630682133654E-2</v>
          </cell>
          <cell r="I41">
            <v>4889</v>
          </cell>
          <cell r="J41">
            <v>190</v>
          </cell>
          <cell r="K41">
            <v>4699</v>
          </cell>
          <cell r="L41">
            <v>19087</v>
          </cell>
          <cell r="M41">
            <v>0.25779242174629324</v>
          </cell>
          <cell r="N41">
            <v>0.22893079106415959</v>
          </cell>
          <cell r="O41">
            <v>39903</v>
          </cell>
          <cell r="P41">
            <v>0.25779242174629324</v>
          </cell>
          <cell r="Q41">
            <v>2.8861630682133654E-2</v>
          </cell>
        </row>
        <row r="42">
          <cell r="B42">
            <v>39994</v>
          </cell>
          <cell r="C42">
            <v>94</v>
          </cell>
          <cell r="D42">
            <v>332</v>
          </cell>
          <cell r="E42">
            <v>89.25</v>
          </cell>
          <cell r="F42">
            <v>1521</v>
          </cell>
          <cell r="G42">
            <v>17.042016806722689</v>
          </cell>
          <cell r="H42">
            <v>-2.3634453781512521E-2</v>
          </cell>
          <cell r="I42">
            <v>4651</v>
          </cell>
          <cell r="J42">
            <v>185</v>
          </cell>
          <cell r="K42">
            <v>4466</v>
          </cell>
          <cell r="L42">
            <v>19676</v>
          </cell>
          <cell r="M42">
            <v>0.2057850226743474</v>
          </cell>
          <cell r="N42">
            <v>0.22941947645585992</v>
          </cell>
          <cell r="O42">
            <v>39994</v>
          </cell>
          <cell r="P42">
            <v>0.2057850226743474</v>
          </cell>
          <cell r="Q42">
            <v>-2.3634453781512521E-2</v>
          </cell>
        </row>
        <row r="43">
          <cell r="B43">
            <v>40086</v>
          </cell>
          <cell r="C43">
            <v>98</v>
          </cell>
          <cell r="D43">
            <v>388</v>
          </cell>
          <cell r="E43">
            <v>92.75</v>
          </cell>
          <cell r="F43">
            <v>1586</v>
          </cell>
          <cell r="G43">
            <v>17.099730458221025</v>
          </cell>
          <cell r="H43">
            <v>-2.773387586518683E-2</v>
          </cell>
          <cell r="I43">
            <v>5449</v>
          </cell>
          <cell r="J43">
            <v>208</v>
          </cell>
          <cell r="K43">
            <v>5241</v>
          </cell>
          <cell r="L43">
            <v>20844</v>
          </cell>
          <cell r="M43">
            <v>0.20485549132947978</v>
          </cell>
          <cell r="N43">
            <v>0.23258936719466661</v>
          </cell>
          <cell r="O43">
            <v>40086</v>
          </cell>
          <cell r="P43">
            <v>0.20485549132947978</v>
          </cell>
          <cell r="Q43">
            <v>-2.773387586518683E-2</v>
          </cell>
        </row>
        <row r="44">
          <cell r="B44">
            <v>40178</v>
          </cell>
          <cell r="C44">
            <v>105</v>
          </cell>
          <cell r="D44">
            <v>696</v>
          </cell>
          <cell r="E44">
            <v>97</v>
          </cell>
          <cell r="F44">
            <v>1774</v>
          </cell>
          <cell r="G44">
            <v>18.288659793814432</v>
          </cell>
          <cell r="H44">
            <v>3.5442539486083113E-2</v>
          </cell>
          <cell r="I44">
            <v>9519</v>
          </cell>
          <cell r="J44">
            <v>341</v>
          </cell>
          <cell r="K44">
            <v>9178</v>
          </cell>
          <cell r="L44">
            <v>23584</v>
          </cell>
          <cell r="M44">
            <v>0.28656374447656985</v>
          </cell>
          <cell r="N44">
            <v>0.25112120499048673</v>
          </cell>
          <cell r="O44">
            <v>40178</v>
          </cell>
          <cell r="P44">
            <v>0.28656374447656985</v>
          </cell>
          <cell r="Q44">
            <v>3.5442539486083113E-2</v>
          </cell>
        </row>
        <row r="45">
          <cell r="B45">
            <v>40268</v>
          </cell>
          <cell r="C45">
            <v>114</v>
          </cell>
          <cell r="D45">
            <v>518</v>
          </cell>
          <cell r="E45">
            <v>102.75</v>
          </cell>
          <cell r="F45">
            <v>1934</v>
          </cell>
          <cell r="G45">
            <v>18.822384428223845</v>
          </cell>
          <cell r="H45">
            <v>7.6996048454591071E-2</v>
          </cell>
          <cell r="I45">
            <v>7131</v>
          </cell>
          <cell r="J45">
            <v>248</v>
          </cell>
          <cell r="K45">
            <v>6883</v>
          </cell>
          <cell r="L45">
            <v>25768</v>
          </cell>
          <cell r="M45">
            <v>0.35002881542411068</v>
          </cell>
          <cell r="N45">
            <v>0.27303276696951961</v>
          </cell>
          <cell r="O45">
            <v>40268</v>
          </cell>
          <cell r="P45">
            <v>0.35002881542411068</v>
          </cell>
          <cell r="Q45">
            <v>7.6996048454591071E-2</v>
          </cell>
        </row>
        <row r="46">
          <cell r="B46">
            <v>40359</v>
          </cell>
          <cell r="C46">
            <v>118</v>
          </cell>
          <cell r="D46">
            <v>487</v>
          </cell>
          <cell r="E46">
            <v>108.75</v>
          </cell>
          <cell r="F46">
            <v>2089</v>
          </cell>
          <cell r="G46">
            <v>19.20919540229885</v>
          </cell>
          <cell r="H46">
            <v>0.12716679135777276</v>
          </cell>
          <cell r="I46">
            <v>6566</v>
          </cell>
          <cell r="J46">
            <v>239</v>
          </cell>
          <cell r="K46">
            <v>6327</v>
          </cell>
          <cell r="L46">
            <v>27629</v>
          </cell>
          <cell r="M46">
            <v>0.40419800772514747</v>
          </cell>
          <cell r="N46">
            <v>0.27703121636737471</v>
          </cell>
          <cell r="O46">
            <v>40359</v>
          </cell>
          <cell r="P46">
            <v>0.40419800772514747</v>
          </cell>
          <cell r="Q46">
            <v>0.12716679135777276</v>
          </cell>
        </row>
        <row r="47">
          <cell r="B47">
            <v>40451</v>
          </cell>
          <cell r="C47">
            <v>121</v>
          </cell>
          <cell r="D47">
            <v>576</v>
          </cell>
          <cell r="E47">
            <v>114.5</v>
          </cell>
          <cell r="F47">
            <v>2277</v>
          </cell>
          <cell r="G47">
            <v>19.886462882096069</v>
          </cell>
          <cell r="H47">
            <v>0.16296937724742144</v>
          </cell>
          <cell r="I47">
            <v>7560</v>
          </cell>
          <cell r="J47">
            <v>270</v>
          </cell>
          <cell r="K47">
            <v>7290</v>
          </cell>
          <cell r="L47">
            <v>29678</v>
          </cell>
          <cell r="M47">
            <v>0.42381500671656114</v>
          </cell>
          <cell r="N47">
            <v>0.26084562946913969</v>
          </cell>
          <cell r="O47">
            <v>40451</v>
          </cell>
          <cell r="P47">
            <v>0.42381500671656114</v>
          </cell>
          <cell r="Q47">
            <v>0.16296937724742144</v>
          </cell>
        </row>
        <row r="48">
          <cell r="B48">
            <v>40543</v>
          </cell>
          <cell r="C48">
            <v>130</v>
          </cell>
          <cell r="D48">
            <v>999</v>
          </cell>
          <cell r="E48">
            <v>120.75</v>
          </cell>
          <cell r="F48">
            <v>2580</v>
          </cell>
          <cell r="G48">
            <v>21.366459627329192</v>
          </cell>
          <cell r="H48">
            <v>0.16829006981450489</v>
          </cell>
          <cell r="I48">
            <v>12948</v>
          </cell>
          <cell r="J48">
            <v>437</v>
          </cell>
          <cell r="K48">
            <v>12511</v>
          </cell>
          <cell r="L48">
            <v>33011</v>
          </cell>
          <cell r="M48">
            <v>0.39972014925373145</v>
          </cell>
          <cell r="N48">
            <v>0.23143007943922655</v>
          </cell>
          <cell r="O48">
            <v>40543</v>
          </cell>
          <cell r="P48">
            <v>0.39972014925373145</v>
          </cell>
          <cell r="Q48">
            <v>0.16829006981450489</v>
          </cell>
        </row>
        <row r="49">
          <cell r="B49">
            <v>40633</v>
          </cell>
          <cell r="C49">
            <v>137</v>
          </cell>
          <cell r="D49">
            <v>786</v>
          </cell>
          <cell r="E49">
            <v>126.5</v>
          </cell>
          <cell r="F49">
            <v>2848</v>
          </cell>
          <cell r="G49">
            <v>22.513833992094863</v>
          </cell>
          <cell r="H49">
            <v>0.19612018753244409</v>
          </cell>
          <cell r="I49">
            <v>9857</v>
          </cell>
          <cell r="J49">
            <v>330</v>
          </cell>
          <cell r="K49">
            <v>9527</v>
          </cell>
          <cell r="L49">
            <v>35655</v>
          </cell>
          <cell r="M49">
            <v>0.38369295249922386</v>
          </cell>
          <cell r="N49">
            <v>0.18757276496677977</v>
          </cell>
          <cell r="O49">
            <v>40633</v>
          </cell>
          <cell r="P49">
            <v>0.38369295249922386</v>
          </cell>
          <cell r="Q49">
            <v>0.19612018753244409</v>
          </cell>
        </row>
        <row r="50">
          <cell r="B50">
            <v>40724</v>
          </cell>
          <cell r="C50">
            <v>144</v>
          </cell>
          <cell r="D50">
            <v>820</v>
          </cell>
          <cell r="E50">
            <v>133</v>
          </cell>
          <cell r="F50">
            <v>3181</v>
          </cell>
          <cell r="G50">
            <v>23.917293233082706</v>
          </cell>
          <cell r="H50">
            <v>0.24509604552309461</v>
          </cell>
          <cell r="I50">
            <v>9913</v>
          </cell>
          <cell r="J50">
            <v>331</v>
          </cell>
          <cell r="K50">
            <v>9582</v>
          </cell>
          <cell r="L50">
            <v>38910</v>
          </cell>
          <cell r="M50">
            <v>0.40830287017264477</v>
          </cell>
          <cell r="N50">
            <v>0.16320682464955016</v>
          </cell>
          <cell r="O50">
            <v>40724</v>
          </cell>
          <cell r="P50">
            <v>0.40830287017264477</v>
          </cell>
          <cell r="Q50">
            <v>0.24509604552309461</v>
          </cell>
        </row>
        <row r="51">
          <cell r="B51">
            <v>40816</v>
          </cell>
          <cell r="C51">
            <v>152</v>
          </cell>
          <cell r="D51">
            <v>918</v>
          </cell>
          <cell r="E51">
            <v>140.75</v>
          </cell>
          <cell r="F51">
            <v>3523</v>
          </cell>
          <cell r="G51">
            <v>25.03019538188277</v>
          </cell>
          <cell r="H51">
            <v>0.25865497199190912</v>
          </cell>
          <cell r="I51">
            <v>10876</v>
          </cell>
          <cell r="J51">
            <v>360</v>
          </cell>
          <cell r="K51">
            <v>10516</v>
          </cell>
          <cell r="L51">
            <v>42136</v>
          </cell>
          <cell r="M51">
            <v>0.41977222184783347</v>
          </cell>
          <cell r="N51">
            <v>0.16111724985592435</v>
          </cell>
          <cell r="O51">
            <v>40816</v>
          </cell>
          <cell r="P51">
            <v>0.41977222184783347</v>
          </cell>
          <cell r="Q51">
            <v>0.25865497199190912</v>
          </cell>
        </row>
      </sheetData>
      <sheetData sheetId="1" refreshError="1">
        <row r="2">
          <cell r="F2" t="str">
            <v>Fiscal Quarter-End</v>
          </cell>
          <cell r="J2" t="str">
            <v>Fiscal Quarter-End</v>
          </cell>
          <cell r="N2" t="str">
            <v>Fiscal Quarter-End</v>
          </cell>
          <cell r="R2" t="str">
            <v>Fiscal Quarter-End</v>
          </cell>
          <cell r="V2" t="str">
            <v>Fiscal Quarter-End</v>
          </cell>
          <cell r="Z2" t="str">
            <v>Fiscal Quarter-End</v>
          </cell>
          <cell r="AD2" t="str">
            <v>Fiscal Quarter-End</v>
          </cell>
          <cell r="AH2" t="str">
            <v>Fiscal Quarter-End</v>
          </cell>
          <cell r="AL2" t="str">
            <v>Fiscal Quarter-End</v>
          </cell>
          <cell r="AP2" t="str">
            <v>Fiscal Quarter-End</v>
          </cell>
          <cell r="AT2" t="str">
            <v>Fiscal Quarter-End</v>
          </cell>
          <cell r="AX2" t="str">
            <v>Fiscal Quarter-End</v>
          </cell>
          <cell r="BB2" t="str">
            <v>Fiscal Quarter-End</v>
          </cell>
        </row>
        <row r="3">
          <cell r="F3">
            <v>36250</v>
          </cell>
          <cell r="G3">
            <v>36341</v>
          </cell>
          <cell r="H3">
            <v>36433</v>
          </cell>
          <cell r="I3">
            <v>36525</v>
          </cell>
          <cell r="J3">
            <v>36616</v>
          </cell>
          <cell r="K3">
            <v>36707</v>
          </cell>
          <cell r="L3">
            <v>36799</v>
          </cell>
          <cell r="M3">
            <v>36891</v>
          </cell>
          <cell r="N3">
            <v>36981</v>
          </cell>
          <cell r="O3">
            <v>37072</v>
          </cell>
          <cell r="P3">
            <v>37164</v>
          </cell>
          <cell r="Q3">
            <v>37256</v>
          </cell>
          <cell r="R3">
            <v>37346</v>
          </cell>
          <cell r="S3">
            <v>37437</v>
          </cell>
          <cell r="T3">
            <v>37529</v>
          </cell>
          <cell r="U3">
            <v>37621</v>
          </cell>
          <cell r="V3">
            <v>37711</v>
          </cell>
          <cell r="W3">
            <v>37802</v>
          </cell>
          <cell r="X3">
            <v>37894</v>
          </cell>
          <cell r="Y3">
            <v>37986</v>
          </cell>
          <cell r="Z3">
            <v>38077</v>
          </cell>
          <cell r="AA3">
            <v>38168</v>
          </cell>
          <cell r="AB3">
            <v>38260</v>
          </cell>
          <cell r="AC3">
            <v>38352</v>
          </cell>
          <cell r="AD3">
            <v>38442</v>
          </cell>
          <cell r="AE3">
            <v>38533</v>
          </cell>
          <cell r="AF3">
            <v>38625</v>
          </cell>
          <cell r="AG3">
            <v>38717</v>
          </cell>
          <cell r="AH3">
            <v>38807</v>
          </cell>
          <cell r="AI3">
            <v>38898</v>
          </cell>
          <cell r="AJ3">
            <v>38990</v>
          </cell>
          <cell r="AK3">
            <v>39082</v>
          </cell>
          <cell r="AL3">
            <v>39172</v>
          </cell>
          <cell r="AM3">
            <v>39263</v>
          </cell>
          <cell r="AN3">
            <v>39355</v>
          </cell>
          <cell r="AO3">
            <v>39447</v>
          </cell>
          <cell r="AP3">
            <v>39538</v>
          </cell>
          <cell r="AQ3">
            <v>39629</v>
          </cell>
          <cell r="AR3">
            <v>39721</v>
          </cell>
          <cell r="AS3">
            <v>39813</v>
          </cell>
          <cell r="AT3">
            <v>39903</v>
          </cell>
          <cell r="AU3">
            <v>39994</v>
          </cell>
          <cell r="AV3">
            <v>40086</v>
          </cell>
          <cell r="AW3">
            <v>40178</v>
          </cell>
          <cell r="AX3">
            <v>40268</v>
          </cell>
          <cell r="AY3">
            <v>40359</v>
          </cell>
          <cell r="AZ3">
            <v>40451</v>
          </cell>
          <cell r="BA3">
            <v>40543</v>
          </cell>
          <cell r="BB3">
            <v>40633</v>
          </cell>
          <cell r="BC3">
            <v>40724</v>
          </cell>
          <cell r="BD3">
            <v>40816</v>
          </cell>
        </row>
        <row r="5">
          <cell r="A5">
            <v>0</v>
          </cell>
          <cell r="B5">
            <v>0</v>
          </cell>
          <cell r="F5">
            <v>293.64299999999997</v>
          </cell>
          <cell r="G5">
            <v>314.37700000000001</v>
          </cell>
          <cell r="H5">
            <v>355.77699999999999</v>
          </cell>
          <cell r="I5">
            <v>676.04200000000003</v>
          </cell>
          <cell r="J5">
            <v>573.88900000000001</v>
          </cell>
          <cell r="K5">
            <v>577.87599999999998</v>
          </cell>
          <cell r="L5">
            <v>637.85799999999995</v>
          </cell>
          <cell r="M5">
            <v>972.36</v>
          </cell>
          <cell r="N5">
            <v>700.35599999999999</v>
          </cell>
          <cell r="O5">
            <v>667.625</v>
          </cell>
          <cell r="P5">
            <v>639.28100000000006</v>
          </cell>
          <cell r="Q5">
            <v>1115.1709999999998</v>
          </cell>
          <cell r="R5">
            <v>847.42200000000014</v>
          </cell>
          <cell r="S5">
            <v>805.60500000000002</v>
          </cell>
          <cell r="T5">
            <v>851.29899999999998</v>
          </cell>
          <cell r="U5">
            <v>1428.61</v>
          </cell>
          <cell r="V5">
            <v>1083.559</v>
          </cell>
          <cell r="W5">
            <v>1099.912</v>
          </cell>
          <cell r="X5">
            <v>1134.4560000000001</v>
          </cell>
          <cell r="Y5">
            <v>1945.7719999999999</v>
          </cell>
          <cell r="Z5">
            <v>1530.3489999999999</v>
          </cell>
          <cell r="AA5">
            <v>1387.3409999999999</v>
          </cell>
          <cell r="AB5">
            <v>1462.4749999999999</v>
          </cell>
          <cell r="AC5">
            <v>2540.9589999999998</v>
          </cell>
          <cell r="AD5">
            <v>1901.923</v>
          </cell>
          <cell r="AE5">
            <v>1753</v>
          </cell>
          <cell r="AF5">
            <v>1858</v>
          </cell>
          <cell r="AG5">
            <v>2977</v>
          </cell>
          <cell r="AH5">
            <v>2279</v>
          </cell>
          <cell r="AI5">
            <v>2139</v>
          </cell>
          <cell r="AJ5">
            <v>2307</v>
          </cell>
          <cell r="AK5">
            <v>3986</v>
          </cell>
          <cell r="AL5">
            <v>3015</v>
          </cell>
          <cell r="AM5">
            <v>2886</v>
          </cell>
          <cell r="AN5">
            <v>3262</v>
          </cell>
          <cell r="AO5">
            <v>5673</v>
          </cell>
          <cell r="AP5">
            <v>4135</v>
          </cell>
          <cell r="AQ5">
            <v>4063</v>
          </cell>
          <cell r="AR5">
            <v>4264</v>
          </cell>
          <cell r="AS5">
            <v>6704</v>
          </cell>
          <cell r="AT5">
            <v>4889</v>
          </cell>
          <cell r="AU5">
            <v>4651</v>
          </cell>
          <cell r="AV5">
            <v>5449</v>
          </cell>
          <cell r="AW5">
            <v>9519</v>
          </cell>
          <cell r="AX5">
            <v>7131</v>
          </cell>
          <cell r="AY5">
            <v>6566</v>
          </cell>
          <cell r="AZ5">
            <v>7560</v>
          </cell>
          <cell r="BA5">
            <v>12948</v>
          </cell>
          <cell r="BB5">
            <v>9857</v>
          </cell>
          <cell r="BC5">
            <v>9913</v>
          </cell>
          <cell r="BD5">
            <v>10876</v>
          </cell>
        </row>
        <row r="6">
          <cell r="A6">
            <v>0</v>
          </cell>
          <cell r="B6">
            <v>0</v>
          </cell>
          <cell r="F6">
            <v>-228.852</v>
          </cell>
          <cell r="G6">
            <v>-246.846</v>
          </cell>
          <cell r="H6">
            <v>-285.3</v>
          </cell>
          <cell r="I6">
            <v>-588.19600000000003</v>
          </cell>
          <cell r="J6">
            <v>-445.755</v>
          </cell>
          <cell r="K6">
            <v>-441.81200000000001</v>
          </cell>
          <cell r="L6">
            <v>-470.57900000000001</v>
          </cell>
          <cell r="M6">
            <v>-748.06</v>
          </cell>
          <cell r="N6">
            <v>-517.75900000000001</v>
          </cell>
          <cell r="O6">
            <v>-487.90499999999997</v>
          </cell>
          <cell r="P6">
            <v>-477.089</v>
          </cell>
          <cell r="Q6">
            <v>-841.12199999999996</v>
          </cell>
          <cell r="R6">
            <v>-624.29700000000003</v>
          </cell>
          <cell r="S6">
            <v>-587.43799999999999</v>
          </cell>
          <cell r="T6">
            <v>-635.13199999999995</v>
          </cell>
          <cell r="U6">
            <v>-1093.451</v>
          </cell>
          <cell r="V6">
            <v>-812.97699999999998</v>
          </cell>
          <cell r="W6">
            <v>-825.98400000000004</v>
          </cell>
          <cell r="X6">
            <v>-848.63499999999999</v>
          </cell>
          <cell r="Y6">
            <v>-1518.9349999999999</v>
          </cell>
          <cell r="Z6">
            <v>-1169.5150000000001</v>
          </cell>
          <cell r="AA6">
            <v>-1046.2950000000001</v>
          </cell>
          <cell r="AB6">
            <v>-1106.8240000000001</v>
          </cell>
          <cell r="AC6">
            <v>-1997</v>
          </cell>
          <cell r="AD6">
            <v>-1443.923</v>
          </cell>
          <cell r="AE6">
            <v>-1303</v>
          </cell>
          <cell r="AF6">
            <v>-1395</v>
          </cell>
          <cell r="AG6">
            <v>-2310</v>
          </cell>
          <cell r="AH6">
            <v>-1732</v>
          </cell>
          <cell r="AI6">
            <v>-1630</v>
          </cell>
          <cell r="AJ6">
            <v>-1758</v>
          </cell>
          <cell r="AK6">
            <v>-3136</v>
          </cell>
          <cell r="AL6">
            <v>-2296</v>
          </cell>
          <cell r="AM6">
            <v>-2185</v>
          </cell>
          <cell r="AN6">
            <v>-2500</v>
          </cell>
          <cell r="AO6">
            <v>-4503</v>
          </cell>
          <cell r="AP6">
            <v>-3179</v>
          </cell>
          <cell r="AQ6">
            <v>-3096</v>
          </cell>
          <cell r="AR6">
            <v>-3265</v>
          </cell>
          <cell r="AS6">
            <v>-5356</v>
          </cell>
          <cell r="AT6">
            <v>-3741</v>
          </cell>
          <cell r="AU6">
            <v>-3518</v>
          </cell>
          <cell r="AV6">
            <v>-4176</v>
          </cell>
          <cell r="AW6">
            <v>-7543</v>
          </cell>
          <cell r="AX6">
            <v>-5501</v>
          </cell>
          <cell r="AY6">
            <v>-4957</v>
          </cell>
          <cell r="AZ6">
            <v>-5786</v>
          </cell>
          <cell r="BA6">
            <v>-10317</v>
          </cell>
          <cell r="BB6">
            <v>-7608</v>
          </cell>
          <cell r="BC6">
            <v>-7525</v>
          </cell>
          <cell r="BD6">
            <v>-8325</v>
          </cell>
        </row>
        <row r="7">
          <cell r="A7">
            <v>0</v>
          </cell>
          <cell r="B7">
            <v>0</v>
          </cell>
          <cell r="F7">
            <v>64.790999999999968</v>
          </cell>
          <cell r="G7">
            <v>67.531000000000006</v>
          </cell>
          <cell r="H7">
            <v>70.476999999999975</v>
          </cell>
          <cell r="I7">
            <v>87.846000000000004</v>
          </cell>
          <cell r="J7">
            <v>128.13400000000001</v>
          </cell>
          <cell r="K7">
            <v>136.06399999999996</v>
          </cell>
          <cell r="L7">
            <v>167.27899999999994</v>
          </cell>
          <cell r="M7">
            <v>224.30000000000007</v>
          </cell>
          <cell r="N7">
            <v>182.59699999999998</v>
          </cell>
          <cell r="O7">
            <v>179.72000000000003</v>
          </cell>
          <cell r="P7">
            <v>162.19200000000006</v>
          </cell>
          <cell r="Q7">
            <v>274.04899999999986</v>
          </cell>
          <cell r="R7">
            <v>223.12500000000011</v>
          </cell>
          <cell r="S7">
            <v>218.16700000000003</v>
          </cell>
          <cell r="T7">
            <v>216.16700000000003</v>
          </cell>
          <cell r="U7">
            <v>335.15899999999988</v>
          </cell>
          <cell r="V7">
            <v>270.58199999999999</v>
          </cell>
          <cell r="W7">
            <v>273.928</v>
          </cell>
          <cell r="X7">
            <v>285.82100000000014</v>
          </cell>
          <cell r="Y7">
            <v>426.83699999999999</v>
          </cell>
          <cell r="Z7">
            <v>360.83399999999983</v>
          </cell>
          <cell r="AA7">
            <v>341.04599999999982</v>
          </cell>
          <cell r="AB7">
            <v>355.65099999999984</v>
          </cell>
          <cell r="AC7">
            <v>543.95899999999983</v>
          </cell>
          <cell r="AD7">
            <v>458</v>
          </cell>
          <cell r="AE7">
            <v>450</v>
          </cell>
          <cell r="AF7">
            <v>463</v>
          </cell>
          <cell r="AG7">
            <v>667</v>
          </cell>
          <cell r="AH7">
            <v>547</v>
          </cell>
          <cell r="AI7">
            <v>509</v>
          </cell>
          <cell r="AJ7">
            <v>549</v>
          </cell>
          <cell r="AK7">
            <v>850</v>
          </cell>
          <cell r="AL7">
            <v>719</v>
          </cell>
          <cell r="AM7">
            <v>701</v>
          </cell>
          <cell r="AN7">
            <v>762</v>
          </cell>
          <cell r="AO7">
            <v>1170</v>
          </cell>
          <cell r="AP7">
            <v>956</v>
          </cell>
          <cell r="AQ7">
            <v>967</v>
          </cell>
          <cell r="AR7">
            <v>999</v>
          </cell>
          <cell r="AS7">
            <v>1348</v>
          </cell>
          <cell r="AT7">
            <v>1148</v>
          </cell>
          <cell r="AU7">
            <v>1133</v>
          </cell>
          <cell r="AV7">
            <v>1273</v>
          </cell>
          <cell r="AW7">
            <v>1976</v>
          </cell>
          <cell r="AX7">
            <v>1630</v>
          </cell>
          <cell r="AY7">
            <v>1609</v>
          </cell>
          <cell r="AZ7">
            <v>1774</v>
          </cell>
          <cell r="BA7">
            <v>2631</v>
          </cell>
          <cell r="BB7">
            <v>2249</v>
          </cell>
          <cell r="BC7">
            <v>2388</v>
          </cell>
          <cell r="BD7">
            <v>2551</v>
          </cell>
        </row>
        <row r="8">
          <cell r="A8">
            <v>0</v>
          </cell>
          <cell r="B8">
            <v>0</v>
          </cell>
        </row>
        <row r="9">
          <cell r="A9">
            <v>0</v>
          </cell>
          <cell r="B9">
            <v>0</v>
          </cell>
          <cell r="F9">
            <v>0.22064547767186676</v>
          </cell>
          <cell r="G9">
            <v>0.21480897139421778</v>
          </cell>
          <cell r="H9">
            <v>0.19809318758660616</v>
          </cell>
          <cell r="I9">
            <v>0.12994163084542085</v>
          </cell>
          <cell r="J9">
            <v>0.22327314167025333</v>
          </cell>
          <cell r="K9">
            <v>0.23545535720465977</v>
          </cell>
          <cell r="L9">
            <v>0.26225115934894594</v>
          </cell>
          <cell r="M9">
            <v>0.23067588136081293</v>
          </cell>
          <cell r="N9">
            <v>0.26072026226661865</v>
          </cell>
          <cell r="O9">
            <v>0.26919303501217007</v>
          </cell>
          <cell r="P9">
            <v>0.25371002735886106</v>
          </cell>
          <cell r="Q9">
            <v>0.24574616807646532</v>
          </cell>
          <cell r="R9">
            <v>0.26329856907184385</v>
          </cell>
          <cell r="S9">
            <v>0.27081137778439807</v>
          </cell>
          <cell r="T9">
            <v>0.25392605888177955</v>
          </cell>
          <cell r="U9">
            <v>0.23460496566592695</v>
          </cell>
          <cell r="V9">
            <v>0.24971598224000724</v>
          </cell>
          <cell r="W9">
            <v>0.2490453781757086</v>
          </cell>
          <cell r="X9">
            <v>0.25194542582524143</v>
          </cell>
          <cell r="Y9">
            <v>0.21936640058547455</v>
          </cell>
          <cell r="Z9">
            <v>0.23578543195048962</v>
          </cell>
          <cell r="AA9">
            <v>0.24582708937456604</v>
          </cell>
          <cell r="AB9">
            <v>0.24318432793722961</v>
          </cell>
          <cell r="AC9">
            <v>0.21407626018365503</v>
          </cell>
          <cell r="AD9">
            <v>0.24080890761613377</v>
          </cell>
          <cell r="AE9">
            <v>0.25670279520821448</v>
          </cell>
          <cell r="AF9">
            <v>0.24919268030139935</v>
          </cell>
          <cell r="AG9">
            <v>0.22405105811219347</v>
          </cell>
          <cell r="AH9">
            <v>0.24001755155770074</v>
          </cell>
          <cell r="AI9">
            <v>0.23796166432912577</v>
          </cell>
          <cell r="AJ9">
            <v>0.23797139141742524</v>
          </cell>
          <cell r="AK9">
            <v>0.21324636226793778</v>
          </cell>
          <cell r="AL9">
            <v>0.23847429519071311</v>
          </cell>
          <cell r="AM9">
            <v>0.2428967428967429</v>
          </cell>
          <cell r="AN9">
            <v>0.23359901900674432</v>
          </cell>
          <cell r="AO9">
            <v>0.20624008461131677</v>
          </cell>
          <cell r="AP9">
            <v>0.23119709794437726</v>
          </cell>
          <cell r="AQ9">
            <v>0.23800147674132416</v>
          </cell>
          <cell r="AR9">
            <v>0.23428705440900563</v>
          </cell>
          <cell r="AS9">
            <v>0.20107398568019094</v>
          </cell>
          <cell r="AT9">
            <v>0.23481284516260995</v>
          </cell>
          <cell r="AU9">
            <v>0.24360352612341432</v>
          </cell>
          <cell r="AV9">
            <v>0.23362084786199303</v>
          </cell>
          <cell r="AW9">
            <v>0.20758483033932135</v>
          </cell>
          <cell r="AX9">
            <v>0.22857944187351004</v>
          </cell>
          <cell r="AY9">
            <v>0.24505025890953397</v>
          </cell>
          <cell r="AZ9">
            <v>0.23465608465608465</v>
          </cell>
          <cell r="BA9">
            <v>0.20319740500463393</v>
          </cell>
          <cell r="BB9">
            <v>0.22816272699604342</v>
          </cell>
          <cell r="BC9">
            <v>0.24089579340260264</v>
          </cell>
          <cell r="BD9">
            <v>0.23455314453843323</v>
          </cell>
        </row>
        <row r="10">
          <cell r="A10">
            <v>0</v>
          </cell>
          <cell r="B10">
            <v>0</v>
          </cell>
        </row>
        <row r="11">
          <cell r="A11">
            <v>0</v>
          </cell>
          <cell r="B11">
            <v>0</v>
          </cell>
          <cell r="F11">
            <v>44.2</v>
          </cell>
          <cell r="G11">
            <v>49</v>
          </cell>
          <cell r="H11">
            <v>53.3</v>
          </cell>
          <cell r="I11">
            <v>92.5</v>
          </cell>
          <cell r="J11">
            <v>74.599999999999994</v>
          </cell>
          <cell r="K11">
            <v>73.5</v>
          </cell>
          <cell r="L11">
            <v>78.099999999999994</v>
          </cell>
          <cell r="M11">
            <v>112.8</v>
          </cell>
          <cell r="N11">
            <v>82</v>
          </cell>
          <cell r="O11">
            <v>76</v>
          </cell>
          <cell r="P11">
            <v>74</v>
          </cell>
          <cell r="Q11">
            <v>125</v>
          </cell>
          <cell r="R11">
            <v>89</v>
          </cell>
          <cell r="S11">
            <v>81</v>
          </cell>
          <cell r="T11">
            <v>73</v>
          </cell>
          <cell r="U11">
            <v>121.74900000000002</v>
          </cell>
          <cell r="V11">
            <v>78</v>
          </cell>
          <cell r="W11">
            <v>80</v>
          </cell>
          <cell r="X11">
            <v>77</v>
          </cell>
          <cell r="Y11">
            <v>137</v>
          </cell>
          <cell r="Z11">
            <v>93.6</v>
          </cell>
          <cell r="AA11">
            <v>84</v>
          </cell>
          <cell r="AB11">
            <v>87</v>
          </cell>
          <cell r="AC11">
            <v>155.45299999999997</v>
          </cell>
          <cell r="AD11">
            <v>107.8</v>
          </cell>
          <cell r="AE11">
            <v>103</v>
          </cell>
          <cell r="AF11">
            <v>112</v>
          </cell>
          <cell r="AG11">
            <v>188.2</v>
          </cell>
          <cell r="AH11">
            <v>129</v>
          </cell>
          <cell r="AI11">
            <v>128</v>
          </cell>
          <cell r="AJ11">
            <v>118</v>
          </cell>
          <cell r="AK11">
            <v>192</v>
          </cell>
          <cell r="AL11">
            <v>151</v>
          </cell>
          <cell r="AM11">
            <v>152</v>
          </cell>
          <cell r="AN11">
            <v>171</v>
          </cell>
          <cell r="AO11">
            <v>266</v>
          </cell>
          <cell r="AP11">
            <v>192</v>
          </cell>
          <cell r="AQ11">
            <v>186</v>
          </cell>
          <cell r="AR11">
            <v>191</v>
          </cell>
          <cell r="AS11">
            <v>266</v>
          </cell>
          <cell r="AT11">
            <v>190</v>
          </cell>
          <cell r="AU11">
            <v>185</v>
          </cell>
          <cell r="AV11">
            <v>208</v>
          </cell>
          <cell r="AW11">
            <v>341</v>
          </cell>
          <cell r="AX11">
            <v>248</v>
          </cell>
          <cell r="AY11">
            <v>239</v>
          </cell>
          <cell r="AZ11">
            <v>270</v>
          </cell>
          <cell r="BA11">
            <v>437</v>
          </cell>
          <cell r="BB11">
            <v>330</v>
          </cell>
          <cell r="BC11">
            <v>331</v>
          </cell>
          <cell r="BD11">
            <v>360</v>
          </cell>
        </row>
        <row r="12">
          <cell r="A12">
            <v>0</v>
          </cell>
          <cell r="B12">
            <v>0</v>
          </cell>
          <cell r="F12">
            <v>-37.299999999999997</v>
          </cell>
          <cell r="G12">
            <v>-44.3</v>
          </cell>
          <cell r="H12">
            <v>-48.4</v>
          </cell>
          <cell r="I12">
            <v>-97</v>
          </cell>
          <cell r="J12">
            <v>-78</v>
          </cell>
          <cell r="K12">
            <v>-62.6</v>
          </cell>
          <cell r="L12">
            <v>-69.900000000000006</v>
          </cell>
          <cell r="M12">
            <v>-129.5</v>
          </cell>
          <cell r="N12">
            <v>-87</v>
          </cell>
          <cell r="O12">
            <v>-78</v>
          </cell>
          <cell r="P12">
            <v>-76</v>
          </cell>
          <cell r="Q12">
            <v>-135</v>
          </cell>
          <cell r="R12">
            <v>-90</v>
          </cell>
          <cell r="S12">
            <v>-83</v>
          </cell>
          <cell r="T12">
            <v>-83</v>
          </cell>
          <cell r="U12">
            <v>-148.303</v>
          </cell>
          <cell r="V12">
            <v>-105</v>
          </cell>
          <cell r="W12">
            <v>-106</v>
          </cell>
          <cell r="X12">
            <v>-104</v>
          </cell>
          <cell r="Y12">
            <v>-193.46800000000002</v>
          </cell>
          <cell r="Z12">
            <v>-136.6</v>
          </cell>
          <cell r="AA12">
            <v>-119</v>
          </cell>
          <cell r="AB12">
            <v>-128</v>
          </cell>
          <cell r="AC12">
            <v>-232.97199999999998</v>
          </cell>
          <cell r="AD12">
            <v>-163.1</v>
          </cell>
          <cell r="AE12">
            <v>-148</v>
          </cell>
          <cell r="AF12">
            <v>-159</v>
          </cell>
          <cell r="AG12">
            <v>-279.89999999999998</v>
          </cell>
          <cell r="AH12">
            <v>-197</v>
          </cell>
          <cell r="AI12">
            <v>-188</v>
          </cell>
          <cell r="AJ12">
            <v>-182</v>
          </cell>
          <cell r="AK12">
            <v>-317</v>
          </cell>
          <cell r="AL12">
            <v>-238</v>
          </cell>
          <cell r="AM12">
            <v>-227</v>
          </cell>
          <cell r="AN12">
            <v>-260</v>
          </cell>
          <cell r="AO12">
            <v>-449</v>
          </cell>
          <cell r="AP12">
            <v>-321</v>
          </cell>
          <cell r="AQ12">
            <v>-314</v>
          </cell>
          <cell r="AR12">
            <v>-323</v>
          </cell>
          <cell r="AS12">
            <v>-508</v>
          </cell>
          <cell r="AT12">
            <v>-358</v>
          </cell>
          <cell r="AU12">
            <v>-332</v>
          </cell>
          <cell r="AV12">
            <v>-388</v>
          </cell>
          <cell r="AW12">
            <v>-696</v>
          </cell>
          <cell r="AX12">
            <v>-518</v>
          </cell>
          <cell r="AY12">
            <v>-487</v>
          </cell>
          <cell r="AZ12">
            <v>-576</v>
          </cell>
          <cell r="BA12">
            <v>-999</v>
          </cell>
          <cell r="BB12">
            <v>-786</v>
          </cell>
          <cell r="BC12">
            <v>-820</v>
          </cell>
          <cell r="BD12">
            <v>-918</v>
          </cell>
        </row>
        <row r="13">
          <cell r="A13">
            <v>0</v>
          </cell>
          <cell r="B13">
            <v>0</v>
          </cell>
          <cell r="F13">
            <v>6.9000000000000057</v>
          </cell>
          <cell r="G13">
            <v>4.7000000000000028</v>
          </cell>
          <cell r="H13">
            <v>4.8999999999999986</v>
          </cell>
          <cell r="I13">
            <v>-4.5</v>
          </cell>
          <cell r="J13">
            <v>-3.4000000000000057</v>
          </cell>
          <cell r="K13">
            <v>10.899999999999999</v>
          </cell>
          <cell r="L13">
            <v>8.1999999999999886</v>
          </cell>
          <cell r="M13">
            <v>-16.700000000000003</v>
          </cell>
          <cell r="N13">
            <v>-5</v>
          </cell>
          <cell r="O13">
            <v>-2</v>
          </cell>
          <cell r="P13">
            <v>-2</v>
          </cell>
          <cell r="Q13">
            <v>-10</v>
          </cell>
          <cell r="R13">
            <v>-1</v>
          </cell>
          <cell r="S13">
            <v>-2</v>
          </cell>
          <cell r="T13">
            <v>-10</v>
          </cell>
          <cell r="U13">
            <v>-26.553999999999974</v>
          </cell>
          <cell r="V13">
            <v>-27</v>
          </cell>
          <cell r="W13">
            <v>-26</v>
          </cell>
          <cell r="X13">
            <v>-27</v>
          </cell>
          <cell r="Y13">
            <v>-56.468000000000018</v>
          </cell>
          <cell r="Z13">
            <v>-43</v>
          </cell>
          <cell r="AA13">
            <v>-35</v>
          </cell>
          <cell r="AB13">
            <v>-41</v>
          </cell>
          <cell r="AC13">
            <v>-77.519000000000005</v>
          </cell>
          <cell r="AD13">
            <v>-55.3</v>
          </cell>
          <cell r="AE13">
            <v>-45</v>
          </cell>
          <cell r="AF13">
            <v>-47</v>
          </cell>
          <cell r="AG13">
            <v>-91.699999999999989</v>
          </cell>
          <cell r="AH13">
            <v>-68</v>
          </cell>
          <cell r="AI13">
            <v>-60</v>
          </cell>
          <cell r="AJ13">
            <v>-64</v>
          </cell>
          <cell r="AK13">
            <v>-125</v>
          </cell>
          <cell r="AL13">
            <v>-87</v>
          </cell>
          <cell r="AM13">
            <v>-75</v>
          </cell>
          <cell r="AN13">
            <v>-89</v>
          </cell>
          <cell r="AO13">
            <v>-183</v>
          </cell>
          <cell r="AP13">
            <v>-129</v>
          </cell>
          <cell r="AQ13">
            <v>-128</v>
          </cell>
          <cell r="AR13">
            <v>-132</v>
          </cell>
          <cell r="AS13">
            <v>-242</v>
          </cell>
          <cell r="AT13">
            <v>-168</v>
          </cell>
          <cell r="AU13">
            <v>-147</v>
          </cell>
          <cell r="AV13">
            <v>-180</v>
          </cell>
          <cell r="AW13">
            <v>-355</v>
          </cell>
          <cell r="AX13">
            <v>-270</v>
          </cell>
          <cell r="AY13">
            <v>-248</v>
          </cell>
          <cell r="AZ13">
            <v>-306</v>
          </cell>
          <cell r="BA13">
            <v>-562</v>
          </cell>
          <cell r="BB13">
            <v>-456</v>
          </cell>
          <cell r="BC13">
            <v>-489</v>
          </cell>
          <cell r="BD13">
            <v>-558</v>
          </cell>
        </row>
        <row r="14">
          <cell r="A14">
            <v>0</v>
          </cell>
          <cell r="B14">
            <v>0</v>
          </cell>
        </row>
        <row r="15">
          <cell r="A15">
            <v>0</v>
          </cell>
          <cell r="B15">
            <v>0</v>
          </cell>
          <cell r="F15">
            <v>249.44299999999998</v>
          </cell>
          <cell r="G15">
            <v>265.37700000000001</v>
          </cell>
          <cell r="H15">
            <v>302.47699999999998</v>
          </cell>
          <cell r="I15">
            <v>583.54200000000003</v>
          </cell>
          <cell r="J15">
            <v>499.28899999999999</v>
          </cell>
          <cell r="K15">
            <v>504.37599999999998</v>
          </cell>
          <cell r="L15">
            <v>559.75799999999992</v>
          </cell>
          <cell r="M15">
            <v>859.56000000000006</v>
          </cell>
          <cell r="N15">
            <v>618.35599999999999</v>
          </cell>
          <cell r="O15">
            <v>591.625</v>
          </cell>
          <cell r="P15">
            <v>565.28100000000006</v>
          </cell>
          <cell r="Q15">
            <v>990.17099999999982</v>
          </cell>
          <cell r="R15">
            <v>758.42200000000014</v>
          </cell>
          <cell r="S15">
            <v>724.60500000000002</v>
          </cell>
          <cell r="T15">
            <v>778.29899999999998</v>
          </cell>
          <cell r="U15">
            <v>1306.8609999999999</v>
          </cell>
          <cell r="V15">
            <v>1005.559</v>
          </cell>
          <cell r="W15">
            <v>1019.912</v>
          </cell>
          <cell r="X15">
            <v>1057.4560000000001</v>
          </cell>
          <cell r="Y15">
            <v>1808.7719999999999</v>
          </cell>
          <cell r="Z15">
            <v>1436.749</v>
          </cell>
          <cell r="AA15">
            <v>1303.3409999999999</v>
          </cell>
          <cell r="AB15">
            <v>1375.4749999999999</v>
          </cell>
          <cell r="AC15">
            <v>2385.5059999999999</v>
          </cell>
          <cell r="AD15">
            <v>1794.123</v>
          </cell>
          <cell r="AE15">
            <v>1650</v>
          </cell>
          <cell r="AF15">
            <v>1746</v>
          </cell>
          <cell r="AG15">
            <v>2788.8</v>
          </cell>
          <cell r="AH15">
            <v>2150</v>
          </cell>
          <cell r="AI15">
            <v>2011</v>
          </cell>
          <cell r="AJ15">
            <v>2189</v>
          </cell>
          <cell r="AK15">
            <v>3794</v>
          </cell>
          <cell r="AL15">
            <v>2864</v>
          </cell>
          <cell r="AM15">
            <v>2734</v>
          </cell>
          <cell r="AN15">
            <v>3091</v>
          </cell>
          <cell r="AO15">
            <v>5407</v>
          </cell>
          <cell r="AP15">
            <v>3943</v>
          </cell>
          <cell r="AQ15">
            <v>3877</v>
          </cell>
          <cell r="AR15">
            <v>4073</v>
          </cell>
          <cell r="AS15">
            <v>6438</v>
          </cell>
          <cell r="AT15">
            <v>4699</v>
          </cell>
          <cell r="AU15">
            <v>4466</v>
          </cell>
          <cell r="AV15">
            <v>5241</v>
          </cell>
          <cell r="AW15">
            <v>9178</v>
          </cell>
          <cell r="AX15">
            <v>6883</v>
          </cell>
          <cell r="AY15">
            <v>6327</v>
          </cell>
          <cell r="AZ15">
            <v>7290</v>
          </cell>
          <cell r="BA15">
            <v>12511</v>
          </cell>
          <cell r="BB15">
            <v>9527</v>
          </cell>
          <cell r="BC15">
            <v>9582</v>
          </cell>
          <cell r="BD15">
            <v>10516</v>
          </cell>
        </row>
        <row r="16">
          <cell r="A16">
            <v>0</v>
          </cell>
          <cell r="B16">
            <v>0</v>
          </cell>
          <cell r="F16">
            <v>-191.55200000000002</v>
          </cell>
          <cell r="G16">
            <v>-202.54599999999999</v>
          </cell>
          <cell r="H16">
            <v>-236.9</v>
          </cell>
          <cell r="I16">
            <v>-491.19600000000003</v>
          </cell>
          <cell r="J16">
            <v>-367.755</v>
          </cell>
          <cell r="K16">
            <v>-379.21199999999999</v>
          </cell>
          <cell r="L16">
            <v>-400.67899999999997</v>
          </cell>
          <cell r="M16">
            <v>-618.55999999999995</v>
          </cell>
          <cell r="N16">
            <v>-430.75900000000001</v>
          </cell>
          <cell r="O16">
            <v>-409.90499999999997</v>
          </cell>
          <cell r="P16">
            <v>-401.089</v>
          </cell>
          <cell r="Q16">
            <v>-706.12199999999996</v>
          </cell>
          <cell r="R16">
            <v>-534.29700000000003</v>
          </cell>
          <cell r="S16">
            <v>-504.43799999999999</v>
          </cell>
          <cell r="T16">
            <v>-552.13199999999995</v>
          </cell>
          <cell r="U16">
            <v>-945.14800000000002</v>
          </cell>
          <cell r="V16">
            <v>-707.97699999999998</v>
          </cell>
          <cell r="W16">
            <v>-719.98400000000004</v>
          </cell>
          <cell r="X16">
            <v>-744.63499999999999</v>
          </cell>
          <cell r="Y16">
            <v>-1325.4669999999999</v>
          </cell>
          <cell r="Z16">
            <v>-1032.9150000000002</v>
          </cell>
          <cell r="AA16">
            <v>-927.29500000000007</v>
          </cell>
          <cell r="AB16">
            <v>-978.82400000000007</v>
          </cell>
          <cell r="AC16">
            <v>-1764.028</v>
          </cell>
          <cell r="AD16">
            <v>-1280.8230000000001</v>
          </cell>
          <cell r="AE16">
            <v>-1155</v>
          </cell>
          <cell r="AF16">
            <v>-1236</v>
          </cell>
          <cell r="AG16">
            <v>-2030.1</v>
          </cell>
          <cell r="AH16">
            <v>-1535</v>
          </cell>
          <cell r="AI16">
            <v>-1442</v>
          </cell>
          <cell r="AJ16">
            <v>-1576</v>
          </cell>
          <cell r="AK16">
            <v>-2819</v>
          </cell>
          <cell r="AL16">
            <v>-2058</v>
          </cell>
          <cell r="AM16">
            <v>-1958</v>
          </cell>
          <cell r="AN16">
            <v>-2240</v>
          </cell>
          <cell r="AO16">
            <v>-4054</v>
          </cell>
          <cell r="AP16">
            <v>-2858</v>
          </cell>
          <cell r="AQ16">
            <v>-2782</v>
          </cell>
          <cell r="AR16">
            <v>-2942</v>
          </cell>
          <cell r="AS16">
            <v>-4848</v>
          </cell>
          <cell r="AT16">
            <v>-3383</v>
          </cell>
          <cell r="AU16">
            <v>-3186</v>
          </cell>
          <cell r="AV16">
            <v>-3788</v>
          </cell>
          <cell r="AW16">
            <v>-6847</v>
          </cell>
          <cell r="AX16">
            <v>-4983</v>
          </cell>
          <cell r="AY16">
            <v>-4470</v>
          </cell>
          <cell r="AZ16">
            <v>-5210</v>
          </cell>
          <cell r="BA16">
            <v>-9318</v>
          </cell>
          <cell r="BB16">
            <v>-6822</v>
          </cell>
          <cell r="BC16">
            <v>-6705</v>
          </cell>
          <cell r="BD16">
            <v>-7407</v>
          </cell>
        </row>
        <row r="17">
          <cell r="A17">
            <v>0</v>
          </cell>
          <cell r="B17">
            <v>0</v>
          </cell>
          <cell r="F17">
            <v>57.890999999999963</v>
          </cell>
          <cell r="G17">
            <v>62.831000000000017</v>
          </cell>
          <cell r="H17">
            <v>65.57699999999997</v>
          </cell>
          <cell r="I17">
            <v>92.346000000000004</v>
          </cell>
          <cell r="J17">
            <v>131.53399999999999</v>
          </cell>
          <cell r="K17">
            <v>125.16399999999999</v>
          </cell>
          <cell r="L17">
            <v>159.07899999999995</v>
          </cell>
          <cell r="M17">
            <v>241.00000000000011</v>
          </cell>
          <cell r="N17">
            <v>187.59699999999998</v>
          </cell>
          <cell r="O17">
            <v>181.72000000000003</v>
          </cell>
          <cell r="P17">
            <v>164.19200000000006</v>
          </cell>
          <cell r="Q17">
            <v>284.04899999999986</v>
          </cell>
          <cell r="R17">
            <v>224.12500000000011</v>
          </cell>
          <cell r="S17">
            <v>220.16700000000003</v>
          </cell>
          <cell r="T17">
            <v>226.16700000000003</v>
          </cell>
          <cell r="U17">
            <v>361.71299999999985</v>
          </cell>
          <cell r="V17">
            <v>297.58199999999999</v>
          </cell>
          <cell r="W17">
            <v>299.928</v>
          </cell>
          <cell r="X17">
            <v>312.82100000000014</v>
          </cell>
          <cell r="Y17">
            <v>483.30500000000006</v>
          </cell>
          <cell r="Z17">
            <v>403.83399999999983</v>
          </cell>
          <cell r="AA17">
            <v>376.04599999999982</v>
          </cell>
          <cell r="AB17">
            <v>396.65099999999984</v>
          </cell>
          <cell r="AC17">
            <v>621.47799999999984</v>
          </cell>
          <cell r="AD17">
            <v>513.29999999999995</v>
          </cell>
          <cell r="AE17">
            <v>495</v>
          </cell>
          <cell r="AF17">
            <v>510</v>
          </cell>
          <cell r="AG17">
            <v>758.70000000000027</v>
          </cell>
          <cell r="AH17">
            <v>615</v>
          </cell>
          <cell r="AI17">
            <v>569</v>
          </cell>
          <cell r="AJ17">
            <v>613</v>
          </cell>
          <cell r="AK17">
            <v>975</v>
          </cell>
          <cell r="AL17">
            <v>806</v>
          </cell>
          <cell r="AM17">
            <v>776</v>
          </cell>
          <cell r="AN17">
            <v>851</v>
          </cell>
          <cell r="AO17">
            <v>1353</v>
          </cell>
          <cell r="AP17">
            <v>1085</v>
          </cell>
          <cell r="AQ17">
            <v>1095</v>
          </cell>
          <cell r="AR17">
            <v>1131</v>
          </cell>
          <cell r="AS17">
            <v>1590</v>
          </cell>
          <cell r="AT17">
            <v>1316</v>
          </cell>
          <cell r="AU17">
            <v>1280</v>
          </cell>
          <cell r="AV17">
            <v>1453</v>
          </cell>
          <cell r="AW17">
            <v>2331</v>
          </cell>
          <cell r="AX17">
            <v>1900</v>
          </cell>
          <cell r="AY17">
            <v>1857</v>
          </cell>
          <cell r="AZ17">
            <v>2080</v>
          </cell>
          <cell r="BA17">
            <v>3193</v>
          </cell>
          <cell r="BB17">
            <v>2705</v>
          </cell>
          <cell r="BC17">
            <v>2877</v>
          </cell>
          <cell r="BD17">
            <v>3109</v>
          </cell>
        </row>
        <row r="18">
          <cell r="A18">
            <v>0</v>
          </cell>
          <cell r="B18">
            <v>0</v>
          </cell>
        </row>
        <row r="19">
          <cell r="A19">
            <v>0</v>
          </cell>
          <cell r="B19">
            <v>0</v>
          </cell>
          <cell r="F19">
            <v>0.23208107663875099</v>
          </cell>
          <cell r="G19">
            <v>0.23676128677315675</v>
          </cell>
          <cell r="H19">
            <v>0.21679995503790361</v>
          </cell>
          <cell r="I19">
            <v>0.1582508199923913</v>
          </cell>
          <cell r="J19">
            <v>0.26344261539909752</v>
          </cell>
          <cell r="K19">
            <v>0.24815613748473359</v>
          </cell>
          <cell r="L19">
            <v>0.28419245459645054</v>
          </cell>
          <cell r="M19">
            <v>0.28037600632881948</v>
          </cell>
          <cell r="N19">
            <v>0.30338025344623482</v>
          </cell>
          <cell r="O19">
            <v>0.30715402493133326</v>
          </cell>
          <cell r="P19">
            <v>0.29046085044429237</v>
          </cell>
          <cell r="Q19">
            <v>0.28686863178178307</v>
          </cell>
          <cell r="R19">
            <v>0.29551489803829539</v>
          </cell>
          <cell r="S19">
            <v>0.30384416337176812</v>
          </cell>
          <cell r="T19">
            <v>0.29059140510266623</v>
          </cell>
          <cell r="U19">
            <v>0.27678000950368853</v>
          </cell>
          <cell r="V19">
            <v>0.29593688684602298</v>
          </cell>
          <cell r="W19">
            <v>0.29407242977825537</v>
          </cell>
          <cell r="X19">
            <v>0.29582412885264264</v>
          </cell>
          <cell r="Y19">
            <v>0.26720062008920975</v>
          </cell>
          <cell r="Z19">
            <v>0.28107484327464283</v>
          </cell>
          <cell r="AA19">
            <v>0.28852464550720025</v>
          </cell>
          <cell r="AB19">
            <v>0.28837383449353848</v>
          </cell>
          <cell r="AC19">
            <v>0.26052250549778533</v>
          </cell>
          <cell r="AD19">
            <v>0.28610078573208186</v>
          </cell>
          <cell r="AE19">
            <v>0.3</v>
          </cell>
          <cell r="AF19">
            <v>0.29209621993127149</v>
          </cell>
          <cell r="AG19">
            <v>0.27205249569707407</v>
          </cell>
          <cell r="AH19">
            <v>0.28604651162790695</v>
          </cell>
          <cell r="AI19">
            <v>0.28294380905022376</v>
          </cell>
          <cell r="AJ19">
            <v>0.28003654636820469</v>
          </cell>
          <cell r="AK19">
            <v>0.25698471270426992</v>
          </cell>
          <cell r="AL19">
            <v>0.28142458100558659</v>
          </cell>
          <cell r="AM19">
            <v>0.28383321141185075</v>
          </cell>
          <cell r="AN19">
            <v>0.27531543189906177</v>
          </cell>
          <cell r="AO19">
            <v>0.25023118180136861</v>
          </cell>
          <cell r="AP19">
            <v>0.27517118944965763</v>
          </cell>
          <cell r="AQ19">
            <v>0.28243487232396181</v>
          </cell>
          <cell r="AR19">
            <v>0.27768229806039774</v>
          </cell>
          <cell r="AS19">
            <v>0.24697110904007455</v>
          </cell>
          <cell r="AT19">
            <v>0.28005958714620133</v>
          </cell>
          <cell r="AU19">
            <v>0.28660994178235555</v>
          </cell>
          <cell r="AV19">
            <v>0.27723716847929786</v>
          </cell>
          <cell r="AW19">
            <v>0.25397690128568318</v>
          </cell>
          <cell r="AX19">
            <v>0.27604242336190615</v>
          </cell>
          <cell r="AY19">
            <v>0.29350403034613559</v>
          </cell>
          <cell r="AZ19">
            <v>0.28532235939643347</v>
          </cell>
          <cell r="BA19">
            <v>0.25521541043881385</v>
          </cell>
          <cell r="BB19">
            <v>0.2839298834890312</v>
          </cell>
          <cell r="BC19">
            <v>0.30025046963055729</v>
          </cell>
          <cell r="BD19">
            <v>0.29564473183720047</v>
          </cell>
        </row>
        <row r="20">
          <cell r="A20">
            <v>0</v>
          </cell>
          <cell r="B20">
            <v>0</v>
          </cell>
        </row>
        <row r="21">
          <cell r="A21">
            <v>0</v>
          </cell>
          <cell r="B21">
            <v>0</v>
          </cell>
          <cell r="I21">
            <v>1639.8389999999999</v>
          </cell>
          <cell r="J21">
            <v>1920.085</v>
          </cell>
          <cell r="K21">
            <v>2183.5839999999998</v>
          </cell>
          <cell r="L21">
            <v>2465.665</v>
          </cell>
          <cell r="M21">
            <v>2761.9829999999997</v>
          </cell>
          <cell r="N21">
            <v>2888.45</v>
          </cell>
          <cell r="O21">
            <v>2978.1989999999996</v>
          </cell>
          <cell r="P21">
            <v>2979.6219999999998</v>
          </cell>
          <cell r="Q21">
            <v>3122.433</v>
          </cell>
          <cell r="R21">
            <v>3269.4989999999998</v>
          </cell>
          <cell r="S21">
            <v>3407.4789999999998</v>
          </cell>
          <cell r="T21">
            <v>3619.4969999999998</v>
          </cell>
          <cell r="U21">
            <v>3932.9359999999997</v>
          </cell>
          <cell r="V21">
            <v>4169.0730000000003</v>
          </cell>
          <cell r="W21">
            <v>4463.38</v>
          </cell>
          <cell r="X21">
            <v>4746.5370000000003</v>
          </cell>
          <cell r="Y21">
            <v>5263.6990000000005</v>
          </cell>
          <cell r="Z21">
            <v>5710.4890000000005</v>
          </cell>
          <cell r="AA21">
            <v>5997.9179999999997</v>
          </cell>
          <cell r="AB21">
            <v>6325.9369999999999</v>
          </cell>
          <cell r="AC21">
            <v>6921.1239999999989</v>
          </cell>
          <cell r="AD21">
            <v>7292.6979999999994</v>
          </cell>
          <cell r="AE21">
            <v>7658.357</v>
          </cell>
          <cell r="AF21">
            <v>8053.8819999999996</v>
          </cell>
          <cell r="AG21">
            <v>8489.9229999999989</v>
          </cell>
          <cell r="AH21">
            <v>8867</v>
          </cell>
          <cell r="AI21">
            <v>9253</v>
          </cell>
          <cell r="AJ21">
            <v>9702</v>
          </cell>
          <cell r="AK21">
            <v>10711</v>
          </cell>
          <cell r="AL21">
            <v>11447</v>
          </cell>
          <cell r="AM21">
            <v>12194</v>
          </cell>
          <cell r="AN21">
            <v>13149</v>
          </cell>
          <cell r="AO21">
            <v>14836</v>
          </cell>
          <cell r="AP21">
            <v>15956</v>
          </cell>
          <cell r="AQ21">
            <v>17133</v>
          </cell>
          <cell r="AR21">
            <v>18135</v>
          </cell>
          <cell r="AS21">
            <v>19166</v>
          </cell>
          <cell r="AT21">
            <v>19920</v>
          </cell>
          <cell r="AU21">
            <v>20508</v>
          </cell>
          <cell r="AV21">
            <v>21693</v>
          </cell>
          <cell r="AW21">
            <v>24508</v>
          </cell>
          <cell r="AX21">
            <v>26750</v>
          </cell>
          <cell r="AY21">
            <v>28665</v>
          </cell>
          <cell r="AZ21">
            <v>30776</v>
          </cell>
          <cell r="BA21">
            <v>34205</v>
          </cell>
          <cell r="BB21">
            <v>36931</v>
          </cell>
          <cell r="BC21">
            <v>40278</v>
          </cell>
          <cell r="BD21">
            <v>43594</v>
          </cell>
        </row>
        <row r="22">
          <cell r="A22">
            <v>0</v>
          </cell>
          <cell r="B22">
            <v>0</v>
          </cell>
          <cell r="I22">
            <v>-1349.194</v>
          </cell>
          <cell r="J22">
            <v>-1566.0970000000002</v>
          </cell>
          <cell r="K22">
            <v>-1761.0630000000001</v>
          </cell>
          <cell r="L22">
            <v>-1946.3419999999999</v>
          </cell>
          <cell r="M22">
            <v>-2106.2060000000001</v>
          </cell>
          <cell r="N22">
            <v>-2178.21</v>
          </cell>
          <cell r="O22">
            <v>-2224.3029999999999</v>
          </cell>
          <cell r="P22">
            <v>-2230.8130000000001</v>
          </cell>
          <cell r="Q22">
            <v>-2323.875</v>
          </cell>
          <cell r="R22">
            <v>-2430.413</v>
          </cell>
          <cell r="S22">
            <v>-2529.9459999999999</v>
          </cell>
          <cell r="T22">
            <v>-2687.989</v>
          </cell>
          <cell r="U22">
            <v>-2940.3180000000002</v>
          </cell>
          <cell r="V22">
            <v>-3128.9979999999996</v>
          </cell>
          <cell r="W22">
            <v>-3367.5439999999999</v>
          </cell>
          <cell r="X22">
            <v>-3581.0469999999996</v>
          </cell>
          <cell r="Y22">
            <v>-4006.5309999999999</v>
          </cell>
          <cell r="Z22">
            <v>-4363.0690000000004</v>
          </cell>
          <cell r="AA22">
            <v>-4583.38</v>
          </cell>
          <cell r="AB22">
            <v>-4841.5689999999995</v>
          </cell>
          <cell r="AC22">
            <v>-5319.634</v>
          </cell>
          <cell r="AD22">
            <v>-5594.0420000000004</v>
          </cell>
          <cell r="AE22">
            <v>-5850.7470000000003</v>
          </cell>
          <cell r="AF22">
            <v>-6138.9229999999998</v>
          </cell>
          <cell r="AG22">
            <v>-6451.9229999999998</v>
          </cell>
          <cell r="AH22">
            <v>-6740</v>
          </cell>
          <cell r="AI22">
            <v>-7067</v>
          </cell>
          <cell r="AJ22">
            <v>-7430</v>
          </cell>
          <cell r="AK22">
            <v>-8256</v>
          </cell>
          <cell r="AL22">
            <v>-8820</v>
          </cell>
          <cell r="AM22">
            <v>-9375</v>
          </cell>
          <cell r="AN22">
            <v>-10117</v>
          </cell>
          <cell r="AO22">
            <v>-11484</v>
          </cell>
          <cell r="AP22">
            <v>-12367</v>
          </cell>
          <cell r="AQ22">
            <v>-13278</v>
          </cell>
          <cell r="AR22">
            <v>-14043</v>
          </cell>
          <cell r="AS22">
            <v>-14896</v>
          </cell>
          <cell r="AT22">
            <v>-15458</v>
          </cell>
          <cell r="AU22">
            <v>-15880</v>
          </cell>
          <cell r="AV22">
            <v>-16791</v>
          </cell>
          <cell r="AW22">
            <v>-18978</v>
          </cell>
          <cell r="AX22">
            <v>-20738</v>
          </cell>
          <cell r="AY22">
            <v>-22177</v>
          </cell>
          <cell r="AZ22">
            <v>-23787</v>
          </cell>
          <cell r="BA22">
            <v>-26561</v>
          </cell>
          <cell r="BB22">
            <v>-28668</v>
          </cell>
          <cell r="BC22">
            <v>-31236</v>
          </cell>
          <cell r="BD22">
            <v>-33775</v>
          </cell>
        </row>
        <row r="23">
          <cell r="A23">
            <v>0</v>
          </cell>
          <cell r="B23">
            <v>0</v>
          </cell>
          <cell r="I23">
            <v>290.64499999999998</v>
          </cell>
          <cell r="J23">
            <v>353.98799999999983</v>
          </cell>
          <cell r="K23">
            <v>422.52099999999973</v>
          </cell>
          <cell r="L23">
            <v>519.32300000000009</v>
          </cell>
          <cell r="M23">
            <v>655.77699999999959</v>
          </cell>
          <cell r="N23">
            <v>710.23999999999978</v>
          </cell>
          <cell r="O23">
            <v>753.89599999999973</v>
          </cell>
          <cell r="P23">
            <v>748.80899999999974</v>
          </cell>
          <cell r="Q23">
            <v>798.55799999999999</v>
          </cell>
          <cell r="R23">
            <v>839.08599999999979</v>
          </cell>
          <cell r="S23">
            <v>877.5329999999999</v>
          </cell>
          <cell r="T23">
            <v>931.50799999999981</v>
          </cell>
          <cell r="U23">
            <v>992.61799999999948</v>
          </cell>
          <cell r="V23">
            <v>1040.0750000000007</v>
          </cell>
          <cell r="W23">
            <v>1095.8360000000002</v>
          </cell>
          <cell r="X23">
            <v>1165.4900000000007</v>
          </cell>
          <cell r="Y23">
            <v>1257.1680000000006</v>
          </cell>
          <cell r="Z23">
            <v>1347.42</v>
          </cell>
          <cell r="AA23">
            <v>1414.5379999999996</v>
          </cell>
          <cell r="AB23">
            <v>1484.3680000000004</v>
          </cell>
          <cell r="AC23">
            <v>1601.4899999999989</v>
          </cell>
          <cell r="AD23">
            <v>1698.655999999999</v>
          </cell>
          <cell r="AE23">
            <v>1807.6099999999997</v>
          </cell>
          <cell r="AF23">
            <v>1914.9589999999998</v>
          </cell>
          <cell r="AG23">
            <v>2037.9999999999991</v>
          </cell>
          <cell r="AH23">
            <v>2127</v>
          </cell>
          <cell r="AI23">
            <v>2186</v>
          </cell>
          <cell r="AJ23">
            <v>2272</v>
          </cell>
          <cell r="AK23">
            <v>2455</v>
          </cell>
          <cell r="AL23">
            <v>2627</v>
          </cell>
          <cell r="AM23">
            <v>2819</v>
          </cell>
          <cell r="AN23">
            <v>3032</v>
          </cell>
          <cell r="AO23">
            <v>3352</v>
          </cell>
          <cell r="AP23">
            <v>3589</v>
          </cell>
          <cell r="AQ23">
            <v>3855</v>
          </cell>
          <cell r="AR23">
            <v>4092</v>
          </cell>
          <cell r="AS23">
            <v>4270</v>
          </cell>
          <cell r="AT23">
            <v>4462</v>
          </cell>
          <cell r="AU23">
            <v>4628</v>
          </cell>
          <cell r="AV23">
            <v>4902</v>
          </cell>
          <cell r="AW23">
            <v>5530</v>
          </cell>
          <cell r="AX23">
            <v>6012</v>
          </cell>
          <cell r="AY23">
            <v>6488</v>
          </cell>
          <cell r="AZ23">
            <v>6989</v>
          </cell>
          <cell r="BA23">
            <v>7644</v>
          </cell>
          <cell r="BB23">
            <v>8263</v>
          </cell>
          <cell r="BC23">
            <v>9042</v>
          </cell>
          <cell r="BD23">
            <v>9819</v>
          </cell>
        </row>
        <row r="24">
          <cell r="A24">
            <v>0</v>
          </cell>
          <cell r="B24">
            <v>0</v>
          </cell>
        </row>
        <row r="25">
          <cell r="A25">
            <v>0</v>
          </cell>
          <cell r="B25">
            <v>0</v>
          </cell>
          <cell r="I25">
            <v>0.17723996075224457</v>
          </cell>
          <cell r="J25">
            <v>0.18436058820312634</v>
          </cell>
          <cell r="K25">
            <v>0.19349885326142699</v>
          </cell>
          <cell r="L25">
            <v>0.21062188091245165</v>
          </cell>
          <cell r="M25">
            <v>0.2374297741876035</v>
          </cell>
          <cell r="N25">
            <v>0.24588966400664711</v>
          </cell>
          <cell r="O25">
            <v>0.25313822212686254</v>
          </cell>
          <cell r="P25">
            <v>0.25131006550495322</v>
          </cell>
          <cell r="Q25">
            <v>0.25574864216461968</v>
          </cell>
          <cell r="R25">
            <v>0.25664054339823927</v>
          </cell>
          <cell r="S25">
            <v>0.25753144773599485</v>
          </cell>
          <cell r="T25">
            <v>0.2573584119561364</v>
          </cell>
          <cell r="U25">
            <v>0.25238600373868264</v>
          </cell>
          <cell r="V25">
            <v>0.24947392381951591</v>
          </cell>
          <cell r="W25">
            <v>0.24551707450407542</v>
          </cell>
          <cell r="X25">
            <v>0.2455453312594004</v>
          </cell>
          <cell r="Y25">
            <v>0.23883736513049103</v>
          </cell>
          <cell r="Z25">
            <v>0.235955274583315</v>
          </cell>
          <cell r="AA25">
            <v>0.23583816917803804</v>
          </cell>
          <cell r="AB25">
            <v>0.23464792646528101</v>
          </cell>
          <cell r="AC25">
            <v>0.23139160633446232</v>
          </cell>
          <cell r="AD25">
            <v>0.23292559214710373</v>
          </cell>
          <cell r="AE25">
            <v>0.23603104425662053</v>
          </cell>
          <cell r="AF25">
            <v>0.23776844508027309</v>
          </cell>
          <cell r="AG25">
            <v>0.24004929137755424</v>
          </cell>
          <cell r="AH25">
            <v>0.23987820006766664</v>
          </cell>
          <cell r="AI25">
            <v>0.23624770344753054</v>
          </cell>
          <cell r="AJ25">
            <v>0.23417851989280561</v>
          </cell>
          <cell r="AK25">
            <v>0.22920362244421622</v>
          </cell>
          <cell r="AL25">
            <v>0.22949244343496111</v>
          </cell>
          <cell r="AM25">
            <v>0.23117926849270132</v>
          </cell>
          <cell r="AN25">
            <v>0.23058787740512587</v>
          </cell>
          <cell r="AO25">
            <v>0.22593691021838772</v>
          </cell>
          <cell r="AP25">
            <v>0.22493106041614438</v>
          </cell>
          <cell r="AQ25">
            <v>0.22500437751707231</v>
          </cell>
          <cell r="AR25">
            <v>0.22564102564102564</v>
          </cell>
          <cell r="AS25">
            <v>0.22279035792549307</v>
          </cell>
          <cell r="AT25">
            <v>0.22399598393574296</v>
          </cell>
          <cell r="AU25">
            <v>0.22566803198751706</v>
          </cell>
          <cell r="AV25">
            <v>0.22597151154750381</v>
          </cell>
          <cell r="AW25">
            <v>0.22564060714868614</v>
          </cell>
          <cell r="AX25">
            <v>0.22474766355140188</v>
          </cell>
          <cell r="AY25">
            <v>0.22633874062445491</v>
          </cell>
          <cell r="AZ25">
            <v>0.22709253964127893</v>
          </cell>
          <cell r="BA25">
            <v>0.22347609998538226</v>
          </cell>
          <cell r="BB25">
            <v>0.22374157212098236</v>
          </cell>
          <cell r="BC25">
            <v>0.22448979591836735</v>
          </cell>
          <cell r="BD25">
            <v>0.22523741799330183</v>
          </cell>
        </row>
        <row r="26">
          <cell r="A26">
            <v>0</v>
          </cell>
          <cell r="B26">
            <v>0</v>
          </cell>
        </row>
        <row r="27">
          <cell r="A27">
            <v>0</v>
          </cell>
          <cell r="B27">
            <v>0</v>
          </cell>
          <cell r="I27">
            <v>239</v>
          </cell>
          <cell r="J27">
            <v>269.39999999999998</v>
          </cell>
          <cell r="K27">
            <v>293.89999999999998</v>
          </cell>
          <cell r="L27">
            <v>318.7</v>
          </cell>
          <cell r="M27">
            <v>339</v>
          </cell>
          <cell r="N27">
            <v>346.4</v>
          </cell>
          <cell r="O27">
            <v>348.9</v>
          </cell>
          <cell r="P27">
            <v>344.8</v>
          </cell>
          <cell r="Q27">
            <v>357</v>
          </cell>
          <cell r="R27">
            <v>364</v>
          </cell>
          <cell r="S27">
            <v>369</v>
          </cell>
          <cell r="T27">
            <v>368</v>
          </cell>
          <cell r="U27">
            <v>364.74900000000002</v>
          </cell>
          <cell r="V27">
            <v>353.74900000000002</v>
          </cell>
          <cell r="W27">
            <v>352.74900000000002</v>
          </cell>
          <cell r="X27">
            <v>356.74900000000002</v>
          </cell>
          <cell r="Y27">
            <v>372</v>
          </cell>
          <cell r="Z27">
            <v>387.6</v>
          </cell>
          <cell r="AA27">
            <v>391.6</v>
          </cell>
          <cell r="AB27">
            <v>401.6</v>
          </cell>
          <cell r="AC27">
            <v>420.053</v>
          </cell>
          <cell r="AD27">
            <v>434.25299999999999</v>
          </cell>
          <cell r="AE27">
            <v>453.25299999999999</v>
          </cell>
          <cell r="AF27">
            <v>478.25299999999999</v>
          </cell>
          <cell r="AG27">
            <v>511</v>
          </cell>
          <cell r="AH27">
            <v>532.20000000000005</v>
          </cell>
          <cell r="AI27">
            <v>557.20000000000005</v>
          </cell>
          <cell r="AJ27">
            <v>563.20000000000005</v>
          </cell>
          <cell r="AK27">
            <v>567</v>
          </cell>
          <cell r="AL27">
            <v>589</v>
          </cell>
          <cell r="AM27">
            <v>613</v>
          </cell>
          <cell r="AN27">
            <v>666</v>
          </cell>
          <cell r="AO27">
            <v>740</v>
          </cell>
          <cell r="AP27">
            <v>781</v>
          </cell>
          <cell r="AQ27">
            <v>815</v>
          </cell>
          <cell r="AR27">
            <v>835</v>
          </cell>
          <cell r="AS27">
            <v>835</v>
          </cell>
          <cell r="AT27">
            <v>833</v>
          </cell>
          <cell r="AU27">
            <v>832</v>
          </cell>
          <cell r="AV27">
            <v>849</v>
          </cell>
          <cell r="AW27">
            <v>924</v>
          </cell>
          <cell r="AX27">
            <v>982</v>
          </cell>
          <cell r="AY27">
            <v>1036</v>
          </cell>
          <cell r="AZ27">
            <v>1098</v>
          </cell>
          <cell r="BA27">
            <v>1194</v>
          </cell>
          <cell r="BB27">
            <v>1276</v>
          </cell>
          <cell r="BC27">
            <v>1368</v>
          </cell>
          <cell r="BD27">
            <v>1458</v>
          </cell>
        </row>
        <row r="28">
          <cell r="A28">
            <v>0</v>
          </cell>
          <cell r="B28">
            <v>0</v>
          </cell>
          <cell r="I28">
            <v>-227</v>
          </cell>
          <cell r="J28">
            <v>-267.7</v>
          </cell>
          <cell r="K28">
            <v>-286</v>
          </cell>
          <cell r="L28">
            <v>-307.5</v>
          </cell>
          <cell r="M28">
            <v>-340</v>
          </cell>
          <cell r="N28">
            <v>-349</v>
          </cell>
          <cell r="O28">
            <v>-364.4</v>
          </cell>
          <cell r="P28">
            <v>-370.5</v>
          </cell>
          <cell r="Q28">
            <v>-376</v>
          </cell>
          <cell r="R28">
            <v>-379</v>
          </cell>
          <cell r="S28">
            <v>-384</v>
          </cell>
          <cell r="T28">
            <v>-391</v>
          </cell>
          <cell r="U28">
            <v>-404.303</v>
          </cell>
          <cell r="V28">
            <v>-419.303</v>
          </cell>
          <cell r="W28">
            <v>-442.303</v>
          </cell>
          <cell r="X28">
            <v>-463.303</v>
          </cell>
          <cell r="Y28">
            <v>-508.46800000000002</v>
          </cell>
          <cell r="Z28">
            <v>-540.06799999999998</v>
          </cell>
          <cell r="AA28">
            <v>-553.06799999999998</v>
          </cell>
          <cell r="AB28">
            <v>-577.06799999999998</v>
          </cell>
          <cell r="AC28">
            <v>-616.572</v>
          </cell>
          <cell r="AD28">
            <v>-643.072</v>
          </cell>
          <cell r="AE28">
            <v>-672.072</v>
          </cell>
          <cell r="AF28">
            <v>-703.072</v>
          </cell>
          <cell r="AG28">
            <v>-750</v>
          </cell>
          <cell r="AH28">
            <v>-783.9</v>
          </cell>
          <cell r="AI28">
            <v>-823.9</v>
          </cell>
          <cell r="AJ28">
            <v>-846.9</v>
          </cell>
          <cell r="AK28">
            <v>-884</v>
          </cell>
          <cell r="AL28">
            <v>-925</v>
          </cell>
          <cell r="AM28">
            <v>-964</v>
          </cell>
          <cell r="AN28">
            <v>-1042</v>
          </cell>
          <cell r="AO28">
            <v>-1174</v>
          </cell>
          <cell r="AP28">
            <v>-1257</v>
          </cell>
          <cell r="AQ28">
            <v>-1344</v>
          </cell>
          <cell r="AR28">
            <v>-1407</v>
          </cell>
          <cell r="AS28">
            <v>-1466</v>
          </cell>
          <cell r="AT28">
            <v>-1503</v>
          </cell>
          <cell r="AU28">
            <v>-1521</v>
          </cell>
          <cell r="AV28">
            <v>-1586</v>
          </cell>
          <cell r="AW28">
            <v>-1774</v>
          </cell>
          <cell r="AX28">
            <v>-1934</v>
          </cell>
          <cell r="AY28">
            <v>-2089</v>
          </cell>
          <cell r="AZ28">
            <v>-2277</v>
          </cell>
          <cell r="BA28">
            <v>-2580</v>
          </cell>
          <cell r="BB28">
            <v>-2848</v>
          </cell>
          <cell r="BC28">
            <v>-3181</v>
          </cell>
          <cell r="BD28">
            <v>-3523</v>
          </cell>
        </row>
        <row r="29">
          <cell r="A29">
            <v>0</v>
          </cell>
          <cell r="B29">
            <v>0</v>
          </cell>
          <cell r="I29">
            <v>12</v>
          </cell>
          <cell r="J29">
            <v>1.6999999999999886</v>
          </cell>
          <cell r="K29">
            <v>7.8999999999999773</v>
          </cell>
          <cell r="L29">
            <v>11.199999999999989</v>
          </cell>
          <cell r="M29">
            <v>-1</v>
          </cell>
          <cell r="N29">
            <v>-2.6000000000000227</v>
          </cell>
          <cell r="O29">
            <v>-15.5</v>
          </cell>
          <cell r="P29">
            <v>-25.699999999999989</v>
          </cell>
          <cell r="Q29">
            <v>-19</v>
          </cell>
          <cell r="R29">
            <v>-15</v>
          </cell>
          <cell r="S29">
            <v>-15</v>
          </cell>
          <cell r="T29">
            <v>-23</v>
          </cell>
          <cell r="U29">
            <v>-39.553999999999974</v>
          </cell>
          <cell r="V29">
            <v>-65.553999999999974</v>
          </cell>
          <cell r="W29">
            <v>-89.553999999999974</v>
          </cell>
          <cell r="X29">
            <v>-106.55399999999997</v>
          </cell>
          <cell r="Y29">
            <v>-136.46800000000002</v>
          </cell>
          <cell r="Z29">
            <v>-152.46799999999996</v>
          </cell>
          <cell r="AA29">
            <v>-161.46799999999996</v>
          </cell>
          <cell r="AB29">
            <v>-175.46799999999996</v>
          </cell>
          <cell r="AC29">
            <v>-196.51900000000001</v>
          </cell>
          <cell r="AD29">
            <v>-208.81900000000002</v>
          </cell>
          <cell r="AE29">
            <v>-218.81900000000002</v>
          </cell>
          <cell r="AF29">
            <v>-224.81900000000002</v>
          </cell>
          <cell r="AG29">
            <v>-239</v>
          </cell>
          <cell r="AH29">
            <v>-251.69999999999993</v>
          </cell>
          <cell r="AI29">
            <v>-266.69999999999993</v>
          </cell>
          <cell r="AJ29">
            <v>-283.69999999999993</v>
          </cell>
          <cell r="AK29">
            <v>-317</v>
          </cell>
          <cell r="AL29">
            <v>-336</v>
          </cell>
          <cell r="AM29">
            <v>-351</v>
          </cell>
          <cell r="AN29">
            <v>-376</v>
          </cell>
          <cell r="AO29">
            <v>-434</v>
          </cell>
          <cell r="AP29">
            <v>-476</v>
          </cell>
          <cell r="AQ29">
            <v>-529</v>
          </cell>
          <cell r="AR29">
            <v>-572</v>
          </cell>
          <cell r="AS29">
            <v>-631</v>
          </cell>
          <cell r="AT29">
            <v>-670</v>
          </cell>
          <cell r="AU29">
            <v>-689</v>
          </cell>
          <cell r="AV29">
            <v>-737</v>
          </cell>
          <cell r="AW29">
            <v>-850</v>
          </cell>
          <cell r="AX29">
            <v>-952</v>
          </cell>
          <cell r="AY29">
            <v>-1053</v>
          </cell>
          <cell r="AZ29">
            <v>-1179</v>
          </cell>
          <cell r="BA29">
            <v>-1386</v>
          </cell>
          <cell r="BB29">
            <v>-1572</v>
          </cell>
          <cell r="BC29">
            <v>-1813</v>
          </cell>
          <cell r="BD29">
            <v>-2065</v>
          </cell>
        </row>
        <row r="30">
          <cell r="A30">
            <v>0</v>
          </cell>
          <cell r="B30">
            <v>0</v>
          </cell>
        </row>
        <row r="31">
          <cell r="A31">
            <v>0</v>
          </cell>
          <cell r="B31">
            <v>0</v>
          </cell>
          <cell r="I31">
            <v>1400.8389999999999</v>
          </cell>
          <cell r="J31">
            <v>1650.6849999999999</v>
          </cell>
          <cell r="K31">
            <v>1889.6839999999997</v>
          </cell>
          <cell r="L31">
            <v>2146.9650000000001</v>
          </cell>
          <cell r="M31">
            <v>2422.9829999999997</v>
          </cell>
          <cell r="N31">
            <v>2542.0499999999997</v>
          </cell>
          <cell r="O31">
            <v>2629.2989999999995</v>
          </cell>
          <cell r="P31">
            <v>2634.8219999999997</v>
          </cell>
          <cell r="Q31">
            <v>2765.433</v>
          </cell>
          <cell r="R31">
            <v>2905.4989999999998</v>
          </cell>
          <cell r="S31">
            <v>3038.4789999999998</v>
          </cell>
          <cell r="T31">
            <v>3251.4969999999998</v>
          </cell>
          <cell r="U31">
            <v>3568.1869999999999</v>
          </cell>
          <cell r="V31">
            <v>3815.3240000000005</v>
          </cell>
          <cell r="W31">
            <v>4110.6310000000003</v>
          </cell>
          <cell r="X31">
            <v>4389.7880000000005</v>
          </cell>
          <cell r="Y31">
            <v>4891.6990000000005</v>
          </cell>
          <cell r="Z31">
            <v>5322.8890000000001</v>
          </cell>
          <cell r="AA31">
            <v>5606.3179999999993</v>
          </cell>
          <cell r="AB31">
            <v>5924.3369999999995</v>
          </cell>
          <cell r="AC31">
            <v>6501.070999999999</v>
          </cell>
          <cell r="AD31">
            <v>6858.4449999999997</v>
          </cell>
          <cell r="AE31">
            <v>7205.1040000000003</v>
          </cell>
          <cell r="AF31">
            <v>7575.6289999999999</v>
          </cell>
          <cell r="AG31">
            <v>7978.9229999999989</v>
          </cell>
          <cell r="AH31">
            <v>8334.7999999999993</v>
          </cell>
          <cell r="AI31">
            <v>8695.7999999999993</v>
          </cell>
          <cell r="AJ31">
            <v>9138.7999999999993</v>
          </cell>
          <cell r="AK31">
            <v>10144</v>
          </cell>
          <cell r="AL31">
            <v>10858</v>
          </cell>
          <cell r="AM31">
            <v>11581</v>
          </cell>
          <cell r="AN31">
            <v>12483</v>
          </cell>
          <cell r="AO31">
            <v>14096</v>
          </cell>
          <cell r="AP31">
            <v>15175</v>
          </cell>
          <cell r="AQ31">
            <v>16318</v>
          </cell>
          <cell r="AR31">
            <v>17300</v>
          </cell>
          <cell r="AS31">
            <v>18331</v>
          </cell>
          <cell r="AT31">
            <v>19087</v>
          </cell>
          <cell r="AU31">
            <v>19676</v>
          </cell>
          <cell r="AV31">
            <v>20844</v>
          </cell>
          <cell r="AW31">
            <v>23584</v>
          </cell>
          <cell r="AX31">
            <v>25768</v>
          </cell>
          <cell r="AY31">
            <v>27629</v>
          </cell>
          <cell r="AZ31">
            <v>29678</v>
          </cell>
          <cell r="BA31">
            <v>33011</v>
          </cell>
          <cell r="BB31">
            <v>35655</v>
          </cell>
          <cell r="BC31">
            <v>38910</v>
          </cell>
          <cell r="BD31">
            <v>42136</v>
          </cell>
        </row>
        <row r="32">
          <cell r="A32">
            <v>0</v>
          </cell>
          <cell r="B32">
            <v>0</v>
          </cell>
          <cell r="I32">
            <v>-1122.194</v>
          </cell>
          <cell r="J32">
            <v>-1298.3970000000002</v>
          </cell>
          <cell r="K32">
            <v>-1475.0630000000001</v>
          </cell>
          <cell r="L32">
            <v>-1638.8419999999999</v>
          </cell>
          <cell r="M32">
            <v>-1766.2060000000001</v>
          </cell>
          <cell r="N32">
            <v>-1829.21</v>
          </cell>
          <cell r="O32">
            <v>-1859.9029999999998</v>
          </cell>
          <cell r="P32">
            <v>-1860.3130000000001</v>
          </cell>
          <cell r="Q32">
            <v>-1947.875</v>
          </cell>
          <cell r="R32">
            <v>-2051.413</v>
          </cell>
          <cell r="S32">
            <v>-2145.9459999999999</v>
          </cell>
          <cell r="T32">
            <v>-2296.989</v>
          </cell>
          <cell r="U32">
            <v>-2536.0150000000003</v>
          </cell>
          <cell r="V32">
            <v>-2709.6949999999997</v>
          </cell>
          <cell r="W32">
            <v>-2925.241</v>
          </cell>
          <cell r="X32">
            <v>-3117.7439999999997</v>
          </cell>
          <cell r="Y32">
            <v>-3498.0630000000001</v>
          </cell>
          <cell r="Z32">
            <v>-3823.0010000000002</v>
          </cell>
          <cell r="AA32">
            <v>-4030.3119999999999</v>
          </cell>
          <cell r="AB32">
            <v>-4264.5009999999993</v>
          </cell>
          <cell r="AC32">
            <v>-4703.0619999999999</v>
          </cell>
          <cell r="AD32">
            <v>-4950.97</v>
          </cell>
          <cell r="AE32">
            <v>-5178.6750000000002</v>
          </cell>
          <cell r="AF32">
            <v>-5435.8509999999997</v>
          </cell>
          <cell r="AG32">
            <v>-5701.9229999999998</v>
          </cell>
          <cell r="AH32">
            <v>-5956.1</v>
          </cell>
          <cell r="AI32">
            <v>-6243.1</v>
          </cell>
          <cell r="AJ32">
            <v>-6583.1</v>
          </cell>
          <cell r="AK32">
            <v>-7372</v>
          </cell>
          <cell r="AL32">
            <v>-7895</v>
          </cell>
          <cell r="AM32">
            <v>-8411</v>
          </cell>
          <cell r="AN32">
            <v>-9075</v>
          </cell>
          <cell r="AO32">
            <v>-10310</v>
          </cell>
          <cell r="AP32">
            <v>-11110</v>
          </cell>
          <cell r="AQ32">
            <v>-11934</v>
          </cell>
          <cell r="AR32">
            <v>-12636</v>
          </cell>
          <cell r="AS32">
            <v>-13430</v>
          </cell>
          <cell r="AT32">
            <v>-13955</v>
          </cell>
          <cell r="AU32">
            <v>-14359</v>
          </cell>
          <cell r="AV32">
            <v>-15205</v>
          </cell>
          <cell r="AW32">
            <v>-17204</v>
          </cell>
          <cell r="AX32">
            <v>-18804</v>
          </cell>
          <cell r="AY32">
            <v>-20088</v>
          </cell>
          <cell r="AZ32">
            <v>-21510</v>
          </cell>
          <cell r="BA32">
            <v>-23981</v>
          </cell>
          <cell r="BB32">
            <v>-25820</v>
          </cell>
          <cell r="BC32">
            <v>-28055</v>
          </cell>
          <cell r="BD32">
            <v>-30252</v>
          </cell>
        </row>
        <row r="33">
          <cell r="B33" t="str">
            <v>Merchandise Gross Profit</v>
          </cell>
          <cell r="I33">
            <v>278.64499999999998</v>
          </cell>
          <cell r="J33">
            <v>352.28799999999978</v>
          </cell>
          <cell r="K33">
            <v>414.62099999999964</v>
          </cell>
          <cell r="L33">
            <v>508.12300000000027</v>
          </cell>
          <cell r="M33">
            <v>656.77699999999959</v>
          </cell>
          <cell r="N33">
            <v>712.83999999999969</v>
          </cell>
          <cell r="O33">
            <v>769.39599999999973</v>
          </cell>
          <cell r="P33">
            <v>774.50899999999956</v>
          </cell>
          <cell r="Q33">
            <v>817.55799999999999</v>
          </cell>
          <cell r="R33">
            <v>854.08599999999979</v>
          </cell>
          <cell r="S33">
            <v>892.5329999999999</v>
          </cell>
          <cell r="T33">
            <v>954.50799999999981</v>
          </cell>
          <cell r="U33">
            <v>1032.1719999999996</v>
          </cell>
          <cell r="V33">
            <v>1105.6290000000008</v>
          </cell>
          <cell r="W33">
            <v>1185.3900000000003</v>
          </cell>
          <cell r="X33">
            <v>1272.0440000000008</v>
          </cell>
          <cell r="Y33">
            <v>1393.6360000000004</v>
          </cell>
          <cell r="Z33">
            <v>1499.8879999999999</v>
          </cell>
          <cell r="AA33">
            <v>1576.0059999999994</v>
          </cell>
          <cell r="AB33">
            <v>1659.8360000000002</v>
          </cell>
          <cell r="AC33">
            <v>1798.0089999999991</v>
          </cell>
          <cell r="AD33">
            <v>1907.4749999999995</v>
          </cell>
          <cell r="AE33">
            <v>2026.4290000000001</v>
          </cell>
          <cell r="AF33">
            <v>2139.7780000000002</v>
          </cell>
          <cell r="AG33">
            <v>2276.9999999999991</v>
          </cell>
          <cell r="AH33">
            <v>2378.6999999999989</v>
          </cell>
          <cell r="AI33">
            <v>2452.6999999999989</v>
          </cell>
          <cell r="AJ33">
            <v>2555.6999999999989</v>
          </cell>
          <cell r="AK33">
            <v>2772</v>
          </cell>
          <cell r="AL33">
            <v>2963</v>
          </cell>
          <cell r="AM33">
            <v>3170</v>
          </cell>
          <cell r="AN33">
            <v>3408</v>
          </cell>
          <cell r="AO33">
            <v>3786</v>
          </cell>
          <cell r="AP33">
            <v>4065</v>
          </cell>
          <cell r="AQ33">
            <v>4384</v>
          </cell>
          <cell r="AR33">
            <v>4664</v>
          </cell>
          <cell r="AS33">
            <v>4901</v>
          </cell>
          <cell r="AT33">
            <v>5132</v>
          </cell>
          <cell r="AU33">
            <v>5317</v>
          </cell>
          <cell r="AV33">
            <v>5639</v>
          </cell>
          <cell r="AW33">
            <v>6380</v>
          </cell>
          <cell r="AX33">
            <v>6964</v>
          </cell>
          <cell r="AY33">
            <v>7541</v>
          </cell>
          <cell r="AZ33">
            <v>8168</v>
          </cell>
          <cell r="BA33">
            <v>9030</v>
          </cell>
          <cell r="BB33">
            <v>9835</v>
          </cell>
          <cell r="BC33">
            <v>10855</v>
          </cell>
          <cell r="BD33">
            <v>11884</v>
          </cell>
        </row>
        <row r="34">
          <cell r="BC34">
            <v>32997.199999999997</v>
          </cell>
          <cell r="BD34">
            <v>3.6106709852497048</v>
          </cell>
        </row>
        <row r="35">
          <cell r="B35" t="str">
            <v>Merchandise Gross Profit Margin</v>
          </cell>
          <cell r="I35">
            <v>0.19891293717550695</v>
          </cell>
          <cell r="J35">
            <v>0.21341927745148215</v>
          </cell>
          <cell r="K35">
            <v>0.21941287538022214</v>
          </cell>
          <cell r="L35">
            <v>0.23667036956820453</v>
          </cell>
          <cell r="M35">
            <v>0.2710613322503706</v>
          </cell>
          <cell r="N35">
            <v>0.28041934659035023</v>
          </cell>
          <cell r="O35">
            <v>0.29262400358422525</v>
          </cell>
          <cell r="P35">
            <v>0.29395116634064833</v>
          </cell>
          <cell r="Q35">
            <v>0.29563471615475767</v>
          </cell>
          <cell r="R35">
            <v>0.29395501426777287</v>
          </cell>
          <cell r="S35">
            <v>0.29374334987998929</v>
          </cell>
          <cell r="T35">
            <v>0.2935595511851925</v>
          </cell>
          <cell r="U35">
            <v>0.28927071367055585</v>
          </cell>
          <cell r="V35">
            <v>0.28978639821939123</v>
          </cell>
          <cell r="W35">
            <v>0.2883717852563269</v>
          </cell>
          <cell r="X35">
            <v>0.28977344691816564</v>
          </cell>
          <cell r="Y35">
            <v>0.28489815092874687</v>
          </cell>
          <cell r="Z35">
            <v>0.2817808148920633</v>
          </cell>
          <cell r="AA35">
            <v>0.28111248773259018</v>
          </cell>
          <cell r="AB35">
            <v>0.28017244798869484</v>
          </cell>
          <cell r="AC35">
            <v>0.27657119880708875</v>
          </cell>
          <cell r="AD35">
            <v>0.27812062355242329</v>
          </cell>
          <cell r="AE35">
            <v>0.28124909786173802</v>
          </cell>
          <cell r="AF35">
            <v>0.28245548983457353</v>
          </cell>
          <cell r="AG35">
            <v>0.28537686101244486</v>
          </cell>
          <cell r="AH35">
            <v>0.28539377069635735</v>
          </cell>
          <cell r="AI35">
            <v>0.28205570505301397</v>
          </cell>
          <cell r="AJ35">
            <v>0.27965378386659068</v>
          </cell>
          <cell r="AK35">
            <v>0.27326498422712936</v>
          </cell>
          <cell r="AL35">
            <v>0.2728863510775465</v>
          </cell>
          <cell r="AM35">
            <v>0.27372420343666348</v>
          </cell>
          <cell r="AN35">
            <v>0.27301129536169189</v>
          </cell>
          <cell r="AO35">
            <v>0.26858683314415438</v>
          </cell>
          <cell r="AP35">
            <v>0.26787479406919273</v>
          </cell>
          <cell r="AQ35">
            <v>0.26866037504596152</v>
          </cell>
          <cell r="AR35">
            <v>0.26959537572254333</v>
          </cell>
          <cell r="AS35">
            <v>0.26736130052915824</v>
          </cell>
          <cell r="AT35">
            <v>0.26887410279247653</v>
          </cell>
          <cell r="AU35">
            <v>0.27022768855458429</v>
          </cell>
          <cell r="AV35">
            <v>0.27053348685473039</v>
          </cell>
          <cell r="AW35">
            <v>0.27052238805970147</v>
          </cell>
          <cell r="AX35">
            <v>0.27025768394908412</v>
          </cell>
          <cell r="AY35">
            <v>0.27293785515219515</v>
          </cell>
          <cell r="AZ35">
            <v>0.27522070220365252</v>
          </cell>
          <cell r="BA35">
            <v>0.27354518190906063</v>
          </cell>
          <cell r="BB35">
            <v>0.27583789089889216</v>
          </cell>
          <cell r="BC35">
            <v>0.27897712670264713</v>
          </cell>
          <cell r="BD35">
            <v>0.28203911144864247</v>
          </cell>
        </row>
        <row r="38">
          <cell r="I38">
            <v>227</v>
          </cell>
          <cell r="J38">
            <v>267.7</v>
          </cell>
          <cell r="K38">
            <v>286</v>
          </cell>
          <cell r="L38">
            <v>307.5</v>
          </cell>
          <cell r="M38">
            <v>340</v>
          </cell>
          <cell r="N38">
            <v>349</v>
          </cell>
          <cell r="O38">
            <v>364.4</v>
          </cell>
          <cell r="P38">
            <v>370.5</v>
          </cell>
          <cell r="Q38">
            <v>376</v>
          </cell>
          <cell r="R38">
            <v>379</v>
          </cell>
          <cell r="S38">
            <v>384</v>
          </cell>
          <cell r="T38">
            <v>391</v>
          </cell>
          <cell r="U38">
            <v>404.303</v>
          </cell>
          <cell r="V38">
            <v>419.303</v>
          </cell>
          <cell r="W38">
            <v>442.303</v>
          </cell>
          <cell r="X38">
            <v>463.303</v>
          </cell>
          <cell r="Y38">
            <v>508.46800000000002</v>
          </cell>
          <cell r="Z38">
            <v>540.06799999999998</v>
          </cell>
          <cell r="AA38">
            <v>553.06799999999998</v>
          </cell>
          <cell r="AB38">
            <v>577.06799999999998</v>
          </cell>
          <cell r="AC38">
            <v>616.572</v>
          </cell>
          <cell r="AD38">
            <v>643.072</v>
          </cell>
          <cell r="AE38">
            <v>672.072</v>
          </cell>
          <cell r="AF38">
            <v>703.072</v>
          </cell>
          <cell r="AG38">
            <v>750</v>
          </cell>
          <cell r="AH38">
            <v>783.9</v>
          </cell>
          <cell r="AI38">
            <v>823.9</v>
          </cell>
          <cell r="AJ38">
            <v>846.9</v>
          </cell>
          <cell r="AK38">
            <v>884</v>
          </cell>
          <cell r="AL38">
            <v>925</v>
          </cell>
          <cell r="AM38">
            <v>964</v>
          </cell>
          <cell r="AN38">
            <v>1042</v>
          </cell>
          <cell r="AO38">
            <v>1174</v>
          </cell>
          <cell r="AP38">
            <v>1257</v>
          </cell>
          <cell r="AQ38">
            <v>1344</v>
          </cell>
          <cell r="AR38">
            <v>1407</v>
          </cell>
          <cell r="AS38">
            <v>1466</v>
          </cell>
          <cell r="AT38">
            <v>1503</v>
          </cell>
          <cell r="AU38">
            <v>1521</v>
          </cell>
          <cell r="AV38">
            <v>1586</v>
          </cell>
          <cell r="AW38">
            <v>1774</v>
          </cell>
          <cell r="AX38">
            <v>1934</v>
          </cell>
          <cell r="AY38">
            <v>2089</v>
          </cell>
          <cell r="AZ38">
            <v>2277</v>
          </cell>
          <cell r="BA38">
            <v>2580</v>
          </cell>
          <cell r="BB38">
            <v>2848</v>
          </cell>
          <cell r="BC38">
            <v>3181</v>
          </cell>
          <cell r="BD38">
            <v>3523</v>
          </cell>
        </row>
        <row r="39">
          <cell r="I39">
            <v>1400.8389999999999</v>
          </cell>
          <cell r="J39">
            <v>1650.6849999999999</v>
          </cell>
          <cell r="K39">
            <v>1889.6839999999997</v>
          </cell>
          <cell r="L39">
            <v>2146.9650000000001</v>
          </cell>
          <cell r="M39">
            <v>2422.9829999999997</v>
          </cell>
          <cell r="N39">
            <v>2542.0499999999997</v>
          </cell>
          <cell r="O39">
            <v>2629.2989999999995</v>
          </cell>
          <cell r="P39">
            <v>2634.8219999999997</v>
          </cell>
          <cell r="Q39">
            <v>2765.433</v>
          </cell>
          <cell r="R39">
            <v>2905.4989999999998</v>
          </cell>
          <cell r="S39">
            <v>3038.4789999999998</v>
          </cell>
          <cell r="T39">
            <v>3251.4969999999998</v>
          </cell>
          <cell r="U39">
            <v>3568.1869999999999</v>
          </cell>
          <cell r="V39">
            <v>3815.3240000000005</v>
          </cell>
          <cell r="W39">
            <v>4110.6310000000003</v>
          </cell>
          <cell r="X39">
            <v>4389.7880000000005</v>
          </cell>
          <cell r="Y39">
            <v>4891.6990000000005</v>
          </cell>
          <cell r="Z39">
            <v>5322.8890000000001</v>
          </cell>
          <cell r="AA39">
            <v>5606.3179999999993</v>
          </cell>
          <cell r="AB39">
            <v>5924.3369999999995</v>
          </cell>
          <cell r="AC39">
            <v>6501.070999999999</v>
          </cell>
          <cell r="AD39">
            <v>6858.4449999999997</v>
          </cell>
          <cell r="AE39">
            <v>7205.1040000000003</v>
          </cell>
          <cell r="AF39">
            <v>7575.6289999999999</v>
          </cell>
          <cell r="AG39">
            <v>7978.9229999999989</v>
          </cell>
          <cell r="AH39">
            <v>8334.7999999999993</v>
          </cell>
          <cell r="AI39">
            <v>8695.7999999999993</v>
          </cell>
          <cell r="AJ39">
            <v>9138.7999999999993</v>
          </cell>
          <cell r="AK39">
            <v>10144</v>
          </cell>
          <cell r="AL39">
            <v>10858</v>
          </cell>
          <cell r="AM39">
            <v>11581</v>
          </cell>
          <cell r="AN39">
            <v>12483</v>
          </cell>
          <cell r="AO39">
            <v>14096</v>
          </cell>
          <cell r="AP39">
            <v>15175</v>
          </cell>
          <cell r="AQ39">
            <v>16318</v>
          </cell>
          <cell r="AR39">
            <v>17300</v>
          </cell>
          <cell r="AS39">
            <v>18331</v>
          </cell>
          <cell r="AT39">
            <v>19087</v>
          </cell>
          <cell r="AU39">
            <v>19676</v>
          </cell>
          <cell r="AV39">
            <v>20844</v>
          </cell>
          <cell r="AW39">
            <v>23584</v>
          </cell>
          <cell r="AX39">
            <v>25768</v>
          </cell>
          <cell r="AY39">
            <v>27629</v>
          </cell>
          <cell r="AZ39">
            <v>29678</v>
          </cell>
          <cell r="BA39">
            <v>33011</v>
          </cell>
          <cell r="BB39">
            <v>35655</v>
          </cell>
          <cell r="BC39">
            <v>38910</v>
          </cell>
          <cell r="BD39">
            <v>42136</v>
          </cell>
        </row>
        <row r="40">
          <cell r="M40">
            <v>0.49779735682819393</v>
          </cell>
          <cell r="N40">
            <v>0.3036981695928278</v>
          </cell>
          <cell r="O40">
            <v>0.27412587412587408</v>
          </cell>
          <cell r="P40">
            <v>0.20487804878048776</v>
          </cell>
          <cell r="Q40">
            <v>0.10588235294117654</v>
          </cell>
          <cell r="R40">
            <v>8.5959885386819535E-2</v>
          </cell>
          <cell r="S40">
            <v>5.3787047200878124E-2</v>
          </cell>
          <cell r="T40">
            <v>5.5330634278002666E-2</v>
          </cell>
          <cell r="U40">
            <v>7.527393617021283E-2</v>
          </cell>
          <cell r="V40">
            <v>0.10634036939313973</v>
          </cell>
          <cell r="W40">
            <v>0.15183072916666673</v>
          </cell>
          <cell r="X40">
            <v>0.18491815856777483</v>
          </cell>
          <cell r="Y40">
            <v>0.25764092772005154</v>
          </cell>
          <cell r="Z40">
            <v>0.28801367984488535</v>
          </cell>
          <cell r="AA40">
            <v>0.25042787410440348</v>
          </cell>
          <cell r="AB40">
            <v>0.24555204693256893</v>
          </cell>
          <cell r="AC40">
            <v>0.21260728305419407</v>
          </cell>
          <cell r="AD40">
            <v>0.19072413103535113</v>
          </cell>
          <cell r="AE40">
            <v>0.21517064809390529</v>
          </cell>
          <cell r="AF40">
            <v>0.21835208329001099</v>
          </cell>
          <cell r="AG40">
            <v>0.21640295050699665</v>
          </cell>
          <cell r="AH40">
            <v>0.2189925855891719</v>
          </cell>
          <cell r="AI40">
            <v>0.22591031913247384</v>
          </cell>
          <cell r="AJ40">
            <v>0.20457079786991939</v>
          </cell>
          <cell r="AK40">
            <v>0.17866666666666675</v>
          </cell>
          <cell r="AL40">
            <v>0.17999744865416512</v>
          </cell>
          <cell r="AM40">
            <v>0.17004490836266539</v>
          </cell>
          <cell r="AN40">
            <v>0.23036958318573619</v>
          </cell>
          <cell r="AO40">
            <v>0.32805429864253388</v>
          </cell>
          <cell r="AP40">
            <v>0.35891891891891903</v>
          </cell>
          <cell r="AQ40">
            <v>0.39419087136929454</v>
          </cell>
          <cell r="AR40">
            <v>0.35028790786948183</v>
          </cell>
          <cell r="AS40">
            <v>0.24872231686541735</v>
          </cell>
          <cell r="AT40">
            <v>0.19570405727923634</v>
          </cell>
          <cell r="AU40">
            <v>0.1316964285714286</v>
          </cell>
          <cell r="AV40">
            <v>0.12722103766879878</v>
          </cell>
          <cell r="AW40">
            <v>0.21009549795361537</v>
          </cell>
          <cell r="AX40">
            <v>0.28675981370592152</v>
          </cell>
          <cell r="AY40">
            <v>0.37343852728468119</v>
          </cell>
          <cell r="AZ40">
            <v>0.43568726355611598</v>
          </cell>
          <cell r="BA40">
            <v>0.45434047350620066</v>
          </cell>
          <cell r="BB40">
            <v>0.47259565667011372</v>
          </cell>
          <cell r="BC40">
            <v>0.52273815222594533</v>
          </cell>
          <cell r="BD40">
            <v>0.54721124286341682</v>
          </cell>
        </row>
        <row r="41">
          <cell r="M41">
            <v>0.72966557898516515</v>
          </cell>
          <cell r="N41">
            <v>0.5399970315353928</v>
          </cell>
          <cell r="O41">
            <v>0.39139612760652032</v>
          </cell>
          <cell r="P41">
            <v>0.2272309981764955</v>
          </cell>
          <cell r="Q41">
            <v>0.14133404980554976</v>
          </cell>
          <cell r="R41">
            <v>0.14297476446175339</v>
          </cell>
          <cell r="S41">
            <v>0.15562322885301372</v>
          </cell>
          <cell r="T41">
            <v>0.23404806852227589</v>
          </cell>
          <cell r="U41">
            <v>0.29028148575648016</v>
          </cell>
          <cell r="V41">
            <v>0.31313898232283011</v>
          </cell>
          <cell r="W41">
            <v>0.35285812408116057</v>
          </cell>
          <cell r="X41">
            <v>0.35008213139978306</v>
          </cell>
          <cell r="Y41">
            <v>0.37092002184863082</v>
          </cell>
          <cell r="Z41">
            <v>0.39513420092238549</v>
          </cell>
          <cell r="AA41">
            <v>0.36385824949989409</v>
          </cell>
          <cell r="AB41">
            <v>0.34957246226924821</v>
          </cell>
          <cell r="AC41">
            <v>0.32900061921226098</v>
          </cell>
          <cell r="AD41">
            <v>0.28848168729424928</v>
          </cell>
          <cell r="AE41">
            <v>0.28517576063291461</v>
          </cell>
          <cell r="AF41">
            <v>0.27873026129337353</v>
          </cell>
          <cell r="AG41">
            <v>0.22732439008895611</v>
          </cell>
          <cell r="AH41">
            <v>0.21526089368654255</v>
          </cell>
          <cell r="AI41">
            <v>0.20689444593721329</v>
          </cell>
          <cell r="AJ41">
            <v>0.20634207403768046</v>
          </cell>
          <cell r="AK41">
            <v>0.27134952925350975</v>
          </cell>
          <cell r="AL41">
            <v>0.3027307193933868</v>
          </cell>
          <cell r="AM41">
            <v>0.33179235952988817</v>
          </cell>
          <cell r="AN41">
            <v>0.36593425832713278</v>
          </cell>
          <cell r="AO41">
            <v>0.38958990536277605</v>
          </cell>
          <cell r="AP41">
            <v>0.39758703260268935</v>
          </cell>
          <cell r="AQ41">
            <v>0.40903203523011822</v>
          </cell>
          <cell r="AR41">
            <v>0.38588480333253217</v>
          </cell>
          <cell r="AS41">
            <v>0.30043984108967092</v>
          </cell>
          <cell r="AT41">
            <v>0.25779242174629324</v>
          </cell>
          <cell r="AU41">
            <v>0.2057850226743474</v>
          </cell>
          <cell r="AV41">
            <v>0.20485549132947978</v>
          </cell>
          <cell r="AW41">
            <v>0.28656374447656985</v>
          </cell>
          <cell r="AX41">
            <v>0.35002881542411068</v>
          </cell>
          <cell r="AY41">
            <v>0.40419800772514747</v>
          </cell>
          <cell r="AZ41">
            <v>0.42381500671656114</v>
          </cell>
          <cell r="BA41">
            <v>0.39972014925373145</v>
          </cell>
          <cell r="BB41">
            <v>0.38369295249922386</v>
          </cell>
          <cell r="BC41">
            <v>0.40830287017264477</v>
          </cell>
          <cell r="BD41">
            <v>0.41977222184783347</v>
          </cell>
        </row>
        <row r="42">
          <cell r="AZ42">
            <v>-118.72256839554839</v>
          </cell>
          <cell r="BA42">
            <v>-546.20324252469209</v>
          </cell>
          <cell r="BB42">
            <v>-889.02704170889854</v>
          </cell>
          <cell r="BC42">
            <v>-1144.3528205330056</v>
          </cell>
          <cell r="BD42">
            <v>-1274.3902101558335</v>
          </cell>
        </row>
        <row r="43">
          <cell r="M43">
            <v>0.14032289950032667</v>
          </cell>
          <cell r="N43">
            <v>0.13729076926102951</v>
          </cell>
          <cell r="O43">
            <v>0.1385920734005528</v>
          </cell>
          <cell r="P43">
            <v>0.1406167095917675</v>
          </cell>
          <cell r="Q43">
            <v>0.13596424140451061</v>
          </cell>
          <cell r="R43">
            <v>0.13044230956541372</v>
          </cell>
          <cell r="S43">
            <v>0.12637902055600847</v>
          </cell>
          <cell r="T43">
            <v>0.12025230224724182</v>
          </cell>
          <cell r="U43">
            <v>0.11330768258502147</v>
          </cell>
          <cell r="V43">
            <v>0.10989970969700082</v>
          </cell>
          <cell r="W43">
            <v>0.10759978212590718</v>
          </cell>
          <cell r="X43">
            <v>0.10554108763338912</v>
          </cell>
          <cell r="Y43">
            <v>0.10394507102746918</v>
          </cell>
          <cell r="Z43">
            <v>0.10146144321251109</v>
          </cell>
          <cell r="AA43">
            <v>9.8650843566133795E-2</v>
          </cell>
          <cell r="AB43">
            <v>9.7406342684421901E-2</v>
          </cell>
          <cell r="AC43">
            <v>9.48416037911292E-2</v>
          </cell>
          <cell r="AD43">
            <v>9.3763528030041801E-2</v>
          </cell>
          <cell r="AE43">
            <v>9.3277210155467569E-2</v>
          </cell>
          <cell r="AF43">
            <v>9.2807079121746849E-2</v>
          </cell>
          <cell r="AG43">
            <v>9.3997648554823759E-2</v>
          </cell>
          <cell r="AH43">
            <v>9.4051446945337625E-2</v>
          </cell>
          <cell r="AI43">
            <v>9.4746889302881859E-2</v>
          </cell>
          <cell r="AJ43">
            <v>9.267081017201384E-2</v>
          </cell>
          <cell r="AK43">
            <v>8.7145110410094637E-2</v>
          </cell>
          <cell r="AL43">
            <v>8.5190642843986003E-2</v>
          </cell>
          <cell r="AM43">
            <v>8.3239789310076848E-2</v>
          </cell>
          <cell r="AN43">
            <v>8.3473523992629972E-2</v>
          </cell>
          <cell r="AO43">
            <v>8.3286038592508507E-2</v>
          </cell>
          <cell r="AP43">
            <v>8.2833607907742995E-2</v>
          </cell>
          <cell r="AQ43">
            <v>8.236303468562324E-2</v>
          </cell>
          <cell r="AR43">
            <v>8.1329479768786128E-2</v>
          </cell>
          <cell r="AS43">
            <v>7.9973814849162619E-2</v>
          </cell>
          <cell r="AT43">
            <v>7.8744695342379628E-2</v>
          </cell>
          <cell r="AU43">
            <v>7.7302297214881077E-2</v>
          </cell>
          <cell r="AV43">
            <v>7.608904241028594E-2</v>
          </cell>
          <cell r="AW43">
            <v>7.5220488466757121E-2</v>
          </cell>
          <cell r="AX43">
            <v>7.5054330953120155E-2</v>
          </cell>
          <cell r="AY43">
            <v>7.5608961598320604E-2</v>
          </cell>
          <cell r="AZ43">
            <v>7.6723498888065234E-2</v>
          </cell>
          <cell r="BA43">
            <v>7.8155766259731599E-2</v>
          </cell>
          <cell r="BB43">
            <v>7.9876595147945595E-2</v>
          </cell>
          <cell r="BC43">
            <v>8.1752762785916214E-2</v>
          </cell>
          <cell r="BD43">
            <v>8.3610214543383327E-2</v>
          </cell>
        </row>
        <row r="49">
          <cell r="P49">
            <v>40816</v>
          </cell>
          <cell r="BD49">
            <v>23.853275820517883</v>
          </cell>
        </row>
        <row r="50">
          <cell r="C50" t="str">
            <v>Gross Margin</v>
          </cell>
          <cell r="D50" t="str">
            <v>Merchandise Gross Margin</v>
          </cell>
          <cell r="P50">
            <v>3770</v>
          </cell>
        </row>
        <row r="51">
          <cell r="B51">
            <v>36525</v>
          </cell>
          <cell r="C51">
            <v>0.17723996075224457</v>
          </cell>
          <cell r="D51">
            <v>0.19891293717550695</v>
          </cell>
          <cell r="P51">
            <v>1496</v>
          </cell>
        </row>
        <row r="52">
          <cell r="B52">
            <v>36616</v>
          </cell>
          <cell r="C52">
            <v>0.18436058820312634</v>
          </cell>
          <cell r="D52">
            <v>0.21341927745148215</v>
          </cell>
          <cell r="P52">
            <v>6552</v>
          </cell>
        </row>
        <row r="53">
          <cell r="B53">
            <v>36707</v>
          </cell>
          <cell r="C53">
            <v>0.19349885326142699</v>
          </cell>
          <cell r="D53">
            <v>0.21941287538022214</v>
          </cell>
          <cell r="P53">
            <v>2426</v>
          </cell>
        </row>
        <row r="54">
          <cell r="B54">
            <v>36799</v>
          </cell>
          <cell r="C54">
            <v>0.21062188091245165</v>
          </cell>
          <cell r="D54">
            <v>0.23667036956820453</v>
          </cell>
          <cell r="P54">
            <v>3712</v>
          </cell>
        </row>
        <row r="55">
          <cell r="B55">
            <v>36891</v>
          </cell>
          <cell r="C55">
            <v>0.2374297741876035</v>
          </cell>
          <cell r="D55">
            <v>0.2710613322503706</v>
          </cell>
          <cell r="P55">
            <v>2627</v>
          </cell>
        </row>
        <row r="56">
          <cell r="B56">
            <v>36981</v>
          </cell>
          <cell r="C56">
            <v>0.24588966400664711</v>
          </cell>
          <cell r="D56">
            <v>0.28041934659035023</v>
          </cell>
          <cell r="P56">
            <v>1.4130186524552721</v>
          </cell>
        </row>
        <row r="57">
          <cell r="B57">
            <v>37072</v>
          </cell>
          <cell r="C57">
            <v>0.25313822212686254</v>
          </cell>
          <cell r="D57">
            <v>0.29262400358422525</v>
          </cell>
        </row>
        <row r="58">
          <cell r="B58">
            <v>37164</v>
          </cell>
          <cell r="C58">
            <v>0.25131006550495322</v>
          </cell>
          <cell r="D58">
            <v>0.29395116634064833</v>
          </cell>
        </row>
        <row r="59">
          <cell r="B59">
            <v>37256</v>
          </cell>
          <cell r="C59">
            <v>0.25574864216461968</v>
          </cell>
          <cell r="D59">
            <v>0.29563471615475767</v>
          </cell>
        </row>
        <row r="60">
          <cell r="B60">
            <v>37346</v>
          </cell>
          <cell r="C60">
            <v>0.25664054339823927</v>
          </cell>
          <cell r="D60">
            <v>0.29395501426777287</v>
          </cell>
        </row>
        <row r="61">
          <cell r="B61">
            <v>37437</v>
          </cell>
          <cell r="C61">
            <v>0.25753144773599485</v>
          </cell>
          <cell r="D61">
            <v>0.29374334987998929</v>
          </cell>
        </row>
        <row r="62">
          <cell r="B62">
            <v>37529</v>
          </cell>
          <cell r="C62">
            <v>0.2573584119561364</v>
          </cell>
          <cell r="D62">
            <v>0.2935595511851925</v>
          </cell>
        </row>
        <row r="63">
          <cell r="B63">
            <v>37621</v>
          </cell>
          <cell r="C63">
            <v>0.25238600373868264</v>
          </cell>
          <cell r="D63">
            <v>0.28927071367055585</v>
          </cell>
        </row>
        <row r="64">
          <cell r="B64">
            <v>37711</v>
          </cell>
          <cell r="C64">
            <v>0.24947392381951591</v>
          </cell>
          <cell r="D64">
            <v>0.28978639821939123</v>
          </cell>
        </row>
        <row r="65">
          <cell r="B65">
            <v>37802</v>
          </cell>
          <cell r="C65">
            <v>0.24551707450407542</v>
          </cell>
          <cell r="D65">
            <v>0.2883717852563269</v>
          </cell>
        </row>
        <row r="66">
          <cell r="B66">
            <v>37894</v>
          </cell>
          <cell r="C66">
            <v>0.2455453312594004</v>
          </cell>
          <cell r="D66">
            <v>0.28977344691816564</v>
          </cell>
        </row>
        <row r="67">
          <cell r="B67">
            <v>37986</v>
          </cell>
          <cell r="C67">
            <v>0.23883736513049103</v>
          </cell>
          <cell r="D67">
            <v>0.28489815092874687</v>
          </cell>
        </row>
        <row r="68">
          <cell r="B68">
            <v>38077</v>
          </cell>
          <cell r="C68">
            <v>0.235955274583315</v>
          </cell>
          <cell r="D68">
            <v>0.2817808148920633</v>
          </cell>
        </row>
        <row r="69">
          <cell r="B69">
            <v>38168</v>
          </cell>
          <cell r="C69">
            <v>0.23583816917803804</v>
          </cell>
          <cell r="D69">
            <v>0.28111248773259018</v>
          </cell>
        </row>
        <row r="70">
          <cell r="B70">
            <v>38260</v>
          </cell>
          <cell r="C70">
            <v>0.23464792646528101</v>
          </cell>
          <cell r="D70">
            <v>0.28017244798869484</v>
          </cell>
        </row>
        <row r="71">
          <cell r="B71">
            <v>38352</v>
          </cell>
          <cell r="C71">
            <v>0.23139160633446232</v>
          </cell>
          <cell r="D71">
            <v>0.27657119880708875</v>
          </cell>
        </row>
        <row r="72">
          <cell r="B72">
            <v>38442</v>
          </cell>
          <cell r="C72">
            <v>0.23292559214710373</v>
          </cell>
          <cell r="D72">
            <v>0.27812062355242329</v>
          </cell>
        </row>
        <row r="73">
          <cell r="B73">
            <v>38533</v>
          </cell>
          <cell r="C73">
            <v>0.23603104425662053</v>
          </cell>
          <cell r="D73">
            <v>0.28124909786173802</v>
          </cell>
        </row>
        <row r="74">
          <cell r="B74">
            <v>38625</v>
          </cell>
          <cell r="C74">
            <v>0.23776844508027309</v>
          </cell>
          <cell r="D74">
            <v>0.28245548983457353</v>
          </cell>
        </row>
        <row r="75">
          <cell r="B75">
            <v>38717</v>
          </cell>
          <cell r="C75">
            <v>0.24004929137755424</v>
          </cell>
          <cell r="D75">
            <v>0.28537686101244486</v>
          </cell>
        </row>
        <row r="76">
          <cell r="B76">
            <v>38807</v>
          </cell>
          <cell r="C76">
            <v>0.23987820006766664</v>
          </cell>
          <cell r="D76">
            <v>0.28539377069635735</v>
          </cell>
        </row>
        <row r="77">
          <cell r="B77">
            <v>38898</v>
          </cell>
          <cell r="C77">
            <v>0.23624770344753054</v>
          </cell>
          <cell r="D77">
            <v>0.28205570505301397</v>
          </cell>
        </row>
        <row r="78">
          <cell r="B78">
            <v>38990</v>
          </cell>
          <cell r="C78">
            <v>0.23417851989280561</v>
          </cell>
          <cell r="D78">
            <v>0.27965378386659068</v>
          </cell>
        </row>
        <row r="79">
          <cell r="B79">
            <v>39082</v>
          </cell>
          <cell r="C79">
            <v>0.22920362244421622</v>
          </cell>
          <cell r="D79">
            <v>0.27326498422712936</v>
          </cell>
        </row>
        <row r="80">
          <cell r="B80">
            <v>39172</v>
          </cell>
          <cell r="C80">
            <v>0.22949244343496111</v>
          </cell>
          <cell r="D80">
            <v>0.2728863510775465</v>
          </cell>
        </row>
        <row r="81">
          <cell r="B81">
            <v>39263</v>
          </cell>
          <cell r="C81">
            <v>0.23117926849270132</v>
          </cell>
          <cell r="D81">
            <v>0.27372420343666348</v>
          </cell>
        </row>
        <row r="82">
          <cell r="B82">
            <v>39355</v>
          </cell>
          <cell r="C82">
            <v>0.23058787740512587</v>
          </cell>
          <cell r="D82">
            <v>0.27301129536169189</v>
          </cell>
        </row>
        <row r="83">
          <cell r="B83">
            <v>39447</v>
          </cell>
          <cell r="C83">
            <v>0.22593691021838772</v>
          </cell>
          <cell r="D83">
            <v>0.26858683314415438</v>
          </cell>
        </row>
        <row r="84">
          <cell r="B84">
            <v>39538</v>
          </cell>
          <cell r="C84">
            <v>0.22493106041614438</v>
          </cell>
          <cell r="D84">
            <v>0.26787479406919273</v>
          </cell>
        </row>
        <row r="85">
          <cell r="B85">
            <v>39629</v>
          </cell>
          <cell r="C85">
            <v>0.22500437751707231</v>
          </cell>
          <cell r="D85">
            <v>0.26866037504596152</v>
          </cell>
        </row>
        <row r="86">
          <cell r="B86">
            <v>39721</v>
          </cell>
          <cell r="C86">
            <v>0.22564102564102564</v>
          </cell>
          <cell r="D86">
            <v>0.26959537572254333</v>
          </cell>
        </row>
        <row r="87">
          <cell r="B87">
            <v>39813</v>
          </cell>
          <cell r="C87">
            <v>0.22279035792549307</v>
          </cell>
          <cell r="D87">
            <v>0.26736130052915824</v>
          </cell>
        </row>
        <row r="88">
          <cell r="B88">
            <v>39903</v>
          </cell>
          <cell r="C88">
            <v>0.22399598393574296</v>
          </cell>
          <cell r="D88">
            <v>0.26887410279247653</v>
          </cell>
        </row>
        <row r="89">
          <cell r="B89">
            <v>39994</v>
          </cell>
          <cell r="C89">
            <v>0.22566803198751706</v>
          </cell>
          <cell r="D89">
            <v>0.27022768855458429</v>
          </cell>
        </row>
        <row r="90">
          <cell r="B90">
            <v>40086</v>
          </cell>
          <cell r="C90">
            <v>0.22597151154750381</v>
          </cell>
          <cell r="D90">
            <v>0.27053348685473039</v>
          </cell>
        </row>
        <row r="91">
          <cell r="B91">
            <v>40178</v>
          </cell>
          <cell r="C91">
            <v>0.22564060714868614</v>
          </cell>
          <cell r="D91">
            <v>0.27052238805970147</v>
          </cell>
        </row>
        <row r="92">
          <cell r="B92">
            <v>40268</v>
          </cell>
          <cell r="C92">
            <v>0.22474766355140188</v>
          </cell>
          <cell r="D92">
            <v>0.27025768394908412</v>
          </cell>
        </row>
        <row r="93">
          <cell r="B93">
            <v>40359</v>
          </cell>
          <cell r="C93">
            <v>0.22633874062445491</v>
          </cell>
          <cell r="D93">
            <v>0.27293785515219515</v>
          </cell>
        </row>
        <row r="94">
          <cell r="B94">
            <v>40451</v>
          </cell>
          <cell r="C94">
            <v>0.22709253964127893</v>
          </cell>
          <cell r="D94">
            <v>0.27522070220365252</v>
          </cell>
        </row>
        <row r="95">
          <cell r="B95">
            <v>40543</v>
          </cell>
          <cell r="C95">
            <v>0.22347609998538226</v>
          </cell>
          <cell r="D95">
            <v>0.27354518190906063</v>
          </cell>
        </row>
        <row r="96">
          <cell r="B96">
            <v>40816</v>
          </cell>
          <cell r="C96">
            <v>0.22374157212098236</v>
          </cell>
          <cell r="D96">
            <v>0.27583789089889216</v>
          </cell>
        </row>
        <row r="97">
          <cell r="B97">
            <v>40724</v>
          </cell>
          <cell r="C97">
            <v>0.22448979591836735</v>
          </cell>
          <cell r="D97">
            <v>0.27897712670264713</v>
          </cell>
        </row>
        <row r="98">
          <cell r="B98">
            <v>40816</v>
          </cell>
          <cell r="C98">
            <v>0.22523741799330183</v>
          </cell>
          <cell r="D98">
            <v>0.28203911144864247</v>
          </cell>
        </row>
      </sheetData>
      <sheetData sheetId="2">
        <row r="1">
          <cell r="F1">
            <v>2003</v>
          </cell>
        </row>
      </sheetData>
      <sheetData sheetId="3">
        <row r="4">
          <cell r="B4">
            <v>37986</v>
          </cell>
        </row>
      </sheetData>
      <sheetData sheetId="4">
        <row r="3">
          <cell r="D3">
            <v>38077</v>
          </cell>
        </row>
      </sheetData>
      <sheetData sheetId="5"/>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S v Con"/>
      <sheetName val="Valuation"/>
      <sheetName val="Bull Bear Scenarios"/>
      <sheetName val="Model"/>
      <sheetName val="Drivers"/>
      <sheetName val="DCF"/>
      <sheetName val="MW-Cache"/>
      <sheetName val="Acquisitions"/>
      <sheetName val="Stayz change"/>
      <sheetName val="mwareSettings"/>
      <sheetName val="MWA RR"/>
      <sheetName val="mwareDates"/>
      <sheetName val="Outlinks"/>
      <sheetName val="RR-table"/>
      <sheetName val="FX Calc"/>
      <sheetName val="#REF"/>
      <sheetName val="Inlinks"/>
      <sheetName val="DCF_BB"/>
      <sheetName val="AWAY_model"/>
      <sheetName val="AWAY projections for EXPE"/>
      <sheetName val="EBITDA Analysis"/>
    </sheetNames>
    <sheetDataSet>
      <sheetData sheetId="0" refreshError="1"/>
      <sheetData sheetId="1" refreshError="1"/>
      <sheetData sheetId="2" refreshError="1"/>
      <sheetData sheetId="3" refreshError="1"/>
      <sheetData sheetId="4" refreshError="1"/>
      <sheetData sheetId="5" refreshError="1">
        <row r="40">
          <cell r="L40">
            <v>33.000285507151922</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8"/>
  <sheetViews>
    <sheetView showGridLines="0" tabSelected="1" workbookViewId="0">
      <selection activeCell="Z1" sqref="Z1"/>
    </sheetView>
  </sheetViews>
  <sheetFormatPr defaultRowHeight="12.75"/>
  <cols>
    <col min="1" max="1" width="25.83203125" style="2339" customWidth="1"/>
    <col min="2" max="5" width="9.33203125" style="2339"/>
    <col min="6" max="6" width="18.83203125" style="2339" customWidth="1"/>
    <col min="7" max="256" width="9.33203125" style="2339"/>
    <col min="257" max="257" width="117.5" style="2339" customWidth="1"/>
    <col min="258" max="512" width="9.33203125" style="2339"/>
    <col min="513" max="513" width="117.5" style="2339" customWidth="1"/>
    <col min="514" max="768" width="9.33203125" style="2339"/>
    <col min="769" max="769" width="117.5" style="2339" customWidth="1"/>
    <col min="770" max="1024" width="9.33203125" style="2339"/>
    <col min="1025" max="1025" width="117.5" style="2339" customWidth="1"/>
    <col min="1026" max="1280" width="9.33203125" style="2339"/>
    <col min="1281" max="1281" width="117.5" style="2339" customWidth="1"/>
    <col min="1282" max="1536" width="9.33203125" style="2339"/>
    <col min="1537" max="1537" width="117.5" style="2339" customWidth="1"/>
    <col min="1538" max="1792" width="9.33203125" style="2339"/>
    <col min="1793" max="1793" width="117.5" style="2339" customWidth="1"/>
    <col min="1794" max="2048" width="9.33203125" style="2339"/>
    <col min="2049" max="2049" width="117.5" style="2339" customWidth="1"/>
    <col min="2050" max="2304" width="9.33203125" style="2339"/>
    <col min="2305" max="2305" width="117.5" style="2339" customWidth="1"/>
    <col min="2306" max="2560" width="9.33203125" style="2339"/>
    <col min="2561" max="2561" width="117.5" style="2339" customWidth="1"/>
    <col min="2562" max="2816" width="9.33203125" style="2339"/>
    <col min="2817" max="2817" width="117.5" style="2339" customWidth="1"/>
    <col min="2818" max="3072" width="9.33203125" style="2339"/>
    <col min="3073" max="3073" width="117.5" style="2339" customWidth="1"/>
    <col min="3074" max="3328" width="9.33203125" style="2339"/>
    <col min="3329" max="3329" width="117.5" style="2339" customWidth="1"/>
    <col min="3330" max="3584" width="9.33203125" style="2339"/>
    <col min="3585" max="3585" width="117.5" style="2339" customWidth="1"/>
    <col min="3586" max="3840" width="9.33203125" style="2339"/>
    <col min="3841" max="3841" width="117.5" style="2339" customWidth="1"/>
    <col min="3842" max="4096" width="9.33203125" style="2339"/>
    <col min="4097" max="4097" width="117.5" style="2339" customWidth="1"/>
    <col min="4098" max="4352" width="9.33203125" style="2339"/>
    <col min="4353" max="4353" width="117.5" style="2339" customWidth="1"/>
    <col min="4354" max="4608" width="9.33203125" style="2339"/>
    <col min="4609" max="4609" width="117.5" style="2339" customWidth="1"/>
    <col min="4610" max="4864" width="9.33203125" style="2339"/>
    <col min="4865" max="4865" width="117.5" style="2339" customWidth="1"/>
    <col min="4866" max="5120" width="9.33203125" style="2339"/>
    <col min="5121" max="5121" width="117.5" style="2339" customWidth="1"/>
    <col min="5122" max="5376" width="9.33203125" style="2339"/>
    <col min="5377" max="5377" width="117.5" style="2339" customWidth="1"/>
    <col min="5378" max="5632" width="9.33203125" style="2339"/>
    <col min="5633" max="5633" width="117.5" style="2339" customWidth="1"/>
    <col min="5634" max="5888" width="9.33203125" style="2339"/>
    <col min="5889" max="5889" width="117.5" style="2339" customWidth="1"/>
    <col min="5890" max="6144" width="9.33203125" style="2339"/>
    <col min="6145" max="6145" width="117.5" style="2339" customWidth="1"/>
    <col min="6146" max="6400" width="9.33203125" style="2339"/>
    <col min="6401" max="6401" width="117.5" style="2339" customWidth="1"/>
    <col min="6402" max="6656" width="9.33203125" style="2339"/>
    <col min="6657" max="6657" width="117.5" style="2339" customWidth="1"/>
    <col min="6658" max="6912" width="9.33203125" style="2339"/>
    <col min="6913" max="6913" width="117.5" style="2339" customWidth="1"/>
    <col min="6914" max="7168" width="9.33203125" style="2339"/>
    <col min="7169" max="7169" width="117.5" style="2339" customWidth="1"/>
    <col min="7170" max="7424" width="9.33203125" style="2339"/>
    <col min="7425" max="7425" width="117.5" style="2339" customWidth="1"/>
    <col min="7426" max="7680" width="9.33203125" style="2339"/>
    <col min="7681" max="7681" width="117.5" style="2339" customWidth="1"/>
    <col min="7682" max="7936" width="9.33203125" style="2339"/>
    <col min="7937" max="7937" width="117.5" style="2339" customWidth="1"/>
    <col min="7938" max="8192" width="9.33203125" style="2339"/>
    <col min="8193" max="8193" width="117.5" style="2339" customWidth="1"/>
    <col min="8194" max="8448" width="9.33203125" style="2339"/>
    <col min="8449" max="8449" width="117.5" style="2339" customWidth="1"/>
    <col min="8450" max="8704" width="9.33203125" style="2339"/>
    <col min="8705" max="8705" width="117.5" style="2339" customWidth="1"/>
    <col min="8706" max="8960" width="9.33203125" style="2339"/>
    <col min="8961" max="8961" width="117.5" style="2339" customWidth="1"/>
    <col min="8962" max="9216" width="9.33203125" style="2339"/>
    <col min="9217" max="9217" width="117.5" style="2339" customWidth="1"/>
    <col min="9218" max="9472" width="9.33203125" style="2339"/>
    <col min="9473" max="9473" width="117.5" style="2339" customWidth="1"/>
    <col min="9474" max="9728" width="9.33203125" style="2339"/>
    <col min="9729" max="9729" width="117.5" style="2339" customWidth="1"/>
    <col min="9730" max="9984" width="9.33203125" style="2339"/>
    <col min="9985" max="9985" width="117.5" style="2339" customWidth="1"/>
    <col min="9986" max="10240" width="9.33203125" style="2339"/>
    <col min="10241" max="10241" width="117.5" style="2339" customWidth="1"/>
    <col min="10242" max="10496" width="9.33203125" style="2339"/>
    <col min="10497" max="10497" width="117.5" style="2339" customWidth="1"/>
    <col min="10498" max="10752" width="9.33203125" style="2339"/>
    <col min="10753" max="10753" width="117.5" style="2339" customWidth="1"/>
    <col min="10754" max="11008" width="9.33203125" style="2339"/>
    <col min="11009" max="11009" width="117.5" style="2339" customWidth="1"/>
    <col min="11010" max="11264" width="9.33203125" style="2339"/>
    <col min="11265" max="11265" width="117.5" style="2339" customWidth="1"/>
    <col min="11266" max="11520" width="9.33203125" style="2339"/>
    <col min="11521" max="11521" width="117.5" style="2339" customWidth="1"/>
    <col min="11522" max="11776" width="9.33203125" style="2339"/>
    <col min="11777" max="11777" width="117.5" style="2339" customWidth="1"/>
    <col min="11778" max="12032" width="9.33203125" style="2339"/>
    <col min="12033" max="12033" width="117.5" style="2339" customWidth="1"/>
    <col min="12034" max="12288" width="9.33203125" style="2339"/>
    <col min="12289" max="12289" width="117.5" style="2339" customWidth="1"/>
    <col min="12290" max="12544" width="9.33203125" style="2339"/>
    <col min="12545" max="12545" width="117.5" style="2339" customWidth="1"/>
    <col min="12546" max="12800" width="9.33203125" style="2339"/>
    <col min="12801" max="12801" width="117.5" style="2339" customWidth="1"/>
    <col min="12802" max="13056" width="9.33203125" style="2339"/>
    <col min="13057" max="13057" width="117.5" style="2339" customWidth="1"/>
    <col min="13058" max="13312" width="9.33203125" style="2339"/>
    <col min="13313" max="13313" width="117.5" style="2339" customWidth="1"/>
    <col min="13314" max="13568" width="9.33203125" style="2339"/>
    <col min="13569" max="13569" width="117.5" style="2339" customWidth="1"/>
    <col min="13570" max="13824" width="9.33203125" style="2339"/>
    <col min="13825" max="13825" width="117.5" style="2339" customWidth="1"/>
    <col min="13826" max="14080" width="9.33203125" style="2339"/>
    <col min="14081" max="14081" width="117.5" style="2339" customWidth="1"/>
    <col min="14082" max="14336" width="9.33203125" style="2339"/>
    <col min="14337" max="14337" width="117.5" style="2339" customWidth="1"/>
    <col min="14338" max="14592" width="9.33203125" style="2339"/>
    <col min="14593" max="14593" width="117.5" style="2339" customWidth="1"/>
    <col min="14594" max="14848" width="9.33203125" style="2339"/>
    <col min="14849" max="14849" width="117.5" style="2339" customWidth="1"/>
    <col min="14850" max="15104" width="9.33203125" style="2339"/>
    <col min="15105" max="15105" width="117.5" style="2339" customWidth="1"/>
    <col min="15106" max="15360" width="9.33203125" style="2339"/>
    <col min="15361" max="15361" width="117.5" style="2339" customWidth="1"/>
    <col min="15362" max="15616" width="9.33203125" style="2339"/>
    <col min="15617" max="15617" width="117.5" style="2339" customWidth="1"/>
    <col min="15618" max="15872" width="9.33203125" style="2339"/>
    <col min="15873" max="15873" width="117.5" style="2339" customWidth="1"/>
    <col min="15874" max="16128" width="9.33203125" style="2339"/>
    <col min="16129" max="16129" width="117.5" style="2339" customWidth="1"/>
    <col min="16130" max="16384" width="9.33203125" style="2339"/>
  </cols>
  <sheetData>
    <row r="1" spans="1:8" ht="30" customHeight="1">
      <c r="A1" s="2337"/>
      <c r="B1" s="2338"/>
      <c r="C1" s="2338"/>
      <c r="D1" s="2338"/>
      <c r="E1" s="2338"/>
      <c r="F1" s="2338"/>
      <c r="G1" s="2338"/>
      <c r="H1" s="2338"/>
    </row>
    <row r="2" spans="1:8" ht="14.25">
      <c r="A2" s="2340" t="s">
        <v>778</v>
      </c>
      <c r="B2" s="2338"/>
      <c r="C2" s="2338"/>
      <c r="D2" s="2338"/>
      <c r="E2" s="2338"/>
      <c r="F2" s="2338"/>
      <c r="G2" s="2338"/>
      <c r="H2" s="2338"/>
    </row>
    <row r="3" spans="1:8" ht="14.25">
      <c r="A3" s="2340" t="s">
        <v>779</v>
      </c>
      <c r="B3" s="2338"/>
      <c r="C3" s="2338"/>
      <c r="D3" s="2338"/>
      <c r="E3" s="2338"/>
      <c r="F3" s="2338"/>
      <c r="G3" s="2338"/>
      <c r="H3" s="2338"/>
    </row>
    <row r="4" spans="1:8" ht="14.25">
      <c r="A4" s="2340" t="s">
        <v>140</v>
      </c>
      <c r="B4" s="2338"/>
      <c r="C4" s="2338"/>
      <c r="D4" s="2338"/>
      <c r="E4" s="2338"/>
      <c r="F4" s="2338"/>
      <c r="G4" s="2338"/>
      <c r="H4" s="2338"/>
    </row>
    <row r="5" spans="1:8" ht="14.25">
      <c r="A5" s="2340" t="s">
        <v>780</v>
      </c>
      <c r="B5" s="2338"/>
      <c r="C5" s="2338"/>
      <c r="D5" s="2338"/>
      <c r="E5" s="2338"/>
      <c r="F5" s="2338"/>
      <c r="G5" s="2338"/>
      <c r="H5" s="2338"/>
    </row>
    <row r="6" spans="1:8" ht="14.25">
      <c r="A6" s="2340"/>
      <c r="B6" s="2338"/>
      <c r="C6" s="2338"/>
      <c r="D6" s="2338"/>
      <c r="E6" s="2338"/>
      <c r="F6" s="2338"/>
      <c r="G6" s="2338"/>
      <c r="H6" s="2338"/>
    </row>
    <row r="7" spans="1:8">
      <c r="A7" s="2337" t="s">
        <v>781</v>
      </c>
      <c r="B7" s="2338"/>
      <c r="C7" s="2338"/>
      <c r="D7" s="2338"/>
      <c r="E7" s="2338"/>
      <c r="F7" s="2338"/>
      <c r="G7" s="2338"/>
      <c r="H7" s="2338"/>
    </row>
    <row r="8" spans="1:8">
      <c r="A8" s="2337" t="s">
        <v>782</v>
      </c>
      <c r="B8" s="2338"/>
      <c r="C8" s="2338"/>
      <c r="D8" s="2338"/>
      <c r="E8" s="2338"/>
      <c r="F8" s="2338"/>
      <c r="G8" s="2338"/>
      <c r="H8" s="2338"/>
    </row>
    <row r="9" spans="1:8">
      <c r="A9" s="2337"/>
      <c r="B9" s="2338"/>
      <c r="C9" s="2338"/>
      <c r="D9" s="2338"/>
      <c r="E9" s="2338"/>
      <c r="F9" s="2338"/>
      <c r="G9" s="2338"/>
      <c r="H9" s="2338"/>
    </row>
    <row r="10" spans="1:8">
      <c r="A10" s="2341" t="s">
        <v>783</v>
      </c>
      <c r="B10" s="2338"/>
      <c r="C10" s="2338"/>
      <c r="D10" s="2338"/>
      <c r="E10" s="2338"/>
      <c r="F10" s="2338"/>
      <c r="G10" s="2338"/>
      <c r="H10" s="2338"/>
    </row>
    <row r="11" spans="1:8">
      <c r="A11" s="2341" t="s">
        <v>784</v>
      </c>
      <c r="B11" s="2338"/>
      <c r="C11" s="2338"/>
      <c r="D11" s="2338"/>
      <c r="E11" s="2338"/>
      <c r="F11" s="2338"/>
      <c r="G11" s="2338"/>
      <c r="H11" s="2338"/>
    </row>
    <row r="12" spans="1:8">
      <c r="A12" s="2341" t="s">
        <v>785</v>
      </c>
      <c r="B12" s="2338"/>
      <c r="C12" s="2338"/>
      <c r="D12" s="2338"/>
      <c r="E12" s="2338"/>
      <c r="F12" s="2338"/>
      <c r="G12" s="2338"/>
      <c r="H12" s="2338"/>
    </row>
    <row r="13" spans="1:8">
      <c r="A13" s="2341" t="s">
        <v>786</v>
      </c>
      <c r="B13" s="2338"/>
      <c r="C13" s="2338"/>
      <c r="D13" s="2338"/>
      <c r="E13" s="2338"/>
      <c r="F13" s="2338"/>
      <c r="G13" s="2338"/>
      <c r="H13" s="2338"/>
    </row>
    <row r="14" spans="1:8">
      <c r="A14" s="2341" t="s">
        <v>787</v>
      </c>
      <c r="B14" s="2338"/>
      <c r="C14" s="2338"/>
      <c r="D14" s="2338"/>
      <c r="E14" s="2338"/>
      <c r="F14" s="2338"/>
      <c r="G14" s="2338"/>
      <c r="H14" s="2338"/>
    </row>
    <row r="15" spans="1:8">
      <c r="A15" s="2341" t="s">
        <v>788</v>
      </c>
      <c r="B15" s="2338"/>
      <c r="C15" s="2338"/>
      <c r="D15" s="2338"/>
      <c r="E15" s="2338"/>
      <c r="F15" s="2338"/>
      <c r="G15" s="2338"/>
      <c r="H15" s="2338"/>
    </row>
    <row r="16" spans="1:8">
      <c r="A16" s="2341"/>
      <c r="B16" s="2338"/>
      <c r="C16" s="2338"/>
      <c r="D16" s="2338"/>
      <c r="E16" s="2338"/>
      <c r="F16" s="2338"/>
      <c r="G16" s="2338"/>
      <c r="H16" s="2338"/>
    </row>
    <row r="17" spans="1:8">
      <c r="A17" s="2341" t="s">
        <v>775</v>
      </c>
      <c r="B17" s="2338"/>
      <c r="C17" s="2338"/>
      <c r="D17" s="2338"/>
      <c r="E17" s="2338"/>
      <c r="F17" s="2338"/>
      <c r="G17" s="2338"/>
      <c r="H17" s="2338"/>
    </row>
    <row r="18" spans="1:8">
      <c r="A18" s="2341"/>
      <c r="B18" s="2338"/>
      <c r="C18" s="2338"/>
      <c r="D18" s="2338"/>
      <c r="E18" s="2338"/>
      <c r="F18" s="2338"/>
      <c r="G18" s="2338"/>
      <c r="H18" s="2338"/>
    </row>
    <row r="19" spans="1:8">
      <c r="A19" s="2341" t="s">
        <v>776</v>
      </c>
      <c r="B19" s="2338"/>
      <c r="C19" s="2338"/>
      <c r="D19" s="2338"/>
      <c r="E19" s="2338"/>
      <c r="F19" s="2338"/>
      <c r="G19" s="2338"/>
      <c r="H19" s="2338"/>
    </row>
    <row r="20" spans="1:8">
      <c r="A20" s="2337"/>
      <c r="B20" s="2338"/>
      <c r="C20" s="2338"/>
      <c r="D20" s="2338"/>
      <c r="E20" s="2338"/>
      <c r="F20" s="2338"/>
      <c r="G20" s="2338"/>
      <c r="H20" s="2338"/>
    </row>
    <row r="21" spans="1:8">
      <c r="A21" s="2342" t="s">
        <v>777</v>
      </c>
      <c r="B21" s="2338"/>
      <c r="C21" s="2338"/>
      <c r="D21" s="2338"/>
      <c r="E21" s="2338"/>
      <c r="F21" s="2338"/>
      <c r="G21" s="2338"/>
      <c r="H21" s="2338"/>
    </row>
    <row r="22" spans="1:8">
      <c r="A22" s="2343"/>
      <c r="B22" s="2343"/>
      <c r="C22" s="2343"/>
      <c r="D22" s="2343"/>
      <c r="E22" s="2343"/>
      <c r="F22" s="2343"/>
      <c r="G22" s="2343"/>
      <c r="H22" s="2343"/>
    </row>
    <row r="23" spans="1:8">
      <c r="A23" s="2344" t="s">
        <v>1071</v>
      </c>
      <c r="B23" s="2343"/>
      <c r="C23" s="2343"/>
      <c r="D23" s="2343"/>
      <c r="E23" s="2343"/>
      <c r="F23" s="2343"/>
      <c r="G23" s="2343"/>
      <c r="H23" s="2343"/>
    </row>
    <row r="24" spans="1:8">
      <c r="A24" s="2344" t="s">
        <v>1072</v>
      </c>
      <c r="B24" s="2343"/>
      <c r="C24" s="2343"/>
      <c r="D24" s="2343"/>
      <c r="E24" s="2343"/>
      <c r="F24" s="2343"/>
      <c r="G24" s="2343"/>
      <c r="H24" s="2343"/>
    </row>
    <row r="25" spans="1:8">
      <c r="A25" s="2344" t="s">
        <v>1073</v>
      </c>
      <c r="B25" s="2343"/>
      <c r="C25" s="2343"/>
      <c r="D25" s="2343"/>
      <c r="E25" s="2343"/>
      <c r="F25" s="2343"/>
      <c r="G25" s="2343"/>
      <c r="H25" s="2343"/>
    </row>
    <row r="26" spans="1:8">
      <c r="A26" s="2344" t="s">
        <v>1074</v>
      </c>
      <c r="B26" s="2343"/>
      <c r="C26" s="2343"/>
      <c r="D26" s="2343"/>
      <c r="E26" s="2343"/>
      <c r="F26" s="2343"/>
      <c r="G26" s="2343"/>
      <c r="H26" s="2343"/>
    </row>
    <row r="27" spans="1:8">
      <c r="A27" s="2343"/>
      <c r="B27" s="2343"/>
      <c r="C27" s="2343"/>
      <c r="D27" s="2343"/>
      <c r="E27" s="2343"/>
      <c r="F27" s="2343"/>
      <c r="G27" s="2343"/>
      <c r="H27" s="2343"/>
    </row>
    <row r="28" spans="1:8">
      <c r="A28" s="2343"/>
      <c r="B28" s="2343"/>
      <c r="C28" s="2343"/>
      <c r="D28" s="2343"/>
      <c r="E28" s="2343"/>
      <c r="F28" s="2343"/>
      <c r="G28" s="2343"/>
      <c r="H28" s="2343"/>
    </row>
    <row r="29" spans="1:8">
      <c r="A29" s="2344" t="s">
        <v>1066</v>
      </c>
      <c r="B29" s="2343"/>
      <c r="C29" s="2343"/>
      <c r="D29" s="2343"/>
      <c r="E29" s="2343"/>
      <c r="F29" s="2343"/>
      <c r="G29" s="2343"/>
      <c r="H29" s="2343"/>
    </row>
    <row r="30" spans="1:8">
      <c r="A30" s="2344" t="s">
        <v>1067</v>
      </c>
      <c r="B30" s="2343"/>
      <c r="C30" s="2343"/>
      <c r="D30" s="2343"/>
      <c r="E30" s="2343"/>
      <c r="F30" s="2343"/>
      <c r="G30" s="2343"/>
      <c r="H30" s="2343"/>
    </row>
    <row r="31" spans="1:8">
      <c r="A31" s="2344" t="s">
        <v>1068</v>
      </c>
      <c r="B31" s="2343"/>
      <c r="C31" s="2343"/>
      <c r="D31" s="2343"/>
      <c r="E31" s="2343"/>
      <c r="F31" s="2343"/>
      <c r="G31" s="2343"/>
      <c r="H31" s="2343"/>
    </row>
    <row r="32" spans="1:8">
      <c r="A32" s="2344" t="s">
        <v>1069</v>
      </c>
      <c r="B32" s="2343"/>
      <c r="C32" s="2343"/>
      <c r="D32" s="2343"/>
      <c r="E32" s="2343"/>
      <c r="F32" s="2343"/>
      <c r="G32" s="2343"/>
      <c r="H32" s="2343"/>
    </row>
    <row r="33" spans="1:8">
      <c r="A33" s="2344" t="s">
        <v>1070</v>
      </c>
      <c r="B33" s="2343"/>
      <c r="C33" s="2343"/>
      <c r="D33" s="2343"/>
      <c r="E33" s="2343"/>
      <c r="F33" s="2343"/>
      <c r="G33" s="2343"/>
      <c r="H33" s="2343"/>
    </row>
    <row r="34" spans="1:8">
      <c r="A34" s="2343"/>
      <c r="B34" s="2343"/>
      <c r="C34" s="2343"/>
      <c r="D34" s="2343"/>
      <c r="E34" s="2343"/>
      <c r="F34" s="2343"/>
      <c r="G34" s="2343"/>
      <c r="H34" s="2343"/>
    </row>
    <row r="35" spans="1:8">
      <c r="A35" s="2344" t="s">
        <v>1062</v>
      </c>
      <c r="B35" s="2343"/>
      <c r="C35" s="2343"/>
      <c r="D35" s="2343"/>
      <c r="E35" s="2343"/>
      <c r="F35" s="2343"/>
      <c r="G35" s="2343"/>
      <c r="H35" s="2343"/>
    </row>
    <row r="36" spans="1:8">
      <c r="A36" s="2344" t="s">
        <v>1063</v>
      </c>
      <c r="B36" s="2343"/>
      <c r="C36" s="2343"/>
      <c r="D36" s="2343"/>
      <c r="E36" s="2343"/>
      <c r="F36" s="2343"/>
      <c r="G36" s="2343"/>
      <c r="H36" s="2343"/>
    </row>
    <row r="37" spans="1:8">
      <c r="A37" s="2344" t="s">
        <v>1064</v>
      </c>
      <c r="B37" s="2343"/>
      <c r="C37" s="2343"/>
      <c r="D37" s="2343"/>
      <c r="E37" s="2343"/>
      <c r="F37" s="2343"/>
      <c r="G37" s="2343"/>
      <c r="H37" s="2343"/>
    </row>
    <row r="38" spans="1:8">
      <c r="A38" s="2344" t="s">
        <v>1065</v>
      </c>
      <c r="B38" s="2343"/>
      <c r="C38" s="2343"/>
      <c r="D38" s="2343"/>
      <c r="E38" s="2343"/>
      <c r="F38" s="2343"/>
      <c r="G38" s="2343"/>
      <c r="H38" s="2343"/>
    </row>
    <row r="39" spans="1:8">
      <c r="A39" s="2343"/>
      <c r="B39" s="2343"/>
      <c r="C39" s="2343"/>
      <c r="D39" s="2343"/>
      <c r="E39" s="2343"/>
      <c r="F39" s="2343"/>
      <c r="G39" s="2343"/>
      <c r="H39" s="2343"/>
    </row>
    <row r="40" spans="1:8">
      <c r="A40" s="2344" t="s">
        <v>1056</v>
      </c>
      <c r="B40" s="2343"/>
      <c r="C40" s="2343"/>
      <c r="D40" s="2343"/>
      <c r="E40" s="2343"/>
      <c r="F40" s="2343"/>
      <c r="G40" s="2343"/>
      <c r="H40" s="2343"/>
    </row>
    <row r="41" spans="1:8">
      <c r="A41" s="2344" t="s">
        <v>1057</v>
      </c>
      <c r="B41" s="2343"/>
      <c r="C41" s="2343"/>
      <c r="D41" s="2343"/>
      <c r="E41" s="2343"/>
      <c r="F41" s="2343"/>
      <c r="G41" s="2343"/>
      <c r="H41" s="2343"/>
    </row>
    <row r="42" spans="1:8">
      <c r="A42" s="2344" t="s">
        <v>1058</v>
      </c>
      <c r="B42" s="2343"/>
      <c r="C42" s="2343"/>
      <c r="D42" s="2343"/>
      <c r="E42" s="2343"/>
      <c r="F42" s="2343"/>
      <c r="G42" s="2343"/>
      <c r="H42" s="2343"/>
    </row>
    <row r="43" spans="1:8">
      <c r="A43" s="2344" t="s">
        <v>1059</v>
      </c>
      <c r="B43" s="2343"/>
      <c r="C43" s="2343"/>
      <c r="D43" s="2343"/>
      <c r="E43" s="2343"/>
      <c r="F43" s="2343"/>
      <c r="G43" s="2343"/>
      <c r="H43" s="2343"/>
    </row>
    <row r="44" spans="1:8">
      <c r="A44" s="2344" t="s">
        <v>1060</v>
      </c>
      <c r="B44" s="2343"/>
      <c r="C44" s="2343"/>
      <c r="D44" s="2343"/>
      <c r="E44" s="2343"/>
      <c r="F44" s="2343"/>
      <c r="G44" s="2343"/>
      <c r="H44" s="2343"/>
    </row>
    <row r="45" spans="1:8">
      <c r="A45" s="2344" t="s">
        <v>1061</v>
      </c>
      <c r="B45" s="2343"/>
      <c r="C45" s="2343"/>
      <c r="D45" s="2343"/>
      <c r="E45" s="2343"/>
      <c r="F45" s="2343"/>
      <c r="G45" s="2343"/>
      <c r="H45" s="2343"/>
    </row>
    <row r="46" spans="1:8">
      <c r="A46" s="2343"/>
      <c r="B46" s="2343"/>
      <c r="C46" s="2343"/>
      <c r="D46" s="2343"/>
      <c r="E46" s="2343"/>
      <c r="F46" s="2343"/>
      <c r="G46" s="2343"/>
      <c r="H46" s="2343"/>
    </row>
    <row r="47" spans="1:8" ht="15.75">
      <c r="A47" s="2345" t="s">
        <v>789</v>
      </c>
      <c r="B47" s="2343"/>
      <c r="C47" s="2343"/>
      <c r="D47" s="2343"/>
      <c r="E47" s="2343"/>
      <c r="F47" s="2343"/>
      <c r="G47" s="2343"/>
      <c r="H47" s="2343"/>
    </row>
    <row r="48" spans="1:8">
      <c r="A48" s="2343"/>
      <c r="B48" s="2343"/>
      <c r="C48" s="2343"/>
      <c r="D48" s="2343"/>
      <c r="E48" s="2343"/>
      <c r="F48" s="2343"/>
      <c r="G48" s="2343"/>
      <c r="H48" s="2343"/>
    </row>
    <row r="49" spans="1:8">
      <c r="A49" s="2344" t="s">
        <v>1052</v>
      </c>
      <c r="B49" s="2343"/>
      <c r="C49" s="2343"/>
      <c r="D49" s="2343"/>
      <c r="E49" s="2343"/>
      <c r="F49" s="2343"/>
      <c r="G49" s="2343"/>
      <c r="H49" s="2343"/>
    </row>
    <row r="50" spans="1:8">
      <c r="A50" s="2344" t="s">
        <v>1053</v>
      </c>
      <c r="B50" s="2343"/>
      <c r="C50" s="2343"/>
      <c r="D50" s="2343"/>
      <c r="E50" s="2343"/>
      <c r="F50" s="2343"/>
      <c r="G50" s="2343"/>
      <c r="H50" s="2343"/>
    </row>
    <row r="51" spans="1:8">
      <c r="A51" s="2344" t="s">
        <v>1054</v>
      </c>
      <c r="B51" s="2343"/>
      <c r="C51" s="2343"/>
      <c r="D51" s="2343"/>
      <c r="E51" s="2343"/>
      <c r="F51" s="2343"/>
      <c r="G51" s="2343"/>
      <c r="H51" s="2343"/>
    </row>
    <row r="52" spans="1:8">
      <c r="A52" s="2344" t="s">
        <v>1055</v>
      </c>
      <c r="B52" s="2343"/>
      <c r="C52" s="2343"/>
      <c r="D52" s="2343"/>
      <c r="E52" s="2343"/>
      <c r="F52" s="2343"/>
      <c r="G52" s="2343"/>
      <c r="H52" s="2343"/>
    </row>
    <row r="53" spans="1:8">
      <c r="A53" s="2343"/>
      <c r="B53" s="2343"/>
      <c r="C53" s="2343"/>
      <c r="D53" s="2343"/>
      <c r="E53" s="2343"/>
      <c r="F53" s="2343"/>
      <c r="G53" s="2343"/>
      <c r="H53" s="2343"/>
    </row>
    <row r="54" spans="1:8">
      <c r="A54" s="2344" t="s">
        <v>790</v>
      </c>
      <c r="B54" s="2343"/>
      <c r="C54" s="2343"/>
      <c r="D54" s="2343"/>
      <c r="E54" s="2343"/>
      <c r="F54" s="2343"/>
      <c r="G54" s="2343"/>
      <c r="H54" s="2343"/>
    </row>
    <row r="55" spans="1:8">
      <c r="A55" s="2343"/>
      <c r="B55" s="2343"/>
      <c r="C55" s="2343"/>
      <c r="D55" s="2343"/>
      <c r="E55" s="2343"/>
      <c r="F55" s="2343"/>
      <c r="G55" s="2343"/>
      <c r="H55" s="2343"/>
    </row>
    <row r="56" spans="1:8" ht="15.75">
      <c r="A56" s="2345" t="s">
        <v>791</v>
      </c>
      <c r="B56" s="2343"/>
      <c r="C56" s="2343"/>
      <c r="D56" s="2343"/>
      <c r="E56" s="2343"/>
      <c r="F56" s="2343"/>
      <c r="G56" s="2343"/>
      <c r="H56" s="2343"/>
    </row>
    <row r="57" spans="1:8">
      <c r="A57" s="2343"/>
      <c r="B57" s="2343"/>
      <c r="C57" s="2343"/>
      <c r="D57" s="2343"/>
      <c r="E57" s="2343"/>
      <c r="F57" s="2343"/>
      <c r="G57" s="2343"/>
      <c r="H57" s="2343"/>
    </row>
    <row r="58" spans="1:8">
      <c r="A58" s="2344" t="s">
        <v>1050</v>
      </c>
      <c r="B58" s="2343"/>
      <c r="C58" s="2343"/>
      <c r="D58" s="2343"/>
      <c r="E58" s="2343"/>
      <c r="F58" s="2343"/>
      <c r="G58" s="2343"/>
      <c r="H58" s="2343"/>
    </row>
    <row r="59" spans="1:8">
      <c r="A59" s="2344" t="s">
        <v>1051</v>
      </c>
      <c r="B59" s="2343"/>
      <c r="C59" s="2343"/>
      <c r="D59" s="2343"/>
      <c r="E59" s="2343"/>
      <c r="F59" s="2343"/>
      <c r="G59" s="2343"/>
      <c r="H59" s="2343"/>
    </row>
    <row r="60" spans="1:8">
      <c r="A60" s="2343"/>
      <c r="B60" s="2343"/>
      <c r="C60" s="2343"/>
      <c r="D60" s="2343"/>
      <c r="E60" s="2343"/>
      <c r="F60" s="2343"/>
      <c r="G60" s="2343"/>
      <c r="H60" s="2343"/>
    </row>
    <row r="61" spans="1:8" ht="15.75">
      <c r="A61" s="2345" t="s">
        <v>792</v>
      </c>
      <c r="B61" s="2343"/>
      <c r="C61" s="2343"/>
      <c r="D61" s="2343"/>
      <c r="E61" s="2343"/>
      <c r="F61" s="2343"/>
      <c r="G61" s="2343"/>
      <c r="H61" s="2343"/>
    </row>
    <row r="62" spans="1:8">
      <c r="A62" s="2343"/>
      <c r="B62" s="2343"/>
      <c r="C62" s="2343"/>
      <c r="D62" s="2343"/>
      <c r="E62" s="2343"/>
      <c r="F62" s="2343"/>
      <c r="G62" s="2343"/>
      <c r="H62" s="2343"/>
    </row>
    <row r="63" spans="1:8">
      <c r="A63" s="2344" t="s">
        <v>1048</v>
      </c>
      <c r="B63" s="2343"/>
      <c r="C63" s="2343"/>
      <c r="D63" s="2343"/>
      <c r="E63" s="2343"/>
      <c r="F63" s="2343"/>
      <c r="G63" s="2343"/>
      <c r="H63" s="2343"/>
    </row>
    <row r="64" spans="1:8">
      <c r="A64" s="2344" t="s">
        <v>1049</v>
      </c>
      <c r="B64" s="2343"/>
      <c r="C64" s="2343"/>
      <c r="D64" s="2343"/>
      <c r="E64" s="2343"/>
      <c r="F64" s="2343"/>
      <c r="G64" s="2343"/>
      <c r="H64" s="2343"/>
    </row>
    <row r="65" spans="1:8">
      <c r="A65" s="2343"/>
      <c r="B65" s="2343"/>
      <c r="C65" s="2343"/>
      <c r="D65" s="2343"/>
      <c r="E65" s="2343"/>
      <c r="F65" s="2343"/>
      <c r="G65" s="2343"/>
      <c r="H65" s="2343"/>
    </row>
    <row r="66" spans="1:8">
      <c r="A66" s="2344" t="s">
        <v>1046</v>
      </c>
      <c r="B66" s="2343"/>
      <c r="C66" s="2343"/>
      <c r="D66" s="2343"/>
      <c r="E66" s="2343"/>
      <c r="F66" s="2343"/>
      <c r="G66" s="2343"/>
      <c r="H66" s="2343"/>
    </row>
    <row r="67" spans="1:8">
      <c r="A67" s="2344" t="s">
        <v>1047</v>
      </c>
      <c r="B67" s="2343"/>
      <c r="C67" s="2343"/>
      <c r="D67" s="2343"/>
      <c r="E67" s="2343"/>
      <c r="F67" s="2343"/>
      <c r="G67" s="2343"/>
      <c r="H67" s="2343"/>
    </row>
    <row r="68" spans="1:8">
      <c r="A68" s="2343"/>
      <c r="B68" s="2343"/>
      <c r="C68" s="2343"/>
      <c r="D68" s="2343"/>
      <c r="E68" s="2343"/>
      <c r="F68" s="2343"/>
      <c r="G68" s="2343"/>
      <c r="H68" s="2343"/>
    </row>
    <row r="69" spans="1:8">
      <c r="A69" s="2344" t="s">
        <v>1044</v>
      </c>
      <c r="B69" s="2343"/>
      <c r="C69" s="2343"/>
      <c r="D69" s="2343"/>
      <c r="E69" s="2343"/>
      <c r="F69" s="2343"/>
      <c r="G69" s="2343"/>
      <c r="H69" s="2343"/>
    </row>
    <row r="70" spans="1:8">
      <c r="A70" s="2344" t="s">
        <v>1045</v>
      </c>
      <c r="B70" s="2343"/>
      <c r="C70" s="2343"/>
      <c r="D70" s="2343"/>
      <c r="E70" s="2343"/>
      <c r="F70" s="2343"/>
      <c r="G70" s="2343"/>
      <c r="H70" s="2343"/>
    </row>
    <row r="71" spans="1:8">
      <c r="A71" s="2343"/>
      <c r="B71" s="2343"/>
      <c r="C71" s="2343"/>
      <c r="D71" s="2343"/>
      <c r="E71" s="2343"/>
      <c r="F71" s="2343"/>
      <c r="G71" s="2343"/>
      <c r="H71" s="2343"/>
    </row>
    <row r="72" spans="1:8">
      <c r="A72" s="2344" t="s">
        <v>1042</v>
      </c>
      <c r="B72" s="2343"/>
      <c r="C72" s="2343"/>
      <c r="D72" s="2343"/>
      <c r="E72" s="2343"/>
      <c r="F72" s="2343"/>
      <c r="G72" s="2343"/>
      <c r="H72" s="2343"/>
    </row>
    <row r="73" spans="1:8">
      <c r="A73" s="2344" t="s">
        <v>1043</v>
      </c>
      <c r="B73" s="2343"/>
      <c r="C73" s="2343"/>
      <c r="D73" s="2343"/>
      <c r="E73" s="2343"/>
      <c r="F73" s="2343"/>
      <c r="G73" s="2343"/>
      <c r="H73" s="2343"/>
    </row>
    <row r="74" spans="1:8">
      <c r="A74" s="2343"/>
      <c r="B74" s="2343"/>
      <c r="C74" s="2343"/>
      <c r="D74" s="2343"/>
      <c r="E74" s="2343"/>
      <c r="F74" s="2343"/>
      <c r="G74" s="2343"/>
      <c r="H74" s="2343"/>
    </row>
    <row r="75" spans="1:8">
      <c r="A75" s="2344" t="s">
        <v>1040</v>
      </c>
      <c r="B75" s="2343"/>
      <c r="C75" s="2343"/>
      <c r="D75" s="2343"/>
      <c r="E75" s="2343"/>
      <c r="F75" s="2343"/>
      <c r="G75" s="2343"/>
      <c r="H75" s="2343"/>
    </row>
    <row r="76" spans="1:8">
      <c r="A76" s="2344" t="s">
        <v>1041</v>
      </c>
      <c r="B76" s="2343"/>
      <c r="C76" s="2343"/>
      <c r="D76" s="2343"/>
      <c r="E76" s="2343"/>
      <c r="F76" s="2343"/>
      <c r="G76" s="2343"/>
      <c r="H76" s="2343"/>
    </row>
    <row r="77" spans="1:8">
      <c r="A77" s="2343"/>
      <c r="B77" s="2343"/>
      <c r="C77" s="2343"/>
      <c r="D77" s="2343"/>
      <c r="E77" s="2343"/>
      <c r="F77" s="2343"/>
      <c r="G77" s="2343"/>
      <c r="H77" s="2343"/>
    </row>
    <row r="78" spans="1:8">
      <c r="A78" s="2344" t="s">
        <v>1038</v>
      </c>
      <c r="B78" s="2343"/>
      <c r="C78" s="2343"/>
      <c r="D78" s="2343"/>
      <c r="E78" s="2343"/>
      <c r="F78" s="2343"/>
      <c r="G78" s="2343"/>
      <c r="H78" s="2343"/>
    </row>
    <row r="79" spans="1:8">
      <c r="A79" s="2344" t="s">
        <v>1039</v>
      </c>
      <c r="B79" s="2343"/>
      <c r="C79" s="2343"/>
      <c r="D79" s="2343"/>
      <c r="E79" s="2343"/>
      <c r="F79" s="2343"/>
      <c r="G79" s="2343"/>
      <c r="H79" s="2343"/>
    </row>
    <row r="80" spans="1:8">
      <c r="A80" s="2343"/>
      <c r="B80" s="2343"/>
      <c r="C80" s="2343"/>
      <c r="D80" s="2343"/>
      <c r="E80" s="2343"/>
      <c r="F80" s="2343"/>
      <c r="G80" s="2343"/>
      <c r="H80" s="2343"/>
    </row>
    <row r="81" spans="1:8">
      <c r="A81" s="2344" t="s">
        <v>1035</v>
      </c>
      <c r="B81" s="2343"/>
      <c r="C81" s="2343"/>
      <c r="D81" s="2343"/>
      <c r="E81" s="2343"/>
      <c r="F81" s="2343"/>
      <c r="G81" s="2343"/>
      <c r="H81" s="2343"/>
    </row>
    <row r="82" spans="1:8">
      <c r="A82" s="2344" t="s">
        <v>1036</v>
      </c>
      <c r="B82" s="2343"/>
      <c r="C82" s="2343"/>
      <c r="D82" s="2343"/>
      <c r="E82" s="2343"/>
      <c r="F82" s="2343"/>
      <c r="G82" s="2343"/>
      <c r="H82" s="2343"/>
    </row>
    <row r="83" spans="1:8">
      <c r="A83" s="2344" t="s">
        <v>1037</v>
      </c>
      <c r="B83" s="2343"/>
      <c r="C83" s="2343"/>
      <c r="D83" s="2343"/>
      <c r="E83" s="2343"/>
      <c r="F83" s="2343"/>
      <c r="G83" s="2343"/>
      <c r="H83" s="2343"/>
    </row>
    <row r="84" spans="1:8">
      <c r="A84" s="2343"/>
      <c r="B84" s="2343"/>
      <c r="C84" s="2343"/>
      <c r="D84" s="2343"/>
      <c r="E84" s="2343"/>
      <c r="F84" s="2343"/>
      <c r="G84" s="2343"/>
      <c r="H84" s="2343"/>
    </row>
    <row r="85" spans="1:8">
      <c r="A85" s="2344" t="s">
        <v>1030</v>
      </c>
      <c r="B85" s="2343"/>
      <c r="C85" s="2343"/>
      <c r="D85" s="2343"/>
      <c r="E85" s="2343"/>
      <c r="F85" s="2343"/>
      <c r="G85" s="2343"/>
      <c r="H85" s="2343"/>
    </row>
    <row r="86" spans="1:8">
      <c r="A86" s="2344" t="s">
        <v>1031</v>
      </c>
      <c r="B86" s="2343"/>
      <c r="C86" s="2343"/>
      <c r="D86" s="2343"/>
      <c r="E86" s="2343"/>
      <c r="F86" s="2343"/>
      <c r="G86" s="2343"/>
      <c r="H86" s="2343"/>
    </row>
    <row r="87" spans="1:8">
      <c r="A87" s="2344" t="s">
        <v>1032</v>
      </c>
      <c r="B87" s="2343"/>
      <c r="C87" s="2343"/>
      <c r="D87" s="2343"/>
      <c r="E87" s="2343"/>
      <c r="F87" s="2343"/>
      <c r="G87" s="2343"/>
      <c r="H87" s="2343"/>
    </row>
    <row r="88" spans="1:8">
      <c r="A88" s="2344" t="s">
        <v>1033</v>
      </c>
      <c r="B88" s="2343"/>
      <c r="C88" s="2343"/>
      <c r="D88" s="2343"/>
      <c r="E88" s="2343"/>
      <c r="F88" s="2343"/>
      <c r="G88" s="2343"/>
      <c r="H88" s="2343"/>
    </row>
    <row r="89" spans="1:8">
      <c r="A89" s="2344" t="s">
        <v>1034</v>
      </c>
      <c r="B89" s="2343"/>
      <c r="C89" s="2343"/>
      <c r="D89" s="2343"/>
      <c r="E89" s="2343"/>
      <c r="F89" s="2343"/>
      <c r="G89" s="2343"/>
      <c r="H89" s="2343"/>
    </row>
    <row r="90" spans="1:8">
      <c r="A90" s="2344" t="s">
        <v>917</v>
      </c>
      <c r="B90" s="2343"/>
      <c r="C90" s="2343"/>
      <c r="D90" s="2343"/>
      <c r="E90" s="2343"/>
      <c r="F90" s="2343"/>
      <c r="G90" s="2343"/>
      <c r="H90" s="2343"/>
    </row>
    <row r="91" spans="1:8">
      <c r="A91" s="2343"/>
      <c r="B91" s="2343"/>
      <c r="C91" s="2343"/>
      <c r="D91" s="2343"/>
      <c r="E91" s="2343"/>
      <c r="F91" s="2343"/>
      <c r="G91" s="2343"/>
      <c r="H91" s="2343"/>
    </row>
    <row r="92" spans="1:8">
      <c r="A92" s="2344" t="s">
        <v>1023</v>
      </c>
      <c r="B92" s="2343"/>
      <c r="C92" s="2343"/>
      <c r="D92" s="2343"/>
      <c r="E92" s="2343"/>
      <c r="F92" s="2343"/>
      <c r="G92" s="2343"/>
      <c r="H92" s="2343"/>
    </row>
    <row r="93" spans="1:8">
      <c r="A93" s="2344" t="s">
        <v>1024</v>
      </c>
      <c r="B93" s="2343"/>
      <c r="C93" s="2343"/>
      <c r="D93" s="2343"/>
      <c r="E93" s="2343"/>
      <c r="F93" s="2343"/>
      <c r="G93" s="2343"/>
      <c r="H93" s="2343"/>
    </row>
    <row r="94" spans="1:8">
      <c r="A94" s="2344" t="s">
        <v>1025</v>
      </c>
      <c r="B94" s="2343"/>
      <c r="C94" s="2343"/>
      <c r="D94" s="2343"/>
      <c r="E94" s="2343"/>
      <c r="F94" s="2343"/>
      <c r="G94" s="2343"/>
      <c r="H94" s="2343"/>
    </row>
    <row r="95" spans="1:8">
      <c r="A95" s="2344" t="s">
        <v>1026</v>
      </c>
      <c r="B95" s="2343"/>
      <c r="C95" s="2343"/>
      <c r="D95" s="2343"/>
      <c r="E95" s="2343"/>
      <c r="F95" s="2343"/>
      <c r="G95" s="2343"/>
      <c r="H95" s="2343"/>
    </row>
    <row r="96" spans="1:8">
      <c r="A96" s="2344" t="s">
        <v>1027</v>
      </c>
      <c r="B96" s="2343"/>
      <c r="C96" s="2343"/>
      <c r="D96" s="2343"/>
      <c r="E96" s="2343"/>
      <c r="F96" s="2343"/>
      <c r="G96" s="2343"/>
      <c r="H96" s="2343"/>
    </row>
    <row r="97" spans="1:8">
      <c r="A97" s="2344" t="s">
        <v>1028</v>
      </c>
      <c r="B97" s="2343"/>
      <c r="C97" s="2343"/>
      <c r="D97" s="2343"/>
      <c r="E97" s="2343"/>
      <c r="F97" s="2343"/>
      <c r="G97" s="2343"/>
      <c r="H97" s="2343"/>
    </row>
    <row r="98" spans="1:8">
      <c r="A98" s="2344" t="s">
        <v>1029</v>
      </c>
      <c r="B98" s="2343"/>
      <c r="C98" s="2343"/>
      <c r="D98" s="2343"/>
      <c r="E98" s="2343"/>
      <c r="F98" s="2343"/>
      <c r="G98" s="2343"/>
      <c r="H98" s="2343"/>
    </row>
    <row r="99" spans="1:8">
      <c r="A99" s="2343"/>
      <c r="B99" s="2343"/>
      <c r="C99" s="2343"/>
      <c r="D99" s="2343"/>
      <c r="E99" s="2343"/>
      <c r="F99" s="2343"/>
      <c r="G99" s="2343"/>
      <c r="H99" s="2343"/>
    </row>
    <row r="100" spans="1:8">
      <c r="A100" s="2344" t="s">
        <v>1021</v>
      </c>
      <c r="B100" s="2343"/>
      <c r="C100" s="2343"/>
      <c r="D100" s="2343"/>
      <c r="E100" s="2343"/>
      <c r="F100" s="2343"/>
      <c r="G100" s="2343"/>
      <c r="H100" s="2343"/>
    </row>
    <row r="101" spans="1:8">
      <c r="A101" s="2344" t="s">
        <v>1022</v>
      </c>
      <c r="B101" s="2343"/>
      <c r="C101" s="2343"/>
      <c r="D101" s="2343"/>
      <c r="E101" s="2343"/>
      <c r="F101" s="2343"/>
      <c r="G101" s="2343"/>
      <c r="H101" s="2343"/>
    </row>
    <row r="102" spans="1:8">
      <c r="A102" s="2343"/>
      <c r="B102" s="2343"/>
      <c r="C102" s="2343"/>
      <c r="D102" s="2343"/>
      <c r="E102" s="2343"/>
      <c r="F102" s="2343"/>
      <c r="G102" s="2343"/>
      <c r="H102" s="2343"/>
    </row>
    <row r="103" spans="1:8" ht="15.75">
      <c r="A103" s="2345" t="s">
        <v>793</v>
      </c>
      <c r="B103" s="2343"/>
      <c r="C103" s="2343"/>
      <c r="D103" s="2343"/>
      <c r="E103" s="2343"/>
      <c r="F103" s="2343"/>
      <c r="G103" s="2343"/>
      <c r="H103" s="2343"/>
    </row>
    <row r="104" spans="1:8">
      <c r="A104" s="2343"/>
      <c r="B104" s="2343"/>
      <c r="C104" s="2343"/>
      <c r="D104" s="2343"/>
      <c r="E104" s="2343"/>
      <c r="F104" s="2343"/>
      <c r="G104" s="2343"/>
      <c r="H104" s="2343"/>
    </row>
    <row r="105" spans="1:8">
      <c r="A105" s="2344" t="s">
        <v>1012</v>
      </c>
      <c r="B105" s="2343"/>
      <c r="C105" s="2343"/>
      <c r="D105" s="2343"/>
      <c r="E105" s="2343"/>
      <c r="F105" s="2343"/>
      <c r="G105" s="2343"/>
      <c r="H105" s="2343"/>
    </row>
    <row r="106" spans="1:8">
      <c r="A106" s="2344" t="s">
        <v>1013</v>
      </c>
      <c r="B106" s="2343"/>
      <c r="C106" s="2343"/>
      <c r="D106" s="2343"/>
      <c r="E106" s="2343"/>
      <c r="F106" s="2343"/>
      <c r="G106" s="2343"/>
      <c r="H106" s="2343"/>
    </row>
    <row r="107" spans="1:8">
      <c r="A107" s="2344" t="s">
        <v>1014</v>
      </c>
      <c r="B107" s="2343"/>
      <c r="C107" s="2343"/>
      <c r="D107" s="2343"/>
      <c r="E107" s="2343"/>
      <c r="F107" s="2343"/>
      <c r="G107" s="2343"/>
      <c r="H107" s="2343"/>
    </row>
    <row r="108" spans="1:8">
      <c r="A108" s="2344" t="s">
        <v>1015</v>
      </c>
      <c r="B108" s="2343"/>
      <c r="C108" s="2343"/>
      <c r="D108" s="2343"/>
      <c r="E108" s="2343"/>
      <c r="F108" s="2343"/>
      <c r="G108" s="2343"/>
      <c r="H108" s="2343"/>
    </row>
    <row r="109" spans="1:8">
      <c r="A109" s="2344" t="s">
        <v>1016</v>
      </c>
      <c r="B109" s="2343"/>
      <c r="C109" s="2343"/>
      <c r="D109" s="2343"/>
      <c r="E109" s="2343"/>
      <c r="F109" s="2343"/>
      <c r="G109" s="2343"/>
      <c r="H109" s="2343"/>
    </row>
    <row r="110" spans="1:8">
      <c r="A110" s="2344" t="s">
        <v>1017</v>
      </c>
      <c r="B110" s="2343"/>
      <c r="C110" s="2343"/>
      <c r="D110" s="2343"/>
      <c r="E110" s="2343"/>
      <c r="F110" s="2343"/>
      <c r="G110" s="2343"/>
      <c r="H110" s="2343"/>
    </row>
    <row r="111" spans="1:8">
      <c r="A111" s="2344" t="s">
        <v>1018</v>
      </c>
      <c r="B111" s="2343"/>
      <c r="C111" s="2343"/>
      <c r="D111" s="2343"/>
      <c r="E111" s="2343"/>
      <c r="F111" s="2343"/>
      <c r="G111" s="2343"/>
      <c r="H111" s="2343"/>
    </row>
    <row r="112" spans="1:8">
      <c r="A112" s="2344" t="s">
        <v>1019</v>
      </c>
      <c r="B112" s="2343"/>
      <c r="C112" s="2343"/>
      <c r="D112" s="2343"/>
      <c r="E112" s="2343"/>
      <c r="F112" s="2343"/>
      <c r="G112" s="2343"/>
      <c r="H112" s="2343"/>
    </row>
    <row r="113" spans="1:8">
      <c r="A113" s="2344" t="s">
        <v>1020</v>
      </c>
      <c r="B113" s="2343"/>
      <c r="C113" s="2343"/>
      <c r="D113" s="2343"/>
      <c r="E113" s="2343"/>
      <c r="F113" s="2343"/>
      <c r="G113" s="2343"/>
      <c r="H113" s="2343"/>
    </row>
    <row r="114" spans="1:8">
      <c r="A114" s="2343"/>
      <c r="B114" s="2343"/>
      <c r="C114" s="2343"/>
      <c r="D114" s="2343"/>
      <c r="E114" s="2343"/>
      <c r="F114" s="2343"/>
      <c r="G114" s="2343"/>
      <c r="H114" s="2343"/>
    </row>
    <row r="115" spans="1:8" ht="15.75">
      <c r="A115" s="2346" t="s">
        <v>794</v>
      </c>
      <c r="B115" s="2346"/>
      <c r="C115" s="2346"/>
      <c r="D115" s="2346"/>
      <c r="E115" s="2346"/>
      <c r="F115" s="2346"/>
      <c r="G115" s="2346"/>
      <c r="H115" s="2346"/>
    </row>
    <row r="116" spans="1:8">
      <c r="A116" s="2347" t="s">
        <v>795</v>
      </c>
      <c r="B116" s="2347"/>
      <c r="C116" s="2347"/>
      <c r="D116" s="2347"/>
      <c r="E116" s="2347"/>
      <c r="F116" s="2347"/>
      <c r="G116" s="2347"/>
      <c r="H116" s="2347"/>
    </row>
    <row r="117" spans="1:8">
      <c r="A117" s="2348"/>
      <c r="B117" s="2348"/>
      <c r="C117" s="2348"/>
      <c r="D117" s="2348"/>
      <c r="E117" s="2348"/>
      <c r="F117" s="2348"/>
      <c r="G117" s="2348"/>
      <c r="H117" s="2348"/>
    </row>
    <row r="118" spans="1:8">
      <c r="A118" s="2347" t="s">
        <v>1010</v>
      </c>
      <c r="B118" s="2347"/>
      <c r="C118" s="2347"/>
      <c r="D118" s="2347"/>
      <c r="E118" s="2347"/>
      <c r="F118" s="2347"/>
      <c r="G118" s="2347"/>
      <c r="H118" s="2347"/>
    </row>
    <row r="119" spans="1:8">
      <c r="A119" s="2344" t="s">
        <v>1011</v>
      </c>
      <c r="B119" s="2344"/>
      <c r="C119" s="2344"/>
      <c r="D119" s="2344"/>
      <c r="E119" s="2344"/>
      <c r="F119" s="2344"/>
      <c r="G119" s="2344"/>
      <c r="H119" s="2344"/>
    </row>
    <row r="120" spans="1:8">
      <c r="A120" s="2348"/>
      <c r="B120" s="2348"/>
      <c r="C120" s="2348"/>
      <c r="D120" s="2348"/>
      <c r="E120" s="2348"/>
      <c r="F120" s="2348"/>
      <c r="G120" s="2348"/>
      <c r="H120" s="2348"/>
    </row>
    <row r="121" spans="1:8">
      <c r="A121" s="2347" t="s">
        <v>1003</v>
      </c>
      <c r="B121" s="2347"/>
      <c r="C121" s="2347"/>
      <c r="D121" s="2347"/>
      <c r="E121" s="2347"/>
      <c r="F121" s="2347"/>
      <c r="G121" s="2347"/>
      <c r="H121" s="2347"/>
    </row>
    <row r="122" spans="1:8">
      <c r="A122" s="2344" t="s">
        <v>1004</v>
      </c>
      <c r="B122" s="2344"/>
      <c r="C122" s="2344"/>
      <c r="D122" s="2344"/>
      <c r="E122" s="2344"/>
      <c r="F122" s="2344"/>
      <c r="G122" s="2344"/>
      <c r="H122" s="2344"/>
    </row>
    <row r="123" spans="1:8">
      <c r="A123" s="2344" t="s">
        <v>1005</v>
      </c>
      <c r="B123" s="2344"/>
      <c r="C123" s="2344"/>
      <c r="D123" s="2344"/>
      <c r="E123" s="2344"/>
      <c r="F123" s="2344"/>
      <c r="G123" s="2344"/>
      <c r="H123" s="2344"/>
    </row>
    <row r="124" spans="1:8">
      <c r="A124" s="2344" t="s">
        <v>1006</v>
      </c>
      <c r="B124" s="2344"/>
      <c r="C124" s="2344"/>
      <c r="D124" s="2344"/>
      <c r="E124" s="2344"/>
      <c r="F124" s="2344"/>
      <c r="G124" s="2344"/>
      <c r="H124" s="2344"/>
    </row>
    <row r="125" spans="1:8">
      <c r="A125" s="2344" t="s">
        <v>1007</v>
      </c>
      <c r="B125" s="2344"/>
      <c r="C125" s="2344"/>
      <c r="D125" s="2344"/>
      <c r="E125" s="2344"/>
      <c r="F125" s="2344"/>
      <c r="G125" s="2344"/>
      <c r="H125" s="2344"/>
    </row>
    <row r="126" spans="1:8">
      <c r="A126" s="2344" t="s">
        <v>1008</v>
      </c>
      <c r="B126" s="2344"/>
      <c r="C126" s="2344"/>
      <c r="D126" s="2344"/>
      <c r="E126" s="2344"/>
      <c r="F126" s="2344"/>
      <c r="G126" s="2344"/>
      <c r="H126" s="2344"/>
    </row>
    <row r="127" spans="1:8">
      <c r="A127" s="2344" t="s">
        <v>1009</v>
      </c>
      <c r="B127" s="2344"/>
      <c r="C127" s="2344"/>
      <c r="D127" s="2344"/>
      <c r="E127" s="2344"/>
      <c r="F127" s="2344"/>
      <c r="G127" s="2344"/>
      <c r="H127" s="2344"/>
    </row>
    <row r="128" spans="1:8">
      <c r="A128" s="2349"/>
      <c r="B128" s="2349"/>
      <c r="C128" s="2349"/>
      <c r="D128" s="2349"/>
      <c r="E128" s="2349"/>
      <c r="F128" s="2349"/>
      <c r="G128" s="2349"/>
      <c r="H128" s="2349"/>
    </row>
    <row r="129" spans="1:8">
      <c r="A129" s="2350"/>
      <c r="B129" s="2351" t="s">
        <v>796</v>
      </c>
      <c r="C129" s="2352"/>
      <c r="D129" s="2351" t="s">
        <v>797</v>
      </c>
      <c r="E129" s="2353"/>
      <c r="F129" s="2352"/>
      <c r="G129" s="2351" t="s">
        <v>798</v>
      </c>
      <c r="H129" s="2352"/>
    </row>
    <row r="130" spans="1:8">
      <c r="A130" s="2350" t="s">
        <v>799</v>
      </c>
      <c r="B130" s="2350" t="s">
        <v>602</v>
      </c>
      <c r="C130" s="2350" t="s">
        <v>266</v>
      </c>
      <c r="D130" s="2350" t="s">
        <v>602</v>
      </c>
      <c r="E130" s="2350" t="s">
        <v>800</v>
      </c>
      <c r="F130" s="2350" t="s">
        <v>801</v>
      </c>
      <c r="G130" s="2350" t="s">
        <v>602</v>
      </c>
      <c r="H130" s="2350" t="s">
        <v>802</v>
      </c>
    </row>
    <row r="131" spans="1:8">
      <c r="A131" s="2350" t="s">
        <v>803</v>
      </c>
      <c r="B131" s="2350">
        <v>1189</v>
      </c>
      <c r="C131" s="2354">
        <v>0.38</v>
      </c>
      <c r="D131" s="2350">
        <v>315</v>
      </c>
      <c r="E131" s="2354">
        <v>0.41</v>
      </c>
      <c r="F131" s="2354">
        <v>0.26</v>
      </c>
      <c r="G131" s="2350">
        <v>555</v>
      </c>
      <c r="H131" s="2354">
        <v>0.39</v>
      </c>
    </row>
    <row r="132" spans="1:8">
      <c r="A132" s="2350" t="s">
        <v>804</v>
      </c>
      <c r="B132" s="2350">
        <v>1355</v>
      </c>
      <c r="C132" s="2354">
        <v>0.43</v>
      </c>
      <c r="D132" s="2350">
        <v>364</v>
      </c>
      <c r="E132" s="2354">
        <v>0.47</v>
      </c>
      <c r="F132" s="2354">
        <v>0.27</v>
      </c>
      <c r="G132" s="2350">
        <v>644</v>
      </c>
      <c r="H132" s="2354">
        <v>0.45</v>
      </c>
    </row>
    <row r="133" spans="1:8">
      <c r="A133" s="2350" t="s">
        <v>805</v>
      </c>
      <c r="B133" s="2350">
        <v>53</v>
      </c>
      <c r="C133" s="2354">
        <v>0.02</v>
      </c>
      <c r="D133" s="2350">
        <v>4</v>
      </c>
      <c r="E133" s="2354">
        <v>0.01</v>
      </c>
      <c r="F133" s="2354">
        <v>0.08</v>
      </c>
      <c r="G133" s="2350">
        <v>7</v>
      </c>
      <c r="H133" s="2354">
        <v>0</v>
      </c>
    </row>
    <row r="134" spans="1:8">
      <c r="A134" s="2350" t="s">
        <v>806</v>
      </c>
      <c r="B134" s="2350">
        <v>545</v>
      </c>
      <c r="C134" s="2354">
        <v>0.17</v>
      </c>
      <c r="D134" s="2350">
        <v>84</v>
      </c>
      <c r="E134" s="2354">
        <v>0.11</v>
      </c>
      <c r="F134" s="2354">
        <v>0.15</v>
      </c>
      <c r="G134" s="2350">
        <v>214</v>
      </c>
      <c r="H134" s="2354">
        <v>0.15</v>
      </c>
    </row>
    <row r="135" spans="1:8">
      <c r="A135" s="2350" t="s">
        <v>5</v>
      </c>
      <c r="B135" s="2355">
        <v>3142</v>
      </c>
      <c r="C135" s="2350"/>
      <c r="D135" s="2350">
        <v>767</v>
      </c>
      <c r="E135" s="2350"/>
      <c r="F135" s="2350"/>
      <c r="G135" s="2350">
        <v>1420</v>
      </c>
      <c r="H135" s="2350"/>
    </row>
    <row r="136" spans="1:8">
      <c r="A136" s="2356"/>
      <c r="B136" s="2356"/>
      <c r="C136" s="2356"/>
      <c r="D136" s="2356"/>
      <c r="E136" s="2356"/>
      <c r="F136" s="2356"/>
      <c r="G136" s="2356"/>
      <c r="H136" s="2356"/>
    </row>
    <row r="137" spans="1:8">
      <c r="A137" s="2347" t="s">
        <v>999</v>
      </c>
      <c r="B137" s="2347"/>
      <c r="C137" s="2347"/>
      <c r="D137" s="2347"/>
      <c r="E137" s="2347"/>
      <c r="F137" s="2347"/>
      <c r="G137" s="2347"/>
      <c r="H137" s="2347"/>
    </row>
    <row r="138" spans="1:8">
      <c r="A138" s="2344" t="s">
        <v>1000</v>
      </c>
      <c r="B138" s="2344"/>
      <c r="C138" s="2344"/>
      <c r="D138" s="2344"/>
      <c r="E138" s="2344"/>
      <c r="F138" s="2344"/>
      <c r="G138" s="2344"/>
      <c r="H138" s="2344"/>
    </row>
    <row r="139" spans="1:8">
      <c r="A139" s="2344" t="s">
        <v>1001</v>
      </c>
      <c r="B139" s="2344"/>
      <c r="C139" s="2344"/>
      <c r="D139" s="2344"/>
      <c r="E139" s="2344"/>
      <c r="F139" s="2344"/>
      <c r="G139" s="2344"/>
      <c r="H139" s="2344"/>
    </row>
    <row r="140" spans="1:8">
      <c r="A140" s="2344" t="s">
        <v>1002</v>
      </c>
      <c r="B140" s="2344"/>
      <c r="C140" s="2344"/>
      <c r="D140" s="2344"/>
      <c r="E140" s="2344"/>
      <c r="F140" s="2344"/>
      <c r="G140" s="2344"/>
      <c r="H140" s="2344"/>
    </row>
    <row r="141" spans="1:8">
      <c r="A141" s="2343"/>
      <c r="B141" s="2343"/>
      <c r="C141" s="2343"/>
      <c r="D141" s="2343"/>
      <c r="E141" s="2343"/>
      <c r="F141" s="2343"/>
      <c r="G141" s="2343"/>
      <c r="H141" s="2343"/>
    </row>
    <row r="142" spans="1:8" ht="15.75">
      <c r="A142" s="2345" t="s">
        <v>807</v>
      </c>
      <c r="B142" s="2343"/>
      <c r="C142" s="2343"/>
      <c r="D142" s="2343"/>
      <c r="E142" s="2343"/>
      <c r="F142" s="2343"/>
      <c r="G142" s="2343"/>
      <c r="H142" s="2343"/>
    </row>
    <row r="143" spans="1:8">
      <c r="A143" s="2343"/>
      <c r="B143" s="2343"/>
      <c r="C143" s="2343"/>
      <c r="D143" s="2343"/>
      <c r="E143" s="2343"/>
      <c r="F143" s="2343"/>
      <c r="G143" s="2343"/>
      <c r="H143" s="2343"/>
    </row>
    <row r="144" spans="1:8">
      <c r="A144" s="2344" t="s">
        <v>997</v>
      </c>
      <c r="B144" s="2343"/>
      <c r="C144" s="2343"/>
      <c r="D144" s="2343"/>
      <c r="E144" s="2343"/>
      <c r="F144" s="2343"/>
      <c r="G144" s="2343"/>
      <c r="H144" s="2343"/>
    </row>
    <row r="145" spans="1:8">
      <c r="A145" s="2344" t="s">
        <v>998</v>
      </c>
      <c r="B145" s="2343"/>
      <c r="C145" s="2343"/>
      <c r="D145" s="2343"/>
      <c r="E145" s="2343"/>
      <c r="F145" s="2343"/>
      <c r="G145" s="2343"/>
      <c r="H145" s="2343"/>
    </row>
    <row r="146" spans="1:8">
      <c r="A146" s="2343"/>
      <c r="B146" s="2343"/>
      <c r="C146" s="2343"/>
      <c r="D146" s="2343"/>
      <c r="E146" s="2343"/>
      <c r="F146" s="2343"/>
      <c r="G146" s="2343"/>
      <c r="H146" s="2343"/>
    </row>
    <row r="147" spans="1:8">
      <c r="A147" s="2344" t="s">
        <v>994</v>
      </c>
      <c r="B147" s="2343"/>
      <c r="C147" s="2343"/>
      <c r="D147" s="2343"/>
      <c r="E147" s="2343"/>
      <c r="F147" s="2343"/>
      <c r="G147" s="2343"/>
      <c r="H147" s="2343"/>
    </row>
    <row r="148" spans="1:8">
      <c r="A148" s="2344" t="s">
        <v>995</v>
      </c>
      <c r="B148" s="2343"/>
      <c r="C148" s="2343"/>
      <c r="D148" s="2343"/>
      <c r="E148" s="2343"/>
      <c r="F148" s="2343"/>
      <c r="G148" s="2343"/>
      <c r="H148" s="2343"/>
    </row>
    <row r="149" spans="1:8">
      <c r="A149" s="2344" t="s">
        <v>996</v>
      </c>
      <c r="B149" s="2343"/>
      <c r="C149" s="2343"/>
      <c r="D149" s="2343"/>
      <c r="E149" s="2343"/>
      <c r="F149" s="2343"/>
      <c r="G149" s="2343"/>
      <c r="H149" s="2343"/>
    </row>
    <row r="150" spans="1:8">
      <c r="A150" s="2343"/>
      <c r="B150" s="2343"/>
      <c r="C150" s="2343"/>
      <c r="D150" s="2343"/>
      <c r="E150" s="2343"/>
      <c r="F150" s="2343"/>
      <c r="G150" s="2343"/>
      <c r="H150" s="2343"/>
    </row>
    <row r="151" spans="1:8">
      <c r="A151" s="2344" t="s">
        <v>991</v>
      </c>
      <c r="B151" s="2343"/>
      <c r="C151" s="2343"/>
      <c r="D151" s="2343"/>
      <c r="E151" s="2343"/>
      <c r="F151" s="2343"/>
      <c r="G151" s="2343"/>
      <c r="H151" s="2343"/>
    </row>
    <row r="152" spans="1:8">
      <c r="A152" s="2344" t="s">
        <v>992</v>
      </c>
      <c r="B152" s="2343"/>
      <c r="C152" s="2343"/>
      <c r="D152" s="2343"/>
      <c r="E152" s="2343"/>
      <c r="F152" s="2343"/>
      <c r="G152" s="2343"/>
      <c r="H152" s="2343"/>
    </row>
    <row r="153" spans="1:8">
      <c r="A153" s="2344" t="s">
        <v>993</v>
      </c>
      <c r="B153" s="2343"/>
      <c r="C153" s="2343"/>
      <c r="D153" s="2343"/>
      <c r="E153" s="2343"/>
      <c r="F153" s="2343"/>
      <c r="G153" s="2343"/>
      <c r="H153" s="2343"/>
    </row>
    <row r="154" spans="1:8">
      <c r="A154" s="2343"/>
      <c r="B154" s="2343"/>
      <c r="C154" s="2343"/>
      <c r="D154" s="2343"/>
      <c r="E154" s="2343"/>
      <c r="F154" s="2343"/>
      <c r="G154" s="2343"/>
      <c r="H154" s="2343"/>
    </row>
    <row r="155" spans="1:8">
      <c r="A155" s="2344" t="s">
        <v>988</v>
      </c>
      <c r="B155" s="2343"/>
      <c r="C155" s="2343"/>
      <c r="D155" s="2343"/>
      <c r="E155" s="2343"/>
      <c r="F155" s="2343"/>
      <c r="G155" s="2343"/>
      <c r="H155" s="2343"/>
    </row>
    <row r="156" spans="1:8">
      <c r="A156" s="2344" t="s">
        <v>989</v>
      </c>
      <c r="B156" s="2343"/>
      <c r="C156" s="2343"/>
      <c r="D156" s="2343"/>
      <c r="E156" s="2343"/>
      <c r="F156" s="2343"/>
      <c r="G156" s="2343"/>
      <c r="H156" s="2343"/>
    </row>
    <row r="157" spans="1:8">
      <c r="A157" s="2344" t="s">
        <v>990</v>
      </c>
      <c r="B157" s="2343"/>
      <c r="C157" s="2343"/>
      <c r="D157" s="2343"/>
      <c r="E157" s="2343"/>
      <c r="F157" s="2343"/>
      <c r="G157" s="2343"/>
      <c r="H157" s="2343"/>
    </row>
    <row r="158" spans="1:8">
      <c r="A158" s="2343"/>
      <c r="B158" s="2343"/>
      <c r="C158" s="2343"/>
      <c r="D158" s="2343"/>
      <c r="E158" s="2343"/>
      <c r="F158" s="2343"/>
      <c r="G158" s="2343"/>
      <c r="H158" s="2343"/>
    </row>
    <row r="159" spans="1:8">
      <c r="A159" s="2344" t="s">
        <v>986</v>
      </c>
      <c r="B159" s="2343"/>
      <c r="C159" s="2343"/>
      <c r="D159" s="2343"/>
      <c r="E159" s="2343"/>
      <c r="F159" s="2343"/>
      <c r="G159" s="2343"/>
      <c r="H159" s="2343"/>
    </row>
    <row r="160" spans="1:8">
      <c r="A160" s="2344" t="s">
        <v>987</v>
      </c>
      <c r="B160" s="2343"/>
      <c r="C160" s="2343"/>
      <c r="D160" s="2343"/>
      <c r="E160" s="2343"/>
      <c r="F160" s="2343"/>
      <c r="G160" s="2343"/>
      <c r="H160" s="2343"/>
    </row>
    <row r="161" spans="1:8">
      <c r="A161" s="2343"/>
      <c r="B161" s="2343"/>
      <c r="C161" s="2343"/>
      <c r="D161" s="2343"/>
      <c r="E161" s="2343"/>
      <c r="F161" s="2343"/>
      <c r="G161" s="2343"/>
      <c r="H161" s="2343"/>
    </row>
    <row r="162" spans="1:8" ht="15.75">
      <c r="A162" s="2345" t="s">
        <v>808</v>
      </c>
      <c r="B162" s="2343"/>
      <c r="C162" s="2343"/>
      <c r="D162" s="2343"/>
      <c r="E162" s="2343"/>
      <c r="F162" s="2343"/>
      <c r="G162" s="2343"/>
      <c r="H162" s="2343"/>
    </row>
    <row r="163" spans="1:8">
      <c r="A163" s="2343"/>
      <c r="B163" s="2343"/>
      <c r="C163" s="2343"/>
      <c r="D163" s="2343"/>
      <c r="E163" s="2343"/>
      <c r="F163" s="2343"/>
      <c r="G163" s="2343"/>
      <c r="H163" s="2343"/>
    </row>
    <row r="164" spans="1:8">
      <c r="A164" s="2344" t="s">
        <v>984</v>
      </c>
      <c r="B164" s="2343"/>
      <c r="C164" s="2343"/>
      <c r="D164" s="2343"/>
      <c r="E164" s="2343"/>
      <c r="F164" s="2343"/>
      <c r="G164" s="2343"/>
      <c r="H164" s="2343"/>
    </row>
    <row r="165" spans="1:8">
      <c r="A165" s="2344" t="s">
        <v>985</v>
      </c>
      <c r="B165" s="2343"/>
      <c r="C165" s="2343"/>
      <c r="D165" s="2343"/>
      <c r="E165" s="2343"/>
      <c r="F165" s="2343"/>
      <c r="G165" s="2343"/>
      <c r="H165" s="2343"/>
    </row>
    <row r="166" spans="1:8">
      <c r="A166" s="2343"/>
      <c r="B166" s="2343"/>
      <c r="C166" s="2343"/>
      <c r="D166" s="2343"/>
      <c r="E166" s="2343"/>
      <c r="F166" s="2343"/>
      <c r="G166" s="2343"/>
      <c r="H166" s="2343"/>
    </row>
    <row r="167" spans="1:8">
      <c r="A167" s="2344" t="s">
        <v>982</v>
      </c>
      <c r="B167" s="2343"/>
      <c r="C167" s="2343"/>
      <c r="D167" s="2343"/>
      <c r="E167" s="2343"/>
      <c r="F167" s="2343"/>
      <c r="G167" s="2343"/>
      <c r="H167" s="2343"/>
    </row>
    <row r="168" spans="1:8">
      <c r="A168" s="2344" t="s">
        <v>983</v>
      </c>
      <c r="B168" s="2343"/>
      <c r="C168" s="2343"/>
      <c r="D168" s="2343"/>
      <c r="E168" s="2343"/>
      <c r="F168" s="2343"/>
      <c r="G168" s="2343"/>
      <c r="H168" s="2343"/>
    </row>
    <row r="169" spans="1:8">
      <c r="A169" s="2343"/>
      <c r="B169" s="2343"/>
      <c r="C169" s="2343"/>
      <c r="D169" s="2343"/>
      <c r="E169" s="2343"/>
      <c r="F169" s="2343"/>
      <c r="G169" s="2343"/>
      <c r="H169" s="2343"/>
    </row>
    <row r="170" spans="1:8">
      <c r="A170" s="2344" t="s">
        <v>980</v>
      </c>
      <c r="B170" s="2343"/>
      <c r="C170" s="2343"/>
      <c r="D170" s="2343"/>
      <c r="E170" s="2343"/>
      <c r="F170" s="2343"/>
      <c r="G170" s="2343"/>
      <c r="H170" s="2343"/>
    </row>
    <row r="171" spans="1:8">
      <c r="A171" s="2344" t="s">
        <v>981</v>
      </c>
      <c r="B171" s="2343"/>
      <c r="C171" s="2343"/>
      <c r="D171" s="2343"/>
      <c r="E171" s="2343"/>
      <c r="F171" s="2343"/>
      <c r="G171" s="2343"/>
      <c r="H171" s="2343"/>
    </row>
    <row r="172" spans="1:8">
      <c r="A172" s="2343"/>
      <c r="B172" s="2343"/>
      <c r="C172" s="2343"/>
      <c r="D172" s="2343"/>
      <c r="E172" s="2343"/>
      <c r="F172" s="2343"/>
      <c r="G172" s="2343"/>
      <c r="H172" s="2343"/>
    </row>
    <row r="173" spans="1:8">
      <c r="A173" s="2344" t="s">
        <v>977</v>
      </c>
      <c r="B173" s="2343"/>
      <c r="C173" s="2343"/>
      <c r="D173" s="2343"/>
      <c r="E173" s="2343"/>
      <c r="F173" s="2343"/>
      <c r="G173" s="2343"/>
      <c r="H173" s="2343"/>
    </row>
    <row r="174" spans="1:8">
      <c r="A174" s="2344" t="s">
        <v>978</v>
      </c>
      <c r="B174" s="2343"/>
      <c r="C174" s="2343"/>
      <c r="D174" s="2343"/>
      <c r="E174" s="2343"/>
      <c r="F174" s="2343"/>
      <c r="G174" s="2343"/>
      <c r="H174" s="2343"/>
    </row>
    <row r="175" spans="1:8">
      <c r="A175" s="2344" t="s">
        <v>979</v>
      </c>
      <c r="B175" s="2343"/>
      <c r="C175" s="2343"/>
      <c r="D175" s="2343"/>
      <c r="E175" s="2343"/>
      <c r="F175" s="2343"/>
      <c r="G175" s="2343"/>
      <c r="H175" s="2343"/>
    </row>
    <row r="176" spans="1:8">
      <c r="A176" s="2343"/>
      <c r="B176" s="2343"/>
      <c r="C176" s="2343"/>
      <c r="D176" s="2343"/>
      <c r="E176" s="2343"/>
      <c r="F176" s="2343"/>
      <c r="G176" s="2343"/>
      <c r="H176" s="2343"/>
    </row>
    <row r="177" spans="1:8">
      <c r="A177" s="2343"/>
      <c r="B177" s="2343"/>
      <c r="C177" s="2343"/>
      <c r="D177" s="2343"/>
      <c r="E177" s="2343"/>
      <c r="F177" s="2343"/>
      <c r="G177" s="2343"/>
      <c r="H177" s="2343"/>
    </row>
    <row r="178" spans="1:8">
      <c r="A178" s="2344" t="s">
        <v>809</v>
      </c>
      <c r="B178" s="2343"/>
      <c r="C178" s="2343"/>
      <c r="D178" s="2343"/>
      <c r="E178" s="2343"/>
      <c r="F178" s="2343"/>
      <c r="G178" s="2343"/>
      <c r="H178" s="2343"/>
    </row>
    <row r="179" spans="1:8">
      <c r="A179" s="2343"/>
      <c r="B179" s="2343"/>
      <c r="C179" s="2343"/>
      <c r="D179" s="2343"/>
      <c r="E179" s="2343"/>
      <c r="F179" s="2343"/>
      <c r="G179" s="2343"/>
      <c r="H179" s="2343"/>
    </row>
    <row r="180" spans="1:8" ht="15.75">
      <c r="A180" s="2345" t="s">
        <v>810</v>
      </c>
      <c r="B180" s="2343"/>
      <c r="C180" s="2343"/>
      <c r="D180" s="2343"/>
      <c r="E180" s="2343"/>
      <c r="F180" s="2343"/>
      <c r="G180" s="2343"/>
      <c r="H180" s="2343"/>
    </row>
    <row r="181" spans="1:8">
      <c r="A181" s="2343"/>
      <c r="B181" s="2343"/>
      <c r="C181" s="2343"/>
      <c r="D181" s="2343"/>
      <c r="E181" s="2343"/>
      <c r="F181" s="2343"/>
      <c r="G181" s="2343"/>
      <c r="H181" s="2343"/>
    </row>
    <row r="182" spans="1:8">
      <c r="A182" s="2343"/>
      <c r="B182" s="2343"/>
      <c r="C182" s="2343"/>
      <c r="D182" s="2343"/>
      <c r="E182" s="2343"/>
      <c r="F182" s="2343"/>
      <c r="G182" s="2343"/>
      <c r="H182" s="2343"/>
    </row>
    <row r="183" spans="1:8">
      <c r="A183" s="2343"/>
      <c r="B183" s="2343"/>
      <c r="C183" s="2343"/>
      <c r="D183" s="2343"/>
      <c r="E183" s="2343"/>
      <c r="F183" s="2343"/>
      <c r="G183" s="2343"/>
      <c r="H183" s="2343"/>
    </row>
    <row r="184" spans="1:8">
      <c r="A184" s="2343"/>
      <c r="B184" s="2343"/>
      <c r="C184" s="2343"/>
      <c r="D184" s="2343"/>
      <c r="E184" s="2343"/>
      <c r="F184" s="2343"/>
      <c r="G184" s="2343"/>
      <c r="H184" s="2343"/>
    </row>
    <row r="185" spans="1:8">
      <c r="A185" s="2343"/>
      <c r="B185" s="2343"/>
      <c r="C185" s="2343"/>
      <c r="D185" s="2343"/>
      <c r="E185" s="2343"/>
      <c r="F185" s="2343"/>
      <c r="G185" s="2343"/>
      <c r="H185" s="2343"/>
    </row>
    <row r="186" spans="1:8">
      <c r="A186" s="2343"/>
      <c r="B186" s="2343"/>
      <c r="C186" s="2343"/>
      <c r="D186" s="2343"/>
      <c r="E186" s="2343"/>
      <c r="F186" s="2343"/>
      <c r="G186" s="2343"/>
      <c r="H186" s="2343"/>
    </row>
    <row r="187" spans="1:8">
      <c r="A187" s="2343"/>
      <c r="B187" s="2343"/>
      <c r="C187" s="2343"/>
      <c r="D187" s="2343"/>
      <c r="E187" s="2343"/>
      <c r="F187" s="2343"/>
      <c r="G187" s="2343"/>
      <c r="H187" s="2343"/>
    </row>
    <row r="188" spans="1:8">
      <c r="A188" s="2343"/>
      <c r="B188" s="2343"/>
      <c r="C188" s="2343"/>
      <c r="D188" s="2343"/>
      <c r="E188" s="2343"/>
      <c r="F188" s="2343"/>
      <c r="G188" s="2343"/>
      <c r="H188" s="2343"/>
    </row>
    <row r="189" spans="1:8">
      <c r="A189" s="2343"/>
      <c r="B189" s="2343"/>
      <c r="C189" s="2343"/>
      <c r="D189" s="2343"/>
      <c r="E189" s="2343"/>
      <c r="F189" s="2343"/>
      <c r="G189" s="2343"/>
      <c r="H189" s="2343"/>
    </row>
    <row r="190" spans="1:8">
      <c r="A190" s="2343"/>
      <c r="B190" s="2343"/>
      <c r="C190" s="2343"/>
      <c r="D190" s="2343"/>
      <c r="E190" s="2343"/>
      <c r="F190" s="2343"/>
      <c r="G190" s="2343"/>
      <c r="H190" s="2343"/>
    </row>
    <row r="191" spans="1:8">
      <c r="A191" s="2343"/>
      <c r="B191" s="2343"/>
      <c r="C191" s="2343"/>
      <c r="D191" s="2343"/>
      <c r="E191" s="2343"/>
      <c r="F191" s="2343"/>
      <c r="G191" s="2343"/>
      <c r="H191" s="2343"/>
    </row>
    <row r="192" spans="1:8">
      <c r="A192" s="2343"/>
      <c r="B192" s="2343"/>
      <c r="C192" s="2343"/>
      <c r="D192" s="2343"/>
      <c r="E192" s="2343"/>
      <c r="F192" s="2343"/>
      <c r="G192" s="2343"/>
      <c r="H192" s="2343"/>
    </row>
    <row r="193" spans="1:8">
      <c r="A193" s="2343"/>
      <c r="B193" s="2343"/>
      <c r="C193" s="2343"/>
      <c r="D193" s="2343"/>
      <c r="E193" s="2343"/>
      <c r="F193" s="2343"/>
      <c r="G193" s="2343"/>
      <c r="H193" s="2343"/>
    </row>
    <row r="194" spans="1:8">
      <c r="A194" s="2343"/>
      <c r="B194" s="2343"/>
      <c r="C194" s="2343"/>
      <c r="D194" s="2343"/>
      <c r="E194" s="2343"/>
      <c r="F194" s="2343"/>
      <c r="G194" s="2343"/>
      <c r="H194" s="2343"/>
    </row>
    <row r="195" spans="1:8">
      <c r="A195" s="2343"/>
      <c r="B195" s="2343"/>
      <c r="C195" s="2343"/>
      <c r="D195" s="2343"/>
      <c r="E195" s="2343"/>
      <c r="F195" s="2343"/>
      <c r="G195" s="2343"/>
      <c r="H195" s="2343"/>
    </row>
    <row r="196" spans="1:8">
      <c r="A196" s="2343"/>
      <c r="B196" s="2343"/>
      <c r="C196" s="2343"/>
      <c r="D196" s="2343"/>
      <c r="E196" s="2343"/>
      <c r="F196" s="2343"/>
      <c r="G196" s="2343"/>
      <c r="H196" s="2343"/>
    </row>
    <row r="197" spans="1:8">
      <c r="A197" s="2343"/>
      <c r="B197" s="2343"/>
      <c r="C197" s="2343"/>
      <c r="D197" s="2343"/>
      <c r="E197" s="2343"/>
      <c r="F197" s="2343"/>
      <c r="G197" s="2343"/>
      <c r="H197" s="2343"/>
    </row>
    <row r="198" spans="1:8">
      <c r="A198" s="2343"/>
      <c r="B198" s="2343"/>
      <c r="C198" s="2343"/>
      <c r="D198" s="2343"/>
      <c r="E198" s="2343"/>
      <c r="F198" s="2343"/>
      <c r="G198" s="2343"/>
      <c r="H198" s="2343"/>
    </row>
    <row r="199" spans="1:8">
      <c r="A199" s="2343"/>
      <c r="B199" s="2343"/>
      <c r="C199" s="2343"/>
      <c r="D199" s="2343"/>
      <c r="E199" s="2343"/>
      <c r="F199" s="2343"/>
      <c r="G199" s="2343"/>
      <c r="H199" s="2343"/>
    </row>
    <row r="200" spans="1:8">
      <c r="A200" s="2343"/>
      <c r="B200" s="2343"/>
      <c r="C200" s="2343"/>
      <c r="D200" s="2343"/>
      <c r="E200" s="2343"/>
      <c r="F200" s="2343"/>
      <c r="G200" s="2343"/>
      <c r="H200" s="2343"/>
    </row>
    <row r="201" spans="1:8">
      <c r="A201" s="2343"/>
      <c r="B201" s="2343"/>
      <c r="C201" s="2343"/>
      <c r="D201" s="2343"/>
      <c r="E201" s="2343"/>
      <c r="F201" s="2343"/>
      <c r="G201" s="2343"/>
      <c r="H201" s="2343"/>
    </row>
    <row r="202" spans="1:8">
      <c r="A202" s="2343"/>
      <c r="B202" s="2343"/>
      <c r="C202" s="2343"/>
      <c r="D202" s="2343"/>
      <c r="E202" s="2343"/>
      <c r="F202" s="2343"/>
      <c r="G202" s="2343"/>
      <c r="H202" s="2343"/>
    </row>
    <row r="203" spans="1:8">
      <c r="A203" s="2343"/>
      <c r="B203" s="2343"/>
      <c r="C203" s="2343"/>
      <c r="D203" s="2343"/>
      <c r="E203" s="2343"/>
      <c r="F203" s="2343"/>
      <c r="G203" s="2343"/>
      <c r="H203" s="2343"/>
    </row>
    <row r="204" spans="1:8">
      <c r="A204" s="2343"/>
      <c r="B204" s="2343"/>
      <c r="C204" s="2343"/>
      <c r="D204" s="2343"/>
      <c r="E204" s="2343"/>
      <c r="F204" s="2343"/>
      <c r="G204" s="2343"/>
      <c r="H204" s="2343"/>
    </row>
    <row r="205" spans="1:8">
      <c r="A205" s="2343"/>
      <c r="B205" s="2343"/>
      <c r="C205" s="2343"/>
      <c r="D205" s="2343"/>
      <c r="E205" s="2343"/>
      <c r="F205" s="2343"/>
      <c r="G205" s="2343"/>
      <c r="H205" s="2343"/>
    </row>
    <row r="206" spans="1:8">
      <c r="A206" s="2343"/>
      <c r="B206" s="2343"/>
      <c r="C206" s="2343"/>
      <c r="D206" s="2343"/>
      <c r="E206" s="2343"/>
      <c r="F206" s="2343"/>
      <c r="G206" s="2343"/>
      <c r="H206" s="2343"/>
    </row>
    <row r="207" spans="1:8" ht="15.75">
      <c r="A207" s="2345" t="s">
        <v>811</v>
      </c>
      <c r="B207" s="2343"/>
      <c r="C207" s="2343"/>
      <c r="D207" s="2343"/>
      <c r="E207" s="2343"/>
      <c r="F207" s="2343"/>
      <c r="G207" s="2343"/>
      <c r="H207" s="2343"/>
    </row>
    <row r="208" spans="1:8">
      <c r="A208" s="2343"/>
      <c r="B208" s="2343"/>
      <c r="C208" s="2343"/>
      <c r="D208" s="2343"/>
      <c r="E208" s="2343"/>
      <c r="F208" s="2343"/>
      <c r="G208" s="2343"/>
      <c r="H208" s="2343"/>
    </row>
    <row r="209" spans="1:8">
      <c r="A209" s="2344" t="s">
        <v>972</v>
      </c>
      <c r="B209" s="2343"/>
      <c r="C209" s="2343"/>
      <c r="D209" s="2343"/>
      <c r="E209" s="2343"/>
      <c r="F209" s="2343"/>
      <c r="G209" s="2343"/>
      <c r="H209" s="2343"/>
    </row>
    <row r="210" spans="1:8">
      <c r="A210" s="2344" t="s">
        <v>973</v>
      </c>
      <c r="B210" s="2343"/>
      <c r="C210" s="2343"/>
      <c r="D210" s="2343"/>
      <c r="E210" s="2343"/>
      <c r="F210" s="2343"/>
      <c r="G210" s="2343"/>
      <c r="H210" s="2343"/>
    </row>
    <row r="211" spans="1:8">
      <c r="A211" s="2344" t="s">
        <v>974</v>
      </c>
      <c r="B211" s="2343"/>
      <c r="C211" s="2343"/>
      <c r="D211" s="2343"/>
      <c r="E211" s="2343"/>
      <c r="F211" s="2343"/>
      <c r="G211" s="2343"/>
      <c r="H211" s="2343"/>
    </row>
    <row r="212" spans="1:8">
      <c r="A212" s="2344" t="s">
        <v>975</v>
      </c>
      <c r="B212" s="2343"/>
      <c r="C212" s="2343"/>
      <c r="D212" s="2343"/>
      <c r="E212" s="2343"/>
      <c r="F212" s="2343"/>
      <c r="G212" s="2343"/>
      <c r="H212" s="2343"/>
    </row>
    <row r="213" spans="1:8">
      <c r="A213" s="2344" t="s">
        <v>976</v>
      </c>
      <c r="B213" s="2343"/>
      <c r="C213" s="2343"/>
      <c r="D213" s="2343"/>
      <c r="E213" s="2343"/>
      <c r="F213" s="2343"/>
      <c r="G213" s="2343"/>
      <c r="H213" s="2343"/>
    </row>
    <row r="214" spans="1:8">
      <c r="A214" s="2343"/>
      <c r="B214" s="2343"/>
      <c r="C214" s="2343"/>
      <c r="D214" s="2343"/>
      <c r="E214" s="2343"/>
      <c r="F214" s="2343"/>
      <c r="G214" s="2343"/>
      <c r="H214" s="2343"/>
    </row>
    <row r="215" spans="1:8">
      <c r="A215" s="2344" t="s">
        <v>969</v>
      </c>
      <c r="B215" s="2343"/>
      <c r="C215" s="2343"/>
      <c r="D215" s="2343"/>
      <c r="E215" s="2343"/>
      <c r="F215" s="2343"/>
      <c r="G215" s="2343"/>
      <c r="H215" s="2343"/>
    </row>
    <row r="216" spans="1:8">
      <c r="A216" s="2344" t="s">
        <v>970</v>
      </c>
      <c r="B216" s="2343"/>
      <c r="C216" s="2343"/>
      <c r="D216" s="2343"/>
      <c r="E216" s="2343"/>
      <c r="F216" s="2343"/>
      <c r="G216" s="2343"/>
      <c r="H216" s="2343"/>
    </row>
    <row r="217" spans="1:8">
      <c r="A217" s="2344" t="s">
        <v>971</v>
      </c>
      <c r="B217" s="2343"/>
      <c r="C217" s="2343"/>
      <c r="D217" s="2343"/>
      <c r="E217" s="2343"/>
      <c r="F217" s="2343"/>
      <c r="G217" s="2343"/>
      <c r="H217" s="2343"/>
    </row>
    <row r="218" spans="1:8" ht="15.75">
      <c r="A218" s="2345" t="s">
        <v>812</v>
      </c>
      <c r="B218" s="2343"/>
      <c r="C218" s="2343"/>
      <c r="D218" s="2343"/>
      <c r="E218" s="2343"/>
      <c r="F218" s="2343"/>
      <c r="G218" s="2343"/>
      <c r="H218" s="2343"/>
    </row>
    <row r="219" spans="1:8">
      <c r="A219" s="2343"/>
      <c r="B219" s="2343"/>
      <c r="C219" s="2343"/>
      <c r="D219" s="2343"/>
      <c r="E219" s="2343"/>
      <c r="F219" s="2343"/>
      <c r="G219" s="2343"/>
      <c r="H219" s="2343"/>
    </row>
    <row r="220" spans="1:8">
      <c r="A220" s="2344" t="s">
        <v>967</v>
      </c>
      <c r="B220" s="2343"/>
      <c r="C220" s="2343"/>
      <c r="D220" s="2343"/>
      <c r="E220" s="2343"/>
      <c r="F220" s="2343"/>
      <c r="G220" s="2343"/>
      <c r="H220" s="2343"/>
    </row>
    <row r="221" spans="1:8">
      <c r="A221" s="2344" t="s">
        <v>968</v>
      </c>
      <c r="B221" s="2343"/>
      <c r="C221" s="2343"/>
      <c r="D221" s="2343"/>
      <c r="E221" s="2343"/>
      <c r="F221" s="2343"/>
      <c r="G221" s="2343"/>
      <c r="H221" s="2343"/>
    </row>
    <row r="222" spans="1:8">
      <c r="A222" s="2343"/>
      <c r="B222" s="2343"/>
      <c r="C222" s="2343"/>
      <c r="D222" s="2343"/>
      <c r="E222" s="2343"/>
      <c r="F222" s="2343"/>
      <c r="G222" s="2343"/>
      <c r="H222" s="2343"/>
    </row>
    <row r="223" spans="1:8">
      <c r="A223" s="2344" t="s">
        <v>960</v>
      </c>
      <c r="B223" s="2343"/>
      <c r="C223" s="2343"/>
      <c r="D223" s="2343"/>
      <c r="E223" s="2343"/>
      <c r="F223" s="2343"/>
      <c r="G223" s="2343"/>
      <c r="H223" s="2343"/>
    </row>
    <row r="224" spans="1:8">
      <c r="A224" s="2344" t="s">
        <v>961</v>
      </c>
      <c r="B224" s="2343"/>
      <c r="C224" s="2343"/>
      <c r="D224" s="2343"/>
      <c r="E224" s="2343"/>
      <c r="F224" s="2343"/>
      <c r="G224" s="2343"/>
      <c r="H224" s="2343"/>
    </row>
    <row r="225" spans="1:8">
      <c r="A225" s="2344" t="s">
        <v>962</v>
      </c>
      <c r="B225" s="2343"/>
      <c r="C225" s="2343"/>
      <c r="D225" s="2343"/>
      <c r="E225" s="2343"/>
      <c r="F225" s="2343"/>
      <c r="G225" s="2343"/>
      <c r="H225" s="2343"/>
    </row>
    <row r="226" spans="1:8">
      <c r="A226" s="2344" t="s">
        <v>963</v>
      </c>
      <c r="B226" s="2343"/>
      <c r="C226" s="2343"/>
      <c r="D226" s="2343"/>
      <c r="E226" s="2343"/>
      <c r="F226" s="2343"/>
      <c r="G226" s="2343"/>
      <c r="H226" s="2343"/>
    </row>
    <row r="227" spans="1:8">
      <c r="A227" s="2344" t="s">
        <v>964</v>
      </c>
      <c r="B227" s="2343"/>
      <c r="C227" s="2343"/>
      <c r="D227" s="2343"/>
      <c r="E227" s="2343"/>
      <c r="F227" s="2343"/>
      <c r="G227" s="2343"/>
      <c r="H227" s="2343"/>
    </row>
    <row r="228" spans="1:8">
      <c r="A228" s="2344" t="s">
        <v>965</v>
      </c>
      <c r="B228" s="2343"/>
      <c r="C228" s="2343"/>
      <c r="D228" s="2343"/>
      <c r="E228" s="2343"/>
      <c r="F228" s="2343"/>
      <c r="G228" s="2343"/>
      <c r="H228" s="2343"/>
    </row>
    <row r="229" spans="1:8">
      <c r="A229" s="2344" t="s">
        <v>966</v>
      </c>
      <c r="B229" s="2343"/>
      <c r="C229" s="2343"/>
      <c r="D229" s="2343"/>
      <c r="E229" s="2343"/>
      <c r="F229" s="2343"/>
      <c r="G229" s="2343"/>
      <c r="H229" s="2343"/>
    </row>
    <row r="230" spans="1:8">
      <c r="A230" s="2343"/>
      <c r="B230" s="2343"/>
      <c r="C230" s="2343"/>
      <c r="D230" s="2343"/>
      <c r="E230" s="2343"/>
      <c r="F230" s="2343"/>
      <c r="G230" s="2343"/>
      <c r="H230" s="2343"/>
    </row>
    <row r="231" spans="1:8">
      <c r="A231" s="2344" t="s">
        <v>957</v>
      </c>
      <c r="B231" s="2343"/>
      <c r="C231" s="2343"/>
      <c r="D231" s="2343"/>
      <c r="E231" s="2343"/>
      <c r="F231" s="2343"/>
      <c r="G231" s="2343"/>
      <c r="H231" s="2343"/>
    </row>
    <row r="232" spans="1:8">
      <c r="A232" s="2344" t="s">
        <v>958</v>
      </c>
      <c r="B232" s="2343"/>
      <c r="C232" s="2343"/>
      <c r="D232" s="2343"/>
      <c r="E232" s="2343"/>
      <c r="F232" s="2343"/>
      <c r="G232" s="2343"/>
      <c r="H232" s="2343"/>
    </row>
    <row r="233" spans="1:8">
      <c r="A233" s="2344" t="s">
        <v>959</v>
      </c>
      <c r="B233" s="2343"/>
      <c r="C233" s="2343"/>
      <c r="D233" s="2343"/>
      <c r="E233" s="2343"/>
      <c r="F233" s="2343"/>
      <c r="G233" s="2343"/>
      <c r="H233" s="2343"/>
    </row>
    <row r="234" spans="1:8">
      <c r="A234" s="2343"/>
      <c r="B234" s="2343"/>
      <c r="C234" s="2343"/>
      <c r="D234" s="2343"/>
      <c r="E234" s="2343"/>
      <c r="F234" s="2343"/>
      <c r="G234" s="2343"/>
      <c r="H234" s="2343"/>
    </row>
    <row r="235" spans="1:8">
      <c r="A235" s="2344" t="s">
        <v>952</v>
      </c>
      <c r="B235" s="2343"/>
      <c r="C235" s="2343"/>
      <c r="D235" s="2343"/>
      <c r="E235" s="2343"/>
      <c r="F235" s="2343"/>
      <c r="G235" s="2343"/>
      <c r="H235" s="2343"/>
    </row>
    <row r="236" spans="1:8">
      <c r="A236" s="2344" t="s">
        <v>953</v>
      </c>
      <c r="B236" s="2343"/>
      <c r="C236" s="2343"/>
      <c r="D236" s="2343"/>
      <c r="E236" s="2343"/>
      <c r="F236" s="2343"/>
      <c r="G236" s="2343"/>
      <c r="H236" s="2343"/>
    </row>
    <row r="237" spans="1:8">
      <c r="A237" s="2344" t="s">
        <v>954</v>
      </c>
      <c r="B237" s="2343"/>
      <c r="C237" s="2343"/>
      <c r="D237" s="2343"/>
      <c r="E237" s="2343"/>
      <c r="F237" s="2343"/>
      <c r="G237" s="2343"/>
      <c r="H237" s="2343"/>
    </row>
    <row r="238" spans="1:8">
      <c r="A238" s="2344" t="s">
        <v>955</v>
      </c>
      <c r="B238" s="2343"/>
      <c r="C238" s="2343"/>
      <c r="D238" s="2343"/>
      <c r="E238" s="2343"/>
      <c r="F238" s="2343"/>
      <c r="G238" s="2343"/>
      <c r="H238" s="2343"/>
    </row>
    <row r="239" spans="1:8">
      <c r="A239" s="2344" t="s">
        <v>956</v>
      </c>
      <c r="B239" s="2343"/>
      <c r="C239" s="2343"/>
      <c r="D239" s="2343"/>
      <c r="E239" s="2343"/>
      <c r="F239" s="2343"/>
      <c r="G239" s="2343"/>
      <c r="H239" s="2343"/>
    </row>
    <row r="240" spans="1:8">
      <c r="A240" s="2343"/>
      <c r="B240" s="2343"/>
      <c r="C240" s="2343"/>
      <c r="D240" s="2343"/>
      <c r="E240" s="2343"/>
      <c r="F240" s="2343"/>
      <c r="G240" s="2343"/>
      <c r="H240" s="2343"/>
    </row>
    <row r="241" spans="1:8">
      <c r="A241" s="2344" t="s">
        <v>946</v>
      </c>
      <c r="B241" s="2343"/>
      <c r="C241" s="2343"/>
      <c r="D241" s="2343"/>
      <c r="E241" s="2343"/>
      <c r="F241" s="2343"/>
      <c r="G241" s="2343"/>
      <c r="H241" s="2343"/>
    </row>
    <row r="242" spans="1:8">
      <c r="A242" s="2344" t="s">
        <v>947</v>
      </c>
      <c r="B242" s="2343"/>
      <c r="C242" s="2343"/>
      <c r="D242" s="2343"/>
      <c r="E242" s="2343"/>
      <c r="F242" s="2343"/>
      <c r="G242" s="2343"/>
      <c r="H242" s="2343"/>
    </row>
    <row r="243" spans="1:8">
      <c r="A243" s="2344" t="s">
        <v>948</v>
      </c>
      <c r="B243" s="2343"/>
      <c r="C243" s="2343"/>
      <c r="D243" s="2343"/>
      <c r="E243" s="2343"/>
      <c r="F243" s="2343"/>
      <c r="G243" s="2343"/>
      <c r="H243" s="2343"/>
    </row>
    <row r="244" spans="1:8">
      <c r="A244" s="2344" t="s">
        <v>949</v>
      </c>
      <c r="B244" s="2343"/>
      <c r="C244" s="2343"/>
      <c r="D244" s="2343"/>
      <c r="E244" s="2343"/>
      <c r="F244" s="2343"/>
      <c r="G244" s="2343"/>
      <c r="H244" s="2343"/>
    </row>
    <row r="245" spans="1:8">
      <c r="A245" s="2344" t="s">
        <v>950</v>
      </c>
      <c r="B245" s="2343"/>
      <c r="C245" s="2343"/>
      <c r="D245" s="2343"/>
      <c r="E245" s="2343"/>
      <c r="F245" s="2343"/>
      <c r="G245" s="2343"/>
      <c r="H245" s="2343"/>
    </row>
    <row r="246" spans="1:8">
      <c r="A246" s="2344" t="s">
        <v>951</v>
      </c>
      <c r="B246" s="2343"/>
      <c r="C246" s="2343"/>
      <c r="D246" s="2343"/>
      <c r="E246" s="2343"/>
      <c r="F246" s="2343"/>
      <c r="G246" s="2343"/>
      <c r="H246" s="2343"/>
    </row>
    <row r="247" spans="1:8">
      <c r="A247" s="2343"/>
      <c r="B247" s="2343"/>
      <c r="C247" s="2343"/>
      <c r="D247" s="2343"/>
      <c r="E247" s="2343"/>
      <c r="F247" s="2343"/>
      <c r="G247" s="2343"/>
      <c r="H247" s="2343"/>
    </row>
    <row r="248" spans="1:8">
      <c r="A248" s="2344" t="s">
        <v>936</v>
      </c>
      <c r="B248" s="2343"/>
      <c r="C248" s="2343"/>
      <c r="D248" s="2343"/>
      <c r="E248" s="2343"/>
      <c r="F248" s="2343"/>
      <c r="G248" s="2343"/>
      <c r="H248" s="2343"/>
    </row>
    <row r="249" spans="1:8">
      <c r="A249" s="2344" t="s">
        <v>937</v>
      </c>
      <c r="B249" s="2343"/>
      <c r="C249" s="2343"/>
      <c r="D249" s="2343"/>
      <c r="E249" s="2343"/>
      <c r="F249" s="2343"/>
      <c r="G249" s="2343"/>
      <c r="H249" s="2343"/>
    </row>
    <row r="250" spans="1:8">
      <c r="A250" s="2344" t="s">
        <v>938</v>
      </c>
      <c r="B250" s="2343"/>
      <c r="C250" s="2343"/>
      <c r="D250" s="2343"/>
      <c r="E250" s="2343"/>
      <c r="F250" s="2343"/>
      <c r="G250" s="2343"/>
      <c r="H250" s="2343"/>
    </row>
    <row r="251" spans="1:8">
      <c r="A251" s="2344" t="s">
        <v>939</v>
      </c>
      <c r="B251" s="2343"/>
      <c r="C251" s="2343"/>
      <c r="D251" s="2343"/>
      <c r="E251" s="2343"/>
      <c r="F251" s="2343"/>
      <c r="G251" s="2343"/>
      <c r="H251" s="2343"/>
    </row>
    <row r="252" spans="1:8">
      <c r="A252" s="2344" t="s">
        <v>940</v>
      </c>
      <c r="B252" s="2343"/>
      <c r="C252" s="2343"/>
      <c r="D252" s="2343"/>
      <c r="E252" s="2343"/>
      <c r="F252" s="2343"/>
      <c r="G252" s="2343"/>
      <c r="H252" s="2343"/>
    </row>
    <row r="253" spans="1:8">
      <c r="A253" s="2344" t="s">
        <v>941</v>
      </c>
      <c r="B253" s="2343"/>
      <c r="C253" s="2343"/>
      <c r="D253" s="2343"/>
      <c r="E253" s="2343"/>
      <c r="F253" s="2343"/>
      <c r="G253" s="2343"/>
      <c r="H253" s="2343"/>
    </row>
    <row r="254" spans="1:8">
      <c r="A254" s="2344" t="s">
        <v>942</v>
      </c>
      <c r="B254" s="2343"/>
      <c r="C254" s="2343"/>
      <c r="D254" s="2343"/>
      <c r="E254" s="2343"/>
      <c r="F254" s="2343"/>
      <c r="G254" s="2343"/>
      <c r="H254" s="2343"/>
    </row>
    <row r="255" spans="1:8">
      <c r="A255" s="2344" t="s">
        <v>943</v>
      </c>
      <c r="B255" s="2343"/>
      <c r="C255" s="2343"/>
      <c r="D255" s="2343"/>
      <c r="E255" s="2343"/>
      <c r="F255" s="2343"/>
      <c r="G255" s="2343"/>
      <c r="H255" s="2343"/>
    </row>
    <row r="256" spans="1:8">
      <c r="A256" s="2344" t="s">
        <v>944</v>
      </c>
      <c r="B256" s="2343"/>
      <c r="C256" s="2343"/>
      <c r="D256" s="2343"/>
      <c r="E256" s="2343"/>
      <c r="F256" s="2343"/>
      <c r="G256" s="2343"/>
      <c r="H256" s="2343"/>
    </row>
    <row r="257" spans="1:8">
      <c r="A257" s="2344" t="s">
        <v>945</v>
      </c>
      <c r="B257" s="2343"/>
      <c r="C257" s="2343"/>
      <c r="D257" s="2343"/>
      <c r="E257" s="2343"/>
      <c r="F257" s="2343"/>
      <c r="G257" s="2343"/>
      <c r="H257" s="2343"/>
    </row>
    <row r="258" spans="1:8">
      <c r="A258" s="2343"/>
      <c r="B258" s="2343"/>
      <c r="C258" s="2343"/>
      <c r="D258" s="2343"/>
      <c r="E258" s="2343"/>
      <c r="F258" s="2343"/>
      <c r="G258" s="2343"/>
      <c r="H258" s="2343"/>
    </row>
    <row r="259" spans="1:8">
      <c r="A259" s="2344" t="s">
        <v>934</v>
      </c>
      <c r="B259" s="2343"/>
      <c r="C259" s="2343"/>
      <c r="D259" s="2343"/>
      <c r="E259" s="2343"/>
      <c r="F259" s="2343"/>
      <c r="G259" s="2343"/>
      <c r="H259" s="2343"/>
    </row>
    <row r="260" spans="1:8">
      <c r="A260" s="2344" t="s">
        <v>935</v>
      </c>
      <c r="B260" s="2343"/>
      <c r="C260" s="2343"/>
      <c r="D260" s="2343"/>
      <c r="E260" s="2343"/>
      <c r="F260" s="2343"/>
      <c r="G260" s="2343"/>
      <c r="H260" s="2343"/>
    </row>
    <row r="261" spans="1:8">
      <c r="A261" s="2343"/>
      <c r="B261" s="2343"/>
      <c r="C261" s="2343"/>
      <c r="D261" s="2343"/>
      <c r="E261" s="2343"/>
      <c r="F261" s="2343"/>
      <c r="G261" s="2343"/>
      <c r="H261" s="2343"/>
    </row>
    <row r="262" spans="1:8">
      <c r="A262" s="2344" t="s">
        <v>918</v>
      </c>
      <c r="B262" s="2343"/>
      <c r="C262" s="2343"/>
      <c r="D262" s="2343"/>
      <c r="E262" s="2343"/>
      <c r="F262" s="2343"/>
      <c r="G262" s="2343"/>
      <c r="H262" s="2343"/>
    </row>
    <row r="263" spans="1:8">
      <c r="A263" s="2344" t="s">
        <v>919</v>
      </c>
      <c r="B263" s="2343"/>
      <c r="C263" s="2343"/>
      <c r="D263" s="2343"/>
      <c r="E263" s="2343"/>
      <c r="F263" s="2343"/>
      <c r="G263" s="2343"/>
      <c r="H263" s="2343"/>
    </row>
    <row r="264" spans="1:8">
      <c r="A264" s="2344" t="s">
        <v>920</v>
      </c>
      <c r="B264" s="2343"/>
      <c r="C264" s="2343"/>
      <c r="D264" s="2343"/>
      <c r="E264" s="2343"/>
      <c r="F264" s="2343"/>
      <c r="G264" s="2343"/>
      <c r="H264" s="2343"/>
    </row>
    <row r="265" spans="1:8">
      <c r="A265" s="2344" t="s">
        <v>921</v>
      </c>
      <c r="B265" s="2343"/>
      <c r="C265" s="2343"/>
      <c r="D265" s="2343"/>
      <c r="E265" s="2343"/>
      <c r="F265" s="2343"/>
      <c r="G265" s="2343"/>
      <c r="H265" s="2343"/>
    </row>
    <row r="266" spans="1:8">
      <c r="A266" s="2344" t="s">
        <v>922</v>
      </c>
      <c r="B266" s="2343"/>
      <c r="C266" s="2343"/>
      <c r="D266" s="2343"/>
      <c r="E266" s="2343"/>
      <c r="F266" s="2343"/>
      <c r="G266" s="2343"/>
      <c r="H266" s="2343"/>
    </row>
    <row r="267" spans="1:8">
      <c r="A267" s="2344" t="s">
        <v>923</v>
      </c>
      <c r="B267" s="2343"/>
      <c r="C267" s="2343"/>
      <c r="D267" s="2343"/>
      <c r="E267" s="2343"/>
      <c r="F267" s="2343"/>
      <c r="G267" s="2343"/>
      <c r="H267" s="2343"/>
    </row>
    <row r="268" spans="1:8">
      <c r="A268" s="2344" t="s">
        <v>924</v>
      </c>
      <c r="B268" s="2343"/>
      <c r="C268" s="2343"/>
      <c r="D268" s="2343"/>
      <c r="E268" s="2343"/>
      <c r="F268" s="2343"/>
      <c r="G268" s="2343"/>
      <c r="H268" s="2343"/>
    </row>
    <row r="269" spans="1:8">
      <c r="A269" s="2344" t="s">
        <v>925</v>
      </c>
      <c r="B269" s="2343"/>
      <c r="C269" s="2343"/>
      <c r="D269" s="2343"/>
      <c r="E269" s="2343"/>
      <c r="F269" s="2343"/>
      <c r="G269" s="2343"/>
      <c r="H269" s="2343"/>
    </row>
    <row r="270" spans="1:8">
      <c r="A270" s="2344" t="s">
        <v>926</v>
      </c>
      <c r="B270" s="2343"/>
      <c r="C270" s="2343"/>
      <c r="D270" s="2343"/>
      <c r="E270" s="2343"/>
      <c r="F270" s="2343"/>
      <c r="G270" s="2343"/>
      <c r="H270" s="2343"/>
    </row>
    <row r="271" spans="1:8">
      <c r="A271" s="2344" t="s">
        <v>927</v>
      </c>
      <c r="B271" s="2343"/>
      <c r="C271" s="2343"/>
      <c r="D271" s="2343"/>
      <c r="E271" s="2343"/>
      <c r="F271" s="2343"/>
      <c r="G271" s="2343"/>
      <c r="H271" s="2343"/>
    </row>
    <row r="272" spans="1:8">
      <c r="A272" s="2344" t="s">
        <v>928</v>
      </c>
      <c r="B272" s="2343"/>
      <c r="C272" s="2343"/>
      <c r="D272" s="2343"/>
      <c r="E272" s="2343"/>
      <c r="F272" s="2343"/>
      <c r="G272" s="2343"/>
      <c r="H272" s="2343"/>
    </row>
    <row r="273" spans="1:8">
      <c r="A273" s="2344" t="s">
        <v>929</v>
      </c>
      <c r="B273" s="2343"/>
      <c r="C273" s="2343"/>
      <c r="D273" s="2343"/>
      <c r="E273" s="2343"/>
      <c r="F273" s="2343"/>
      <c r="G273" s="2343"/>
      <c r="H273" s="2343"/>
    </row>
    <row r="274" spans="1:8">
      <c r="A274" s="2344" t="s">
        <v>930</v>
      </c>
      <c r="B274" s="2343"/>
      <c r="C274" s="2343"/>
      <c r="D274" s="2343"/>
      <c r="E274" s="2343"/>
      <c r="F274" s="2343"/>
      <c r="G274" s="2343"/>
      <c r="H274" s="2343"/>
    </row>
    <row r="275" spans="1:8">
      <c r="A275" s="2344" t="s">
        <v>931</v>
      </c>
      <c r="B275" s="2343"/>
      <c r="C275" s="2343"/>
      <c r="D275" s="2343"/>
      <c r="E275" s="2343"/>
      <c r="F275" s="2343"/>
      <c r="G275" s="2343"/>
      <c r="H275" s="2343"/>
    </row>
    <row r="276" spans="1:8">
      <c r="A276" s="2344" t="s">
        <v>932</v>
      </c>
      <c r="B276" s="2343"/>
      <c r="C276" s="2343"/>
      <c r="D276" s="2343"/>
      <c r="E276" s="2343"/>
      <c r="F276" s="2343"/>
      <c r="G276" s="2343"/>
      <c r="H276" s="2343"/>
    </row>
    <row r="277" spans="1:8">
      <c r="A277" s="2344" t="s">
        <v>933</v>
      </c>
      <c r="B277" s="2343"/>
      <c r="C277" s="2343"/>
      <c r="D277" s="2343"/>
      <c r="E277" s="2343"/>
      <c r="F277" s="2343"/>
      <c r="G277" s="2343"/>
      <c r="H277" s="2343"/>
    </row>
    <row r="278" spans="1:8">
      <c r="A278" s="2343"/>
      <c r="B278" s="2343"/>
      <c r="C278" s="2343"/>
      <c r="D278" s="2343"/>
      <c r="E278" s="2343"/>
      <c r="F278" s="2343"/>
      <c r="G278" s="2343"/>
      <c r="H278" s="2343"/>
    </row>
    <row r="279" spans="1:8">
      <c r="A279" s="2344" t="s">
        <v>911</v>
      </c>
      <c r="B279" s="2343"/>
      <c r="C279" s="2343"/>
      <c r="D279" s="2343"/>
      <c r="E279" s="2343"/>
      <c r="F279" s="2343"/>
      <c r="G279" s="2343"/>
      <c r="H279" s="2343"/>
    </row>
    <row r="280" spans="1:8">
      <c r="A280" s="2344" t="s">
        <v>912</v>
      </c>
      <c r="B280" s="2343"/>
      <c r="C280" s="2343"/>
      <c r="D280" s="2343"/>
      <c r="E280" s="2343"/>
      <c r="F280" s="2343"/>
      <c r="G280" s="2343"/>
      <c r="H280" s="2343"/>
    </row>
    <row r="281" spans="1:8">
      <c r="A281" s="2344" t="s">
        <v>913</v>
      </c>
      <c r="B281" s="2343"/>
      <c r="C281" s="2343"/>
      <c r="D281" s="2343"/>
      <c r="E281" s="2343"/>
      <c r="F281" s="2343"/>
      <c r="G281" s="2343"/>
      <c r="H281" s="2343"/>
    </row>
    <row r="282" spans="1:8">
      <c r="A282" s="2344" t="s">
        <v>914</v>
      </c>
      <c r="B282" s="2343"/>
      <c r="C282" s="2343"/>
      <c r="D282" s="2343"/>
      <c r="E282" s="2343"/>
      <c r="F282" s="2343"/>
      <c r="G282" s="2343"/>
      <c r="H282" s="2343"/>
    </row>
    <row r="283" spans="1:8">
      <c r="A283" s="2344" t="s">
        <v>915</v>
      </c>
      <c r="B283" s="2343"/>
      <c r="C283" s="2343"/>
      <c r="D283" s="2343"/>
      <c r="E283" s="2343"/>
      <c r="F283" s="2343"/>
      <c r="G283" s="2343"/>
      <c r="H283" s="2343"/>
    </row>
    <row r="284" spans="1:8">
      <c r="A284" s="2344" t="s">
        <v>916</v>
      </c>
      <c r="B284" s="2343"/>
      <c r="C284" s="2343"/>
      <c r="D284" s="2343"/>
      <c r="E284" s="2343"/>
      <c r="F284" s="2343"/>
      <c r="G284" s="2343"/>
      <c r="H284" s="2343"/>
    </row>
    <row r="285" spans="1:8">
      <c r="A285" s="2344" t="s">
        <v>917</v>
      </c>
      <c r="B285" s="2343"/>
      <c r="C285" s="2343"/>
      <c r="D285" s="2343"/>
      <c r="E285" s="2343"/>
      <c r="F285" s="2343"/>
      <c r="G285" s="2343"/>
      <c r="H285" s="2343"/>
    </row>
    <row r="286" spans="1:8">
      <c r="A286" s="2343"/>
      <c r="B286" s="2343"/>
      <c r="C286" s="2343"/>
      <c r="D286" s="2343"/>
      <c r="E286" s="2343"/>
      <c r="F286" s="2343"/>
      <c r="G286" s="2343"/>
      <c r="H286" s="2343"/>
    </row>
    <row r="287" spans="1:8">
      <c r="A287" s="2344" t="s">
        <v>902</v>
      </c>
      <c r="B287" s="2343"/>
      <c r="C287" s="2343"/>
      <c r="D287" s="2343"/>
      <c r="E287" s="2343"/>
      <c r="F287" s="2343"/>
      <c r="G287" s="2343"/>
      <c r="H287" s="2343"/>
    </row>
    <row r="288" spans="1:8">
      <c r="A288" s="2344" t="s">
        <v>903</v>
      </c>
      <c r="B288" s="2343"/>
      <c r="C288" s="2343"/>
      <c r="D288" s="2343"/>
      <c r="E288" s="2343"/>
      <c r="F288" s="2343"/>
      <c r="G288" s="2343"/>
      <c r="H288" s="2343"/>
    </row>
    <row r="289" spans="1:8">
      <c r="A289" s="2344" t="s">
        <v>904</v>
      </c>
      <c r="B289" s="2343"/>
      <c r="C289" s="2343"/>
      <c r="D289" s="2343"/>
      <c r="E289" s="2343"/>
      <c r="F289" s="2343"/>
      <c r="G289" s="2343"/>
      <c r="H289" s="2343"/>
    </row>
    <row r="290" spans="1:8">
      <c r="A290" s="2344" t="s">
        <v>905</v>
      </c>
      <c r="B290" s="2343"/>
      <c r="C290" s="2343"/>
      <c r="D290" s="2343"/>
      <c r="E290" s="2343"/>
      <c r="F290" s="2343"/>
      <c r="G290" s="2343"/>
      <c r="H290" s="2343"/>
    </row>
    <row r="291" spans="1:8">
      <c r="A291" s="2344" t="s">
        <v>906</v>
      </c>
      <c r="B291" s="2343"/>
      <c r="C291" s="2343"/>
      <c r="D291" s="2343"/>
      <c r="E291" s="2343"/>
      <c r="F291" s="2343"/>
      <c r="G291" s="2343"/>
      <c r="H291" s="2343"/>
    </row>
    <row r="292" spans="1:8">
      <c r="A292" s="2344" t="s">
        <v>907</v>
      </c>
      <c r="B292" s="2343"/>
      <c r="C292" s="2343"/>
      <c r="D292" s="2343"/>
      <c r="E292" s="2343"/>
      <c r="F292" s="2343"/>
      <c r="G292" s="2343"/>
      <c r="H292" s="2343"/>
    </row>
    <row r="293" spans="1:8">
      <c r="A293" s="2344" t="s">
        <v>908</v>
      </c>
      <c r="B293" s="2343"/>
      <c r="C293" s="2343"/>
      <c r="D293" s="2343"/>
      <c r="E293" s="2343"/>
      <c r="F293" s="2343"/>
      <c r="G293" s="2343"/>
      <c r="H293" s="2343"/>
    </row>
    <row r="294" spans="1:8">
      <c r="A294" s="2344" t="s">
        <v>909</v>
      </c>
      <c r="B294" s="2343"/>
      <c r="C294" s="2343"/>
      <c r="D294" s="2343"/>
      <c r="E294" s="2343"/>
      <c r="F294" s="2343"/>
      <c r="G294" s="2343"/>
      <c r="H294" s="2343"/>
    </row>
    <row r="295" spans="1:8">
      <c r="A295" s="2344" t="s">
        <v>910</v>
      </c>
      <c r="B295" s="2343"/>
      <c r="C295" s="2343"/>
      <c r="D295" s="2343"/>
      <c r="E295" s="2343"/>
      <c r="F295" s="2343"/>
      <c r="G295" s="2343"/>
      <c r="H295" s="2343"/>
    </row>
    <row r="296" spans="1:8">
      <c r="A296" s="2343"/>
      <c r="B296" s="2343"/>
      <c r="C296" s="2343"/>
      <c r="D296" s="2343"/>
      <c r="E296" s="2343"/>
      <c r="F296" s="2343"/>
      <c r="G296" s="2343"/>
      <c r="H296" s="2343"/>
    </row>
    <row r="297" spans="1:8">
      <c r="A297" s="2344" t="s">
        <v>895</v>
      </c>
      <c r="B297" s="2343"/>
      <c r="C297" s="2343"/>
      <c r="D297" s="2343"/>
      <c r="E297" s="2343"/>
      <c r="F297" s="2343"/>
      <c r="G297" s="2343"/>
      <c r="H297" s="2343"/>
    </row>
    <row r="298" spans="1:8">
      <c r="A298" s="2344" t="s">
        <v>896</v>
      </c>
      <c r="B298" s="2343"/>
      <c r="C298" s="2343"/>
      <c r="D298" s="2343"/>
      <c r="E298" s="2343"/>
      <c r="F298" s="2343"/>
      <c r="G298" s="2343"/>
      <c r="H298" s="2343"/>
    </row>
    <row r="299" spans="1:8">
      <c r="A299" s="2344" t="s">
        <v>897</v>
      </c>
      <c r="B299" s="2343"/>
      <c r="C299" s="2343"/>
      <c r="D299" s="2343"/>
      <c r="E299" s="2343"/>
      <c r="F299" s="2343"/>
      <c r="G299" s="2343"/>
      <c r="H299" s="2343"/>
    </row>
    <row r="300" spans="1:8">
      <c r="A300" s="2344" t="s">
        <v>898</v>
      </c>
      <c r="B300" s="2343"/>
      <c r="C300" s="2343"/>
      <c r="D300" s="2343"/>
      <c r="E300" s="2343"/>
      <c r="F300" s="2343"/>
      <c r="G300" s="2343"/>
      <c r="H300" s="2343"/>
    </row>
    <row r="301" spans="1:8">
      <c r="A301" s="2344" t="s">
        <v>899</v>
      </c>
      <c r="B301" s="2343"/>
      <c r="C301" s="2343"/>
      <c r="D301" s="2343"/>
      <c r="E301" s="2343"/>
      <c r="F301" s="2343"/>
      <c r="G301" s="2343"/>
      <c r="H301" s="2343"/>
    </row>
    <row r="302" spans="1:8">
      <c r="A302" s="2344" t="s">
        <v>900</v>
      </c>
      <c r="B302" s="2343"/>
      <c r="C302" s="2343"/>
      <c r="D302" s="2343"/>
      <c r="E302" s="2343"/>
      <c r="F302" s="2343"/>
      <c r="G302" s="2343"/>
      <c r="H302" s="2343"/>
    </row>
    <row r="303" spans="1:8">
      <c r="A303" s="2344" t="s">
        <v>901</v>
      </c>
      <c r="B303" s="2343"/>
      <c r="C303" s="2343"/>
      <c r="D303" s="2343"/>
      <c r="E303" s="2343"/>
      <c r="F303" s="2343"/>
      <c r="G303" s="2343"/>
      <c r="H303" s="2343"/>
    </row>
    <row r="304" spans="1:8">
      <c r="A304" s="2343"/>
      <c r="B304" s="2343"/>
      <c r="C304" s="2343"/>
      <c r="D304" s="2343"/>
      <c r="E304" s="2343"/>
      <c r="F304" s="2343"/>
      <c r="G304" s="2343"/>
      <c r="H304" s="2343"/>
    </row>
    <row r="305" spans="1:8">
      <c r="A305" s="2344" t="s">
        <v>892</v>
      </c>
      <c r="B305" s="2343"/>
      <c r="C305" s="2343"/>
      <c r="D305" s="2343"/>
      <c r="E305" s="2343"/>
      <c r="F305" s="2343"/>
      <c r="G305" s="2343"/>
      <c r="H305" s="2343"/>
    </row>
    <row r="306" spans="1:8">
      <c r="A306" s="2344" t="s">
        <v>893</v>
      </c>
      <c r="B306" s="2343"/>
      <c r="C306" s="2343"/>
      <c r="D306" s="2343"/>
      <c r="E306" s="2343"/>
      <c r="F306" s="2343"/>
      <c r="G306" s="2343"/>
      <c r="H306" s="2343"/>
    </row>
    <row r="307" spans="1:8">
      <c r="A307" s="2344" t="s">
        <v>894</v>
      </c>
      <c r="B307" s="2343"/>
      <c r="C307" s="2343"/>
      <c r="D307" s="2343"/>
      <c r="E307" s="2343"/>
      <c r="F307" s="2343"/>
      <c r="G307" s="2343"/>
      <c r="H307" s="2343"/>
    </row>
    <row r="308" spans="1:8">
      <c r="A308" s="2343"/>
      <c r="B308" s="2343"/>
      <c r="C308" s="2343"/>
      <c r="D308" s="2343"/>
      <c r="E308" s="2343"/>
      <c r="F308" s="2343"/>
      <c r="G308" s="2343"/>
      <c r="H308" s="2343"/>
    </row>
    <row r="309" spans="1:8">
      <c r="A309" s="2344" t="s">
        <v>890</v>
      </c>
      <c r="B309" s="2343"/>
      <c r="C309" s="2343"/>
      <c r="D309" s="2343"/>
      <c r="E309" s="2343"/>
      <c r="F309" s="2343"/>
      <c r="G309" s="2343"/>
      <c r="H309" s="2343"/>
    </row>
    <row r="310" spans="1:8">
      <c r="A310" s="2344" t="s">
        <v>891</v>
      </c>
      <c r="B310" s="2343"/>
      <c r="C310" s="2343"/>
      <c r="D310" s="2343"/>
      <c r="E310" s="2343"/>
      <c r="F310" s="2343"/>
      <c r="G310" s="2343"/>
      <c r="H310" s="2343"/>
    </row>
    <row r="311" spans="1:8">
      <c r="A311" s="2343"/>
      <c r="B311" s="2343"/>
      <c r="C311" s="2343"/>
      <c r="D311" s="2343"/>
      <c r="E311" s="2343"/>
      <c r="F311" s="2343"/>
      <c r="G311" s="2343"/>
      <c r="H311" s="2343"/>
    </row>
    <row r="312" spans="1:8">
      <c r="A312" s="2344" t="s">
        <v>877</v>
      </c>
      <c r="B312" s="2343"/>
      <c r="C312" s="2343"/>
      <c r="D312" s="2343"/>
      <c r="E312" s="2343"/>
      <c r="F312" s="2343"/>
      <c r="G312" s="2343"/>
      <c r="H312" s="2343"/>
    </row>
    <row r="313" spans="1:8">
      <c r="A313" s="2344" t="s">
        <v>878</v>
      </c>
      <c r="B313" s="2343"/>
      <c r="C313" s="2343"/>
      <c r="D313" s="2343"/>
      <c r="E313" s="2343"/>
      <c r="F313" s="2343"/>
      <c r="G313" s="2343"/>
      <c r="H313" s="2343"/>
    </row>
    <row r="314" spans="1:8">
      <c r="A314" s="2344" t="s">
        <v>879</v>
      </c>
      <c r="B314" s="2343"/>
      <c r="C314" s="2343"/>
      <c r="D314" s="2343"/>
      <c r="E314" s="2343"/>
      <c r="F314" s="2343"/>
      <c r="G314" s="2343"/>
      <c r="H314" s="2343"/>
    </row>
    <row r="315" spans="1:8">
      <c r="A315" s="2344" t="s">
        <v>880</v>
      </c>
      <c r="B315" s="2343"/>
      <c r="C315" s="2343"/>
      <c r="D315" s="2343"/>
      <c r="E315" s="2343"/>
      <c r="F315" s="2343"/>
      <c r="G315" s="2343"/>
      <c r="H315" s="2343"/>
    </row>
    <row r="316" spans="1:8">
      <c r="A316" s="2344" t="s">
        <v>881</v>
      </c>
      <c r="B316" s="2343"/>
      <c r="C316" s="2343"/>
      <c r="D316" s="2343"/>
      <c r="E316" s="2343"/>
      <c r="F316" s="2343"/>
      <c r="G316" s="2343"/>
      <c r="H316" s="2343"/>
    </row>
    <row r="317" spans="1:8">
      <c r="A317" s="2344" t="s">
        <v>882</v>
      </c>
      <c r="B317" s="2343"/>
      <c r="C317" s="2343"/>
      <c r="D317" s="2343"/>
      <c r="E317" s="2343"/>
      <c r="F317" s="2343"/>
      <c r="G317" s="2343"/>
      <c r="H317" s="2343"/>
    </row>
    <row r="318" spans="1:8">
      <c r="A318" s="2344" t="s">
        <v>883</v>
      </c>
      <c r="B318" s="2343"/>
      <c r="C318" s="2343"/>
      <c r="D318" s="2343"/>
      <c r="E318" s="2343"/>
      <c r="F318" s="2343"/>
      <c r="G318" s="2343"/>
      <c r="H318" s="2343"/>
    </row>
    <row r="319" spans="1:8">
      <c r="A319" s="2344" t="s">
        <v>884</v>
      </c>
      <c r="B319" s="2343"/>
      <c r="C319" s="2343"/>
      <c r="D319" s="2343"/>
      <c r="E319" s="2343"/>
      <c r="F319" s="2343"/>
      <c r="G319" s="2343"/>
      <c r="H319" s="2343"/>
    </row>
    <row r="320" spans="1:8">
      <c r="A320" s="2344" t="s">
        <v>885</v>
      </c>
      <c r="B320" s="2343"/>
      <c r="C320" s="2343"/>
      <c r="D320" s="2343"/>
      <c r="E320" s="2343"/>
      <c r="F320" s="2343"/>
      <c r="G320" s="2343"/>
      <c r="H320" s="2343"/>
    </row>
    <row r="321" spans="1:8">
      <c r="A321" s="2344" t="s">
        <v>886</v>
      </c>
      <c r="B321" s="2343"/>
      <c r="C321" s="2343"/>
      <c r="D321" s="2343"/>
      <c r="E321" s="2343"/>
      <c r="F321" s="2343"/>
      <c r="G321" s="2343"/>
      <c r="H321" s="2343"/>
    </row>
    <row r="322" spans="1:8">
      <c r="A322" s="2344" t="s">
        <v>887</v>
      </c>
      <c r="B322" s="2343"/>
      <c r="C322" s="2343"/>
      <c r="D322" s="2343"/>
      <c r="E322" s="2343"/>
      <c r="F322" s="2343"/>
      <c r="G322" s="2343"/>
      <c r="H322" s="2343"/>
    </row>
    <row r="323" spans="1:8">
      <c r="A323" s="2344" t="s">
        <v>888</v>
      </c>
      <c r="B323" s="2343"/>
      <c r="C323" s="2343"/>
      <c r="D323" s="2343"/>
      <c r="E323" s="2343"/>
      <c r="F323" s="2343"/>
      <c r="G323" s="2343"/>
      <c r="H323" s="2343"/>
    </row>
    <row r="324" spans="1:8">
      <c r="A324" s="2344" t="s">
        <v>889</v>
      </c>
      <c r="B324" s="2343"/>
      <c r="C324" s="2343"/>
      <c r="D324" s="2343"/>
      <c r="E324" s="2343"/>
      <c r="F324" s="2343"/>
      <c r="G324" s="2343"/>
      <c r="H324" s="2343"/>
    </row>
    <row r="325" spans="1:8">
      <c r="A325" s="2343"/>
      <c r="B325" s="2343"/>
      <c r="C325" s="2343"/>
      <c r="D325" s="2343"/>
      <c r="E325" s="2343"/>
      <c r="F325" s="2343"/>
      <c r="G325" s="2343"/>
      <c r="H325" s="2343"/>
    </row>
    <row r="326" spans="1:8">
      <c r="A326" s="2344" t="s">
        <v>869</v>
      </c>
      <c r="B326" s="2343"/>
      <c r="C326" s="2343"/>
      <c r="D326" s="2343"/>
      <c r="E326" s="2343"/>
      <c r="F326" s="2343"/>
      <c r="G326" s="2343"/>
      <c r="H326" s="2343"/>
    </row>
    <row r="327" spans="1:8">
      <c r="A327" s="2344" t="s">
        <v>870</v>
      </c>
      <c r="B327" s="2343"/>
      <c r="C327" s="2343"/>
      <c r="D327" s="2343"/>
      <c r="E327" s="2343"/>
      <c r="F327" s="2343"/>
      <c r="G327" s="2343"/>
      <c r="H327" s="2343"/>
    </row>
    <row r="328" spans="1:8">
      <c r="A328" s="2344" t="s">
        <v>871</v>
      </c>
      <c r="B328" s="2343"/>
      <c r="C328" s="2343"/>
      <c r="D328" s="2343"/>
      <c r="E328" s="2343"/>
      <c r="F328" s="2343"/>
      <c r="G328" s="2343"/>
      <c r="H328" s="2343"/>
    </row>
    <row r="329" spans="1:8">
      <c r="A329" s="2344" t="s">
        <v>872</v>
      </c>
      <c r="B329" s="2343"/>
      <c r="C329" s="2343"/>
      <c r="D329" s="2343"/>
      <c r="E329" s="2343"/>
      <c r="F329" s="2343"/>
      <c r="G329" s="2343"/>
      <c r="H329" s="2343"/>
    </row>
    <row r="330" spans="1:8">
      <c r="A330" s="2344" t="s">
        <v>873</v>
      </c>
      <c r="B330" s="2343"/>
      <c r="C330" s="2343"/>
      <c r="D330" s="2343"/>
      <c r="E330" s="2343"/>
      <c r="F330" s="2343"/>
      <c r="G330" s="2343"/>
      <c r="H330" s="2343"/>
    </row>
    <row r="331" spans="1:8">
      <c r="A331" s="2344" t="s">
        <v>874</v>
      </c>
      <c r="B331" s="2343"/>
      <c r="C331" s="2343"/>
      <c r="D331" s="2343"/>
      <c r="E331" s="2343"/>
      <c r="F331" s="2343"/>
      <c r="G331" s="2343"/>
      <c r="H331" s="2343"/>
    </row>
    <row r="332" spans="1:8">
      <c r="A332" s="2344" t="s">
        <v>875</v>
      </c>
      <c r="B332" s="2343"/>
      <c r="C332" s="2343"/>
      <c r="D332" s="2343"/>
      <c r="E332" s="2343"/>
      <c r="F332" s="2343"/>
      <c r="G332" s="2343"/>
      <c r="H332" s="2343"/>
    </row>
    <row r="333" spans="1:8">
      <c r="A333" s="2344" t="s">
        <v>876</v>
      </c>
      <c r="B333" s="2343"/>
      <c r="C333" s="2343"/>
      <c r="D333" s="2343"/>
      <c r="E333" s="2343"/>
      <c r="F333" s="2343"/>
      <c r="G333" s="2343"/>
      <c r="H333" s="2343"/>
    </row>
    <row r="334" spans="1:8">
      <c r="A334" s="2343"/>
      <c r="B334" s="2343"/>
      <c r="C334" s="2343"/>
      <c r="D334" s="2343"/>
      <c r="E334" s="2343"/>
      <c r="F334" s="2343"/>
      <c r="G334" s="2343"/>
      <c r="H334" s="2343"/>
    </row>
    <row r="335" spans="1:8">
      <c r="A335" s="2344" t="s">
        <v>834</v>
      </c>
      <c r="B335" s="2343"/>
      <c r="C335" s="2343"/>
      <c r="D335" s="2343"/>
      <c r="E335" s="2343"/>
      <c r="F335" s="2343"/>
      <c r="G335" s="2343"/>
      <c r="H335" s="2343"/>
    </row>
    <row r="336" spans="1:8">
      <c r="A336" s="2344" t="s">
        <v>835</v>
      </c>
      <c r="B336" s="2343"/>
      <c r="C336" s="2343"/>
      <c r="D336" s="2343"/>
      <c r="E336" s="2343"/>
      <c r="F336" s="2343"/>
      <c r="G336" s="2343"/>
      <c r="H336" s="2343"/>
    </row>
    <row r="337" spans="1:8">
      <c r="A337" s="2344" t="s">
        <v>836</v>
      </c>
      <c r="B337" s="2343"/>
      <c r="C337" s="2343"/>
      <c r="D337" s="2343"/>
      <c r="E337" s="2343"/>
      <c r="F337" s="2343"/>
      <c r="G337" s="2343"/>
      <c r="H337" s="2343"/>
    </row>
    <row r="338" spans="1:8">
      <c r="A338" s="2344" t="s">
        <v>837</v>
      </c>
      <c r="B338" s="2343"/>
      <c r="C338" s="2343"/>
      <c r="D338" s="2343"/>
      <c r="E338" s="2343"/>
      <c r="F338" s="2343"/>
      <c r="G338" s="2343"/>
      <c r="H338" s="2343"/>
    </row>
    <row r="339" spans="1:8">
      <c r="A339" s="2344" t="s">
        <v>838</v>
      </c>
      <c r="B339" s="2343"/>
      <c r="C339" s="2343"/>
      <c r="D339" s="2343"/>
      <c r="E339" s="2343"/>
      <c r="F339" s="2343"/>
      <c r="G339" s="2343"/>
      <c r="H339" s="2343"/>
    </row>
    <row r="340" spans="1:8">
      <c r="A340" s="2344" t="s">
        <v>839</v>
      </c>
      <c r="B340" s="2343"/>
      <c r="C340" s="2343"/>
      <c r="D340" s="2343"/>
      <c r="E340" s="2343"/>
      <c r="F340" s="2343"/>
      <c r="G340" s="2343"/>
      <c r="H340" s="2343"/>
    </row>
    <row r="341" spans="1:8">
      <c r="A341" s="2344" t="s">
        <v>840</v>
      </c>
      <c r="B341" s="2343"/>
      <c r="C341" s="2343"/>
      <c r="D341" s="2343"/>
      <c r="E341" s="2343"/>
      <c r="F341" s="2343"/>
      <c r="G341" s="2343"/>
      <c r="H341" s="2343"/>
    </row>
    <row r="342" spans="1:8">
      <c r="A342" s="2344" t="s">
        <v>841</v>
      </c>
      <c r="B342" s="2343"/>
      <c r="C342" s="2343"/>
      <c r="D342" s="2343"/>
      <c r="E342" s="2343"/>
      <c r="F342" s="2343"/>
      <c r="G342" s="2343"/>
      <c r="H342" s="2343"/>
    </row>
    <row r="343" spans="1:8">
      <c r="A343" s="2344" t="s">
        <v>842</v>
      </c>
      <c r="B343" s="2343"/>
      <c r="C343" s="2343"/>
      <c r="D343" s="2343"/>
      <c r="E343" s="2343"/>
      <c r="F343" s="2343"/>
      <c r="G343" s="2343"/>
      <c r="H343" s="2343"/>
    </row>
    <row r="344" spans="1:8">
      <c r="A344" s="2344" t="s">
        <v>843</v>
      </c>
      <c r="B344" s="2343"/>
      <c r="C344" s="2343"/>
      <c r="D344" s="2343"/>
      <c r="E344" s="2343"/>
      <c r="F344" s="2343"/>
      <c r="G344" s="2343"/>
      <c r="H344" s="2343"/>
    </row>
    <row r="345" spans="1:8">
      <c r="A345" s="2344" t="s">
        <v>844</v>
      </c>
      <c r="B345" s="2343"/>
      <c r="C345" s="2343"/>
      <c r="D345" s="2343"/>
      <c r="E345" s="2343"/>
      <c r="F345" s="2343"/>
      <c r="G345" s="2343"/>
      <c r="H345" s="2343"/>
    </row>
    <row r="346" spans="1:8">
      <c r="A346" s="2344" t="s">
        <v>845</v>
      </c>
      <c r="B346" s="2343"/>
      <c r="C346" s="2343"/>
      <c r="D346" s="2343"/>
      <c r="E346" s="2343"/>
      <c r="F346" s="2343"/>
      <c r="G346" s="2343"/>
      <c r="H346" s="2343"/>
    </row>
    <row r="347" spans="1:8">
      <c r="A347" s="2344" t="s">
        <v>846</v>
      </c>
      <c r="B347" s="2343"/>
      <c r="C347" s="2343"/>
      <c r="D347" s="2343"/>
      <c r="E347" s="2343"/>
      <c r="F347" s="2343"/>
      <c r="G347" s="2343"/>
      <c r="H347" s="2343"/>
    </row>
    <row r="348" spans="1:8">
      <c r="A348" s="2344" t="s">
        <v>847</v>
      </c>
      <c r="B348" s="2343"/>
      <c r="C348" s="2343"/>
      <c r="D348" s="2343"/>
      <c r="E348" s="2343"/>
      <c r="F348" s="2343"/>
      <c r="G348" s="2343"/>
      <c r="H348" s="2343"/>
    </row>
    <row r="349" spans="1:8">
      <c r="A349" s="2344" t="s">
        <v>848</v>
      </c>
      <c r="B349" s="2343"/>
      <c r="C349" s="2343"/>
      <c r="D349" s="2343"/>
      <c r="E349" s="2343"/>
      <c r="F349" s="2343"/>
      <c r="G349" s="2343"/>
      <c r="H349" s="2343"/>
    </row>
    <row r="350" spans="1:8">
      <c r="A350" s="2344" t="s">
        <v>849</v>
      </c>
      <c r="B350" s="2343"/>
      <c r="C350" s="2343"/>
      <c r="D350" s="2343"/>
      <c r="E350" s="2343"/>
      <c r="F350" s="2343"/>
      <c r="G350" s="2343"/>
      <c r="H350" s="2343"/>
    </row>
    <row r="351" spans="1:8">
      <c r="A351" s="2344" t="s">
        <v>850</v>
      </c>
      <c r="B351" s="2343"/>
      <c r="C351" s="2343"/>
      <c r="D351" s="2343"/>
      <c r="E351" s="2343"/>
      <c r="F351" s="2343"/>
      <c r="G351" s="2343"/>
      <c r="H351" s="2343"/>
    </row>
    <row r="352" spans="1:8">
      <c r="A352" s="2344" t="s">
        <v>851</v>
      </c>
      <c r="B352" s="2343"/>
      <c r="C352" s="2343"/>
      <c r="D352" s="2343"/>
      <c r="E352" s="2343"/>
      <c r="F352" s="2343"/>
      <c r="G352" s="2343"/>
      <c r="H352" s="2343"/>
    </row>
    <row r="353" spans="1:8">
      <c r="A353" s="2344" t="s">
        <v>852</v>
      </c>
      <c r="B353" s="2343"/>
      <c r="C353" s="2343"/>
      <c r="D353" s="2343"/>
      <c r="E353" s="2343"/>
      <c r="F353" s="2343"/>
      <c r="G353" s="2343"/>
      <c r="H353" s="2343"/>
    </row>
    <row r="354" spans="1:8">
      <c r="A354" s="2344" t="s">
        <v>853</v>
      </c>
      <c r="B354" s="2343"/>
      <c r="C354" s="2343"/>
      <c r="D354" s="2343"/>
      <c r="E354" s="2343"/>
      <c r="F354" s="2343"/>
      <c r="G354" s="2343"/>
      <c r="H354" s="2343"/>
    </row>
    <row r="355" spans="1:8">
      <c r="A355" s="2344" t="s">
        <v>854</v>
      </c>
      <c r="B355" s="2343"/>
      <c r="C355" s="2343"/>
      <c r="D355" s="2343"/>
      <c r="E355" s="2343"/>
      <c r="F355" s="2343"/>
      <c r="G355" s="2343"/>
      <c r="H355" s="2343"/>
    </row>
    <row r="356" spans="1:8">
      <c r="A356" s="2344" t="s">
        <v>855</v>
      </c>
      <c r="B356" s="2343"/>
      <c r="C356" s="2343"/>
      <c r="D356" s="2343"/>
      <c r="E356" s="2343"/>
      <c r="F356" s="2343"/>
      <c r="G356" s="2343"/>
      <c r="H356" s="2343"/>
    </row>
    <row r="357" spans="1:8">
      <c r="A357" s="2344" t="s">
        <v>856</v>
      </c>
      <c r="B357" s="2343"/>
      <c r="C357" s="2343"/>
      <c r="D357" s="2343"/>
      <c r="E357" s="2343"/>
      <c r="F357" s="2343"/>
      <c r="G357" s="2343"/>
      <c r="H357" s="2343"/>
    </row>
    <row r="358" spans="1:8">
      <c r="A358" s="2344" t="s">
        <v>857</v>
      </c>
      <c r="B358" s="2343"/>
      <c r="C358" s="2343"/>
      <c r="D358" s="2343"/>
      <c r="E358" s="2343"/>
      <c r="F358" s="2343"/>
      <c r="G358" s="2343"/>
      <c r="H358" s="2343"/>
    </row>
    <row r="359" spans="1:8">
      <c r="A359" s="2344" t="s">
        <v>858</v>
      </c>
      <c r="B359" s="2343"/>
      <c r="C359" s="2343"/>
      <c r="D359" s="2343"/>
      <c r="E359" s="2343"/>
      <c r="F359" s="2343"/>
      <c r="G359" s="2343"/>
      <c r="H359" s="2343"/>
    </row>
    <row r="360" spans="1:8">
      <c r="A360" s="2344" t="s">
        <v>859</v>
      </c>
      <c r="B360" s="2343"/>
      <c r="C360" s="2343"/>
      <c r="D360" s="2343"/>
      <c r="E360" s="2343"/>
      <c r="F360" s="2343"/>
      <c r="G360" s="2343"/>
      <c r="H360" s="2343"/>
    </row>
    <row r="361" spans="1:8">
      <c r="A361" s="2344" t="s">
        <v>860</v>
      </c>
      <c r="B361" s="2343"/>
      <c r="C361" s="2343"/>
      <c r="D361" s="2343"/>
      <c r="E361" s="2343"/>
      <c r="F361" s="2343"/>
      <c r="G361" s="2343"/>
      <c r="H361" s="2343"/>
    </row>
    <row r="362" spans="1:8">
      <c r="A362" s="2344" t="s">
        <v>861</v>
      </c>
      <c r="B362" s="2343"/>
      <c r="C362" s="2343"/>
      <c r="D362" s="2343"/>
      <c r="E362" s="2343"/>
      <c r="F362" s="2343"/>
      <c r="G362" s="2343"/>
      <c r="H362" s="2343"/>
    </row>
    <row r="363" spans="1:8">
      <c r="A363" s="2344" t="s">
        <v>862</v>
      </c>
      <c r="B363" s="2343"/>
      <c r="C363" s="2343"/>
      <c r="D363" s="2343"/>
      <c r="E363" s="2343"/>
      <c r="F363" s="2343"/>
      <c r="G363" s="2343"/>
      <c r="H363" s="2343"/>
    </row>
    <row r="364" spans="1:8">
      <c r="A364" s="2344" t="s">
        <v>863</v>
      </c>
      <c r="B364" s="2343"/>
      <c r="C364" s="2343"/>
      <c r="D364" s="2343"/>
      <c r="E364" s="2343"/>
      <c r="F364" s="2343"/>
      <c r="G364" s="2343"/>
      <c r="H364" s="2343"/>
    </row>
    <row r="365" spans="1:8">
      <c r="A365" s="2344" t="s">
        <v>864</v>
      </c>
      <c r="B365" s="2343"/>
      <c r="C365" s="2343"/>
      <c r="D365" s="2343"/>
      <c r="E365" s="2343"/>
      <c r="F365" s="2343"/>
      <c r="G365" s="2343"/>
      <c r="H365" s="2343"/>
    </row>
    <row r="366" spans="1:8">
      <c r="A366" s="2344" t="s">
        <v>865</v>
      </c>
      <c r="B366" s="2343"/>
      <c r="C366" s="2343"/>
      <c r="D366" s="2343"/>
      <c r="E366" s="2343"/>
      <c r="F366" s="2343"/>
      <c r="G366" s="2343"/>
      <c r="H366" s="2343"/>
    </row>
    <row r="367" spans="1:8">
      <c r="A367" s="2344" t="s">
        <v>866</v>
      </c>
      <c r="B367" s="2343"/>
      <c r="C367" s="2343"/>
      <c r="D367" s="2343"/>
      <c r="E367" s="2343"/>
      <c r="F367" s="2343"/>
      <c r="G367" s="2343"/>
      <c r="H367" s="2343"/>
    </row>
    <row r="368" spans="1:8">
      <c r="A368" s="2344" t="s">
        <v>867</v>
      </c>
      <c r="B368" s="2343"/>
      <c r="C368" s="2343"/>
      <c r="D368" s="2343"/>
      <c r="E368" s="2343"/>
      <c r="F368" s="2343"/>
      <c r="G368" s="2343"/>
      <c r="H368" s="2343"/>
    </row>
    <row r="369" spans="1:8">
      <c r="A369" s="2344" t="s">
        <v>868</v>
      </c>
      <c r="B369" s="2343"/>
      <c r="C369" s="2343"/>
      <c r="D369" s="2343"/>
      <c r="E369" s="2343"/>
      <c r="F369" s="2343"/>
      <c r="G369" s="2343"/>
      <c r="H369" s="2343"/>
    </row>
    <row r="370" spans="1:8">
      <c r="A370" s="2343"/>
      <c r="B370" s="2343"/>
      <c r="C370" s="2343"/>
      <c r="D370" s="2343"/>
      <c r="E370" s="2343"/>
      <c r="F370" s="2343"/>
      <c r="G370" s="2343"/>
      <c r="H370" s="2343"/>
    </row>
    <row r="371" spans="1:8">
      <c r="A371" s="2344" t="s">
        <v>826</v>
      </c>
      <c r="B371" s="2343"/>
      <c r="C371" s="2343"/>
      <c r="D371" s="2343"/>
      <c r="E371" s="2343"/>
      <c r="F371" s="2343"/>
      <c r="G371" s="2343"/>
      <c r="H371" s="2343"/>
    </row>
    <row r="372" spans="1:8">
      <c r="A372" s="2344" t="s">
        <v>830</v>
      </c>
      <c r="B372" s="2343"/>
      <c r="C372" s="2343"/>
      <c r="D372" s="2343"/>
      <c r="E372" s="2343"/>
      <c r="F372" s="2343"/>
      <c r="G372" s="2343"/>
      <c r="H372" s="2343"/>
    </row>
    <row r="373" spans="1:8">
      <c r="A373" s="2344" t="s">
        <v>831</v>
      </c>
      <c r="B373" s="2343"/>
      <c r="C373" s="2343"/>
      <c r="D373" s="2343"/>
      <c r="E373" s="2343"/>
      <c r="F373" s="2343"/>
      <c r="G373" s="2343"/>
      <c r="H373" s="2343"/>
    </row>
    <row r="374" spans="1:8">
      <c r="A374" s="2344" t="s">
        <v>832</v>
      </c>
      <c r="B374" s="2343"/>
      <c r="C374" s="2343"/>
      <c r="D374" s="2343"/>
      <c r="E374" s="2343"/>
      <c r="F374" s="2343"/>
      <c r="G374" s="2343"/>
      <c r="H374" s="2343"/>
    </row>
    <row r="375" spans="1:8">
      <c r="A375" s="2344" t="s">
        <v>833</v>
      </c>
      <c r="B375" s="2343"/>
      <c r="C375" s="2343"/>
      <c r="D375" s="2343"/>
      <c r="E375" s="2343"/>
      <c r="F375" s="2343"/>
      <c r="G375" s="2343"/>
      <c r="H375" s="2343"/>
    </row>
    <row r="376" spans="1:8">
      <c r="A376" s="2343"/>
      <c r="B376" s="2343"/>
      <c r="C376" s="2343"/>
      <c r="D376" s="2343"/>
      <c r="E376" s="2343"/>
      <c r="F376" s="2343"/>
      <c r="G376" s="2343"/>
      <c r="H376" s="2343"/>
    </row>
    <row r="377" spans="1:8">
      <c r="A377" s="2344" t="s">
        <v>826</v>
      </c>
      <c r="B377" s="2343"/>
      <c r="C377" s="2343"/>
      <c r="D377" s="2343"/>
      <c r="E377" s="2343"/>
      <c r="F377" s="2343"/>
      <c r="G377" s="2343"/>
      <c r="H377" s="2343"/>
    </row>
    <row r="378" spans="1:8">
      <c r="A378" s="2344" t="s">
        <v>827</v>
      </c>
      <c r="B378" s="2343"/>
      <c r="C378" s="2343"/>
      <c r="D378" s="2343"/>
      <c r="E378" s="2343"/>
      <c r="F378" s="2343"/>
      <c r="G378" s="2343"/>
      <c r="H378" s="2343"/>
    </row>
    <row r="379" spans="1:8">
      <c r="A379" s="2344" t="s">
        <v>828</v>
      </c>
      <c r="B379" s="2343"/>
      <c r="C379" s="2343"/>
      <c r="D379" s="2343"/>
      <c r="E379" s="2343"/>
      <c r="F379" s="2343"/>
      <c r="G379" s="2343"/>
      <c r="H379" s="2343"/>
    </row>
    <row r="380" spans="1:8">
      <c r="A380" s="2344" t="s">
        <v>829</v>
      </c>
      <c r="B380" s="2343"/>
      <c r="C380" s="2343"/>
      <c r="D380" s="2343"/>
      <c r="E380" s="2343"/>
      <c r="F380" s="2343"/>
      <c r="G380" s="2343"/>
      <c r="H380" s="2343"/>
    </row>
    <row r="381" spans="1:8">
      <c r="A381" s="2343"/>
      <c r="B381" s="2343"/>
      <c r="C381" s="2343"/>
      <c r="D381" s="2343"/>
      <c r="E381" s="2343"/>
      <c r="F381" s="2343"/>
      <c r="G381" s="2343"/>
      <c r="H381" s="2343"/>
    </row>
    <row r="382" spans="1:8">
      <c r="A382" s="2344" t="s">
        <v>820</v>
      </c>
      <c r="B382" s="2343"/>
      <c r="C382" s="2343"/>
      <c r="D382" s="2343"/>
      <c r="E382" s="2343"/>
      <c r="F382" s="2343"/>
      <c r="G382" s="2343"/>
      <c r="H382" s="2343"/>
    </row>
    <row r="383" spans="1:8">
      <c r="A383" s="2344" t="s">
        <v>821</v>
      </c>
      <c r="B383" s="2343"/>
      <c r="C383" s="2343"/>
      <c r="D383" s="2343"/>
      <c r="E383" s="2343"/>
      <c r="F383" s="2343"/>
      <c r="G383" s="2343"/>
      <c r="H383" s="2343"/>
    </row>
    <row r="384" spans="1:8">
      <c r="A384" s="2344" t="s">
        <v>822</v>
      </c>
      <c r="B384" s="2343"/>
      <c r="C384" s="2343"/>
      <c r="D384" s="2343"/>
      <c r="E384" s="2343"/>
      <c r="F384" s="2343"/>
      <c r="G384" s="2343"/>
      <c r="H384" s="2343"/>
    </row>
    <row r="385" spans="1:8">
      <c r="A385" s="2344" t="s">
        <v>823</v>
      </c>
      <c r="B385" s="2343"/>
      <c r="C385" s="2343"/>
      <c r="D385" s="2343"/>
      <c r="E385" s="2343"/>
      <c r="F385" s="2343"/>
      <c r="G385" s="2343"/>
      <c r="H385" s="2343"/>
    </row>
    <row r="386" spans="1:8">
      <c r="A386" s="2344" t="s">
        <v>824</v>
      </c>
      <c r="B386" s="2343"/>
      <c r="C386" s="2343"/>
      <c r="D386" s="2343"/>
      <c r="E386" s="2343"/>
      <c r="F386" s="2343"/>
      <c r="G386" s="2343"/>
      <c r="H386" s="2343"/>
    </row>
    <row r="387" spans="1:8">
      <c r="A387" s="2344" t="s">
        <v>825</v>
      </c>
      <c r="B387" s="2343"/>
      <c r="C387" s="2343"/>
      <c r="D387" s="2343"/>
      <c r="E387" s="2343"/>
      <c r="F387" s="2343"/>
      <c r="G387" s="2343"/>
      <c r="H387" s="2343"/>
    </row>
    <row r="388" spans="1:8">
      <c r="A388" s="2343"/>
      <c r="B388" s="2343"/>
      <c r="C388" s="2343"/>
      <c r="D388" s="2343"/>
      <c r="E388" s="2343"/>
      <c r="F388" s="2343"/>
      <c r="G388" s="2343"/>
      <c r="H388" s="2343"/>
    </row>
    <row r="389" spans="1:8">
      <c r="A389" s="2344" t="s">
        <v>815</v>
      </c>
      <c r="B389" s="2343"/>
      <c r="C389" s="2343"/>
      <c r="D389" s="2343"/>
      <c r="E389" s="2343"/>
      <c r="F389" s="2343"/>
      <c r="G389" s="2343"/>
      <c r="H389" s="2343"/>
    </row>
    <row r="390" spans="1:8">
      <c r="A390" s="2344" t="s">
        <v>816</v>
      </c>
      <c r="B390" s="2343"/>
      <c r="C390" s="2343"/>
      <c r="D390" s="2343"/>
      <c r="E390" s="2343"/>
      <c r="F390" s="2343"/>
      <c r="G390" s="2343"/>
      <c r="H390" s="2343"/>
    </row>
    <row r="391" spans="1:8">
      <c r="A391" s="2344" t="s">
        <v>817</v>
      </c>
      <c r="B391" s="2343"/>
      <c r="C391" s="2343"/>
      <c r="D391" s="2343"/>
      <c r="E391" s="2343"/>
      <c r="F391" s="2343"/>
      <c r="G391" s="2343"/>
      <c r="H391" s="2343"/>
    </row>
    <row r="392" spans="1:8">
      <c r="A392" s="2344" t="s">
        <v>818</v>
      </c>
      <c r="B392" s="2343"/>
      <c r="C392" s="2343"/>
      <c r="D392" s="2343"/>
      <c r="E392" s="2343"/>
      <c r="F392" s="2343"/>
      <c r="G392" s="2343"/>
      <c r="H392" s="2343"/>
    </row>
    <row r="393" spans="1:8">
      <c r="A393" s="2344" t="s">
        <v>819</v>
      </c>
      <c r="B393" s="2343"/>
      <c r="C393" s="2343"/>
      <c r="D393" s="2343"/>
      <c r="E393" s="2343"/>
      <c r="F393" s="2343"/>
      <c r="G393" s="2343"/>
      <c r="H393" s="2343"/>
    </row>
    <row r="394" spans="1:8">
      <c r="A394" s="2343"/>
      <c r="B394" s="2343"/>
      <c r="C394" s="2343"/>
      <c r="D394" s="2343"/>
      <c r="E394" s="2343"/>
      <c r="F394" s="2343"/>
      <c r="G394" s="2343"/>
      <c r="H394" s="2343"/>
    </row>
    <row r="395" spans="1:8">
      <c r="A395" s="2344" t="s">
        <v>813</v>
      </c>
      <c r="B395" s="2343"/>
      <c r="C395" s="2343"/>
      <c r="D395" s="2343"/>
      <c r="E395" s="2343"/>
      <c r="F395" s="2343"/>
      <c r="G395" s="2343"/>
      <c r="H395" s="2343"/>
    </row>
    <row r="396" spans="1:8">
      <c r="A396" s="2344" t="s">
        <v>814</v>
      </c>
      <c r="B396" s="2343"/>
      <c r="C396" s="2343"/>
      <c r="D396" s="2343"/>
      <c r="E396" s="2343"/>
      <c r="F396" s="2343"/>
      <c r="G396" s="2343"/>
      <c r="H396" s="2343"/>
    </row>
    <row r="398" spans="1:8">
      <c r="A398" s="2339" t="s">
        <v>1075</v>
      </c>
    </row>
  </sheetData>
  <mergeCells count="12">
    <mergeCell ref="A136:H136"/>
    <mergeCell ref="A137:H137"/>
    <mergeCell ref="B129:C129"/>
    <mergeCell ref="D129:F129"/>
    <mergeCell ref="G129:H129"/>
    <mergeCell ref="A115:H115"/>
    <mergeCell ref="A116:H116"/>
    <mergeCell ref="A117:H117"/>
    <mergeCell ref="A118:H118"/>
    <mergeCell ref="A120:H120"/>
    <mergeCell ref="A121:H121"/>
    <mergeCell ref="A128:H128"/>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AE59"/>
  <sheetViews>
    <sheetView showGridLines="0" topLeftCell="A4" zoomScale="145" zoomScaleNormal="145" workbookViewId="0">
      <selection activeCell="C24" sqref="C24"/>
    </sheetView>
  </sheetViews>
  <sheetFormatPr defaultColWidth="12.5" defaultRowHeight="11.25" outlineLevelCol="1"/>
  <cols>
    <col min="1" max="1" width="8.83203125" style="1229" customWidth="1"/>
    <col min="2" max="2" width="15.5" style="1229" bestFit="1" customWidth="1"/>
    <col min="3" max="3" width="14.83203125" style="1229" hidden="1" customWidth="1" outlineLevel="1"/>
    <col min="4" max="6" width="12.5" style="1229" hidden="1" customWidth="1" outlineLevel="1"/>
    <col min="7" max="7" width="4.33203125" style="1229" hidden="1" customWidth="1" outlineLevel="1"/>
    <col min="8" max="8" width="14.83203125" style="1229" hidden="1" customWidth="1" outlineLevel="1"/>
    <col min="9" max="11" width="12.5" style="1229" hidden="1" customWidth="1" outlineLevel="1"/>
    <col min="12" max="12" width="4.33203125" style="1229" hidden="1" customWidth="1" outlineLevel="1"/>
    <col min="13" max="13" width="14.83203125" style="1229" hidden="1" customWidth="1" outlineLevel="1"/>
    <col min="14" max="16" width="12.5" style="1229" hidden="1" customWidth="1" outlineLevel="1"/>
    <col min="17" max="17" width="4.33203125" style="1229" hidden="1" customWidth="1" outlineLevel="1"/>
    <col min="18" max="18" width="14.83203125" style="1229" customWidth="1" collapsed="1"/>
    <col min="19" max="21" width="12.5" style="1229" customWidth="1"/>
    <col min="22" max="22" width="4.33203125" style="1229" customWidth="1"/>
    <col min="23" max="25" width="12.5" style="1229" hidden="1" customWidth="1" outlineLevel="1"/>
    <col min="26" max="26" width="12.5" style="1229" collapsed="1"/>
    <col min="27" max="16384" width="12.5" style="1229"/>
  </cols>
  <sheetData>
    <row r="2" spans="2:31">
      <c r="B2" s="1228" t="s">
        <v>482</v>
      </c>
    </row>
    <row r="3" spans="2:31">
      <c r="B3" s="1874" t="s">
        <v>758</v>
      </c>
    </row>
    <row r="5" spans="2:31">
      <c r="B5" s="1228" t="s">
        <v>483</v>
      </c>
      <c r="C5" s="1244">
        <v>42094</v>
      </c>
      <c r="D5" s="1245">
        <f>+EOMONTH(C5,3)</f>
        <v>42185</v>
      </c>
      <c r="E5" s="1245">
        <f>+EOMONTH(D5,3)</f>
        <v>42277</v>
      </c>
      <c r="F5" s="1245">
        <f>+EOMONTH(E5,3)</f>
        <v>42369</v>
      </c>
      <c r="H5" s="1244">
        <v>42460</v>
      </c>
      <c r="I5" s="1245">
        <f>+EOMONTH(H5,3)</f>
        <v>42551</v>
      </c>
      <c r="J5" s="1245">
        <f>+EOMONTH(I5,3)</f>
        <v>42643</v>
      </c>
      <c r="K5" s="1245">
        <f>+EOMONTH(J5,3)</f>
        <v>42735</v>
      </c>
      <c r="M5" s="1244">
        <v>42825</v>
      </c>
      <c r="N5" s="1245">
        <f>+EOMONTH(M5,3)</f>
        <v>42916</v>
      </c>
      <c r="O5" s="1245">
        <f>+EOMONTH(N5,3)</f>
        <v>43008</v>
      </c>
      <c r="P5" s="1245">
        <f>+EOMONTH(O5,3)</f>
        <v>43100</v>
      </c>
      <c r="R5" s="1244">
        <v>43190</v>
      </c>
      <c r="S5" s="1245">
        <f>+EOMONTH(R5,3)</f>
        <v>43281</v>
      </c>
      <c r="T5" s="1245">
        <f>+EOMONTH(S5,3)</f>
        <v>43373</v>
      </c>
      <c r="U5" s="1245">
        <f>+EOMONTH(T5,3)</f>
        <v>43465</v>
      </c>
      <c r="W5" s="1230">
        <f>+F5</f>
        <v>42369</v>
      </c>
      <c r="X5" s="1230">
        <f>+EOMONTH(W5,12)</f>
        <v>42735</v>
      </c>
      <c r="Y5" s="1230">
        <f>+EOMONTH(X5,12)</f>
        <v>43100</v>
      </c>
      <c r="Z5" s="1230">
        <f>+EOMONTH(Y5,12)</f>
        <v>43465</v>
      </c>
      <c r="AA5" s="1230">
        <f>+EOMONTH(Z5,12)</f>
        <v>43830</v>
      </c>
      <c r="AB5" s="1230">
        <f>+EOMONTH(AA5,12)</f>
        <v>44196</v>
      </c>
    </row>
    <row r="6" spans="2:31">
      <c r="B6" s="1228"/>
      <c r="C6" s="1245" t="str">
        <f>+(ROUND(MONTH(C5)/3,0)&amp;"Q"&amp;YEAR(C5))</f>
        <v>1Q2015</v>
      </c>
      <c r="D6" s="1245" t="str">
        <f>+(ROUND(MONTH(D5)/3,0)&amp;"Q"&amp;YEAR(D5))</f>
        <v>2Q2015</v>
      </c>
      <c r="E6" s="1245" t="str">
        <f>+(ROUND(MONTH(E5)/3,0)&amp;"Q"&amp;YEAR(E5))</f>
        <v>3Q2015</v>
      </c>
      <c r="F6" s="1245" t="str">
        <f>+(ROUND(MONTH(F5)/3,0)&amp;"Q"&amp;YEAR(F5))</f>
        <v>4Q2015</v>
      </c>
      <c r="H6" s="1245" t="str">
        <f>+(ROUND(MONTH(H5)/3,0)&amp;"Q"&amp;YEAR(H5))</f>
        <v>1Q2016</v>
      </c>
      <c r="I6" s="1245" t="str">
        <f>+(ROUND(MONTH(I5)/3,0)&amp;"Q"&amp;YEAR(I5))</f>
        <v>2Q2016</v>
      </c>
      <c r="J6" s="1245" t="str">
        <f>+(ROUND(MONTH(J5)/3,0)&amp;"Q"&amp;YEAR(J5))</f>
        <v>3Q2016</v>
      </c>
      <c r="K6" s="1245" t="str">
        <f>+(ROUND(MONTH(K5)/3,0)&amp;"Q"&amp;YEAR(K5))</f>
        <v>4Q2016</v>
      </c>
      <c r="M6" s="1245" t="str">
        <f>+(ROUND(MONTH(M5)/3,0)&amp;"Q"&amp;YEAR(M5))</f>
        <v>1Q2017</v>
      </c>
      <c r="N6" s="1245" t="str">
        <f>+(ROUND(MONTH(N5)/3,0)&amp;"Q"&amp;YEAR(N5))</f>
        <v>2Q2017</v>
      </c>
      <c r="O6" s="1245" t="str">
        <f>+(ROUND(MONTH(O5)/3,0)&amp;"Q"&amp;YEAR(O5))</f>
        <v>3Q2017</v>
      </c>
      <c r="P6" s="1245" t="str">
        <f>+(ROUND(MONTH(P5)/3,0)&amp;"Q"&amp;YEAR(P5))</f>
        <v>4Q2017</v>
      </c>
      <c r="R6" s="1245" t="str">
        <f>+(ROUND(MONTH(R5)/3,0)&amp;"Q"&amp;YEAR(R5))</f>
        <v>1Q2018</v>
      </c>
      <c r="S6" s="1245" t="str">
        <f>+(ROUND(MONTH(S5)/3,0)&amp;"Q"&amp;YEAR(S5))</f>
        <v>2Q2018</v>
      </c>
      <c r="T6" s="1245" t="str">
        <f>+(ROUND(MONTH(T5)/3,0)&amp;"Q"&amp;YEAR(T5))</f>
        <v>3Q2018</v>
      </c>
      <c r="U6" s="1245" t="str">
        <f>+(ROUND(MONTH(U5)/3,0)&amp;"Q"&amp;YEAR(U5))</f>
        <v>4Q2018</v>
      </c>
      <c r="W6" s="1229">
        <f t="shared" ref="W6:AB6" si="0">+YEAR(W5)</f>
        <v>2015</v>
      </c>
      <c r="X6" s="1229">
        <f t="shared" si="0"/>
        <v>2016</v>
      </c>
      <c r="Y6" s="1229">
        <f t="shared" si="0"/>
        <v>2017</v>
      </c>
      <c r="Z6" s="1229">
        <f t="shared" si="0"/>
        <v>2018</v>
      </c>
      <c r="AA6" s="1229">
        <f t="shared" si="0"/>
        <v>2019</v>
      </c>
      <c r="AB6" s="1229">
        <f t="shared" si="0"/>
        <v>2020</v>
      </c>
      <c r="AD6" s="1231"/>
      <c r="AE6" s="1231"/>
    </row>
    <row r="7" spans="2:31">
      <c r="B7" s="1228"/>
      <c r="AD7" s="1231"/>
      <c r="AE7" s="1231"/>
    </row>
    <row r="8" spans="2:31">
      <c r="B8" s="1228"/>
      <c r="AD8" s="1231"/>
      <c r="AE8" s="1231"/>
    </row>
    <row r="9" spans="2:31">
      <c r="AD9" s="1231"/>
      <c r="AE9" s="1231"/>
    </row>
    <row r="10" spans="2:31">
      <c r="B10" s="1232" t="s">
        <v>484</v>
      </c>
      <c r="C10" s="1233" t="str">
        <f>+C6</f>
        <v>1Q2015</v>
      </c>
      <c r="D10" s="1233" t="str">
        <f>+D6</f>
        <v>2Q2015</v>
      </c>
      <c r="E10" s="1233" t="str">
        <f>+E6</f>
        <v>3Q2015</v>
      </c>
      <c r="F10" s="1233" t="str">
        <f>+F6</f>
        <v>4Q2015</v>
      </c>
      <c r="G10" s="1231"/>
      <c r="H10" s="1540" t="str">
        <f>+H6</f>
        <v>1Q2016</v>
      </c>
      <c r="I10" s="1540" t="str">
        <f>+I6</f>
        <v>2Q2016</v>
      </c>
      <c r="J10" s="1540" t="str">
        <f>+J6</f>
        <v>3Q2016</v>
      </c>
      <c r="K10" s="1540" t="str">
        <f>+K6</f>
        <v>4Q2016</v>
      </c>
      <c r="L10" s="2044"/>
      <c r="M10" s="1540" t="str">
        <f>+M6</f>
        <v>1Q2017</v>
      </c>
      <c r="N10" s="1540" t="str">
        <f>+N6</f>
        <v>2Q2017</v>
      </c>
      <c r="O10" s="1540" t="str">
        <f>+O6</f>
        <v>3Q2017</v>
      </c>
      <c r="P10" s="1540" t="str">
        <f>+P6</f>
        <v>4Q2017</v>
      </c>
      <c r="Q10" s="2044"/>
      <c r="R10" s="1540" t="str">
        <f>+R6</f>
        <v>1Q2018</v>
      </c>
      <c r="S10" s="1540" t="str">
        <f>+S6</f>
        <v>2Q2018</v>
      </c>
      <c r="T10" s="1540" t="str">
        <f>+T6</f>
        <v>3Q2018</v>
      </c>
      <c r="U10" s="1540" t="str">
        <f>+U6</f>
        <v>4Q2018</v>
      </c>
      <c r="V10" s="2044"/>
      <c r="W10" s="1540"/>
      <c r="X10" s="1540" t="str">
        <f>+TEXT(X6,"#")</f>
        <v>2016</v>
      </c>
      <c r="Y10" s="1540" t="str">
        <f>+TEXT(Y6,"#")</f>
        <v>2017</v>
      </c>
      <c r="Z10" s="1540" t="str">
        <f>+TEXT(Z6,"#")</f>
        <v>2018</v>
      </c>
      <c r="AA10" s="1540" t="str">
        <f>+TEXT(AA6,"#")</f>
        <v>2019</v>
      </c>
      <c r="AB10" s="1540" t="str">
        <f>+TEXT(AB6,"#")</f>
        <v>2020</v>
      </c>
      <c r="AD10" s="1231"/>
      <c r="AE10" s="1231"/>
    </row>
    <row r="11" spans="2:31">
      <c r="B11" s="1234" t="s">
        <v>485</v>
      </c>
      <c r="C11" s="1235"/>
      <c r="D11" s="1235"/>
      <c r="E11" s="1235"/>
      <c r="F11" s="1235"/>
      <c r="G11" s="1231"/>
      <c r="H11" s="1541"/>
      <c r="I11" s="1541"/>
      <c r="J11" s="1541"/>
      <c r="K11" s="1541"/>
      <c r="L11" s="2044"/>
      <c r="M11" s="1541"/>
      <c r="N11" s="1541"/>
      <c r="O11" s="1541"/>
      <c r="P11" s="1541"/>
      <c r="Q11" s="2044"/>
      <c r="R11" s="1541"/>
      <c r="S11" s="1541"/>
      <c r="T11" s="1541"/>
      <c r="U11" s="1541"/>
      <c r="V11" s="2044"/>
      <c r="W11" s="1541"/>
      <c r="X11" s="1541"/>
      <c r="Y11" s="1541"/>
      <c r="Z11" s="1541"/>
      <c r="AA11" s="1541"/>
      <c r="AB11" s="1541"/>
      <c r="AD11" s="1231"/>
      <c r="AE11" s="1231"/>
    </row>
    <row r="12" spans="2:31">
      <c r="B12" s="1231" t="s">
        <v>18</v>
      </c>
      <c r="C12" s="1236">
        <f>+Model!BQ21</f>
        <v>1840.694</v>
      </c>
      <c r="D12" s="1236">
        <f>+Model!BR21</f>
        <v>2280.3969999999999</v>
      </c>
      <c r="E12" s="1236">
        <f>+Model!BS21</f>
        <v>3102.9009999999998</v>
      </c>
      <c r="F12" s="1236">
        <f>+Model!BT21</f>
        <v>1999.9949999999999</v>
      </c>
      <c r="G12" s="1231"/>
      <c r="H12" s="1543">
        <f>Model!BU21</f>
        <v>2148.1189999999997</v>
      </c>
      <c r="I12" s="1543">
        <f>Model!BV21</f>
        <v>2555.902</v>
      </c>
      <c r="J12" s="1543">
        <f>Model!BW21</f>
        <v>3690.5520000000001</v>
      </c>
      <c r="K12" s="1543">
        <f>Model!BX21</f>
        <v>2348.433</v>
      </c>
      <c r="L12" s="2044"/>
      <c r="M12" s="1543">
        <f>Model!BY21</f>
        <v>2419.404</v>
      </c>
      <c r="N12" s="1543">
        <f>Model!BZ21</f>
        <v>3024.556</v>
      </c>
      <c r="O12" s="1543">
        <f>Model!CA21</f>
        <v>4434.0289999999995</v>
      </c>
      <c r="P12" s="1543">
        <f>Model!CB21</f>
        <v>2803.0929999999998</v>
      </c>
      <c r="Q12" s="2044"/>
      <c r="R12" s="1543">
        <f>Model!CC21</f>
        <v>2924.465814402789</v>
      </c>
      <c r="S12" s="1543">
        <f>Model!CD21</f>
        <v>3682.7957658782325</v>
      </c>
      <c r="T12" s="1543">
        <f>Model!CE21</f>
        <v>5153.188203949685</v>
      </c>
      <c r="U12" s="1543">
        <f>Model!CF21</f>
        <v>3511.2504931726057</v>
      </c>
      <c r="V12" s="2044"/>
      <c r="W12" s="1543"/>
      <c r="X12" s="1543">
        <f>Model!CW21</f>
        <v>10743.005999999999</v>
      </c>
      <c r="Y12" s="1543">
        <f>Model!CX21</f>
        <v>12681.082</v>
      </c>
      <c r="Z12" s="1543">
        <f>Model!CY21</f>
        <v>15271.700277403312</v>
      </c>
      <c r="AA12" s="1543">
        <f>Model!CZ21</f>
        <v>17339.687473709666</v>
      </c>
      <c r="AB12" s="1543">
        <f>Model!DA21</f>
        <v>19383.027606507796</v>
      </c>
      <c r="AD12" s="1231"/>
      <c r="AE12" s="1231"/>
    </row>
    <row r="13" spans="2:31">
      <c r="B13" s="1231" t="s">
        <v>486</v>
      </c>
      <c r="C13" s="1236">
        <f>Model!BQ39</f>
        <v>1672.2359999999999</v>
      </c>
      <c r="D13" s="1236">
        <f>Model!BR39</f>
        <v>2092.9059999999999</v>
      </c>
      <c r="E13" s="1236">
        <f>Model!BS39</f>
        <v>2947.2819999999997</v>
      </c>
      <c r="F13" s="1236">
        <f>Model!BT39</f>
        <v>1879.3829999999998</v>
      </c>
      <c r="G13" s="1231"/>
      <c r="H13" s="1543">
        <f>Model!BU39</f>
        <v>2019.4499999999996</v>
      </c>
      <c r="I13" s="1543">
        <f>Model!BV39</f>
        <v>2429.8180000000002</v>
      </c>
      <c r="J13" s="1543">
        <f>Model!BW39</f>
        <v>3589.0630000000001</v>
      </c>
      <c r="K13" s="1543">
        <f>Model!BX39</f>
        <v>2276.3609999999999</v>
      </c>
      <c r="L13" s="2044"/>
      <c r="M13" s="1543">
        <f>Model!BY39</f>
        <v>2334.2350000000001</v>
      </c>
      <c r="N13" s="1543">
        <f>Model!BZ39</f>
        <v>2951.8139999999999</v>
      </c>
      <c r="O13" s="1543">
        <f>Model!CA39</f>
        <v>4374.5529999999999</v>
      </c>
      <c r="P13" s="1543">
        <f>Model!CB39</f>
        <v>2769.9429999999998</v>
      </c>
      <c r="Q13" s="2044"/>
      <c r="R13" s="1543">
        <f>Model!CC39</f>
        <v>2797.4827631473131</v>
      </c>
      <c r="S13" s="1543">
        <f>Model!CD39</f>
        <v>3562.1867348861169</v>
      </c>
      <c r="T13" s="1543">
        <f>Model!CE39</f>
        <v>5004.4109582604151</v>
      </c>
      <c r="U13" s="1543">
        <f>Model!CF39</f>
        <v>3377.7905329599316</v>
      </c>
      <c r="V13" s="2044"/>
      <c r="W13" s="1543"/>
      <c r="X13" s="1543">
        <f>Model!CW39</f>
        <v>10314.691999999999</v>
      </c>
      <c r="Y13" s="1543">
        <f>Model!CX39</f>
        <v>12430.544999999998</v>
      </c>
      <c r="Z13" s="1543">
        <f>Model!CY39</f>
        <v>14741.870989253777</v>
      </c>
      <c r="AA13" s="1543">
        <f>Model!CZ39</f>
        <v>16789.461770853006</v>
      </c>
      <c r="AB13" s="1543">
        <f>Model!DA39</f>
        <v>18821.738388716545</v>
      </c>
      <c r="AD13" s="1231"/>
      <c r="AE13" s="1231"/>
    </row>
    <row r="14" spans="2:31">
      <c r="B14" s="1237" t="s">
        <v>203</v>
      </c>
      <c r="C14" s="1238">
        <f>Model!BQ55</f>
        <v>0.90848125761261778</v>
      </c>
      <c r="D14" s="1238">
        <f>Model!BR55</f>
        <v>0.91778142139285401</v>
      </c>
      <c r="E14" s="1238">
        <f>Model!BS55</f>
        <v>0.94984725584219409</v>
      </c>
      <c r="F14" s="1238">
        <f>Model!BT55</f>
        <v>0.93969384923462307</v>
      </c>
      <c r="G14" s="1231"/>
      <c r="H14" s="1246">
        <f>Model!BU55</f>
        <v>0.94010154930895351</v>
      </c>
      <c r="I14" s="1246">
        <f>Model!BV55</f>
        <v>0.95066947011270386</v>
      </c>
      <c r="J14" s="1246">
        <f>Model!BW55</f>
        <v>0.97250031973536755</v>
      </c>
      <c r="K14" s="1246">
        <f>Model!BX55</f>
        <v>0.96931059987659851</v>
      </c>
      <c r="L14" s="2044"/>
      <c r="M14" s="1246">
        <f>Model!BY55</f>
        <v>0.96479752864755131</v>
      </c>
      <c r="N14" s="1246">
        <f>Model!BZ55</f>
        <v>0.97594952779846023</v>
      </c>
      <c r="O14" s="1246">
        <f>Model!CA55</f>
        <v>0.986586465717748</v>
      </c>
      <c r="P14" s="1246">
        <f>Model!CB55</f>
        <v>0.98817377803733231</v>
      </c>
      <c r="Q14" s="2044"/>
      <c r="R14" s="1246">
        <f>Model!CC55</f>
        <v>0.9565790611638908</v>
      </c>
      <c r="S14" s="1246">
        <f>Model!CD55</f>
        <v>0.96725068707051853</v>
      </c>
      <c r="T14" s="1246">
        <f>Model!CE55</f>
        <v>0.97112908750834315</v>
      </c>
      <c r="U14" s="1246">
        <f>Model!CF55</f>
        <v>0.96199076070699652</v>
      </c>
      <c r="V14" s="2044"/>
      <c r="W14" s="1246"/>
      <c r="X14" s="1246">
        <f>Model!CW55</f>
        <v>0.96013089818622455</v>
      </c>
      <c r="Y14" s="1246">
        <f>Model!CX55</f>
        <v>0.9802432473822027</v>
      </c>
      <c r="Z14" s="1246">
        <f>Model!CY55</f>
        <v>0.96530646368607076</v>
      </c>
      <c r="AA14" s="1246">
        <f>Model!CZ55</f>
        <v>0.9682678419844124</v>
      </c>
      <c r="AB14" s="1246">
        <f>Model!DA55</f>
        <v>0.97104223193683115</v>
      </c>
      <c r="AD14" s="1231"/>
      <c r="AE14" s="1231"/>
    </row>
    <row r="15" spans="2:31">
      <c r="B15" s="1231" t="s">
        <v>434</v>
      </c>
      <c r="C15" s="1236">
        <f>Model!BQ87</f>
        <v>531.7349999999999</v>
      </c>
      <c r="D15" s="1236">
        <f>Model!BR87</f>
        <v>804.72500000000014</v>
      </c>
      <c r="E15" s="1236">
        <f>Model!BS87</f>
        <v>1596.597</v>
      </c>
      <c r="F15" s="1236">
        <f>Model!BT87</f>
        <v>789.59599999999966</v>
      </c>
      <c r="G15" s="1231"/>
      <c r="H15" s="1543">
        <f>Model!BU87</f>
        <v>676.26099999999951</v>
      </c>
      <c r="I15" s="1543">
        <f>Model!BV87</f>
        <v>867.09200000000021</v>
      </c>
      <c r="J15" s="1543">
        <f>Model!BW87</f>
        <v>1902.3150000000005</v>
      </c>
      <c r="K15" s="1543">
        <f>Model!BX95</f>
        <v>868.61699999999962</v>
      </c>
      <c r="L15" s="1543"/>
      <c r="M15" s="1543">
        <f>Model!BY95</f>
        <v>634.76499999999987</v>
      </c>
      <c r="N15" s="1543">
        <f>Model!BZ95</f>
        <v>974.13700000000051</v>
      </c>
      <c r="O15" s="1543">
        <f>Model!CA95</f>
        <v>2187.6760000000004</v>
      </c>
      <c r="P15" s="1543">
        <f>Model!CB95</f>
        <v>1070.6539999999998</v>
      </c>
      <c r="Q15" s="1543"/>
      <c r="R15" s="1543">
        <f>Model!CC95</f>
        <v>764.65551155532273</v>
      </c>
      <c r="S15" s="1543">
        <f>Model!CD95</f>
        <v>1210.0034275840203</v>
      </c>
      <c r="T15" s="1543">
        <f>Model!CE95</f>
        <v>2557.2658733780972</v>
      </c>
      <c r="U15" s="1543">
        <f>Model!CF95</f>
        <v>1391.7444963980067</v>
      </c>
      <c r="V15" s="2044"/>
      <c r="W15" s="1543"/>
      <c r="X15" s="1543">
        <f>Model!CW95</f>
        <v>4139.2349999999997</v>
      </c>
      <c r="Y15" s="1543">
        <f>Model!CX95</f>
        <v>4867.2319999999982</v>
      </c>
      <c r="Z15" s="1543">
        <f>Model!CY95</f>
        <v>5923.6693089154496</v>
      </c>
      <c r="AA15" s="1543">
        <f>Model!CZ95</f>
        <v>6799.2864405486807</v>
      </c>
      <c r="AB15" s="1543">
        <f>Model!DA95</f>
        <v>7681.090174516783</v>
      </c>
      <c r="AD15" s="1231"/>
      <c r="AE15" s="1231"/>
    </row>
    <row r="16" spans="2:31">
      <c r="B16" s="1237" t="s">
        <v>726</v>
      </c>
      <c r="C16" s="1238">
        <f>+C15/C13</f>
        <v>0.31797844323408891</v>
      </c>
      <c r="D16" s="1238">
        <f>+D15/D13</f>
        <v>0.3845012628374137</v>
      </c>
      <c r="E16" s="1238">
        <f>+E15/E13</f>
        <v>0.54171843752990045</v>
      </c>
      <c r="F16" s="1238">
        <f>+F15/F13</f>
        <v>0.42013575732035446</v>
      </c>
      <c r="G16" s="1231"/>
      <c r="H16" s="1246">
        <f>+H15/H13</f>
        <v>0.33487385179132917</v>
      </c>
      <c r="I16" s="1246">
        <f>+I15/I13</f>
        <v>0.35685471092896676</v>
      </c>
      <c r="J16" s="1246">
        <f>+J15/J13</f>
        <v>0.53003109725296005</v>
      </c>
      <c r="K16" s="1246">
        <f>+K15/K13</f>
        <v>0.38158139240656452</v>
      </c>
      <c r="L16" s="2044"/>
      <c r="M16" s="1246">
        <f>+M15/M13</f>
        <v>0.27193705860806638</v>
      </c>
      <c r="N16" s="1246">
        <f>+N15/N13</f>
        <v>0.33001300217425644</v>
      </c>
      <c r="O16" s="1246">
        <f>+O15/O13</f>
        <v>0.50009132361637876</v>
      </c>
      <c r="P16" s="1246">
        <f>+P15/P13</f>
        <v>0.38652564330746153</v>
      </c>
      <c r="Q16" s="2044"/>
      <c r="R16" s="1246">
        <f>+R15/R13</f>
        <v>0.27333698767639436</v>
      </c>
      <c r="S16" s="1246">
        <f>+S15/S13</f>
        <v>0.3396799543757506</v>
      </c>
      <c r="T16" s="1246">
        <f>+T15/T13</f>
        <v>0.51100237264827453</v>
      </c>
      <c r="U16" s="1246">
        <f>+U15/U13</f>
        <v>0.41202806474160841</v>
      </c>
      <c r="V16" s="2044"/>
      <c r="W16" s="1246"/>
      <c r="X16" s="1246">
        <f>+X15/X13</f>
        <v>0.40129506533011361</v>
      </c>
      <c r="Y16" s="1246">
        <f>+Y15/Y13</f>
        <v>0.3915541917108219</v>
      </c>
      <c r="Z16" s="1246">
        <f>+Z15/Z13</f>
        <v>0.40182615308691572</v>
      </c>
      <c r="AA16" s="1246">
        <f>+AA15/AA13</f>
        <v>0.40497346093324088</v>
      </c>
      <c r="AB16" s="1246">
        <f>+AB15/AB13</f>
        <v>0.40809674515089023</v>
      </c>
      <c r="AD16" s="1231"/>
      <c r="AE16" s="1231"/>
    </row>
    <row r="17" spans="2:31" s="1240" customFormat="1">
      <c r="B17" s="1239" t="s">
        <v>487</v>
      </c>
      <c r="C17" s="1239">
        <f>Model!BQ156</f>
        <v>8.1169640489449542</v>
      </c>
      <c r="D17" s="1239">
        <f>Model!BR156</f>
        <v>12.445338110848517</v>
      </c>
      <c r="E17" s="1239">
        <f>Model!BS156</f>
        <v>25.350191451728893</v>
      </c>
      <c r="F17" s="1239">
        <f>Model!BT156</f>
        <v>12.631136072519455</v>
      </c>
      <c r="G17" s="1239"/>
      <c r="H17" s="1247">
        <f>Model!BU156</f>
        <v>10.542567514057168</v>
      </c>
      <c r="I17" s="1247">
        <f>Model!BV156</f>
        <v>13.927510951654149</v>
      </c>
      <c r="J17" s="1247">
        <f>Model!BW156</f>
        <v>31.179183973607337</v>
      </c>
      <c r="K17" s="1247">
        <f>Model!BX159</f>
        <v>14.211375449820066</v>
      </c>
      <c r="L17" s="1247"/>
      <c r="M17" s="1247">
        <f>Model!BY159</f>
        <v>9.8763818090954487</v>
      </c>
      <c r="N17" s="1247">
        <f>Model!BZ159</f>
        <v>15.141581428799755</v>
      </c>
      <c r="O17" s="1247">
        <f>Model!CA159</f>
        <v>35.224885936124245</v>
      </c>
      <c r="P17" s="1247">
        <f>Model!CB159</f>
        <v>16.857632794690225</v>
      </c>
      <c r="Q17" s="1247"/>
      <c r="R17" s="1247">
        <f>Model!CC159</f>
        <v>11.206184679648887</v>
      </c>
      <c r="S17" s="1247">
        <f>Model!CD159</f>
        <v>18.642647186857957</v>
      </c>
      <c r="T17" s="1247">
        <f>Model!CE159</f>
        <v>40.966442951350366</v>
      </c>
      <c r="U17" s="1247">
        <f>Model!CF159</f>
        <v>21.54848427457372</v>
      </c>
      <c r="V17" s="1247"/>
      <c r="W17" s="1247"/>
      <c r="X17" s="1247">
        <f>Model!CW159</f>
        <v>65.635479296086928</v>
      </c>
      <c r="Y17" s="1247">
        <f>Model!CX159</f>
        <v>77.103064792457701</v>
      </c>
      <c r="Z17" s="1247">
        <f>Model!CY159</f>
        <v>92.09019546493181</v>
      </c>
      <c r="AA17" s="1247">
        <f>Model!CZ159</f>
        <v>109.07187742548903</v>
      </c>
      <c r="AB17" s="1247">
        <f>Model!DA159</f>
        <v>125.72713745961265</v>
      </c>
      <c r="AD17" s="1239"/>
      <c r="AE17" s="1239"/>
    </row>
    <row r="18" spans="2:31">
      <c r="B18" s="1231"/>
      <c r="C18" s="1231"/>
      <c r="D18" s="1231"/>
      <c r="E18" s="1231"/>
      <c r="F18" s="1231"/>
      <c r="G18" s="1231"/>
      <c r="H18" s="2044"/>
      <c r="I18" s="2044"/>
      <c r="J18" s="2044"/>
      <c r="K18" s="2044"/>
      <c r="L18" s="2044"/>
      <c r="M18" s="2044"/>
      <c r="N18" s="2044"/>
      <c r="O18" s="2044"/>
      <c r="P18" s="2044"/>
      <c r="Q18" s="2044"/>
      <c r="R18" s="2044"/>
      <c r="S18" s="2044"/>
      <c r="T18" s="2044"/>
      <c r="U18" s="2044"/>
      <c r="V18" s="2044"/>
      <c r="W18" s="2044"/>
      <c r="X18" s="2045"/>
      <c r="Y18" s="2045"/>
      <c r="Z18" s="2045"/>
      <c r="AA18" s="2045"/>
      <c r="AB18" s="2045"/>
      <c r="AD18" s="1231"/>
      <c r="AE18" s="1231"/>
    </row>
    <row r="19" spans="2:31" s="1241" customFormat="1">
      <c r="B19" s="1232" t="s">
        <v>484</v>
      </c>
      <c r="C19" s="1233" t="str">
        <f>+C10</f>
        <v>1Q2015</v>
      </c>
      <c r="D19" s="1233" t="str">
        <f>+D10</f>
        <v>2Q2015</v>
      </c>
      <c r="E19" s="1233" t="str">
        <f>+E10</f>
        <v>3Q2015</v>
      </c>
      <c r="F19" s="1233" t="str">
        <f>+F10</f>
        <v>4Q2015</v>
      </c>
      <c r="G19" s="1231"/>
      <c r="H19" s="1540" t="str">
        <f>+H10</f>
        <v>1Q2016</v>
      </c>
      <c r="I19" s="1540" t="str">
        <f>+I10</f>
        <v>2Q2016</v>
      </c>
      <c r="J19" s="1540" t="str">
        <f>+J10</f>
        <v>3Q2016</v>
      </c>
      <c r="K19" s="1540" t="str">
        <f>+K10</f>
        <v>4Q2016</v>
      </c>
      <c r="L19" s="2044"/>
      <c r="M19" s="1540" t="str">
        <f>+M10</f>
        <v>1Q2017</v>
      </c>
      <c r="N19" s="1540" t="str">
        <f>+N10</f>
        <v>2Q2017</v>
      </c>
      <c r="O19" s="1540" t="str">
        <f>+O10</f>
        <v>3Q2017</v>
      </c>
      <c r="P19" s="1540" t="str">
        <f>+P10</f>
        <v>4Q2017</v>
      </c>
      <c r="Q19" s="2044"/>
      <c r="R19" s="1540" t="str">
        <f>+R10</f>
        <v>1Q2018</v>
      </c>
      <c r="S19" s="1540" t="str">
        <f>+S10</f>
        <v>2Q2018</v>
      </c>
      <c r="T19" s="1540" t="str">
        <f>+T10</f>
        <v>3Q2018</v>
      </c>
      <c r="U19" s="1540" t="str">
        <f>+U10</f>
        <v>4Q2018</v>
      </c>
      <c r="V19" s="2044"/>
      <c r="W19" s="1540"/>
      <c r="X19" s="1540" t="str">
        <f>+X10</f>
        <v>2016</v>
      </c>
      <c r="Y19" s="1540" t="str">
        <f>+Y10</f>
        <v>2017</v>
      </c>
      <c r="Z19" s="1540" t="str">
        <f>+Z10</f>
        <v>2018</v>
      </c>
      <c r="AA19" s="1540" t="str">
        <f>+AA10</f>
        <v>2019</v>
      </c>
      <c r="AB19" s="1540" t="str">
        <f>+AB10</f>
        <v>2020</v>
      </c>
      <c r="AD19" s="1242"/>
      <c r="AE19" s="1243"/>
    </row>
    <row r="20" spans="2:31">
      <c r="B20" s="1234" t="s">
        <v>488</v>
      </c>
      <c r="C20" s="1235"/>
      <c r="D20" s="1235"/>
      <c r="E20" s="1235"/>
      <c r="F20" s="1235"/>
      <c r="G20" s="1231"/>
      <c r="H20" s="1541"/>
      <c r="I20" s="1541"/>
      <c r="J20" s="1541"/>
      <c r="K20" s="1541"/>
      <c r="L20" s="2044"/>
      <c r="M20" s="1541"/>
      <c r="N20" s="1541"/>
      <c r="O20" s="1541"/>
      <c r="P20" s="1541"/>
      <c r="Q20" s="2044"/>
      <c r="R20" s="1541"/>
      <c r="S20" s="1541"/>
      <c r="T20" s="1541"/>
      <c r="U20" s="1541"/>
      <c r="V20" s="2044"/>
      <c r="W20" s="1541"/>
      <c r="X20" s="1541"/>
      <c r="Y20" s="1541"/>
      <c r="Z20" s="1541"/>
      <c r="AA20" s="1541"/>
      <c r="AB20" s="1541"/>
      <c r="AD20" s="1231"/>
      <c r="AE20" s="1231"/>
    </row>
    <row r="21" spans="2:31">
      <c r="B21" s="1231" t="s">
        <v>18</v>
      </c>
      <c r="C21" s="1236">
        <f>_xll.ThomsonONEAddinShim.SpreadsheetFormulas.TF($B$3,"TF.ES.SALES.Mean(period=#1,scale=6)","",C$10)</f>
        <v>1798.69</v>
      </c>
      <c r="D21" s="1236">
        <f>_xll.ThomsonONEAddinShim.SpreadsheetFormulas.TF($B$3,"TF.ES.SALES.Mean(period=#1,scale=6)","",D$10)</f>
        <v>2265.52</v>
      </c>
      <c r="E21" s="1236">
        <f>_xll.ThomsonONEAddinShim.SpreadsheetFormulas.TF($B$3,"TF.ES.SALES.Mean(period=#1,scale=6)","",E$10)</f>
        <v>3053.27</v>
      </c>
      <c r="F21" s="1236">
        <f>_xll.ThomsonONEAddinShim.SpreadsheetFormulas.TF($B$3,"TF.ES.SALES.Mean(period=#1,scale=6)","",F$10)</f>
        <v>1955.99</v>
      </c>
      <c r="G21" s="1231"/>
      <c r="H21" s="1543">
        <f>_xll.ThomsonONEAddinShim.SpreadsheetFormulas.TF($B$3,"TF.ES.SALES.Mean(period=#1,scale=6)","",H$10)</f>
        <v>2122.58</v>
      </c>
      <c r="I21" s="1543">
        <f>_xll.ThomsonONEAddinShim.SpreadsheetFormulas.TF($B$3,"TF.ES.SALES.Mean(period=#1,scale=6)","",I$10)</f>
        <v>2583.9299999999998</v>
      </c>
      <c r="J21" s="1543">
        <f>_xll.ThomsonONEAddinShim.SpreadsheetFormulas.TF($B$3,"TF.ES.SALES.Mean(period=#1,scale=6)","",J$10)</f>
        <v>3616.8</v>
      </c>
      <c r="K21" s="1543">
        <f>_xll.ThomsonONEAddinShim.SpreadsheetFormulas.TF($B$3,"TF.ES.SALES.Mean(period=#1,scale=6)","",K$10)</f>
        <v>2322.48</v>
      </c>
      <c r="L21" s="2044"/>
      <c r="M21" s="1543">
        <f>_xll.ThomsonONEAddinShim.SpreadsheetFormulas.TF($B$3,"TF.ES.SALES.Mean(period=#1,scale=6)","",M$10)</f>
        <v>2443.4899999999998</v>
      </c>
      <c r="N21" s="1543">
        <f>_xll.ThomsonONEAddinShim.SpreadsheetFormulas.TF($B$3,"TF.ES.SALES.Mean(period=#1,scale=6)","",N$10)</f>
        <v>2985.44</v>
      </c>
      <c r="O21" s="1543">
        <f>_xll.ThomsonONEAddinShim.SpreadsheetFormulas.TF($B$3,"TF.ES.SALES.Mean(period=#1,scale=6)","",O$10)</f>
        <v>4338.53</v>
      </c>
      <c r="P21" s="1543">
        <f>_xll.ThomsonONEAddinShim.SpreadsheetFormulas.TF($B$3,"TF.ES.SALES.Mean(period=#1,scale=6)","",P$10)</f>
        <v>2703.12</v>
      </c>
      <c r="Q21" s="2044"/>
      <c r="R21" s="1543">
        <f>_xll.ThomsonONEAddinShim.SpreadsheetFormulas.TF($B$3,"TF.ES.SALES.Mean(period=#1,scale=6)","",R$10)</f>
        <v>2866.7040000000002</v>
      </c>
      <c r="S21" s="1543">
        <f>_xll.ThomsonONEAddinShim.SpreadsheetFormulas.TF($B$3,"TF.ES.SALES.Mean(period=#1,scale=6)","",S$10)</f>
        <v>3514.1239999999998</v>
      </c>
      <c r="T21" s="1543">
        <f>_xll.ThomsonONEAddinShim.SpreadsheetFormulas.TF($B$3,"TF.ES.SALES.Mean(period=#1,scale=6)","",T$10)</f>
        <v>5152.46</v>
      </c>
      <c r="U21" s="1543">
        <f>_xll.ThomsonONEAddinShim.SpreadsheetFormulas.TF($B$3,"TF.ES.SALES.Mean(period=#1,scale=6)","",U$10)</f>
        <v>3281.4290000000001</v>
      </c>
      <c r="V21" s="2044"/>
      <c r="W21" s="1543"/>
      <c r="X21" s="1543">
        <f>_xll.ThomsonONEAddinShim.SpreadsheetFormulas.TF($B$3,"TF.ES.SALES.Mean(period=#1,scale=6)","",X$10)</f>
        <v>10719.7</v>
      </c>
      <c r="Y21" s="1543">
        <f>_xll.ThomsonONEAddinShim.SpreadsheetFormulas.TF($B$3,"TF.ES.SALES.Mean(period=#1,scale=6)","",Y$10)</f>
        <v>12565</v>
      </c>
      <c r="Z21" s="1543">
        <f>_xll.ThomsonONEAddinShim.SpreadsheetFormulas.TF($B$3,"TF.ES.SALES.Mean(period=#1,scale=6)","",Z$10)</f>
        <v>14814.717000000001</v>
      </c>
      <c r="AA21" s="1543">
        <f>_xll.ThomsonONEAddinShim.SpreadsheetFormulas.TF($B$3,"TF.ES.SALES.Mean(period=#1,scale=6)","",AA$10)</f>
        <v>16839.78</v>
      </c>
      <c r="AB21" s="1543">
        <f>_xll.ThomsonONEAddinShim.SpreadsheetFormulas.TF($B$3,"TF.ES.SALES.Mean(period=#1,scale=6)","",AB$10)</f>
        <v>19042.647000000001</v>
      </c>
      <c r="AD21" s="1231"/>
      <c r="AE21" s="1231"/>
    </row>
    <row r="22" spans="2:31">
      <c r="B22" s="1231" t="s">
        <v>486</v>
      </c>
      <c r="C22" s="1236">
        <f>C23*C21</f>
        <v>1598.2259994999999</v>
      </c>
      <c r="D22" s="1236">
        <f>D23*D21</f>
        <v>2043.4990400000002</v>
      </c>
      <c r="E22" s="1236">
        <f>E23*E21</f>
        <v>2868.9746227999999</v>
      </c>
      <c r="F22" s="1236">
        <f>F23*F21</f>
        <v>1821.5548073</v>
      </c>
      <c r="G22" s="1231"/>
      <c r="H22" s="1543">
        <f>H23*H21</f>
        <v>1984.7375322199998</v>
      </c>
      <c r="I22" s="1543">
        <f>I23*I21</f>
        <v>2421.7108745999999</v>
      </c>
      <c r="J22" s="1543">
        <f>J23*J21</f>
        <v>3503.1637608000001</v>
      </c>
      <c r="K22" s="1543">
        <f>K23*K21</f>
        <v>2071.87047312</v>
      </c>
      <c r="L22" s="2044"/>
      <c r="M22" s="1543">
        <f>M23*M21</f>
        <v>2296.6362509999999</v>
      </c>
      <c r="N22" s="1543">
        <f>N23*N21</f>
        <v>2890.24327472</v>
      </c>
      <c r="O22" s="1543">
        <f>O23*O21</f>
        <v>4269.8901168699995</v>
      </c>
      <c r="P22" s="1543">
        <f>P23*P21</f>
        <v>2651.6417827199998</v>
      </c>
      <c r="Q22" s="2044"/>
      <c r="R22" s="1543">
        <f>R23*R21</f>
        <v>2823.1300992000001</v>
      </c>
      <c r="S22" s="1543">
        <f>S23*S21</f>
        <v>3475.1172235999998</v>
      </c>
      <c r="T22" s="1543">
        <f>T23*T21</f>
        <v>5093.7219560000003</v>
      </c>
      <c r="U22" s="1543">
        <f>U23*U21</f>
        <v>3245.9895667999999</v>
      </c>
      <c r="V22" s="2044"/>
      <c r="W22" s="1543"/>
      <c r="X22" s="1543">
        <f>+SUM(H22:K22)</f>
        <v>9981.4826407399996</v>
      </c>
      <c r="Y22" s="1543">
        <f>+SUM(M22:P22)</f>
        <v>12108.41142531</v>
      </c>
      <c r="Z22" s="1543">
        <f>+SUM(R22:U22)</f>
        <v>14637.958845599998</v>
      </c>
      <c r="AA22" s="1543">
        <f>AA23*AA21</f>
        <v>16646.122530000001</v>
      </c>
      <c r="AB22" s="1543">
        <f>AB23*AB21</f>
        <v>18823.656559500003</v>
      </c>
      <c r="AD22" s="1231"/>
      <c r="AE22" s="1231"/>
    </row>
    <row r="23" spans="2:31">
      <c r="B23" s="1237" t="s">
        <v>203</v>
      </c>
      <c r="C23" s="1671">
        <v>0.88854999999999995</v>
      </c>
      <c r="D23" s="1671">
        <v>0.90200000000000002</v>
      </c>
      <c r="E23" s="1671">
        <v>0.93964000000000003</v>
      </c>
      <c r="F23" s="1671">
        <v>0.93127000000000004</v>
      </c>
      <c r="G23" s="1231"/>
      <c r="H23" s="1246">
        <f>_xll.ThomsonONEAddinShim.SpreadsheetFormulas.TF($B$3,"TF.ES.GPM.Mean(period=#1)",,H$10)</f>
        <v>0.93505899999999997</v>
      </c>
      <c r="I23" s="1246">
        <f>_xll.ThomsonONEAddinShim.SpreadsheetFormulas.TF($B$3,"TF.ES.GPM.Mean(period=#1)",,I$10)</f>
        <v>0.93722000000000005</v>
      </c>
      <c r="J23" s="1246">
        <f>_xll.ThomsonONEAddinShim.SpreadsheetFormulas.TF($B$3,"TF.ES.GPM.Mean(period=#1)",,J$10)</f>
        <v>0.96858100000000003</v>
      </c>
      <c r="K23" s="1246">
        <f>_xll.ThomsonONEAddinShim.SpreadsheetFormulas.TF($B$3,"TF.ES.GPM.Mean(period=#1)",,K$10)</f>
        <v>0.89209400000000005</v>
      </c>
      <c r="L23" s="2044"/>
      <c r="M23" s="1246">
        <f>_xll.ThomsonONEAddinShim.SpreadsheetFormulas.TF($B$3,"TF.ES.GPM.Mean(period=#1)",,M$10)</f>
        <v>0.93989999999999996</v>
      </c>
      <c r="N23" s="1246">
        <f>_xll.ThomsonONEAddinShim.SpreadsheetFormulas.TF($B$3,"TF.ES.GPM.Mean(period=#1)",,N$10)</f>
        <v>0.968113</v>
      </c>
      <c r="O23" s="1246">
        <f>_xll.ThomsonONEAddinShim.SpreadsheetFormulas.TF($B$3,"TF.ES.GPM.Mean(period=#1)",,O$10)</f>
        <v>0.98417900000000003</v>
      </c>
      <c r="P23" s="1246">
        <f>_xll.ThomsonONEAddinShim.SpreadsheetFormulas.TF($B$3,"TF.ES.GPM.Mean(period=#1)",,P$10)</f>
        <v>0.98095600000000005</v>
      </c>
      <c r="Q23" s="2044"/>
      <c r="R23" s="1246">
        <f>_xll.ThomsonONEAddinShim.SpreadsheetFormulas.TF($B$3,"TF.ES.GPM.Mean(period=#1)",,R$10)</f>
        <v>0.98480000000000001</v>
      </c>
      <c r="S23" s="1246">
        <f>_xll.ThomsonONEAddinShim.SpreadsheetFormulas.TF($B$3,"TF.ES.GPM.Mean(period=#1)",,S$10)</f>
        <v>0.9889</v>
      </c>
      <c r="T23" s="1246">
        <f>_xll.ThomsonONEAddinShim.SpreadsheetFormulas.TF($B$3,"TF.ES.GPM.Mean(period=#1)",,T$10)</f>
        <v>0.98860000000000003</v>
      </c>
      <c r="U23" s="1246">
        <f>_xll.ThomsonONEAddinShim.SpreadsheetFormulas.TF($B$3,"TF.ES.GPM.Mean(period=#1)",,U$10)</f>
        <v>0.98919999999999997</v>
      </c>
      <c r="V23" s="2044"/>
      <c r="W23" s="1246"/>
      <c r="X23" s="1246">
        <f>+X22/X21</f>
        <v>0.93113451316174878</v>
      </c>
      <c r="Y23" s="1246">
        <f>+Y22/Y21</f>
        <v>0.96366187228889766</v>
      </c>
      <c r="Z23" s="1246">
        <f>+Z22/Z21</f>
        <v>0.98806874580189397</v>
      </c>
      <c r="AA23" s="1246">
        <f>_xll.ThomsonONEAddinShim.SpreadsheetFormulas.TF($B$3,"TF.ES.GPM.Mean(period=#1)",,AA$10)</f>
        <v>0.98850000000000005</v>
      </c>
      <c r="AB23" s="1246">
        <f>_xll.ThomsonONEAddinShim.SpreadsheetFormulas.TF($B$3,"TF.ES.GPM.Mean(period=#1)",,AB$10)</f>
        <v>0.98850000000000005</v>
      </c>
      <c r="AD23" s="1231"/>
      <c r="AE23" s="1231"/>
    </row>
    <row r="24" spans="2:31">
      <c r="B24" s="1231" t="s">
        <v>434</v>
      </c>
      <c r="C24" s="1236">
        <f>_xll.ThomsonONEAddinShim.SpreadsheetFormulas.TF($B$3,"TF.ES.EBITDA.Mean(period=#1,scale=6)","",C$10)</f>
        <v>512.92700000000002</v>
      </c>
      <c r="D24" s="1236">
        <f>_xll.ThomsonONEAddinShim.SpreadsheetFormulas.TF($B$3,"TF.ES.EBITDA.Mean(period=#1,scale=6)","",D$10)</f>
        <v>775.23500000000001</v>
      </c>
      <c r="E24" s="1236">
        <f>_xll.ThomsonONEAddinShim.SpreadsheetFormulas.TF($B$3,"TF.ES.EBITDA.Mean(period=#1,scale=6)","",E$10)</f>
        <v>1521.61</v>
      </c>
      <c r="F24" s="1236">
        <f>_xll.ThomsonONEAddinShim.SpreadsheetFormulas.TF($B$3,"TF.ES.EBITDA.Mean(period=#1,scale=6)","",F$10)</f>
        <v>750.91899999999998</v>
      </c>
      <c r="G24" s="1231"/>
      <c r="H24" s="1543">
        <f>_xll.ThomsonONEAddinShim.SpreadsheetFormulas.TF($B$3,"TF.ES.EBITDA.Mean(period=#1,scale=6)","",H$10)</f>
        <v>620.58500000000004</v>
      </c>
      <c r="I24" s="1543">
        <f>_xll.ThomsonONEAddinShim.SpreadsheetFormulas.TF($B$3,"TF.ES.EBITDA.Mean(period=#1,scale=6)","",I$10)</f>
        <v>806.38900000000001</v>
      </c>
      <c r="J24" s="1543">
        <f>_xll.ThomsonONEAddinShim.SpreadsheetFormulas.TF($B$3,"TF.ES.EBITDA.Mean(period=#1,scale=6)","",J$10)</f>
        <v>1822.11</v>
      </c>
      <c r="K24" s="1543">
        <f>_xll.ThomsonONEAddinShim.SpreadsheetFormulas.TF($B$3,"TF.ES.EBITDA.Mean(period=#1,scale=6)","",K$10)</f>
        <v>817.60299999999995</v>
      </c>
      <c r="L24" s="2044"/>
      <c r="M24" s="1543">
        <f>_xll.ThomsonONEAddinShim.SpreadsheetFormulas.TF($B$3,"TF.ES.EBITDA.Mean(period=#1,scale=6)","",M$10)</f>
        <v>607.053</v>
      </c>
      <c r="N24" s="1543">
        <f>_xll.ThomsonONEAddinShim.SpreadsheetFormulas.TF($B$3,"TF.ES.EBITDA.Mean(period=#1,scale=6)","",N$10)</f>
        <v>926.70100000000002</v>
      </c>
      <c r="O24" s="1543">
        <f>_xll.ThomsonONEAddinShim.SpreadsheetFormulas.TF($B$3,"TF.ES.EBITDA.Mean(period=#1,scale=6)","",O$10)</f>
        <v>2151.5100000000002</v>
      </c>
      <c r="P24" s="1543">
        <f>_xll.ThomsonONEAddinShim.SpreadsheetFormulas.TF($B$3,"TF.ES.EBITDA.Mean(period=#1,scale=6)","",P$10)</f>
        <v>929.53599999999994</v>
      </c>
      <c r="Q24" s="2044"/>
      <c r="R24" s="1543">
        <f>_xll.ThomsonONEAddinShim.SpreadsheetFormulas.TF($B$3,"TF.ES.EBITDA.Mean(period=#1,scale=6)","",R$10)</f>
        <v>727.25099999999998</v>
      </c>
      <c r="S24" s="1543">
        <f>_xll.ThomsonONEAddinShim.SpreadsheetFormulas.TF($B$3,"TF.ES.EBITDA.Mean(period=#1,scale=6)","",S$10)</f>
        <v>1105.3900000000001</v>
      </c>
      <c r="T24" s="1543">
        <f>_xll.ThomsonONEAddinShim.SpreadsheetFormulas.TF($B$3,"TF.ES.EBITDA.Mean(period=#1,scale=6)","",T$10)</f>
        <v>2550.7339999999999</v>
      </c>
      <c r="U24" s="1543">
        <f>_xll.ThomsonONEAddinShim.SpreadsheetFormulas.TF($B$3,"TF.ES.EBITDA.Mean(period=#1,scale=6)","",U$10)</f>
        <v>1251.2460000000001</v>
      </c>
      <c r="V24" s="2044"/>
      <c r="W24" s="1543"/>
      <c r="X24" s="1543">
        <f>_xll.ThomsonONEAddinShim.SpreadsheetFormulas.TF($B$3,"TF.ES.EBITDA.Mean(period=#1,scale=6)","",X$10)</f>
        <v>4095.27</v>
      </c>
      <c r="Y24" s="1543">
        <f>_xll.ThomsonONEAddinShim.SpreadsheetFormulas.TF($B$3,"TF.ES.EBITDA.Mean(period=#1,scale=6)","",Y$10)</f>
        <v>4735.72</v>
      </c>
      <c r="Z24" s="1543">
        <f>_xll.ThomsonONEAddinShim.SpreadsheetFormulas.TF($B$3,"TF.ES.EBITDA.Mean(period=#1,scale=6)","",Z$10)</f>
        <v>5638.5540000000001</v>
      </c>
      <c r="AA24" s="1543">
        <f>_xll.ThomsonONEAddinShim.SpreadsheetFormulas.TF($B$3,"TF.ES.EBITDA.Mean(period=#1,scale=6)","",AA$10)</f>
        <v>6387.2730000000001</v>
      </c>
      <c r="AB24" s="1543">
        <f>_xll.ThomsonONEAddinShim.SpreadsheetFormulas.TF($B$3,"TF.ES.EBITDA.Mean(period=#1,scale=6)","",AB$10)</f>
        <v>7146.34</v>
      </c>
      <c r="AD24" s="1231"/>
      <c r="AE24" s="1231"/>
    </row>
    <row r="25" spans="2:31">
      <c r="B25" s="1237" t="s">
        <v>726</v>
      </c>
      <c r="C25" s="1238">
        <f>+C24/C22</f>
        <v>0.32093521201661568</v>
      </c>
      <c r="D25" s="1238">
        <f>+D24/D22</f>
        <v>0.37936646155703602</v>
      </c>
      <c r="E25" s="1238">
        <f>+E24/E22</f>
        <v>0.53036718690630025</v>
      </c>
      <c r="F25" s="1238">
        <f>+F24/F22</f>
        <v>0.4122406841620373</v>
      </c>
      <c r="G25" s="1231"/>
      <c r="H25" s="1246">
        <f>+H24/H22</f>
        <v>0.31267862370993388</v>
      </c>
      <c r="I25" s="1246">
        <f>+I24/I22</f>
        <v>0.33298318492837975</v>
      </c>
      <c r="J25" s="1246">
        <f>+J24/J22</f>
        <v>0.52013269273597806</v>
      </c>
      <c r="K25" s="1246">
        <f>+K24/K22</f>
        <v>0.39462071138490784</v>
      </c>
      <c r="L25" s="2044"/>
      <c r="M25" s="1246">
        <f>+M24/M22</f>
        <v>0.26432265872999144</v>
      </c>
      <c r="N25" s="1246">
        <f>+N24/N22</f>
        <v>0.32063079537475148</v>
      </c>
      <c r="O25" s="1246">
        <f>+O24/O22</f>
        <v>0.50387947724920457</v>
      </c>
      <c r="P25" s="1246">
        <f>+P24/P22</f>
        <v>0.35055112121762577</v>
      </c>
      <c r="Q25" s="2044"/>
      <c r="R25" s="1246">
        <f>+R24/R22</f>
        <v>0.25760449375184075</v>
      </c>
      <c r="S25" s="1246">
        <f>+S24/S22</f>
        <v>0.31808711156364577</v>
      </c>
      <c r="T25" s="1246">
        <f>+T24/T22</f>
        <v>0.50076035206347247</v>
      </c>
      <c r="U25" s="1246">
        <f>+U24/U22</f>
        <v>0.38547443676275223</v>
      </c>
      <c r="V25" s="2044"/>
      <c r="W25" s="1246"/>
      <c r="X25" s="1246">
        <f>+X24/X22</f>
        <v>0.41028674270142174</v>
      </c>
      <c r="Y25" s="1246">
        <f>+Y24/Y22</f>
        <v>0.39110993454525406</v>
      </c>
      <c r="Z25" s="1246">
        <f>+Z24/Z22</f>
        <v>0.38520083704804814</v>
      </c>
      <c r="AA25" s="1246">
        <f>+AA24/AA22</f>
        <v>0.3837093586502634</v>
      </c>
      <c r="AB25" s="1246">
        <f>+AB24/AB22</f>
        <v>0.37964674809121263</v>
      </c>
      <c r="AD25" s="1231"/>
      <c r="AE25" s="1231"/>
    </row>
    <row r="26" spans="2:31">
      <c r="B26" s="1231" t="s">
        <v>487</v>
      </c>
      <c r="C26" s="1247">
        <f>_xll.ThomsonONEAddinShim.SpreadsheetFormulas.TF($B$3,"TF.ES.EPS.Mean(period=#1,curn=USD)",,C$10)</f>
        <v>7.7185199999999998</v>
      </c>
      <c r="D26" s="1247">
        <f>_xll.ThomsonONEAddinShim.SpreadsheetFormulas.TF($B$3,"TF.ES.EPS.Mean(period=#1,curn=USD)",,D$10)</f>
        <v>11.9816</v>
      </c>
      <c r="E26" s="1247">
        <f>_xll.ThomsonONEAddinShim.SpreadsheetFormulas.TF($B$3,"TF.ES.EPS.Mean(period=#1,curn=USD)",,E$10)</f>
        <v>24.2302</v>
      </c>
      <c r="F26" s="1247">
        <f>_xll.ThomsonONEAddinShim.SpreadsheetFormulas.TF($B$3,"TF.ES.EPS.Mean(period=#1,curn=USD)",,F$10)</f>
        <v>11.7997</v>
      </c>
      <c r="G26" s="1247"/>
      <c r="H26" s="1247">
        <f>_xll.ThomsonONEAddinShim.SpreadsheetFormulas.TF($B$3,"TF.ES.EPS.Mean(period=#1,curn=USD)",,H$10)</f>
        <v>9.6549300000000002</v>
      </c>
      <c r="I26" s="1247">
        <f>_xll.ThomsonONEAddinShim.SpreadsheetFormulas.TF($B$3,"TF.ES.EPS.Mean(period=#1,curn=USD)",,I$10)</f>
        <v>12.693899999999999</v>
      </c>
      <c r="J26" s="1247">
        <f>_xll.ThomsonONEAddinShim.SpreadsheetFormulas.TF($B$3,"TF.ES.EPS.Mean(period=#1,curn=USD)",,J$10)</f>
        <v>29.916599999999999</v>
      </c>
      <c r="K26" s="1247">
        <f>_xll.ThomsonONEAddinShim.SpreadsheetFormulas.TF($B$3,"TF.ES.EPS.Mean(period=#1,curn=USD)",,K$10)</f>
        <v>12.9819</v>
      </c>
      <c r="L26" s="1247"/>
      <c r="M26" s="1247">
        <f>_xll.ThomsonONEAddinShim.SpreadsheetFormulas.TF($B$3,"TF.ES.EPS.Mean(period=#1,curn=USD)",,M$10)</f>
        <v>8.8606099999999994</v>
      </c>
      <c r="N26" s="1247">
        <f>_xll.ThomsonONEAddinShim.SpreadsheetFormulas.TF($B$3,"TF.ES.EPS.Mean(period=#1,curn=USD)",,N$10)</f>
        <v>14.197800000000001</v>
      </c>
      <c r="O26" s="1247">
        <f>_xll.ThomsonONEAddinShim.SpreadsheetFormulas.TF($B$3,"TF.ES.EPS.Mean(period=#1,curn=USD)",,O$10)</f>
        <v>34.25</v>
      </c>
      <c r="P26" s="1247">
        <f>_xll.ThomsonONEAddinShim.SpreadsheetFormulas.TF($B$3,"TF.ES.EPS.Mean(period=#1,curn=USD)",,P$10)</f>
        <v>14.1181</v>
      </c>
      <c r="Q26" s="1247"/>
      <c r="R26" s="1247">
        <f>_xll.ThomsonONEAddinShim.SpreadsheetFormulas.TF($B$3,"TF.ES.EPS.Mean(period=#1,curn=USD)",,R$10)</f>
        <v>10.656000000000001</v>
      </c>
      <c r="S26" s="1247">
        <f>_xll.ThomsonONEAddinShim.SpreadsheetFormulas.TF($B$3,"TF.ES.EPS.Mean(period=#1,curn=USD)",,S$10)</f>
        <v>16.678000000000001</v>
      </c>
      <c r="T26" s="1247">
        <f>_xll.ThomsonONEAddinShim.SpreadsheetFormulas.TF($B$3,"TF.ES.EPS.Mean(period=#1,curn=USD)",,T$10)</f>
        <v>40.152999999999999</v>
      </c>
      <c r="U26" s="1247">
        <f>_xll.ThomsonONEAddinShim.SpreadsheetFormulas.TF($B$3,"TF.ES.EPS.Mean(period=#1,curn=USD)",,U$10)</f>
        <v>18.983000000000001</v>
      </c>
      <c r="V26" s="1247"/>
      <c r="W26" s="1247"/>
      <c r="X26" s="1247">
        <f>_xll.ThomsonONEAddinShim.SpreadsheetFormulas.TF($B$3,"TF.ES.EPS.Mean(period=#1,curn=USD)",,X$10)</f>
        <v>64.672499999999999</v>
      </c>
      <c r="Y26" s="1247">
        <f>_xll.ThomsonONEAddinShim.SpreadsheetFormulas.TF($B$3,"TF.ES.EPS.Mean(period=#1,curn=USD)",,Y$10)</f>
        <v>74.453400000000002</v>
      </c>
      <c r="Z26" s="1247">
        <f>_xll.ThomsonONEAddinShim.SpreadsheetFormulas.TF($B$3,"TF.ES.EPS.Mean(period=#1,curn=USD)",,Z$10)</f>
        <v>87.037000000000006</v>
      </c>
      <c r="AA26" s="1247">
        <f>_xll.ThomsonONEAddinShim.SpreadsheetFormulas.TF($B$3,"TF.ES.EPS.Mean(period=#1,curn=USD)",,AA$10)</f>
        <v>99.676000000000002</v>
      </c>
      <c r="AB26" s="1247">
        <f>_xll.ThomsonONEAddinShim.SpreadsheetFormulas.TF($B$3,"TF.ES.EPS.Mean(period=#1,curn=USD)",,AB$10)</f>
        <v>113.47799999999999</v>
      </c>
      <c r="AD26" s="1231"/>
      <c r="AE26" s="1231"/>
    </row>
    <row r="27" spans="2:31">
      <c r="B27" s="1231"/>
      <c r="C27" s="1231"/>
      <c r="D27" s="1231"/>
      <c r="E27" s="1231"/>
      <c r="F27" s="1231"/>
      <c r="G27" s="1231"/>
      <c r="H27" s="2044"/>
      <c r="I27" s="2044"/>
      <c r="J27" s="2044"/>
      <c r="K27" s="2044"/>
      <c r="L27" s="2044"/>
      <c r="M27" s="2044"/>
      <c r="N27" s="2044"/>
      <c r="O27" s="2044"/>
      <c r="P27" s="2044"/>
      <c r="Q27" s="2044"/>
      <c r="R27" s="2044"/>
      <c r="S27" s="2044"/>
      <c r="T27" s="2044"/>
      <c r="U27" s="2044"/>
      <c r="V27" s="2044"/>
      <c r="W27" s="2044"/>
      <c r="X27" s="2045"/>
      <c r="Y27" s="2045"/>
      <c r="Z27" s="2045"/>
      <c r="AA27" s="2045"/>
      <c r="AB27" s="2045"/>
      <c r="AD27" s="1231"/>
      <c r="AE27" s="1231"/>
    </row>
    <row r="28" spans="2:31">
      <c r="B28" s="1232" t="s">
        <v>484</v>
      </c>
      <c r="C28" s="1233" t="str">
        <f>+C19</f>
        <v>1Q2015</v>
      </c>
      <c r="D28" s="1233" t="str">
        <f>+D19</f>
        <v>2Q2015</v>
      </c>
      <c r="E28" s="1233" t="str">
        <f>+E19</f>
        <v>3Q2015</v>
      </c>
      <c r="F28" s="1233" t="str">
        <f>+F19</f>
        <v>4Q2015</v>
      </c>
      <c r="G28" s="1231"/>
      <c r="H28" s="1540" t="str">
        <f>+H19</f>
        <v>1Q2016</v>
      </c>
      <c r="I28" s="1540" t="str">
        <f>+I19</f>
        <v>2Q2016</v>
      </c>
      <c r="J28" s="1540" t="str">
        <f>+J19</f>
        <v>3Q2016</v>
      </c>
      <c r="K28" s="1540" t="str">
        <f>+K19</f>
        <v>4Q2016</v>
      </c>
      <c r="L28" s="2044"/>
      <c r="M28" s="1540" t="str">
        <f>+M19</f>
        <v>1Q2017</v>
      </c>
      <c r="N28" s="1540" t="str">
        <f>+N19</f>
        <v>2Q2017</v>
      </c>
      <c r="O28" s="1540" t="str">
        <f>+O19</f>
        <v>3Q2017</v>
      </c>
      <c r="P28" s="1540" t="str">
        <f>+P19</f>
        <v>4Q2017</v>
      </c>
      <c r="Q28" s="2044"/>
      <c r="R28" s="1540" t="str">
        <f>+R19</f>
        <v>1Q2018</v>
      </c>
      <c r="S28" s="1540" t="str">
        <f>+S19</f>
        <v>2Q2018</v>
      </c>
      <c r="T28" s="1540" t="str">
        <f>+T19</f>
        <v>3Q2018</v>
      </c>
      <c r="U28" s="1540" t="str">
        <f>+U19</f>
        <v>4Q2018</v>
      </c>
      <c r="V28" s="2044"/>
      <c r="W28" s="1540"/>
      <c r="X28" s="1540" t="str">
        <f>+X19</f>
        <v>2016</v>
      </c>
      <c r="Y28" s="1540" t="str">
        <f>+Y19</f>
        <v>2017</v>
      </c>
      <c r="Z28" s="1540" t="str">
        <f>+Z19</f>
        <v>2018</v>
      </c>
      <c r="AA28" s="1540" t="str">
        <f>+AA19</f>
        <v>2019</v>
      </c>
      <c r="AB28" s="1540" t="str">
        <f>+AB19</f>
        <v>2020</v>
      </c>
      <c r="AD28" s="1231"/>
      <c r="AE28" s="1231"/>
    </row>
    <row r="29" spans="2:31">
      <c r="B29" s="1234" t="s">
        <v>0</v>
      </c>
      <c r="C29" s="1235"/>
      <c r="D29" s="1235"/>
      <c r="E29" s="1235"/>
      <c r="F29" s="1235"/>
      <c r="G29" s="1231"/>
      <c r="H29" s="1541"/>
      <c r="I29" s="1541"/>
      <c r="J29" s="1541"/>
      <c r="K29" s="1541"/>
      <c r="L29" s="2044"/>
      <c r="M29" s="1541"/>
      <c r="N29" s="1541"/>
      <c r="O29" s="1541"/>
      <c r="P29" s="1541"/>
      <c r="Q29" s="2044"/>
      <c r="R29" s="1541"/>
      <c r="S29" s="1541"/>
      <c r="T29" s="1541"/>
      <c r="U29" s="1541"/>
      <c r="V29" s="2044"/>
      <c r="W29" s="1541"/>
      <c r="X29" s="1541"/>
      <c r="Y29" s="1541"/>
      <c r="Z29" s="1541"/>
      <c r="AA29" s="1541"/>
      <c r="AB29" s="1541"/>
      <c r="AD29" s="1231"/>
      <c r="AE29" s="1231"/>
    </row>
    <row r="30" spans="2:31">
      <c r="B30" s="1231" t="s">
        <v>18</v>
      </c>
      <c r="C30" s="1411">
        <f t="shared" ref="C30:F31" si="1">(C12/C21)-1</f>
        <v>2.3352551023244628E-2</v>
      </c>
      <c r="D30" s="1411">
        <f t="shared" si="1"/>
        <v>6.5667043327801711E-3</v>
      </c>
      <c r="E30" s="1411">
        <f t="shared" si="1"/>
        <v>1.6255031490827854E-2</v>
      </c>
      <c r="F30" s="1411">
        <f t="shared" si="1"/>
        <v>2.2497558780975258E-2</v>
      </c>
      <c r="G30" s="1238"/>
      <c r="H30" s="2046">
        <f t="shared" ref="H30:K31" si="2">(H12/H21)-1</f>
        <v>1.2032055328892177E-2</v>
      </c>
      <c r="I30" s="2046">
        <f t="shared" si="2"/>
        <v>-1.0847043070052131E-2</v>
      </c>
      <c r="J30" s="2046">
        <f t="shared" si="2"/>
        <v>2.0391506303915063E-2</v>
      </c>
      <c r="K30" s="2046">
        <f t="shared" si="2"/>
        <v>1.1174692570011358E-2</v>
      </c>
      <c r="L30" s="1246"/>
      <c r="M30" s="2046">
        <f t="shared" ref="M30:P31" si="3">(M12/M21)-1</f>
        <v>-9.8572124297622299E-3</v>
      </c>
      <c r="N30" s="2046">
        <f t="shared" si="3"/>
        <v>1.3102256283830771E-2</v>
      </c>
      <c r="O30" s="2046">
        <f t="shared" si="3"/>
        <v>2.2011833501208944E-2</v>
      </c>
      <c r="P30" s="2046">
        <f t="shared" si="3"/>
        <v>3.6984299624138073E-2</v>
      </c>
      <c r="Q30" s="1246"/>
      <c r="R30" s="2046">
        <f t="shared" ref="R30:U31" si="4">(R12/R21)-1</f>
        <v>2.0149207732220953E-2</v>
      </c>
      <c r="S30" s="2046">
        <f t="shared" si="4"/>
        <v>4.7998239640443252E-2</v>
      </c>
      <c r="T30" s="2046">
        <f t="shared" si="4"/>
        <v>1.4133131546589794E-4</v>
      </c>
      <c r="U30" s="2046">
        <f t="shared" si="4"/>
        <v>7.0037015328567431E-2</v>
      </c>
      <c r="V30" s="1246"/>
      <c r="W30" s="2046"/>
      <c r="X30" s="2046">
        <f t="shared" ref="X30:Z31" si="5">(X12/X21)-1</f>
        <v>2.1741280073135361E-3</v>
      </c>
      <c r="Y30" s="2046">
        <f t="shared" si="5"/>
        <v>9.2385196975726114E-3</v>
      </c>
      <c r="Z30" s="2046">
        <f t="shared" si="5"/>
        <v>3.0846574889234146E-2</v>
      </c>
      <c r="AA30" s="2046">
        <f t="shared" ref="AA30:AB30" si="6">(AA12/AA21)-1</f>
        <v>2.9686104789353962E-2</v>
      </c>
      <c r="AB30" s="2046">
        <f t="shared" si="6"/>
        <v>1.7874647705636404E-2</v>
      </c>
      <c r="AD30" s="1231"/>
      <c r="AE30" s="1231"/>
    </row>
    <row r="31" spans="2:31">
      <c r="B31" s="1231" t="s">
        <v>486</v>
      </c>
      <c r="C31" s="1411">
        <f t="shared" si="1"/>
        <v>4.6307593871676378E-2</v>
      </c>
      <c r="D31" s="1411">
        <f t="shared" si="1"/>
        <v>2.4177628192083578E-2</v>
      </c>
      <c r="E31" s="1411">
        <f t="shared" si="1"/>
        <v>2.7294552059709432E-2</v>
      </c>
      <c r="F31" s="1411">
        <f t="shared" si="1"/>
        <v>3.1746611448774109E-2</v>
      </c>
      <c r="G31" s="1238"/>
      <c r="H31" s="2046">
        <f t="shared" si="2"/>
        <v>1.7489701895833321E-2</v>
      </c>
      <c r="I31" s="2046">
        <f t="shared" si="2"/>
        <v>3.3476850952900428E-3</v>
      </c>
      <c r="J31" s="2046">
        <f t="shared" si="2"/>
        <v>2.4520474937884007E-2</v>
      </c>
      <c r="K31" s="2046">
        <f t="shared" si="2"/>
        <v>9.8698509165034976E-2</v>
      </c>
      <c r="L31" s="1246"/>
      <c r="M31" s="2046">
        <f t="shared" si="3"/>
        <v>1.6371225083479768E-2</v>
      </c>
      <c r="N31" s="2046">
        <f t="shared" si="3"/>
        <v>2.1302955989393135E-2</v>
      </c>
      <c r="O31" s="2046">
        <f t="shared" si="3"/>
        <v>2.4511844629557578E-2</v>
      </c>
      <c r="P31" s="2046">
        <f t="shared" si="3"/>
        <v>4.461432839493451E-2</v>
      </c>
      <c r="Q31" s="1246"/>
      <c r="R31" s="2046">
        <f t="shared" si="4"/>
        <v>-9.0847163083114246E-3</v>
      </c>
      <c r="S31" s="2046">
        <f t="shared" si="4"/>
        <v>2.5055129275874721E-2</v>
      </c>
      <c r="T31" s="2046">
        <f t="shared" si="4"/>
        <v>-1.7533543941161467E-2</v>
      </c>
      <c r="U31" s="2046">
        <f t="shared" si="4"/>
        <v>4.060424824158182E-2</v>
      </c>
      <c r="V31" s="1246"/>
      <c r="W31" s="2046"/>
      <c r="X31" s="2046">
        <f t="shared" si="5"/>
        <v>3.3382751967126145E-2</v>
      </c>
      <c r="Y31" s="2046">
        <f t="shared" si="5"/>
        <v>2.660411538516505E-2</v>
      </c>
      <c r="Z31" s="2046">
        <f t="shared" si="5"/>
        <v>7.0988137587921774E-3</v>
      </c>
      <c r="AA31" s="2046">
        <f t="shared" ref="AA31:AB31" si="7">(AA13/AA22)-1</f>
        <v>8.610968746305625E-3</v>
      </c>
      <c r="AB31" s="2046">
        <f t="shared" si="7"/>
        <v>-1.0190213455041341E-4</v>
      </c>
      <c r="AD31" s="1231"/>
      <c r="AE31" s="1231"/>
    </row>
    <row r="32" spans="2:31">
      <c r="B32" s="1237" t="s">
        <v>203</v>
      </c>
      <c r="C32" s="1410">
        <f>(C14-C23)*10000</f>
        <v>199.31257612617824</v>
      </c>
      <c r="D32" s="1410">
        <f>(D14-D23)*10000</f>
        <v>157.81421392853989</v>
      </c>
      <c r="E32" s="1410">
        <f>(E14-E23)*10000</f>
        <v>102.07255842194063</v>
      </c>
      <c r="F32" s="1410">
        <f>(F14-F23)*10000</f>
        <v>84.238492346230259</v>
      </c>
      <c r="G32" s="1231"/>
      <c r="H32" s="2047">
        <f>(H14-H23)*10000</f>
        <v>50.425493089535365</v>
      </c>
      <c r="I32" s="2047">
        <f>(I14-I23)*10000</f>
        <v>134.4947011270381</v>
      </c>
      <c r="J32" s="2047">
        <f>(J14-J23)*10000</f>
        <v>39.193197353675217</v>
      </c>
      <c r="K32" s="2047">
        <f>(K14-K23)*10000</f>
        <v>772.16599876598457</v>
      </c>
      <c r="L32" s="2044"/>
      <c r="M32" s="2047">
        <f>(M14-M23)*10000</f>
        <v>248.97528647551349</v>
      </c>
      <c r="N32" s="2047">
        <f>(N14-N23)*10000</f>
        <v>78.365277984602244</v>
      </c>
      <c r="O32" s="2047">
        <f>(O14-O23)*10000</f>
        <v>24.074657177479697</v>
      </c>
      <c r="P32" s="2047">
        <f>(P14-P23)*10000</f>
        <v>72.177780373322562</v>
      </c>
      <c r="Q32" s="2044"/>
      <c r="R32" s="2047">
        <f>(R14-R23)*10000</f>
        <v>-282.20938836109212</v>
      </c>
      <c r="S32" s="2047">
        <f>(S14-S23)*10000</f>
        <v>-216.49312929481468</v>
      </c>
      <c r="T32" s="2047">
        <f>(T14-T23)*10000</f>
        <v>-174.70912491656887</v>
      </c>
      <c r="U32" s="2047">
        <f>(U14-U23)*10000</f>
        <v>-272.09239293003452</v>
      </c>
      <c r="V32" s="2044"/>
      <c r="W32" s="2047"/>
      <c r="X32" s="2047">
        <f>(X14-X23)*10000</f>
        <v>289.96385024475768</v>
      </c>
      <c r="Y32" s="2047">
        <f>(Y14-Y23)*10000</f>
        <v>165.81375093305039</v>
      </c>
      <c r="Z32" s="2047">
        <f>(Z14-Z23)*10000</f>
        <v>-227.62282115823206</v>
      </c>
      <c r="AA32" s="2047">
        <f>(AA14-AA23)*10000</f>
        <v>-202.32158015587643</v>
      </c>
      <c r="AB32" s="2047">
        <f>(AB14-AB23)*10000</f>
        <v>-174.57768063168899</v>
      </c>
      <c r="AD32" s="1231"/>
      <c r="AE32" s="1231"/>
    </row>
    <row r="33" spans="2:31">
      <c r="B33" s="1231" t="s">
        <v>434</v>
      </c>
      <c r="C33" s="1411">
        <f>(C15/C24)-1</f>
        <v>3.6667985892729238E-2</v>
      </c>
      <c r="D33" s="1411">
        <f>(D15/D24)-1</f>
        <v>3.8040078169845337E-2</v>
      </c>
      <c r="E33" s="1411">
        <f>(E15/E24)-1</f>
        <v>4.9281353303408881E-2</v>
      </c>
      <c r="F33" s="1411">
        <f>(F15/F24)-1</f>
        <v>5.1506221043813971E-2</v>
      </c>
      <c r="G33" s="1238"/>
      <c r="H33" s="2046">
        <f>(H15/H24)-1</f>
        <v>8.9715349226938246E-2</v>
      </c>
      <c r="I33" s="2046">
        <f>(I15/I24)-1</f>
        <v>7.5277564550112031E-2</v>
      </c>
      <c r="J33" s="2046">
        <f>(J15/J24)-1</f>
        <v>4.4017649867461595E-2</v>
      </c>
      <c r="K33" s="2046">
        <f>(K15/K24)-1</f>
        <v>6.2394585147069748E-2</v>
      </c>
      <c r="L33" s="1246"/>
      <c r="M33" s="2046">
        <f>(M15/M24)-1</f>
        <v>4.5650050325094949E-2</v>
      </c>
      <c r="N33" s="2046">
        <f>(N15/N24)-1</f>
        <v>5.1188031522573674E-2</v>
      </c>
      <c r="O33" s="2046">
        <f>(O15/O24)-1</f>
        <v>1.6809589544087622E-2</v>
      </c>
      <c r="P33" s="2046">
        <f>(P15/P24)-1</f>
        <v>0.15181552946846577</v>
      </c>
      <c r="Q33" s="1246"/>
      <c r="R33" s="2046">
        <f>(R15/R24)-1</f>
        <v>5.1432739941674521E-2</v>
      </c>
      <c r="S33" s="2046">
        <f>(S15/S24)-1</f>
        <v>9.4639383008730205E-2</v>
      </c>
      <c r="T33" s="2046">
        <f>(T15/T24)-1</f>
        <v>2.5607818683159866E-3</v>
      </c>
      <c r="U33" s="2046">
        <f>(U15/U24)-1</f>
        <v>0.1122868695668211</v>
      </c>
      <c r="V33" s="1246"/>
      <c r="W33" s="2046"/>
      <c r="X33" s="2046">
        <f>(X15/X24)-1</f>
        <v>1.0735555897413374E-2</v>
      </c>
      <c r="Y33" s="2046">
        <f>(Y15/Y24)-1</f>
        <v>2.7770222901691399E-2</v>
      </c>
      <c r="Z33" s="2046">
        <f>(Z15/Z24)-1</f>
        <v>5.0565323825124242E-2</v>
      </c>
      <c r="AA33" s="2046">
        <f>(AA15/AA24)-1</f>
        <v>6.4505375071439719E-2</v>
      </c>
      <c r="AB33" s="2046">
        <f>(AB15/AB24)-1</f>
        <v>7.4828538037202685E-2</v>
      </c>
      <c r="AD33" s="1231"/>
      <c r="AE33" s="1231"/>
    </row>
    <row r="34" spans="2:31">
      <c r="B34" s="1237" t="s">
        <v>726</v>
      </c>
      <c r="C34" s="1238">
        <f>+C33/C31</f>
        <v>0.79183526560115403</v>
      </c>
      <c r="D34" s="1238">
        <f>+D33/D31</f>
        <v>1.5733585555882073</v>
      </c>
      <c r="E34" s="1238">
        <f>+E33/E31</f>
        <v>1.805538086706872</v>
      </c>
      <c r="F34" s="1238">
        <f>+F33/F31</f>
        <v>1.6224163365253546</v>
      </c>
      <c r="G34" s="1231"/>
      <c r="H34" s="1246">
        <f>+H33/H31</f>
        <v>5.1296099705571132</v>
      </c>
      <c r="I34" s="1246">
        <f>+I33/I31</f>
        <v>22.486453297540521</v>
      </c>
      <c r="J34" s="1246">
        <f>+J33/J31</f>
        <v>1.7951385517192635</v>
      </c>
      <c r="K34" s="1246">
        <f>+K33/K31</f>
        <v>0.63217353205142146</v>
      </c>
      <c r="L34" s="2044"/>
      <c r="M34" s="1246">
        <f>+M33/M31</f>
        <v>2.7884321480107492</v>
      </c>
      <c r="N34" s="1246">
        <f>+N33/N31</f>
        <v>2.4028605019913898</v>
      </c>
      <c r="O34" s="1246">
        <f>+O33/O31</f>
        <v>0.68577415523504903</v>
      </c>
      <c r="P34" s="1246">
        <f>+P33/P31</f>
        <v>3.4028424259705505</v>
      </c>
      <c r="Q34" s="2044"/>
      <c r="R34" s="1246">
        <f>+R33/R31</f>
        <v>-5.6614580132369943</v>
      </c>
      <c r="S34" s="1246">
        <f>+S33/S31</f>
        <v>3.777245847214898</v>
      </c>
      <c r="T34" s="1246">
        <f>+T33/T31</f>
        <v>-0.14605044347619514</v>
      </c>
      <c r="U34" s="1246">
        <f>+U33/U31</f>
        <v>2.7653970810825372</v>
      </c>
      <c r="V34" s="2044"/>
      <c r="W34" s="1246"/>
      <c r="X34" s="1246">
        <f>+X33/X31</f>
        <v>0.3215899009160561</v>
      </c>
      <c r="Y34" s="1246">
        <f>+Y33/Y31</f>
        <v>1.0438318470523771</v>
      </c>
      <c r="Z34" s="1246">
        <f>+Z33/Z31</f>
        <v>7.1230666901912976</v>
      </c>
      <c r="AA34" s="1246">
        <f>+AA33/AA31</f>
        <v>7.4910706300164591</v>
      </c>
      <c r="AB34" s="1246">
        <f>+AB33/AB31</f>
        <v>-734.31767025629108</v>
      </c>
      <c r="AD34" s="1231"/>
      <c r="AE34" s="1231"/>
    </row>
    <row r="35" spans="2:31">
      <c r="B35" s="1231" t="s">
        <v>487</v>
      </c>
      <c r="C35" s="1411">
        <f>(C17/C26)-1</f>
        <v>5.1621819849524853E-2</v>
      </c>
      <c r="D35" s="1411">
        <f>(D17/D26)-1</f>
        <v>3.8704188993833544E-2</v>
      </c>
      <c r="E35" s="1411">
        <f>(E17/E26)-1</f>
        <v>4.6222955309031422E-2</v>
      </c>
      <c r="F35" s="1411">
        <f>(F17/F26)-1</f>
        <v>7.046247553068774E-2</v>
      </c>
      <c r="G35" s="1238"/>
      <c r="H35" s="2046">
        <f>(H17/H26)-1</f>
        <v>9.1936193639639896E-2</v>
      </c>
      <c r="I35" s="2046">
        <f>(I17/I26)-1</f>
        <v>9.7181398282178755E-2</v>
      </c>
      <c r="J35" s="2046">
        <f>(J17/J26)-1</f>
        <v>4.2203458067004318E-2</v>
      </c>
      <c r="K35" s="2046">
        <f>(K17/K26)-1</f>
        <v>9.4706895740998442E-2</v>
      </c>
      <c r="L35" s="1246"/>
      <c r="M35" s="2046">
        <f>(M17/M26)-1</f>
        <v>0.11463903829368971</v>
      </c>
      <c r="N35" s="2046">
        <f>(N17/N26)-1</f>
        <v>6.6473779655985776E-2</v>
      </c>
      <c r="O35" s="2046">
        <f>(O17/O26)-1</f>
        <v>2.8463822952532691E-2</v>
      </c>
      <c r="P35" s="2046">
        <f>(P17/P26)-1</f>
        <v>0.19404401404510696</v>
      </c>
      <c r="Q35" s="1246"/>
      <c r="R35" s="2046">
        <f>(R17/R26)-1</f>
        <v>5.1631445162245271E-2</v>
      </c>
      <c r="S35" s="2046">
        <f>(S17/S26)-1</f>
        <v>0.11779872807638547</v>
      </c>
      <c r="T35" s="2046">
        <f>(T17/T26)-1</f>
        <v>2.0258584697292026E-2</v>
      </c>
      <c r="U35" s="2046">
        <f>(U17/U26)-1</f>
        <v>0.13514640860631721</v>
      </c>
      <c r="V35" s="1246"/>
      <c r="W35" s="2046"/>
      <c r="X35" s="2046">
        <f>(X17/X26)-1</f>
        <v>1.4890089235562787E-2</v>
      </c>
      <c r="Y35" s="2046">
        <f>(Y17/Y26)-1</f>
        <v>3.5588230926427711E-2</v>
      </c>
      <c r="Z35" s="2046">
        <f>(Z17/Z26)-1</f>
        <v>5.8058015153690912E-2</v>
      </c>
      <c r="AA35" s="2046">
        <f>(AA17/AA26)-1</f>
        <v>9.4264190231239553E-2</v>
      </c>
      <c r="AB35" s="2046">
        <f>(AB17/AB26)-1</f>
        <v>0.10794283878472166</v>
      </c>
      <c r="AD35" s="1231"/>
      <c r="AE35" s="1231"/>
    </row>
    <row r="36" spans="2:31">
      <c r="H36" s="1420"/>
      <c r="I36" s="1420"/>
      <c r="J36" s="1420"/>
      <c r="K36" s="1420"/>
      <c r="M36" s="1420"/>
      <c r="N36" s="1420"/>
      <c r="O36" s="1420"/>
      <c r="P36" s="1420"/>
      <c r="R36" s="1420"/>
      <c r="S36" s="1420"/>
      <c r="T36" s="1420"/>
      <c r="U36" s="1420"/>
      <c r="AD36" s="1231"/>
      <c r="AE36" s="1231"/>
    </row>
    <row r="37" spans="2:31">
      <c r="F37" s="1236"/>
      <c r="H37" s="1443"/>
      <c r="I37" s="1443"/>
      <c r="J37" s="1443"/>
      <c r="K37" s="1443"/>
      <c r="M37" s="1443"/>
      <c r="N37" s="1443"/>
      <c r="O37" s="1443"/>
      <c r="P37" s="1443"/>
      <c r="R37" s="1443"/>
      <c r="S37" s="1443"/>
      <c r="T37" s="1443"/>
      <c r="U37" s="1443"/>
      <c r="Z37" s="1381"/>
    </row>
    <row r="38" spans="2:31">
      <c r="C38" s="1232" t="s">
        <v>484</v>
      </c>
      <c r="D38" s="1540" t="s">
        <v>594</v>
      </c>
      <c r="E38" s="1540" t="s">
        <v>488</v>
      </c>
      <c r="F38" s="1420"/>
      <c r="H38" s="1232" t="s">
        <v>484</v>
      </c>
      <c r="I38" s="1540" t="s">
        <v>594</v>
      </c>
      <c r="J38" s="1540" t="s">
        <v>488</v>
      </c>
      <c r="M38" s="1232" t="s">
        <v>484</v>
      </c>
      <c r="N38" s="1540" t="s">
        <v>594</v>
      </c>
      <c r="O38" s="1540" t="s">
        <v>488</v>
      </c>
      <c r="R38" s="1232" t="s">
        <v>484</v>
      </c>
      <c r="S38" s="1540" t="s">
        <v>594</v>
      </c>
      <c r="T38" s="1540" t="s">
        <v>488</v>
      </c>
      <c r="Z38" s="1381"/>
    </row>
    <row r="39" spans="2:31">
      <c r="C39" s="1539">
        <v>2015</v>
      </c>
      <c r="D39" s="1541"/>
      <c r="E39" s="1541"/>
      <c r="H39" s="1539">
        <v>2016</v>
      </c>
      <c r="I39" s="1541"/>
      <c r="J39" s="1541"/>
      <c r="M39" s="1539">
        <v>2017</v>
      </c>
      <c r="N39" s="1541"/>
      <c r="O39" s="1541"/>
      <c r="R39" s="1539">
        <v>2018</v>
      </c>
      <c r="S39" s="1541"/>
      <c r="T39" s="1541"/>
    </row>
    <row r="40" spans="2:31">
      <c r="C40" s="1231" t="s">
        <v>18</v>
      </c>
      <c r="D40" s="1543">
        <f t="shared" ref="D40:D45" si="8">+W12</f>
        <v>0</v>
      </c>
      <c r="E40" s="1544">
        <f t="shared" ref="E40:E45" si="9">+W21</f>
        <v>0</v>
      </c>
      <c r="H40" s="1231" t="s">
        <v>18</v>
      </c>
      <c r="I40" s="1543">
        <f t="shared" ref="I40:I45" si="10">+X12</f>
        <v>10743.005999999999</v>
      </c>
      <c r="J40" s="1544">
        <f t="shared" ref="J40:J45" si="11">+X21</f>
        <v>10719.7</v>
      </c>
      <c r="M40" s="1231" t="s">
        <v>18</v>
      </c>
      <c r="N40" s="1544">
        <f t="shared" ref="N40:N45" si="12">+Y12</f>
        <v>12681.082</v>
      </c>
      <c r="O40" s="1544">
        <f t="shared" ref="O40:O45" si="13">+Y21</f>
        <v>12565</v>
      </c>
      <c r="R40" s="1231" t="s">
        <v>18</v>
      </c>
      <c r="S40" s="1544">
        <f t="shared" ref="S40:S45" si="14">+Z12</f>
        <v>15271.700277403312</v>
      </c>
      <c r="T40" s="1544">
        <f t="shared" ref="T40:T45" si="15">+Z21</f>
        <v>14814.717000000001</v>
      </c>
      <c r="Z40" s="1231"/>
    </row>
    <row r="41" spans="2:31">
      <c r="C41" s="1231" t="s">
        <v>486</v>
      </c>
      <c r="D41" s="1543">
        <f t="shared" si="8"/>
        <v>0</v>
      </c>
      <c r="E41" s="1544">
        <f t="shared" si="9"/>
        <v>0</v>
      </c>
      <c r="H41" s="1231" t="s">
        <v>486</v>
      </c>
      <c r="I41" s="1543">
        <f t="shared" si="10"/>
        <v>10314.691999999999</v>
      </c>
      <c r="J41" s="1544">
        <f t="shared" si="11"/>
        <v>9981.4826407399996</v>
      </c>
      <c r="M41" s="1231" t="s">
        <v>486</v>
      </c>
      <c r="N41" s="1544">
        <f t="shared" si="12"/>
        <v>12430.544999999998</v>
      </c>
      <c r="O41" s="1544">
        <f t="shared" si="13"/>
        <v>12108.41142531</v>
      </c>
      <c r="R41" s="1231" t="s">
        <v>486</v>
      </c>
      <c r="S41" s="1544">
        <f t="shared" si="14"/>
        <v>14741.870989253777</v>
      </c>
      <c r="T41" s="1544">
        <f t="shared" si="15"/>
        <v>14637.958845599998</v>
      </c>
      <c r="Z41" s="1231"/>
    </row>
    <row r="42" spans="2:31">
      <c r="C42" s="1237" t="s">
        <v>203</v>
      </c>
      <c r="D42" s="1246">
        <f t="shared" si="8"/>
        <v>0</v>
      </c>
      <c r="E42" s="1545">
        <f t="shared" si="9"/>
        <v>0</v>
      </c>
      <c r="H42" s="1237" t="s">
        <v>203</v>
      </c>
      <c r="I42" s="1246">
        <f t="shared" si="10"/>
        <v>0.96013089818622455</v>
      </c>
      <c r="J42" s="1545">
        <f t="shared" si="11"/>
        <v>0.93113451316174878</v>
      </c>
      <c r="M42" s="1237" t="s">
        <v>203</v>
      </c>
      <c r="N42" s="1545">
        <f t="shared" si="12"/>
        <v>0.9802432473822027</v>
      </c>
      <c r="O42" s="1545">
        <f t="shared" si="13"/>
        <v>0.96366187228889766</v>
      </c>
      <c r="R42" s="1237" t="s">
        <v>203</v>
      </c>
      <c r="S42" s="1545">
        <f t="shared" si="14"/>
        <v>0.96530646368607076</v>
      </c>
      <c r="T42" s="1545">
        <f t="shared" si="15"/>
        <v>0.98806874580189397</v>
      </c>
      <c r="Z42" s="1231"/>
    </row>
    <row r="43" spans="2:31">
      <c r="C43" s="1231" t="s">
        <v>434</v>
      </c>
      <c r="D43" s="1543">
        <f t="shared" si="8"/>
        <v>0</v>
      </c>
      <c r="E43" s="1544">
        <f t="shared" si="9"/>
        <v>0</v>
      </c>
      <c r="H43" s="1231" t="s">
        <v>434</v>
      </c>
      <c r="I43" s="1543">
        <f t="shared" si="10"/>
        <v>4139.2349999999997</v>
      </c>
      <c r="J43" s="1544">
        <f t="shared" si="11"/>
        <v>4095.27</v>
      </c>
      <c r="M43" s="1231" t="s">
        <v>434</v>
      </c>
      <c r="N43" s="1544">
        <f t="shared" si="12"/>
        <v>4867.2319999999982</v>
      </c>
      <c r="O43" s="1544">
        <f t="shared" si="13"/>
        <v>4735.72</v>
      </c>
      <c r="R43" s="1231" t="s">
        <v>434</v>
      </c>
      <c r="S43" s="1544">
        <f t="shared" si="14"/>
        <v>5923.6693089154496</v>
      </c>
      <c r="T43" s="1544">
        <f t="shared" si="15"/>
        <v>5638.5540000000001</v>
      </c>
      <c r="Z43" s="1231"/>
    </row>
    <row r="44" spans="2:31">
      <c r="C44" s="1237" t="s">
        <v>726</v>
      </c>
      <c r="D44" s="1238">
        <f t="shared" si="8"/>
        <v>0</v>
      </c>
      <c r="E44" s="1238">
        <f t="shared" si="9"/>
        <v>0</v>
      </c>
      <c r="H44" s="1237" t="s">
        <v>726</v>
      </c>
      <c r="I44" s="1238">
        <f t="shared" si="10"/>
        <v>0.40129506533011361</v>
      </c>
      <c r="J44" s="1238">
        <f t="shared" si="11"/>
        <v>0.41028674270142174</v>
      </c>
      <c r="M44" s="1237" t="s">
        <v>726</v>
      </c>
      <c r="N44" s="1238">
        <f t="shared" si="12"/>
        <v>0.3915541917108219</v>
      </c>
      <c r="O44" s="1238">
        <f t="shared" si="13"/>
        <v>0.39110993454525406</v>
      </c>
      <c r="R44" s="1237" t="s">
        <v>726</v>
      </c>
      <c r="S44" s="1238">
        <f t="shared" si="14"/>
        <v>0.40182615308691572</v>
      </c>
      <c r="T44" s="1238">
        <f t="shared" si="15"/>
        <v>0.38520083704804814</v>
      </c>
      <c r="Z44" s="1231"/>
    </row>
    <row r="45" spans="2:31">
      <c r="C45" s="1239" t="s">
        <v>487</v>
      </c>
      <c r="D45" s="1247">
        <f t="shared" si="8"/>
        <v>0</v>
      </c>
      <c r="E45" s="1546">
        <f t="shared" si="9"/>
        <v>0</v>
      </c>
      <c r="H45" s="1239" t="s">
        <v>487</v>
      </c>
      <c r="I45" s="1247">
        <f t="shared" si="10"/>
        <v>65.635479296086928</v>
      </c>
      <c r="J45" s="1546">
        <f t="shared" si="11"/>
        <v>64.672499999999999</v>
      </c>
      <c r="M45" s="1239" t="s">
        <v>487</v>
      </c>
      <c r="N45" s="1546">
        <f t="shared" si="12"/>
        <v>77.103064792457701</v>
      </c>
      <c r="O45" s="1546">
        <f t="shared" si="13"/>
        <v>74.453400000000002</v>
      </c>
      <c r="R45" s="1239" t="s">
        <v>487</v>
      </c>
      <c r="S45" s="1546">
        <f t="shared" si="14"/>
        <v>92.09019546493181</v>
      </c>
      <c r="T45" s="1546">
        <f t="shared" si="15"/>
        <v>87.037000000000006</v>
      </c>
      <c r="Z45" s="1231"/>
    </row>
    <row r="46" spans="2:31">
      <c r="C46" s="1542"/>
      <c r="D46" s="1381"/>
      <c r="E46" s="1381"/>
      <c r="I46" s="1381"/>
      <c r="J46" s="1381"/>
      <c r="N46" s="1381"/>
      <c r="O46" s="1381"/>
      <c r="S46" s="1381"/>
      <c r="T46" s="1381"/>
      <c r="Z46" s="1231"/>
    </row>
    <row r="47" spans="2:31">
      <c r="C47" s="1542"/>
      <c r="D47" s="1542"/>
      <c r="Z47" s="1231"/>
    </row>
    <row r="50" spans="4:31">
      <c r="F50" s="1381"/>
    </row>
    <row r="52" spans="4:31">
      <c r="Z52" s="1231"/>
      <c r="AD52" s="1231"/>
      <c r="AE52" s="1231"/>
    </row>
    <row r="53" spans="4:31" ht="3" customHeight="1">
      <c r="Z53" s="1231"/>
      <c r="AD53" s="1231"/>
      <c r="AE53" s="1231"/>
    </row>
    <row r="54" spans="4:31">
      <c r="Z54" s="1231"/>
      <c r="AD54" s="1231"/>
      <c r="AE54" s="1231"/>
    </row>
    <row r="55" spans="4:31" ht="3" customHeight="1">
      <c r="Z55" s="1231"/>
      <c r="AD55" s="1231"/>
      <c r="AE55" s="1231"/>
    </row>
    <row r="57" spans="4:31">
      <c r="D57" s="1381"/>
    </row>
    <row r="58" spans="4:31">
      <c r="F58" s="1381"/>
    </row>
    <row r="59" spans="4:31">
      <c r="K59" s="1231"/>
      <c r="L59" s="1231"/>
      <c r="P59" s="1231"/>
      <c r="Q59" s="1231"/>
      <c r="U59" s="1231"/>
      <c r="V59" s="1231"/>
      <c r="W59" s="1236"/>
      <c r="X59" s="1231"/>
      <c r="Y59" s="1231"/>
    </row>
  </sheetData>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pageSetUpPr fitToPage="1"/>
  </sheetPr>
  <dimension ref="A1:DR755"/>
  <sheetViews>
    <sheetView showGridLines="0" zoomScaleNormal="100" workbookViewId="0">
      <pane xSplit="12" ySplit="8" topLeftCell="BR9" activePane="bottomRight" state="frozen"/>
      <selection activeCell="BQ132" sqref="BQ132"/>
      <selection pane="topRight" activeCell="BQ132" sqref="BQ132"/>
      <selection pane="bottomLeft" activeCell="BQ132" sqref="BQ132"/>
      <selection pane="bottomRight" activeCell="I7" sqref="I7"/>
    </sheetView>
  </sheetViews>
  <sheetFormatPr defaultColWidth="10.6640625" defaultRowHeight="11.25" outlineLevelRow="1" outlineLevelCol="2"/>
  <cols>
    <col min="1" max="1" width="2" style="24" hidden="1" customWidth="1" outlineLevel="1"/>
    <col min="2" max="2" width="39.83203125" hidden="1" customWidth="1" outlineLevel="1"/>
    <col min="3" max="3" width="6.6640625" hidden="1" customWidth="1" outlineLevel="1"/>
    <col min="4" max="4" width="8.83203125" hidden="1" customWidth="1" outlineLevel="1"/>
    <col min="5" max="5" width="7.1640625" hidden="1" customWidth="1" outlineLevel="1"/>
    <col min="6" max="7" width="6.6640625" hidden="1" customWidth="1" outlineLevel="1"/>
    <col min="8" max="8" width="2" style="1044" customWidth="1" collapsed="1"/>
    <col min="9" max="9" width="17.1640625" style="24" customWidth="1"/>
    <col min="10" max="10" width="13.33203125" style="24" customWidth="1"/>
    <col min="11" max="11" width="13" style="24" customWidth="1"/>
    <col min="12" max="12" width="13.5" style="24" customWidth="1"/>
    <col min="13" max="20" width="9.33203125" style="24" hidden="1" customWidth="1" outlineLevel="2"/>
    <col min="21" max="42" width="9.33203125" style="30" hidden="1" customWidth="1" outlineLevel="2"/>
    <col min="43" max="48" width="9.33203125" style="33" hidden="1" customWidth="1" outlineLevel="2"/>
    <col min="49" max="51" width="9.33203125" style="161" hidden="1" customWidth="1" outlineLevel="2"/>
    <col min="52" max="52" width="9.33203125" style="33" hidden="1" customWidth="1" outlineLevel="2"/>
    <col min="53" max="53" width="9.33203125" style="33" hidden="1" customWidth="1" outlineLevel="2" collapsed="1"/>
    <col min="54" max="60" width="9.33203125" style="33" hidden="1" customWidth="1" outlineLevel="2"/>
    <col min="61" max="61" width="10.1640625" style="33" customWidth="1" outlineLevel="1" collapsed="1"/>
    <col min="62" max="70" width="10.1640625" style="33" customWidth="1" outlineLevel="1"/>
    <col min="71" max="71" width="11.6640625" style="33" customWidth="1" outlineLevel="1"/>
    <col min="72" max="74" width="10.1640625" style="33" customWidth="1" outlineLevel="1"/>
    <col min="75" max="75" width="10.6640625" style="33" customWidth="1" outlineLevel="1"/>
    <col min="76" max="76" width="11.1640625" style="33" customWidth="1" outlineLevel="1"/>
    <col min="77" max="77" width="13.5" style="33" customWidth="1" outlineLevel="1"/>
    <col min="78" max="84" width="10.1640625" style="33" customWidth="1" outlineLevel="1"/>
    <col min="85" max="85" width="5.83203125" style="24" customWidth="1" outlineLevel="1"/>
    <col min="86" max="87" width="9.33203125" style="24" hidden="1" customWidth="1" outlineLevel="2"/>
    <col min="88" max="91" width="9.33203125" style="30" hidden="1" customWidth="1" outlineLevel="2"/>
    <col min="92" max="93" width="9.33203125" style="33" hidden="1" customWidth="1" outlineLevel="2"/>
    <col min="94" max="94" width="9.33203125" style="161" hidden="1" customWidth="1" outlineLevel="2"/>
    <col min="95" max="96" width="10.1640625" style="33" hidden="1" customWidth="1" outlineLevel="2"/>
    <col min="97" max="97" width="10.1640625" style="38" customWidth="1" outlineLevel="1" collapsed="1"/>
    <col min="98" max="99" width="10.1640625" style="38" customWidth="1" outlineLevel="1"/>
    <col min="100" max="101" width="11.5" style="38" bestFit="1" customWidth="1"/>
    <col min="102" max="103" width="10.83203125" style="38" bestFit="1" customWidth="1"/>
    <col min="104" max="104" width="11.5" style="38" bestFit="1" customWidth="1"/>
    <col min="105" max="105" width="12.33203125" style="38" customWidth="1"/>
    <col min="106" max="110" width="11.5" style="38" customWidth="1" outlineLevel="1"/>
    <col min="111" max="112" width="9.33203125" style="93" customWidth="1"/>
    <col min="113" max="113" width="18.6640625" style="24" customWidth="1"/>
    <col min="114" max="114" width="11" style="24" bestFit="1" customWidth="1"/>
    <col min="115" max="16384" width="10.6640625" style="24"/>
  </cols>
  <sheetData>
    <row r="1" spans="1:122" ht="11.25" customHeight="1">
      <c r="I1" s="267"/>
      <c r="J1" s="267"/>
      <c r="K1" s="20"/>
      <c r="L1" s="20"/>
      <c r="AG1" s="33"/>
      <c r="AH1" s="33"/>
      <c r="AI1" s="33"/>
      <c r="AJ1" s="33"/>
      <c r="AK1" s="33"/>
      <c r="AL1" s="33"/>
      <c r="AM1" s="33"/>
      <c r="AN1" s="33"/>
      <c r="AO1" s="33"/>
      <c r="AP1" s="33"/>
      <c r="AW1" s="33"/>
      <c r="AX1" s="33"/>
      <c r="AY1" s="33"/>
      <c r="BM1" s="1853"/>
      <c r="BN1" s="1853"/>
      <c r="BO1" s="1853"/>
      <c r="BP1" s="1853"/>
      <c r="BQ1" s="465"/>
      <c r="BR1" s="465"/>
      <c r="BS1" s="1869"/>
      <c r="BT1" s="1869"/>
      <c r="BU1" s="465"/>
      <c r="BV1" s="465"/>
      <c r="BW1" s="1869"/>
      <c r="BX1" s="396"/>
      <c r="BY1" s="396"/>
      <c r="BZ1" s="683"/>
      <c r="CA1" s="683"/>
      <c r="CB1" s="1869"/>
      <c r="CC1" s="465"/>
      <c r="CD1" s="1731"/>
      <c r="CE1" s="112"/>
      <c r="CF1" s="112"/>
      <c r="CT1" s="1878"/>
      <c r="CU1" s="1878"/>
      <c r="CV1" s="1878"/>
      <c r="CW1" s="1878"/>
      <c r="CX1" s="688"/>
      <c r="CY1" s="688"/>
      <c r="CZ1" s="396"/>
      <c r="DA1" s="396"/>
      <c r="DB1" s="1852"/>
      <c r="DC1" s="1852"/>
      <c r="DD1" s="1852"/>
      <c r="DE1" s="1852"/>
      <c r="DF1" s="1852"/>
    </row>
    <row r="2" spans="1:122" ht="11.25" customHeight="1">
      <c r="I2" s="267"/>
      <c r="J2" s="267"/>
      <c r="K2" s="20"/>
      <c r="L2" s="20"/>
      <c r="AG2" s="33"/>
      <c r="AH2" s="33"/>
      <c r="AI2" s="33"/>
      <c r="AJ2" s="33"/>
      <c r="AK2" s="33"/>
      <c r="AL2" s="33"/>
      <c r="AM2" s="33"/>
      <c r="AN2" s="33"/>
      <c r="AO2" s="33"/>
      <c r="AP2" s="33"/>
      <c r="AW2" s="33"/>
      <c r="AX2" s="33"/>
      <c r="AY2" s="33"/>
      <c r="BO2" s="853"/>
      <c r="BQ2" s="1832"/>
      <c r="BR2" s="1832"/>
      <c r="BS2" s="1397"/>
      <c r="BT2" s="1832"/>
      <c r="BU2" s="1832"/>
      <c r="BV2" s="1832"/>
      <c r="BW2" s="1397"/>
      <c r="BX2" s="1832"/>
      <c r="BY2" s="1832"/>
      <c r="BZ2" s="396"/>
      <c r="CA2" s="396"/>
      <c r="CB2" s="112"/>
      <c r="CC2" s="498"/>
      <c r="CD2" s="1731"/>
      <c r="CE2" s="112"/>
      <c r="CF2" s="112"/>
      <c r="CT2" s="1878"/>
      <c r="CU2" s="209"/>
      <c r="CV2" s="209"/>
      <c r="CW2" s="209"/>
      <c r="CX2" s="209"/>
      <c r="CY2" s="788"/>
      <c r="CZ2" s="2158"/>
      <c r="DA2" s="2158"/>
      <c r="DB2" s="2159"/>
      <c r="DC2" s="2159"/>
      <c r="DD2" s="2159"/>
      <c r="DE2" s="2159"/>
      <c r="DF2" s="2159"/>
    </row>
    <row r="3" spans="1:122" ht="11.25" customHeight="1">
      <c r="I3" s="267"/>
      <c r="J3" s="267"/>
      <c r="K3" s="20"/>
      <c r="L3" s="1902">
        <f>+'Base DCF'!L1</f>
        <v>2240.0169399344527</v>
      </c>
      <c r="AG3" s="33"/>
      <c r="AH3" s="33"/>
      <c r="AI3" s="33"/>
      <c r="AJ3" s="33"/>
      <c r="AK3" s="33"/>
      <c r="AL3" s="33"/>
      <c r="AM3" s="33"/>
      <c r="AN3" s="33"/>
      <c r="AO3" s="33"/>
      <c r="AP3" s="33"/>
      <c r="AW3" s="33"/>
      <c r="AX3" s="33"/>
      <c r="AY3" s="33"/>
      <c r="BK3" s="1871"/>
      <c r="BL3" s="1871"/>
      <c r="BM3" s="1871"/>
      <c r="BN3" s="1871"/>
      <c r="BO3" s="1871"/>
      <c r="BP3" s="1871"/>
      <c r="BQ3" s="1871"/>
      <c r="BR3" s="1871"/>
      <c r="BS3" s="1871"/>
      <c r="BT3" s="1871"/>
      <c r="BU3" s="1869"/>
      <c r="BV3" s="1869"/>
      <c r="BW3" s="1869"/>
      <c r="BX3" s="1869"/>
      <c r="BY3" s="1869"/>
      <c r="BZ3" s="1869"/>
      <c r="CA3" s="732"/>
      <c r="CB3" s="2136"/>
      <c r="CC3" s="2136"/>
      <c r="CD3" s="1869"/>
      <c r="CE3" s="1869"/>
      <c r="CF3" s="209"/>
      <c r="CS3" s="209"/>
      <c r="CU3" s="685"/>
      <c r="CV3" s="408"/>
      <c r="CW3" s="170"/>
      <c r="CX3" s="209"/>
      <c r="CZ3" s="1855"/>
      <c r="DA3" s="396"/>
    </row>
    <row r="4" spans="1:122" ht="11.25" customHeight="1">
      <c r="I4" s="267"/>
      <c r="J4" s="267"/>
      <c r="K4" s="20"/>
      <c r="L4" s="20"/>
      <c r="AG4" s="33"/>
      <c r="AH4" s="33"/>
      <c r="AI4" s="33"/>
      <c r="AJ4" s="33"/>
      <c r="AK4" s="33"/>
      <c r="AL4" s="33"/>
      <c r="AM4" s="33"/>
      <c r="AN4" s="33"/>
      <c r="AO4" s="33"/>
      <c r="AP4" s="33"/>
      <c r="AW4" s="33"/>
      <c r="AX4" s="33"/>
      <c r="AY4" s="33"/>
      <c r="BM4" s="735"/>
      <c r="BN4" s="735"/>
      <c r="BO4" s="735"/>
      <c r="BP4" s="735"/>
      <c r="BQ4" s="735"/>
      <c r="BR4" s="735"/>
      <c r="BS4" s="735"/>
      <c r="BT4" s="735"/>
      <c r="BU4" s="735"/>
      <c r="BV4" s="735"/>
      <c r="BW4" s="735"/>
      <c r="BX4" s="735"/>
      <c r="BY4" s="126"/>
      <c r="BZ4" s="498"/>
      <c r="CA4" s="498"/>
      <c r="CB4" s="735"/>
      <c r="CC4" s="735"/>
      <c r="CD4" s="735"/>
      <c r="CE4" s="735"/>
      <c r="CF4" s="735"/>
      <c r="CS4" s="1879"/>
      <c r="CT4" s="1879"/>
      <c r="CU4" s="1879"/>
      <c r="CV4" s="1879"/>
      <c r="CW4" s="1248"/>
      <c r="CX4" s="1248"/>
      <c r="CY4" s="684"/>
      <c r="CZ4" s="684"/>
      <c r="DA4" s="684"/>
      <c r="DB4" s="684"/>
      <c r="DC4" s="684"/>
      <c r="DD4" s="684"/>
      <c r="DE4" s="684"/>
      <c r="DF4" s="684"/>
    </row>
    <row r="5" spans="1:122" customFormat="1" ht="11.25" hidden="1" customHeight="1" outlineLevel="1"/>
    <row r="6" spans="1:122" ht="11.25" hidden="1" customHeight="1" outlineLevel="1">
      <c r="I6" s="284" t="s">
        <v>391</v>
      </c>
      <c r="J6" s="271"/>
      <c r="K6" s="271"/>
      <c r="L6" s="271"/>
      <c r="M6" s="272">
        <v>36981</v>
      </c>
      <c r="N6" s="272">
        <f t="shared" ref="N6:AW6" si="0">+EOMONTH(M6,3)</f>
        <v>37072</v>
      </c>
      <c r="O6" s="272">
        <f t="shared" si="0"/>
        <v>37164</v>
      </c>
      <c r="P6" s="272">
        <f t="shared" si="0"/>
        <v>37256</v>
      </c>
      <c r="Q6" s="272">
        <f t="shared" si="0"/>
        <v>37346</v>
      </c>
      <c r="R6" s="272">
        <f t="shared" si="0"/>
        <v>37437</v>
      </c>
      <c r="S6" s="272">
        <f t="shared" si="0"/>
        <v>37529</v>
      </c>
      <c r="T6" s="272">
        <f t="shared" si="0"/>
        <v>37621</v>
      </c>
      <c r="U6" s="272">
        <f t="shared" si="0"/>
        <v>37711</v>
      </c>
      <c r="V6" s="272">
        <f t="shared" si="0"/>
        <v>37802</v>
      </c>
      <c r="W6" s="272">
        <f t="shared" si="0"/>
        <v>37894</v>
      </c>
      <c r="X6" s="272">
        <f t="shared" si="0"/>
        <v>37986</v>
      </c>
      <c r="Y6" s="272">
        <f t="shared" si="0"/>
        <v>38077</v>
      </c>
      <c r="Z6" s="272">
        <f t="shared" si="0"/>
        <v>38168</v>
      </c>
      <c r="AA6" s="272">
        <f t="shared" si="0"/>
        <v>38260</v>
      </c>
      <c r="AB6" s="272">
        <f t="shared" si="0"/>
        <v>38352</v>
      </c>
      <c r="AC6" s="272">
        <f t="shared" si="0"/>
        <v>38442</v>
      </c>
      <c r="AD6" s="272">
        <f t="shared" si="0"/>
        <v>38533</v>
      </c>
      <c r="AE6" s="272">
        <f t="shared" si="0"/>
        <v>38625</v>
      </c>
      <c r="AF6" s="272">
        <f t="shared" si="0"/>
        <v>38717</v>
      </c>
      <c r="AG6" s="272">
        <f t="shared" si="0"/>
        <v>38807</v>
      </c>
      <c r="AH6" s="272">
        <f t="shared" si="0"/>
        <v>38898</v>
      </c>
      <c r="AI6" s="272">
        <f t="shared" si="0"/>
        <v>38990</v>
      </c>
      <c r="AJ6" s="272">
        <f t="shared" si="0"/>
        <v>39082</v>
      </c>
      <c r="AK6" s="272">
        <f t="shared" si="0"/>
        <v>39172</v>
      </c>
      <c r="AL6" s="272">
        <f t="shared" si="0"/>
        <v>39263</v>
      </c>
      <c r="AM6" s="272">
        <f t="shared" si="0"/>
        <v>39355</v>
      </c>
      <c r="AN6" s="272">
        <f t="shared" si="0"/>
        <v>39447</v>
      </c>
      <c r="AO6" s="272">
        <f t="shared" si="0"/>
        <v>39538</v>
      </c>
      <c r="AP6" s="272">
        <f t="shared" si="0"/>
        <v>39629</v>
      </c>
      <c r="AQ6" s="272">
        <f t="shared" si="0"/>
        <v>39721</v>
      </c>
      <c r="AR6" s="272">
        <f t="shared" si="0"/>
        <v>39813</v>
      </c>
      <c r="AS6" s="272">
        <f t="shared" si="0"/>
        <v>39903</v>
      </c>
      <c r="AT6" s="272">
        <f t="shared" si="0"/>
        <v>39994</v>
      </c>
      <c r="AU6" s="272">
        <f t="shared" si="0"/>
        <v>40086</v>
      </c>
      <c r="AV6" s="272">
        <f t="shared" si="0"/>
        <v>40178</v>
      </c>
      <c r="AW6" s="272">
        <f t="shared" si="0"/>
        <v>40268</v>
      </c>
      <c r="AX6" s="272">
        <f t="shared" ref="AX6:BT6" si="1">+EOMONTH(AW6,3)</f>
        <v>40359</v>
      </c>
      <c r="AY6" s="272">
        <f t="shared" si="1"/>
        <v>40451</v>
      </c>
      <c r="AZ6" s="272">
        <f t="shared" si="1"/>
        <v>40543</v>
      </c>
      <c r="BA6" s="272">
        <f t="shared" si="1"/>
        <v>40633</v>
      </c>
      <c r="BB6" s="272">
        <f t="shared" si="1"/>
        <v>40724</v>
      </c>
      <c r="BC6" s="272">
        <f t="shared" si="1"/>
        <v>40816</v>
      </c>
      <c r="BD6" s="272">
        <f t="shared" si="1"/>
        <v>40908</v>
      </c>
      <c r="BE6" s="272">
        <f t="shared" si="1"/>
        <v>40999</v>
      </c>
      <c r="BF6" s="272">
        <f t="shared" si="1"/>
        <v>41090</v>
      </c>
      <c r="BG6" s="272">
        <f t="shared" si="1"/>
        <v>41182</v>
      </c>
      <c r="BH6" s="272">
        <f t="shared" si="1"/>
        <v>41274</v>
      </c>
      <c r="BI6" s="272">
        <f t="shared" si="1"/>
        <v>41364</v>
      </c>
      <c r="BJ6" s="272">
        <f t="shared" si="1"/>
        <v>41455</v>
      </c>
      <c r="BK6" s="272">
        <f t="shared" si="1"/>
        <v>41547</v>
      </c>
      <c r="BL6" s="272">
        <f t="shared" si="1"/>
        <v>41639</v>
      </c>
      <c r="BM6" s="272">
        <f t="shared" si="1"/>
        <v>41729</v>
      </c>
      <c r="BN6" s="272">
        <f t="shared" si="1"/>
        <v>41820</v>
      </c>
      <c r="BO6" s="272">
        <f t="shared" si="1"/>
        <v>41912</v>
      </c>
      <c r="BP6" s="272">
        <f t="shared" si="1"/>
        <v>42004</v>
      </c>
      <c r="BQ6" s="272">
        <f t="shared" si="1"/>
        <v>42094</v>
      </c>
      <c r="BR6" s="272">
        <f t="shared" si="1"/>
        <v>42185</v>
      </c>
      <c r="BS6" s="272">
        <f t="shared" si="1"/>
        <v>42277</v>
      </c>
      <c r="BT6" s="272">
        <f t="shared" si="1"/>
        <v>42369</v>
      </c>
      <c r="BU6" s="272">
        <f t="shared" ref="BU6:CF6" si="2">+EOMONTH(BT6,3)</f>
        <v>42460</v>
      </c>
      <c r="BV6" s="272">
        <f t="shared" si="2"/>
        <v>42551</v>
      </c>
      <c r="BW6" s="272">
        <f t="shared" si="2"/>
        <v>42643</v>
      </c>
      <c r="BX6" s="272">
        <f t="shared" si="2"/>
        <v>42735</v>
      </c>
      <c r="BY6" s="272">
        <f t="shared" si="2"/>
        <v>42825</v>
      </c>
      <c r="BZ6" s="272">
        <f t="shared" si="2"/>
        <v>42916</v>
      </c>
      <c r="CA6" s="272">
        <f t="shared" si="2"/>
        <v>43008</v>
      </c>
      <c r="CB6" s="272">
        <f t="shared" si="2"/>
        <v>43100</v>
      </c>
      <c r="CC6" s="272">
        <f t="shared" si="2"/>
        <v>43190</v>
      </c>
      <c r="CD6" s="272">
        <f t="shared" si="2"/>
        <v>43281</v>
      </c>
      <c r="CE6" s="272">
        <f t="shared" si="2"/>
        <v>43373</v>
      </c>
      <c r="CF6" s="272">
        <f t="shared" si="2"/>
        <v>43465</v>
      </c>
      <c r="CH6" s="159">
        <v>37256</v>
      </c>
      <c r="CI6" s="159">
        <v>37621</v>
      </c>
      <c r="CJ6" s="159">
        <v>37986</v>
      </c>
      <c r="CK6" s="159">
        <v>38352</v>
      </c>
      <c r="CL6" s="159">
        <v>38717</v>
      </c>
      <c r="CM6" s="159">
        <v>39082</v>
      </c>
      <c r="CN6" s="159">
        <f t="shared" ref="CN6:DF6" si="3">+EOMONTH(CM6,12)</f>
        <v>39447</v>
      </c>
      <c r="CO6" s="159">
        <f t="shared" si="3"/>
        <v>39813</v>
      </c>
      <c r="CP6" s="159">
        <f t="shared" si="3"/>
        <v>40178</v>
      </c>
      <c r="CQ6" s="159">
        <f t="shared" si="3"/>
        <v>40543</v>
      </c>
      <c r="CR6" s="159">
        <f t="shared" si="3"/>
        <v>40908</v>
      </c>
      <c r="CS6" s="159">
        <f t="shared" si="3"/>
        <v>41274</v>
      </c>
      <c r="CT6" s="159">
        <f t="shared" si="3"/>
        <v>41639</v>
      </c>
      <c r="CU6" s="159">
        <f t="shared" si="3"/>
        <v>42004</v>
      </c>
      <c r="CV6" s="159">
        <f t="shared" si="3"/>
        <v>42369</v>
      </c>
      <c r="CW6" s="159">
        <f t="shared" si="3"/>
        <v>42735</v>
      </c>
      <c r="CX6" s="159">
        <f t="shared" si="3"/>
        <v>43100</v>
      </c>
      <c r="CY6" s="159">
        <f t="shared" si="3"/>
        <v>43465</v>
      </c>
      <c r="CZ6" s="159">
        <f t="shared" si="3"/>
        <v>43830</v>
      </c>
      <c r="DA6" s="159">
        <f t="shared" si="3"/>
        <v>44196</v>
      </c>
      <c r="DB6" s="159">
        <f t="shared" si="3"/>
        <v>44561</v>
      </c>
      <c r="DC6" s="159">
        <f t="shared" si="3"/>
        <v>44926</v>
      </c>
      <c r="DD6" s="159">
        <f t="shared" si="3"/>
        <v>45291</v>
      </c>
      <c r="DE6" s="159">
        <f t="shared" si="3"/>
        <v>45657</v>
      </c>
      <c r="DF6" s="159">
        <f t="shared" si="3"/>
        <v>46022</v>
      </c>
    </row>
    <row r="7" spans="1:122" s="26" customFormat="1" ht="11.25" customHeight="1" collapsed="1">
      <c r="A7" s="24"/>
      <c r="B7"/>
      <c r="C7"/>
      <c r="D7"/>
      <c r="E7"/>
      <c r="F7"/>
      <c r="G7"/>
      <c r="H7" s="1044"/>
      <c r="I7" s="137" t="s">
        <v>760</v>
      </c>
      <c r="J7" s="138"/>
      <c r="K7" s="138"/>
      <c r="L7" s="138"/>
      <c r="M7" s="141">
        <v>2001</v>
      </c>
      <c r="N7" s="142"/>
      <c r="O7" s="142"/>
      <c r="P7" s="143"/>
      <c r="Q7" s="238">
        <v>2002</v>
      </c>
      <c r="R7" s="142"/>
      <c r="S7" s="142"/>
      <c r="T7" s="143"/>
      <c r="U7" s="238">
        <v>2003</v>
      </c>
      <c r="V7" s="142"/>
      <c r="W7" s="142"/>
      <c r="X7" s="143"/>
      <c r="Y7" s="238">
        <v>2004</v>
      </c>
      <c r="Z7" s="142"/>
      <c r="AA7" s="142"/>
      <c r="AB7" s="143"/>
      <c r="AC7" s="238">
        <v>2005</v>
      </c>
      <c r="AD7" s="142"/>
      <c r="AE7" s="142"/>
      <c r="AF7" s="143"/>
      <c r="AG7" s="238">
        <v>2006</v>
      </c>
      <c r="AH7" s="142"/>
      <c r="AI7" s="142"/>
      <c r="AJ7" s="143"/>
      <c r="AK7" s="238">
        <v>2007</v>
      </c>
      <c r="AL7" s="142"/>
      <c r="AM7" s="142"/>
      <c r="AN7" s="143"/>
      <c r="AO7" s="238">
        <v>2008</v>
      </c>
      <c r="AP7" s="142"/>
      <c r="AQ7" s="142"/>
      <c r="AR7" s="143"/>
      <c r="AS7" s="238">
        <v>2009</v>
      </c>
      <c r="AT7" s="142"/>
      <c r="AU7" s="142"/>
      <c r="AV7" s="143"/>
      <c r="AW7" s="238">
        <v>2010</v>
      </c>
      <c r="AX7" s="142"/>
      <c r="AY7" s="142"/>
      <c r="AZ7" s="143"/>
      <c r="BA7" s="238">
        <v>2011</v>
      </c>
      <c r="BB7" s="142"/>
      <c r="BC7" s="142"/>
      <c r="BD7" s="143"/>
      <c r="BE7" s="142">
        <v>2012</v>
      </c>
      <c r="BF7" s="144"/>
      <c r="BG7" s="144"/>
      <c r="BH7" s="145"/>
      <c r="BI7" s="142">
        <v>2013</v>
      </c>
      <c r="BJ7" s="144"/>
      <c r="BK7" s="144"/>
      <c r="BL7" s="145"/>
      <c r="BM7" s="142" t="s">
        <v>526</v>
      </c>
      <c r="BN7" s="144"/>
      <c r="BO7" s="144"/>
      <c r="BP7" s="145"/>
      <c r="BQ7" s="142" t="s">
        <v>667</v>
      </c>
      <c r="BR7" s="144"/>
      <c r="BS7" s="144"/>
      <c r="BT7" s="145"/>
      <c r="BU7" s="142" t="s">
        <v>740</v>
      </c>
      <c r="BV7" s="144"/>
      <c r="BW7" s="144"/>
      <c r="BX7" s="145"/>
      <c r="BY7" s="142" t="s">
        <v>749</v>
      </c>
      <c r="BZ7" s="144"/>
      <c r="CA7" s="144"/>
      <c r="CB7" s="145"/>
      <c r="CC7" s="239" t="s">
        <v>21</v>
      </c>
      <c r="CD7" s="146"/>
      <c r="CE7" s="146"/>
      <c r="CF7" s="147"/>
      <c r="CG7" s="234"/>
      <c r="CH7" s="153"/>
      <c r="CI7" s="154"/>
      <c r="CJ7" s="154"/>
      <c r="CK7" s="154"/>
      <c r="CL7" s="154"/>
      <c r="CM7" s="154"/>
      <c r="CN7" s="154"/>
      <c r="CO7" s="154"/>
      <c r="CP7" s="154"/>
      <c r="CQ7" s="154"/>
      <c r="CR7" s="154"/>
      <c r="CS7" s="154"/>
      <c r="CT7" s="154"/>
      <c r="CU7" s="154"/>
      <c r="CV7" s="154"/>
      <c r="CW7" s="154"/>
      <c r="CX7" s="154"/>
      <c r="CY7" s="154"/>
      <c r="CZ7" s="1736"/>
      <c r="DA7" s="1736"/>
      <c r="DB7" s="1736"/>
      <c r="DC7" s="1736"/>
      <c r="DD7" s="1736"/>
      <c r="DE7" s="1736"/>
      <c r="DF7" s="1737"/>
      <c r="DG7" s="1754" t="s">
        <v>702</v>
      </c>
      <c r="DH7" s="1508" t="s">
        <v>703</v>
      </c>
    </row>
    <row r="8" spans="1:122" s="32" customFormat="1" ht="11.25" customHeight="1" thickBot="1">
      <c r="A8" s="24"/>
      <c r="B8"/>
      <c r="C8"/>
      <c r="D8"/>
      <c r="E8"/>
      <c r="F8"/>
      <c r="G8"/>
      <c r="H8" s="1044"/>
      <c r="I8" s="139" t="s">
        <v>392</v>
      </c>
      <c r="J8" s="140"/>
      <c r="K8" s="140"/>
      <c r="L8" s="140"/>
      <c r="M8" s="148">
        <v>1</v>
      </c>
      <c r="N8" s="149">
        <v>2</v>
      </c>
      <c r="O8" s="149">
        <v>3</v>
      </c>
      <c r="P8" s="150">
        <v>4</v>
      </c>
      <c r="Q8" s="149">
        <v>1</v>
      </c>
      <c r="R8" s="149">
        <v>2</v>
      </c>
      <c r="S8" s="149">
        <v>3</v>
      </c>
      <c r="T8" s="150">
        <v>4</v>
      </c>
      <c r="U8" s="149">
        <v>1</v>
      </c>
      <c r="V8" s="149">
        <v>2</v>
      </c>
      <c r="W8" s="149">
        <v>3</v>
      </c>
      <c r="X8" s="150">
        <v>4</v>
      </c>
      <c r="Y8" s="149">
        <v>1</v>
      </c>
      <c r="Z8" s="149">
        <v>2</v>
      </c>
      <c r="AA8" s="149">
        <v>3</v>
      </c>
      <c r="AB8" s="150">
        <v>4</v>
      </c>
      <c r="AC8" s="149">
        <v>1</v>
      </c>
      <c r="AD8" s="149">
        <v>2</v>
      </c>
      <c r="AE8" s="149">
        <v>3</v>
      </c>
      <c r="AF8" s="150">
        <v>4</v>
      </c>
      <c r="AG8" s="149">
        <v>1</v>
      </c>
      <c r="AH8" s="149">
        <v>2</v>
      </c>
      <c r="AI8" s="149">
        <v>3</v>
      </c>
      <c r="AJ8" s="150">
        <v>4</v>
      </c>
      <c r="AK8" s="149">
        <v>1</v>
      </c>
      <c r="AL8" s="149">
        <v>2</v>
      </c>
      <c r="AM8" s="149">
        <v>3</v>
      </c>
      <c r="AN8" s="150">
        <v>4</v>
      </c>
      <c r="AO8" s="149">
        <v>1</v>
      </c>
      <c r="AP8" s="149">
        <v>2</v>
      </c>
      <c r="AQ8" s="149">
        <v>3</v>
      </c>
      <c r="AR8" s="150">
        <v>4</v>
      </c>
      <c r="AS8" s="149">
        <v>1</v>
      </c>
      <c r="AT8" s="149">
        <v>2</v>
      </c>
      <c r="AU8" s="149">
        <v>3</v>
      </c>
      <c r="AV8" s="150">
        <v>4</v>
      </c>
      <c r="AW8" s="149">
        <v>1</v>
      </c>
      <c r="AX8" s="149">
        <v>2</v>
      </c>
      <c r="AY8" s="149">
        <v>3</v>
      </c>
      <c r="AZ8" s="150">
        <v>4</v>
      </c>
      <c r="BA8" s="149">
        <v>1</v>
      </c>
      <c r="BB8" s="149">
        <v>2</v>
      </c>
      <c r="BC8" s="149">
        <v>3</v>
      </c>
      <c r="BD8" s="150">
        <v>4</v>
      </c>
      <c r="BE8" s="149">
        <v>1</v>
      </c>
      <c r="BF8" s="149">
        <v>2</v>
      </c>
      <c r="BG8" s="149">
        <v>3</v>
      </c>
      <c r="BH8" s="150">
        <v>4</v>
      </c>
      <c r="BI8" s="149">
        <v>1</v>
      </c>
      <c r="BJ8" s="149">
        <v>2</v>
      </c>
      <c r="BK8" s="149">
        <v>3</v>
      </c>
      <c r="BL8" s="150">
        <v>4</v>
      </c>
      <c r="BM8" s="149">
        <v>1</v>
      </c>
      <c r="BN8" s="149">
        <v>2</v>
      </c>
      <c r="BO8" s="149">
        <v>3</v>
      </c>
      <c r="BP8" s="149">
        <v>4</v>
      </c>
      <c r="BQ8" s="1932">
        <v>1</v>
      </c>
      <c r="BR8" s="1933">
        <v>2</v>
      </c>
      <c r="BS8" s="1933">
        <v>3</v>
      </c>
      <c r="BT8" s="1934">
        <v>4</v>
      </c>
      <c r="BU8" s="1932">
        <v>1</v>
      </c>
      <c r="BV8" s="1933">
        <v>2</v>
      </c>
      <c r="BW8" s="1933">
        <v>3</v>
      </c>
      <c r="BX8" s="1934">
        <v>4</v>
      </c>
      <c r="BY8" s="1932">
        <v>1</v>
      </c>
      <c r="BZ8" s="1933">
        <v>2</v>
      </c>
      <c r="CA8" s="1933">
        <v>3</v>
      </c>
      <c r="CB8" s="1934">
        <v>4</v>
      </c>
      <c r="CC8" s="152">
        <v>1</v>
      </c>
      <c r="CD8" s="152">
        <v>2</v>
      </c>
      <c r="CE8" s="152">
        <v>3</v>
      </c>
      <c r="CF8" s="151">
        <v>4</v>
      </c>
      <c r="CG8" s="256"/>
      <c r="CH8" s="155">
        <v>37256</v>
      </c>
      <c r="CI8" s="156">
        <v>37621</v>
      </c>
      <c r="CJ8" s="156">
        <v>37986</v>
      </c>
      <c r="CK8" s="156">
        <v>38352</v>
      </c>
      <c r="CL8" s="156">
        <v>38717</v>
      </c>
      <c r="CM8" s="156">
        <v>39082</v>
      </c>
      <c r="CN8" s="156">
        <v>39447</v>
      </c>
      <c r="CO8" s="156">
        <v>39813</v>
      </c>
      <c r="CP8" s="156">
        <v>40178</v>
      </c>
      <c r="CQ8" s="156">
        <v>40543</v>
      </c>
      <c r="CR8" s="156">
        <v>40908</v>
      </c>
      <c r="CS8" s="156">
        <v>41274</v>
      </c>
      <c r="CT8" s="156">
        <v>41639</v>
      </c>
      <c r="CU8" s="1531">
        <v>42004</v>
      </c>
      <c r="CV8" s="1531">
        <v>42369</v>
      </c>
      <c r="CW8" s="1531">
        <v>42735</v>
      </c>
      <c r="CX8" s="1531">
        <v>43100</v>
      </c>
      <c r="CY8" s="1532">
        <v>43465</v>
      </c>
      <c r="CZ8" s="1734">
        <v>43830</v>
      </c>
      <c r="DA8" s="1734">
        <v>44196</v>
      </c>
      <c r="DB8" s="1734">
        <v>44561</v>
      </c>
      <c r="DC8" s="1734">
        <v>44926</v>
      </c>
      <c r="DD8" s="1734">
        <v>45291</v>
      </c>
      <c r="DE8" s="1734">
        <v>45657</v>
      </c>
      <c r="DF8" s="1735">
        <v>46022</v>
      </c>
      <c r="DG8" s="1755" t="s">
        <v>590</v>
      </c>
      <c r="DH8" s="1484" t="s">
        <v>590</v>
      </c>
    </row>
    <row r="9" spans="1:122" s="26" customFormat="1" ht="11.25" customHeight="1">
      <c r="A9" s="24"/>
      <c r="B9"/>
      <c r="C9"/>
      <c r="D9"/>
      <c r="E9"/>
      <c r="F9"/>
      <c r="G9"/>
      <c r="H9" s="1044"/>
      <c r="I9" s="160"/>
      <c r="J9" s="24"/>
      <c r="K9" s="24"/>
      <c r="L9" s="24"/>
      <c r="M9" s="315"/>
      <c r="N9" s="315"/>
      <c r="O9" s="315"/>
      <c r="P9" s="316"/>
      <c r="Q9" s="315"/>
      <c r="R9" s="315"/>
      <c r="S9" s="315"/>
      <c r="T9" s="316"/>
      <c r="U9" s="317"/>
      <c r="V9" s="317"/>
      <c r="W9" s="317"/>
      <c r="X9" s="318"/>
      <c r="Y9" s="317"/>
      <c r="Z9" s="317"/>
      <c r="AA9" s="317"/>
      <c r="AB9" s="318"/>
      <c r="AC9" s="317"/>
      <c r="AD9" s="317"/>
      <c r="AE9" s="317"/>
      <c r="AF9" s="318"/>
      <c r="AG9" s="317"/>
      <c r="AH9" s="317"/>
      <c r="AI9" s="317"/>
      <c r="AJ9" s="318"/>
      <c r="AK9" s="317"/>
      <c r="AL9" s="317"/>
      <c r="AM9" s="317"/>
      <c r="AN9" s="318"/>
      <c r="AO9" s="317"/>
      <c r="AP9" s="317"/>
      <c r="AQ9" s="317"/>
      <c r="AR9" s="318"/>
      <c r="AS9" s="317"/>
      <c r="AT9" s="317"/>
      <c r="AU9" s="317"/>
      <c r="AV9" s="318"/>
      <c r="AW9" s="319"/>
      <c r="AX9" s="319"/>
      <c r="AY9" s="319"/>
      <c r="AZ9" s="318"/>
      <c r="BA9" s="317"/>
      <c r="BB9" s="317"/>
      <c r="BC9" s="317"/>
      <c r="BD9" s="318"/>
      <c r="BE9" s="317"/>
      <c r="BF9" s="317"/>
      <c r="BG9" s="317"/>
      <c r="BH9" s="318"/>
      <c r="BI9" s="317"/>
      <c r="BJ9" s="317"/>
      <c r="BK9" s="317"/>
      <c r="BL9" s="318"/>
      <c r="BM9" s="317"/>
      <c r="BN9" s="317"/>
      <c r="BO9" s="317"/>
      <c r="BP9" s="318"/>
      <c r="BQ9" s="317"/>
      <c r="BR9" s="317"/>
      <c r="BS9" s="317"/>
      <c r="BT9" s="318"/>
      <c r="BU9" s="317"/>
      <c r="BV9" s="317"/>
      <c r="BW9" s="317"/>
      <c r="BX9" s="318"/>
      <c r="BY9" s="317"/>
      <c r="BZ9" s="317"/>
      <c r="CA9" s="317"/>
      <c r="CB9" s="318"/>
      <c r="CC9" s="317"/>
      <c r="CD9" s="317"/>
      <c r="CE9" s="317"/>
      <c r="CF9" s="318"/>
      <c r="CG9" s="316"/>
      <c r="CH9" s="320"/>
      <c r="CI9" s="315"/>
      <c r="CJ9" s="317"/>
      <c r="CK9" s="317"/>
      <c r="CL9" s="317"/>
      <c r="CM9" s="317"/>
      <c r="CN9" s="317"/>
      <c r="CO9" s="317"/>
      <c r="CP9" s="319"/>
      <c r="CQ9" s="317"/>
      <c r="CR9" s="317"/>
      <c r="CS9" s="317"/>
      <c r="CT9" s="317"/>
      <c r="CU9" s="1523"/>
      <c r="CV9" s="1523"/>
      <c r="CW9" s="1523"/>
      <c r="CX9" s="1523"/>
      <c r="CY9" s="1523"/>
      <c r="CZ9" s="1794"/>
      <c r="DA9" s="1794"/>
      <c r="DB9" s="1794"/>
      <c r="DC9" s="1794"/>
      <c r="DD9" s="1794"/>
      <c r="DE9" s="1794"/>
      <c r="DF9" s="1795"/>
      <c r="DG9" s="1756"/>
      <c r="DH9" s="1483"/>
    </row>
    <row r="10" spans="1:122" customFormat="1" ht="11.25" customHeight="1">
      <c r="A10" s="10"/>
      <c r="H10" s="1045" t="s">
        <v>393</v>
      </c>
      <c r="I10" s="2176" t="s">
        <v>393</v>
      </c>
      <c r="J10" s="2177"/>
      <c r="K10" s="2177"/>
      <c r="L10" s="2177"/>
      <c r="M10" s="2177"/>
      <c r="N10" s="2177"/>
      <c r="O10" s="2177"/>
      <c r="P10" s="2177"/>
      <c r="Q10" s="2177"/>
      <c r="R10" s="2177"/>
      <c r="S10" s="2177"/>
      <c r="T10" s="2177"/>
      <c r="U10" s="2176"/>
      <c r="V10" s="2177"/>
      <c r="W10" s="2177"/>
      <c r="X10" s="2178"/>
      <c r="Y10" s="2176"/>
      <c r="Z10" s="2177"/>
      <c r="AA10" s="2177"/>
      <c r="AB10" s="2178"/>
      <c r="AC10" s="2176"/>
      <c r="AD10" s="2177"/>
      <c r="AE10" s="2177"/>
      <c r="AF10" s="2178"/>
      <c r="AG10" s="2176"/>
      <c r="AH10" s="2177"/>
      <c r="AI10" s="2177"/>
      <c r="AJ10" s="2178"/>
      <c r="AK10" s="2176"/>
      <c r="AL10" s="2177"/>
      <c r="AM10" s="2177"/>
      <c r="AN10" s="2178"/>
      <c r="AO10" s="2176"/>
      <c r="AP10" s="2177"/>
      <c r="AQ10" s="2177"/>
      <c r="AR10" s="2178"/>
      <c r="AS10" s="2176"/>
      <c r="AT10" s="2177"/>
      <c r="AU10" s="2177"/>
      <c r="AV10" s="2178"/>
      <c r="AW10" s="2176"/>
      <c r="AX10" s="2177"/>
      <c r="AY10" s="2177"/>
      <c r="AZ10" s="2178"/>
      <c r="BA10" s="2176"/>
      <c r="BB10" s="2177"/>
      <c r="BC10" s="2177"/>
      <c r="BD10" s="2178"/>
      <c r="BE10" s="2176"/>
      <c r="BF10" s="2177"/>
      <c r="BG10" s="2177"/>
      <c r="BH10" s="2178"/>
      <c r="BI10" s="2176"/>
      <c r="BJ10" s="2177"/>
      <c r="BK10" s="2177"/>
      <c r="BL10" s="2178"/>
      <c r="BM10" s="2176"/>
      <c r="BN10" s="2177"/>
      <c r="BO10" s="2177"/>
      <c r="BP10" s="2178"/>
      <c r="BQ10" s="2176"/>
      <c r="BR10" s="2177"/>
      <c r="BS10" s="2177"/>
      <c r="BT10" s="2178"/>
      <c r="BU10" s="2176"/>
      <c r="BV10" s="2177"/>
      <c r="BW10" s="2177"/>
      <c r="BX10" s="2178"/>
      <c r="BY10" s="2176"/>
      <c r="BZ10" s="2177"/>
      <c r="CA10" s="2177"/>
      <c r="CB10" s="2178"/>
      <c r="CC10" s="2176"/>
      <c r="CD10" s="2177"/>
      <c r="CE10" s="2177"/>
      <c r="CF10" s="2178"/>
      <c r="CG10" s="122"/>
      <c r="CH10" s="2178"/>
      <c r="CI10" s="2178"/>
      <c r="CJ10" s="2178"/>
      <c r="CK10" s="2178"/>
      <c r="CL10" s="2178"/>
      <c r="CM10" s="2178"/>
      <c r="CN10" s="2178"/>
      <c r="CO10" s="2178"/>
      <c r="CP10" s="2178"/>
      <c r="CQ10" s="2178"/>
      <c r="CR10" s="2178"/>
      <c r="CS10" s="2178"/>
      <c r="CT10" s="2178"/>
      <c r="CU10" s="2178"/>
      <c r="CV10" s="2178"/>
      <c r="CW10" s="2178"/>
      <c r="CX10" s="2178"/>
      <c r="CY10" s="2177"/>
      <c r="CZ10" s="2179"/>
      <c r="DA10" s="2179"/>
      <c r="DB10" s="2179"/>
      <c r="DC10" s="2179"/>
      <c r="DD10" s="2179"/>
      <c r="DE10" s="2179"/>
      <c r="DF10" s="2179"/>
      <c r="DG10" s="2178"/>
      <c r="DH10" s="2178"/>
      <c r="DI10" s="1548"/>
    </row>
    <row r="11" spans="1:122" s="545" customFormat="1" ht="11.25" customHeight="1">
      <c r="A11" s="542"/>
      <c r="B11"/>
      <c r="C11"/>
      <c r="D11"/>
      <c r="E11"/>
      <c r="F11"/>
      <c r="G11"/>
      <c r="H11" s="1046"/>
      <c r="I11" s="544"/>
      <c r="J11" s="542"/>
      <c r="K11" s="542"/>
      <c r="M11" s="2180"/>
      <c r="N11" s="2180"/>
      <c r="O11" s="2180"/>
      <c r="P11" s="2181"/>
      <c r="Q11" s="2180"/>
      <c r="R11" s="2180"/>
      <c r="S11" s="2180"/>
      <c r="T11" s="2181"/>
      <c r="U11" s="2182"/>
      <c r="V11" s="2182"/>
      <c r="W11" s="2182"/>
      <c r="X11" s="2183"/>
      <c r="Y11" s="2182"/>
      <c r="Z11" s="2182"/>
      <c r="AA11" s="2182"/>
      <c r="AB11" s="2183"/>
      <c r="AC11" s="2182"/>
      <c r="AD11" s="2182"/>
      <c r="AE11" s="2182"/>
      <c r="AF11" s="2183"/>
      <c r="AG11" s="2182"/>
      <c r="AH11" s="2182"/>
      <c r="AI11" s="2182"/>
      <c r="AJ11" s="2183"/>
      <c r="AK11" s="2182"/>
      <c r="AL11" s="2182"/>
      <c r="AM11" s="2182"/>
      <c r="AN11" s="2183"/>
      <c r="AO11" s="2182"/>
      <c r="AP11" s="2182"/>
      <c r="AQ11" s="2182"/>
      <c r="AR11" s="2183"/>
      <c r="AS11" s="2182"/>
      <c r="AT11" s="2182"/>
      <c r="AU11" s="2182"/>
      <c r="AV11" s="2183"/>
      <c r="AW11" s="2182"/>
      <c r="AX11" s="2182"/>
      <c r="AY11" s="2182"/>
      <c r="AZ11" s="2183"/>
      <c r="BA11" s="2182"/>
      <c r="BB11" s="2182"/>
      <c r="BC11" s="2182"/>
      <c r="BD11" s="2183"/>
      <c r="BE11" s="2182"/>
      <c r="BF11" s="2182"/>
      <c r="BG11" s="2182"/>
      <c r="BH11" s="2183"/>
      <c r="BI11" s="2184"/>
      <c r="BJ11" s="2185"/>
      <c r="BK11" s="2185"/>
      <c r="BL11" s="2186"/>
      <c r="BM11" s="2184"/>
      <c r="BN11" s="2185"/>
      <c r="BO11" s="2185"/>
      <c r="BP11" s="2186"/>
      <c r="BQ11" s="2184"/>
      <c r="BR11" s="2185"/>
      <c r="BS11" s="2185"/>
      <c r="BT11" s="2186"/>
      <c r="BU11" s="2182"/>
      <c r="BV11" s="2187"/>
      <c r="BW11" s="2182"/>
      <c r="BX11" s="2183"/>
      <c r="BY11" s="2182"/>
      <c r="BZ11" s="2182"/>
      <c r="CA11" s="2182"/>
      <c r="CB11" s="2183"/>
      <c r="CC11" s="2182"/>
      <c r="CD11" s="2182"/>
      <c r="CE11" s="2182"/>
      <c r="CF11" s="2183"/>
      <c r="CG11" s="2181"/>
      <c r="CH11" s="2188"/>
      <c r="CI11" s="2180"/>
      <c r="CJ11" s="2182"/>
      <c r="CK11" s="2182"/>
      <c r="CL11" s="2182"/>
      <c r="CM11" s="2182"/>
      <c r="CN11" s="2182"/>
      <c r="CO11" s="2182"/>
      <c r="CP11" s="2182"/>
      <c r="CQ11" s="2182"/>
      <c r="CR11" s="2182"/>
      <c r="CS11" s="2182"/>
      <c r="CT11" s="2182"/>
      <c r="CU11" s="2182"/>
      <c r="CV11" s="2182"/>
      <c r="CW11" s="2182"/>
      <c r="CX11" s="2182"/>
      <c r="CY11" s="2182"/>
      <c r="CZ11" s="2182"/>
      <c r="DA11" s="2182"/>
      <c r="DB11" s="2182"/>
      <c r="DC11" s="2182"/>
      <c r="DD11" s="2182"/>
      <c r="DE11" s="2182"/>
      <c r="DF11" s="2183"/>
      <c r="DG11" s="1488"/>
      <c r="DH11" s="1488"/>
    </row>
    <row r="12" spans="1:122" s="545" customFormat="1" ht="11.25" customHeight="1">
      <c r="A12" s="542"/>
      <c r="B12"/>
      <c r="C12"/>
      <c r="D12"/>
      <c r="E12"/>
      <c r="F12"/>
      <c r="G12"/>
      <c r="H12" s="1046"/>
      <c r="I12" s="544" t="s">
        <v>4</v>
      </c>
      <c r="J12" s="542"/>
      <c r="K12" s="542"/>
      <c r="M12" s="2180"/>
      <c r="N12" s="2180"/>
      <c r="O12" s="2180"/>
      <c r="P12" s="2181"/>
      <c r="Q12" s="2180"/>
      <c r="R12" s="2180"/>
      <c r="S12" s="2180"/>
      <c r="T12" s="2181"/>
      <c r="U12" s="2182"/>
      <c r="V12" s="2182"/>
      <c r="W12" s="2182"/>
      <c r="X12" s="2183"/>
      <c r="Y12" s="2182"/>
      <c r="Z12" s="2182"/>
      <c r="AA12" s="2182"/>
      <c r="AB12" s="2183"/>
      <c r="AC12" s="2182"/>
      <c r="AD12" s="2182"/>
      <c r="AE12" s="2182"/>
      <c r="AF12" s="2183"/>
      <c r="AG12" s="2182">
        <f>+'Bookings and Drivers'!AG86+'Bookings and Drivers'!AG92</f>
        <v>746.82099999999991</v>
      </c>
      <c r="AH12" s="2182">
        <f>+'Bookings and Drivers'!AH86+'Bookings and Drivers'!AH92</f>
        <v>927.34999999999991</v>
      </c>
      <c r="AI12" s="2182">
        <f>+'Bookings and Drivers'!AI86+'Bookings and Drivers'!AI92</f>
        <v>903.16799999999989</v>
      </c>
      <c r="AJ12" s="2183">
        <f>+'Bookings and Drivers'!AJ86+'Bookings and Drivers'!AJ92</f>
        <v>742.41</v>
      </c>
      <c r="AK12" s="2182">
        <f>+'Bookings and Drivers'!AK86+'Bookings and Drivers'!AK92</f>
        <v>998.49099999999999</v>
      </c>
      <c r="AL12" s="2182">
        <f>+'Bookings and Drivers'!AL86+'Bookings and Drivers'!AL92</f>
        <v>1234.9110000000001</v>
      </c>
      <c r="AM12" s="2182">
        <f>+'Bookings and Drivers'!AM86+'Bookings and Drivers'!AM92</f>
        <v>1390.683</v>
      </c>
      <c r="AN12" s="2183">
        <f>+'Bookings and Drivers'!AN86+'Bookings and Drivers'!AN92</f>
        <v>1205.3309999999999</v>
      </c>
      <c r="AO12" s="2182">
        <f>+'Bookings and Drivers'!AO86+'Bookings and Drivers'!AO92</f>
        <v>1758.6119999999999</v>
      </c>
      <c r="AP12" s="2182">
        <f>+'Bookings and Drivers'!AP86+'Bookings and Drivers'!AP92</f>
        <v>2109.9650000000001</v>
      </c>
      <c r="AQ12" s="2182">
        <f>+'Bookings and Drivers'!AQ86+'Bookings and Drivers'!AQ92</f>
        <v>2050.4270000000001</v>
      </c>
      <c r="AR12" s="2183">
        <f>+'Bookings and Drivers'!AR86+'Bookings and Drivers'!AR92</f>
        <v>1481.1129999999998</v>
      </c>
      <c r="AS12" s="2182">
        <f>+'Bookings and Drivers'!AS86+'Bookings and Drivers'!AS92</f>
        <v>1943.5839999999998</v>
      </c>
      <c r="AT12" s="2182">
        <f>+'Bookings and Drivers'!AT86+'Bookings and Drivers'!AT92</f>
        <v>2379.1779999999999</v>
      </c>
      <c r="AU12" s="2182">
        <f>+'Bookings and Drivers'!AU86+'Bookings and Drivers'!AU92</f>
        <v>2722.846</v>
      </c>
      <c r="AV12" s="2183">
        <f>+'Bookings and Drivers'!AV86+'Bookings and Drivers'!AV92</f>
        <v>2264.4540000000002</v>
      </c>
      <c r="AW12" s="2182">
        <f>+'Bookings and Drivers'!AW86+'Bookings and Drivers'!AW92</f>
        <v>2964.6950000000002</v>
      </c>
      <c r="AX12" s="2182">
        <f>+'Bookings and Drivers'!AX86+'Bookings and Drivers'!AX92</f>
        <v>3410.1800000000003</v>
      </c>
      <c r="AY12" s="2182">
        <f>+'Bookings and Drivers'!AY86+'Bookings and Drivers'!AY92</f>
        <v>4006</v>
      </c>
      <c r="AZ12" s="2183">
        <f>+'Bookings and Drivers'!AZ40+'Bookings and Drivers'!AZ74</f>
        <v>3265</v>
      </c>
      <c r="BA12" s="2182">
        <f>+'Bookings and Drivers'!BA40+'Bookings and Drivers'!BA74</f>
        <v>4665</v>
      </c>
      <c r="BB12" s="2182">
        <f>+'Bookings and Drivers'!BB40+'Bookings and Drivers'!BB74</f>
        <v>5780</v>
      </c>
      <c r="BC12" s="2182">
        <f>+'Bookings and Drivers'!BC40+'Bookings and Drivers'!BC74</f>
        <v>6257</v>
      </c>
      <c r="BD12" s="2183">
        <f>+'Bookings and Drivers'!BD40+'Bookings and Drivers'!BD74</f>
        <v>4956</v>
      </c>
      <c r="BE12" s="2182">
        <f>+'Bookings and Drivers'!BE40+'Bookings and Drivers'!BE74</f>
        <v>6711</v>
      </c>
      <c r="BF12" s="2182">
        <f>+'Bookings and Drivers'!BF40+'Bookings and Drivers'!BF74</f>
        <v>7329</v>
      </c>
      <c r="BG12" s="2182">
        <f>+'Bookings and Drivers'!BG40+'Bookings and Drivers'!BG74</f>
        <v>7832</v>
      </c>
      <c r="BH12" s="2183">
        <f>+'Bookings and Drivers'!BH40+'Bookings and Drivers'!BH74</f>
        <v>6584</v>
      </c>
      <c r="BI12" s="2189">
        <f>+'Bookings and Drivers'!BI40+'Bookings and Drivers'!BI74</f>
        <v>9153</v>
      </c>
      <c r="BJ12" s="2182">
        <f>+'Bookings and Drivers'!BJ40+'Bookings and Drivers'!BJ74</f>
        <v>10117</v>
      </c>
      <c r="BK12" s="2182">
        <f>+'Bookings and Drivers'!BK40+'Bookings and Drivers'!BK74</f>
        <v>10765</v>
      </c>
      <c r="BL12" s="2183">
        <f>+'Bookings and Drivers'!BL40+'Bookings and Drivers'!BL74</f>
        <v>9137</v>
      </c>
      <c r="BM12" s="2189">
        <f>+'Bookings and Drivers'!BM40+'Bookings and Drivers'!BM74</f>
        <v>12280</v>
      </c>
      <c r="BN12" s="2182">
        <f>+'Bookings and Drivers'!BN40+'Bookings and Drivers'!BN74</f>
        <v>13538</v>
      </c>
      <c r="BO12" s="2182">
        <f>+'Bookings and Drivers'!BO40+'Bookings and Drivers'!BO74</f>
        <v>13823</v>
      </c>
      <c r="BP12" s="2183">
        <f>+'Bookings and Drivers'!BP40+'Bookings and Drivers'!BP74</f>
        <v>10659</v>
      </c>
      <c r="BQ12" s="2189">
        <f>+'Bookings and Drivers'!BQ40+'Bookings and Drivers'!BQ74</f>
        <v>13776</v>
      </c>
      <c r="BR12" s="2182">
        <f>+'Bookings and Drivers'!BR40+'Bookings and Drivers'!BR74</f>
        <v>14960</v>
      </c>
      <c r="BS12" s="2182">
        <f>+'Bookings and Drivers'!BS40+'Bookings and Drivers'!BS74</f>
        <v>14778</v>
      </c>
      <c r="BT12" s="2183">
        <f>+'Bookings and Drivers'!BT40+'Bookings and Drivers'!BT74</f>
        <v>12014</v>
      </c>
      <c r="BU12" s="2182">
        <f>+'Bookings and Drivers'!BU40+'Bookings and Drivers'!BU74</f>
        <v>16653</v>
      </c>
      <c r="BV12" s="2182">
        <f>+'Bookings and Drivers'!BV40+'Bookings and Drivers'!BV74</f>
        <v>17862</v>
      </c>
      <c r="BW12" s="2182">
        <f>+'Bookings and Drivers'!BW40+'Bookings and Drivers'!BW74</f>
        <v>18460</v>
      </c>
      <c r="BX12" s="2183">
        <f>+'Bookings and Drivers'!BX40+'Bookings and Drivers'!BX74</f>
        <v>15112</v>
      </c>
      <c r="BY12" s="2182">
        <f>+'Bookings and Drivers'!BY40+'Bookings and Drivers'!BY74</f>
        <v>20687</v>
      </c>
      <c r="BZ12" s="2182">
        <f>+'Bookings and Drivers'!BZ40+'Bookings and Drivers'!BZ74</f>
        <v>20797</v>
      </c>
      <c r="CA12" s="2182">
        <f>+'Bookings and Drivers'!CA40+'Bookings and Drivers'!CA74</f>
        <v>21762</v>
      </c>
      <c r="CB12" s="2183">
        <f>+'Bookings and Drivers'!CB40+'Bookings and Drivers'!CB74</f>
        <v>17980</v>
      </c>
      <c r="CC12" s="2182">
        <f>+'Bookings and Drivers'!CC40+'Bookings and Drivers'!CC74</f>
        <v>24881.474049815144</v>
      </c>
      <c r="CD12" s="2182">
        <f>+'Bookings and Drivers'!CD40+'Bookings and Drivers'!CD74</f>
        <v>25086.12790194053</v>
      </c>
      <c r="CE12" s="2182">
        <f>+'Bookings and Drivers'!CE40+'Bookings and Drivers'!CE74</f>
        <v>24813.585995275425</v>
      </c>
      <c r="CF12" s="2183">
        <f>+'Bookings and Drivers'!CF40+'Bookings and Drivers'!CF74</f>
        <v>22004.981225315398</v>
      </c>
      <c r="CG12" s="2181"/>
      <c r="CH12" s="2188"/>
      <c r="CI12" s="2180"/>
      <c r="CJ12" s="2182"/>
      <c r="CK12" s="2182"/>
      <c r="CL12" s="2182"/>
      <c r="CM12" s="2182">
        <f>+SUM(AG12:AJ12)</f>
        <v>3319.7489999999998</v>
      </c>
      <c r="CN12" s="2182">
        <f>+SUM(AK12:AN12)</f>
        <v>4829.4160000000002</v>
      </c>
      <c r="CO12" s="2182">
        <f>+SUM(AO12:AR12)</f>
        <v>7400.1170000000002</v>
      </c>
      <c r="CP12" s="2182">
        <f>+SUM(AS12:AV12)</f>
        <v>9310.0619999999999</v>
      </c>
      <c r="CQ12" s="2182">
        <f>+SUM(AW12:AZ12)</f>
        <v>13645.875</v>
      </c>
      <c r="CR12" s="2182">
        <f>+SUM(BA12:BD12)</f>
        <v>21658</v>
      </c>
      <c r="CS12" s="2182">
        <f>+SUM(BE12:BH12)</f>
        <v>28456</v>
      </c>
      <c r="CT12" s="2182">
        <f>+SUM(BI12:BL12)</f>
        <v>39172</v>
      </c>
      <c r="CU12" s="2182">
        <f>SUM(BM12:BP12)</f>
        <v>50300</v>
      </c>
      <c r="CV12" s="2182">
        <f>SUM(BQ12:BT12)</f>
        <v>55528</v>
      </c>
      <c r="CW12" s="2182">
        <f>SUM(BU12:BX12)</f>
        <v>68087</v>
      </c>
      <c r="CX12" s="2182">
        <f>SUM(BY12:CB12)</f>
        <v>81226</v>
      </c>
      <c r="CY12" s="2182">
        <f>SUM(CC12:CF12)</f>
        <v>96786.16917234649</v>
      </c>
      <c r="CZ12" s="2182">
        <f>+'Bookings and Drivers'!CZ40+'Bookings and Drivers'!CZ74</f>
        <v>110922.85145653768</v>
      </c>
      <c r="DA12" s="2182">
        <f>+'Bookings and Drivers'!DA40+'Bookings and Drivers'!DA74</f>
        <v>124828.89016710233</v>
      </c>
      <c r="DB12" s="2182">
        <f>+'Bookings and Drivers'!DB40+'Bookings and Drivers'!DB74</f>
        <v>138263.57556092652</v>
      </c>
      <c r="DC12" s="2182">
        <f>+'Bookings and Drivers'!DC40+'Bookings and Drivers'!DC74</f>
        <v>151436.90782473588</v>
      </c>
      <c r="DD12" s="2182">
        <f>+'Bookings and Drivers'!DD40+'Bookings and Drivers'!DD74</f>
        <v>164480.34456989294</v>
      </c>
      <c r="DE12" s="2182">
        <f>+'Bookings and Drivers'!DE40+'Bookings and Drivers'!DE74</f>
        <v>177276.69132531929</v>
      </c>
      <c r="DF12" s="2183">
        <f>+'Bookings and Drivers'!DF40+'Bookings and Drivers'!DF74</f>
        <v>191119.5238413497</v>
      </c>
      <c r="DG12" s="1489">
        <f>+(CV12/CQ12)^(1/5)-1</f>
        <v>0.32404311869657421</v>
      </c>
      <c r="DH12" s="1489">
        <f>+(DA12/CV12)^(1/5)-1</f>
        <v>0.17587353398620187</v>
      </c>
      <c r="DJ12" s="689"/>
      <c r="DK12" s="689"/>
      <c r="DL12" s="689"/>
      <c r="DM12" s="689"/>
      <c r="DN12" s="689"/>
      <c r="DO12" s="689"/>
      <c r="DP12" s="689"/>
      <c r="DQ12" s="689"/>
      <c r="DR12" s="689"/>
    </row>
    <row r="13" spans="1:122" s="295" customFormat="1" ht="11.25" customHeight="1">
      <c r="A13" s="82"/>
      <c r="B13"/>
      <c r="C13"/>
      <c r="D13"/>
      <c r="E13"/>
      <c r="F13"/>
      <c r="G13"/>
      <c r="H13" s="1047"/>
      <c r="I13" s="293" t="s">
        <v>376</v>
      </c>
      <c r="J13" s="294"/>
      <c r="K13" s="294"/>
      <c r="M13" s="2190"/>
      <c r="N13" s="2190"/>
      <c r="O13" s="2190"/>
      <c r="P13" s="2191"/>
      <c r="Q13" s="2190"/>
      <c r="R13" s="2190"/>
      <c r="S13" s="2190"/>
      <c r="T13" s="2191"/>
      <c r="U13" s="2190"/>
      <c r="V13" s="2190"/>
      <c r="W13" s="2190"/>
      <c r="X13" s="2191"/>
      <c r="Y13" s="2190"/>
      <c r="Z13" s="2190"/>
      <c r="AA13" s="2190"/>
      <c r="AB13" s="2191"/>
      <c r="AC13" s="2190"/>
      <c r="AD13" s="2190"/>
      <c r="AE13" s="2190"/>
      <c r="AF13" s="2191"/>
      <c r="AG13" s="2190"/>
      <c r="AH13" s="2190"/>
      <c r="AI13" s="2190"/>
      <c r="AJ13" s="2191"/>
      <c r="AK13" s="2192">
        <f t="shared" ref="AK13:CF13" si="4">+AK12/AG12-1</f>
        <v>0.33698838141937637</v>
      </c>
      <c r="AL13" s="2192">
        <f t="shared" si="4"/>
        <v>0.33165579338976681</v>
      </c>
      <c r="AM13" s="2192">
        <f t="shared" si="4"/>
        <v>0.53978329613095255</v>
      </c>
      <c r="AN13" s="2193">
        <f t="shared" si="4"/>
        <v>0.6235382066513111</v>
      </c>
      <c r="AO13" s="2192">
        <f t="shared" si="4"/>
        <v>0.76126975606189728</v>
      </c>
      <c r="AP13" s="2192">
        <f t="shared" si="4"/>
        <v>0.70859681385946027</v>
      </c>
      <c r="AQ13" s="2192">
        <f t="shared" si="4"/>
        <v>0.47440286535464948</v>
      </c>
      <c r="AR13" s="2193">
        <f t="shared" si="4"/>
        <v>0.22880188097709264</v>
      </c>
      <c r="AS13" s="2192">
        <f t="shared" si="4"/>
        <v>0.1051806765790293</v>
      </c>
      <c r="AT13" s="2192">
        <f t="shared" si="4"/>
        <v>0.12759121596803724</v>
      </c>
      <c r="AU13" s="2192">
        <f t="shared" si="4"/>
        <v>0.32794096059015998</v>
      </c>
      <c r="AV13" s="2193">
        <f t="shared" si="4"/>
        <v>0.52888672235001688</v>
      </c>
      <c r="AW13" s="2192">
        <f t="shared" si="4"/>
        <v>0.52537528606944717</v>
      </c>
      <c r="AX13" s="2192">
        <f t="shared" si="4"/>
        <v>0.43334378512242488</v>
      </c>
      <c r="AY13" s="2192">
        <f t="shared" si="4"/>
        <v>0.47125470922703672</v>
      </c>
      <c r="AZ13" s="2193">
        <f t="shared" si="4"/>
        <v>0.44184867522148807</v>
      </c>
      <c r="BA13" s="2192">
        <f t="shared" si="4"/>
        <v>0.57351768057085128</v>
      </c>
      <c r="BB13" s="2192">
        <f t="shared" si="4"/>
        <v>0.69492519456450963</v>
      </c>
      <c r="BC13" s="2192">
        <f t="shared" si="4"/>
        <v>0.56190713929106351</v>
      </c>
      <c r="BD13" s="2193">
        <f t="shared" si="4"/>
        <v>0.51791730474732001</v>
      </c>
      <c r="BE13" s="2192">
        <f t="shared" si="4"/>
        <v>0.4385852090032154</v>
      </c>
      <c r="BF13" s="2192">
        <f t="shared" si="4"/>
        <v>0.26799307958477514</v>
      </c>
      <c r="BG13" s="2192">
        <f t="shared" si="4"/>
        <v>0.25171807575515426</v>
      </c>
      <c r="BH13" s="2193">
        <f t="shared" si="4"/>
        <v>0.32849071832122689</v>
      </c>
      <c r="BI13" s="2194">
        <f t="shared" si="4"/>
        <v>0.36388019669199823</v>
      </c>
      <c r="BJ13" s="2192">
        <f t="shared" si="4"/>
        <v>0.38040660390230596</v>
      </c>
      <c r="BK13" s="2192">
        <f t="shared" si="4"/>
        <v>0.37448927477017357</v>
      </c>
      <c r="BL13" s="2193">
        <f t="shared" si="4"/>
        <v>0.38775820170109365</v>
      </c>
      <c r="BM13" s="2194">
        <f t="shared" si="4"/>
        <v>0.34163662187261012</v>
      </c>
      <c r="BN13" s="2192">
        <f t="shared" si="4"/>
        <v>0.33814371849362468</v>
      </c>
      <c r="BO13" s="2192">
        <f>+BO12/BK12-1</f>
        <v>0.2840687412912215</v>
      </c>
      <c r="BP13" s="2193">
        <f>+BP12/BL12-1</f>
        <v>0.1665754624056035</v>
      </c>
      <c r="BQ13" s="2194">
        <f>+BQ12/BM12-1</f>
        <v>0.12182410423452761</v>
      </c>
      <c r="BR13" s="2192">
        <f>+BR12/BN12-1</f>
        <v>0.10503767173880929</v>
      </c>
      <c r="BS13" s="2192">
        <f>+BS12/BO12-1</f>
        <v>6.9087752296896454E-2</v>
      </c>
      <c r="BT13" s="2193">
        <f t="shared" si="4"/>
        <v>0.12712261938268132</v>
      </c>
      <c r="BU13" s="2192">
        <f t="shared" si="4"/>
        <v>0.20884146341463405</v>
      </c>
      <c r="BV13" s="2192">
        <f t="shared" si="4"/>
        <v>0.19398395721925143</v>
      </c>
      <c r="BW13" s="2192">
        <f t="shared" si="4"/>
        <v>0.24915414805792402</v>
      </c>
      <c r="BX13" s="2193">
        <f t="shared" si="4"/>
        <v>0.25786582320625939</v>
      </c>
      <c r="BY13" s="2192">
        <f t="shared" si="4"/>
        <v>0.2422386356812587</v>
      </c>
      <c r="BZ13" s="2192">
        <f t="shared" si="4"/>
        <v>0.16431530623670354</v>
      </c>
      <c r="CA13" s="2192">
        <f t="shared" si="4"/>
        <v>0.1788732394366197</v>
      </c>
      <c r="CB13" s="2193">
        <f t="shared" si="4"/>
        <v>0.18978295394388556</v>
      </c>
      <c r="CC13" s="2192">
        <f t="shared" si="4"/>
        <v>0.20275893313748461</v>
      </c>
      <c r="CD13" s="2192">
        <f t="shared" si="4"/>
        <v>0.20623781804782082</v>
      </c>
      <c r="CE13" s="2192">
        <f t="shared" si="4"/>
        <v>0.14022543862124004</v>
      </c>
      <c r="CF13" s="2193">
        <f t="shared" si="4"/>
        <v>0.22385880007315895</v>
      </c>
      <c r="CG13" s="2191"/>
      <c r="CH13" s="2195"/>
      <c r="CI13" s="2190"/>
      <c r="CJ13" s="2190"/>
      <c r="CK13" s="2190"/>
      <c r="CL13" s="2190"/>
      <c r="CM13" s="2192"/>
      <c r="CN13" s="2192">
        <f t="shared" ref="CN13:DF13" si="5">+CN12/CM12-1</f>
        <v>0.45475335635314607</v>
      </c>
      <c r="CO13" s="2192">
        <f t="shared" si="5"/>
        <v>0.53230059286671505</v>
      </c>
      <c r="CP13" s="2192">
        <f t="shared" si="5"/>
        <v>0.25809659495924175</v>
      </c>
      <c r="CQ13" s="2192">
        <f t="shared" si="5"/>
        <v>0.46571258064661647</v>
      </c>
      <c r="CR13" s="2192">
        <f t="shared" si="5"/>
        <v>0.58714629878992741</v>
      </c>
      <c r="CS13" s="2192">
        <f t="shared" si="5"/>
        <v>0.31387939791301145</v>
      </c>
      <c r="CT13" s="2192">
        <f t="shared" si="5"/>
        <v>0.37658138881079561</v>
      </c>
      <c r="CU13" s="2192">
        <f>+CU12/CT12-1</f>
        <v>0.28408046563872147</v>
      </c>
      <c r="CV13" s="2192">
        <f>+CV12/CU12-1</f>
        <v>0.10393638170974162</v>
      </c>
      <c r="CW13" s="2192">
        <f>+CW12/CV12-1</f>
        <v>0.22617418239446763</v>
      </c>
      <c r="CX13" s="2192">
        <f t="shared" si="5"/>
        <v>0.19297369541909615</v>
      </c>
      <c r="CY13" s="2192">
        <f t="shared" si="5"/>
        <v>0.19156636018450368</v>
      </c>
      <c r="CZ13" s="2192">
        <f t="shared" si="5"/>
        <v>0.14606097549969244</v>
      </c>
      <c r="DA13" s="2192">
        <f t="shared" si="5"/>
        <v>0.12536676192473628</v>
      </c>
      <c r="DB13" s="2192">
        <f t="shared" si="5"/>
        <v>0.10762480845451594</v>
      </c>
      <c r="DC13" s="2192">
        <f t="shared" si="5"/>
        <v>9.5276953531441722E-2</v>
      </c>
      <c r="DD13" s="2192">
        <f t="shared" si="5"/>
        <v>8.6131161369543907E-2</v>
      </c>
      <c r="DE13" s="2192">
        <f t="shared" si="5"/>
        <v>7.7798637818324634E-2</v>
      </c>
      <c r="DF13" s="2193">
        <f t="shared" si="5"/>
        <v>7.8086027060531693E-2</v>
      </c>
      <c r="DG13" s="1490"/>
      <c r="DH13" s="1490"/>
      <c r="DI13" s="1701"/>
    </row>
    <row r="14" spans="1:122" s="26" customFormat="1" ht="11.25" customHeight="1">
      <c r="A14" s="24"/>
      <c r="B14"/>
      <c r="C14"/>
      <c r="D14"/>
      <c r="E14"/>
      <c r="F14"/>
      <c r="G14"/>
      <c r="H14" s="1047"/>
      <c r="I14" s="167"/>
      <c r="J14" s="37"/>
      <c r="K14" s="37"/>
      <c r="L14" s="24"/>
      <c r="M14" s="34"/>
      <c r="N14" s="34"/>
      <c r="O14" s="34"/>
      <c r="P14" s="1412"/>
      <c r="Q14" s="34"/>
      <c r="R14" s="34"/>
      <c r="S14" s="34"/>
      <c r="T14" s="1412"/>
      <c r="U14" s="2196"/>
      <c r="V14" s="2196"/>
      <c r="W14" s="2196"/>
      <c r="X14" s="2197"/>
      <c r="Y14" s="2196"/>
      <c r="Z14" s="2196"/>
      <c r="AA14" s="2196"/>
      <c r="AB14" s="2197"/>
      <c r="AC14" s="2196"/>
      <c r="AD14" s="2196"/>
      <c r="AE14" s="2196"/>
      <c r="AF14" s="2197"/>
      <c r="AG14" s="2196"/>
      <c r="AH14" s="2196"/>
      <c r="AI14" s="2196"/>
      <c r="AJ14" s="2197"/>
      <c r="AK14" s="2196"/>
      <c r="AL14" s="2196"/>
      <c r="AM14" s="2196"/>
      <c r="AN14" s="2197"/>
      <c r="AO14" s="2196"/>
      <c r="AP14" s="2196"/>
      <c r="AQ14" s="2196"/>
      <c r="AR14" s="2197"/>
      <c r="AS14" s="2196"/>
      <c r="AT14" s="2196"/>
      <c r="AU14" s="2196"/>
      <c r="AV14" s="2197"/>
      <c r="AW14" s="2196"/>
      <c r="AX14" s="2196"/>
      <c r="AY14" s="2196"/>
      <c r="AZ14" s="2197"/>
      <c r="BA14" s="34"/>
      <c r="BB14" s="1957"/>
      <c r="BC14" s="1957"/>
      <c r="BD14" s="1958"/>
      <c r="BE14" s="34"/>
      <c r="BF14" s="34"/>
      <c r="BG14" s="34"/>
      <c r="BH14" s="2198"/>
      <c r="BI14" s="1970"/>
      <c r="BJ14" s="1957"/>
      <c r="BK14" s="1957"/>
      <c r="BL14" s="1958"/>
      <c r="BM14" s="1970"/>
      <c r="BN14" s="1957"/>
      <c r="BO14" s="1957"/>
      <c r="BP14" s="1958"/>
      <c r="BQ14" s="2199"/>
      <c r="BR14" s="1966"/>
      <c r="BS14" s="1966"/>
      <c r="BT14" s="1977"/>
      <c r="BU14" s="2196"/>
      <c r="BV14" s="2196"/>
      <c r="BW14" s="2196"/>
      <c r="BX14" s="2197"/>
      <c r="BY14" s="2196"/>
      <c r="BZ14" s="2196"/>
      <c r="CA14" s="2196"/>
      <c r="CB14" s="2197"/>
      <c r="CC14" s="2196"/>
      <c r="CD14" s="2196"/>
      <c r="CE14" s="2196"/>
      <c r="CF14" s="2197"/>
      <c r="CG14" s="1412"/>
      <c r="CH14" s="1414"/>
      <c r="CI14" s="34"/>
      <c r="CJ14" s="2196"/>
      <c r="CK14" s="2196"/>
      <c r="CL14" s="2196"/>
      <c r="CM14" s="2196"/>
      <c r="CN14" s="2196"/>
      <c r="CO14" s="2196"/>
      <c r="CP14" s="2196"/>
      <c r="CQ14" s="2196"/>
      <c r="CR14" s="2196"/>
      <c r="CS14" s="2196"/>
      <c r="CT14" s="2196"/>
      <c r="CU14" s="1957"/>
      <c r="CV14" s="2196"/>
      <c r="CW14" s="2196"/>
      <c r="CX14" s="2196"/>
      <c r="CY14" s="2196"/>
      <c r="CZ14" s="2196"/>
      <c r="DA14" s="2196"/>
      <c r="DB14" s="2196"/>
      <c r="DC14" s="2196"/>
      <c r="DD14" s="2196"/>
      <c r="DE14" s="2196"/>
      <c r="DF14" s="2197"/>
      <c r="DG14" s="945"/>
      <c r="DH14" s="945"/>
    </row>
    <row r="15" spans="1:122" s="554" customFormat="1" ht="11.25" customHeight="1">
      <c r="A15" s="547"/>
      <c r="B15"/>
      <c r="C15"/>
      <c r="D15"/>
      <c r="E15"/>
      <c r="F15"/>
      <c r="G15"/>
      <c r="H15" s="1047"/>
      <c r="I15" s="549" t="s">
        <v>22</v>
      </c>
      <c r="J15" s="550"/>
      <c r="K15" s="550"/>
      <c r="L15" s="547"/>
      <c r="M15" s="548"/>
      <c r="N15" s="548"/>
      <c r="O15" s="548"/>
      <c r="P15" s="2056"/>
      <c r="Q15" s="548"/>
      <c r="R15" s="548"/>
      <c r="S15" s="548"/>
      <c r="T15" s="2056"/>
      <c r="U15" s="2057"/>
      <c r="V15" s="2057"/>
      <c r="W15" s="2057"/>
      <c r="X15" s="2058"/>
      <c r="Y15" s="2057"/>
      <c r="Z15" s="2057"/>
      <c r="AA15" s="2057"/>
      <c r="AB15" s="2058"/>
      <c r="AC15" s="2057"/>
      <c r="AD15" s="2057"/>
      <c r="AE15" s="2057"/>
      <c r="AF15" s="2058"/>
      <c r="AG15" s="2057">
        <v>210.43799999999999</v>
      </c>
      <c r="AH15" s="2057">
        <v>250.524</v>
      </c>
      <c r="AI15" s="2057">
        <f>238.558-1.6</f>
        <v>236.958</v>
      </c>
      <c r="AJ15" s="2058">
        <v>204.649</v>
      </c>
      <c r="AK15" s="2057">
        <f>246.011-15.878</f>
        <v>230.13299999999998</v>
      </c>
      <c r="AL15" s="2057">
        <f>254.909-2.318</f>
        <v>252.59099999999998</v>
      </c>
      <c r="AM15" s="2057">
        <v>275.21100000000001</v>
      </c>
      <c r="AN15" s="2058">
        <v>226.69300000000001</v>
      </c>
      <c r="AO15" s="2057">
        <v>289.15899999999999</v>
      </c>
      <c r="AP15" s="2057">
        <v>336.23</v>
      </c>
      <c r="AQ15" s="2057">
        <v>323.95699999999999</v>
      </c>
      <c r="AR15" s="2058">
        <v>268.81599999999997</v>
      </c>
      <c r="AS15" s="2057">
        <v>337.03399999999999</v>
      </c>
      <c r="AT15" s="2057">
        <v>392.822</v>
      </c>
      <c r="AU15" s="2057">
        <v>400.31400000000002</v>
      </c>
      <c r="AV15" s="2058">
        <v>317.40699999999998</v>
      </c>
      <c r="AW15" s="2057">
        <v>368.26499999999999</v>
      </c>
      <c r="AX15" s="2057">
        <f>446.669+0.929</f>
        <v>447.59799999999996</v>
      </c>
      <c r="AY15" s="2057">
        <f>494.473+2.02</f>
        <v>496.49299999999999</v>
      </c>
      <c r="AZ15" s="2058">
        <f>382.234+1.753</f>
        <v>383.98699999999997</v>
      </c>
      <c r="BA15" s="2057">
        <v>454.80399999999997</v>
      </c>
      <c r="BB15" s="2057">
        <v>530.53</v>
      </c>
      <c r="BC15" s="2057">
        <v>573.23</v>
      </c>
      <c r="BD15" s="2058">
        <v>445.86900000000003</v>
      </c>
      <c r="BE15" s="2057">
        <v>496.40899999999999</v>
      </c>
      <c r="BF15" s="2057">
        <v>551.024</v>
      </c>
      <c r="BG15" s="2057">
        <v>584.96900000000005</v>
      </c>
      <c r="BH15" s="2058">
        <v>472.35</v>
      </c>
      <c r="BI15" s="2059">
        <v>528.56399999999996</v>
      </c>
      <c r="BJ15" s="2057">
        <v>580.22400000000005</v>
      </c>
      <c r="BK15" s="2057">
        <v>620.904</v>
      </c>
      <c r="BL15" s="2058">
        <v>481.78199999999998</v>
      </c>
      <c r="BM15" s="2059">
        <v>526.99800000000005</v>
      </c>
      <c r="BN15" s="2057">
        <v>567.25300000000004</v>
      </c>
      <c r="BO15" s="2057">
        <v>613.53499999999997</v>
      </c>
      <c r="BP15" s="2058">
        <v>478.26799999999997</v>
      </c>
      <c r="BQ15" s="2057">
        <v>494.67500000000001</v>
      </c>
      <c r="BR15" s="2057">
        <v>546.01300000000003</v>
      </c>
      <c r="BS15" s="2057">
        <v>596.50300000000004</v>
      </c>
      <c r="BT15" s="2058">
        <v>445.78199999999998</v>
      </c>
      <c r="BU15" s="2057">
        <v>470.03199999999998</v>
      </c>
      <c r="BV15" s="2057">
        <v>517.86699999999996</v>
      </c>
      <c r="BW15" s="2057">
        <v>620.29</v>
      </c>
      <c r="BX15" s="2058">
        <v>439.81599999999997</v>
      </c>
      <c r="BY15" s="2057">
        <v>442.04500000000002</v>
      </c>
      <c r="BZ15" s="2057">
        <v>498.13299999999998</v>
      </c>
      <c r="CA15" s="2057">
        <v>684.28899999999999</v>
      </c>
      <c r="CB15" s="2058">
        <v>508.55</v>
      </c>
      <c r="CC15" s="2057">
        <f>+CC291</f>
        <v>529.90190295195089</v>
      </c>
      <c r="CD15" s="2057">
        <f>+CD291</f>
        <v>599.7599850680599</v>
      </c>
      <c r="CE15" s="2057">
        <f>+CE291</f>
        <v>830.70202207982061</v>
      </c>
      <c r="CF15" s="2058">
        <f>+CF291</f>
        <v>663.89397722907552</v>
      </c>
      <c r="CG15" s="2056"/>
      <c r="CH15" s="2060"/>
      <c r="CI15" s="548"/>
      <c r="CJ15" s="2057"/>
      <c r="CK15" s="2057"/>
      <c r="CL15" s="2057"/>
      <c r="CM15" s="2057">
        <f>+SUM(AG15:AJ15)</f>
        <v>902.56899999999996</v>
      </c>
      <c r="CN15" s="2057">
        <f>+SUM(AK15:AN15)</f>
        <v>984.62799999999993</v>
      </c>
      <c r="CO15" s="2057">
        <f>+SUM(AO15:AR15)</f>
        <v>1218.162</v>
      </c>
      <c r="CP15" s="2057">
        <f>+SUM(AS15:AV15)</f>
        <v>1447.577</v>
      </c>
      <c r="CQ15" s="2057">
        <f>+SUM(AW15:AZ15)</f>
        <v>1696.3429999999998</v>
      </c>
      <c r="CR15" s="2057">
        <f>+SUM(BA15:BD15)</f>
        <v>2004.433</v>
      </c>
      <c r="CS15" s="2057">
        <f>+SUM(BE15:BH15)</f>
        <v>2104.752</v>
      </c>
      <c r="CT15" s="2057">
        <f>+SUM(BI15:BL15)</f>
        <v>2211.4740000000002</v>
      </c>
      <c r="CU15" s="2057">
        <f>SUM(BM15:BP15)</f>
        <v>2186.0540000000001</v>
      </c>
      <c r="CV15" s="2057">
        <f t="shared" ref="CV15:CV20" si="6">SUM(BQ15:BT15)</f>
        <v>2082.9730000000004</v>
      </c>
      <c r="CW15" s="2057">
        <f t="shared" ref="CW15:CW20" si="7">SUM(BU15:BX15)</f>
        <v>2048.0049999999997</v>
      </c>
      <c r="CX15" s="2057">
        <f t="shared" ref="CX15:CX20" si="8">SUM(BY15:CB15)</f>
        <v>2133.0170000000003</v>
      </c>
      <c r="CY15" s="2057">
        <f t="shared" ref="CY15:CY20" si="9">SUM(CC15:CF15)</f>
        <v>2624.2578873289067</v>
      </c>
      <c r="CZ15" s="2057">
        <f t="shared" ref="CZ15:DF15" si="10">+CZ291</f>
        <v>2853.8710190180036</v>
      </c>
      <c r="DA15" s="2057">
        <f t="shared" si="10"/>
        <v>3060.0454337567216</v>
      </c>
      <c r="DB15" s="2057">
        <f t="shared" si="10"/>
        <v>3243.6575876290117</v>
      </c>
      <c r="DC15" s="2057">
        <f t="shared" si="10"/>
        <v>3410.6339703068065</v>
      </c>
      <c r="DD15" s="2057">
        <f t="shared" si="10"/>
        <v>3586.3690922589562</v>
      </c>
      <c r="DE15" s="2057">
        <f t="shared" si="10"/>
        <v>3771.6955912278318</v>
      </c>
      <c r="DF15" s="2058">
        <f t="shared" si="10"/>
        <v>3970.7578822106975</v>
      </c>
      <c r="DG15" s="1491">
        <f>+(CV15/CQ15)^(1/5)-1</f>
        <v>4.191908683532386E-2</v>
      </c>
      <c r="DH15" s="1491">
        <f>+(DA15/CV15)^(1/5)-1</f>
        <v>7.9962925896407855E-2</v>
      </c>
    </row>
    <row r="16" spans="1:122" s="554" customFormat="1" ht="11.25" customHeight="1">
      <c r="A16" s="547"/>
      <c r="B16"/>
      <c r="C16"/>
      <c r="D16"/>
      <c r="E16"/>
      <c r="F16"/>
      <c r="G16"/>
      <c r="H16" s="1047"/>
      <c r="I16" s="555" t="s">
        <v>23</v>
      </c>
      <c r="J16" s="550"/>
      <c r="K16" s="550"/>
      <c r="L16" s="547"/>
      <c r="M16" s="548"/>
      <c r="N16" s="548"/>
      <c r="O16" s="548"/>
      <c r="P16" s="2056"/>
      <c r="Q16" s="548"/>
      <c r="R16" s="548"/>
      <c r="S16" s="548"/>
      <c r="T16" s="2056"/>
      <c r="U16" s="2057"/>
      <c r="V16" s="2057"/>
      <c r="W16" s="2057"/>
      <c r="X16" s="2058"/>
      <c r="Y16" s="2057"/>
      <c r="Z16" s="2057"/>
      <c r="AA16" s="2057"/>
      <c r="AB16" s="2058"/>
      <c r="AC16" s="2057"/>
      <c r="AD16" s="2057"/>
      <c r="AE16" s="2057"/>
      <c r="AF16" s="2058"/>
      <c r="AG16" s="2057">
        <v>30.381</v>
      </c>
      <c r="AH16" s="2057">
        <v>55.892000000000003</v>
      </c>
      <c r="AI16" s="2057">
        <v>73.325999999999993</v>
      </c>
      <c r="AJ16" s="2058">
        <v>54.301000000000002</v>
      </c>
      <c r="AK16" s="2057">
        <v>54.511000000000003</v>
      </c>
      <c r="AL16" s="2057">
        <v>98.343999999999994</v>
      </c>
      <c r="AM16" s="2057">
        <v>139.62299999999999</v>
      </c>
      <c r="AN16" s="2058">
        <v>105.768</v>
      </c>
      <c r="AO16" s="2057">
        <v>109.932</v>
      </c>
      <c r="AP16" s="2057">
        <v>173.249</v>
      </c>
      <c r="AQ16" s="2057">
        <v>232.63800000000001</v>
      </c>
      <c r="AR16" s="2058">
        <v>132.97300000000001</v>
      </c>
      <c r="AS16" s="2057">
        <v>120.22499999999999</v>
      </c>
      <c r="AT16" s="2057">
        <v>204.48500000000001</v>
      </c>
      <c r="AU16" s="2057">
        <v>323.18799999999999</v>
      </c>
      <c r="AV16" s="2058">
        <v>220.49600000000001</v>
      </c>
      <c r="AW16" s="2057">
        <v>213.24199999999999</v>
      </c>
      <c r="AX16" s="2057">
        <v>317.512</v>
      </c>
      <c r="AY16" s="2057">
        <v>504.01</v>
      </c>
      <c r="AZ16" s="2058">
        <v>345.83800000000002</v>
      </c>
      <c r="BA16" s="2057">
        <v>351.42200000000003</v>
      </c>
      <c r="BB16" s="2057">
        <v>569.18100000000004</v>
      </c>
      <c r="BC16" s="2057">
        <v>876.601</v>
      </c>
      <c r="BD16" s="2058">
        <v>542.048</v>
      </c>
      <c r="BE16" s="2057">
        <v>537.62699999999995</v>
      </c>
      <c r="BF16" s="2057">
        <v>771.99599999999998</v>
      </c>
      <c r="BG16" s="2057">
        <v>1118.1279999999999</v>
      </c>
      <c r="BH16" s="2058">
        <v>715.06299999999999</v>
      </c>
      <c r="BI16" s="2059">
        <v>769.928</v>
      </c>
      <c r="BJ16" s="2057">
        <v>1064.6400000000001</v>
      </c>
      <c r="BK16" s="2057">
        <v>1576.434</v>
      </c>
      <c r="BL16" s="2058">
        <v>999.68700000000001</v>
      </c>
      <c r="BM16" s="2059">
        <v>1041.144</v>
      </c>
      <c r="BN16" s="2057">
        <v>1474.396</v>
      </c>
      <c r="BO16" s="2057">
        <v>2099.6289999999999</v>
      </c>
      <c r="BP16" s="2058">
        <v>1230.633</v>
      </c>
      <c r="BQ16" s="2057">
        <v>1199.348</v>
      </c>
      <c r="BR16" s="2057">
        <v>1582.153</v>
      </c>
      <c r="BS16" s="2057">
        <v>2345.6729999999998</v>
      </c>
      <c r="BT16" s="2058">
        <v>1400.7239999999999</v>
      </c>
      <c r="BU16" s="2057">
        <v>1500.029</v>
      </c>
      <c r="BV16" s="2057">
        <v>1852.961</v>
      </c>
      <c r="BW16" s="2057">
        <v>2892.4490000000001</v>
      </c>
      <c r="BX16" s="2058">
        <v>1736.6769999999999</v>
      </c>
      <c r="BY16" s="2057">
        <v>1785.3130000000001</v>
      </c>
      <c r="BZ16" s="2057">
        <v>2332.3710000000001</v>
      </c>
      <c r="CA16" s="2057">
        <v>3523.7060000000001</v>
      </c>
      <c r="CB16" s="2058">
        <v>2072.7359999999999</v>
      </c>
      <c r="CC16" s="2057">
        <f>+CC295</f>
        <v>2190.0364561776123</v>
      </c>
      <c r="CD16" s="2057">
        <f>+CD295</f>
        <v>2876.0999284314821</v>
      </c>
      <c r="CE16" s="2057">
        <f>+CE295</f>
        <v>4083.2526724124418</v>
      </c>
      <c r="CF16" s="2058">
        <f>+CF295</f>
        <v>2612.2718709832075</v>
      </c>
      <c r="CG16" s="2056"/>
      <c r="CH16" s="2060"/>
      <c r="CI16" s="548"/>
      <c r="CJ16" s="2057"/>
      <c r="CK16" s="2057"/>
      <c r="CL16" s="2057"/>
      <c r="CM16" s="2057">
        <f>+SUM(AG16:AJ16)</f>
        <v>213.89999999999998</v>
      </c>
      <c r="CN16" s="2057">
        <f>+SUM(AK16:AN16)</f>
        <v>398.24599999999998</v>
      </c>
      <c r="CO16" s="2057">
        <f>+SUM(AO16:AR16)</f>
        <v>648.79199999999992</v>
      </c>
      <c r="CP16" s="2057">
        <f>+SUM(AS16:AV16)</f>
        <v>868.39400000000001</v>
      </c>
      <c r="CQ16" s="2057">
        <f>+SUM(AW16:AZ16)</f>
        <v>1380.6020000000001</v>
      </c>
      <c r="CR16" s="2057">
        <f>+SUM(BA16:BD16)</f>
        <v>2339.2520000000004</v>
      </c>
      <c r="CS16" s="2057">
        <f>+SUM(BE16:BH16)</f>
        <v>3142.8140000000003</v>
      </c>
      <c r="CT16" s="2057">
        <f>+SUM(BI16:BL16)</f>
        <v>4410.6890000000003</v>
      </c>
      <c r="CU16" s="2057">
        <f>SUM(BM16:BP16)</f>
        <v>5845.8019999999997</v>
      </c>
      <c r="CV16" s="2057">
        <f t="shared" si="6"/>
        <v>6527.8980000000001</v>
      </c>
      <c r="CW16" s="2057">
        <f>SUM(BU16:BX16)</f>
        <v>7982.116</v>
      </c>
      <c r="CX16" s="2057">
        <f t="shared" si="8"/>
        <v>9714.1260000000002</v>
      </c>
      <c r="CY16" s="2057">
        <f t="shared" si="9"/>
        <v>11761.660928004745</v>
      </c>
      <c r="CZ16" s="2057">
        <f t="shared" ref="CZ16:DF16" si="11">+CZ295</f>
        <v>13551.386663448857</v>
      </c>
      <c r="DA16" s="2057">
        <f t="shared" si="11"/>
        <v>15336.573064356466</v>
      </c>
      <c r="DB16" s="2057">
        <f t="shared" si="11"/>
        <v>17055.446821221594</v>
      </c>
      <c r="DC16" s="2057">
        <f t="shared" si="11"/>
        <v>18739.088380825568</v>
      </c>
      <c r="DD16" s="2057">
        <f t="shared" si="11"/>
        <v>20381.539025738901</v>
      </c>
      <c r="DE16" s="2057">
        <f t="shared" si="11"/>
        <v>21965.131910591412</v>
      </c>
      <c r="DF16" s="2058">
        <f t="shared" si="11"/>
        <v>23672.706010480768</v>
      </c>
      <c r="DG16" s="1491">
        <f>+(CV16/CQ16)^(1/5)-1</f>
        <v>0.36439768019349583</v>
      </c>
      <c r="DH16" s="1491">
        <f>+(DA16/CV16)^(1/5)-1</f>
        <v>0.18629033913115545</v>
      </c>
    </row>
    <row r="17" spans="1:119" s="554" customFormat="1" ht="11.25" hidden="1" customHeight="1" outlineLevel="1">
      <c r="A17" s="556"/>
      <c r="B17"/>
      <c r="C17"/>
      <c r="D17"/>
      <c r="E17"/>
      <c r="F17"/>
      <c r="G17"/>
      <c r="H17" s="1048"/>
      <c r="I17" s="9" t="s">
        <v>24</v>
      </c>
      <c r="J17" s="550"/>
      <c r="K17" s="550"/>
      <c r="L17" s="547"/>
      <c r="M17" s="548"/>
      <c r="N17" s="548"/>
      <c r="O17" s="548"/>
      <c r="P17" s="2056"/>
      <c r="Q17" s="548"/>
      <c r="R17" s="548"/>
      <c r="S17" s="548"/>
      <c r="T17" s="2056"/>
      <c r="U17" s="2057"/>
      <c r="V17" s="2057"/>
      <c r="W17" s="2057"/>
      <c r="X17" s="2058"/>
      <c r="Y17" s="2057"/>
      <c r="Z17" s="2057"/>
      <c r="AA17" s="2057"/>
      <c r="AB17" s="2058"/>
      <c r="AC17" s="2057"/>
      <c r="AD17" s="2057"/>
      <c r="AE17" s="2057"/>
      <c r="AF17" s="2058"/>
      <c r="AG17" s="2057"/>
      <c r="AH17" s="2057"/>
      <c r="AI17" s="2057"/>
      <c r="AJ17" s="2058"/>
      <c r="AK17" s="2057"/>
      <c r="AL17" s="2057"/>
      <c r="AM17" s="2057"/>
      <c r="AN17" s="2058"/>
      <c r="AO17" s="2057"/>
      <c r="AP17" s="2057"/>
      <c r="AQ17" s="2057"/>
      <c r="AR17" s="2058"/>
      <c r="AS17" s="2057"/>
      <c r="AT17" s="2057"/>
      <c r="AU17" s="2057"/>
      <c r="AV17" s="2058"/>
      <c r="AW17" s="2057"/>
      <c r="AX17" s="2057"/>
      <c r="AY17" s="2057"/>
      <c r="AZ17" s="2058"/>
      <c r="BA17" s="2057"/>
      <c r="BB17" s="2057"/>
      <c r="BC17" s="2057"/>
      <c r="BD17" s="2058"/>
      <c r="BE17" s="2057"/>
      <c r="BF17" s="2057"/>
      <c r="BG17" s="2057"/>
      <c r="BH17" s="2058"/>
      <c r="BI17" s="2059"/>
      <c r="BJ17" s="2057"/>
      <c r="BK17" s="2057"/>
      <c r="BL17" s="2058"/>
      <c r="BM17" s="2059"/>
      <c r="BN17" s="2057"/>
      <c r="BO17" s="2057"/>
      <c r="BP17" s="2058"/>
      <c r="BQ17" s="2059"/>
      <c r="BR17" s="2057"/>
      <c r="BS17" s="2057"/>
      <c r="BT17" s="2058"/>
      <c r="BU17" s="2057"/>
      <c r="BV17" s="2057"/>
      <c r="BW17" s="2057"/>
      <c r="BX17" s="2058"/>
      <c r="BY17" s="2057"/>
      <c r="BZ17" s="2057"/>
      <c r="CA17" s="2057"/>
      <c r="CB17" s="2058"/>
      <c r="CC17" s="2057">
        <f>+CC306</f>
        <v>93.236960737741953</v>
      </c>
      <c r="CD17" s="2057">
        <f>+CD306</f>
        <v>95.101699952496801</v>
      </c>
      <c r="CE17" s="2057">
        <f>+CE306</f>
        <v>102.67129860587418</v>
      </c>
      <c r="CF17" s="2058">
        <f>+CF306</f>
        <v>82.908944166774205</v>
      </c>
      <c r="CG17" s="2056"/>
      <c r="CH17" s="2060"/>
      <c r="CI17" s="548"/>
      <c r="CJ17" s="2057"/>
      <c r="CK17" s="2057"/>
      <c r="CL17" s="2057"/>
      <c r="CM17" s="2057"/>
      <c r="CN17" s="2057"/>
      <c r="CO17" s="2057"/>
      <c r="CP17" s="2057"/>
      <c r="CQ17" s="2057"/>
      <c r="CR17" s="2057"/>
      <c r="CS17" s="2057"/>
      <c r="CT17" s="2057"/>
      <c r="CU17" s="2057"/>
      <c r="CV17" s="2057">
        <f>SUM(BQ17:BT17)</f>
        <v>0</v>
      </c>
      <c r="CW17" s="2057">
        <f t="shared" si="7"/>
        <v>0</v>
      </c>
      <c r="CX17" s="2057">
        <f t="shared" si="8"/>
        <v>0</v>
      </c>
      <c r="CY17" s="2057">
        <f t="shared" si="9"/>
        <v>373.9189034628871</v>
      </c>
      <c r="CZ17" s="2057">
        <f t="shared" ref="CZ17:DF17" si="12">+CZ306</f>
        <v>392.61484863603141</v>
      </c>
      <c r="DA17" s="2057">
        <f t="shared" si="12"/>
        <v>412.24559106783295</v>
      </c>
      <c r="DB17" s="2057">
        <f t="shared" si="12"/>
        <v>432.85787062122449</v>
      </c>
      <c r="DC17" s="2057">
        <f t="shared" si="12"/>
        <v>454.50076415228563</v>
      </c>
      <c r="DD17" s="2057">
        <f t="shared" si="12"/>
        <v>477.22580235989983</v>
      </c>
      <c r="DE17" s="2057">
        <f t="shared" si="12"/>
        <v>501.08709247789471</v>
      </c>
      <c r="DF17" s="2058">
        <f t="shared" si="12"/>
        <v>526.14144710178937</v>
      </c>
      <c r="DG17" s="1492"/>
      <c r="DH17" s="1492"/>
    </row>
    <row r="18" spans="1:119" s="554" customFormat="1" ht="11.25" hidden="1" customHeight="1" outlineLevel="1">
      <c r="A18" s="556"/>
      <c r="B18"/>
      <c r="C18"/>
      <c r="D18"/>
      <c r="E18"/>
      <c r="F18"/>
      <c r="G18"/>
      <c r="H18" s="1048"/>
      <c r="I18" s="9" t="s">
        <v>141</v>
      </c>
      <c r="J18" s="550"/>
      <c r="K18" s="550"/>
      <c r="L18" s="547"/>
      <c r="M18" s="548"/>
      <c r="N18" s="548"/>
      <c r="O18" s="548"/>
      <c r="P18" s="2056"/>
      <c r="Q18" s="548"/>
      <c r="R18" s="548"/>
      <c r="S18" s="548"/>
      <c r="T18" s="2056"/>
      <c r="U18" s="2057"/>
      <c r="V18" s="2057"/>
      <c r="W18" s="2057"/>
      <c r="X18" s="2058"/>
      <c r="Y18" s="2057"/>
      <c r="Z18" s="2057"/>
      <c r="AA18" s="2057"/>
      <c r="AB18" s="2058"/>
      <c r="AC18" s="2057"/>
      <c r="AD18" s="2057"/>
      <c r="AE18" s="2057"/>
      <c r="AF18" s="2058"/>
      <c r="AG18" s="2057"/>
      <c r="AH18" s="2057"/>
      <c r="AI18" s="2057"/>
      <c r="AJ18" s="2058"/>
      <c r="AK18" s="2057"/>
      <c r="AL18" s="2057"/>
      <c r="AM18" s="2057"/>
      <c r="AN18" s="2058"/>
      <c r="AO18" s="2057"/>
      <c r="AP18" s="2057"/>
      <c r="AQ18" s="2057"/>
      <c r="AR18" s="2058"/>
      <c r="AS18" s="2057"/>
      <c r="AT18" s="2057"/>
      <c r="AU18" s="2057"/>
      <c r="AV18" s="2058"/>
      <c r="AW18" s="2057"/>
      <c r="AX18" s="2057"/>
      <c r="AY18" s="2057"/>
      <c r="AZ18" s="2058"/>
      <c r="BA18" s="2057"/>
      <c r="BB18" s="2057"/>
      <c r="BC18" s="2057"/>
      <c r="BD18" s="2058"/>
      <c r="BE18" s="2057"/>
      <c r="BF18" s="2057"/>
      <c r="BG18" s="2057"/>
      <c r="BH18" s="2058"/>
      <c r="BI18" s="2059"/>
      <c r="BJ18" s="2057"/>
      <c r="BK18" s="2057"/>
      <c r="BL18" s="2058"/>
      <c r="BM18" s="2059"/>
      <c r="BN18" s="2057"/>
      <c r="BO18" s="2057"/>
      <c r="BP18" s="2058"/>
      <c r="BQ18" s="2059"/>
      <c r="BR18" s="2057"/>
      <c r="BS18" s="2057"/>
      <c r="BT18" s="2058"/>
      <c r="BU18" s="2057"/>
      <c r="BV18" s="2057"/>
      <c r="BW18" s="2057"/>
      <c r="BX18" s="2058"/>
      <c r="BY18" s="2057"/>
      <c r="BZ18" s="2057"/>
      <c r="CA18" s="2057"/>
      <c r="CB18" s="2058"/>
      <c r="CC18" s="2057">
        <f>+CC319</f>
        <v>88.457600000000014</v>
      </c>
      <c r="CD18" s="2057">
        <f>+CD319</f>
        <v>91.907200000000017</v>
      </c>
      <c r="CE18" s="2057">
        <f>+CE319</f>
        <v>91.414400000000029</v>
      </c>
      <c r="CF18" s="2058">
        <f>+CF319</f>
        <v>102.62560000000002</v>
      </c>
      <c r="CG18" s="2056"/>
      <c r="CH18" s="2060"/>
      <c r="CI18" s="548"/>
      <c r="CJ18" s="2057"/>
      <c r="CK18" s="2057"/>
      <c r="CL18" s="2057"/>
      <c r="CM18" s="2057"/>
      <c r="CN18" s="2057"/>
      <c r="CO18" s="2057"/>
      <c r="CP18" s="2057"/>
      <c r="CQ18" s="2057"/>
      <c r="CR18" s="2057"/>
      <c r="CS18" s="2057"/>
      <c r="CT18" s="2057"/>
      <c r="CU18" s="2057"/>
      <c r="CV18" s="2057">
        <f>SUM(BQ18:BT18)</f>
        <v>0</v>
      </c>
      <c r="CW18" s="2057">
        <f t="shared" si="7"/>
        <v>0</v>
      </c>
      <c r="CX18" s="2057">
        <f t="shared" si="8"/>
        <v>0</v>
      </c>
      <c r="CY18" s="2057">
        <f t="shared" si="9"/>
        <v>374.40480000000008</v>
      </c>
      <c r="CZ18" s="2057">
        <f t="shared" ref="CZ18:DF18" si="13">+CZ319</f>
        <v>404.35718400000013</v>
      </c>
      <c r="DA18" s="2057">
        <f t="shared" si="13"/>
        <v>436.70575872000018</v>
      </c>
      <c r="DB18" s="2057">
        <f t="shared" si="13"/>
        <v>471.64221941760024</v>
      </c>
      <c r="DC18" s="2057">
        <f t="shared" si="13"/>
        <v>509.37359697100828</v>
      </c>
      <c r="DD18" s="2057">
        <f t="shared" si="13"/>
        <v>550.12348472868894</v>
      </c>
      <c r="DE18" s="2057">
        <f t="shared" si="13"/>
        <v>594.1333635069841</v>
      </c>
      <c r="DF18" s="2058">
        <f t="shared" si="13"/>
        <v>641.66403258754292</v>
      </c>
      <c r="DG18" s="1492"/>
      <c r="DH18" s="1492"/>
      <c r="DO18" s="1851"/>
    </row>
    <row r="19" spans="1:119" s="554" customFormat="1" ht="11.25" hidden="1" customHeight="1" outlineLevel="1">
      <c r="A19" s="556"/>
      <c r="B19"/>
      <c r="C19"/>
      <c r="D19"/>
      <c r="E19"/>
      <c r="F19"/>
      <c r="G19"/>
      <c r="H19" s="1048"/>
      <c r="I19" s="9" t="s">
        <v>25</v>
      </c>
      <c r="J19" s="550"/>
      <c r="K19" s="550"/>
      <c r="L19" s="547"/>
      <c r="M19" s="548"/>
      <c r="N19" s="548"/>
      <c r="O19" s="548"/>
      <c r="P19" s="2056"/>
      <c r="Q19" s="548"/>
      <c r="R19" s="548"/>
      <c r="S19" s="548"/>
      <c r="T19" s="2056"/>
      <c r="U19" s="2057"/>
      <c r="V19" s="2057"/>
      <c r="W19" s="2057"/>
      <c r="X19" s="2058"/>
      <c r="Y19" s="2057"/>
      <c r="Z19" s="2057"/>
      <c r="AA19" s="2057"/>
      <c r="AB19" s="2058"/>
      <c r="AC19" s="2057"/>
      <c r="AD19" s="2057"/>
      <c r="AE19" s="2057"/>
      <c r="AF19" s="2058"/>
      <c r="AG19" s="2057"/>
      <c r="AH19" s="2057"/>
      <c r="AI19" s="2057"/>
      <c r="AJ19" s="2058"/>
      <c r="AK19" s="2057"/>
      <c r="AL19" s="2057"/>
      <c r="AM19" s="2057"/>
      <c r="AN19" s="2058"/>
      <c r="AO19" s="2057"/>
      <c r="AP19" s="2057"/>
      <c r="AQ19" s="2057"/>
      <c r="AR19" s="2058"/>
      <c r="AS19" s="2057"/>
      <c r="AT19" s="2057"/>
      <c r="AU19" s="2057"/>
      <c r="AV19" s="2058"/>
      <c r="AW19" s="2057"/>
      <c r="AX19" s="2057"/>
      <c r="AY19" s="2057"/>
      <c r="AZ19" s="2058"/>
      <c r="BA19" s="2057"/>
      <c r="BB19" s="2057"/>
      <c r="BC19" s="2057"/>
      <c r="BD19" s="2058"/>
      <c r="BE19" s="2057"/>
      <c r="BF19" s="2057"/>
      <c r="BG19" s="2057"/>
      <c r="BH19" s="2058"/>
      <c r="BI19" s="2059"/>
      <c r="BJ19" s="2057"/>
      <c r="BK19" s="2057"/>
      <c r="BL19" s="2058"/>
      <c r="BM19" s="2059"/>
      <c r="BN19" s="2057"/>
      <c r="BO19" s="2057"/>
      <c r="BP19" s="2058"/>
      <c r="BQ19" s="2059"/>
      <c r="BR19" s="2057"/>
      <c r="BS19" s="2057"/>
      <c r="BT19" s="2058"/>
      <c r="BU19" s="2057"/>
      <c r="BV19" s="2057"/>
      <c r="BW19" s="2057"/>
      <c r="BX19" s="2058"/>
      <c r="BY19" s="2057"/>
      <c r="BZ19" s="2057"/>
      <c r="CA19" s="2057"/>
      <c r="CB19" s="2058"/>
      <c r="CC19" s="2057">
        <f>+CC299</f>
        <v>22.832894535483831</v>
      </c>
      <c r="CD19" s="2057">
        <f>+CD299</f>
        <v>19.926952426193509</v>
      </c>
      <c r="CE19" s="2057">
        <f>+CE299</f>
        <v>45.147810851548371</v>
      </c>
      <c r="CF19" s="2058">
        <f>+CF299</f>
        <v>49.550100793548367</v>
      </c>
      <c r="CG19" s="2056"/>
      <c r="CH19" s="2060"/>
      <c r="CI19" s="548"/>
      <c r="CJ19" s="2057"/>
      <c r="CK19" s="2057"/>
      <c r="CL19" s="2057"/>
      <c r="CM19" s="2057"/>
      <c r="CN19" s="2057"/>
      <c r="CO19" s="2057"/>
      <c r="CP19" s="2057"/>
      <c r="CQ19" s="2057"/>
      <c r="CR19" s="2057"/>
      <c r="CS19" s="2057"/>
      <c r="CT19" s="2057"/>
      <c r="CU19" s="2057"/>
      <c r="CV19" s="2057">
        <f t="shared" si="6"/>
        <v>0</v>
      </c>
      <c r="CW19" s="2057">
        <f t="shared" si="7"/>
        <v>0</v>
      </c>
      <c r="CX19" s="2057">
        <f t="shared" si="8"/>
        <v>0</v>
      </c>
      <c r="CY19" s="2057">
        <f t="shared" si="9"/>
        <v>137.45775860677406</v>
      </c>
      <c r="CZ19" s="2057">
        <f t="shared" ref="CZ19:DF19" si="14">+CZ299</f>
        <v>137.45775860677406</v>
      </c>
      <c r="DA19" s="2057">
        <f t="shared" si="14"/>
        <v>137.45775860677406</v>
      </c>
      <c r="DB19" s="2057">
        <f t="shared" si="14"/>
        <v>137.45775860677406</v>
      </c>
      <c r="DC19" s="2057">
        <f t="shared" si="14"/>
        <v>137.45775860677406</v>
      </c>
      <c r="DD19" s="2057">
        <f t="shared" si="14"/>
        <v>137.45775860677406</v>
      </c>
      <c r="DE19" s="2057">
        <f t="shared" si="14"/>
        <v>137.45775860677406</v>
      </c>
      <c r="DF19" s="2058">
        <f t="shared" si="14"/>
        <v>137.45775860677406</v>
      </c>
      <c r="DG19" s="1492"/>
      <c r="DH19" s="1492"/>
      <c r="DO19" s="1851"/>
    </row>
    <row r="20" spans="1:119" s="554" customFormat="1" ht="11.25" customHeight="1" collapsed="1">
      <c r="A20" s="556"/>
      <c r="B20"/>
      <c r="C20"/>
      <c r="D20"/>
      <c r="E20"/>
      <c r="F20"/>
      <c r="G20"/>
      <c r="H20" s="1048"/>
      <c r="I20" s="558" t="s">
        <v>505</v>
      </c>
      <c r="J20" s="559"/>
      <c r="K20" s="559"/>
      <c r="L20" s="560"/>
      <c r="M20" s="2200"/>
      <c r="N20" s="2200"/>
      <c r="O20" s="2200"/>
      <c r="P20" s="2201"/>
      <c r="Q20" s="2200"/>
      <c r="R20" s="2200"/>
      <c r="S20" s="2200"/>
      <c r="T20" s="2201"/>
      <c r="U20" s="2202"/>
      <c r="V20" s="2202"/>
      <c r="W20" s="2202"/>
      <c r="X20" s="2203"/>
      <c r="Y20" s="2202"/>
      <c r="Z20" s="2202"/>
      <c r="AA20" s="2202"/>
      <c r="AB20" s="2203"/>
      <c r="AC20" s="2202"/>
      <c r="AD20" s="2202"/>
      <c r="AE20" s="2202"/>
      <c r="AF20" s="2203"/>
      <c r="AG20" s="2202">
        <v>1.095</v>
      </c>
      <c r="AH20" s="2202">
        <v>1.2350000000000001</v>
      </c>
      <c r="AI20" s="2202">
        <v>1.583</v>
      </c>
      <c r="AJ20" s="2203">
        <v>1.121</v>
      </c>
      <c r="AK20" s="2202">
        <v>0.86699999999999999</v>
      </c>
      <c r="AL20" s="2202">
        <v>2.6269999999999998</v>
      </c>
      <c r="AM20" s="2202">
        <v>2.4529999999999998</v>
      </c>
      <c r="AN20" s="2203">
        <v>2.3919999999999999</v>
      </c>
      <c r="AO20" s="2202">
        <v>4.0890000000000004</v>
      </c>
      <c r="AP20" s="2202">
        <v>4.4969999999999999</v>
      </c>
      <c r="AQ20" s="2202">
        <v>5.0140000000000002</v>
      </c>
      <c r="AR20" s="2203">
        <v>4.2519999999999998</v>
      </c>
      <c r="AS20" s="2202">
        <v>4.7990000000000004</v>
      </c>
      <c r="AT20" s="2202">
        <v>6.4340000000000002</v>
      </c>
      <c r="AU20" s="2202">
        <v>7.1580000000000004</v>
      </c>
      <c r="AV20" s="2203">
        <v>3.85</v>
      </c>
      <c r="AW20" s="2202">
        <v>2.887</v>
      </c>
      <c r="AX20" s="2202">
        <v>3.258</v>
      </c>
      <c r="AY20" s="2202">
        <v>3.274</v>
      </c>
      <c r="AZ20" s="2203">
        <v>3.2440000000000002</v>
      </c>
      <c r="BA20" s="2202">
        <v>3.0939999999999999</v>
      </c>
      <c r="BB20" s="2202">
        <v>3.0049999999999999</v>
      </c>
      <c r="BC20" s="2202">
        <v>2.9729999999999999</v>
      </c>
      <c r="BD20" s="2203">
        <v>2.8530000000000002</v>
      </c>
      <c r="BE20" s="2202">
        <v>3.2109999999999999</v>
      </c>
      <c r="BF20" s="2202">
        <v>3.7389999999999999</v>
      </c>
      <c r="BG20" s="2202">
        <v>3.2130000000000001</v>
      </c>
      <c r="BH20" s="2203">
        <v>3.2269999999999999</v>
      </c>
      <c r="BI20" s="2204">
        <v>3.52</v>
      </c>
      <c r="BJ20" s="2202">
        <v>35.374000000000002</v>
      </c>
      <c r="BK20" s="2202">
        <v>72.564999999999998</v>
      </c>
      <c r="BL20" s="2203">
        <v>59.683999999999997</v>
      </c>
      <c r="BM20" s="2204">
        <v>73.66</v>
      </c>
      <c r="BN20" s="2202">
        <v>81.926000000000002</v>
      </c>
      <c r="BO20" s="2202">
        <v>123.333</v>
      </c>
      <c r="BP20" s="2203">
        <v>131.196</v>
      </c>
      <c r="BQ20" s="2204">
        <v>146.67099999999999</v>
      </c>
      <c r="BR20" s="2202">
        <v>152.23099999999999</v>
      </c>
      <c r="BS20" s="2202">
        <v>160.72499999999999</v>
      </c>
      <c r="BT20" s="2203">
        <v>153.489</v>
      </c>
      <c r="BU20" s="2202">
        <v>178.05799999999999</v>
      </c>
      <c r="BV20" s="2202">
        <v>185.07400000000001</v>
      </c>
      <c r="BW20" s="2202">
        <v>177.81299999999999</v>
      </c>
      <c r="BX20" s="2203">
        <v>171.94</v>
      </c>
      <c r="BY20" s="2202">
        <v>192.04599999999999</v>
      </c>
      <c r="BZ20" s="2202">
        <v>194.05199999999999</v>
      </c>
      <c r="CA20" s="2202">
        <v>226.03399999999999</v>
      </c>
      <c r="CB20" s="2203">
        <v>221.80699999999999</v>
      </c>
      <c r="CC20" s="2204">
        <f>+CC17+CC18+CC19</f>
        <v>204.5274552732258</v>
      </c>
      <c r="CD20" s="2202">
        <f>+CD17+CD18+CD19</f>
        <v>206.93585237869033</v>
      </c>
      <c r="CE20" s="2202">
        <f>+CE17+CE18+CE19</f>
        <v>239.23350945742257</v>
      </c>
      <c r="CF20" s="2203">
        <f>+CF17+CF18+CF19</f>
        <v>235.08464496032258</v>
      </c>
      <c r="CG20" s="2056"/>
      <c r="CH20" s="2205"/>
      <c r="CI20" s="2200"/>
      <c r="CJ20" s="2202"/>
      <c r="CK20" s="2202"/>
      <c r="CL20" s="2202"/>
      <c r="CM20" s="2202">
        <f>+SUM(AG20:AJ20)</f>
        <v>5.0340000000000007</v>
      </c>
      <c r="CN20" s="2202">
        <f>+SUM(AK20:AN20)</f>
        <v>8.3389999999999986</v>
      </c>
      <c r="CO20" s="2202">
        <f>+SUM(AO20:AR20)</f>
        <v>17.852</v>
      </c>
      <c r="CP20" s="2202">
        <f>+SUM(AS20:AV20)</f>
        <v>22.241000000000003</v>
      </c>
      <c r="CQ20" s="2202">
        <f>+SUM(AW20:AZ20)</f>
        <v>12.663</v>
      </c>
      <c r="CR20" s="2202">
        <f>+SUM(BA20:BD20)</f>
        <v>11.924999999999999</v>
      </c>
      <c r="CS20" s="2202">
        <f>+SUM(BE20:BH20)</f>
        <v>13.39</v>
      </c>
      <c r="CT20" s="2202">
        <f>+SUM(BI20:BL20)</f>
        <v>171.143</v>
      </c>
      <c r="CU20" s="2202">
        <f>SUM(BM20:BP20)</f>
        <v>410.11500000000001</v>
      </c>
      <c r="CV20" s="2202">
        <f t="shared" si="6"/>
        <v>613.11599999999999</v>
      </c>
      <c r="CW20" s="2202">
        <f t="shared" si="7"/>
        <v>712.88499999999999</v>
      </c>
      <c r="CX20" s="2202">
        <f t="shared" si="8"/>
        <v>833.93899999999996</v>
      </c>
      <c r="CY20" s="2202">
        <f t="shared" si="9"/>
        <v>885.7814620696613</v>
      </c>
      <c r="CZ20" s="2202">
        <f t="shared" ref="CZ20:DF20" si="15">+CZ17+CZ18+CZ19</f>
        <v>934.42979124280566</v>
      </c>
      <c r="DA20" s="2202">
        <f t="shared" si="15"/>
        <v>986.40910839460719</v>
      </c>
      <c r="DB20" s="2202">
        <f t="shared" si="15"/>
        <v>1041.9578486455989</v>
      </c>
      <c r="DC20" s="2202">
        <f t="shared" si="15"/>
        <v>1101.3321197300679</v>
      </c>
      <c r="DD20" s="2202">
        <f t="shared" si="15"/>
        <v>1164.8070456953628</v>
      </c>
      <c r="DE20" s="2202">
        <f t="shared" si="15"/>
        <v>1232.6782145916527</v>
      </c>
      <c r="DF20" s="2203">
        <f t="shared" si="15"/>
        <v>1305.2632382961065</v>
      </c>
      <c r="DG20" s="1491">
        <f>+(CV20/CQ20)^(1/5)-1</f>
        <v>1.1727072251299053</v>
      </c>
      <c r="DH20" s="1491">
        <f>+(DA20/CV20)^(1/5)-1</f>
        <v>9.9772573312596258E-2</v>
      </c>
      <c r="DO20" s="1851"/>
    </row>
    <row r="21" spans="1:119" s="575" customFormat="1" ht="11.25" customHeight="1">
      <c r="A21" s="568"/>
      <c r="B21"/>
      <c r="C21"/>
      <c r="D21"/>
      <c r="E21"/>
      <c r="F21"/>
      <c r="G21"/>
      <c r="H21" s="1049"/>
      <c r="I21" s="570" t="s">
        <v>26</v>
      </c>
      <c r="J21" s="571"/>
      <c r="K21" s="571"/>
      <c r="L21" s="92"/>
      <c r="M21" s="1931">
        <v>269.70400000000001</v>
      </c>
      <c r="N21" s="1931">
        <v>364.75599999999997</v>
      </c>
      <c r="O21" s="1931">
        <v>301.98899999999998</v>
      </c>
      <c r="P21" s="1930">
        <v>235.304</v>
      </c>
      <c r="Q21" s="1931">
        <v>261.88499999999999</v>
      </c>
      <c r="R21" s="1931">
        <v>304.45600000000002</v>
      </c>
      <c r="S21" s="1931">
        <v>239.964</v>
      </c>
      <c r="T21" s="1930">
        <v>197.30099999999999</v>
      </c>
      <c r="U21" s="1931">
        <v>200.48699999999999</v>
      </c>
      <c r="V21" s="1931">
        <v>239.566</v>
      </c>
      <c r="W21" s="1931">
        <v>243.441</v>
      </c>
      <c r="X21" s="1930">
        <v>180.167</v>
      </c>
      <c r="Y21" s="1931">
        <v>224.131</v>
      </c>
      <c r="Z21" s="1931">
        <v>259.38900000000001</v>
      </c>
      <c r="AA21" s="1931">
        <v>235.88200000000001</v>
      </c>
      <c r="AB21" s="1930">
        <v>194.96799999999999</v>
      </c>
      <c r="AC21" s="1931">
        <v>233.392</v>
      </c>
      <c r="AD21" s="1931">
        <v>266.55700000000002</v>
      </c>
      <c r="AE21" s="1931">
        <v>258.79700000000003</v>
      </c>
      <c r="AF21" s="1930">
        <v>203.91300000000001</v>
      </c>
      <c r="AG21" s="1931">
        <f t="shared" ref="AG21:BL21" si="16">+AG15+AG16+AG20</f>
        <v>241.91399999999999</v>
      </c>
      <c r="AH21" s="1931">
        <f t="shared" si="16"/>
        <v>307.65100000000001</v>
      </c>
      <c r="AI21" s="1931">
        <f t="shared" si="16"/>
        <v>311.86700000000002</v>
      </c>
      <c r="AJ21" s="1930">
        <f t="shared" si="16"/>
        <v>260.07099999999997</v>
      </c>
      <c r="AK21" s="1931">
        <f t="shared" si="16"/>
        <v>285.51100000000002</v>
      </c>
      <c r="AL21" s="1931">
        <f t="shared" si="16"/>
        <v>353.56199999999995</v>
      </c>
      <c r="AM21" s="1931">
        <f t="shared" si="16"/>
        <v>417.28699999999998</v>
      </c>
      <c r="AN21" s="1930">
        <f t="shared" si="16"/>
        <v>334.85300000000001</v>
      </c>
      <c r="AO21" s="1931">
        <f t="shared" si="16"/>
        <v>403.18</v>
      </c>
      <c r="AP21" s="1931">
        <f t="shared" si="16"/>
        <v>513.976</v>
      </c>
      <c r="AQ21" s="1931">
        <f t="shared" si="16"/>
        <v>561.60900000000004</v>
      </c>
      <c r="AR21" s="1930">
        <f t="shared" si="16"/>
        <v>406.041</v>
      </c>
      <c r="AS21" s="1931">
        <f t="shared" si="16"/>
        <v>462.05799999999999</v>
      </c>
      <c r="AT21" s="1931">
        <f t="shared" si="16"/>
        <v>603.74099999999999</v>
      </c>
      <c r="AU21" s="1931">
        <f t="shared" si="16"/>
        <v>730.66</v>
      </c>
      <c r="AV21" s="1930">
        <f t="shared" si="16"/>
        <v>541.75300000000004</v>
      </c>
      <c r="AW21" s="1931">
        <f t="shared" si="16"/>
        <v>584.39399999999989</v>
      </c>
      <c r="AX21" s="1931">
        <f t="shared" si="16"/>
        <v>768.36799999999994</v>
      </c>
      <c r="AY21" s="1931">
        <f t="shared" si="16"/>
        <v>1003.7769999999999</v>
      </c>
      <c r="AZ21" s="1930">
        <f t="shared" si="16"/>
        <v>733.06900000000007</v>
      </c>
      <c r="BA21" s="1931">
        <f t="shared" si="16"/>
        <v>809.32</v>
      </c>
      <c r="BB21" s="1931">
        <f t="shared" si="16"/>
        <v>1102.7160000000001</v>
      </c>
      <c r="BC21" s="1931">
        <f t="shared" si="16"/>
        <v>1452.8040000000001</v>
      </c>
      <c r="BD21" s="1930">
        <f t="shared" si="16"/>
        <v>990.77</v>
      </c>
      <c r="BE21" s="1931">
        <f t="shared" si="16"/>
        <v>1037.2470000000001</v>
      </c>
      <c r="BF21" s="1931">
        <f t="shared" si="16"/>
        <v>1326.759</v>
      </c>
      <c r="BG21" s="1931">
        <f t="shared" si="16"/>
        <v>1706.31</v>
      </c>
      <c r="BH21" s="1930">
        <f t="shared" si="16"/>
        <v>1190.6400000000001</v>
      </c>
      <c r="BI21" s="2054">
        <f t="shared" si="16"/>
        <v>1302.0119999999999</v>
      </c>
      <c r="BJ21" s="1931">
        <f>+BJ15+BJ16+BJ20</f>
        <v>1680.2380000000001</v>
      </c>
      <c r="BK21" s="1931">
        <f t="shared" si="16"/>
        <v>2269.9029999999998</v>
      </c>
      <c r="BL21" s="1930">
        <f t="shared" si="16"/>
        <v>1541.153</v>
      </c>
      <c r="BM21" s="2054">
        <f t="shared" ref="BM21:CF21" si="17">+BM15+BM16+BM20</f>
        <v>1641.8020000000001</v>
      </c>
      <c r="BN21" s="1931">
        <f t="shared" si="17"/>
        <v>2123.5749999999998</v>
      </c>
      <c r="BO21" s="1931">
        <f t="shared" ref="BO21:BU21" si="18">+BO15+BO16+BO20</f>
        <v>2836.4969999999998</v>
      </c>
      <c r="BP21" s="1930">
        <f t="shared" si="18"/>
        <v>1840.097</v>
      </c>
      <c r="BQ21" s="1931">
        <f t="shared" si="18"/>
        <v>1840.694</v>
      </c>
      <c r="BR21" s="1931">
        <f t="shared" si="18"/>
        <v>2280.3969999999999</v>
      </c>
      <c r="BS21" s="1931">
        <f>+BS15+BS16+BS20</f>
        <v>3102.9009999999998</v>
      </c>
      <c r="BT21" s="1930">
        <f t="shared" si="18"/>
        <v>1999.9949999999999</v>
      </c>
      <c r="BU21" s="1931">
        <f t="shared" si="18"/>
        <v>2148.1189999999997</v>
      </c>
      <c r="BV21" s="1931">
        <f t="shared" si="17"/>
        <v>2555.902</v>
      </c>
      <c r="BW21" s="1931">
        <f t="shared" si="17"/>
        <v>3690.5520000000001</v>
      </c>
      <c r="BX21" s="1930">
        <f t="shared" si="17"/>
        <v>2348.433</v>
      </c>
      <c r="BY21" s="1931">
        <f t="shared" si="17"/>
        <v>2419.404</v>
      </c>
      <c r="BZ21" s="1931">
        <f t="shared" si="17"/>
        <v>3024.556</v>
      </c>
      <c r="CA21" s="1931">
        <f t="shared" si="17"/>
        <v>4434.0289999999995</v>
      </c>
      <c r="CB21" s="1930">
        <f t="shared" ref="CB21" si="19">+CB15+CB16+CB20</f>
        <v>2803.0929999999998</v>
      </c>
      <c r="CC21" s="1931">
        <f t="shared" si="17"/>
        <v>2924.465814402789</v>
      </c>
      <c r="CD21" s="1931">
        <f t="shared" si="17"/>
        <v>3682.7957658782325</v>
      </c>
      <c r="CE21" s="1931">
        <f t="shared" si="17"/>
        <v>5153.188203949685</v>
      </c>
      <c r="CF21" s="1930">
        <f t="shared" si="17"/>
        <v>3511.2504931726057</v>
      </c>
      <c r="CG21" s="1930"/>
      <c r="CH21" s="2054">
        <v>1171.7529999999999</v>
      </c>
      <c r="CI21" s="1931">
        <v>1003.606</v>
      </c>
      <c r="CJ21" s="1931">
        <v>863.66099999999994</v>
      </c>
      <c r="CK21" s="1931">
        <v>914.37</v>
      </c>
      <c r="CL21" s="1931">
        <v>962.65899999999999</v>
      </c>
      <c r="CM21" s="1931">
        <f>+CM15+CM16+CM20</f>
        <v>1121.5030000000002</v>
      </c>
      <c r="CN21" s="1931">
        <f>+CN15+CN16+CN20</f>
        <v>1391.2129999999997</v>
      </c>
      <c r="CO21" s="1931">
        <f t="shared" ref="CO21:CT21" si="20">+CO15+CO16+CO20</f>
        <v>1884.806</v>
      </c>
      <c r="CP21" s="1931">
        <f t="shared" si="20"/>
        <v>2338.212</v>
      </c>
      <c r="CQ21" s="1931">
        <f t="shared" si="20"/>
        <v>3089.6079999999997</v>
      </c>
      <c r="CR21" s="1931">
        <f t="shared" si="20"/>
        <v>4355.6100000000006</v>
      </c>
      <c r="CS21" s="1931">
        <f t="shared" si="20"/>
        <v>5260.956000000001</v>
      </c>
      <c r="CT21" s="1931">
        <f t="shared" si="20"/>
        <v>6793.3060000000005</v>
      </c>
      <c r="CU21" s="1931">
        <f t="shared" ref="CU21:DF21" si="21">+CU15+CU16+CU20</f>
        <v>8441.9709999999995</v>
      </c>
      <c r="CV21" s="1931">
        <f t="shared" si="21"/>
        <v>9223.987000000001</v>
      </c>
      <c r="CW21" s="1931">
        <f t="shared" si="21"/>
        <v>10743.005999999999</v>
      </c>
      <c r="CX21" s="1931">
        <f t="shared" si="21"/>
        <v>12681.082</v>
      </c>
      <c r="CY21" s="2182">
        <f t="shared" si="21"/>
        <v>15271.700277403312</v>
      </c>
      <c r="CZ21" s="1931">
        <f t="shared" si="21"/>
        <v>17339.687473709666</v>
      </c>
      <c r="DA21" s="1931">
        <f t="shared" si="21"/>
        <v>19383.027606507796</v>
      </c>
      <c r="DB21" s="1931">
        <f t="shared" si="21"/>
        <v>21341.062257496204</v>
      </c>
      <c r="DC21" s="1931">
        <f t="shared" si="21"/>
        <v>23251.054470862444</v>
      </c>
      <c r="DD21" s="1931">
        <f t="shared" si="21"/>
        <v>25132.715163693218</v>
      </c>
      <c r="DE21" s="1931">
        <f t="shared" si="21"/>
        <v>26969.505716410895</v>
      </c>
      <c r="DF21" s="1930">
        <f t="shared" si="21"/>
        <v>28948.727130987572</v>
      </c>
      <c r="DG21" s="1489">
        <f>+(CV21/CQ21)^(1/5)-1</f>
        <v>0.24452338125109985</v>
      </c>
      <c r="DH21" s="1489">
        <f>+(DA21/CV21)^(1/5)-1</f>
        <v>0.16011378262951359</v>
      </c>
    </row>
    <row r="22" spans="1:119" s="51" customFormat="1" ht="11.25" customHeight="1">
      <c r="A22" s="296"/>
      <c r="B22"/>
      <c r="C22"/>
      <c r="D22"/>
      <c r="E22"/>
      <c r="F22"/>
      <c r="G22"/>
      <c r="H22" s="1048"/>
      <c r="I22" s="199" t="s">
        <v>376</v>
      </c>
      <c r="J22" s="89"/>
      <c r="K22" s="89"/>
      <c r="L22" s="82"/>
      <c r="M22" s="292"/>
      <c r="N22" s="292"/>
      <c r="O22" s="292"/>
      <c r="P22" s="1007"/>
      <c r="Q22" s="1957">
        <f t="shared" ref="Q22:AV22" si="22">+Q21/M21-1</f>
        <v>-2.8991042031264014E-2</v>
      </c>
      <c r="R22" s="1957">
        <f t="shared" si="22"/>
        <v>-0.16531599206044578</v>
      </c>
      <c r="S22" s="1957">
        <f t="shared" si="22"/>
        <v>-0.20538827573189744</v>
      </c>
      <c r="T22" s="1958">
        <f t="shared" si="22"/>
        <v>-0.16150596674939655</v>
      </c>
      <c r="U22" s="1957">
        <f t="shared" si="22"/>
        <v>-0.23444641732057969</v>
      </c>
      <c r="V22" s="1957">
        <f t="shared" si="22"/>
        <v>-0.21313424599942199</v>
      </c>
      <c r="W22" s="1957">
        <f t="shared" si="22"/>
        <v>1.4489673451017593E-2</v>
      </c>
      <c r="X22" s="1958">
        <f t="shared" si="22"/>
        <v>-8.6841931870593636E-2</v>
      </c>
      <c r="Y22" s="1957">
        <f t="shared" si="22"/>
        <v>0.11793283355030493</v>
      </c>
      <c r="Z22" s="1957">
        <f t="shared" si="22"/>
        <v>8.2745464715360262E-2</v>
      </c>
      <c r="AA22" s="1957">
        <f t="shared" si="22"/>
        <v>-3.1050644714735842E-2</v>
      </c>
      <c r="AB22" s="1958">
        <f t="shared" si="22"/>
        <v>8.2151559386569151E-2</v>
      </c>
      <c r="AC22" s="1957">
        <f t="shared" si="22"/>
        <v>4.1319585421025984E-2</v>
      </c>
      <c r="AD22" s="1957">
        <f t="shared" si="22"/>
        <v>2.7634171071248215E-2</v>
      </c>
      <c r="AE22" s="1957">
        <f t="shared" si="22"/>
        <v>9.7146030642439873E-2</v>
      </c>
      <c r="AF22" s="1958">
        <f t="shared" si="22"/>
        <v>4.5879323786467641E-2</v>
      </c>
      <c r="AG22" s="1957">
        <f t="shared" si="22"/>
        <v>3.6513676561321651E-2</v>
      </c>
      <c r="AH22" s="1957">
        <f t="shared" si="22"/>
        <v>0.1541659007266738</v>
      </c>
      <c r="AI22" s="1957">
        <f t="shared" si="22"/>
        <v>0.20506420089877397</v>
      </c>
      <c r="AJ22" s="1958">
        <f t="shared" si="22"/>
        <v>0.27540176447798803</v>
      </c>
      <c r="AK22" s="1957">
        <f t="shared" si="22"/>
        <v>0.18021693659730342</v>
      </c>
      <c r="AL22" s="1957">
        <f t="shared" si="22"/>
        <v>0.14923078423278313</v>
      </c>
      <c r="AM22" s="1957">
        <f t="shared" si="22"/>
        <v>0.33802871095691422</v>
      </c>
      <c r="AN22" s="1958">
        <f t="shared" si="22"/>
        <v>0.28754455514071187</v>
      </c>
      <c r="AO22" s="1957">
        <f t="shared" si="22"/>
        <v>0.41213473386314359</v>
      </c>
      <c r="AP22" s="1957">
        <f t="shared" si="22"/>
        <v>0.45370826050310864</v>
      </c>
      <c r="AQ22" s="1957">
        <f t="shared" si="22"/>
        <v>0.34585788677816476</v>
      </c>
      <c r="AR22" s="1958">
        <f t="shared" si="22"/>
        <v>0.21259478039617385</v>
      </c>
      <c r="AS22" s="1957">
        <f t="shared" si="22"/>
        <v>0.14603402946574717</v>
      </c>
      <c r="AT22" s="1957">
        <f t="shared" si="22"/>
        <v>0.17464823260230045</v>
      </c>
      <c r="AU22" s="1957">
        <f t="shared" si="22"/>
        <v>0.30101191398285976</v>
      </c>
      <c r="AV22" s="1958">
        <f t="shared" si="22"/>
        <v>0.33423225733361916</v>
      </c>
      <c r="AW22" s="1957">
        <f t="shared" ref="AW22:CB22" si="23">+AW21/AS21-1</f>
        <v>0.26476329811408927</v>
      </c>
      <c r="AX22" s="1957">
        <f t="shared" si="23"/>
        <v>0.27267818485078865</v>
      </c>
      <c r="AY22" s="1957">
        <f t="shared" si="23"/>
        <v>0.37379492513617829</v>
      </c>
      <c r="AZ22" s="1958">
        <f t="shared" si="23"/>
        <v>0.35314248375182045</v>
      </c>
      <c r="BA22" s="1957">
        <f t="shared" si="23"/>
        <v>0.38488759295954478</v>
      </c>
      <c r="BB22" s="1957">
        <f t="shared" si="23"/>
        <v>0.4351404535326826</v>
      </c>
      <c r="BC22" s="1957">
        <f t="shared" si="23"/>
        <v>0.44733740661521448</v>
      </c>
      <c r="BD22" s="1958">
        <f t="shared" si="23"/>
        <v>0.35153716771545374</v>
      </c>
      <c r="BE22" s="1957">
        <f t="shared" si="23"/>
        <v>0.28162778628972474</v>
      </c>
      <c r="BF22" s="1957">
        <f t="shared" si="23"/>
        <v>0.20317379996300033</v>
      </c>
      <c r="BG22" s="1957">
        <f t="shared" si="23"/>
        <v>0.17449428828665114</v>
      </c>
      <c r="BH22" s="1958">
        <f t="shared" si="23"/>
        <v>0.20173198623293009</v>
      </c>
      <c r="BI22" s="1970">
        <f t="shared" si="23"/>
        <v>0.25525742663030093</v>
      </c>
      <c r="BJ22" s="1957">
        <f t="shared" si="23"/>
        <v>0.26642291478708646</v>
      </c>
      <c r="BK22" s="1957">
        <f t="shared" si="23"/>
        <v>0.3302993008304469</v>
      </c>
      <c r="BL22" s="1958">
        <f t="shared" si="23"/>
        <v>0.29439041187932524</v>
      </c>
      <c r="BM22" s="1970">
        <f t="shared" si="23"/>
        <v>0.26097301714577137</v>
      </c>
      <c r="BN22" s="1957">
        <f t="shared" si="23"/>
        <v>0.26385369215551591</v>
      </c>
      <c r="BO22" s="1957">
        <f t="shared" ref="BO22:BT22" si="24">+BO21/BK21-1</f>
        <v>0.24961154727757084</v>
      </c>
      <c r="BP22" s="1958">
        <f t="shared" si="24"/>
        <v>0.19397425174528427</v>
      </c>
      <c r="BQ22" s="1957">
        <f>+BQ21/BM21-1</f>
        <v>0.1211425007400404</v>
      </c>
      <c r="BR22" s="1957">
        <f>+BR21/BN21-1</f>
        <v>7.3848109908997817E-2</v>
      </c>
      <c r="BS22" s="1957">
        <f>+BS21/BO21-1</f>
        <v>9.3920071129988791E-2</v>
      </c>
      <c r="BT22" s="1958">
        <f t="shared" si="24"/>
        <v>8.689650599941201E-2</v>
      </c>
      <c r="BU22" s="1957">
        <f>+BU21/BQ21-1</f>
        <v>0.16701581034109947</v>
      </c>
      <c r="BV22" s="1957">
        <f t="shared" si="23"/>
        <v>0.12081448975770459</v>
      </c>
      <c r="BW22" s="1957">
        <f t="shared" si="23"/>
        <v>0.18938760856372805</v>
      </c>
      <c r="BX22" s="1958">
        <f t="shared" si="23"/>
        <v>0.17421943554858887</v>
      </c>
      <c r="BY22" s="1957">
        <f t="shared" si="23"/>
        <v>0.12628955844625001</v>
      </c>
      <c r="BZ22" s="1957">
        <f>+BZ21/BV21-1</f>
        <v>0.18336149038578164</v>
      </c>
      <c r="CA22" s="1957">
        <f t="shared" si="23"/>
        <v>0.20145414561290553</v>
      </c>
      <c r="CB22" s="1958">
        <f t="shared" si="23"/>
        <v>0.19360143551040188</v>
      </c>
      <c r="CC22" s="1957">
        <f>+CC21/BY21-1</f>
        <v>0.20875464139217303</v>
      </c>
      <c r="CD22" s="1957">
        <f>+CD21/BZ21-1</f>
        <v>0.21763186592618311</v>
      </c>
      <c r="CE22" s="1957">
        <f>+CE21/CA21-1</f>
        <v>0.16219091123438423</v>
      </c>
      <c r="CF22" s="1958">
        <f>+CF21/CB21-1</f>
        <v>0.25263431972203776</v>
      </c>
      <c r="CG22" s="1007"/>
      <c r="CH22" s="1970"/>
      <c r="CI22" s="1957">
        <f t="shared" ref="CI22:DF22" si="25">+CI21/CH21-1</f>
        <v>-0.14350037934615911</v>
      </c>
      <c r="CJ22" s="1957">
        <f t="shared" si="25"/>
        <v>-0.13944217152946481</v>
      </c>
      <c r="CK22" s="1957">
        <f t="shared" si="25"/>
        <v>5.8714009316155336E-2</v>
      </c>
      <c r="CL22" s="1957">
        <f t="shared" si="25"/>
        <v>5.2811225215175561E-2</v>
      </c>
      <c r="CM22" s="1957">
        <f t="shared" si="25"/>
        <v>0.16500546922638248</v>
      </c>
      <c r="CN22" s="1957">
        <f t="shared" si="25"/>
        <v>0.24048977131581428</v>
      </c>
      <c r="CO22" s="1957">
        <f t="shared" si="25"/>
        <v>0.35479326314518356</v>
      </c>
      <c r="CP22" s="1957">
        <f t="shared" si="25"/>
        <v>0.240558444741793</v>
      </c>
      <c r="CQ22" s="1957">
        <f t="shared" si="25"/>
        <v>0.32135494985056945</v>
      </c>
      <c r="CR22" s="1957">
        <f t="shared" si="25"/>
        <v>0.40976136778516925</v>
      </c>
      <c r="CS22" s="1957">
        <f t="shared" si="25"/>
        <v>0.20785745280224832</v>
      </c>
      <c r="CT22" s="1957">
        <f t="shared" si="25"/>
        <v>0.29126835502900983</v>
      </c>
      <c r="CU22" s="1957">
        <f t="shared" si="25"/>
        <v>0.2426896418327098</v>
      </c>
      <c r="CV22" s="1957">
        <f t="shared" si="25"/>
        <v>9.263429120995581E-2</v>
      </c>
      <c r="CW22" s="1957">
        <f t="shared" si="25"/>
        <v>0.16468138994558412</v>
      </c>
      <c r="CX22" s="1957">
        <f t="shared" si="25"/>
        <v>0.18040351089816031</v>
      </c>
      <c r="CY22" s="1957">
        <f t="shared" si="25"/>
        <v>0.20429000280916965</v>
      </c>
      <c r="CZ22" s="1957">
        <f t="shared" si="25"/>
        <v>0.13541302924640553</v>
      </c>
      <c r="DA22" s="1957">
        <f t="shared" si="25"/>
        <v>0.11784180861945925</v>
      </c>
      <c r="DB22" s="1957">
        <f t="shared" si="25"/>
        <v>0.1010179983611541</v>
      </c>
      <c r="DC22" s="1957">
        <f t="shared" si="25"/>
        <v>8.949846030721087E-2</v>
      </c>
      <c r="DD22" s="1957">
        <f t="shared" si="25"/>
        <v>8.092797232868798E-2</v>
      </c>
      <c r="DE22" s="1957">
        <f t="shared" si="25"/>
        <v>7.3083649767021974E-2</v>
      </c>
      <c r="DF22" s="1958">
        <f t="shared" si="25"/>
        <v>7.3387381859665535E-2</v>
      </c>
      <c r="DG22" s="1493"/>
      <c r="DH22" s="1493"/>
    </row>
    <row r="23" spans="1:119" s="26" customFormat="1" ht="11.25" customHeight="1">
      <c r="A23" s="14"/>
      <c r="B23"/>
      <c r="C23"/>
      <c r="D23"/>
      <c r="E23"/>
      <c r="F23"/>
      <c r="G23"/>
      <c r="H23" s="1049"/>
      <c r="I23" s="166"/>
      <c r="J23" s="45"/>
      <c r="K23" s="45"/>
      <c r="L23" s="24"/>
      <c r="M23" s="34"/>
      <c r="N23" s="34"/>
      <c r="O23" s="34"/>
      <c r="P23" s="1412"/>
      <c r="Q23" s="1964"/>
      <c r="R23" s="1964"/>
      <c r="S23" s="1964"/>
      <c r="T23" s="2206"/>
      <c r="U23" s="1957"/>
      <c r="V23" s="1957"/>
      <c r="W23" s="2196"/>
      <c r="X23" s="2197"/>
      <c r="Y23" s="2196"/>
      <c r="Z23" s="2196"/>
      <c r="AA23" s="2196"/>
      <c r="AB23" s="2197"/>
      <c r="AC23" s="2196"/>
      <c r="AD23" s="2196"/>
      <c r="AE23" s="2196"/>
      <c r="AF23" s="2197"/>
      <c r="AG23" s="2196"/>
      <c r="AH23" s="2196"/>
      <c r="AI23" s="2196"/>
      <c r="AJ23" s="2197"/>
      <c r="AK23" s="2196"/>
      <c r="AL23" s="2196"/>
      <c r="AM23" s="2196"/>
      <c r="AN23" s="2197"/>
      <c r="AO23" s="1966"/>
      <c r="AP23" s="1966"/>
      <c r="AQ23" s="1966"/>
      <c r="AR23" s="1977"/>
      <c r="AS23" s="1966"/>
      <c r="AT23" s="1966"/>
      <c r="AU23" s="1966"/>
      <c r="AV23" s="1977"/>
      <c r="AW23" s="1966"/>
      <c r="AX23" s="1966"/>
      <c r="AY23" s="1966"/>
      <c r="AZ23" s="2206">
        <f>998/AZ21-1</f>
        <v>0.36139981366010554</v>
      </c>
      <c r="BA23" s="1966"/>
      <c r="BB23" s="2196"/>
      <c r="BC23" s="2196"/>
      <c r="BD23" s="2197"/>
      <c r="BE23" s="2196"/>
      <c r="BF23" s="2196"/>
      <c r="BG23" s="2196"/>
      <c r="BH23" s="2197"/>
      <c r="BI23" s="2207"/>
      <c r="BJ23" s="2208"/>
      <c r="BK23" s="2208"/>
      <c r="BL23" s="2198"/>
      <c r="BM23" s="2207"/>
      <c r="BN23" s="2208"/>
      <c r="BO23" s="2208"/>
      <c r="BP23" s="2198"/>
      <c r="BQ23" s="1966"/>
      <c r="BR23" s="1966"/>
      <c r="BS23" s="1966"/>
      <c r="BT23" s="1977"/>
      <c r="BU23" s="1966"/>
      <c r="BV23" s="1966"/>
      <c r="BW23" s="1966"/>
      <c r="BX23" s="1977"/>
      <c r="BY23" s="1966"/>
      <c r="BZ23" s="1966"/>
      <c r="CA23" s="1966"/>
      <c r="CB23" s="1977"/>
      <c r="CC23" s="1966"/>
      <c r="CD23" s="1966"/>
      <c r="CE23" s="1966"/>
      <c r="CF23" s="1977"/>
      <c r="CG23" s="1412"/>
      <c r="CH23" s="2209"/>
      <c r="CI23" s="34"/>
      <c r="CJ23" s="2196"/>
      <c r="CK23" s="2196"/>
      <c r="CL23" s="2196"/>
      <c r="CM23" s="2196"/>
      <c r="CN23" s="2196"/>
      <c r="CO23" s="1966"/>
      <c r="CP23" s="1966"/>
      <c r="CQ23" s="1966"/>
      <c r="CR23" s="1966"/>
      <c r="CS23" s="2208"/>
      <c r="CT23" s="1966"/>
      <c r="CU23" s="1966"/>
      <c r="CV23" s="1966"/>
      <c r="CW23" s="1966"/>
      <c r="CX23" s="1966"/>
      <c r="CY23" s="1966"/>
      <c r="CZ23" s="1966"/>
      <c r="DA23" s="1966"/>
      <c r="DB23" s="1966"/>
      <c r="DC23" s="1966"/>
      <c r="DD23" s="1966"/>
      <c r="DE23" s="1966"/>
      <c r="DF23" s="1977"/>
      <c r="DG23" s="945"/>
      <c r="DH23" s="945"/>
    </row>
    <row r="24" spans="1:119" s="282" customFormat="1" ht="11.25" customHeight="1">
      <c r="A24" s="298"/>
      <c r="B24"/>
      <c r="C24"/>
      <c r="D24"/>
      <c r="E24"/>
      <c r="F24"/>
      <c r="G24"/>
      <c r="H24" s="1049"/>
      <c r="I24" s="200" t="s">
        <v>27</v>
      </c>
      <c r="J24" s="90"/>
      <c r="K24" s="90"/>
      <c r="L24" s="91"/>
      <c r="M24" s="309"/>
      <c r="N24" s="309"/>
      <c r="O24" s="309"/>
      <c r="P24" s="1962"/>
      <c r="Q24" s="309"/>
      <c r="R24" s="309"/>
      <c r="S24" s="309"/>
      <c r="T24" s="1962"/>
      <c r="U24" s="1961"/>
      <c r="V24" s="1961"/>
      <c r="W24" s="1961"/>
      <c r="X24" s="1963"/>
      <c r="Y24" s="1961"/>
      <c r="Z24" s="1961"/>
      <c r="AA24" s="1961"/>
      <c r="AB24" s="1963"/>
      <c r="AC24" s="1961"/>
      <c r="AD24" s="1961"/>
      <c r="AE24" s="1961"/>
      <c r="AF24" s="1963"/>
      <c r="AG24" s="1961">
        <f t="shared" ref="AG24:BL24" si="26">+AG21/AG12</f>
        <v>0.3239250101429928</v>
      </c>
      <c r="AH24" s="1961">
        <f t="shared" si="26"/>
        <v>0.33175284412573469</v>
      </c>
      <c r="AI24" s="1961">
        <f t="shared" si="26"/>
        <v>0.3453034208475057</v>
      </c>
      <c r="AJ24" s="1963">
        <f t="shared" si="26"/>
        <v>0.35030643444996695</v>
      </c>
      <c r="AK24" s="1961">
        <f t="shared" si="26"/>
        <v>0.28594248721320475</v>
      </c>
      <c r="AL24" s="1961">
        <f t="shared" si="26"/>
        <v>0.28630565279603143</v>
      </c>
      <c r="AM24" s="1961">
        <f t="shared" si="26"/>
        <v>0.30005903573999249</v>
      </c>
      <c r="AN24" s="1963">
        <f t="shared" si="26"/>
        <v>0.27780999576050069</v>
      </c>
      <c r="AO24" s="1961">
        <f t="shared" si="26"/>
        <v>0.22926034850211419</v>
      </c>
      <c r="AP24" s="1961">
        <f t="shared" si="26"/>
        <v>0.24359456199510418</v>
      </c>
      <c r="AQ24" s="1961">
        <f t="shared" si="26"/>
        <v>0.27389855869045815</v>
      </c>
      <c r="AR24" s="1963">
        <f t="shared" si="26"/>
        <v>0.27414586192950846</v>
      </c>
      <c r="AS24" s="1961">
        <f t="shared" si="26"/>
        <v>0.23773502971829363</v>
      </c>
      <c r="AT24" s="1961">
        <f t="shared" si="26"/>
        <v>0.25376033235008055</v>
      </c>
      <c r="AU24" s="1961">
        <f t="shared" si="26"/>
        <v>0.26834422512327172</v>
      </c>
      <c r="AV24" s="1963">
        <f t="shared" si="26"/>
        <v>0.23924221909564072</v>
      </c>
      <c r="AW24" s="1961">
        <f t="shared" si="26"/>
        <v>0.19711774735681067</v>
      </c>
      <c r="AX24" s="1961">
        <f t="shared" si="26"/>
        <v>0.22531596572614931</v>
      </c>
      <c r="AY24" s="1961">
        <f t="shared" si="26"/>
        <v>0.25056839740389414</v>
      </c>
      <c r="AZ24" s="1963">
        <f t="shared" si="26"/>
        <v>0.22452343032159267</v>
      </c>
      <c r="BA24" s="1961">
        <f t="shared" si="26"/>
        <v>0.17348767416934621</v>
      </c>
      <c r="BB24" s="1961">
        <f t="shared" si="26"/>
        <v>0.19078131487889274</v>
      </c>
      <c r="BC24" s="1961">
        <f t="shared" si="26"/>
        <v>0.23218858878056578</v>
      </c>
      <c r="BD24" s="1963">
        <f t="shared" si="26"/>
        <v>0.1999132364810331</v>
      </c>
      <c r="BE24" s="1961">
        <f t="shared" si="26"/>
        <v>0.15455923111309791</v>
      </c>
      <c r="BF24" s="1961">
        <f t="shared" si="26"/>
        <v>0.18102865329512893</v>
      </c>
      <c r="BG24" s="1961">
        <f t="shared" si="26"/>
        <v>0.21786389172625126</v>
      </c>
      <c r="BH24" s="1963">
        <f t="shared" si="26"/>
        <v>0.18083839611178618</v>
      </c>
      <c r="BI24" s="1969">
        <f t="shared" si="26"/>
        <v>0.14224975417895772</v>
      </c>
      <c r="BJ24" s="1961">
        <f t="shared" si="26"/>
        <v>0.1660806563210438</v>
      </c>
      <c r="BK24" s="1961">
        <f t="shared" si="26"/>
        <v>0.21085954482117972</v>
      </c>
      <c r="BL24" s="1963">
        <f t="shared" si="26"/>
        <v>0.16867166466017292</v>
      </c>
      <c r="BM24" s="1969">
        <f t="shared" ref="BM24:CF24" si="27">+BM21/BM12</f>
        <v>0.13369723127035832</v>
      </c>
      <c r="BN24" s="1961">
        <f t="shared" si="27"/>
        <v>0.15686031910178755</v>
      </c>
      <c r="BO24" s="1961">
        <f t="shared" si="27"/>
        <v>0.20520125877161252</v>
      </c>
      <c r="BP24" s="1963">
        <f t="shared" si="27"/>
        <v>0.17263317384370017</v>
      </c>
      <c r="BQ24" s="1961">
        <f>+BQ21/BQ12</f>
        <v>0.13361599883855982</v>
      </c>
      <c r="BR24" s="1961">
        <f t="shared" si="27"/>
        <v>0.15243295454545455</v>
      </c>
      <c r="BS24" s="1961">
        <f t="shared" si="27"/>
        <v>0.20996758695357964</v>
      </c>
      <c r="BT24" s="1963">
        <f t="shared" si="27"/>
        <v>0.16647203262859997</v>
      </c>
      <c r="BU24" s="1961">
        <f t="shared" si="27"/>
        <v>0.12899291418963549</v>
      </c>
      <c r="BV24" s="1961">
        <f t="shared" si="27"/>
        <v>0.14309159108722427</v>
      </c>
      <c r="BW24" s="1961">
        <f t="shared" si="27"/>
        <v>0.19992156013001083</v>
      </c>
      <c r="BX24" s="1963">
        <f t="shared" si="27"/>
        <v>0.15540186606670195</v>
      </c>
      <c r="BY24" s="1961">
        <f t="shared" si="27"/>
        <v>0.11695286895151544</v>
      </c>
      <c r="BZ24" s="1961">
        <f t="shared" si="27"/>
        <v>0.14543232196951483</v>
      </c>
      <c r="CA24" s="1961">
        <f t="shared" si="27"/>
        <v>0.20375098796066535</v>
      </c>
      <c r="CB24" s="1963">
        <f t="shared" ref="CB24" si="28">+CB21/CB12</f>
        <v>0.15590061179087875</v>
      </c>
      <c r="CC24" s="1961">
        <f t="shared" si="27"/>
        <v>0.11753587462494072</v>
      </c>
      <c r="CD24" s="1961">
        <f t="shared" si="27"/>
        <v>0.14680606669446786</v>
      </c>
      <c r="CE24" s="1961">
        <f t="shared" si="27"/>
        <v>0.20767607732839849</v>
      </c>
      <c r="CF24" s="1963">
        <f t="shared" si="27"/>
        <v>0.15956616627934792</v>
      </c>
      <c r="CG24" s="1962"/>
      <c r="CH24" s="2210"/>
      <c r="CI24" s="309"/>
      <c r="CJ24" s="1961"/>
      <c r="CK24" s="1961"/>
      <c r="CL24" s="1961"/>
      <c r="CM24" s="1961">
        <f t="shared" ref="CM24:CX24" si="29">+CM21/CM12</f>
        <v>0.3378276490180433</v>
      </c>
      <c r="CN24" s="1961">
        <f t="shared" si="29"/>
        <v>0.28807064870783544</v>
      </c>
      <c r="CO24" s="1961">
        <f t="shared" si="29"/>
        <v>0.25469948650811874</v>
      </c>
      <c r="CP24" s="1961">
        <f t="shared" si="29"/>
        <v>0.25114891823491614</v>
      </c>
      <c r="CQ24" s="1961">
        <f t="shared" si="29"/>
        <v>0.22641333003563346</v>
      </c>
      <c r="CR24" s="1961">
        <f t="shared" si="29"/>
        <v>0.20110859728506791</v>
      </c>
      <c r="CS24" s="1961">
        <f t="shared" si="29"/>
        <v>0.18488037672195673</v>
      </c>
      <c r="CT24" s="1961">
        <f t="shared" si="29"/>
        <v>0.17342249566016543</v>
      </c>
      <c r="CU24" s="1961">
        <f>+CU21/CU12</f>
        <v>0.16783242544731611</v>
      </c>
      <c r="CV24" s="1961">
        <f t="shared" si="29"/>
        <v>0.16611415862267687</v>
      </c>
      <c r="CW24" s="1961">
        <f t="shared" si="29"/>
        <v>0.15778351227106496</v>
      </c>
      <c r="CX24" s="1961">
        <f t="shared" si="29"/>
        <v>0.15612097111762244</v>
      </c>
      <c r="CY24" s="1961">
        <f t="shared" ref="CY24:DF24" si="30">+CY21/CY12</f>
        <v>0.15778804356032622</v>
      </c>
      <c r="CZ24" s="1961">
        <f t="shared" si="30"/>
        <v>0.15632204947872066</v>
      </c>
      <c r="DA24" s="1961">
        <f t="shared" si="30"/>
        <v>0.15527677591750344</v>
      </c>
      <c r="DB24" s="1961">
        <f t="shared" si="30"/>
        <v>0.1543505740461063</v>
      </c>
      <c r="DC24" s="1961">
        <f t="shared" si="30"/>
        <v>0.15353624690865875</v>
      </c>
      <c r="DD24" s="1961">
        <f t="shared" si="30"/>
        <v>0.15280072053237659</v>
      </c>
      <c r="DE24" s="1961">
        <f t="shared" si="30"/>
        <v>0.15213227139330648</v>
      </c>
      <c r="DF24" s="1963">
        <f t="shared" si="30"/>
        <v>0.15146923008775498</v>
      </c>
      <c r="DG24" s="1494"/>
      <c r="DH24" s="1494"/>
    </row>
    <row r="25" spans="1:119" s="49" customFormat="1" ht="11.25" customHeight="1">
      <c r="A25" s="527"/>
      <c r="B25"/>
      <c r="C25"/>
      <c r="D25"/>
      <c r="E25"/>
      <c r="F25"/>
      <c r="G25"/>
      <c r="H25" s="1050"/>
      <c r="I25" s="188" t="s">
        <v>622</v>
      </c>
      <c r="J25" s="47"/>
      <c r="K25" s="47"/>
      <c r="L25" s="48"/>
      <c r="M25" s="530"/>
      <c r="N25" s="530"/>
      <c r="O25" s="530"/>
      <c r="P25" s="2211"/>
      <c r="Q25" s="530"/>
      <c r="R25" s="530"/>
      <c r="S25" s="530"/>
      <c r="T25" s="2211"/>
      <c r="U25" s="2013"/>
      <c r="V25" s="2013"/>
      <c r="W25" s="2013"/>
      <c r="X25" s="2014"/>
      <c r="Y25" s="2013"/>
      <c r="Z25" s="2013"/>
      <c r="AA25" s="2013"/>
      <c r="AB25" s="2014"/>
      <c r="AC25" s="2013"/>
      <c r="AD25" s="2013"/>
      <c r="AE25" s="2013"/>
      <c r="AF25" s="2014"/>
      <c r="AG25" s="2013"/>
      <c r="AH25" s="2013"/>
      <c r="AI25" s="2013"/>
      <c r="AJ25" s="2014"/>
      <c r="AK25" s="2013">
        <f t="shared" ref="AK25:CF25" si="31">+(AK24-AG24)*10000</f>
        <v>-379.82522929788041</v>
      </c>
      <c r="AL25" s="2013">
        <f t="shared" si="31"/>
        <v>-454.47191329703264</v>
      </c>
      <c r="AM25" s="2013">
        <f t="shared" si="31"/>
        <v>-452.44385107513216</v>
      </c>
      <c r="AN25" s="2014">
        <f t="shared" si="31"/>
        <v>-724.96438689466254</v>
      </c>
      <c r="AO25" s="2013">
        <f t="shared" si="31"/>
        <v>-566.82138711090568</v>
      </c>
      <c r="AP25" s="2013">
        <f t="shared" si="31"/>
        <v>-427.11090800927246</v>
      </c>
      <c r="AQ25" s="2013">
        <f t="shared" si="31"/>
        <v>-261.60477049534336</v>
      </c>
      <c r="AR25" s="2014">
        <f t="shared" si="31"/>
        <v>-36.641338309922332</v>
      </c>
      <c r="AS25" s="2013">
        <f t="shared" si="31"/>
        <v>84.746812161794466</v>
      </c>
      <c r="AT25" s="2013">
        <f t="shared" si="31"/>
        <v>101.65770354976372</v>
      </c>
      <c r="AU25" s="2013">
        <f t="shared" si="31"/>
        <v>-55.543335671864313</v>
      </c>
      <c r="AV25" s="2014">
        <f t="shared" si="31"/>
        <v>-349.03642833867735</v>
      </c>
      <c r="AW25" s="2013">
        <f t="shared" si="31"/>
        <v>-406.17282361482961</v>
      </c>
      <c r="AX25" s="2013">
        <f t="shared" si="31"/>
        <v>-284.44366623931239</v>
      </c>
      <c r="AY25" s="2013">
        <f t="shared" si="31"/>
        <v>-177.7582771937758</v>
      </c>
      <c r="AZ25" s="2014">
        <f t="shared" si="31"/>
        <v>-147.18788774048059</v>
      </c>
      <c r="BA25" s="2013">
        <f t="shared" si="31"/>
        <v>-236.30073187464461</v>
      </c>
      <c r="BB25" s="2013">
        <f t="shared" si="31"/>
        <v>-345.34650847256569</v>
      </c>
      <c r="BC25" s="2013">
        <f t="shared" si="31"/>
        <v>-183.79808623328358</v>
      </c>
      <c r="BD25" s="2014">
        <f t="shared" si="31"/>
        <v>-246.10193840559569</v>
      </c>
      <c r="BE25" s="2013">
        <f t="shared" si="31"/>
        <v>-189.28443056248301</v>
      </c>
      <c r="BF25" s="2013">
        <f t="shared" si="31"/>
        <v>-97.526615837638104</v>
      </c>
      <c r="BG25" s="2013">
        <f t="shared" si="31"/>
        <v>-143.24697054314524</v>
      </c>
      <c r="BH25" s="2014">
        <f t="shared" si="31"/>
        <v>-190.7484036924692</v>
      </c>
      <c r="BI25" s="2015">
        <f t="shared" si="31"/>
        <v>-123.09476934140196</v>
      </c>
      <c r="BJ25" s="2013">
        <f t="shared" si="31"/>
        <v>-149.47996974085137</v>
      </c>
      <c r="BK25" s="2013">
        <f t="shared" si="31"/>
        <v>-70.043469050715402</v>
      </c>
      <c r="BL25" s="2014">
        <f t="shared" si="31"/>
        <v>-121.66731451613261</v>
      </c>
      <c r="BM25" s="2015">
        <f t="shared" si="31"/>
        <v>-85.525229085993971</v>
      </c>
      <c r="BN25" s="2013">
        <f>+(BN24-BJ24)*10000</f>
        <v>-92.203372192562469</v>
      </c>
      <c r="BO25" s="2013">
        <f>+(BO24-BK24)*10000</f>
        <v>-56.582860495671959</v>
      </c>
      <c r="BP25" s="2014">
        <f>+(BP24-BL24)*10000</f>
        <v>39.615091835272509</v>
      </c>
      <c r="BQ25" s="2013">
        <f t="shared" si="31"/>
        <v>-0.8123243179850026</v>
      </c>
      <c r="BR25" s="2013">
        <f t="shared" si="31"/>
        <v>-44.273645563329964</v>
      </c>
      <c r="BS25" s="2013">
        <f t="shared" si="31"/>
        <v>47.663281819671219</v>
      </c>
      <c r="BT25" s="2014">
        <f t="shared" si="31"/>
        <v>-61.611412151001964</v>
      </c>
      <c r="BU25" s="2013">
        <f t="shared" si="31"/>
        <v>-46.230846489243305</v>
      </c>
      <c r="BV25" s="2013">
        <f t="shared" si="31"/>
        <v>-93.413634582302791</v>
      </c>
      <c r="BW25" s="2013">
        <f t="shared" si="31"/>
        <v>-100.4602682356881</v>
      </c>
      <c r="BX25" s="2014">
        <f t="shared" si="31"/>
        <v>-110.7016656189802</v>
      </c>
      <c r="BY25" s="2013">
        <f t="shared" si="31"/>
        <v>-120.40045238120051</v>
      </c>
      <c r="BZ25" s="2013">
        <f t="shared" si="31"/>
        <v>23.407308822905591</v>
      </c>
      <c r="CA25" s="2013">
        <f t="shared" si="31"/>
        <v>38.294278306545138</v>
      </c>
      <c r="CB25" s="2014">
        <f t="shared" si="31"/>
        <v>4.9874572417679675</v>
      </c>
      <c r="CC25" s="2013">
        <f t="shared" si="31"/>
        <v>5.8300567342528531</v>
      </c>
      <c r="CD25" s="2013">
        <f t="shared" si="31"/>
        <v>13.737447249530243</v>
      </c>
      <c r="CE25" s="2013">
        <f t="shared" si="31"/>
        <v>39.250893677331419</v>
      </c>
      <c r="CF25" s="2014">
        <f t="shared" si="31"/>
        <v>36.655544884691693</v>
      </c>
      <c r="CG25" s="2211"/>
      <c r="CH25" s="2212"/>
      <c r="CI25" s="530"/>
      <c r="CJ25" s="2013"/>
      <c r="CK25" s="2013"/>
      <c r="CL25" s="2013"/>
      <c r="CM25" s="2013"/>
      <c r="CN25" s="2013">
        <f t="shared" ref="CN25:CY25" si="32">+(CN24-CM24)*10000</f>
        <v>-497.57000310207854</v>
      </c>
      <c r="CO25" s="2013">
        <f t="shared" si="32"/>
        <v>-333.71162199716696</v>
      </c>
      <c r="CP25" s="2013">
        <f t="shared" si="32"/>
        <v>-35.505682732026031</v>
      </c>
      <c r="CQ25" s="2013">
        <f t="shared" si="32"/>
        <v>-247.35588199282677</v>
      </c>
      <c r="CR25" s="2013">
        <f t="shared" si="32"/>
        <v>-253.04732750565552</v>
      </c>
      <c r="CS25" s="2013">
        <f t="shared" si="32"/>
        <v>-162.28220563111185</v>
      </c>
      <c r="CT25" s="2013">
        <f t="shared" si="32"/>
        <v>-114.57881061791298</v>
      </c>
      <c r="CU25" s="2013">
        <f>+(CU24-CT24)*10000</f>
        <v>-55.900702128493243</v>
      </c>
      <c r="CV25" s="2013">
        <f t="shared" si="32"/>
        <v>-17.182668246392417</v>
      </c>
      <c r="CW25" s="2013">
        <f t="shared" si="32"/>
        <v>-83.306463516119038</v>
      </c>
      <c r="CX25" s="2013">
        <f t="shared" si="32"/>
        <v>-16.625411534425261</v>
      </c>
      <c r="CY25" s="2013">
        <f t="shared" si="32"/>
        <v>16.670724427037818</v>
      </c>
      <c r="CZ25" s="2013">
        <f t="shared" ref="CZ25:DF25" si="33">+(CZ24-CY24)*10000</f>
        <v>-14.659940816055538</v>
      </c>
      <c r="DA25" s="2013">
        <f t="shared" si="33"/>
        <v>-10.452735612172248</v>
      </c>
      <c r="DB25" s="2013">
        <f t="shared" si="33"/>
        <v>-9.262018713971365</v>
      </c>
      <c r="DC25" s="2013">
        <f t="shared" si="33"/>
        <v>-8.1432713744755691</v>
      </c>
      <c r="DD25" s="2013">
        <f t="shared" si="33"/>
        <v>-7.3552637628215845</v>
      </c>
      <c r="DE25" s="2013">
        <f t="shared" si="33"/>
        <v>-6.6844913907010417</v>
      </c>
      <c r="DF25" s="2014">
        <f t="shared" si="33"/>
        <v>-6.6304130555150387</v>
      </c>
      <c r="DG25" s="1495"/>
      <c r="DH25" s="1495"/>
    </row>
    <row r="26" spans="1:119" s="26" customFormat="1" ht="11.25" customHeight="1">
      <c r="A26" s="12"/>
      <c r="B26"/>
      <c r="C26"/>
      <c r="D26"/>
      <c r="E26"/>
      <c r="F26"/>
      <c r="G26"/>
      <c r="H26" s="1048"/>
      <c r="I26" s="167"/>
      <c r="J26" s="46"/>
      <c r="K26" s="46"/>
      <c r="L26" s="24"/>
      <c r="M26" s="34"/>
      <c r="N26" s="34"/>
      <c r="O26" s="34"/>
      <c r="P26" s="1412"/>
      <c r="Q26" s="34"/>
      <c r="R26" s="34"/>
      <c r="S26" s="34"/>
      <c r="T26" s="1412"/>
      <c r="U26" s="2196"/>
      <c r="V26" s="2196"/>
      <c r="W26" s="2196"/>
      <c r="X26" s="2197"/>
      <c r="Y26" s="2196"/>
      <c r="Z26" s="2196"/>
      <c r="AA26" s="2196"/>
      <c r="AB26" s="2197"/>
      <c r="AC26" s="2196"/>
      <c r="AD26" s="2196"/>
      <c r="AE26" s="2196"/>
      <c r="AF26" s="2197"/>
      <c r="AG26" s="2196"/>
      <c r="AH26" s="2196"/>
      <c r="AI26" s="2196"/>
      <c r="AJ26" s="2197"/>
      <c r="AK26" s="2196"/>
      <c r="AL26" s="2196"/>
      <c r="AM26" s="2196"/>
      <c r="AN26" s="2197"/>
      <c r="AO26" s="2196"/>
      <c r="AP26" s="2196"/>
      <c r="AQ26" s="2196"/>
      <c r="AR26" s="2197"/>
      <c r="AS26" s="2196"/>
      <c r="AT26" s="2196"/>
      <c r="AU26" s="2196"/>
      <c r="AV26" s="2197"/>
      <c r="AW26" s="2196"/>
      <c r="AX26" s="2196"/>
      <c r="AY26" s="2196"/>
      <c r="AZ26" s="2197"/>
      <c r="BA26" s="2196"/>
      <c r="BB26" s="2196"/>
      <c r="BC26" s="2196"/>
      <c r="BD26" s="2197"/>
      <c r="BE26" s="2196"/>
      <c r="BF26" s="2196"/>
      <c r="BG26" s="2196"/>
      <c r="BH26" s="2197"/>
      <c r="BI26" s="2207"/>
      <c r="BJ26" s="2208"/>
      <c r="BK26" s="2208"/>
      <c r="BL26" s="2198"/>
      <c r="BM26" s="2207"/>
      <c r="BN26" s="2208"/>
      <c r="BO26" s="2208"/>
      <c r="BP26" s="2198"/>
      <c r="BQ26" s="2196"/>
      <c r="BR26" s="2196"/>
      <c r="BS26" s="2196"/>
      <c r="BT26" s="2197"/>
      <c r="BU26" s="2196"/>
      <c r="BV26" s="2196"/>
      <c r="BW26" s="2196"/>
      <c r="BX26" s="2197"/>
      <c r="BY26" s="2196"/>
      <c r="BZ26" s="2196"/>
      <c r="CA26" s="2196"/>
      <c r="CB26" s="2197"/>
      <c r="CC26" s="2196"/>
      <c r="CD26" s="2196"/>
      <c r="CE26" s="2196"/>
      <c r="CF26" s="2197"/>
      <c r="CG26" s="1412"/>
      <c r="CH26" s="1414"/>
      <c r="CI26" s="34"/>
      <c r="CJ26" s="2196"/>
      <c r="CK26" s="2196"/>
      <c r="CL26" s="2196"/>
      <c r="CM26" s="2196"/>
      <c r="CN26" s="2196"/>
      <c r="CO26" s="2196"/>
      <c r="CP26" s="2196"/>
      <c r="CQ26" s="2196"/>
      <c r="CR26" s="2196"/>
      <c r="CS26" s="2196"/>
      <c r="CT26" s="2196"/>
      <c r="CU26" s="2196"/>
      <c r="CV26" s="2196"/>
      <c r="CW26" s="2196"/>
      <c r="CX26" s="2196"/>
      <c r="CY26" s="2196"/>
      <c r="CZ26" s="2196"/>
      <c r="DA26" s="2196"/>
      <c r="DB26" s="2196"/>
      <c r="DC26" s="2196"/>
      <c r="DD26" s="2196"/>
      <c r="DE26" s="2196"/>
      <c r="DF26" s="2197"/>
      <c r="DG26" s="945"/>
      <c r="DH26" s="945"/>
    </row>
    <row r="27" spans="1:119" s="554" customFormat="1" ht="11.25" customHeight="1">
      <c r="A27" s="556"/>
      <c r="B27"/>
      <c r="C27"/>
      <c r="D27"/>
      <c r="E27"/>
      <c r="F27"/>
      <c r="G27"/>
      <c r="H27" s="1048"/>
      <c r="I27" s="576" t="s">
        <v>28</v>
      </c>
      <c r="J27" s="550"/>
      <c r="K27" s="550"/>
      <c r="L27" s="547"/>
      <c r="M27" s="548"/>
      <c r="N27" s="548"/>
      <c r="O27" s="548"/>
      <c r="P27" s="2056"/>
      <c r="Q27" s="548"/>
      <c r="R27" s="548"/>
      <c r="S27" s="548"/>
      <c r="T27" s="2056"/>
      <c r="U27" s="2057"/>
      <c r="V27" s="2057"/>
      <c r="W27" s="2057"/>
      <c r="X27" s="2058"/>
      <c r="Y27" s="2057"/>
      <c r="Z27" s="2057"/>
      <c r="AA27" s="2057"/>
      <c r="AB27" s="2058"/>
      <c r="AC27" s="2057"/>
      <c r="AD27" s="2057"/>
      <c r="AE27" s="2057"/>
      <c r="AF27" s="2058"/>
      <c r="AG27" s="2057">
        <v>169.68299999999999</v>
      </c>
      <c r="AH27" s="2057">
        <v>201.84700000000001</v>
      </c>
      <c r="AI27" s="2057">
        <f>189.92-0.373</f>
        <v>189.547</v>
      </c>
      <c r="AJ27" s="2058">
        <v>160.554</v>
      </c>
      <c r="AK27" s="2057">
        <v>181.672</v>
      </c>
      <c r="AL27" s="2057">
        <v>198.66900000000001</v>
      </c>
      <c r="AM27" s="2057">
        <v>214.95599999999999</v>
      </c>
      <c r="AN27" s="2058">
        <v>174.70099999999999</v>
      </c>
      <c r="AO27" s="2057">
        <v>222.077</v>
      </c>
      <c r="AP27" s="2057">
        <v>260.25099999999998</v>
      </c>
      <c r="AQ27" s="2057">
        <v>245.53100000000001</v>
      </c>
      <c r="AR27" s="2058">
        <v>200.976</v>
      </c>
      <c r="AS27" s="2057">
        <v>253.72800000000001</v>
      </c>
      <c r="AT27" s="2057">
        <v>298.50299999999999</v>
      </c>
      <c r="AU27" s="2057">
        <v>296.654</v>
      </c>
      <c r="AV27" s="2058">
        <v>228.56399999999999</v>
      </c>
      <c r="AW27" s="2213">
        <v>265.27800000000002</v>
      </c>
      <c r="AX27" s="2213">
        <v>322.18400000000003</v>
      </c>
      <c r="AY27" s="2213">
        <v>335.56900000000002</v>
      </c>
      <c r="AZ27" s="2214">
        <v>252.90299999999999</v>
      </c>
      <c r="BA27" s="2057">
        <v>303.512</v>
      </c>
      <c r="BB27" s="2057">
        <v>353.48899999999998</v>
      </c>
      <c r="BC27" s="2057">
        <v>352.65600000000001</v>
      </c>
      <c r="BD27" s="2058">
        <v>266.07299999999998</v>
      </c>
      <c r="BE27" s="2057">
        <v>293.959</v>
      </c>
      <c r="BF27" s="2057">
        <v>322.61700000000002</v>
      </c>
      <c r="BG27" s="2057">
        <v>309.80900000000003</v>
      </c>
      <c r="BH27" s="2058">
        <v>250.89</v>
      </c>
      <c r="BI27" s="2059">
        <v>292.34699999999998</v>
      </c>
      <c r="BJ27" s="2057">
        <v>296.38299999999998</v>
      </c>
      <c r="BK27" s="2057">
        <v>280.83800000000002</v>
      </c>
      <c r="BL27" s="2058">
        <v>207.852</v>
      </c>
      <c r="BM27" s="2059">
        <v>235.33099999999999</v>
      </c>
      <c r="BN27" s="2057">
        <v>240.57900000000001</v>
      </c>
      <c r="BO27" s="2057">
        <v>216.51900000000001</v>
      </c>
      <c r="BP27" s="2058">
        <v>165.41200000000001</v>
      </c>
      <c r="BQ27" s="2057">
        <v>168.458</v>
      </c>
      <c r="BR27" s="2057">
        <v>187.49100000000001</v>
      </c>
      <c r="BS27" s="2057">
        <v>155.619</v>
      </c>
      <c r="BT27" s="2058">
        <v>120.61199999999999</v>
      </c>
      <c r="BU27" s="2057">
        <v>128.66900000000001</v>
      </c>
      <c r="BV27" s="2057">
        <v>126.084</v>
      </c>
      <c r="BW27" s="2057">
        <v>101.489</v>
      </c>
      <c r="BX27" s="2058">
        <v>72.072000000000003</v>
      </c>
      <c r="BY27" s="2057">
        <v>85.168999999999997</v>
      </c>
      <c r="BZ27" s="2057">
        <v>72.742000000000004</v>
      </c>
      <c r="CA27" s="2057">
        <v>59.475999999999999</v>
      </c>
      <c r="CB27" s="2058">
        <v>33.15</v>
      </c>
      <c r="CC27" s="2057">
        <f>+CC21-CC39</f>
        <v>126.98305125547586</v>
      </c>
      <c r="CD27" s="2057">
        <f>+CD21-CD39</f>
        <v>120.60903099211555</v>
      </c>
      <c r="CE27" s="2057">
        <f>+CE21-CE39</f>
        <v>148.77724568926988</v>
      </c>
      <c r="CF27" s="2058">
        <f>+CF21-CF39</f>
        <v>133.4599602126741</v>
      </c>
      <c r="CG27" s="2056"/>
      <c r="CH27" s="2060"/>
      <c r="CI27" s="548"/>
      <c r="CJ27" s="2057"/>
      <c r="CK27" s="2057"/>
      <c r="CL27" s="2057"/>
      <c r="CM27" s="2057">
        <f>+SUM(AG27:AJ27)</f>
        <v>721.63099999999997</v>
      </c>
      <c r="CN27" s="2057">
        <f>+SUM(AK27:AN27)</f>
        <v>769.99800000000005</v>
      </c>
      <c r="CO27" s="2057">
        <f>+SUM(AO27:AR27)</f>
        <v>928.83499999999992</v>
      </c>
      <c r="CP27" s="2057">
        <f>+SUM(AS27:AV27)</f>
        <v>1077.4490000000001</v>
      </c>
      <c r="CQ27" s="2057">
        <f>+SUM(AW27:AZ27)</f>
        <v>1175.934</v>
      </c>
      <c r="CR27" s="2057">
        <f>+SUM(BA27:BD27)</f>
        <v>1275.73</v>
      </c>
      <c r="CS27" s="2057">
        <f>+SUM(BE27:BH27)</f>
        <v>1177.2750000000001</v>
      </c>
      <c r="CT27" s="2057">
        <f>+SUM(BI27:BL27)</f>
        <v>1077.42</v>
      </c>
      <c r="CU27" s="2057">
        <f>SUM(BM27:BP27)</f>
        <v>857.84100000000001</v>
      </c>
      <c r="CV27" s="2057">
        <f>SUM(BQ27:BT27)</f>
        <v>632.17999999999995</v>
      </c>
      <c r="CW27" s="2057">
        <f>SUM(BU27:BX27)</f>
        <v>428.31400000000002</v>
      </c>
      <c r="CX27" s="2057">
        <f>SUM(BY27:CB27)</f>
        <v>250.53700000000001</v>
      </c>
      <c r="CY27" s="2057">
        <f>SUM(CC27:CF27)</f>
        <v>529.82928814953539</v>
      </c>
      <c r="CZ27" s="2057">
        <f t="shared" ref="CZ27:DF27" si="34">+CZ21-CZ39</f>
        <v>550.22570285666006</v>
      </c>
      <c r="DA27" s="2057">
        <f t="shared" si="34"/>
        <v>561.28921779125085</v>
      </c>
      <c r="DB27" s="2057">
        <f t="shared" si="34"/>
        <v>563.98597105107183</v>
      </c>
      <c r="DC27" s="2057">
        <f t="shared" si="34"/>
        <v>566.45175924822979</v>
      </c>
      <c r="DD27" s="2057">
        <f t="shared" si="34"/>
        <v>568.62419070430406</v>
      </c>
      <c r="DE27" s="2057">
        <f t="shared" si="34"/>
        <v>570.4410900255607</v>
      </c>
      <c r="DF27" s="2058">
        <f t="shared" si="34"/>
        <v>571.84014036080043</v>
      </c>
      <c r="DG27" s="1491">
        <f>+(CV27/CQ27)^(1/5)-1</f>
        <v>-0.1167339029749318</v>
      </c>
      <c r="DH27" s="1491">
        <f>+(DA27/CV27)^(1/5)-1</f>
        <v>-2.350687609489488E-2</v>
      </c>
    </row>
    <row r="28" spans="1:119" s="26" customFormat="1" ht="11.25" customHeight="1">
      <c r="A28" s="12"/>
      <c r="B28"/>
      <c r="C28"/>
      <c r="D28"/>
      <c r="E28"/>
      <c r="F28"/>
      <c r="G28"/>
      <c r="H28" s="1048"/>
      <c r="I28" s="168"/>
      <c r="J28" s="45"/>
      <c r="K28" s="45"/>
      <c r="L28" s="24"/>
      <c r="M28" s="34"/>
      <c r="N28" s="34"/>
      <c r="O28" s="34"/>
      <c r="P28" s="1412"/>
      <c r="Q28" s="34"/>
      <c r="R28" s="34"/>
      <c r="S28" s="34"/>
      <c r="T28" s="1412"/>
      <c r="U28" s="2196"/>
      <c r="V28" s="2196"/>
      <c r="W28" s="2196"/>
      <c r="X28" s="2197"/>
      <c r="Y28" s="2196"/>
      <c r="Z28" s="2196"/>
      <c r="AA28" s="2196"/>
      <c r="AB28" s="2197"/>
      <c r="AC28" s="2196"/>
      <c r="AD28" s="2196"/>
      <c r="AE28" s="2196"/>
      <c r="AF28" s="2197"/>
      <c r="AG28" s="2196"/>
      <c r="AH28" s="2196"/>
      <c r="AI28" s="2196"/>
      <c r="AJ28" s="2197"/>
      <c r="AK28" s="2196"/>
      <c r="AL28" s="2196"/>
      <c r="AM28" s="2196"/>
      <c r="AN28" s="2197"/>
      <c r="AO28" s="2196"/>
      <c r="AP28" s="2196"/>
      <c r="AQ28" s="2196"/>
      <c r="AR28" s="2197"/>
      <c r="AS28" s="2196"/>
      <c r="AT28" s="2196"/>
      <c r="AU28" s="2196"/>
      <c r="AV28" s="2197"/>
      <c r="AW28" s="2215"/>
      <c r="AX28" s="2215"/>
      <c r="AY28" s="2215"/>
      <c r="AZ28" s="2197"/>
      <c r="BA28" s="2196"/>
      <c r="BB28" s="2196"/>
      <c r="BC28" s="2196"/>
      <c r="BD28" s="2197"/>
      <c r="BE28" s="2196"/>
      <c r="BF28" s="2196"/>
      <c r="BG28" s="2196"/>
      <c r="BH28" s="2197"/>
      <c r="BI28" s="2207"/>
      <c r="BJ28" s="2208"/>
      <c r="BK28" s="2208"/>
      <c r="BL28" s="2198"/>
      <c r="BM28" s="2207"/>
      <c r="BN28" s="2208"/>
      <c r="BO28" s="2208"/>
      <c r="BP28" s="2198"/>
      <c r="BQ28" s="2196"/>
      <c r="BR28" s="2196"/>
      <c r="BS28" s="2196"/>
      <c r="BT28" s="2197"/>
      <c r="BU28" s="2196"/>
      <c r="BV28" s="2196"/>
      <c r="BW28" s="2196"/>
      <c r="BX28" s="2197"/>
      <c r="BY28" s="2196"/>
      <c r="BZ28" s="2196"/>
      <c r="CA28" s="2196"/>
      <c r="CB28" s="2197"/>
      <c r="CC28" s="2196"/>
      <c r="CD28" s="2196"/>
      <c r="CE28" s="2196"/>
      <c r="CF28" s="2197"/>
      <c r="CG28" s="1412"/>
      <c r="CH28" s="1414"/>
      <c r="CI28" s="34"/>
      <c r="CJ28" s="2196"/>
      <c r="CK28" s="2196"/>
      <c r="CL28" s="2196"/>
      <c r="CM28" s="2196"/>
      <c r="CN28" s="2196"/>
      <c r="CO28" s="2196"/>
      <c r="CP28" s="2196"/>
      <c r="CQ28" s="2196"/>
      <c r="CR28" s="2196"/>
      <c r="CS28" s="2196"/>
      <c r="CT28" s="1957"/>
      <c r="CU28" s="2196"/>
      <c r="CV28" s="2196"/>
      <c r="CW28" s="2196"/>
      <c r="CX28" s="2196"/>
      <c r="CY28" s="2196"/>
      <c r="CZ28" s="2196"/>
      <c r="DA28" s="2196"/>
      <c r="DB28" s="2196"/>
      <c r="DC28" s="2196"/>
      <c r="DD28" s="2196"/>
      <c r="DE28" s="2196"/>
      <c r="DF28" s="2197"/>
      <c r="DG28" s="945"/>
      <c r="DH28" s="945"/>
    </row>
    <row r="29" spans="1:119" s="554" customFormat="1" ht="11.25" customHeight="1">
      <c r="A29" s="556"/>
      <c r="B29"/>
      <c r="C29"/>
      <c r="D29"/>
      <c r="E29"/>
      <c r="F29"/>
      <c r="G29"/>
      <c r="H29" s="1048"/>
      <c r="I29" s="576" t="s">
        <v>142</v>
      </c>
      <c r="J29" s="550"/>
      <c r="K29" s="550"/>
      <c r="L29" s="547"/>
      <c r="M29" s="548"/>
      <c r="N29" s="548"/>
      <c r="O29" s="548"/>
      <c r="P29" s="2056"/>
      <c r="Q29" s="548"/>
      <c r="R29" s="548"/>
      <c r="S29" s="548"/>
      <c r="T29" s="2056"/>
      <c r="U29" s="2057"/>
      <c r="V29" s="2057"/>
      <c r="W29" s="2057"/>
      <c r="X29" s="2058"/>
      <c r="Y29" s="2057"/>
      <c r="Z29" s="2057"/>
      <c r="AA29" s="2057"/>
      <c r="AB29" s="2058"/>
      <c r="AC29" s="2057"/>
      <c r="AD29" s="2057"/>
      <c r="AE29" s="2057"/>
      <c r="AF29" s="2058"/>
      <c r="AG29" s="2057">
        <f t="shared" ref="AG29:BL29" si="35">+AG15-AG27</f>
        <v>40.754999999999995</v>
      </c>
      <c r="AH29" s="2057">
        <f t="shared" si="35"/>
        <v>48.676999999999992</v>
      </c>
      <c r="AI29" s="2057">
        <f t="shared" si="35"/>
        <v>47.411000000000001</v>
      </c>
      <c r="AJ29" s="2058">
        <f t="shared" si="35"/>
        <v>44.094999999999999</v>
      </c>
      <c r="AK29" s="2057">
        <f t="shared" si="35"/>
        <v>48.460999999999984</v>
      </c>
      <c r="AL29" s="2057">
        <f t="shared" si="35"/>
        <v>53.921999999999969</v>
      </c>
      <c r="AM29" s="2057">
        <f t="shared" si="35"/>
        <v>60.255000000000024</v>
      </c>
      <c r="AN29" s="2058">
        <f t="shared" si="35"/>
        <v>51.992000000000019</v>
      </c>
      <c r="AO29" s="2057">
        <f t="shared" si="35"/>
        <v>67.081999999999994</v>
      </c>
      <c r="AP29" s="2057">
        <f t="shared" si="35"/>
        <v>75.979000000000042</v>
      </c>
      <c r="AQ29" s="2057">
        <f t="shared" si="35"/>
        <v>78.425999999999988</v>
      </c>
      <c r="AR29" s="2058">
        <f t="shared" si="35"/>
        <v>67.839999999999975</v>
      </c>
      <c r="AS29" s="2057">
        <f t="shared" si="35"/>
        <v>83.305999999999983</v>
      </c>
      <c r="AT29" s="2057">
        <f t="shared" si="35"/>
        <v>94.319000000000017</v>
      </c>
      <c r="AU29" s="2057">
        <f t="shared" si="35"/>
        <v>103.66000000000003</v>
      </c>
      <c r="AV29" s="2058">
        <f t="shared" si="35"/>
        <v>88.842999999999989</v>
      </c>
      <c r="AW29" s="2057">
        <f t="shared" si="35"/>
        <v>102.98699999999997</v>
      </c>
      <c r="AX29" s="2057">
        <f t="shared" si="35"/>
        <v>125.41399999999993</v>
      </c>
      <c r="AY29" s="2057">
        <f t="shared" si="35"/>
        <v>160.92399999999998</v>
      </c>
      <c r="AZ29" s="2058">
        <f t="shared" si="35"/>
        <v>131.08399999999997</v>
      </c>
      <c r="BA29" s="2057">
        <f t="shared" si="35"/>
        <v>151.29199999999997</v>
      </c>
      <c r="BB29" s="2057">
        <f t="shared" si="35"/>
        <v>177.041</v>
      </c>
      <c r="BC29" s="2057">
        <f t="shared" si="35"/>
        <v>220.57400000000001</v>
      </c>
      <c r="BD29" s="2058">
        <f t="shared" si="35"/>
        <v>179.79600000000005</v>
      </c>
      <c r="BE29" s="2057">
        <f t="shared" si="35"/>
        <v>202.45</v>
      </c>
      <c r="BF29" s="2057">
        <f t="shared" si="35"/>
        <v>228.40699999999998</v>
      </c>
      <c r="BG29" s="2057">
        <f t="shared" si="35"/>
        <v>275.16000000000003</v>
      </c>
      <c r="BH29" s="2058">
        <f t="shared" si="35"/>
        <v>221.46000000000004</v>
      </c>
      <c r="BI29" s="2059">
        <f t="shared" si="35"/>
        <v>236.21699999999998</v>
      </c>
      <c r="BJ29" s="2057">
        <f t="shared" si="35"/>
        <v>283.84100000000007</v>
      </c>
      <c r="BK29" s="2057">
        <f t="shared" si="35"/>
        <v>340.06599999999997</v>
      </c>
      <c r="BL29" s="2058">
        <f t="shared" si="35"/>
        <v>273.92999999999995</v>
      </c>
      <c r="BM29" s="2059">
        <f t="shared" ref="BM29:CF29" si="36">+BM15-BM27</f>
        <v>291.66700000000003</v>
      </c>
      <c r="BN29" s="2057">
        <f t="shared" si="36"/>
        <v>326.67400000000004</v>
      </c>
      <c r="BO29" s="2057">
        <f t="shared" si="36"/>
        <v>397.01599999999996</v>
      </c>
      <c r="BP29" s="2058">
        <f t="shared" si="36"/>
        <v>312.85599999999999</v>
      </c>
      <c r="BQ29" s="2057">
        <f>+BQ15-BQ27</f>
        <v>326.21699999999998</v>
      </c>
      <c r="BR29" s="2057">
        <f t="shared" si="36"/>
        <v>358.52200000000005</v>
      </c>
      <c r="BS29" s="2057">
        <f t="shared" si="36"/>
        <v>440.88400000000001</v>
      </c>
      <c r="BT29" s="2058">
        <f t="shared" si="36"/>
        <v>325.16999999999996</v>
      </c>
      <c r="BU29" s="2057">
        <f t="shared" si="36"/>
        <v>341.36299999999994</v>
      </c>
      <c r="BV29" s="2057">
        <f t="shared" si="36"/>
        <v>391.78299999999996</v>
      </c>
      <c r="BW29" s="2057">
        <f t="shared" si="36"/>
        <v>518.80099999999993</v>
      </c>
      <c r="BX29" s="2058">
        <f t="shared" si="36"/>
        <v>367.74399999999997</v>
      </c>
      <c r="BY29" s="2057">
        <f t="shared" si="36"/>
        <v>356.87600000000003</v>
      </c>
      <c r="BZ29" s="2057">
        <f t="shared" si="36"/>
        <v>425.39099999999996</v>
      </c>
      <c r="CA29" s="2057">
        <f t="shared" si="36"/>
        <v>624.81299999999999</v>
      </c>
      <c r="CB29" s="2058">
        <f t="shared" ref="CB29" si="37">+CB15-CB27</f>
        <v>475.40000000000003</v>
      </c>
      <c r="CC29" s="2057">
        <f t="shared" si="36"/>
        <v>402.91885169647503</v>
      </c>
      <c r="CD29" s="2057">
        <f t="shared" si="36"/>
        <v>479.15095407594436</v>
      </c>
      <c r="CE29" s="2057">
        <f t="shared" si="36"/>
        <v>681.92477639055073</v>
      </c>
      <c r="CF29" s="2058">
        <f t="shared" si="36"/>
        <v>530.43401701640141</v>
      </c>
      <c r="CG29" s="2056"/>
      <c r="CH29" s="2060"/>
      <c r="CI29" s="548"/>
      <c r="CJ29" s="2057"/>
      <c r="CK29" s="2057"/>
      <c r="CL29" s="2057"/>
      <c r="CM29" s="2057">
        <f t="shared" ref="CM29:CX29" si="38">+CM15-CM27</f>
        <v>180.93799999999999</v>
      </c>
      <c r="CN29" s="2057">
        <f t="shared" si="38"/>
        <v>214.62999999999988</v>
      </c>
      <c r="CO29" s="2057">
        <f t="shared" si="38"/>
        <v>289.32700000000011</v>
      </c>
      <c r="CP29" s="2057">
        <f t="shared" si="38"/>
        <v>370.12799999999993</v>
      </c>
      <c r="CQ29" s="2057">
        <f t="shared" si="38"/>
        <v>520.40899999999988</v>
      </c>
      <c r="CR29" s="2057">
        <f t="shared" si="38"/>
        <v>728.70299999999997</v>
      </c>
      <c r="CS29" s="2057">
        <f t="shared" si="38"/>
        <v>927.47699999999986</v>
      </c>
      <c r="CT29" s="2057">
        <f t="shared" si="38"/>
        <v>1134.0540000000001</v>
      </c>
      <c r="CU29" s="2057">
        <f>+CU15-CU27</f>
        <v>1328.2130000000002</v>
      </c>
      <c r="CV29" s="2057">
        <f t="shared" si="38"/>
        <v>1450.7930000000006</v>
      </c>
      <c r="CW29" s="2057">
        <f t="shared" si="38"/>
        <v>1619.6909999999996</v>
      </c>
      <c r="CX29" s="2057">
        <f t="shared" si="38"/>
        <v>1882.4800000000002</v>
      </c>
      <c r="CY29" s="2057">
        <f t="shared" ref="CY29:DF29" si="39">+CY15-CY27</f>
        <v>2094.4285991793713</v>
      </c>
      <c r="CZ29" s="2057">
        <f t="shared" si="39"/>
        <v>2303.6453161613435</v>
      </c>
      <c r="DA29" s="2057">
        <f t="shared" si="39"/>
        <v>2498.7562159654708</v>
      </c>
      <c r="DB29" s="2057">
        <f t="shared" si="39"/>
        <v>2679.6716165779399</v>
      </c>
      <c r="DC29" s="2057">
        <f t="shared" si="39"/>
        <v>2844.1822110585767</v>
      </c>
      <c r="DD29" s="2057">
        <f t="shared" si="39"/>
        <v>3017.7449015546522</v>
      </c>
      <c r="DE29" s="2057">
        <f t="shared" si="39"/>
        <v>3201.2545012022711</v>
      </c>
      <c r="DF29" s="2058">
        <f t="shared" si="39"/>
        <v>3398.9177418498971</v>
      </c>
      <c r="DG29" s="1491">
        <f>+(CV29/CQ29)^(1/5)-1</f>
        <v>0.22758657572184804</v>
      </c>
      <c r="DH29" s="1491">
        <f>+(DA29/CV29)^(1/5)-1</f>
        <v>0.11486860865119608</v>
      </c>
    </row>
    <row r="30" spans="1:119" s="26" customFormat="1" ht="11.25" customHeight="1">
      <c r="A30" s="12"/>
      <c r="B30"/>
      <c r="C30"/>
      <c r="D30"/>
      <c r="E30"/>
      <c r="F30"/>
      <c r="G30"/>
      <c r="H30" s="1048"/>
      <c r="I30" s="168"/>
      <c r="J30" s="45"/>
      <c r="K30" s="45"/>
      <c r="L30" s="24"/>
      <c r="M30" s="34"/>
      <c r="N30" s="34"/>
      <c r="O30" s="34"/>
      <c r="P30" s="1412"/>
      <c r="Q30" s="34"/>
      <c r="R30" s="34"/>
      <c r="S30" s="34"/>
      <c r="T30" s="1412"/>
      <c r="U30" s="2196"/>
      <c r="V30" s="2196"/>
      <c r="W30" s="2196"/>
      <c r="X30" s="2197"/>
      <c r="Y30" s="2196"/>
      <c r="Z30" s="2196"/>
      <c r="AA30" s="2196"/>
      <c r="AB30" s="2197"/>
      <c r="AC30" s="2196"/>
      <c r="AD30" s="2196"/>
      <c r="AE30" s="2196"/>
      <c r="AF30" s="2197"/>
      <c r="AG30" s="2196"/>
      <c r="AH30" s="2196"/>
      <c r="AI30" s="2196"/>
      <c r="AJ30" s="2197"/>
      <c r="AK30" s="2196"/>
      <c r="AL30" s="2196"/>
      <c r="AM30" s="2196"/>
      <c r="AN30" s="2197"/>
      <c r="AO30" s="2196"/>
      <c r="AP30" s="2196"/>
      <c r="AQ30" s="2196"/>
      <c r="AR30" s="2197"/>
      <c r="AS30" s="2196"/>
      <c r="AT30" s="2196"/>
      <c r="AU30" s="2196"/>
      <c r="AV30" s="2197"/>
      <c r="AW30" s="2196"/>
      <c r="AX30" s="2196"/>
      <c r="AY30" s="2196"/>
      <c r="AZ30" s="1977"/>
      <c r="BA30" s="2196"/>
      <c r="BB30" s="2216"/>
      <c r="BC30" s="2196"/>
      <c r="BD30" s="1977"/>
      <c r="BE30" s="2196"/>
      <c r="BF30" s="2196"/>
      <c r="BG30" s="2196"/>
      <c r="BH30" s="2197"/>
      <c r="BI30" s="1970"/>
      <c r="BJ30" s="1957"/>
      <c r="BK30" s="1957"/>
      <c r="BL30" s="1958"/>
      <c r="BM30" s="1970"/>
      <c r="BN30" s="1957"/>
      <c r="BO30" s="1957"/>
      <c r="BP30" s="1958"/>
      <c r="BQ30" s="1957"/>
      <c r="BR30" s="1957"/>
      <c r="BS30" s="1957"/>
      <c r="BT30" s="1958"/>
      <c r="BU30" s="2196"/>
      <c r="BV30" s="2196"/>
      <c r="BW30" s="2196"/>
      <c r="BX30" s="2197"/>
      <c r="BY30" s="2196"/>
      <c r="BZ30" s="2196"/>
      <c r="CA30" s="2196"/>
      <c r="CB30" s="2197"/>
      <c r="CC30" s="2196"/>
      <c r="CD30" s="2196"/>
      <c r="CE30" s="2196"/>
      <c r="CF30" s="2197"/>
      <c r="CG30" s="1412"/>
      <c r="CH30" s="1414"/>
      <c r="CI30" s="34"/>
      <c r="CJ30" s="2196"/>
      <c r="CK30" s="2196"/>
      <c r="CL30" s="2196"/>
      <c r="CM30" s="2196"/>
      <c r="CN30" s="2196"/>
      <c r="CO30" s="2196"/>
      <c r="CP30" s="2196"/>
      <c r="CQ30" s="2196"/>
      <c r="CR30" s="2217"/>
      <c r="CS30" s="1957"/>
      <c r="CT30" s="1957"/>
      <c r="CU30" s="1957"/>
      <c r="CV30" s="1957"/>
      <c r="CW30" s="2196"/>
      <c r="CX30" s="2196"/>
      <c r="CY30" s="2196"/>
      <c r="CZ30" s="2196"/>
      <c r="DA30" s="2196"/>
      <c r="DB30" s="2196"/>
      <c r="DC30" s="2196"/>
      <c r="DD30" s="2196"/>
      <c r="DE30" s="2196"/>
      <c r="DF30" s="2197"/>
      <c r="DG30" s="1496"/>
      <c r="DH30" s="1496"/>
      <c r="DI30" s="1702"/>
    </row>
    <row r="31" spans="1:119" s="584" customFormat="1" ht="11.25" customHeight="1">
      <c r="A31" s="568"/>
      <c r="B31"/>
      <c r="C31"/>
      <c r="D31"/>
      <c r="E31"/>
      <c r="F31"/>
      <c r="G31"/>
      <c r="H31" s="1049"/>
      <c r="I31" s="579" t="s">
        <v>143</v>
      </c>
      <c r="J31" s="580"/>
      <c r="K31" s="580"/>
      <c r="L31" s="542"/>
      <c r="M31" s="543"/>
      <c r="N31" s="543"/>
      <c r="O31" s="543"/>
      <c r="P31" s="1003"/>
      <c r="Q31" s="543"/>
      <c r="R31" s="543"/>
      <c r="S31" s="543"/>
      <c r="T31" s="1003"/>
      <c r="U31" s="1931"/>
      <c r="V31" s="1931"/>
      <c r="W31" s="1931"/>
      <c r="X31" s="1930"/>
      <c r="Y31" s="1931"/>
      <c r="Z31" s="1931"/>
      <c r="AA31" s="1931"/>
      <c r="AB31" s="1930"/>
      <c r="AC31" s="1931"/>
      <c r="AD31" s="1931"/>
      <c r="AE31" s="1931"/>
      <c r="AF31" s="1930"/>
      <c r="AG31" s="1931">
        <f t="shared" ref="AG31:BI31" si="40">+AG21-AG27</f>
        <v>72.230999999999995</v>
      </c>
      <c r="AH31" s="1931">
        <f t="shared" si="40"/>
        <v>105.804</v>
      </c>
      <c r="AI31" s="1931">
        <f t="shared" si="40"/>
        <v>122.32000000000002</v>
      </c>
      <c r="AJ31" s="1930">
        <f t="shared" si="40"/>
        <v>99.516999999999967</v>
      </c>
      <c r="AK31" s="1931">
        <f t="shared" si="40"/>
        <v>103.83900000000003</v>
      </c>
      <c r="AL31" s="1931">
        <f t="shared" si="40"/>
        <v>154.89299999999994</v>
      </c>
      <c r="AM31" s="1931">
        <f t="shared" si="40"/>
        <v>202.33099999999999</v>
      </c>
      <c r="AN31" s="1930">
        <f t="shared" si="40"/>
        <v>160.15200000000002</v>
      </c>
      <c r="AO31" s="1931">
        <f t="shared" si="40"/>
        <v>181.10300000000001</v>
      </c>
      <c r="AP31" s="1931">
        <f t="shared" si="40"/>
        <v>253.72500000000002</v>
      </c>
      <c r="AQ31" s="1931">
        <f t="shared" si="40"/>
        <v>316.07800000000003</v>
      </c>
      <c r="AR31" s="1930">
        <f t="shared" si="40"/>
        <v>205.065</v>
      </c>
      <c r="AS31" s="1931">
        <f t="shared" si="40"/>
        <v>208.32999999999998</v>
      </c>
      <c r="AT31" s="1931">
        <f t="shared" si="40"/>
        <v>305.238</v>
      </c>
      <c r="AU31" s="1931">
        <f t="shared" si="40"/>
        <v>434.00599999999997</v>
      </c>
      <c r="AV31" s="1930">
        <f t="shared" si="40"/>
        <v>313.18900000000008</v>
      </c>
      <c r="AW31" s="1931">
        <f t="shared" si="40"/>
        <v>319.11599999999987</v>
      </c>
      <c r="AX31" s="1931">
        <f t="shared" si="40"/>
        <v>446.18399999999991</v>
      </c>
      <c r="AY31" s="1931">
        <f t="shared" si="40"/>
        <v>668.20799999999986</v>
      </c>
      <c r="AZ31" s="1930">
        <f t="shared" si="40"/>
        <v>480.16600000000005</v>
      </c>
      <c r="BA31" s="1931">
        <f t="shared" si="40"/>
        <v>505.80800000000005</v>
      </c>
      <c r="BB31" s="1931">
        <f t="shared" si="40"/>
        <v>749.22700000000009</v>
      </c>
      <c r="BC31" s="1931">
        <f t="shared" si="40"/>
        <v>1100.1480000000001</v>
      </c>
      <c r="BD31" s="1930">
        <f t="shared" si="40"/>
        <v>724.697</v>
      </c>
      <c r="BE31" s="1931">
        <f t="shared" si="40"/>
        <v>743.28800000000001</v>
      </c>
      <c r="BF31" s="1931">
        <f t="shared" si="40"/>
        <v>1004.1420000000001</v>
      </c>
      <c r="BG31" s="1931">
        <f t="shared" si="40"/>
        <v>1396.501</v>
      </c>
      <c r="BH31" s="1930">
        <f t="shared" si="40"/>
        <v>939.75000000000011</v>
      </c>
      <c r="BI31" s="2054">
        <f t="shared" si="40"/>
        <v>1009.665</v>
      </c>
      <c r="BJ31" s="1931">
        <f t="shared" ref="BJ31:CF31" si="41">+BJ39-BJ36-BJ37</f>
        <v>1355.739024</v>
      </c>
      <c r="BK31" s="1931">
        <f t="shared" si="41"/>
        <v>1926.2224549999999</v>
      </c>
      <c r="BL31" s="1930">
        <f t="shared" si="41"/>
        <v>1282.5545</v>
      </c>
      <c r="BM31" s="2054">
        <f t="shared" si="41"/>
        <v>1340.8427750000003</v>
      </c>
      <c r="BN31" s="1931">
        <f t="shared" si="41"/>
        <v>1816.0552104999999</v>
      </c>
      <c r="BO31" s="1931">
        <f t="shared" si="41"/>
        <v>2506.5090732500003</v>
      </c>
      <c r="BP31" s="1930">
        <f>+BP39-BP36-BP37</f>
        <v>1557.3265249999999</v>
      </c>
      <c r="BQ31" s="1931">
        <f>+BQ39-BQ36-BQ37</f>
        <v>1538.132388</v>
      </c>
      <c r="BR31" s="1931">
        <f t="shared" si="41"/>
        <v>1955.7323157599999</v>
      </c>
      <c r="BS31" s="1931">
        <f>+BS39-BS36-BS37</f>
        <v>2801.5408020399996</v>
      </c>
      <c r="BT31" s="1930">
        <f t="shared" si="41"/>
        <v>1741.3215079999998</v>
      </c>
      <c r="BU31" s="1931">
        <f t="shared" si="41"/>
        <v>1869.0011351599996</v>
      </c>
      <c r="BV31" s="1931">
        <f t="shared" si="41"/>
        <v>2274.9961578632001</v>
      </c>
      <c r="BW31" s="1931">
        <f>+BW39-BW36-BW37</f>
        <v>3428.2559181828001</v>
      </c>
      <c r="BX31" s="1930">
        <f>+BX39-BX36-BX37</f>
        <v>2123.1242035599998</v>
      </c>
      <c r="BY31" s="1931">
        <f>+BY39-BY36-BY37</f>
        <v>2171.2376919180001</v>
      </c>
      <c r="BZ31" s="1931">
        <f t="shared" si="41"/>
        <v>2784.0290657563596</v>
      </c>
      <c r="CA31" s="1931">
        <f>+CA39-CA36-CA37</f>
        <v>4200.5115640919394</v>
      </c>
      <c r="CB31" s="1930">
        <f>+CB39-CB36-CB37</f>
        <v>2603.2133637379998</v>
      </c>
      <c r="CC31" s="1931">
        <f t="shared" si="41"/>
        <v>2622.3147896612131</v>
      </c>
      <c r="CD31" s="1931">
        <f t="shared" si="41"/>
        <v>3381.8349539302949</v>
      </c>
      <c r="CE31" s="1931">
        <f t="shared" si="41"/>
        <v>4817.5122505569525</v>
      </c>
      <c r="CF31" s="1930">
        <f t="shared" si="41"/>
        <v>3198.0596148848317</v>
      </c>
      <c r="CG31" s="1003"/>
      <c r="CH31" s="1006"/>
      <c r="CI31" s="543"/>
      <c r="CJ31" s="1931">
        <f>+CJ39</f>
        <v>145.94499999999999</v>
      </c>
      <c r="CK31" s="1931">
        <f>+CK39</f>
        <v>201.13900000000001</v>
      </c>
      <c r="CL31" s="1931">
        <f>+CL39</f>
        <v>269.85000000000002</v>
      </c>
      <c r="CM31" s="1931">
        <f t="shared" ref="CM31:CS31" si="42">+CM21-CM27</f>
        <v>399.87200000000018</v>
      </c>
      <c r="CN31" s="1931">
        <f t="shared" si="42"/>
        <v>621.21499999999969</v>
      </c>
      <c r="CO31" s="1931">
        <f t="shared" si="42"/>
        <v>955.97100000000012</v>
      </c>
      <c r="CP31" s="1931">
        <f t="shared" si="42"/>
        <v>1260.7629999999999</v>
      </c>
      <c r="CQ31" s="1931">
        <f t="shared" si="42"/>
        <v>1913.6739999999998</v>
      </c>
      <c r="CR31" s="1931">
        <f t="shared" si="42"/>
        <v>3079.8800000000006</v>
      </c>
      <c r="CS31" s="1931">
        <f t="shared" si="42"/>
        <v>4083.6810000000009</v>
      </c>
      <c r="CT31" s="1931">
        <f t="shared" ref="CT31:DF31" si="43">+CT39-CT36-CT37</f>
        <v>5574.1809790000007</v>
      </c>
      <c r="CU31" s="1931">
        <f t="shared" si="43"/>
        <v>7220.7335837499995</v>
      </c>
      <c r="CV31" s="1931">
        <f t="shared" si="43"/>
        <v>8036.7270137999994</v>
      </c>
      <c r="CW31" s="1931">
        <f t="shared" si="43"/>
        <v>9695.3774147659988</v>
      </c>
      <c r="CX31" s="1931">
        <f t="shared" si="43"/>
        <v>11758.991685504297</v>
      </c>
      <c r="CY31" s="1931">
        <f t="shared" si="43"/>
        <v>14019.721609033291</v>
      </c>
      <c r="CZ31" s="1931">
        <f t="shared" si="43"/>
        <v>16019.972777621497</v>
      </c>
      <c r="DA31" s="1931">
        <f t="shared" si="43"/>
        <v>18001.64423030346</v>
      </c>
      <c r="DB31" s="1931">
        <f t="shared" si="43"/>
        <v>19902.876247349792</v>
      </c>
      <c r="DC31" s="1931">
        <f t="shared" si="43"/>
        <v>21752.543403981581</v>
      </c>
      <c r="DD31" s="1931">
        <f t="shared" si="43"/>
        <v>23570.147492065516</v>
      </c>
      <c r="DE31" s="1931">
        <f t="shared" si="43"/>
        <v>25338.920266873909</v>
      </c>
      <c r="DF31" s="1930">
        <f t="shared" si="43"/>
        <v>27245.911412234567</v>
      </c>
      <c r="DG31" s="1489">
        <f>+(CV31/CQ31)^(1/5)-1</f>
        <v>0.33242340279632177</v>
      </c>
      <c r="DH31" s="1489">
        <f>+(DA31/CV31)^(1/5)-1</f>
        <v>0.17502360584598065</v>
      </c>
    </row>
    <row r="32" spans="1:119" s="51" customFormat="1" ht="11.25" customHeight="1">
      <c r="A32" s="296"/>
      <c r="B32"/>
      <c r="C32"/>
      <c r="D32"/>
      <c r="E32"/>
      <c r="F32"/>
      <c r="G32"/>
      <c r="H32" s="1048"/>
      <c r="I32" s="259" t="s">
        <v>376</v>
      </c>
      <c r="J32" s="82"/>
      <c r="K32" s="82"/>
      <c r="L32" s="82"/>
      <c r="M32" s="292"/>
      <c r="N32" s="292"/>
      <c r="O32" s="292"/>
      <c r="P32" s="1007"/>
      <c r="Q32" s="292"/>
      <c r="R32" s="292"/>
      <c r="S32" s="292"/>
      <c r="T32" s="1007"/>
      <c r="U32" s="1957"/>
      <c r="V32" s="1957"/>
      <c r="W32" s="1957"/>
      <c r="X32" s="1958"/>
      <c r="Y32" s="1957"/>
      <c r="Z32" s="1957"/>
      <c r="AA32" s="1957"/>
      <c r="AB32" s="1958"/>
      <c r="AC32" s="1957"/>
      <c r="AD32" s="1957"/>
      <c r="AE32" s="1957"/>
      <c r="AF32" s="1958"/>
      <c r="AG32" s="1957"/>
      <c r="AH32" s="1957"/>
      <c r="AI32" s="1957"/>
      <c r="AJ32" s="1958"/>
      <c r="AK32" s="1957">
        <f t="shared" ref="AK32:CF32" si="44">+AK31/AG31-1</f>
        <v>0.43759604601902269</v>
      </c>
      <c r="AL32" s="1957">
        <f t="shared" si="44"/>
        <v>0.46396166496540725</v>
      </c>
      <c r="AM32" s="1957">
        <f t="shared" si="44"/>
        <v>0.65411216481360324</v>
      </c>
      <c r="AN32" s="1958">
        <f t="shared" si="44"/>
        <v>0.60929288463277698</v>
      </c>
      <c r="AO32" s="1957">
        <f t="shared" si="44"/>
        <v>0.74407496220109937</v>
      </c>
      <c r="AP32" s="1957">
        <f t="shared" si="44"/>
        <v>0.63806627801127314</v>
      </c>
      <c r="AQ32" s="1957">
        <f t="shared" si="44"/>
        <v>0.56218275993298139</v>
      </c>
      <c r="AR32" s="1958">
        <f t="shared" si="44"/>
        <v>0.28043983215944834</v>
      </c>
      <c r="AS32" s="1957">
        <f t="shared" si="44"/>
        <v>0.15033986184657344</v>
      </c>
      <c r="AT32" s="1957">
        <f t="shared" si="44"/>
        <v>0.20302689920189176</v>
      </c>
      <c r="AU32" s="1957">
        <f t="shared" si="44"/>
        <v>0.37309777966198188</v>
      </c>
      <c r="AV32" s="1958">
        <f t="shared" si="44"/>
        <v>0.52726696413332408</v>
      </c>
      <c r="AW32" s="1957">
        <f t="shared" si="44"/>
        <v>0.53178130850093552</v>
      </c>
      <c r="AX32" s="1957">
        <f t="shared" si="44"/>
        <v>0.46175771037682045</v>
      </c>
      <c r="AY32" s="1957">
        <f t="shared" si="44"/>
        <v>0.53962848439883304</v>
      </c>
      <c r="AZ32" s="1958">
        <f t="shared" si="44"/>
        <v>0.53315090887610972</v>
      </c>
      <c r="BA32" s="1957">
        <f t="shared" si="44"/>
        <v>0.5850286416224828</v>
      </c>
      <c r="BB32" s="1957">
        <f t="shared" si="44"/>
        <v>0.67918840657665958</v>
      </c>
      <c r="BC32" s="1957">
        <f t="shared" si="44"/>
        <v>0.64641548739314758</v>
      </c>
      <c r="BD32" s="1958">
        <f t="shared" si="44"/>
        <v>0.50926346305236092</v>
      </c>
      <c r="BE32" s="1957">
        <f t="shared" si="44"/>
        <v>0.46950621579729845</v>
      </c>
      <c r="BF32" s="1957">
        <f t="shared" si="44"/>
        <v>0.34023733794964661</v>
      </c>
      <c r="BG32" s="1957">
        <f t="shared" si="44"/>
        <v>0.26937557492264652</v>
      </c>
      <c r="BH32" s="1958">
        <f t="shared" si="44"/>
        <v>0.29674884813929148</v>
      </c>
      <c r="BI32" s="1970">
        <f t="shared" si="44"/>
        <v>0.35837656466941481</v>
      </c>
      <c r="BJ32" s="1957">
        <f t="shared" si="44"/>
        <v>0.35014671630108074</v>
      </c>
      <c r="BK32" s="1957">
        <f t="shared" si="44"/>
        <v>0.37932049815932811</v>
      </c>
      <c r="BL32" s="1958">
        <f t="shared" si="44"/>
        <v>0.3647826549614257</v>
      </c>
      <c r="BM32" s="1970">
        <f t="shared" si="44"/>
        <v>0.32800758172265088</v>
      </c>
      <c r="BN32" s="1957">
        <f t="shared" si="44"/>
        <v>0.33953156053727351</v>
      </c>
      <c r="BO32" s="1957">
        <f t="shared" si="44"/>
        <v>0.30125628363625334</v>
      </c>
      <c r="BP32" s="1958">
        <f t="shared" si="44"/>
        <v>0.21423808890772289</v>
      </c>
      <c r="BQ32" s="1957">
        <f t="shared" si="44"/>
        <v>0.14713851368591646</v>
      </c>
      <c r="BR32" s="1957">
        <f t="shared" si="44"/>
        <v>7.6912367230038026E-2</v>
      </c>
      <c r="BS32" s="1957">
        <f t="shared" si="44"/>
        <v>0.11770622813164366</v>
      </c>
      <c r="BT32" s="1958">
        <f t="shared" si="44"/>
        <v>0.11814797991705683</v>
      </c>
      <c r="BU32" s="1957">
        <f t="shared" si="44"/>
        <v>0.21511070811675781</v>
      </c>
      <c r="BV32" s="1957">
        <f t="shared" si="44"/>
        <v>0.16324516373250897</v>
      </c>
      <c r="BW32" s="1957">
        <f t="shared" si="44"/>
        <v>0.22370372606618649</v>
      </c>
      <c r="BX32" s="1958">
        <f t="shared" si="44"/>
        <v>0.219260311094716</v>
      </c>
      <c r="BY32" s="1957">
        <f t="shared" si="44"/>
        <v>0.16171020502463573</v>
      </c>
      <c r="BZ32" s="1957">
        <f t="shared" si="44"/>
        <v>0.22375110662660225</v>
      </c>
      <c r="CA32" s="1957">
        <f t="shared" si="44"/>
        <v>0.22526195953261419</v>
      </c>
      <c r="CB32" s="1958">
        <f t="shared" si="44"/>
        <v>0.22612391652499597</v>
      </c>
      <c r="CC32" s="1957">
        <f t="shared" si="44"/>
        <v>0.2077511363321749</v>
      </c>
      <c r="CD32" s="1957">
        <f t="shared" si="44"/>
        <v>0.2147268846891599</v>
      </c>
      <c r="CE32" s="1957">
        <f t="shared" si="44"/>
        <v>0.14688703436491912</v>
      </c>
      <c r="CF32" s="1958">
        <f t="shared" si="44"/>
        <v>0.22850460873967005</v>
      </c>
      <c r="CG32" s="1007"/>
      <c r="CH32" s="1010"/>
      <c r="CI32" s="292"/>
      <c r="CJ32" s="1957"/>
      <c r="CK32" s="1957"/>
      <c r="CL32" s="1957"/>
      <c r="CM32" s="1957"/>
      <c r="CN32" s="1957">
        <f t="shared" ref="CN32:CX32" si="45">+CN31/CM31-1</f>
        <v>0.55353463108194467</v>
      </c>
      <c r="CO32" s="1957">
        <f t="shared" si="45"/>
        <v>0.53887301497871198</v>
      </c>
      <c r="CP32" s="1957">
        <f t="shared" si="45"/>
        <v>0.31882975529592406</v>
      </c>
      <c r="CQ32" s="1957">
        <f t="shared" si="45"/>
        <v>0.51786973443858986</v>
      </c>
      <c r="CR32" s="1957">
        <f t="shared" si="45"/>
        <v>0.60940682686810876</v>
      </c>
      <c r="CS32" s="1957">
        <f t="shared" si="45"/>
        <v>0.32592211384859149</v>
      </c>
      <c r="CT32" s="1957">
        <f t="shared" si="45"/>
        <v>0.3649893267862987</v>
      </c>
      <c r="CU32" s="1957">
        <f>+CU31/CT31-1</f>
        <v>0.29538915420097966</v>
      </c>
      <c r="CV32" s="1957">
        <f t="shared" si="45"/>
        <v>0.11300699860833574</v>
      </c>
      <c r="CW32" s="1957">
        <f t="shared" si="45"/>
        <v>0.20638381745677092</v>
      </c>
      <c r="CX32" s="1957">
        <f t="shared" si="45"/>
        <v>0.21284517172022888</v>
      </c>
      <c r="CY32" s="1957">
        <f t="shared" ref="CY32:DF32" si="46">+CY31/CX31-1</f>
        <v>0.19225542325332801</v>
      </c>
      <c r="CZ32" s="1957">
        <f t="shared" si="46"/>
        <v>0.14267410041147954</v>
      </c>
      <c r="DA32" s="1957">
        <f t="shared" si="46"/>
        <v>0.12370005119173388</v>
      </c>
      <c r="DB32" s="1957">
        <f t="shared" si="46"/>
        <v>0.10561435348476955</v>
      </c>
      <c r="DC32" s="1957">
        <f t="shared" si="46"/>
        <v>9.2934666007285616E-2</v>
      </c>
      <c r="DD32" s="1957">
        <f t="shared" si="46"/>
        <v>8.3558232907662733E-2</v>
      </c>
      <c r="DE32" s="1957">
        <f t="shared" si="46"/>
        <v>7.5042923486321911E-2</v>
      </c>
      <c r="DF32" s="1958">
        <f t="shared" si="46"/>
        <v>7.5259368800086879E-2</v>
      </c>
      <c r="DG32" s="1493"/>
      <c r="DH32" s="1493"/>
    </row>
    <row r="33" spans="1:122" s="51" customFormat="1" ht="11.25" customHeight="1">
      <c r="A33" s="296"/>
      <c r="B33"/>
      <c r="C33"/>
      <c r="D33"/>
      <c r="E33"/>
      <c r="F33"/>
      <c r="G33"/>
      <c r="H33" s="1048"/>
      <c r="I33" s="199" t="s">
        <v>144</v>
      </c>
      <c r="J33" s="89"/>
      <c r="K33" s="89"/>
      <c r="L33" s="82"/>
      <c r="M33" s="292"/>
      <c r="N33" s="292"/>
      <c r="O33" s="292"/>
      <c r="P33" s="1007"/>
      <c r="Q33" s="292"/>
      <c r="R33" s="292"/>
      <c r="S33" s="292"/>
      <c r="T33" s="1007"/>
      <c r="U33" s="1957"/>
      <c r="V33" s="1957"/>
      <c r="W33" s="1957"/>
      <c r="X33" s="1958"/>
      <c r="Y33" s="1957"/>
      <c r="Z33" s="1957"/>
      <c r="AA33" s="1957"/>
      <c r="AB33" s="1958"/>
      <c r="AC33" s="1957"/>
      <c r="AD33" s="1957"/>
      <c r="AE33" s="1957"/>
      <c r="AF33" s="1958"/>
      <c r="AG33" s="1957"/>
      <c r="AH33" s="1957"/>
      <c r="AI33" s="1957"/>
      <c r="AJ33" s="1958"/>
      <c r="AK33" s="1957">
        <f t="shared" ref="AK33:CF33" si="47">+AK32+AG32</f>
        <v>0.43759604601902269</v>
      </c>
      <c r="AL33" s="1957">
        <f t="shared" si="47"/>
        <v>0.46396166496540725</v>
      </c>
      <c r="AM33" s="1957">
        <f t="shared" si="47"/>
        <v>0.65411216481360324</v>
      </c>
      <c r="AN33" s="1958">
        <f t="shared" si="47"/>
        <v>0.60929288463277698</v>
      </c>
      <c r="AO33" s="1957">
        <f t="shared" si="47"/>
        <v>1.1816710082201221</v>
      </c>
      <c r="AP33" s="1957">
        <f t="shared" si="47"/>
        <v>1.1020279429766804</v>
      </c>
      <c r="AQ33" s="1957">
        <f t="shared" si="47"/>
        <v>1.2162949247465846</v>
      </c>
      <c r="AR33" s="1958">
        <f t="shared" si="47"/>
        <v>0.88973271679222532</v>
      </c>
      <c r="AS33" s="1957">
        <f t="shared" si="47"/>
        <v>0.89441482404767281</v>
      </c>
      <c r="AT33" s="1957">
        <f t="shared" si="47"/>
        <v>0.8410931772131649</v>
      </c>
      <c r="AU33" s="1957">
        <f t="shared" si="47"/>
        <v>0.93528053959496327</v>
      </c>
      <c r="AV33" s="1958">
        <f t="shared" si="47"/>
        <v>0.80770679629277242</v>
      </c>
      <c r="AW33" s="1957">
        <f t="shared" si="47"/>
        <v>0.68212117034750896</v>
      </c>
      <c r="AX33" s="1957">
        <f t="shared" si="47"/>
        <v>0.66478460957871222</v>
      </c>
      <c r="AY33" s="1957">
        <f t="shared" si="47"/>
        <v>0.91272626406081492</v>
      </c>
      <c r="AZ33" s="1958">
        <f t="shared" si="47"/>
        <v>1.0604178730094338</v>
      </c>
      <c r="BA33" s="1957">
        <f t="shared" si="47"/>
        <v>1.1168099501234183</v>
      </c>
      <c r="BB33" s="1957">
        <f t="shared" si="47"/>
        <v>1.14094611695348</v>
      </c>
      <c r="BC33" s="1957">
        <f t="shared" si="47"/>
        <v>1.1860439717919806</v>
      </c>
      <c r="BD33" s="1958">
        <f t="shared" si="47"/>
        <v>1.0424143719284706</v>
      </c>
      <c r="BE33" s="1957">
        <f t="shared" si="47"/>
        <v>1.0545348574197813</v>
      </c>
      <c r="BF33" s="1957">
        <f t="shared" si="47"/>
        <v>1.0194257445263062</v>
      </c>
      <c r="BG33" s="1957">
        <f t="shared" si="47"/>
        <v>0.9157910623157941</v>
      </c>
      <c r="BH33" s="1958">
        <f t="shared" si="47"/>
        <v>0.8060123111916524</v>
      </c>
      <c r="BI33" s="1970">
        <f t="shared" si="47"/>
        <v>0.82788278046671326</v>
      </c>
      <c r="BJ33" s="1957">
        <f t="shared" si="47"/>
        <v>0.69038405425072735</v>
      </c>
      <c r="BK33" s="1957">
        <f t="shared" si="47"/>
        <v>0.64869607308197463</v>
      </c>
      <c r="BL33" s="1958">
        <f t="shared" si="47"/>
        <v>0.66153150310071718</v>
      </c>
      <c r="BM33" s="1970">
        <f t="shared" si="47"/>
        <v>0.68638414639206569</v>
      </c>
      <c r="BN33" s="1957">
        <f t="shared" si="47"/>
        <v>0.68967827683835425</v>
      </c>
      <c r="BO33" s="1957">
        <f t="shared" si="47"/>
        <v>0.68057678179558145</v>
      </c>
      <c r="BP33" s="1958">
        <f t="shared" si="47"/>
        <v>0.57902074386914859</v>
      </c>
      <c r="BQ33" s="1957">
        <f t="shared" si="47"/>
        <v>0.47514609540856734</v>
      </c>
      <c r="BR33" s="1957">
        <f t="shared" si="47"/>
        <v>0.41644392776731154</v>
      </c>
      <c r="BS33" s="1957">
        <f t="shared" si="47"/>
        <v>0.41896251176789701</v>
      </c>
      <c r="BT33" s="1958">
        <f t="shared" si="47"/>
        <v>0.33238606882477972</v>
      </c>
      <c r="BU33" s="1957">
        <f t="shared" si="47"/>
        <v>0.36224922180267427</v>
      </c>
      <c r="BV33" s="1957">
        <f t="shared" si="47"/>
        <v>0.24015753096254699</v>
      </c>
      <c r="BW33" s="1957">
        <f t="shared" si="47"/>
        <v>0.34140995419783016</v>
      </c>
      <c r="BX33" s="1958">
        <f t="shared" si="47"/>
        <v>0.33740829101177283</v>
      </c>
      <c r="BY33" s="1957">
        <f t="shared" si="47"/>
        <v>0.37682091314139354</v>
      </c>
      <c r="BZ33" s="1957">
        <f t="shared" si="47"/>
        <v>0.38699627035911122</v>
      </c>
      <c r="CA33" s="1957">
        <f t="shared" si="47"/>
        <v>0.44896568559880068</v>
      </c>
      <c r="CB33" s="1958">
        <f t="shared" si="47"/>
        <v>0.44538422761971197</v>
      </c>
      <c r="CC33" s="1957">
        <f t="shared" si="47"/>
        <v>0.36946134135681064</v>
      </c>
      <c r="CD33" s="1957">
        <f t="shared" si="47"/>
        <v>0.43847799131576215</v>
      </c>
      <c r="CE33" s="1957">
        <f t="shared" si="47"/>
        <v>0.37214899389753331</v>
      </c>
      <c r="CF33" s="1958">
        <f t="shared" si="47"/>
        <v>0.45462852526466602</v>
      </c>
      <c r="CG33" s="1007"/>
      <c r="CH33" s="1010"/>
      <c r="CI33" s="292"/>
      <c r="CJ33" s="1957"/>
      <c r="CK33" s="1957"/>
      <c r="CL33" s="1957"/>
      <c r="CM33" s="1957"/>
      <c r="CN33" s="1957">
        <f t="shared" ref="CN33:CX33" si="48">+CN32+CM32</f>
        <v>0.55353463108194467</v>
      </c>
      <c r="CO33" s="1957">
        <f t="shared" si="48"/>
        <v>1.0924076460606567</v>
      </c>
      <c r="CP33" s="1957">
        <f t="shared" si="48"/>
        <v>0.85770277027463604</v>
      </c>
      <c r="CQ33" s="1957">
        <f t="shared" si="48"/>
        <v>0.83669948973451391</v>
      </c>
      <c r="CR33" s="1957">
        <f t="shared" si="48"/>
        <v>1.1272765613066986</v>
      </c>
      <c r="CS33" s="1957">
        <f t="shared" si="48"/>
        <v>0.93532894071670025</v>
      </c>
      <c r="CT33" s="1957">
        <f t="shared" si="48"/>
        <v>0.69091144063489018</v>
      </c>
      <c r="CU33" s="1957">
        <f>+CU32+CT32</f>
        <v>0.66037848098727836</v>
      </c>
      <c r="CV33" s="1957">
        <f t="shared" si="48"/>
        <v>0.4083961528093154</v>
      </c>
      <c r="CW33" s="1957">
        <f t="shared" si="48"/>
        <v>0.31939081606510666</v>
      </c>
      <c r="CX33" s="1957">
        <f t="shared" si="48"/>
        <v>0.4192289891769998</v>
      </c>
      <c r="CY33" s="1957">
        <f t="shared" ref="CY33:DF33" si="49">+CY32+CX32</f>
        <v>0.40510059497355688</v>
      </c>
      <c r="CZ33" s="1957">
        <f t="shared" si="49"/>
        <v>0.33492952366480755</v>
      </c>
      <c r="DA33" s="1957">
        <f t="shared" si="49"/>
        <v>0.26637415160321343</v>
      </c>
      <c r="DB33" s="1957">
        <f t="shared" si="49"/>
        <v>0.22931440467650344</v>
      </c>
      <c r="DC33" s="1957">
        <f t="shared" si="49"/>
        <v>0.19854901949205517</v>
      </c>
      <c r="DD33" s="1957">
        <f t="shared" si="49"/>
        <v>0.17649289891494835</v>
      </c>
      <c r="DE33" s="1957">
        <f t="shared" si="49"/>
        <v>0.15860115639398464</v>
      </c>
      <c r="DF33" s="1958">
        <f t="shared" si="49"/>
        <v>0.15030229228640879</v>
      </c>
      <c r="DG33" s="1493"/>
      <c r="DH33" s="1493"/>
    </row>
    <row r="34" spans="1:122" s="554" customFormat="1" ht="11.25" customHeight="1">
      <c r="A34" s="568"/>
      <c r="B34"/>
      <c r="C34"/>
      <c r="D34"/>
      <c r="E34"/>
      <c r="F34"/>
      <c r="G34"/>
      <c r="H34" s="1049"/>
      <c r="I34" s="555" t="s">
        <v>385</v>
      </c>
      <c r="J34" s="550"/>
      <c r="K34" s="550"/>
      <c r="L34" s="547"/>
      <c r="M34" s="548"/>
      <c r="N34" s="548"/>
      <c r="O34" s="548"/>
      <c r="P34" s="2056"/>
      <c r="Q34" s="548"/>
      <c r="R34" s="548"/>
      <c r="S34" s="548"/>
      <c r="T34" s="2056"/>
      <c r="U34" s="2057"/>
      <c r="V34" s="2057"/>
      <c r="W34" s="2057"/>
      <c r="X34" s="2058"/>
      <c r="Y34" s="2057"/>
      <c r="Z34" s="2057"/>
      <c r="AA34" s="2057"/>
      <c r="AB34" s="2058"/>
      <c r="AC34" s="2057"/>
      <c r="AD34" s="2057"/>
      <c r="AE34" s="2057"/>
      <c r="AF34" s="2058"/>
      <c r="AG34" s="2057"/>
      <c r="AH34" s="2057"/>
      <c r="AI34" s="2057"/>
      <c r="AJ34" s="2058"/>
      <c r="AK34" s="2057">
        <f t="shared" ref="AK34:CF34" si="50">+AK31-AG31</f>
        <v>31.608000000000033</v>
      </c>
      <c r="AL34" s="2057">
        <f t="shared" si="50"/>
        <v>49.088999999999942</v>
      </c>
      <c r="AM34" s="2057">
        <f t="shared" si="50"/>
        <v>80.010999999999967</v>
      </c>
      <c r="AN34" s="2058">
        <f t="shared" si="50"/>
        <v>60.635000000000048</v>
      </c>
      <c r="AO34" s="2057">
        <f t="shared" si="50"/>
        <v>77.263999999999982</v>
      </c>
      <c r="AP34" s="2057">
        <f t="shared" si="50"/>
        <v>98.832000000000079</v>
      </c>
      <c r="AQ34" s="2057">
        <f t="shared" si="50"/>
        <v>113.74700000000004</v>
      </c>
      <c r="AR34" s="2058">
        <f t="shared" si="50"/>
        <v>44.912999999999982</v>
      </c>
      <c r="AS34" s="2057">
        <f t="shared" si="50"/>
        <v>27.226999999999975</v>
      </c>
      <c r="AT34" s="2057">
        <f t="shared" si="50"/>
        <v>51.512999999999977</v>
      </c>
      <c r="AU34" s="2057">
        <f t="shared" si="50"/>
        <v>117.92799999999994</v>
      </c>
      <c r="AV34" s="2058">
        <f t="shared" si="50"/>
        <v>108.12400000000008</v>
      </c>
      <c r="AW34" s="2057">
        <f t="shared" si="50"/>
        <v>110.78599999999989</v>
      </c>
      <c r="AX34" s="2057">
        <f t="shared" si="50"/>
        <v>140.94599999999991</v>
      </c>
      <c r="AY34" s="2057">
        <f t="shared" si="50"/>
        <v>234.20199999999988</v>
      </c>
      <c r="AZ34" s="2058">
        <f t="shared" si="50"/>
        <v>166.97699999999998</v>
      </c>
      <c r="BA34" s="2057">
        <f t="shared" si="50"/>
        <v>186.69200000000018</v>
      </c>
      <c r="BB34" s="2057">
        <f t="shared" si="50"/>
        <v>303.04300000000018</v>
      </c>
      <c r="BC34" s="2057">
        <f t="shared" si="50"/>
        <v>431.94000000000028</v>
      </c>
      <c r="BD34" s="2058">
        <f t="shared" si="50"/>
        <v>244.53099999999995</v>
      </c>
      <c r="BE34" s="2057">
        <f t="shared" si="50"/>
        <v>237.47999999999996</v>
      </c>
      <c r="BF34" s="2057">
        <f t="shared" si="50"/>
        <v>254.91499999999996</v>
      </c>
      <c r="BG34" s="2057">
        <f t="shared" si="50"/>
        <v>296.35299999999984</v>
      </c>
      <c r="BH34" s="2058">
        <f t="shared" si="50"/>
        <v>215.05300000000011</v>
      </c>
      <c r="BI34" s="2059">
        <f t="shared" si="50"/>
        <v>266.37699999999995</v>
      </c>
      <c r="BJ34" s="2057">
        <f t="shared" si="50"/>
        <v>351.59702399999992</v>
      </c>
      <c r="BK34" s="2057">
        <f t="shared" si="50"/>
        <v>529.72145499999988</v>
      </c>
      <c r="BL34" s="2058">
        <f t="shared" si="50"/>
        <v>342.80449999999985</v>
      </c>
      <c r="BM34" s="2059">
        <f t="shared" si="50"/>
        <v>331.17777500000034</v>
      </c>
      <c r="BN34" s="2057">
        <f t="shared" si="50"/>
        <v>460.31618649999996</v>
      </c>
      <c r="BO34" s="2057">
        <f t="shared" si="50"/>
        <v>580.2866182500004</v>
      </c>
      <c r="BP34" s="2058">
        <f t="shared" si="50"/>
        <v>274.77202499999999</v>
      </c>
      <c r="BQ34" s="2057">
        <f t="shared" si="50"/>
        <v>197.28961299999969</v>
      </c>
      <c r="BR34" s="2057">
        <f t="shared" si="50"/>
        <v>139.67710525999996</v>
      </c>
      <c r="BS34" s="2057">
        <f t="shared" si="50"/>
        <v>295.03172878999931</v>
      </c>
      <c r="BT34" s="2058">
        <f t="shared" si="50"/>
        <v>183.99498299999982</v>
      </c>
      <c r="BU34" s="2057">
        <f t="shared" si="50"/>
        <v>330.86874715999966</v>
      </c>
      <c r="BV34" s="2057">
        <f t="shared" si="50"/>
        <v>319.2638421032002</v>
      </c>
      <c r="BW34" s="2057">
        <f>+BW31-BS31</f>
        <v>626.71511614280053</v>
      </c>
      <c r="BX34" s="2058">
        <f>+BX31-BT31</f>
        <v>381.80269556000007</v>
      </c>
      <c r="BY34" s="2057">
        <f>+BY31-BU31</f>
        <v>302.23655675800046</v>
      </c>
      <c r="BZ34" s="2057">
        <f t="shared" si="50"/>
        <v>509.03290789315952</v>
      </c>
      <c r="CA34" s="2057">
        <f t="shared" si="50"/>
        <v>772.25564590913928</v>
      </c>
      <c r="CB34" s="2058">
        <f>+CB31-BX31</f>
        <v>480.08916017799993</v>
      </c>
      <c r="CC34" s="2057">
        <f t="shared" si="50"/>
        <v>451.07709774321302</v>
      </c>
      <c r="CD34" s="2057">
        <f t="shared" si="50"/>
        <v>597.80588817393527</v>
      </c>
      <c r="CE34" s="2057">
        <f t="shared" si="50"/>
        <v>617.00068646501313</v>
      </c>
      <c r="CF34" s="2058">
        <f t="shared" si="50"/>
        <v>594.84625114683195</v>
      </c>
      <c r="CG34" s="2056"/>
      <c r="CH34" s="2060"/>
      <c r="CI34" s="548"/>
      <c r="CJ34" s="2057"/>
      <c r="CK34" s="2057"/>
      <c r="CL34" s="2057"/>
      <c r="CM34" s="2057"/>
      <c r="CN34" s="2057">
        <f t="shared" ref="CN34:CX34" si="51">+CN31-CM31</f>
        <v>221.34299999999951</v>
      </c>
      <c r="CO34" s="2057">
        <f t="shared" si="51"/>
        <v>334.75600000000043</v>
      </c>
      <c r="CP34" s="2057">
        <f t="shared" si="51"/>
        <v>304.7919999999998</v>
      </c>
      <c r="CQ34" s="2057">
        <f t="shared" si="51"/>
        <v>652.91099999999983</v>
      </c>
      <c r="CR34" s="2057">
        <f t="shared" si="51"/>
        <v>1166.2060000000008</v>
      </c>
      <c r="CS34" s="2057">
        <f t="shared" si="51"/>
        <v>1003.8010000000004</v>
      </c>
      <c r="CT34" s="2057">
        <f t="shared" si="51"/>
        <v>1490.4999789999997</v>
      </c>
      <c r="CU34" s="2057">
        <f>+CU31-CT31</f>
        <v>1646.5526047499989</v>
      </c>
      <c r="CV34" s="2057">
        <f t="shared" si="51"/>
        <v>815.99343004999992</v>
      </c>
      <c r="CW34" s="2057">
        <f t="shared" si="51"/>
        <v>1658.6504009659993</v>
      </c>
      <c r="CX34" s="2057">
        <f t="shared" si="51"/>
        <v>2063.6142707382987</v>
      </c>
      <c r="CY34" s="2057">
        <f t="shared" ref="CY34:DF34" si="52">+CY31-CX31</f>
        <v>2260.7299235289938</v>
      </c>
      <c r="CZ34" s="2057">
        <f t="shared" si="52"/>
        <v>2000.2511685882055</v>
      </c>
      <c r="DA34" s="2057">
        <f t="shared" si="52"/>
        <v>1981.6714526819633</v>
      </c>
      <c r="DB34" s="2057">
        <f t="shared" si="52"/>
        <v>1901.2320170463317</v>
      </c>
      <c r="DC34" s="2057">
        <f t="shared" si="52"/>
        <v>1849.6671566317891</v>
      </c>
      <c r="DD34" s="2057">
        <f t="shared" si="52"/>
        <v>1817.6040880839355</v>
      </c>
      <c r="DE34" s="2057">
        <f t="shared" si="52"/>
        <v>1768.7727748083926</v>
      </c>
      <c r="DF34" s="2058">
        <f t="shared" si="52"/>
        <v>1906.9911453606583</v>
      </c>
      <c r="DG34" s="1492"/>
      <c r="DH34" s="1492"/>
      <c r="DJ34" s="51"/>
      <c r="DK34" s="51"/>
      <c r="DL34" s="51"/>
      <c r="DM34" s="51"/>
    </row>
    <row r="35" spans="1:122" s="26" customFormat="1" ht="11.25" customHeight="1">
      <c r="A35" s="12"/>
      <c r="B35"/>
      <c r="C35"/>
      <c r="D35"/>
      <c r="E35"/>
      <c r="F35"/>
      <c r="G35"/>
      <c r="H35" s="1048"/>
      <c r="I35" s="168"/>
      <c r="J35" s="45"/>
      <c r="K35" s="45"/>
      <c r="L35" s="24"/>
      <c r="M35" s="34"/>
      <c r="N35" s="34"/>
      <c r="O35" s="34"/>
      <c r="P35" s="1412"/>
      <c r="Q35" s="34"/>
      <c r="R35" s="34"/>
      <c r="S35" s="34"/>
      <c r="T35" s="1412"/>
      <c r="U35" s="2196"/>
      <c r="V35" s="2196"/>
      <c r="W35" s="2196"/>
      <c r="X35" s="2197"/>
      <c r="Y35" s="2196"/>
      <c r="Z35" s="2196"/>
      <c r="AA35" s="2196"/>
      <c r="AB35" s="2197"/>
      <c r="AC35" s="2196"/>
      <c r="AD35" s="2196"/>
      <c r="AE35" s="2196"/>
      <c r="AF35" s="2197"/>
      <c r="AG35" s="2196"/>
      <c r="AH35" s="2196"/>
      <c r="AI35" s="2196"/>
      <c r="AJ35" s="2197"/>
      <c r="AK35" s="2196"/>
      <c r="AL35" s="2196"/>
      <c r="AM35" s="2196"/>
      <c r="AN35" s="2197"/>
      <c r="AO35" s="2196"/>
      <c r="AP35" s="2196"/>
      <c r="AQ35" s="2196"/>
      <c r="AR35" s="2197"/>
      <c r="AS35" s="2196"/>
      <c r="AT35" s="2196"/>
      <c r="AU35" s="2196"/>
      <c r="AV35" s="2197"/>
      <c r="AW35" s="2196"/>
      <c r="AX35" s="2196"/>
      <c r="AY35" s="2196"/>
      <c r="AZ35" s="1977"/>
      <c r="BA35" s="2196"/>
      <c r="BB35" s="2216"/>
      <c r="BC35" s="2196"/>
      <c r="BD35" s="1977"/>
      <c r="BE35" s="2196"/>
      <c r="BF35" s="2196"/>
      <c r="BG35" s="2196"/>
      <c r="BH35" s="2197"/>
      <c r="BI35" s="2218"/>
      <c r="BJ35" s="2196"/>
      <c r="BK35" s="2196"/>
      <c r="BL35" s="2197"/>
      <c r="BM35" s="2218"/>
      <c r="BN35" s="2196"/>
      <c r="BO35" s="2196"/>
      <c r="BP35" s="2197"/>
      <c r="BQ35" s="2196"/>
      <c r="BR35" s="2196"/>
      <c r="BS35" s="2196"/>
      <c r="BT35" s="2197"/>
      <c r="BU35" s="2196"/>
      <c r="BV35" s="2196"/>
      <c r="BW35" s="2196"/>
      <c r="BX35" s="2197"/>
      <c r="BY35" s="2196"/>
      <c r="BZ35" s="2196"/>
      <c r="CA35" s="2196"/>
      <c r="CB35" s="2197"/>
      <c r="CC35" s="2196"/>
      <c r="CD35" s="2196"/>
      <c r="CE35" s="2196"/>
      <c r="CF35" s="2197"/>
      <c r="CG35" s="1412"/>
      <c r="CH35" s="1414"/>
      <c r="CI35" s="34"/>
      <c r="CJ35" s="2196"/>
      <c r="CK35" s="2196"/>
      <c r="CL35" s="2196"/>
      <c r="CM35" s="2196"/>
      <c r="CN35" s="2196"/>
      <c r="CO35" s="2196"/>
      <c r="CP35" s="2196"/>
      <c r="CQ35" s="2196"/>
      <c r="CR35" s="2217"/>
      <c r="CS35" s="1957"/>
      <c r="CT35" s="2196"/>
      <c r="CU35" s="2196"/>
      <c r="CV35" s="2196"/>
      <c r="CW35" s="2196"/>
      <c r="CX35" s="2196"/>
      <c r="CY35" s="2196"/>
      <c r="CZ35" s="2196"/>
      <c r="DA35" s="2196"/>
      <c r="DB35" s="2196"/>
      <c r="DC35" s="2196"/>
      <c r="DD35" s="2196"/>
      <c r="DE35" s="2196"/>
      <c r="DF35" s="2197"/>
      <c r="DG35" s="1496"/>
      <c r="DH35" s="1496"/>
      <c r="DI35" s="1702"/>
      <c r="DJ35" s="51"/>
      <c r="DK35" s="51"/>
      <c r="DL35" s="51"/>
      <c r="DM35" s="51"/>
    </row>
    <row r="36" spans="1:122" s="554" customFormat="1" ht="11.25" customHeight="1">
      <c r="A36" s="556"/>
      <c r="B36"/>
      <c r="C36"/>
      <c r="D36"/>
      <c r="E36"/>
      <c r="F36"/>
      <c r="G36"/>
      <c r="H36" s="1048"/>
      <c r="I36" s="555" t="s">
        <v>145</v>
      </c>
      <c r="J36" s="550"/>
      <c r="K36" s="550"/>
      <c r="L36" s="547"/>
      <c r="M36" s="548"/>
      <c r="N36" s="548"/>
      <c r="O36" s="548"/>
      <c r="P36" s="2056"/>
      <c r="Q36" s="548"/>
      <c r="R36" s="548"/>
      <c r="S36" s="548"/>
      <c r="T36" s="2056"/>
      <c r="U36" s="2057"/>
      <c r="V36" s="2057"/>
      <c r="W36" s="2057"/>
      <c r="X36" s="2058"/>
      <c r="Y36" s="2057"/>
      <c r="Z36" s="2057"/>
      <c r="AA36" s="2057"/>
      <c r="AB36" s="2058"/>
      <c r="AC36" s="2057"/>
      <c r="AD36" s="2057"/>
      <c r="AE36" s="2057"/>
      <c r="AF36" s="2058"/>
      <c r="AG36" s="2057"/>
      <c r="AH36" s="2057"/>
      <c r="AI36" s="2057"/>
      <c r="AJ36" s="2058"/>
      <c r="AK36" s="2057"/>
      <c r="AL36" s="2057"/>
      <c r="AM36" s="2057"/>
      <c r="AN36" s="2058"/>
      <c r="AO36" s="2057"/>
      <c r="AP36" s="2057"/>
      <c r="AQ36" s="2057"/>
      <c r="AR36" s="2058"/>
      <c r="AS36" s="2057"/>
      <c r="AT36" s="2057"/>
      <c r="AU36" s="2057"/>
      <c r="AV36" s="2058"/>
      <c r="AW36" s="2057"/>
      <c r="AX36" s="2057"/>
      <c r="AY36" s="2057"/>
      <c r="AZ36" s="2058"/>
      <c r="BA36" s="2057"/>
      <c r="BB36" s="2057"/>
      <c r="BC36" s="2057"/>
      <c r="BD36" s="2058"/>
      <c r="BE36" s="2057"/>
      <c r="BF36" s="2057"/>
      <c r="BG36" s="2057"/>
      <c r="BH36" s="2058"/>
      <c r="BI36" s="2059"/>
      <c r="BJ36" s="2057">
        <f t="shared" ref="BJ36:CF36" si="53">+BJ312</f>
        <v>28.115976000000003</v>
      </c>
      <c r="BK36" s="2057">
        <f t="shared" si="53"/>
        <v>62.842544999999994</v>
      </c>
      <c r="BL36" s="2058">
        <f t="shared" si="53"/>
        <v>50.746500000000005</v>
      </c>
      <c r="BM36" s="2059">
        <f t="shared" si="53"/>
        <v>65.628225</v>
      </c>
      <c r="BN36" s="2057">
        <f t="shared" si="53"/>
        <v>66.940789500000008</v>
      </c>
      <c r="BO36" s="2057">
        <f t="shared" si="53"/>
        <v>72.268926749999991</v>
      </c>
      <c r="BP36" s="2058">
        <f t="shared" si="53"/>
        <v>58.358474999999999</v>
      </c>
      <c r="BQ36" s="2057">
        <f>+BQ312</f>
        <v>73.503612000000004</v>
      </c>
      <c r="BR36" s="2057">
        <f t="shared" si="53"/>
        <v>74.973684240000011</v>
      </c>
      <c r="BS36" s="2057">
        <f>+BS312</f>
        <v>80.941197959999997</v>
      </c>
      <c r="BT36" s="2058">
        <f t="shared" si="53"/>
        <v>65.361491999999998</v>
      </c>
      <c r="BU36" s="2057">
        <f t="shared" si="53"/>
        <v>78.648864840000016</v>
      </c>
      <c r="BV36" s="2057">
        <f t="shared" si="53"/>
        <v>80.221842136800021</v>
      </c>
      <c r="BW36" s="2057">
        <f t="shared" si="53"/>
        <v>86.607081817199997</v>
      </c>
      <c r="BX36" s="2058">
        <f t="shared" si="53"/>
        <v>69.936796440000009</v>
      </c>
      <c r="BY36" s="2057">
        <f t="shared" si="53"/>
        <v>82.581308082000021</v>
      </c>
      <c r="BZ36" s="2057">
        <f t="shared" si="53"/>
        <v>84.232934243640031</v>
      </c>
      <c r="CA36" s="2057">
        <f t="shared" si="53"/>
        <v>90.937435908059996</v>
      </c>
      <c r="CB36" s="2058">
        <f t="shared" ref="CB36" si="54">+CB312</f>
        <v>73.433636262000007</v>
      </c>
      <c r="CC36" s="2057">
        <f>+CC312</f>
        <v>86.710373486100025</v>
      </c>
      <c r="CD36" s="2057">
        <f t="shared" si="53"/>
        <v>88.444580955822033</v>
      </c>
      <c r="CE36" s="2057">
        <f t="shared" si="53"/>
        <v>95.484307703463003</v>
      </c>
      <c r="CF36" s="2058">
        <f t="shared" si="53"/>
        <v>77.105318075100016</v>
      </c>
      <c r="CG36" s="2056"/>
      <c r="CH36" s="2060"/>
      <c r="CI36" s="548"/>
      <c r="CJ36" s="2057"/>
      <c r="CK36" s="2057"/>
      <c r="CL36" s="2057"/>
      <c r="CM36" s="2057"/>
      <c r="CN36" s="2057"/>
      <c r="CO36" s="2057"/>
      <c r="CP36" s="2057"/>
      <c r="CQ36" s="2057"/>
      <c r="CR36" s="2057"/>
      <c r="CS36" s="2057"/>
      <c r="CT36" s="2057">
        <f>+CT312</f>
        <v>141.70502099999999</v>
      </c>
      <c r="CU36" s="2057">
        <f>+CU312</f>
        <v>263.19641624999997</v>
      </c>
      <c r="CV36" s="2057">
        <f>+CV312</f>
        <v>294.7799862</v>
      </c>
      <c r="CW36" s="2057">
        <f>+CW312</f>
        <v>315.41458523400001</v>
      </c>
      <c r="CX36" s="2057">
        <f>+CX312</f>
        <v>331.18531449570008</v>
      </c>
      <c r="CY36" s="2057">
        <f t="shared" ref="CY36:DF36" si="55">+CY312</f>
        <v>347.74458022048503</v>
      </c>
      <c r="CZ36" s="2057">
        <f t="shared" si="55"/>
        <v>365.13180923150924</v>
      </c>
      <c r="DA36" s="2057">
        <f t="shared" si="55"/>
        <v>383.38839969308464</v>
      </c>
      <c r="DB36" s="2057">
        <f t="shared" si="55"/>
        <v>402.55781967773879</v>
      </c>
      <c r="DC36" s="2057">
        <f t="shared" si="55"/>
        <v>422.68571066162565</v>
      </c>
      <c r="DD36" s="2057">
        <f t="shared" si="55"/>
        <v>443.81999619470685</v>
      </c>
      <c r="DE36" s="2057">
        <f t="shared" si="55"/>
        <v>466.01099600444212</v>
      </c>
      <c r="DF36" s="2058">
        <f t="shared" si="55"/>
        <v>489.31154580466415</v>
      </c>
      <c r="DG36" s="1489"/>
      <c r="DH36" s="1491">
        <f>+(DA36/CV36)^(1/5)-1</f>
        <v>5.3969867531071358E-2</v>
      </c>
      <c r="DJ36" s="51"/>
      <c r="DK36" s="51"/>
      <c r="DL36" s="51"/>
      <c r="DM36" s="51"/>
    </row>
    <row r="37" spans="1:122" s="554" customFormat="1" ht="11.25" customHeight="1">
      <c r="A37" s="556"/>
      <c r="B37"/>
      <c r="C37"/>
      <c r="D37"/>
      <c r="E37"/>
      <c r="F37"/>
      <c r="G37"/>
      <c r="H37" s="1048"/>
      <c r="I37" s="555" t="s">
        <v>146</v>
      </c>
      <c r="J37" s="550"/>
      <c r="K37" s="550"/>
      <c r="L37" s="547"/>
      <c r="M37" s="548"/>
      <c r="N37" s="548"/>
      <c r="O37" s="548"/>
      <c r="P37" s="2056"/>
      <c r="Q37" s="548"/>
      <c r="R37" s="548"/>
      <c r="S37" s="548"/>
      <c r="T37" s="2056"/>
      <c r="U37" s="2057"/>
      <c r="V37" s="2057"/>
      <c r="W37" s="2057"/>
      <c r="X37" s="2058"/>
      <c r="Y37" s="2057"/>
      <c r="Z37" s="2057"/>
      <c r="AA37" s="2057"/>
      <c r="AB37" s="2058"/>
      <c r="AC37" s="2057"/>
      <c r="AD37" s="2057"/>
      <c r="AE37" s="2057"/>
      <c r="AF37" s="2058"/>
      <c r="AG37" s="2057"/>
      <c r="AH37" s="2057"/>
      <c r="AI37" s="2057"/>
      <c r="AJ37" s="2058"/>
      <c r="AK37" s="2057"/>
      <c r="AL37" s="2057"/>
      <c r="AM37" s="2057"/>
      <c r="AN37" s="2058"/>
      <c r="AO37" s="2057"/>
      <c r="AP37" s="2057"/>
      <c r="AQ37" s="2057"/>
      <c r="AR37" s="2058"/>
      <c r="AS37" s="2057"/>
      <c r="AT37" s="2057"/>
      <c r="AU37" s="2057"/>
      <c r="AV37" s="2058"/>
      <c r="AW37" s="2057"/>
      <c r="AX37" s="2057"/>
      <c r="AY37" s="2057"/>
      <c r="AZ37" s="2058"/>
      <c r="BA37" s="2057"/>
      <c r="BB37" s="2057"/>
      <c r="BC37" s="2057"/>
      <c r="BD37" s="2058"/>
      <c r="BE37" s="2057"/>
      <c r="BF37" s="2057"/>
      <c r="BG37" s="2057"/>
      <c r="BH37" s="2058"/>
      <c r="BI37" s="2059"/>
      <c r="BJ37" s="2057"/>
      <c r="BK37" s="2057"/>
      <c r="BL37" s="2058"/>
      <c r="BM37" s="2059"/>
      <c r="BN37" s="2057"/>
      <c r="BO37" s="2057">
        <f>+BO324</f>
        <v>41.2</v>
      </c>
      <c r="BP37" s="2058">
        <f>+BP324</f>
        <v>59</v>
      </c>
      <c r="BQ37" s="2057">
        <f>+BQ319</f>
        <v>60.6</v>
      </c>
      <c r="BR37" s="2057">
        <f>+BR319</f>
        <v>62.2</v>
      </c>
      <c r="BS37" s="2057">
        <f t="shared" ref="BS37:CF37" si="56">+BS319</f>
        <v>64.8</v>
      </c>
      <c r="BT37" s="2058">
        <f t="shared" si="56"/>
        <v>72.7</v>
      </c>
      <c r="BU37" s="2057">
        <f t="shared" si="56"/>
        <v>71.8</v>
      </c>
      <c r="BV37" s="2057">
        <f t="shared" si="56"/>
        <v>74.599999999999994</v>
      </c>
      <c r="BW37" s="2057">
        <f>+BW319</f>
        <v>74.2</v>
      </c>
      <c r="BX37" s="2058">
        <f>+BX319</f>
        <v>83.3</v>
      </c>
      <c r="BY37" s="2057">
        <f t="shared" si="56"/>
        <v>80.416000000000011</v>
      </c>
      <c r="BZ37" s="2057">
        <f t="shared" si="56"/>
        <v>83.552000000000007</v>
      </c>
      <c r="CA37" s="2057">
        <f t="shared" si="56"/>
        <v>83.104000000000013</v>
      </c>
      <c r="CB37" s="2058">
        <f>+CB319</f>
        <v>93.296000000000006</v>
      </c>
      <c r="CC37" s="2057">
        <f t="shared" si="56"/>
        <v>88.457600000000014</v>
      </c>
      <c r="CD37" s="2057">
        <f t="shared" si="56"/>
        <v>91.907200000000017</v>
      </c>
      <c r="CE37" s="2057">
        <f t="shared" si="56"/>
        <v>91.414400000000029</v>
      </c>
      <c r="CF37" s="2058">
        <f t="shared" si="56"/>
        <v>102.62560000000002</v>
      </c>
      <c r="CG37" s="2056"/>
      <c r="CH37" s="2060"/>
      <c r="CI37" s="548"/>
      <c r="CJ37" s="2057"/>
      <c r="CK37" s="2057"/>
      <c r="CL37" s="2057"/>
      <c r="CM37" s="2057"/>
      <c r="CN37" s="2057"/>
      <c r="CO37" s="2057"/>
      <c r="CP37" s="2057"/>
      <c r="CQ37" s="2057"/>
      <c r="CR37" s="2057"/>
      <c r="CS37" s="2057"/>
      <c r="CT37" s="2057"/>
      <c r="CU37" s="2057">
        <f t="shared" ref="CU37:DF37" si="57">+CU319</f>
        <v>100.2</v>
      </c>
      <c r="CV37" s="2057">
        <f t="shared" si="57"/>
        <v>260.3</v>
      </c>
      <c r="CW37" s="2057">
        <f t="shared" si="57"/>
        <v>303.89999999999998</v>
      </c>
      <c r="CX37" s="2057">
        <f t="shared" si="57"/>
        <v>340.36800000000005</v>
      </c>
      <c r="CY37" s="2057">
        <f t="shared" si="57"/>
        <v>374.40480000000008</v>
      </c>
      <c r="CZ37" s="2057">
        <f t="shared" si="57"/>
        <v>404.35718400000013</v>
      </c>
      <c r="DA37" s="2057">
        <f t="shared" si="57"/>
        <v>436.70575872000018</v>
      </c>
      <c r="DB37" s="2057">
        <f t="shared" si="57"/>
        <v>471.64221941760024</v>
      </c>
      <c r="DC37" s="2057">
        <f t="shared" si="57"/>
        <v>509.37359697100828</v>
      </c>
      <c r="DD37" s="2057">
        <f t="shared" si="57"/>
        <v>550.12348472868894</v>
      </c>
      <c r="DE37" s="2057">
        <f t="shared" si="57"/>
        <v>594.1333635069841</v>
      </c>
      <c r="DF37" s="2058">
        <f t="shared" si="57"/>
        <v>641.66403258754292</v>
      </c>
      <c r="DG37" s="1489"/>
      <c r="DH37" s="1491">
        <f>+(DA37/CV37)^(1/5)-1</f>
        <v>0.10902912127280384</v>
      </c>
      <c r="DJ37" s="51"/>
      <c r="DK37" s="51"/>
      <c r="DL37" s="51"/>
      <c r="DM37" s="51"/>
    </row>
    <row r="38" spans="1:122" s="26" customFormat="1" ht="11.25" customHeight="1">
      <c r="A38" s="18"/>
      <c r="B38"/>
      <c r="C38"/>
      <c r="D38"/>
      <c r="E38"/>
      <c r="F38"/>
      <c r="G38"/>
      <c r="H38" s="1051"/>
      <c r="I38" s="168"/>
      <c r="J38" s="45"/>
      <c r="K38" s="45"/>
      <c r="L38" s="24"/>
      <c r="M38" s="34"/>
      <c r="N38" s="34"/>
      <c r="O38" s="34"/>
      <c r="P38" s="1412"/>
      <c r="Q38" s="34"/>
      <c r="R38" s="34"/>
      <c r="S38" s="34"/>
      <c r="T38" s="1412"/>
      <c r="U38" s="2196"/>
      <c r="V38" s="2196"/>
      <c r="W38" s="2196"/>
      <c r="X38" s="2197"/>
      <c r="Y38" s="2196"/>
      <c r="Z38" s="2196"/>
      <c r="AA38" s="2196"/>
      <c r="AB38" s="2197"/>
      <c r="AC38" s="2196"/>
      <c r="AD38" s="2196"/>
      <c r="AE38" s="2196"/>
      <c r="AF38" s="2197"/>
      <c r="AG38" s="2196"/>
      <c r="AH38" s="2196"/>
      <c r="AI38" s="2196"/>
      <c r="AJ38" s="2197"/>
      <c r="AK38" s="2196"/>
      <c r="AL38" s="2196"/>
      <c r="AM38" s="2196"/>
      <c r="AN38" s="2197"/>
      <c r="AO38" s="2196"/>
      <c r="AP38" s="2196"/>
      <c r="AQ38" s="2196"/>
      <c r="AR38" s="2197"/>
      <c r="AS38" s="2196"/>
      <c r="AT38" s="2196"/>
      <c r="AU38" s="2196"/>
      <c r="AV38" s="2197"/>
      <c r="AW38" s="2196"/>
      <c r="AX38" s="2196"/>
      <c r="AY38" s="2196"/>
      <c r="AZ38" s="1977"/>
      <c r="BA38" s="2196"/>
      <c r="BB38" s="2216"/>
      <c r="BC38" s="1957"/>
      <c r="BD38" s="1977"/>
      <c r="BE38" s="2196"/>
      <c r="BF38" s="2196"/>
      <c r="BG38" s="1957"/>
      <c r="BH38" s="2197"/>
      <c r="BI38" s="2218"/>
      <c r="BJ38" s="2196"/>
      <c r="BK38" s="2196"/>
      <c r="BL38" s="2197"/>
      <c r="BM38" s="2054"/>
      <c r="BN38" s="1931"/>
      <c r="BO38" s="2219"/>
      <c r="BP38" s="2197"/>
      <c r="BQ38" s="2"/>
      <c r="BR38" s="2220"/>
      <c r="BS38" s="2219"/>
      <c r="BT38" s="2197"/>
      <c r="BU38" s="2218"/>
      <c r="BV38" s="2196"/>
      <c r="BW38" s="2219"/>
      <c r="BX38" s="2197"/>
      <c r="BY38" s="2218"/>
      <c r="BZ38" s="2196"/>
      <c r="CA38" s="2219"/>
      <c r="CB38" s="2197"/>
      <c r="CC38" s="2218"/>
      <c r="CD38" s="2196"/>
      <c r="CE38" s="2219"/>
      <c r="CF38" s="2197"/>
      <c r="CG38" s="1412"/>
      <c r="CH38" s="1414"/>
      <c r="CI38" s="34"/>
      <c r="CJ38" s="2196"/>
      <c r="CK38" s="2196"/>
      <c r="CL38" s="2196"/>
      <c r="CM38" s="2196"/>
      <c r="CN38" s="2196"/>
      <c r="CO38" s="2196"/>
      <c r="CP38" s="2196"/>
      <c r="CQ38" s="2196"/>
      <c r="CR38" s="1931"/>
      <c r="CS38" s="1931"/>
      <c r="CT38" s="1931"/>
      <c r="CU38" s="2219"/>
      <c r="CV38" s="2219"/>
      <c r="CW38" s="2219"/>
      <c r="CX38" s="2219"/>
      <c r="CY38" s="2196"/>
      <c r="CZ38" s="2196"/>
      <c r="DA38" s="2196"/>
      <c r="DB38" s="2196"/>
      <c r="DC38" s="2196"/>
      <c r="DD38" s="2196"/>
      <c r="DE38" s="2196"/>
      <c r="DF38" s="2197"/>
      <c r="DG38" s="1496"/>
      <c r="DH38" s="1496"/>
      <c r="DI38" s="1702"/>
      <c r="DJ38" s="51"/>
      <c r="DK38" s="51"/>
      <c r="DL38" s="51"/>
      <c r="DM38" s="51"/>
    </row>
    <row r="39" spans="1:122" s="92" customFormat="1" ht="11.25" customHeight="1">
      <c r="A39" s="568"/>
      <c r="B39"/>
      <c r="C39"/>
      <c r="D39"/>
      <c r="E39"/>
      <c r="F39"/>
      <c r="G39"/>
      <c r="H39" s="1049"/>
      <c r="I39" s="579" t="s">
        <v>30</v>
      </c>
      <c r="J39" s="580"/>
      <c r="K39" s="580"/>
      <c r="M39" s="1931">
        <v>43.115000000000002</v>
      </c>
      <c r="N39" s="1931">
        <v>60.106000000000002</v>
      </c>
      <c r="O39" s="1931">
        <v>50.432000000000002</v>
      </c>
      <c r="P39" s="1930">
        <v>39.253</v>
      </c>
      <c r="Q39" s="1931">
        <v>41.993000000000002</v>
      </c>
      <c r="R39" s="1931">
        <v>48.148000000000003</v>
      </c>
      <c r="S39" s="1931">
        <v>37.741</v>
      </c>
      <c r="T39" s="1930">
        <v>30.484000000000002</v>
      </c>
      <c r="U39" s="1931">
        <v>32.987000000000002</v>
      </c>
      <c r="V39" s="1931">
        <v>40.494</v>
      </c>
      <c r="W39" s="1931">
        <v>40.648000000000003</v>
      </c>
      <c r="X39" s="1930">
        <v>31.815999999999999</v>
      </c>
      <c r="Y39" s="1931">
        <v>43.374000000000002</v>
      </c>
      <c r="Z39" s="1931">
        <v>54.607999999999997</v>
      </c>
      <c r="AA39" s="1931">
        <v>51.658000000000001</v>
      </c>
      <c r="AB39" s="1930">
        <v>51.499000000000002</v>
      </c>
      <c r="AC39" s="1931">
        <v>58.067999999999998</v>
      </c>
      <c r="AD39" s="1931">
        <v>65.573999999999998</v>
      </c>
      <c r="AE39" s="1931">
        <v>80.864999999999995</v>
      </c>
      <c r="AF39" s="1930">
        <v>65.343000000000004</v>
      </c>
      <c r="AG39" s="1931">
        <f t="shared" ref="AG39:BL39" si="58">+AG21-AG27</f>
        <v>72.230999999999995</v>
      </c>
      <c r="AH39" s="1931">
        <f t="shared" si="58"/>
        <v>105.804</v>
      </c>
      <c r="AI39" s="1931">
        <f t="shared" si="58"/>
        <v>122.32000000000002</v>
      </c>
      <c r="AJ39" s="1930">
        <f t="shared" si="58"/>
        <v>99.516999999999967</v>
      </c>
      <c r="AK39" s="1931">
        <f t="shared" si="58"/>
        <v>103.83900000000003</v>
      </c>
      <c r="AL39" s="1931">
        <f t="shared" si="58"/>
        <v>154.89299999999994</v>
      </c>
      <c r="AM39" s="1931">
        <f t="shared" si="58"/>
        <v>202.33099999999999</v>
      </c>
      <c r="AN39" s="1930">
        <f t="shared" si="58"/>
        <v>160.15200000000002</v>
      </c>
      <c r="AO39" s="1931">
        <f t="shared" si="58"/>
        <v>181.10300000000001</v>
      </c>
      <c r="AP39" s="1931">
        <f t="shared" si="58"/>
        <v>253.72500000000002</v>
      </c>
      <c r="AQ39" s="1931">
        <f t="shared" si="58"/>
        <v>316.07800000000003</v>
      </c>
      <c r="AR39" s="1930">
        <f t="shared" si="58"/>
        <v>205.065</v>
      </c>
      <c r="AS39" s="1931">
        <f t="shared" si="58"/>
        <v>208.32999999999998</v>
      </c>
      <c r="AT39" s="1931">
        <f t="shared" si="58"/>
        <v>305.238</v>
      </c>
      <c r="AU39" s="1931">
        <f t="shared" si="58"/>
        <v>434.00599999999997</v>
      </c>
      <c r="AV39" s="1930">
        <f t="shared" si="58"/>
        <v>313.18900000000008</v>
      </c>
      <c r="AW39" s="1931">
        <f t="shared" si="58"/>
        <v>319.11599999999987</v>
      </c>
      <c r="AX39" s="1931">
        <f t="shared" si="58"/>
        <v>446.18399999999991</v>
      </c>
      <c r="AY39" s="1931">
        <f t="shared" si="58"/>
        <v>668.20799999999986</v>
      </c>
      <c r="AZ39" s="1930">
        <f t="shared" si="58"/>
        <v>480.16600000000005</v>
      </c>
      <c r="BA39" s="1931">
        <f t="shared" si="58"/>
        <v>505.80800000000005</v>
      </c>
      <c r="BB39" s="1931">
        <f t="shared" si="58"/>
        <v>749.22700000000009</v>
      </c>
      <c r="BC39" s="1931">
        <f t="shared" si="58"/>
        <v>1100.1480000000001</v>
      </c>
      <c r="BD39" s="1930">
        <f t="shared" si="58"/>
        <v>724.697</v>
      </c>
      <c r="BE39" s="1931">
        <f t="shared" si="58"/>
        <v>743.28800000000001</v>
      </c>
      <c r="BF39" s="1931">
        <f t="shared" si="58"/>
        <v>1004.1420000000001</v>
      </c>
      <c r="BG39" s="1931">
        <f t="shared" si="58"/>
        <v>1396.501</v>
      </c>
      <c r="BH39" s="1930">
        <f t="shared" si="58"/>
        <v>939.75000000000011</v>
      </c>
      <c r="BI39" s="2054">
        <f>+BI21-BI27</f>
        <v>1009.665</v>
      </c>
      <c r="BJ39" s="1931">
        <f>+BJ21-BJ27</f>
        <v>1383.855</v>
      </c>
      <c r="BK39" s="1931">
        <f t="shared" si="58"/>
        <v>1989.0649999999998</v>
      </c>
      <c r="BL39" s="1930">
        <f t="shared" si="58"/>
        <v>1333.3009999999999</v>
      </c>
      <c r="BM39" s="2054">
        <f t="shared" ref="BM39:CA39" si="59">+BM21-BM27</f>
        <v>1406.4710000000002</v>
      </c>
      <c r="BN39" s="1931">
        <f t="shared" si="59"/>
        <v>1882.9959999999999</v>
      </c>
      <c r="BO39" s="1931">
        <f t="shared" si="59"/>
        <v>2619.9780000000001</v>
      </c>
      <c r="BP39" s="1930">
        <f t="shared" si="59"/>
        <v>1674.6849999999999</v>
      </c>
      <c r="BQ39" s="1931">
        <f>+BQ21-BQ27</f>
        <v>1672.2359999999999</v>
      </c>
      <c r="BR39" s="1931">
        <f>+BR21-BR27</f>
        <v>2092.9059999999999</v>
      </c>
      <c r="BS39" s="1931">
        <f t="shared" si="59"/>
        <v>2947.2819999999997</v>
      </c>
      <c r="BT39" s="1930">
        <f t="shared" si="59"/>
        <v>1879.3829999999998</v>
      </c>
      <c r="BU39" s="2054">
        <f t="shared" si="59"/>
        <v>2019.4499999999996</v>
      </c>
      <c r="BV39" s="1931">
        <f t="shared" si="59"/>
        <v>2429.8180000000002</v>
      </c>
      <c r="BW39" s="1931">
        <f t="shared" si="59"/>
        <v>3589.0630000000001</v>
      </c>
      <c r="BX39" s="1930">
        <f t="shared" si="59"/>
        <v>2276.3609999999999</v>
      </c>
      <c r="BY39" s="1931">
        <f t="shared" si="59"/>
        <v>2334.2350000000001</v>
      </c>
      <c r="BZ39" s="1931">
        <f t="shared" si="59"/>
        <v>2951.8139999999999</v>
      </c>
      <c r="CA39" s="1931">
        <f t="shared" si="59"/>
        <v>4374.5529999999999</v>
      </c>
      <c r="CB39" s="1930">
        <f t="shared" ref="CB39" si="60">+CB21-CB27</f>
        <v>2769.9429999999998</v>
      </c>
      <c r="CC39" s="1931">
        <f>+CC287+CC312+CC324</f>
        <v>2797.4827631473131</v>
      </c>
      <c r="CD39" s="1931">
        <f>+CD287+CD312+CD324</f>
        <v>3562.1867348861169</v>
      </c>
      <c r="CE39" s="1931">
        <f>+CE287+CE312+CE324</f>
        <v>5004.4109582604151</v>
      </c>
      <c r="CF39" s="1930">
        <f>+CF287+CF312+CF324</f>
        <v>3377.7905329599316</v>
      </c>
      <c r="CG39" s="1930"/>
      <c r="CH39" s="2054">
        <v>192.90600000000001</v>
      </c>
      <c r="CI39" s="1931">
        <v>158.36600000000001</v>
      </c>
      <c r="CJ39" s="1931">
        <f>+SUM(U39:X39)</f>
        <v>145.94499999999999</v>
      </c>
      <c r="CK39" s="1931">
        <v>201.13900000000001</v>
      </c>
      <c r="CL39" s="1931">
        <v>269.85000000000002</v>
      </c>
      <c r="CM39" s="1931">
        <f>+CM21-CM27</f>
        <v>399.87200000000018</v>
      </c>
      <c r="CN39" s="1931">
        <f t="shared" ref="CN39:CS39" si="61">+CN21-CN27</f>
        <v>621.21499999999969</v>
      </c>
      <c r="CO39" s="1931">
        <f t="shared" si="61"/>
        <v>955.97100000000012</v>
      </c>
      <c r="CP39" s="1931">
        <f t="shared" si="61"/>
        <v>1260.7629999999999</v>
      </c>
      <c r="CQ39" s="1931">
        <f t="shared" si="61"/>
        <v>1913.6739999999998</v>
      </c>
      <c r="CR39" s="1931">
        <f t="shared" si="61"/>
        <v>3079.8800000000006</v>
      </c>
      <c r="CS39" s="1931">
        <f t="shared" si="61"/>
        <v>4083.6810000000009</v>
      </c>
      <c r="CT39" s="1931">
        <f>+SUM(BI39:BL39)</f>
        <v>5715.8860000000004</v>
      </c>
      <c r="CU39" s="1931">
        <f>SUM(BM39:BP39)</f>
        <v>7584.1299999999992</v>
      </c>
      <c r="CV39" s="1931">
        <f>SUM(BQ39:BT39)</f>
        <v>8591.8069999999989</v>
      </c>
      <c r="CW39" s="1931">
        <f>SUM(BU39:BX39)</f>
        <v>10314.691999999999</v>
      </c>
      <c r="CX39" s="1931">
        <f>SUM(BY39:CB39)</f>
        <v>12430.544999999998</v>
      </c>
      <c r="CY39" s="1931">
        <f>SUM(CC39:CF39)</f>
        <v>14741.870989253777</v>
      </c>
      <c r="CZ39" s="1931">
        <f t="shared" ref="CZ39:DF39" si="62">+CZ287+CZ312+CZ324</f>
        <v>16789.461770853006</v>
      </c>
      <c r="DA39" s="1931">
        <f>+DA287+DA312+DA324</f>
        <v>18821.738388716545</v>
      </c>
      <c r="DB39" s="1931">
        <f t="shared" si="62"/>
        <v>20777.076286445132</v>
      </c>
      <c r="DC39" s="1931">
        <f t="shared" si="62"/>
        <v>22684.602711614214</v>
      </c>
      <c r="DD39" s="1931">
        <f t="shared" si="62"/>
        <v>24564.090972988914</v>
      </c>
      <c r="DE39" s="1931">
        <f t="shared" si="62"/>
        <v>26399.064626385334</v>
      </c>
      <c r="DF39" s="1930">
        <f t="shared" si="62"/>
        <v>28376.886990626772</v>
      </c>
      <c r="DG39" s="1489">
        <f>+(CV39/CQ39)^(1/5)-1</f>
        <v>0.35034055558371602</v>
      </c>
      <c r="DH39" s="1489">
        <f>+(DA39/CV39)^(1/5)-1</f>
        <v>0.169809230745531</v>
      </c>
      <c r="DI39" s="1703"/>
      <c r="DJ39" s="465"/>
      <c r="DK39" s="51"/>
      <c r="DL39" s="51"/>
      <c r="DM39" s="51"/>
      <c r="DN39" s="689"/>
      <c r="DO39" s="689"/>
      <c r="DP39" s="689"/>
      <c r="DQ39" s="689"/>
      <c r="DR39" s="689"/>
    </row>
    <row r="40" spans="1:122" s="51" customFormat="1" ht="11.25" customHeight="1">
      <c r="A40" s="296"/>
      <c r="B40"/>
      <c r="C40"/>
      <c r="D40"/>
      <c r="E40"/>
      <c r="F40"/>
      <c r="G40"/>
      <c r="H40" s="1048"/>
      <c r="I40" s="259" t="s">
        <v>376</v>
      </c>
      <c r="J40" s="82"/>
      <c r="K40" s="82"/>
      <c r="L40" s="82"/>
      <c r="M40" s="1957"/>
      <c r="N40" s="1957"/>
      <c r="O40" s="1957"/>
      <c r="P40" s="1958"/>
      <c r="Q40" s="1957">
        <f t="shared" ref="Q40:AV40" si="63">+Q39/M39-1</f>
        <v>-2.6023425721906523E-2</v>
      </c>
      <c r="R40" s="1957">
        <f t="shared" si="63"/>
        <v>-0.19894852427378296</v>
      </c>
      <c r="S40" s="1957">
        <f t="shared" si="63"/>
        <v>-0.25164578045685282</v>
      </c>
      <c r="T40" s="1958">
        <f t="shared" si="63"/>
        <v>-0.2233969378136702</v>
      </c>
      <c r="U40" s="1957">
        <f t="shared" si="63"/>
        <v>-0.21446431548115164</v>
      </c>
      <c r="V40" s="1957">
        <f t="shared" si="63"/>
        <v>-0.15896818144055835</v>
      </c>
      <c r="W40" s="1957">
        <f t="shared" si="63"/>
        <v>7.7024986089398784E-2</v>
      </c>
      <c r="X40" s="1958">
        <f t="shared" si="63"/>
        <v>4.3695053142632112E-2</v>
      </c>
      <c r="Y40" s="1957">
        <f t="shared" si="63"/>
        <v>0.31488162003213382</v>
      </c>
      <c r="Z40" s="1957">
        <f t="shared" si="63"/>
        <v>0.34854546352546056</v>
      </c>
      <c r="AA40" s="1957">
        <f t="shared" si="63"/>
        <v>0.27086203503247375</v>
      </c>
      <c r="AB40" s="1958">
        <f t="shared" si="63"/>
        <v>0.61865099321096317</v>
      </c>
      <c r="AC40" s="1957">
        <f t="shared" si="63"/>
        <v>0.33877438096555523</v>
      </c>
      <c r="AD40" s="1957">
        <f t="shared" si="63"/>
        <v>0.20081306768239093</v>
      </c>
      <c r="AE40" s="1957">
        <f t="shared" si="63"/>
        <v>0.56539161407719996</v>
      </c>
      <c r="AF40" s="1958">
        <f t="shared" si="63"/>
        <v>0.26882075380104475</v>
      </c>
      <c r="AG40" s="1957">
        <f t="shared" si="63"/>
        <v>0.24390369911138654</v>
      </c>
      <c r="AH40" s="1957">
        <f t="shared" si="63"/>
        <v>0.6135053527312655</v>
      </c>
      <c r="AI40" s="1957">
        <f t="shared" si="63"/>
        <v>0.51264453100847129</v>
      </c>
      <c r="AJ40" s="1958">
        <f t="shared" si="63"/>
        <v>0.52299404679919759</v>
      </c>
      <c r="AK40" s="1957">
        <f t="shared" si="63"/>
        <v>0.43759604601902269</v>
      </c>
      <c r="AL40" s="1957">
        <f t="shared" si="63"/>
        <v>0.46396166496540725</v>
      </c>
      <c r="AM40" s="1957">
        <f t="shared" si="63"/>
        <v>0.65411216481360324</v>
      </c>
      <c r="AN40" s="1958">
        <f t="shared" si="63"/>
        <v>0.60929288463277698</v>
      </c>
      <c r="AO40" s="1957">
        <f t="shared" si="63"/>
        <v>0.74407496220109937</v>
      </c>
      <c r="AP40" s="1957">
        <f t="shared" si="63"/>
        <v>0.63806627801127314</v>
      </c>
      <c r="AQ40" s="1957">
        <f t="shared" si="63"/>
        <v>0.56218275993298139</v>
      </c>
      <c r="AR40" s="1958">
        <f t="shared" si="63"/>
        <v>0.28043983215944834</v>
      </c>
      <c r="AS40" s="1957">
        <f t="shared" si="63"/>
        <v>0.15033986184657344</v>
      </c>
      <c r="AT40" s="1957">
        <f t="shared" si="63"/>
        <v>0.20302689920189176</v>
      </c>
      <c r="AU40" s="1957">
        <f t="shared" si="63"/>
        <v>0.37309777966198188</v>
      </c>
      <c r="AV40" s="1958">
        <f t="shared" si="63"/>
        <v>0.52726696413332408</v>
      </c>
      <c r="AW40" s="1957">
        <f t="shared" ref="AW40:CB40" si="64">+AW39/AS39-1</f>
        <v>0.53178130850093552</v>
      </c>
      <c r="AX40" s="1957">
        <f t="shared" si="64"/>
        <v>0.46175771037682045</v>
      </c>
      <c r="AY40" s="1957">
        <f t="shared" si="64"/>
        <v>0.53962848439883304</v>
      </c>
      <c r="AZ40" s="1958">
        <f t="shared" si="64"/>
        <v>0.53315090887610972</v>
      </c>
      <c r="BA40" s="1957">
        <f t="shared" si="64"/>
        <v>0.5850286416224828</v>
      </c>
      <c r="BB40" s="1957">
        <f t="shared" si="64"/>
        <v>0.67918840657665958</v>
      </c>
      <c r="BC40" s="1957">
        <f t="shared" si="64"/>
        <v>0.64641548739314758</v>
      </c>
      <c r="BD40" s="1958">
        <f t="shared" si="64"/>
        <v>0.50926346305236092</v>
      </c>
      <c r="BE40" s="1957">
        <f t="shared" si="64"/>
        <v>0.46950621579729845</v>
      </c>
      <c r="BF40" s="1957">
        <f t="shared" si="64"/>
        <v>0.34023733794964661</v>
      </c>
      <c r="BG40" s="1957">
        <f t="shared" si="64"/>
        <v>0.26937557492264652</v>
      </c>
      <c r="BH40" s="1958">
        <f t="shared" si="64"/>
        <v>0.29674884813929148</v>
      </c>
      <c r="BI40" s="1970">
        <f t="shared" si="64"/>
        <v>0.35837656466941481</v>
      </c>
      <c r="BJ40" s="1957">
        <f t="shared" si="64"/>
        <v>0.37814671630108077</v>
      </c>
      <c r="BK40" s="1957">
        <f t="shared" si="64"/>
        <v>0.42432049815932804</v>
      </c>
      <c r="BL40" s="1958">
        <f t="shared" si="64"/>
        <v>0.41878265496142575</v>
      </c>
      <c r="BM40" s="1970">
        <f t="shared" si="64"/>
        <v>0.39300758172265082</v>
      </c>
      <c r="BN40" s="1957">
        <f t="shared" si="64"/>
        <v>0.36068880048849028</v>
      </c>
      <c r="BO40" s="1957">
        <f>+BO39/BK39-1</f>
        <v>0.31719074037298944</v>
      </c>
      <c r="BP40" s="1958">
        <f>+BP39/BL39-1</f>
        <v>0.25604420907207004</v>
      </c>
      <c r="BQ40" s="1957">
        <f t="shared" si="64"/>
        <v>0.18895874852734229</v>
      </c>
      <c r="BR40" s="1957">
        <f t="shared" si="64"/>
        <v>0.11147660430505435</v>
      </c>
      <c r="BS40" s="1957">
        <f>+BS39/BO39-1</f>
        <v>0.12492623983865503</v>
      </c>
      <c r="BT40" s="1958">
        <f>+BT39/BP39-1</f>
        <v>0.12223074787198773</v>
      </c>
      <c r="BU40" s="1970">
        <f t="shared" si="64"/>
        <v>0.20763456832647997</v>
      </c>
      <c r="BV40" s="1957">
        <f t="shared" si="64"/>
        <v>0.16097808501671862</v>
      </c>
      <c r="BW40" s="1957">
        <f t="shared" si="64"/>
        <v>0.21775350984398534</v>
      </c>
      <c r="BX40" s="1958">
        <f t="shared" si="64"/>
        <v>0.21122783381567256</v>
      </c>
      <c r="BY40" s="1957">
        <f t="shared" si="64"/>
        <v>0.15587660006437432</v>
      </c>
      <c r="BZ40" s="1957">
        <f t="shared" si="64"/>
        <v>0.21482925881691539</v>
      </c>
      <c r="CA40" s="1957">
        <f t="shared" si="64"/>
        <v>0.21885656507004736</v>
      </c>
      <c r="CB40" s="1958">
        <f t="shared" si="64"/>
        <v>0.21682940447494925</v>
      </c>
      <c r="CC40" s="1957">
        <f>+CC39/BY39-1</f>
        <v>0.19845806576771952</v>
      </c>
      <c r="CD40" s="1957">
        <f>+CD39/BZ39-1</f>
        <v>0.20677886035031912</v>
      </c>
      <c r="CE40" s="1957">
        <f>+CE39/CA39-1</f>
        <v>0.1439822441882439</v>
      </c>
      <c r="CF40" s="1958">
        <f>+CF39/CB39-1</f>
        <v>0.21944405822066804</v>
      </c>
      <c r="CG40" s="1007"/>
      <c r="CH40" s="1970"/>
      <c r="CI40" s="1957">
        <f t="shared" ref="CI40:CX40" si="65">+CI39/CH39-1</f>
        <v>-0.17905093672565908</v>
      </c>
      <c r="CJ40" s="1957">
        <f t="shared" si="65"/>
        <v>-7.8432239243272028E-2</v>
      </c>
      <c r="CK40" s="1957">
        <f t="shared" si="65"/>
        <v>0.37818356230086692</v>
      </c>
      <c r="CL40" s="1957">
        <f t="shared" si="65"/>
        <v>0.34160953370554692</v>
      </c>
      <c r="CM40" s="1957">
        <f t="shared" si="65"/>
        <v>0.48183064665554998</v>
      </c>
      <c r="CN40" s="1957">
        <f t="shared" si="65"/>
        <v>0.55353463108194467</v>
      </c>
      <c r="CO40" s="1957">
        <f t="shared" si="65"/>
        <v>0.53887301497871198</v>
      </c>
      <c r="CP40" s="1957">
        <f t="shared" si="65"/>
        <v>0.31882975529592406</v>
      </c>
      <c r="CQ40" s="1957">
        <f t="shared" si="65"/>
        <v>0.51786973443858986</v>
      </c>
      <c r="CR40" s="1957">
        <f t="shared" si="65"/>
        <v>0.60940682686810876</v>
      </c>
      <c r="CS40" s="1957">
        <f t="shared" si="65"/>
        <v>0.32592211384859149</v>
      </c>
      <c r="CT40" s="1957">
        <f t="shared" si="65"/>
        <v>0.39968964275123331</v>
      </c>
      <c r="CU40" s="1957">
        <f t="shared" si="65"/>
        <v>0.32685116533114877</v>
      </c>
      <c r="CV40" s="1957">
        <f t="shared" si="65"/>
        <v>0.13286652523097575</v>
      </c>
      <c r="CW40" s="1957">
        <f>+CW39/CV39-1</f>
        <v>0.20052650158459095</v>
      </c>
      <c r="CX40" s="1957">
        <f t="shared" si="65"/>
        <v>0.20513002230216859</v>
      </c>
      <c r="CY40" s="1957">
        <f t="shared" ref="CY40:DF40" si="66">+CY39/CX39-1</f>
        <v>0.18593923188836681</v>
      </c>
      <c r="CZ40" s="1957">
        <f t="shared" si="66"/>
        <v>0.13889626242773656</v>
      </c>
      <c r="DA40" s="1957">
        <f t="shared" si="66"/>
        <v>0.12104477472837338</v>
      </c>
      <c r="DB40" s="1957">
        <f t="shared" si="66"/>
        <v>0.10388721048746441</v>
      </c>
      <c r="DC40" s="1957">
        <f t="shared" si="66"/>
        <v>9.1809184260132959E-2</v>
      </c>
      <c r="DD40" s="1957">
        <f t="shared" si="66"/>
        <v>8.285303848025638E-2</v>
      </c>
      <c r="DE40" s="1957">
        <f t="shared" si="66"/>
        <v>7.4701467903460772E-2</v>
      </c>
      <c r="DF40" s="1958">
        <f t="shared" si="66"/>
        <v>7.4920168279926314E-2</v>
      </c>
      <c r="DG40" s="1497"/>
      <c r="DH40" s="1497"/>
      <c r="DI40" s="1704"/>
    </row>
    <row r="41" spans="1:122" s="51" customFormat="1" ht="11.25" customHeight="1">
      <c r="A41" s="300"/>
      <c r="B41"/>
      <c r="C41"/>
      <c r="D41"/>
      <c r="E41"/>
      <c r="F41"/>
      <c r="G41"/>
      <c r="H41" s="1051"/>
      <c r="I41" s="199" t="s">
        <v>144</v>
      </c>
      <c r="J41" s="89"/>
      <c r="K41" s="89"/>
      <c r="L41" s="82"/>
      <c r="M41" s="1957"/>
      <c r="N41" s="1957"/>
      <c r="O41" s="1957"/>
      <c r="P41" s="1958"/>
      <c r="Q41" s="1957"/>
      <c r="R41" s="1957"/>
      <c r="S41" s="1957"/>
      <c r="T41" s="1958"/>
      <c r="U41" s="1957">
        <f t="shared" ref="U41:AZ41" si="67">+U40+Q40</f>
        <v>-0.24048774120305816</v>
      </c>
      <c r="V41" s="1957">
        <f t="shared" si="67"/>
        <v>-0.35791670571434131</v>
      </c>
      <c r="W41" s="1957">
        <f t="shared" si="67"/>
        <v>-0.17462079436745404</v>
      </c>
      <c r="X41" s="1958">
        <f t="shared" si="67"/>
        <v>-0.17970188467103809</v>
      </c>
      <c r="Y41" s="1957">
        <f t="shared" si="67"/>
        <v>0.10041730455098219</v>
      </c>
      <c r="Z41" s="1957">
        <f t="shared" si="67"/>
        <v>0.18957728208490221</v>
      </c>
      <c r="AA41" s="1957">
        <f t="shared" si="67"/>
        <v>0.34788702112187253</v>
      </c>
      <c r="AB41" s="1958">
        <f t="shared" si="67"/>
        <v>0.66234604635359529</v>
      </c>
      <c r="AC41" s="1957">
        <f t="shared" si="67"/>
        <v>0.65365600099768906</v>
      </c>
      <c r="AD41" s="1957">
        <f t="shared" si="67"/>
        <v>0.5493585312078515</v>
      </c>
      <c r="AE41" s="1957">
        <f t="shared" si="67"/>
        <v>0.8362536491096737</v>
      </c>
      <c r="AF41" s="1958">
        <f t="shared" si="67"/>
        <v>0.88747174701200793</v>
      </c>
      <c r="AG41" s="1957">
        <f t="shared" si="67"/>
        <v>0.58267808007694177</v>
      </c>
      <c r="AH41" s="1957">
        <f t="shared" si="67"/>
        <v>0.81431842041365643</v>
      </c>
      <c r="AI41" s="1957">
        <f t="shared" si="67"/>
        <v>1.0780361450856712</v>
      </c>
      <c r="AJ41" s="1958">
        <f t="shared" si="67"/>
        <v>0.79181480060024234</v>
      </c>
      <c r="AK41" s="1957">
        <f t="shared" si="67"/>
        <v>0.68149974513040923</v>
      </c>
      <c r="AL41" s="1957">
        <f t="shared" si="67"/>
        <v>1.0774670176966727</v>
      </c>
      <c r="AM41" s="1957">
        <f t="shared" si="67"/>
        <v>1.1667566958220745</v>
      </c>
      <c r="AN41" s="1958">
        <f t="shared" si="67"/>
        <v>1.1322869314319746</v>
      </c>
      <c r="AO41" s="1957">
        <f t="shared" si="67"/>
        <v>1.1816710082201221</v>
      </c>
      <c r="AP41" s="1957">
        <f t="shared" si="67"/>
        <v>1.1020279429766804</v>
      </c>
      <c r="AQ41" s="1957">
        <f t="shared" si="67"/>
        <v>1.2162949247465846</v>
      </c>
      <c r="AR41" s="1958">
        <f t="shared" si="67"/>
        <v>0.88973271679222532</v>
      </c>
      <c r="AS41" s="1957">
        <f t="shared" si="67"/>
        <v>0.89441482404767281</v>
      </c>
      <c r="AT41" s="1957">
        <f t="shared" si="67"/>
        <v>0.8410931772131649</v>
      </c>
      <c r="AU41" s="1957">
        <f t="shared" si="67"/>
        <v>0.93528053959496327</v>
      </c>
      <c r="AV41" s="1958">
        <f t="shared" si="67"/>
        <v>0.80770679629277242</v>
      </c>
      <c r="AW41" s="1957">
        <f t="shared" si="67"/>
        <v>0.68212117034750896</v>
      </c>
      <c r="AX41" s="1957">
        <f t="shared" si="67"/>
        <v>0.66478460957871222</v>
      </c>
      <c r="AY41" s="1957">
        <f t="shared" si="67"/>
        <v>0.91272626406081492</v>
      </c>
      <c r="AZ41" s="1958">
        <f t="shared" si="67"/>
        <v>1.0604178730094338</v>
      </c>
      <c r="BA41" s="1957">
        <f t="shared" ref="BA41:CF41" si="68">+BA40+AW40</f>
        <v>1.1168099501234183</v>
      </c>
      <c r="BB41" s="1957">
        <f t="shared" si="68"/>
        <v>1.14094611695348</v>
      </c>
      <c r="BC41" s="1957">
        <f t="shared" si="68"/>
        <v>1.1860439717919806</v>
      </c>
      <c r="BD41" s="1958">
        <f t="shared" si="68"/>
        <v>1.0424143719284706</v>
      </c>
      <c r="BE41" s="1957">
        <f t="shared" si="68"/>
        <v>1.0545348574197813</v>
      </c>
      <c r="BF41" s="1957">
        <f t="shared" si="68"/>
        <v>1.0194257445263062</v>
      </c>
      <c r="BG41" s="1957">
        <f t="shared" si="68"/>
        <v>0.9157910623157941</v>
      </c>
      <c r="BH41" s="1958">
        <f t="shared" si="68"/>
        <v>0.8060123111916524</v>
      </c>
      <c r="BI41" s="1970">
        <f t="shared" si="68"/>
        <v>0.82788278046671326</v>
      </c>
      <c r="BJ41" s="1957">
        <f t="shared" si="68"/>
        <v>0.71838405425072738</v>
      </c>
      <c r="BK41" s="1957">
        <f t="shared" si="68"/>
        <v>0.69369607308197456</v>
      </c>
      <c r="BL41" s="1958">
        <f t="shared" si="68"/>
        <v>0.71553150310071723</v>
      </c>
      <c r="BM41" s="1970">
        <f t="shared" si="68"/>
        <v>0.75138414639206563</v>
      </c>
      <c r="BN41" s="1957">
        <f t="shared" si="68"/>
        <v>0.73883551678957105</v>
      </c>
      <c r="BO41" s="1957">
        <f t="shared" si="68"/>
        <v>0.74151123853231748</v>
      </c>
      <c r="BP41" s="1958">
        <f t="shared" si="68"/>
        <v>0.67482686403349579</v>
      </c>
      <c r="BQ41" s="1957">
        <f>+BQ40+BM40</f>
        <v>0.58196633024999311</v>
      </c>
      <c r="BR41" s="1957">
        <f t="shared" si="68"/>
        <v>0.47216540479354463</v>
      </c>
      <c r="BS41" s="1957">
        <f t="shared" si="68"/>
        <v>0.44211698021164447</v>
      </c>
      <c r="BT41" s="1958">
        <f t="shared" si="68"/>
        <v>0.37827495694405777</v>
      </c>
      <c r="BU41" s="1970">
        <f t="shared" si="68"/>
        <v>0.39659331685382226</v>
      </c>
      <c r="BV41" s="1957">
        <f t="shared" si="68"/>
        <v>0.27245468932177297</v>
      </c>
      <c r="BW41" s="1957">
        <f t="shared" si="68"/>
        <v>0.34267974968264037</v>
      </c>
      <c r="BX41" s="1958">
        <f t="shared" si="68"/>
        <v>0.33345858168766029</v>
      </c>
      <c r="BY41" s="1957">
        <f t="shared" si="68"/>
        <v>0.36351116839085429</v>
      </c>
      <c r="BZ41" s="1957">
        <f t="shared" si="68"/>
        <v>0.37580734383363401</v>
      </c>
      <c r="CA41" s="1957">
        <f t="shared" si="68"/>
        <v>0.4366100749140327</v>
      </c>
      <c r="CB41" s="1958">
        <f t="shared" si="68"/>
        <v>0.42805723829062181</v>
      </c>
      <c r="CC41" s="1957">
        <f t="shared" si="68"/>
        <v>0.35433466583209383</v>
      </c>
      <c r="CD41" s="1957">
        <f t="shared" si="68"/>
        <v>0.42160811916723451</v>
      </c>
      <c r="CE41" s="1957">
        <f t="shared" si="68"/>
        <v>0.36283880925829126</v>
      </c>
      <c r="CF41" s="1958">
        <f t="shared" si="68"/>
        <v>0.43627346269561729</v>
      </c>
      <c r="CG41" s="1007"/>
      <c r="CH41" s="1970"/>
      <c r="CI41" s="1957"/>
      <c r="CJ41" s="1957">
        <f t="shared" ref="CJ41:CX41" si="69">+CJ40+CI40</f>
        <v>-0.25748317596893111</v>
      </c>
      <c r="CK41" s="1957">
        <f t="shared" si="69"/>
        <v>0.29975132305759489</v>
      </c>
      <c r="CL41" s="1957">
        <f t="shared" si="69"/>
        <v>0.71979309600641384</v>
      </c>
      <c r="CM41" s="1957">
        <f t="shared" si="69"/>
        <v>0.8234401803610969</v>
      </c>
      <c r="CN41" s="1957">
        <f t="shared" si="69"/>
        <v>1.0353652777374946</v>
      </c>
      <c r="CO41" s="1957">
        <f t="shared" si="69"/>
        <v>1.0924076460606567</v>
      </c>
      <c r="CP41" s="1957">
        <f t="shared" si="69"/>
        <v>0.85770277027463604</v>
      </c>
      <c r="CQ41" s="1957">
        <f t="shared" si="69"/>
        <v>0.83669948973451391</v>
      </c>
      <c r="CR41" s="1957">
        <f t="shared" si="69"/>
        <v>1.1272765613066986</v>
      </c>
      <c r="CS41" s="1957">
        <f t="shared" si="69"/>
        <v>0.93532894071670025</v>
      </c>
      <c r="CT41" s="1957">
        <f t="shared" si="69"/>
        <v>0.7256117565998248</v>
      </c>
      <c r="CU41" s="1957">
        <f t="shared" si="69"/>
        <v>0.72654080808238208</v>
      </c>
      <c r="CV41" s="1957">
        <f t="shared" si="69"/>
        <v>0.45971769056212453</v>
      </c>
      <c r="CW41" s="1957">
        <f t="shared" si="69"/>
        <v>0.33339302681556671</v>
      </c>
      <c r="CX41" s="1957">
        <f t="shared" si="69"/>
        <v>0.40565652388675955</v>
      </c>
      <c r="CY41" s="1957">
        <f t="shared" ref="CY41:DF41" si="70">+CY40+CX40</f>
        <v>0.3910692541905354</v>
      </c>
      <c r="CZ41" s="1957">
        <f t="shared" si="70"/>
        <v>0.32483549431610337</v>
      </c>
      <c r="DA41" s="1957">
        <f t="shared" si="70"/>
        <v>0.25994103715610994</v>
      </c>
      <c r="DB41" s="1957">
        <f t="shared" si="70"/>
        <v>0.22493198521583779</v>
      </c>
      <c r="DC41" s="1957">
        <f t="shared" si="70"/>
        <v>0.19569639474759737</v>
      </c>
      <c r="DD41" s="1957">
        <f t="shared" si="70"/>
        <v>0.17466222274038934</v>
      </c>
      <c r="DE41" s="1957">
        <f t="shared" si="70"/>
        <v>0.15755450638371715</v>
      </c>
      <c r="DF41" s="1958">
        <f t="shared" si="70"/>
        <v>0.14962163618338709</v>
      </c>
      <c r="DG41" s="1493"/>
      <c r="DH41" s="1493"/>
    </row>
    <row r="42" spans="1:122" s="51" customFormat="1" ht="11.25" customHeight="1">
      <c r="A42" s="300"/>
      <c r="B42"/>
      <c r="C42"/>
      <c r="D42"/>
      <c r="E42"/>
      <c r="F42"/>
      <c r="G42"/>
      <c r="H42" s="1051"/>
      <c r="I42" s="259" t="s">
        <v>375</v>
      </c>
      <c r="J42" s="89"/>
      <c r="K42" s="89"/>
      <c r="L42" s="82"/>
      <c r="M42" s="1957"/>
      <c r="N42" s="1957"/>
      <c r="O42" s="1957"/>
      <c r="P42" s="1958"/>
      <c r="Q42" s="1957"/>
      <c r="R42" s="1957"/>
      <c r="S42" s="1957"/>
      <c r="T42" s="1958"/>
      <c r="U42" s="1970">
        <f t="shared" ref="U42:BH42" si="71">+U39/T39-1</f>
        <v>8.2108647159165438E-2</v>
      </c>
      <c r="V42" s="1957">
        <f t="shared" si="71"/>
        <v>0.22757449904507832</v>
      </c>
      <c r="W42" s="1957">
        <f t="shared" si="71"/>
        <v>3.8030325480318261E-3</v>
      </c>
      <c r="X42" s="1958">
        <f t="shared" si="71"/>
        <v>-0.21728006297972846</v>
      </c>
      <c r="Y42" s="1970">
        <f t="shared" si="71"/>
        <v>0.36327633894895661</v>
      </c>
      <c r="Z42" s="1957">
        <f t="shared" si="71"/>
        <v>0.25900308940840122</v>
      </c>
      <c r="AA42" s="1957">
        <f t="shared" si="71"/>
        <v>-5.4021388807500625E-2</v>
      </c>
      <c r="AB42" s="1958">
        <f t="shared" si="71"/>
        <v>-3.0779356537224967E-3</v>
      </c>
      <c r="AC42" s="1970">
        <f t="shared" si="71"/>
        <v>0.12755587487135656</v>
      </c>
      <c r="AD42" s="1957">
        <f t="shared" si="71"/>
        <v>0.12926224426534416</v>
      </c>
      <c r="AE42" s="1957">
        <f t="shared" si="71"/>
        <v>0.23318693384573153</v>
      </c>
      <c r="AF42" s="1958">
        <f t="shared" si="71"/>
        <v>-0.19194954553886101</v>
      </c>
      <c r="AG42" s="1970">
        <f t="shared" si="71"/>
        <v>0.10541297461089916</v>
      </c>
      <c r="AH42" s="1957">
        <f t="shared" si="71"/>
        <v>0.46480043194750187</v>
      </c>
      <c r="AI42" s="1957">
        <f t="shared" si="71"/>
        <v>0.15609995841367064</v>
      </c>
      <c r="AJ42" s="1958">
        <f t="shared" si="71"/>
        <v>-0.18642086330935292</v>
      </c>
      <c r="AK42" s="1970">
        <f t="shared" si="71"/>
        <v>4.3429765768663309E-2</v>
      </c>
      <c r="AL42" s="1957">
        <f t="shared" si="71"/>
        <v>0.49166498136538195</v>
      </c>
      <c r="AM42" s="1957">
        <f t="shared" si="71"/>
        <v>0.30626303319065462</v>
      </c>
      <c r="AN42" s="1958">
        <f t="shared" si="71"/>
        <v>-0.20846533650305676</v>
      </c>
      <c r="AO42" s="1970">
        <f t="shared" si="71"/>
        <v>0.13081947150207296</v>
      </c>
      <c r="AP42" s="1957">
        <f t="shared" si="71"/>
        <v>0.40099832691893567</v>
      </c>
      <c r="AQ42" s="1957">
        <f t="shared" si="71"/>
        <v>0.245750320228594</v>
      </c>
      <c r="AR42" s="1958">
        <f t="shared" si="71"/>
        <v>-0.35122026841475851</v>
      </c>
      <c r="AS42" s="1970">
        <f t="shared" si="71"/>
        <v>1.5921780898739302E-2</v>
      </c>
      <c r="AT42" s="1957">
        <f t="shared" si="71"/>
        <v>0.4651658426534826</v>
      </c>
      <c r="AU42" s="1957">
        <f t="shared" si="71"/>
        <v>0.42186097405958622</v>
      </c>
      <c r="AV42" s="1958">
        <f t="shared" si="71"/>
        <v>-0.27837633581102539</v>
      </c>
      <c r="AW42" s="1970">
        <f t="shared" si="71"/>
        <v>1.8924674876830805E-2</v>
      </c>
      <c r="AX42" s="1957">
        <f t="shared" si="71"/>
        <v>0.39818749294927258</v>
      </c>
      <c r="AY42" s="1957">
        <f t="shared" si="71"/>
        <v>0.49760636867301389</v>
      </c>
      <c r="AZ42" s="1958">
        <f t="shared" si="71"/>
        <v>-0.28141237458994783</v>
      </c>
      <c r="BA42" s="1970">
        <f t="shared" si="71"/>
        <v>5.3402365015432052E-2</v>
      </c>
      <c r="BB42" s="1957">
        <f t="shared" si="71"/>
        <v>0.48124782526175935</v>
      </c>
      <c r="BC42" s="1957">
        <f t="shared" si="71"/>
        <v>0.46837740764814928</v>
      </c>
      <c r="BD42" s="1958">
        <f t="shared" si="71"/>
        <v>-0.34127317415475011</v>
      </c>
      <c r="BE42" s="1970">
        <f t="shared" si="71"/>
        <v>2.5653480006126772E-2</v>
      </c>
      <c r="BF42" s="1957">
        <f t="shared" si="71"/>
        <v>0.35094606666594919</v>
      </c>
      <c r="BG42" s="1957">
        <f t="shared" si="71"/>
        <v>0.39074055263100238</v>
      </c>
      <c r="BH42" s="1958">
        <f t="shared" si="71"/>
        <v>-0.32706815104321429</v>
      </c>
      <c r="BI42" s="1970">
        <f t="shared" ref="BI42:BY42" si="72">+BI39/BH39-1</f>
        <v>7.4397446129289557E-2</v>
      </c>
      <c r="BJ42" s="1957">
        <f t="shared" si="72"/>
        <v>0.37060807297469966</v>
      </c>
      <c r="BK42" s="1957">
        <f t="shared" si="72"/>
        <v>0.43733628161910021</v>
      </c>
      <c r="BL42" s="1958">
        <f t="shared" si="72"/>
        <v>-0.32968455027864851</v>
      </c>
      <c r="BM42" s="1970">
        <f t="shared" si="72"/>
        <v>5.4878830811647461E-2</v>
      </c>
      <c r="BN42" s="1957">
        <f t="shared" si="72"/>
        <v>0.33880897650929143</v>
      </c>
      <c r="BO42" s="1957">
        <f t="shared" si="72"/>
        <v>0.39138797958147564</v>
      </c>
      <c r="BP42" s="1958">
        <f t="shared" si="72"/>
        <v>-0.36080188459597751</v>
      </c>
      <c r="BQ42" s="1957">
        <f t="shared" si="72"/>
        <v>-1.4623645640822192E-3</v>
      </c>
      <c r="BR42" s="1957">
        <f t="shared" si="72"/>
        <v>0.25156138248429061</v>
      </c>
      <c r="BS42" s="1957">
        <f t="shared" si="72"/>
        <v>0.40822473632356138</v>
      </c>
      <c r="BT42" s="1958">
        <f t="shared" si="72"/>
        <v>-0.36233349913581392</v>
      </c>
      <c r="BU42" s="1970">
        <f t="shared" si="72"/>
        <v>7.4528182919606945E-2</v>
      </c>
      <c r="BV42" s="1957">
        <f t="shared" si="72"/>
        <v>0.20320780410507844</v>
      </c>
      <c r="BW42" s="1957">
        <f t="shared" si="72"/>
        <v>0.4770912883187135</v>
      </c>
      <c r="BX42" s="1958">
        <f t="shared" si="72"/>
        <v>-0.36575061513269624</v>
      </c>
      <c r="BY42" s="1957">
        <f t="shared" si="72"/>
        <v>2.5423911233763086E-2</v>
      </c>
      <c r="BZ42" s="1957">
        <f>+BZ39/BY39-1</f>
        <v>0.26457447514924581</v>
      </c>
      <c r="CA42" s="1957">
        <f t="shared" ref="CA42:CF42" si="73">+CA39/BZ39-1</f>
        <v>0.48198802499073445</v>
      </c>
      <c r="CB42" s="1958">
        <f t="shared" si="73"/>
        <v>-0.36680547703959698</v>
      </c>
      <c r="CC42" s="1957">
        <f t="shared" si="73"/>
        <v>9.942357350787745E-3</v>
      </c>
      <c r="CD42" s="1957">
        <f t="shared" si="73"/>
        <v>0.27335431045818925</v>
      </c>
      <c r="CE42" s="1957">
        <f t="shared" si="73"/>
        <v>0.40487047162630185</v>
      </c>
      <c r="CF42" s="1958">
        <f t="shared" si="73"/>
        <v>-0.32503733983228134</v>
      </c>
      <c r="CG42" s="1007"/>
      <c r="CH42" s="1970"/>
      <c r="CI42" s="1957"/>
      <c r="CJ42" s="1957"/>
      <c r="CK42" s="1957"/>
      <c r="CL42" s="1957"/>
      <c r="CM42" s="1957"/>
      <c r="CN42" s="1957"/>
      <c r="CO42" s="1957"/>
      <c r="CP42" s="1957"/>
      <c r="CQ42" s="1957"/>
      <c r="CR42" s="1957"/>
      <c r="CS42" s="1957"/>
      <c r="CT42" s="1957"/>
      <c r="CU42" s="1957"/>
      <c r="CV42" s="1957"/>
      <c r="CW42" s="1957"/>
      <c r="CX42" s="1957"/>
      <c r="CY42" s="1957"/>
      <c r="CZ42" s="1957"/>
      <c r="DA42" s="1957"/>
      <c r="DB42" s="1957"/>
      <c r="DC42" s="1957"/>
      <c r="DD42" s="1957"/>
      <c r="DE42" s="1957"/>
      <c r="DF42" s="1958"/>
      <c r="DG42" s="1493"/>
      <c r="DH42" s="1493"/>
    </row>
    <row r="43" spans="1:122" s="554" customFormat="1" ht="11.25" customHeight="1">
      <c r="A43" s="556"/>
      <c r="B43"/>
      <c r="C43"/>
      <c r="D43"/>
      <c r="E43"/>
      <c r="F43"/>
      <c r="G43"/>
      <c r="H43" s="1048"/>
      <c r="I43" s="555" t="s">
        <v>385</v>
      </c>
      <c r="J43" s="550"/>
      <c r="K43" s="550"/>
      <c r="L43" s="547"/>
      <c r="M43" s="2057"/>
      <c r="N43" s="2057"/>
      <c r="O43" s="2057"/>
      <c r="P43" s="2058"/>
      <c r="Q43" s="2057">
        <f t="shared" ref="Q43:AV43" si="74">+Q39-M39</f>
        <v>-1.1219999999999999</v>
      </c>
      <c r="R43" s="2057">
        <f t="shared" si="74"/>
        <v>-11.957999999999998</v>
      </c>
      <c r="S43" s="2057">
        <f t="shared" si="74"/>
        <v>-12.691000000000003</v>
      </c>
      <c r="T43" s="2058">
        <f t="shared" si="74"/>
        <v>-8.7689999999999984</v>
      </c>
      <c r="U43" s="2057">
        <f t="shared" si="74"/>
        <v>-9.0060000000000002</v>
      </c>
      <c r="V43" s="2057">
        <f t="shared" si="74"/>
        <v>-7.6540000000000035</v>
      </c>
      <c r="W43" s="2057">
        <f t="shared" si="74"/>
        <v>2.9070000000000036</v>
      </c>
      <c r="X43" s="2058">
        <f t="shared" si="74"/>
        <v>1.3319999999999972</v>
      </c>
      <c r="Y43" s="2057">
        <f t="shared" si="74"/>
        <v>10.387</v>
      </c>
      <c r="Z43" s="2057">
        <f t="shared" si="74"/>
        <v>14.113999999999997</v>
      </c>
      <c r="AA43" s="2057">
        <f t="shared" si="74"/>
        <v>11.009999999999998</v>
      </c>
      <c r="AB43" s="2058">
        <f t="shared" si="74"/>
        <v>19.683000000000003</v>
      </c>
      <c r="AC43" s="2057">
        <f t="shared" si="74"/>
        <v>14.693999999999996</v>
      </c>
      <c r="AD43" s="2057">
        <f t="shared" si="74"/>
        <v>10.966000000000001</v>
      </c>
      <c r="AE43" s="2057">
        <f t="shared" si="74"/>
        <v>29.206999999999994</v>
      </c>
      <c r="AF43" s="2058">
        <f t="shared" si="74"/>
        <v>13.844000000000001</v>
      </c>
      <c r="AG43" s="2057">
        <f t="shared" si="74"/>
        <v>14.162999999999997</v>
      </c>
      <c r="AH43" s="2057">
        <f t="shared" si="74"/>
        <v>40.230000000000004</v>
      </c>
      <c r="AI43" s="2057">
        <f t="shared" si="74"/>
        <v>41.455000000000027</v>
      </c>
      <c r="AJ43" s="2058">
        <f t="shared" si="74"/>
        <v>34.173999999999964</v>
      </c>
      <c r="AK43" s="2057">
        <f t="shared" si="74"/>
        <v>31.608000000000033</v>
      </c>
      <c r="AL43" s="2057">
        <f t="shared" si="74"/>
        <v>49.088999999999942</v>
      </c>
      <c r="AM43" s="2057">
        <f t="shared" si="74"/>
        <v>80.010999999999967</v>
      </c>
      <c r="AN43" s="2058">
        <f t="shared" si="74"/>
        <v>60.635000000000048</v>
      </c>
      <c r="AO43" s="2057">
        <f t="shared" si="74"/>
        <v>77.263999999999982</v>
      </c>
      <c r="AP43" s="2057">
        <f t="shared" si="74"/>
        <v>98.832000000000079</v>
      </c>
      <c r="AQ43" s="2057">
        <f t="shared" si="74"/>
        <v>113.74700000000004</v>
      </c>
      <c r="AR43" s="2058">
        <f t="shared" si="74"/>
        <v>44.912999999999982</v>
      </c>
      <c r="AS43" s="2057">
        <f t="shared" si="74"/>
        <v>27.226999999999975</v>
      </c>
      <c r="AT43" s="2057">
        <f t="shared" si="74"/>
        <v>51.512999999999977</v>
      </c>
      <c r="AU43" s="2057">
        <f t="shared" si="74"/>
        <v>117.92799999999994</v>
      </c>
      <c r="AV43" s="2058">
        <f t="shared" si="74"/>
        <v>108.12400000000008</v>
      </c>
      <c r="AW43" s="2057">
        <f t="shared" ref="AW43:CB43" si="75">+AW39-AS39</f>
        <v>110.78599999999989</v>
      </c>
      <c r="AX43" s="2057">
        <f t="shared" si="75"/>
        <v>140.94599999999991</v>
      </c>
      <c r="AY43" s="2057">
        <f t="shared" si="75"/>
        <v>234.20199999999988</v>
      </c>
      <c r="AZ43" s="2058">
        <f t="shared" si="75"/>
        <v>166.97699999999998</v>
      </c>
      <c r="BA43" s="2057">
        <f t="shared" si="75"/>
        <v>186.69200000000018</v>
      </c>
      <c r="BB43" s="2057">
        <f t="shared" si="75"/>
        <v>303.04300000000018</v>
      </c>
      <c r="BC43" s="2057">
        <f t="shared" si="75"/>
        <v>431.94000000000028</v>
      </c>
      <c r="BD43" s="2058">
        <f t="shared" si="75"/>
        <v>244.53099999999995</v>
      </c>
      <c r="BE43" s="2057">
        <f t="shared" si="75"/>
        <v>237.47999999999996</v>
      </c>
      <c r="BF43" s="2057">
        <f t="shared" si="75"/>
        <v>254.91499999999996</v>
      </c>
      <c r="BG43" s="2057">
        <f t="shared" si="75"/>
        <v>296.35299999999984</v>
      </c>
      <c r="BH43" s="2058">
        <f t="shared" si="75"/>
        <v>215.05300000000011</v>
      </c>
      <c r="BI43" s="2059">
        <f t="shared" si="75"/>
        <v>266.37699999999995</v>
      </c>
      <c r="BJ43" s="2057">
        <f t="shared" si="75"/>
        <v>379.71299999999997</v>
      </c>
      <c r="BK43" s="2057">
        <f t="shared" si="75"/>
        <v>592.56399999999985</v>
      </c>
      <c r="BL43" s="2058">
        <f t="shared" si="75"/>
        <v>393.55099999999982</v>
      </c>
      <c r="BM43" s="2059">
        <f t="shared" si="75"/>
        <v>396.80600000000027</v>
      </c>
      <c r="BN43" s="2057">
        <f t="shared" si="75"/>
        <v>499.14099999999985</v>
      </c>
      <c r="BO43" s="2057">
        <f t="shared" si="75"/>
        <v>630.91300000000024</v>
      </c>
      <c r="BP43" s="2058">
        <f t="shared" si="75"/>
        <v>341.38400000000001</v>
      </c>
      <c r="BQ43" s="2057">
        <f>+BQ39-BM39</f>
        <v>265.76499999999965</v>
      </c>
      <c r="BR43" s="2057">
        <f>+BR39-BN39</f>
        <v>209.91000000000008</v>
      </c>
      <c r="BS43" s="2057">
        <f>+BS39-BO39</f>
        <v>327.30399999999963</v>
      </c>
      <c r="BT43" s="2058">
        <f t="shared" si="75"/>
        <v>204.69799999999987</v>
      </c>
      <c r="BU43" s="2059">
        <f t="shared" si="75"/>
        <v>347.21399999999971</v>
      </c>
      <c r="BV43" s="2057">
        <f t="shared" si="75"/>
        <v>336.91200000000026</v>
      </c>
      <c r="BW43" s="2057">
        <f>+BW39-BS39</f>
        <v>641.7810000000004</v>
      </c>
      <c r="BX43" s="2058">
        <f t="shared" si="75"/>
        <v>396.97800000000007</v>
      </c>
      <c r="BY43" s="2057">
        <f>+BY39-BU39</f>
        <v>314.78500000000054</v>
      </c>
      <c r="BZ43" s="2057">
        <f t="shared" si="75"/>
        <v>521.99599999999964</v>
      </c>
      <c r="CA43" s="2057">
        <f t="shared" si="75"/>
        <v>785.48999999999978</v>
      </c>
      <c r="CB43" s="2058">
        <f t="shared" si="75"/>
        <v>493.58199999999988</v>
      </c>
      <c r="CC43" s="2057">
        <f>+CC39-BY39</f>
        <v>463.24776314731298</v>
      </c>
      <c r="CD43" s="2057">
        <f>+CD39-BZ39</f>
        <v>610.37273488611709</v>
      </c>
      <c r="CE43" s="2057">
        <f>+CE39-CA39</f>
        <v>629.85795826041522</v>
      </c>
      <c r="CF43" s="2058">
        <f>+CF39-CB39</f>
        <v>607.84753295993187</v>
      </c>
      <c r="CG43" s="2056"/>
      <c r="CH43" s="2059"/>
      <c r="CI43" s="2057">
        <f t="shared" ref="CI43:CX43" si="76">+CI39-CH39</f>
        <v>-34.539999999999992</v>
      </c>
      <c r="CJ43" s="2057">
        <f t="shared" si="76"/>
        <v>-12.421000000000021</v>
      </c>
      <c r="CK43" s="2057">
        <f t="shared" si="76"/>
        <v>55.194000000000017</v>
      </c>
      <c r="CL43" s="2057">
        <f t="shared" si="76"/>
        <v>68.711000000000013</v>
      </c>
      <c r="CM43" s="2057">
        <f t="shared" si="76"/>
        <v>130.02200000000016</v>
      </c>
      <c r="CN43" s="2057">
        <f t="shared" si="76"/>
        <v>221.34299999999951</v>
      </c>
      <c r="CO43" s="2057">
        <f t="shared" si="76"/>
        <v>334.75600000000043</v>
      </c>
      <c r="CP43" s="2057">
        <f t="shared" si="76"/>
        <v>304.7919999999998</v>
      </c>
      <c r="CQ43" s="2057">
        <f t="shared" si="76"/>
        <v>652.91099999999983</v>
      </c>
      <c r="CR43" s="2057">
        <f t="shared" si="76"/>
        <v>1166.2060000000008</v>
      </c>
      <c r="CS43" s="2057">
        <f t="shared" si="76"/>
        <v>1003.8010000000004</v>
      </c>
      <c r="CT43" s="2057">
        <f t="shared" si="76"/>
        <v>1632.2049999999995</v>
      </c>
      <c r="CU43" s="2057">
        <f t="shared" si="76"/>
        <v>1868.2439999999988</v>
      </c>
      <c r="CV43" s="2057">
        <f>+CV39-CU39</f>
        <v>1007.6769999999997</v>
      </c>
      <c r="CW43" s="2057">
        <f t="shared" si="76"/>
        <v>1722.8850000000002</v>
      </c>
      <c r="CX43" s="2057">
        <f t="shared" si="76"/>
        <v>2115.8529999999992</v>
      </c>
      <c r="CY43" s="2057">
        <f t="shared" ref="CY43:DF43" si="77">+CY39-CX39</f>
        <v>2311.325989253779</v>
      </c>
      <c r="CZ43" s="2057">
        <f t="shared" si="77"/>
        <v>2047.5907815992286</v>
      </c>
      <c r="DA43" s="2057">
        <f t="shared" si="77"/>
        <v>2032.2766178635393</v>
      </c>
      <c r="DB43" s="2057">
        <f t="shared" si="77"/>
        <v>1955.3378977285865</v>
      </c>
      <c r="DC43" s="2057">
        <f t="shared" si="77"/>
        <v>1907.5264251690824</v>
      </c>
      <c r="DD43" s="2057">
        <f t="shared" si="77"/>
        <v>1879.4882613746995</v>
      </c>
      <c r="DE43" s="2057">
        <f t="shared" si="77"/>
        <v>1834.9736533964206</v>
      </c>
      <c r="DF43" s="2058">
        <f t="shared" si="77"/>
        <v>1977.8223642414378</v>
      </c>
      <c r="DG43" s="1492"/>
      <c r="DH43" s="1492"/>
      <c r="DJ43" s="51"/>
      <c r="DK43" s="51"/>
      <c r="DL43" s="51"/>
      <c r="DM43" s="51"/>
    </row>
    <row r="44" spans="1:122" s="51" customFormat="1" ht="11.25" customHeight="1">
      <c r="A44" s="296"/>
      <c r="B44"/>
      <c r="C44"/>
      <c r="D44"/>
      <c r="E44"/>
      <c r="F44"/>
      <c r="G44"/>
      <c r="H44" s="1048"/>
      <c r="I44" s="199" t="s">
        <v>147</v>
      </c>
      <c r="J44" s="89"/>
      <c r="K44" s="89"/>
      <c r="L44" s="82"/>
      <c r="M44" s="1957"/>
      <c r="N44" s="1957"/>
      <c r="O44" s="1957"/>
      <c r="P44" s="1958"/>
      <c r="Q44" s="1957">
        <f>+(Q39-M39)/(CI39-CH39)</f>
        <v>3.2484076433121026E-2</v>
      </c>
      <c r="R44" s="1957">
        <f>+(R39-N39)/(CI39-CH39)</f>
        <v>0.3462072958888246</v>
      </c>
      <c r="S44" s="1957">
        <f>+(S39-O39)/(CI39-CH39)</f>
        <v>0.36742906774753925</v>
      </c>
      <c r="T44" s="1958">
        <f>+(T39-P39)/(CI39-CH39)</f>
        <v>0.25387955993051536</v>
      </c>
      <c r="U44" s="1957">
        <f>+(U39-Q39)/(CJ39-CI39)</f>
        <v>0.72506239433217823</v>
      </c>
      <c r="V44" s="1957">
        <f>+(V39-R39)/(CJ39-CI39)</f>
        <v>0.61621447548506492</v>
      </c>
      <c r="W44" s="1957">
        <f>+(W39-S39)/(CJ39-CI39)</f>
        <v>-0.23403912728443754</v>
      </c>
      <c r="X44" s="1958">
        <f>+(X39-T39)/(CJ39-CI39)</f>
        <v>-0.10723774253280693</v>
      </c>
      <c r="Y44" s="1957">
        <f>+(Y39-U39)/(CK39-CJ39)</f>
        <v>0.1881907453708736</v>
      </c>
      <c r="Z44" s="1957">
        <f>+(Z39-V39)/(CK39-CJ39)</f>
        <v>0.2557162010363444</v>
      </c>
      <c r="AA44" s="1957">
        <f>+(AA39-W39)/(CK39-CJ39)</f>
        <v>0.19947820415262518</v>
      </c>
      <c r="AB44" s="1958">
        <f>+(AB39-X39)/(CK39-CJ39)</f>
        <v>0.35661484944015648</v>
      </c>
      <c r="AC44" s="1957">
        <f>+(AC39-Y39)/(CL39-CK39)</f>
        <v>0.21385222162390291</v>
      </c>
      <c r="AD44" s="1957">
        <f>+(AD39-Z39)/(CL39-CK39)</f>
        <v>0.15959598899739488</v>
      </c>
      <c r="AE44" s="1957">
        <f>+(AE39-AA39)/(CL39-CK39)</f>
        <v>0.42507022165301028</v>
      </c>
      <c r="AF44" s="1958">
        <f>+(AF39-AB39)/(CL39-CK39)</f>
        <v>0.20148156772569165</v>
      </c>
      <c r="AG44" s="1957">
        <f>+(AG39-AC39)/(CM39-CL39)</f>
        <v>0.10892771992432033</v>
      </c>
      <c r="AH44" s="1957">
        <f>+(AH39-AD39)/(CM39-CL39)</f>
        <v>0.30940917690852282</v>
      </c>
      <c r="AI44" s="1957">
        <f>+(AI39-AE39)/(CM39-CL39)</f>
        <v>0.31883065942686606</v>
      </c>
      <c r="AJ44" s="1958">
        <f>+(AJ39-AF39)/(CM39-CL39)</f>
        <v>0.26283244374028952</v>
      </c>
      <c r="AK44" s="1957">
        <f>+(AK39-AG39)/(CN39-CM39)</f>
        <v>0.14280099212534439</v>
      </c>
      <c r="AL44" s="1957">
        <f>+(AL39-AH39)/(CN39-CM39)</f>
        <v>0.22177796451661019</v>
      </c>
      <c r="AM44" s="1957">
        <f>+(AM39-AI39)/(CN39-CM39)</f>
        <v>0.36147969441093752</v>
      </c>
      <c r="AN44" s="1958">
        <f>+(AN39-AJ39)/(CN39-CM39)</f>
        <v>0.27394134894711009</v>
      </c>
      <c r="AO44" s="1957">
        <f>+(AO39-AK39)/(CO39-CN39)</f>
        <v>0.23080691608216097</v>
      </c>
      <c r="AP44" s="1957">
        <f>+(AP39-AL39)/(CO39-CN39)</f>
        <v>0.29523593303779455</v>
      </c>
      <c r="AQ44" s="1957">
        <f>+(AQ39-AM39)/(CO39-CN39)</f>
        <v>0.33979077298091714</v>
      </c>
      <c r="AR44" s="1958">
        <f>+(AR39-AN39)/(CO39-CN39)</f>
        <v>0.1341663778991263</v>
      </c>
      <c r="AS44" s="1957">
        <f>+(AS39-AO39)/(CP39-CO39)</f>
        <v>8.9329772434972018E-2</v>
      </c>
      <c r="AT44" s="1957">
        <f>+(AT39-AP39)/(CP39-CO39)</f>
        <v>0.169010341478779</v>
      </c>
      <c r="AU44" s="1957">
        <f>+(AU39-AQ39)/(CP39-CO39)</f>
        <v>0.38691304233706925</v>
      </c>
      <c r="AV44" s="1958">
        <f>+(AV39-AR39)/(CP39-CO39)</f>
        <v>0.35474684374918025</v>
      </c>
      <c r="AW44" s="1957">
        <f>+(AW39-AS39)/(CQ39-CP39)</f>
        <v>0.16968009422417438</v>
      </c>
      <c r="AX44" s="1957">
        <f>+(AX39-AT39)/(CQ39-CP39)</f>
        <v>0.21587322008665799</v>
      </c>
      <c r="AY44" s="1957">
        <f>+(AY39-AU39)/(CQ39-CP39)</f>
        <v>0.35870432570442212</v>
      </c>
      <c r="AZ44" s="1958">
        <f>+(AZ39-AV39)/(CQ39-CP39)</f>
        <v>0.25574235998474526</v>
      </c>
      <c r="BA44" s="1957">
        <f>+(BA39-AW39)/(CR39-CQ39)</f>
        <v>0.16008492496179924</v>
      </c>
      <c r="BB44" s="1957">
        <f>+(BB39-AX39)/(CR39-CQ39)</f>
        <v>0.25985374796562527</v>
      </c>
      <c r="BC44" s="1957">
        <f>+(BC39-AY39)/(CR39-CQ39)</f>
        <v>0.37038053311336072</v>
      </c>
      <c r="BD44" s="1958">
        <f>+(BD39-AZ39)/(CR39-CQ39)</f>
        <v>0.20968079395921457</v>
      </c>
      <c r="BE44" s="1957">
        <f>+(BE39-BA39)/(CS39-CR39)</f>
        <v>0.23658075654437472</v>
      </c>
      <c r="BF44" s="1957">
        <f>+(BF39-BB39)/(CS39-CR39)</f>
        <v>0.25394973704947482</v>
      </c>
      <c r="BG44" s="1957">
        <f>+(BG39-BC39)/(CS39-CR39)</f>
        <v>0.29523082762420017</v>
      </c>
      <c r="BH44" s="1958">
        <f>+(BH39-BD39)/(CS39-CR39)</f>
        <v>0.21423867878194983</v>
      </c>
      <c r="BI44" s="1970">
        <f>+(BI39-BE39)/(CT39-CS39)</f>
        <v>0.16320070089235117</v>
      </c>
      <c r="BJ44" s="1957">
        <f>+(BJ39-BF39)/(CT39-CS39)</f>
        <v>0.2326380571067973</v>
      </c>
      <c r="BK44" s="1957">
        <f>+(BK39-BG39)/(CT39-CS39)</f>
        <v>0.3630450831850166</v>
      </c>
      <c r="BL44" s="1958">
        <f>+(BL39-BH39)/(CT39-CS39)</f>
        <v>0.24111615881583498</v>
      </c>
      <c r="BM44" s="1970">
        <f>+(BM39-BI39)/(CU39-CT39)</f>
        <v>0.21239516893938937</v>
      </c>
      <c r="BN44" s="1957">
        <f>+(BN39-BJ39)/(CU39-CT39)</f>
        <v>0.26717120461781235</v>
      </c>
      <c r="BO44" s="1957">
        <f>+(BO39-BK39)/(CU39-CT39)</f>
        <v>0.33770374747624005</v>
      </c>
      <c r="BP44" s="1958">
        <f>+(BP39-BL39)/(CU39-CT39)</f>
        <v>0.1827298789665591</v>
      </c>
      <c r="BQ44" s="1957">
        <f>+(BQ39-BM39)/(CV39-CU39)</f>
        <v>0.26374026597808597</v>
      </c>
      <c r="BR44" s="1957">
        <f>+(BR39-BN39)/(CV39-CU39)</f>
        <v>0.20831079800372554</v>
      </c>
      <c r="BS44" s="1957">
        <f>+(BS39-BO39)/(CV39-CU39)</f>
        <v>0.32481043032638407</v>
      </c>
      <c r="BT44" s="1958">
        <f>+(BT39-BP39)/(CV39-CU39)</f>
        <v>0.20313850569180394</v>
      </c>
      <c r="BU44" s="1970">
        <f>+(BU39-BQ39)/(CW39-CV39)</f>
        <v>0.20153057226686613</v>
      </c>
      <c r="BV44" s="1957">
        <f>+(BV39-BR39)/(CW39-CV39)</f>
        <v>0.19555106696036023</v>
      </c>
      <c r="BW44" s="1957">
        <f>+(BW39-BS39)/(CW39-CV39)</f>
        <v>0.37250367842311027</v>
      </c>
      <c r="BX44" s="1958">
        <f>+(BX39-BT39)/(CW39-CV39)</f>
        <v>0.2304146823496635</v>
      </c>
      <c r="BY44" s="1957">
        <f>+(BY39-BU39)/(CY39-CX39)</f>
        <v>0.13619238543743029</v>
      </c>
      <c r="BZ44" s="1957">
        <f>+(BZ39-BV39)/(CX39-CW39)</f>
        <v>0.2467071200125906</v>
      </c>
      <c r="CA44" s="1957">
        <f>+(CA39-BW39)/(CX39-CW39)</f>
        <v>0.37124034609209622</v>
      </c>
      <c r="CB44" s="1958">
        <f>+(CB39-BX39)/(DA39-CZ39)</f>
        <v>0.24287146526287609</v>
      </c>
      <c r="CC44" s="1957">
        <f>+(CC39-BY39)/(CY39-CX39)</f>
        <v>0.20042510892064794</v>
      </c>
      <c r="CD44" s="1957">
        <f>+(CD39-BZ39)/(CY39-CX39)</f>
        <v>0.26407903416652118</v>
      </c>
      <c r="CE44" s="1957">
        <f>+(CE39-CA39)/(CY39-CX39)</f>
        <v>0.27250935661557951</v>
      </c>
      <c r="CF44" s="1958">
        <f>+(CF39-CB39)/(CY39-CX39)</f>
        <v>0.26298650029725057</v>
      </c>
      <c r="CG44" s="1007"/>
      <c r="CH44" s="1970"/>
      <c r="CI44" s="1957"/>
      <c r="CJ44" s="1957"/>
      <c r="CK44" s="1957"/>
      <c r="CL44" s="1957"/>
      <c r="CM44" s="1957"/>
      <c r="CN44" s="1957"/>
      <c r="CO44" s="1957"/>
      <c r="CP44" s="1957"/>
      <c r="CQ44" s="1957"/>
      <c r="CR44" s="1957"/>
      <c r="CS44" s="1957"/>
      <c r="CT44" s="1957"/>
      <c r="CU44" s="1957"/>
      <c r="CV44" s="1957"/>
      <c r="CW44" s="1957"/>
      <c r="CX44" s="1957"/>
      <c r="CY44" s="1957"/>
      <c r="CZ44" s="1957"/>
      <c r="DA44" s="1957"/>
      <c r="DB44" s="1957"/>
      <c r="DC44" s="1957"/>
      <c r="DD44" s="1957"/>
      <c r="DE44" s="1957"/>
      <c r="DF44" s="1958"/>
      <c r="DG44" s="1493"/>
      <c r="DH44" s="1493"/>
    </row>
    <row r="45" spans="1:122" s="51" customFormat="1" ht="11.25" customHeight="1">
      <c r="A45" s="296"/>
      <c r="B45"/>
      <c r="C45"/>
      <c r="D45"/>
      <c r="E45"/>
      <c r="F45"/>
      <c r="G45"/>
      <c r="H45" s="1048"/>
      <c r="I45" s="579" t="s">
        <v>664</v>
      </c>
      <c r="J45" s="89"/>
      <c r="K45" s="89"/>
      <c r="L45" s="82"/>
      <c r="M45" s="1957"/>
      <c r="N45" s="1957"/>
      <c r="O45" s="1957"/>
      <c r="P45" s="1958"/>
      <c r="Q45" s="1957"/>
      <c r="R45" s="1957"/>
      <c r="S45" s="1957"/>
      <c r="T45" s="1958"/>
      <c r="U45" s="1957"/>
      <c r="V45" s="1957"/>
      <c r="W45" s="1957"/>
      <c r="X45" s="1958"/>
      <c r="Y45" s="1957"/>
      <c r="Z45" s="1957"/>
      <c r="AA45" s="1957"/>
      <c r="AB45" s="1958"/>
      <c r="AC45" s="1957"/>
      <c r="AD45" s="1957"/>
      <c r="AE45" s="1957"/>
      <c r="AF45" s="1958"/>
      <c r="AG45" s="1957"/>
      <c r="AH45" s="1957"/>
      <c r="AI45" s="1957"/>
      <c r="AJ45" s="1958"/>
      <c r="AK45" s="1957"/>
      <c r="AL45" s="1957"/>
      <c r="AM45" s="1957"/>
      <c r="AN45" s="1958"/>
      <c r="AO45" s="1957"/>
      <c r="AP45" s="1957"/>
      <c r="AQ45" s="1957"/>
      <c r="AR45" s="1958"/>
      <c r="AS45" s="1957"/>
      <c r="AT45" s="1957"/>
      <c r="AU45" s="1957"/>
      <c r="AV45" s="1958"/>
      <c r="AW45" s="1957"/>
      <c r="AX45" s="1957"/>
      <c r="AY45" s="1957"/>
      <c r="AZ45" s="1958"/>
      <c r="BA45" s="1957"/>
      <c r="BB45" s="1957"/>
      <c r="BC45" s="1957"/>
      <c r="BD45" s="1958"/>
      <c r="BE45" s="1957"/>
      <c r="BF45" s="1957"/>
      <c r="BG45" s="1957"/>
      <c r="BH45" s="1958"/>
      <c r="BI45" s="2054">
        <f>+BI216+BI244</f>
        <v>1010.3149999999999</v>
      </c>
      <c r="BJ45" s="1931">
        <f>+BJ216+BJ244+BJ312</f>
        <v>1377.8650000000002</v>
      </c>
      <c r="BK45" s="1931">
        <f>+BK216+BK244+BK312</f>
        <v>1950.7149999999999</v>
      </c>
      <c r="BL45" s="1930">
        <f>+BL216+BL244+BL312</f>
        <v>1336.9809999999998</v>
      </c>
      <c r="BM45" s="2054">
        <f>+BM216+BM244+BM312</f>
        <v>1421.2510000000004</v>
      </c>
      <c r="BN45" s="1931">
        <f>+BN216+BN244+BN312</f>
        <v>1864.9959999999996</v>
      </c>
      <c r="BO45" s="1931">
        <f>+BO216+BO244+BO312+BO324</f>
        <v>2634.1280000000002</v>
      </c>
      <c r="BP45" s="1930">
        <f>+BP216+BP244+BP312+BP324</f>
        <v>1762.6849999999999</v>
      </c>
      <c r="BQ45" s="1931">
        <f>+BM39*(1+BQ46)</f>
        <v>1856.5417200000004</v>
      </c>
      <c r="BR45" s="1931">
        <f>+BN39*(1+BR46)</f>
        <v>2372.5749599999999</v>
      </c>
      <c r="BS45" s="1931">
        <f>+BO39*(1+BS46)</f>
        <v>3379.77162</v>
      </c>
      <c r="BT45" s="1930">
        <f t="shared" ref="BT45:CF45" si="78">+BP39*(1+BT46)</f>
        <v>2059.8625499999998</v>
      </c>
      <c r="BU45" s="2054">
        <f t="shared" si="78"/>
        <v>2123.73972</v>
      </c>
      <c r="BV45" s="1931">
        <f t="shared" si="78"/>
        <v>2469.6290799999997</v>
      </c>
      <c r="BW45" s="1931">
        <f t="shared" si="78"/>
        <v>3625.1568599999996</v>
      </c>
      <c r="BX45" s="1930">
        <f t="shared" si="78"/>
        <v>2330.4349199999997</v>
      </c>
      <c r="BY45" s="1931">
        <f t="shared" si="78"/>
        <v>2564.7014999999997</v>
      </c>
      <c r="BZ45" s="1931">
        <f t="shared" si="78"/>
        <v>3012.9743200000003</v>
      </c>
      <c r="CA45" s="1931">
        <f t="shared" si="78"/>
        <v>4270.9849699999995</v>
      </c>
      <c r="CB45" s="1930">
        <f t="shared" si="78"/>
        <v>2663.3423699999998</v>
      </c>
      <c r="CC45" s="1931">
        <f t="shared" si="78"/>
        <v>2653.431669194043</v>
      </c>
      <c r="CD45" s="1931">
        <f t="shared" si="78"/>
        <v>3458.9119604073776</v>
      </c>
      <c r="CE45" s="1931">
        <f t="shared" si="78"/>
        <v>5024.3487495013678</v>
      </c>
      <c r="CF45" s="1930">
        <f t="shared" si="78"/>
        <v>3275.7959629330717</v>
      </c>
      <c r="CG45" s="1007"/>
      <c r="CH45" s="1970"/>
      <c r="CI45" s="1957"/>
      <c r="CJ45" s="1957"/>
      <c r="CK45" s="1957"/>
      <c r="CL45" s="1957"/>
      <c r="CM45" s="1957"/>
      <c r="CN45" s="1957"/>
      <c r="CO45" s="1957"/>
      <c r="CP45" s="1957"/>
      <c r="CQ45" s="1957"/>
      <c r="CR45" s="1957"/>
      <c r="CS45" s="1957"/>
      <c r="CT45" s="1957"/>
      <c r="CU45" s="1957"/>
      <c r="CV45" s="1957"/>
      <c r="CW45" s="1957"/>
      <c r="CX45" s="1957"/>
      <c r="CY45" s="1957"/>
      <c r="CZ45" s="1957"/>
      <c r="DA45" s="1957"/>
      <c r="DB45" s="1957"/>
      <c r="DC45" s="1957"/>
      <c r="DD45" s="1957"/>
      <c r="DE45" s="1957"/>
      <c r="DF45" s="1958"/>
      <c r="DG45" s="1493"/>
      <c r="DH45" s="1493"/>
    </row>
    <row r="46" spans="1:122" s="51" customFormat="1" ht="11.25" customHeight="1">
      <c r="A46" s="296"/>
      <c r="B46"/>
      <c r="C46"/>
      <c r="D46"/>
      <c r="E46"/>
      <c r="F46"/>
      <c r="G46"/>
      <c r="H46" s="1048"/>
      <c r="I46" s="193" t="s">
        <v>539</v>
      </c>
      <c r="J46" s="89"/>
      <c r="K46" s="89"/>
      <c r="L46" s="82"/>
      <c r="M46" s="1957"/>
      <c r="N46" s="1957"/>
      <c r="O46" s="1957"/>
      <c r="P46" s="1958"/>
      <c r="Q46" s="1957"/>
      <c r="R46" s="1957"/>
      <c r="S46" s="1957"/>
      <c r="T46" s="1958"/>
      <c r="U46" s="1957"/>
      <c r="V46" s="1957"/>
      <c r="W46" s="1957"/>
      <c r="X46" s="1958"/>
      <c r="Y46" s="1957"/>
      <c r="Z46" s="1957"/>
      <c r="AA46" s="1957"/>
      <c r="AB46" s="1958"/>
      <c r="AC46" s="1957"/>
      <c r="AD46" s="1957"/>
      <c r="AE46" s="1957"/>
      <c r="AF46" s="1958"/>
      <c r="AG46" s="1957"/>
      <c r="AH46" s="1957"/>
      <c r="AI46" s="1957"/>
      <c r="AJ46" s="1958"/>
      <c r="AK46" s="1957"/>
      <c r="AL46" s="1957"/>
      <c r="AM46" s="1957"/>
      <c r="AN46" s="1958"/>
      <c r="AO46" s="1957"/>
      <c r="AP46" s="1957"/>
      <c r="AQ46" s="1957"/>
      <c r="AR46" s="1958"/>
      <c r="AS46" s="1957"/>
      <c r="AT46" s="1957"/>
      <c r="AU46" s="1957"/>
      <c r="AV46" s="1958"/>
      <c r="AW46" s="1957"/>
      <c r="AX46" s="1957"/>
      <c r="AY46" s="1957"/>
      <c r="AZ46" s="1958"/>
      <c r="BA46" s="1957"/>
      <c r="BB46" s="1957"/>
      <c r="BC46" s="1957"/>
      <c r="BD46" s="1958"/>
      <c r="BE46" s="1957"/>
      <c r="BF46" s="1957"/>
      <c r="BG46" s="1957"/>
      <c r="BH46" s="1958"/>
      <c r="BI46" s="1970">
        <f t="shared" ref="BI46:BP46" si="79">+BI45/BE39-1</f>
        <v>0.35925105746359409</v>
      </c>
      <c r="BJ46" s="1957">
        <f t="shared" si="79"/>
        <v>0.37218142453955738</v>
      </c>
      <c r="BK46" s="1957">
        <f t="shared" si="79"/>
        <v>0.39685900690368281</v>
      </c>
      <c r="BL46" s="1958">
        <f t="shared" si="79"/>
        <v>0.42269859005054489</v>
      </c>
      <c r="BM46" s="1970">
        <f t="shared" si="79"/>
        <v>0.40764610043925509</v>
      </c>
      <c r="BN46" s="1957">
        <f t="shared" si="79"/>
        <v>0.34768165739907686</v>
      </c>
      <c r="BO46" s="1957">
        <f t="shared" si="79"/>
        <v>0.32430463559511646</v>
      </c>
      <c r="BP46" s="1958">
        <f t="shared" si="79"/>
        <v>0.32204580961088314</v>
      </c>
      <c r="BQ46" s="1957">
        <v>0.32</v>
      </c>
      <c r="BR46" s="1957">
        <v>0.26</v>
      </c>
      <c r="BS46" s="1957">
        <v>0.28999999999999998</v>
      </c>
      <c r="BT46" s="1958">
        <v>0.23</v>
      </c>
      <c r="BU46" s="1970">
        <v>0.27</v>
      </c>
      <c r="BV46" s="1957">
        <v>0.18</v>
      </c>
      <c r="BW46" s="1957">
        <v>0.23</v>
      </c>
      <c r="BX46" s="1958">
        <v>0.24</v>
      </c>
      <c r="BY46" s="1957">
        <v>0.27</v>
      </c>
      <c r="BZ46" s="1957">
        <v>0.24</v>
      </c>
      <c r="CA46" s="1957">
        <v>0.19</v>
      </c>
      <c r="CB46" s="1958">
        <v>0.17</v>
      </c>
      <c r="CC46" s="1957">
        <f>+CC40-CC47</f>
        <v>0.13674573005461874</v>
      </c>
      <c r="CD46" s="1957">
        <f>+CD40-CD47</f>
        <v>0.17179197619070094</v>
      </c>
      <c r="CE46" s="1957">
        <f>+CE40-CE47</f>
        <v>0.14853991927892246</v>
      </c>
      <c r="CF46" s="1958">
        <f>+CF40-CF47</f>
        <v>0.18262215609962792</v>
      </c>
      <c r="CG46" s="1007"/>
      <c r="CH46" s="1970"/>
      <c r="CI46" s="1957"/>
      <c r="CJ46" s="1957"/>
      <c r="CK46" s="1957"/>
      <c r="CL46" s="1957"/>
      <c r="CM46" s="1957"/>
      <c r="CN46" s="1957"/>
      <c r="CO46" s="1957"/>
      <c r="CP46" s="1957"/>
      <c r="CQ46" s="1957"/>
      <c r="CR46" s="1957"/>
      <c r="CS46" s="1957"/>
      <c r="CT46" s="1957"/>
      <c r="CU46" s="1957"/>
      <c r="CV46" s="1957"/>
      <c r="CW46" s="1957"/>
      <c r="CX46" s="1957"/>
      <c r="CY46" s="1957"/>
      <c r="CZ46" s="1957"/>
      <c r="DA46" s="1957"/>
      <c r="DB46" s="1957"/>
      <c r="DC46" s="1957"/>
      <c r="DD46" s="1957"/>
      <c r="DE46" s="1957"/>
      <c r="DF46" s="1958"/>
      <c r="DG46" s="1493"/>
      <c r="DH46" s="1493"/>
    </row>
    <row r="47" spans="1:122" s="51" customFormat="1" ht="11.25" customHeight="1">
      <c r="A47" s="296"/>
      <c r="B47"/>
      <c r="C47"/>
      <c r="D47"/>
      <c r="E47"/>
      <c r="F47"/>
      <c r="G47"/>
      <c r="H47" s="1048"/>
      <c r="I47" s="193" t="s">
        <v>212</v>
      </c>
      <c r="J47" s="89"/>
      <c r="K47" s="89"/>
      <c r="L47" s="82"/>
      <c r="M47" s="1957"/>
      <c r="N47" s="1957"/>
      <c r="O47" s="1957"/>
      <c r="P47" s="1958"/>
      <c r="Q47" s="1957"/>
      <c r="R47" s="1957"/>
      <c r="S47" s="1957"/>
      <c r="T47" s="1958"/>
      <c r="U47" s="1957"/>
      <c r="V47" s="1957"/>
      <c r="W47" s="1957"/>
      <c r="X47" s="1958"/>
      <c r="Y47" s="1957"/>
      <c r="Z47" s="1957"/>
      <c r="AA47" s="1957"/>
      <c r="AB47" s="1958"/>
      <c r="AC47" s="1957"/>
      <c r="AD47" s="1957"/>
      <c r="AE47" s="1957"/>
      <c r="AF47" s="1958"/>
      <c r="AG47" s="1957"/>
      <c r="AH47" s="1957"/>
      <c r="AI47" s="1957"/>
      <c r="AJ47" s="1958"/>
      <c r="AK47" s="1957"/>
      <c r="AL47" s="1957"/>
      <c r="AM47" s="1957"/>
      <c r="AN47" s="1958"/>
      <c r="AO47" s="1957"/>
      <c r="AP47" s="1957"/>
      <c r="AQ47" s="1957"/>
      <c r="AR47" s="1958"/>
      <c r="AS47" s="1957"/>
      <c r="AT47" s="1957"/>
      <c r="AU47" s="1957"/>
      <c r="AV47" s="1958"/>
      <c r="AW47" s="1957"/>
      <c r="AX47" s="1957"/>
      <c r="AY47" s="1957"/>
      <c r="AZ47" s="1958"/>
      <c r="BA47" s="1957"/>
      <c r="BB47" s="1957"/>
      <c r="BC47" s="1957"/>
      <c r="BD47" s="1958"/>
      <c r="BE47" s="1957"/>
      <c r="BF47" s="1957"/>
      <c r="BG47" s="1957"/>
      <c r="BH47" s="1958"/>
      <c r="BI47" s="1970">
        <f t="shared" ref="BI47:BP47" si="80">+BI40-BI46</f>
        <v>-8.7449279417928238E-4</v>
      </c>
      <c r="BJ47" s="1957">
        <f t="shared" si="80"/>
        <v>5.9652917615233836E-3</v>
      </c>
      <c r="BK47" s="1957">
        <f t="shared" si="80"/>
        <v>2.7461491255645232E-2</v>
      </c>
      <c r="BL47" s="1958">
        <f t="shared" si="80"/>
        <v>-3.915935089119138E-3</v>
      </c>
      <c r="BM47" s="1970">
        <f t="shared" si="80"/>
        <v>-1.4638518716604265E-2</v>
      </c>
      <c r="BN47" s="1957">
        <f t="shared" si="80"/>
        <v>1.300714308941342E-2</v>
      </c>
      <c r="BO47" s="1957">
        <f t="shared" si="80"/>
        <v>-7.1138952221270202E-3</v>
      </c>
      <c r="BP47" s="1958">
        <f t="shared" si="80"/>
        <v>-6.6001600538813099E-2</v>
      </c>
      <c r="BQ47" s="1957">
        <f t="shared" ref="BQ47:BV47" si="81">+BQ40-BQ46</f>
        <v>-0.13104125147265772</v>
      </c>
      <c r="BR47" s="1957">
        <f t="shared" si="81"/>
        <v>-0.14852339569494566</v>
      </c>
      <c r="BS47" s="1957">
        <f t="shared" si="81"/>
        <v>-0.16507376016134495</v>
      </c>
      <c r="BT47" s="1958">
        <f t="shared" si="81"/>
        <v>-0.10776925212801228</v>
      </c>
      <c r="BU47" s="1970">
        <f t="shared" si="81"/>
        <v>-6.2365431673520044E-2</v>
      </c>
      <c r="BV47" s="1957">
        <f t="shared" si="81"/>
        <v>-1.9021914983281374E-2</v>
      </c>
      <c r="BW47" s="1957">
        <f t="shared" ref="BW47:CB47" si="82">+BW40-BW46</f>
        <v>-1.2246490156014672E-2</v>
      </c>
      <c r="BX47" s="1958">
        <f t="shared" si="82"/>
        <v>-2.877216618432743E-2</v>
      </c>
      <c r="BY47" s="1957">
        <f t="shared" si="82"/>
        <v>-0.1141233999356257</v>
      </c>
      <c r="BZ47" s="1957">
        <f t="shared" si="82"/>
        <v>-2.51707411830846E-2</v>
      </c>
      <c r="CA47" s="1957">
        <f t="shared" si="82"/>
        <v>2.8856565070047357E-2</v>
      </c>
      <c r="CB47" s="1958">
        <f t="shared" si="82"/>
        <v>4.6829404474949238E-2</v>
      </c>
      <c r="CC47" s="1957">
        <f>+FX!CC57</f>
        <v>6.171233571310078E-2</v>
      </c>
      <c r="CD47" s="1957">
        <f>+FX!CD57</f>
        <v>3.4986884159618183E-2</v>
      </c>
      <c r="CE47" s="1957">
        <f>+FX!CE57</f>
        <v>-4.557675090678546E-3</v>
      </c>
      <c r="CF47" s="1958">
        <f>+FX!CF57</f>
        <v>3.6821902121040105E-2</v>
      </c>
      <c r="CG47" s="1007"/>
      <c r="CH47" s="1970"/>
      <c r="CI47" s="1957"/>
      <c r="CJ47" s="1957"/>
      <c r="CK47" s="1957"/>
      <c r="CL47" s="1957"/>
      <c r="CM47" s="1957"/>
      <c r="CN47" s="1957"/>
      <c r="CO47" s="1957"/>
      <c r="CP47" s="1957"/>
      <c r="CQ47" s="1957"/>
      <c r="CR47" s="1957"/>
      <c r="CS47" s="1957"/>
      <c r="CT47" s="1957"/>
      <c r="CU47" s="1957"/>
      <c r="CV47" s="1957"/>
      <c r="CW47" s="1957"/>
      <c r="CX47" s="1957"/>
      <c r="CY47" s="1957"/>
      <c r="CZ47" s="1957"/>
      <c r="DA47" s="1957"/>
      <c r="DB47" s="1957"/>
      <c r="DC47" s="1957"/>
      <c r="DD47" s="1957"/>
      <c r="DE47" s="1957"/>
      <c r="DF47" s="1958"/>
      <c r="DG47" s="1493"/>
      <c r="DH47" s="1493"/>
    </row>
    <row r="48" spans="1:122" s="51" customFormat="1" ht="11.25" customHeight="1">
      <c r="A48" s="296"/>
      <c r="B48"/>
      <c r="C48"/>
      <c r="D48"/>
      <c r="E48"/>
      <c r="F48"/>
      <c r="G48"/>
      <c r="H48" s="1048"/>
      <c r="I48" s="199"/>
      <c r="J48" s="89"/>
      <c r="K48" s="89"/>
      <c r="L48" s="82"/>
      <c r="M48" s="1957"/>
      <c r="N48" s="1957"/>
      <c r="O48" s="1957"/>
      <c r="P48" s="1958"/>
      <c r="Q48" s="2221"/>
      <c r="R48" s="2221"/>
      <c r="S48" s="2221"/>
      <c r="T48" s="2222"/>
      <c r="U48" s="2221"/>
      <c r="V48" s="2221"/>
      <c r="W48" s="2221"/>
      <c r="X48" s="2222"/>
      <c r="Y48" s="2221"/>
      <c r="Z48" s="2221"/>
      <c r="AA48" s="2221"/>
      <c r="AB48" s="2222"/>
      <c r="AC48" s="2221"/>
      <c r="AD48" s="2221"/>
      <c r="AE48" s="2221"/>
      <c r="AF48" s="2222"/>
      <c r="AG48" s="2221"/>
      <c r="AH48" s="2221"/>
      <c r="AI48" s="2221"/>
      <c r="AJ48" s="2222"/>
      <c r="AK48" s="2221"/>
      <c r="AL48" s="2221"/>
      <c r="AM48" s="2221"/>
      <c r="AN48" s="2222"/>
      <c r="AO48" s="2221"/>
      <c r="AP48" s="2221"/>
      <c r="AQ48" s="2221"/>
      <c r="AR48" s="2222"/>
      <c r="AS48" s="2221"/>
      <c r="AT48" s="2221"/>
      <c r="AU48" s="2221"/>
      <c r="AV48" s="2222"/>
      <c r="AW48" s="2221"/>
      <c r="AX48" s="2221"/>
      <c r="AY48" s="2221"/>
      <c r="AZ48" s="2222"/>
      <c r="BA48" s="2221"/>
      <c r="BB48" s="2221"/>
      <c r="BC48" s="2221"/>
      <c r="BD48" s="2222"/>
      <c r="BE48" s="2221"/>
      <c r="BF48" s="2221"/>
      <c r="BG48" s="2221"/>
      <c r="BH48" s="2222"/>
      <c r="BI48" s="2223"/>
      <c r="BJ48" s="2221"/>
      <c r="BK48" s="2221"/>
      <c r="BL48" s="2222"/>
      <c r="BM48" s="2223"/>
      <c r="BN48" s="2221"/>
      <c r="BO48" s="2221"/>
      <c r="BP48" s="2222"/>
      <c r="BQ48" s="2221"/>
      <c r="BR48" s="2221"/>
      <c r="BS48" s="2221"/>
      <c r="BT48" s="2222"/>
      <c r="BU48" s="2223"/>
      <c r="BV48" s="2221"/>
      <c r="BW48" s="2221"/>
      <c r="BX48" s="2222"/>
      <c r="BY48" s="2221"/>
      <c r="BZ48" s="2221"/>
      <c r="CA48" s="2221"/>
      <c r="CB48" s="2222"/>
      <c r="CC48" s="2221"/>
      <c r="CD48" s="2221"/>
      <c r="CE48" s="2221"/>
      <c r="CF48" s="2222"/>
      <c r="CG48" s="1007"/>
      <c r="CH48" s="1970"/>
      <c r="CI48" s="1957"/>
      <c r="CJ48" s="2221"/>
      <c r="CK48" s="1957"/>
      <c r="CL48" s="1957"/>
      <c r="CM48" s="1957"/>
      <c r="CN48" s="1957"/>
      <c r="CO48" s="1957"/>
      <c r="CP48" s="1957"/>
      <c r="CQ48" s="1957"/>
      <c r="CR48" s="1957"/>
      <c r="CS48" s="1957"/>
      <c r="CT48" s="1957"/>
      <c r="CU48" s="1957"/>
      <c r="CV48" s="1957"/>
      <c r="CW48" s="1957"/>
      <c r="CX48" s="1957"/>
      <c r="CY48" s="1957"/>
      <c r="CZ48" s="2221"/>
      <c r="DA48" s="2221"/>
      <c r="DB48" s="2221"/>
      <c r="DC48" s="2221"/>
      <c r="DD48" s="2221"/>
      <c r="DE48" s="2221"/>
      <c r="DF48" s="2222"/>
      <c r="DG48" s="1493"/>
      <c r="DH48" s="1493"/>
    </row>
    <row r="49" spans="1:117" s="51" customFormat="1" ht="11.25" customHeight="1">
      <c r="A49" s="300"/>
      <c r="B49"/>
      <c r="C49"/>
      <c r="D49"/>
      <c r="E49"/>
      <c r="F49"/>
      <c r="G49"/>
      <c r="H49" s="1051"/>
      <c r="I49" s="199" t="s">
        <v>148</v>
      </c>
      <c r="J49" s="89"/>
      <c r="K49" s="89"/>
      <c r="L49" s="82"/>
      <c r="M49" s="1957"/>
      <c r="N49" s="1957"/>
      <c r="O49" s="1957"/>
      <c r="P49" s="1958"/>
      <c r="Q49" s="1957"/>
      <c r="R49" s="1957"/>
      <c r="S49" s="1957"/>
      <c r="T49" s="1958"/>
      <c r="U49" s="1957"/>
      <c r="V49" s="1957"/>
      <c r="W49" s="1957"/>
      <c r="X49" s="1958"/>
      <c r="Y49" s="1957"/>
      <c r="Z49" s="1957"/>
      <c r="AA49" s="1957"/>
      <c r="AB49" s="1958"/>
      <c r="AC49" s="1957"/>
      <c r="AD49" s="1957"/>
      <c r="AE49" s="1957"/>
      <c r="AF49" s="1958"/>
      <c r="AG49" s="1957"/>
      <c r="AH49" s="1957"/>
      <c r="AI49" s="1957"/>
      <c r="AJ49" s="1958"/>
      <c r="AK49" s="1957">
        <f t="shared" ref="AK49:CF49" si="83">+AK39/AK12</f>
        <v>0.10399592985815599</v>
      </c>
      <c r="AL49" s="1957">
        <f t="shared" si="83"/>
        <v>0.12542847217329828</v>
      </c>
      <c r="AM49" s="1957">
        <f t="shared" si="83"/>
        <v>0.14549038134499379</v>
      </c>
      <c r="AN49" s="1958">
        <f t="shared" si="83"/>
        <v>0.1328697262411736</v>
      </c>
      <c r="AO49" s="1957">
        <f t="shared" si="83"/>
        <v>0.10298064610044741</v>
      </c>
      <c r="AP49" s="1957">
        <f t="shared" si="83"/>
        <v>0.12025080984755672</v>
      </c>
      <c r="AQ49" s="1957">
        <f t="shared" si="83"/>
        <v>0.1541522814516196</v>
      </c>
      <c r="AR49" s="1958">
        <f t="shared" si="83"/>
        <v>0.13845331179997747</v>
      </c>
      <c r="AS49" s="1957">
        <f t="shared" si="83"/>
        <v>0.10718857533299307</v>
      </c>
      <c r="AT49" s="1957">
        <f t="shared" si="83"/>
        <v>0.12829557099132557</v>
      </c>
      <c r="AU49" s="1957">
        <f t="shared" si="83"/>
        <v>0.1593942514560133</v>
      </c>
      <c r="AV49" s="1958">
        <f t="shared" si="83"/>
        <v>0.13830662932433163</v>
      </c>
      <c r="AW49" s="1957">
        <f t="shared" si="83"/>
        <v>0.1076387284358087</v>
      </c>
      <c r="AX49" s="1957">
        <f t="shared" si="83"/>
        <v>0.13083884135148288</v>
      </c>
      <c r="AY49" s="1957">
        <f t="shared" si="83"/>
        <v>0.1668017973040439</v>
      </c>
      <c r="AZ49" s="1958">
        <f t="shared" si="83"/>
        <v>0.14706462480857582</v>
      </c>
      <c r="BA49" s="1957">
        <f t="shared" si="83"/>
        <v>0.1084261521972133</v>
      </c>
      <c r="BB49" s="1957">
        <f t="shared" si="83"/>
        <v>0.12962404844290659</v>
      </c>
      <c r="BC49" s="1957">
        <f t="shared" si="83"/>
        <v>0.17582675403548029</v>
      </c>
      <c r="BD49" s="1958">
        <f t="shared" si="83"/>
        <v>0.14622619047619048</v>
      </c>
      <c r="BE49" s="1957">
        <f t="shared" si="83"/>
        <v>0.11075666815675757</v>
      </c>
      <c r="BF49" s="1957">
        <f t="shared" si="83"/>
        <v>0.13700941465411381</v>
      </c>
      <c r="BG49" s="1957">
        <f t="shared" si="83"/>
        <v>0.17830707354443309</v>
      </c>
      <c r="BH49" s="1958">
        <f t="shared" si="83"/>
        <v>0.14273238153098422</v>
      </c>
      <c r="BI49" s="1970">
        <f t="shared" si="83"/>
        <v>0.11030973451327433</v>
      </c>
      <c r="BJ49" s="1957">
        <f t="shared" si="83"/>
        <v>0.13678511416427794</v>
      </c>
      <c r="BK49" s="1957">
        <f t="shared" si="83"/>
        <v>0.18477148165350671</v>
      </c>
      <c r="BL49" s="1958">
        <f t="shared" si="83"/>
        <v>0.14592327897559373</v>
      </c>
      <c r="BM49" s="1970">
        <f t="shared" si="83"/>
        <v>0.11453346905537461</v>
      </c>
      <c r="BN49" s="1957">
        <f t="shared" si="83"/>
        <v>0.13908967351159698</v>
      </c>
      <c r="BO49" s="1957">
        <f t="shared" si="83"/>
        <v>0.18953758229038559</v>
      </c>
      <c r="BP49" s="1958">
        <f t="shared" si="83"/>
        <v>0.15711464490102262</v>
      </c>
      <c r="BQ49" s="1957">
        <f t="shared" si="83"/>
        <v>0.12138763066202089</v>
      </c>
      <c r="BR49" s="1957">
        <f t="shared" si="83"/>
        <v>0.13990013368983956</v>
      </c>
      <c r="BS49" s="1957">
        <f t="shared" si="83"/>
        <v>0.19943713628366488</v>
      </c>
      <c r="BT49" s="1958">
        <f>+BT39/BT12</f>
        <v>0.15643274513068087</v>
      </c>
      <c r="BU49" s="1970">
        <f t="shared" si="83"/>
        <v>0.12126643847955321</v>
      </c>
      <c r="BV49" s="1957">
        <f t="shared" si="83"/>
        <v>0.13603280707647522</v>
      </c>
      <c r="BW49" s="1957">
        <f t="shared" si="83"/>
        <v>0.19442378114842904</v>
      </c>
      <c r="BX49" s="1958">
        <f t="shared" si="83"/>
        <v>0.15063267601905769</v>
      </c>
      <c r="BY49" s="1957">
        <f>+BY39/BY12</f>
        <v>0.11283583893266304</v>
      </c>
      <c r="BZ49" s="1957">
        <f t="shared" si="83"/>
        <v>0.14193460595278165</v>
      </c>
      <c r="CA49" s="1957">
        <f t="shared" si="83"/>
        <v>0.20101796709861225</v>
      </c>
      <c r="CB49" s="1958">
        <f t="shared" si="83"/>
        <v>0.15405689655172414</v>
      </c>
      <c r="CC49" s="1957">
        <f t="shared" si="83"/>
        <v>0.11243235660180258</v>
      </c>
      <c r="CD49" s="1957">
        <f t="shared" si="83"/>
        <v>0.1419982688763444</v>
      </c>
      <c r="CE49" s="1957">
        <f t="shared" si="83"/>
        <v>0.20168027947323972</v>
      </c>
      <c r="CF49" s="1958">
        <f t="shared" si="83"/>
        <v>0.153501177682169</v>
      </c>
      <c r="CG49" s="1007"/>
      <c r="CH49" s="1970"/>
      <c r="CI49" s="1957"/>
      <c r="CJ49" s="1957"/>
      <c r="CK49" s="1957"/>
      <c r="CL49" s="1957"/>
      <c r="CM49" s="1957">
        <f t="shared" ref="CM49:DF49" si="84">+CM39/CM12</f>
        <v>0.12045247999171028</v>
      </c>
      <c r="CN49" s="1957">
        <f t="shared" si="84"/>
        <v>0.12863149498821383</v>
      </c>
      <c r="CO49" s="1957">
        <f t="shared" si="84"/>
        <v>0.12918322777869595</v>
      </c>
      <c r="CP49" s="1957">
        <f t="shared" si="84"/>
        <v>0.13541939892559254</v>
      </c>
      <c r="CQ49" s="1957">
        <f t="shared" si="84"/>
        <v>0.14023827713503162</v>
      </c>
      <c r="CR49" s="1957">
        <f t="shared" si="84"/>
        <v>0.142205189768215</v>
      </c>
      <c r="CS49" s="1957">
        <f t="shared" si="84"/>
        <v>0.14350860978352548</v>
      </c>
      <c r="CT49" s="1957">
        <f t="shared" si="84"/>
        <v>0.14591764525681611</v>
      </c>
      <c r="CU49" s="1957">
        <f t="shared" si="84"/>
        <v>0.15077793240556658</v>
      </c>
      <c r="CV49" s="1957">
        <f t="shared" si="84"/>
        <v>0.15472927171877249</v>
      </c>
      <c r="CW49" s="1957">
        <f t="shared" si="84"/>
        <v>0.15149282535579478</v>
      </c>
      <c r="CX49" s="1957">
        <f t="shared" si="84"/>
        <v>0.1530365277128013</v>
      </c>
      <c r="CY49" s="1957">
        <f t="shared" si="84"/>
        <v>0.1523138183411622</v>
      </c>
      <c r="CZ49" s="1957">
        <f t="shared" si="84"/>
        <v>0.1513616135033414</v>
      </c>
      <c r="DA49" s="1957">
        <f t="shared" si="84"/>
        <v>0.15078030705488774</v>
      </c>
      <c r="DB49" s="1957">
        <f t="shared" si="84"/>
        <v>0.15027151006441036</v>
      </c>
      <c r="DC49" s="1957">
        <f t="shared" si="84"/>
        <v>0.14979573366532306</v>
      </c>
      <c r="DD49" s="1957">
        <f t="shared" si="84"/>
        <v>0.14934362544790783</v>
      </c>
      <c r="DE49" s="1957">
        <f t="shared" si="84"/>
        <v>0.14891447053205989</v>
      </c>
      <c r="DF49" s="1958">
        <f t="shared" si="84"/>
        <v>0.14847717501736096</v>
      </c>
      <c r="DG49" s="1493"/>
      <c r="DH49" s="1493"/>
    </row>
    <row r="50" spans="1:117" s="49" customFormat="1" ht="11.25" customHeight="1">
      <c r="A50" s="48"/>
      <c r="B50"/>
      <c r="C50"/>
      <c r="D50"/>
      <c r="E50"/>
      <c r="F50"/>
      <c r="G50"/>
      <c r="H50" s="1044"/>
      <c r="I50" s="188" t="s">
        <v>622</v>
      </c>
      <c r="J50" s="47"/>
      <c r="K50" s="47"/>
      <c r="L50" s="48"/>
      <c r="M50" s="530"/>
      <c r="N50" s="530"/>
      <c r="O50" s="530"/>
      <c r="P50" s="2211"/>
      <c r="Q50" s="530"/>
      <c r="R50" s="530"/>
      <c r="S50" s="530"/>
      <c r="T50" s="2211"/>
      <c r="U50" s="2013"/>
      <c r="V50" s="2013"/>
      <c r="W50" s="2013"/>
      <c r="X50" s="2014"/>
      <c r="Y50" s="2013"/>
      <c r="Z50" s="2013"/>
      <c r="AA50" s="2013"/>
      <c r="AB50" s="2014"/>
      <c r="AC50" s="2013"/>
      <c r="AD50" s="2013"/>
      <c r="AE50" s="2013"/>
      <c r="AF50" s="2014"/>
      <c r="AG50" s="2013"/>
      <c r="AH50" s="2013"/>
      <c r="AI50" s="2013"/>
      <c r="AJ50" s="2014"/>
      <c r="AK50" s="2013">
        <f t="shared" ref="AK50:CF50" si="85">+(AK49-AG49)*10000</f>
        <v>1039.95929858156</v>
      </c>
      <c r="AL50" s="2013">
        <f t="shared" si="85"/>
        <v>1254.2847217329827</v>
      </c>
      <c r="AM50" s="2013">
        <f t="shared" si="85"/>
        <v>1454.9038134499378</v>
      </c>
      <c r="AN50" s="2014">
        <f t="shared" si="85"/>
        <v>1328.6972624117361</v>
      </c>
      <c r="AO50" s="2013">
        <f t="shared" si="85"/>
        <v>-10.152837577085821</v>
      </c>
      <c r="AP50" s="2013">
        <f t="shared" si="85"/>
        <v>-51.776623257415579</v>
      </c>
      <c r="AQ50" s="2013">
        <f t="shared" si="85"/>
        <v>86.619001066258193</v>
      </c>
      <c r="AR50" s="2014">
        <f t="shared" si="85"/>
        <v>55.835855588038662</v>
      </c>
      <c r="AS50" s="2013">
        <f t="shared" si="85"/>
        <v>42.079292325456628</v>
      </c>
      <c r="AT50" s="2013">
        <f t="shared" si="85"/>
        <v>80.44761143768855</v>
      </c>
      <c r="AU50" s="2013">
        <f t="shared" si="85"/>
        <v>52.419700043936921</v>
      </c>
      <c r="AV50" s="2014">
        <f t="shared" si="85"/>
        <v>-1.4668247564583736</v>
      </c>
      <c r="AW50" s="2013">
        <f t="shared" si="85"/>
        <v>4.5015310281562577</v>
      </c>
      <c r="AX50" s="2013">
        <f t="shared" si="85"/>
        <v>25.432703601573071</v>
      </c>
      <c r="AY50" s="2013">
        <f t="shared" si="85"/>
        <v>74.075458480306054</v>
      </c>
      <c r="AZ50" s="2014">
        <f t="shared" si="85"/>
        <v>87.579954842441907</v>
      </c>
      <c r="BA50" s="2013">
        <f t="shared" si="85"/>
        <v>7.8742376140460149</v>
      </c>
      <c r="BB50" s="2013">
        <f t="shared" si="85"/>
        <v>-12.147929085762899</v>
      </c>
      <c r="BC50" s="2013">
        <f t="shared" si="85"/>
        <v>90.249567314363844</v>
      </c>
      <c r="BD50" s="2014">
        <f t="shared" si="85"/>
        <v>-8.384343323853404</v>
      </c>
      <c r="BE50" s="2013">
        <f t="shared" si="85"/>
        <v>23.305159595442689</v>
      </c>
      <c r="BF50" s="2013">
        <f t="shared" si="85"/>
        <v>73.853662112072229</v>
      </c>
      <c r="BG50" s="2013">
        <f t="shared" si="85"/>
        <v>24.803195089528053</v>
      </c>
      <c r="BH50" s="2014">
        <f t="shared" si="85"/>
        <v>-34.938089452062613</v>
      </c>
      <c r="BI50" s="2015">
        <f t="shared" si="85"/>
        <v>-4.4693364348323552</v>
      </c>
      <c r="BJ50" s="2013">
        <f t="shared" si="85"/>
        <v>-2.2430048983587692</v>
      </c>
      <c r="BK50" s="2013">
        <f t="shared" si="85"/>
        <v>64.644081090736165</v>
      </c>
      <c r="BL50" s="2014">
        <f t="shared" si="85"/>
        <v>31.90897444609514</v>
      </c>
      <c r="BM50" s="2015">
        <f t="shared" si="85"/>
        <v>42.237345421002743</v>
      </c>
      <c r="BN50" s="2013">
        <f t="shared" si="85"/>
        <v>23.045593473190461</v>
      </c>
      <c r="BO50" s="2013">
        <f t="shared" si="85"/>
        <v>47.661006368788783</v>
      </c>
      <c r="BP50" s="2014">
        <f t="shared" si="85"/>
        <v>111.91365925428882</v>
      </c>
      <c r="BQ50" s="2013">
        <f t="shared" si="85"/>
        <v>68.541616066462865</v>
      </c>
      <c r="BR50" s="2013">
        <f t="shared" si="85"/>
        <v>8.1046017824257248</v>
      </c>
      <c r="BS50" s="2013">
        <f t="shared" si="85"/>
        <v>98.99553993279298</v>
      </c>
      <c r="BT50" s="2014">
        <f t="shared" si="85"/>
        <v>-6.8189977034174838</v>
      </c>
      <c r="BU50" s="2015">
        <f t="shared" si="85"/>
        <v>-1.2119218246768593</v>
      </c>
      <c r="BV50" s="2013">
        <f t="shared" si="85"/>
        <v>-38.673266133643359</v>
      </c>
      <c r="BW50" s="2013">
        <f t="shared" si="85"/>
        <v>-50.133551352358474</v>
      </c>
      <c r="BX50" s="2014">
        <f t="shared" si="85"/>
        <v>-58.000691116231742</v>
      </c>
      <c r="BY50" s="2013">
        <f t="shared" si="85"/>
        <v>-84.305995468901685</v>
      </c>
      <c r="BZ50" s="2013">
        <f t="shared" si="85"/>
        <v>59.017988763064302</v>
      </c>
      <c r="CA50" s="2013">
        <f t="shared" si="85"/>
        <v>65.941859501832127</v>
      </c>
      <c r="CB50" s="2014">
        <f t="shared" si="85"/>
        <v>34.242205326664447</v>
      </c>
      <c r="CC50" s="2013">
        <f t="shared" si="85"/>
        <v>-4.034823308604607</v>
      </c>
      <c r="CD50" s="2013">
        <f t="shared" si="85"/>
        <v>0.63662923562746165</v>
      </c>
      <c r="CE50" s="2013">
        <f t="shared" si="85"/>
        <v>6.6231237462746613</v>
      </c>
      <c r="CF50" s="2014">
        <f t="shared" si="85"/>
        <v>-5.5571886955513294</v>
      </c>
      <c r="CG50" s="2211"/>
      <c r="CH50" s="2212"/>
      <c r="CI50" s="530"/>
      <c r="CJ50" s="2013"/>
      <c r="CK50" s="2013"/>
      <c r="CL50" s="2013"/>
      <c r="CM50" s="2013"/>
      <c r="CN50" s="2013">
        <f t="shared" ref="CN50:DF50" si="86">+(CN49-CM49)*10000</f>
        <v>81.790149965035454</v>
      </c>
      <c r="CO50" s="2013">
        <f t="shared" si="86"/>
        <v>5.5173279048212347</v>
      </c>
      <c r="CP50" s="2013">
        <f t="shared" si="86"/>
        <v>62.361711468965908</v>
      </c>
      <c r="CQ50" s="2013">
        <f t="shared" si="86"/>
        <v>48.18878209439076</v>
      </c>
      <c r="CR50" s="2013">
        <f t="shared" si="86"/>
        <v>19.669126331833819</v>
      </c>
      <c r="CS50" s="2013">
        <f t="shared" si="86"/>
        <v>13.034200153104747</v>
      </c>
      <c r="CT50" s="2013">
        <f t="shared" si="86"/>
        <v>24.090354732906327</v>
      </c>
      <c r="CU50" s="2013">
        <f t="shared" si="86"/>
        <v>48.60287148750475</v>
      </c>
      <c r="CV50" s="2013">
        <f t="shared" si="86"/>
        <v>39.513393132059036</v>
      </c>
      <c r="CW50" s="2013">
        <f t="shared" si="86"/>
        <v>-32.364463629777077</v>
      </c>
      <c r="CX50" s="2013">
        <f t="shared" si="86"/>
        <v>15.437023570065156</v>
      </c>
      <c r="CY50" s="2013">
        <f t="shared" si="86"/>
        <v>-7.2270937163909643</v>
      </c>
      <c r="CZ50" s="2013">
        <f t="shared" si="86"/>
        <v>-9.5220483782079697</v>
      </c>
      <c r="DA50" s="2013">
        <f t="shared" si="86"/>
        <v>-5.8130644845366675</v>
      </c>
      <c r="DB50" s="2013">
        <f t="shared" si="86"/>
        <v>-5.0879699047737255</v>
      </c>
      <c r="DC50" s="2013">
        <f t="shared" si="86"/>
        <v>-4.7577639908730207</v>
      </c>
      <c r="DD50" s="2013">
        <f t="shared" si="86"/>
        <v>-4.5210821741523137</v>
      </c>
      <c r="DE50" s="2013">
        <f t="shared" si="86"/>
        <v>-4.2915491584794019</v>
      </c>
      <c r="DF50" s="2014">
        <f t="shared" si="86"/>
        <v>-4.3729551469892662</v>
      </c>
      <c r="DG50" s="1495"/>
      <c r="DH50" s="1495"/>
      <c r="DJ50" s="51"/>
      <c r="DK50" s="51"/>
      <c r="DL50" s="51"/>
      <c r="DM50" s="51"/>
    </row>
    <row r="51" spans="1:117" s="49" customFormat="1" ht="11.25" customHeight="1">
      <c r="A51" s="48"/>
      <c r="B51"/>
      <c r="C51"/>
      <c r="D51"/>
      <c r="E51"/>
      <c r="F51"/>
      <c r="G51"/>
      <c r="H51" s="1044"/>
      <c r="I51" s="188"/>
      <c r="J51" s="47"/>
      <c r="K51" s="47"/>
      <c r="L51" s="48"/>
      <c r="M51" s="530"/>
      <c r="N51" s="530"/>
      <c r="O51" s="530"/>
      <c r="P51" s="2211"/>
      <c r="Q51" s="530"/>
      <c r="R51" s="530"/>
      <c r="S51" s="530"/>
      <c r="T51" s="2211"/>
      <c r="U51" s="2013"/>
      <c r="V51" s="2013"/>
      <c r="W51" s="2013"/>
      <c r="X51" s="2014"/>
      <c r="Y51" s="2013"/>
      <c r="Z51" s="2013"/>
      <c r="AA51" s="2013"/>
      <c r="AB51" s="2014"/>
      <c r="AC51" s="2013"/>
      <c r="AD51" s="2013"/>
      <c r="AE51" s="2013"/>
      <c r="AF51" s="2014"/>
      <c r="AG51" s="2013"/>
      <c r="AH51" s="2013"/>
      <c r="AI51" s="2013"/>
      <c r="AJ51" s="2014"/>
      <c r="AK51" s="2013"/>
      <c r="AL51" s="2013"/>
      <c r="AM51" s="2013"/>
      <c r="AN51" s="2014"/>
      <c r="AO51" s="2013"/>
      <c r="AP51" s="2013"/>
      <c r="AQ51" s="2013"/>
      <c r="AR51" s="2014"/>
      <c r="AS51" s="2013"/>
      <c r="AT51" s="2013"/>
      <c r="AU51" s="2013"/>
      <c r="AV51" s="2014"/>
      <c r="AW51" s="2013"/>
      <c r="AX51" s="2013"/>
      <c r="AY51" s="2013"/>
      <c r="AZ51" s="2014"/>
      <c r="BA51" s="2013"/>
      <c r="BB51" s="2013"/>
      <c r="BC51" s="2013"/>
      <c r="BD51" s="2014"/>
      <c r="BE51" s="2013"/>
      <c r="BF51" s="2013"/>
      <c r="BG51" s="2013"/>
      <c r="BH51" s="2014"/>
      <c r="BI51" s="2015"/>
      <c r="BJ51" s="2013"/>
      <c r="BK51" s="2013"/>
      <c r="BL51" s="2014"/>
      <c r="BM51" s="2015"/>
      <c r="BN51" s="2013"/>
      <c r="BO51" s="2013"/>
      <c r="BP51" s="2014"/>
      <c r="BQ51" s="2013"/>
      <c r="BR51" s="2013"/>
      <c r="BS51" s="2013"/>
      <c r="BT51" s="2014"/>
      <c r="BU51" s="2013"/>
      <c r="BV51" s="2013"/>
      <c r="BW51" s="2013"/>
      <c r="BX51" s="2014"/>
      <c r="BY51" s="2013"/>
      <c r="BZ51" s="2013"/>
      <c r="CA51" s="2013"/>
      <c r="CB51" s="2014"/>
      <c r="CC51" s="2013"/>
      <c r="CD51" s="2013"/>
      <c r="CE51" s="2013"/>
      <c r="CF51" s="2014"/>
      <c r="CG51" s="2211"/>
      <c r="CH51" s="2212"/>
      <c r="CI51" s="530"/>
      <c r="CJ51" s="2013"/>
      <c r="CK51" s="2013"/>
      <c r="CL51" s="2013"/>
      <c r="CM51" s="2013"/>
      <c r="CN51" s="2013"/>
      <c r="CO51" s="2013"/>
      <c r="CP51" s="2013"/>
      <c r="CQ51" s="2013"/>
      <c r="CR51" s="2013"/>
      <c r="CS51" s="2013"/>
      <c r="CT51" s="2013"/>
      <c r="CU51" s="2013"/>
      <c r="CV51" s="2013"/>
      <c r="CW51" s="2013"/>
      <c r="CX51" s="2013"/>
      <c r="CY51" s="2013"/>
      <c r="CZ51" s="2013"/>
      <c r="DA51" s="2013"/>
      <c r="DB51" s="2013"/>
      <c r="DC51" s="2013"/>
      <c r="DD51" s="2013"/>
      <c r="DE51" s="2013"/>
      <c r="DF51" s="2014"/>
      <c r="DG51" s="1495"/>
      <c r="DH51" s="1495"/>
      <c r="DJ51" s="51"/>
      <c r="DK51" s="51"/>
      <c r="DL51" s="51"/>
      <c r="DM51" s="51"/>
    </row>
    <row r="52" spans="1:117" s="51" customFormat="1" ht="11.25" customHeight="1">
      <c r="A52" s="296"/>
      <c r="B52"/>
      <c r="C52"/>
      <c r="D52"/>
      <c r="E52"/>
      <c r="F52"/>
      <c r="G52"/>
      <c r="H52" s="1048"/>
      <c r="I52" s="302" t="s">
        <v>149</v>
      </c>
      <c r="J52" s="303"/>
      <c r="K52" s="303"/>
      <c r="L52" s="82"/>
      <c r="M52" s="292"/>
      <c r="N52" s="292"/>
      <c r="O52" s="292"/>
      <c r="P52" s="1007"/>
      <c r="Q52" s="292"/>
      <c r="R52" s="292"/>
      <c r="S52" s="292"/>
      <c r="T52" s="1007"/>
      <c r="U52" s="1957"/>
      <c r="V52" s="1957"/>
      <c r="W52" s="1957"/>
      <c r="X52" s="1958"/>
      <c r="Y52" s="1957"/>
      <c r="Z52" s="1957"/>
      <c r="AA52" s="1957"/>
      <c r="AB52" s="1958"/>
      <c r="AC52" s="1957"/>
      <c r="AD52" s="1957"/>
      <c r="AE52" s="1957"/>
      <c r="AF52" s="1958"/>
      <c r="AG52" s="1957">
        <f t="shared" ref="AG52:BL52" si="87">+AG29/AG15</f>
        <v>0.19366749351352891</v>
      </c>
      <c r="AH52" s="1957">
        <f t="shared" si="87"/>
        <v>0.1943007456371445</v>
      </c>
      <c r="AI52" s="1957">
        <f t="shared" si="87"/>
        <v>0.20008187104887787</v>
      </c>
      <c r="AJ52" s="1958">
        <f t="shared" si="87"/>
        <v>0.21546648163440818</v>
      </c>
      <c r="AK52" s="1957">
        <f t="shared" si="87"/>
        <v>0.21057823084911764</v>
      </c>
      <c r="AL52" s="1957">
        <f t="shared" si="87"/>
        <v>0.21347553950853346</v>
      </c>
      <c r="AM52" s="1957">
        <f t="shared" si="87"/>
        <v>0.21894110337159498</v>
      </c>
      <c r="AN52" s="1958">
        <f t="shared" si="87"/>
        <v>0.22934982553497468</v>
      </c>
      <c r="AO52" s="1957">
        <f t="shared" si="87"/>
        <v>0.23199001241531475</v>
      </c>
      <c r="AP52" s="1957">
        <f t="shared" si="87"/>
        <v>0.22597329209172304</v>
      </c>
      <c r="AQ52" s="1957">
        <f t="shared" si="87"/>
        <v>0.24208768447664347</v>
      </c>
      <c r="AR52" s="1958">
        <f t="shared" si="87"/>
        <v>0.25236593059936901</v>
      </c>
      <c r="AS52" s="1957">
        <f t="shared" si="87"/>
        <v>0.24717387563272544</v>
      </c>
      <c r="AT52" s="1957">
        <f t="shared" si="87"/>
        <v>0.2401062058642337</v>
      </c>
      <c r="AU52" s="1957">
        <f t="shared" si="87"/>
        <v>0.2589467268194468</v>
      </c>
      <c r="AV52" s="1958">
        <f t="shared" si="87"/>
        <v>0.27990245961809285</v>
      </c>
      <c r="AW52" s="1957">
        <f t="shared" si="87"/>
        <v>0.27965459655411179</v>
      </c>
      <c r="AX52" s="1957">
        <f t="shared" si="87"/>
        <v>0.28019338781674613</v>
      </c>
      <c r="AY52" s="1957">
        <f t="shared" si="87"/>
        <v>0.32412138741130286</v>
      </c>
      <c r="AZ52" s="1958">
        <f t="shared" si="87"/>
        <v>0.34137614033808433</v>
      </c>
      <c r="BA52" s="1957">
        <f t="shared" si="87"/>
        <v>0.33265318686730982</v>
      </c>
      <c r="BB52" s="1957">
        <f t="shared" si="87"/>
        <v>0.33370591672478467</v>
      </c>
      <c r="BC52" s="1957">
        <f t="shared" si="87"/>
        <v>0.38479144496973294</v>
      </c>
      <c r="BD52" s="1958">
        <f t="shared" si="87"/>
        <v>0.40324848778452871</v>
      </c>
      <c r="BE52" s="1957">
        <f t="shared" si="87"/>
        <v>0.40782902807966814</v>
      </c>
      <c r="BF52" s="1957">
        <f t="shared" si="87"/>
        <v>0.41451370539214261</v>
      </c>
      <c r="BG52" s="1957">
        <f t="shared" si="87"/>
        <v>0.47038390068533548</v>
      </c>
      <c r="BH52" s="1958">
        <f t="shared" si="87"/>
        <v>0.46884725309622105</v>
      </c>
      <c r="BI52" s="1970">
        <f t="shared" si="87"/>
        <v>0.44690330783027221</v>
      </c>
      <c r="BJ52" s="1957">
        <f t="shared" si="87"/>
        <v>0.48919210511802347</v>
      </c>
      <c r="BK52" s="1957">
        <f t="shared" si="87"/>
        <v>0.54769497378016563</v>
      </c>
      <c r="BL52" s="1958">
        <f t="shared" si="87"/>
        <v>0.56857665915289479</v>
      </c>
      <c r="BM52" s="1970">
        <f t="shared" ref="BM52:CF52" si="88">+BM29/BM15</f>
        <v>0.55344991821600842</v>
      </c>
      <c r="BN52" s="1957">
        <f t="shared" si="88"/>
        <v>0.57588765506749195</v>
      </c>
      <c r="BO52" s="1957">
        <f t="shared" si="88"/>
        <v>0.64709592769768631</v>
      </c>
      <c r="BP52" s="1958">
        <f t="shared" si="88"/>
        <v>0.65414370185753601</v>
      </c>
      <c r="BQ52" s="1957">
        <f t="shared" si="88"/>
        <v>0.65945721938646584</v>
      </c>
      <c r="BR52" s="1957">
        <f t="shared" si="88"/>
        <v>0.65661806587022653</v>
      </c>
      <c r="BS52" s="1957">
        <f t="shared" si="88"/>
        <v>0.7391144721820343</v>
      </c>
      <c r="BT52" s="1958">
        <f>+BT29/BT15</f>
        <v>0.72943725857033248</v>
      </c>
      <c r="BU52" s="1957">
        <f t="shared" si="88"/>
        <v>0.72625480818327248</v>
      </c>
      <c r="BV52" s="1957">
        <f t="shared" si="88"/>
        <v>0.75653208256173876</v>
      </c>
      <c r="BW52" s="1957">
        <f t="shared" si="88"/>
        <v>0.83638459430266487</v>
      </c>
      <c r="BX52" s="1958">
        <f t="shared" si="88"/>
        <v>0.83613147316150394</v>
      </c>
      <c r="BY52" s="1957">
        <f t="shared" si="88"/>
        <v>0.80732957051883858</v>
      </c>
      <c r="BZ52" s="1957">
        <f t="shared" si="88"/>
        <v>0.8539707266934734</v>
      </c>
      <c r="CA52" s="1957">
        <f t="shared" si="88"/>
        <v>0.913083507114684</v>
      </c>
      <c r="CB52" s="1958">
        <f t="shared" si="88"/>
        <v>0.93481466915740841</v>
      </c>
      <c r="CC52" s="1957">
        <f t="shared" si="88"/>
        <v>0.76036498350338988</v>
      </c>
      <c r="CD52" s="1957">
        <f t="shared" si="88"/>
        <v>0.79890450514395517</v>
      </c>
      <c r="CE52" s="1957">
        <f t="shared" si="88"/>
        <v>0.82090178940845993</v>
      </c>
      <c r="CF52" s="1958">
        <f t="shared" si="88"/>
        <v>0.79897398562086375</v>
      </c>
      <c r="CG52" s="1007"/>
      <c r="CH52" s="1010"/>
      <c r="CI52" s="292"/>
      <c r="CJ52" s="1957"/>
      <c r="CK52" s="1957"/>
      <c r="CL52" s="1957"/>
      <c r="CM52" s="1957">
        <f t="shared" ref="CM52:DF52" si="89">+CM29/CM15</f>
        <v>0.20046999176794239</v>
      </c>
      <c r="CN52" s="1957">
        <f t="shared" si="89"/>
        <v>0.21798080087098873</v>
      </c>
      <c r="CO52" s="1957">
        <f t="shared" si="89"/>
        <v>0.2375111027925679</v>
      </c>
      <c r="CP52" s="1957">
        <f t="shared" si="89"/>
        <v>0.25568795304153075</v>
      </c>
      <c r="CQ52" s="1957">
        <f t="shared" si="89"/>
        <v>0.30678288530090903</v>
      </c>
      <c r="CR52" s="1957">
        <f t="shared" si="89"/>
        <v>0.36354570095383582</v>
      </c>
      <c r="CS52" s="1957">
        <f t="shared" si="89"/>
        <v>0.44065856690004329</v>
      </c>
      <c r="CT52" s="1957">
        <f t="shared" si="89"/>
        <v>0.51280458192137912</v>
      </c>
      <c r="CU52" s="1957">
        <f t="shared" si="89"/>
        <v>0.60758471657150293</v>
      </c>
      <c r="CV52" s="1957">
        <f t="shared" si="89"/>
        <v>0.69650110683143773</v>
      </c>
      <c r="CW52" s="1957">
        <f t="shared" si="89"/>
        <v>0.79086281527632984</v>
      </c>
      <c r="CX52" s="1957">
        <f t="shared" si="89"/>
        <v>0.88254336463328698</v>
      </c>
      <c r="CY52" s="1957">
        <f t="shared" si="89"/>
        <v>0.79810319301780952</v>
      </c>
      <c r="CZ52" s="1957">
        <f t="shared" si="89"/>
        <v>0.80720022061614094</v>
      </c>
      <c r="DA52" s="1957">
        <f t="shared" si="89"/>
        <v>0.81657487447754207</v>
      </c>
      <c r="DB52" s="1957">
        <f t="shared" si="89"/>
        <v>0.82612653900274235</v>
      </c>
      <c r="DC52" s="1957">
        <f t="shared" si="89"/>
        <v>0.83391599210592682</v>
      </c>
      <c r="DD52" s="1957">
        <f t="shared" si="89"/>
        <v>0.84144850234972801</v>
      </c>
      <c r="DE52" s="1957">
        <f t="shared" si="89"/>
        <v>0.84875738875844431</v>
      </c>
      <c r="DF52" s="1958">
        <f t="shared" si="89"/>
        <v>0.8559871547639083</v>
      </c>
      <c r="DG52" s="1493"/>
      <c r="DH52" s="1493"/>
    </row>
    <row r="53" spans="1:117" s="49" customFormat="1" ht="11.25" customHeight="1">
      <c r="A53" s="528"/>
      <c r="B53"/>
      <c r="C53"/>
      <c r="D53"/>
      <c r="E53"/>
      <c r="F53"/>
      <c r="G53"/>
      <c r="H53" s="1048"/>
      <c r="I53" s="188" t="s">
        <v>622</v>
      </c>
      <c r="J53" s="47"/>
      <c r="K53" s="47"/>
      <c r="L53" s="48"/>
      <c r="M53" s="530"/>
      <c r="N53" s="530"/>
      <c r="O53" s="530"/>
      <c r="P53" s="2211"/>
      <c r="Q53" s="530"/>
      <c r="R53" s="530"/>
      <c r="S53" s="530"/>
      <c r="T53" s="2211"/>
      <c r="U53" s="2013"/>
      <c r="V53" s="2013"/>
      <c r="W53" s="2013"/>
      <c r="X53" s="2014"/>
      <c r="Y53" s="2013"/>
      <c r="Z53" s="2013"/>
      <c r="AA53" s="2013"/>
      <c r="AB53" s="2014"/>
      <c r="AC53" s="2013"/>
      <c r="AD53" s="2013"/>
      <c r="AE53" s="2013"/>
      <c r="AF53" s="2014"/>
      <c r="AG53" s="2013"/>
      <c r="AH53" s="2013"/>
      <c r="AI53" s="2013"/>
      <c r="AJ53" s="2014"/>
      <c r="AK53" s="2013">
        <f t="shared" ref="AK53:CF53" si="90">+(AK52-AG52)*10000</f>
        <v>169.10737335588732</v>
      </c>
      <c r="AL53" s="2013">
        <f t="shared" si="90"/>
        <v>191.74793871388957</v>
      </c>
      <c r="AM53" s="2013">
        <f t="shared" si="90"/>
        <v>188.59232322717108</v>
      </c>
      <c r="AN53" s="2014">
        <f t="shared" si="90"/>
        <v>138.83343900566501</v>
      </c>
      <c r="AO53" s="2013">
        <f t="shared" si="90"/>
        <v>214.11781566197106</v>
      </c>
      <c r="AP53" s="2013">
        <f t="shared" si="90"/>
        <v>124.9775258318958</v>
      </c>
      <c r="AQ53" s="2013">
        <f t="shared" si="90"/>
        <v>231.46581105048497</v>
      </c>
      <c r="AR53" s="2014">
        <f t="shared" si="90"/>
        <v>230.16105064394333</v>
      </c>
      <c r="AS53" s="2013">
        <f t="shared" si="90"/>
        <v>151.83863217410692</v>
      </c>
      <c r="AT53" s="2013">
        <f t="shared" si="90"/>
        <v>141.32913772510665</v>
      </c>
      <c r="AU53" s="2013">
        <f t="shared" si="90"/>
        <v>168.59042342803332</v>
      </c>
      <c r="AV53" s="2014">
        <f t="shared" si="90"/>
        <v>275.36529018723832</v>
      </c>
      <c r="AW53" s="2013">
        <f t="shared" si="90"/>
        <v>324.80720921386347</v>
      </c>
      <c r="AX53" s="2013">
        <f t="shared" si="90"/>
        <v>400.87181952512429</v>
      </c>
      <c r="AY53" s="2013">
        <f t="shared" si="90"/>
        <v>651.74660591856059</v>
      </c>
      <c r="AZ53" s="2014">
        <f t="shared" si="90"/>
        <v>614.73680719991489</v>
      </c>
      <c r="BA53" s="2013">
        <f t="shared" si="90"/>
        <v>529.98590313198031</v>
      </c>
      <c r="BB53" s="2013">
        <f t="shared" si="90"/>
        <v>535.12528908038541</v>
      </c>
      <c r="BC53" s="2013">
        <f t="shared" si="90"/>
        <v>606.70057558430085</v>
      </c>
      <c r="BD53" s="2014">
        <f t="shared" si="90"/>
        <v>618.72347446444371</v>
      </c>
      <c r="BE53" s="2013">
        <f t="shared" si="90"/>
        <v>751.75841212358318</v>
      </c>
      <c r="BF53" s="2013">
        <f t="shared" si="90"/>
        <v>808.07788667357943</v>
      </c>
      <c r="BG53" s="2013">
        <f t="shared" si="90"/>
        <v>855.92455715602534</v>
      </c>
      <c r="BH53" s="2014">
        <f t="shared" si="90"/>
        <v>655.98765311692341</v>
      </c>
      <c r="BI53" s="2015">
        <f t="shared" si="90"/>
        <v>390.74279750604069</v>
      </c>
      <c r="BJ53" s="2013">
        <f t="shared" si="90"/>
        <v>746.78399725880865</v>
      </c>
      <c r="BK53" s="2013">
        <f t="shared" si="90"/>
        <v>773.11073094830147</v>
      </c>
      <c r="BL53" s="2014">
        <f t="shared" si="90"/>
        <v>997.29406056673747</v>
      </c>
      <c r="BM53" s="2015">
        <f t="shared" si="90"/>
        <v>1065.466103857362</v>
      </c>
      <c r="BN53" s="2013">
        <f t="shared" si="90"/>
        <v>866.95549949468489</v>
      </c>
      <c r="BO53" s="2013">
        <f t="shared" si="90"/>
        <v>994.0095391752069</v>
      </c>
      <c r="BP53" s="2014">
        <f t="shared" si="90"/>
        <v>855.67042704641221</v>
      </c>
      <c r="BQ53" s="2013">
        <f t="shared" si="90"/>
        <v>1060.0730117045741</v>
      </c>
      <c r="BR53" s="2013">
        <f>+(BR52-BN52)*10000</f>
        <v>807.30410802734571</v>
      </c>
      <c r="BS53" s="2013">
        <f t="shared" si="90"/>
        <v>920.1854448434799</v>
      </c>
      <c r="BT53" s="2014">
        <f t="shared" si="90"/>
        <v>752.93556712796476</v>
      </c>
      <c r="BU53" s="2013">
        <f t="shared" si="90"/>
        <v>667.97588796806644</v>
      </c>
      <c r="BV53" s="2013">
        <f t="shared" si="90"/>
        <v>999.14016691512234</v>
      </c>
      <c r="BW53" s="2013">
        <f t="shared" si="90"/>
        <v>972.70122120630572</v>
      </c>
      <c r="BX53" s="2014">
        <f t="shared" si="90"/>
        <v>1066.9421459117145</v>
      </c>
      <c r="BY53" s="2013">
        <f t="shared" si="90"/>
        <v>810.74762335566095</v>
      </c>
      <c r="BZ53" s="2013">
        <f t="shared" si="90"/>
        <v>974.38644131734645</v>
      </c>
      <c r="CA53" s="2013">
        <f t="shared" si="90"/>
        <v>766.98912812019125</v>
      </c>
      <c r="CB53" s="2014">
        <f t="shared" si="90"/>
        <v>986.83195995904475</v>
      </c>
      <c r="CC53" s="2013">
        <f t="shared" si="90"/>
        <v>-469.645870154487</v>
      </c>
      <c r="CD53" s="2013">
        <f t="shared" si="90"/>
        <v>-550.66221549518229</v>
      </c>
      <c r="CE53" s="2013">
        <f t="shared" si="90"/>
        <v>-921.81717706224072</v>
      </c>
      <c r="CF53" s="2014">
        <f t="shared" si="90"/>
        <v>-1358.4068353654466</v>
      </c>
      <c r="CG53" s="2211"/>
      <c r="CH53" s="2212"/>
      <c r="CI53" s="530"/>
      <c r="CJ53" s="2013"/>
      <c r="CK53" s="2013"/>
      <c r="CL53" s="2013"/>
      <c r="CM53" s="2013"/>
      <c r="CN53" s="2013">
        <f t="shared" ref="CN53:CX53" si="91">+(CN52-CM52)*10000</f>
        <v>175.10809103046338</v>
      </c>
      <c r="CO53" s="2013">
        <f t="shared" si="91"/>
        <v>195.30301921579175</v>
      </c>
      <c r="CP53" s="2013">
        <f t="shared" si="91"/>
        <v>181.76850248962845</v>
      </c>
      <c r="CQ53" s="2013">
        <f t="shared" si="91"/>
        <v>510.94932259378277</v>
      </c>
      <c r="CR53" s="2013">
        <f t="shared" si="91"/>
        <v>567.62815652926793</v>
      </c>
      <c r="CS53" s="2013">
        <f t="shared" si="91"/>
        <v>771.12865946207478</v>
      </c>
      <c r="CT53" s="2013">
        <f t="shared" si="91"/>
        <v>721.46015021335825</v>
      </c>
      <c r="CU53" s="2013">
        <f t="shared" si="91"/>
        <v>947.80134650123807</v>
      </c>
      <c r="CV53" s="2013">
        <f t="shared" si="91"/>
        <v>889.16390259934803</v>
      </c>
      <c r="CW53" s="2013">
        <f t="shared" si="91"/>
        <v>943.6170844489211</v>
      </c>
      <c r="CX53" s="2013">
        <f t="shared" si="91"/>
        <v>916.80549356957135</v>
      </c>
      <c r="CY53" s="2013">
        <f t="shared" ref="CY53:DF53" si="92">+(CY52-CX52)*10000</f>
        <v>-844.40171615477459</v>
      </c>
      <c r="CZ53" s="2013">
        <f t="shared" si="92"/>
        <v>90.970275983314195</v>
      </c>
      <c r="DA53" s="2013">
        <f t="shared" si="92"/>
        <v>93.746538614011271</v>
      </c>
      <c r="DB53" s="2013">
        <f t="shared" si="92"/>
        <v>95.516645252002874</v>
      </c>
      <c r="DC53" s="2013">
        <f t="shared" si="92"/>
        <v>77.894531031844622</v>
      </c>
      <c r="DD53" s="2013">
        <f t="shared" si="92"/>
        <v>75.325102438011939</v>
      </c>
      <c r="DE53" s="2013">
        <f t="shared" si="92"/>
        <v>73.088864087162975</v>
      </c>
      <c r="DF53" s="2014">
        <f t="shared" si="92"/>
        <v>72.297660054639891</v>
      </c>
      <c r="DG53" s="1495"/>
      <c r="DH53" s="1495"/>
      <c r="DJ53" s="51"/>
      <c r="DK53" s="51"/>
      <c r="DL53" s="51"/>
      <c r="DM53" s="51"/>
    </row>
    <row r="54" spans="1:117" s="26" customFormat="1" ht="11.25" customHeight="1">
      <c r="A54" s="12"/>
      <c r="B54"/>
      <c r="C54"/>
      <c r="D54"/>
      <c r="E54"/>
      <c r="F54"/>
      <c r="G54"/>
      <c r="H54" s="1048"/>
      <c r="I54" s="169"/>
      <c r="J54" s="129"/>
      <c r="K54" s="129"/>
      <c r="L54" s="24"/>
      <c r="M54" s="34"/>
      <c r="N54" s="34"/>
      <c r="O54" s="34"/>
      <c r="P54" s="1412"/>
      <c r="Q54" s="34"/>
      <c r="R54" s="34"/>
      <c r="S54" s="34"/>
      <c r="T54" s="1412"/>
      <c r="U54" s="2216"/>
      <c r="V54" s="2216"/>
      <c r="W54" s="2216"/>
      <c r="X54" s="2224"/>
      <c r="Y54" s="2216"/>
      <c r="Z54" s="2216"/>
      <c r="AA54" s="2216"/>
      <c r="AB54" s="2224"/>
      <c r="AC54" s="2216"/>
      <c r="AD54" s="2216"/>
      <c r="AE54" s="2216"/>
      <c r="AF54" s="2224"/>
      <c r="AG54" s="2216"/>
      <c r="AH54" s="2216"/>
      <c r="AI54" s="2216"/>
      <c r="AJ54" s="2224"/>
      <c r="AK54" s="2216"/>
      <c r="AL54" s="2216"/>
      <c r="AM54" s="2216"/>
      <c r="AN54" s="2224"/>
      <c r="AO54" s="2216"/>
      <c r="AP54" s="2216"/>
      <c r="AQ54" s="2216"/>
      <c r="AR54" s="2224"/>
      <c r="AS54" s="2216"/>
      <c r="AT54" s="2216"/>
      <c r="AU54" s="2216"/>
      <c r="AV54" s="2224"/>
      <c r="AW54" s="2216"/>
      <c r="AX54" s="2216"/>
      <c r="AY54" s="2216"/>
      <c r="AZ54" s="2224"/>
      <c r="BA54" s="2216"/>
      <c r="BB54" s="2216"/>
      <c r="BC54" s="2216"/>
      <c r="BD54" s="2224"/>
      <c r="BE54" s="2216"/>
      <c r="BF54" s="2216"/>
      <c r="BG54" s="2216"/>
      <c r="BH54" s="2224"/>
      <c r="BI54" s="2207"/>
      <c r="BJ54" s="2208"/>
      <c r="BK54" s="2216"/>
      <c r="BL54" s="2224"/>
      <c r="BM54" s="2207"/>
      <c r="BN54" s="2208"/>
      <c r="BO54" s="2216"/>
      <c r="BP54" s="2224"/>
      <c r="BQ54" s="2216"/>
      <c r="BR54" s="2216"/>
      <c r="BS54" s="2216"/>
      <c r="BT54" s="2224"/>
      <c r="BU54" s="2216"/>
      <c r="BV54" s="2216"/>
      <c r="BW54" s="2216"/>
      <c r="BX54" s="2224"/>
      <c r="BY54" s="2216"/>
      <c r="BZ54" s="2216"/>
      <c r="CA54" s="2216"/>
      <c r="CB54" s="2224"/>
      <c r="CC54" s="2216"/>
      <c r="CD54" s="2216"/>
      <c r="CE54" s="2216"/>
      <c r="CF54" s="2224"/>
      <c r="CG54" s="1412"/>
      <c r="CH54" s="1414"/>
      <c r="CI54" s="34"/>
      <c r="CJ54" s="2216"/>
      <c r="CK54" s="2216"/>
      <c r="CL54" s="2216"/>
      <c r="CM54" s="2216"/>
      <c r="CN54" s="2216"/>
      <c r="CO54" s="2216"/>
      <c r="CP54" s="2216"/>
      <c r="CQ54" s="2216"/>
      <c r="CR54" s="2216"/>
      <c r="CS54" s="2216"/>
      <c r="CT54" s="2216"/>
      <c r="CU54" s="2216"/>
      <c r="CV54" s="2216"/>
      <c r="CW54" s="2216"/>
      <c r="CX54" s="2216"/>
      <c r="CY54" s="2216"/>
      <c r="CZ54" s="2216"/>
      <c r="DA54" s="2216"/>
      <c r="DB54" s="2216"/>
      <c r="DC54" s="2216"/>
      <c r="DD54" s="2216"/>
      <c r="DE54" s="2216"/>
      <c r="DF54" s="2224"/>
      <c r="DG54" s="945"/>
      <c r="DH54" s="945"/>
      <c r="DJ54" s="51"/>
      <c r="DK54" s="51"/>
      <c r="DL54" s="51"/>
      <c r="DM54" s="51"/>
    </row>
    <row r="55" spans="1:117" s="51" customFormat="1" ht="11.25" customHeight="1">
      <c r="A55" s="82"/>
      <c r="B55"/>
      <c r="C55"/>
      <c r="D55"/>
      <c r="E55"/>
      <c r="F55"/>
      <c r="G55"/>
      <c r="H55" s="1044"/>
      <c r="I55" s="304" t="s">
        <v>115</v>
      </c>
      <c r="J55" s="82"/>
      <c r="K55" s="82"/>
      <c r="L55" s="82"/>
      <c r="M55" s="1957">
        <f t="shared" ref="M55:AR55" si="93">+M39/M21</f>
        <v>0.15986043959303534</v>
      </c>
      <c r="N55" s="1957">
        <f t="shared" si="93"/>
        <v>0.16478412966476222</v>
      </c>
      <c r="O55" s="1957">
        <f t="shared" si="93"/>
        <v>0.16699946024524073</v>
      </c>
      <c r="P55" s="1958">
        <f t="shared" si="93"/>
        <v>0.16681824363376738</v>
      </c>
      <c r="Q55" s="1957">
        <f t="shared" si="93"/>
        <v>0.16034900815243333</v>
      </c>
      <c r="R55" s="1957">
        <f t="shared" si="93"/>
        <v>0.15814436240376278</v>
      </c>
      <c r="S55" s="1957">
        <f t="shared" si="93"/>
        <v>0.15727775833041624</v>
      </c>
      <c r="T55" s="1958">
        <f t="shared" si="93"/>
        <v>0.15450504559024031</v>
      </c>
      <c r="U55" s="1957">
        <f t="shared" si="93"/>
        <v>0.1645343588362338</v>
      </c>
      <c r="V55" s="1957">
        <f t="shared" si="93"/>
        <v>0.16903066378367548</v>
      </c>
      <c r="W55" s="1957">
        <f t="shared" si="93"/>
        <v>0.16697269564288678</v>
      </c>
      <c r="X55" s="1958">
        <f t="shared" si="93"/>
        <v>0.17659171768414858</v>
      </c>
      <c r="Y55" s="1957">
        <f t="shared" si="93"/>
        <v>0.19352075348791556</v>
      </c>
      <c r="Z55" s="1957">
        <f t="shared" si="93"/>
        <v>0.21052550416555826</v>
      </c>
      <c r="AA55" s="1957">
        <f t="shared" si="93"/>
        <v>0.21899933017356135</v>
      </c>
      <c r="AB55" s="1958">
        <f t="shared" si="93"/>
        <v>0.26414078207705882</v>
      </c>
      <c r="AC55" s="1957">
        <f t="shared" si="93"/>
        <v>0.24880030163844519</v>
      </c>
      <c r="AD55" s="1957">
        <f t="shared" si="93"/>
        <v>0.24600366900887988</v>
      </c>
      <c r="AE55" s="1957">
        <f t="shared" si="93"/>
        <v>0.31246498220613061</v>
      </c>
      <c r="AF55" s="1958">
        <f t="shared" si="93"/>
        <v>0.32044548410351475</v>
      </c>
      <c r="AG55" s="1957">
        <f t="shared" si="93"/>
        <v>0.29858131402068505</v>
      </c>
      <c r="AH55" s="1957">
        <f t="shared" si="93"/>
        <v>0.34390916980604647</v>
      </c>
      <c r="AI55" s="1957">
        <f t="shared" si="93"/>
        <v>0.39221847774852747</v>
      </c>
      <c r="AJ55" s="1958">
        <f t="shared" si="93"/>
        <v>0.38265319854962676</v>
      </c>
      <c r="AK55" s="1957">
        <f t="shared" si="93"/>
        <v>0.36369526918402451</v>
      </c>
      <c r="AL55" s="1957">
        <f t="shared" si="93"/>
        <v>0.43809289459840128</v>
      </c>
      <c r="AM55" s="1957">
        <f t="shared" si="93"/>
        <v>0.4848725217895597</v>
      </c>
      <c r="AN55" s="1958">
        <f t="shared" si="93"/>
        <v>0.47827554180491144</v>
      </c>
      <c r="AO55" s="1957">
        <f t="shared" si="93"/>
        <v>0.44918646758271741</v>
      </c>
      <c r="AP55" s="1957">
        <f t="shared" si="93"/>
        <v>0.4936514545426246</v>
      </c>
      <c r="AQ55" s="1957">
        <f t="shared" si="93"/>
        <v>0.56280793220906367</v>
      </c>
      <c r="AR55" s="1958">
        <f t="shared" si="93"/>
        <v>0.50503520580433992</v>
      </c>
      <c r="AS55" s="1957">
        <f t="shared" ref="AS55:BX55" si="94">+AS39/AS21</f>
        <v>0.45087413268464127</v>
      </c>
      <c r="AT55" s="1957">
        <f t="shared" si="94"/>
        <v>0.50557772289773262</v>
      </c>
      <c r="AU55" s="1957">
        <f t="shared" si="94"/>
        <v>0.59399173350121803</v>
      </c>
      <c r="AV55" s="1958">
        <f t="shared" si="94"/>
        <v>0.5781029362089366</v>
      </c>
      <c r="AW55" s="1957">
        <f t="shared" si="94"/>
        <v>0.54606310126387325</v>
      </c>
      <c r="AX55" s="1957">
        <f t="shared" si="94"/>
        <v>0.58069050246756759</v>
      </c>
      <c r="AY55" s="1957">
        <f t="shared" si="94"/>
        <v>0.66569367498956433</v>
      </c>
      <c r="AZ55" s="1958">
        <f t="shared" si="94"/>
        <v>0.65500791876344522</v>
      </c>
      <c r="BA55" s="1957">
        <f t="shared" si="94"/>
        <v>0.62497899471160978</v>
      </c>
      <c r="BB55" s="1957">
        <f t="shared" si="94"/>
        <v>0.67943786070030721</v>
      </c>
      <c r="BC55" s="1957">
        <f t="shared" si="94"/>
        <v>0.75725837759257275</v>
      </c>
      <c r="BD55" s="1958">
        <f t="shared" si="94"/>
        <v>0.73144826750910907</v>
      </c>
      <c r="BE55" s="1957">
        <f t="shared" si="94"/>
        <v>0.71659691471751663</v>
      </c>
      <c r="BF55" s="1957">
        <f t="shared" si="94"/>
        <v>0.75683828035083989</v>
      </c>
      <c r="BG55" s="1957">
        <f t="shared" si="94"/>
        <v>0.81843334446847293</v>
      </c>
      <c r="BH55" s="1958">
        <f t="shared" si="94"/>
        <v>0.78928139488006455</v>
      </c>
      <c r="BI55" s="1970">
        <f t="shared" si="94"/>
        <v>0.77546520308568589</v>
      </c>
      <c r="BJ55" s="1957">
        <f t="shared" si="94"/>
        <v>0.82360653669301609</v>
      </c>
      <c r="BK55" s="1957">
        <f t="shared" si="94"/>
        <v>0.87627753256416685</v>
      </c>
      <c r="BL55" s="1958">
        <f t="shared" si="94"/>
        <v>0.86513214456968246</v>
      </c>
      <c r="BM55" s="1970">
        <f t="shared" si="94"/>
        <v>0.85666298372154503</v>
      </c>
      <c r="BN55" s="1957">
        <f t="shared" si="94"/>
        <v>0.88671038225633658</v>
      </c>
      <c r="BO55" s="1957">
        <f t="shared" si="94"/>
        <v>0.92366676220704635</v>
      </c>
      <c r="BP55" s="1958">
        <f t="shared" si="94"/>
        <v>0.91010691284209477</v>
      </c>
      <c r="BQ55" s="1957">
        <f t="shared" si="94"/>
        <v>0.90848125761261778</v>
      </c>
      <c r="BR55" s="1957">
        <f t="shared" si="94"/>
        <v>0.91778142139285401</v>
      </c>
      <c r="BS55" s="1957">
        <f t="shared" si="94"/>
        <v>0.94984725584219409</v>
      </c>
      <c r="BT55" s="1958">
        <f>+BT39/BT21</f>
        <v>0.93969384923462307</v>
      </c>
      <c r="BU55" s="1957">
        <f t="shared" si="94"/>
        <v>0.94010154930895351</v>
      </c>
      <c r="BV55" s="1957">
        <f t="shared" si="94"/>
        <v>0.95066947011270386</v>
      </c>
      <c r="BW55" s="1957">
        <f t="shared" si="94"/>
        <v>0.97250031973536755</v>
      </c>
      <c r="BX55" s="1958">
        <f t="shared" si="94"/>
        <v>0.96931059987659851</v>
      </c>
      <c r="BY55" s="1957">
        <f t="shared" ref="BY55:CF55" si="95">+BY39/BY21</f>
        <v>0.96479752864755131</v>
      </c>
      <c r="BZ55" s="1957">
        <f t="shared" si="95"/>
        <v>0.97594952779846023</v>
      </c>
      <c r="CA55" s="1957">
        <f t="shared" si="95"/>
        <v>0.986586465717748</v>
      </c>
      <c r="CB55" s="1958">
        <f t="shared" si="95"/>
        <v>0.98817377803733231</v>
      </c>
      <c r="CC55" s="1957">
        <f t="shared" si="95"/>
        <v>0.9565790611638908</v>
      </c>
      <c r="CD55" s="1957">
        <f t="shared" si="95"/>
        <v>0.96725068707051853</v>
      </c>
      <c r="CE55" s="1957">
        <f t="shared" si="95"/>
        <v>0.97112908750834315</v>
      </c>
      <c r="CF55" s="1958">
        <f t="shared" si="95"/>
        <v>0.96199076070699652</v>
      </c>
      <c r="CG55" s="1007"/>
      <c r="CH55" s="1970">
        <f t="shared" ref="CH55:DF55" si="96">+CH39/CH21</f>
        <v>0.16463025910750817</v>
      </c>
      <c r="CI55" s="1957">
        <f t="shared" si="96"/>
        <v>0.15779698407542403</v>
      </c>
      <c r="CJ55" s="1957">
        <f t="shared" si="96"/>
        <v>0.16898412687385445</v>
      </c>
      <c r="CK55" s="1957">
        <f t="shared" si="96"/>
        <v>0.21997550225838555</v>
      </c>
      <c r="CL55" s="1957">
        <f t="shared" si="96"/>
        <v>0.28031732939701393</v>
      </c>
      <c r="CM55" s="1957">
        <f t="shared" si="96"/>
        <v>0.35655009393644077</v>
      </c>
      <c r="CN55" s="1957">
        <f t="shared" si="96"/>
        <v>0.44652759857764396</v>
      </c>
      <c r="CO55" s="1957">
        <f t="shared" si="96"/>
        <v>0.50719861884989759</v>
      </c>
      <c r="CP55" s="1957">
        <f t="shared" si="96"/>
        <v>0.53919961064266198</v>
      </c>
      <c r="CQ55" s="1957">
        <f t="shared" si="96"/>
        <v>0.61939055051644087</v>
      </c>
      <c r="CR55" s="1957">
        <f t="shared" si="96"/>
        <v>0.70710646729160787</v>
      </c>
      <c r="CS55" s="1957">
        <f t="shared" si="96"/>
        <v>0.77622413112749855</v>
      </c>
      <c r="CT55" s="1957">
        <f t="shared" si="96"/>
        <v>0.84139975440529247</v>
      </c>
      <c r="CU55" s="1957">
        <f t="shared" si="96"/>
        <v>0.8983838016027299</v>
      </c>
      <c r="CV55" s="1957">
        <f t="shared" si="96"/>
        <v>0.93146347669397167</v>
      </c>
      <c r="CW55" s="1957">
        <f t="shared" si="96"/>
        <v>0.96013089818622455</v>
      </c>
      <c r="CX55" s="1957">
        <f t="shared" si="96"/>
        <v>0.9802432473822027</v>
      </c>
      <c r="CY55" s="1957">
        <f t="shared" si="96"/>
        <v>0.96530646368607076</v>
      </c>
      <c r="CZ55" s="1957">
        <f t="shared" si="96"/>
        <v>0.9682678419844124</v>
      </c>
      <c r="DA55" s="1957">
        <f t="shared" si="96"/>
        <v>0.97104223193683115</v>
      </c>
      <c r="DB55" s="1957">
        <f t="shared" si="96"/>
        <v>0.97357273202963612</v>
      </c>
      <c r="DC55" s="1957">
        <f t="shared" si="96"/>
        <v>0.97563758839591164</v>
      </c>
      <c r="DD55" s="1957">
        <f t="shared" si="96"/>
        <v>0.97737513885782867</v>
      </c>
      <c r="DE55" s="1957">
        <f t="shared" si="96"/>
        <v>0.97884866352302302</v>
      </c>
      <c r="DF55" s="1958">
        <f t="shared" si="96"/>
        <v>0.98024644960127849</v>
      </c>
      <c r="DG55" s="1493"/>
      <c r="DH55" s="1493"/>
    </row>
    <row r="56" spans="1:117" s="49" customFormat="1" ht="11.25" customHeight="1">
      <c r="A56" s="528"/>
      <c r="B56"/>
      <c r="C56"/>
      <c r="D56"/>
      <c r="E56"/>
      <c r="F56"/>
      <c r="G56"/>
      <c r="H56" s="1048"/>
      <c r="I56" s="188" t="s">
        <v>622</v>
      </c>
      <c r="J56" s="47"/>
      <c r="K56" s="47"/>
      <c r="L56" s="48"/>
      <c r="M56" s="530"/>
      <c r="N56" s="530"/>
      <c r="O56" s="530"/>
      <c r="P56" s="2211"/>
      <c r="Q56" s="530"/>
      <c r="R56" s="530"/>
      <c r="S56" s="530"/>
      <c r="T56" s="2211"/>
      <c r="U56" s="2013"/>
      <c r="V56" s="2013"/>
      <c r="W56" s="2013"/>
      <c r="X56" s="2014"/>
      <c r="Y56" s="2013"/>
      <c r="Z56" s="2013"/>
      <c r="AA56" s="2013"/>
      <c r="AB56" s="2014"/>
      <c r="AC56" s="2013"/>
      <c r="AD56" s="2013"/>
      <c r="AE56" s="2013"/>
      <c r="AF56" s="2014"/>
      <c r="AG56" s="2013"/>
      <c r="AH56" s="2013"/>
      <c r="AI56" s="2013"/>
      <c r="AJ56" s="2014"/>
      <c r="AK56" s="2013">
        <f t="shared" ref="AK56:CF56" si="97">+(AK55-AG55)*10000</f>
        <v>651.13955163339449</v>
      </c>
      <c r="AL56" s="2013">
        <f t="shared" si="97"/>
        <v>941.83724792354815</v>
      </c>
      <c r="AM56" s="2013">
        <f t="shared" si="97"/>
        <v>926.54044041032228</v>
      </c>
      <c r="AN56" s="2014">
        <f t="shared" si="97"/>
        <v>956.22343255284682</v>
      </c>
      <c r="AO56" s="2013">
        <f t="shared" si="97"/>
        <v>854.91198398692904</v>
      </c>
      <c r="AP56" s="2013">
        <f t="shared" si="97"/>
        <v>555.58559944223316</v>
      </c>
      <c r="AQ56" s="2013">
        <f t="shared" si="97"/>
        <v>779.35410419503967</v>
      </c>
      <c r="AR56" s="2014">
        <f t="shared" si="97"/>
        <v>267.59663999428471</v>
      </c>
      <c r="AS56" s="2013">
        <f t="shared" si="97"/>
        <v>16.876651019238629</v>
      </c>
      <c r="AT56" s="2013">
        <f t="shared" si="97"/>
        <v>119.26268355108016</v>
      </c>
      <c r="AU56" s="2013">
        <f t="shared" si="97"/>
        <v>311.83801292154368</v>
      </c>
      <c r="AV56" s="2014">
        <f t="shared" si="97"/>
        <v>730.67730404596682</v>
      </c>
      <c r="AW56" s="2013">
        <f t="shared" si="97"/>
        <v>951.88968579231982</v>
      </c>
      <c r="AX56" s="2013">
        <f t="shared" si="97"/>
        <v>751.1277956983497</v>
      </c>
      <c r="AY56" s="2013">
        <f t="shared" si="97"/>
        <v>717.01941488346301</v>
      </c>
      <c r="AZ56" s="2014">
        <f t="shared" si="97"/>
        <v>769.04982554508615</v>
      </c>
      <c r="BA56" s="2013">
        <f t="shared" si="97"/>
        <v>789.15893447736528</v>
      </c>
      <c r="BB56" s="2013">
        <f t="shared" si="97"/>
        <v>987.47358232739612</v>
      </c>
      <c r="BC56" s="2013">
        <f t="shared" si="97"/>
        <v>915.64702603008413</v>
      </c>
      <c r="BD56" s="2014">
        <f t="shared" si="97"/>
        <v>764.40348745663857</v>
      </c>
      <c r="BE56" s="2013">
        <f t="shared" si="97"/>
        <v>916.17920005906853</v>
      </c>
      <c r="BF56" s="2013">
        <f t="shared" si="97"/>
        <v>774.00419650532683</v>
      </c>
      <c r="BG56" s="2013">
        <f t="shared" si="97"/>
        <v>611.74966875900179</v>
      </c>
      <c r="BH56" s="2014">
        <f t="shared" si="97"/>
        <v>578.33127370955469</v>
      </c>
      <c r="BI56" s="2015">
        <f t="shared" si="97"/>
        <v>588.6828836816926</v>
      </c>
      <c r="BJ56" s="2013">
        <f t="shared" si="97"/>
        <v>667.68256342176198</v>
      </c>
      <c r="BK56" s="2013">
        <f t="shared" si="97"/>
        <v>578.44188095693914</v>
      </c>
      <c r="BL56" s="2014">
        <f t="shared" si="97"/>
        <v>758.50749689617919</v>
      </c>
      <c r="BM56" s="2015">
        <f t="shared" si="97"/>
        <v>811.97780635859135</v>
      </c>
      <c r="BN56" s="2013">
        <f t="shared" si="97"/>
        <v>631.03845563320488</v>
      </c>
      <c r="BO56" s="2013">
        <f t="shared" si="97"/>
        <v>473.89229642879502</v>
      </c>
      <c r="BP56" s="2014">
        <f t="shared" si="97"/>
        <v>449.74768272412314</v>
      </c>
      <c r="BQ56" s="2013">
        <f t="shared" si="97"/>
        <v>518.18273891072738</v>
      </c>
      <c r="BR56" s="2013">
        <f t="shared" si="97"/>
        <v>310.7103913651743</v>
      </c>
      <c r="BS56" s="2013">
        <f t="shared" si="97"/>
        <v>261.80493635147741</v>
      </c>
      <c r="BT56" s="2014">
        <f t="shared" si="97"/>
        <v>295.86936392528298</v>
      </c>
      <c r="BU56" s="2013">
        <f t="shared" si="97"/>
        <v>316.20291696335732</v>
      </c>
      <c r="BV56" s="2013">
        <f t="shared" si="97"/>
        <v>328.88048719849849</v>
      </c>
      <c r="BW56" s="2013">
        <f t="shared" si="97"/>
        <v>226.53063893173453</v>
      </c>
      <c r="BX56" s="2014">
        <f t="shared" si="97"/>
        <v>296.16750641975443</v>
      </c>
      <c r="BY56" s="2013">
        <f t="shared" si="97"/>
        <v>246.95979338597795</v>
      </c>
      <c r="BZ56" s="2013">
        <f t="shared" si="97"/>
        <v>252.80057685756364</v>
      </c>
      <c r="CA56" s="2013">
        <f t="shared" si="97"/>
        <v>140.86145982380449</v>
      </c>
      <c r="CB56" s="2014">
        <f t="shared" si="97"/>
        <v>188.63178160733796</v>
      </c>
      <c r="CC56" s="2013">
        <f t="shared" si="97"/>
        <v>-82.184674836605069</v>
      </c>
      <c r="CD56" s="2013">
        <f t="shared" si="97"/>
        <v>-86.988407279416919</v>
      </c>
      <c r="CE56" s="2013">
        <f t="shared" si="97"/>
        <v>-154.57378209404848</v>
      </c>
      <c r="CF56" s="2014">
        <f t="shared" si="97"/>
        <v>-261.83017330335787</v>
      </c>
      <c r="CG56" s="2211"/>
      <c r="CH56" s="2212"/>
      <c r="CI56" s="530"/>
      <c r="CJ56" s="2013"/>
      <c r="CK56" s="2013"/>
      <c r="CL56" s="2013"/>
      <c r="CM56" s="2013"/>
      <c r="CN56" s="2013">
        <f t="shared" ref="CN56:DF56" si="98">+(CN55-CM55)*10000</f>
        <v>899.77504641203188</v>
      </c>
      <c r="CO56" s="2013">
        <f t="shared" si="98"/>
        <v>606.71020272253634</v>
      </c>
      <c r="CP56" s="2013">
        <f t="shared" si="98"/>
        <v>320.00991792764387</v>
      </c>
      <c r="CQ56" s="2013">
        <f t="shared" si="98"/>
        <v>801.90939873778905</v>
      </c>
      <c r="CR56" s="2013">
        <f t="shared" si="98"/>
        <v>877.15916775166988</v>
      </c>
      <c r="CS56" s="2013">
        <f t="shared" si="98"/>
        <v>691.17663835890687</v>
      </c>
      <c r="CT56" s="2013">
        <f t="shared" si="98"/>
        <v>651.7562327779392</v>
      </c>
      <c r="CU56" s="2013">
        <f t="shared" si="98"/>
        <v>569.8404719743744</v>
      </c>
      <c r="CV56" s="2013">
        <f t="shared" si="98"/>
        <v>330.79675091241768</v>
      </c>
      <c r="CW56" s="2013">
        <f t="shared" si="98"/>
        <v>286.67421492252873</v>
      </c>
      <c r="CX56" s="2013">
        <f t="shared" si="98"/>
        <v>201.12349195978152</v>
      </c>
      <c r="CY56" s="2013">
        <f t="shared" si="98"/>
        <v>-149.3678369613194</v>
      </c>
      <c r="CZ56" s="2013">
        <f t="shared" si="98"/>
        <v>29.613782983416435</v>
      </c>
      <c r="DA56" s="2013">
        <f t="shared" si="98"/>
        <v>27.743899524187434</v>
      </c>
      <c r="DB56" s="2013">
        <f t="shared" si="98"/>
        <v>25.305000928049772</v>
      </c>
      <c r="DC56" s="2013">
        <f t="shared" si="98"/>
        <v>20.648563662755137</v>
      </c>
      <c r="DD56" s="2013">
        <f t="shared" si="98"/>
        <v>17.375504619170368</v>
      </c>
      <c r="DE56" s="2013">
        <f t="shared" si="98"/>
        <v>14.735246651943479</v>
      </c>
      <c r="DF56" s="2014">
        <f t="shared" si="98"/>
        <v>13.977860782554696</v>
      </c>
      <c r="DG56" s="1495"/>
      <c r="DH56" s="1495"/>
      <c r="DJ56" s="51"/>
      <c r="DK56" s="51"/>
      <c r="DL56" s="51"/>
      <c r="DM56" s="51"/>
    </row>
    <row r="57" spans="1:117" s="49" customFormat="1" ht="11.25" customHeight="1">
      <c r="A57" s="528"/>
      <c r="B57"/>
      <c r="C57"/>
      <c r="D57"/>
      <c r="E57"/>
      <c r="F57"/>
      <c r="G57"/>
      <c r="H57" s="1048"/>
      <c r="I57" s="188"/>
      <c r="J57" s="47"/>
      <c r="K57" s="47"/>
      <c r="L57" s="48"/>
      <c r="M57" s="530"/>
      <c r="N57" s="530"/>
      <c r="O57" s="530"/>
      <c r="P57" s="2211"/>
      <c r="Q57" s="530"/>
      <c r="R57" s="530"/>
      <c r="S57" s="530"/>
      <c r="T57" s="2211"/>
      <c r="U57" s="2013"/>
      <c r="V57" s="2013"/>
      <c r="W57" s="2013"/>
      <c r="X57" s="2014"/>
      <c r="Y57" s="2013"/>
      <c r="Z57" s="2013"/>
      <c r="AA57" s="2013"/>
      <c r="AB57" s="2014"/>
      <c r="AC57" s="2013"/>
      <c r="AD57" s="2013"/>
      <c r="AE57" s="2013"/>
      <c r="AF57" s="2014"/>
      <c r="AG57" s="2013"/>
      <c r="AH57" s="2013"/>
      <c r="AI57" s="2013"/>
      <c r="AJ57" s="2014"/>
      <c r="AK57" s="2013"/>
      <c r="AL57" s="2013"/>
      <c r="AM57" s="2013"/>
      <c r="AN57" s="2014"/>
      <c r="AO57" s="2013"/>
      <c r="AP57" s="2013"/>
      <c r="AQ57" s="2013"/>
      <c r="AR57" s="2014"/>
      <c r="AS57" s="2013"/>
      <c r="AT57" s="2013"/>
      <c r="AU57" s="2013"/>
      <c r="AV57" s="2014"/>
      <c r="AW57" s="2013"/>
      <c r="AX57" s="2013"/>
      <c r="AY57" s="2013"/>
      <c r="AZ57" s="2014"/>
      <c r="BA57" s="2013"/>
      <c r="BB57" s="2013"/>
      <c r="BC57" s="2013"/>
      <c r="BD57" s="2014"/>
      <c r="BE57" s="2013"/>
      <c r="BF57" s="2013"/>
      <c r="BG57" s="2013"/>
      <c r="BH57" s="2014"/>
      <c r="BI57" s="2015"/>
      <c r="BJ57" s="2013"/>
      <c r="BK57" s="2013"/>
      <c r="BL57" s="2014"/>
      <c r="BM57" s="2015"/>
      <c r="BN57" s="2013"/>
      <c r="BO57" s="2013"/>
      <c r="BP57" s="2014"/>
      <c r="BQ57" s="2013"/>
      <c r="BR57" s="2013"/>
      <c r="BS57" s="2013"/>
      <c r="BT57" s="2014"/>
      <c r="BU57" s="2013"/>
      <c r="BV57" s="2013"/>
      <c r="BW57" s="2013"/>
      <c r="BX57" s="2014"/>
      <c r="BY57" s="2013"/>
      <c r="BZ57" s="2013"/>
      <c r="CA57" s="2013"/>
      <c r="CB57" s="2014"/>
      <c r="CC57" s="2013"/>
      <c r="CD57" s="2013"/>
      <c r="CE57" s="2013"/>
      <c r="CF57" s="2014"/>
      <c r="CG57" s="2211"/>
      <c r="CH57" s="2212"/>
      <c r="CI57" s="530"/>
      <c r="CJ57" s="2013"/>
      <c r="CK57" s="2013"/>
      <c r="CL57" s="2013"/>
      <c r="CM57" s="2013"/>
      <c r="CN57" s="2013"/>
      <c r="CO57" s="2013"/>
      <c r="CP57" s="2013"/>
      <c r="CQ57" s="2013"/>
      <c r="CR57" s="2013"/>
      <c r="CS57" s="2013"/>
      <c r="CT57" s="2013"/>
      <c r="CU57" s="2013"/>
      <c r="CV57" s="2013"/>
      <c r="CW57" s="2013"/>
      <c r="CX57" s="2013"/>
      <c r="CY57" s="2013"/>
      <c r="CZ57" s="2013"/>
      <c r="DA57" s="2013"/>
      <c r="DB57" s="2013"/>
      <c r="DC57" s="2013"/>
      <c r="DD57" s="2013"/>
      <c r="DE57" s="2013"/>
      <c r="DF57" s="2014"/>
      <c r="DG57" s="1495"/>
      <c r="DH57" s="1495"/>
      <c r="DJ57" s="51"/>
      <c r="DK57" s="51"/>
      <c r="DL57" s="51"/>
      <c r="DM57" s="51"/>
    </row>
    <row r="58" spans="1:117" s="51" customFormat="1" ht="11.25" customHeight="1">
      <c r="A58" s="82"/>
      <c r="B58"/>
      <c r="C58"/>
      <c r="D58"/>
      <c r="E58"/>
      <c r="F58"/>
      <c r="G58"/>
      <c r="H58" s="1044"/>
      <c r="I58" s="305" t="s">
        <v>150</v>
      </c>
      <c r="J58" s="89"/>
      <c r="K58" s="89"/>
      <c r="L58" s="82"/>
      <c r="M58" s="292"/>
      <c r="N58" s="292"/>
      <c r="O58" s="292"/>
      <c r="P58" s="1007"/>
      <c r="Q58" s="292"/>
      <c r="R58" s="292"/>
      <c r="S58" s="292"/>
      <c r="T58" s="1007"/>
      <c r="U58" s="1957"/>
      <c r="V58" s="1957"/>
      <c r="W58" s="1957"/>
      <c r="X58" s="1958"/>
      <c r="Y58" s="1957"/>
      <c r="Z58" s="1957"/>
      <c r="AA58" s="1957"/>
      <c r="AB58" s="1958"/>
      <c r="AC58" s="1957"/>
      <c r="AD58" s="1957"/>
      <c r="AE58" s="1957"/>
      <c r="AF58" s="1958"/>
      <c r="AG58" s="1957">
        <f>+AG29/'Bookings and Drivers'!AG86</f>
        <v>0.15303306235097533</v>
      </c>
      <c r="AH58" s="1957">
        <f>+AH29/'Bookings and Drivers'!AH86</f>
        <v>0.15304056390811968</v>
      </c>
      <c r="AI58" s="1957">
        <f>+AI29/'Bookings and Drivers'!AI86</f>
        <v>0.15659494916799335</v>
      </c>
      <c r="AJ58" s="1958">
        <f>+AJ29/'Bookings and Drivers'!AJ86</f>
        <v>0.1754396435107822</v>
      </c>
      <c r="AK58" s="1957">
        <f>+AK29/'Bookings and Drivers'!AK86</f>
        <v>0.16828898157054892</v>
      </c>
      <c r="AL58" s="1957">
        <f>+AL29/'Bookings and Drivers'!AL86</f>
        <v>0.17082790803767442</v>
      </c>
      <c r="AM58" s="1957">
        <f>+AM29/'Bookings and Drivers'!AM86</f>
        <v>0.17311471453525795</v>
      </c>
      <c r="AN58" s="1958">
        <f>+AN29/'Bookings and Drivers'!AN86</f>
        <v>0.17766964081289541</v>
      </c>
      <c r="AO58" s="1957">
        <f>+AO29/'Bookings and Drivers'!AO86</f>
        <v>0.17267235188278809</v>
      </c>
      <c r="AP58" s="1957">
        <f>+AP29/'Bookings and Drivers'!AP86</f>
        <v>0.16765374346300677</v>
      </c>
      <c r="AQ58" s="1957">
        <f>+AQ29/'Bookings and Drivers'!AQ86</f>
        <v>0.17555413288444577</v>
      </c>
      <c r="AR58" s="1958">
        <f>+AR29/'Bookings and Drivers'!AR86</f>
        <v>0.18183328910796076</v>
      </c>
      <c r="AS58" s="1957">
        <f>+AS29/'Bookings and Drivers'!AS86</f>
        <v>0.17588909439475703</v>
      </c>
      <c r="AT58" s="1957">
        <f>+AT29/'Bookings and Drivers'!AT86</f>
        <v>0.17007898153491061</v>
      </c>
      <c r="AU58" s="1957">
        <f>+AU29/'Bookings and Drivers'!AU86</f>
        <v>0.175020049807944</v>
      </c>
      <c r="AV58" s="1958">
        <f>+AV29/'Bookings and Drivers'!AV86</f>
        <v>0.17834265766552443</v>
      </c>
      <c r="AW58" s="1957">
        <f>+AW29/'Bookings and Drivers'!AW86</f>
        <v>0.1742205606211831</v>
      </c>
      <c r="AX58" s="1957">
        <f>+AX29/'Bookings and Drivers'!AX86</f>
        <v>0.17245793884889601</v>
      </c>
      <c r="AY58" s="1957">
        <f>+AY29/'Bookings and Drivers'!AY86</f>
        <v>0.19203341288782813</v>
      </c>
      <c r="AZ58" s="1958">
        <f>+AZ29/'Bookings and Drivers'!AZ86</f>
        <v>0.18514689265536718</v>
      </c>
      <c r="BA58" s="1957">
        <f>+BA29/'Bookings and Drivers'!BA86</f>
        <v>0.17114479638009047</v>
      </c>
      <c r="BB58" s="1957">
        <f>+BB29/'Bookings and Drivers'!BB86</f>
        <v>0.16781137440758293</v>
      </c>
      <c r="BC58" s="1957">
        <f>+BC29/'Bookings and Drivers'!BC86</f>
        <v>0.19416725352112676</v>
      </c>
      <c r="BD58" s="1958">
        <f>+BD29/'Bookings and Drivers'!BD86</f>
        <v>0.18478520041109975</v>
      </c>
      <c r="BE58" s="1957">
        <f>+BE29/'Bookings and Drivers'!BE86</f>
        <v>0.17098817567567567</v>
      </c>
      <c r="BF58" s="1957">
        <f>+BF29/'Bookings and Drivers'!BF86</f>
        <v>0.17596841294298921</v>
      </c>
      <c r="BG58" s="1957">
        <f>+BG29/'Bookings and Drivers'!BG86</f>
        <v>0.19542613636363637</v>
      </c>
      <c r="BH58" s="1958">
        <f>+BH29/'Bookings and Drivers'!BH86</f>
        <v>0.17274570982839316</v>
      </c>
      <c r="BI58" s="1970">
        <f>+BI29/'Bookings and Drivers'!BI86</f>
        <v>0.1569548172757475</v>
      </c>
      <c r="BJ58" s="1957">
        <f>+BJ29/'Bookings and Drivers'!BJ86</f>
        <v>0.16775472813238773</v>
      </c>
      <c r="BK58" s="1957">
        <f>+BK29/'Bookings and Drivers'!BK86</f>
        <v>0.19521584385763488</v>
      </c>
      <c r="BL58" s="1958">
        <f>+BL29/'Bookings and Drivers'!BL86</f>
        <v>0.175371318822023</v>
      </c>
      <c r="BM58" s="1970">
        <f>+BM29/'Bookings and Drivers'!BM86</f>
        <v>0.16534410430839003</v>
      </c>
      <c r="BN58" s="1957">
        <f>+BN29/'Bookings and Drivers'!BN86</f>
        <v>0.16692590700051099</v>
      </c>
      <c r="BO58" s="1957">
        <f>+BO29/'Bookings and Drivers'!BO86</f>
        <v>0.19830969030969028</v>
      </c>
      <c r="BP58" s="1958">
        <f>+BP29/'Bookings and Drivers'!BP86</f>
        <v>0.18567121661721067</v>
      </c>
      <c r="BQ58" s="1957">
        <f>+BQ29/'Bookings and Drivers'!BQ86</f>
        <v>0.17472790573111943</v>
      </c>
      <c r="BR58" s="1957">
        <f>+BR29/'Bookings and Drivers'!BR86</f>
        <v>0.17121394460362943</v>
      </c>
      <c r="BS58" s="1957">
        <f>+BS29/'Bookings and Drivers'!BS86</f>
        <v>0.22867427385892117</v>
      </c>
      <c r="BT58" s="1958">
        <f>+BT29/'Bookings and Drivers'!BT86</f>
        <v>0.19471257485029939</v>
      </c>
      <c r="BU58" s="1957">
        <f>+BU29/'Bookings and Drivers'!BU86</f>
        <v>0.16109627182633315</v>
      </c>
      <c r="BV58" s="1957">
        <f>+BV29/'Bookings and Drivers'!BV86</f>
        <v>0.15709021651964714</v>
      </c>
      <c r="BW58" s="1957">
        <f>+BW29/'Bookings and Drivers'!BW86</f>
        <v>0.19193525712171658</v>
      </c>
      <c r="BX58" s="1958">
        <f>+BX29/'Bookings and Drivers'!BX86</f>
        <v>0.17232614807872537</v>
      </c>
      <c r="BY58" s="1957">
        <f>+BY29/'Bookings and Drivers'!BY86</f>
        <v>0.14017124901806757</v>
      </c>
      <c r="BZ58" s="1957">
        <f>+BZ29/'Bookings and Drivers'!BZ86</f>
        <v>0.14925999999999998</v>
      </c>
      <c r="CA58" s="1957">
        <f>+CA29/'Bookings and Drivers'!CA86</f>
        <v>0.19722632575757576</v>
      </c>
      <c r="CB58" s="1958">
        <f>+CB29/'Bookings and Drivers'!CB86</f>
        <v>0.1603372681281619</v>
      </c>
      <c r="CC58" s="1957">
        <f>+CC29/'Bookings and Drivers'!CC86</f>
        <v>0.13764759974642529</v>
      </c>
      <c r="CD58" s="1957">
        <f>+CD29/'Bookings and Drivers'!CD86</f>
        <v>0.14626411697644487</v>
      </c>
      <c r="CE58" s="1957">
        <f>+CE29/'Bookings and Drivers'!CE86</f>
        <v>0.22693167875104245</v>
      </c>
      <c r="CF58" s="1958">
        <f>+CF29/'Bookings and Drivers'!CF86</f>
        <v>0.18540262747394545</v>
      </c>
      <c r="CG58" s="1007"/>
      <c r="CH58" s="1010"/>
      <c r="CI58" s="292"/>
      <c r="CJ58" s="1957"/>
      <c r="CK58" s="1957"/>
      <c r="CL58" s="1957"/>
      <c r="CM58" s="1957">
        <f>+CM29/'Bookings and Drivers'!CM86</f>
        <v>0.1589290310000237</v>
      </c>
      <c r="CN58" s="1957">
        <f>+CN29/'Bookings and Drivers'!CN86</f>
        <v>0.17248903208281519</v>
      </c>
      <c r="CO58" s="1957">
        <f>+CO29/'Bookings and Drivers'!CO86</f>
        <v>0.17413539283036</v>
      </c>
      <c r="CP58" s="1957">
        <f>+CP29/'Bookings and Drivers'!CP86</f>
        <v>0.174702235698487</v>
      </c>
      <c r="CQ58" s="1957">
        <f>+CQ29/'Bookings and Drivers'!CQ86</f>
        <v>0.18168516711499483</v>
      </c>
      <c r="CR58" s="1957">
        <f>+CR29/'Bookings and Drivers'!CR86</f>
        <v>0.18001556324110671</v>
      </c>
      <c r="CS58" s="1957">
        <f>+CS29/'Bookings and Drivers'!CS86</f>
        <v>0.17932656612528999</v>
      </c>
      <c r="CT58" s="1957">
        <f>+CT29/'Bookings and Drivers'!CT86</f>
        <v>0.17444300876788188</v>
      </c>
      <c r="CU58" s="1957">
        <f>+CU29/'Bookings and Drivers'!CU86</f>
        <v>0.17929441144708427</v>
      </c>
      <c r="CV58" s="1957">
        <f>+CV29/'Bookings and Drivers'!CV86</f>
        <v>0.19192922344225435</v>
      </c>
      <c r="CW58" s="1957">
        <f>+CW29/'Bookings and Drivers'!CW86</f>
        <v>0.17139587301587297</v>
      </c>
      <c r="CX58" s="1957">
        <f>+CX29/'Bookings and Drivers'!CX86</f>
        <v>0.16328215803625643</v>
      </c>
      <c r="CY58" s="1957">
        <f>+CY29/'Bookings and Drivers'!CY86</f>
        <v>0.17353688102258272</v>
      </c>
      <c r="CZ58" s="1957">
        <f>+CZ29/'Bookings and Drivers'!CZ86</f>
        <v>0.17230056578570097</v>
      </c>
      <c r="DA58" s="1957">
        <f>+DA29/'Bookings and Drivers'!DA86</f>
        <v>0.17106572237767492</v>
      </c>
      <c r="DB58" s="1957">
        <f>+DB29/'Bookings and Drivers'!DB86</f>
        <v>0.16975314915992626</v>
      </c>
      <c r="DC58" s="1957">
        <f>+DC29/'Bookings and Drivers'!DC86</f>
        <v>0.16880086909230624</v>
      </c>
      <c r="DD58" s="1957">
        <f>+DD29/'Bookings and Drivers'!DD86</f>
        <v>0.16790069353652864</v>
      </c>
      <c r="DE58" s="1957">
        <f>+DE29/'Bookings and Drivers'!DE86</f>
        <v>0.16704524983926833</v>
      </c>
      <c r="DF58" s="1958">
        <f>+DF29/'Bookings and Drivers'!DF86</f>
        <v>0.16619529038825953</v>
      </c>
      <c r="DG58" s="1493"/>
      <c r="DH58" s="1493"/>
    </row>
    <row r="59" spans="1:117" s="49" customFormat="1" ht="11.25" customHeight="1">
      <c r="A59" s="48"/>
      <c r="B59"/>
      <c r="C59"/>
      <c r="D59"/>
      <c r="E59"/>
      <c r="F59"/>
      <c r="G59"/>
      <c r="H59" s="1044"/>
      <c r="I59" s="188" t="s">
        <v>622</v>
      </c>
      <c r="J59" s="47"/>
      <c r="K59" s="47"/>
      <c r="L59" s="48"/>
      <c r="M59" s="530"/>
      <c r="N59" s="530"/>
      <c r="O59" s="530"/>
      <c r="P59" s="2211"/>
      <c r="Q59" s="530"/>
      <c r="R59" s="530"/>
      <c r="S59" s="530"/>
      <c r="T59" s="2211"/>
      <c r="U59" s="2013"/>
      <c r="V59" s="2013"/>
      <c r="W59" s="2013"/>
      <c r="X59" s="2014"/>
      <c r="Y59" s="2013"/>
      <c r="Z59" s="2013"/>
      <c r="AA59" s="2013"/>
      <c r="AB59" s="2014"/>
      <c r="AC59" s="2013"/>
      <c r="AD59" s="2013"/>
      <c r="AE59" s="2013"/>
      <c r="AF59" s="2014"/>
      <c r="AG59" s="2013"/>
      <c r="AH59" s="2013"/>
      <c r="AI59" s="2013"/>
      <c r="AJ59" s="2014"/>
      <c r="AK59" s="2013">
        <f t="shared" ref="AK59:CF59" si="99">+(AK58-AG58)*10000</f>
        <v>152.55919219573587</v>
      </c>
      <c r="AL59" s="2013">
        <f t="shared" si="99"/>
        <v>177.87344129554739</v>
      </c>
      <c r="AM59" s="2013">
        <f t="shared" si="99"/>
        <v>165.197653672646</v>
      </c>
      <c r="AN59" s="2014">
        <f t="shared" si="99"/>
        <v>22.299973021132068</v>
      </c>
      <c r="AO59" s="2013">
        <f t="shared" si="99"/>
        <v>43.833703122391768</v>
      </c>
      <c r="AP59" s="2013">
        <f t="shared" si="99"/>
        <v>-31.741645746676539</v>
      </c>
      <c r="AQ59" s="2013">
        <f t="shared" si="99"/>
        <v>24.394183491878163</v>
      </c>
      <c r="AR59" s="2014">
        <f t="shared" si="99"/>
        <v>41.63648295065353</v>
      </c>
      <c r="AS59" s="2013">
        <f t="shared" si="99"/>
        <v>32.167425119689341</v>
      </c>
      <c r="AT59" s="2013">
        <f t="shared" si="99"/>
        <v>24.252380719038403</v>
      </c>
      <c r="AU59" s="2013">
        <f t="shared" si="99"/>
        <v>-5.3408307650176789</v>
      </c>
      <c r="AV59" s="2014">
        <f t="shared" si="99"/>
        <v>-34.906314424363316</v>
      </c>
      <c r="AW59" s="2013">
        <f t="shared" si="99"/>
        <v>-16.685337735739271</v>
      </c>
      <c r="AX59" s="2013">
        <f t="shared" si="99"/>
        <v>23.789573139854081</v>
      </c>
      <c r="AY59" s="2013">
        <f t="shared" si="99"/>
        <v>170.1336307988413</v>
      </c>
      <c r="AZ59" s="2014">
        <f t="shared" si="99"/>
        <v>68.04234989842756</v>
      </c>
      <c r="BA59" s="2013">
        <f t="shared" si="99"/>
        <v>-30.757642410926266</v>
      </c>
      <c r="BB59" s="2013">
        <f t="shared" si="99"/>
        <v>-46.465644413130889</v>
      </c>
      <c r="BC59" s="2013">
        <f t="shared" si="99"/>
        <v>21.338406332986338</v>
      </c>
      <c r="BD59" s="2014">
        <f t="shared" si="99"/>
        <v>-3.616922442674364</v>
      </c>
      <c r="BE59" s="2013">
        <f t="shared" si="99"/>
        <v>-1.5662070441480047</v>
      </c>
      <c r="BF59" s="2013">
        <f t="shared" si="99"/>
        <v>81.570385354062807</v>
      </c>
      <c r="BG59" s="2013">
        <f t="shared" si="99"/>
        <v>12.588828425096066</v>
      </c>
      <c r="BH59" s="2014">
        <f t="shared" si="99"/>
        <v>-120.39490582706591</v>
      </c>
      <c r="BI59" s="2015">
        <f t="shared" si="99"/>
        <v>-140.3335839992817</v>
      </c>
      <c r="BJ59" s="2013">
        <f t="shared" si="99"/>
        <v>-82.136848106014739</v>
      </c>
      <c r="BK59" s="2013">
        <f t="shared" si="99"/>
        <v>-2.1029250600149152</v>
      </c>
      <c r="BL59" s="2014">
        <f t="shared" si="99"/>
        <v>26.256089936298466</v>
      </c>
      <c r="BM59" s="2015">
        <f t="shared" si="99"/>
        <v>83.892870326425225</v>
      </c>
      <c r="BN59" s="2013">
        <f t="shared" si="99"/>
        <v>-8.2882113187673916</v>
      </c>
      <c r="BO59" s="2013">
        <f t="shared" si="99"/>
        <v>30.938464520554042</v>
      </c>
      <c r="BP59" s="2014">
        <f t="shared" si="99"/>
        <v>102.99897795187668</v>
      </c>
      <c r="BQ59" s="2013">
        <f t="shared" si="99"/>
        <v>93.838014227294039</v>
      </c>
      <c r="BR59" s="2013">
        <f t="shared" si="99"/>
        <v>42.880376031184383</v>
      </c>
      <c r="BS59" s="2013">
        <f t="shared" si="99"/>
        <v>303.64583549230883</v>
      </c>
      <c r="BT59" s="2014">
        <f t="shared" si="99"/>
        <v>90.413582330887138</v>
      </c>
      <c r="BU59" s="2013">
        <f t="shared" si="99"/>
        <v>-136.31633904786278</v>
      </c>
      <c r="BV59" s="2013">
        <f t="shared" si="99"/>
        <v>-141.23728083982294</v>
      </c>
      <c r="BW59" s="2013">
        <f t="shared" si="99"/>
        <v>-367.39016737204588</v>
      </c>
      <c r="BX59" s="2014">
        <f t="shared" si="99"/>
        <v>-223.86426771574014</v>
      </c>
      <c r="BY59" s="2013">
        <f t="shared" si="99"/>
        <v>-209.25022808265581</v>
      </c>
      <c r="BZ59" s="2013">
        <f t="shared" si="99"/>
        <v>-78.302165196471591</v>
      </c>
      <c r="CA59" s="2013">
        <f t="shared" si="99"/>
        <v>52.910686358591811</v>
      </c>
      <c r="CB59" s="2014">
        <f t="shared" si="99"/>
        <v>-119.88879950563469</v>
      </c>
      <c r="CC59" s="2013">
        <f t="shared" si="99"/>
        <v>-25.236492716422809</v>
      </c>
      <c r="CD59" s="2013">
        <f t="shared" si="99"/>
        <v>-29.958830235551069</v>
      </c>
      <c r="CE59" s="2013">
        <f t="shared" si="99"/>
        <v>297.05352993466687</v>
      </c>
      <c r="CF59" s="2014">
        <f t="shared" si="99"/>
        <v>250.65359345783551</v>
      </c>
      <c r="CG59" s="2211"/>
      <c r="CH59" s="2212"/>
      <c r="CI59" s="530"/>
      <c r="CJ59" s="2013"/>
      <c r="CK59" s="2013"/>
      <c r="CL59" s="2013"/>
      <c r="CM59" s="2013"/>
      <c r="CN59" s="2013">
        <f t="shared" ref="CN59:CX59" si="100">+(CN58-CM58)*10000</f>
        <v>135.60001082791484</v>
      </c>
      <c r="CO59" s="2013">
        <f t="shared" si="100"/>
        <v>16.463607475448171</v>
      </c>
      <c r="CP59" s="2013">
        <f t="shared" si="100"/>
        <v>5.6684286812699884</v>
      </c>
      <c r="CQ59" s="2013">
        <f t="shared" si="100"/>
        <v>69.829314165078259</v>
      </c>
      <c r="CR59" s="2013">
        <f t="shared" si="100"/>
        <v>-16.696038738881203</v>
      </c>
      <c r="CS59" s="2013">
        <f t="shared" si="100"/>
        <v>-6.8899711581671408</v>
      </c>
      <c r="CT59" s="2013">
        <f t="shared" si="100"/>
        <v>-48.835573574081138</v>
      </c>
      <c r="CU59" s="2013">
        <f t="shared" si="100"/>
        <v>48.514026792023934</v>
      </c>
      <c r="CV59" s="2013">
        <f t="shared" si="100"/>
        <v>126.34811995170081</v>
      </c>
      <c r="CW59" s="2013">
        <f t="shared" si="100"/>
        <v>-205.33350426381381</v>
      </c>
      <c r="CX59" s="2013">
        <f t="shared" si="100"/>
        <v>-81.137149796165488</v>
      </c>
      <c r="CY59" s="2013">
        <f t="shared" ref="CY59:DF59" si="101">+(CY58-CX58)*10000</f>
        <v>102.54722986326293</v>
      </c>
      <c r="CZ59" s="2013">
        <f t="shared" si="101"/>
        <v>-12.36315236881752</v>
      </c>
      <c r="DA59" s="2013">
        <f t="shared" si="101"/>
        <v>-12.348434080260429</v>
      </c>
      <c r="DB59" s="2013">
        <f t="shared" si="101"/>
        <v>-13.125732177486638</v>
      </c>
      <c r="DC59" s="2013">
        <f t="shared" si="101"/>
        <v>-9.5228006762002053</v>
      </c>
      <c r="DD59" s="2013">
        <f t="shared" si="101"/>
        <v>-9.0017555577759367</v>
      </c>
      <c r="DE59" s="2013">
        <f t="shared" si="101"/>
        <v>-8.5544369726031633</v>
      </c>
      <c r="DF59" s="2014">
        <f t="shared" si="101"/>
        <v>-8.4995945100879702</v>
      </c>
      <c r="DG59" s="1495"/>
      <c r="DH59" s="1495"/>
      <c r="DJ59" s="51"/>
      <c r="DK59" s="51"/>
      <c r="DL59" s="51"/>
      <c r="DM59" s="51"/>
    </row>
    <row r="60" spans="1:117" s="26" customFormat="1" ht="11.25" customHeight="1">
      <c r="A60" s="12"/>
      <c r="B60"/>
      <c r="C60"/>
      <c r="D60"/>
      <c r="E60"/>
      <c r="F60"/>
      <c r="G60"/>
      <c r="H60" s="1048"/>
      <c r="I60" s="171"/>
      <c r="J60" s="130"/>
      <c r="K60" s="130"/>
      <c r="L60" s="24"/>
      <c r="M60" s="34"/>
      <c r="N60" s="34"/>
      <c r="O60" s="34"/>
      <c r="P60" s="1412"/>
      <c r="Q60" s="34"/>
      <c r="R60" s="34"/>
      <c r="S60" s="34"/>
      <c r="T60" s="1412"/>
      <c r="U60" s="2196"/>
      <c r="V60" s="2196"/>
      <c r="W60" s="2196"/>
      <c r="X60" s="2197"/>
      <c r="Y60" s="2196"/>
      <c r="Z60" s="2196"/>
      <c r="AA60" s="2196"/>
      <c r="AB60" s="2197"/>
      <c r="AC60" s="2196"/>
      <c r="AD60" s="2196"/>
      <c r="AE60" s="2196"/>
      <c r="AF60" s="2197"/>
      <c r="AG60" s="2196"/>
      <c r="AH60" s="2196"/>
      <c r="AI60" s="2196"/>
      <c r="AJ60" s="2197"/>
      <c r="AK60" s="2196"/>
      <c r="AL60" s="2196"/>
      <c r="AM60" s="2196"/>
      <c r="AN60" s="2197"/>
      <c r="AO60" s="2196"/>
      <c r="AP60" s="2196"/>
      <c r="AQ60" s="2196"/>
      <c r="AR60" s="2197"/>
      <c r="AS60" s="2196"/>
      <c r="AT60" s="2196"/>
      <c r="AU60" s="2196"/>
      <c r="AV60" s="1958"/>
      <c r="AW60" s="1957"/>
      <c r="AX60" s="1957"/>
      <c r="AY60" s="1957"/>
      <c r="AZ60" s="1958"/>
      <c r="BA60" s="2216"/>
      <c r="BB60" s="2216"/>
      <c r="BC60" s="2216"/>
      <c r="BD60" s="2224"/>
      <c r="BE60" s="2216"/>
      <c r="BF60" s="2216"/>
      <c r="BG60" s="2216"/>
      <c r="BH60" s="2224"/>
      <c r="BI60" s="1970"/>
      <c r="BJ60" s="1957"/>
      <c r="BK60" s="1957"/>
      <c r="BL60" s="1958"/>
      <c r="BM60" s="1970"/>
      <c r="BN60" s="1957"/>
      <c r="BO60" s="1957"/>
      <c r="BP60" s="1958"/>
      <c r="BQ60" s="2196"/>
      <c r="BR60" s="2196"/>
      <c r="BS60" s="2196"/>
      <c r="BT60" s="2197"/>
      <c r="BU60" s="2196"/>
      <c r="BV60" s="2196"/>
      <c r="BW60" s="2196"/>
      <c r="BX60" s="2197"/>
      <c r="BY60" s="2196"/>
      <c r="BZ60" s="2196"/>
      <c r="CA60" s="2196"/>
      <c r="CB60" s="2197"/>
      <c r="CC60" s="2196"/>
      <c r="CD60" s="2196"/>
      <c r="CE60" s="2196"/>
      <c r="CF60" s="2197"/>
      <c r="CG60" s="1412"/>
      <c r="CH60" s="1414"/>
      <c r="CI60" s="34"/>
      <c r="CJ60" s="2196"/>
      <c r="CK60" s="2196"/>
      <c r="CL60" s="2196"/>
      <c r="CM60" s="2196"/>
      <c r="CN60" s="2196"/>
      <c r="CO60" s="2196"/>
      <c r="CP60" s="2196"/>
      <c r="CQ60" s="2196"/>
      <c r="CR60" s="2196"/>
      <c r="CS60" s="2196"/>
      <c r="CT60" s="2196"/>
      <c r="CU60" s="2196"/>
      <c r="CV60" s="2196"/>
      <c r="CW60" s="2196"/>
      <c r="CX60" s="2196"/>
      <c r="CY60" s="2196"/>
      <c r="CZ60" s="2196"/>
      <c r="DA60" s="2196"/>
      <c r="DB60" s="2196"/>
      <c r="DC60" s="2196"/>
      <c r="DD60" s="2196"/>
      <c r="DE60" s="2196"/>
      <c r="DF60" s="2197"/>
      <c r="DG60" s="1496"/>
      <c r="DH60" s="1496"/>
      <c r="DI60" s="1702"/>
      <c r="DJ60" s="51"/>
      <c r="DK60" s="51"/>
      <c r="DL60" s="51"/>
      <c r="DM60" s="51"/>
    </row>
    <row r="61" spans="1:117" s="575" customFormat="1" ht="11.25" customHeight="1">
      <c r="A61" s="556"/>
      <c r="B61"/>
      <c r="C61"/>
      <c r="D61"/>
      <c r="E61"/>
      <c r="F61"/>
      <c r="G61"/>
      <c r="H61" s="1048"/>
      <c r="I61" s="586" t="s">
        <v>10</v>
      </c>
      <c r="J61" s="21"/>
      <c r="K61" s="21"/>
      <c r="L61" s="92"/>
      <c r="M61" s="2057">
        <v>16.189</v>
      </c>
      <c r="N61" s="2057">
        <v>13.701000000000001</v>
      </c>
      <c r="O61" s="2057">
        <v>9.6</v>
      </c>
      <c r="P61" s="2058">
        <v>7.3849999999999998</v>
      </c>
      <c r="Q61" s="2057">
        <v>10.227</v>
      </c>
      <c r="R61" s="2057">
        <v>12.776999999999999</v>
      </c>
      <c r="S61" s="2057">
        <v>11.648999999999999</v>
      </c>
      <c r="T61" s="2058">
        <v>10.010999999999999</v>
      </c>
      <c r="U61" s="2057">
        <v>6.9859999999999998</v>
      </c>
      <c r="V61" s="2057">
        <v>6.5010000000000003</v>
      </c>
      <c r="W61" s="2057">
        <v>5.524</v>
      </c>
      <c r="X61" s="2058">
        <v>6.0279999999999996</v>
      </c>
      <c r="Y61" s="2057">
        <v>10.664</v>
      </c>
      <c r="Z61" s="2057">
        <v>9.6170000000000009</v>
      </c>
      <c r="AA61" s="2057">
        <v>7.4710000000000001</v>
      </c>
      <c r="AB61" s="2058">
        <v>6.0179999999999998</v>
      </c>
      <c r="AC61" s="2057">
        <v>11.071999999999999</v>
      </c>
      <c r="AD61" s="2057">
        <v>8.0890000000000004</v>
      </c>
      <c r="AE61" s="2057">
        <v>7.32</v>
      </c>
      <c r="AF61" s="2058">
        <v>4.4749999999999996</v>
      </c>
      <c r="AG61" s="2057">
        <v>9.4379999999999988</v>
      </c>
      <c r="AH61" s="2057">
        <v>8.8610000000000007</v>
      </c>
      <c r="AI61" s="2057">
        <v>6.6649999999999991</v>
      </c>
      <c r="AJ61" s="2058">
        <v>6.8689999999999998</v>
      </c>
      <c r="AK61" s="2057">
        <v>11.333999999999996</v>
      </c>
      <c r="AL61" s="2057">
        <v>9.2810000000000006</v>
      </c>
      <c r="AM61" s="2057">
        <v>8.4130000000000003</v>
      </c>
      <c r="AN61" s="2058">
        <v>6.9349999999999996</v>
      </c>
      <c r="AO61" s="2057">
        <v>12.031000000000006</v>
      </c>
      <c r="AP61" s="2057">
        <v>9.9280000000000008</v>
      </c>
      <c r="AQ61" s="2057">
        <v>8.2929999999999993</v>
      </c>
      <c r="AR61" s="2058">
        <v>7.7789999999999999</v>
      </c>
      <c r="AS61" s="2057">
        <v>10.766</v>
      </c>
      <c r="AT61" s="2057">
        <v>11.053000000000001</v>
      </c>
      <c r="AU61" s="2057">
        <v>8.4740000000000002</v>
      </c>
      <c r="AV61" s="2058">
        <v>5.9779999999999998</v>
      </c>
      <c r="AW61" s="2057">
        <v>11.788</v>
      </c>
      <c r="AX61" s="2057">
        <v>10.122999999999999</v>
      </c>
      <c r="AY61" s="2057">
        <v>7.7729999999999997</v>
      </c>
      <c r="AZ61" s="2058">
        <v>6.03</v>
      </c>
      <c r="BA61" s="2057">
        <v>11.614000000000001</v>
      </c>
      <c r="BB61" s="2057">
        <v>9.8149999999999995</v>
      </c>
      <c r="BC61" s="2057">
        <v>8.0350000000000001</v>
      </c>
      <c r="BD61" s="2058">
        <v>6.0060000000000002</v>
      </c>
      <c r="BE61" s="2057">
        <v>11.157</v>
      </c>
      <c r="BF61" s="2057">
        <v>9.9220000000000006</v>
      </c>
      <c r="BG61" s="2057">
        <v>8.4410000000000007</v>
      </c>
      <c r="BH61" s="2058">
        <v>5.9729999999999999</v>
      </c>
      <c r="BI61" s="2059">
        <v>27.728999999999999</v>
      </c>
      <c r="BJ61" s="2057">
        <v>32.130000000000003</v>
      </c>
      <c r="BK61" s="2057">
        <v>39.890999999999998</v>
      </c>
      <c r="BL61" s="2058">
        <v>27.709</v>
      </c>
      <c r="BM61" s="2059">
        <v>53.473999999999997</v>
      </c>
      <c r="BN61" s="2057">
        <v>58.026000000000003</v>
      </c>
      <c r="BO61" s="2057">
        <v>71.593000000000004</v>
      </c>
      <c r="BP61" s="2058">
        <v>48.216000000000001</v>
      </c>
      <c r="BQ61" s="2057">
        <v>63.582000000000001</v>
      </c>
      <c r="BR61" s="2057">
        <v>66.302999999999997</v>
      </c>
      <c r="BS61" s="2057">
        <v>51.44</v>
      </c>
      <c r="BT61" s="2058">
        <v>33.36</v>
      </c>
      <c r="BU61" s="2057">
        <v>69.844999999999999</v>
      </c>
      <c r="BV61" s="2057">
        <v>112.321</v>
      </c>
      <c r="BW61" s="2057">
        <v>72.792000000000002</v>
      </c>
      <c r="BX61" s="2058">
        <v>40.74</v>
      </c>
      <c r="BY61" s="2057">
        <v>73.012</v>
      </c>
      <c r="BZ61" s="2057">
        <v>121.187</v>
      </c>
      <c r="CA61" s="2057">
        <v>112.79600000000001</v>
      </c>
      <c r="CB61" s="2058">
        <v>84.588999999999999</v>
      </c>
      <c r="CC61" s="2057">
        <f>+CC335</f>
        <v>123.012</v>
      </c>
      <c r="CD61" s="2057">
        <f>+CD335</f>
        <v>176.18700000000001</v>
      </c>
      <c r="CE61" s="2057">
        <f>+CE335</f>
        <v>142.79599999999999</v>
      </c>
      <c r="CF61" s="2058">
        <f>+CF335</f>
        <v>94.588999999999999</v>
      </c>
      <c r="CG61" s="2058"/>
      <c r="CH61" s="2059">
        <v>46.875</v>
      </c>
      <c r="CI61" s="2057">
        <v>44.664000000000001</v>
      </c>
      <c r="CJ61" s="2057">
        <v>25.039000000000001</v>
      </c>
      <c r="CK61" s="2057">
        <v>33.475999999999999</v>
      </c>
      <c r="CL61" s="2057">
        <v>30.956</v>
      </c>
      <c r="CM61" s="2057">
        <f t="shared" ref="CM61:CM70" si="102">+SUM(AG61:AJ61)</f>
        <v>31.832999999999998</v>
      </c>
      <c r="CN61" s="2057">
        <f t="shared" ref="CN61:CN70" si="103">+SUM(AK61:AN61)</f>
        <v>35.962999999999994</v>
      </c>
      <c r="CO61" s="2057">
        <f t="shared" ref="CO61:CO70" si="104">+SUM(AO61:AR61)</f>
        <v>38.031000000000006</v>
      </c>
      <c r="CP61" s="2057">
        <f t="shared" ref="CP61:CP70" si="105">+SUM(AS61:AV61)</f>
        <v>36.271000000000001</v>
      </c>
      <c r="CQ61" s="2057">
        <f t="shared" ref="CQ61:CQ70" si="106">+SUM(AW61:AZ61)</f>
        <v>35.713999999999999</v>
      </c>
      <c r="CR61" s="2057">
        <f t="shared" ref="CR61:CR70" si="107">+SUM(BA61:BD61)</f>
        <v>35.47</v>
      </c>
      <c r="CS61" s="2057">
        <f t="shared" ref="CS61:CS70" si="108">+SUM(BE61:BH61)</f>
        <v>35.493000000000002</v>
      </c>
      <c r="CT61" s="2057">
        <f t="shared" ref="CT61:CT70" si="109">+SUM(BI61:BL61)</f>
        <v>127.459</v>
      </c>
      <c r="CU61" s="2057">
        <f t="shared" ref="CU61:CU70" si="110">SUM(BM61:BP61)</f>
        <v>231.30900000000003</v>
      </c>
      <c r="CV61" s="2057">
        <f t="shared" ref="CV61:CV69" si="111">SUM(BQ61:BT61)</f>
        <v>214.685</v>
      </c>
      <c r="CW61" s="2057">
        <f t="shared" ref="CW61:CW70" si="112">SUM(BU61:BX61)</f>
        <v>295.69799999999998</v>
      </c>
      <c r="CX61" s="2057">
        <f t="shared" ref="CX61:CX70" si="113">SUM(BY61:CB61)</f>
        <v>391.584</v>
      </c>
      <c r="CY61" s="2057">
        <f t="shared" ref="CY61:CY70" si="114">SUM(CC61:CF61)</f>
        <v>536.58400000000006</v>
      </c>
      <c r="CZ61" s="2057">
        <f t="shared" ref="CZ61:DF61" si="115">+CZ335</f>
        <v>616.58400000000006</v>
      </c>
      <c r="DA61" s="2057">
        <f t="shared" si="115"/>
        <v>686.58400000000006</v>
      </c>
      <c r="DB61" s="2057">
        <f t="shared" si="115"/>
        <v>746.58400000000006</v>
      </c>
      <c r="DC61" s="2057">
        <f t="shared" si="115"/>
        <v>806.58400000000006</v>
      </c>
      <c r="DD61" s="2057">
        <f t="shared" si="115"/>
        <v>866.58400000000006</v>
      </c>
      <c r="DE61" s="2057">
        <f t="shared" si="115"/>
        <v>926.58400000000006</v>
      </c>
      <c r="DF61" s="2058">
        <f t="shared" si="115"/>
        <v>976.58400000000006</v>
      </c>
      <c r="DG61" s="1491">
        <f t="shared" ref="DG61:DG71" si="116">+(CV61/CQ61)^(1/5)-1</f>
        <v>0.43150424897348749</v>
      </c>
      <c r="DH61" s="1491">
        <f t="shared" ref="DH61:DH71" si="117">+(DA61/CV61)^(1/5)-1</f>
        <v>0.26176476478492061</v>
      </c>
      <c r="DJ61" s="51"/>
      <c r="DK61" s="51"/>
      <c r="DL61" s="51"/>
      <c r="DM61" s="51"/>
    </row>
    <row r="62" spans="1:117" s="575" customFormat="1" ht="11.25" customHeight="1">
      <c r="A62" s="556"/>
      <c r="B62"/>
      <c r="C62"/>
      <c r="D62"/>
      <c r="E62"/>
      <c r="F62"/>
      <c r="G62"/>
      <c r="H62" s="1048"/>
      <c r="I62" s="586" t="s">
        <v>9</v>
      </c>
      <c r="J62" s="21"/>
      <c r="K62" s="21"/>
      <c r="L62" s="92"/>
      <c r="M62" s="2057">
        <v>0</v>
      </c>
      <c r="N62" s="2057">
        <v>0</v>
      </c>
      <c r="O62" s="2057">
        <v>0</v>
      </c>
      <c r="P62" s="2058">
        <v>0</v>
      </c>
      <c r="Q62" s="2057">
        <v>0</v>
      </c>
      <c r="R62" s="2057">
        <v>0</v>
      </c>
      <c r="S62" s="2057">
        <v>0</v>
      </c>
      <c r="T62" s="2058">
        <v>0</v>
      </c>
      <c r="U62" s="2057">
        <v>4.1120000000000001</v>
      </c>
      <c r="V62" s="2057">
        <v>4.2729999999999997</v>
      </c>
      <c r="W62" s="2057">
        <v>4.76</v>
      </c>
      <c r="X62" s="2058">
        <v>4.0640000000000001</v>
      </c>
      <c r="Y62" s="2057">
        <v>4.7409999999999997</v>
      </c>
      <c r="Z62" s="2057">
        <v>6.7489999999999997</v>
      </c>
      <c r="AA62" s="2057">
        <v>7.1779999999999999</v>
      </c>
      <c r="AB62" s="2058">
        <v>8.5180000000000007</v>
      </c>
      <c r="AC62" s="2057">
        <v>9.9320000000000004</v>
      </c>
      <c r="AD62" s="2057">
        <v>12.205</v>
      </c>
      <c r="AE62" s="2057">
        <v>19.864999999999998</v>
      </c>
      <c r="AF62" s="2058">
        <v>16.533000000000001</v>
      </c>
      <c r="AG62" s="2057">
        <v>21.861000000000001</v>
      </c>
      <c r="AH62" s="2057">
        <v>30.492999999999999</v>
      </c>
      <c r="AI62" s="2057">
        <v>34.56</v>
      </c>
      <c r="AJ62" s="2058">
        <v>26.908000000000001</v>
      </c>
      <c r="AK62" s="2057">
        <v>31.927</v>
      </c>
      <c r="AL62" s="2057">
        <v>43.47</v>
      </c>
      <c r="AM62" s="2057">
        <v>53.844000000000001</v>
      </c>
      <c r="AN62" s="2058">
        <v>43.433999999999997</v>
      </c>
      <c r="AO62" s="2057">
        <v>57.8</v>
      </c>
      <c r="AP62" s="2057">
        <v>72.86</v>
      </c>
      <c r="AQ62" s="2057">
        <v>84.290999999999997</v>
      </c>
      <c r="AR62" s="2058">
        <v>55.761000000000003</v>
      </c>
      <c r="AS62" s="2057">
        <v>68.117000000000004</v>
      </c>
      <c r="AT62" s="2057">
        <v>90.106999999999999</v>
      </c>
      <c r="AU62" s="2057">
        <v>115.10299999999999</v>
      </c>
      <c r="AV62" s="2058">
        <v>92.054000000000002</v>
      </c>
      <c r="AW62" s="2057">
        <v>113.10899999999999</v>
      </c>
      <c r="AX62" s="2057">
        <v>132.518</v>
      </c>
      <c r="AY62" s="2057">
        <v>172.727</v>
      </c>
      <c r="AZ62" s="2058">
        <v>133.786</v>
      </c>
      <c r="BA62" s="2057">
        <v>185.108</v>
      </c>
      <c r="BB62" s="2057">
        <v>236.28200000000001</v>
      </c>
      <c r="BC62" s="2057">
        <v>279.92599999999999</v>
      </c>
      <c r="BD62" s="2058">
        <v>217.89699999999999</v>
      </c>
      <c r="BE62" s="2057">
        <v>277.13600000000002</v>
      </c>
      <c r="BF62" s="2057">
        <v>314.48</v>
      </c>
      <c r="BG62" s="2057">
        <v>375.20400000000001</v>
      </c>
      <c r="BH62" s="2058">
        <v>306.81700000000001</v>
      </c>
      <c r="BI62" s="2059">
        <v>403.15300000000002</v>
      </c>
      <c r="BJ62" s="2057">
        <v>463.13499999999999</v>
      </c>
      <c r="BK62" s="2057">
        <v>533.16399999999999</v>
      </c>
      <c r="BL62" s="2058">
        <v>399.19299999999998</v>
      </c>
      <c r="BM62" s="2059">
        <v>520.84799999999996</v>
      </c>
      <c r="BN62" s="2057">
        <v>639.65499999999997</v>
      </c>
      <c r="BO62" s="2057">
        <v>699.81399999999996</v>
      </c>
      <c r="BP62" s="2058">
        <v>499.904</v>
      </c>
      <c r="BQ62" s="2057">
        <v>643.21600000000001</v>
      </c>
      <c r="BR62" s="2057">
        <v>770.81799999999998</v>
      </c>
      <c r="BS62" s="2057">
        <v>801.14700000000005</v>
      </c>
      <c r="BT62" s="2058">
        <v>582.05600000000004</v>
      </c>
      <c r="BU62" s="2057">
        <v>779.90899999999999</v>
      </c>
      <c r="BV62" s="2057">
        <v>920.76300000000003</v>
      </c>
      <c r="BW62" s="2057">
        <v>1040.1489999999999</v>
      </c>
      <c r="BX62" s="2058">
        <v>738.46600000000001</v>
      </c>
      <c r="BY62" s="2057">
        <v>980.77300000000002</v>
      </c>
      <c r="BZ62" s="2057">
        <v>1147.5889999999999</v>
      </c>
      <c r="CA62" s="2057">
        <v>1224.345</v>
      </c>
      <c r="CB62" s="2058">
        <v>789.06399999999996</v>
      </c>
      <c r="CC62" s="2057">
        <f>+CC346</f>
        <v>1091.4908296427843</v>
      </c>
      <c r="CD62" s="2057">
        <f>+CD346</f>
        <v>1313.6424108728399</v>
      </c>
      <c r="CE62" s="2057">
        <f>+CE346</f>
        <v>1350.5848311780512</v>
      </c>
      <c r="CF62" s="2058">
        <f>+CF346</f>
        <v>952.08603475695327</v>
      </c>
      <c r="CG62" s="2058"/>
      <c r="CH62" s="2059"/>
      <c r="CI62" s="2057"/>
      <c r="CJ62" s="2057">
        <v>17.209</v>
      </c>
      <c r="CK62" s="2057">
        <v>27.48</v>
      </c>
      <c r="CL62" s="2057">
        <v>58.534999999999997</v>
      </c>
      <c r="CM62" s="2057">
        <f t="shared" si="102"/>
        <v>113.822</v>
      </c>
      <c r="CN62" s="2057">
        <f t="shared" si="103"/>
        <v>172.67499999999998</v>
      </c>
      <c r="CO62" s="2057">
        <f t="shared" si="104"/>
        <v>270.71199999999999</v>
      </c>
      <c r="CP62" s="2057">
        <f t="shared" si="105"/>
        <v>365.38099999999997</v>
      </c>
      <c r="CQ62" s="2057">
        <f t="shared" si="106"/>
        <v>552.1400000000001</v>
      </c>
      <c r="CR62" s="2057">
        <f t="shared" si="107"/>
        <v>919.21299999999997</v>
      </c>
      <c r="CS62" s="2057">
        <f t="shared" si="108"/>
        <v>1273.6369999999999</v>
      </c>
      <c r="CT62" s="2057">
        <f t="shared" si="109"/>
        <v>1798.645</v>
      </c>
      <c r="CU62" s="2057">
        <f t="shared" si="110"/>
        <v>2360.221</v>
      </c>
      <c r="CV62" s="2057">
        <f t="shared" si="111"/>
        <v>2797.2370000000001</v>
      </c>
      <c r="CW62" s="2057">
        <f t="shared" si="112"/>
        <v>3479.2869999999998</v>
      </c>
      <c r="CX62" s="2057">
        <f t="shared" si="113"/>
        <v>4141.7710000000006</v>
      </c>
      <c r="CY62" s="2057">
        <f t="shared" si="114"/>
        <v>4707.8041064506288</v>
      </c>
      <c r="CZ62" s="2057">
        <f t="shared" ref="CZ62:DF62" si="118">+CZ346</f>
        <v>5361.7005010785706</v>
      </c>
      <c r="DA62" s="2057">
        <f t="shared" si="118"/>
        <v>6029.5280687813502</v>
      </c>
      <c r="DB62" s="2057">
        <f t="shared" si="118"/>
        <v>6676.6959966893583</v>
      </c>
      <c r="DC62" s="2057">
        <f t="shared" si="118"/>
        <v>7312.3626124099183</v>
      </c>
      <c r="DD62" s="2057">
        <f t="shared" si="118"/>
        <v>7942.7781642904947</v>
      </c>
      <c r="DE62" s="2057">
        <f t="shared" si="118"/>
        <v>8562.5144170209351</v>
      </c>
      <c r="DF62" s="2058">
        <f t="shared" si="118"/>
        <v>9232.3963250340639</v>
      </c>
      <c r="DG62" s="1491">
        <f t="shared" si="116"/>
        <v>0.38336253804219367</v>
      </c>
      <c r="DH62" s="1491">
        <f t="shared" si="117"/>
        <v>0.16603291894818528</v>
      </c>
      <c r="DJ62" s="51"/>
      <c r="DK62" s="51"/>
      <c r="DL62" s="51"/>
      <c r="DM62" s="51"/>
    </row>
    <row r="63" spans="1:117" s="554" customFormat="1" ht="11.25" customHeight="1">
      <c r="A63" s="556"/>
      <c r="B63"/>
      <c r="C63"/>
      <c r="D63"/>
      <c r="E63"/>
      <c r="F63"/>
      <c r="G63"/>
      <c r="H63" s="1048"/>
      <c r="I63" s="586" t="s">
        <v>11</v>
      </c>
      <c r="J63" s="21"/>
      <c r="K63" s="21"/>
      <c r="L63" s="547"/>
      <c r="M63" s="548"/>
      <c r="N63" s="548"/>
      <c r="O63" s="548"/>
      <c r="P63" s="2056"/>
      <c r="Q63" s="548"/>
      <c r="R63" s="548"/>
      <c r="S63" s="548"/>
      <c r="T63" s="2056"/>
      <c r="U63" s="2057"/>
      <c r="V63" s="2057"/>
      <c r="W63" s="2057"/>
      <c r="X63" s="2058"/>
      <c r="Y63" s="2057"/>
      <c r="Z63" s="2057"/>
      <c r="AA63" s="2057"/>
      <c r="AB63" s="2058"/>
      <c r="AC63" s="2057"/>
      <c r="AD63" s="2057"/>
      <c r="AE63" s="2057"/>
      <c r="AF63" s="2058"/>
      <c r="AG63" s="2057">
        <v>9.5820000000000007</v>
      </c>
      <c r="AH63" s="2057">
        <v>10.708</v>
      </c>
      <c r="AI63" s="2057">
        <v>11.204000000000001</v>
      </c>
      <c r="AJ63" s="2058">
        <v>10.624000000000001</v>
      </c>
      <c r="AK63" s="2057">
        <v>11.41</v>
      </c>
      <c r="AL63" s="2057">
        <v>11.525</v>
      </c>
      <c r="AM63" s="2057">
        <v>13.093</v>
      </c>
      <c r="AN63" s="2058">
        <v>11.131</v>
      </c>
      <c r="AO63" s="2057">
        <v>16.332999999999998</v>
      </c>
      <c r="AP63" s="2057">
        <v>19.93</v>
      </c>
      <c r="AQ63" s="2057">
        <v>21.452000000000002</v>
      </c>
      <c r="AR63" s="2058">
        <v>20.233000000000001</v>
      </c>
      <c r="AS63" s="2057">
        <v>18.419</v>
      </c>
      <c r="AT63" s="2057">
        <v>20.690999999999999</v>
      </c>
      <c r="AU63" s="2057">
        <v>24.472999999999999</v>
      </c>
      <c r="AV63" s="2058">
        <v>17.655000000000001</v>
      </c>
      <c r="AW63" s="2057">
        <v>24.113</v>
      </c>
      <c r="AX63" s="2057">
        <v>28.49</v>
      </c>
      <c r="AY63" s="2057">
        <v>33.06</v>
      </c>
      <c r="AZ63" s="2058">
        <v>30.640999999999998</v>
      </c>
      <c r="BA63" s="2057">
        <v>34.777999999999999</v>
      </c>
      <c r="BB63" s="2057">
        <v>41.03</v>
      </c>
      <c r="BC63" s="2057">
        <v>47.124000000000002</v>
      </c>
      <c r="BD63" s="2058">
        <v>39.759</v>
      </c>
      <c r="BE63" s="2057">
        <v>45.536999999999999</v>
      </c>
      <c r="BF63" s="2057">
        <v>47.445</v>
      </c>
      <c r="BG63" s="2057">
        <v>52.960999999999999</v>
      </c>
      <c r="BH63" s="2058">
        <v>49.991</v>
      </c>
      <c r="BI63" s="2059">
        <v>52.262999999999998</v>
      </c>
      <c r="BJ63" s="2057">
        <v>59.854999999999997</v>
      </c>
      <c r="BK63" s="2057">
        <v>65.274000000000001</v>
      </c>
      <c r="BL63" s="2058">
        <v>58.424999999999997</v>
      </c>
      <c r="BM63" s="2059">
        <v>64.311000000000007</v>
      </c>
      <c r="BN63" s="2057">
        <v>75.052999999999997</v>
      </c>
      <c r="BO63" s="2057">
        <v>86.091999999999999</v>
      </c>
      <c r="BP63" s="2058">
        <v>85.453999999999994</v>
      </c>
      <c r="BQ63" s="2057">
        <v>81.944000000000003</v>
      </c>
      <c r="BR63" s="2057">
        <v>94.522999999999996</v>
      </c>
      <c r="BS63" s="2057">
        <v>93.069000000000003</v>
      </c>
      <c r="BT63" s="2058">
        <v>83.685000000000002</v>
      </c>
      <c r="BU63" s="2057">
        <v>92.322999999999993</v>
      </c>
      <c r="BV63" s="2057">
        <v>105.52200000000001</v>
      </c>
      <c r="BW63" s="2057">
        <v>124.86499999999999</v>
      </c>
      <c r="BX63" s="2058">
        <v>112.515</v>
      </c>
      <c r="BY63" s="2057">
        <v>114.036</v>
      </c>
      <c r="BZ63" s="2057">
        <v>131.73400000000001</v>
      </c>
      <c r="CA63" s="2057">
        <v>165.53899999999999</v>
      </c>
      <c r="CB63" s="2058">
        <v>150.649</v>
      </c>
      <c r="CC63" s="2057">
        <f>+Model!CC452</f>
        <v>154.036</v>
      </c>
      <c r="CD63" s="2057">
        <f>+Model!CD452</f>
        <v>161.73400000000001</v>
      </c>
      <c r="CE63" s="2057">
        <f>+Model!CE452</f>
        <v>185.53899999999999</v>
      </c>
      <c r="CF63" s="2058">
        <f>+Model!CF452</f>
        <v>170.649</v>
      </c>
      <c r="CG63" s="2056"/>
      <c r="CH63" s="2060"/>
      <c r="CI63" s="548"/>
      <c r="CJ63" s="2057">
        <v>33.441000000000003</v>
      </c>
      <c r="CK63" s="2057">
        <v>32.091000000000001</v>
      </c>
      <c r="CL63" s="2057">
        <v>34.295000000000002</v>
      </c>
      <c r="CM63" s="2057">
        <f t="shared" si="102"/>
        <v>42.118000000000002</v>
      </c>
      <c r="CN63" s="2057">
        <f t="shared" si="103"/>
        <v>47.159000000000006</v>
      </c>
      <c r="CO63" s="2057">
        <f t="shared" si="104"/>
        <v>77.948000000000008</v>
      </c>
      <c r="CP63" s="2057">
        <f t="shared" si="105"/>
        <v>81.238</v>
      </c>
      <c r="CQ63" s="2057">
        <f t="shared" si="106"/>
        <v>116.304</v>
      </c>
      <c r="CR63" s="2057">
        <f t="shared" si="107"/>
        <v>162.69099999999997</v>
      </c>
      <c r="CS63" s="2057">
        <f t="shared" si="108"/>
        <v>195.93399999999997</v>
      </c>
      <c r="CT63" s="2057">
        <f t="shared" si="109"/>
        <v>235.81700000000001</v>
      </c>
      <c r="CU63" s="2057">
        <f t="shared" si="110"/>
        <v>310.91000000000003</v>
      </c>
      <c r="CV63" s="2057">
        <f t="shared" si="111"/>
        <v>353.221</v>
      </c>
      <c r="CW63" s="2057">
        <f t="shared" si="112"/>
        <v>435.22499999999997</v>
      </c>
      <c r="CX63" s="2057">
        <f t="shared" si="113"/>
        <v>561.95799999999997</v>
      </c>
      <c r="CY63" s="2057">
        <f t="shared" si="114"/>
        <v>671.95799999999997</v>
      </c>
      <c r="CZ63" s="2057">
        <f>+Model!CZ452</f>
        <v>771.95799999999997</v>
      </c>
      <c r="DA63" s="2057">
        <f>+Model!DA452</f>
        <v>866.95799999999997</v>
      </c>
      <c r="DB63" s="2057">
        <f>+Model!DB452</f>
        <v>936.95799999999997</v>
      </c>
      <c r="DC63" s="2057">
        <f>+Model!DC452</f>
        <v>1001.958</v>
      </c>
      <c r="DD63" s="2057">
        <f>+Model!DD452</f>
        <v>1066.9580000000001</v>
      </c>
      <c r="DE63" s="2057">
        <f>+Model!DE452</f>
        <v>1131.9580000000001</v>
      </c>
      <c r="DF63" s="2058">
        <f>+Model!DF452</f>
        <v>1196.9580000000001</v>
      </c>
      <c r="DG63" s="1491">
        <f t="shared" si="116"/>
        <v>0.24879276185711063</v>
      </c>
      <c r="DH63" s="1491">
        <f t="shared" si="117"/>
        <v>0.19671382587877462</v>
      </c>
      <c r="DI63" s="575"/>
      <c r="DJ63" s="51"/>
      <c r="DK63" s="51"/>
      <c r="DL63" s="51"/>
      <c r="DM63" s="51"/>
    </row>
    <row r="64" spans="1:117" s="554" customFormat="1" ht="11.25" customHeight="1">
      <c r="A64" s="556"/>
      <c r="B64"/>
      <c r="C64"/>
      <c r="D64"/>
      <c r="E64"/>
      <c r="F64"/>
      <c r="G64"/>
      <c r="H64" s="1048"/>
      <c r="I64" s="586" t="s">
        <v>31</v>
      </c>
      <c r="J64" s="21"/>
      <c r="K64" s="21"/>
      <c r="L64" s="547"/>
      <c r="M64" s="548"/>
      <c r="N64" s="548"/>
      <c r="O64" s="548"/>
      <c r="P64" s="2056"/>
      <c r="Q64" s="548"/>
      <c r="R64" s="548"/>
      <c r="S64" s="548"/>
      <c r="T64" s="2056"/>
      <c r="U64" s="2057"/>
      <c r="V64" s="2057"/>
      <c r="W64" s="2057"/>
      <c r="X64" s="2058"/>
      <c r="Y64" s="2057"/>
      <c r="Z64" s="2057"/>
      <c r="AA64" s="2057"/>
      <c r="AB64" s="2058"/>
      <c r="AC64" s="2057"/>
      <c r="AD64" s="2057"/>
      <c r="AE64" s="2057"/>
      <c r="AF64" s="2058"/>
      <c r="AG64" s="2057">
        <f>16.454-3.017</f>
        <v>13.437000000000001</v>
      </c>
      <c r="AH64" s="2057">
        <v>15.04</v>
      </c>
      <c r="AI64" s="2057">
        <f>21.658-3.543</f>
        <v>18.115000000000002</v>
      </c>
      <c r="AJ64" s="2058">
        <f>22.552-4.651</f>
        <v>17.901</v>
      </c>
      <c r="AK64" s="2057">
        <f>21.49-3.166</f>
        <v>18.323999999999998</v>
      </c>
      <c r="AL64" s="2057">
        <f>23.435-3.466</f>
        <v>19.968999999999998</v>
      </c>
      <c r="AM64" s="2057">
        <f>27.182-4.127</f>
        <v>23.055</v>
      </c>
      <c r="AN64" s="2058">
        <f>30.885-5.494</f>
        <v>25.391000000000002</v>
      </c>
      <c r="AO64" s="2057">
        <f>36.883-9.939</f>
        <v>26.944000000000003</v>
      </c>
      <c r="AP64" s="2057">
        <f>39.644-9.077</f>
        <v>30.567</v>
      </c>
      <c r="AQ64" s="2057">
        <f>45.259-10.055</f>
        <v>35.204000000000001</v>
      </c>
      <c r="AR64" s="2058">
        <f>41.998-11.452</f>
        <v>30.545999999999999</v>
      </c>
      <c r="AS64" s="2057">
        <f>39.51-10.593</f>
        <v>28.916999999999998</v>
      </c>
      <c r="AT64" s="2057">
        <f>44.864-11.264</f>
        <v>33.599999999999994</v>
      </c>
      <c r="AU64" s="2057">
        <f>50.959-10.87</f>
        <v>40.089000000000006</v>
      </c>
      <c r="AV64" s="2058">
        <f>44.819-7.944</f>
        <v>36.875</v>
      </c>
      <c r="AW64" s="2057">
        <f>49.777-11.909</f>
        <v>37.868000000000002</v>
      </c>
      <c r="AX64" s="2057">
        <f>62.85-15.465</f>
        <v>47.385000000000005</v>
      </c>
      <c r="AY64" s="2057">
        <f>82.007-21.176</f>
        <v>60.831000000000003</v>
      </c>
      <c r="AZ64" s="2058">
        <f>75.437-19.65</f>
        <v>55.786999999999999</v>
      </c>
      <c r="BA64" s="2057">
        <v>61.228000000000002</v>
      </c>
      <c r="BB64" s="2057">
        <v>72.653000000000006</v>
      </c>
      <c r="BC64" s="2057">
        <v>81.164999999999992</v>
      </c>
      <c r="BD64" s="2058">
        <v>71.524000000000001</v>
      </c>
      <c r="BE64" s="2057">
        <v>84.153000000000006</v>
      </c>
      <c r="BF64" s="2057">
        <v>90.418000000000006</v>
      </c>
      <c r="BG64" s="2057">
        <v>117.655</v>
      </c>
      <c r="BH64" s="2058">
        <v>103.03700000000001</v>
      </c>
      <c r="BI64" s="2059">
        <v>112.50899999999999</v>
      </c>
      <c r="BJ64" s="2057">
        <v>131.26100000000002</v>
      </c>
      <c r="BK64" s="2057">
        <v>151.892</v>
      </c>
      <c r="BL64" s="2058">
        <v>162.50399999999999</v>
      </c>
      <c r="BM64" s="2059">
        <v>155.72800000000001</v>
      </c>
      <c r="BN64" s="2057">
        <v>186.684</v>
      </c>
      <c r="BO64" s="2057">
        <v>213.33500000000001</v>
      </c>
      <c r="BP64" s="2058">
        <v>208.01900000000001</v>
      </c>
      <c r="BQ64" s="2057">
        <v>204.97599999999997</v>
      </c>
      <c r="BR64" s="2057">
        <v>228.99200000000002</v>
      </c>
      <c r="BS64" s="2057">
        <v>247.05500000000001</v>
      </c>
      <c r="BT64" s="2058">
        <v>237.80799999999999</v>
      </c>
      <c r="BU64" s="2057">
        <v>242.351</v>
      </c>
      <c r="BV64" s="2057">
        <v>277.678</v>
      </c>
      <c r="BW64" s="2057">
        <v>293.536</v>
      </c>
      <c r="BX64" s="2058">
        <v>286.89299999999997</v>
      </c>
      <c r="BY64" s="2057">
        <v>292.08199999999999</v>
      </c>
      <c r="BZ64" s="2057">
        <v>318.82900000000001</v>
      </c>
      <c r="CA64" s="2057">
        <v>417.017</v>
      </c>
      <c r="CB64" s="2058">
        <v>370.74299999999994</v>
      </c>
      <c r="CC64" s="2057">
        <f>Model!CC458</f>
        <v>385.10706243975392</v>
      </c>
      <c r="CD64" s="2057">
        <f>Model!CD458</f>
        <v>404.98383328972693</v>
      </c>
      <c r="CE64" s="2057">
        <f>Model!CE458</f>
        <v>470.11637200671049</v>
      </c>
      <c r="CF64" s="2058">
        <f>Model!CF458</f>
        <v>434.39446245806073</v>
      </c>
      <c r="CG64" s="2056"/>
      <c r="CH64" s="2060"/>
      <c r="CI64" s="548"/>
      <c r="CJ64" s="2057">
        <f>29.962</f>
        <v>29.962</v>
      </c>
      <c r="CK64" s="2057">
        <f>35.574-0.6</f>
        <v>34.973999999999997</v>
      </c>
      <c r="CL64" s="2057">
        <f>49.659-4.2</f>
        <v>45.458999999999996</v>
      </c>
      <c r="CM64" s="2057">
        <f t="shared" si="102"/>
        <v>64.492999999999995</v>
      </c>
      <c r="CN64" s="2057">
        <f t="shared" si="103"/>
        <v>86.73899999999999</v>
      </c>
      <c r="CO64" s="2057">
        <f t="shared" si="104"/>
        <v>123.261</v>
      </c>
      <c r="CP64" s="2057">
        <f t="shared" si="105"/>
        <v>139.48099999999999</v>
      </c>
      <c r="CQ64" s="2057">
        <f t="shared" si="106"/>
        <v>201.87100000000001</v>
      </c>
      <c r="CR64" s="2057">
        <f t="shared" si="107"/>
        <v>286.57</v>
      </c>
      <c r="CS64" s="2057">
        <f t="shared" si="108"/>
        <v>395.26300000000003</v>
      </c>
      <c r="CT64" s="2057">
        <f t="shared" si="109"/>
        <v>558.16600000000005</v>
      </c>
      <c r="CU64" s="2057">
        <f t="shared" si="110"/>
        <v>763.76600000000008</v>
      </c>
      <c r="CV64" s="2057">
        <f t="shared" si="111"/>
        <v>918.8309999999999</v>
      </c>
      <c r="CW64" s="2057">
        <f t="shared" si="112"/>
        <v>1100.4580000000001</v>
      </c>
      <c r="CX64" s="2057">
        <f t="shared" si="113"/>
        <v>1398.671</v>
      </c>
      <c r="CY64" s="2057">
        <f t="shared" si="114"/>
        <v>1694.601730194252</v>
      </c>
      <c r="CZ64" s="2057">
        <f>Model!CZ458</f>
        <v>1927.9541895323068</v>
      </c>
      <c r="DA64" s="2057">
        <f>Model!DA458</f>
        <v>2151.0015119849659</v>
      </c>
      <c r="DB64" s="2057">
        <f>Model!DB458</f>
        <v>2364.0488344376249</v>
      </c>
      <c r="DC64" s="2057">
        <f>Model!DC458</f>
        <v>2567.096156890284</v>
      </c>
      <c r="DD64" s="2057">
        <f>Model!DD458</f>
        <v>2765.143479342943</v>
      </c>
      <c r="DE64" s="2057">
        <f>Model!DE458</f>
        <v>2958.1908017956021</v>
      </c>
      <c r="DF64" s="2058">
        <f>Model!DF458</f>
        <v>3146.2381242482611</v>
      </c>
      <c r="DG64" s="1491">
        <f t="shared" si="116"/>
        <v>0.35404264027523125</v>
      </c>
      <c r="DH64" s="1491">
        <f t="shared" si="117"/>
        <v>0.1854439247261872</v>
      </c>
      <c r="DI64" s="575"/>
      <c r="DJ64" s="51"/>
      <c r="DK64" s="51"/>
      <c r="DL64" s="51"/>
      <c r="DM64" s="51"/>
    </row>
    <row r="65" spans="1:122" s="554" customFormat="1" ht="11.25" customHeight="1">
      <c r="A65" s="556"/>
      <c r="B65"/>
      <c r="C65"/>
      <c r="D65"/>
      <c r="E65"/>
      <c r="F65"/>
      <c r="G65"/>
      <c r="H65" s="1048"/>
      <c r="I65" s="586" t="s">
        <v>32</v>
      </c>
      <c r="J65" s="21"/>
      <c r="K65" s="21"/>
      <c r="L65" s="547"/>
      <c r="M65" s="548"/>
      <c r="N65" s="548"/>
      <c r="O65" s="548"/>
      <c r="P65" s="2056"/>
      <c r="Q65" s="548"/>
      <c r="R65" s="548"/>
      <c r="S65" s="548"/>
      <c r="T65" s="2056"/>
      <c r="U65" s="2057"/>
      <c r="V65" s="2057"/>
      <c r="W65" s="2057"/>
      <c r="X65" s="2058"/>
      <c r="Y65" s="2057"/>
      <c r="Z65" s="2057"/>
      <c r="AA65" s="2057"/>
      <c r="AB65" s="2058"/>
      <c r="AC65" s="2057"/>
      <c r="AD65" s="2057"/>
      <c r="AE65" s="2057"/>
      <c r="AF65" s="2058"/>
      <c r="AG65" s="2057">
        <v>5.7370000000000001</v>
      </c>
      <c r="AH65" s="2057">
        <v>7.2560000000000002</v>
      </c>
      <c r="AI65" s="2057">
        <v>6.6429999999999998</v>
      </c>
      <c r="AJ65" s="2058">
        <v>8.9499999999999993</v>
      </c>
      <c r="AK65" s="2057">
        <f>63.875-54.857</f>
        <v>9.0180000000000007</v>
      </c>
      <c r="AL65" s="2057">
        <f>9.777</f>
        <v>9.7769999999999992</v>
      </c>
      <c r="AM65" s="2057">
        <f>9.241</f>
        <v>9.2409999999999997</v>
      </c>
      <c r="AN65" s="2058">
        <f>8.943</f>
        <v>8.9429999999999996</v>
      </c>
      <c r="AO65" s="2057">
        <f>11.789</f>
        <v>11.789</v>
      </c>
      <c r="AP65" s="2057">
        <f>14.209</f>
        <v>14.209</v>
      </c>
      <c r="AQ65" s="2057">
        <f>13.524</f>
        <v>13.523999999999999</v>
      </c>
      <c r="AR65" s="2058">
        <f>15.749</f>
        <v>15.749000000000001</v>
      </c>
      <c r="AS65" s="2057">
        <v>14.788</v>
      </c>
      <c r="AT65" s="2057">
        <v>14.728</v>
      </c>
      <c r="AU65" s="2057">
        <v>19.367000000000001</v>
      </c>
      <c r="AV65" s="2058">
        <f>19.673</f>
        <v>19.672999999999998</v>
      </c>
      <c r="AW65" s="2057">
        <v>18.033000000000001</v>
      </c>
      <c r="AX65" s="2057">
        <v>22.462</v>
      </c>
      <c r="AY65" s="2057">
        <v>15.73</v>
      </c>
      <c r="AZ65" s="2058">
        <v>24.960999999999999</v>
      </c>
      <c r="BA65" s="2057">
        <v>25.879000000000001</v>
      </c>
      <c r="BB65" s="2057">
        <v>29.736000000000001</v>
      </c>
      <c r="BC65" s="2057">
        <v>31.716999999999999</v>
      </c>
      <c r="BD65" s="2058">
        <v>36.32</v>
      </c>
      <c r="BE65" s="2057">
        <v>40.673999999999999</v>
      </c>
      <c r="BF65" s="2057">
        <v>39.807000000000002</v>
      </c>
      <c r="BG65" s="2057">
        <v>42.286999999999999</v>
      </c>
      <c r="BH65" s="2058">
        <v>50.402999999999999</v>
      </c>
      <c r="BI65" s="2059">
        <v>50.161000000000001</v>
      </c>
      <c r="BJ65" s="2057">
        <v>64.921000000000006</v>
      </c>
      <c r="BK65" s="2057">
        <v>63.113</v>
      </c>
      <c r="BL65" s="2058">
        <v>74.799000000000007</v>
      </c>
      <c r="BM65" s="2059">
        <v>72.980999999999995</v>
      </c>
      <c r="BN65" s="2057">
        <v>91.066999999999993</v>
      </c>
      <c r="BO65" s="2057">
        <v>97.902000000000001</v>
      </c>
      <c r="BP65" s="2058">
        <v>90.918999999999997</v>
      </c>
      <c r="BQ65" s="2057">
        <v>100.178</v>
      </c>
      <c r="BR65" s="2057">
        <v>98.944999999999993</v>
      </c>
      <c r="BS65" s="2057">
        <v>109.706</v>
      </c>
      <c r="BT65" s="2058">
        <v>106.59099999999999</v>
      </c>
      <c r="BU65" s="2057">
        <v>113.045</v>
      </c>
      <c r="BV65" s="2057">
        <v>112.642</v>
      </c>
      <c r="BW65" s="2057">
        <v>114.586</v>
      </c>
      <c r="BX65" s="2058">
        <v>115.636</v>
      </c>
      <c r="BY65" s="2057">
        <v>135.547</v>
      </c>
      <c r="BZ65" s="2057">
        <v>141.63399999999999</v>
      </c>
      <c r="CA65" s="2057">
        <v>142.82300000000001</v>
      </c>
      <c r="CB65" s="2058">
        <v>165.53700000000001</v>
      </c>
      <c r="CC65" s="2057">
        <f>+Model!CC466</f>
        <v>165.547</v>
      </c>
      <c r="CD65" s="2057">
        <f>+Model!CD466</f>
        <v>166.63399999999999</v>
      </c>
      <c r="CE65" s="2057">
        <f>+Model!CE466</f>
        <v>167.82300000000001</v>
      </c>
      <c r="CF65" s="2058">
        <f>+Model!CF466</f>
        <v>188.53700000000001</v>
      </c>
      <c r="CG65" s="2056"/>
      <c r="CH65" s="2060"/>
      <c r="CI65" s="548"/>
      <c r="CJ65" s="2057">
        <v>12.031000000000001</v>
      </c>
      <c r="CK65" s="2057">
        <v>16.452000000000002</v>
      </c>
      <c r="CL65" s="548">
        <v>20.881</v>
      </c>
      <c r="CM65" s="2057">
        <f t="shared" si="102"/>
        <v>28.585999999999999</v>
      </c>
      <c r="CN65" s="2057">
        <f t="shared" si="103"/>
        <v>36.978999999999999</v>
      </c>
      <c r="CO65" s="2057">
        <f t="shared" si="104"/>
        <v>55.271000000000001</v>
      </c>
      <c r="CP65" s="2057">
        <f t="shared" si="105"/>
        <v>68.555999999999997</v>
      </c>
      <c r="CQ65" s="2057">
        <f t="shared" si="106"/>
        <v>81.186000000000007</v>
      </c>
      <c r="CR65" s="2057">
        <f t="shared" si="107"/>
        <v>123.65199999999999</v>
      </c>
      <c r="CS65" s="2057">
        <f t="shared" si="108"/>
        <v>173.17099999999999</v>
      </c>
      <c r="CT65" s="2057">
        <f t="shared" si="109"/>
        <v>252.994</v>
      </c>
      <c r="CU65" s="2057">
        <f>SUM(BM65:BP65)</f>
        <v>352.86899999999997</v>
      </c>
      <c r="CV65" s="2057">
        <f>SUM(BQ65:BT65)</f>
        <v>415.42</v>
      </c>
      <c r="CW65" s="2057">
        <f>SUM(BU65:BX65)</f>
        <v>455.90899999999999</v>
      </c>
      <c r="CX65" s="2057">
        <f>SUM(BY65:CB65)</f>
        <v>585.54100000000005</v>
      </c>
      <c r="CY65" s="2057">
        <f t="shared" si="114"/>
        <v>688.54100000000005</v>
      </c>
      <c r="CZ65" s="2057">
        <f>+Model!CZ466</f>
        <v>733.54100000000005</v>
      </c>
      <c r="DA65" s="2057">
        <f>+Model!DA466</f>
        <v>768.54100000000005</v>
      </c>
      <c r="DB65" s="2057">
        <f>+Model!DB466</f>
        <v>793.54100000000005</v>
      </c>
      <c r="DC65" s="2057">
        <f>+Model!DC466</f>
        <v>803.54100000000005</v>
      </c>
      <c r="DD65" s="2057">
        <f>+Model!DD466</f>
        <v>813.54100000000005</v>
      </c>
      <c r="DE65" s="2057">
        <f>+Model!DE466</f>
        <v>823.54100000000005</v>
      </c>
      <c r="DF65" s="2058">
        <f>+Model!DF466</f>
        <v>833.54100000000005</v>
      </c>
      <c r="DG65" s="1491">
        <f t="shared" si="116"/>
        <v>0.38612134525953712</v>
      </c>
      <c r="DH65" s="1491">
        <f t="shared" si="117"/>
        <v>0.13093052930976579</v>
      </c>
      <c r="DI65" s="575"/>
      <c r="DJ65" s="51"/>
      <c r="DK65" s="51"/>
      <c r="DL65" s="51"/>
      <c r="DM65" s="51"/>
    </row>
    <row r="66" spans="1:122" s="554" customFormat="1" ht="11.25" customHeight="1">
      <c r="A66" s="556"/>
      <c r="B66"/>
      <c r="C66"/>
      <c r="D66"/>
      <c r="E66"/>
      <c r="F66"/>
      <c r="G66"/>
      <c r="H66" s="1048"/>
      <c r="I66" s="586" t="s">
        <v>151</v>
      </c>
      <c r="J66" s="21"/>
      <c r="K66" s="21"/>
      <c r="L66" s="547"/>
      <c r="M66" s="548"/>
      <c r="N66" s="548"/>
      <c r="O66" s="548"/>
      <c r="P66" s="2056"/>
      <c r="Q66" s="548"/>
      <c r="R66" s="548"/>
      <c r="S66" s="548"/>
      <c r="T66" s="2056"/>
      <c r="U66" s="2057"/>
      <c r="V66" s="2057"/>
      <c r="W66" s="2057"/>
      <c r="X66" s="2058"/>
      <c r="Y66" s="2057"/>
      <c r="Z66" s="2057"/>
      <c r="AA66" s="2057"/>
      <c r="AB66" s="2058"/>
      <c r="AC66" s="2057"/>
      <c r="AD66" s="2057"/>
      <c r="AE66" s="2057"/>
      <c r="AF66" s="2058"/>
      <c r="AG66" s="2057">
        <v>2.3069999999999999</v>
      </c>
      <c r="AH66" s="2057">
        <v>2.3319999999999999</v>
      </c>
      <c r="AI66" s="2057">
        <v>2.5510000000000002</v>
      </c>
      <c r="AJ66" s="2058">
        <v>2.5590000000000002</v>
      </c>
      <c r="AK66" s="2057">
        <v>2.911</v>
      </c>
      <c r="AL66" s="2057">
        <v>3.1520000000000001</v>
      </c>
      <c r="AM66" s="2057">
        <v>3.343</v>
      </c>
      <c r="AN66" s="2058">
        <v>4.3730000000000002</v>
      </c>
      <c r="AO66" s="2057">
        <v>4.149</v>
      </c>
      <c r="AP66" s="2057">
        <v>5.1360000000000001</v>
      </c>
      <c r="AQ66" s="2057">
        <v>4.4020000000000001</v>
      </c>
      <c r="AR66" s="2058">
        <v>4.2679999999999998</v>
      </c>
      <c r="AS66" s="2057">
        <v>4.5270000000000001</v>
      </c>
      <c r="AT66" s="2057">
        <v>4.6970000000000001</v>
      </c>
      <c r="AU66" s="2057">
        <v>4.7770000000000001</v>
      </c>
      <c r="AV66" s="2058">
        <v>5.1369999999999996</v>
      </c>
      <c r="AW66" s="2057">
        <v>4.6079999999999997</v>
      </c>
      <c r="AX66" s="2057">
        <v>4.8949999999999996</v>
      </c>
      <c r="AY66" s="2057">
        <v>5.3470000000000004</v>
      </c>
      <c r="AZ66" s="2058">
        <v>6.1479999999999997</v>
      </c>
      <c r="BA66" s="2057">
        <v>6.67</v>
      </c>
      <c r="BB66" s="2057">
        <v>8.2390000000000008</v>
      </c>
      <c r="BC66" s="2057">
        <v>8.548</v>
      </c>
      <c r="BD66" s="2058">
        <v>10.356999999999999</v>
      </c>
      <c r="BE66" s="2057">
        <v>10.734999999999999</v>
      </c>
      <c r="BF66" s="2057">
        <v>10.44</v>
      </c>
      <c r="BG66" s="2057">
        <v>10.798999999999999</v>
      </c>
      <c r="BH66" s="2058">
        <v>11.711</v>
      </c>
      <c r="BI66" s="2059">
        <v>13.222</v>
      </c>
      <c r="BJ66" s="2057">
        <v>16.959</v>
      </c>
      <c r="BK66" s="2057">
        <v>18.536000000000001</v>
      </c>
      <c r="BL66" s="2058">
        <v>23.172999999999998</v>
      </c>
      <c r="BM66" s="2059">
        <v>23.224</v>
      </c>
      <c r="BN66" s="2057">
        <v>24.042000000000002</v>
      </c>
      <c r="BO66" s="2057">
        <v>24.802</v>
      </c>
      <c r="BP66" s="2058">
        <v>25.43</v>
      </c>
      <c r="BQ66" s="2057">
        <v>25.361000000000001</v>
      </c>
      <c r="BR66" s="2057">
        <v>27.155999999999999</v>
      </c>
      <c r="BS66" s="2057">
        <v>28.83</v>
      </c>
      <c r="BT66" s="2058">
        <v>32.270000000000003</v>
      </c>
      <c r="BU66" s="2057">
        <v>32.787999999999997</v>
      </c>
      <c r="BV66" s="2057">
        <v>35.796999999999997</v>
      </c>
      <c r="BW66" s="2057">
        <v>36.389000000000003</v>
      </c>
      <c r="BX66" s="2058">
        <v>37.418999999999997</v>
      </c>
      <c r="BY66" s="2057">
        <v>39.945</v>
      </c>
      <c r="BZ66" s="2057">
        <v>44.831000000000003</v>
      </c>
      <c r="CA66" s="2057">
        <v>47.901000000000003</v>
      </c>
      <c r="CB66" s="2058">
        <v>56.667000000000002</v>
      </c>
      <c r="CC66" s="2057">
        <f>+Model!CC472</f>
        <v>49.970519509452046</v>
      </c>
      <c r="CD66" s="2057">
        <f>+Model!CD472</f>
        <v>56.772743139529744</v>
      </c>
      <c r="CE66" s="2057">
        <f>+Model!CE472</f>
        <v>58.551201697556394</v>
      </c>
      <c r="CF66" s="2058">
        <f>+Model!CF472</f>
        <v>71.635579346910561</v>
      </c>
      <c r="CG66" s="2056"/>
      <c r="CH66" s="2060"/>
      <c r="CI66" s="548"/>
      <c r="CJ66" s="2057">
        <v>8.8979999999999997</v>
      </c>
      <c r="CK66" s="2057">
        <v>9.1709999999999994</v>
      </c>
      <c r="CL66" s="2057">
        <v>10.622</v>
      </c>
      <c r="CM66" s="2057">
        <f t="shared" si="102"/>
        <v>9.7489999999999988</v>
      </c>
      <c r="CN66" s="2057">
        <f t="shared" si="103"/>
        <v>13.779</v>
      </c>
      <c r="CO66" s="2057">
        <f t="shared" si="104"/>
        <v>17.955000000000002</v>
      </c>
      <c r="CP66" s="2057">
        <f t="shared" si="105"/>
        <v>19.138000000000002</v>
      </c>
      <c r="CQ66" s="2057">
        <f t="shared" si="106"/>
        <v>20.998000000000001</v>
      </c>
      <c r="CR66" s="2057">
        <f t="shared" si="107"/>
        <v>33.814</v>
      </c>
      <c r="CS66" s="2057">
        <f t="shared" si="108"/>
        <v>43.684999999999995</v>
      </c>
      <c r="CT66" s="2057">
        <f t="shared" si="109"/>
        <v>71.89</v>
      </c>
      <c r="CU66" s="2057">
        <f t="shared" si="110"/>
        <v>97.498000000000019</v>
      </c>
      <c r="CV66" s="2057">
        <f t="shared" si="111"/>
        <v>113.61699999999999</v>
      </c>
      <c r="CW66" s="2057">
        <f t="shared" si="112"/>
        <v>142.39299999999997</v>
      </c>
      <c r="CX66" s="2057">
        <f t="shared" si="113"/>
        <v>189.34400000000002</v>
      </c>
      <c r="CY66" s="2057">
        <f t="shared" si="114"/>
        <v>236.93004369344874</v>
      </c>
      <c r="CZ66" s="2057">
        <f>+Model!CZ472</f>
        <v>276.93004369344874</v>
      </c>
      <c r="DA66" s="2057">
        <f>+Model!DA472</f>
        <v>316.93004369344874</v>
      </c>
      <c r="DB66" s="2057">
        <f>+Model!DB472</f>
        <v>356.93004369344874</v>
      </c>
      <c r="DC66" s="2057">
        <f>+Model!DC472</f>
        <v>396.93004369344874</v>
      </c>
      <c r="DD66" s="2057">
        <f>+Model!DD472</f>
        <v>436.93004369344874</v>
      </c>
      <c r="DE66" s="2057">
        <f>+Model!DE472</f>
        <v>476.93004369344874</v>
      </c>
      <c r="DF66" s="2058">
        <f>+Model!DF472</f>
        <v>516.93004369344874</v>
      </c>
      <c r="DG66" s="1491">
        <f t="shared" si="116"/>
        <v>0.40169355764773251</v>
      </c>
      <c r="DH66" s="1491">
        <f t="shared" si="117"/>
        <v>0.22773325225467755</v>
      </c>
      <c r="DI66" s="575"/>
      <c r="DJ66" s="51"/>
      <c r="DK66" s="51"/>
      <c r="DL66" s="51"/>
      <c r="DM66" s="51"/>
    </row>
    <row r="67" spans="1:122" s="554" customFormat="1" ht="11.25" customHeight="1">
      <c r="A67" s="556"/>
      <c r="B67"/>
      <c r="C67"/>
      <c r="D67"/>
      <c r="E67"/>
      <c r="F67"/>
      <c r="G67"/>
      <c r="H67" s="1048"/>
      <c r="I67" s="586" t="s">
        <v>33</v>
      </c>
      <c r="J67" s="21"/>
      <c r="K67" s="21"/>
      <c r="L67" s="547"/>
      <c r="M67" s="548"/>
      <c r="N67" s="548"/>
      <c r="O67" s="548"/>
      <c r="P67" s="2056"/>
      <c r="Q67" s="548"/>
      <c r="R67" s="548"/>
      <c r="S67" s="548"/>
      <c r="T67" s="2056"/>
      <c r="U67" s="2057"/>
      <c r="V67" s="2057"/>
      <c r="W67" s="2057"/>
      <c r="X67" s="2058"/>
      <c r="Y67" s="2057"/>
      <c r="Z67" s="2057"/>
      <c r="AA67" s="2057"/>
      <c r="AB67" s="2058"/>
      <c r="AC67" s="2057"/>
      <c r="AD67" s="2057"/>
      <c r="AE67" s="2057"/>
      <c r="AF67" s="2058"/>
      <c r="AG67" s="2057">
        <v>3.0169999999999999</v>
      </c>
      <c r="AH67" s="2057">
        <v>3.7170000000000001</v>
      </c>
      <c r="AI67" s="2057">
        <v>3.5430000000000001</v>
      </c>
      <c r="AJ67" s="2058">
        <v>4.6509999999999998</v>
      </c>
      <c r="AK67" s="2057">
        <v>3.1659999999999999</v>
      </c>
      <c r="AL67" s="2057">
        <v>3.4660000000000002</v>
      </c>
      <c r="AM67" s="2057">
        <v>4.1269999999999998</v>
      </c>
      <c r="AN67" s="2058">
        <v>5.4939999999999998</v>
      </c>
      <c r="AO67" s="2057">
        <v>9.9390000000000001</v>
      </c>
      <c r="AP67" s="2057">
        <v>9.077</v>
      </c>
      <c r="AQ67" s="2057">
        <v>10.055</v>
      </c>
      <c r="AR67" s="2058">
        <v>11.452</v>
      </c>
      <c r="AS67" s="2057">
        <v>10.593</v>
      </c>
      <c r="AT67" s="2057">
        <v>11.263999999999999</v>
      </c>
      <c r="AU67" s="2057">
        <v>10.87</v>
      </c>
      <c r="AV67" s="2058">
        <v>7.944</v>
      </c>
      <c r="AW67" s="2057">
        <v>11.909000000000001</v>
      </c>
      <c r="AX67" s="2057">
        <v>15.465</v>
      </c>
      <c r="AY67" s="2057">
        <v>21.175999999999998</v>
      </c>
      <c r="AZ67" s="2058">
        <v>19.649999999999999</v>
      </c>
      <c r="BA67" s="2057">
        <v>13.993</v>
      </c>
      <c r="BB67" s="2057">
        <v>13.113</v>
      </c>
      <c r="BC67" s="2057">
        <v>13.298</v>
      </c>
      <c r="BD67" s="2058">
        <v>25.32</v>
      </c>
      <c r="BE67" s="2057">
        <v>16.523</v>
      </c>
      <c r="BF67" s="2057">
        <v>17.611999999999998</v>
      </c>
      <c r="BG67" s="2057">
        <v>17.555</v>
      </c>
      <c r="BH67" s="2058">
        <v>19.875</v>
      </c>
      <c r="BI67" s="2059">
        <v>21.709</v>
      </c>
      <c r="BJ67" s="2057">
        <v>34.735999999999997</v>
      </c>
      <c r="BK67" s="2057">
        <v>34.551000000000002</v>
      </c>
      <c r="BL67" s="2058">
        <v>49.53</v>
      </c>
      <c r="BM67" s="2059">
        <v>38.802999999999997</v>
      </c>
      <c r="BN67" s="2057">
        <v>35.167999999999999</v>
      </c>
      <c r="BO67" s="2057">
        <v>46.136000000000003</v>
      </c>
      <c r="BP67" s="2058">
        <v>66.317999999999998</v>
      </c>
      <c r="BQ67" s="2057">
        <v>54.008000000000003</v>
      </c>
      <c r="BR67" s="2057">
        <v>60.164000000000001</v>
      </c>
      <c r="BS67" s="2057">
        <v>58.274000000000001</v>
      </c>
      <c r="BT67" s="2058">
        <v>74.948999999999998</v>
      </c>
      <c r="BU67" s="2057">
        <v>66</v>
      </c>
      <c r="BV67" s="2057">
        <v>54.975999999999999</v>
      </c>
      <c r="BW67" s="2057">
        <v>54.073999999999998</v>
      </c>
      <c r="BX67" s="2058">
        <v>74.524000000000001</v>
      </c>
      <c r="BY67" s="2057">
        <v>58.948</v>
      </c>
      <c r="BZ67" s="2057">
        <v>66.879000000000005</v>
      </c>
      <c r="CA67" s="2057">
        <v>66.421000000000006</v>
      </c>
      <c r="CB67" s="2058">
        <v>68.662000000000006</v>
      </c>
      <c r="CC67" s="2057">
        <f>+Model!CC478</f>
        <v>63.663840000000008</v>
      </c>
      <c r="CD67" s="2057">
        <f>+Model!CD478</f>
        <v>72.229320000000016</v>
      </c>
      <c r="CE67" s="2057">
        <f>+Model!CE478</f>
        <v>71.734680000000012</v>
      </c>
      <c r="CF67" s="2058">
        <f>+Model!CF478</f>
        <v>74.154960000000017</v>
      </c>
      <c r="CG67" s="2056"/>
      <c r="CH67" s="2060"/>
      <c r="CI67" s="548"/>
      <c r="CJ67" s="2057">
        <v>0.28199999999999997</v>
      </c>
      <c r="CK67" s="2057">
        <v>0.63800000000000001</v>
      </c>
      <c r="CL67" s="2057">
        <v>4.1689999999999996</v>
      </c>
      <c r="CM67" s="2057">
        <f t="shared" si="102"/>
        <v>14.928000000000001</v>
      </c>
      <c r="CN67" s="2057">
        <f t="shared" si="103"/>
        <v>16.253</v>
      </c>
      <c r="CO67" s="2057">
        <f t="shared" si="104"/>
        <v>40.522999999999996</v>
      </c>
      <c r="CP67" s="2057">
        <f t="shared" si="105"/>
        <v>40.670999999999999</v>
      </c>
      <c r="CQ67" s="2057">
        <f t="shared" si="106"/>
        <v>68.199999999999989</v>
      </c>
      <c r="CR67" s="2057">
        <f t="shared" si="107"/>
        <v>65.724000000000004</v>
      </c>
      <c r="CS67" s="2057">
        <f t="shared" si="108"/>
        <v>71.564999999999998</v>
      </c>
      <c r="CT67" s="2057">
        <f t="shared" si="109"/>
        <v>140.52600000000001</v>
      </c>
      <c r="CU67" s="2057">
        <f t="shared" si="110"/>
        <v>186.42500000000001</v>
      </c>
      <c r="CV67" s="2057">
        <f t="shared" si="111"/>
        <v>247.39499999999998</v>
      </c>
      <c r="CW67" s="2057">
        <f t="shared" si="112"/>
        <v>249.57400000000001</v>
      </c>
      <c r="CX67" s="2057">
        <f t="shared" si="113"/>
        <v>260.90999999999997</v>
      </c>
      <c r="CY67" s="2057">
        <f t="shared" si="114"/>
        <v>281.78280000000007</v>
      </c>
      <c r="CZ67" s="2057">
        <f>+Model!CZ478</f>
        <v>301.50759600000015</v>
      </c>
      <c r="DA67" s="2057">
        <f>+Model!DA478</f>
        <v>321.10558974000026</v>
      </c>
      <c r="DB67" s="2057">
        <f>+Model!DB478</f>
        <v>340.37192512440038</v>
      </c>
      <c r="DC67" s="2057">
        <f>+Model!DC478</f>
        <v>359.09238100624253</v>
      </c>
      <c r="DD67" s="2057">
        <f>+Model!DD478</f>
        <v>377.04700005655474</v>
      </c>
      <c r="DE67" s="2057">
        <f>+Model!DE478</f>
        <v>394.01411505909982</v>
      </c>
      <c r="DF67" s="2058">
        <f>+Model!DF478</f>
        <v>409.77467966146389</v>
      </c>
      <c r="DG67" s="1491">
        <f t="shared" si="116"/>
        <v>0.29396136285621721</v>
      </c>
      <c r="DH67" s="1491">
        <f t="shared" si="117"/>
        <v>5.3540874098712665E-2</v>
      </c>
      <c r="DI67" s="575"/>
      <c r="DJ67" s="51"/>
      <c r="DK67" s="51"/>
      <c r="DL67" s="51"/>
      <c r="DM67" s="51"/>
    </row>
    <row r="68" spans="1:122" s="554" customFormat="1" ht="11.25" customHeight="1">
      <c r="A68" s="556"/>
      <c r="B68"/>
      <c r="C68"/>
      <c r="D68"/>
      <c r="E68"/>
      <c r="F68"/>
      <c r="G68"/>
      <c r="H68" s="1048"/>
      <c r="I68" s="586" t="s">
        <v>88</v>
      </c>
      <c r="J68" s="21"/>
      <c r="K68" s="21"/>
      <c r="L68" s="547"/>
      <c r="M68" s="548"/>
      <c r="N68" s="548"/>
      <c r="O68" s="548"/>
      <c r="P68" s="2056"/>
      <c r="Q68" s="548"/>
      <c r="R68" s="548"/>
      <c r="S68" s="548"/>
      <c r="T68" s="2056"/>
      <c r="U68" s="2057"/>
      <c r="V68" s="2057"/>
      <c r="W68" s="2057"/>
      <c r="X68" s="2058"/>
      <c r="Y68" s="2057"/>
      <c r="Z68" s="2057"/>
      <c r="AA68" s="2057"/>
      <c r="AB68" s="2058"/>
      <c r="AC68" s="2057"/>
      <c r="AD68" s="2057"/>
      <c r="AE68" s="2057"/>
      <c r="AF68" s="2058"/>
      <c r="AG68" s="2059">
        <v>0</v>
      </c>
      <c r="AH68" s="2057">
        <v>0</v>
      </c>
      <c r="AI68" s="2057">
        <v>0</v>
      </c>
      <c r="AJ68" s="2058">
        <v>0</v>
      </c>
      <c r="AK68" s="2059">
        <v>0</v>
      </c>
      <c r="AL68" s="2057">
        <v>0</v>
      </c>
      <c r="AM68" s="2057">
        <v>0</v>
      </c>
      <c r="AN68" s="2058">
        <v>0</v>
      </c>
      <c r="AO68" s="2059">
        <v>0</v>
      </c>
      <c r="AP68" s="2057">
        <v>0</v>
      </c>
      <c r="AQ68" s="2057">
        <v>0</v>
      </c>
      <c r="AR68" s="2058">
        <v>0</v>
      </c>
      <c r="AS68" s="2059">
        <v>0</v>
      </c>
      <c r="AT68" s="2057">
        <v>0</v>
      </c>
      <c r="AU68" s="2057">
        <v>0</v>
      </c>
      <c r="AV68" s="2058">
        <v>0</v>
      </c>
      <c r="AW68" s="2059">
        <v>0</v>
      </c>
      <c r="AX68" s="2057">
        <v>0</v>
      </c>
      <c r="AY68" s="2057">
        <v>0</v>
      </c>
      <c r="AZ68" s="2058">
        <v>0</v>
      </c>
      <c r="BA68" s="2059">
        <v>0</v>
      </c>
      <c r="BB68" s="2057">
        <v>0</v>
      </c>
      <c r="BC68" s="2057">
        <v>0</v>
      </c>
      <c r="BD68" s="2058">
        <v>0</v>
      </c>
      <c r="BE68" s="2059">
        <v>0</v>
      </c>
      <c r="BF68" s="2057">
        <v>0</v>
      </c>
      <c r="BG68" s="2057">
        <v>0</v>
      </c>
      <c r="BH68" s="2058">
        <v>0</v>
      </c>
      <c r="BI68" s="2059">
        <v>0</v>
      </c>
      <c r="BJ68" s="2057">
        <v>0</v>
      </c>
      <c r="BK68" s="2057">
        <v>0</v>
      </c>
      <c r="BL68" s="2058">
        <v>0</v>
      </c>
      <c r="BM68" s="2059">
        <v>0</v>
      </c>
      <c r="BN68" s="2057">
        <v>0</v>
      </c>
      <c r="BO68" s="2057">
        <v>0</v>
      </c>
      <c r="BP68" s="2058">
        <v>0</v>
      </c>
      <c r="BQ68" s="2059">
        <v>0</v>
      </c>
      <c r="BR68" s="2057">
        <v>0</v>
      </c>
      <c r="BS68" s="2057">
        <v>0</v>
      </c>
      <c r="BT68" s="2058">
        <v>0</v>
      </c>
      <c r="BU68" s="2059">
        <v>0</v>
      </c>
      <c r="BV68" s="2057">
        <v>0</v>
      </c>
      <c r="BW68" s="2057">
        <v>940.7</v>
      </c>
      <c r="BX68" s="2058">
        <v>0</v>
      </c>
      <c r="BY68" s="2059">
        <v>0</v>
      </c>
      <c r="BZ68" s="2057">
        <v>0</v>
      </c>
      <c r="CA68" s="2057">
        <v>0</v>
      </c>
      <c r="CB68" s="2058">
        <v>0</v>
      </c>
      <c r="CC68" s="2059">
        <v>0</v>
      </c>
      <c r="CD68" s="2057">
        <v>0</v>
      </c>
      <c r="CE68" s="2057">
        <v>0</v>
      </c>
      <c r="CF68" s="2058">
        <v>0</v>
      </c>
      <c r="CG68" s="2056"/>
      <c r="CH68" s="2060"/>
      <c r="CI68" s="548"/>
      <c r="CJ68" s="2057"/>
      <c r="CK68" s="2057"/>
      <c r="CL68" s="2057"/>
      <c r="CM68" s="2057"/>
      <c r="CN68" s="2057"/>
      <c r="CO68" s="2057"/>
      <c r="CP68" s="2057"/>
      <c r="CQ68" s="2057"/>
      <c r="CR68" s="2057"/>
      <c r="CS68" s="2057">
        <f>+SUM(BE68:BH68)</f>
        <v>0</v>
      </c>
      <c r="CT68" s="2057">
        <f>+SUM(BI68:BL68)</f>
        <v>0</v>
      </c>
      <c r="CU68" s="2057">
        <f>SUM(BM68:BP68)</f>
        <v>0</v>
      </c>
      <c r="CV68" s="2057">
        <f>SUM(BQ68:BT68)</f>
        <v>0</v>
      </c>
      <c r="CW68" s="2057">
        <f>SUM(BU68:BX68)</f>
        <v>940.7</v>
      </c>
      <c r="CX68" s="2057">
        <f>SUM(BY68:CB68)</f>
        <v>0</v>
      </c>
      <c r="CY68" s="2057">
        <f>SUM(CC68:CF68)</f>
        <v>0</v>
      </c>
      <c r="CZ68" s="2057">
        <v>0</v>
      </c>
      <c r="DA68" s="2057">
        <v>0</v>
      </c>
      <c r="DB68" s="2057">
        <v>0</v>
      </c>
      <c r="DC68" s="2057">
        <v>0</v>
      </c>
      <c r="DD68" s="2057">
        <v>0</v>
      </c>
      <c r="DE68" s="2057">
        <v>0</v>
      </c>
      <c r="DF68" s="2058">
        <v>0</v>
      </c>
      <c r="DG68" s="1491"/>
      <c r="DH68" s="1491"/>
      <c r="DI68" s="575"/>
      <c r="DJ68" s="51"/>
      <c r="DK68" s="51"/>
      <c r="DL68" s="51"/>
      <c r="DM68" s="51"/>
    </row>
    <row r="69" spans="1:122" s="554" customFormat="1" ht="11.25" customHeight="1">
      <c r="A69" s="556"/>
      <c r="B69"/>
      <c r="C69"/>
      <c r="D69"/>
      <c r="E69"/>
      <c r="F69"/>
      <c r="G69"/>
      <c r="H69" s="1048"/>
      <c r="I69" s="586" t="s">
        <v>12</v>
      </c>
      <c r="J69" s="21"/>
      <c r="K69" s="21"/>
      <c r="L69" s="547"/>
      <c r="M69" s="548"/>
      <c r="N69" s="548"/>
      <c r="O69" s="548"/>
      <c r="P69" s="2056"/>
      <c r="Q69" s="548"/>
      <c r="R69" s="548"/>
      <c r="S69" s="548"/>
      <c r="T69" s="2056"/>
      <c r="U69" s="2057"/>
      <c r="V69" s="2057"/>
      <c r="W69" s="2057"/>
      <c r="X69" s="2058"/>
      <c r="Y69" s="2057"/>
      <c r="Z69" s="2057"/>
      <c r="AA69" s="2057"/>
      <c r="AB69" s="2058"/>
      <c r="AC69" s="2057"/>
      <c r="AD69" s="2057"/>
      <c r="AE69" s="2057"/>
      <c r="AF69" s="2058"/>
      <c r="AG69" s="2057">
        <v>2.387</v>
      </c>
      <c r="AH69" s="2057">
        <v>2.5859999999999999</v>
      </c>
      <c r="AI69" s="2057">
        <v>2.6850000000000001</v>
      </c>
      <c r="AJ69" s="2058">
        <v>2.5859999999999994</v>
      </c>
      <c r="AK69" s="2057">
        <f>8.505-AK70</f>
        <v>2.5920000000000005</v>
      </c>
      <c r="AL69" s="2057">
        <f>8.997-AL70</f>
        <v>2.7030000000000003</v>
      </c>
      <c r="AM69" s="2057">
        <f>9.131-AM70</f>
        <v>3.0140000000000002</v>
      </c>
      <c r="AN69" s="2058">
        <f>10.439-AN70</f>
        <v>3.5860000000000003</v>
      </c>
      <c r="AO69" s="2057">
        <f>10.353-AO70</f>
        <v>3.6079999999999997</v>
      </c>
      <c r="AP69" s="2057">
        <f>11.064-AP70</f>
        <v>3.6079999999999997</v>
      </c>
      <c r="AQ69" s="2057">
        <f>10.935-AQ70</f>
        <v>3.5830000000000002</v>
      </c>
      <c r="AR69" s="2058">
        <f>10.444-AR70</f>
        <v>3.5890000000000004</v>
      </c>
      <c r="AS69" s="2057">
        <f>9.361-AS70</f>
        <v>3.4560000000000004</v>
      </c>
      <c r="AT69" s="2057">
        <f>9.723-AT70</f>
        <v>3.5130000000000008</v>
      </c>
      <c r="AU69" s="2057">
        <f>10.098-AU70</f>
        <v>3.6710000000000012</v>
      </c>
      <c r="AV69" s="2058">
        <f>10.011-AV70</f>
        <v>3.895999999999999</v>
      </c>
      <c r="AW69" s="2057">
        <f>9.779-AW70</f>
        <v>3.9820000000000002</v>
      </c>
      <c r="AX69" s="2057">
        <f>10.758-AX70</f>
        <v>3.9129999999999994</v>
      </c>
      <c r="AY69" s="2057">
        <f>12.775-AY70</f>
        <v>4.2170000000000005</v>
      </c>
      <c r="AZ69" s="2058">
        <f>12.451-AZ70</f>
        <v>4.18</v>
      </c>
      <c r="BA69" s="2057">
        <v>4.2519999999999989</v>
      </c>
      <c r="BB69" s="2057">
        <v>5.1899999999999995</v>
      </c>
      <c r="BC69" s="2057">
        <v>5.7469999999999999</v>
      </c>
      <c r="BD69" s="2058">
        <v>6.0250000000000004</v>
      </c>
      <c r="BE69" s="2057">
        <v>7.6850000000000005</v>
      </c>
      <c r="BF69" s="2057">
        <v>7.4649999999999999</v>
      </c>
      <c r="BG69" s="2057">
        <v>8.1710000000000012</v>
      </c>
      <c r="BH69" s="2058">
        <v>9.4969999999999999</v>
      </c>
      <c r="BI69" s="2059">
        <v>9.8019999999999978</v>
      </c>
      <c r="BJ69" s="2057">
        <v>4.8230000000000004</v>
      </c>
      <c r="BK69" s="2057">
        <v>12.896999999999998</v>
      </c>
      <c r="BL69" s="2058">
        <v>14.399000000000001</v>
      </c>
      <c r="BM69" s="2059">
        <v>15.551999999999996</v>
      </c>
      <c r="BN69" s="2057">
        <v>17.337</v>
      </c>
      <c r="BO69" s="2057">
        <v>21.814999999999998</v>
      </c>
      <c r="BP69" s="2058">
        <v>23.537000000000006</v>
      </c>
      <c r="BQ69" s="2057">
        <v>21.673999999999992</v>
      </c>
      <c r="BR69" s="2057">
        <v>25.021000000000008</v>
      </c>
      <c r="BS69" s="2057">
        <v>26.825000000000003</v>
      </c>
      <c r="BT69" s="2058">
        <v>27.996999999999993</v>
      </c>
      <c r="BU69" s="2057">
        <v>30.485999999999997</v>
      </c>
      <c r="BV69" s="2057">
        <v>34.671000000000006</v>
      </c>
      <c r="BW69" s="2057">
        <v>36.796000000000006</v>
      </c>
      <c r="BX69" s="2058">
        <v>38.106000000000002</v>
      </c>
      <c r="BY69" s="2057">
        <v>40.412000000000006</v>
      </c>
      <c r="BZ69" s="2057">
        <v>44.710999999999999</v>
      </c>
      <c r="CA69" s="2057">
        <v>50.613</v>
      </c>
      <c r="CB69" s="2058">
        <v>51.494999999999997</v>
      </c>
      <c r="CC69" s="2057">
        <f>+CC510</f>
        <v>54.865422558556318</v>
      </c>
      <c r="CD69" s="2057">
        <f>+CD510</f>
        <v>60.770257247692818</v>
      </c>
      <c r="CE69" s="2057">
        <f>+CE510</f>
        <v>65.303793061066244</v>
      </c>
      <c r="CF69" s="2058">
        <f>+CF510</f>
        <v>70.194950400720117</v>
      </c>
      <c r="CG69" s="2056"/>
      <c r="CH69" s="2060"/>
      <c r="CI69" s="548"/>
      <c r="CJ69" s="2057">
        <v>11.532999999999999</v>
      </c>
      <c r="CK69" s="2057">
        <v>13.500999999999999</v>
      </c>
      <c r="CL69" s="2057">
        <v>25.366</v>
      </c>
      <c r="CM69" s="2057">
        <f t="shared" si="102"/>
        <v>10.244</v>
      </c>
      <c r="CN69" s="2057">
        <f t="shared" si="103"/>
        <v>11.895000000000001</v>
      </c>
      <c r="CO69" s="2057">
        <f t="shared" si="104"/>
        <v>14.388</v>
      </c>
      <c r="CP69" s="2057">
        <f t="shared" si="105"/>
        <v>14.536000000000001</v>
      </c>
      <c r="CQ69" s="2057">
        <f t="shared" si="106"/>
        <v>16.292000000000002</v>
      </c>
      <c r="CR69" s="2057">
        <f t="shared" si="107"/>
        <v>21.213999999999999</v>
      </c>
      <c r="CS69" s="2057">
        <f t="shared" si="108"/>
        <v>32.817999999999998</v>
      </c>
      <c r="CT69" s="2057">
        <f t="shared" si="109"/>
        <v>41.920999999999999</v>
      </c>
      <c r="CU69" s="2057">
        <f t="shared" si="110"/>
        <v>78.241</v>
      </c>
      <c r="CV69" s="2057">
        <f t="shared" si="111"/>
        <v>101.517</v>
      </c>
      <c r="CW69" s="2057">
        <f>SUM(BU69:BX69)</f>
        <v>140.05900000000003</v>
      </c>
      <c r="CX69" s="2057">
        <f t="shared" si="113"/>
        <v>187.23099999999999</v>
      </c>
      <c r="CY69" s="2057">
        <f t="shared" si="114"/>
        <v>251.1344232680355</v>
      </c>
      <c r="CZ69" s="2057">
        <f t="shared" ref="CZ69:DF69" si="119">+CZ510</f>
        <v>319.59497956861679</v>
      </c>
      <c r="DA69" s="2057">
        <f t="shared" si="119"/>
        <v>395.92375865225227</v>
      </c>
      <c r="DB69" s="2057">
        <f t="shared" si="119"/>
        <v>499.38640236368224</v>
      </c>
      <c r="DC69" s="2057">
        <f t="shared" si="119"/>
        <v>613.28846873013708</v>
      </c>
      <c r="DD69" s="2057">
        <f t="shared" si="119"/>
        <v>737.79355474829936</v>
      </c>
      <c r="DE69" s="2057">
        <f t="shared" si="119"/>
        <v>872.10501017686568</v>
      </c>
      <c r="DF69" s="2058">
        <f t="shared" si="119"/>
        <v>1022.5739252689636</v>
      </c>
      <c r="DG69" s="1491">
        <f t="shared" si="116"/>
        <v>0.44182607300130416</v>
      </c>
      <c r="DH69" s="1491">
        <f t="shared" si="117"/>
        <v>0.31284833502239184</v>
      </c>
      <c r="DI69" s="575"/>
      <c r="DJ69" s="51"/>
      <c r="DK69" s="51"/>
      <c r="DL69" s="51"/>
      <c r="DM69" s="51"/>
    </row>
    <row r="70" spans="1:122" s="554" customFormat="1" ht="11.25" customHeight="1">
      <c r="A70" s="556"/>
      <c r="B70"/>
      <c r="C70"/>
      <c r="D70"/>
      <c r="E70"/>
      <c r="F70"/>
      <c r="G70"/>
      <c r="H70" s="1048"/>
      <c r="I70" s="587" t="s">
        <v>591</v>
      </c>
      <c r="J70" s="588"/>
      <c r="K70" s="588"/>
      <c r="L70" s="560"/>
      <c r="M70" s="2200"/>
      <c r="N70" s="2200"/>
      <c r="O70" s="2200"/>
      <c r="P70" s="2201"/>
      <c r="Q70" s="2200"/>
      <c r="R70" s="2200"/>
      <c r="S70" s="2200"/>
      <c r="T70" s="2201"/>
      <c r="U70" s="2202"/>
      <c r="V70" s="2202"/>
      <c r="W70" s="2202"/>
      <c r="X70" s="2203"/>
      <c r="Y70" s="2202"/>
      <c r="Z70" s="2202"/>
      <c r="AA70" s="2202"/>
      <c r="AB70" s="2203"/>
      <c r="AC70" s="2202"/>
      <c r="AD70" s="2202"/>
      <c r="AE70" s="2202"/>
      <c r="AF70" s="2203"/>
      <c r="AG70" s="2202">
        <v>5.5590000000000002</v>
      </c>
      <c r="AH70" s="2202">
        <v>5.774</v>
      </c>
      <c r="AI70" s="2202">
        <v>5.9790000000000001</v>
      </c>
      <c r="AJ70" s="2203">
        <v>5.8929999999999998</v>
      </c>
      <c r="AK70" s="2202">
        <v>5.9130000000000003</v>
      </c>
      <c r="AL70" s="2202">
        <v>6.2939999999999996</v>
      </c>
      <c r="AM70" s="2202">
        <v>6.117</v>
      </c>
      <c r="AN70" s="2203">
        <v>6.8529999999999998</v>
      </c>
      <c r="AO70" s="2202">
        <v>6.7450000000000001</v>
      </c>
      <c r="AP70" s="2202">
        <v>7.4560000000000004</v>
      </c>
      <c r="AQ70" s="2202">
        <v>7.3520000000000003</v>
      </c>
      <c r="AR70" s="2203">
        <v>6.8550000000000004</v>
      </c>
      <c r="AS70" s="2202">
        <v>5.9050000000000002</v>
      </c>
      <c r="AT70" s="2202">
        <v>6.21</v>
      </c>
      <c r="AU70" s="2202">
        <v>6.4269999999999996</v>
      </c>
      <c r="AV70" s="2203">
        <v>6.1150000000000002</v>
      </c>
      <c r="AW70" s="2202">
        <v>5.7969999999999997</v>
      </c>
      <c r="AX70" s="2202">
        <v>6.8449999999999998</v>
      </c>
      <c r="AY70" s="2202">
        <v>8.5579999999999998</v>
      </c>
      <c r="AZ70" s="2203">
        <v>8.2710000000000008</v>
      </c>
      <c r="BA70" s="2202">
        <v>8.2270000000000003</v>
      </c>
      <c r="BB70" s="2202">
        <v>8.4610000000000003</v>
      </c>
      <c r="BC70" s="2202">
        <v>8.2100000000000009</v>
      </c>
      <c r="BD70" s="2203">
        <v>7.7119999999999997</v>
      </c>
      <c r="BE70" s="2202">
        <v>8.157</v>
      </c>
      <c r="BF70" s="2202">
        <v>8.1980000000000004</v>
      </c>
      <c r="BG70" s="2202">
        <v>7.8360000000000003</v>
      </c>
      <c r="BH70" s="2203">
        <v>8.1310000000000002</v>
      </c>
      <c r="BI70" s="2204">
        <v>9.2780000000000005</v>
      </c>
      <c r="BJ70" s="2202">
        <v>21.204000000000001</v>
      </c>
      <c r="BK70" s="2202">
        <v>22.85</v>
      </c>
      <c r="BL70" s="2203">
        <v>22.722000000000001</v>
      </c>
      <c r="BM70" s="2204">
        <v>22.824000000000002</v>
      </c>
      <c r="BN70" s="2202">
        <v>22.95</v>
      </c>
      <c r="BO70" s="2202">
        <v>35.783999999999999</v>
      </c>
      <c r="BP70" s="2203">
        <v>48.021000000000001</v>
      </c>
      <c r="BQ70" s="2202">
        <v>43.328000000000003</v>
      </c>
      <c r="BR70" s="2202">
        <v>42.652999999999999</v>
      </c>
      <c r="BS70" s="2202">
        <v>42.228999999999999</v>
      </c>
      <c r="BT70" s="2203">
        <v>42.767000000000003</v>
      </c>
      <c r="BU70" s="2202">
        <v>42.384999999999998</v>
      </c>
      <c r="BV70" s="2202">
        <v>43.040999999999997</v>
      </c>
      <c r="BW70" s="2202">
        <v>41.948999999999998</v>
      </c>
      <c r="BX70" s="2203">
        <v>41.701000000000001</v>
      </c>
      <c r="BY70" s="2202">
        <v>43.018000000000001</v>
      </c>
      <c r="BZ70" s="2202">
        <v>41.161000000000001</v>
      </c>
      <c r="CA70" s="2202">
        <v>45.296999999999997</v>
      </c>
      <c r="CB70" s="2203">
        <v>46.067</v>
      </c>
      <c r="CC70" s="2202">
        <f>+BY70</f>
        <v>43.018000000000001</v>
      </c>
      <c r="CD70" s="2202">
        <f>+BZ70</f>
        <v>41.161000000000001</v>
      </c>
      <c r="CE70" s="2202">
        <f>+CA70</f>
        <v>45.296999999999997</v>
      </c>
      <c r="CF70" s="2203">
        <f>+CB70</f>
        <v>46.067</v>
      </c>
      <c r="CG70" s="2056"/>
      <c r="CH70" s="2205"/>
      <c r="CI70" s="2200"/>
      <c r="CJ70" s="2202">
        <v>0</v>
      </c>
      <c r="CK70" s="2202">
        <v>0</v>
      </c>
      <c r="CL70" s="2202">
        <v>0</v>
      </c>
      <c r="CM70" s="2202">
        <f t="shared" si="102"/>
        <v>23.205000000000002</v>
      </c>
      <c r="CN70" s="2202">
        <f t="shared" si="103"/>
        <v>25.177</v>
      </c>
      <c r="CO70" s="2202">
        <f t="shared" si="104"/>
        <v>28.408000000000001</v>
      </c>
      <c r="CP70" s="2202">
        <f t="shared" si="105"/>
        <v>24.657000000000004</v>
      </c>
      <c r="CQ70" s="2202">
        <f t="shared" si="106"/>
        <v>29.471</v>
      </c>
      <c r="CR70" s="2202">
        <f t="shared" si="107"/>
        <v>32.61</v>
      </c>
      <c r="CS70" s="2202">
        <f t="shared" si="108"/>
        <v>32.322000000000003</v>
      </c>
      <c r="CT70" s="2202">
        <f t="shared" si="109"/>
        <v>76.054000000000002</v>
      </c>
      <c r="CU70" s="2202">
        <f t="shared" si="110"/>
        <v>129.57900000000001</v>
      </c>
      <c r="CV70" s="2202">
        <f>SUM(BQ70:BT70)</f>
        <v>170.97699999999998</v>
      </c>
      <c r="CW70" s="2202">
        <f t="shared" si="112"/>
        <v>169.07599999999999</v>
      </c>
      <c r="CX70" s="2202">
        <f t="shared" si="113"/>
        <v>175.54300000000001</v>
      </c>
      <c r="CY70" s="2202">
        <f t="shared" si="114"/>
        <v>175.54300000000001</v>
      </c>
      <c r="CZ70" s="2202">
        <f>+CY70</f>
        <v>175.54300000000001</v>
      </c>
      <c r="DA70" s="2202">
        <f t="shared" ref="DA70:DF70" si="120">+CZ70</f>
        <v>175.54300000000001</v>
      </c>
      <c r="DB70" s="2202">
        <f t="shared" si="120"/>
        <v>175.54300000000001</v>
      </c>
      <c r="DC70" s="2202">
        <f t="shared" si="120"/>
        <v>175.54300000000001</v>
      </c>
      <c r="DD70" s="2202">
        <f t="shared" si="120"/>
        <v>175.54300000000001</v>
      </c>
      <c r="DE70" s="2202">
        <f t="shared" si="120"/>
        <v>175.54300000000001</v>
      </c>
      <c r="DF70" s="2203">
        <f t="shared" si="120"/>
        <v>175.54300000000001</v>
      </c>
      <c r="DG70" s="1491">
        <f t="shared" si="116"/>
        <v>0.42137464486429144</v>
      </c>
      <c r="DH70" s="1491">
        <f t="shared" si="117"/>
        <v>5.2849126635652333E-3</v>
      </c>
      <c r="DI70" s="575"/>
      <c r="DJ70" s="51"/>
      <c r="DK70" s="51"/>
      <c r="DL70" s="51"/>
      <c r="DM70" s="51"/>
    </row>
    <row r="71" spans="1:122" s="584" customFormat="1" ht="11.25" customHeight="1">
      <c r="A71" s="568"/>
      <c r="B71"/>
      <c r="C71"/>
      <c r="D71"/>
      <c r="E71"/>
      <c r="F71"/>
      <c r="G71"/>
      <c r="H71" s="1049"/>
      <c r="I71" s="589" t="s">
        <v>13</v>
      </c>
      <c r="J71" s="590"/>
      <c r="K71" s="590"/>
      <c r="L71" s="542"/>
      <c r="M71" s="543"/>
      <c r="N71" s="543"/>
      <c r="O71" s="543"/>
      <c r="P71" s="1003"/>
      <c r="Q71" s="543"/>
      <c r="R71" s="543"/>
      <c r="S71" s="543"/>
      <c r="T71" s="1003"/>
      <c r="U71" s="1931"/>
      <c r="V71" s="1931"/>
      <c r="W71" s="1931"/>
      <c r="X71" s="1930"/>
      <c r="Y71" s="1931"/>
      <c r="Z71" s="1931"/>
      <c r="AA71" s="1931"/>
      <c r="AB71" s="1930"/>
      <c r="AC71" s="1931"/>
      <c r="AD71" s="1931"/>
      <c r="AE71" s="1931"/>
      <c r="AF71" s="1930"/>
      <c r="AG71" s="1931">
        <f t="shared" ref="AG71:BL71" si="121">+SUM(AG61:AG70)</f>
        <v>73.325000000000003</v>
      </c>
      <c r="AH71" s="1931">
        <f t="shared" si="121"/>
        <v>86.766999999999996</v>
      </c>
      <c r="AI71" s="1931">
        <f t="shared" si="121"/>
        <v>91.945000000000022</v>
      </c>
      <c r="AJ71" s="1930">
        <f t="shared" si="121"/>
        <v>86.941000000000003</v>
      </c>
      <c r="AK71" s="1931">
        <f t="shared" si="121"/>
        <v>96.594999999999985</v>
      </c>
      <c r="AL71" s="1931">
        <f t="shared" si="121"/>
        <v>109.63699999999999</v>
      </c>
      <c r="AM71" s="1931">
        <f t="shared" si="121"/>
        <v>124.247</v>
      </c>
      <c r="AN71" s="1930">
        <f t="shared" si="121"/>
        <v>116.14</v>
      </c>
      <c r="AO71" s="1931">
        <f t="shared" si="121"/>
        <v>149.33799999999999</v>
      </c>
      <c r="AP71" s="1931">
        <f t="shared" si="121"/>
        <v>172.77099999999999</v>
      </c>
      <c r="AQ71" s="1931">
        <f t="shared" si="121"/>
        <v>188.15600000000001</v>
      </c>
      <c r="AR71" s="1930">
        <f t="shared" si="121"/>
        <v>156.232</v>
      </c>
      <c r="AS71" s="1931">
        <f t="shared" si="121"/>
        <v>165.48799999999997</v>
      </c>
      <c r="AT71" s="1931">
        <f t="shared" si="121"/>
        <v>195.86300000000003</v>
      </c>
      <c r="AU71" s="1931">
        <f t="shared" si="121"/>
        <v>233.25099999999998</v>
      </c>
      <c r="AV71" s="1930">
        <f t="shared" si="121"/>
        <v>195.327</v>
      </c>
      <c r="AW71" s="1931">
        <f t="shared" si="121"/>
        <v>231.20699999999999</v>
      </c>
      <c r="AX71" s="1931">
        <f t="shared" si="121"/>
        <v>272.09600000000006</v>
      </c>
      <c r="AY71" s="1931">
        <f t="shared" si="121"/>
        <v>329.41899999999998</v>
      </c>
      <c r="AZ71" s="1930">
        <f t="shared" si="121"/>
        <v>289.45400000000001</v>
      </c>
      <c r="BA71" s="1931">
        <f t="shared" si="121"/>
        <v>351.74900000000002</v>
      </c>
      <c r="BB71" s="1931">
        <f t="shared" si="121"/>
        <v>424.51900000000001</v>
      </c>
      <c r="BC71" s="1931">
        <f t="shared" si="121"/>
        <v>483.77</v>
      </c>
      <c r="BD71" s="1930">
        <f t="shared" si="121"/>
        <v>420.9199999999999</v>
      </c>
      <c r="BE71" s="1931">
        <f>+SUM(BE61:BE70)</f>
        <v>501.75700000000001</v>
      </c>
      <c r="BF71" s="1931">
        <f t="shared" si="121"/>
        <v>545.78700000000003</v>
      </c>
      <c r="BG71" s="1931">
        <f t="shared" si="121"/>
        <v>640.90899999999999</v>
      </c>
      <c r="BH71" s="1930">
        <f t="shared" si="121"/>
        <v>565.43499999999995</v>
      </c>
      <c r="BI71" s="2054">
        <f t="shared" si="121"/>
        <v>699.82600000000002</v>
      </c>
      <c r="BJ71" s="1931">
        <f>+SUM(BJ61:BJ70)</f>
        <v>829.024</v>
      </c>
      <c r="BK71" s="1931">
        <f t="shared" si="121"/>
        <v>942.16800000000023</v>
      </c>
      <c r="BL71" s="1930">
        <f t="shared" si="121"/>
        <v>832.45399999999995</v>
      </c>
      <c r="BM71" s="2054">
        <f t="shared" ref="BM71:CE71" si="122">+SUM(BM61:BM70)</f>
        <v>967.74500000000012</v>
      </c>
      <c r="BN71" s="1931">
        <f t="shared" si="122"/>
        <v>1149.9819999999997</v>
      </c>
      <c r="BO71" s="1931">
        <f>+SUM(BO61:BO70)</f>
        <v>1297.2729999999999</v>
      </c>
      <c r="BP71" s="1930">
        <f>+SUM(BP61:BP70)</f>
        <v>1095.818</v>
      </c>
      <c r="BQ71" s="1931">
        <f t="shared" si="122"/>
        <v>1238.2670000000001</v>
      </c>
      <c r="BR71" s="1931">
        <f t="shared" si="122"/>
        <v>1414.5749999999998</v>
      </c>
      <c r="BS71" s="1931">
        <f t="shared" si="122"/>
        <v>1458.5749999999998</v>
      </c>
      <c r="BT71" s="1930">
        <f>+SUM(BT61:BT70)</f>
        <v>1221.4830000000002</v>
      </c>
      <c r="BU71" s="1931">
        <f>+SUM(BU61:BU70)</f>
        <v>1469.1320000000001</v>
      </c>
      <c r="BV71" s="1931">
        <f t="shared" si="122"/>
        <v>1697.4110000000001</v>
      </c>
      <c r="BW71" s="1931">
        <f>+SUM(BW61:BW70)</f>
        <v>2755.8359999999998</v>
      </c>
      <c r="BX71" s="1930">
        <f>+SUM(BX61:BX70)</f>
        <v>1486.0000000000002</v>
      </c>
      <c r="BY71" s="1931">
        <f>+SUM(BY61:BY70)</f>
        <v>1777.7730000000004</v>
      </c>
      <c r="BZ71" s="1931">
        <f t="shared" si="122"/>
        <v>2058.5549999999994</v>
      </c>
      <c r="CA71" s="1931">
        <f>+SUM(CA61:CA70)</f>
        <v>2272.7519999999995</v>
      </c>
      <c r="CB71" s="1930">
        <f>+SUM(CB61:CB70)</f>
        <v>1783.473</v>
      </c>
      <c r="CC71" s="1931">
        <f t="shared" si="122"/>
        <v>2130.7106741505468</v>
      </c>
      <c r="CD71" s="1931">
        <f t="shared" si="122"/>
        <v>2454.1145645497895</v>
      </c>
      <c r="CE71" s="1931">
        <f t="shared" si="122"/>
        <v>2557.7458779433841</v>
      </c>
      <c r="CF71" s="1930">
        <f>+SUM(CF61:CF70)</f>
        <v>2102.3079869626449</v>
      </c>
      <c r="CG71" s="1003"/>
      <c r="CH71" s="1006"/>
      <c r="CI71" s="543"/>
      <c r="CJ71" s="1931">
        <f t="shared" ref="CJ71:CT71" si="123">+SUM(CJ61:CJ70)</f>
        <v>138.39500000000001</v>
      </c>
      <c r="CK71" s="1931">
        <f t="shared" si="123"/>
        <v>167.78299999999999</v>
      </c>
      <c r="CL71" s="1931">
        <f t="shared" si="123"/>
        <v>230.28300000000002</v>
      </c>
      <c r="CM71" s="1931">
        <f t="shared" si="123"/>
        <v>338.97800000000001</v>
      </c>
      <c r="CN71" s="1931">
        <f t="shared" si="123"/>
        <v>446.61899999999991</v>
      </c>
      <c r="CO71" s="1931">
        <f t="shared" si="123"/>
        <v>666.49700000000007</v>
      </c>
      <c r="CP71" s="1931">
        <f t="shared" si="123"/>
        <v>789.9290000000002</v>
      </c>
      <c r="CQ71" s="1931">
        <f t="shared" si="123"/>
        <v>1122.1759999999999</v>
      </c>
      <c r="CR71" s="1931">
        <f t="shared" si="123"/>
        <v>1680.9579999999999</v>
      </c>
      <c r="CS71" s="1931">
        <f t="shared" si="123"/>
        <v>2253.8879999999999</v>
      </c>
      <c r="CT71" s="1931">
        <f t="shared" si="123"/>
        <v>3303.4720000000002</v>
      </c>
      <c r="CU71" s="1931">
        <f t="shared" ref="CU71:DF71" si="124">+SUM(CU61:CU70)</f>
        <v>4510.8180000000002</v>
      </c>
      <c r="CV71" s="1931">
        <f t="shared" si="124"/>
        <v>5332.9000000000005</v>
      </c>
      <c r="CW71" s="1931">
        <f t="shared" si="124"/>
        <v>7408.378999999999</v>
      </c>
      <c r="CX71" s="1931">
        <f t="shared" si="124"/>
        <v>7892.5529999999999</v>
      </c>
      <c r="CY71" s="1931">
        <f t="shared" si="124"/>
        <v>9244.8791036063631</v>
      </c>
      <c r="CZ71" s="1931">
        <f t="shared" si="124"/>
        <v>10485.313309872941</v>
      </c>
      <c r="DA71" s="1931">
        <f t="shared" si="124"/>
        <v>11712.114972852014</v>
      </c>
      <c r="DB71" s="1931">
        <f t="shared" si="124"/>
        <v>12890.059202308512</v>
      </c>
      <c r="DC71" s="1931">
        <f t="shared" si="124"/>
        <v>14036.39566273003</v>
      </c>
      <c r="DD71" s="1931">
        <f t="shared" si="124"/>
        <v>15182.31824213174</v>
      </c>
      <c r="DE71" s="1931">
        <f t="shared" si="124"/>
        <v>16321.38038774595</v>
      </c>
      <c r="DF71" s="1930">
        <f t="shared" si="124"/>
        <v>17510.539097906203</v>
      </c>
      <c r="DG71" s="1489">
        <f t="shared" si="116"/>
        <v>0.36577919492775157</v>
      </c>
      <c r="DH71" s="1489">
        <f t="shared" si="117"/>
        <v>0.1704001732080429</v>
      </c>
      <c r="DI71" s="575"/>
      <c r="DJ71" s="51"/>
      <c r="DK71" s="51"/>
      <c r="DL71" s="51"/>
      <c r="DM71" s="51"/>
    </row>
    <row r="72" spans="1:122" s="554" customFormat="1" ht="11.25" customHeight="1">
      <c r="A72" s="556"/>
      <c r="B72"/>
      <c r="C72"/>
      <c r="D72"/>
      <c r="E72"/>
      <c r="F72"/>
      <c r="G72"/>
      <c r="H72" s="1048"/>
      <c r="I72" s="591"/>
      <c r="J72" s="547"/>
      <c r="K72" s="547"/>
      <c r="L72" s="547"/>
      <c r="M72" s="548"/>
      <c r="N72" s="548"/>
      <c r="O72" s="548"/>
      <c r="P72" s="2056"/>
      <c r="Q72" s="548"/>
      <c r="R72" s="548"/>
      <c r="S72" s="548"/>
      <c r="T72" s="2056"/>
      <c r="U72" s="2057"/>
      <c r="V72" s="2057"/>
      <c r="W72" s="2057"/>
      <c r="X72" s="2058"/>
      <c r="Y72" s="2057"/>
      <c r="Z72" s="2057"/>
      <c r="AA72" s="2057"/>
      <c r="AB72" s="2058"/>
      <c r="AC72" s="2057"/>
      <c r="AD72" s="2057"/>
      <c r="AE72" s="2057"/>
      <c r="AF72" s="2058"/>
      <c r="AG72" s="2057"/>
      <c r="AH72" s="2057"/>
      <c r="AI72" s="2057"/>
      <c r="AJ72" s="2058"/>
      <c r="AK72" s="2057"/>
      <c r="AL72" s="2057"/>
      <c r="AM72" s="2057"/>
      <c r="AN72" s="2058"/>
      <c r="AO72" s="2057"/>
      <c r="AP72" s="2057"/>
      <c r="AQ72" s="2057"/>
      <c r="AR72" s="2058"/>
      <c r="AS72" s="2057"/>
      <c r="AT72" s="2057"/>
      <c r="AU72" s="2057"/>
      <c r="AV72" s="2058"/>
      <c r="AW72" s="2213"/>
      <c r="AX72" s="2213"/>
      <c r="AY72" s="2057"/>
      <c r="AZ72" s="2058"/>
      <c r="BA72" s="548"/>
      <c r="BB72" s="2057"/>
      <c r="BC72" s="2057"/>
      <c r="BD72" s="2058"/>
      <c r="BE72" s="2057"/>
      <c r="BF72" s="2057"/>
      <c r="BG72" s="2057"/>
      <c r="BH72" s="2058"/>
      <c r="BI72" s="2225"/>
      <c r="BJ72" s="2226"/>
      <c r="BK72" s="2226"/>
      <c r="BL72" s="1977"/>
      <c r="BM72" s="2225"/>
      <c r="BN72" s="2226"/>
      <c r="BO72" s="2226"/>
      <c r="BP72" s="1977"/>
      <c r="BQ72" s="2057"/>
      <c r="BR72" s="2057"/>
      <c r="BS72" s="2057"/>
      <c r="BT72" s="1977"/>
      <c r="BU72" s="2057"/>
      <c r="BV72" s="2057"/>
      <c r="BW72" s="2057"/>
      <c r="BX72" s="1977"/>
      <c r="BY72" s="2057"/>
      <c r="BZ72" s="2057"/>
      <c r="CA72" s="2057"/>
      <c r="CB72" s="2058"/>
      <c r="CC72" s="2057"/>
      <c r="CD72" s="2057"/>
      <c r="CE72" s="2057"/>
      <c r="CF72" s="2058"/>
      <c r="CG72" s="2056"/>
      <c r="CH72" s="2060"/>
      <c r="CI72" s="548"/>
      <c r="CJ72" s="2057"/>
      <c r="CK72" s="2057"/>
      <c r="CL72" s="2057"/>
      <c r="CM72" s="2057"/>
      <c r="CN72" s="2057"/>
      <c r="CO72" s="2057"/>
      <c r="CP72" s="2213"/>
      <c r="CQ72" s="548"/>
      <c r="CR72" s="548"/>
      <c r="CS72" s="2226"/>
      <c r="CT72" s="2226"/>
      <c r="CU72" s="2226"/>
      <c r="CV72" s="2226"/>
      <c r="CW72" s="2226"/>
      <c r="CX72" s="2226"/>
      <c r="CY72" s="2226"/>
      <c r="CZ72" s="2057"/>
      <c r="DA72" s="2057"/>
      <c r="DB72" s="2057"/>
      <c r="DC72" s="2057"/>
      <c r="DD72" s="2057"/>
      <c r="DE72" s="2057"/>
      <c r="DF72" s="2058"/>
      <c r="DG72" s="1492"/>
      <c r="DH72" s="1492"/>
      <c r="DJ72" s="51"/>
      <c r="DK72" s="51"/>
      <c r="DL72" s="51"/>
      <c r="DM72" s="51"/>
    </row>
    <row r="73" spans="1:122" s="584" customFormat="1" ht="11.25" customHeight="1">
      <c r="A73" s="568"/>
      <c r="B73"/>
      <c r="C73"/>
      <c r="D73"/>
      <c r="E73"/>
      <c r="F73"/>
      <c r="G73"/>
      <c r="H73" s="1049"/>
      <c r="I73" s="589" t="s">
        <v>34</v>
      </c>
      <c r="J73" s="590"/>
      <c r="K73" s="590"/>
      <c r="L73" s="542"/>
      <c r="M73" s="543"/>
      <c r="N73" s="543"/>
      <c r="O73" s="543"/>
      <c r="P73" s="1003"/>
      <c r="Q73" s="543"/>
      <c r="R73" s="543"/>
      <c r="S73" s="543"/>
      <c r="T73" s="1003"/>
      <c r="U73" s="1931"/>
      <c r="V73" s="1931"/>
      <c r="W73" s="1931"/>
      <c r="X73" s="1930"/>
      <c r="Y73" s="1931"/>
      <c r="Z73" s="1931"/>
      <c r="AA73" s="1931"/>
      <c r="AB73" s="1930"/>
      <c r="AC73" s="1931"/>
      <c r="AD73" s="1931"/>
      <c r="AE73" s="1931"/>
      <c r="AF73" s="1930"/>
      <c r="AG73" s="1931">
        <f t="shared" ref="AG73:BL73" si="125">+AG39-AG71</f>
        <v>-1.0940000000000083</v>
      </c>
      <c r="AH73" s="1931">
        <f t="shared" si="125"/>
        <v>19.037000000000006</v>
      </c>
      <c r="AI73" s="1931">
        <f t="shared" si="125"/>
        <v>30.375</v>
      </c>
      <c r="AJ73" s="1930">
        <f t="shared" si="125"/>
        <v>12.575999999999965</v>
      </c>
      <c r="AK73" s="1931">
        <f t="shared" si="125"/>
        <v>7.2440000000000424</v>
      </c>
      <c r="AL73" s="1931">
        <f t="shared" si="125"/>
        <v>45.255999999999958</v>
      </c>
      <c r="AM73" s="1931">
        <f t="shared" si="125"/>
        <v>78.083999999999989</v>
      </c>
      <c r="AN73" s="1930">
        <f t="shared" si="125"/>
        <v>44.012000000000015</v>
      </c>
      <c r="AO73" s="1931">
        <f t="shared" si="125"/>
        <v>31.765000000000015</v>
      </c>
      <c r="AP73" s="1931">
        <f t="shared" si="125"/>
        <v>80.954000000000036</v>
      </c>
      <c r="AQ73" s="1931">
        <f t="shared" si="125"/>
        <v>127.92200000000003</v>
      </c>
      <c r="AR73" s="1930">
        <f t="shared" si="125"/>
        <v>48.832999999999998</v>
      </c>
      <c r="AS73" s="1931">
        <f t="shared" si="125"/>
        <v>42.842000000000013</v>
      </c>
      <c r="AT73" s="1931">
        <f t="shared" si="125"/>
        <v>109.37499999999997</v>
      </c>
      <c r="AU73" s="1931">
        <f t="shared" si="125"/>
        <v>200.755</v>
      </c>
      <c r="AV73" s="1930">
        <f t="shared" si="125"/>
        <v>117.86200000000008</v>
      </c>
      <c r="AW73" s="1931">
        <f t="shared" si="125"/>
        <v>87.908999999999878</v>
      </c>
      <c r="AX73" s="1931">
        <f t="shared" si="125"/>
        <v>174.08799999999985</v>
      </c>
      <c r="AY73" s="1931">
        <f t="shared" si="125"/>
        <v>338.78899999999987</v>
      </c>
      <c r="AZ73" s="1930">
        <f t="shared" si="125"/>
        <v>190.71200000000005</v>
      </c>
      <c r="BA73" s="1931">
        <f t="shared" si="125"/>
        <v>154.05900000000003</v>
      </c>
      <c r="BB73" s="1931">
        <f t="shared" si="125"/>
        <v>324.70800000000008</v>
      </c>
      <c r="BC73" s="1931">
        <f t="shared" si="125"/>
        <v>616.37800000000016</v>
      </c>
      <c r="BD73" s="1930">
        <f t="shared" si="125"/>
        <v>303.7770000000001</v>
      </c>
      <c r="BE73" s="1931">
        <f t="shared" si="125"/>
        <v>241.53100000000001</v>
      </c>
      <c r="BF73" s="1931">
        <f t="shared" si="125"/>
        <v>458.35500000000002</v>
      </c>
      <c r="BG73" s="1931">
        <f t="shared" si="125"/>
        <v>755.59199999999998</v>
      </c>
      <c r="BH73" s="1930">
        <f t="shared" si="125"/>
        <v>374.31500000000017</v>
      </c>
      <c r="BI73" s="2054">
        <f t="shared" si="125"/>
        <v>309.83899999999994</v>
      </c>
      <c r="BJ73" s="1931">
        <f t="shared" si="125"/>
        <v>554.83100000000002</v>
      </c>
      <c r="BK73" s="1931">
        <f t="shared" si="125"/>
        <v>1046.8969999999995</v>
      </c>
      <c r="BL73" s="1930">
        <f t="shared" si="125"/>
        <v>500.84699999999998</v>
      </c>
      <c r="BM73" s="2054">
        <f t="shared" ref="BM73:CF73" si="126">+BM39-BM71</f>
        <v>438.72600000000011</v>
      </c>
      <c r="BN73" s="1931">
        <f t="shared" si="126"/>
        <v>733.01400000000012</v>
      </c>
      <c r="BO73" s="1931">
        <f t="shared" si="126"/>
        <v>1322.7050000000002</v>
      </c>
      <c r="BP73" s="1930">
        <f t="shared" si="126"/>
        <v>578.86699999999996</v>
      </c>
      <c r="BQ73" s="1931">
        <f t="shared" si="126"/>
        <v>433.96899999999982</v>
      </c>
      <c r="BR73" s="1931">
        <f t="shared" si="126"/>
        <v>678.33100000000013</v>
      </c>
      <c r="BS73" s="1931">
        <f t="shared" si="126"/>
        <v>1488.7069999999999</v>
      </c>
      <c r="BT73" s="1930">
        <f t="shared" si="126"/>
        <v>657.89999999999964</v>
      </c>
      <c r="BU73" s="1931">
        <f t="shared" si="126"/>
        <v>550.31799999999953</v>
      </c>
      <c r="BV73" s="1931">
        <f t="shared" si="126"/>
        <v>732.40700000000015</v>
      </c>
      <c r="BW73" s="1931">
        <f>+BW39-BW71</f>
        <v>833.22700000000032</v>
      </c>
      <c r="BX73" s="1930">
        <f t="shared" si="126"/>
        <v>790.36099999999965</v>
      </c>
      <c r="BY73" s="1931">
        <f t="shared" si="126"/>
        <v>556.46199999999976</v>
      </c>
      <c r="BZ73" s="1931">
        <f t="shared" si="126"/>
        <v>893.25900000000047</v>
      </c>
      <c r="CA73" s="1931">
        <f t="shared" si="126"/>
        <v>2101.8010000000004</v>
      </c>
      <c r="CB73" s="1930">
        <f t="shared" si="126"/>
        <v>986.4699999999998</v>
      </c>
      <c r="CC73" s="1931">
        <f t="shared" si="126"/>
        <v>666.77208899676634</v>
      </c>
      <c r="CD73" s="1931">
        <f t="shared" si="126"/>
        <v>1108.0721703363274</v>
      </c>
      <c r="CE73" s="1931">
        <f t="shared" si="126"/>
        <v>2446.665080317031</v>
      </c>
      <c r="CF73" s="1930">
        <f t="shared" si="126"/>
        <v>1275.4825459972867</v>
      </c>
      <c r="CG73" s="1003"/>
      <c r="CH73" s="1006"/>
      <c r="CI73" s="543"/>
      <c r="CJ73" s="1931">
        <f t="shared" ref="CJ73:DF73" si="127">+CJ39-CJ71</f>
        <v>7.5499999999999829</v>
      </c>
      <c r="CK73" s="1931">
        <f t="shared" si="127"/>
        <v>33.356000000000023</v>
      </c>
      <c r="CL73" s="1931">
        <f t="shared" si="127"/>
        <v>39.567000000000007</v>
      </c>
      <c r="CM73" s="1931">
        <f t="shared" si="127"/>
        <v>60.894000000000176</v>
      </c>
      <c r="CN73" s="1931">
        <f t="shared" si="127"/>
        <v>174.59599999999978</v>
      </c>
      <c r="CO73" s="1931">
        <f t="shared" si="127"/>
        <v>289.47400000000005</v>
      </c>
      <c r="CP73" s="1931">
        <f t="shared" si="127"/>
        <v>470.83399999999972</v>
      </c>
      <c r="CQ73" s="1931">
        <f t="shared" si="127"/>
        <v>791.49799999999982</v>
      </c>
      <c r="CR73" s="1931">
        <f t="shared" si="127"/>
        <v>1398.9220000000007</v>
      </c>
      <c r="CS73" s="1931">
        <f t="shared" si="127"/>
        <v>1829.793000000001</v>
      </c>
      <c r="CT73" s="1931">
        <f t="shared" si="127"/>
        <v>2412.4140000000002</v>
      </c>
      <c r="CU73" s="1931">
        <f t="shared" si="127"/>
        <v>3073.311999999999</v>
      </c>
      <c r="CV73" s="1931">
        <f t="shared" si="127"/>
        <v>3258.9069999999983</v>
      </c>
      <c r="CW73" s="1931">
        <f t="shared" si="127"/>
        <v>2906.3130000000001</v>
      </c>
      <c r="CX73" s="1931">
        <f t="shared" si="127"/>
        <v>4537.9919999999984</v>
      </c>
      <c r="CY73" s="1931">
        <f t="shared" si="127"/>
        <v>5496.9918856474142</v>
      </c>
      <c r="CZ73" s="1931">
        <f t="shared" si="127"/>
        <v>6304.1484609800646</v>
      </c>
      <c r="DA73" s="1931">
        <f t="shared" si="127"/>
        <v>7109.6234158645311</v>
      </c>
      <c r="DB73" s="1931">
        <f t="shared" si="127"/>
        <v>7887.0170841366198</v>
      </c>
      <c r="DC73" s="1931">
        <f t="shared" si="127"/>
        <v>8648.2070488841837</v>
      </c>
      <c r="DD73" s="1931">
        <f t="shared" si="127"/>
        <v>9381.7727308571739</v>
      </c>
      <c r="DE73" s="1931">
        <f t="shared" si="127"/>
        <v>10077.684238639384</v>
      </c>
      <c r="DF73" s="1930">
        <f t="shared" si="127"/>
        <v>10866.347892720569</v>
      </c>
      <c r="DG73" s="1489">
        <f>+(CV73/CQ73)^(1/5)-1</f>
        <v>0.32716349988174054</v>
      </c>
      <c r="DH73" s="1489">
        <f>+(DA73/CV73)^(1/5)-1</f>
        <v>0.16883962454227364</v>
      </c>
      <c r="DJ73" s="51"/>
      <c r="DK73" s="51"/>
      <c r="DL73" s="51"/>
      <c r="DM73" s="51"/>
      <c r="DN73" s="689"/>
      <c r="DO73" s="689"/>
      <c r="DP73" s="689"/>
      <c r="DQ73" s="689"/>
      <c r="DR73" s="689"/>
    </row>
    <row r="74" spans="1:122" s="51" customFormat="1" ht="11.25" customHeight="1">
      <c r="A74" s="296"/>
      <c r="B74"/>
      <c r="C74"/>
      <c r="D74"/>
      <c r="E74"/>
      <c r="F74"/>
      <c r="G74"/>
      <c r="H74" s="1048"/>
      <c r="I74" s="306" t="s">
        <v>152</v>
      </c>
      <c r="J74" s="176"/>
      <c r="K74" s="176"/>
      <c r="L74" s="82"/>
      <c r="M74" s="292"/>
      <c r="N74" s="292"/>
      <c r="O74" s="292"/>
      <c r="P74" s="1007"/>
      <c r="Q74" s="292"/>
      <c r="R74" s="292"/>
      <c r="S74" s="292"/>
      <c r="T74" s="1007"/>
      <c r="U74" s="2010"/>
      <c r="V74" s="2010"/>
      <c r="W74" s="2010"/>
      <c r="X74" s="2011"/>
      <c r="Y74" s="2010"/>
      <c r="Z74" s="2010"/>
      <c r="AA74" s="2010"/>
      <c r="AB74" s="2011"/>
      <c r="AC74" s="2010"/>
      <c r="AD74" s="2010"/>
      <c r="AE74" s="2010"/>
      <c r="AF74" s="2011"/>
      <c r="AG74" s="2010">
        <f t="shared" ref="AG74:CB74" si="128">+AG73/AG39</f>
        <v>-1.5145851504201913E-2</v>
      </c>
      <c r="AH74" s="2010">
        <f t="shared" si="128"/>
        <v>0.17992703489471104</v>
      </c>
      <c r="AI74" s="2010">
        <f t="shared" si="128"/>
        <v>0.24832406801831258</v>
      </c>
      <c r="AJ74" s="2011">
        <f t="shared" si="128"/>
        <v>0.12637036888169828</v>
      </c>
      <c r="AK74" s="2010">
        <f t="shared" si="128"/>
        <v>6.9761842852878397E-2</v>
      </c>
      <c r="AL74" s="2010">
        <f t="shared" si="128"/>
        <v>0.29217588916219567</v>
      </c>
      <c r="AM74" s="2010">
        <f t="shared" si="128"/>
        <v>0.38592207817882573</v>
      </c>
      <c r="AN74" s="2011">
        <f t="shared" si="128"/>
        <v>0.27481392676956895</v>
      </c>
      <c r="AO74" s="2010">
        <f t="shared" si="128"/>
        <v>0.17539742577428322</v>
      </c>
      <c r="AP74" s="2010">
        <f t="shared" si="128"/>
        <v>0.31906197654941387</v>
      </c>
      <c r="AQ74" s="2010">
        <f t="shared" si="128"/>
        <v>0.40471655730547529</v>
      </c>
      <c r="AR74" s="2011">
        <f t="shared" si="128"/>
        <v>0.23813425011581693</v>
      </c>
      <c r="AS74" s="2010">
        <f t="shared" si="128"/>
        <v>0.20564489031824518</v>
      </c>
      <c r="AT74" s="2010">
        <f t="shared" si="128"/>
        <v>0.35832694487580175</v>
      </c>
      <c r="AU74" s="2010">
        <f t="shared" si="128"/>
        <v>0.46256272954751781</v>
      </c>
      <c r="AV74" s="2011">
        <f t="shared" si="128"/>
        <v>0.37632867054717772</v>
      </c>
      <c r="AW74" s="2010">
        <f t="shared" si="128"/>
        <v>0.27547662918813193</v>
      </c>
      <c r="AX74" s="2010">
        <f t="shared" si="128"/>
        <v>0.39017087121008348</v>
      </c>
      <c r="AY74" s="2010">
        <f t="shared" si="128"/>
        <v>0.50701128989775635</v>
      </c>
      <c r="AZ74" s="2011">
        <f t="shared" si="128"/>
        <v>0.39717930882236563</v>
      </c>
      <c r="BA74" s="2010">
        <f t="shared" si="128"/>
        <v>0.30457999873469777</v>
      </c>
      <c r="BB74" s="2010">
        <f t="shared" si="128"/>
        <v>0.43339068132888969</v>
      </c>
      <c r="BC74" s="2010">
        <f t="shared" si="128"/>
        <v>0.56026825481662479</v>
      </c>
      <c r="BD74" s="2011">
        <f t="shared" si="128"/>
        <v>0.41917794609333292</v>
      </c>
      <c r="BE74" s="2010">
        <f t="shared" si="128"/>
        <v>0.32494941395529053</v>
      </c>
      <c r="BF74" s="2010">
        <f t="shared" si="128"/>
        <v>0.45646432476681587</v>
      </c>
      <c r="BG74" s="2010">
        <f t="shared" si="128"/>
        <v>0.54106083704916785</v>
      </c>
      <c r="BH74" s="2011">
        <f t="shared" si="128"/>
        <v>0.39831338121840926</v>
      </c>
      <c r="BI74" s="2010">
        <f t="shared" si="128"/>
        <v>0.30687307176142575</v>
      </c>
      <c r="BJ74" s="2010">
        <f t="shared" si="128"/>
        <v>0.40093145596901408</v>
      </c>
      <c r="BK74" s="2010">
        <f t="shared" si="128"/>
        <v>0.52632618843526957</v>
      </c>
      <c r="BL74" s="2011">
        <f t="shared" si="128"/>
        <v>0.37564435937571489</v>
      </c>
      <c r="BM74" s="2010">
        <f t="shared" si="128"/>
        <v>0.31193391118622427</v>
      </c>
      <c r="BN74" s="2010">
        <f t="shared" si="128"/>
        <v>0.38928069948103988</v>
      </c>
      <c r="BO74" s="2010">
        <f t="shared" si="128"/>
        <v>0.50485347586888141</v>
      </c>
      <c r="BP74" s="2011">
        <f t="shared" si="128"/>
        <v>0.34565724300390821</v>
      </c>
      <c r="BQ74" s="2010">
        <f t="shared" si="128"/>
        <v>0.25951420732480335</v>
      </c>
      <c r="BR74" s="2010">
        <f t="shared" si="128"/>
        <v>0.32410963511978091</v>
      </c>
      <c r="BS74" s="2010">
        <f t="shared" si="128"/>
        <v>0.50511182845754155</v>
      </c>
      <c r="BT74" s="2011">
        <f t="shared" si="128"/>
        <v>0.35006169577994461</v>
      </c>
      <c r="BU74" s="2010">
        <f t="shared" si="128"/>
        <v>0.27250885141994091</v>
      </c>
      <c r="BV74" s="2010">
        <f t="shared" si="128"/>
        <v>0.30142463344991277</v>
      </c>
      <c r="BW74" s="2010">
        <f t="shared" si="128"/>
        <v>0.23215725107082275</v>
      </c>
      <c r="BX74" s="2011">
        <f t="shared" si="128"/>
        <v>0.34720371680941631</v>
      </c>
      <c r="BY74" s="2010">
        <f t="shared" si="128"/>
        <v>0.23839159296300488</v>
      </c>
      <c r="BZ74" s="2010">
        <f t="shared" si="128"/>
        <v>0.30261357931089172</v>
      </c>
      <c r="CA74" s="2010">
        <f t="shared" si="128"/>
        <v>0.48046074650370002</v>
      </c>
      <c r="CB74" s="2011">
        <f t="shared" si="128"/>
        <v>0.35613368217324326</v>
      </c>
      <c r="CC74" s="2010">
        <f>+CC73/CC21</f>
        <v>0.22799790844295753</v>
      </c>
      <c r="CD74" s="2010">
        <f>+CD73/CD21</f>
        <v>0.30087798530747106</v>
      </c>
      <c r="CE74" s="2010">
        <f>+CE73/CE21</f>
        <v>0.47478667253832746</v>
      </c>
      <c r="CF74" s="2011">
        <f>+CF73/CF21</f>
        <v>0.36325592505501336</v>
      </c>
      <c r="CG74" s="1007"/>
      <c r="CH74" s="1010"/>
      <c r="CI74" s="292"/>
      <c r="CJ74" s="2010">
        <f t="shared" ref="CJ74:DA74" si="129">+CJ73/CJ21</f>
        <v>8.7418558902161644E-3</v>
      </c>
      <c r="CK74" s="2010">
        <f t="shared" si="129"/>
        <v>3.647976202193863E-2</v>
      </c>
      <c r="CL74" s="2010">
        <f t="shared" si="129"/>
        <v>4.1101781627762277E-2</v>
      </c>
      <c r="CM74" s="2010">
        <f t="shared" si="129"/>
        <v>5.4296778519540442E-2</v>
      </c>
      <c r="CN74" s="2010">
        <f t="shared" si="129"/>
        <v>0.12549911480125603</v>
      </c>
      <c r="CO74" s="2010">
        <f t="shared" si="129"/>
        <v>0.15358291516474376</v>
      </c>
      <c r="CP74" s="2010">
        <f t="shared" si="129"/>
        <v>0.20136497460452676</v>
      </c>
      <c r="CQ74" s="2010">
        <f t="shared" si="129"/>
        <v>0.25618071936634029</v>
      </c>
      <c r="CR74" s="2010">
        <f t="shared" si="129"/>
        <v>0.32117705671536262</v>
      </c>
      <c r="CS74" s="2010">
        <f t="shared" si="129"/>
        <v>0.34780617819270881</v>
      </c>
      <c r="CT74" s="2010">
        <f t="shared" si="129"/>
        <v>0.35511634541414738</v>
      </c>
      <c r="CU74" s="2010">
        <f t="shared" si="129"/>
        <v>0.36405147565657348</v>
      </c>
      <c r="CV74" s="2010">
        <f t="shared" si="129"/>
        <v>0.35330784833066198</v>
      </c>
      <c r="CW74" s="2010">
        <f t="shared" si="129"/>
        <v>0.27053070621016129</v>
      </c>
      <c r="CX74" s="2010">
        <f t="shared" si="129"/>
        <v>0.35785526818610575</v>
      </c>
      <c r="CY74" s="2010">
        <f t="shared" si="129"/>
        <v>0.35994629188611094</v>
      </c>
      <c r="CZ74" s="2010">
        <f t="shared" si="129"/>
        <v>0.36356759431439456</v>
      </c>
      <c r="DA74" s="2010">
        <f t="shared" si="129"/>
        <v>0.36679633131603728</v>
      </c>
      <c r="DB74" s="2010">
        <f>+DB73/DB21</f>
        <v>0.36957003306460284</v>
      </c>
      <c r="DC74" s="2010">
        <f>+DC73/DC21</f>
        <v>0.37194902535374769</v>
      </c>
      <c r="DD74" s="2010">
        <f>+DD73/DD21</f>
        <v>0.37328926340637109</v>
      </c>
      <c r="DE74" s="2010">
        <f>+DE73/DE21</f>
        <v>0.37366959352566598</v>
      </c>
      <c r="DF74" s="2011">
        <f>+DF73/DF21</f>
        <v>0.37536530858688116</v>
      </c>
      <c r="DG74" s="1493"/>
      <c r="DH74" s="1493"/>
    </row>
    <row r="75" spans="1:122" s="58" customFormat="1" ht="11.25" customHeight="1">
      <c r="A75" s="48"/>
      <c r="B75"/>
      <c r="C75"/>
      <c r="D75"/>
      <c r="E75"/>
      <c r="F75"/>
      <c r="G75"/>
      <c r="H75" s="1047"/>
      <c r="I75" s="174" t="s">
        <v>384</v>
      </c>
      <c r="J75" s="133"/>
      <c r="K75" s="133"/>
      <c r="L75" s="57"/>
      <c r="M75" s="530"/>
      <c r="N75" s="530"/>
      <c r="O75" s="530"/>
      <c r="P75" s="2211"/>
      <c r="Q75" s="530"/>
      <c r="R75" s="530"/>
      <c r="S75" s="530"/>
      <c r="T75" s="2211"/>
      <c r="U75" s="2013"/>
      <c r="V75" s="2013"/>
      <c r="W75" s="2013"/>
      <c r="X75" s="2014"/>
      <c r="Y75" s="2013"/>
      <c r="Z75" s="2013"/>
      <c r="AA75" s="2013"/>
      <c r="AB75" s="2014"/>
      <c r="AC75" s="2013"/>
      <c r="AD75" s="2013"/>
      <c r="AE75" s="2013"/>
      <c r="AF75" s="2014"/>
      <c r="AG75" s="2013"/>
      <c r="AH75" s="2013"/>
      <c r="AI75" s="2013"/>
      <c r="AJ75" s="2014"/>
      <c r="AK75" s="2013">
        <f t="shared" ref="AK75:CF75" si="130">+(AK74-AG74)*10000</f>
        <v>849.07694357080311</v>
      </c>
      <c r="AL75" s="2013">
        <f t="shared" si="130"/>
        <v>1122.4885426748463</v>
      </c>
      <c r="AM75" s="2013">
        <f t="shared" si="130"/>
        <v>1375.9801016051315</v>
      </c>
      <c r="AN75" s="2014">
        <f t="shared" si="130"/>
        <v>1484.4355788787068</v>
      </c>
      <c r="AO75" s="2013">
        <f t="shared" si="130"/>
        <v>1056.3558292140483</v>
      </c>
      <c r="AP75" s="2013">
        <f t="shared" si="130"/>
        <v>268.86087387218203</v>
      </c>
      <c r="AQ75" s="2013">
        <f t="shared" si="130"/>
        <v>187.94479126649554</v>
      </c>
      <c r="AR75" s="2014">
        <f t="shared" si="130"/>
        <v>-366.79676653752017</v>
      </c>
      <c r="AS75" s="2013">
        <f t="shared" si="130"/>
        <v>302.47464543961962</v>
      </c>
      <c r="AT75" s="2013">
        <f t="shared" si="130"/>
        <v>392.64968326387873</v>
      </c>
      <c r="AU75" s="2013">
        <f t="shared" si="130"/>
        <v>578.4617224204253</v>
      </c>
      <c r="AV75" s="2014">
        <f t="shared" si="130"/>
        <v>1381.944204313608</v>
      </c>
      <c r="AW75" s="2013">
        <f t="shared" si="130"/>
        <v>698.31738869886749</v>
      </c>
      <c r="AX75" s="2013">
        <f t="shared" si="130"/>
        <v>318.43926334281736</v>
      </c>
      <c r="AY75" s="2013">
        <f t="shared" si="130"/>
        <v>444.48560350238529</v>
      </c>
      <c r="AZ75" s="2014">
        <f t="shared" si="130"/>
        <v>208.50638275187904</v>
      </c>
      <c r="BA75" s="2013">
        <f t="shared" si="130"/>
        <v>291.03369546565835</v>
      </c>
      <c r="BB75" s="2013">
        <f t="shared" si="130"/>
        <v>432.19810118806214</v>
      </c>
      <c r="BC75" s="2013">
        <f t="shared" si="130"/>
        <v>532.56964918868448</v>
      </c>
      <c r="BD75" s="2014">
        <f t="shared" si="130"/>
        <v>219.98637270967291</v>
      </c>
      <c r="BE75" s="2013">
        <f t="shared" si="130"/>
        <v>203.69415220592768</v>
      </c>
      <c r="BF75" s="2013">
        <f t="shared" si="130"/>
        <v>230.73643437926171</v>
      </c>
      <c r="BG75" s="2013">
        <f t="shared" si="130"/>
        <v>-192.07417767456937</v>
      </c>
      <c r="BH75" s="2014">
        <f t="shared" si="130"/>
        <v>-208.64564874923664</v>
      </c>
      <c r="BI75" s="2015">
        <f t="shared" si="130"/>
        <v>-180.76342193864781</v>
      </c>
      <c r="BJ75" s="2013">
        <f t="shared" si="130"/>
        <v>-555.3286879780178</v>
      </c>
      <c r="BK75" s="2013">
        <f t="shared" si="130"/>
        <v>-147.34648613898281</v>
      </c>
      <c r="BL75" s="2014">
        <f t="shared" si="130"/>
        <v>-226.69021842694372</v>
      </c>
      <c r="BM75" s="2015">
        <f t="shared" si="130"/>
        <v>50.608394247985132</v>
      </c>
      <c r="BN75" s="2013">
        <f t="shared" si="130"/>
        <v>-116.50756487974201</v>
      </c>
      <c r="BO75" s="2013">
        <f t="shared" si="130"/>
        <v>-214.72712566388162</v>
      </c>
      <c r="BP75" s="2014">
        <f t="shared" si="130"/>
        <v>-299.87116371806678</v>
      </c>
      <c r="BQ75" s="2013">
        <f t="shared" si="130"/>
        <v>-524.19703861420919</v>
      </c>
      <c r="BR75" s="2013">
        <f t="shared" si="130"/>
        <v>-651.71064361258971</v>
      </c>
      <c r="BS75" s="2013">
        <f t="shared" si="130"/>
        <v>2.5835258866013788</v>
      </c>
      <c r="BT75" s="2014">
        <f t="shared" si="130"/>
        <v>44.044527760364048</v>
      </c>
      <c r="BU75" s="2013">
        <f t="shared" si="130"/>
        <v>129.94644095137565</v>
      </c>
      <c r="BV75" s="2013">
        <f t="shared" si="130"/>
        <v>-226.85001669868143</v>
      </c>
      <c r="BW75" s="2013">
        <f t="shared" si="130"/>
        <v>-2729.545773867188</v>
      </c>
      <c r="BX75" s="2014">
        <f t="shared" si="130"/>
        <v>-28.579789705283076</v>
      </c>
      <c r="BY75" s="2013">
        <f t="shared" si="130"/>
        <v>-341.17258456936031</v>
      </c>
      <c r="BZ75" s="2013">
        <f t="shared" si="130"/>
        <v>11.889458609789516</v>
      </c>
      <c r="CA75" s="2013">
        <f t="shared" si="130"/>
        <v>2483.0349543287725</v>
      </c>
      <c r="CB75" s="2014">
        <f t="shared" si="130"/>
        <v>89.299653638269533</v>
      </c>
      <c r="CC75" s="2013">
        <f t="shared" si="130"/>
        <v>-103.93684520047353</v>
      </c>
      <c r="CD75" s="2013">
        <f t="shared" si="130"/>
        <v>-17.355940034206597</v>
      </c>
      <c r="CE75" s="2013">
        <f t="shared" si="130"/>
        <v>-56.740739653725612</v>
      </c>
      <c r="CF75" s="2014">
        <f t="shared" si="130"/>
        <v>71.222428817701029</v>
      </c>
      <c r="CG75" s="2211"/>
      <c r="CH75" s="2212"/>
      <c r="CI75" s="530"/>
      <c r="CJ75" s="2013"/>
      <c r="CK75" s="2013">
        <f t="shared" ref="CK75:DF75" si="131">+(CK74-CJ74)*10000</f>
        <v>277.37906131722468</v>
      </c>
      <c r="CL75" s="2013">
        <f t="shared" si="131"/>
        <v>46.220196058236461</v>
      </c>
      <c r="CM75" s="2013">
        <f t="shared" si="131"/>
        <v>131.94996891778166</v>
      </c>
      <c r="CN75" s="2013">
        <f t="shared" si="131"/>
        <v>712.02336281715588</v>
      </c>
      <c r="CO75" s="2013">
        <f t="shared" si="131"/>
        <v>280.83800363487734</v>
      </c>
      <c r="CP75" s="2013">
        <f t="shared" si="131"/>
        <v>477.82059439783001</v>
      </c>
      <c r="CQ75" s="2013">
        <f t="shared" si="131"/>
        <v>548.15744761813528</v>
      </c>
      <c r="CR75" s="2013">
        <f t="shared" si="131"/>
        <v>649.96337349022326</v>
      </c>
      <c r="CS75" s="2013">
        <f t="shared" si="131"/>
        <v>266.29121477346195</v>
      </c>
      <c r="CT75" s="2013">
        <f t="shared" si="131"/>
        <v>73.101672214385687</v>
      </c>
      <c r="CU75" s="2013">
        <f t="shared" si="131"/>
        <v>89.351302424260922</v>
      </c>
      <c r="CV75" s="2013">
        <f t="shared" si="131"/>
        <v>-107.43627325911498</v>
      </c>
      <c r="CW75" s="2013">
        <f t="shared" si="131"/>
        <v>-827.77142120500696</v>
      </c>
      <c r="CX75" s="2013">
        <f t="shared" si="131"/>
        <v>873.24561975944459</v>
      </c>
      <c r="CY75" s="2013">
        <f t="shared" si="131"/>
        <v>20.9102370000519</v>
      </c>
      <c r="CZ75" s="2013">
        <f t="shared" si="131"/>
        <v>36.213024282836237</v>
      </c>
      <c r="DA75" s="2013">
        <f t="shared" si="131"/>
        <v>32.287370016427232</v>
      </c>
      <c r="DB75" s="2013">
        <f t="shared" si="131"/>
        <v>27.737017485655603</v>
      </c>
      <c r="DC75" s="2013">
        <f t="shared" si="131"/>
        <v>23.789922891448434</v>
      </c>
      <c r="DD75" s="2013">
        <f t="shared" si="131"/>
        <v>13.402380526233992</v>
      </c>
      <c r="DE75" s="2013">
        <f t="shared" si="131"/>
        <v>3.8033011929489158</v>
      </c>
      <c r="DF75" s="2014">
        <f t="shared" si="131"/>
        <v>16.95715061215186</v>
      </c>
      <c r="DG75" s="1499"/>
      <c r="DH75" s="1499"/>
      <c r="DJ75" s="51"/>
      <c r="DK75" s="51"/>
      <c r="DL75" s="51"/>
      <c r="DM75" s="51"/>
    </row>
    <row r="76" spans="1:122" s="26" customFormat="1" ht="11.25" customHeight="1">
      <c r="A76" s="12"/>
      <c r="B76"/>
      <c r="C76"/>
      <c r="D76"/>
      <c r="E76"/>
      <c r="F76"/>
      <c r="G76"/>
      <c r="H76" s="1048"/>
      <c r="I76" s="160"/>
      <c r="J76" s="24"/>
      <c r="K76" s="24"/>
      <c r="L76" s="24"/>
      <c r="M76" s="34"/>
      <c r="N76" s="34"/>
      <c r="O76" s="34"/>
      <c r="P76" s="1412"/>
      <c r="Q76" s="34"/>
      <c r="R76" s="34"/>
      <c r="S76" s="34"/>
      <c r="T76" s="1412"/>
      <c r="U76" s="2215"/>
      <c r="V76" s="2215"/>
      <c r="W76" s="2215"/>
      <c r="X76" s="2227"/>
      <c r="Y76" s="2215"/>
      <c r="Z76" s="2215"/>
      <c r="AA76" s="2215"/>
      <c r="AB76" s="2227"/>
      <c r="AC76" s="2215"/>
      <c r="AD76" s="2215"/>
      <c r="AE76" s="2215"/>
      <c r="AF76" s="2227"/>
      <c r="AG76" s="2215"/>
      <c r="AH76" s="2215"/>
      <c r="AI76" s="2215"/>
      <c r="AJ76" s="2227"/>
      <c r="AK76" s="2215"/>
      <c r="AL76" s="2215"/>
      <c r="AM76" s="2215"/>
      <c r="AN76" s="2227"/>
      <c r="AO76" s="2215"/>
      <c r="AP76" s="2215"/>
      <c r="AQ76" s="2215"/>
      <c r="AR76" s="2227"/>
      <c r="AS76" s="2215"/>
      <c r="AT76" s="2215"/>
      <c r="AU76" s="2215"/>
      <c r="AV76" s="2227"/>
      <c r="AW76" s="2215"/>
      <c r="AX76" s="2215"/>
      <c r="AY76" s="2196"/>
      <c r="AZ76" s="2227"/>
      <c r="BA76" s="2228"/>
      <c r="BB76" s="2215"/>
      <c r="BC76" s="2215"/>
      <c r="BD76" s="2227"/>
      <c r="BE76" s="2215"/>
      <c r="BF76" s="2229"/>
      <c r="BG76" s="2215"/>
      <c r="BH76" s="2011"/>
      <c r="BI76" s="2230"/>
      <c r="BJ76" s="2231"/>
      <c r="BK76" s="2231"/>
      <c r="BL76" s="2232"/>
      <c r="BM76" s="2230"/>
      <c r="BN76" s="2231"/>
      <c r="BO76" s="2231"/>
      <c r="BP76" s="2232"/>
      <c r="BQ76" s="1131"/>
      <c r="BR76" s="1131"/>
      <c r="BS76" s="2231"/>
      <c r="BT76" s="2232"/>
      <c r="BU76" s="2231"/>
      <c r="BV76" s="2231"/>
      <c r="BW76" s="2231"/>
      <c r="BX76" s="2232"/>
      <c r="BY76" s="2231"/>
      <c r="BZ76" s="2231"/>
      <c r="CA76" s="2231"/>
      <c r="CB76" s="2232"/>
      <c r="CC76" s="2231"/>
      <c r="CD76" s="2231"/>
      <c r="CE76" s="2231"/>
      <c r="CF76" s="2232"/>
      <c r="CG76" s="1412"/>
      <c r="CH76" s="1414"/>
      <c r="CI76" s="34"/>
      <c r="CJ76" s="2215"/>
      <c r="CK76" s="2215"/>
      <c r="CL76" s="2215"/>
      <c r="CM76" s="2215"/>
      <c r="CN76" s="2215"/>
      <c r="CO76" s="2215"/>
      <c r="CP76" s="2215"/>
      <c r="CQ76" s="2215"/>
      <c r="CR76" s="2215"/>
      <c r="CS76" s="2215"/>
      <c r="CT76" s="2215"/>
      <c r="CU76" s="2215"/>
      <c r="CV76" s="2215"/>
      <c r="CW76" s="2196"/>
      <c r="CX76" s="2215"/>
      <c r="CY76" s="2215"/>
      <c r="CZ76" s="2231"/>
      <c r="DA76" s="2231"/>
      <c r="DB76" s="2231"/>
      <c r="DC76" s="2231"/>
      <c r="DD76" s="2231"/>
      <c r="DE76" s="2231"/>
      <c r="DF76" s="2232"/>
      <c r="DG76" s="945"/>
      <c r="DH76" s="945"/>
      <c r="DJ76" s="51"/>
      <c r="DK76" s="51"/>
      <c r="DL76" s="51"/>
      <c r="DM76" s="51"/>
    </row>
    <row r="77" spans="1:122" s="554" customFormat="1" ht="11.25" customHeight="1">
      <c r="A77" s="556"/>
      <c r="B77"/>
      <c r="C77"/>
      <c r="D77"/>
      <c r="E77"/>
      <c r="F77"/>
      <c r="G77"/>
      <c r="H77" s="1048"/>
      <c r="I77" s="591" t="s">
        <v>116</v>
      </c>
      <c r="J77" s="547"/>
      <c r="K77" s="547"/>
      <c r="L77" s="547"/>
      <c r="M77" s="548"/>
      <c r="N77" s="548"/>
      <c r="O77" s="548"/>
      <c r="P77" s="2056"/>
      <c r="Q77" s="548"/>
      <c r="R77" s="548"/>
      <c r="S77" s="548"/>
      <c r="T77" s="2056"/>
      <c r="U77" s="2213"/>
      <c r="V77" s="2213"/>
      <c r="W77" s="2213"/>
      <c r="X77" s="2214"/>
      <c r="Y77" s="2213"/>
      <c r="Z77" s="2213"/>
      <c r="AA77" s="2213"/>
      <c r="AB77" s="2214"/>
      <c r="AC77" s="2213"/>
      <c r="AD77" s="2213"/>
      <c r="AE77" s="2213"/>
      <c r="AF77" s="2214"/>
      <c r="AG77" s="2213">
        <f>+AG61+AG62+AG63+AG64+(AG65)+AG66+(AG69)-0.089-0.34</f>
        <v>64.319999999999993</v>
      </c>
      <c r="AH77" s="2213">
        <f>+AH61+AH62+AH63+AH64+(AH65)+AH66+(AH69)-0.34-0.13</f>
        <v>76.805999999999997</v>
      </c>
      <c r="AI77" s="2213">
        <f>+AI61+AI62+AI63+AI64+(AI65)+AI66+(AI69)+1.617</f>
        <v>84.04000000000002</v>
      </c>
      <c r="AJ77" s="2214">
        <f>+AJ61+AJ62+AJ63+AJ64+(AJ65)+AJ66+(AJ69)-0.428-0.095</f>
        <v>75.874000000000009</v>
      </c>
      <c r="AK77" s="2213">
        <f>+AK61+AK62+AK63+AK64+(AK65)+AK66+(AK69)-0.438</f>
        <v>87.077999999999989</v>
      </c>
      <c r="AL77" s="2213">
        <f>+AL61+AL62+AL63+AL64+(AL65)+AL66+(AL69)-0.381-0.094</f>
        <v>99.402000000000001</v>
      </c>
      <c r="AM77" s="2213">
        <f>+AM61+AM62+AM63+AM64+(AM65)+AM66+(AM69)+0.395-0.126-0.228</f>
        <v>114.044</v>
      </c>
      <c r="AN77" s="2214">
        <f>+AN61+AN62+AN63+AN64+(AN65)+AN66+(AN69)+1.19-0.428+0.015-0.148</f>
        <v>104.42200000000001</v>
      </c>
      <c r="AO77" s="2213">
        <f>+AO61+AO62+AO63+AO64+(AO65)+AO66+(AO69)-0.272-0.488</f>
        <v>131.89400000000001</v>
      </c>
      <c r="AP77" s="2213">
        <f>+AP61+AP62+AP63+AP64+(AP65)+AP66+(AP69)-0.186</f>
        <v>156.05199999999999</v>
      </c>
      <c r="AQ77" s="2213">
        <f>+AQ61+AQ62+AQ63+AQ64+(AQ65)+AQ66+(AQ69)-0.036</f>
        <v>170.71299999999999</v>
      </c>
      <c r="AR77" s="2214">
        <f>+AR61+AR62+AR63+AR64+(AR65)+AR66+(AR69)-0.01</f>
        <v>137.91500000000002</v>
      </c>
      <c r="AS77" s="2213">
        <f>+AS61+AS62+AS63+AS64+(AS65)+AS66+(AS69)</f>
        <v>148.98999999999998</v>
      </c>
      <c r="AT77" s="2213">
        <f>+AT61+AT62+AT63+AT64+(AT65)+AT66+(AT69)</f>
        <v>178.38900000000001</v>
      </c>
      <c r="AU77" s="2213">
        <f>+AU61+AU62+AU63+AU64+(AU65)+AU66+(AU69)-3.68</f>
        <v>212.27399999999997</v>
      </c>
      <c r="AV77" s="2214">
        <f>+AV61+AV62+AV63+AV64+(AV65)+AV66+(AV69)+1.049</f>
        <v>182.31700000000001</v>
      </c>
      <c r="AW77" s="2213">
        <f>+AW61+AW62+AW63+AW64+(AW65)+AW66+(AW69)</f>
        <v>213.501</v>
      </c>
      <c r="AX77" s="2213">
        <f>+AX61+AX62+AX63+AX64+(AX65)+AX66+(AX69)</f>
        <v>249.78600000000003</v>
      </c>
      <c r="AY77" s="2213">
        <f>+AY61+AY62+AY63+AY64+(AY65)+AY66+(AY69)+2.72</f>
        <v>302.40500000000003</v>
      </c>
      <c r="AZ77" s="2214">
        <f>+AZ61+AZ62+AZ63+AZ64+(AZ65)+AZ66+(AZ69)-1.732</f>
        <v>259.80099999999999</v>
      </c>
      <c r="BA77" s="2057">
        <f t="shared" ref="BA77:BG77" si="132">+BA71-BA67-BA70</f>
        <v>329.52900000000005</v>
      </c>
      <c r="BB77" s="2057">
        <f t="shared" si="132"/>
        <v>402.94499999999999</v>
      </c>
      <c r="BC77" s="2057">
        <f t="shared" si="132"/>
        <v>462.262</v>
      </c>
      <c r="BD77" s="2058">
        <f t="shared" si="132"/>
        <v>387.88799999999992</v>
      </c>
      <c r="BE77" s="2057">
        <f t="shared" si="132"/>
        <v>477.077</v>
      </c>
      <c r="BF77" s="2057">
        <f t="shared" si="132"/>
        <v>519.97700000000009</v>
      </c>
      <c r="BG77" s="2057">
        <f t="shared" si="132"/>
        <v>615.51800000000003</v>
      </c>
      <c r="BH77" s="2058">
        <f>+BH71-BH67-BH70-16.126</f>
        <v>521.303</v>
      </c>
      <c r="BI77" s="2059">
        <f>+BI71-BI67-BI70-20.55</f>
        <v>648.2890000000001</v>
      </c>
      <c r="BJ77" s="2057">
        <f>+BJ71-BJ67-BJ70</f>
        <v>773.08400000000006</v>
      </c>
      <c r="BK77" s="2057">
        <f>+BK71-BK67-BK70</f>
        <v>884.76700000000017</v>
      </c>
      <c r="BL77" s="2058">
        <f>+BL71-BL67-BL70+6.311</f>
        <v>766.51300000000003</v>
      </c>
      <c r="BM77" s="2059">
        <f>+BM71-BM67-BM70</f>
        <v>906.11800000000017</v>
      </c>
      <c r="BN77" s="2057">
        <f t="shared" ref="BN77:CD77" si="133">+BN71-BN67-BN70</f>
        <v>1091.8639999999998</v>
      </c>
      <c r="BO77" s="2057">
        <f>+BO71-BO67-BO70</f>
        <v>1215.3529999999998</v>
      </c>
      <c r="BP77" s="2058">
        <f>+BP71-BP67-BP70</f>
        <v>981.47900000000004</v>
      </c>
      <c r="BQ77" s="2057">
        <f t="shared" si="133"/>
        <v>1140.931</v>
      </c>
      <c r="BR77" s="2057">
        <f t="shared" si="133"/>
        <v>1311.7579999999998</v>
      </c>
      <c r="BS77" s="2057">
        <f t="shared" ref="BS77:BX77" si="134">+BS71-BS67-BS70</f>
        <v>1358.0719999999999</v>
      </c>
      <c r="BT77" s="2058">
        <f t="shared" si="134"/>
        <v>1103.7670000000001</v>
      </c>
      <c r="BU77" s="2057">
        <f t="shared" si="134"/>
        <v>1360.7470000000001</v>
      </c>
      <c r="BV77" s="2057">
        <f t="shared" si="134"/>
        <v>1599.394</v>
      </c>
      <c r="BW77" s="2057">
        <f t="shared" si="134"/>
        <v>2659.8129999999996</v>
      </c>
      <c r="BX77" s="2058">
        <f t="shared" si="134"/>
        <v>1369.7750000000001</v>
      </c>
      <c r="BY77" s="2057">
        <f t="shared" si="133"/>
        <v>1675.8070000000002</v>
      </c>
      <c r="BZ77" s="2057">
        <f t="shared" si="133"/>
        <v>1950.5149999999994</v>
      </c>
      <c r="CA77" s="2057">
        <f t="shared" si="133"/>
        <v>2161.0339999999997</v>
      </c>
      <c r="CB77" s="2058">
        <f>+CB71-CB67-CB70</f>
        <v>1668.7439999999999</v>
      </c>
      <c r="CC77" s="2057">
        <f t="shared" si="133"/>
        <v>2024.0288341505466</v>
      </c>
      <c r="CD77" s="2057">
        <f t="shared" si="133"/>
        <v>2340.7242445497895</v>
      </c>
      <c r="CE77" s="2057">
        <f>+CE71-CE67-CE70</f>
        <v>2440.7141979433841</v>
      </c>
      <c r="CF77" s="2058">
        <f>+CF71-CF67-CF70</f>
        <v>1982.0860269626448</v>
      </c>
      <c r="CG77" s="2056"/>
      <c r="CH77" s="2060"/>
      <c r="CI77" s="548"/>
      <c r="CJ77" s="2213">
        <f>+CJ61+CJ62+CJ63+CJ64+(CJ65)+CJ66+(CJ69)-0.089-0.34</f>
        <v>137.684</v>
      </c>
      <c r="CK77" s="2213">
        <f>+CK61+CK62+CK63+CK64+(CK65)+CK66+(CK69)-0.089-0.34</f>
        <v>166.71599999999998</v>
      </c>
      <c r="CL77" s="2213">
        <f>+CL61+CL62+CL63+CL64+(CL65)+CL66+(CL69)-0.089-0.34</f>
        <v>225.68499999999997</v>
      </c>
      <c r="CM77" s="2213">
        <f>+SUM(AG77:AJ77)</f>
        <v>301.04000000000002</v>
      </c>
      <c r="CN77" s="2213">
        <f>+SUM(AK77:AN77)</f>
        <v>404.94600000000003</v>
      </c>
      <c r="CO77" s="2213">
        <f>+SUM(AO77:AR77)</f>
        <v>596.57400000000007</v>
      </c>
      <c r="CP77" s="2057">
        <f>+SUM(AS77:AV77)</f>
        <v>721.97</v>
      </c>
      <c r="CQ77" s="2213">
        <f>+SUM(AW77:AZ77)</f>
        <v>1025.4929999999999</v>
      </c>
      <c r="CR77" s="2213">
        <f>+CR61+CR62+CR63+CR64+(CR65)+CR66+(CR69)</f>
        <v>1582.624</v>
      </c>
      <c r="CS77" s="2213">
        <f>+SUM(BE77:BH77)</f>
        <v>2133.875</v>
      </c>
      <c r="CT77" s="2213">
        <f>+SUM(BI77:BL77)</f>
        <v>3072.6530000000002</v>
      </c>
      <c r="CU77" s="2213">
        <f>SUM(BM77:BP77)</f>
        <v>4194.8140000000003</v>
      </c>
      <c r="CV77" s="2213">
        <f>SUM(BQ77:BT77)</f>
        <v>4914.5279999999993</v>
      </c>
      <c r="CW77" s="2057">
        <f>SUM(BU77:BX77)</f>
        <v>6989.7289999999994</v>
      </c>
      <c r="CX77" s="2213">
        <f>SUM(BY77:CB77)</f>
        <v>7456.0999999999995</v>
      </c>
      <c r="CY77" s="2213">
        <f>SUM(CC77:CF77)</f>
        <v>8787.5533036063644</v>
      </c>
      <c r="CZ77" s="2057">
        <f t="shared" ref="CZ77:DF77" si="135">+CZ71-CZ67-CZ70</f>
        <v>10008.262713872942</v>
      </c>
      <c r="DA77" s="2057">
        <f t="shared" si="135"/>
        <v>11215.466383112014</v>
      </c>
      <c r="DB77" s="2057">
        <f t="shared" si="135"/>
        <v>12374.144277184112</v>
      </c>
      <c r="DC77" s="2057">
        <f t="shared" si="135"/>
        <v>13501.760281723788</v>
      </c>
      <c r="DD77" s="2057">
        <f t="shared" si="135"/>
        <v>14629.728242075185</v>
      </c>
      <c r="DE77" s="2057">
        <f t="shared" si="135"/>
        <v>15751.82327268685</v>
      </c>
      <c r="DF77" s="2058">
        <f t="shared" si="135"/>
        <v>16925.221418244739</v>
      </c>
      <c r="DG77" s="1491">
        <f>+(CV77/CQ77)^(1/5)-1</f>
        <v>0.36807473529697043</v>
      </c>
      <c r="DH77" s="1491">
        <f>+(DA77/CV77)^(1/5)-1</f>
        <v>0.17941624361208786</v>
      </c>
      <c r="DJ77" s="51"/>
      <c r="DK77" s="51"/>
      <c r="DL77" s="51"/>
      <c r="DM77" s="51"/>
    </row>
    <row r="78" spans="1:122" s="56" customFormat="1" ht="11.25" customHeight="1">
      <c r="A78" s="24"/>
      <c r="B78"/>
      <c r="C78"/>
      <c r="D78"/>
      <c r="E78"/>
      <c r="F78"/>
      <c r="G78"/>
      <c r="H78" s="1044"/>
      <c r="I78" s="175"/>
      <c r="J78" s="134"/>
      <c r="K78" s="134"/>
      <c r="L78" s="55"/>
      <c r="M78" s="2216"/>
      <c r="N78" s="2216"/>
      <c r="O78" s="2216"/>
      <c r="P78" s="2224"/>
      <c r="Q78" s="2216"/>
      <c r="R78" s="2216"/>
      <c r="S78" s="2216"/>
      <c r="T78" s="2224"/>
      <c r="U78" s="2216"/>
      <c r="V78" s="2216"/>
      <c r="W78" s="2216"/>
      <c r="X78" s="2224"/>
      <c r="Y78" s="2216"/>
      <c r="Z78" s="2216"/>
      <c r="AA78" s="2216"/>
      <c r="AB78" s="2224"/>
      <c r="AC78" s="2216"/>
      <c r="AD78" s="2216"/>
      <c r="AE78" s="2216"/>
      <c r="AF78" s="2224"/>
      <c r="AG78" s="2216"/>
      <c r="AH78" s="2216"/>
      <c r="AI78" s="2216"/>
      <c r="AJ78" s="2224"/>
      <c r="AK78" s="2216"/>
      <c r="AL78" s="2216"/>
      <c r="AM78" s="2216"/>
      <c r="AN78" s="2224"/>
      <c r="AO78" s="2216"/>
      <c r="AP78" s="2216"/>
      <c r="AQ78" s="2216"/>
      <c r="AR78" s="2224"/>
      <c r="AS78" s="2216"/>
      <c r="AT78" s="2216"/>
      <c r="AU78" s="2216"/>
      <c r="AV78" s="2224"/>
      <c r="AW78" s="2216"/>
      <c r="AX78" s="2216"/>
      <c r="AY78" s="2216"/>
      <c r="AZ78" s="2224"/>
      <c r="BA78" s="2216"/>
      <c r="BB78" s="2216"/>
      <c r="BC78" s="2216"/>
      <c r="BD78" s="2224"/>
      <c r="BE78" s="2216"/>
      <c r="BF78" s="2216"/>
      <c r="BG78" s="2216"/>
      <c r="BH78" s="2224"/>
      <c r="BI78" s="2233"/>
      <c r="BJ78" s="2216"/>
      <c r="BK78" s="2216"/>
      <c r="BL78" s="2224"/>
      <c r="BM78" s="2233"/>
      <c r="BN78" s="2216"/>
      <c r="BO78" s="2216"/>
      <c r="BP78" s="2224"/>
      <c r="BQ78" s="2234"/>
      <c r="BR78" s="2234"/>
      <c r="BS78" s="1966"/>
      <c r="BT78" s="2235"/>
      <c r="BU78" s="2234"/>
      <c r="BV78" s="2234"/>
      <c r="BW78" s="2234"/>
      <c r="BX78" s="2235"/>
      <c r="BY78" s="2234"/>
      <c r="BZ78" s="2234"/>
      <c r="CA78" s="2234"/>
      <c r="CB78" s="2235"/>
      <c r="CC78" s="2234"/>
      <c r="CD78" s="2234"/>
      <c r="CE78" s="2234"/>
      <c r="CF78" s="2235"/>
      <c r="CG78" s="2236"/>
      <c r="CH78" s="2233"/>
      <c r="CI78" s="2216"/>
      <c r="CJ78" s="1931"/>
      <c r="CK78" s="1931"/>
      <c r="CL78" s="1931"/>
      <c r="CM78" s="1931"/>
      <c r="CN78" s="1931"/>
      <c r="CO78" s="1931"/>
      <c r="CP78" s="1931"/>
      <c r="CQ78" s="1931"/>
      <c r="CR78" s="1931"/>
      <c r="CS78" s="1931"/>
      <c r="CT78" s="1931"/>
      <c r="CU78" s="2237"/>
      <c r="CV78" s="2237"/>
      <c r="CW78" s="2234"/>
      <c r="CX78" s="2234"/>
      <c r="CY78" s="2234"/>
      <c r="CZ78" s="2234"/>
      <c r="DA78" s="2234"/>
      <c r="DB78" s="2234"/>
      <c r="DC78" s="2234"/>
      <c r="DD78" s="2234"/>
      <c r="DE78" s="2234"/>
      <c r="DF78" s="2235"/>
      <c r="DG78" s="1498"/>
      <c r="DH78" s="1498"/>
      <c r="DI78" s="1705"/>
      <c r="DJ78" s="51"/>
      <c r="DK78" s="51"/>
      <c r="DL78" s="51"/>
      <c r="DM78" s="51"/>
    </row>
    <row r="79" spans="1:122" s="584" customFormat="1" ht="11.25" hidden="1" customHeight="1" outlineLevel="1">
      <c r="A79" s="542"/>
      <c r="B79"/>
      <c r="C79"/>
      <c r="D79"/>
      <c r="E79"/>
      <c r="F79"/>
      <c r="G79"/>
      <c r="H79" s="1052"/>
      <c r="I79" s="1384" t="s">
        <v>733</v>
      </c>
      <c r="J79" s="590"/>
      <c r="K79" s="590"/>
      <c r="L79" s="542"/>
      <c r="M79" s="543"/>
      <c r="N79" s="543"/>
      <c r="O79" s="543"/>
      <c r="P79" s="1003"/>
      <c r="Q79" s="543"/>
      <c r="R79" s="543"/>
      <c r="S79" s="543"/>
      <c r="T79" s="1003"/>
      <c r="U79" s="1931"/>
      <c r="V79" s="1931"/>
      <c r="W79" s="1931"/>
      <c r="X79" s="1930"/>
      <c r="Y79" s="1931"/>
      <c r="Z79" s="1931"/>
      <c r="AA79" s="1931"/>
      <c r="AB79" s="1930"/>
      <c r="AC79" s="1931"/>
      <c r="AD79" s="1931"/>
      <c r="AE79" s="1931"/>
      <c r="AF79" s="1930"/>
      <c r="AG79" s="1931">
        <f t="shared" ref="AG79:BP79" si="136">+AG39-AG77</f>
        <v>7.9110000000000014</v>
      </c>
      <c r="AH79" s="1931">
        <f t="shared" si="136"/>
        <v>28.998000000000005</v>
      </c>
      <c r="AI79" s="1931">
        <f t="shared" si="136"/>
        <v>38.28</v>
      </c>
      <c r="AJ79" s="1930">
        <f t="shared" si="136"/>
        <v>23.642999999999958</v>
      </c>
      <c r="AK79" s="1931">
        <f t="shared" si="136"/>
        <v>16.761000000000038</v>
      </c>
      <c r="AL79" s="1931">
        <f t="shared" si="136"/>
        <v>55.490999999999943</v>
      </c>
      <c r="AM79" s="1931">
        <f t="shared" si="136"/>
        <v>88.286999999999992</v>
      </c>
      <c r="AN79" s="1930">
        <f t="shared" si="136"/>
        <v>55.730000000000004</v>
      </c>
      <c r="AO79" s="1931">
        <f t="shared" si="136"/>
        <v>49.209000000000003</v>
      </c>
      <c r="AP79" s="1931">
        <f t="shared" si="136"/>
        <v>97.67300000000003</v>
      </c>
      <c r="AQ79" s="1931">
        <f t="shared" si="136"/>
        <v>145.36500000000004</v>
      </c>
      <c r="AR79" s="1930">
        <f t="shared" si="136"/>
        <v>67.149999999999977</v>
      </c>
      <c r="AS79" s="1931">
        <f t="shared" si="136"/>
        <v>59.34</v>
      </c>
      <c r="AT79" s="1931">
        <f t="shared" si="136"/>
        <v>126.84899999999999</v>
      </c>
      <c r="AU79" s="1931">
        <f t="shared" si="136"/>
        <v>221.732</v>
      </c>
      <c r="AV79" s="1930">
        <f t="shared" si="136"/>
        <v>130.87200000000007</v>
      </c>
      <c r="AW79" s="1931">
        <f t="shared" si="136"/>
        <v>105.61499999999987</v>
      </c>
      <c r="AX79" s="1931">
        <f t="shared" si="136"/>
        <v>196.39799999999988</v>
      </c>
      <c r="AY79" s="1931">
        <f t="shared" si="136"/>
        <v>365.80299999999983</v>
      </c>
      <c r="AZ79" s="1930">
        <f t="shared" si="136"/>
        <v>220.36500000000007</v>
      </c>
      <c r="BA79" s="1931">
        <f t="shared" si="136"/>
        <v>176.279</v>
      </c>
      <c r="BB79" s="1931">
        <f t="shared" si="136"/>
        <v>346.2820000000001</v>
      </c>
      <c r="BC79" s="1931">
        <f t="shared" si="136"/>
        <v>637.88600000000019</v>
      </c>
      <c r="BD79" s="1930">
        <f t="shared" si="136"/>
        <v>336.80900000000008</v>
      </c>
      <c r="BE79" s="1931">
        <f t="shared" si="136"/>
        <v>266.21100000000001</v>
      </c>
      <c r="BF79" s="1931">
        <f t="shared" si="136"/>
        <v>484.16499999999996</v>
      </c>
      <c r="BG79" s="1931">
        <f t="shared" si="136"/>
        <v>780.98299999999995</v>
      </c>
      <c r="BH79" s="1930">
        <f t="shared" si="136"/>
        <v>418.44700000000012</v>
      </c>
      <c r="BI79" s="2054">
        <f t="shared" si="136"/>
        <v>361.37599999999986</v>
      </c>
      <c r="BJ79" s="1931">
        <f t="shared" si="136"/>
        <v>610.77099999999996</v>
      </c>
      <c r="BK79" s="1931">
        <f t="shared" si="136"/>
        <v>1104.2979999999998</v>
      </c>
      <c r="BL79" s="1930">
        <f t="shared" si="136"/>
        <v>566.7879999999999</v>
      </c>
      <c r="BM79" s="2054">
        <f t="shared" si="136"/>
        <v>500.35300000000007</v>
      </c>
      <c r="BN79" s="1931">
        <f t="shared" si="136"/>
        <v>791.13200000000006</v>
      </c>
      <c r="BO79" s="1931">
        <f t="shared" si="136"/>
        <v>1404.6250000000002</v>
      </c>
      <c r="BP79" s="1930">
        <f t="shared" si="136"/>
        <v>693.2059999999999</v>
      </c>
      <c r="BQ79" s="1931">
        <f>+BQ39-BQ77-16.404</f>
        <v>514.90099999999984</v>
      </c>
      <c r="BR79" s="1931">
        <f>+BR39-BR77</f>
        <v>781.14800000000014</v>
      </c>
      <c r="BS79" s="1931">
        <f>+BS39-BS77-13.655</f>
        <v>1575.5549999999998</v>
      </c>
      <c r="BT79" s="1930">
        <f>+BT39-BT77</f>
        <v>775.61599999999976</v>
      </c>
      <c r="BU79" s="1931">
        <f>+BU39-BU77</f>
        <v>658.70299999999952</v>
      </c>
      <c r="BV79" s="1931">
        <f>+BV39-BV77</f>
        <v>830.42400000000021</v>
      </c>
      <c r="BW79" s="1931">
        <f>+BW39-BW77+BW68</f>
        <v>1869.9500000000005</v>
      </c>
      <c r="BX79" s="1930">
        <f t="shared" ref="BX79:CF79" si="137">+BX39-BX77+BX68</f>
        <v>906.58599999999979</v>
      </c>
      <c r="BY79" s="1931">
        <f t="shared" si="137"/>
        <v>658.42799999999988</v>
      </c>
      <c r="BZ79" s="1931">
        <f t="shared" si="137"/>
        <v>1001.2990000000004</v>
      </c>
      <c r="CA79" s="1931">
        <f t="shared" si="137"/>
        <v>2213.5190000000002</v>
      </c>
      <c r="CB79" s="1930">
        <f t="shared" si="137"/>
        <v>1101.1989999999998</v>
      </c>
      <c r="CC79" s="1931">
        <f t="shared" si="137"/>
        <v>773.45392899676654</v>
      </c>
      <c r="CD79" s="1931">
        <f t="shared" si="137"/>
        <v>1221.4624903363274</v>
      </c>
      <c r="CE79" s="1931">
        <f t="shared" si="137"/>
        <v>2563.696760317031</v>
      </c>
      <c r="CF79" s="1930">
        <f t="shared" si="137"/>
        <v>1395.7045059972868</v>
      </c>
      <c r="CG79" s="1003"/>
      <c r="CH79" s="1006"/>
      <c r="CI79" s="543"/>
      <c r="CJ79" s="1931">
        <f t="shared" ref="CJ79:CU79" si="138">+CJ39-CJ77</f>
        <v>8.2609999999999957</v>
      </c>
      <c r="CK79" s="1931">
        <f t="shared" si="138"/>
        <v>34.42300000000003</v>
      </c>
      <c r="CL79" s="1931">
        <f t="shared" si="138"/>
        <v>44.165000000000049</v>
      </c>
      <c r="CM79" s="1931">
        <f t="shared" si="138"/>
        <v>98.832000000000164</v>
      </c>
      <c r="CN79" s="1931">
        <f t="shared" si="138"/>
        <v>216.26899999999966</v>
      </c>
      <c r="CO79" s="1931">
        <f t="shared" si="138"/>
        <v>359.39700000000005</v>
      </c>
      <c r="CP79" s="1931">
        <f t="shared" si="138"/>
        <v>538.79299999999989</v>
      </c>
      <c r="CQ79" s="1931">
        <f t="shared" si="138"/>
        <v>888.18099999999981</v>
      </c>
      <c r="CR79" s="1931">
        <f t="shared" si="138"/>
        <v>1497.2560000000005</v>
      </c>
      <c r="CS79" s="1931">
        <f t="shared" si="138"/>
        <v>1949.8060000000009</v>
      </c>
      <c r="CT79" s="1931">
        <f t="shared" si="138"/>
        <v>2643.2330000000002</v>
      </c>
      <c r="CU79" s="1931">
        <f t="shared" si="138"/>
        <v>3389.3159999999989</v>
      </c>
      <c r="CV79" s="1931">
        <f>SUM(BQ79:BT79)</f>
        <v>3647.2199999999993</v>
      </c>
      <c r="CW79" s="1931">
        <f t="shared" ref="CW79:DF79" si="139">+CW39-CW77+CW68</f>
        <v>4265.6629999999996</v>
      </c>
      <c r="CX79" s="1931">
        <f t="shared" si="139"/>
        <v>4974.4449999999988</v>
      </c>
      <c r="CY79" s="1931">
        <f t="shared" si="139"/>
        <v>5954.3176856474129</v>
      </c>
      <c r="CZ79" s="1931">
        <f t="shared" si="139"/>
        <v>6781.1990569800637</v>
      </c>
      <c r="DA79" s="1931">
        <f t="shared" si="139"/>
        <v>7606.2720056045309</v>
      </c>
      <c r="DB79" s="1931">
        <f t="shared" si="139"/>
        <v>8402.9320092610196</v>
      </c>
      <c r="DC79" s="1931">
        <f t="shared" si="139"/>
        <v>9182.8424298904265</v>
      </c>
      <c r="DD79" s="1931">
        <f t="shared" si="139"/>
        <v>9934.3627309137282</v>
      </c>
      <c r="DE79" s="1931">
        <f t="shared" si="139"/>
        <v>10647.241353698484</v>
      </c>
      <c r="DF79" s="1930">
        <f t="shared" si="139"/>
        <v>11451.665572382033</v>
      </c>
      <c r="DG79" s="1489">
        <f>+(CV79/CQ79)^(1/5)-1</f>
        <v>0.32645370291067488</v>
      </c>
      <c r="DH79" s="1489">
        <f>+(DA79/CV79)^(1/5)-1</f>
        <v>0.15835580186815545</v>
      </c>
      <c r="DJ79" s="51"/>
      <c r="DK79" s="51"/>
      <c r="DL79" s="51"/>
      <c r="DM79" s="51"/>
    </row>
    <row r="80" spans="1:122" s="282" customFormat="1" ht="11.25" hidden="1" customHeight="1" outlineLevel="1">
      <c r="A80" s="82"/>
      <c r="B80"/>
      <c r="C80"/>
      <c r="D80"/>
      <c r="E80"/>
      <c r="F80"/>
      <c r="G80"/>
      <c r="H80" s="1047"/>
      <c r="I80" s="306" t="s">
        <v>152</v>
      </c>
      <c r="J80" s="176"/>
      <c r="K80" s="176"/>
      <c r="L80" s="91"/>
      <c r="M80" s="292"/>
      <c r="N80" s="292"/>
      <c r="O80" s="292"/>
      <c r="P80" s="1007"/>
      <c r="Q80" s="292"/>
      <c r="R80" s="292"/>
      <c r="S80" s="292"/>
      <c r="T80" s="1007"/>
      <c r="U80" s="1957"/>
      <c r="V80" s="1957"/>
      <c r="W80" s="1957"/>
      <c r="X80" s="1958"/>
      <c r="Y80" s="1957"/>
      <c r="Z80" s="1957"/>
      <c r="AA80" s="1957"/>
      <c r="AB80" s="1958"/>
      <c r="AC80" s="1957"/>
      <c r="AD80" s="1957"/>
      <c r="AE80" s="1957"/>
      <c r="AF80" s="1958"/>
      <c r="AG80" s="1957">
        <f t="shared" ref="AG80:BL80" si="140">+AG79/AG39</f>
        <v>0.1095236117456494</v>
      </c>
      <c r="AH80" s="1957">
        <f t="shared" si="140"/>
        <v>0.27407281388227295</v>
      </c>
      <c r="AI80" s="1957">
        <f t="shared" si="140"/>
        <v>0.31294964028776973</v>
      </c>
      <c r="AJ80" s="1958">
        <f t="shared" si="140"/>
        <v>0.23757749932172359</v>
      </c>
      <c r="AK80" s="1957">
        <f t="shared" si="140"/>
        <v>0.16141334180799155</v>
      </c>
      <c r="AL80" s="1957">
        <f t="shared" si="140"/>
        <v>0.35825376227460221</v>
      </c>
      <c r="AM80" s="1957">
        <f t="shared" si="140"/>
        <v>0.43634934834503858</v>
      </c>
      <c r="AN80" s="1958">
        <f t="shared" si="140"/>
        <v>0.34798191717868027</v>
      </c>
      <c r="AO80" s="1957">
        <f t="shared" si="140"/>
        <v>0.27171830394858176</v>
      </c>
      <c r="AP80" s="1957">
        <f t="shared" si="140"/>
        <v>0.38495615331559768</v>
      </c>
      <c r="AQ80" s="1957">
        <f t="shared" si="140"/>
        <v>0.45990230259619469</v>
      </c>
      <c r="AR80" s="1958">
        <f t="shared" si="140"/>
        <v>0.32745714773364532</v>
      </c>
      <c r="AS80" s="1957">
        <f t="shared" si="140"/>
        <v>0.2848365573849182</v>
      </c>
      <c r="AT80" s="1957">
        <f t="shared" si="140"/>
        <v>0.41557407662217677</v>
      </c>
      <c r="AU80" s="1957">
        <f t="shared" si="140"/>
        <v>0.51089616272586091</v>
      </c>
      <c r="AV80" s="1958">
        <f t="shared" si="140"/>
        <v>0.41786908224746094</v>
      </c>
      <c r="AW80" s="1957">
        <f t="shared" si="140"/>
        <v>0.33096115519121544</v>
      </c>
      <c r="AX80" s="1957">
        <f t="shared" si="140"/>
        <v>0.44017266419235096</v>
      </c>
      <c r="AY80" s="1957">
        <f t="shared" si="140"/>
        <v>0.54743882144481948</v>
      </c>
      <c r="AZ80" s="1958">
        <f t="shared" si="140"/>
        <v>0.458935034967074</v>
      </c>
      <c r="BA80" s="1957">
        <f t="shared" si="140"/>
        <v>0.3485097111947616</v>
      </c>
      <c r="BB80" s="1957">
        <f t="shared" si="140"/>
        <v>0.46218569272063081</v>
      </c>
      <c r="BC80" s="1957">
        <f>+BC79/BC39</f>
        <v>0.57981835171267881</v>
      </c>
      <c r="BD80" s="1958">
        <f t="shared" si="140"/>
        <v>0.4647583748794325</v>
      </c>
      <c r="BE80" s="1957">
        <f t="shared" si="140"/>
        <v>0.35815323266351673</v>
      </c>
      <c r="BF80" s="1957">
        <f t="shared" si="140"/>
        <v>0.48216786072089401</v>
      </c>
      <c r="BG80" s="1957">
        <f t="shared" si="140"/>
        <v>0.55924270730919634</v>
      </c>
      <c r="BH80" s="1958">
        <f t="shared" si="140"/>
        <v>0.44527480712955581</v>
      </c>
      <c r="BI80" s="1970">
        <f t="shared" si="140"/>
        <v>0.3579167347585584</v>
      </c>
      <c r="BJ80" s="1957">
        <f t="shared" si="140"/>
        <v>0.4413547662146684</v>
      </c>
      <c r="BK80" s="1957">
        <f t="shared" si="140"/>
        <v>0.55518447109571578</v>
      </c>
      <c r="BL80" s="1958">
        <f t="shared" si="140"/>
        <v>0.42510130870673607</v>
      </c>
      <c r="BM80" s="1970">
        <f t="shared" ref="BM80:CF80" si="141">+BM79/BM39</f>
        <v>0.35575066958366008</v>
      </c>
      <c r="BN80" s="1957">
        <f t="shared" si="141"/>
        <v>0.42014534284724986</v>
      </c>
      <c r="BO80" s="1957">
        <f t="shared" si="141"/>
        <v>0.53612091399240769</v>
      </c>
      <c r="BP80" s="1958">
        <f t="shared" si="141"/>
        <v>0.41393217231897339</v>
      </c>
      <c r="BQ80" s="1957">
        <f t="shared" si="141"/>
        <v>0.30791168232235155</v>
      </c>
      <c r="BR80" s="1957">
        <f t="shared" si="141"/>
        <v>0.37323606506933427</v>
      </c>
      <c r="BS80" s="1957">
        <f t="shared" si="141"/>
        <v>0.5345789781907534</v>
      </c>
      <c r="BT80" s="1958">
        <f>+BT79/BT39</f>
        <v>0.41269714581860101</v>
      </c>
      <c r="BU80" s="1957">
        <f t="shared" si="141"/>
        <v>0.32617940528361666</v>
      </c>
      <c r="BV80" s="1957">
        <f t="shared" si="141"/>
        <v>0.34176386873420156</v>
      </c>
      <c r="BW80" s="1957">
        <f t="shared" si="141"/>
        <v>0.52101342328067257</v>
      </c>
      <c r="BX80" s="1958">
        <f t="shared" si="141"/>
        <v>0.39826108424806078</v>
      </c>
      <c r="BY80" s="1957">
        <f t="shared" si="141"/>
        <v>0.28207442695358431</v>
      </c>
      <c r="BZ80" s="1957">
        <f t="shared" si="141"/>
        <v>0.3392148014746188</v>
      </c>
      <c r="CA80" s="1957">
        <f t="shared" si="141"/>
        <v>0.50599889863032865</v>
      </c>
      <c r="CB80" s="1958">
        <f t="shared" si="141"/>
        <v>0.39755294603535163</v>
      </c>
      <c r="CC80" s="1957">
        <f t="shared" si="141"/>
        <v>0.27648210712354515</v>
      </c>
      <c r="CD80" s="1957">
        <f t="shared" si="141"/>
        <v>0.34289681626569124</v>
      </c>
      <c r="CE80" s="1957">
        <f t="shared" si="141"/>
        <v>0.51228741638120756</v>
      </c>
      <c r="CF80" s="1958">
        <f t="shared" si="141"/>
        <v>0.4132004315774554</v>
      </c>
      <c r="CG80" s="1007"/>
      <c r="CH80" s="1010"/>
      <c r="CI80" s="292"/>
      <c r="CJ80" s="1957"/>
      <c r="CK80" s="1957"/>
      <c r="CL80" s="1957"/>
      <c r="CM80" s="1957">
        <f t="shared" ref="CM80:DF80" si="142">+CM79/CM39</f>
        <v>0.24715909090909122</v>
      </c>
      <c r="CN80" s="1957">
        <f t="shared" si="142"/>
        <v>0.34813872813760094</v>
      </c>
      <c r="CO80" s="1957">
        <f t="shared" si="142"/>
        <v>0.37594968885039398</v>
      </c>
      <c r="CP80" s="1957">
        <f t="shared" si="142"/>
        <v>0.4273547050476576</v>
      </c>
      <c r="CQ80" s="1957">
        <f t="shared" si="142"/>
        <v>0.46412346094475859</v>
      </c>
      <c r="CR80" s="1957">
        <f t="shared" si="142"/>
        <v>0.48614101848123964</v>
      </c>
      <c r="CS80" s="1957">
        <f t="shared" si="142"/>
        <v>0.47746285765220164</v>
      </c>
      <c r="CT80" s="1957">
        <f t="shared" si="142"/>
        <v>0.46243626972266416</v>
      </c>
      <c r="CU80" s="1957">
        <f t="shared" si="142"/>
        <v>0.44689582061488914</v>
      </c>
      <c r="CV80" s="1957">
        <f t="shared" si="142"/>
        <v>0.42449975889821545</v>
      </c>
      <c r="CW80" s="1957">
        <f t="shared" si="142"/>
        <v>0.41355214484349118</v>
      </c>
      <c r="CX80" s="1957">
        <f t="shared" si="142"/>
        <v>0.40017915545939453</v>
      </c>
      <c r="CY80" s="1957">
        <f t="shared" si="142"/>
        <v>0.40390515491472334</v>
      </c>
      <c r="CZ80" s="1957">
        <f t="shared" si="142"/>
        <v>0.40389615519137262</v>
      </c>
      <c r="DA80" s="1957">
        <f t="shared" si="142"/>
        <v>0.40412165170484038</v>
      </c>
      <c r="DB80" s="1957">
        <f t="shared" si="142"/>
        <v>0.40443284191737089</v>
      </c>
      <c r="DC80" s="1957">
        <f t="shared" si="142"/>
        <v>0.40480508063687332</v>
      </c>
      <c r="DD80" s="1957">
        <f t="shared" si="142"/>
        <v>0.40442623103121217</v>
      </c>
      <c r="DE80" s="1957">
        <f t="shared" si="142"/>
        <v>0.40331888664936938</v>
      </c>
      <c r="DF80" s="1958">
        <f t="shared" si="142"/>
        <v>0.40355609042544577</v>
      </c>
      <c r="DG80" s="1494"/>
      <c r="DH80" s="1494"/>
      <c r="DJ80" s="51"/>
      <c r="DK80" s="51"/>
      <c r="DL80" s="51"/>
      <c r="DM80" s="51"/>
    </row>
    <row r="81" spans="1:122" s="58" customFormat="1" ht="11.25" hidden="1" customHeight="1" outlineLevel="1">
      <c r="A81" s="48"/>
      <c r="B81"/>
      <c r="C81"/>
      <c r="D81"/>
      <c r="E81"/>
      <c r="F81"/>
      <c r="G81"/>
      <c r="H81" s="1047"/>
      <c r="I81" s="174" t="s">
        <v>384</v>
      </c>
      <c r="J81" s="133"/>
      <c r="K81" s="133"/>
      <c r="L81" s="57"/>
      <c r="M81" s="530"/>
      <c r="N81" s="530"/>
      <c r="O81" s="530"/>
      <c r="P81" s="2211"/>
      <c r="Q81" s="530"/>
      <c r="R81" s="530"/>
      <c r="S81" s="530"/>
      <c r="T81" s="2211"/>
      <c r="U81" s="2013"/>
      <c r="V81" s="2013"/>
      <c r="W81" s="2013"/>
      <c r="X81" s="2014"/>
      <c r="Y81" s="2013"/>
      <c r="Z81" s="2013"/>
      <c r="AA81" s="2013"/>
      <c r="AB81" s="2014"/>
      <c r="AC81" s="2013"/>
      <c r="AD81" s="2013"/>
      <c r="AE81" s="2013"/>
      <c r="AF81" s="2014"/>
      <c r="AG81" s="2013"/>
      <c r="AH81" s="2013"/>
      <c r="AI81" s="2013"/>
      <c r="AJ81" s="2014"/>
      <c r="AK81" s="2013">
        <f t="shared" ref="AK81:CE81" si="143">+(AK80-AG80)*10000</f>
        <v>518.89730062342153</v>
      </c>
      <c r="AL81" s="2013">
        <f t="shared" si="143"/>
        <v>841.80948392329253</v>
      </c>
      <c r="AM81" s="2013">
        <f t="shared" si="143"/>
        <v>1233.9970805726884</v>
      </c>
      <c r="AN81" s="2014">
        <f t="shared" si="143"/>
        <v>1104.0441785695668</v>
      </c>
      <c r="AO81" s="2013">
        <f t="shared" si="143"/>
        <v>1103.0496214059021</v>
      </c>
      <c r="AP81" s="2013">
        <f t="shared" si="143"/>
        <v>267.02391040995479</v>
      </c>
      <c r="AQ81" s="2013">
        <f t="shared" si="143"/>
        <v>235.52954251156112</v>
      </c>
      <c r="AR81" s="2014">
        <f t="shared" si="143"/>
        <v>-205.24769445034951</v>
      </c>
      <c r="AS81" s="2013">
        <f t="shared" si="143"/>
        <v>131.18253436336437</v>
      </c>
      <c r="AT81" s="2013">
        <f t="shared" si="143"/>
        <v>306.17923306579087</v>
      </c>
      <c r="AU81" s="2013">
        <f t="shared" si="143"/>
        <v>509.93860129666223</v>
      </c>
      <c r="AV81" s="2014">
        <f t="shared" si="143"/>
        <v>904.11934513815629</v>
      </c>
      <c r="AW81" s="2013">
        <f t="shared" si="143"/>
        <v>461.24597806297243</v>
      </c>
      <c r="AX81" s="2013">
        <f t="shared" si="143"/>
        <v>245.98587570174192</v>
      </c>
      <c r="AY81" s="2013">
        <f t="shared" si="143"/>
        <v>365.42658718958563</v>
      </c>
      <c r="AZ81" s="2014">
        <f t="shared" si="143"/>
        <v>410.65952719613051</v>
      </c>
      <c r="BA81" s="2013">
        <f t="shared" si="143"/>
        <v>175.48556003546156</v>
      </c>
      <c r="BB81" s="2013">
        <f t="shared" si="143"/>
        <v>220.13028528279855</v>
      </c>
      <c r="BC81" s="2013">
        <f t="shared" si="143"/>
        <v>323.79530267859337</v>
      </c>
      <c r="BD81" s="2014">
        <f t="shared" si="143"/>
        <v>58.233399123585052</v>
      </c>
      <c r="BE81" s="2013">
        <f t="shared" si="143"/>
        <v>96.435214687551337</v>
      </c>
      <c r="BF81" s="2013">
        <f t="shared" si="143"/>
        <v>199.82168000263201</v>
      </c>
      <c r="BG81" s="2013">
        <f t="shared" si="143"/>
        <v>-205.75644403482474</v>
      </c>
      <c r="BH81" s="2014">
        <f t="shared" si="143"/>
        <v>-194.83567749876696</v>
      </c>
      <c r="BI81" s="2015">
        <f t="shared" si="143"/>
        <v>-2.3649790495833267</v>
      </c>
      <c r="BJ81" s="2013">
        <f t="shared" si="143"/>
        <v>-408.1309450622561</v>
      </c>
      <c r="BK81" s="2013">
        <f t="shared" si="143"/>
        <v>-40.582362134805592</v>
      </c>
      <c r="BL81" s="2014">
        <f t="shared" si="143"/>
        <v>-201.73498422819736</v>
      </c>
      <c r="BM81" s="2015">
        <f t="shared" si="143"/>
        <v>-21.660651748983128</v>
      </c>
      <c r="BN81" s="2013">
        <f t="shared" si="143"/>
        <v>-212.09423367418546</v>
      </c>
      <c r="BO81" s="2013">
        <f t="shared" si="143"/>
        <v>-190.63557103308094</v>
      </c>
      <c r="BP81" s="2014">
        <f>+(BP80-BL80)*10000</f>
        <v>-111.6913638776268</v>
      </c>
      <c r="BQ81" s="2013">
        <f t="shared" si="143"/>
        <v>-478.38987261308529</v>
      </c>
      <c r="BR81" s="2013">
        <f>+(BR80-BN80)*10000</f>
        <v>-469.09277777915594</v>
      </c>
      <c r="BS81" s="2013">
        <f t="shared" si="143"/>
        <v>-15.419358016542928</v>
      </c>
      <c r="BT81" s="2014">
        <f>+(BT80-BP80)*10000</f>
        <v>-12.350265003723827</v>
      </c>
      <c r="BU81" s="2013">
        <f>+(BU80-BQ80)*10000</f>
        <v>182.6772296126511</v>
      </c>
      <c r="BV81" s="2013">
        <f t="shared" si="143"/>
        <v>-314.72196335132708</v>
      </c>
      <c r="BW81" s="2013">
        <f t="shared" si="143"/>
        <v>-135.65554910080823</v>
      </c>
      <c r="BX81" s="2014">
        <f>+(BX80-BT80)*10000</f>
        <v>-144.36061570540227</v>
      </c>
      <c r="BY81" s="2013">
        <f t="shared" si="143"/>
        <v>-441.0497833003235</v>
      </c>
      <c r="BZ81" s="2013">
        <f t="shared" si="143"/>
        <v>-25.490672595827601</v>
      </c>
      <c r="CA81" s="2013">
        <f t="shared" si="143"/>
        <v>-150.14524650343918</v>
      </c>
      <c r="CB81" s="2014">
        <f>+(CB80-BX80)*10000</f>
        <v>-7.0813821270915289</v>
      </c>
      <c r="CC81" s="2013">
        <f t="shared" si="143"/>
        <v>-55.923198300391604</v>
      </c>
      <c r="CD81" s="2013">
        <f t="shared" si="143"/>
        <v>36.820147910724408</v>
      </c>
      <c r="CE81" s="2013">
        <f t="shared" si="143"/>
        <v>62.885177508789084</v>
      </c>
      <c r="CF81" s="2014">
        <f>+(CF80-CB80)*10000</f>
        <v>156.47485542103766</v>
      </c>
      <c r="CG81" s="2211"/>
      <c r="CH81" s="2212"/>
      <c r="CI81" s="530"/>
      <c r="CJ81" s="2013"/>
      <c r="CK81" s="2013"/>
      <c r="CL81" s="2013"/>
      <c r="CM81" s="2013"/>
      <c r="CN81" s="2013">
        <f t="shared" ref="CN81:CT81" si="144">+(CN80-CM80)*10000</f>
        <v>1009.7963722850973</v>
      </c>
      <c r="CO81" s="2013">
        <f t="shared" si="144"/>
        <v>278.10960712793042</v>
      </c>
      <c r="CP81" s="2013">
        <f t="shared" si="144"/>
        <v>514.05016197263615</v>
      </c>
      <c r="CQ81" s="2013">
        <f t="shared" si="144"/>
        <v>367.68755897100993</v>
      </c>
      <c r="CR81" s="2013">
        <f t="shared" si="144"/>
        <v>220.17557536481047</v>
      </c>
      <c r="CS81" s="2013">
        <f t="shared" si="144"/>
        <v>-86.78160829037995</v>
      </c>
      <c r="CT81" s="2013">
        <f t="shared" si="144"/>
        <v>-150.26587929537482</v>
      </c>
      <c r="CU81" s="2013">
        <f t="shared" ref="CU81:DF81" si="145">+(CU80-CT80)*10000</f>
        <v>-155.40449107775024</v>
      </c>
      <c r="CV81" s="2013">
        <f t="shared" si="145"/>
        <v>-223.96061716673688</v>
      </c>
      <c r="CW81" s="2013">
        <f t="shared" si="145"/>
        <v>-109.47614054724275</v>
      </c>
      <c r="CX81" s="2013">
        <f t="shared" si="145"/>
        <v>-133.72989384096644</v>
      </c>
      <c r="CY81" s="2013">
        <f t="shared" si="145"/>
        <v>37.259994553288102</v>
      </c>
      <c r="CZ81" s="2013">
        <f t="shared" si="145"/>
        <v>-8.9997233507221885E-2</v>
      </c>
      <c r="DA81" s="2013">
        <f t="shared" si="145"/>
        <v>2.2549651346776001</v>
      </c>
      <c r="DB81" s="2013">
        <f t="shared" si="145"/>
        <v>3.1119021253050994</v>
      </c>
      <c r="DC81" s="2013">
        <f t="shared" si="145"/>
        <v>3.7223871950242682</v>
      </c>
      <c r="DD81" s="2013">
        <f t="shared" si="145"/>
        <v>-3.7884960566114678</v>
      </c>
      <c r="DE81" s="2013">
        <f t="shared" si="145"/>
        <v>-11.073443818427897</v>
      </c>
      <c r="DF81" s="2014">
        <f t="shared" si="145"/>
        <v>2.3720377607638898</v>
      </c>
      <c r="DG81" s="1499"/>
      <c r="DH81" s="1499"/>
      <c r="DJ81" s="51"/>
      <c r="DK81" s="51"/>
      <c r="DL81" s="51"/>
      <c r="DM81" s="51"/>
    </row>
    <row r="82" spans="1:122" s="58" customFormat="1" ht="11.25" hidden="1" customHeight="1" outlineLevel="1">
      <c r="A82" s="48"/>
      <c r="B82"/>
      <c r="C82"/>
      <c r="D82"/>
      <c r="E82"/>
      <c r="F82"/>
      <c r="G82"/>
      <c r="H82" s="1047"/>
      <c r="I82" s="174"/>
      <c r="J82" s="133"/>
      <c r="K82" s="133"/>
      <c r="L82" s="57"/>
      <c r="M82" s="530"/>
      <c r="N82" s="530"/>
      <c r="O82" s="530"/>
      <c r="P82" s="2211"/>
      <c r="Q82" s="530"/>
      <c r="R82" s="530"/>
      <c r="S82" s="530"/>
      <c r="T82" s="2211"/>
      <c r="U82" s="2013"/>
      <c r="V82" s="2013"/>
      <c r="W82" s="2013"/>
      <c r="X82" s="2014"/>
      <c r="Y82" s="2013"/>
      <c r="Z82" s="2013"/>
      <c r="AA82" s="2013"/>
      <c r="AB82" s="2014"/>
      <c r="AC82" s="2013"/>
      <c r="AD82" s="2013"/>
      <c r="AE82" s="2013"/>
      <c r="AF82" s="2014"/>
      <c r="AG82" s="2013"/>
      <c r="AH82" s="2013"/>
      <c r="AI82" s="2013"/>
      <c r="AJ82" s="2014"/>
      <c r="AK82" s="2013"/>
      <c r="AL82" s="2013"/>
      <c r="AM82" s="2013"/>
      <c r="AN82" s="2014"/>
      <c r="AO82" s="2013"/>
      <c r="AP82" s="2013"/>
      <c r="AQ82" s="2013"/>
      <c r="AR82" s="2014"/>
      <c r="AS82" s="2013"/>
      <c r="AT82" s="2013"/>
      <c r="AU82" s="2013"/>
      <c r="AV82" s="2014"/>
      <c r="AW82" s="2013"/>
      <c r="AX82" s="2013"/>
      <c r="AY82" s="2013"/>
      <c r="AZ82" s="2014"/>
      <c r="BA82" s="2013"/>
      <c r="BB82" s="2013"/>
      <c r="BC82" s="2013"/>
      <c r="BD82" s="2014"/>
      <c r="BE82" s="2013"/>
      <c r="BF82" s="2013"/>
      <c r="BG82" s="2013"/>
      <c r="BH82" s="2014"/>
      <c r="BI82" s="2013"/>
      <c r="BJ82" s="2013"/>
      <c r="BK82" s="2013"/>
      <c r="BL82" s="2014"/>
      <c r="BM82" s="2013"/>
      <c r="BN82" s="2013"/>
      <c r="BO82" s="2013"/>
      <c r="BP82" s="2014"/>
      <c r="BQ82" s="2013"/>
      <c r="BR82" s="2013"/>
      <c r="BS82" s="2013"/>
      <c r="BT82" s="2014"/>
      <c r="BU82" s="2013"/>
      <c r="BV82" s="2013"/>
      <c r="BW82" s="2013"/>
      <c r="BX82" s="2014"/>
      <c r="BY82" s="2013"/>
      <c r="BZ82" s="2013"/>
      <c r="CA82" s="2013"/>
      <c r="CB82" s="2014"/>
      <c r="CC82" s="2013"/>
      <c r="CD82" s="2013"/>
      <c r="CE82" s="2013"/>
      <c r="CF82" s="2014"/>
      <c r="CG82" s="2211"/>
      <c r="CH82" s="2212"/>
      <c r="CI82" s="530"/>
      <c r="CJ82" s="2013"/>
      <c r="CK82" s="2013"/>
      <c r="CL82" s="2013"/>
      <c r="CM82" s="2013"/>
      <c r="CN82" s="2013"/>
      <c r="CO82" s="2013"/>
      <c r="CP82" s="2013"/>
      <c r="CQ82" s="2013"/>
      <c r="CR82" s="2013"/>
      <c r="CS82" s="2013"/>
      <c r="CT82" s="2013"/>
      <c r="CU82" s="2013"/>
      <c r="CV82" s="2013"/>
      <c r="CW82" s="2013"/>
      <c r="CX82" s="2013"/>
      <c r="CY82" s="2013"/>
      <c r="CZ82" s="2013"/>
      <c r="DA82" s="2013"/>
      <c r="DB82" s="2013"/>
      <c r="DC82" s="2013"/>
      <c r="DD82" s="2013"/>
      <c r="DE82" s="2013"/>
      <c r="DF82" s="2014"/>
      <c r="DG82" s="1499"/>
      <c r="DH82" s="1499"/>
      <c r="DJ82" s="51"/>
      <c r="DK82" s="51"/>
      <c r="DL82" s="51"/>
      <c r="DM82" s="51"/>
    </row>
    <row r="83" spans="1:122" s="584" customFormat="1" ht="11.25" customHeight="1" collapsed="1">
      <c r="A83" s="542"/>
      <c r="B83"/>
      <c r="C83"/>
      <c r="D83"/>
      <c r="E83"/>
      <c r="F83"/>
      <c r="G83"/>
      <c r="H83" s="1052"/>
      <c r="I83" s="1384" t="s">
        <v>716</v>
      </c>
      <c r="J83" s="590"/>
      <c r="K83" s="590"/>
      <c r="L83" s="542"/>
      <c r="M83" s="543"/>
      <c r="N83" s="543"/>
      <c r="O83" s="543"/>
      <c r="P83" s="1003"/>
      <c r="Q83" s="543"/>
      <c r="R83" s="543"/>
      <c r="S83" s="543"/>
      <c r="T83" s="1003"/>
      <c r="U83" s="1931"/>
      <c r="V83" s="1931"/>
      <c r="W83" s="1931"/>
      <c r="X83" s="1930"/>
      <c r="Y83" s="1931"/>
      <c r="Z83" s="1931"/>
      <c r="AA83" s="1931"/>
      <c r="AB83" s="1930"/>
      <c r="AC83" s="1931"/>
      <c r="AD83" s="1931"/>
      <c r="AE83" s="1931"/>
      <c r="AF83" s="1930"/>
      <c r="AG83" s="2051">
        <f t="shared" ref="AG83:BH83" si="146">+AG73+AG70</f>
        <v>4.4649999999999919</v>
      </c>
      <c r="AH83" s="2051">
        <f t="shared" si="146"/>
        <v>24.811000000000007</v>
      </c>
      <c r="AI83" s="2051">
        <f t="shared" si="146"/>
        <v>36.353999999999999</v>
      </c>
      <c r="AJ83" s="2052">
        <f t="shared" si="146"/>
        <v>18.468999999999966</v>
      </c>
      <c r="AK83" s="2051">
        <f t="shared" si="146"/>
        <v>13.157000000000043</v>
      </c>
      <c r="AL83" s="2051">
        <f t="shared" si="146"/>
        <v>51.549999999999955</v>
      </c>
      <c r="AM83" s="2051">
        <f t="shared" si="146"/>
        <v>84.200999999999993</v>
      </c>
      <c r="AN83" s="2052">
        <f t="shared" si="146"/>
        <v>50.865000000000016</v>
      </c>
      <c r="AO83" s="2051">
        <f t="shared" si="146"/>
        <v>38.510000000000012</v>
      </c>
      <c r="AP83" s="2051">
        <f t="shared" si="146"/>
        <v>88.410000000000039</v>
      </c>
      <c r="AQ83" s="2051">
        <f t="shared" si="146"/>
        <v>135.27400000000003</v>
      </c>
      <c r="AR83" s="2052">
        <f t="shared" si="146"/>
        <v>55.688000000000002</v>
      </c>
      <c r="AS83" s="2051">
        <f t="shared" si="146"/>
        <v>48.747000000000014</v>
      </c>
      <c r="AT83" s="2051">
        <f t="shared" si="146"/>
        <v>115.58499999999997</v>
      </c>
      <c r="AU83" s="2051">
        <f t="shared" si="146"/>
        <v>207.18199999999999</v>
      </c>
      <c r="AV83" s="2052">
        <f t="shared" si="146"/>
        <v>123.97700000000007</v>
      </c>
      <c r="AW83" s="2051">
        <f t="shared" si="146"/>
        <v>93.705999999999875</v>
      </c>
      <c r="AX83" s="2051">
        <f t="shared" si="146"/>
        <v>180.93299999999985</v>
      </c>
      <c r="AY83" s="2051">
        <f t="shared" si="146"/>
        <v>347.34699999999987</v>
      </c>
      <c r="AZ83" s="2052">
        <f t="shared" si="146"/>
        <v>198.98300000000006</v>
      </c>
      <c r="BA83" s="2051">
        <f t="shared" si="146"/>
        <v>162.28600000000003</v>
      </c>
      <c r="BB83" s="2051">
        <f t="shared" si="146"/>
        <v>333.1690000000001</v>
      </c>
      <c r="BC83" s="2051">
        <f t="shared" si="146"/>
        <v>624.58800000000019</v>
      </c>
      <c r="BD83" s="2052">
        <f t="shared" si="146"/>
        <v>311.48900000000009</v>
      </c>
      <c r="BE83" s="2051">
        <f t="shared" si="146"/>
        <v>249.68800000000002</v>
      </c>
      <c r="BF83" s="2051">
        <f t="shared" si="146"/>
        <v>466.553</v>
      </c>
      <c r="BG83" s="2051">
        <f t="shared" si="146"/>
        <v>763.428</v>
      </c>
      <c r="BH83" s="2052">
        <f t="shared" si="146"/>
        <v>382.44600000000014</v>
      </c>
      <c r="BI83" s="2053">
        <f t="shared" ref="BI83:BP83" si="147">+BI73+BI70</f>
        <v>319.11699999999996</v>
      </c>
      <c r="BJ83" s="2051">
        <f t="shared" si="147"/>
        <v>576.03499999999997</v>
      </c>
      <c r="BK83" s="2051">
        <f t="shared" si="147"/>
        <v>1069.7469999999994</v>
      </c>
      <c r="BL83" s="2052">
        <f t="shared" si="147"/>
        <v>523.56899999999996</v>
      </c>
      <c r="BM83" s="2053">
        <f t="shared" si="147"/>
        <v>461.55000000000013</v>
      </c>
      <c r="BN83" s="2051">
        <f t="shared" si="147"/>
        <v>755.96400000000017</v>
      </c>
      <c r="BO83" s="2051">
        <f t="shared" si="147"/>
        <v>1358.4890000000003</v>
      </c>
      <c r="BP83" s="2052">
        <f t="shared" si="147"/>
        <v>626.88799999999992</v>
      </c>
      <c r="BQ83" s="1931">
        <f>+BQ73+BQ70-16.404</f>
        <v>460.8929999999998</v>
      </c>
      <c r="BR83" s="1931">
        <f>+BR73+BR70</f>
        <v>720.98400000000015</v>
      </c>
      <c r="BS83" s="1931">
        <f>+BS73+BS70-13.655</f>
        <v>1517.2809999999999</v>
      </c>
      <c r="BT83" s="1930">
        <f>+BT73+BT70</f>
        <v>700.66699999999969</v>
      </c>
      <c r="BU83" s="1931">
        <f>+BU73+BU70</f>
        <v>592.70299999999952</v>
      </c>
      <c r="BV83" s="1931">
        <f>+BV73+BV70</f>
        <v>775.44800000000009</v>
      </c>
      <c r="BW83" s="1931">
        <f>+BW73+BW70+BW68</f>
        <v>1815.8760000000002</v>
      </c>
      <c r="BX83" s="1930">
        <f>+BX73+BX70+BX68</f>
        <v>832.06199999999967</v>
      </c>
      <c r="BY83" s="1931">
        <f t="shared" ref="BY83:CF83" si="148">+BY73+BY70+BY68</f>
        <v>599.47999999999979</v>
      </c>
      <c r="BZ83" s="1931">
        <f t="shared" si="148"/>
        <v>934.42000000000053</v>
      </c>
      <c r="CA83" s="1931">
        <f t="shared" si="148"/>
        <v>2147.0980000000004</v>
      </c>
      <c r="CB83" s="1930">
        <f t="shared" si="148"/>
        <v>1032.5369999999998</v>
      </c>
      <c r="CC83" s="1931">
        <f t="shared" si="148"/>
        <v>709.79008899676637</v>
      </c>
      <c r="CD83" s="1931">
        <f t="shared" si="148"/>
        <v>1149.2331703363275</v>
      </c>
      <c r="CE83" s="1931">
        <f t="shared" si="148"/>
        <v>2491.962080317031</v>
      </c>
      <c r="CF83" s="1930">
        <f t="shared" si="148"/>
        <v>1321.5495459972867</v>
      </c>
      <c r="CG83" s="1003"/>
      <c r="CH83" s="1006"/>
      <c r="CI83" s="543"/>
      <c r="CJ83" s="2051">
        <f t="shared" ref="CJ83:CT83" si="149">+CJ73+CJ70</f>
        <v>7.5499999999999829</v>
      </c>
      <c r="CK83" s="2051">
        <f t="shared" si="149"/>
        <v>33.356000000000023</v>
      </c>
      <c r="CL83" s="2051">
        <f t="shared" si="149"/>
        <v>39.567000000000007</v>
      </c>
      <c r="CM83" s="2051">
        <f t="shared" si="149"/>
        <v>84.099000000000174</v>
      </c>
      <c r="CN83" s="2051">
        <f t="shared" si="149"/>
        <v>199.77299999999977</v>
      </c>
      <c r="CO83" s="2051">
        <f t="shared" si="149"/>
        <v>317.88200000000006</v>
      </c>
      <c r="CP83" s="2051">
        <f t="shared" si="149"/>
        <v>495.4909999999997</v>
      </c>
      <c r="CQ83" s="2051">
        <f t="shared" si="149"/>
        <v>820.96899999999982</v>
      </c>
      <c r="CR83" s="2051">
        <f t="shared" si="149"/>
        <v>1431.5320000000006</v>
      </c>
      <c r="CS83" s="2051">
        <f t="shared" si="149"/>
        <v>1862.1150000000011</v>
      </c>
      <c r="CT83" s="2051">
        <f t="shared" si="149"/>
        <v>2488.4680000000003</v>
      </c>
      <c r="CU83" s="2051">
        <f>+CU73+CU70</f>
        <v>3202.8909999999992</v>
      </c>
      <c r="CV83" s="1931">
        <f>+CV73+CV70-30.059</f>
        <v>3399.824999999998</v>
      </c>
      <c r="CW83" s="1931">
        <f>+CW73+CW70+CW68</f>
        <v>4016.0889999999999</v>
      </c>
      <c r="CX83" s="1931">
        <f t="shared" ref="CX83:DF83" si="150">+CX73+CX70+CX68</f>
        <v>4713.534999999998</v>
      </c>
      <c r="CY83" s="1931">
        <f t="shared" si="150"/>
        <v>5672.5348856474138</v>
      </c>
      <c r="CZ83" s="1931">
        <f t="shared" si="150"/>
        <v>6479.6914609800642</v>
      </c>
      <c r="DA83" s="1931">
        <f t="shared" si="150"/>
        <v>7285.1664158645308</v>
      </c>
      <c r="DB83" s="1931">
        <f t="shared" si="150"/>
        <v>8062.5600841366195</v>
      </c>
      <c r="DC83" s="1931">
        <f t="shared" si="150"/>
        <v>8823.7500488841833</v>
      </c>
      <c r="DD83" s="1931">
        <f t="shared" si="150"/>
        <v>9557.3157308571735</v>
      </c>
      <c r="DE83" s="1931">
        <f t="shared" si="150"/>
        <v>10253.227238639383</v>
      </c>
      <c r="DF83" s="1930">
        <f t="shared" si="150"/>
        <v>11041.890892720568</v>
      </c>
      <c r="DG83" s="1489">
        <f>+(CV83/CQ83)^(1/5)-1</f>
        <v>0.32869701991708933</v>
      </c>
      <c r="DH83" s="1489">
        <f>+(DA83/CV83)^(1/5)-1</f>
        <v>0.164653088617146</v>
      </c>
      <c r="DJ83" s="51"/>
      <c r="DK83" s="51"/>
      <c r="DL83" s="51"/>
      <c r="DM83" s="51"/>
    </row>
    <row r="84" spans="1:122" s="58" customFormat="1" ht="11.25" customHeight="1">
      <c r="A84" s="48"/>
      <c r="B84"/>
      <c r="C84"/>
      <c r="D84"/>
      <c r="E84"/>
      <c r="F84"/>
      <c r="G84"/>
      <c r="H84" s="1047"/>
      <c r="I84" s="306" t="s">
        <v>152</v>
      </c>
      <c r="J84" s="133"/>
      <c r="K84" s="133"/>
      <c r="L84" s="57"/>
      <c r="M84" s="530"/>
      <c r="N84" s="530"/>
      <c r="O84" s="530"/>
      <c r="P84" s="2211"/>
      <c r="Q84" s="530"/>
      <c r="R84" s="530"/>
      <c r="S84" s="530"/>
      <c r="T84" s="2211"/>
      <c r="U84" s="2013"/>
      <c r="V84" s="2013"/>
      <c r="W84" s="2013"/>
      <c r="X84" s="2014"/>
      <c r="Y84" s="2013"/>
      <c r="Z84" s="2013"/>
      <c r="AA84" s="2013"/>
      <c r="AB84" s="2014"/>
      <c r="AC84" s="2013"/>
      <c r="AD84" s="2013"/>
      <c r="AE84" s="2013"/>
      <c r="AF84" s="2014"/>
      <c r="AG84" s="2238">
        <f t="shared" ref="AG84:BL84" si="151">+AG83/AG39</f>
        <v>6.181556395453465E-2</v>
      </c>
      <c r="AH84" s="2238">
        <f t="shared" si="151"/>
        <v>0.23449964084533673</v>
      </c>
      <c r="AI84" s="2238">
        <f t="shared" si="151"/>
        <v>0.29720405493786783</v>
      </c>
      <c r="AJ84" s="2239">
        <f t="shared" si="151"/>
        <v>0.18558638222615204</v>
      </c>
      <c r="AK84" s="2238">
        <f t="shared" si="151"/>
        <v>0.12670576565644931</v>
      </c>
      <c r="AL84" s="2238">
        <f t="shared" si="151"/>
        <v>0.33281039168974696</v>
      </c>
      <c r="AM84" s="2238">
        <f t="shared" si="151"/>
        <v>0.41615471677597599</v>
      </c>
      <c r="AN84" s="2239">
        <f t="shared" si="151"/>
        <v>0.31760452570058451</v>
      </c>
      <c r="AO84" s="2238">
        <f t="shared" si="151"/>
        <v>0.21264142504541619</v>
      </c>
      <c r="AP84" s="2238">
        <f t="shared" si="151"/>
        <v>0.34844812296778022</v>
      </c>
      <c r="AQ84" s="2238">
        <f t="shared" si="151"/>
        <v>0.42797663867779479</v>
      </c>
      <c r="AR84" s="2239">
        <f t="shared" si="151"/>
        <v>0.27156267524931121</v>
      </c>
      <c r="AS84" s="2238">
        <f t="shared" si="151"/>
        <v>0.23398934382950135</v>
      </c>
      <c r="AT84" s="2238">
        <f t="shared" si="151"/>
        <v>0.37867172501457869</v>
      </c>
      <c r="AU84" s="2238">
        <f t="shared" si="151"/>
        <v>0.47737128058137446</v>
      </c>
      <c r="AV84" s="2239">
        <f t="shared" si="151"/>
        <v>0.39585362193435925</v>
      </c>
      <c r="AW84" s="2238">
        <f t="shared" si="151"/>
        <v>0.29364243723285549</v>
      </c>
      <c r="AX84" s="2238">
        <f t="shared" si="151"/>
        <v>0.40551207573557074</v>
      </c>
      <c r="AY84" s="2238">
        <f t="shared" si="151"/>
        <v>0.51981867921365799</v>
      </c>
      <c r="AZ84" s="2239">
        <f t="shared" si="151"/>
        <v>0.41440460174189769</v>
      </c>
      <c r="BA84" s="2238">
        <f t="shared" si="151"/>
        <v>0.32084506373960081</v>
      </c>
      <c r="BB84" s="2238">
        <f t="shared" si="151"/>
        <v>0.44468365395267395</v>
      </c>
      <c r="BC84" s="2238">
        <f t="shared" si="151"/>
        <v>0.56773088711700614</v>
      </c>
      <c r="BD84" s="2239">
        <f t="shared" si="151"/>
        <v>0.4298196349646819</v>
      </c>
      <c r="BE84" s="2238">
        <f t="shared" si="151"/>
        <v>0.33592362583547697</v>
      </c>
      <c r="BF84" s="2238">
        <f t="shared" si="151"/>
        <v>0.46462850871689459</v>
      </c>
      <c r="BG84" s="2238">
        <f t="shared" si="151"/>
        <v>0.54667200381524972</v>
      </c>
      <c r="BH84" s="2239">
        <f t="shared" si="151"/>
        <v>0.40696568236233049</v>
      </c>
      <c r="BI84" s="2238">
        <f t="shared" si="151"/>
        <v>0.31606225827378387</v>
      </c>
      <c r="BJ84" s="2238">
        <f t="shared" si="151"/>
        <v>0.4162538705283429</v>
      </c>
      <c r="BK84" s="2238">
        <f t="shared" si="151"/>
        <v>0.53781399803425201</v>
      </c>
      <c r="BL84" s="2239">
        <f t="shared" si="151"/>
        <v>0.39268627264211159</v>
      </c>
      <c r="BM84" s="2238">
        <f t="shared" ref="BM84:CF84" si="152">+BM83/BM39</f>
        <v>0.32816176088948867</v>
      </c>
      <c r="BN84" s="2238">
        <f t="shared" si="152"/>
        <v>0.40146872324742072</v>
      </c>
      <c r="BO84" s="2238">
        <f t="shared" si="152"/>
        <v>0.51851160582264444</v>
      </c>
      <c r="BP84" s="2239">
        <f t="shared" si="152"/>
        <v>0.37433188928067068</v>
      </c>
      <c r="BQ84" s="2216">
        <f t="shared" si="152"/>
        <v>0.27561480556572149</v>
      </c>
      <c r="BR84" s="2216">
        <f t="shared" si="152"/>
        <v>0.34448943239686836</v>
      </c>
      <c r="BS84" s="2216">
        <f t="shared" si="152"/>
        <v>0.51480686272979648</v>
      </c>
      <c r="BT84" s="2224">
        <f t="shared" si="152"/>
        <v>0.37281756831896412</v>
      </c>
      <c r="BU84" s="2216">
        <f t="shared" si="152"/>
        <v>0.29349723934734689</v>
      </c>
      <c r="BV84" s="2216">
        <f t="shared" si="152"/>
        <v>0.31913830583195946</v>
      </c>
      <c r="BW84" s="2216">
        <f t="shared" si="152"/>
        <v>0.50594709538394844</v>
      </c>
      <c r="BX84" s="2224">
        <f t="shared" si="152"/>
        <v>0.36552286741865625</v>
      </c>
      <c r="BY84" s="2216">
        <f t="shared" si="152"/>
        <v>0.25682075712171215</v>
      </c>
      <c r="BZ84" s="2216">
        <f t="shared" si="152"/>
        <v>0.31655788609986962</v>
      </c>
      <c r="CA84" s="2216">
        <f t="shared" si="152"/>
        <v>0.49081540445389515</v>
      </c>
      <c r="CB84" s="2240">
        <f t="shared" si="152"/>
        <v>0.37276471032075387</v>
      </c>
      <c r="CC84" s="2216">
        <f t="shared" si="152"/>
        <v>0.25372456207673494</v>
      </c>
      <c r="CD84" s="2216">
        <f t="shared" si="152"/>
        <v>0.32262013641266013</v>
      </c>
      <c r="CE84" s="2216">
        <f t="shared" si="152"/>
        <v>0.4979531259725446</v>
      </c>
      <c r="CF84" s="2224">
        <f t="shared" si="152"/>
        <v>0.3912467434264561</v>
      </c>
      <c r="CG84" s="2211"/>
      <c r="CH84" s="2212"/>
      <c r="CI84" s="530"/>
      <c r="CJ84" s="2216">
        <f t="shared" ref="CJ84:CT84" si="153">+CJ83/CJ39</f>
        <v>5.1731816780293829E-2</v>
      </c>
      <c r="CK84" s="2216">
        <f t="shared" si="153"/>
        <v>0.16583556644907263</v>
      </c>
      <c r="CL84" s="2216">
        <f t="shared" si="153"/>
        <v>0.14662590327959979</v>
      </c>
      <c r="CM84" s="2216">
        <f t="shared" si="153"/>
        <v>0.21031480073623593</v>
      </c>
      <c r="CN84" s="2216">
        <f t="shared" si="153"/>
        <v>0.32158431460927356</v>
      </c>
      <c r="CO84" s="2216">
        <f t="shared" si="153"/>
        <v>0.33252263928508297</v>
      </c>
      <c r="CP84" s="2216">
        <f t="shared" si="153"/>
        <v>0.39300883671237158</v>
      </c>
      <c r="CQ84" s="2216">
        <f t="shared" si="153"/>
        <v>0.42900149137209365</v>
      </c>
      <c r="CR84" s="2216">
        <f t="shared" si="153"/>
        <v>0.46480122602179319</v>
      </c>
      <c r="CS84" s="2216">
        <f t="shared" si="153"/>
        <v>0.45598933903015459</v>
      </c>
      <c r="CT84" s="2216">
        <f t="shared" si="153"/>
        <v>0.43535997743831845</v>
      </c>
      <c r="CU84" s="2216">
        <f>+CU83/CU39</f>
        <v>0.42231488648005766</v>
      </c>
      <c r="CV84" s="2216">
        <f>+CV83/CV39</f>
        <v>0.39570546684766061</v>
      </c>
      <c r="CW84" s="2216">
        <f t="shared" ref="CW84:DF84" si="154">+CW83/CW39</f>
        <v>0.38935617272915179</v>
      </c>
      <c r="CX84" s="2216">
        <f t="shared" si="154"/>
        <v>0.37918972981474253</v>
      </c>
      <c r="CY84" s="2216">
        <f t="shared" si="154"/>
        <v>0.384790701925316</v>
      </c>
      <c r="CZ84" s="2216">
        <f t="shared" si="154"/>
        <v>0.38593800977164122</v>
      </c>
      <c r="DA84" s="2216">
        <f t="shared" si="154"/>
        <v>0.38706129398929057</v>
      </c>
      <c r="DB84" s="2216">
        <f t="shared" si="154"/>
        <v>0.38805075232825692</v>
      </c>
      <c r="DC84" s="2216">
        <f t="shared" si="154"/>
        <v>0.38897529575717632</v>
      </c>
      <c r="DD84" s="2216">
        <f t="shared" si="154"/>
        <v>0.38907671125980431</v>
      </c>
      <c r="DE84" s="2216">
        <f t="shared" si="154"/>
        <v>0.38839358074798941</v>
      </c>
      <c r="DF84" s="2224">
        <f t="shared" si="154"/>
        <v>0.38911565233944928</v>
      </c>
      <c r="DG84" s="1499"/>
      <c r="DH84" s="1499"/>
      <c r="DJ84" s="51"/>
      <c r="DK84" s="51"/>
      <c r="DL84" s="51"/>
      <c r="DM84" s="51"/>
    </row>
    <row r="85" spans="1:122" s="58" customFormat="1" ht="11.25" customHeight="1">
      <c r="A85" s="48"/>
      <c r="B85"/>
      <c r="C85"/>
      <c r="D85"/>
      <c r="E85"/>
      <c r="F85"/>
      <c r="G85"/>
      <c r="H85" s="1047"/>
      <c r="I85" s="174" t="s">
        <v>384</v>
      </c>
      <c r="J85" s="133"/>
      <c r="K85" s="133"/>
      <c r="L85" s="57"/>
      <c r="M85" s="530"/>
      <c r="N85" s="530"/>
      <c r="O85" s="530"/>
      <c r="P85" s="2211"/>
      <c r="Q85" s="530"/>
      <c r="R85" s="530"/>
      <c r="S85" s="530"/>
      <c r="T85" s="2211"/>
      <c r="U85" s="2013"/>
      <c r="V85" s="2013"/>
      <c r="W85" s="2013"/>
      <c r="X85" s="2014"/>
      <c r="Y85" s="2013"/>
      <c r="Z85" s="2013"/>
      <c r="AA85" s="2013"/>
      <c r="AB85" s="2014"/>
      <c r="AC85" s="2013"/>
      <c r="AD85" s="2013"/>
      <c r="AE85" s="2013"/>
      <c r="AF85" s="2014"/>
      <c r="AG85" s="2241"/>
      <c r="AH85" s="2241"/>
      <c r="AI85" s="2241"/>
      <c r="AJ85" s="2242"/>
      <c r="AK85" s="2241">
        <f t="shared" ref="AK85:CF85" si="155">+(AK84-AG84)*10000</f>
        <v>648.90201701914657</v>
      </c>
      <c r="AL85" s="2241">
        <f t="shared" si="155"/>
        <v>983.10750844410234</v>
      </c>
      <c r="AM85" s="2241">
        <f t="shared" si="155"/>
        <v>1189.5066183810816</v>
      </c>
      <c r="AN85" s="2242">
        <f t="shared" si="155"/>
        <v>1320.1814347443246</v>
      </c>
      <c r="AO85" s="2241">
        <f t="shared" si="155"/>
        <v>859.35659388966883</v>
      </c>
      <c r="AP85" s="2241">
        <f t="shared" si="155"/>
        <v>156.37731278033252</v>
      </c>
      <c r="AQ85" s="2241">
        <f t="shared" si="155"/>
        <v>118.219219018188</v>
      </c>
      <c r="AR85" s="2242">
        <f t="shared" si="155"/>
        <v>-460.41850451273291</v>
      </c>
      <c r="AS85" s="2241">
        <f t="shared" si="155"/>
        <v>213.47918784085152</v>
      </c>
      <c r="AT85" s="2241">
        <f t="shared" si="155"/>
        <v>302.2360204679847</v>
      </c>
      <c r="AU85" s="2241">
        <f t="shared" si="155"/>
        <v>493.94641903579674</v>
      </c>
      <c r="AV85" s="2242">
        <f t="shared" si="155"/>
        <v>1242.9094668504804</v>
      </c>
      <c r="AW85" s="2241">
        <f t="shared" si="155"/>
        <v>596.53093403354148</v>
      </c>
      <c r="AX85" s="2241">
        <f t="shared" si="155"/>
        <v>268.40350720992058</v>
      </c>
      <c r="AY85" s="2241">
        <f t="shared" si="155"/>
        <v>424.47398632283529</v>
      </c>
      <c r="AZ85" s="2242">
        <f t="shared" si="155"/>
        <v>185.50979807538448</v>
      </c>
      <c r="BA85" s="2241">
        <f t="shared" si="155"/>
        <v>272.02626506745321</v>
      </c>
      <c r="BB85" s="2241">
        <f t="shared" si="155"/>
        <v>391.71578217103212</v>
      </c>
      <c r="BC85" s="2241">
        <f t="shared" si="155"/>
        <v>479.12207903348161</v>
      </c>
      <c r="BD85" s="2242">
        <f t="shared" si="155"/>
        <v>154.15033222784203</v>
      </c>
      <c r="BE85" s="2241">
        <f t="shared" si="155"/>
        <v>150.78562095876157</v>
      </c>
      <c r="BF85" s="2241">
        <f t="shared" si="155"/>
        <v>199.44854764220642</v>
      </c>
      <c r="BG85" s="2241">
        <f t="shared" si="155"/>
        <v>-210.58883301756427</v>
      </c>
      <c r="BH85" s="2242">
        <f t="shared" si="155"/>
        <v>-228.53952602351401</v>
      </c>
      <c r="BI85" s="2243">
        <f t="shared" si="155"/>
        <v>-198.613675616931</v>
      </c>
      <c r="BJ85" s="2241">
        <f t="shared" si="155"/>
        <v>-483.746381885517</v>
      </c>
      <c r="BK85" s="2241">
        <f t="shared" si="155"/>
        <v>-88.580057809977134</v>
      </c>
      <c r="BL85" s="2242">
        <f t="shared" si="155"/>
        <v>-142.79409720218905</v>
      </c>
      <c r="BM85" s="2243">
        <f t="shared" si="155"/>
        <v>120.99502615704804</v>
      </c>
      <c r="BN85" s="2241">
        <f t="shared" si="155"/>
        <v>-147.85147280922172</v>
      </c>
      <c r="BO85" s="2241">
        <f t="shared" si="155"/>
        <v>-193.02392211607565</v>
      </c>
      <c r="BP85" s="2242">
        <f t="shared" si="155"/>
        <v>-183.54383361440907</v>
      </c>
      <c r="BQ85" s="2013">
        <f t="shared" si="155"/>
        <v>-525.4695532376719</v>
      </c>
      <c r="BR85" s="2013">
        <f t="shared" si="155"/>
        <v>-569.79290850552366</v>
      </c>
      <c r="BS85" s="2013">
        <f t="shared" si="155"/>
        <v>-37.047430928479621</v>
      </c>
      <c r="BT85" s="2014">
        <f t="shared" si="155"/>
        <v>-15.143209617065612</v>
      </c>
      <c r="BU85" s="2013">
        <f t="shared" si="155"/>
        <v>178.82433781625406</v>
      </c>
      <c r="BV85" s="2013">
        <f t="shared" si="155"/>
        <v>-253.51126564908898</v>
      </c>
      <c r="BW85" s="2013">
        <f t="shared" si="155"/>
        <v>-88.597673458480358</v>
      </c>
      <c r="BX85" s="2014">
        <f t="shared" si="155"/>
        <v>-72.947009003078705</v>
      </c>
      <c r="BY85" s="2013">
        <f t="shared" si="155"/>
        <v>-366.76482225634743</v>
      </c>
      <c r="BZ85" s="2013">
        <f t="shared" si="155"/>
        <v>-25.804197320898336</v>
      </c>
      <c r="CA85" s="2013">
        <f t="shared" si="155"/>
        <v>-151.31690930053287</v>
      </c>
      <c r="CB85" s="2244">
        <f t="shared" si="155"/>
        <v>72.418429020976177</v>
      </c>
      <c r="CC85" s="2013">
        <f t="shared" si="155"/>
        <v>-30.961950449772125</v>
      </c>
      <c r="CD85" s="2013">
        <f t="shared" si="155"/>
        <v>60.62250312790507</v>
      </c>
      <c r="CE85" s="2013">
        <f t="shared" si="155"/>
        <v>71.377215186494425</v>
      </c>
      <c r="CF85" s="2014">
        <f t="shared" si="155"/>
        <v>184.82033105702234</v>
      </c>
      <c r="CG85" s="2211"/>
      <c r="CH85" s="2212"/>
      <c r="CI85" s="530"/>
      <c r="CJ85" s="2013"/>
      <c r="CK85" s="2013">
        <f t="shared" ref="CK85:DF85" si="156">+(CK84-CJ84)*10000</f>
        <v>1141.037496687788</v>
      </c>
      <c r="CL85" s="2013">
        <f t="shared" si="156"/>
        <v>-192.09663169472842</v>
      </c>
      <c r="CM85" s="2013">
        <f t="shared" si="156"/>
        <v>636.88897456636141</v>
      </c>
      <c r="CN85" s="2013">
        <f t="shared" si="156"/>
        <v>1112.6951387303764</v>
      </c>
      <c r="CO85" s="2013">
        <f t="shared" si="156"/>
        <v>109.38324675809407</v>
      </c>
      <c r="CP85" s="2013">
        <f t="shared" si="156"/>
        <v>604.86197427288607</v>
      </c>
      <c r="CQ85" s="2013">
        <f t="shared" si="156"/>
        <v>359.92654659722069</v>
      </c>
      <c r="CR85" s="2013">
        <f t="shared" si="156"/>
        <v>357.99734649699542</v>
      </c>
      <c r="CS85" s="2013">
        <f t="shared" si="156"/>
        <v>-88.118869916385961</v>
      </c>
      <c r="CT85" s="2013">
        <f t="shared" si="156"/>
        <v>-206.2936159183615</v>
      </c>
      <c r="CU85" s="2013">
        <f t="shared" si="156"/>
        <v>-130.45090958260786</v>
      </c>
      <c r="CV85" s="2013">
        <f t="shared" si="156"/>
        <v>-266.09419632397049</v>
      </c>
      <c r="CW85" s="2013">
        <f t="shared" si="156"/>
        <v>-63.492941185088192</v>
      </c>
      <c r="CX85" s="2013">
        <f t="shared" si="156"/>
        <v>-101.66442914409268</v>
      </c>
      <c r="CY85" s="2013">
        <f t="shared" si="156"/>
        <v>56.009721105734769</v>
      </c>
      <c r="CZ85" s="2013">
        <f t="shared" si="156"/>
        <v>11.473078463252184</v>
      </c>
      <c r="DA85" s="2013">
        <f t="shared" si="156"/>
        <v>11.232842176493453</v>
      </c>
      <c r="DB85" s="2013">
        <f t="shared" si="156"/>
        <v>9.894583389663536</v>
      </c>
      <c r="DC85" s="2013">
        <f t="shared" si="156"/>
        <v>9.245434289193998</v>
      </c>
      <c r="DD85" s="2013">
        <f t="shared" si="156"/>
        <v>1.0141550262798837</v>
      </c>
      <c r="DE85" s="2013">
        <f t="shared" si="156"/>
        <v>-6.8313051181490003</v>
      </c>
      <c r="DF85" s="2014">
        <f t="shared" si="156"/>
        <v>7.2207159145987188</v>
      </c>
      <c r="DG85" s="1499"/>
      <c r="DH85" s="1499"/>
      <c r="DJ85" s="51"/>
      <c r="DK85" s="51"/>
      <c r="DL85" s="51"/>
      <c r="DM85" s="51"/>
    </row>
    <row r="86" spans="1:122" s="58" customFormat="1" ht="11.25" customHeight="1">
      <c r="A86" s="48"/>
      <c r="B86"/>
      <c r="C86"/>
      <c r="D86"/>
      <c r="E86"/>
      <c r="F86"/>
      <c r="G86"/>
      <c r="H86" s="1047"/>
      <c r="I86" s="174"/>
      <c r="J86" s="133"/>
      <c r="K86" s="133"/>
      <c r="L86" s="57"/>
      <c r="M86" s="530"/>
      <c r="N86" s="530"/>
      <c r="O86" s="530"/>
      <c r="P86" s="2211"/>
      <c r="Q86" s="530"/>
      <c r="R86" s="530"/>
      <c r="S86" s="530"/>
      <c r="T86" s="2211"/>
      <c r="U86" s="2013"/>
      <c r="V86" s="2013"/>
      <c r="W86" s="2013"/>
      <c r="X86" s="2014"/>
      <c r="Y86" s="2013"/>
      <c r="Z86" s="2013"/>
      <c r="AA86" s="2013"/>
      <c r="AB86" s="2014"/>
      <c r="AC86" s="2013"/>
      <c r="AD86" s="2013"/>
      <c r="AE86" s="2013"/>
      <c r="AF86" s="2014"/>
      <c r="AG86" s="2013"/>
      <c r="AH86" s="2013"/>
      <c r="AI86" s="2013"/>
      <c r="AJ86" s="2014"/>
      <c r="AK86" s="2013"/>
      <c r="AL86" s="2013"/>
      <c r="AM86" s="2013"/>
      <c r="AN86" s="2014"/>
      <c r="AO86" s="2013"/>
      <c r="AP86" s="2013"/>
      <c r="AQ86" s="2013"/>
      <c r="AR86" s="2014"/>
      <c r="AS86" s="2013"/>
      <c r="AT86" s="2013"/>
      <c r="AU86" s="2013"/>
      <c r="AV86" s="2014"/>
      <c r="AW86" s="2013"/>
      <c r="AX86" s="2013"/>
      <c r="AY86" s="2013"/>
      <c r="AZ86" s="2014"/>
      <c r="BA86" s="2013"/>
      <c r="BB86" s="2013"/>
      <c r="BC86" s="2013"/>
      <c r="BD86" s="2014"/>
      <c r="BE86" s="2013"/>
      <c r="BF86" s="2013"/>
      <c r="BG86" s="2013"/>
      <c r="BH86" s="2014"/>
      <c r="BI86" s="2013"/>
      <c r="BJ86" s="2013"/>
      <c r="BK86" s="2013"/>
      <c r="BL86" s="2014"/>
      <c r="BM86" s="2013"/>
      <c r="BN86" s="2013"/>
      <c r="BO86" s="2013"/>
      <c r="BP86" s="2014"/>
      <c r="BQ86" s="2013"/>
      <c r="BR86" s="2013"/>
      <c r="BS86" s="2013"/>
      <c r="BT86" s="2014"/>
      <c r="BU86" s="2013"/>
      <c r="BV86" s="2013"/>
      <c r="BW86" s="2013"/>
      <c r="BX86" s="1977"/>
      <c r="BY86" s="2013"/>
      <c r="BZ86" s="1966"/>
      <c r="CA86" s="1966"/>
      <c r="CB86" s="2143"/>
      <c r="CC86" s="1966">
        <f>+CC95/705-1</f>
        <v>8.4617746886982648E-2</v>
      </c>
      <c r="CD86" s="2013"/>
      <c r="CE86" s="2013"/>
      <c r="CF86" s="1977"/>
      <c r="CG86" s="2211"/>
      <c r="CH86" s="2212"/>
      <c r="CI86" s="530"/>
      <c r="CJ86" s="2013"/>
      <c r="CK86" s="2013"/>
      <c r="CL86" s="2013"/>
      <c r="CM86" s="2013"/>
      <c r="CN86" s="2013"/>
      <c r="CO86" s="2013"/>
      <c r="CP86" s="2013"/>
      <c r="CQ86" s="2013"/>
      <c r="CR86" s="2013"/>
      <c r="CS86" s="2013"/>
      <c r="CT86" s="2013"/>
      <c r="CU86" s="2013"/>
      <c r="CV86" s="2013"/>
      <c r="CW86" s="2013"/>
      <c r="CX86" s="2013"/>
      <c r="CY86" s="2013"/>
      <c r="CZ86" s="2013"/>
      <c r="DA86" s="2013"/>
      <c r="DB86" s="2013"/>
      <c r="DC86" s="2013"/>
      <c r="DD86" s="2013"/>
      <c r="DE86" s="2013"/>
      <c r="DF86" s="2014"/>
      <c r="DG86" s="1499"/>
      <c r="DH86" s="1499"/>
      <c r="DJ86" s="51"/>
      <c r="DK86" s="51"/>
      <c r="DL86" s="51"/>
      <c r="DM86" s="51"/>
    </row>
    <row r="87" spans="1:122" s="584" customFormat="1" ht="11.25" hidden="1" customHeight="1" outlineLevel="1">
      <c r="A87" s="542"/>
      <c r="B87"/>
      <c r="C87"/>
      <c r="D87"/>
      <c r="E87"/>
      <c r="F87"/>
      <c r="G87"/>
      <c r="H87" s="1052"/>
      <c r="I87" s="589" t="s">
        <v>734</v>
      </c>
      <c r="J87" s="590"/>
      <c r="K87" s="590"/>
      <c r="L87" s="542"/>
      <c r="M87" s="543"/>
      <c r="N87" s="543"/>
      <c r="O87" s="543"/>
      <c r="P87" s="1003"/>
      <c r="Q87" s="543"/>
      <c r="R87" s="543"/>
      <c r="S87" s="543"/>
      <c r="T87" s="1003"/>
      <c r="U87" s="1931"/>
      <c r="V87" s="1931"/>
      <c r="W87" s="1931"/>
      <c r="X87" s="1930"/>
      <c r="Y87" s="1931"/>
      <c r="Z87" s="1931"/>
      <c r="AA87" s="1931"/>
      <c r="AB87" s="1930"/>
      <c r="AC87" s="1931"/>
      <c r="AD87" s="1931"/>
      <c r="AE87" s="1931"/>
      <c r="AF87" s="1930"/>
      <c r="AG87" s="1931">
        <f t="shared" ref="AG87:AV87" si="157">+AG79+AG69+AG119+AG105</f>
        <v>10.409000000000002</v>
      </c>
      <c r="AH87" s="1931">
        <f t="shared" si="157"/>
        <v>30.962000000000003</v>
      </c>
      <c r="AI87" s="1931">
        <f t="shared" si="157"/>
        <v>41.319000000000003</v>
      </c>
      <c r="AJ87" s="1930">
        <f t="shared" si="157"/>
        <v>25.778999999999957</v>
      </c>
      <c r="AK87" s="1931">
        <f t="shared" si="157"/>
        <v>19.139000000000038</v>
      </c>
      <c r="AL87" s="1931">
        <f t="shared" si="157"/>
        <v>57.861999999999945</v>
      </c>
      <c r="AM87" s="1931">
        <f t="shared" si="157"/>
        <v>89.984999999999985</v>
      </c>
      <c r="AN87" s="1930">
        <f t="shared" si="157"/>
        <v>57.902000000000001</v>
      </c>
      <c r="AO87" s="1931">
        <f t="shared" si="157"/>
        <v>47.733000000000004</v>
      </c>
      <c r="AP87" s="1931">
        <f t="shared" si="157"/>
        <v>101.31100000000004</v>
      </c>
      <c r="AQ87" s="1931">
        <f t="shared" si="157"/>
        <v>152.44800000000004</v>
      </c>
      <c r="AR87" s="1930">
        <f t="shared" si="157"/>
        <v>76.101999999999975</v>
      </c>
      <c r="AS87" s="1931">
        <f t="shared" si="157"/>
        <v>63.743000000000009</v>
      </c>
      <c r="AT87" s="1931">
        <f t="shared" si="157"/>
        <v>126.22200000000001</v>
      </c>
      <c r="AU87" s="1931">
        <f t="shared" si="157"/>
        <v>224.577</v>
      </c>
      <c r="AV87" s="1930">
        <f t="shared" si="157"/>
        <v>133.16300000000004</v>
      </c>
      <c r="AW87" s="1931">
        <f t="shared" ref="AW87:BI87" si="158">+AW79+AW69+AW118+AW105</f>
        <v>111.71799999999988</v>
      </c>
      <c r="AX87" s="1931">
        <f t="shared" si="158"/>
        <v>204.20699999999988</v>
      </c>
      <c r="AY87" s="1931">
        <f t="shared" si="158"/>
        <v>362.53099999999984</v>
      </c>
      <c r="AZ87" s="1930">
        <f t="shared" si="158"/>
        <v>222.92500000000007</v>
      </c>
      <c r="BA87" s="1931">
        <f t="shared" si="158"/>
        <v>173.458</v>
      </c>
      <c r="BB87" s="1931">
        <f t="shared" si="158"/>
        <v>349.05300000000005</v>
      </c>
      <c r="BC87" s="1931">
        <f t="shared" si="158"/>
        <v>644.46000000000015</v>
      </c>
      <c r="BD87" s="1930">
        <f t="shared" si="158"/>
        <v>344.00400000000008</v>
      </c>
      <c r="BE87" s="1931">
        <f t="shared" si="158"/>
        <v>271.52000000000004</v>
      </c>
      <c r="BF87" s="1931">
        <f t="shared" si="158"/>
        <v>494.83499999999992</v>
      </c>
      <c r="BG87" s="1931">
        <f t="shared" si="158"/>
        <v>780.89800000000002</v>
      </c>
      <c r="BH87" s="1930">
        <f t="shared" si="158"/>
        <v>425.65100000000012</v>
      </c>
      <c r="BI87" s="2054">
        <f t="shared" si="158"/>
        <v>368.23599999999988</v>
      </c>
      <c r="BJ87" s="1931">
        <f>+BJ79+BJ69+BJ118+BJ105+6.444</f>
        <v>621.25599999999986</v>
      </c>
      <c r="BK87" s="1931">
        <f t="shared" ref="BK87:CF87" si="159">+BK79+BK69+BK118+BK105</f>
        <v>1113.9169999999997</v>
      </c>
      <c r="BL87" s="1930">
        <f t="shared" si="159"/>
        <v>578.09499999999991</v>
      </c>
      <c r="BM87" s="2054">
        <f t="shared" si="159"/>
        <v>513.33199999999999</v>
      </c>
      <c r="BN87" s="1931">
        <f t="shared" si="159"/>
        <v>809.42499999999995</v>
      </c>
      <c r="BO87" s="1931">
        <f t="shared" si="159"/>
        <v>1429.9110000000003</v>
      </c>
      <c r="BP87" s="1930">
        <f t="shared" si="159"/>
        <v>711.71399999999994</v>
      </c>
      <c r="BQ87" s="1931">
        <f t="shared" si="159"/>
        <v>531.7349999999999</v>
      </c>
      <c r="BR87" s="1931">
        <f t="shared" si="159"/>
        <v>804.72500000000014</v>
      </c>
      <c r="BS87" s="1931">
        <f t="shared" si="159"/>
        <v>1596.597</v>
      </c>
      <c r="BT87" s="1930">
        <f t="shared" si="159"/>
        <v>789.59599999999966</v>
      </c>
      <c r="BU87" s="1931">
        <f>+BU79+BU69+BU118+BU105</f>
        <v>676.26099999999951</v>
      </c>
      <c r="BV87" s="1931">
        <f t="shared" si="159"/>
        <v>867.09200000000021</v>
      </c>
      <c r="BW87" s="1931">
        <f t="shared" si="159"/>
        <v>1902.3150000000005</v>
      </c>
      <c r="BX87" s="1930">
        <f t="shared" si="159"/>
        <v>943.14099999999974</v>
      </c>
      <c r="BY87" s="1931">
        <f t="shared" si="159"/>
        <v>693.71299999999997</v>
      </c>
      <c r="BZ87" s="1931">
        <f t="shared" si="159"/>
        <v>1041.0160000000005</v>
      </c>
      <c r="CA87" s="1931">
        <f t="shared" si="159"/>
        <v>2254.0970000000002</v>
      </c>
      <c r="CB87" s="2143">
        <f t="shared" si="159"/>
        <v>1139.3159999999998</v>
      </c>
      <c r="CC87" s="1931">
        <f t="shared" si="159"/>
        <v>828.3193515553229</v>
      </c>
      <c r="CD87" s="1931">
        <f t="shared" si="159"/>
        <v>1282.2327475840202</v>
      </c>
      <c r="CE87" s="1931">
        <f t="shared" si="159"/>
        <v>2629.0005533780973</v>
      </c>
      <c r="CF87" s="1930">
        <f t="shared" si="159"/>
        <v>1465.8994563980068</v>
      </c>
      <c r="CG87" s="1930"/>
      <c r="CH87" s="1006"/>
      <c r="CI87" s="543"/>
      <c r="CJ87" s="1931">
        <f t="shared" ref="CJ87:CS87" si="160">+CJ79+CJ69+CJ118+CJ105</f>
        <v>19.793999999999997</v>
      </c>
      <c r="CK87" s="1931">
        <f t="shared" si="160"/>
        <v>48.624000000000031</v>
      </c>
      <c r="CL87" s="1931">
        <f t="shared" si="160"/>
        <v>68.875000000000043</v>
      </c>
      <c r="CM87" s="1931">
        <f t="shared" si="160"/>
        <v>108.46900000000016</v>
      </c>
      <c r="CN87" s="1931">
        <f t="shared" si="160"/>
        <v>221.54199999999966</v>
      </c>
      <c r="CO87" s="1931">
        <f t="shared" si="160"/>
        <v>388.50800000000004</v>
      </c>
      <c r="CP87" s="1931">
        <f t="shared" si="160"/>
        <v>564.8599999999999</v>
      </c>
      <c r="CQ87" s="1931">
        <f t="shared" si="160"/>
        <v>901.38099999999974</v>
      </c>
      <c r="CR87" s="1931">
        <f t="shared" si="160"/>
        <v>1510.9750000000004</v>
      </c>
      <c r="CS87" s="1931">
        <f t="shared" si="160"/>
        <v>1972.9040000000009</v>
      </c>
      <c r="CT87" s="1931">
        <f>+SUM(BI87:BL87)</f>
        <v>2681.5039999999995</v>
      </c>
      <c r="CU87" s="1931">
        <f t="shared" ref="CU87:DF87" si="161">+CU79+CU69+CU118+CU105</f>
        <v>3464.3819999999987</v>
      </c>
      <c r="CV87" s="1931">
        <f t="shared" si="161"/>
        <v>3722.6529999999993</v>
      </c>
      <c r="CW87" s="1931">
        <f t="shared" si="161"/>
        <v>4388.8089999999993</v>
      </c>
      <c r="CX87" s="1931">
        <f t="shared" si="161"/>
        <v>5128.1419999999989</v>
      </c>
      <c r="CY87" s="1931">
        <f t="shared" si="161"/>
        <v>6205.4521089154487</v>
      </c>
      <c r="CZ87" s="1931">
        <f t="shared" si="161"/>
        <v>7100.7940365486802</v>
      </c>
      <c r="DA87" s="1931">
        <f t="shared" si="161"/>
        <v>8002.1957642567831</v>
      </c>
      <c r="DB87" s="1931">
        <f t="shared" si="161"/>
        <v>8902.3184116247012</v>
      </c>
      <c r="DC87" s="1931">
        <f t="shared" si="161"/>
        <v>9796.130898620564</v>
      </c>
      <c r="DD87" s="1931">
        <f t="shared" si="161"/>
        <v>10672.156285662028</v>
      </c>
      <c r="DE87" s="1931">
        <f t="shared" si="161"/>
        <v>11519.346363875349</v>
      </c>
      <c r="DF87" s="1930">
        <f t="shared" si="161"/>
        <v>12474.239497650997</v>
      </c>
      <c r="DG87" s="1489">
        <f>+(CV87/CQ87)^(1/5)-1</f>
        <v>0.32797173465502083</v>
      </c>
      <c r="DH87" s="1489">
        <f>+(DA87/CV87)^(1/5)-1</f>
        <v>0.16539009642064162</v>
      </c>
      <c r="DJ87" s="51"/>
      <c r="DK87" s="51"/>
      <c r="DL87" s="51"/>
      <c r="DM87" s="51"/>
      <c r="DN87" s="689"/>
      <c r="DO87" s="689"/>
      <c r="DP87" s="689"/>
      <c r="DQ87" s="689"/>
      <c r="DR87" s="689"/>
    </row>
    <row r="88" spans="1:122" s="51" customFormat="1" ht="11.25" hidden="1" customHeight="1" outlineLevel="1">
      <c r="A88" s="82"/>
      <c r="B88"/>
      <c r="C88"/>
      <c r="D88"/>
      <c r="E88"/>
      <c r="F88"/>
      <c r="G88"/>
      <c r="H88" s="1044"/>
      <c r="I88" s="259" t="s">
        <v>543</v>
      </c>
      <c r="J88" s="82"/>
      <c r="K88" s="82"/>
      <c r="L88" s="82"/>
      <c r="M88" s="292"/>
      <c r="N88" s="292"/>
      <c r="O88" s="292"/>
      <c r="P88" s="1007"/>
      <c r="Q88" s="292"/>
      <c r="R88" s="292"/>
      <c r="S88" s="292"/>
      <c r="T88" s="1007"/>
      <c r="U88" s="2010"/>
      <c r="V88" s="2010"/>
      <c r="W88" s="2010"/>
      <c r="X88" s="2011"/>
      <c r="Y88" s="2010"/>
      <c r="Z88" s="2010"/>
      <c r="AA88" s="2010"/>
      <c r="AB88" s="2011"/>
      <c r="AC88" s="2010"/>
      <c r="AD88" s="2010"/>
      <c r="AE88" s="2010"/>
      <c r="AF88" s="2011"/>
      <c r="AG88" s="2010">
        <f t="shared" ref="AG88:BL88" si="162">+AG87/AG39</f>
        <v>0.14410710082928388</v>
      </c>
      <c r="AH88" s="2010">
        <f t="shared" si="162"/>
        <v>0.29263543911383316</v>
      </c>
      <c r="AI88" s="2010">
        <f t="shared" si="162"/>
        <v>0.3377943100065402</v>
      </c>
      <c r="AJ88" s="2011">
        <f t="shared" si="162"/>
        <v>0.25904116884552353</v>
      </c>
      <c r="AK88" s="2010">
        <f t="shared" si="162"/>
        <v>0.18431417868045757</v>
      </c>
      <c r="AL88" s="2010">
        <f t="shared" si="162"/>
        <v>0.37356110347142846</v>
      </c>
      <c r="AM88" s="2010">
        <f t="shared" si="162"/>
        <v>0.44474153738181488</v>
      </c>
      <c r="AN88" s="2011">
        <f t="shared" si="162"/>
        <v>0.36154403316848993</v>
      </c>
      <c r="AO88" s="2010">
        <f t="shared" si="162"/>
        <v>0.2635682456944391</v>
      </c>
      <c r="AP88" s="2010">
        <f t="shared" si="162"/>
        <v>0.39929451177455916</v>
      </c>
      <c r="AQ88" s="2010">
        <f t="shared" si="162"/>
        <v>0.48231132821645295</v>
      </c>
      <c r="AR88" s="2011">
        <f t="shared" si="162"/>
        <v>0.37111159876136823</v>
      </c>
      <c r="AS88" s="2010">
        <f t="shared" si="162"/>
        <v>0.30597129554072872</v>
      </c>
      <c r="AT88" s="2010">
        <f t="shared" si="162"/>
        <v>0.41351994181589452</v>
      </c>
      <c r="AU88" s="2010">
        <f t="shared" si="162"/>
        <v>0.51745137164002342</v>
      </c>
      <c r="AV88" s="2011">
        <f t="shared" si="162"/>
        <v>0.42518415397731085</v>
      </c>
      <c r="AW88" s="2010">
        <f t="shared" si="162"/>
        <v>0.35008586219431154</v>
      </c>
      <c r="AX88" s="2010">
        <f t="shared" si="162"/>
        <v>0.45767441235006168</v>
      </c>
      <c r="AY88" s="2010">
        <f t="shared" si="162"/>
        <v>0.54254214256638633</v>
      </c>
      <c r="AZ88" s="2011">
        <f t="shared" si="162"/>
        <v>0.46426652449361272</v>
      </c>
      <c r="BA88" s="2010">
        <f t="shared" si="162"/>
        <v>0.34293249612501181</v>
      </c>
      <c r="BB88" s="2010">
        <f t="shared" si="162"/>
        <v>0.46588417128587201</v>
      </c>
      <c r="BC88" s="2010">
        <f t="shared" si="162"/>
        <v>0.58579391136465286</v>
      </c>
      <c r="BD88" s="2011">
        <f t="shared" si="162"/>
        <v>0.47468666214983651</v>
      </c>
      <c r="BE88" s="2010">
        <f t="shared" si="162"/>
        <v>0.365295820731668</v>
      </c>
      <c r="BF88" s="2010">
        <f t="shared" si="162"/>
        <v>0.49279384788207237</v>
      </c>
      <c r="BG88" s="2010">
        <f t="shared" si="162"/>
        <v>0.55918184090093748</v>
      </c>
      <c r="BH88" s="2011">
        <f t="shared" si="162"/>
        <v>0.4529406757116255</v>
      </c>
      <c r="BI88" s="2245">
        <f t="shared" si="162"/>
        <v>0.3647110675323002</v>
      </c>
      <c r="BJ88" s="2010">
        <f t="shared" si="162"/>
        <v>0.44893142706425154</v>
      </c>
      <c r="BK88" s="2010">
        <f t="shared" si="162"/>
        <v>0.56002041160042526</v>
      </c>
      <c r="BL88" s="2011">
        <f t="shared" si="162"/>
        <v>0.43358176435778562</v>
      </c>
      <c r="BM88" s="2245">
        <f t="shared" ref="BM88:CF88" si="163">+BM87/BM39</f>
        <v>0.36497873045373841</v>
      </c>
      <c r="BN88" s="2010">
        <f t="shared" si="163"/>
        <v>0.42986018026591666</v>
      </c>
      <c r="BO88" s="2010">
        <f t="shared" si="163"/>
        <v>0.54577214007140529</v>
      </c>
      <c r="BP88" s="2011">
        <f t="shared" si="163"/>
        <v>0.42498380292413196</v>
      </c>
      <c r="BQ88" s="2010">
        <f t="shared" si="163"/>
        <v>0.31797844323408891</v>
      </c>
      <c r="BR88" s="2010">
        <f t="shared" si="163"/>
        <v>0.3845012628374137</v>
      </c>
      <c r="BS88" s="2010">
        <f t="shared" si="163"/>
        <v>0.54171843752990045</v>
      </c>
      <c r="BT88" s="2011">
        <f t="shared" si="163"/>
        <v>0.42013575732035446</v>
      </c>
      <c r="BU88" s="2010">
        <f t="shared" si="163"/>
        <v>0.33487385179132917</v>
      </c>
      <c r="BV88" s="2010">
        <f t="shared" si="163"/>
        <v>0.35685471092896676</v>
      </c>
      <c r="BW88" s="2010">
        <f t="shared" si="163"/>
        <v>0.53003109725296005</v>
      </c>
      <c r="BX88" s="2011">
        <f t="shared" si="163"/>
        <v>0.41431960923596906</v>
      </c>
      <c r="BY88" s="2010">
        <f t="shared" si="163"/>
        <v>0.29719072843993855</v>
      </c>
      <c r="BZ88" s="2010">
        <f t="shared" si="163"/>
        <v>0.35266991754900567</v>
      </c>
      <c r="CA88" s="2010">
        <f t="shared" si="163"/>
        <v>0.51527481779281226</v>
      </c>
      <c r="CB88" s="2246">
        <f t="shared" si="163"/>
        <v>0.41131387902205924</v>
      </c>
      <c r="CC88" s="2010">
        <f t="shared" si="163"/>
        <v>0.29609453272320457</v>
      </c>
      <c r="CD88" s="2010">
        <f t="shared" si="163"/>
        <v>0.35995663422878171</v>
      </c>
      <c r="CE88" s="2010">
        <f t="shared" si="163"/>
        <v>0.52533666305693749</v>
      </c>
      <c r="CF88" s="2011">
        <f t="shared" si="163"/>
        <v>0.43398175289260771</v>
      </c>
      <c r="CG88" s="1007"/>
      <c r="CH88" s="1010"/>
      <c r="CI88" s="292"/>
      <c r="CJ88" s="2010">
        <f t="shared" ref="CJ88:DF88" si="164">+CJ87/CJ39</f>
        <v>0.13562643461577989</v>
      </c>
      <c r="CK88" s="2010">
        <f t="shared" si="164"/>
        <v>0.24174327206558663</v>
      </c>
      <c r="CL88" s="2010">
        <f t="shared" si="164"/>
        <v>0.25523438947563476</v>
      </c>
      <c r="CM88" s="2010">
        <f t="shared" si="164"/>
        <v>0.27125930297695289</v>
      </c>
      <c r="CN88" s="2010">
        <f t="shared" si="164"/>
        <v>0.35662693270445783</v>
      </c>
      <c r="CO88" s="2010">
        <f t="shared" si="164"/>
        <v>0.40640144941635259</v>
      </c>
      <c r="CP88" s="2010">
        <f t="shared" si="164"/>
        <v>0.44803028007642987</v>
      </c>
      <c r="CQ88" s="2010">
        <f t="shared" si="164"/>
        <v>0.47102118751678701</v>
      </c>
      <c r="CR88" s="2010">
        <f t="shared" si="164"/>
        <v>0.49059541280829128</v>
      </c>
      <c r="CS88" s="2010">
        <f t="shared" si="164"/>
        <v>0.48311902913082594</v>
      </c>
      <c r="CT88" s="2010">
        <f t="shared" si="164"/>
        <v>0.46913181963391137</v>
      </c>
      <c r="CU88" s="2010">
        <f t="shared" si="164"/>
        <v>0.45679359399166403</v>
      </c>
      <c r="CV88" s="2010">
        <f t="shared" si="164"/>
        <v>0.43327940210947474</v>
      </c>
      <c r="CW88" s="2010">
        <f t="shared" si="164"/>
        <v>0.42549103744445299</v>
      </c>
      <c r="CX88" s="2010">
        <f t="shared" si="164"/>
        <v>0.4125436173554739</v>
      </c>
      <c r="CY88" s="2010">
        <f t="shared" si="164"/>
        <v>0.420940606076323</v>
      </c>
      <c r="CZ88" s="2010">
        <f t="shared" si="164"/>
        <v>0.42293160635297228</v>
      </c>
      <c r="DA88" s="2010">
        <f t="shared" si="164"/>
        <v>0.42515710286644004</v>
      </c>
      <c r="DB88" s="2010">
        <f t="shared" si="164"/>
        <v>0.4284682930789705</v>
      </c>
      <c r="DC88" s="2010">
        <f t="shared" si="164"/>
        <v>0.43184053179847298</v>
      </c>
      <c r="DD88" s="2010">
        <f t="shared" si="164"/>
        <v>0.43446168219281184</v>
      </c>
      <c r="DE88" s="2010">
        <f t="shared" si="164"/>
        <v>0.43635433781096905</v>
      </c>
      <c r="DF88" s="2011">
        <f t="shared" si="164"/>
        <v>0.43959154158704544</v>
      </c>
      <c r="DG88" s="1493"/>
      <c r="DH88" s="1493"/>
    </row>
    <row r="89" spans="1:122" s="61" customFormat="1" ht="11.25" hidden="1" customHeight="1" outlineLevel="1">
      <c r="A89" s="48"/>
      <c r="B89"/>
      <c r="C89"/>
      <c r="D89"/>
      <c r="E89"/>
      <c r="F89"/>
      <c r="G89"/>
      <c r="H89" s="1044"/>
      <c r="I89" s="188" t="s">
        <v>384</v>
      </c>
      <c r="J89" s="48"/>
      <c r="K89" s="48"/>
      <c r="L89" s="60"/>
      <c r="M89" s="2013"/>
      <c r="N89" s="2013"/>
      <c r="O89" s="2013"/>
      <c r="P89" s="2014"/>
      <c r="Q89" s="2013"/>
      <c r="R89" s="2013"/>
      <c r="S89" s="2013"/>
      <c r="T89" s="2014"/>
      <c r="U89" s="2013"/>
      <c r="V89" s="2013"/>
      <c r="W89" s="2013"/>
      <c r="X89" s="2014"/>
      <c r="Y89" s="2013"/>
      <c r="Z89" s="2013"/>
      <c r="AA89" s="2013"/>
      <c r="AB89" s="2014"/>
      <c r="AC89" s="2013"/>
      <c r="AD89" s="2013"/>
      <c r="AE89" s="2013"/>
      <c r="AF89" s="2014"/>
      <c r="AG89" s="2013"/>
      <c r="AH89" s="2013"/>
      <c r="AI89" s="2013"/>
      <c r="AJ89" s="2014"/>
      <c r="AK89" s="2013">
        <f t="shared" ref="AK89:CE89" si="165">+(AK88-AG88)*10000</f>
        <v>402.07077851173693</v>
      </c>
      <c r="AL89" s="2013">
        <f t="shared" si="165"/>
        <v>809.25664357595292</v>
      </c>
      <c r="AM89" s="2013">
        <f t="shared" si="165"/>
        <v>1069.4722737527468</v>
      </c>
      <c r="AN89" s="2014">
        <f t="shared" si="165"/>
        <v>1025.0286432296641</v>
      </c>
      <c r="AO89" s="2013">
        <f t="shared" si="165"/>
        <v>792.54067013981523</v>
      </c>
      <c r="AP89" s="2013">
        <f t="shared" si="165"/>
        <v>257.33408303130699</v>
      </c>
      <c r="AQ89" s="2013">
        <f t="shared" si="165"/>
        <v>375.6979083463807</v>
      </c>
      <c r="AR89" s="2014">
        <f t="shared" si="165"/>
        <v>95.675655928783016</v>
      </c>
      <c r="AS89" s="2013">
        <f t="shared" si="165"/>
        <v>424.03049846289622</v>
      </c>
      <c r="AT89" s="2013">
        <f t="shared" si="165"/>
        <v>142.25430041335363</v>
      </c>
      <c r="AU89" s="2013">
        <f t="shared" si="165"/>
        <v>351.40043423570467</v>
      </c>
      <c r="AV89" s="2014">
        <f t="shared" si="165"/>
        <v>540.72555215942623</v>
      </c>
      <c r="AW89" s="2013">
        <f t="shared" si="165"/>
        <v>441.14566653582818</v>
      </c>
      <c r="AX89" s="2013">
        <f t="shared" si="165"/>
        <v>441.54470534167154</v>
      </c>
      <c r="AY89" s="2013">
        <f t="shared" si="165"/>
        <v>250.90770926362916</v>
      </c>
      <c r="AZ89" s="2014">
        <f t="shared" si="165"/>
        <v>390.8237051630187</v>
      </c>
      <c r="BA89" s="2013">
        <f t="shared" si="165"/>
        <v>-71.533660692997273</v>
      </c>
      <c r="BB89" s="2013">
        <f t="shared" si="165"/>
        <v>82.097589358103292</v>
      </c>
      <c r="BC89" s="2013">
        <f t="shared" si="165"/>
        <v>432.51768798266534</v>
      </c>
      <c r="BD89" s="2014">
        <f t="shared" si="165"/>
        <v>104.20137656223794</v>
      </c>
      <c r="BE89" s="2013">
        <f t="shared" si="165"/>
        <v>223.63324606656187</v>
      </c>
      <c r="BF89" s="2013">
        <f t="shared" si="165"/>
        <v>269.09676596200359</v>
      </c>
      <c r="BG89" s="2013">
        <f t="shared" si="165"/>
        <v>-266.12070463715389</v>
      </c>
      <c r="BH89" s="2014">
        <f t="shared" si="165"/>
        <v>-217.45986438211017</v>
      </c>
      <c r="BI89" s="2015">
        <f t="shared" si="165"/>
        <v>-5.8475319936779346</v>
      </c>
      <c r="BJ89" s="2013">
        <f t="shared" si="165"/>
        <v>-438.62420817820822</v>
      </c>
      <c r="BK89" s="2013">
        <f t="shared" si="165"/>
        <v>8.3857069948778395</v>
      </c>
      <c r="BL89" s="2014">
        <f t="shared" si="165"/>
        <v>-193.58911353839881</v>
      </c>
      <c r="BM89" s="2015">
        <f t="shared" si="165"/>
        <v>2.6766292143820536</v>
      </c>
      <c r="BN89" s="2013">
        <f t="shared" si="165"/>
        <v>-190.71246798334883</v>
      </c>
      <c r="BO89" s="2013">
        <f t="shared" si="165"/>
        <v>-142.48271529019974</v>
      </c>
      <c r="BP89" s="2014">
        <f>+(BP88-BL88)*10000</f>
        <v>-85.979614336536557</v>
      </c>
      <c r="BQ89" s="2013">
        <f t="shared" si="165"/>
        <v>-470.00287219649493</v>
      </c>
      <c r="BR89" s="2013">
        <f t="shared" si="165"/>
        <v>-453.58917428502951</v>
      </c>
      <c r="BS89" s="2013">
        <f t="shared" si="165"/>
        <v>-40.537025415048333</v>
      </c>
      <c r="BT89" s="2014">
        <f>+(BT88-BP88)*10000</f>
        <v>-48.480456037774957</v>
      </c>
      <c r="BU89" s="2013">
        <f t="shared" si="165"/>
        <v>168.95408557240253</v>
      </c>
      <c r="BV89" s="2013">
        <f t="shared" si="165"/>
        <v>-276.46551908446946</v>
      </c>
      <c r="BW89" s="2013">
        <f t="shared" si="165"/>
        <v>-116.87340276940405</v>
      </c>
      <c r="BX89" s="2014">
        <f>+(BX88-BT88)*10000</f>
        <v>-58.161480843854086</v>
      </c>
      <c r="BY89" s="2013">
        <f t="shared" si="165"/>
        <v>-376.83123351390623</v>
      </c>
      <c r="BZ89" s="2013">
        <f t="shared" si="165"/>
        <v>-41.847933799610828</v>
      </c>
      <c r="CA89" s="2013">
        <f t="shared" si="165"/>
        <v>-147.56279460147792</v>
      </c>
      <c r="CB89" s="2244">
        <f>+(CB88-BX88)*10000</f>
        <v>-30.057302139098184</v>
      </c>
      <c r="CC89" s="2013">
        <f t="shared" si="165"/>
        <v>-10.961957167339719</v>
      </c>
      <c r="CD89" s="2013">
        <f t="shared" si="165"/>
        <v>72.86716679776039</v>
      </c>
      <c r="CE89" s="2013">
        <f t="shared" si="165"/>
        <v>100.61845264125236</v>
      </c>
      <c r="CF89" s="2014">
        <f>+(CF88-CB88)*10000</f>
        <v>226.6787387054847</v>
      </c>
      <c r="CG89" s="2211"/>
      <c r="CH89" s="2015"/>
      <c r="CI89" s="2013"/>
      <c r="CJ89" s="2013">
        <f t="shared" ref="CJ89:CT89" si="166">+(CJ88-CI88)*10000</f>
        <v>1356.2643461577989</v>
      </c>
      <c r="CK89" s="2013">
        <f t="shared" si="166"/>
        <v>1061.1683744980674</v>
      </c>
      <c r="CL89" s="2013">
        <f t="shared" si="166"/>
        <v>134.9111741004813</v>
      </c>
      <c r="CM89" s="2013">
        <f t="shared" si="166"/>
        <v>160.24913501318127</v>
      </c>
      <c r="CN89" s="2013">
        <f t="shared" si="166"/>
        <v>853.67629727504948</v>
      </c>
      <c r="CO89" s="2013">
        <f t="shared" si="166"/>
        <v>497.74516711894756</v>
      </c>
      <c r="CP89" s="2013">
        <f t="shared" si="166"/>
        <v>416.28830660077278</v>
      </c>
      <c r="CQ89" s="2013">
        <f t="shared" si="166"/>
        <v>229.90907440357145</v>
      </c>
      <c r="CR89" s="2013">
        <f t="shared" si="166"/>
        <v>195.74225291504266</v>
      </c>
      <c r="CS89" s="2013">
        <f t="shared" si="166"/>
        <v>-74.76383677465337</v>
      </c>
      <c r="CT89" s="2013">
        <f t="shared" si="166"/>
        <v>-139.87209496914565</v>
      </c>
      <c r="CU89" s="2013">
        <f t="shared" ref="CU89:DF89" si="167">+(CU88-CT88)*10000</f>
        <v>-123.38225642247347</v>
      </c>
      <c r="CV89" s="2013">
        <f t="shared" si="167"/>
        <v>-235.14191882189283</v>
      </c>
      <c r="CW89" s="2013">
        <f t="shared" si="167"/>
        <v>-77.883646650217514</v>
      </c>
      <c r="CX89" s="2013">
        <f t="shared" si="167"/>
        <v>-129.47420088979089</v>
      </c>
      <c r="CY89" s="2013">
        <f t="shared" si="167"/>
        <v>83.969887208490974</v>
      </c>
      <c r="CZ89" s="2013">
        <f t="shared" si="167"/>
        <v>19.910002766492795</v>
      </c>
      <c r="DA89" s="2013">
        <f t="shared" si="167"/>
        <v>22.254965134677619</v>
      </c>
      <c r="DB89" s="2013">
        <f t="shared" si="167"/>
        <v>33.111902125304567</v>
      </c>
      <c r="DC89" s="2013">
        <f t="shared" si="167"/>
        <v>33.722387195024851</v>
      </c>
      <c r="DD89" s="2013">
        <f t="shared" si="167"/>
        <v>26.211503943388557</v>
      </c>
      <c r="DE89" s="2013">
        <f t="shared" si="167"/>
        <v>18.926556181572131</v>
      </c>
      <c r="DF89" s="2014">
        <f t="shared" si="167"/>
        <v>32.372037760763916</v>
      </c>
      <c r="DG89" s="1495"/>
      <c r="DH89" s="1495"/>
      <c r="DJ89" s="51"/>
      <c r="DK89" s="51"/>
      <c r="DL89" s="51"/>
      <c r="DM89" s="51"/>
    </row>
    <row r="90" spans="1:122" s="51" customFormat="1" ht="11.25" hidden="1" customHeight="1" outlineLevel="1">
      <c r="A90" s="82"/>
      <c r="B90"/>
      <c r="C90"/>
      <c r="D90"/>
      <c r="E90"/>
      <c r="F90"/>
      <c r="G90"/>
      <c r="H90" s="1044"/>
      <c r="I90" s="259" t="s">
        <v>544</v>
      </c>
      <c r="J90" s="82"/>
      <c r="K90" s="82"/>
      <c r="L90" s="82"/>
      <c r="M90" s="292"/>
      <c r="N90" s="292"/>
      <c r="O90" s="292"/>
      <c r="P90" s="1007"/>
      <c r="Q90" s="292"/>
      <c r="R90" s="292"/>
      <c r="S90" s="292"/>
      <c r="T90" s="1007"/>
      <c r="U90" s="1957"/>
      <c r="V90" s="1957"/>
      <c r="W90" s="1957"/>
      <c r="X90" s="1958"/>
      <c r="Y90" s="1957"/>
      <c r="Z90" s="1957"/>
      <c r="AA90" s="1957"/>
      <c r="AB90" s="1958"/>
      <c r="AC90" s="1957"/>
      <c r="AD90" s="1957"/>
      <c r="AE90" s="1957"/>
      <c r="AF90" s="1958"/>
      <c r="AG90" s="1957"/>
      <c r="AH90" s="1957"/>
      <c r="AI90" s="1957"/>
      <c r="AJ90" s="1958"/>
      <c r="AK90" s="1957">
        <f t="shared" ref="AK90:CF90" si="168">+(AK87-AG87)/(AK39-AG39)</f>
        <v>0.27619589977221043</v>
      </c>
      <c r="AL90" s="1957">
        <f t="shared" si="168"/>
        <v>0.54798427346248602</v>
      </c>
      <c r="AM90" s="1957">
        <f t="shared" si="168"/>
        <v>0.60824136681206342</v>
      </c>
      <c r="AN90" s="1958">
        <f t="shared" si="168"/>
        <v>0.52977653170611072</v>
      </c>
      <c r="AO90" s="1957">
        <f t="shared" si="168"/>
        <v>0.37008179747359665</v>
      </c>
      <c r="AP90" s="1957">
        <f t="shared" si="168"/>
        <v>0.43962481787275431</v>
      </c>
      <c r="AQ90" s="1957">
        <f t="shared" si="168"/>
        <v>0.54913975753206701</v>
      </c>
      <c r="AR90" s="1958">
        <f t="shared" si="168"/>
        <v>0.40522788502215351</v>
      </c>
      <c r="AS90" s="1957">
        <f t="shared" si="168"/>
        <v>0.58801924560179308</v>
      </c>
      <c r="AT90" s="1957">
        <f t="shared" si="168"/>
        <v>0.48358666744316936</v>
      </c>
      <c r="AU90" s="1957">
        <f t="shared" si="168"/>
        <v>0.61163591343870838</v>
      </c>
      <c r="AV90" s="1958">
        <f t="shared" si="168"/>
        <v>0.52773667270911195</v>
      </c>
      <c r="AW90" s="1957">
        <f t="shared" si="168"/>
        <v>0.4330420811293838</v>
      </c>
      <c r="AX90" s="1957">
        <f t="shared" si="168"/>
        <v>0.55329700736452203</v>
      </c>
      <c r="AY90" s="1957">
        <f t="shared" si="168"/>
        <v>0.58903852230126086</v>
      </c>
      <c r="AZ90" s="1958">
        <f t="shared" si="168"/>
        <v>0.53757104271845846</v>
      </c>
      <c r="BA90" s="1957">
        <f t="shared" si="168"/>
        <v>0.33070511859104867</v>
      </c>
      <c r="BB90" s="1957">
        <f t="shared" si="168"/>
        <v>0.47797177298271232</v>
      </c>
      <c r="BC90" s="1957">
        <f t="shared" si="168"/>
        <v>0.6527040792702693</v>
      </c>
      <c r="BD90" s="1958">
        <f t="shared" si="168"/>
        <v>0.4951478544642603</v>
      </c>
      <c r="BE90" s="1957">
        <f t="shared" si="168"/>
        <v>0.41292740441300346</v>
      </c>
      <c r="BF90" s="1957">
        <f t="shared" si="168"/>
        <v>0.57188474589569027</v>
      </c>
      <c r="BG90" s="1957">
        <f t="shared" si="168"/>
        <v>0.4603901428364145</v>
      </c>
      <c r="BH90" s="1958">
        <f t="shared" si="168"/>
        <v>0.3796598977926372</v>
      </c>
      <c r="BI90" s="1970">
        <f t="shared" si="168"/>
        <v>0.36307939499281039</v>
      </c>
      <c r="BJ90" s="1957">
        <f t="shared" si="168"/>
        <v>0.33293829813569709</v>
      </c>
      <c r="BK90" s="1957">
        <f t="shared" si="168"/>
        <v>0.56199667883975357</v>
      </c>
      <c r="BL90" s="1958">
        <f t="shared" si="168"/>
        <v>0.38735513313395181</v>
      </c>
      <c r="BM90" s="1970">
        <f t="shared" si="168"/>
        <v>0.36565979345070393</v>
      </c>
      <c r="BN90" s="1957">
        <f t="shared" si="168"/>
        <v>0.37698566136622746</v>
      </c>
      <c r="BO90" s="1957">
        <f t="shared" si="168"/>
        <v>0.50085193996636701</v>
      </c>
      <c r="BP90" s="1958">
        <f t="shared" si="168"/>
        <v>0.39140381505870231</v>
      </c>
      <c r="BQ90" s="1957">
        <f t="shared" si="168"/>
        <v>6.9245385961281325E-2</v>
      </c>
      <c r="BR90" s="1957">
        <f t="shared" si="168"/>
        <v>-2.2390548330235894E-2</v>
      </c>
      <c r="BS90" s="1957">
        <f t="shared" si="168"/>
        <v>0.50926966978710886</v>
      </c>
      <c r="BT90" s="1958">
        <f t="shared" si="168"/>
        <v>0.38047269636244502</v>
      </c>
      <c r="BU90" s="1957">
        <f t="shared" si="168"/>
        <v>0.41624473667536371</v>
      </c>
      <c r="BV90" s="1957">
        <f t="shared" si="168"/>
        <v>0.18511362017381403</v>
      </c>
      <c r="BW90" s="1957">
        <f t="shared" si="168"/>
        <v>0.47635875789404847</v>
      </c>
      <c r="BX90" s="1958">
        <f t="shared" si="168"/>
        <v>0.38678465809188428</v>
      </c>
      <c r="BY90" s="1957">
        <f t="shared" si="168"/>
        <v>5.544101529615586E-2</v>
      </c>
      <c r="BZ90" s="1957">
        <f t="shared" si="168"/>
        <v>0.33319029264592148</v>
      </c>
      <c r="CA90" s="1957">
        <f t="shared" si="168"/>
        <v>0.44785038638302183</v>
      </c>
      <c r="CB90" s="2247">
        <f t="shared" si="168"/>
        <v>0.39745168989144686</v>
      </c>
      <c r="CC90" s="1957">
        <f t="shared" si="168"/>
        <v>0.29057096928176218</v>
      </c>
      <c r="CD90" s="1957">
        <f t="shared" si="168"/>
        <v>0.39519581035844553</v>
      </c>
      <c r="CE90" s="1957">
        <f t="shared" si="168"/>
        <v>0.59521920531659445</v>
      </c>
      <c r="CF90" s="1958">
        <f t="shared" si="168"/>
        <v>0.53727857511849897</v>
      </c>
      <c r="CG90" s="1007"/>
      <c r="CH90" s="1010"/>
      <c r="CI90" s="292"/>
      <c r="CJ90" s="1957"/>
      <c r="CK90" s="1957">
        <f t="shared" ref="CK90:DF90" si="169">+(CK87-CJ87)/(CK39-CJ39)</f>
        <v>0.52233938471573038</v>
      </c>
      <c r="CL90" s="1957">
        <f t="shared" si="169"/>
        <v>0.29472719069726838</v>
      </c>
      <c r="CM90" s="1957">
        <f t="shared" si="169"/>
        <v>0.30451769700512277</v>
      </c>
      <c r="CN90" s="1957">
        <f t="shared" si="169"/>
        <v>0.51084967674604465</v>
      </c>
      <c r="CO90" s="1957">
        <f t="shared" si="169"/>
        <v>0.49876925282892665</v>
      </c>
      <c r="CP90" s="1957">
        <f t="shared" si="169"/>
        <v>0.57859786346098319</v>
      </c>
      <c r="CQ90" s="1957">
        <f t="shared" si="169"/>
        <v>0.51541634311567719</v>
      </c>
      <c r="CR90" s="1957">
        <f t="shared" si="169"/>
        <v>0.52271554082211902</v>
      </c>
      <c r="CS90" s="1957">
        <f t="shared" si="169"/>
        <v>0.46017985636595338</v>
      </c>
      <c r="CT90" s="1957">
        <f t="shared" si="169"/>
        <v>0.43413664337506547</v>
      </c>
      <c r="CU90" s="1957">
        <f t="shared" si="169"/>
        <v>0.4190448356852744</v>
      </c>
      <c r="CV90" s="1957">
        <f t="shared" si="169"/>
        <v>0.25630335911209717</v>
      </c>
      <c r="CW90" s="1957">
        <f t="shared" si="169"/>
        <v>0.38665145961570263</v>
      </c>
      <c r="CX90" s="1957">
        <f t="shared" si="169"/>
        <v>0.34942550356759183</v>
      </c>
      <c r="CY90" s="1957">
        <f t="shared" si="169"/>
        <v>0.46610046091475987</v>
      </c>
      <c r="CZ90" s="1957">
        <f t="shared" si="169"/>
        <v>0.43726604733683316</v>
      </c>
      <c r="DA90" s="1957">
        <f t="shared" si="169"/>
        <v>0.44354283259712685</v>
      </c>
      <c r="DB90" s="1957">
        <f t="shared" si="169"/>
        <v>0.46034122716771525</v>
      </c>
      <c r="DC90" s="1957">
        <f t="shared" si="169"/>
        <v>0.46857148357283473</v>
      </c>
      <c r="DD90" s="1957">
        <f t="shared" si="169"/>
        <v>0.46609782303227532</v>
      </c>
      <c r="DE90" s="1957">
        <f t="shared" si="169"/>
        <v>0.46169059520022326</v>
      </c>
      <c r="DF90" s="1958">
        <f t="shared" si="169"/>
        <v>0.48280025094259749</v>
      </c>
      <c r="DG90" s="1493"/>
      <c r="DH90" s="1493"/>
      <c r="DI90" s="1868"/>
    </row>
    <row r="91" spans="1:122" s="51" customFormat="1" ht="11.25" hidden="1" customHeight="1" outlineLevel="1">
      <c r="A91" s="82"/>
      <c r="B91"/>
      <c r="C91"/>
      <c r="D91"/>
      <c r="E91"/>
      <c r="F91"/>
      <c r="G91"/>
      <c r="H91" s="1044"/>
      <c r="I91" s="259" t="s">
        <v>376</v>
      </c>
      <c r="J91" s="82"/>
      <c r="K91" s="82"/>
      <c r="L91" s="82"/>
      <c r="M91" s="292"/>
      <c r="N91" s="292"/>
      <c r="O91" s="292"/>
      <c r="P91" s="1007"/>
      <c r="Q91" s="292"/>
      <c r="R91" s="292"/>
      <c r="S91" s="292"/>
      <c r="T91" s="1007"/>
      <c r="U91" s="1957"/>
      <c r="V91" s="1957"/>
      <c r="W91" s="1957"/>
      <c r="X91" s="1958"/>
      <c r="Y91" s="1957"/>
      <c r="Z91" s="1957"/>
      <c r="AA91" s="1957"/>
      <c r="AB91" s="1958"/>
      <c r="AC91" s="1957"/>
      <c r="AD91" s="1957"/>
      <c r="AE91" s="1957"/>
      <c r="AF91" s="1958"/>
      <c r="AG91" s="1957"/>
      <c r="AH91" s="1957"/>
      <c r="AI91" s="1957"/>
      <c r="AJ91" s="1958"/>
      <c r="AK91" s="1957">
        <f t="shared" ref="AK91:CE91" si="170">+AK87/AG87-1</f>
        <v>0.83869728119896569</v>
      </c>
      <c r="AL91" s="1957">
        <f t="shared" si="170"/>
        <v>0.86880692461727071</v>
      </c>
      <c r="AM91" s="1957">
        <f t="shared" si="170"/>
        <v>1.1778116604951712</v>
      </c>
      <c r="AN91" s="1958">
        <f t="shared" si="170"/>
        <v>1.2460917801311182</v>
      </c>
      <c r="AO91" s="1957">
        <f t="shared" si="170"/>
        <v>1.4940174512774913</v>
      </c>
      <c r="AP91" s="1957">
        <f t="shared" si="170"/>
        <v>0.75090733123639231</v>
      </c>
      <c r="AQ91" s="1957">
        <f t="shared" si="170"/>
        <v>0.69414902483747354</v>
      </c>
      <c r="AR91" s="1958">
        <f t="shared" si="170"/>
        <v>0.31432420296362773</v>
      </c>
      <c r="AS91" s="1957">
        <f t="shared" si="170"/>
        <v>0.33540737016319944</v>
      </c>
      <c r="AT91" s="1957">
        <f t="shared" si="170"/>
        <v>0.24588642891689916</v>
      </c>
      <c r="AU91" s="1957">
        <f t="shared" si="170"/>
        <v>0.47313838161209043</v>
      </c>
      <c r="AV91" s="1958">
        <f t="shared" si="170"/>
        <v>0.74979632598354939</v>
      </c>
      <c r="AW91" s="1957">
        <f t="shared" si="170"/>
        <v>0.75263166151577199</v>
      </c>
      <c r="AX91" s="1957">
        <f t="shared" si="170"/>
        <v>0.61783999619717545</v>
      </c>
      <c r="AY91" s="1957">
        <f t="shared" si="170"/>
        <v>0.61428374232445826</v>
      </c>
      <c r="AZ91" s="1958">
        <f t="shared" si="170"/>
        <v>0.67407613225896079</v>
      </c>
      <c r="BA91" s="1957">
        <f t="shared" si="170"/>
        <v>0.55264147227841698</v>
      </c>
      <c r="BB91" s="1957">
        <f t="shared" si="170"/>
        <v>0.70930967106906362</v>
      </c>
      <c r="BC91" s="1957">
        <f t="shared" si="170"/>
        <v>0.77766866833457127</v>
      </c>
      <c r="BD91" s="1958">
        <f t="shared" si="170"/>
        <v>0.54313782662330357</v>
      </c>
      <c r="BE91" s="1957">
        <f t="shared" si="170"/>
        <v>0.5653357008613038</v>
      </c>
      <c r="BF91" s="1957">
        <f t="shared" si="170"/>
        <v>0.41765004168421371</v>
      </c>
      <c r="BG91" s="1957">
        <f t="shared" si="170"/>
        <v>0.21170902771312394</v>
      </c>
      <c r="BH91" s="1958">
        <f t="shared" si="170"/>
        <v>0.23734317042825093</v>
      </c>
      <c r="BI91" s="1970">
        <f t="shared" si="170"/>
        <v>0.35620212139068874</v>
      </c>
      <c r="BJ91" s="1957">
        <f t="shared" si="170"/>
        <v>0.25548111996928258</v>
      </c>
      <c r="BK91" s="1957">
        <f t="shared" si="170"/>
        <v>0.42645646422452055</v>
      </c>
      <c r="BL91" s="1958">
        <f t="shared" si="170"/>
        <v>0.35814317363285819</v>
      </c>
      <c r="BM91" s="1970">
        <f t="shared" si="170"/>
        <v>0.39402991559760636</v>
      </c>
      <c r="BN91" s="1957">
        <f t="shared" si="170"/>
        <v>0.30288480111258509</v>
      </c>
      <c r="BO91" s="1957">
        <f t="shared" si="170"/>
        <v>0.28367822737241699</v>
      </c>
      <c r="BP91" s="1958">
        <f>+BP87/BL87-1</f>
        <v>0.2311367508800457</v>
      </c>
      <c r="BQ91" s="1957">
        <f t="shared" si="170"/>
        <v>3.5850093117124837E-2</v>
      </c>
      <c r="BR91" s="1957">
        <f t="shared" si="170"/>
        <v>-5.8065910986191405E-3</v>
      </c>
      <c r="BS91" s="1957">
        <f>+BS87/BO87-1</f>
        <v>0.11657089147506361</v>
      </c>
      <c r="BT91" s="1958">
        <f>+BT87/BP87-1</f>
        <v>0.10942878740617679</v>
      </c>
      <c r="BU91" s="1957">
        <f>+BU87/BQ87-1</f>
        <v>0.2718008030315846</v>
      </c>
      <c r="BV91" s="1957">
        <f t="shared" si="170"/>
        <v>7.7501009661685716E-2</v>
      </c>
      <c r="BW91" s="1957">
        <f t="shared" si="170"/>
        <v>0.19148100616498742</v>
      </c>
      <c r="BX91" s="1958">
        <f>+BX87/BT87-1</f>
        <v>0.19446020496557748</v>
      </c>
      <c r="BY91" s="1957">
        <f t="shared" si="170"/>
        <v>2.5806604254866805E-2</v>
      </c>
      <c r="BZ91" s="1957">
        <f t="shared" si="170"/>
        <v>0.20058309844860789</v>
      </c>
      <c r="CA91" s="1957">
        <f t="shared" si="170"/>
        <v>0.18492310684613211</v>
      </c>
      <c r="CB91" s="2247">
        <f>+CB87/BX87-1</f>
        <v>0.20800177279961329</v>
      </c>
      <c r="CC91" s="1957">
        <f t="shared" si="170"/>
        <v>0.19403752208092251</v>
      </c>
      <c r="CD91" s="1957">
        <f t="shared" si="170"/>
        <v>0.23171281477327876</v>
      </c>
      <c r="CE91" s="1957">
        <f t="shared" si="170"/>
        <v>0.16632094953238341</v>
      </c>
      <c r="CF91" s="1958">
        <f>+CF87/CB87-1</f>
        <v>0.28664870536181986</v>
      </c>
      <c r="CG91" s="1007"/>
      <c r="CH91" s="1010"/>
      <c r="CI91" s="292"/>
      <c r="CJ91" s="1957"/>
      <c r="CK91" s="1957">
        <f t="shared" ref="CK91:CT91" si="171">+CK87/CJ87-1</f>
        <v>1.4565019702940303</v>
      </c>
      <c r="CL91" s="1957">
        <f t="shared" si="171"/>
        <v>0.41648157288581777</v>
      </c>
      <c r="CM91" s="1957">
        <f t="shared" si="171"/>
        <v>0.57486751361161659</v>
      </c>
      <c r="CN91" s="1957">
        <f t="shared" si="171"/>
        <v>1.0424453069540545</v>
      </c>
      <c r="CO91" s="1957">
        <f t="shared" si="171"/>
        <v>0.75365393469410158</v>
      </c>
      <c r="CP91" s="1957">
        <f t="shared" si="171"/>
        <v>0.45392115477673523</v>
      </c>
      <c r="CQ91" s="1957">
        <f t="shared" si="171"/>
        <v>0.59576001133024103</v>
      </c>
      <c r="CR91" s="1957">
        <f t="shared" si="171"/>
        <v>0.67628893886159225</v>
      </c>
      <c r="CS91" s="1957">
        <f t="shared" si="171"/>
        <v>0.30571584572875166</v>
      </c>
      <c r="CT91" s="1957">
        <f t="shared" si="171"/>
        <v>0.35916598070661232</v>
      </c>
      <c r="CU91" s="1957">
        <f t="shared" ref="CU91:DF91" si="172">+CU87/CT87-1</f>
        <v>0.29195481341814133</v>
      </c>
      <c r="CV91" s="1957">
        <f t="shared" si="172"/>
        <v>7.4550381568776469E-2</v>
      </c>
      <c r="CW91" s="1957">
        <f t="shared" si="172"/>
        <v>0.17894657385472135</v>
      </c>
      <c r="CX91" s="1957">
        <f t="shared" si="172"/>
        <v>0.16845868662773889</v>
      </c>
      <c r="CY91" s="1957">
        <f t="shared" si="172"/>
        <v>0.2100780572993981</v>
      </c>
      <c r="CZ91" s="1957">
        <f t="shared" si="172"/>
        <v>0.14428310974262182</v>
      </c>
      <c r="DA91" s="1957">
        <f t="shared" si="172"/>
        <v>0.12694379291505631</v>
      </c>
      <c r="DB91" s="1957">
        <f t="shared" si="172"/>
        <v>0.11248445725215506</v>
      </c>
      <c r="DC91" s="1957">
        <f t="shared" si="172"/>
        <v>0.10040221498129265</v>
      </c>
      <c r="DD91" s="1957">
        <f t="shared" si="172"/>
        <v>8.9425651423749475E-2</v>
      </c>
      <c r="DE91" s="1957">
        <f t="shared" si="172"/>
        <v>7.9383215119470885E-2</v>
      </c>
      <c r="DF91" s="1958">
        <f t="shared" si="172"/>
        <v>8.2894732358269163E-2</v>
      </c>
      <c r="DG91" s="1493"/>
      <c r="DH91" s="1493"/>
    </row>
    <row r="92" spans="1:122" s="554" customFormat="1" ht="11.25" hidden="1" customHeight="1" outlineLevel="1">
      <c r="A92" s="547"/>
      <c r="B92"/>
      <c r="C92"/>
      <c r="D92"/>
      <c r="E92"/>
      <c r="F92"/>
      <c r="G92"/>
      <c r="H92" s="1044"/>
      <c r="I92" s="591" t="s">
        <v>661</v>
      </c>
      <c r="J92" s="547"/>
      <c r="K92" s="547"/>
      <c r="L92" s="547"/>
      <c r="M92" s="548"/>
      <c r="N92" s="548"/>
      <c r="O92" s="548"/>
      <c r="P92" s="2056"/>
      <c r="Q92" s="548"/>
      <c r="R92" s="548"/>
      <c r="S92" s="548"/>
      <c r="T92" s="2056"/>
      <c r="U92" s="2057"/>
      <c r="V92" s="2057"/>
      <c r="W92" s="2057"/>
      <c r="X92" s="2058"/>
      <c r="Y92" s="2057"/>
      <c r="Z92" s="2057"/>
      <c r="AA92" s="2057"/>
      <c r="AB92" s="2058"/>
      <c r="AC92" s="2057"/>
      <c r="AD92" s="2057"/>
      <c r="AE92" s="2057"/>
      <c r="AF92" s="2058"/>
      <c r="AG92" s="2057"/>
      <c r="AH92" s="2057"/>
      <c r="AI92" s="2057"/>
      <c r="AJ92" s="2058"/>
      <c r="AK92" s="2057">
        <f t="shared" ref="AK92:CE92" si="173">+AK87-AG87</f>
        <v>8.730000000000036</v>
      </c>
      <c r="AL92" s="2057">
        <f t="shared" si="173"/>
        <v>26.899999999999942</v>
      </c>
      <c r="AM92" s="2057">
        <f t="shared" si="173"/>
        <v>48.665999999999983</v>
      </c>
      <c r="AN92" s="2058">
        <f t="shared" si="173"/>
        <v>32.123000000000047</v>
      </c>
      <c r="AO92" s="2057">
        <f t="shared" si="173"/>
        <v>28.593999999999966</v>
      </c>
      <c r="AP92" s="2057">
        <f t="shared" si="173"/>
        <v>43.44900000000009</v>
      </c>
      <c r="AQ92" s="2057">
        <f t="shared" si="173"/>
        <v>62.463000000000051</v>
      </c>
      <c r="AR92" s="2058">
        <f t="shared" si="173"/>
        <v>18.199999999999974</v>
      </c>
      <c r="AS92" s="2057">
        <f t="shared" si="173"/>
        <v>16.010000000000005</v>
      </c>
      <c r="AT92" s="2057">
        <f t="shared" si="173"/>
        <v>24.910999999999973</v>
      </c>
      <c r="AU92" s="2057">
        <f t="shared" si="173"/>
        <v>72.128999999999962</v>
      </c>
      <c r="AV92" s="2058">
        <f t="shared" si="173"/>
        <v>57.061000000000064</v>
      </c>
      <c r="AW92" s="2057">
        <f t="shared" si="173"/>
        <v>47.974999999999866</v>
      </c>
      <c r="AX92" s="2057">
        <f t="shared" si="173"/>
        <v>77.984999999999872</v>
      </c>
      <c r="AY92" s="2057">
        <f t="shared" si="173"/>
        <v>137.95399999999984</v>
      </c>
      <c r="AZ92" s="2058">
        <f t="shared" si="173"/>
        <v>89.762000000000029</v>
      </c>
      <c r="BA92" s="2057">
        <f t="shared" si="173"/>
        <v>61.740000000000123</v>
      </c>
      <c r="BB92" s="2057">
        <f t="shared" si="173"/>
        <v>144.84600000000017</v>
      </c>
      <c r="BC92" s="2057">
        <f t="shared" si="173"/>
        <v>281.92900000000031</v>
      </c>
      <c r="BD92" s="2058">
        <f t="shared" si="173"/>
        <v>121.07900000000001</v>
      </c>
      <c r="BE92" s="2057">
        <f t="shared" si="173"/>
        <v>98.06200000000004</v>
      </c>
      <c r="BF92" s="2057">
        <f t="shared" si="173"/>
        <v>145.78199999999987</v>
      </c>
      <c r="BG92" s="2057">
        <f t="shared" si="173"/>
        <v>136.43799999999987</v>
      </c>
      <c r="BH92" s="2058">
        <f t="shared" si="173"/>
        <v>81.647000000000048</v>
      </c>
      <c r="BI92" s="2059">
        <f t="shared" si="173"/>
        <v>96.715999999999838</v>
      </c>
      <c r="BJ92" s="2057">
        <f t="shared" si="173"/>
        <v>126.42099999999994</v>
      </c>
      <c r="BK92" s="2057">
        <f t="shared" si="173"/>
        <v>333.01899999999966</v>
      </c>
      <c r="BL92" s="2058">
        <f t="shared" si="173"/>
        <v>152.44399999999979</v>
      </c>
      <c r="BM92" s="2059">
        <f t="shared" si="173"/>
        <v>145.09600000000012</v>
      </c>
      <c r="BN92" s="2057">
        <f t="shared" si="173"/>
        <v>188.1690000000001</v>
      </c>
      <c r="BO92" s="2057">
        <f t="shared" si="173"/>
        <v>315.9940000000006</v>
      </c>
      <c r="BP92" s="2058">
        <f>+BP87-BL87</f>
        <v>133.61900000000003</v>
      </c>
      <c r="BQ92" s="2057">
        <f t="shared" si="173"/>
        <v>18.402999999999906</v>
      </c>
      <c r="BR92" s="2057">
        <f t="shared" si="173"/>
        <v>-4.6999999999998181</v>
      </c>
      <c r="BS92" s="2057">
        <f t="shared" si="173"/>
        <v>166.68599999999969</v>
      </c>
      <c r="BT92" s="2058">
        <f>+BT87-BP87</f>
        <v>77.881999999999721</v>
      </c>
      <c r="BU92" s="2057">
        <f t="shared" si="173"/>
        <v>144.52599999999961</v>
      </c>
      <c r="BV92" s="2057">
        <f t="shared" si="173"/>
        <v>62.367000000000075</v>
      </c>
      <c r="BW92" s="2057">
        <f t="shared" si="173"/>
        <v>305.71800000000053</v>
      </c>
      <c r="BX92" s="2058">
        <f>+BX87-BT87</f>
        <v>153.54500000000007</v>
      </c>
      <c r="BY92" s="2057">
        <f t="shared" si="173"/>
        <v>17.452000000000453</v>
      </c>
      <c r="BZ92" s="2057">
        <f t="shared" si="173"/>
        <v>173.92400000000032</v>
      </c>
      <c r="CA92" s="2057">
        <f t="shared" si="173"/>
        <v>351.7819999999997</v>
      </c>
      <c r="CB92" s="2248">
        <f>+CB87-BX87</f>
        <v>196.17500000000007</v>
      </c>
      <c r="CC92" s="2057">
        <f t="shared" si="173"/>
        <v>134.60635155532293</v>
      </c>
      <c r="CD92" s="2057">
        <f t="shared" si="173"/>
        <v>241.21674758401969</v>
      </c>
      <c r="CE92" s="2057">
        <f t="shared" si="173"/>
        <v>374.90355337809706</v>
      </c>
      <c r="CF92" s="2058">
        <f>+CF87-CB87</f>
        <v>326.583456398007</v>
      </c>
      <c r="CG92" s="2056"/>
      <c r="CH92" s="2060"/>
      <c r="CI92" s="548"/>
      <c r="CJ92" s="2057"/>
      <c r="CK92" s="2057">
        <f t="shared" ref="CK92:CT92" si="174">+CK87-CJ87</f>
        <v>28.830000000000034</v>
      </c>
      <c r="CL92" s="2057">
        <f t="shared" si="174"/>
        <v>20.251000000000012</v>
      </c>
      <c r="CM92" s="2057">
        <f t="shared" si="174"/>
        <v>39.594000000000122</v>
      </c>
      <c r="CN92" s="2057">
        <f t="shared" si="174"/>
        <v>113.0729999999995</v>
      </c>
      <c r="CO92" s="2057">
        <f t="shared" si="174"/>
        <v>166.96600000000038</v>
      </c>
      <c r="CP92" s="2057">
        <f t="shared" si="174"/>
        <v>176.35199999999986</v>
      </c>
      <c r="CQ92" s="2057">
        <f t="shared" si="174"/>
        <v>336.52099999999984</v>
      </c>
      <c r="CR92" s="2057">
        <f t="shared" si="174"/>
        <v>609.59400000000062</v>
      </c>
      <c r="CS92" s="2057">
        <f t="shared" si="174"/>
        <v>461.92900000000054</v>
      </c>
      <c r="CT92" s="2057">
        <f t="shared" si="174"/>
        <v>708.59999999999854</v>
      </c>
      <c r="CU92" s="2057">
        <f t="shared" ref="CU92:DF92" si="175">+CU87-CT87</f>
        <v>782.87799999999925</v>
      </c>
      <c r="CV92" s="2057">
        <f t="shared" si="175"/>
        <v>258.27100000000064</v>
      </c>
      <c r="CW92" s="2057">
        <f t="shared" si="175"/>
        <v>666.15599999999995</v>
      </c>
      <c r="CX92" s="2057">
        <f t="shared" si="175"/>
        <v>739.33299999999963</v>
      </c>
      <c r="CY92" s="2057">
        <f t="shared" si="175"/>
        <v>1077.3101089154497</v>
      </c>
      <c r="CZ92" s="2057">
        <f t="shared" si="175"/>
        <v>895.34192763323153</v>
      </c>
      <c r="DA92" s="2057">
        <f t="shared" si="175"/>
        <v>901.40172770810295</v>
      </c>
      <c r="DB92" s="2057">
        <f t="shared" si="175"/>
        <v>900.12264736791803</v>
      </c>
      <c r="DC92" s="2057">
        <f t="shared" si="175"/>
        <v>893.81248699586286</v>
      </c>
      <c r="DD92" s="2057">
        <f t="shared" si="175"/>
        <v>876.02538704146355</v>
      </c>
      <c r="DE92" s="2057">
        <f t="shared" si="175"/>
        <v>847.19007821332161</v>
      </c>
      <c r="DF92" s="2058">
        <f t="shared" si="175"/>
        <v>954.89313377564758</v>
      </c>
      <c r="DG92" s="1492"/>
      <c r="DH92" s="1492"/>
      <c r="DJ92" s="51"/>
      <c r="DK92" s="51"/>
      <c r="DL92" s="51"/>
      <c r="DM92" s="51"/>
    </row>
    <row r="93" spans="1:122" s="596" customFormat="1" ht="11.25" hidden="1" customHeight="1" outlineLevel="1">
      <c r="A93" s="547"/>
      <c r="B93"/>
      <c r="C93"/>
      <c r="D93"/>
      <c r="E93"/>
      <c r="F93"/>
      <c r="G93"/>
      <c r="H93" s="1044"/>
      <c r="I93" s="591" t="s">
        <v>153</v>
      </c>
      <c r="J93" s="547"/>
      <c r="K93" s="547"/>
      <c r="L93" s="595"/>
      <c r="M93" s="2249"/>
      <c r="N93" s="2249"/>
      <c r="O93" s="2249"/>
      <c r="P93" s="2250"/>
      <c r="Q93" s="2249"/>
      <c r="R93" s="2249"/>
      <c r="S93" s="2249"/>
      <c r="T93" s="2250"/>
      <c r="U93" s="2251"/>
      <c r="V93" s="2251"/>
      <c r="W93" s="2251"/>
      <c r="X93" s="2252"/>
      <c r="Y93" s="2251"/>
      <c r="Z93" s="2251"/>
      <c r="AA93" s="2251"/>
      <c r="AB93" s="2252"/>
      <c r="AC93" s="2251"/>
      <c r="AD93" s="2251"/>
      <c r="AE93" s="2251"/>
      <c r="AF93" s="2252"/>
      <c r="AG93" s="2251"/>
      <c r="AH93" s="2251"/>
      <c r="AI93" s="2251"/>
      <c r="AJ93" s="2252"/>
      <c r="AK93" s="2057">
        <f t="shared" ref="AK93:CE93" si="176">+AK87-AJ87</f>
        <v>-6.6399999999999189</v>
      </c>
      <c r="AL93" s="2057">
        <f t="shared" si="176"/>
        <v>38.722999999999907</v>
      </c>
      <c r="AM93" s="2057">
        <f t="shared" si="176"/>
        <v>32.12300000000004</v>
      </c>
      <c r="AN93" s="2058">
        <f t="shared" si="176"/>
        <v>-32.082999999999984</v>
      </c>
      <c r="AO93" s="2057">
        <f t="shared" si="176"/>
        <v>-10.168999999999997</v>
      </c>
      <c r="AP93" s="2057">
        <f t="shared" si="176"/>
        <v>53.578000000000031</v>
      </c>
      <c r="AQ93" s="2057">
        <f t="shared" si="176"/>
        <v>51.137</v>
      </c>
      <c r="AR93" s="2058">
        <f t="shared" si="176"/>
        <v>-76.34600000000006</v>
      </c>
      <c r="AS93" s="2057">
        <f t="shared" si="176"/>
        <v>-12.358999999999966</v>
      </c>
      <c r="AT93" s="2057">
        <f t="shared" si="176"/>
        <v>62.478999999999999</v>
      </c>
      <c r="AU93" s="2057">
        <f t="shared" si="176"/>
        <v>98.35499999999999</v>
      </c>
      <c r="AV93" s="2058">
        <f t="shared" si="176"/>
        <v>-91.413999999999959</v>
      </c>
      <c r="AW93" s="2057">
        <f t="shared" si="176"/>
        <v>-21.445000000000164</v>
      </c>
      <c r="AX93" s="2057">
        <f t="shared" si="176"/>
        <v>92.489000000000004</v>
      </c>
      <c r="AY93" s="2057">
        <f t="shared" si="176"/>
        <v>158.32399999999996</v>
      </c>
      <c r="AZ93" s="2058">
        <f t="shared" si="176"/>
        <v>-139.60599999999977</v>
      </c>
      <c r="BA93" s="2057">
        <f t="shared" si="176"/>
        <v>-49.46700000000007</v>
      </c>
      <c r="BB93" s="2057">
        <f t="shared" si="176"/>
        <v>175.59500000000006</v>
      </c>
      <c r="BC93" s="2057">
        <f t="shared" si="176"/>
        <v>295.4070000000001</v>
      </c>
      <c r="BD93" s="2058">
        <f t="shared" si="176"/>
        <v>-300.45600000000007</v>
      </c>
      <c r="BE93" s="2057">
        <f t="shared" si="176"/>
        <v>-72.484000000000037</v>
      </c>
      <c r="BF93" s="2057">
        <f t="shared" si="176"/>
        <v>223.31499999999988</v>
      </c>
      <c r="BG93" s="2057">
        <f t="shared" si="176"/>
        <v>286.0630000000001</v>
      </c>
      <c r="BH93" s="2058">
        <f t="shared" si="176"/>
        <v>-355.2469999999999</v>
      </c>
      <c r="BI93" s="2059">
        <f t="shared" si="176"/>
        <v>-57.415000000000248</v>
      </c>
      <c r="BJ93" s="2057">
        <f t="shared" si="176"/>
        <v>253.01999999999998</v>
      </c>
      <c r="BK93" s="2057">
        <f t="shared" si="176"/>
        <v>492.66099999999983</v>
      </c>
      <c r="BL93" s="2058">
        <f t="shared" si="176"/>
        <v>-535.82199999999978</v>
      </c>
      <c r="BM93" s="2059">
        <f t="shared" si="176"/>
        <v>-64.76299999999992</v>
      </c>
      <c r="BN93" s="2057">
        <f t="shared" si="176"/>
        <v>296.09299999999996</v>
      </c>
      <c r="BO93" s="2057">
        <f t="shared" si="176"/>
        <v>620.48600000000033</v>
      </c>
      <c r="BP93" s="2058">
        <f>+BP87-BO87</f>
        <v>-718.19700000000034</v>
      </c>
      <c r="BQ93" s="2057">
        <f>+BQ87-BP87</f>
        <v>-179.97900000000004</v>
      </c>
      <c r="BR93" s="2057">
        <f t="shared" si="176"/>
        <v>272.99000000000024</v>
      </c>
      <c r="BS93" s="2057">
        <f t="shared" si="176"/>
        <v>791.87199999999984</v>
      </c>
      <c r="BT93" s="2058">
        <f>+BT87-BS87</f>
        <v>-807.00100000000032</v>
      </c>
      <c r="BU93" s="2057">
        <f>+BU87-BT87</f>
        <v>-113.33500000000015</v>
      </c>
      <c r="BV93" s="2057">
        <f t="shared" si="176"/>
        <v>190.8310000000007</v>
      </c>
      <c r="BW93" s="2057">
        <f t="shared" si="176"/>
        <v>1035.2230000000004</v>
      </c>
      <c r="BX93" s="2058">
        <f>+BX87-BW87</f>
        <v>-959.17400000000077</v>
      </c>
      <c r="BY93" s="2057">
        <f>+BY87-BX87</f>
        <v>-249.42799999999977</v>
      </c>
      <c r="BZ93" s="2057">
        <f t="shared" si="176"/>
        <v>347.30300000000057</v>
      </c>
      <c r="CA93" s="2057">
        <f t="shared" si="176"/>
        <v>1213.0809999999997</v>
      </c>
      <c r="CB93" s="2248">
        <f>+CB87-CA87</f>
        <v>-1114.7810000000004</v>
      </c>
      <c r="CC93" s="2057">
        <f>+CC87-CB87</f>
        <v>-310.99664844467691</v>
      </c>
      <c r="CD93" s="2057">
        <f t="shared" si="176"/>
        <v>453.91339602869732</v>
      </c>
      <c r="CE93" s="2057">
        <f t="shared" si="176"/>
        <v>1346.767805794077</v>
      </c>
      <c r="CF93" s="2058">
        <f>+CF87-CE87</f>
        <v>-1163.1010969800905</v>
      </c>
      <c r="CG93" s="2250"/>
      <c r="CH93" s="2253"/>
      <c r="CI93" s="2249"/>
      <c r="CJ93" s="2251"/>
      <c r="CK93" s="2251"/>
      <c r="CL93" s="2251"/>
      <c r="CM93" s="2251"/>
      <c r="CN93" s="2251"/>
      <c r="CO93" s="2251"/>
      <c r="CP93" s="2251"/>
      <c r="CQ93" s="2251"/>
      <c r="CR93" s="2251"/>
      <c r="CS93" s="2251"/>
      <c r="CT93" s="2251"/>
      <c r="CU93" s="2254"/>
      <c r="CV93" s="2251"/>
      <c r="CW93" s="2251"/>
      <c r="CX93" s="2251"/>
      <c r="CY93" s="2251"/>
      <c r="CZ93" s="2057"/>
      <c r="DA93" s="2057"/>
      <c r="DB93" s="2057"/>
      <c r="DC93" s="2057"/>
      <c r="DD93" s="2057"/>
      <c r="DE93" s="2057"/>
      <c r="DF93" s="2058"/>
      <c r="DG93" s="1500"/>
      <c r="DH93" s="1500"/>
      <c r="DJ93" s="51"/>
      <c r="DK93" s="51"/>
      <c r="DL93" s="51"/>
      <c r="DM93" s="51"/>
    </row>
    <row r="94" spans="1:122" s="554" customFormat="1" ht="11.25" hidden="1" customHeight="1" outlineLevel="1">
      <c r="A94" s="547"/>
      <c r="B94"/>
      <c r="C94"/>
      <c r="D94"/>
      <c r="E94"/>
      <c r="F94"/>
      <c r="G94"/>
      <c r="H94" s="1044"/>
      <c r="I94" s="591"/>
      <c r="J94" s="547"/>
      <c r="K94" s="547"/>
      <c r="L94" s="547"/>
      <c r="M94" s="548"/>
      <c r="N94" s="548"/>
      <c r="O94" s="548"/>
      <c r="P94" s="2056"/>
      <c r="Q94" s="548"/>
      <c r="R94" s="548"/>
      <c r="S94" s="548"/>
      <c r="T94" s="2056"/>
      <c r="U94" s="2057"/>
      <c r="V94" s="2057"/>
      <c r="W94" s="2057"/>
      <c r="X94" s="2058"/>
      <c r="Y94" s="2057"/>
      <c r="Z94" s="2057"/>
      <c r="AA94" s="2057"/>
      <c r="AB94" s="2058"/>
      <c r="AC94" s="2057"/>
      <c r="AD94" s="2057"/>
      <c r="AE94" s="2057"/>
      <c r="AF94" s="2058"/>
      <c r="AG94" s="2057"/>
      <c r="AH94" s="2057"/>
      <c r="AI94" s="2057"/>
      <c r="AJ94" s="2058"/>
      <c r="AK94" s="2057"/>
      <c r="AL94" s="2057"/>
      <c r="AM94" s="2057"/>
      <c r="AN94" s="2058"/>
      <c r="AO94" s="2057"/>
      <c r="AP94" s="2057"/>
      <c r="AQ94" s="2057"/>
      <c r="AR94" s="2058"/>
      <c r="AS94" s="2057"/>
      <c r="AT94" s="2057"/>
      <c r="AU94" s="2057"/>
      <c r="AV94" s="2058"/>
      <c r="AW94" s="2057"/>
      <c r="AX94" s="2057"/>
      <c r="AY94" s="2255"/>
      <c r="AZ94" s="2058"/>
      <c r="BA94" s="2057"/>
      <c r="BB94" s="2057"/>
      <c r="BC94" s="2057"/>
      <c r="BD94" s="2058"/>
      <c r="BE94" s="2057"/>
      <c r="BF94" s="2057"/>
      <c r="BG94" s="2057"/>
      <c r="BH94" s="2058"/>
      <c r="BI94" s="2059"/>
      <c r="BJ94" s="2057"/>
      <c r="BK94" s="2057"/>
      <c r="BL94" s="2058"/>
      <c r="BM94" s="2059"/>
      <c r="BN94" s="2057"/>
      <c r="BO94" s="2057"/>
      <c r="BP94" s="2058"/>
      <c r="BQ94" s="2057"/>
      <c r="BR94" s="2057"/>
      <c r="BS94" s="2057"/>
      <c r="BT94" s="2058"/>
      <c r="BU94" s="2057"/>
      <c r="BV94" s="2057"/>
      <c r="BW94" s="2057"/>
      <c r="BX94" s="2058"/>
      <c r="BY94" s="2057"/>
      <c r="BZ94" s="2057"/>
      <c r="CA94" s="2057"/>
      <c r="CB94" s="2248"/>
      <c r="CC94" s="2057"/>
      <c r="CD94" s="2057"/>
      <c r="CE94" s="2057"/>
      <c r="CF94" s="2058"/>
      <c r="CG94" s="2056"/>
      <c r="CH94" s="2060"/>
      <c r="CI94" s="548"/>
      <c r="CJ94" s="2057"/>
      <c r="CK94" s="2057"/>
      <c r="CL94" s="2057"/>
      <c r="CM94" s="2057"/>
      <c r="CN94" s="2057"/>
      <c r="CO94" s="2057"/>
      <c r="CP94" s="2057"/>
      <c r="CQ94" s="2057"/>
      <c r="CR94" s="2057"/>
      <c r="CS94" s="2057"/>
      <c r="CT94" s="2057"/>
      <c r="CU94" s="2057"/>
      <c r="CV94" s="2057"/>
      <c r="CZ94" s="2057"/>
      <c r="DA94" s="2057"/>
      <c r="DB94" s="2057"/>
      <c r="DC94" s="2057"/>
      <c r="DD94" s="2057"/>
      <c r="DE94" s="2057"/>
      <c r="DF94" s="2058"/>
      <c r="DG94" s="1492"/>
      <c r="DH94" s="1492"/>
      <c r="DJ94" s="51"/>
      <c r="DK94" s="51"/>
      <c r="DL94" s="51"/>
      <c r="DM94" s="51"/>
    </row>
    <row r="95" spans="1:122" s="584" customFormat="1" ht="11.25" customHeight="1" collapsed="1">
      <c r="A95" s="542"/>
      <c r="B95"/>
      <c r="C95"/>
      <c r="D95"/>
      <c r="E95"/>
      <c r="F95"/>
      <c r="G95"/>
      <c r="H95" s="1052"/>
      <c r="I95" s="589" t="s">
        <v>715</v>
      </c>
      <c r="J95" s="590"/>
      <c r="K95" s="590"/>
      <c r="L95" s="542"/>
      <c r="M95" s="543"/>
      <c r="N95" s="543"/>
      <c r="O95" s="543"/>
      <c r="P95" s="1003"/>
      <c r="Q95" s="543"/>
      <c r="R95" s="543"/>
      <c r="S95" s="543"/>
      <c r="T95" s="1003"/>
      <c r="U95" s="1931"/>
      <c r="V95" s="1931"/>
      <c r="W95" s="1931"/>
      <c r="X95" s="1930"/>
      <c r="Y95" s="1931"/>
      <c r="Z95" s="1931"/>
      <c r="AA95" s="1931"/>
      <c r="AB95" s="1930"/>
      <c r="AC95" s="1931"/>
      <c r="AD95" s="1931"/>
      <c r="AE95" s="1931"/>
      <c r="AF95" s="1930"/>
      <c r="AG95" s="2051">
        <f t="shared" ref="AG95:BL95" si="177">+AG83+AG69+AG118+AG105</f>
        <v>6.9629999999999912</v>
      </c>
      <c r="AH95" s="2051">
        <f t="shared" si="177"/>
        <v>26.775000000000006</v>
      </c>
      <c r="AI95" s="2051">
        <f t="shared" si="177"/>
        <v>39.393000000000001</v>
      </c>
      <c r="AJ95" s="2052">
        <f t="shared" si="177"/>
        <v>20.604999999999965</v>
      </c>
      <c r="AK95" s="2051">
        <f t="shared" si="177"/>
        <v>12.749000000000043</v>
      </c>
      <c r="AL95" s="2051">
        <f t="shared" si="177"/>
        <v>53.43799999999996</v>
      </c>
      <c r="AM95" s="2051">
        <f t="shared" si="177"/>
        <v>85.821999999999989</v>
      </c>
      <c r="AN95" s="2052">
        <f t="shared" si="177"/>
        <v>53.037000000000013</v>
      </c>
      <c r="AO95" s="2051">
        <f t="shared" si="177"/>
        <v>37.034000000000006</v>
      </c>
      <c r="AP95" s="2051">
        <f t="shared" si="177"/>
        <v>92.048000000000044</v>
      </c>
      <c r="AQ95" s="2051">
        <f t="shared" si="177"/>
        <v>142.35700000000003</v>
      </c>
      <c r="AR95" s="2052">
        <f t="shared" si="177"/>
        <v>75.554000000000002</v>
      </c>
      <c r="AS95" s="2051">
        <f t="shared" si="177"/>
        <v>61.21700000000002</v>
      </c>
      <c r="AT95" s="2051">
        <f t="shared" si="177"/>
        <v>120.25699999999998</v>
      </c>
      <c r="AU95" s="2051">
        <f t="shared" si="177"/>
        <v>214.14899999999997</v>
      </c>
      <c r="AV95" s="2052">
        <f t="shared" si="177"/>
        <v>125.93500000000007</v>
      </c>
      <c r="AW95" s="2051">
        <f t="shared" si="177"/>
        <v>99.808999999999884</v>
      </c>
      <c r="AX95" s="2051">
        <f t="shared" si="177"/>
        <v>188.74199999999985</v>
      </c>
      <c r="AY95" s="2051">
        <f t="shared" si="177"/>
        <v>344.07499999999987</v>
      </c>
      <c r="AZ95" s="2052">
        <f t="shared" si="177"/>
        <v>201.54300000000006</v>
      </c>
      <c r="BA95" s="2051">
        <f t="shared" si="177"/>
        <v>159.46500000000003</v>
      </c>
      <c r="BB95" s="2051">
        <f t="shared" si="177"/>
        <v>335.94000000000005</v>
      </c>
      <c r="BC95" s="2051">
        <f t="shared" si="177"/>
        <v>631.16200000000015</v>
      </c>
      <c r="BD95" s="2052">
        <f t="shared" si="177"/>
        <v>318.68400000000008</v>
      </c>
      <c r="BE95" s="2051">
        <f t="shared" si="177"/>
        <v>254.99699999999999</v>
      </c>
      <c r="BF95" s="2051">
        <f t="shared" si="177"/>
        <v>477.22299999999996</v>
      </c>
      <c r="BG95" s="2051">
        <f t="shared" si="177"/>
        <v>763.34300000000007</v>
      </c>
      <c r="BH95" s="2052">
        <f t="shared" si="177"/>
        <v>389.65000000000015</v>
      </c>
      <c r="BI95" s="2053">
        <f t="shared" si="177"/>
        <v>325.97699999999998</v>
      </c>
      <c r="BJ95" s="2051">
        <f t="shared" si="177"/>
        <v>580.07599999999991</v>
      </c>
      <c r="BK95" s="2051">
        <f t="shared" si="177"/>
        <v>1079.3659999999993</v>
      </c>
      <c r="BL95" s="2052">
        <f t="shared" si="177"/>
        <v>534.87599999999986</v>
      </c>
      <c r="BM95" s="2053">
        <f t="shared" ref="BM95:CF95" si="178">+BM83+BM69+BM118+BM105</f>
        <v>474.52900000000017</v>
      </c>
      <c r="BN95" s="2051">
        <f t="shared" si="178"/>
        <v>774.25700000000006</v>
      </c>
      <c r="BO95" s="2051">
        <f t="shared" si="178"/>
        <v>1383.7750000000003</v>
      </c>
      <c r="BP95" s="2052">
        <f t="shared" si="178"/>
        <v>645.39599999999996</v>
      </c>
      <c r="BQ95" s="1931">
        <f t="shared" si="178"/>
        <v>477.72699999999975</v>
      </c>
      <c r="BR95" s="1931">
        <f t="shared" si="178"/>
        <v>744.56100000000015</v>
      </c>
      <c r="BS95" s="1931">
        <f t="shared" si="178"/>
        <v>1538.3230000000001</v>
      </c>
      <c r="BT95" s="1930">
        <f t="shared" si="178"/>
        <v>714.64699999999959</v>
      </c>
      <c r="BU95" s="1931">
        <f t="shared" si="178"/>
        <v>610.26099999999951</v>
      </c>
      <c r="BV95" s="1931">
        <f t="shared" si="178"/>
        <v>812.1160000000001</v>
      </c>
      <c r="BW95" s="1931">
        <f>+BW83+BW69+BW118+BW105</f>
        <v>1848.2410000000002</v>
      </c>
      <c r="BX95" s="1930">
        <f t="shared" si="178"/>
        <v>868.61699999999962</v>
      </c>
      <c r="BY95" s="1931">
        <f t="shared" si="178"/>
        <v>634.76499999999987</v>
      </c>
      <c r="BZ95" s="1931">
        <f t="shared" si="178"/>
        <v>974.13700000000051</v>
      </c>
      <c r="CA95" s="1931">
        <f t="shared" si="178"/>
        <v>2187.6760000000004</v>
      </c>
      <c r="CB95" s="2143">
        <f t="shared" si="178"/>
        <v>1070.6539999999998</v>
      </c>
      <c r="CC95" s="1931">
        <f t="shared" si="178"/>
        <v>764.65551155532273</v>
      </c>
      <c r="CD95" s="1931">
        <f t="shared" si="178"/>
        <v>1210.0034275840203</v>
      </c>
      <c r="CE95" s="1931">
        <f t="shared" si="178"/>
        <v>2557.2658733780972</v>
      </c>
      <c r="CF95" s="1930">
        <f t="shared" si="178"/>
        <v>1391.7444963980067</v>
      </c>
      <c r="CG95" s="1930"/>
      <c r="CH95" s="1006"/>
      <c r="CI95" s="543"/>
      <c r="CJ95" s="2051">
        <f t="shared" ref="CJ95:DF95" si="179">+CJ83+CJ69+CJ118+CJ105</f>
        <v>19.082999999999984</v>
      </c>
      <c r="CK95" s="2051">
        <f t="shared" si="179"/>
        <v>47.557000000000023</v>
      </c>
      <c r="CL95" s="2051">
        <f t="shared" si="179"/>
        <v>64.277000000000001</v>
      </c>
      <c r="CM95" s="2051">
        <f t="shared" si="179"/>
        <v>93.736000000000175</v>
      </c>
      <c r="CN95" s="2051">
        <f t="shared" si="179"/>
        <v>205.04599999999976</v>
      </c>
      <c r="CO95" s="2051">
        <f t="shared" si="179"/>
        <v>346.99300000000005</v>
      </c>
      <c r="CP95" s="2051">
        <f t="shared" si="179"/>
        <v>521.55799999999965</v>
      </c>
      <c r="CQ95" s="2051">
        <f t="shared" si="179"/>
        <v>834.16899999999976</v>
      </c>
      <c r="CR95" s="2051">
        <f t="shared" si="179"/>
        <v>1445.2510000000004</v>
      </c>
      <c r="CS95" s="2051">
        <f t="shared" si="179"/>
        <v>1885.2130000000011</v>
      </c>
      <c r="CT95" s="2051">
        <f t="shared" si="179"/>
        <v>2520.2950000000001</v>
      </c>
      <c r="CU95" s="2051">
        <f t="shared" si="179"/>
        <v>3277.956999999999</v>
      </c>
      <c r="CV95" s="1931">
        <f t="shared" si="179"/>
        <v>3475.257999999998</v>
      </c>
      <c r="CW95" s="1931">
        <f>+CW83+CW69+CW118+CW105</f>
        <v>4139.2349999999997</v>
      </c>
      <c r="CX95" s="1931">
        <f t="shared" si="179"/>
        <v>4867.2319999999982</v>
      </c>
      <c r="CY95" s="1931">
        <f t="shared" si="179"/>
        <v>5923.6693089154496</v>
      </c>
      <c r="CZ95" s="1931">
        <f t="shared" si="179"/>
        <v>6799.2864405486807</v>
      </c>
      <c r="DA95" s="1931">
        <f t="shared" si="179"/>
        <v>7681.090174516783</v>
      </c>
      <c r="DB95" s="1931">
        <f t="shared" si="179"/>
        <v>8561.946486500301</v>
      </c>
      <c r="DC95" s="1931">
        <f t="shared" si="179"/>
        <v>9437.0385176143209</v>
      </c>
      <c r="DD95" s="1931">
        <f t="shared" si="179"/>
        <v>10295.109285605473</v>
      </c>
      <c r="DE95" s="1931">
        <f t="shared" si="179"/>
        <v>11125.332248816248</v>
      </c>
      <c r="DF95" s="1930">
        <f t="shared" si="179"/>
        <v>12064.464817989532</v>
      </c>
      <c r="DG95" s="1489">
        <f>+(CV95/CQ95)^(1/5)-1</f>
        <v>0.33029084133864983</v>
      </c>
      <c r="DH95" s="1489">
        <f>+(DA95/CV95)^(1/5)-1</f>
        <v>0.171890847406589</v>
      </c>
      <c r="DJ95" s="51"/>
      <c r="DK95" s="51"/>
      <c r="DL95" s="51"/>
      <c r="DM95" s="51"/>
      <c r="DN95" s="689"/>
      <c r="DO95" s="689"/>
      <c r="DP95" s="689"/>
      <c r="DQ95" s="689"/>
      <c r="DR95" s="689"/>
    </row>
    <row r="96" spans="1:122" s="554" customFormat="1" ht="11.25" customHeight="1">
      <c r="A96" s="547"/>
      <c r="B96"/>
      <c r="C96"/>
      <c r="D96"/>
      <c r="E96"/>
      <c r="F96"/>
      <c r="G96"/>
      <c r="H96" s="1044"/>
      <c r="I96" s="259" t="s">
        <v>543</v>
      </c>
      <c r="J96" s="547"/>
      <c r="K96" s="547"/>
      <c r="L96" s="547"/>
      <c r="M96" s="548"/>
      <c r="N96" s="548"/>
      <c r="O96" s="548"/>
      <c r="P96" s="2056"/>
      <c r="Q96" s="548"/>
      <c r="R96" s="548"/>
      <c r="S96" s="548"/>
      <c r="T96" s="2056"/>
      <c r="U96" s="2057"/>
      <c r="V96" s="2057"/>
      <c r="W96" s="2057"/>
      <c r="X96" s="2058"/>
      <c r="Y96" s="2057"/>
      <c r="Z96" s="2057"/>
      <c r="AA96" s="2057"/>
      <c r="AB96" s="2058"/>
      <c r="AC96" s="2057"/>
      <c r="AD96" s="2057"/>
      <c r="AE96" s="2057"/>
      <c r="AF96" s="2058"/>
      <c r="AG96" s="2256">
        <f t="shared" ref="AG96:BR96" si="180">+AG95/AG39</f>
        <v>9.6399053038169091E-2</v>
      </c>
      <c r="AH96" s="2256">
        <f t="shared" si="180"/>
        <v>0.25306226607689697</v>
      </c>
      <c r="AI96" s="2256">
        <f t="shared" si="180"/>
        <v>0.32204872465663825</v>
      </c>
      <c r="AJ96" s="2257">
        <f t="shared" si="180"/>
        <v>0.20705005174995197</v>
      </c>
      <c r="AK96" s="2256">
        <f t="shared" si="180"/>
        <v>0.12277660609212376</v>
      </c>
      <c r="AL96" s="2256">
        <f t="shared" si="180"/>
        <v>0.3449994512340776</v>
      </c>
      <c r="AM96" s="2256">
        <f t="shared" si="180"/>
        <v>0.4241663412922389</v>
      </c>
      <c r="AN96" s="2257">
        <f t="shared" si="180"/>
        <v>0.33116664169039417</v>
      </c>
      <c r="AO96" s="2256">
        <f t="shared" si="180"/>
        <v>0.2044913667912735</v>
      </c>
      <c r="AP96" s="2256">
        <f t="shared" si="180"/>
        <v>0.36278648142674169</v>
      </c>
      <c r="AQ96" s="2256">
        <f t="shared" si="180"/>
        <v>0.45038566429805305</v>
      </c>
      <c r="AR96" s="2257">
        <f t="shared" si="180"/>
        <v>0.36843927535171778</v>
      </c>
      <c r="AS96" s="2256">
        <f t="shared" si="180"/>
        <v>0.29384630154082475</v>
      </c>
      <c r="AT96" s="2256">
        <f t="shared" si="180"/>
        <v>0.39397781403363924</v>
      </c>
      <c r="AU96" s="2256">
        <f t="shared" si="180"/>
        <v>0.49342405404533574</v>
      </c>
      <c r="AV96" s="2257">
        <f t="shared" si="180"/>
        <v>0.40210543793045106</v>
      </c>
      <c r="AW96" s="2256">
        <f t="shared" si="180"/>
        <v>0.31276714423595159</v>
      </c>
      <c r="AX96" s="2256">
        <f t="shared" si="180"/>
        <v>0.42301382389328146</v>
      </c>
      <c r="AY96" s="2256">
        <f t="shared" si="180"/>
        <v>0.51492200033522484</v>
      </c>
      <c r="AZ96" s="2257">
        <f t="shared" si="180"/>
        <v>0.41973609126843642</v>
      </c>
      <c r="BA96" s="2256">
        <f t="shared" si="180"/>
        <v>0.31526784866985103</v>
      </c>
      <c r="BB96" s="2256">
        <f t="shared" si="180"/>
        <v>0.44838213251791514</v>
      </c>
      <c r="BC96" s="2256">
        <f t="shared" si="180"/>
        <v>0.57370644676898019</v>
      </c>
      <c r="BD96" s="2257">
        <f t="shared" si="180"/>
        <v>0.43974792223508596</v>
      </c>
      <c r="BE96" s="2256">
        <f t="shared" si="180"/>
        <v>0.34306621390362818</v>
      </c>
      <c r="BF96" s="2256">
        <f t="shared" si="180"/>
        <v>0.47525449587807295</v>
      </c>
      <c r="BG96" s="2256">
        <f t="shared" si="180"/>
        <v>0.54661113740699085</v>
      </c>
      <c r="BH96" s="2257">
        <f t="shared" si="180"/>
        <v>0.41463155094440024</v>
      </c>
      <c r="BI96" s="2258">
        <f t="shared" si="180"/>
        <v>0.32285659104752568</v>
      </c>
      <c r="BJ96" s="2256">
        <f t="shared" si="180"/>
        <v>0.41917397415191615</v>
      </c>
      <c r="BK96" s="2256">
        <f t="shared" si="180"/>
        <v>0.54264993853896148</v>
      </c>
      <c r="BL96" s="2257">
        <f t="shared" si="180"/>
        <v>0.40116672829316102</v>
      </c>
      <c r="BM96" s="2258">
        <f t="shared" si="180"/>
        <v>0.33738982175956711</v>
      </c>
      <c r="BN96" s="2256">
        <f t="shared" si="180"/>
        <v>0.41118356066608752</v>
      </c>
      <c r="BO96" s="2256">
        <f t="shared" si="180"/>
        <v>0.52816283190164204</v>
      </c>
      <c r="BP96" s="2257">
        <f t="shared" si="180"/>
        <v>0.38538351988582925</v>
      </c>
      <c r="BQ96" s="2010">
        <f>+BQ95/BQ39</f>
        <v>0.28568156647745879</v>
      </c>
      <c r="BR96" s="2010">
        <f t="shared" si="180"/>
        <v>0.35575463016494774</v>
      </c>
      <c r="BS96" s="2010">
        <f>+BS95/BS39</f>
        <v>0.52194632206894365</v>
      </c>
      <c r="BT96" s="2011">
        <f t="shared" ref="BT96:CF96" si="181">+BT95/BT39</f>
        <v>0.38025617982071758</v>
      </c>
      <c r="BU96" s="2010">
        <f t="shared" si="181"/>
        <v>0.30219168585505934</v>
      </c>
      <c r="BV96" s="2010">
        <f t="shared" si="181"/>
        <v>0.33422914802672465</v>
      </c>
      <c r="BW96" s="2010">
        <f t="shared" si="181"/>
        <v>0.51496476935623592</v>
      </c>
      <c r="BX96" s="2011">
        <f t="shared" si="181"/>
        <v>0.38158139240656452</v>
      </c>
      <c r="BY96" s="2010">
        <f t="shared" si="181"/>
        <v>0.27193705860806638</v>
      </c>
      <c r="BZ96" s="2010">
        <f t="shared" si="181"/>
        <v>0.33001300217425644</v>
      </c>
      <c r="CA96" s="2010">
        <f t="shared" si="181"/>
        <v>0.50009132361637876</v>
      </c>
      <c r="CB96" s="2246">
        <f t="shared" si="181"/>
        <v>0.38652564330746153</v>
      </c>
      <c r="CC96" s="2010">
        <f t="shared" si="181"/>
        <v>0.27333698767639436</v>
      </c>
      <c r="CD96" s="2010">
        <f t="shared" si="181"/>
        <v>0.3396799543757506</v>
      </c>
      <c r="CE96" s="2010">
        <f t="shared" si="181"/>
        <v>0.51100237264827453</v>
      </c>
      <c r="CF96" s="2011">
        <f t="shared" si="181"/>
        <v>0.41202806474160841</v>
      </c>
      <c r="CG96" s="2056"/>
      <c r="CH96" s="2060"/>
      <c r="CI96" s="548"/>
      <c r="CJ96" s="2010">
        <f t="shared" ref="CJ96:CO96" si="182">+CJ95/CJ39</f>
        <v>0.13075473637329121</v>
      </c>
      <c r="CK96" s="2010">
        <f t="shared" si="182"/>
        <v>0.23643848284022503</v>
      </c>
      <c r="CL96" s="2010">
        <f t="shared" si="182"/>
        <v>0.238195293681675</v>
      </c>
      <c r="CM96" s="2010">
        <f t="shared" si="182"/>
        <v>0.23441501280409763</v>
      </c>
      <c r="CN96" s="2010">
        <f t="shared" si="182"/>
        <v>0.33007251917613045</v>
      </c>
      <c r="CO96" s="2010">
        <f t="shared" si="182"/>
        <v>0.36297439985104152</v>
      </c>
      <c r="CP96" s="2010">
        <f>+CP95/CP39</f>
        <v>0.41368441174114379</v>
      </c>
      <c r="CQ96" s="2010">
        <f t="shared" ref="CQ96:DF96" si="183">+CQ95/CQ39</f>
        <v>0.43589921794412206</v>
      </c>
      <c r="CR96" s="2010">
        <f t="shared" si="183"/>
        <v>0.46925562034884483</v>
      </c>
      <c r="CS96" s="2010">
        <f t="shared" si="183"/>
        <v>0.46164551050877889</v>
      </c>
      <c r="CT96" s="2010">
        <f t="shared" si="183"/>
        <v>0.44092814307353223</v>
      </c>
      <c r="CU96" s="2010">
        <f t="shared" si="183"/>
        <v>0.43221265985683255</v>
      </c>
      <c r="CV96" s="2010">
        <f t="shared" si="183"/>
        <v>0.40448511005891991</v>
      </c>
      <c r="CW96" s="2010">
        <f t="shared" si="183"/>
        <v>0.40129506533011361</v>
      </c>
      <c r="CX96" s="2010">
        <f t="shared" si="183"/>
        <v>0.3915541917108219</v>
      </c>
      <c r="CY96" s="2010">
        <f t="shared" si="183"/>
        <v>0.40182615308691572</v>
      </c>
      <c r="CZ96" s="2010">
        <f t="shared" si="183"/>
        <v>0.40497346093324088</v>
      </c>
      <c r="DA96" s="2010">
        <f t="shared" si="183"/>
        <v>0.40809674515089023</v>
      </c>
      <c r="DB96" s="2010">
        <f t="shared" si="183"/>
        <v>0.41208620348985653</v>
      </c>
      <c r="DC96" s="2010">
        <f t="shared" si="183"/>
        <v>0.41601074691877599</v>
      </c>
      <c r="DD96" s="2010">
        <f t="shared" si="183"/>
        <v>0.41911216242140398</v>
      </c>
      <c r="DE96" s="2010">
        <f t="shared" si="183"/>
        <v>0.42142903190958902</v>
      </c>
      <c r="DF96" s="2011">
        <f t="shared" si="183"/>
        <v>0.42515110350104895</v>
      </c>
      <c r="DG96" s="1492"/>
      <c r="DH96" s="1492"/>
      <c r="DJ96" s="51"/>
      <c r="DK96" s="51"/>
      <c r="DL96" s="51"/>
      <c r="DM96" s="51"/>
    </row>
    <row r="97" spans="1:122" s="554" customFormat="1" ht="11.25" customHeight="1">
      <c r="A97" s="547"/>
      <c r="B97"/>
      <c r="C97"/>
      <c r="D97"/>
      <c r="E97"/>
      <c r="F97"/>
      <c r="G97"/>
      <c r="H97" s="1044"/>
      <c r="I97" s="188" t="s">
        <v>384</v>
      </c>
      <c r="J97" s="547"/>
      <c r="K97" s="547"/>
      <c r="L97" s="547"/>
      <c r="M97" s="548"/>
      <c r="N97" s="548"/>
      <c r="O97" s="548"/>
      <c r="P97" s="2056"/>
      <c r="Q97" s="548"/>
      <c r="R97" s="548"/>
      <c r="S97" s="548"/>
      <c r="T97" s="2056"/>
      <c r="U97" s="2057"/>
      <c r="V97" s="2057"/>
      <c r="W97" s="2057"/>
      <c r="X97" s="2058"/>
      <c r="Y97" s="2057"/>
      <c r="Z97" s="2057"/>
      <c r="AA97" s="2057"/>
      <c r="AB97" s="2058"/>
      <c r="AC97" s="2057"/>
      <c r="AD97" s="2057"/>
      <c r="AE97" s="2057"/>
      <c r="AF97" s="2058"/>
      <c r="AG97" s="2241"/>
      <c r="AH97" s="2241"/>
      <c r="AI97" s="2241"/>
      <c r="AJ97" s="2242"/>
      <c r="AK97" s="2241">
        <f t="shared" ref="AK97:CF97" si="184">+(AK96-AG96)*10000</f>
        <v>263.77553053954671</v>
      </c>
      <c r="AL97" s="2241">
        <f t="shared" si="184"/>
        <v>919.37185157180636</v>
      </c>
      <c r="AM97" s="2241">
        <f t="shared" si="184"/>
        <v>1021.1761663560065</v>
      </c>
      <c r="AN97" s="2242">
        <f t="shared" si="184"/>
        <v>1241.1658994044219</v>
      </c>
      <c r="AO97" s="2241">
        <f t="shared" si="184"/>
        <v>817.14760699149736</v>
      </c>
      <c r="AP97" s="2241">
        <f t="shared" si="184"/>
        <v>177.87030192664088</v>
      </c>
      <c r="AQ97" s="2241">
        <f t="shared" si="184"/>
        <v>262.19323005814141</v>
      </c>
      <c r="AR97" s="2242">
        <f t="shared" si="184"/>
        <v>372.72633661323607</v>
      </c>
      <c r="AS97" s="2241">
        <f t="shared" si="184"/>
        <v>893.54934749551251</v>
      </c>
      <c r="AT97" s="2241">
        <f t="shared" si="184"/>
        <v>311.91332606897549</v>
      </c>
      <c r="AU97" s="2241">
        <f t="shared" si="184"/>
        <v>430.3838974728269</v>
      </c>
      <c r="AV97" s="2242">
        <f t="shared" si="184"/>
        <v>336.66162578733281</v>
      </c>
      <c r="AW97" s="2241">
        <f t="shared" si="184"/>
        <v>189.20842695126839</v>
      </c>
      <c r="AX97" s="2241">
        <f t="shared" si="184"/>
        <v>290.36009859642218</v>
      </c>
      <c r="AY97" s="2241">
        <f t="shared" si="184"/>
        <v>214.97946289889103</v>
      </c>
      <c r="AZ97" s="2242">
        <f t="shared" si="184"/>
        <v>176.30653337985359</v>
      </c>
      <c r="BA97" s="2241">
        <f t="shared" si="184"/>
        <v>25.007044338994366</v>
      </c>
      <c r="BB97" s="2241">
        <f t="shared" si="184"/>
        <v>253.68308624633684</v>
      </c>
      <c r="BC97" s="2241">
        <f t="shared" si="184"/>
        <v>587.84446433755352</v>
      </c>
      <c r="BD97" s="2242">
        <f t="shared" si="184"/>
        <v>200.11830966649546</v>
      </c>
      <c r="BE97" s="2241">
        <f t="shared" si="184"/>
        <v>277.98365233777156</v>
      </c>
      <c r="BF97" s="2241">
        <f t="shared" si="184"/>
        <v>268.723633601578</v>
      </c>
      <c r="BG97" s="2241">
        <f t="shared" si="184"/>
        <v>-270.95309361989337</v>
      </c>
      <c r="BH97" s="2242">
        <f t="shared" si="184"/>
        <v>-251.16371290685723</v>
      </c>
      <c r="BI97" s="2243">
        <f t="shared" si="184"/>
        <v>-202.09622856102504</v>
      </c>
      <c r="BJ97" s="2241">
        <f t="shared" si="184"/>
        <v>-560.80521726156792</v>
      </c>
      <c r="BK97" s="2241">
        <f t="shared" si="184"/>
        <v>-39.611988680293699</v>
      </c>
      <c r="BL97" s="2242">
        <f t="shared" si="184"/>
        <v>-134.64822651239217</v>
      </c>
      <c r="BM97" s="2243">
        <f t="shared" si="184"/>
        <v>145.33230712041433</v>
      </c>
      <c r="BN97" s="2241">
        <f t="shared" si="184"/>
        <v>-79.904134858286284</v>
      </c>
      <c r="BO97" s="2241">
        <f t="shared" si="184"/>
        <v>-144.87106637319448</v>
      </c>
      <c r="BP97" s="2242">
        <f t="shared" si="184"/>
        <v>-157.83208407331773</v>
      </c>
      <c r="BQ97" s="2013">
        <f t="shared" si="184"/>
        <v>-517.08255282108314</v>
      </c>
      <c r="BR97" s="2013">
        <f t="shared" si="184"/>
        <v>-554.2893050113978</v>
      </c>
      <c r="BS97" s="2013">
        <f t="shared" si="184"/>
        <v>-62.165098326983916</v>
      </c>
      <c r="BT97" s="2014">
        <f t="shared" si="184"/>
        <v>-51.273400651116738</v>
      </c>
      <c r="BU97" s="2013">
        <f t="shared" si="184"/>
        <v>165.10119377600552</v>
      </c>
      <c r="BV97" s="2013">
        <f t="shared" si="184"/>
        <v>-215.25482138223083</v>
      </c>
      <c r="BW97" s="2013">
        <f t="shared" si="184"/>
        <v>-69.815527127077274</v>
      </c>
      <c r="BX97" s="2014">
        <f t="shared" si="184"/>
        <v>13.252125858469466</v>
      </c>
      <c r="BY97" s="2013">
        <f t="shared" si="184"/>
        <v>-302.54627246992959</v>
      </c>
      <c r="BZ97" s="2013">
        <f t="shared" si="184"/>
        <v>-42.161458524682118</v>
      </c>
      <c r="CA97" s="2013">
        <f t="shared" si="184"/>
        <v>-148.73445739857161</v>
      </c>
      <c r="CB97" s="2014">
        <f t="shared" si="184"/>
        <v>49.44250900897007</v>
      </c>
      <c r="CC97" s="2013">
        <f t="shared" si="184"/>
        <v>13.999290683279764</v>
      </c>
      <c r="CD97" s="2013">
        <f t="shared" si="184"/>
        <v>96.669522014941606</v>
      </c>
      <c r="CE97" s="2013">
        <f t="shared" si="184"/>
        <v>109.1104903189577</v>
      </c>
      <c r="CF97" s="2014">
        <f t="shared" si="184"/>
        <v>255.02421434146882</v>
      </c>
      <c r="CG97" s="2056"/>
      <c r="CH97" s="2060"/>
      <c r="CI97" s="548"/>
      <c r="CJ97" s="2013"/>
      <c r="CK97" s="2013">
        <f t="shared" ref="CK97:CP97" si="185">+(CK96-CJ96)*10000</f>
        <v>1056.8374646693383</v>
      </c>
      <c r="CL97" s="2013">
        <f t="shared" si="185"/>
        <v>17.568108414499626</v>
      </c>
      <c r="CM97" s="2013">
        <f t="shared" si="185"/>
        <v>-37.802808775773691</v>
      </c>
      <c r="CN97" s="2013">
        <f t="shared" si="185"/>
        <v>956.57506372032822</v>
      </c>
      <c r="CO97" s="2013">
        <f t="shared" si="185"/>
        <v>329.01880674911064</v>
      </c>
      <c r="CP97" s="2013">
        <f t="shared" si="185"/>
        <v>507.10011890102271</v>
      </c>
      <c r="CQ97" s="2013">
        <f t="shared" ref="CQ97:DF97" si="186">+(CQ96-CP96)*10000</f>
        <v>222.14806202978278</v>
      </c>
      <c r="CR97" s="2013">
        <f t="shared" si="186"/>
        <v>333.56402404722763</v>
      </c>
      <c r="CS97" s="2013">
        <f t="shared" si="186"/>
        <v>-76.101098400659367</v>
      </c>
      <c r="CT97" s="2013">
        <f t="shared" si="186"/>
        <v>-207.17367435246658</v>
      </c>
      <c r="CU97" s="2013">
        <f t="shared" si="186"/>
        <v>-87.154832166996826</v>
      </c>
      <c r="CV97" s="2013">
        <f t="shared" si="186"/>
        <v>-277.27549797912644</v>
      </c>
      <c r="CW97" s="2013">
        <f t="shared" si="186"/>
        <v>-31.90044728806296</v>
      </c>
      <c r="CX97" s="2013">
        <f t="shared" si="186"/>
        <v>-97.408736192917118</v>
      </c>
      <c r="CY97" s="2013">
        <f t="shared" si="186"/>
        <v>102.71961376093819</v>
      </c>
      <c r="CZ97" s="2013">
        <f t="shared" si="186"/>
        <v>31.473078463251646</v>
      </c>
      <c r="DA97" s="2013">
        <f t="shared" si="186"/>
        <v>31.23284217649347</v>
      </c>
      <c r="DB97" s="2013">
        <f t="shared" si="186"/>
        <v>39.894583389663005</v>
      </c>
      <c r="DC97" s="2013">
        <f t="shared" si="186"/>
        <v>39.245434289194577</v>
      </c>
      <c r="DD97" s="2013">
        <f t="shared" si="186"/>
        <v>31.014155026279909</v>
      </c>
      <c r="DE97" s="2013">
        <f t="shared" si="186"/>
        <v>23.16869488185047</v>
      </c>
      <c r="DF97" s="2014">
        <f t="shared" si="186"/>
        <v>37.220715914599303</v>
      </c>
      <c r="DG97" s="1492"/>
      <c r="DH97" s="1492"/>
      <c r="DJ97" s="51"/>
      <c r="DK97" s="51"/>
      <c r="DL97" s="51"/>
      <c r="DM97" s="51"/>
    </row>
    <row r="98" spans="1:122" s="554" customFormat="1" ht="11.25" customHeight="1">
      <c r="A98" s="547"/>
      <c r="B98"/>
      <c r="C98"/>
      <c r="D98"/>
      <c r="E98"/>
      <c r="F98"/>
      <c r="G98"/>
      <c r="H98" s="1044"/>
      <c r="I98" s="259" t="s">
        <v>544</v>
      </c>
      <c r="J98" s="547"/>
      <c r="K98" s="547"/>
      <c r="L98" s="547"/>
      <c r="M98" s="548"/>
      <c r="N98" s="548"/>
      <c r="O98" s="548"/>
      <c r="P98" s="2056"/>
      <c r="Q98" s="548"/>
      <c r="R98" s="548"/>
      <c r="S98" s="548"/>
      <c r="T98" s="2056"/>
      <c r="U98" s="2057"/>
      <c r="V98" s="2057"/>
      <c r="W98" s="2057"/>
      <c r="X98" s="2058"/>
      <c r="Y98" s="2057"/>
      <c r="Z98" s="2057"/>
      <c r="AA98" s="2057"/>
      <c r="AB98" s="2058"/>
      <c r="AC98" s="2057"/>
      <c r="AD98" s="2057"/>
      <c r="AE98" s="2057"/>
      <c r="AF98" s="2058"/>
      <c r="AG98" s="2256"/>
      <c r="AH98" s="2256"/>
      <c r="AI98" s="2256"/>
      <c r="AJ98" s="2257"/>
      <c r="AK98" s="2256">
        <f t="shared" ref="AK98:BR98" si="187">+(AK95-AG95)/(AK39-AG39)</f>
        <v>0.18305492280435479</v>
      </c>
      <c r="AL98" s="2256">
        <f t="shared" si="187"/>
        <v>0.5431563079304933</v>
      </c>
      <c r="AM98" s="2256">
        <f t="shared" si="187"/>
        <v>0.58028271112722007</v>
      </c>
      <c r="AN98" s="2257">
        <f t="shared" si="187"/>
        <v>0.53487259833429568</v>
      </c>
      <c r="AO98" s="2256">
        <f t="shared" si="187"/>
        <v>0.31431196935183225</v>
      </c>
      <c r="AP98" s="2256">
        <f t="shared" si="187"/>
        <v>0.39066294317629974</v>
      </c>
      <c r="AQ98" s="2256">
        <f t="shared" si="187"/>
        <v>0.49702409733883107</v>
      </c>
      <c r="AR98" s="2257">
        <f t="shared" si="187"/>
        <v>0.50134704873867253</v>
      </c>
      <c r="AS98" s="2256">
        <f t="shared" si="187"/>
        <v>0.88819921401550062</v>
      </c>
      <c r="AT98" s="2256">
        <f t="shared" si="187"/>
        <v>0.54760934133131334</v>
      </c>
      <c r="AU98" s="2256">
        <f t="shared" si="187"/>
        <v>0.60877823756868576</v>
      </c>
      <c r="AV98" s="2257">
        <f t="shared" si="187"/>
        <v>0.46595575450408822</v>
      </c>
      <c r="AW98" s="2256">
        <f t="shared" si="187"/>
        <v>0.34834726409474032</v>
      </c>
      <c r="AX98" s="2256">
        <f t="shared" si="187"/>
        <v>0.48589530742270026</v>
      </c>
      <c r="AY98" s="2256">
        <f t="shared" si="187"/>
        <v>0.55476042049171215</v>
      </c>
      <c r="AZ98" s="2257">
        <f t="shared" si="187"/>
        <v>0.45280487731843311</v>
      </c>
      <c r="BA98" s="2256">
        <f t="shared" si="187"/>
        <v>0.31954234782422436</v>
      </c>
      <c r="BB98" s="2256">
        <f t="shared" si="187"/>
        <v>0.48573304778529819</v>
      </c>
      <c r="BC98" s="2256">
        <f t="shared" si="187"/>
        <v>0.6646455526230497</v>
      </c>
      <c r="BD98" s="2257">
        <f t="shared" si="187"/>
        <v>0.47904355684964295</v>
      </c>
      <c r="BE98" s="2256">
        <f t="shared" si="187"/>
        <v>0.40227387569479522</v>
      </c>
      <c r="BF98" s="2256">
        <f t="shared" si="187"/>
        <v>0.55423572563403456</v>
      </c>
      <c r="BG98" s="2256">
        <f t="shared" si="187"/>
        <v>0.4460255168667096</v>
      </c>
      <c r="BH98" s="2257">
        <f t="shared" si="187"/>
        <v>0.32999307147540385</v>
      </c>
      <c r="BI98" s="2258">
        <f t="shared" si="187"/>
        <v>0.26646444700555982</v>
      </c>
      <c r="BJ98" s="2256">
        <f t="shared" si="187"/>
        <v>0.27087036788311164</v>
      </c>
      <c r="BK98" s="2256">
        <f t="shared" si="187"/>
        <v>0.53331454492679153</v>
      </c>
      <c r="BL98" s="2257">
        <f t="shared" si="187"/>
        <v>0.36901443523202782</v>
      </c>
      <c r="BM98" s="2258">
        <f t="shared" si="187"/>
        <v>0.37436933917329901</v>
      </c>
      <c r="BN98" s="2256">
        <f t="shared" si="187"/>
        <v>0.3890303541484274</v>
      </c>
      <c r="BO98" s="2256">
        <f t="shared" si="187"/>
        <v>0.48248966180757236</v>
      </c>
      <c r="BP98" s="2257">
        <f t="shared" si="187"/>
        <v>0.32374100719424487</v>
      </c>
      <c r="BQ98" s="1957">
        <f t="shared" si="187"/>
        <v>1.2033187214266685E-2</v>
      </c>
      <c r="BR98" s="1957">
        <f t="shared" si="187"/>
        <v>-0.14147015387546996</v>
      </c>
      <c r="BS98" s="1957">
        <f>+(BS95-BO95)/(BS39-BO39)</f>
        <v>0.47218488011145587</v>
      </c>
      <c r="BT98" s="1958">
        <f t="shared" ref="BT98:CF98" si="188">+(BT95-BP95)/(BT39-BP39)</f>
        <v>0.33830814175028423</v>
      </c>
      <c r="BU98" s="1957">
        <f t="shared" si="188"/>
        <v>0.38170695882078454</v>
      </c>
      <c r="BV98" s="1957">
        <f t="shared" si="188"/>
        <v>0.20051229994776054</v>
      </c>
      <c r="BW98" s="1957">
        <f t="shared" si="188"/>
        <v>0.48290304636628373</v>
      </c>
      <c r="BX98" s="1958">
        <f t="shared" si="188"/>
        <v>0.38785524638644964</v>
      </c>
      <c r="BY98" s="1957">
        <f t="shared" si="188"/>
        <v>7.7843607541656423E-2</v>
      </c>
      <c r="BZ98" s="1957">
        <f t="shared" si="188"/>
        <v>0.31038743591905021</v>
      </c>
      <c r="CA98" s="1957">
        <f t="shared" si="188"/>
        <v>0.43213153572929036</v>
      </c>
      <c r="CB98" s="1958">
        <f>+(CB95-BX95)/(CB39-BX39)</f>
        <v>0.40932813595309431</v>
      </c>
      <c r="CC98" s="1957">
        <f t="shared" si="188"/>
        <v>0.28039101726653698</v>
      </c>
      <c r="CD98" s="1957">
        <f t="shared" si="188"/>
        <v>0.38643015014100784</v>
      </c>
      <c r="CE98" s="1957">
        <f t="shared" si="188"/>
        <v>0.58678289054067911</v>
      </c>
      <c r="CF98" s="1958">
        <f t="shared" si="188"/>
        <v>0.52824183530769153</v>
      </c>
      <c r="CG98" s="2056"/>
      <c r="CH98" s="2060"/>
      <c r="CI98" s="548"/>
      <c r="CJ98" s="1957"/>
      <c r="CK98" s="1957">
        <f t="shared" ref="CK98:CP98" si="189">+(CK95-CJ95)/(CK39-CJ39)</f>
        <v>0.5158894082690153</v>
      </c>
      <c r="CL98" s="1957">
        <f t="shared" si="189"/>
        <v>0.2433380390330511</v>
      </c>
      <c r="CM98" s="1957">
        <f t="shared" si="189"/>
        <v>0.2265693498023422</v>
      </c>
      <c r="CN98" s="1957">
        <f t="shared" si="189"/>
        <v>0.50288466316983071</v>
      </c>
      <c r="CO98" s="1957">
        <f t="shared" si="189"/>
        <v>0.42403123469034193</v>
      </c>
      <c r="CP98" s="1957">
        <f t="shared" si="189"/>
        <v>0.57273484868369151</v>
      </c>
      <c r="CQ98" s="1957">
        <f t="shared" ref="CQ98:DF98" si="190">+(CQ95-CP95)/(CQ39-CP39)</f>
        <v>0.47879573173066498</v>
      </c>
      <c r="CR98" s="1957">
        <f t="shared" si="190"/>
        <v>0.52399147320456274</v>
      </c>
      <c r="CS98" s="1957">
        <f t="shared" si="190"/>
        <v>0.43829603676425954</v>
      </c>
      <c r="CT98" s="1957">
        <f t="shared" si="190"/>
        <v>0.38909450712379828</v>
      </c>
      <c r="CU98" s="1957">
        <f t="shared" si="190"/>
        <v>0.40554766936224573</v>
      </c>
      <c r="CV98" s="1957">
        <f t="shared" si="190"/>
        <v>0.19579785983008352</v>
      </c>
      <c r="CW98" s="1957">
        <f t="shared" si="190"/>
        <v>0.38538672052980993</v>
      </c>
      <c r="CX98" s="1957">
        <f t="shared" si="190"/>
        <v>0.34406785348509505</v>
      </c>
      <c r="CY98" s="1957">
        <f t="shared" si="190"/>
        <v>0.45706980055051716</v>
      </c>
      <c r="CZ98" s="1957">
        <f t="shared" si="190"/>
        <v>0.42763287445030806</v>
      </c>
      <c r="DA98" s="1957">
        <f t="shared" si="190"/>
        <v>0.43389946339839869</v>
      </c>
      <c r="DB98" s="1957">
        <f t="shared" si="190"/>
        <v>0.45048802716234498</v>
      </c>
      <c r="DC98" s="1957">
        <f t="shared" si="190"/>
        <v>0.45875748800515415</v>
      </c>
      <c r="DD98" s="1957">
        <f t="shared" si="190"/>
        <v>0.45654489342941679</v>
      </c>
      <c r="DE98" s="1957">
        <f t="shared" si="190"/>
        <v>0.45244407824280486</v>
      </c>
      <c r="DF98" s="1958">
        <f t="shared" si="190"/>
        <v>0.47483160578653533</v>
      </c>
      <c r="DG98" s="1492"/>
      <c r="DH98" s="1492"/>
      <c r="DJ98" s="51"/>
      <c r="DK98" s="51"/>
      <c r="DL98" s="51"/>
      <c r="DM98" s="51"/>
    </row>
    <row r="99" spans="1:122" s="554" customFormat="1" ht="11.25" customHeight="1">
      <c r="A99" s="547"/>
      <c r="B99"/>
      <c r="C99"/>
      <c r="D99"/>
      <c r="E99"/>
      <c r="F99"/>
      <c r="G99"/>
      <c r="H99" s="1044"/>
      <c r="I99" s="259" t="s">
        <v>376</v>
      </c>
      <c r="J99" s="547"/>
      <c r="K99" s="547"/>
      <c r="L99" s="547"/>
      <c r="M99" s="548"/>
      <c r="N99" s="548"/>
      <c r="O99" s="548"/>
      <c r="P99" s="2056"/>
      <c r="Q99" s="548"/>
      <c r="R99" s="548"/>
      <c r="S99" s="548"/>
      <c r="T99" s="2056"/>
      <c r="U99" s="2057"/>
      <c r="V99" s="2057"/>
      <c r="W99" s="2057"/>
      <c r="X99" s="2058"/>
      <c r="Y99" s="2057"/>
      <c r="Z99" s="2057"/>
      <c r="AA99" s="2057"/>
      <c r="AB99" s="2058"/>
      <c r="AC99" s="2057"/>
      <c r="AD99" s="2057"/>
      <c r="AE99" s="2057"/>
      <c r="AF99" s="2058"/>
      <c r="AG99" s="2256"/>
      <c r="AH99" s="2256"/>
      <c r="AI99" s="2256"/>
      <c r="AJ99" s="2257"/>
      <c r="AK99" s="2256">
        <f t="shared" ref="AK99:BR99" si="191">+AK95/AG95-1</f>
        <v>0.83096366508689634</v>
      </c>
      <c r="AL99" s="2256">
        <f t="shared" si="191"/>
        <v>0.99581699346405039</v>
      </c>
      <c r="AM99" s="2256">
        <f t="shared" si="191"/>
        <v>1.178610413017541</v>
      </c>
      <c r="AN99" s="2257">
        <f t="shared" si="191"/>
        <v>1.5739868963843779</v>
      </c>
      <c r="AO99" s="2256">
        <f t="shared" si="191"/>
        <v>1.9048552827672665</v>
      </c>
      <c r="AP99" s="2256">
        <f t="shared" si="191"/>
        <v>0.72251955537258339</v>
      </c>
      <c r="AQ99" s="2256">
        <f t="shared" si="191"/>
        <v>0.65874717438419106</v>
      </c>
      <c r="AR99" s="2257">
        <f t="shared" si="191"/>
        <v>0.42455267077700443</v>
      </c>
      <c r="AS99" s="2256">
        <f t="shared" si="191"/>
        <v>0.65299454555273551</v>
      </c>
      <c r="AT99" s="2256">
        <f t="shared" si="191"/>
        <v>0.30645967321397438</v>
      </c>
      <c r="AU99" s="2256">
        <f t="shared" si="191"/>
        <v>0.50430958786712221</v>
      </c>
      <c r="AV99" s="2257">
        <f t="shared" si="191"/>
        <v>0.66682108161050468</v>
      </c>
      <c r="AW99" s="2256">
        <f t="shared" si="191"/>
        <v>0.63041312053841003</v>
      </c>
      <c r="AX99" s="2256">
        <f t="shared" si="191"/>
        <v>0.56948867841372963</v>
      </c>
      <c r="AY99" s="2256">
        <f t="shared" si="191"/>
        <v>0.60670841330101899</v>
      </c>
      <c r="AZ99" s="2257">
        <f t="shared" si="191"/>
        <v>0.60037320840115882</v>
      </c>
      <c r="BA99" s="2256">
        <f t="shared" si="191"/>
        <v>0.59770161007524591</v>
      </c>
      <c r="BB99" s="2256">
        <f t="shared" si="191"/>
        <v>0.77989000858314705</v>
      </c>
      <c r="BC99" s="2256">
        <f t="shared" si="191"/>
        <v>0.83437331977039997</v>
      </c>
      <c r="BD99" s="2257">
        <f t="shared" si="191"/>
        <v>0.58122088090382684</v>
      </c>
      <c r="BE99" s="2256">
        <f t="shared" si="191"/>
        <v>0.59907816762298904</v>
      </c>
      <c r="BF99" s="2256">
        <f t="shared" si="191"/>
        <v>0.42056021908674124</v>
      </c>
      <c r="BG99" s="2256">
        <f t="shared" si="191"/>
        <v>0.20942483863096939</v>
      </c>
      <c r="BH99" s="2257">
        <f t="shared" si="191"/>
        <v>0.22268454017145523</v>
      </c>
      <c r="BI99" s="2258">
        <f t="shared" si="191"/>
        <v>0.27835621595548177</v>
      </c>
      <c r="BJ99" s="2256">
        <f t="shared" si="191"/>
        <v>0.21552397935556322</v>
      </c>
      <c r="BK99" s="2256">
        <f t="shared" si="191"/>
        <v>0.41399868735286649</v>
      </c>
      <c r="BL99" s="2257">
        <f t="shared" si="191"/>
        <v>0.37270884126780346</v>
      </c>
      <c r="BM99" s="2258">
        <f t="shared" si="191"/>
        <v>0.45571313313516049</v>
      </c>
      <c r="BN99" s="2256">
        <f t="shared" si="191"/>
        <v>0.33475096366683021</v>
      </c>
      <c r="BO99" s="2256">
        <f t="shared" si="191"/>
        <v>0.28202574474274833</v>
      </c>
      <c r="BP99" s="2257">
        <f t="shared" si="191"/>
        <v>0.20662733044668324</v>
      </c>
      <c r="BQ99" s="1957">
        <f t="shared" si="191"/>
        <v>6.7393141409683999E-3</v>
      </c>
      <c r="BR99" s="1957">
        <f t="shared" si="191"/>
        <v>-3.8354189887853662E-2</v>
      </c>
      <c r="BS99" s="1957">
        <f>+BS95/BO95-1</f>
        <v>0.11168578706798415</v>
      </c>
      <c r="BT99" s="1958">
        <f t="shared" ref="BT99:CF99" si="192">+BT95/BP95-1</f>
        <v>0.1073000142548135</v>
      </c>
      <c r="BU99" s="1957">
        <f t="shared" si="192"/>
        <v>0.27742622878757084</v>
      </c>
      <c r="BV99" s="1957">
        <f t="shared" si="192"/>
        <v>9.0731316843079224E-2</v>
      </c>
      <c r="BW99" s="1957">
        <f t="shared" si="192"/>
        <v>0.20146484190901393</v>
      </c>
      <c r="BX99" s="1958">
        <f t="shared" si="192"/>
        <v>0.21544902588270864</v>
      </c>
      <c r="BY99" s="1957">
        <f t="shared" si="192"/>
        <v>4.0153311451985862E-2</v>
      </c>
      <c r="BZ99" s="1957">
        <f t="shared" si="192"/>
        <v>0.19950475055287709</v>
      </c>
      <c r="CA99" s="1957">
        <f t="shared" si="192"/>
        <v>0.1836529976339667</v>
      </c>
      <c r="CB99" s="1958">
        <f t="shared" si="192"/>
        <v>0.23259618450939845</v>
      </c>
      <c r="CC99" s="1957">
        <f t="shared" si="192"/>
        <v>0.20462771506828958</v>
      </c>
      <c r="CD99" s="1957">
        <f t="shared" si="192"/>
        <v>0.24212859955429233</v>
      </c>
      <c r="CE99" s="1957">
        <f t="shared" si="192"/>
        <v>0.16894177811435362</v>
      </c>
      <c r="CF99" s="1958">
        <f t="shared" si="192"/>
        <v>0.29990127193099458</v>
      </c>
      <c r="CG99" s="2056"/>
      <c r="CH99" s="2060"/>
      <c r="CI99" s="548"/>
      <c r="CJ99" s="1957"/>
      <c r="CK99" s="1957">
        <f t="shared" ref="CK99:CP99" si="193">+CK95/CJ95-1</f>
        <v>1.492113399360691</v>
      </c>
      <c r="CL99" s="1957">
        <f t="shared" si="193"/>
        <v>0.35157810627247232</v>
      </c>
      <c r="CM99" s="1957">
        <f t="shared" si="193"/>
        <v>0.45831323801671164</v>
      </c>
      <c r="CN99" s="1957">
        <f t="shared" si="193"/>
        <v>1.1874839976103031</v>
      </c>
      <c r="CO99" s="1957">
        <f t="shared" si="193"/>
        <v>0.69226905182252008</v>
      </c>
      <c r="CP99" s="1957">
        <f t="shared" si="193"/>
        <v>0.50307931283916263</v>
      </c>
      <c r="CQ99" s="1957">
        <f t="shared" ref="CQ99:DF99" si="194">+CQ95/CP95-1</f>
        <v>0.59937916780108891</v>
      </c>
      <c r="CR99" s="1957">
        <f t="shared" si="194"/>
        <v>0.73256378503636665</v>
      </c>
      <c r="CS99" s="1957">
        <f t="shared" si="194"/>
        <v>0.30441909398436717</v>
      </c>
      <c r="CT99" s="1957">
        <f t="shared" si="194"/>
        <v>0.33687546181784156</v>
      </c>
      <c r="CU99" s="1957">
        <f t="shared" si="194"/>
        <v>0.30062433167545821</v>
      </c>
      <c r="CV99" s="1957">
        <f t="shared" si="194"/>
        <v>6.0190234344135396E-2</v>
      </c>
      <c r="CW99" s="1957">
        <f t="shared" si="194"/>
        <v>0.19105833293528196</v>
      </c>
      <c r="CX99" s="1957">
        <f t="shared" si="194"/>
        <v>0.17587718503539862</v>
      </c>
      <c r="CY99" s="1957">
        <f t="shared" si="194"/>
        <v>0.21705094577687101</v>
      </c>
      <c r="CZ99" s="1957">
        <f t="shared" si="194"/>
        <v>0.14781668016399552</v>
      </c>
      <c r="DA99" s="1957">
        <f t="shared" si="194"/>
        <v>0.12969062881500593</v>
      </c>
      <c r="DB99" s="1957">
        <f t="shared" si="194"/>
        <v>0.1146785536909718</v>
      </c>
      <c r="DC99" s="1957">
        <f t="shared" si="194"/>
        <v>0.10220713625035915</v>
      </c>
      <c r="DD99" s="1957">
        <f t="shared" si="194"/>
        <v>9.0925852044532185E-2</v>
      </c>
      <c r="DE99" s="1957">
        <f t="shared" si="194"/>
        <v>8.0642462374982848E-2</v>
      </c>
      <c r="DF99" s="1958">
        <f t="shared" si="194"/>
        <v>8.4413889686144827E-2</v>
      </c>
      <c r="DG99" s="1492"/>
      <c r="DH99" s="1492"/>
      <c r="DJ99" s="51"/>
      <c r="DK99" s="51"/>
      <c r="DL99" s="51"/>
      <c r="DM99" s="51"/>
    </row>
    <row r="100" spans="1:122" s="554" customFormat="1" ht="11.25" customHeight="1">
      <c r="A100" s="547"/>
      <c r="B100"/>
      <c r="C100"/>
      <c r="D100"/>
      <c r="E100"/>
      <c r="F100"/>
      <c r="G100"/>
      <c r="H100" s="1044"/>
      <c r="I100" s="591" t="s">
        <v>661</v>
      </c>
      <c r="J100" s="547"/>
      <c r="K100" s="547"/>
      <c r="L100" s="547"/>
      <c r="M100" s="548"/>
      <c r="N100" s="548"/>
      <c r="O100" s="548"/>
      <c r="P100" s="2056"/>
      <c r="Q100" s="548"/>
      <c r="R100" s="548"/>
      <c r="S100" s="548"/>
      <c r="T100" s="2056"/>
      <c r="U100" s="2057"/>
      <c r="V100" s="2057"/>
      <c r="W100" s="2057"/>
      <c r="X100" s="2058"/>
      <c r="Y100" s="2057"/>
      <c r="Z100" s="2057"/>
      <c r="AA100" s="2057"/>
      <c r="AB100" s="2058"/>
      <c r="AC100" s="2057"/>
      <c r="AD100" s="2057"/>
      <c r="AE100" s="2057"/>
      <c r="AF100" s="2058"/>
      <c r="AG100" s="2259"/>
      <c r="AH100" s="2259"/>
      <c r="AI100" s="2259"/>
      <c r="AJ100" s="2260"/>
      <c r="AK100" s="2259">
        <f t="shared" ref="AK100:CF100" si="195">+AK95-AG95</f>
        <v>5.786000000000052</v>
      </c>
      <c r="AL100" s="2259">
        <f t="shared" si="195"/>
        <v>26.662999999999954</v>
      </c>
      <c r="AM100" s="2259">
        <f t="shared" si="195"/>
        <v>46.428999999999988</v>
      </c>
      <c r="AN100" s="2260">
        <f t="shared" si="195"/>
        <v>32.432000000000045</v>
      </c>
      <c r="AO100" s="2259">
        <f t="shared" si="195"/>
        <v>24.284999999999961</v>
      </c>
      <c r="AP100" s="2259">
        <f t="shared" si="195"/>
        <v>38.610000000000085</v>
      </c>
      <c r="AQ100" s="2259">
        <f t="shared" si="195"/>
        <v>56.535000000000039</v>
      </c>
      <c r="AR100" s="2260">
        <f t="shared" si="195"/>
        <v>22.516999999999989</v>
      </c>
      <c r="AS100" s="2259">
        <f t="shared" si="195"/>
        <v>24.183000000000014</v>
      </c>
      <c r="AT100" s="2259">
        <f t="shared" si="195"/>
        <v>28.208999999999932</v>
      </c>
      <c r="AU100" s="2259">
        <f t="shared" si="195"/>
        <v>71.791999999999945</v>
      </c>
      <c r="AV100" s="2260">
        <f t="shared" si="195"/>
        <v>50.381000000000071</v>
      </c>
      <c r="AW100" s="2259">
        <f t="shared" si="195"/>
        <v>38.591999999999864</v>
      </c>
      <c r="AX100" s="2259">
        <f t="shared" si="195"/>
        <v>68.484999999999872</v>
      </c>
      <c r="AY100" s="2259">
        <f t="shared" si="195"/>
        <v>129.9259999999999</v>
      </c>
      <c r="AZ100" s="2260">
        <f t="shared" si="195"/>
        <v>75.60799999999999</v>
      </c>
      <c r="BA100" s="2259">
        <f t="shared" si="195"/>
        <v>59.656000000000148</v>
      </c>
      <c r="BB100" s="2259">
        <f t="shared" si="195"/>
        <v>147.19800000000021</v>
      </c>
      <c r="BC100" s="2259">
        <f t="shared" si="195"/>
        <v>287.08700000000027</v>
      </c>
      <c r="BD100" s="2260">
        <f t="shared" si="195"/>
        <v>117.14100000000002</v>
      </c>
      <c r="BE100" s="2259">
        <f t="shared" si="195"/>
        <v>95.531999999999954</v>
      </c>
      <c r="BF100" s="2259">
        <f t="shared" si="195"/>
        <v>141.2829999999999</v>
      </c>
      <c r="BG100" s="2259">
        <f t="shared" si="195"/>
        <v>132.18099999999993</v>
      </c>
      <c r="BH100" s="2260">
        <f t="shared" si="195"/>
        <v>70.966000000000065</v>
      </c>
      <c r="BI100" s="2261">
        <f t="shared" si="195"/>
        <v>70.97999999999999</v>
      </c>
      <c r="BJ100" s="2259">
        <f t="shared" si="195"/>
        <v>102.85299999999995</v>
      </c>
      <c r="BK100" s="2259">
        <f t="shared" si="195"/>
        <v>316.02299999999923</v>
      </c>
      <c r="BL100" s="2260">
        <f t="shared" si="195"/>
        <v>145.22599999999971</v>
      </c>
      <c r="BM100" s="2261">
        <f t="shared" si="195"/>
        <v>148.55200000000019</v>
      </c>
      <c r="BN100" s="2259">
        <f t="shared" si="195"/>
        <v>194.18100000000015</v>
      </c>
      <c r="BO100" s="2259">
        <f t="shared" si="195"/>
        <v>304.40900000000101</v>
      </c>
      <c r="BP100" s="2260">
        <f t="shared" si="195"/>
        <v>110.5200000000001</v>
      </c>
      <c r="BQ100" s="2057">
        <f t="shared" si="195"/>
        <v>3.1979999999995812</v>
      </c>
      <c r="BR100" s="2057">
        <f t="shared" si="195"/>
        <v>-29.695999999999913</v>
      </c>
      <c r="BS100" s="2057">
        <f t="shared" si="195"/>
        <v>154.54799999999977</v>
      </c>
      <c r="BT100" s="2058">
        <f t="shared" si="195"/>
        <v>69.250999999999635</v>
      </c>
      <c r="BU100" s="2057">
        <f t="shared" si="195"/>
        <v>132.53399999999976</v>
      </c>
      <c r="BV100" s="2057">
        <f t="shared" si="195"/>
        <v>67.55499999999995</v>
      </c>
      <c r="BW100" s="2057">
        <f t="shared" si="195"/>
        <v>309.91800000000012</v>
      </c>
      <c r="BX100" s="2058">
        <f t="shared" si="195"/>
        <v>153.97000000000003</v>
      </c>
      <c r="BY100" s="2057">
        <f t="shared" si="195"/>
        <v>24.50400000000036</v>
      </c>
      <c r="BZ100" s="2057">
        <f t="shared" si="195"/>
        <v>162.02100000000041</v>
      </c>
      <c r="CA100" s="2057">
        <f t="shared" si="195"/>
        <v>339.43500000000017</v>
      </c>
      <c r="CB100" s="2058">
        <f t="shared" si="195"/>
        <v>202.03700000000015</v>
      </c>
      <c r="CC100" s="2057">
        <f t="shared" si="195"/>
        <v>129.89051155532286</v>
      </c>
      <c r="CD100" s="2057">
        <f t="shared" si="195"/>
        <v>235.86642758401979</v>
      </c>
      <c r="CE100" s="2057">
        <f t="shared" si="195"/>
        <v>369.58987337809685</v>
      </c>
      <c r="CF100" s="2058">
        <f t="shared" si="195"/>
        <v>321.09049639800696</v>
      </c>
      <c r="CG100" s="2056"/>
      <c r="CH100" s="2060"/>
      <c r="CI100" s="548"/>
      <c r="CJ100" s="2057"/>
      <c r="CK100" s="2057">
        <f t="shared" ref="CK100:CP100" si="196">+CK95-CJ95</f>
        <v>28.474000000000039</v>
      </c>
      <c r="CL100" s="2057">
        <f t="shared" si="196"/>
        <v>16.719999999999978</v>
      </c>
      <c r="CM100" s="2057">
        <f t="shared" si="196"/>
        <v>29.459000000000174</v>
      </c>
      <c r="CN100" s="2057">
        <f t="shared" si="196"/>
        <v>111.30999999999959</v>
      </c>
      <c r="CO100" s="2057">
        <f t="shared" si="196"/>
        <v>141.94700000000029</v>
      </c>
      <c r="CP100" s="2057">
        <f t="shared" si="196"/>
        <v>174.5649999999996</v>
      </c>
      <c r="CQ100" s="2057">
        <f t="shared" ref="CQ100:DF100" si="197">+CQ95-CP95</f>
        <v>312.6110000000001</v>
      </c>
      <c r="CR100" s="2057">
        <f t="shared" si="197"/>
        <v>611.08200000000068</v>
      </c>
      <c r="CS100" s="2057">
        <f t="shared" si="197"/>
        <v>439.96200000000067</v>
      </c>
      <c r="CT100" s="2057">
        <f t="shared" si="197"/>
        <v>635.08199999999897</v>
      </c>
      <c r="CU100" s="2057">
        <f t="shared" si="197"/>
        <v>757.6619999999989</v>
      </c>
      <c r="CV100" s="2057">
        <f t="shared" si="197"/>
        <v>197.30099999999902</v>
      </c>
      <c r="CW100" s="2057">
        <f t="shared" si="197"/>
        <v>663.97700000000168</v>
      </c>
      <c r="CX100" s="2057">
        <f t="shared" si="197"/>
        <v>727.99699999999848</v>
      </c>
      <c r="CY100" s="2057">
        <f t="shared" si="197"/>
        <v>1056.4373089154515</v>
      </c>
      <c r="CZ100" s="2057">
        <f t="shared" si="197"/>
        <v>875.61713163323111</v>
      </c>
      <c r="DA100" s="2057">
        <f t="shared" si="197"/>
        <v>881.80373396810228</v>
      </c>
      <c r="DB100" s="2057">
        <f t="shared" si="197"/>
        <v>880.85631198351803</v>
      </c>
      <c r="DC100" s="2057">
        <f t="shared" si="197"/>
        <v>875.09203111401985</v>
      </c>
      <c r="DD100" s="2057">
        <f t="shared" si="197"/>
        <v>858.07076799115202</v>
      </c>
      <c r="DE100" s="2057">
        <f t="shared" si="197"/>
        <v>830.22296321077556</v>
      </c>
      <c r="DF100" s="2058">
        <f t="shared" si="197"/>
        <v>939.13256917328363</v>
      </c>
      <c r="DG100" s="1492"/>
      <c r="DH100" s="1492"/>
      <c r="DJ100" s="51"/>
      <c r="DK100" s="51"/>
      <c r="DL100" s="51"/>
      <c r="DM100" s="51"/>
    </row>
    <row r="101" spans="1:122" s="554" customFormat="1" ht="11.25" customHeight="1">
      <c r="A101" s="547"/>
      <c r="B101"/>
      <c r="C101"/>
      <c r="D101"/>
      <c r="E101"/>
      <c r="F101"/>
      <c r="G101"/>
      <c r="H101" s="1044"/>
      <c r="I101" s="591" t="s">
        <v>153</v>
      </c>
      <c r="J101" s="547"/>
      <c r="K101" s="547"/>
      <c r="L101" s="547"/>
      <c r="M101" s="548"/>
      <c r="N101" s="548"/>
      <c r="O101" s="548"/>
      <c r="P101" s="2056"/>
      <c r="Q101" s="548"/>
      <c r="R101" s="548"/>
      <c r="S101" s="548"/>
      <c r="T101" s="2056"/>
      <c r="U101" s="2057"/>
      <c r="V101" s="2057"/>
      <c r="W101" s="2057"/>
      <c r="X101" s="2058"/>
      <c r="Y101" s="2057"/>
      <c r="Z101" s="2057"/>
      <c r="AA101" s="2057"/>
      <c r="AB101" s="2058"/>
      <c r="AC101" s="2057"/>
      <c r="AD101" s="2057"/>
      <c r="AE101" s="2057"/>
      <c r="AF101" s="2058"/>
      <c r="AG101" s="2259"/>
      <c r="AH101" s="2259">
        <f t="shared" ref="AH101:BM101" si="198">+AH95-AG95</f>
        <v>19.812000000000015</v>
      </c>
      <c r="AI101" s="2259">
        <f t="shared" si="198"/>
        <v>12.617999999999995</v>
      </c>
      <c r="AJ101" s="2260">
        <f t="shared" si="198"/>
        <v>-18.788000000000036</v>
      </c>
      <c r="AK101" s="2259">
        <f t="shared" si="198"/>
        <v>-7.8559999999999217</v>
      </c>
      <c r="AL101" s="2259">
        <f t="shared" si="198"/>
        <v>40.688999999999915</v>
      </c>
      <c r="AM101" s="2259">
        <f t="shared" si="198"/>
        <v>32.384000000000029</v>
      </c>
      <c r="AN101" s="2260">
        <f t="shared" si="198"/>
        <v>-32.784999999999975</v>
      </c>
      <c r="AO101" s="2259">
        <f t="shared" si="198"/>
        <v>-16.003000000000007</v>
      </c>
      <c r="AP101" s="2259">
        <f t="shared" si="198"/>
        <v>55.014000000000038</v>
      </c>
      <c r="AQ101" s="2259">
        <f t="shared" si="198"/>
        <v>50.308999999999983</v>
      </c>
      <c r="AR101" s="2260">
        <f t="shared" si="198"/>
        <v>-66.803000000000026</v>
      </c>
      <c r="AS101" s="2259">
        <f t="shared" si="198"/>
        <v>-14.336999999999982</v>
      </c>
      <c r="AT101" s="2259">
        <f t="shared" si="198"/>
        <v>59.039999999999957</v>
      </c>
      <c r="AU101" s="2259">
        <f t="shared" si="198"/>
        <v>93.891999999999996</v>
      </c>
      <c r="AV101" s="2260">
        <f t="shared" si="198"/>
        <v>-88.213999999999899</v>
      </c>
      <c r="AW101" s="2259">
        <f t="shared" si="198"/>
        <v>-26.12600000000019</v>
      </c>
      <c r="AX101" s="2259">
        <f t="shared" si="198"/>
        <v>88.932999999999964</v>
      </c>
      <c r="AY101" s="2259">
        <f t="shared" si="198"/>
        <v>155.33300000000003</v>
      </c>
      <c r="AZ101" s="2260">
        <f t="shared" si="198"/>
        <v>-142.53199999999981</v>
      </c>
      <c r="BA101" s="2259">
        <f t="shared" si="198"/>
        <v>-42.078000000000031</v>
      </c>
      <c r="BB101" s="2259">
        <f t="shared" si="198"/>
        <v>176.47500000000002</v>
      </c>
      <c r="BC101" s="2259">
        <f t="shared" si="198"/>
        <v>295.22200000000009</v>
      </c>
      <c r="BD101" s="2260">
        <f t="shared" si="198"/>
        <v>-312.47800000000007</v>
      </c>
      <c r="BE101" s="2259">
        <f t="shared" si="198"/>
        <v>-63.687000000000097</v>
      </c>
      <c r="BF101" s="2259">
        <f t="shared" si="198"/>
        <v>222.22599999999997</v>
      </c>
      <c r="BG101" s="2259">
        <f t="shared" si="198"/>
        <v>286.12000000000012</v>
      </c>
      <c r="BH101" s="2260">
        <f t="shared" si="198"/>
        <v>-373.69299999999993</v>
      </c>
      <c r="BI101" s="2261">
        <f t="shared" si="198"/>
        <v>-63.673000000000172</v>
      </c>
      <c r="BJ101" s="2259">
        <f t="shared" si="198"/>
        <v>254.09899999999993</v>
      </c>
      <c r="BK101" s="2259">
        <f t="shared" si="198"/>
        <v>499.2899999999994</v>
      </c>
      <c r="BL101" s="2260">
        <f t="shared" si="198"/>
        <v>-544.48999999999944</v>
      </c>
      <c r="BM101" s="2261">
        <f t="shared" si="198"/>
        <v>-60.346999999999696</v>
      </c>
      <c r="BN101" s="2259">
        <f t="shared" ref="BN101:CF101" si="199">+BN95-BM95</f>
        <v>299.72799999999989</v>
      </c>
      <c r="BO101" s="2259">
        <f t="shared" si="199"/>
        <v>609.51800000000026</v>
      </c>
      <c r="BP101" s="2260">
        <f t="shared" si="199"/>
        <v>-738.37900000000036</v>
      </c>
      <c r="BQ101" s="2057">
        <f t="shared" si="199"/>
        <v>-167.66900000000021</v>
      </c>
      <c r="BR101" s="2057">
        <f t="shared" si="199"/>
        <v>266.8340000000004</v>
      </c>
      <c r="BS101" s="2057">
        <f t="shared" si="199"/>
        <v>793.76199999999994</v>
      </c>
      <c r="BT101" s="2058">
        <f t="shared" si="199"/>
        <v>-823.6760000000005</v>
      </c>
      <c r="BU101" s="2057">
        <f t="shared" si="199"/>
        <v>-104.38600000000008</v>
      </c>
      <c r="BV101" s="2057">
        <f t="shared" si="199"/>
        <v>201.85500000000059</v>
      </c>
      <c r="BW101" s="2057">
        <f t="shared" si="199"/>
        <v>1036.125</v>
      </c>
      <c r="BX101" s="2058">
        <f t="shared" si="199"/>
        <v>-979.62400000000059</v>
      </c>
      <c r="BY101" s="2057">
        <f t="shared" si="199"/>
        <v>-233.85199999999975</v>
      </c>
      <c r="BZ101" s="2057">
        <f t="shared" si="199"/>
        <v>339.37200000000064</v>
      </c>
      <c r="CA101" s="2057">
        <f t="shared" si="199"/>
        <v>1213.5389999999998</v>
      </c>
      <c r="CB101" s="2058">
        <f t="shared" si="199"/>
        <v>-1117.0220000000006</v>
      </c>
      <c r="CC101" s="2057">
        <f t="shared" si="199"/>
        <v>-305.99848844467704</v>
      </c>
      <c r="CD101" s="2057">
        <f t="shared" si="199"/>
        <v>445.34791602869757</v>
      </c>
      <c r="CE101" s="2057">
        <f t="shared" si="199"/>
        <v>1347.2624457940769</v>
      </c>
      <c r="CF101" s="2058">
        <f t="shared" si="199"/>
        <v>-1165.5213769800905</v>
      </c>
      <c r="CG101" s="2056"/>
      <c r="CH101" s="2060"/>
      <c r="CI101" s="548"/>
      <c r="CJ101" s="2057"/>
      <c r="CK101" s="2057"/>
      <c r="CL101" s="2057"/>
      <c r="CM101" s="2057"/>
      <c r="CN101" s="2057"/>
      <c r="CO101" s="2057"/>
      <c r="CP101" s="2057"/>
      <c r="CQ101" s="2057"/>
      <c r="CR101" s="2057"/>
      <c r="CS101" s="2057"/>
      <c r="CT101" s="2057"/>
      <c r="CU101" s="2057"/>
      <c r="CV101" s="2057"/>
      <c r="CW101" s="2057"/>
      <c r="CX101" s="2057"/>
      <c r="CY101" s="2057"/>
      <c r="CZ101" s="2057"/>
      <c r="DA101" s="2057"/>
      <c r="DB101" s="2057"/>
      <c r="DC101" s="2057"/>
      <c r="DD101" s="2057"/>
      <c r="DE101" s="2057"/>
      <c r="DF101" s="2058"/>
      <c r="DG101" s="1492"/>
      <c r="DH101" s="1492"/>
      <c r="DJ101" s="51"/>
      <c r="DK101" s="51"/>
      <c r="DL101" s="51"/>
      <c r="DM101" s="51"/>
    </row>
    <row r="102" spans="1:122" s="554" customFormat="1" ht="11.25" customHeight="1">
      <c r="A102" s="547"/>
      <c r="B102"/>
      <c r="C102"/>
      <c r="D102"/>
      <c r="E102"/>
      <c r="F102"/>
      <c r="G102"/>
      <c r="H102" s="1044"/>
      <c r="I102" s="591"/>
      <c r="J102" s="547"/>
      <c r="K102" s="547"/>
      <c r="L102" s="547"/>
      <c r="M102" s="548"/>
      <c r="N102" s="548"/>
      <c r="O102" s="548"/>
      <c r="P102" s="2056"/>
      <c r="Q102" s="548"/>
      <c r="R102" s="548"/>
      <c r="S102" s="548"/>
      <c r="T102" s="2056"/>
      <c r="U102" s="2057"/>
      <c r="V102" s="2057"/>
      <c r="W102" s="2057"/>
      <c r="X102" s="2058"/>
      <c r="Y102" s="2057"/>
      <c r="Z102" s="2057"/>
      <c r="AA102" s="2057"/>
      <c r="AB102" s="2058"/>
      <c r="AC102" s="2057"/>
      <c r="AD102" s="2057"/>
      <c r="AE102" s="2057"/>
      <c r="AF102" s="2058"/>
      <c r="AG102" s="2057"/>
      <c r="AH102" s="2057"/>
      <c r="AI102" s="2057"/>
      <c r="AJ102" s="2058"/>
      <c r="AK102" s="2057"/>
      <c r="AL102" s="2057"/>
      <c r="AM102" s="2057"/>
      <c r="AN102" s="2058"/>
      <c r="AO102" s="2057"/>
      <c r="AP102" s="2057"/>
      <c r="AQ102" s="2057"/>
      <c r="AR102" s="2058"/>
      <c r="AS102" s="2057"/>
      <c r="AT102" s="2057"/>
      <c r="AU102" s="2057"/>
      <c r="AV102" s="2058"/>
      <c r="AW102" s="2057"/>
      <c r="AX102" s="2057"/>
      <c r="AY102" s="2255"/>
      <c r="AZ102" s="2058"/>
      <c r="BA102" s="2057"/>
      <c r="BB102" s="2057"/>
      <c r="BC102" s="2057"/>
      <c r="BD102" s="2058"/>
      <c r="BE102" s="2057"/>
      <c r="BF102" s="2057"/>
      <c r="BG102" s="2057"/>
      <c r="BH102" s="2058"/>
      <c r="BI102" s="2059"/>
      <c r="BJ102" s="2057"/>
      <c r="BK102" s="2057"/>
      <c r="BL102" s="2058"/>
      <c r="BM102" s="2059"/>
      <c r="BN102" s="2057"/>
      <c r="BO102" s="2057"/>
      <c r="BP102" s="2058"/>
      <c r="BQ102" s="2057"/>
      <c r="BR102" s="2057"/>
      <c r="BS102" s="2057"/>
      <c r="BT102" s="2058"/>
      <c r="BU102" s="2057"/>
      <c r="BV102" s="2057"/>
      <c r="BW102" s="2057"/>
      <c r="BX102" s="2058"/>
      <c r="BY102" s="2057"/>
      <c r="BZ102" s="2057"/>
      <c r="CA102" s="2057"/>
      <c r="CB102" s="2058"/>
      <c r="CC102" s="2057"/>
      <c r="CD102" s="2057"/>
      <c r="CE102" s="2057"/>
      <c r="CF102" s="2058"/>
      <c r="CG102" s="2056"/>
      <c r="CH102" s="2060"/>
      <c r="CI102" s="548"/>
      <c r="CJ102" s="2057"/>
      <c r="CK102" s="2057"/>
      <c r="CL102" s="2057"/>
      <c r="CM102" s="2057"/>
      <c r="CN102" s="2057"/>
      <c r="CO102" s="2057"/>
      <c r="CP102" s="2057"/>
      <c r="CQ102" s="2057"/>
      <c r="CR102" s="2057"/>
      <c r="CS102" s="2057"/>
      <c r="CT102" s="2057"/>
      <c r="CU102" s="2057"/>
      <c r="CV102" s="2057"/>
      <c r="CW102" s="2057"/>
      <c r="CX102" s="2057"/>
      <c r="CY102" s="2057"/>
      <c r="CZ102" s="2057"/>
      <c r="DA102" s="2057"/>
      <c r="DB102" s="2057"/>
      <c r="DC102" s="2057"/>
      <c r="DD102" s="2057"/>
      <c r="DE102" s="2057"/>
      <c r="DF102" s="2058"/>
      <c r="DG102" s="1492"/>
      <c r="DH102" s="1492"/>
      <c r="DJ102" s="51"/>
      <c r="DK102" s="51"/>
      <c r="DL102" s="51"/>
      <c r="DM102" s="51"/>
    </row>
    <row r="103" spans="1:122" s="554" customFormat="1" ht="11.25" customHeight="1">
      <c r="A103" s="547"/>
      <c r="B103"/>
      <c r="C103"/>
      <c r="D103"/>
      <c r="E103"/>
      <c r="F103"/>
      <c r="G103"/>
      <c r="H103" s="1044"/>
      <c r="I103" s="591" t="s">
        <v>14</v>
      </c>
      <c r="J103" s="547"/>
      <c r="K103" s="547"/>
      <c r="L103" s="547"/>
      <c r="M103" s="548"/>
      <c r="N103" s="548"/>
      <c r="O103" s="548"/>
      <c r="P103" s="2056"/>
      <c r="Q103" s="548"/>
      <c r="R103" s="548"/>
      <c r="S103" s="548"/>
      <c r="T103" s="2056"/>
      <c r="U103" s="2057"/>
      <c r="V103" s="2057"/>
      <c r="W103" s="2057"/>
      <c r="X103" s="2058"/>
      <c r="Y103" s="2057"/>
      <c r="Z103" s="2057"/>
      <c r="AA103" s="2057"/>
      <c r="AB103" s="2058"/>
      <c r="AC103" s="2057"/>
      <c r="AD103" s="2057"/>
      <c r="AE103" s="2057"/>
      <c r="AF103" s="2058"/>
      <c r="AG103" s="2057">
        <f>1.575</f>
        <v>1.575</v>
      </c>
      <c r="AH103" s="2057">
        <f>2.121</f>
        <v>2.121</v>
      </c>
      <c r="AI103" s="2057">
        <f>2.626</f>
        <v>2.6259999999999999</v>
      </c>
      <c r="AJ103" s="2058">
        <f>4.991</f>
        <v>4.9909999999999997</v>
      </c>
      <c r="AK103" s="2057">
        <f>8.203</f>
        <v>8.2029999999999994</v>
      </c>
      <c r="AL103" s="2057">
        <f>6.112</f>
        <v>6.1120000000000001</v>
      </c>
      <c r="AM103" s="2057">
        <f>6.063</f>
        <v>6.0629999999999997</v>
      </c>
      <c r="AN103" s="2058">
        <f>5.398</f>
        <v>5.3979999999999997</v>
      </c>
      <c r="AO103" s="2057">
        <f>4.172</f>
        <v>4.1719999999999997</v>
      </c>
      <c r="AP103" s="2057">
        <f>2.905</f>
        <v>2.9049999999999998</v>
      </c>
      <c r="AQ103" s="2057">
        <f>3.061</f>
        <v>3.0609999999999999</v>
      </c>
      <c r="AR103" s="2058">
        <f>1.521</f>
        <v>1.5209999999999999</v>
      </c>
      <c r="AS103" s="2057">
        <f>0.741</f>
        <v>0.74099999999999999</v>
      </c>
      <c r="AT103" s="2057">
        <f>0.483</f>
        <v>0.48299999999999998</v>
      </c>
      <c r="AU103" s="2057">
        <f>0.471</f>
        <v>0.47099999999999997</v>
      </c>
      <c r="AV103" s="2058">
        <f>0.528</f>
        <v>0.52800000000000002</v>
      </c>
      <c r="AW103" s="2057">
        <v>0.85499999999999998</v>
      </c>
      <c r="AX103" s="2057">
        <v>0.94</v>
      </c>
      <c r="AY103" s="2057">
        <v>0.91800000000000004</v>
      </c>
      <c r="AZ103" s="2058">
        <v>1.1439999999999999</v>
      </c>
      <c r="BA103" s="2057">
        <v>1.421</v>
      </c>
      <c r="BB103" s="2057">
        <v>2.129</v>
      </c>
      <c r="BC103" s="2057">
        <v>2.5259999999999998</v>
      </c>
      <c r="BD103" s="2058">
        <v>2.044</v>
      </c>
      <c r="BE103" s="2057">
        <v>1.0980000000000001</v>
      </c>
      <c r="BF103" s="2057">
        <v>1.0009999999999999</v>
      </c>
      <c r="BG103" s="2057">
        <v>0.90200000000000002</v>
      </c>
      <c r="BH103" s="2058">
        <v>0.85599999999999998</v>
      </c>
      <c r="BI103" s="2059">
        <v>0.874</v>
      </c>
      <c r="BJ103" s="2057">
        <v>1.141</v>
      </c>
      <c r="BK103" s="2057">
        <v>0.86699999999999999</v>
      </c>
      <c r="BL103" s="2058">
        <v>1.2849999999999999</v>
      </c>
      <c r="BM103" s="2059">
        <v>1.0409999999999999</v>
      </c>
      <c r="BN103" s="2057">
        <v>1.6339999999999999</v>
      </c>
      <c r="BO103" s="2057">
        <v>2.4900000000000002</v>
      </c>
      <c r="BP103" s="2058">
        <v>8.7680000000000007</v>
      </c>
      <c r="BQ103" s="2057">
        <v>11.596</v>
      </c>
      <c r="BR103" s="2057">
        <v>13.037000000000001</v>
      </c>
      <c r="BS103" s="2057">
        <v>14.682</v>
      </c>
      <c r="BT103" s="2058">
        <v>16.414000000000001</v>
      </c>
      <c r="BU103" s="2057">
        <v>20.347000000000001</v>
      </c>
      <c r="BV103" s="2057">
        <v>21.292000000000002</v>
      </c>
      <c r="BW103" s="2057">
        <v>24.218</v>
      </c>
      <c r="BX103" s="2058">
        <v>29.088999999999999</v>
      </c>
      <c r="BY103" s="2057">
        <v>31.992000000000001</v>
      </c>
      <c r="BZ103" s="2057">
        <v>36.820999999999998</v>
      </c>
      <c r="CA103" s="2057">
        <v>41.482999999999997</v>
      </c>
      <c r="CB103" s="2058">
        <v>46.898000000000003</v>
      </c>
      <c r="CC103" s="2057">
        <f>CC108</f>
        <v>33.5916</v>
      </c>
      <c r="CD103" s="2057">
        <f>CD108</f>
        <v>38.662050000000001</v>
      </c>
      <c r="CE103" s="2057">
        <f>CE108</f>
        <v>43.55715</v>
      </c>
      <c r="CF103" s="2058">
        <f>CF108</f>
        <v>33.597795000000005</v>
      </c>
      <c r="CG103" s="2056"/>
      <c r="CH103" s="2060"/>
      <c r="CI103" s="548"/>
      <c r="CJ103" s="2057">
        <v>2.4740000000000002</v>
      </c>
      <c r="CK103" s="2057">
        <v>5.1120000000000001</v>
      </c>
      <c r="CL103" s="2057">
        <v>5.55</v>
      </c>
      <c r="CM103" s="2057">
        <f>+SUM(AG103:AJ103)</f>
        <v>11.312999999999999</v>
      </c>
      <c r="CN103" s="2057">
        <f>+SUM(AK103:AN103)</f>
        <v>25.776</v>
      </c>
      <c r="CO103" s="2057">
        <f>+SUM(AO103:AR103)</f>
        <v>11.658999999999999</v>
      </c>
      <c r="CP103" s="2057">
        <f>+SUM(AS103:AV103)</f>
        <v>2.2229999999999999</v>
      </c>
      <c r="CQ103" s="2057">
        <f>+SUM(AW103:AZ103)</f>
        <v>3.8570000000000002</v>
      </c>
      <c r="CR103" s="2057">
        <f>+SUM(BA103:BD103)</f>
        <v>8.1199999999999992</v>
      </c>
      <c r="CS103" s="2057">
        <f>+SUM(BE103:BH103)</f>
        <v>3.8570000000000002</v>
      </c>
      <c r="CT103" s="2057">
        <f>+SUM(BI103:BL103)</f>
        <v>4.1669999999999998</v>
      </c>
      <c r="CU103" s="2057">
        <f>SUM(BM103:BP103)</f>
        <v>13.933</v>
      </c>
      <c r="CV103" s="2057">
        <f>SUM(BQ103:BT103)</f>
        <v>55.729000000000006</v>
      </c>
      <c r="CW103" s="2057">
        <f>SUM(BU103:BX103)</f>
        <v>94.945999999999998</v>
      </c>
      <c r="CX103" s="2057">
        <f>SUM(BY103:CB103)</f>
        <v>157.19399999999999</v>
      </c>
      <c r="CY103" s="2057">
        <f>SUM(CC103:CF103)</f>
        <v>149.40859499999999</v>
      </c>
      <c r="CZ103" s="2057">
        <f t="shared" ref="CZ103:DF103" si="200">CZ108</f>
        <v>224.11289249999999</v>
      </c>
      <c r="DA103" s="2057">
        <f t="shared" si="200"/>
        <v>302.55240487499998</v>
      </c>
      <c r="DB103" s="2057">
        <f t="shared" si="200"/>
        <v>378.19050609374995</v>
      </c>
      <c r="DC103" s="2057">
        <f t="shared" si="200"/>
        <v>472.73813261718743</v>
      </c>
      <c r="DD103" s="2057">
        <f t="shared" si="200"/>
        <v>590.92266577148428</v>
      </c>
      <c r="DE103" s="2057">
        <f t="shared" si="200"/>
        <v>738.65333221435537</v>
      </c>
      <c r="DF103" s="2058">
        <f t="shared" si="200"/>
        <v>886.38399865722647</v>
      </c>
      <c r="DG103" s="1491">
        <f>+(CV103/CQ103)^(1/5)-1</f>
        <v>0.70595009449438728</v>
      </c>
      <c r="DH103" s="1491">
        <f>+(DA103/CV103)^(1/5)-1</f>
        <v>0.40263241680462802</v>
      </c>
      <c r="DJ103" s="51"/>
      <c r="DK103" s="51"/>
      <c r="DL103" s="51"/>
      <c r="DM103" s="51"/>
    </row>
    <row r="104" spans="1:122" s="554" customFormat="1" ht="11.25" customHeight="1">
      <c r="A104" s="547"/>
      <c r="B104"/>
      <c r="C104"/>
      <c r="D104"/>
      <c r="E104"/>
      <c r="F104"/>
      <c r="G104"/>
      <c r="H104" s="1044"/>
      <c r="I104" s="591" t="s">
        <v>15</v>
      </c>
      <c r="J104" s="547"/>
      <c r="K104" s="547"/>
      <c r="L104" s="547"/>
      <c r="M104" s="548"/>
      <c r="N104" s="548"/>
      <c r="O104" s="548"/>
      <c r="P104" s="2056"/>
      <c r="Q104" s="548"/>
      <c r="R104" s="548"/>
      <c r="S104" s="548"/>
      <c r="T104" s="2056"/>
      <c r="U104" s="2057"/>
      <c r="V104" s="2057"/>
      <c r="W104" s="2057"/>
      <c r="X104" s="2058"/>
      <c r="Y104" s="2057"/>
      <c r="Z104" s="2057"/>
      <c r="AA104" s="2057"/>
      <c r="AB104" s="2058"/>
      <c r="AC104" s="2057"/>
      <c r="AD104" s="2057"/>
      <c r="AE104" s="2057"/>
      <c r="AF104" s="2058"/>
      <c r="AG104" s="2057">
        <v>-1.498</v>
      </c>
      <c r="AH104" s="2057">
        <v>-1.554</v>
      </c>
      <c r="AI104" s="2057">
        <v>-1.55</v>
      </c>
      <c r="AJ104" s="2058">
        <v>-2.4569999999999999</v>
      </c>
      <c r="AK104" s="2057">
        <v>-2.4700000000000002</v>
      </c>
      <c r="AL104" s="2057">
        <v>-2.484</v>
      </c>
      <c r="AM104" s="2057">
        <v>-2.6070000000000002</v>
      </c>
      <c r="AN104" s="2058">
        <v>-2.851</v>
      </c>
      <c r="AO104" s="2057">
        <v>-2.6709999999999998</v>
      </c>
      <c r="AP104" s="2057">
        <v>-2.351</v>
      </c>
      <c r="AQ104" s="2057">
        <v>-1.7629999999999999</v>
      </c>
      <c r="AR104" s="2058">
        <v>-7.532</v>
      </c>
      <c r="AS104" s="2057">
        <v>-6.8049999999999997</v>
      </c>
      <c r="AT104" s="2057">
        <v>-6.5049999999999999</v>
      </c>
      <c r="AU104" s="2057">
        <v>-5.9109999999999996</v>
      </c>
      <c r="AV104" s="2058">
        <v>-4.8630000000000004</v>
      </c>
      <c r="AW104" s="2057">
        <v>-4.806</v>
      </c>
      <c r="AX104" s="2057">
        <v>-9.2669999999999995</v>
      </c>
      <c r="AY104" s="2057">
        <v>-8.2929999999999993</v>
      </c>
      <c r="AZ104" s="2058">
        <f>+-7.578</f>
        <v>-7.5780000000000003</v>
      </c>
      <c r="BA104" s="2057">
        <v>-7.7149999999999999</v>
      </c>
      <c r="BB104" s="2057">
        <v>-7.7949999999999999</v>
      </c>
      <c r="BC104" s="2057">
        <v>-7.8789999999999996</v>
      </c>
      <c r="BD104" s="2058">
        <v>-8.3320000000000007</v>
      </c>
      <c r="BE104" s="2057">
        <v>-11.257999999999999</v>
      </c>
      <c r="BF104" s="2057">
        <v>-16.882000000000001</v>
      </c>
      <c r="BG104" s="2057">
        <v>-17.067</v>
      </c>
      <c r="BH104" s="2058">
        <v>-16.856000000000002</v>
      </c>
      <c r="BI104" s="2059">
        <v>-17.329000000000001</v>
      </c>
      <c r="BJ104" s="2057">
        <v>-19.632999999999999</v>
      </c>
      <c r="BK104" s="2057">
        <v>-24.135000000000002</v>
      </c>
      <c r="BL104" s="2058">
        <v>-22.192</v>
      </c>
      <c r="BM104" s="2059">
        <v>-17.745000000000001</v>
      </c>
      <c r="BN104" s="2057">
        <v>-17.106000000000002</v>
      </c>
      <c r="BO104" s="2057">
        <v>-22.952999999999999</v>
      </c>
      <c r="BP104" s="2058">
        <v>-30.548999999999999</v>
      </c>
      <c r="BQ104" s="2057">
        <v>-33.478999999999999</v>
      </c>
      <c r="BR104" s="2057">
        <v>-41.546999999999997</v>
      </c>
      <c r="BS104" s="2057">
        <v>-41.436</v>
      </c>
      <c r="BT104" s="2058">
        <v>-43.767000000000003</v>
      </c>
      <c r="BU104" s="2057">
        <v>-46.893999999999998</v>
      </c>
      <c r="BV104" s="2057">
        <v>-50.29</v>
      </c>
      <c r="BW104" s="2057">
        <v>-55.48</v>
      </c>
      <c r="BX104" s="2058">
        <v>-55.235999999999997</v>
      </c>
      <c r="BY104" s="2057">
        <v>-55.716999999999999</v>
      </c>
      <c r="BZ104" s="2057">
        <v>-60.942</v>
      </c>
      <c r="CA104" s="2057">
        <v>-66.337999999999994</v>
      </c>
      <c r="CB104" s="2058">
        <v>-70.978999999999999</v>
      </c>
      <c r="CC104" s="2057">
        <f>+CC113</f>
        <v>-66.860399999999998</v>
      </c>
      <c r="CD104" s="2057">
        <f>+CD113</f>
        <v>-63.989100000000001</v>
      </c>
      <c r="CE104" s="2057">
        <f>+CE113</f>
        <v>-68.328139999999991</v>
      </c>
      <c r="CF104" s="2058">
        <f>+CF113</f>
        <v>-68.271695999999991</v>
      </c>
      <c r="CG104" s="2056"/>
      <c r="CH104" s="2060"/>
      <c r="CI104" s="548"/>
      <c r="CJ104" s="2057">
        <v>-0.90700000000000003</v>
      </c>
      <c r="CK104" s="2057">
        <v>-3.722</v>
      </c>
      <c r="CL104" s="2057">
        <v>-5.0750000000000002</v>
      </c>
      <c r="CM104" s="2057">
        <f>+SUM(AG104:AJ104)</f>
        <v>-7.0590000000000002</v>
      </c>
      <c r="CN104" s="2057">
        <f>+SUM(AK104:AN104)</f>
        <v>-10.412000000000001</v>
      </c>
      <c r="CO104" s="2057">
        <f>+SUM(AO104:AR104)</f>
        <v>-14.317</v>
      </c>
      <c r="CP104" s="2057">
        <f>+SUM(AS104:AV104)</f>
        <v>-24.083999999999996</v>
      </c>
      <c r="CQ104" s="2057">
        <f>+SUM(AW104:AZ104)</f>
        <v>-29.943999999999999</v>
      </c>
      <c r="CR104" s="2057">
        <f>+SUM(BA104:BD104)</f>
        <v>-31.721</v>
      </c>
      <c r="CS104" s="2057">
        <f>+SUM(BE104:BH104)</f>
        <v>-62.063000000000002</v>
      </c>
      <c r="CT104" s="2057">
        <f>+SUM(BI104:BL104)</f>
        <v>-83.289000000000016</v>
      </c>
      <c r="CU104" s="2057">
        <f>SUM(BM104:BP104)</f>
        <v>-88.353000000000009</v>
      </c>
      <c r="CV104" s="2057">
        <f>SUM(BQ104:BT104)</f>
        <v>-160.22899999999998</v>
      </c>
      <c r="CW104" s="2057">
        <f>SUM(BU104:BX104)</f>
        <v>-207.89999999999998</v>
      </c>
      <c r="CX104" s="2057">
        <f>SUM(BY104:CB104)</f>
        <v>-253.976</v>
      </c>
      <c r="CY104" s="2057">
        <f>SUM(CC104:CF104)</f>
        <v>-267.44933600000002</v>
      </c>
      <c r="CZ104" s="2057">
        <f t="shared" ref="CZ104:DF104" si="201">+CZ113</f>
        <v>-240.70440240000002</v>
      </c>
      <c r="DA104" s="2057">
        <f t="shared" si="201"/>
        <v>-228.66918228</v>
      </c>
      <c r="DB104" s="2057">
        <f t="shared" si="201"/>
        <v>-182.93534582400002</v>
      </c>
      <c r="DC104" s="2057">
        <f t="shared" si="201"/>
        <v>-146.34827665920002</v>
      </c>
      <c r="DD104" s="2057">
        <f t="shared" si="201"/>
        <v>-131.71344899328002</v>
      </c>
      <c r="DE104" s="2057">
        <f t="shared" si="201"/>
        <v>-111.95643164428802</v>
      </c>
      <c r="DF104" s="2058">
        <f t="shared" si="201"/>
        <v>-83.967323733216006</v>
      </c>
      <c r="DG104" s="1491">
        <f>+(CV104/CQ104)^(1/5)-1</f>
        <v>0.39857661278718526</v>
      </c>
      <c r="DH104" s="1491">
        <f>+(DA104/CV104)^(1/5)-1</f>
        <v>7.3725588929511643E-2</v>
      </c>
      <c r="DJ104" s="51"/>
      <c r="DK104" s="51"/>
      <c r="DL104" s="51"/>
      <c r="DM104" s="51"/>
    </row>
    <row r="105" spans="1:122" s="554" customFormat="1" ht="11.25" customHeight="1">
      <c r="A105" s="547"/>
      <c r="B105"/>
      <c r="C105"/>
      <c r="D105"/>
      <c r="E105"/>
      <c r="F105"/>
      <c r="G105"/>
      <c r="H105" s="1044"/>
      <c r="I105" s="597" t="s">
        <v>35</v>
      </c>
      <c r="J105" s="560"/>
      <c r="K105" s="560"/>
      <c r="L105" s="560"/>
      <c r="M105" s="2200"/>
      <c r="N105" s="2200"/>
      <c r="O105" s="2200"/>
      <c r="P105" s="2201"/>
      <c r="Q105" s="2200"/>
      <c r="R105" s="2200"/>
      <c r="S105" s="2200"/>
      <c r="T105" s="2201"/>
      <c r="U105" s="2202"/>
      <c r="V105" s="2202"/>
      <c r="W105" s="2202"/>
      <c r="X105" s="2203"/>
      <c r="Y105" s="2202"/>
      <c r="Z105" s="2202"/>
      <c r="AA105" s="2202"/>
      <c r="AB105" s="2203"/>
      <c r="AC105" s="2202"/>
      <c r="AD105" s="2202"/>
      <c r="AE105" s="2202"/>
      <c r="AF105" s="2203"/>
      <c r="AG105" s="2202">
        <v>0.111</v>
      </c>
      <c r="AH105" s="2202">
        <v>-0.622</v>
      </c>
      <c r="AI105" s="2202">
        <v>0.35399999999999998</v>
      </c>
      <c r="AJ105" s="2203">
        <v>-0.45</v>
      </c>
      <c r="AK105" s="2202">
        <v>-0.214</v>
      </c>
      <c r="AL105" s="2202">
        <v>-0.33200000000000002</v>
      </c>
      <c r="AM105" s="2202">
        <v>-1.3160000000000001</v>
      </c>
      <c r="AN105" s="2203">
        <v>-1.4139999999999999</v>
      </c>
      <c r="AO105" s="2202">
        <v>-5.0839999999999996</v>
      </c>
      <c r="AP105" s="2202">
        <v>0.03</v>
      </c>
      <c r="AQ105" s="2202">
        <v>3.5</v>
      </c>
      <c r="AR105" s="2203">
        <v>11.333</v>
      </c>
      <c r="AS105" s="2202">
        <v>3.8170000000000002</v>
      </c>
      <c r="AT105" s="2202">
        <v>-3.88</v>
      </c>
      <c r="AU105" s="2202">
        <v>-1.22</v>
      </c>
      <c r="AV105" s="2203">
        <v>-5.3890000000000002</v>
      </c>
      <c r="AW105" s="2202">
        <v>-3.13</v>
      </c>
      <c r="AX105" s="2202">
        <v>1.0389999999999999</v>
      </c>
      <c r="AY105" s="2202">
        <f>-10.715</f>
        <v>-10.715</v>
      </c>
      <c r="AZ105" s="2203">
        <f>+-1.62</f>
        <v>-1.62</v>
      </c>
      <c r="BA105" s="2202">
        <v>-7.0730000000000004</v>
      </c>
      <c r="BB105" s="2202">
        <v>-2.4510000000000001</v>
      </c>
      <c r="BC105" s="2202">
        <v>0.82699999999999996</v>
      </c>
      <c r="BD105" s="2203">
        <v>1.17</v>
      </c>
      <c r="BE105" s="2202">
        <v>-2.3759999999999999</v>
      </c>
      <c r="BF105" s="2202">
        <v>3.2050000000000001</v>
      </c>
      <c r="BG105" s="2202">
        <v>-8.2560000000000002</v>
      </c>
      <c r="BH105" s="2203">
        <v>-2.2930000000000001</v>
      </c>
      <c r="BI105" s="2204">
        <v>-2.9420000000000002</v>
      </c>
      <c r="BJ105" s="2202">
        <v>-0.78200000000000003</v>
      </c>
      <c r="BK105" s="2202">
        <v>-3.278</v>
      </c>
      <c r="BL105" s="2203">
        <v>-29.753</v>
      </c>
      <c r="BM105" s="2204">
        <v>-5.9690000000000003</v>
      </c>
      <c r="BN105" s="2202">
        <v>-1.7769999999999999</v>
      </c>
      <c r="BO105" s="2202">
        <v>3.347</v>
      </c>
      <c r="BP105" s="2203">
        <v>-5.0449999999999999</v>
      </c>
      <c r="BQ105" s="2202">
        <v>-4.843</v>
      </c>
      <c r="BR105" s="2202">
        <v>-1.444</v>
      </c>
      <c r="BS105" s="2202">
        <v>-5.7830000000000004</v>
      </c>
      <c r="BT105" s="2203">
        <v>-14.016999999999999</v>
      </c>
      <c r="BU105" s="2202">
        <v>-63.278000000000006</v>
      </c>
      <c r="BV105" s="2202">
        <v>-10.861000000000001</v>
      </c>
      <c r="BW105" s="2202">
        <v>-4.431</v>
      </c>
      <c r="BX105" s="2203">
        <v>-1.5509999999999999</v>
      </c>
      <c r="BY105" s="2202">
        <v>-5.1269999999999998</v>
      </c>
      <c r="BZ105" s="2202">
        <v>-4.9939999999999998</v>
      </c>
      <c r="CA105" s="2202">
        <v>-10.035</v>
      </c>
      <c r="CB105" s="2203">
        <v>-21.638999999999999</v>
      </c>
      <c r="CC105" s="2202">
        <v>0</v>
      </c>
      <c r="CD105" s="2202">
        <v>0</v>
      </c>
      <c r="CE105" s="2202">
        <v>0</v>
      </c>
      <c r="CF105" s="2203">
        <v>0</v>
      </c>
      <c r="CG105" s="2056"/>
      <c r="CH105" s="2205"/>
      <c r="CI105" s="2200"/>
      <c r="CJ105" s="2202">
        <v>0</v>
      </c>
      <c r="CK105" s="2202">
        <v>0.7</v>
      </c>
      <c r="CL105" s="2202">
        <v>-0.65600000000000003</v>
      </c>
      <c r="CM105" s="2202">
        <f>+SUM(AG105:AJ105)</f>
        <v>-0.60699999999999998</v>
      </c>
      <c r="CN105" s="2202">
        <f>+SUM(AK105:AN105)</f>
        <v>-3.2759999999999998</v>
      </c>
      <c r="CO105" s="2202">
        <f>+SUM(AO105:AR105)</f>
        <v>9.7789999999999999</v>
      </c>
      <c r="CP105" s="2202">
        <f>+SUM(AS105:AV105)</f>
        <v>-6.6719999999999997</v>
      </c>
      <c r="CQ105" s="2202">
        <f>+SUM(AW105:AZ105)</f>
        <v>-14.426000000000002</v>
      </c>
      <c r="CR105" s="2202">
        <f>+SUM(BA105:BD105)</f>
        <v>-7.527000000000001</v>
      </c>
      <c r="CS105" s="2202">
        <f>+SUM(BE105:BH105)</f>
        <v>-9.7199999999999989</v>
      </c>
      <c r="CT105" s="2202">
        <f>+SUM(BI105:BL105)</f>
        <v>-36.755000000000003</v>
      </c>
      <c r="CU105" s="2202">
        <f>SUM(BM105:BP105)</f>
        <v>-9.4440000000000008</v>
      </c>
      <c r="CV105" s="2202">
        <f>SUM(BQ105:BT105)</f>
        <v>-26.087</v>
      </c>
      <c r="CW105" s="2202">
        <f>SUM(BU105:BX105)</f>
        <v>-80.121000000000009</v>
      </c>
      <c r="CX105" s="2202">
        <f>SUM(BY105:CB105)</f>
        <v>-41.795000000000002</v>
      </c>
      <c r="CY105" s="2202">
        <f>SUM(CC105:CF105)</f>
        <v>0</v>
      </c>
      <c r="CZ105" s="2262">
        <f t="shared" ref="CZ105:DF105" si="202">+CY105</f>
        <v>0</v>
      </c>
      <c r="DA105" s="2262">
        <f t="shared" si="202"/>
        <v>0</v>
      </c>
      <c r="DB105" s="2262">
        <f t="shared" si="202"/>
        <v>0</v>
      </c>
      <c r="DC105" s="2262">
        <f t="shared" si="202"/>
        <v>0</v>
      </c>
      <c r="DD105" s="2262">
        <f t="shared" si="202"/>
        <v>0</v>
      </c>
      <c r="DE105" s="2262">
        <f t="shared" si="202"/>
        <v>0</v>
      </c>
      <c r="DF105" s="2263">
        <f t="shared" si="202"/>
        <v>0</v>
      </c>
      <c r="DG105" s="1491">
        <f>+(CV105/CQ105)^(1/5)-1</f>
        <v>0.12578547764109382</v>
      </c>
      <c r="DH105" s="1491" t="s">
        <v>668</v>
      </c>
      <c r="DJ105" s="51"/>
      <c r="DK105" s="51"/>
      <c r="DL105" s="51"/>
      <c r="DM105" s="51"/>
    </row>
    <row r="106" spans="1:122" s="584" customFormat="1" ht="11.25" customHeight="1">
      <c r="A106" s="542"/>
      <c r="B106"/>
      <c r="C106"/>
      <c r="D106"/>
      <c r="E106"/>
      <c r="F106"/>
      <c r="G106"/>
      <c r="H106" s="1052"/>
      <c r="I106" s="544" t="s">
        <v>36</v>
      </c>
      <c r="J106" s="542"/>
      <c r="K106" s="542"/>
      <c r="L106" s="542"/>
      <c r="M106" s="543"/>
      <c r="N106" s="543"/>
      <c r="O106" s="543"/>
      <c r="P106" s="1003"/>
      <c r="Q106" s="543"/>
      <c r="R106" s="543"/>
      <c r="S106" s="543"/>
      <c r="T106" s="1003"/>
      <c r="U106" s="1931"/>
      <c r="V106" s="1931"/>
      <c r="W106" s="1931"/>
      <c r="X106" s="1930"/>
      <c r="Y106" s="1931"/>
      <c r="Z106" s="1931"/>
      <c r="AA106" s="1931"/>
      <c r="AB106" s="1930"/>
      <c r="AC106" s="1931"/>
      <c r="AD106" s="1931"/>
      <c r="AE106" s="1931"/>
      <c r="AF106" s="1930"/>
      <c r="AG106" s="1931">
        <f t="shared" ref="AG106:BL106" si="203">+SUM(AG103:AG105)</f>
        <v>0.18799999999999994</v>
      </c>
      <c r="AH106" s="1931">
        <f t="shared" si="203"/>
        <v>-5.5000000000000049E-2</v>
      </c>
      <c r="AI106" s="1931">
        <f t="shared" si="203"/>
        <v>1.4299999999999997</v>
      </c>
      <c r="AJ106" s="1930">
        <f t="shared" si="203"/>
        <v>2.0839999999999996</v>
      </c>
      <c r="AK106" s="1931">
        <f t="shared" si="203"/>
        <v>5.5189999999999984</v>
      </c>
      <c r="AL106" s="1931">
        <f t="shared" si="203"/>
        <v>3.2960000000000003</v>
      </c>
      <c r="AM106" s="1931">
        <f t="shared" si="203"/>
        <v>2.1399999999999997</v>
      </c>
      <c r="AN106" s="1930">
        <f t="shared" si="203"/>
        <v>1.1329999999999998</v>
      </c>
      <c r="AO106" s="1931">
        <f t="shared" si="203"/>
        <v>-3.5829999999999997</v>
      </c>
      <c r="AP106" s="1931">
        <f t="shared" si="203"/>
        <v>0.58399999999999985</v>
      </c>
      <c r="AQ106" s="1931">
        <f t="shared" si="203"/>
        <v>4.798</v>
      </c>
      <c r="AR106" s="1930">
        <f t="shared" si="203"/>
        <v>5.3220000000000001</v>
      </c>
      <c r="AS106" s="1931">
        <f t="shared" si="203"/>
        <v>-2.2469999999999999</v>
      </c>
      <c r="AT106" s="1931">
        <f t="shared" si="203"/>
        <v>-9.902000000000001</v>
      </c>
      <c r="AU106" s="1931">
        <f t="shared" si="203"/>
        <v>-6.6599999999999993</v>
      </c>
      <c r="AV106" s="1930">
        <f t="shared" si="203"/>
        <v>-9.7240000000000002</v>
      </c>
      <c r="AW106" s="1931">
        <f t="shared" si="203"/>
        <v>-7.0809999999999995</v>
      </c>
      <c r="AX106" s="1931">
        <f t="shared" si="203"/>
        <v>-7.2880000000000003</v>
      </c>
      <c r="AY106" s="1931">
        <f t="shared" si="203"/>
        <v>-18.09</v>
      </c>
      <c r="AZ106" s="1930">
        <f t="shared" si="203"/>
        <v>-8.0540000000000003</v>
      </c>
      <c r="BA106" s="1931">
        <f t="shared" si="203"/>
        <v>-13.367000000000001</v>
      </c>
      <c r="BB106" s="1931">
        <f t="shared" si="203"/>
        <v>-8.1170000000000009</v>
      </c>
      <c r="BC106" s="1931">
        <f t="shared" si="203"/>
        <v>-4.5259999999999998</v>
      </c>
      <c r="BD106" s="1930">
        <f t="shared" si="203"/>
        <v>-5.1180000000000003</v>
      </c>
      <c r="BE106" s="1931">
        <f t="shared" si="203"/>
        <v>-12.535999999999998</v>
      </c>
      <c r="BF106" s="1931">
        <f t="shared" si="203"/>
        <v>-12.676000000000002</v>
      </c>
      <c r="BG106" s="1931">
        <f t="shared" si="203"/>
        <v>-24.420999999999999</v>
      </c>
      <c r="BH106" s="1930">
        <f t="shared" si="203"/>
        <v>-18.292999999999999</v>
      </c>
      <c r="BI106" s="2054">
        <f t="shared" si="203"/>
        <v>-19.397000000000002</v>
      </c>
      <c r="BJ106" s="1931">
        <f t="shared" si="203"/>
        <v>-19.273999999999997</v>
      </c>
      <c r="BK106" s="1931">
        <f t="shared" si="203"/>
        <v>-26.545999999999999</v>
      </c>
      <c r="BL106" s="1930">
        <f t="shared" si="203"/>
        <v>-50.66</v>
      </c>
      <c r="BM106" s="2054">
        <f t="shared" ref="BM106:CF106" si="204">+SUM(BM103:BM105)</f>
        <v>-22.673000000000002</v>
      </c>
      <c r="BN106" s="1931">
        <f t="shared" si="204"/>
        <v>-17.249000000000002</v>
      </c>
      <c r="BO106" s="1931">
        <f t="shared" si="204"/>
        <v>-17.116</v>
      </c>
      <c r="BP106" s="1930">
        <f>+SUM(BP103:BP105)</f>
        <v>-26.826000000000001</v>
      </c>
      <c r="BQ106" s="1931">
        <f t="shared" si="204"/>
        <v>-26.725999999999999</v>
      </c>
      <c r="BR106" s="1931">
        <f t="shared" si="204"/>
        <v>-29.953999999999997</v>
      </c>
      <c r="BS106" s="1931">
        <f t="shared" si="204"/>
        <v>-32.536999999999999</v>
      </c>
      <c r="BT106" s="1930">
        <f t="shared" si="204"/>
        <v>-41.370000000000005</v>
      </c>
      <c r="BU106" s="1931">
        <f t="shared" si="204"/>
        <v>-89.825000000000003</v>
      </c>
      <c r="BV106" s="1931">
        <f t="shared" si="204"/>
        <v>-39.858999999999995</v>
      </c>
      <c r="BW106" s="1931">
        <f t="shared" si="204"/>
        <v>-35.692999999999998</v>
      </c>
      <c r="BX106" s="1930">
        <f t="shared" si="204"/>
        <v>-27.697999999999997</v>
      </c>
      <c r="BY106" s="1931">
        <f t="shared" si="204"/>
        <v>-28.851999999999997</v>
      </c>
      <c r="BZ106" s="1931">
        <f t="shared" si="204"/>
        <v>-29.115000000000002</v>
      </c>
      <c r="CA106" s="1931">
        <f>+SUM(CA103:CA105)</f>
        <v>-34.89</v>
      </c>
      <c r="CB106" s="1930">
        <f t="shared" ref="CB106" si="205">+SUM(CB103:CB105)</f>
        <v>-45.72</v>
      </c>
      <c r="CC106" s="1931">
        <f t="shared" si="204"/>
        <v>-33.268799999999999</v>
      </c>
      <c r="CD106" s="1931">
        <f t="shared" si="204"/>
        <v>-25.32705</v>
      </c>
      <c r="CE106" s="1931">
        <f>+SUM(CE103:CE105)</f>
        <v>-24.770989999999991</v>
      </c>
      <c r="CF106" s="1930">
        <f t="shared" si="204"/>
        <v>-34.673900999999987</v>
      </c>
      <c r="CG106" s="1003"/>
      <c r="CH106" s="1006"/>
      <c r="CI106" s="543"/>
      <c r="CJ106" s="1931">
        <f t="shared" ref="CJ106:CX106" si="206">+SUM(CJ103:CJ105)</f>
        <v>1.5670000000000002</v>
      </c>
      <c r="CK106" s="1931">
        <f t="shared" si="206"/>
        <v>2.09</v>
      </c>
      <c r="CL106" s="1931">
        <f t="shared" si="206"/>
        <v>-0.18100000000000038</v>
      </c>
      <c r="CM106" s="1931">
        <f t="shared" si="206"/>
        <v>3.6469999999999985</v>
      </c>
      <c r="CN106" s="1931">
        <f t="shared" si="206"/>
        <v>12.087999999999999</v>
      </c>
      <c r="CO106" s="1931">
        <f t="shared" si="206"/>
        <v>7.1209999999999987</v>
      </c>
      <c r="CP106" s="1931">
        <f t="shared" si="206"/>
        <v>-28.532999999999998</v>
      </c>
      <c r="CQ106" s="1931">
        <f t="shared" si="206"/>
        <v>-40.513000000000005</v>
      </c>
      <c r="CR106" s="1931">
        <f t="shared" si="206"/>
        <v>-31.128</v>
      </c>
      <c r="CS106" s="1931">
        <f t="shared" si="206"/>
        <v>-67.926000000000002</v>
      </c>
      <c r="CT106" s="1931">
        <f t="shared" si="206"/>
        <v>-115.87700000000001</v>
      </c>
      <c r="CU106" s="1931">
        <f t="shared" si="206"/>
        <v>-83.864000000000019</v>
      </c>
      <c r="CV106" s="1931">
        <f t="shared" si="206"/>
        <v>-130.58699999999996</v>
      </c>
      <c r="CW106" s="1931">
        <f t="shared" si="206"/>
        <v>-193.07499999999999</v>
      </c>
      <c r="CX106" s="1931">
        <f t="shared" si="206"/>
        <v>-138.577</v>
      </c>
      <c r="CY106" s="1931">
        <f t="shared" ref="CY106:DF106" si="207">+SUM(CY103:CY105)</f>
        <v>-118.04074100000003</v>
      </c>
      <c r="CZ106" s="1931">
        <f t="shared" si="207"/>
        <v>-16.591509900000034</v>
      </c>
      <c r="DA106" s="1931">
        <f t="shared" si="207"/>
        <v>73.883222594999978</v>
      </c>
      <c r="DB106" s="1931">
        <f t="shared" si="207"/>
        <v>195.25516026974992</v>
      </c>
      <c r="DC106" s="1931">
        <f t="shared" si="207"/>
        <v>326.38985595798738</v>
      </c>
      <c r="DD106" s="1931">
        <f t="shared" si="207"/>
        <v>459.20921677820422</v>
      </c>
      <c r="DE106" s="1931">
        <f t="shared" si="207"/>
        <v>626.69690057006733</v>
      </c>
      <c r="DF106" s="1930">
        <f t="shared" si="207"/>
        <v>802.41667492401052</v>
      </c>
      <c r="DG106" s="1489">
        <f>+(CV106/CQ106)^(1/5)-1</f>
        <v>0.26374982415725956</v>
      </c>
      <c r="DH106" s="1489">
        <f>+(DA106/CV106)^(1/5)-1</f>
        <v>-1.8923375671149658</v>
      </c>
      <c r="DJ106" s="51"/>
      <c r="DK106" s="51"/>
      <c r="DL106" s="51"/>
      <c r="DM106" s="51"/>
      <c r="DN106" s="689"/>
      <c r="DO106" s="689"/>
      <c r="DP106" s="689"/>
      <c r="DQ106" s="689"/>
      <c r="DR106" s="689"/>
    </row>
    <row r="107" spans="1:122" s="584" customFormat="1" ht="11.25" customHeight="1">
      <c r="A107" s="547"/>
      <c r="B107"/>
      <c r="C107"/>
      <c r="D107"/>
      <c r="E107"/>
      <c r="F107"/>
      <c r="G107"/>
      <c r="H107" s="1044"/>
      <c r="I107" s="544"/>
      <c r="J107" s="542"/>
      <c r="K107" s="542"/>
      <c r="L107" s="542"/>
      <c r="M107" s="548"/>
      <c r="N107" s="548"/>
      <c r="O107" s="548"/>
      <c r="P107" s="2056"/>
      <c r="Q107" s="548"/>
      <c r="R107" s="548"/>
      <c r="S107" s="548"/>
      <c r="T107" s="2056"/>
      <c r="U107" s="2057"/>
      <c r="V107" s="2057"/>
      <c r="W107" s="2057"/>
      <c r="X107" s="2058"/>
      <c r="Y107" s="2057"/>
      <c r="Z107" s="2057"/>
      <c r="AA107" s="2057"/>
      <c r="AB107" s="2058"/>
      <c r="AC107" s="2057"/>
      <c r="AD107" s="2057"/>
      <c r="AE107" s="2057"/>
      <c r="AF107" s="2058"/>
      <c r="AG107" s="2057"/>
      <c r="AH107" s="2057"/>
      <c r="AI107" s="2057"/>
      <c r="AJ107" s="2058"/>
      <c r="AK107" s="2057"/>
      <c r="AL107" s="2057"/>
      <c r="AM107" s="2057"/>
      <c r="AN107" s="2058"/>
      <c r="AO107" s="2057"/>
      <c r="AP107" s="2057"/>
      <c r="AQ107" s="2057"/>
      <c r="AR107" s="2058"/>
      <c r="AS107" s="2057"/>
      <c r="AT107" s="2057"/>
      <c r="AU107" s="2057"/>
      <c r="AV107" s="2058"/>
      <c r="AW107" s="548"/>
      <c r="AX107" s="2057"/>
      <c r="AY107" s="2057"/>
      <c r="AZ107" s="2058"/>
      <c r="BA107" s="2057"/>
      <c r="BB107" s="2057"/>
      <c r="BC107" s="2057"/>
      <c r="BD107" s="2058"/>
      <c r="BE107" s="2057"/>
      <c r="BF107" s="2057"/>
      <c r="BG107" s="2057"/>
      <c r="BH107" s="2058"/>
      <c r="BI107" s="2225"/>
      <c r="BJ107" s="2226"/>
      <c r="BK107" s="2226"/>
      <c r="BL107" s="2264"/>
      <c r="BM107" s="2225"/>
      <c r="BN107" s="2226"/>
      <c r="BO107" s="2226"/>
      <c r="BP107" s="2264"/>
      <c r="BQ107" s="2057"/>
      <c r="BR107" s="2057"/>
      <c r="BS107" s="2057"/>
      <c r="BT107" s="2058"/>
      <c r="BU107" s="2057"/>
      <c r="BV107" s="2057"/>
      <c r="BW107" s="2057"/>
      <c r="BX107" s="2058"/>
      <c r="BY107" s="2057"/>
      <c r="BZ107" s="2057"/>
      <c r="CA107" s="2057"/>
      <c r="CB107" s="2058"/>
      <c r="CC107" s="2057"/>
      <c r="CD107" s="2057"/>
      <c r="CE107" s="2057"/>
      <c r="CF107" s="2058"/>
      <c r="CG107" s="2056"/>
      <c r="CH107" s="2060"/>
      <c r="CI107" s="548"/>
      <c r="CJ107" s="2057"/>
      <c r="CK107" s="2057"/>
      <c r="CL107" s="2057"/>
      <c r="CM107" s="2057"/>
      <c r="CN107" s="2057"/>
      <c r="CO107" s="2057"/>
      <c r="CP107" s="2057"/>
      <c r="CQ107" s="2057"/>
      <c r="CR107" s="2057"/>
      <c r="CS107" s="2057"/>
      <c r="CT107" s="2057"/>
      <c r="CU107" s="2057"/>
      <c r="CV107" s="2057"/>
      <c r="CW107" s="2057"/>
      <c r="CX107" s="2057"/>
      <c r="CY107" s="2057"/>
      <c r="CZ107" s="1004"/>
      <c r="DA107" s="1004"/>
      <c r="DB107" s="1004"/>
      <c r="DC107" s="1004"/>
      <c r="DD107" s="1004"/>
      <c r="DE107" s="1004"/>
      <c r="DF107" s="1005"/>
      <c r="DG107" s="1501"/>
      <c r="DH107" s="1501"/>
      <c r="DJ107" s="51"/>
      <c r="DK107" s="51"/>
      <c r="DL107" s="51"/>
      <c r="DM107" s="51"/>
    </row>
    <row r="108" spans="1:122" s="584" customFormat="1" ht="11.25" hidden="1" customHeight="1" outlineLevel="1">
      <c r="A108" s="542"/>
      <c r="B108"/>
      <c r="C108"/>
      <c r="D108"/>
      <c r="E108"/>
      <c r="F108"/>
      <c r="G108"/>
      <c r="H108" s="1052"/>
      <c r="I108" s="579" t="s">
        <v>14</v>
      </c>
      <c r="J108" s="580"/>
      <c r="K108" s="580"/>
      <c r="L108" s="542"/>
      <c r="M108" s="543"/>
      <c r="N108" s="543"/>
      <c r="O108" s="543"/>
      <c r="P108" s="1003"/>
      <c r="Q108" s="543"/>
      <c r="R108" s="543"/>
      <c r="S108" s="543"/>
      <c r="T108" s="1003"/>
      <c r="U108" s="543"/>
      <c r="V108" s="543"/>
      <c r="W108" s="543"/>
      <c r="X108" s="1003"/>
      <c r="Y108" s="543"/>
      <c r="Z108" s="543"/>
      <c r="AA108" s="543"/>
      <c r="AB108" s="1003"/>
      <c r="AC108" s="543"/>
      <c r="AD108" s="543"/>
      <c r="AE108" s="543"/>
      <c r="AF108" s="1003"/>
      <c r="AG108" s="543">
        <f t="shared" ref="AG108:BN108" si="208">AG103</f>
        <v>1.575</v>
      </c>
      <c r="AH108" s="543">
        <f t="shared" si="208"/>
        <v>2.121</v>
      </c>
      <c r="AI108" s="543">
        <f t="shared" si="208"/>
        <v>2.6259999999999999</v>
      </c>
      <c r="AJ108" s="1003">
        <f t="shared" si="208"/>
        <v>4.9909999999999997</v>
      </c>
      <c r="AK108" s="543">
        <f t="shared" si="208"/>
        <v>8.2029999999999994</v>
      </c>
      <c r="AL108" s="543">
        <f t="shared" si="208"/>
        <v>6.1120000000000001</v>
      </c>
      <c r="AM108" s="543">
        <f t="shared" si="208"/>
        <v>6.0629999999999997</v>
      </c>
      <c r="AN108" s="1003">
        <f t="shared" si="208"/>
        <v>5.3979999999999997</v>
      </c>
      <c r="AO108" s="543">
        <f t="shared" si="208"/>
        <v>4.1719999999999997</v>
      </c>
      <c r="AP108" s="543">
        <f t="shared" si="208"/>
        <v>2.9049999999999998</v>
      </c>
      <c r="AQ108" s="543">
        <f t="shared" si="208"/>
        <v>3.0609999999999999</v>
      </c>
      <c r="AR108" s="1003">
        <f t="shared" si="208"/>
        <v>1.5209999999999999</v>
      </c>
      <c r="AS108" s="543">
        <f t="shared" si="208"/>
        <v>0.74099999999999999</v>
      </c>
      <c r="AT108" s="543">
        <f t="shared" si="208"/>
        <v>0.48299999999999998</v>
      </c>
      <c r="AU108" s="543">
        <f t="shared" si="208"/>
        <v>0.47099999999999997</v>
      </c>
      <c r="AV108" s="1003">
        <f t="shared" si="208"/>
        <v>0.52800000000000002</v>
      </c>
      <c r="AW108" s="543">
        <f t="shared" si="208"/>
        <v>0.85499999999999998</v>
      </c>
      <c r="AX108" s="543">
        <f t="shared" si="208"/>
        <v>0.94</v>
      </c>
      <c r="AY108" s="543">
        <f t="shared" si="208"/>
        <v>0.91800000000000004</v>
      </c>
      <c r="AZ108" s="1003">
        <f t="shared" si="208"/>
        <v>1.1439999999999999</v>
      </c>
      <c r="BA108" s="543">
        <f t="shared" si="208"/>
        <v>1.421</v>
      </c>
      <c r="BB108" s="543">
        <f t="shared" si="208"/>
        <v>2.129</v>
      </c>
      <c r="BC108" s="543">
        <f t="shared" si="208"/>
        <v>2.5259999999999998</v>
      </c>
      <c r="BD108" s="1003">
        <f t="shared" si="208"/>
        <v>2.044</v>
      </c>
      <c r="BE108" s="543">
        <f t="shared" si="208"/>
        <v>1.0980000000000001</v>
      </c>
      <c r="BF108" s="543">
        <f t="shared" si="208"/>
        <v>1.0009999999999999</v>
      </c>
      <c r="BG108" s="543">
        <f t="shared" si="208"/>
        <v>0.90200000000000002</v>
      </c>
      <c r="BH108" s="1003">
        <f t="shared" si="208"/>
        <v>0.85599999999999998</v>
      </c>
      <c r="BI108" s="1006">
        <f t="shared" si="208"/>
        <v>0.874</v>
      </c>
      <c r="BJ108" s="543">
        <f t="shared" si="208"/>
        <v>1.141</v>
      </c>
      <c r="BK108" s="543">
        <f t="shared" si="208"/>
        <v>0.86699999999999999</v>
      </c>
      <c r="BL108" s="1003">
        <f t="shared" si="208"/>
        <v>1.2849999999999999</v>
      </c>
      <c r="BM108" s="1006">
        <f t="shared" si="208"/>
        <v>1.0409999999999999</v>
      </c>
      <c r="BN108" s="543">
        <f t="shared" si="208"/>
        <v>1.6339999999999999</v>
      </c>
      <c r="BO108" s="543">
        <f t="shared" ref="BO108:BZ108" si="209">BO103</f>
        <v>2.4900000000000002</v>
      </c>
      <c r="BP108" s="1003">
        <f t="shared" si="209"/>
        <v>8.7680000000000007</v>
      </c>
      <c r="BQ108" s="543">
        <f t="shared" si="209"/>
        <v>11.596</v>
      </c>
      <c r="BR108" s="543">
        <f t="shared" si="209"/>
        <v>13.037000000000001</v>
      </c>
      <c r="BS108" s="543">
        <f t="shared" si="209"/>
        <v>14.682</v>
      </c>
      <c r="BT108" s="1003">
        <f t="shared" si="209"/>
        <v>16.414000000000001</v>
      </c>
      <c r="BU108" s="543">
        <f t="shared" si="209"/>
        <v>20.347000000000001</v>
      </c>
      <c r="BV108" s="543">
        <f t="shared" si="209"/>
        <v>21.292000000000002</v>
      </c>
      <c r="BW108" s="543">
        <f t="shared" si="209"/>
        <v>24.218</v>
      </c>
      <c r="BX108" s="1003">
        <f t="shared" si="209"/>
        <v>29.088999999999999</v>
      </c>
      <c r="BY108" s="1006">
        <f t="shared" si="209"/>
        <v>31.992000000000001</v>
      </c>
      <c r="BZ108" s="543">
        <f t="shared" si="209"/>
        <v>36.820999999999998</v>
      </c>
      <c r="CA108" s="543">
        <f>CA103</f>
        <v>41.482999999999997</v>
      </c>
      <c r="CB108" s="1005">
        <f>BX108*(1+CB111)</f>
        <v>31.997900000000001</v>
      </c>
      <c r="CC108" s="1004">
        <f>BY108*(1+CC111)</f>
        <v>33.5916</v>
      </c>
      <c r="CD108" s="1004">
        <f>BZ108*(1+CD111)</f>
        <v>38.662050000000001</v>
      </c>
      <c r="CE108" s="1004">
        <f>CA108*(1+CE111)</f>
        <v>43.55715</v>
      </c>
      <c r="CF108" s="1005">
        <f>CB108*(1+CF111)</f>
        <v>33.597795000000005</v>
      </c>
      <c r="CG108" s="1003"/>
      <c r="CH108" s="1006"/>
      <c r="CI108" s="543"/>
      <c r="CJ108" s="1004">
        <f t="shared" ref="CJ108:CT108" si="210">+SUM(AY108:BB108)</f>
        <v>5.6120000000000001</v>
      </c>
      <c r="CK108" s="1004">
        <f t="shared" si="210"/>
        <v>7.22</v>
      </c>
      <c r="CL108" s="1004">
        <f t="shared" si="210"/>
        <v>8.1199999999999992</v>
      </c>
      <c r="CM108" s="1004">
        <f t="shared" si="210"/>
        <v>7.7969999999999997</v>
      </c>
      <c r="CN108" s="1004">
        <f t="shared" si="210"/>
        <v>6.6690000000000005</v>
      </c>
      <c r="CO108" s="1004">
        <f t="shared" si="210"/>
        <v>5.0450000000000008</v>
      </c>
      <c r="CP108" s="1004">
        <f t="shared" si="210"/>
        <v>3.8570000000000002</v>
      </c>
      <c r="CQ108" s="1004">
        <f t="shared" si="210"/>
        <v>3.633</v>
      </c>
      <c r="CR108" s="1004">
        <f t="shared" si="210"/>
        <v>3.7730000000000001</v>
      </c>
      <c r="CS108" s="1004">
        <f t="shared" si="210"/>
        <v>3.738</v>
      </c>
      <c r="CT108" s="1004">
        <f t="shared" si="210"/>
        <v>4.1669999999999998</v>
      </c>
      <c r="CU108" s="1004">
        <f>SUM(BM108:BP108)</f>
        <v>13.933</v>
      </c>
      <c r="CV108" s="1004">
        <f>SUM(BQ108:BT108)</f>
        <v>55.729000000000006</v>
      </c>
      <c r="CW108" s="1004">
        <f>SUM(BU108:BX108)</f>
        <v>94.945999999999998</v>
      </c>
      <c r="CX108" s="1004">
        <f>SUM(BY108:CB108)</f>
        <v>142.29390000000001</v>
      </c>
      <c r="CY108" s="1004">
        <f>SUM(CC108:CF108)</f>
        <v>149.40859499999999</v>
      </c>
      <c r="CZ108" s="1004">
        <f t="shared" ref="CZ108:DF108" si="211">CY108*(1+CZ111)</f>
        <v>224.11289249999999</v>
      </c>
      <c r="DA108" s="1004">
        <f t="shared" si="211"/>
        <v>302.55240487499998</v>
      </c>
      <c r="DB108" s="1004">
        <f t="shared" si="211"/>
        <v>378.19050609374995</v>
      </c>
      <c r="DC108" s="1004">
        <f t="shared" si="211"/>
        <v>472.73813261718743</v>
      </c>
      <c r="DD108" s="1004">
        <f t="shared" si="211"/>
        <v>590.92266577148428</v>
      </c>
      <c r="DE108" s="1004">
        <f t="shared" si="211"/>
        <v>738.65333221435537</v>
      </c>
      <c r="DF108" s="1005">
        <f t="shared" si="211"/>
        <v>886.38399865722647</v>
      </c>
      <c r="DG108" s="1489">
        <f>+(CX108/CT108)^(0.25)-1</f>
        <v>1.4173564598644766</v>
      </c>
      <c r="DH108" s="1489">
        <f>+(CY108/CU108)^(0.25)-1</f>
        <v>0.80960061911587333</v>
      </c>
      <c r="DJ108" s="51"/>
      <c r="DK108" s="51"/>
      <c r="DL108" s="51"/>
      <c r="DM108" s="51"/>
    </row>
    <row r="109" spans="1:122" s="554" customFormat="1" ht="11.25" hidden="1" customHeight="1" outlineLevel="1">
      <c r="A109" s="547"/>
      <c r="B109"/>
      <c r="C109"/>
      <c r="D109"/>
      <c r="E109"/>
      <c r="F109"/>
      <c r="G109"/>
      <c r="H109" s="1044"/>
      <c r="I109" s="9" t="s">
        <v>118</v>
      </c>
      <c r="J109" s="21"/>
      <c r="K109" s="21"/>
      <c r="L109" s="547"/>
      <c r="M109" s="548"/>
      <c r="N109" s="548"/>
      <c r="O109" s="548"/>
      <c r="P109" s="2056"/>
      <c r="Q109" s="548"/>
      <c r="R109" s="548"/>
      <c r="S109" s="548"/>
      <c r="T109" s="2056"/>
      <c r="U109" s="548"/>
      <c r="V109" s="548"/>
      <c r="W109" s="548"/>
      <c r="X109" s="2056"/>
      <c r="Y109" s="548"/>
      <c r="Z109" s="548"/>
      <c r="AA109" s="548"/>
      <c r="AB109" s="2056"/>
      <c r="AC109" s="548"/>
      <c r="AD109" s="548"/>
      <c r="AE109" s="548"/>
      <c r="AF109" s="2056"/>
      <c r="AG109" s="548"/>
      <c r="AH109" s="548"/>
      <c r="AI109" s="548"/>
      <c r="AJ109" s="2056"/>
      <c r="AK109" s="548"/>
      <c r="AL109" s="548"/>
      <c r="AM109" s="548"/>
      <c r="AN109" s="2056"/>
      <c r="AO109" s="548"/>
      <c r="AP109" s="548"/>
      <c r="AQ109" s="548"/>
      <c r="AR109" s="2056"/>
      <c r="AS109" s="548"/>
      <c r="AT109" s="548"/>
      <c r="AU109" s="548"/>
      <c r="AV109" s="2056"/>
      <c r="AW109" s="548"/>
      <c r="AX109" s="548"/>
      <c r="AY109" s="548"/>
      <c r="AZ109" s="2056"/>
      <c r="BA109" s="548">
        <f t="shared" ref="BA109:CF109" si="212">AVERAGE(BA587,AZ587)</f>
        <v>551.07399999999996</v>
      </c>
      <c r="BB109" s="548">
        <f t="shared" si="212"/>
        <v>581.16149999999993</v>
      </c>
      <c r="BC109" s="548">
        <f t="shared" si="212"/>
        <v>516.20749999999998</v>
      </c>
      <c r="BD109" s="2056">
        <f t="shared" si="212"/>
        <v>527.00099999999998</v>
      </c>
      <c r="BE109" s="548">
        <f t="shared" si="212"/>
        <v>912.45550000000003</v>
      </c>
      <c r="BF109" s="548">
        <f t="shared" si="212"/>
        <v>1002.4304999999999</v>
      </c>
      <c r="BG109" s="548">
        <f t="shared" si="212"/>
        <v>855.62799999999993</v>
      </c>
      <c r="BH109" s="2056">
        <f t="shared" si="212"/>
        <v>1217.4095</v>
      </c>
      <c r="BI109" s="2060">
        <f t="shared" si="212"/>
        <v>1573.7795000000001</v>
      </c>
      <c r="BJ109" s="548">
        <f t="shared" si="212"/>
        <v>1686.712</v>
      </c>
      <c r="BK109" s="548">
        <f>AVERAGE(BK587,BJ587)</f>
        <v>1429.154</v>
      </c>
      <c r="BL109" s="2056">
        <f>AVERAGE(BL587,BK587)</f>
        <v>1193.0439999999999</v>
      </c>
      <c r="BM109" s="2060">
        <f t="shared" si="212"/>
        <v>1289.0720000000001</v>
      </c>
      <c r="BN109" s="548">
        <f t="shared" si="212"/>
        <v>2396.0245</v>
      </c>
      <c r="BO109" s="548">
        <f t="shared" si="212"/>
        <v>4273.8114999999998</v>
      </c>
      <c r="BP109" s="2056">
        <f>AVERAGE(BP587,BO587)</f>
        <v>4096.1875</v>
      </c>
      <c r="BQ109" s="548">
        <f>AVERAGE(BQ587,BP587)</f>
        <v>3202.2325000000001</v>
      </c>
      <c r="BR109" s="548">
        <f t="shared" si="212"/>
        <v>2572.3815</v>
      </c>
      <c r="BS109" s="548">
        <f>AVERAGE(BS587,BR587)</f>
        <v>1865.3035</v>
      </c>
      <c r="BT109" s="2056">
        <f>AVERAGE(BT587,BS587)</f>
        <v>1659.4614999999999</v>
      </c>
      <c r="BU109" s="548">
        <f t="shared" si="212"/>
        <v>1667.2150000000001</v>
      </c>
      <c r="BV109" s="548">
        <f t="shared" si="212"/>
        <v>2275.4414999999999</v>
      </c>
      <c r="BW109" s="548">
        <f>AVERAGE(BW587,BV587)</f>
        <v>2557.9934999999996</v>
      </c>
      <c r="BX109" s="2056">
        <f>AVERAGE(BX587,BW587)</f>
        <v>2251.6719999999996</v>
      </c>
      <c r="BY109" s="2060">
        <f>AVERAGE(BY587,BX587)</f>
        <v>2257.5474999999997</v>
      </c>
      <c r="BZ109" s="548">
        <f t="shared" si="212"/>
        <v>2534.1419999999998</v>
      </c>
      <c r="CA109" s="548">
        <f t="shared" si="212"/>
        <v>2740.2820000000002</v>
      </c>
      <c r="CB109" s="2056">
        <f t="shared" si="212"/>
        <v>2693.9520000000002</v>
      </c>
      <c r="CC109" s="548">
        <f t="shared" si="212"/>
        <v>1531.7701795310072</v>
      </c>
      <c r="CD109" s="548">
        <f t="shared" si="212"/>
        <v>804.45209280989286</v>
      </c>
      <c r="CE109" s="548">
        <f t="shared" si="212"/>
        <v>1712.8586562213382</v>
      </c>
      <c r="CF109" s="2056">
        <f t="shared" si="212"/>
        <v>2761.81543728412</v>
      </c>
      <c r="CG109" s="2056"/>
      <c r="CH109" s="2060"/>
      <c r="CI109" s="548"/>
      <c r="CJ109" s="548"/>
      <c r="CK109" s="548"/>
      <c r="CL109" s="548"/>
      <c r="CM109" s="548"/>
      <c r="CN109" s="548"/>
      <c r="CO109" s="548"/>
      <c r="CP109" s="548"/>
      <c r="CQ109" s="548">
        <f t="shared" ref="CQ109:CX109" si="213">AVERAGE(CQ587,CP587)</f>
        <v>358.96699999999998</v>
      </c>
      <c r="CR109" s="548">
        <f t="shared" si="213"/>
        <v>495.9015</v>
      </c>
      <c r="CS109" s="548">
        <f t="shared" si="213"/>
        <v>1084.5925</v>
      </c>
      <c r="CT109" s="548">
        <f t="shared" si="213"/>
        <v>1413.1714999999999</v>
      </c>
      <c r="CU109" s="548">
        <f t="shared" si="213"/>
        <v>2219.3224999999998</v>
      </c>
      <c r="CV109" s="548">
        <f t="shared" si="213"/>
        <v>2312.9580000000001</v>
      </c>
      <c r="CW109" s="548">
        <f t="shared" si="213"/>
        <v>1779.17</v>
      </c>
      <c r="CX109" s="548">
        <f t="shared" si="213"/>
        <v>2311.3395</v>
      </c>
      <c r="CY109" s="548">
        <f t="shared" ref="CY109:DF109" si="214">AVERAGE(CY587,CX587)</f>
        <v>2863.2426943416672</v>
      </c>
      <c r="CZ109" s="548">
        <f t="shared" si="214"/>
        <v>4532.2537557217929</v>
      </c>
      <c r="DA109" s="548">
        <f t="shared" si="214"/>
        <v>7094.0655172328279</v>
      </c>
      <c r="DB109" s="548">
        <f t="shared" si="214"/>
        <v>9902.5026861167989</v>
      </c>
      <c r="DC109" s="548">
        <f t="shared" si="214"/>
        <v>14308.374013781064</v>
      </c>
      <c r="DD109" s="548">
        <f t="shared" si="214"/>
        <v>20727.745381120279</v>
      </c>
      <c r="DE109" s="548">
        <f t="shared" si="214"/>
        <v>27770.975395875859</v>
      </c>
      <c r="DF109" s="2056">
        <f t="shared" si="214"/>
        <v>35380.866058722779</v>
      </c>
      <c r="DG109" s="1492"/>
      <c r="DH109" s="1492"/>
      <c r="DJ109" s="51"/>
      <c r="DK109" s="51"/>
      <c r="DL109" s="51"/>
      <c r="DM109" s="51"/>
    </row>
    <row r="110" spans="1:122" s="51" customFormat="1" ht="11.25" hidden="1" customHeight="1" outlineLevel="1">
      <c r="A110" s="82"/>
      <c r="B110"/>
      <c r="C110"/>
      <c r="D110"/>
      <c r="E110"/>
      <c r="F110"/>
      <c r="G110"/>
      <c r="H110" s="1044"/>
      <c r="I110" s="193" t="s">
        <v>119</v>
      </c>
      <c r="J110" s="83"/>
      <c r="K110" s="83"/>
      <c r="L110" s="82"/>
      <c r="M110" s="2190"/>
      <c r="N110" s="2190"/>
      <c r="O110" s="2190"/>
      <c r="P110" s="2191"/>
      <c r="Q110" s="2190"/>
      <c r="R110" s="2190"/>
      <c r="S110" s="2190"/>
      <c r="T110" s="2191"/>
      <c r="U110" s="2190"/>
      <c r="V110" s="2190"/>
      <c r="W110" s="2190"/>
      <c r="X110" s="2191"/>
      <c r="Y110" s="2190"/>
      <c r="Z110" s="2190"/>
      <c r="AA110" s="2190"/>
      <c r="AB110" s="2191"/>
      <c r="AC110" s="2190"/>
      <c r="AD110" s="2190"/>
      <c r="AE110" s="2190"/>
      <c r="AF110" s="2191"/>
      <c r="AG110" s="2190"/>
      <c r="AH110" s="2190"/>
      <c r="AI110" s="2190"/>
      <c r="AJ110" s="2191"/>
      <c r="AK110" s="2190"/>
      <c r="AL110" s="2190"/>
      <c r="AM110" s="2190"/>
      <c r="AN110" s="2191"/>
      <c r="AO110" s="2190"/>
      <c r="AP110" s="2190"/>
      <c r="AQ110" s="2190"/>
      <c r="AR110" s="2191"/>
      <c r="AS110" s="2190"/>
      <c r="AT110" s="2190"/>
      <c r="AU110" s="2190"/>
      <c r="AV110" s="2191"/>
      <c r="AW110" s="2190"/>
      <c r="AX110" s="2190"/>
      <c r="AY110" s="2190"/>
      <c r="AZ110" s="2191"/>
      <c r="BA110" s="2190">
        <f t="shared" ref="BA110:BO110" si="215">BA108*4/BA109</f>
        <v>1.0314404236091706E-2</v>
      </c>
      <c r="BB110" s="2190">
        <f t="shared" si="215"/>
        <v>1.4653413896137306E-2</v>
      </c>
      <c r="BC110" s="2190">
        <f t="shared" si="215"/>
        <v>1.9573524212647044E-2</v>
      </c>
      <c r="BD110" s="2191">
        <f t="shared" si="215"/>
        <v>1.5514202060337648E-2</v>
      </c>
      <c r="BE110" s="2190">
        <f t="shared" si="215"/>
        <v>4.8133854198917098E-3</v>
      </c>
      <c r="BF110" s="2190">
        <f t="shared" si="215"/>
        <v>3.9942918736012118E-3</v>
      </c>
      <c r="BG110" s="2190">
        <f t="shared" si="215"/>
        <v>4.2167857994362037E-3</v>
      </c>
      <c r="BH110" s="2191">
        <f t="shared" si="215"/>
        <v>2.8125293913017764E-3</v>
      </c>
      <c r="BI110" s="2195">
        <f t="shared" si="215"/>
        <v>2.2214039514430071E-3</v>
      </c>
      <c r="BJ110" s="2190">
        <f t="shared" si="215"/>
        <v>2.7058561271870955E-3</v>
      </c>
      <c r="BK110" s="2190">
        <f t="shared" si="215"/>
        <v>2.4266104282673526E-3</v>
      </c>
      <c r="BL110" s="2191">
        <f>BL108*4/BL109</f>
        <v>4.3083071538015365E-3</v>
      </c>
      <c r="BM110" s="2195">
        <f t="shared" si="215"/>
        <v>3.2302307396328517E-3</v>
      </c>
      <c r="BN110" s="2190">
        <f t="shared" si="215"/>
        <v>2.7278519063557152E-3</v>
      </c>
      <c r="BO110" s="2190">
        <f t="shared" si="215"/>
        <v>2.330472460004378E-3</v>
      </c>
      <c r="BP110" s="2191">
        <f>BP108*4/BP109</f>
        <v>8.5621080577976474E-3</v>
      </c>
      <c r="BQ110" s="2190">
        <f>BQ108*4/BQ109</f>
        <v>1.4484894522805573E-2</v>
      </c>
      <c r="BR110" s="2190">
        <f>BR108*4/BR109</f>
        <v>2.0272265214160499E-2</v>
      </c>
      <c r="BS110" s="2190">
        <f>BS108*4/BS109</f>
        <v>3.1484420631816751E-2</v>
      </c>
      <c r="BT110" s="2191">
        <f>BT108*4/BT109</f>
        <v>3.9564641903412648E-2</v>
      </c>
      <c r="BU110" s="2190">
        <f t="shared" ref="BU110:CF110" si="216">BU108*4/BU109</f>
        <v>4.8816739292772679E-2</v>
      </c>
      <c r="BV110" s="2190">
        <f t="shared" si="216"/>
        <v>3.7429219779985562E-2</v>
      </c>
      <c r="BW110" s="2190">
        <f t="shared" si="216"/>
        <v>3.7870307332680875E-2</v>
      </c>
      <c r="BX110" s="2191">
        <f t="shared" si="216"/>
        <v>5.1675377230786732E-2</v>
      </c>
      <c r="BY110" s="2195">
        <f t="shared" si="216"/>
        <v>5.6684521588139351E-2</v>
      </c>
      <c r="BZ110" s="2190">
        <f t="shared" si="216"/>
        <v>5.8119868578793137E-2</v>
      </c>
      <c r="CA110" s="2190">
        <f>CA108*4/CA109</f>
        <v>6.0552892001626099E-2</v>
      </c>
      <c r="CB110" s="2191">
        <f t="shared" si="216"/>
        <v>4.7510720309790228E-2</v>
      </c>
      <c r="CC110" s="2190">
        <f t="shared" si="216"/>
        <v>8.7719686540143962E-2</v>
      </c>
      <c r="CD110" s="2190">
        <f t="shared" si="216"/>
        <v>0.19224040981710303</v>
      </c>
      <c r="CE110" s="2190">
        <f t="shared" si="216"/>
        <v>0.10171802522477717</v>
      </c>
      <c r="CF110" s="2191">
        <f t="shared" si="216"/>
        <v>4.8660449277579516E-2</v>
      </c>
      <c r="CG110" s="1007"/>
      <c r="CH110" s="2195"/>
      <c r="CI110" s="2190"/>
      <c r="CJ110" s="2190"/>
      <c r="CK110" s="2190"/>
      <c r="CL110" s="2190"/>
      <c r="CM110" s="2190"/>
      <c r="CN110" s="2190"/>
      <c r="CO110" s="2190"/>
      <c r="CP110" s="2190"/>
      <c r="CQ110" s="2190">
        <f t="shared" ref="CQ110:CX110" si="217">CQ108/CQ109</f>
        <v>1.0120707474503228E-2</v>
      </c>
      <c r="CR110" s="2190">
        <f t="shared" si="217"/>
        <v>7.6083657742515402E-3</v>
      </c>
      <c r="CS110" s="2190">
        <f t="shared" si="217"/>
        <v>3.4464556964943056E-3</v>
      </c>
      <c r="CT110" s="2190">
        <f t="shared" si="217"/>
        <v>2.9486866951392667E-3</v>
      </c>
      <c r="CU110" s="2190">
        <f t="shared" si="217"/>
        <v>6.2780420601332172E-3</v>
      </c>
      <c r="CV110" s="2190">
        <f t="shared" si="217"/>
        <v>2.4094255062132561E-2</v>
      </c>
      <c r="CW110" s="2190">
        <f t="shared" si="217"/>
        <v>5.3365333273380278E-2</v>
      </c>
      <c r="CX110" s="2190">
        <f t="shared" si="217"/>
        <v>6.1563392136897245E-2</v>
      </c>
      <c r="CY110" s="2190">
        <f t="shared" ref="CY110:DF110" si="218">CY108/CY109</f>
        <v>5.2181603499857301E-2</v>
      </c>
      <c r="CZ110" s="2190">
        <f t="shared" si="218"/>
        <v>4.9448443220344016E-2</v>
      </c>
      <c r="DA110" s="2190">
        <f t="shared" si="218"/>
        <v>4.2648662341790176E-2</v>
      </c>
      <c r="DB110" s="2190">
        <f t="shared" si="218"/>
        <v>3.8191406564723168E-2</v>
      </c>
      <c r="DC110" s="2190">
        <f t="shared" si="218"/>
        <v>3.3039263033093152E-2</v>
      </c>
      <c r="DD110" s="2190">
        <f t="shared" si="218"/>
        <v>2.8508776758215199E-2</v>
      </c>
      <c r="DE110" s="2190">
        <f t="shared" si="218"/>
        <v>2.6598033439043319E-2</v>
      </c>
      <c r="DF110" s="2191">
        <f t="shared" si="218"/>
        <v>2.5052637128386457E-2</v>
      </c>
      <c r="DG110" s="1493"/>
      <c r="DH110" s="1493"/>
    </row>
    <row r="111" spans="1:122" s="51" customFormat="1" ht="11.25" hidden="1" customHeight="1" outlineLevel="1">
      <c r="A111" s="82"/>
      <c r="B111"/>
      <c r="C111"/>
      <c r="D111"/>
      <c r="E111"/>
      <c r="F111"/>
      <c r="G111"/>
      <c r="H111" s="1044"/>
      <c r="I111" s="193" t="s">
        <v>120</v>
      </c>
      <c r="J111" s="83"/>
      <c r="K111" s="83"/>
      <c r="L111" s="82"/>
      <c r="M111" s="292"/>
      <c r="N111" s="292"/>
      <c r="O111" s="292"/>
      <c r="P111" s="1007"/>
      <c r="Q111" s="292"/>
      <c r="R111" s="292"/>
      <c r="S111" s="292"/>
      <c r="T111" s="1007"/>
      <c r="U111" s="997"/>
      <c r="V111" s="997"/>
      <c r="W111" s="997"/>
      <c r="X111" s="998"/>
      <c r="Y111" s="997"/>
      <c r="Z111" s="997"/>
      <c r="AA111" s="997"/>
      <c r="AB111" s="998"/>
      <c r="AC111" s="997"/>
      <c r="AD111" s="997"/>
      <c r="AE111" s="997"/>
      <c r="AF111" s="998"/>
      <c r="AG111" s="997"/>
      <c r="AH111" s="997"/>
      <c r="AI111" s="997"/>
      <c r="AJ111" s="998"/>
      <c r="AK111" s="2190">
        <f t="shared" ref="AK111:BO111" si="219">AK108/AG108-1</f>
        <v>4.2082539682539677</v>
      </c>
      <c r="AL111" s="2190">
        <f t="shared" si="219"/>
        <v>1.8816595945308818</v>
      </c>
      <c r="AM111" s="2190">
        <f t="shared" si="219"/>
        <v>1.3088347296268088</v>
      </c>
      <c r="AN111" s="2191">
        <f t="shared" si="219"/>
        <v>8.1546784211580903E-2</v>
      </c>
      <c r="AO111" s="2190">
        <f t="shared" si="219"/>
        <v>-0.49140558332317441</v>
      </c>
      <c r="AP111" s="2190">
        <f t="shared" si="219"/>
        <v>-0.52470549738219896</v>
      </c>
      <c r="AQ111" s="2190">
        <f t="shared" si="219"/>
        <v>-0.49513442190334811</v>
      </c>
      <c r="AR111" s="2191">
        <f t="shared" si="219"/>
        <v>-0.71822897369396066</v>
      </c>
      <c r="AS111" s="2190">
        <f t="shared" si="219"/>
        <v>-0.82238734419942472</v>
      </c>
      <c r="AT111" s="2190">
        <f t="shared" si="219"/>
        <v>-0.83373493975903612</v>
      </c>
      <c r="AU111" s="2190">
        <f t="shared" si="219"/>
        <v>-0.84612871610584772</v>
      </c>
      <c r="AV111" s="2191">
        <f t="shared" si="219"/>
        <v>-0.65285996055226825</v>
      </c>
      <c r="AW111" s="2190">
        <f t="shared" si="219"/>
        <v>0.15384615384615374</v>
      </c>
      <c r="AX111" s="2190">
        <f t="shared" si="219"/>
        <v>0.94616977225672882</v>
      </c>
      <c r="AY111" s="2190">
        <f t="shared" si="219"/>
        <v>0.94904458598726138</v>
      </c>
      <c r="AZ111" s="2191">
        <f t="shared" si="219"/>
        <v>1.1666666666666665</v>
      </c>
      <c r="BA111" s="2190">
        <f t="shared" si="219"/>
        <v>0.66198830409356724</v>
      </c>
      <c r="BB111" s="2190">
        <f t="shared" si="219"/>
        <v>1.2648936170212766</v>
      </c>
      <c r="BC111" s="2190">
        <f t="shared" si="219"/>
        <v>1.7516339869281041</v>
      </c>
      <c r="BD111" s="2191">
        <f t="shared" si="219"/>
        <v>0.78671328671328689</v>
      </c>
      <c r="BE111" s="2190">
        <f t="shared" si="219"/>
        <v>-0.22730471498944405</v>
      </c>
      <c r="BF111" s="2190">
        <f t="shared" si="219"/>
        <v>-0.52982620948802261</v>
      </c>
      <c r="BG111" s="2190">
        <f t="shared" si="219"/>
        <v>-0.64291369754552652</v>
      </c>
      <c r="BH111" s="2191">
        <f t="shared" si="219"/>
        <v>-0.58121330724070452</v>
      </c>
      <c r="BI111" s="2195">
        <f t="shared" si="219"/>
        <v>-0.20400728597449913</v>
      </c>
      <c r="BJ111" s="2190">
        <f t="shared" si="219"/>
        <v>0.13986013986014001</v>
      </c>
      <c r="BK111" s="2190">
        <f t="shared" si="219"/>
        <v>-3.880266075388028E-2</v>
      </c>
      <c r="BL111" s="2191">
        <f>BL108/BH108-1</f>
        <v>0.50116822429906538</v>
      </c>
      <c r="BM111" s="2195">
        <f t="shared" si="219"/>
        <v>0.19107551487414187</v>
      </c>
      <c r="BN111" s="2190">
        <f t="shared" si="219"/>
        <v>0.43207712532865905</v>
      </c>
      <c r="BO111" s="2190">
        <f t="shared" si="219"/>
        <v>1.8719723183391008</v>
      </c>
      <c r="BP111" s="2191">
        <f t="shared" ref="BP111:CA111" si="220">BP108/BL108-1</f>
        <v>5.8233463035019462</v>
      </c>
      <c r="BQ111" s="2190">
        <f t="shared" si="220"/>
        <v>10.139289145052835</v>
      </c>
      <c r="BR111" s="2190">
        <f t="shared" si="220"/>
        <v>6.9785801713586304</v>
      </c>
      <c r="BS111" s="2190">
        <f t="shared" si="220"/>
        <v>4.8963855421686739</v>
      </c>
      <c r="BT111" s="2191">
        <f t="shared" si="220"/>
        <v>0.87203467153284664</v>
      </c>
      <c r="BU111" s="2190">
        <f t="shared" si="220"/>
        <v>0.75465677819937915</v>
      </c>
      <c r="BV111" s="2190">
        <f t="shared" si="220"/>
        <v>0.63319782158472049</v>
      </c>
      <c r="BW111" s="2190">
        <f t="shared" si="220"/>
        <v>0.64950279253507692</v>
      </c>
      <c r="BX111" s="2191">
        <f t="shared" si="220"/>
        <v>0.7722066528573166</v>
      </c>
      <c r="BY111" s="2195">
        <f t="shared" si="220"/>
        <v>0.57232024377058033</v>
      </c>
      <c r="BZ111" s="2190">
        <f t="shared" si="220"/>
        <v>0.72933496148788257</v>
      </c>
      <c r="CA111" s="2190">
        <f t="shared" si="220"/>
        <v>0.71289949624246418</v>
      </c>
      <c r="CB111" s="2191">
        <v>0.1</v>
      </c>
      <c r="CC111" s="2190">
        <v>0.05</v>
      </c>
      <c r="CD111" s="2190">
        <v>0.05</v>
      </c>
      <c r="CE111" s="2190">
        <v>0.05</v>
      </c>
      <c r="CF111" s="2191">
        <v>0.05</v>
      </c>
      <c r="CG111" s="1007"/>
      <c r="CH111" s="2195"/>
      <c r="CI111" s="2190"/>
      <c r="CJ111" s="2190"/>
      <c r="CK111" s="2190">
        <f t="shared" ref="CK111:CX111" si="221">CK108/CJ108-1</f>
        <v>0.28652886671418387</v>
      </c>
      <c r="CL111" s="2190">
        <f t="shared" si="221"/>
        <v>0.12465373961218829</v>
      </c>
      <c r="CM111" s="2190">
        <f t="shared" si="221"/>
        <v>-3.9778325123152602E-2</v>
      </c>
      <c r="CN111" s="2190">
        <f t="shared" si="221"/>
        <v>-0.14467102731819925</v>
      </c>
      <c r="CO111" s="2190">
        <f t="shared" si="221"/>
        <v>-0.2435147698305592</v>
      </c>
      <c r="CP111" s="2190">
        <f t="shared" si="221"/>
        <v>-0.23548067393458882</v>
      </c>
      <c r="CQ111" s="2190">
        <f t="shared" si="221"/>
        <v>-5.8076225045372132E-2</v>
      </c>
      <c r="CR111" s="2190">
        <f t="shared" si="221"/>
        <v>3.8535645472061786E-2</v>
      </c>
      <c r="CS111" s="2190">
        <f t="shared" si="221"/>
        <v>-9.27643784786647E-3</v>
      </c>
      <c r="CT111" s="2190">
        <f t="shared" si="221"/>
        <v>0.1147672552166934</v>
      </c>
      <c r="CU111" s="2190">
        <f t="shared" si="221"/>
        <v>2.343652507799376</v>
      </c>
      <c r="CV111" s="2190">
        <f>CV108/CU108-1</f>
        <v>2.9997846838441116</v>
      </c>
      <c r="CW111" s="2190">
        <f t="shared" si="221"/>
        <v>0.70370902043819172</v>
      </c>
      <c r="CX111" s="2190">
        <f t="shared" si="221"/>
        <v>0.49868240894824445</v>
      </c>
      <c r="CY111" s="2190">
        <f>CY108/CX108-1</f>
        <v>4.9999999999999822E-2</v>
      </c>
      <c r="CZ111" s="2265">
        <v>0.5</v>
      </c>
      <c r="DA111" s="2265">
        <v>0.35</v>
      </c>
      <c r="DB111" s="2265">
        <v>0.25</v>
      </c>
      <c r="DC111" s="2265">
        <v>0.25</v>
      </c>
      <c r="DD111" s="2265">
        <v>0.25</v>
      </c>
      <c r="DE111" s="2265">
        <v>0.25</v>
      </c>
      <c r="DF111" s="2266">
        <v>0.2</v>
      </c>
      <c r="DG111" s="1493"/>
      <c r="DH111" s="1493"/>
    </row>
    <row r="112" spans="1:122" s="51" customFormat="1" ht="3" hidden="1" customHeight="1" outlineLevel="1">
      <c r="A112" s="82"/>
      <c r="B112"/>
      <c r="C112"/>
      <c r="D112"/>
      <c r="E112"/>
      <c r="F112"/>
      <c r="G112"/>
      <c r="H112" s="1044"/>
      <c r="I112" s="193"/>
      <c r="J112" s="83"/>
      <c r="K112" s="83"/>
      <c r="L112" s="82"/>
      <c r="M112" s="292"/>
      <c r="N112" s="292"/>
      <c r="O112" s="292"/>
      <c r="P112" s="1007"/>
      <c r="Q112" s="292"/>
      <c r="R112" s="292"/>
      <c r="S112" s="292"/>
      <c r="T112" s="1007"/>
      <c r="U112" s="997"/>
      <c r="V112" s="997"/>
      <c r="W112" s="997"/>
      <c r="X112" s="998"/>
      <c r="Y112" s="997"/>
      <c r="Z112" s="997"/>
      <c r="AA112" s="997"/>
      <c r="AB112" s="998"/>
      <c r="AC112" s="997"/>
      <c r="AD112" s="997"/>
      <c r="AE112" s="997"/>
      <c r="AF112" s="998"/>
      <c r="AG112" s="997"/>
      <c r="AH112" s="997"/>
      <c r="AI112" s="997"/>
      <c r="AJ112" s="998"/>
      <c r="AK112" s="2190"/>
      <c r="AL112" s="2190"/>
      <c r="AM112" s="2190"/>
      <c r="AN112" s="2191"/>
      <c r="AO112" s="2190"/>
      <c r="AP112" s="2190"/>
      <c r="AQ112" s="2190"/>
      <c r="AR112" s="2191"/>
      <c r="AS112" s="2190"/>
      <c r="AT112" s="2190"/>
      <c r="AU112" s="2190"/>
      <c r="AV112" s="2191"/>
      <c r="AW112" s="2190"/>
      <c r="AX112" s="2190"/>
      <c r="AY112" s="2190"/>
      <c r="AZ112" s="2191"/>
      <c r="BA112" s="2190"/>
      <c r="BB112" s="2190"/>
      <c r="BC112" s="2190"/>
      <c r="BD112" s="2191"/>
      <c r="BE112" s="2190"/>
      <c r="BF112" s="2190"/>
      <c r="BG112" s="2190"/>
      <c r="BH112" s="2191"/>
      <c r="BI112" s="2195"/>
      <c r="BJ112" s="2190"/>
      <c r="BK112" s="2190"/>
      <c r="BL112" s="2191"/>
      <c r="BM112" s="2195"/>
      <c r="BN112" s="2190"/>
      <c r="BO112" s="2190"/>
      <c r="BP112" s="2191"/>
      <c r="BQ112" s="2190"/>
      <c r="BR112" s="2190"/>
      <c r="BS112" s="2190"/>
      <c r="BT112" s="2191"/>
      <c r="BU112" s="2190"/>
      <c r="BV112" s="2190"/>
      <c r="BW112" s="2190"/>
      <c r="BX112" s="2191"/>
      <c r="BY112" s="2195"/>
      <c r="BZ112" s="2190"/>
      <c r="CA112" s="2190"/>
      <c r="CB112" s="2191"/>
      <c r="CC112" s="2190"/>
      <c r="CD112" s="2190"/>
      <c r="CE112" s="2190"/>
      <c r="CF112" s="2191"/>
      <c r="CG112" s="1007"/>
      <c r="CH112" s="2195"/>
      <c r="CI112" s="2190"/>
      <c r="CJ112" s="2190"/>
      <c r="CK112" s="2190"/>
      <c r="CL112" s="2190"/>
      <c r="CM112" s="2190"/>
      <c r="CN112" s="2190"/>
      <c r="CO112" s="2190"/>
      <c r="CP112" s="2190"/>
      <c r="CQ112" s="2190"/>
      <c r="CR112" s="2190"/>
      <c r="CS112" s="2190"/>
      <c r="CT112" s="2190"/>
      <c r="CU112" s="2190"/>
      <c r="CV112" s="2190"/>
      <c r="CW112" s="2190"/>
      <c r="CX112" s="2190"/>
      <c r="CY112" s="2190"/>
      <c r="CZ112" s="2190"/>
      <c r="DA112" s="2190"/>
      <c r="DB112" s="2190"/>
      <c r="DC112" s="2190"/>
      <c r="DD112" s="2190"/>
      <c r="DE112" s="2190"/>
      <c r="DF112" s="2191"/>
      <c r="DG112" s="1493"/>
      <c r="DH112" s="1493"/>
    </row>
    <row r="113" spans="1:122" s="584" customFormat="1" ht="11.25" hidden="1" customHeight="1" outlineLevel="1">
      <c r="A113" s="598"/>
      <c r="B113"/>
      <c r="C113"/>
      <c r="D113"/>
      <c r="E113"/>
      <c r="F113"/>
      <c r="G113"/>
      <c r="H113" s="1052"/>
      <c r="I113" s="579" t="s">
        <v>15</v>
      </c>
      <c r="J113" s="580"/>
      <c r="K113" s="580"/>
      <c r="L113" s="580"/>
      <c r="M113" s="543"/>
      <c r="N113" s="543"/>
      <c r="O113" s="543"/>
      <c r="P113" s="1003"/>
      <c r="Q113" s="543"/>
      <c r="R113" s="543"/>
      <c r="S113" s="543"/>
      <c r="T113" s="1003"/>
      <c r="U113" s="543"/>
      <c r="V113" s="543"/>
      <c r="W113" s="543"/>
      <c r="X113" s="1003"/>
      <c r="Y113" s="543"/>
      <c r="Z113" s="543"/>
      <c r="AA113" s="543"/>
      <c r="AB113" s="1003"/>
      <c r="AC113" s="543"/>
      <c r="AD113" s="543"/>
      <c r="AE113" s="543"/>
      <c r="AF113" s="1003"/>
      <c r="AG113" s="543"/>
      <c r="AH113" s="543"/>
      <c r="AI113" s="543"/>
      <c r="AJ113" s="1003"/>
      <c r="AK113" s="543"/>
      <c r="AL113" s="543"/>
      <c r="AM113" s="543"/>
      <c r="AN113" s="1003"/>
      <c r="AO113" s="543"/>
      <c r="AP113" s="543"/>
      <c r="AQ113" s="543"/>
      <c r="AR113" s="1003"/>
      <c r="AS113" s="543"/>
      <c r="AT113" s="543"/>
      <c r="AU113" s="543"/>
      <c r="AV113" s="1003"/>
      <c r="AW113" s="543"/>
      <c r="AX113" s="543"/>
      <c r="AY113" s="543"/>
      <c r="AZ113" s="1003"/>
      <c r="BA113" s="1004">
        <f t="shared" ref="BA113:BM113" si="222">+BA104</f>
        <v>-7.7149999999999999</v>
      </c>
      <c r="BB113" s="1004">
        <f t="shared" si="222"/>
        <v>-7.7949999999999999</v>
      </c>
      <c r="BC113" s="1004">
        <f t="shared" si="222"/>
        <v>-7.8789999999999996</v>
      </c>
      <c r="BD113" s="1005">
        <f t="shared" si="222"/>
        <v>-8.3320000000000007</v>
      </c>
      <c r="BE113" s="1004">
        <f t="shared" si="222"/>
        <v>-11.257999999999999</v>
      </c>
      <c r="BF113" s="1004">
        <f t="shared" si="222"/>
        <v>-16.882000000000001</v>
      </c>
      <c r="BG113" s="1004">
        <f t="shared" si="222"/>
        <v>-17.067</v>
      </c>
      <c r="BH113" s="1005">
        <f t="shared" si="222"/>
        <v>-16.856000000000002</v>
      </c>
      <c r="BI113" s="2267">
        <f t="shared" si="222"/>
        <v>-17.329000000000001</v>
      </c>
      <c r="BJ113" s="1004">
        <f t="shared" si="222"/>
        <v>-19.632999999999999</v>
      </c>
      <c r="BK113" s="1004">
        <f>+BK104</f>
        <v>-24.135000000000002</v>
      </c>
      <c r="BL113" s="1005">
        <f>+BL104</f>
        <v>-22.192</v>
      </c>
      <c r="BM113" s="2267">
        <f t="shared" si="222"/>
        <v>-17.745000000000001</v>
      </c>
      <c r="BN113" s="1004">
        <f t="shared" ref="BN113:BT113" si="223">+BN104</f>
        <v>-17.106000000000002</v>
      </c>
      <c r="BO113" s="1004">
        <f t="shared" si="223"/>
        <v>-22.952999999999999</v>
      </c>
      <c r="BP113" s="1005">
        <f t="shared" si="223"/>
        <v>-30.548999999999999</v>
      </c>
      <c r="BQ113" s="1004">
        <f t="shared" si="223"/>
        <v>-33.478999999999999</v>
      </c>
      <c r="BR113" s="1004">
        <f t="shared" si="223"/>
        <v>-41.546999999999997</v>
      </c>
      <c r="BS113" s="1004">
        <f t="shared" si="223"/>
        <v>-41.436</v>
      </c>
      <c r="BT113" s="1005">
        <f t="shared" si="223"/>
        <v>-43.767000000000003</v>
      </c>
      <c r="BU113" s="1004">
        <f t="shared" ref="BU113:BZ113" si="224">+BU104</f>
        <v>-46.893999999999998</v>
      </c>
      <c r="BV113" s="1004">
        <f t="shared" si="224"/>
        <v>-50.29</v>
      </c>
      <c r="BW113" s="1004">
        <f t="shared" si="224"/>
        <v>-55.48</v>
      </c>
      <c r="BX113" s="1005">
        <f t="shared" si="224"/>
        <v>-55.235999999999997</v>
      </c>
      <c r="BY113" s="2267">
        <f t="shared" si="224"/>
        <v>-55.716999999999999</v>
      </c>
      <c r="BZ113" s="1004">
        <f t="shared" si="224"/>
        <v>-60.942</v>
      </c>
      <c r="CA113" s="1004">
        <f>+CA104</f>
        <v>-66.337999999999994</v>
      </c>
      <c r="CB113" s="1005">
        <f>+BX113*(1+CB116)</f>
        <v>-66.283199999999994</v>
      </c>
      <c r="CC113" s="1004">
        <f>+BY113*(1+CC116)</f>
        <v>-66.860399999999998</v>
      </c>
      <c r="CD113" s="1004">
        <f>+BZ113*(1+CD116)</f>
        <v>-63.989100000000001</v>
      </c>
      <c r="CE113" s="1004">
        <f>+CA113*(1+CE116)</f>
        <v>-68.328139999999991</v>
      </c>
      <c r="CF113" s="1005">
        <f>+CB113*(1+CF116)</f>
        <v>-68.271695999999991</v>
      </c>
      <c r="CG113" s="1005"/>
      <c r="CH113" s="2267"/>
      <c r="CI113" s="1004"/>
      <c r="CJ113" s="1004">
        <f t="shared" ref="CJ113:CR113" si="225">+SUM(AY113:BB113)</f>
        <v>-15.51</v>
      </c>
      <c r="CK113" s="1004">
        <f t="shared" si="225"/>
        <v>-23.388999999999999</v>
      </c>
      <c r="CL113" s="1004">
        <f t="shared" si="225"/>
        <v>-31.721</v>
      </c>
      <c r="CM113" s="1004">
        <f t="shared" si="225"/>
        <v>-35.263999999999996</v>
      </c>
      <c r="CN113" s="1004">
        <f t="shared" si="225"/>
        <v>-44.350999999999999</v>
      </c>
      <c r="CO113" s="1004">
        <f t="shared" si="225"/>
        <v>-53.539000000000001</v>
      </c>
      <c r="CP113" s="1004">
        <f t="shared" si="225"/>
        <v>-62.063000000000002</v>
      </c>
      <c r="CQ113" s="1004">
        <f t="shared" si="225"/>
        <v>-68.134</v>
      </c>
      <c r="CR113" s="1004">
        <f t="shared" si="225"/>
        <v>-70.885000000000005</v>
      </c>
      <c r="CS113" s="1004">
        <f>+SUM(BH113:BK113)</f>
        <v>-77.953000000000003</v>
      </c>
      <c r="CT113" s="1004">
        <f>+SUM(BI113:BL113)</f>
        <v>-83.289000000000016</v>
      </c>
      <c r="CU113" s="1004">
        <f>SUM(BM113:BP113)</f>
        <v>-88.353000000000009</v>
      </c>
      <c r="CV113" s="1004">
        <f>SUM(BQ113:BT113)</f>
        <v>-160.22899999999998</v>
      </c>
      <c r="CW113" s="1004">
        <f>SUM(BU113:BX113)</f>
        <v>-207.89999999999998</v>
      </c>
      <c r="CX113" s="1004">
        <f>SUM(BY113:CB113)</f>
        <v>-249.28019999999998</v>
      </c>
      <c r="CY113" s="1004">
        <f>SUM(CC113:CF113)</f>
        <v>-267.44933600000002</v>
      </c>
      <c r="CZ113" s="1004">
        <f t="shared" ref="CZ113:DF113" si="226">+CY113*(1+CZ116)</f>
        <v>-240.70440240000002</v>
      </c>
      <c r="DA113" s="1004">
        <f t="shared" si="226"/>
        <v>-228.66918228</v>
      </c>
      <c r="DB113" s="1004">
        <f t="shared" si="226"/>
        <v>-182.93534582400002</v>
      </c>
      <c r="DC113" s="1004">
        <f t="shared" si="226"/>
        <v>-146.34827665920002</v>
      </c>
      <c r="DD113" s="1004">
        <f t="shared" si="226"/>
        <v>-131.71344899328002</v>
      </c>
      <c r="DE113" s="1004">
        <f t="shared" si="226"/>
        <v>-111.95643164428802</v>
      </c>
      <c r="DF113" s="1005">
        <f t="shared" si="226"/>
        <v>-83.967323733216006</v>
      </c>
      <c r="DG113" s="1489">
        <f>+(CX113/CT113)^(0.25)-1</f>
        <v>0.31530064824260973</v>
      </c>
      <c r="DH113" s="1489">
        <f>+(CY113/CU113)^(0.25)-1</f>
        <v>0.31903116216512561</v>
      </c>
      <c r="DJ113" s="51"/>
      <c r="DK113" s="51"/>
      <c r="DL113" s="51"/>
      <c r="DM113" s="51"/>
    </row>
    <row r="114" spans="1:122" s="554" customFormat="1" ht="11.25" hidden="1" customHeight="1" outlineLevel="1">
      <c r="A114" s="598"/>
      <c r="B114"/>
      <c r="C114"/>
      <c r="D114"/>
      <c r="E114"/>
      <c r="F114"/>
      <c r="G114"/>
      <c r="H114" s="1044"/>
      <c r="I114" s="586" t="s">
        <v>121</v>
      </c>
      <c r="J114" s="21"/>
      <c r="K114" s="21"/>
      <c r="L114" s="21"/>
      <c r="M114" s="2268"/>
      <c r="N114" s="2268"/>
      <c r="O114" s="2268"/>
      <c r="P114" s="2269"/>
      <c r="Q114" s="2268"/>
      <c r="R114" s="2268"/>
      <c r="S114" s="2268"/>
      <c r="T114" s="2269"/>
      <c r="U114" s="2268"/>
      <c r="V114" s="2268"/>
      <c r="W114" s="2268"/>
      <c r="X114" s="2269"/>
      <c r="Y114" s="2268"/>
      <c r="Z114" s="2268"/>
      <c r="AA114" s="2268"/>
      <c r="AB114" s="2269"/>
      <c r="AC114" s="2268"/>
      <c r="AD114" s="2268"/>
      <c r="AE114" s="2268"/>
      <c r="AF114" s="2269"/>
      <c r="AG114" s="2268"/>
      <c r="AH114" s="2268"/>
      <c r="AI114" s="2268"/>
      <c r="AJ114" s="2269"/>
      <c r="AK114" s="2268"/>
      <c r="AL114" s="2268"/>
      <c r="AM114" s="2268"/>
      <c r="AN114" s="2269"/>
      <c r="AO114" s="2268"/>
      <c r="AP114" s="2268"/>
      <c r="AQ114" s="2268"/>
      <c r="AR114" s="2269"/>
      <c r="AS114" s="2268"/>
      <c r="AT114" s="2268"/>
      <c r="AU114" s="2268"/>
      <c r="AV114" s="2269"/>
      <c r="AW114" s="2268"/>
      <c r="AX114" s="2268"/>
      <c r="AY114" s="2268"/>
      <c r="AZ114" s="2269"/>
      <c r="BA114" s="1910">
        <f t="shared" ref="BA114:CF114" si="227">+AVERAGE(AZ616+AZ611+AZ619,BA616+BA611+BA619)</f>
        <v>287.60649999999998</v>
      </c>
      <c r="BB114" s="1910">
        <f t="shared" si="227"/>
        <v>575.10649999999998</v>
      </c>
      <c r="BC114" s="1910">
        <f t="shared" si="227"/>
        <v>575</v>
      </c>
      <c r="BD114" s="1911">
        <f t="shared" si="227"/>
        <v>575</v>
      </c>
      <c r="BE114" s="1910">
        <f t="shared" si="227"/>
        <v>1008.2845</v>
      </c>
      <c r="BF114" s="1910">
        <f t="shared" si="227"/>
        <v>1444.1179999999999</v>
      </c>
      <c r="BG114" s="1910">
        <f t="shared" si="227"/>
        <v>1449.2375000000002</v>
      </c>
      <c r="BH114" s="1911">
        <f t="shared" si="227"/>
        <v>1454.4015000000002</v>
      </c>
      <c r="BI114" s="1909">
        <f t="shared" si="227"/>
        <v>1459.6115</v>
      </c>
      <c r="BJ114" s="1910">
        <f t="shared" si="227"/>
        <v>1878.662</v>
      </c>
      <c r="BK114" s="1910">
        <f t="shared" ref="BK114:BP114" si="228">+AVERAGE(BJ616+BJ611+BJ619,BK616+BK611+BK619)</f>
        <v>2300.5595000000003</v>
      </c>
      <c r="BL114" s="1911">
        <f t="shared" si="228"/>
        <v>2104.2669999999998</v>
      </c>
      <c r="BM114" s="1909">
        <f t="shared" si="228"/>
        <v>1878.848</v>
      </c>
      <c r="BN114" s="1910">
        <f t="shared" si="228"/>
        <v>1831.1000000000001</v>
      </c>
      <c r="BO114" s="1910">
        <f t="shared" si="228"/>
        <v>2866.4074999999998</v>
      </c>
      <c r="BP114" s="1911">
        <f t="shared" si="228"/>
        <v>3906.54</v>
      </c>
      <c r="BQ114" s="1910">
        <f>+AVERAGE(BP616+BP611+BP619,BQ616+BQ611+BQ619)</f>
        <v>4595.6940000000004</v>
      </c>
      <c r="BR114" s="1910">
        <f t="shared" si="227"/>
        <v>5352.0370000000003</v>
      </c>
      <c r="BS114" s="1910">
        <f t="shared" si="227"/>
        <v>5410.6470000000008</v>
      </c>
      <c r="BT114" s="1911">
        <f t="shared" si="227"/>
        <v>5789.8855000000003</v>
      </c>
      <c r="BU114" s="1910">
        <f t="shared" si="227"/>
        <v>6239.8225000000002</v>
      </c>
      <c r="BV114" s="1910">
        <f t="shared" si="227"/>
        <v>6788.2034999999996</v>
      </c>
      <c r="BW114" s="1910">
        <f t="shared" si="227"/>
        <v>7298.9490000000005</v>
      </c>
      <c r="BX114" s="1911">
        <f t="shared" si="227"/>
        <v>7254.7435000000005</v>
      </c>
      <c r="BY114" s="1909">
        <f t="shared" si="227"/>
        <v>7724.9775</v>
      </c>
      <c r="BZ114" s="1910">
        <f t="shared" si="227"/>
        <v>8381.1790000000001</v>
      </c>
      <c r="CA114" s="1910">
        <f t="shared" si="227"/>
        <v>9057.539499999999</v>
      </c>
      <c r="CB114" s="1911">
        <f t="shared" si="227"/>
        <v>9579.7714999999989</v>
      </c>
      <c r="CC114" s="1910">
        <f t="shared" si="227"/>
        <v>8816.6610000000001</v>
      </c>
      <c r="CD114" s="1910">
        <f t="shared" si="227"/>
        <v>8109.6610000000001</v>
      </c>
      <c r="CE114" s="1910">
        <f t="shared" si="227"/>
        <v>8109.6610000000001</v>
      </c>
      <c r="CF114" s="1911">
        <f t="shared" si="227"/>
        <v>8109.6610000000001</v>
      </c>
      <c r="CG114" s="1911"/>
      <c r="CH114" s="1909"/>
      <c r="CI114" s="1910"/>
      <c r="CJ114" s="1910"/>
      <c r="CK114" s="1910"/>
      <c r="CL114" s="1910"/>
      <c r="CM114" s="1910"/>
      <c r="CN114" s="1910"/>
      <c r="CO114" s="1910"/>
      <c r="CP114" s="1910"/>
      <c r="CQ114" s="1910">
        <f t="shared" ref="CQ114:CY114" si="229">AVERAGE(CP611+CP616+CP619,CQ611+CQ616+CQ619)</f>
        <v>238.22150000000002</v>
      </c>
      <c r="CR114" s="1910">
        <f t="shared" si="229"/>
        <v>525.72149999999999</v>
      </c>
      <c r="CS114" s="1910">
        <f t="shared" si="229"/>
        <v>1015.9975000000001</v>
      </c>
      <c r="CT114" s="1910">
        <f t="shared" si="229"/>
        <v>1679.7530000000002</v>
      </c>
      <c r="CU114" s="1910">
        <f t="shared" si="229"/>
        <v>2894.8955000000001</v>
      </c>
      <c r="CV114" s="1910">
        <f t="shared" si="229"/>
        <v>5022.8615</v>
      </c>
      <c r="CW114" s="1910">
        <f t="shared" si="229"/>
        <v>6662.6185000000005</v>
      </c>
      <c r="CX114" s="1910">
        <f t="shared" si="229"/>
        <v>8345.2275000000009</v>
      </c>
      <c r="CY114" s="1910">
        <f t="shared" si="229"/>
        <v>8816.6610000000001</v>
      </c>
      <c r="CZ114" s="1910">
        <f t="shared" ref="CZ114:DF114" si="230">+AVERAGE(CY616+CY611+CY619,CZ616+CZ611+CZ619)</f>
        <v>8109.6610000000001</v>
      </c>
      <c r="DA114" s="1910">
        <f>+AVERAGE(CZ616+CZ611+CZ619,DA616+DA611+DA619)</f>
        <v>7609.6610000000001</v>
      </c>
      <c r="DB114" s="1910">
        <f t="shared" si="230"/>
        <v>6609.6610000000001</v>
      </c>
      <c r="DC114" s="1910">
        <f t="shared" si="230"/>
        <v>5692.8554999999997</v>
      </c>
      <c r="DD114" s="1910">
        <f t="shared" si="230"/>
        <v>5276.05</v>
      </c>
      <c r="DE114" s="1910">
        <f t="shared" si="230"/>
        <v>4720.3090000000002</v>
      </c>
      <c r="DF114" s="1911">
        <f t="shared" si="230"/>
        <v>3914.5680000000002</v>
      </c>
      <c r="DG114" s="1502"/>
      <c r="DH114" s="1502"/>
      <c r="DI114" s="1706"/>
      <c r="DJ114" s="51"/>
      <c r="DK114" s="51"/>
      <c r="DL114" s="51"/>
      <c r="DM114" s="51"/>
    </row>
    <row r="115" spans="1:122" s="26" customFormat="1" ht="11.25" hidden="1" customHeight="1" outlineLevel="1">
      <c r="A115" s="63"/>
      <c r="B115"/>
      <c r="C115"/>
      <c r="D115"/>
      <c r="E115"/>
      <c r="F115"/>
      <c r="G115"/>
      <c r="H115" s="1044"/>
      <c r="I115" s="172" t="s">
        <v>119</v>
      </c>
      <c r="J115" s="131"/>
      <c r="K115" s="131"/>
      <c r="L115" s="131"/>
      <c r="M115" s="2270"/>
      <c r="N115" s="2270"/>
      <c r="O115" s="2270"/>
      <c r="P115" s="2271"/>
      <c r="Q115" s="2270"/>
      <c r="R115" s="2270"/>
      <c r="S115" s="2270"/>
      <c r="T115" s="2271"/>
      <c r="U115" s="2270"/>
      <c r="V115" s="2270"/>
      <c r="W115" s="2270"/>
      <c r="X115" s="2271"/>
      <c r="Y115" s="2270"/>
      <c r="Z115" s="2270"/>
      <c r="AA115" s="2270"/>
      <c r="AB115" s="2271"/>
      <c r="AC115" s="2270"/>
      <c r="AD115" s="2270"/>
      <c r="AE115" s="2270"/>
      <c r="AF115" s="2271"/>
      <c r="AG115" s="2270"/>
      <c r="AH115" s="2270"/>
      <c r="AI115" s="2270"/>
      <c r="AJ115" s="2271"/>
      <c r="AK115" s="2270"/>
      <c r="AL115" s="2270"/>
      <c r="AM115" s="2270"/>
      <c r="AN115" s="2271"/>
      <c r="AO115" s="2270"/>
      <c r="AP115" s="2270"/>
      <c r="AQ115" s="2270"/>
      <c r="AR115" s="2271"/>
      <c r="AS115" s="2270"/>
      <c r="AT115" s="2270"/>
      <c r="AU115" s="2270"/>
      <c r="AV115" s="2271"/>
      <c r="AW115" s="2270"/>
      <c r="AX115" s="2270"/>
      <c r="AY115" s="2270"/>
      <c r="AZ115" s="2271"/>
      <c r="BA115" s="997">
        <f t="shared" ref="BA115:CF115" si="231">+BA113/BA114*4</f>
        <v>-0.10729938301116283</v>
      </c>
      <c r="BB115" s="997">
        <f t="shared" si="231"/>
        <v>-5.4216045202062572E-2</v>
      </c>
      <c r="BC115" s="997">
        <f t="shared" si="231"/>
        <v>-5.4810434782608691E-2</v>
      </c>
      <c r="BD115" s="998">
        <f t="shared" si="231"/>
        <v>-5.7961739130434786E-2</v>
      </c>
      <c r="BE115" s="997">
        <f t="shared" si="231"/>
        <v>-4.4661997680218231E-2</v>
      </c>
      <c r="BF115" s="997">
        <f t="shared" si="231"/>
        <v>-4.6760721769273705E-2</v>
      </c>
      <c r="BG115" s="997">
        <f t="shared" si="231"/>
        <v>-4.7106150648185678E-2</v>
      </c>
      <c r="BH115" s="998">
        <f t="shared" si="231"/>
        <v>-4.6358588051511225E-2</v>
      </c>
      <c r="BI115" s="1032">
        <f t="shared" si="231"/>
        <v>-4.748934904938746E-2</v>
      </c>
      <c r="BJ115" s="997">
        <f t="shared" ref="BJ115:BO115" si="232">+BJ113/BJ114*4</f>
        <v>-4.1802091062681845E-2</v>
      </c>
      <c r="BK115" s="997">
        <f t="shared" si="232"/>
        <v>-4.1963704916130183E-2</v>
      </c>
      <c r="BL115" s="998">
        <f t="shared" si="232"/>
        <v>-4.2184760774179327E-2</v>
      </c>
      <c r="BM115" s="1032">
        <f t="shared" si="232"/>
        <v>-3.7778468508362577E-2</v>
      </c>
      <c r="BN115" s="997">
        <f t="shared" si="232"/>
        <v>-3.7367702473922779E-2</v>
      </c>
      <c r="BO115" s="997">
        <f t="shared" si="232"/>
        <v>-3.203033762645402E-2</v>
      </c>
      <c r="BP115" s="998">
        <f>+BP113/BP114*4</f>
        <v>-3.1279853783655102E-2</v>
      </c>
      <c r="BQ115" s="997">
        <f>+BQ113/BQ114*4</f>
        <v>-2.9139450973019523E-2</v>
      </c>
      <c r="BR115" s="997">
        <f>+BR113/BR114*4</f>
        <v>-3.1051354839288291E-2</v>
      </c>
      <c r="BS115" s="997">
        <f>+BS113/BS114*4</f>
        <v>-3.063293539571145E-2</v>
      </c>
      <c r="BT115" s="998">
        <f t="shared" si="231"/>
        <v>-3.023686737846543E-2</v>
      </c>
      <c r="BU115" s="997">
        <f t="shared" si="231"/>
        <v>-3.0061111513989377E-2</v>
      </c>
      <c r="BV115" s="997">
        <f t="shared" si="231"/>
        <v>-2.9633760979617067E-2</v>
      </c>
      <c r="BW115" s="997">
        <f t="shared" si="231"/>
        <v>-3.0404377397348574E-2</v>
      </c>
      <c r="BX115" s="998">
        <f t="shared" si="231"/>
        <v>-3.0455108440429351E-2</v>
      </c>
      <c r="BY115" s="1032">
        <f t="shared" si="231"/>
        <v>-2.8850310567247607E-2</v>
      </c>
      <c r="BZ115" s="997">
        <f t="shared" si="231"/>
        <v>-2.9085168089119682E-2</v>
      </c>
      <c r="CA115" s="997">
        <f>+CA113/CA114*4</f>
        <v>-2.9296256450220284E-2</v>
      </c>
      <c r="CB115" s="998">
        <f t="shared" si="231"/>
        <v>-2.7676317749332539E-2</v>
      </c>
      <c r="CC115" s="997">
        <f t="shared" si="231"/>
        <v>-3.0333660327872422E-2</v>
      </c>
      <c r="CD115" s="997">
        <f t="shared" si="231"/>
        <v>-3.1561911157568734E-2</v>
      </c>
      <c r="CE115" s="997">
        <f t="shared" si="231"/>
        <v>-3.3702094329220417E-2</v>
      </c>
      <c r="CF115" s="998">
        <f t="shared" si="231"/>
        <v>-3.3674253954635087E-2</v>
      </c>
      <c r="CG115" s="996"/>
      <c r="CH115" s="1000"/>
      <c r="CI115" s="995"/>
      <c r="CJ115" s="997"/>
      <c r="CK115" s="997"/>
      <c r="CL115" s="997"/>
      <c r="CM115" s="997"/>
      <c r="CN115" s="997"/>
      <c r="CO115" s="997"/>
      <c r="CP115" s="997"/>
      <c r="CQ115" s="997">
        <f>+CQ113/CQ114</f>
        <v>-0.28601112829866321</v>
      </c>
      <c r="CR115" s="997">
        <f>+CR113/CR114</f>
        <v>-0.13483374752601901</v>
      </c>
      <c r="CS115" s="997">
        <f t="shared" ref="CS115:CX115" si="233">+CS113/CS114</f>
        <v>-7.6725582494051411E-2</v>
      </c>
      <c r="CT115" s="997">
        <f t="shared" si="233"/>
        <v>-4.9584075753994789E-2</v>
      </c>
      <c r="CU115" s="997">
        <f t="shared" si="233"/>
        <v>-3.0520272666146327E-2</v>
      </c>
      <c r="CV115" s="997">
        <f t="shared" si="233"/>
        <v>-3.1899943886567445E-2</v>
      </c>
      <c r="CW115" s="997">
        <f t="shared" si="233"/>
        <v>-3.1203947817213303E-2</v>
      </c>
      <c r="CX115" s="997">
        <f t="shared" si="233"/>
        <v>-2.9870989137204464E-2</v>
      </c>
      <c r="CY115" s="997">
        <f t="shared" ref="CY115:DF115" si="234">+CY113/CY114</f>
        <v>-3.0334537757547898E-2</v>
      </c>
      <c r="CZ115" s="997">
        <f>+CZ113/CZ114</f>
        <v>-2.9681191655236885E-2</v>
      </c>
      <c r="DA115" s="997">
        <f t="shared" si="234"/>
        <v>-3.0049851403367377E-2</v>
      </c>
      <c r="DB115" s="997">
        <f t="shared" si="234"/>
        <v>-2.7676963436400144E-2</v>
      </c>
      <c r="DC115" s="997">
        <f t="shared" si="234"/>
        <v>-2.5707358400226393E-2</v>
      </c>
      <c r="DD115" s="997">
        <f t="shared" si="234"/>
        <v>-2.4964404998678941E-2</v>
      </c>
      <c r="DE115" s="997">
        <f t="shared" si="234"/>
        <v>-2.3718030248504496E-2</v>
      </c>
      <c r="DF115" s="998">
        <f t="shared" si="234"/>
        <v>-2.144995916106605E-2</v>
      </c>
      <c r="DG115" s="1503"/>
      <c r="DH115" s="1503"/>
      <c r="DI115" s="1199"/>
      <c r="DJ115" s="51"/>
      <c r="DK115" s="51"/>
      <c r="DL115" s="51"/>
      <c r="DM115" s="51"/>
    </row>
    <row r="116" spans="1:122" s="51" customFormat="1" ht="11.25" hidden="1" customHeight="1" outlineLevel="1">
      <c r="A116" s="992"/>
      <c r="B116"/>
      <c r="C116"/>
      <c r="D116"/>
      <c r="E116"/>
      <c r="F116"/>
      <c r="G116"/>
      <c r="H116" s="1044"/>
      <c r="I116" s="310" t="s">
        <v>120</v>
      </c>
      <c r="J116" s="83"/>
      <c r="K116" s="83"/>
      <c r="L116" s="83"/>
      <c r="M116" s="2272"/>
      <c r="N116" s="2272"/>
      <c r="O116" s="2272"/>
      <c r="P116" s="2273"/>
      <c r="Q116" s="2272"/>
      <c r="R116" s="2272"/>
      <c r="S116" s="2272"/>
      <c r="T116" s="2273"/>
      <c r="U116" s="2272"/>
      <c r="V116" s="2272"/>
      <c r="W116" s="2272"/>
      <c r="X116" s="2273"/>
      <c r="Y116" s="2272"/>
      <c r="Z116" s="2272"/>
      <c r="AA116" s="2272"/>
      <c r="AB116" s="2273"/>
      <c r="AC116" s="2272"/>
      <c r="AD116" s="2272"/>
      <c r="AE116" s="2272"/>
      <c r="AF116" s="2273"/>
      <c r="AG116" s="2272"/>
      <c r="AH116" s="2272"/>
      <c r="AI116" s="2272"/>
      <c r="AJ116" s="2273"/>
      <c r="AK116" s="2272"/>
      <c r="AL116" s="2272"/>
      <c r="AM116" s="2272"/>
      <c r="AN116" s="2273"/>
      <c r="AO116" s="2272"/>
      <c r="AP116" s="2272"/>
      <c r="AQ116" s="2272"/>
      <c r="AR116" s="2273"/>
      <c r="AS116" s="2272"/>
      <c r="AT116" s="2272"/>
      <c r="AU116" s="2272"/>
      <c r="AV116" s="2273"/>
      <c r="AW116" s="2272"/>
      <c r="AX116" s="2272"/>
      <c r="AY116" s="2272"/>
      <c r="AZ116" s="2273"/>
      <c r="BA116" s="2274"/>
      <c r="BB116" s="2274"/>
      <c r="BC116" s="2274"/>
      <c r="BD116" s="2275"/>
      <c r="BE116" s="2274">
        <f>+BE113/BA113-1</f>
        <v>0.45923525599481518</v>
      </c>
      <c r="BF116" s="2274">
        <f>+BF113/BB113-1</f>
        <v>1.1657472738935217</v>
      </c>
      <c r="BG116" s="2274">
        <f>+BG113/BC113-1</f>
        <v>1.1661378347506028</v>
      </c>
      <c r="BH116" s="2275">
        <f>+BH113/BD113-1</f>
        <v>1.0230436869899182</v>
      </c>
      <c r="BI116" s="2276">
        <f>+BI113/BE113-1</f>
        <v>0.53926096997690554</v>
      </c>
      <c r="BJ116" s="2274">
        <f t="shared" ref="BJ116:BO116" si="235">+BJ113/BF113-1</f>
        <v>0.16295462622911971</v>
      </c>
      <c r="BK116" s="2274">
        <f t="shared" si="235"/>
        <v>0.41413253647389703</v>
      </c>
      <c r="BL116" s="2275">
        <f t="shared" si="235"/>
        <v>0.31656383483626005</v>
      </c>
      <c r="BM116" s="2276">
        <f t="shared" si="235"/>
        <v>2.4006001500375129E-2</v>
      </c>
      <c r="BN116" s="2274">
        <f t="shared" si="235"/>
        <v>-0.1287118626801812</v>
      </c>
      <c r="BO116" s="2274">
        <f t="shared" si="235"/>
        <v>-4.8974518334369277E-2</v>
      </c>
      <c r="BP116" s="2275">
        <f t="shared" ref="BP116:CA116" si="236">+BP113/BL113-1</f>
        <v>0.37657714491708716</v>
      </c>
      <c r="BQ116" s="2274">
        <f t="shared" si="236"/>
        <v>0.88667230205691738</v>
      </c>
      <c r="BR116" s="2274">
        <f t="shared" si="236"/>
        <v>1.4287969133637315</v>
      </c>
      <c r="BS116" s="2274">
        <f t="shared" si="236"/>
        <v>0.8052542151352764</v>
      </c>
      <c r="BT116" s="2275">
        <f t="shared" si="236"/>
        <v>0.43268192084847312</v>
      </c>
      <c r="BU116" s="2274">
        <f t="shared" si="236"/>
        <v>0.40069894560769437</v>
      </c>
      <c r="BV116" s="2274">
        <f t="shared" si="236"/>
        <v>0.21043637326401421</v>
      </c>
      <c r="BW116" s="2274">
        <f t="shared" si="236"/>
        <v>0.33893232937542228</v>
      </c>
      <c r="BX116" s="2275">
        <f t="shared" si="236"/>
        <v>0.2620467475495234</v>
      </c>
      <c r="BY116" s="2276">
        <f t="shared" si="236"/>
        <v>0.18814773745042013</v>
      </c>
      <c r="BZ116" s="2274">
        <f t="shared" si="236"/>
        <v>0.21181149333863591</v>
      </c>
      <c r="CA116" s="2274">
        <f t="shared" si="236"/>
        <v>0.1957101658255227</v>
      </c>
      <c r="CB116" s="1007">
        <v>0.2</v>
      </c>
      <c r="CC116" s="292">
        <v>0.2</v>
      </c>
      <c r="CD116" s="292">
        <v>0.05</v>
      </c>
      <c r="CE116" s="292">
        <v>0.03</v>
      </c>
      <c r="CF116" s="1007">
        <v>0.03</v>
      </c>
      <c r="CG116" s="998"/>
      <c r="CH116" s="1032"/>
      <c r="CI116" s="997"/>
      <c r="CJ116" s="997"/>
      <c r="CK116" s="997">
        <f t="shared" ref="CK116:CR116" si="237">+CK113/CJ113-1</f>
        <v>0.5079948420373952</v>
      </c>
      <c r="CL116" s="997">
        <f t="shared" si="237"/>
        <v>0.35623583735944253</v>
      </c>
      <c r="CM116" s="997">
        <f t="shared" si="237"/>
        <v>0.11169256959112239</v>
      </c>
      <c r="CN116" s="997">
        <f t="shared" si="237"/>
        <v>0.25768489110707815</v>
      </c>
      <c r="CO116" s="997">
        <f t="shared" si="237"/>
        <v>0.20716556560167754</v>
      </c>
      <c r="CP116" s="997">
        <f t="shared" si="237"/>
        <v>0.15921104241767692</v>
      </c>
      <c r="CQ116" s="997">
        <f t="shared" si="237"/>
        <v>9.7819957140325098E-2</v>
      </c>
      <c r="CR116" s="997">
        <f t="shared" si="237"/>
        <v>4.0376317257169836E-2</v>
      </c>
      <c r="CS116" s="997">
        <f t="shared" ref="CS116:CY116" si="238">+CS113/CR113-1</f>
        <v>9.9710799181773169E-2</v>
      </c>
      <c r="CT116" s="997">
        <f t="shared" si="238"/>
        <v>6.8451502828627664E-2</v>
      </c>
      <c r="CU116" s="997">
        <f t="shared" si="238"/>
        <v>6.0800345783956988E-2</v>
      </c>
      <c r="CV116" s="997">
        <f t="shared" si="238"/>
        <v>0.81350944506694711</v>
      </c>
      <c r="CW116" s="997">
        <f t="shared" si="238"/>
        <v>0.29751792746631378</v>
      </c>
      <c r="CX116" s="997">
        <f t="shared" si="238"/>
        <v>0.19903896103896113</v>
      </c>
      <c r="CY116" s="997">
        <f t="shared" si="238"/>
        <v>7.2886398518615003E-2</v>
      </c>
      <c r="CZ116" s="2277">
        <v>-0.1</v>
      </c>
      <c r="DA116" s="2277">
        <v>-0.05</v>
      </c>
      <c r="DB116" s="2277">
        <v>-0.2</v>
      </c>
      <c r="DC116" s="2277">
        <v>-0.2</v>
      </c>
      <c r="DD116" s="2277">
        <v>-0.1</v>
      </c>
      <c r="DE116" s="2277">
        <v>-0.15</v>
      </c>
      <c r="DF116" s="2278">
        <v>-0.25</v>
      </c>
      <c r="DG116" s="1503"/>
      <c r="DH116" s="1503"/>
      <c r="DI116" s="1707"/>
    </row>
    <row r="117" spans="1:122" s="3" customFormat="1" ht="11.25" hidden="1" customHeight="1" outlineLevel="1">
      <c r="A117" s="34"/>
      <c r="B117"/>
      <c r="C117"/>
      <c r="D117"/>
      <c r="E117"/>
      <c r="F117"/>
      <c r="G117"/>
      <c r="H117" s="1047"/>
      <c r="I117" s="178"/>
      <c r="J117" s="8"/>
      <c r="K117" s="8"/>
      <c r="L117" s="8"/>
      <c r="M117" s="34"/>
      <c r="N117" s="34"/>
      <c r="O117" s="34"/>
      <c r="P117" s="1412"/>
      <c r="Q117" s="34"/>
      <c r="R117" s="34"/>
      <c r="S117" s="34"/>
      <c r="T117" s="1412"/>
      <c r="U117" s="2196"/>
      <c r="V117" s="2196"/>
      <c r="W117" s="2196"/>
      <c r="X117" s="2197"/>
      <c r="Y117" s="2196"/>
      <c r="Z117" s="2196"/>
      <c r="AA117" s="2196"/>
      <c r="AB117" s="2197"/>
      <c r="AC117" s="2196"/>
      <c r="AD117" s="2196"/>
      <c r="AE117" s="2196"/>
      <c r="AF117" s="2197"/>
      <c r="AG117" s="2196"/>
      <c r="AH117" s="2196"/>
      <c r="AI117" s="2196"/>
      <c r="AJ117" s="2197"/>
      <c r="AK117" s="2196"/>
      <c r="AL117" s="2196"/>
      <c r="AM117" s="2196"/>
      <c r="AN117" s="2197"/>
      <c r="AO117" s="2196"/>
      <c r="AP117" s="2196"/>
      <c r="AQ117" s="2196"/>
      <c r="AR117" s="2197"/>
      <c r="AS117" s="2196"/>
      <c r="AT117" s="2196"/>
      <c r="AU117" s="2196"/>
      <c r="AV117" s="2197"/>
      <c r="AW117" s="2279"/>
      <c r="AX117" s="2196"/>
      <c r="AY117" s="2196"/>
      <c r="AZ117" s="2197"/>
      <c r="BA117" s="2196"/>
      <c r="BB117" s="2196"/>
      <c r="BC117" s="2196"/>
      <c r="BD117" s="2197"/>
      <c r="BE117" s="2196"/>
      <c r="BF117" s="2196"/>
      <c r="BG117" s="2196"/>
      <c r="BH117" s="2197"/>
      <c r="BI117" s="2207"/>
      <c r="BJ117" s="2208"/>
      <c r="BK117" s="2208"/>
      <c r="BL117" s="2198"/>
      <c r="BM117" s="2207"/>
      <c r="BN117" s="2208"/>
      <c r="BO117" s="2208"/>
      <c r="BP117" s="2198"/>
      <c r="BQ117" s="2196"/>
      <c r="BR117" s="2196"/>
      <c r="BS117" s="2196"/>
      <c r="BT117" s="2197"/>
      <c r="BU117" s="2196"/>
      <c r="BV117" s="2196"/>
      <c r="BW117" s="2196"/>
      <c r="BX117" s="2197"/>
      <c r="BY117" s="2196"/>
      <c r="BZ117" s="2196"/>
      <c r="CA117" s="2196"/>
      <c r="CB117" s="2197"/>
      <c r="CC117" s="2196"/>
      <c r="CD117" s="2196"/>
      <c r="CE117" s="2196"/>
      <c r="CF117" s="2197"/>
      <c r="CG117" s="1412"/>
      <c r="CH117" s="1414"/>
      <c r="CI117" s="34"/>
      <c r="CJ117" s="2196"/>
      <c r="CK117" s="2196"/>
      <c r="CL117" s="2196"/>
      <c r="CM117" s="2196"/>
      <c r="CN117" s="2196"/>
      <c r="CO117" s="2196"/>
      <c r="CP117" s="2196"/>
      <c r="CQ117" s="2196"/>
      <c r="CR117" s="2196"/>
      <c r="CS117" s="2196"/>
      <c r="CT117" s="2196"/>
      <c r="CU117" s="2196"/>
      <c r="CV117" s="2196"/>
      <c r="CW117" s="2196"/>
      <c r="CX117" s="2196"/>
      <c r="CY117" s="2196"/>
      <c r="CZ117" s="2196"/>
      <c r="DA117" s="2196"/>
      <c r="DB117" s="2196"/>
      <c r="DC117" s="2196"/>
      <c r="DD117" s="2196"/>
      <c r="DE117" s="2196"/>
      <c r="DF117" s="2197"/>
      <c r="DG117" s="1504"/>
      <c r="DH117" s="1504"/>
      <c r="DJ117" s="51"/>
      <c r="DK117" s="51"/>
      <c r="DL117" s="51"/>
      <c r="DM117" s="51"/>
    </row>
    <row r="118" spans="1:122" s="606" customFormat="1" ht="11.25" customHeight="1" collapsed="1">
      <c r="A118" s="548"/>
      <c r="B118"/>
      <c r="C118"/>
      <c r="D118"/>
      <c r="E118"/>
      <c r="F118"/>
      <c r="G118"/>
      <c r="H118" s="1047"/>
      <c r="I118" s="604" t="s">
        <v>592</v>
      </c>
      <c r="J118" s="605"/>
      <c r="K118" s="605"/>
      <c r="L118" s="605"/>
      <c r="M118" s="2057"/>
      <c r="N118" s="2057"/>
      <c r="O118" s="2057"/>
      <c r="P118" s="2058"/>
      <c r="Q118" s="2057"/>
      <c r="R118" s="2057"/>
      <c r="S118" s="2057"/>
      <c r="T118" s="2058"/>
      <c r="U118" s="2057"/>
      <c r="V118" s="2057"/>
      <c r="W118" s="2057"/>
      <c r="X118" s="2058"/>
      <c r="Y118" s="2057"/>
      <c r="Z118" s="2057"/>
      <c r="AA118" s="2057"/>
      <c r="AB118" s="2058"/>
      <c r="AC118" s="2057"/>
      <c r="AD118" s="2057"/>
      <c r="AE118" s="2057"/>
      <c r="AF118" s="2058"/>
      <c r="AG118" s="2057">
        <v>0</v>
      </c>
      <c r="AH118" s="2057">
        <v>0</v>
      </c>
      <c r="AI118" s="2057">
        <v>0</v>
      </c>
      <c r="AJ118" s="2058">
        <v>0</v>
      </c>
      <c r="AK118" s="2057">
        <v>-2.786</v>
      </c>
      <c r="AL118" s="2057">
        <v>-0.48299999999999998</v>
      </c>
      <c r="AM118" s="2057">
        <v>-7.6999999999999999E-2</v>
      </c>
      <c r="AN118" s="2058">
        <v>0</v>
      </c>
      <c r="AO118" s="2057">
        <v>0</v>
      </c>
      <c r="AP118" s="2057">
        <v>0</v>
      </c>
      <c r="AQ118" s="2057">
        <v>0</v>
      </c>
      <c r="AR118" s="2058">
        <f>4.944</f>
        <v>4.944</v>
      </c>
      <c r="AS118" s="2057">
        <f>5.197</f>
        <v>5.1970000000000001</v>
      </c>
      <c r="AT118" s="2057">
        <f>5.039</f>
        <v>5.0389999999999997</v>
      </c>
      <c r="AU118" s="2057">
        <f>4.516</f>
        <v>4.516</v>
      </c>
      <c r="AV118" s="2058">
        <f>3.451</f>
        <v>3.4510000000000001</v>
      </c>
      <c r="AW118" s="2057">
        <f>5.251</f>
        <v>5.2510000000000003</v>
      </c>
      <c r="AX118" s="2057">
        <v>2.8570000000000002</v>
      </c>
      <c r="AY118" s="2057">
        <v>3.226</v>
      </c>
      <c r="AZ118" s="2058">
        <v>0</v>
      </c>
      <c r="BA118" s="2057">
        <v>0</v>
      </c>
      <c r="BB118" s="2057">
        <v>3.2000000000000001E-2</v>
      </c>
      <c r="BC118" s="2057">
        <f>0.032-BB118-BA118</f>
        <v>0</v>
      </c>
      <c r="BD118" s="2058">
        <v>0</v>
      </c>
      <c r="BE118" s="2057">
        <v>0</v>
      </c>
      <c r="BF118" s="2057">
        <v>0</v>
      </c>
      <c r="BG118" s="2057">
        <v>0</v>
      </c>
      <c r="BH118" s="2058">
        <v>0</v>
      </c>
      <c r="BI118" s="2059">
        <v>0</v>
      </c>
      <c r="BJ118" s="2057">
        <v>0</v>
      </c>
      <c r="BK118" s="2057">
        <v>0</v>
      </c>
      <c r="BL118" s="2058">
        <v>26.661000000000001</v>
      </c>
      <c r="BM118" s="2059">
        <v>3.3959999999999999</v>
      </c>
      <c r="BN118" s="2057">
        <v>2.7330000000000001</v>
      </c>
      <c r="BO118" s="2057">
        <v>0.124</v>
      </c>
      <c r="BP118" s="2280">
        <v>1.6E-2</v>
      </c>
      <c r="BQ118" s="2281">
        <v>3.0000000000000001E-3</v>
      </c>
      <c r="BR118" s="2057">
        <v>0</v>
      </c>
      <c r="BS118" s="2057">
        <v>0</v>
      </c>
      <c r="BT118" s="2058">
        <v>0</v>
      </c>
      <c r="BU118" s="2057">
        <v>50.35</v>
      </c>
      <c r="BV118" s="2057">
        <v>12.858000000000001</v>
      </c>
      <c r="BW118" s="2057">
        <v>0</v>
      </c>
      <c r="BX118" s="2058">
        <v>0</v>
      </c>
      <c r="BY118" s="2057">
        <v>0</v>
      </c>
      <c r="BZ118" s="2057">
        <v>0</v>
      </c>
      <c r="CA118" s="2057">
        <v>0</v>
      </c>
      <c r="CB118" s="2058">
        <f>+-12.312+19.3+1.273</f>
        <v>8.261000000000001</v>
      </c>
      <c r="CC118" s="2057">
        <v>0</v>
      </c>
      <c r="CD118" s="2057">
        <v>0</v>
      </c>
      <c r="CE118" s="2057">
        <v>0</v>
      </c>
      <c r="CF118" s="2058">
        <v>0</v>
      </c>
      <c r="CG118" s="2058"/>
      <c r="CH118" s="2059"/>
      <c r="CI118" s="2057"/>
      <c r="CJ118" s="2057"/>
      <c r="CK118" s="2057"/>
      <c r="CL118" s="2057"/>
      <c r="CM118" s="2057">
        <v>0</v>
      </c>
      <c r="CN118" s="2057">
        <f>+SUM(AK118:AN118)</f>
        <v>-3.3460000000000001</v>
      </c>
      <c r="CO118" s="2057">
        <f>+SUM(AO118:AR118)</f>
        <v>4.944</v>
      </c>
      <c r="CP118" s="2057">
        <f>+SUM(AS118:AV118)</f>
        <v>18.202999999999999</v>
      </c>
      <c r="CQ118" s="2057">
        <f>+SUM(AW118:AZ118)</f>
        <v>11.334</v>
      </c>
      <c r="CR118" s="2057">
        <f>+SUM(BA118:BD118)</f>
        <v>3.2000000000000001E-2</v>
      </c>
      <c r="CS118" s="2057">
        <f>+SUM(BE118:BH118)</f>
        <v>0</v>
      </c>
      <c r="CT118" s="2057">
        <f>+SUM(BI118:BL118)</f>
        <v>26.661000000000001</v>
      </c>
      <c r="CU118" s="2057">
        <f>SUM(BM118:BP118)</f>
        <v>6.2689999999999992</v>
      </c>
      <c r="CV118" s="2057">
        <f>SUM(BQ118:BT118)</f>
        <v>3.0000000000000001E-3</v>
      </c>
      <c r="CW118" s="2057">
        <f>SUM(BU118:BX118)</f>
        <v>63.207999999999998</v>
      </c>
      <c r="CX118" s="2057">
        <f>SUM(BY118:CB118)</f>
        <v>8.261000000000001</v>
      </c>
      <c r="CY118" s="2057">
        <f>SUM(CC118:CF118)</f>
        <v>0</v>
      </c>
      <c r="CZ118" s="2259">
        <f t="shared" ref="CZ118:DF119" si="239">+CY118</f>
        <v>0</v>
      </c>
      <c r="DA118" s="2259">
        <f t="shared" si="239"/>
        <v>0</v>
      </c>
      <c r="DB118" s="2259">
        <f t="shared" si="239"/>
        <v>0</v>
      </c>
      <c r="DC118" s="2259">
        <f t="shared" si="239"/>
        <v>0</v>
      </c>
      <c r="DD118" s="2259">
        <f t="shared" si="239"/>
        <v>0</v>
      </c>
      <c r="DE118" s="2259">
        <f t="shared" si="239"/>
        <v>0</v>
      </c>
      <c r="DF118" s="2260">
        <f t="shared" si="239"/>
        <v>0</v>
      </c>
      <c r="DG118" s="1505"/>
      <c r="DH118" s="1505"/>
      <c r="DI118" s="1708"/>
      <c r="DJ118" s="51"/>
      <c r="DK118" s="51"/>
      <c r="DL118" s="51"/>
      <c r="DM118" s="51"/>
    </row>
    <row r="119" spans="1:122" s="606" customFormat="1" ht="11.25" customHeight="1">
      <c r="A119" s="547"/>
      <c r="B119"/>
      <c r="C119"/>
      <c r="D119"/>
      <c r="E119"/>
      <c r="F119"/>
      <c r="G119"/>
      <c r="H119" s="1044"/>
      <c r="I119" s="604" t="s">
        <v>592</v>
      </c>
      <c r="J119" s="605"/>
      <c r="K119" s="605"/>
      <c r="L119" s="605"/>
      <c r="M119" s="2057"/>
      <c r="N119" s="2057"/>
      <c r="O119" s="2057"/>
      <c r="P119" s="2058"/>
      <c r="Q119" s="2057"/>
      <c r="R119" s="2057"/>
      <c r="S119" s="2057"/>
      <c r="T119" s="2058"/>
      <c r="U119" s="2057"/>
      <c r="V119" s="2057"/>
      <c r="W119" s="2057"/>
      <c r="X119" s="2058"/>
      <c r="Y119" s="2057"/>
      <c r="Z119" s="2057"/>
      <c r="AA119" s="2057"/>
      <c r="AB119" s="2058"/>
      <c r="AC119" s="2057"/>
      <c r="AD119" s="2057"/>
      <c r="AE119" s="2057"/>
      <c r="AF119" s="2058"/>
      <c r="AG119" s="2057">
        <v>0</v>
      </c>
      <c r="AH119" s="2057">
        <v>0</v>
      </c>
      <c r="AI119" s="2057">
        <v>0</v>
      </c>
      <c r="AJ119" s="2058">
        <v>0</v>
      </c>
      <c r="AK119" s="2057">
        <v>0</v>
      </c>
      <c r="AL119" s="2057">
        <v>0</v>
      </c>
      <c r="AM119" s="2057">
        <v>0</v>
      </c>
      <c r="AN119" s="2058">
        <v>0</v>
      </c>
      <c r="AO119" s="2057">
        <v>0</v>
      </c>
      <c r="AP119" s="2057">
        <v>0</v>
      </c>
      <c r="AQ119" s="2057">
        <v>0</v>
      </c>
      <c r="AR119" s="2058">
        <v>-5.97</v>
      </c>
      <c r="AS119" s="2057">
        <v>-2.87</v>
      </c>
      <c r="AT119" s="2057">
        <v>-0.26</v>
      </c>
      <c r="AU119" s="2057">
        <v>0.39400000000000002</v>
      </c>
      <c r="AV119" s="2058">
        <v>3.7839999999999998</v>
      </c>
      <c r="AW119" s="2057">
        <v>3.274</v>
      </c>
      <c r="AX119" s="2057">
        <f>6.192</f>
        <v>6.1920000000000002</v>
      </c>
      <c r="AY119" s="2057">
        <v>5.4820000000000002</v>
      </c>
      <c r="AZ119" s="2058">
        <v>5.1609999999999996</v>
      </c>
      <c r="BA119" s="2057">
        <v>5.2389999999999999</v>
      </c>
      <c r="BB119" s="2057">
        <f>5.314</f>
        <v>5.3140000000000001</v>
      </c>
      <c r="BC119" s="2057">
        <v>5.391</v>
      </c>
      <c r="BD119" s="2058">
        <v>5.4710000000000001</v>
      </c>
      <c r="BE119" s="2057">
        <v>7.2409999999999997</v>
      </c>
      <c r="BF119" s="2057">
        <v>10.731</v>
      </c>
      <c r="BG119" s="2057">
        <v>10.859</v>
      </c>
      <c r="BH119" s="2058">
        <v>10.989000000000001</v>
      </c>
      <c r="BI119" s="2059">
        <v>11.12</v>
      </c>
      <c r="BJ119" s="2057">
        <v>12.898</v>
      </c>
      <c r="BK119" s="2057">
        <v>16.350000000000001</v>
      </c>
      <c r="BL119" s="2058">
        <v>13.843999999999999</v>
      </c>
      <c r="BM119" s="2059">
        <v>11.757999999999999</v>
      </c>
      <c r="BN119" s="2057">
        <v>11.189</v>
      </c>
      <c r="BO119" s="2057">
        <v>14.132999999999999</v>
      </c>
      <c r="BP119" s="2058">
        <v>14.724</v>
      </c>
      <c r="BQ119" s="2057">
        <v>15.775</v>
      </c>
      <c r="BR119" s="2057">
        <v>15.574999999999999</v>
      </c>
      <c r="BS119" s="2057">
        <v>15.702999999999999</v>
      </c>
      <c r="BT119" s="2058">
        <v>15.832000000000001</v>
      </c>
      <c r="BU119" s="2057">
        <v>15.962</v>
      </c>
      <c r="BV119" s="2057">
        <v>16.093</v>
      </c>
      <c r="BW119" s="2057">
        <v>16.225999999999999</v>
      </c>
      <c r="BX119" s="2058">
        <v>16.359000000000002</v>
      </c>
      <c r="BY119" s="2057">
        <v>16.492999999999999</v>
      </c>
      <c r="BZ119" s="2057">
        <v>16.524999999999999</v>
      </c>
      <c r="CA119" s="2057">
        <v>16.228000000000002</v>
      </c>
      <c r="CB119" s="2058">
        <v>15.502000000000001</v>
      </c>
      <c r="CC119" s="2057">
        <f>+BY119</f>
        <v>16.492999999999999</v>
      </c>
      <c r="CD119" s="2057">
        <f>+BZ119</f>
        <v>16.524999999999999</v>
      </c>
      <c r="CE119" s="2057">
        <f>+CA119</f>
        <v>16.228000000000002</v>
      </c>
      <c r="CF119" s="2058">
        <f>+CB119</f>
        <v>15.502000000000001</v>
      </c>
      <c r="CG119" s="2058"/>
      <c r="CH119" s="2059"/>
      <c r="CI119" s="2057"/>
      <c r="CJ119" s="2057"/>
      <c r="CK119" s="2057"/>
      <c r="CL119" s="2057"/>
      <c r="CM119" s="2057">
        <v>0</v>
      </c>
      <c r="CN119" s="2057">
        <f>+SUM(AK119:AN119)</f>
        <v>0</v>
      </c>
      <c r="CO119" s="2057">
        <f>+SUM(AO119:AR119)</f>
        <v>-5.97</v>
      </c>
      <c r="CP119" s="2057">
        <f>+SUM(AS119:AV119)</f>
        <v>1.048</v>
      </c>
      <c r="CQ119" s="2057">
        <f>+SUM(AW119:AZ119)</f>
        <v>20.109000000000002</v>
      </c>
      <c r="CR119" s="2057">
        <f>+SUM(BA119:BD119)</f>
        <v>21.414999999999999</v>
      </c>
      <c r="CS119" s="2057">
        <f>+SUM(BE119:BH119)</f>
        <v>39.820000000000007</v>
      </c>
      <c r="CT119" s="2057">
        <f>+SUM(BI119:BL119)</f>
        <v>54.212000000000003</v>
      </c>
      <c r="CU119" s="2057">
        <f>SUM(BM119:BP119)</f>
        <v>51.804000000000002</v>
      </c>
      <c r="CV119" s="2057">
        <f>SUM(BQ119:BT119)</f>
        <v>62.884999999999998</v>
      </c>
      <c r="CW119" s="2057">
        <f>SUM(BU119:BX119)</f>
        <v>64.64</v>
      </c>
      <c r="CX119" s="2057">
        <f>SUM(BY119:CB119)</f>
        <v>64.748000000000005</v>
      </c>
      <c r="CY119" s="2057">
        <f>SUM(CC119:CF119)</f>
        <v>64.748000000000005</v>
      </c>
      <c r="CZ119" s="2259">
        <f t="shared" si="239"/>
        <v>64.748000000000005</v>
      </c>
      <c r="DA119" s="2259">
        <f t="shared" si="239"/>
        <v>64.748000000000005</v>
      </c>
      <c r="DB119" s="2259">
        <f t="shared" si="239"/>
        <v>64.748000000000005</v>
      </c>
      <c r="DC119" s="2259">
        <f t="shared" si="239"/>
        <v>64.748000000000005</v>
      </c>
      <c r="DD119" s="2259">
        <f t="shared" si="239"/>
        <v>64.748000000000005</v>
      </c>
      <c r="DE119" s="2259">
        <f t="shared" si="239"/>
        <v>64.748000000000005</v>
      </c>
      <c r="DF119" s="2260">
        <f t="shared" si="239"/>
        <v>64.748000000000005</v>
      </c>
      <c r="DG119" s="1505"/>
      <c r="DH119" s="1505"/>
      <c r="DI119" s="1708"/>
      <c r="DJ119" s="51"/>
      <c r="DK119" s="51"/>
      <c r="DL119" s="51"/>
      <c r="DM119" s="51"/>
    </row>
    <row r="120" spans="1:122" s="584" customFormat="1" ht="11.25" customHeight="1">
      <c r="A120" s="547"/>
      <c r="B120"/>
      <c r="C120"/>
      <c r="D120"/>
      <c r="E120"/>
      <c r="F120"/>
      <c r="G120"/>
      <c r="H120" s="1044"/>
      <c r="I120" s="544"/>
      <c r="J120" s="542"/>
      <c r="K120" s="542"/>
      <c r="L120" s="542"/>
      <c r="M120" s="548"/>
      <c r="N120" s="548"/>
      <c r="O120" s="548"/>
      <c r="P120" s="2056"/>
      <c r="Q120" s="548"/>
      <c r="R120" s="548"/>
      <c r="S120" s="548"/>
      <c r="T120" s="2056"/>
      <c r="U120" s="2057"/>
      <c r="V120" s="2057"/>
      <c r="W120" s="2057"/>
      <c r="X120" s="2058"/>
      <c r="Y120" s="2057"/>
      <c r="Z120" s="2057"/>
      <c r="AA120" s="2057"/>
      <c r="AB120" s="2058"/>
      <c r="AC120" s="2057"/>
      <c r="AD120" s="2057"/>
      <c r="AE120" s="2057"/>
      <c r="AF120" s="2058"/>
      <c r="AG120" s="2057"/>
      <c r="AH120" s="2057"/>
      <c r="AI120" s="2057"/>
      <c r="AJ120" s="2058"/>
      <c r="AK120" s="2057"/>
      <c r="AL120" s="2057"/>
      <c r="AM120" s="2057"/>
      <c r="AN120" s="2058"/>
      <c r="AO120" s="2057"/>
      <c r="AP120" s="2057"/>
      <c r="AQ120" s="2057"/>
      <c r="AR120" s="2058"/>
      <c r="AS120" s="2057"/>
      <c r="AT120" s="2057"/>
      <c r="AU120" s="2057"/>
      <c r="AV120" s="2058"/>
      <c r="AW120" s="548"/>
      <c r="AX120" s="2057"/>
      <c r="AY120" s="2057"/>
      <c r="AZ120" s="2058"/>
      <c r="BA120" s="2057"/>
      <c r="BB120" s="2057"/>
      <c r="BC120" s="2057"/>
      <c r="BD120" s="2058"/>
      <c r="BE120" s="2057"/>
      <c r="BF120" s="2057"/>
      <c r="BG120" s="2057"/>
      <c r="BH120" s="2058"/>
      <c r="BI120" s="2225"/>
      <c r="BJ120" s="2226"/>
      <c r="BK120" s="2226"/>
      <c r="BL120" s="2264"/>
      <c r="BM120" s="2225"/>
      <c r="BN120" s="2226"/>
      <c r="BO120" s="2226"/>
      <c r="BP120" s="2264"/>
      <c r="BQ120" s="2057"/>
      <c r="BR120" s="2057"/>
      <c r="BS120" s="2057"/>
      <c r="BT120" s="2058"/>
      <c r="BU120" s="2057"/>
      <c r="BV120" s="2057"/>
      <c r="BW120" s="2057"/>
      <c r="BX120" s="2058"/>
      <c r="BY120" s="2057"/>
      <c r="BZ120" s="2057"/>
      <c r="CA120" s="2057"/>
      <c r="CB120" s="2058"/>
      <c r="CC120" s="2057"/>
      <c r="CD120" s="2057"/>
      <c r="CE120" s="2057"/>
      <c r="CF120" s="2058"/>
      <c r="CG120" s="2056"/>
      <c r="CH120" s="2060"/>
      <c r="CI120" s="548"/>
      <c r="CJ120" s="2057"/>
      <c r="CK120" s="2057"/>
      <c r="CL120" s="2057"/>
      <c r="CM120" s="2057"/>
      <c r="CN120" s="2057"/>
      <c r="CO120" s="2057"/>
      <c r="CP120" s="2057"/>
      <c r="CQ120" s="2057"/>
      <c r="CR120" s="2057"/>
      <c r="CS120" s="2057"/>
      <c r="CT120" s="2057"/>
      <c r="CU120" s="2057"/>
      <c r="CV120" s="2057"/>
      <c r="CW120" s="2057"/>
      <c r="CX120" s="2057"/>
      <c r="CY120" s="2057"/>
      <c r="CZ120" s="2057"/>
      <c r="DA120" s="2057"/>
      <c r="DB120" s="2057"/>
      <c r="DC120" s="2057"/>
      <c r="DD120" s="2057"/>
      <c r="DE120" s="2057"/>
      <c r="DF120" s="2058"/>
      <c r="DG120" s="1501"/>
      <c r="DH120" s="1501"/>
      <c r="DJ120" s="51"/>
      <c r="DK120" s="51"/>
      <c r="DL120" s="51"/>
      <c r="DM120" s="51"/>
    </row>
    <row r="121" spans="1:122" s="554" customFormat="1" ht="11.25" customHeight="1">
      <c r="A121" s="547"/>
      <c r="B121"/>
      <c r="C121"/>
      <c r="D121"/>
      <c r="E121"/>
      <c r="F121"/>
      <c r="G121"/>
      <c r="H121" s="1044"/>
      <c r="I121" s="591" t="s">
        <v>37</v>
      </c>
      <c r="J121" s="547"/>
      <c r="K121" s="547"/>
      <c r="L121" s="547"/>
      <c r="M121" s="548"/>
      <c r="N121" s="548"/>
      <c r="O121" s="548"/>
      <c r="P121" s="2056"/>
      <c r="Q121" s="548"/>
      <c r="R121" s="548"/>
      <c r="S121" s="548"/>
      <c r="T121" s="2056"/>
      <c r="U121" s="2057"/>
      <c r="V121" s="2057"/>
      <c r="W121" s="2057"/>
      <c r="X121" s="2058"/>
      <c r="Y121" s="2057"/>
      <c r="Z121" s="2057"/>
      <c r="AA121" s="2057"/>
      <c r="AB121" s="2058"/>
      <c r="AC121" s="2057"/>
      <c r="AD121" s="2057"/>
      <c r="AE121" s="2057"/>
      <c r="AF121" s="2058"/>
      <c r="AG121" s="2057">
        <f t="shared" ref="AG121:BL121" si="240">+AG106+AG118+AG119</f>
        <v>0.18799999999999994</v>
      </c>
      <c r="AH121" s="2057">
        <f t="shared" si="240"/>
        <v>-5.5000000000000049E-2</v>
      </c>
      <c r="AI121" s="2057">
        <f t="shared" si="240"/>
        <v>1.4299999999999997</v>
      </c>
      <c r="AJ121" s="2058">
        <f t="shared" si="240"/>
        <v>2.0839999999999996</v>
      </c>
      <c r="AK121" s="2057">
        <f t="shared" si="240"/>
        <v>2.7329999999999983</v>
      </c>
      <c r="AL121" s="2057">
        <f t="shared" si="240"/>
        <v>2.8130000000000002</v>
      </c>
      <c r="AM121" s="2057">
        <f t="shared" si="240"/>
        <v>2.0629999999999997</v>
      </c>
      <c r="AN121" s="2058">
        <f t="shared" si="240"/>
        <v>1.1329999999999998</v>
      </c>
      <c r="AO121" s="2057">
        <f t="shared" si="240"/>
        <v>-3.5829999999999997</v>
      </c>
      <c r="AP121" s="2057">
        <f t="shared" si="240"/>
        <v>0.58399999999999985</v>
      </c>
      <c r="AQ121" s="2057">
        <f t="shared" si="240"/>
        <v>4.798</v>
      </c>
      <c r="AR121" s="2058">
        <f t="shared" si="240"/>
        <v>4.2960000000000003</v>
      </c>
      <c r="AS121" s="2057">
        <f t="shared" si="240"/>
        <v>8.0000000000000071E-2</v>
      </c>
      <c r="AT121" s="2057">
        <f t="shared" si="240"/>
        <v>-5.1230000000000011</v>
      </c>
      <c r="AU121" s="2057">
        <f t="shared" si="240"/>
        <v>-1.7499999999999991</v>
      </c>
      <c r="AV121" s="2058">
        <f t="shared" si="240"/>
        <v>-2.4889999999999999</v>
      </c>
      <c r="AW121" s="2057">
        <f t="shared" si="240"/>
        <v>1.4440000000000008</v>
      </c>
      <c r="AX121" s="2057">
        <f t="shared" si="240"/>
        <v>1.7610000000000001</v>
      </c>
      <c r="AY121" s="2057">
        <f t="shared" si="240"/>
        <v>-9.3820000000000014</v>
      </c>
      <c r="AZ121" s="2058">
        <f t="shared" si="240"/>
        <v>-2.8930000000000007</v>
      </c>
      <c r="BA121" s="2057">
        <f t="shared" si="240"/>
        <v>-8.1280000000000001</v>
      </c>
      <c r="BB121" s="2057">
        <f t="shared" si="240"/>
        <v>-2.7710000000000008</v>
      </c>
      <c r="BC121" s="2057">
        <f t="shared" si="240"/>
        <v>0.86500000000000021</v>
      </c>
      <c r="BD121" s="2058">
        <f t="shared" si="240"/>
        <v>0.35299999999999976</v>
      </c>
      <c r="BE121" s="2057">
        <f t="shared" si="240"/>
        <v>-5.2949999999999982</v>
      </c>
      <c r="BF121" s="2057">
        <f t="shared" si="240"/>
        <v>-1.9450000000000021</v>
      </c>
      <c r="BG121" s="2057">
        <f t="shared" si="240"/>
        <v>-13.561999999999999</v>
      </c>
      <c r="BH121" s="2058">
        <f t="shared" si="240"/>
        <v>-7.3039999999999985</v>
      </c>
      <c r="BI121" s="2059">
        <f t="shared" si="240"/>
        <v>-8.2770000000000028</v>
      </c>
      <c r="BJ121" s="2057">
        <f t="shared" si="240"/>
        <v>-6.3759999999999977</v>
      </c>
      <c r="BK121" s="2057">
        <f t="shared" si="240"/>
        <v>-10.195999999999998</v>
      </c>
      <c r="BL121" s="2058">
        <f t="shared" si="240"/>
        <v>-10.154999999999996</v>
      </c>
      <c r="BM121" s="2059">
        <f>+BM106+BM118+BM119</f>
        <v>-7.5190000000000019</v>
      </c>
      <c r="BN121" s="2057">
        <f t="shared" ref="BN121:CF121" si="241">+BN106+BN118+BN119</f>
        <v>-3.3270000000000017</v>
      </c>
      <c r="BO121" s="2057">
        <f>+BO106+BO118+BO119</f>
        <v>-2.8590000000000018</v>
      </c>
      <c r="BP121" s="2058">
        <f t="shared" si="241"/>
        <v>-12.086000000000002</v>
      </c>
      <c r="BQ121" s="2057">
        <f>+BQ106+BQ118+BQ119</f>
        <v>-10.947999999999999</v>
      </c>
      <c r="BR121" s="2057">
        <f>+BR106+BR118+BR119</f>
        <v>-14.378999999999998</v>
      </c>
      <c r="BS121" s="2057">
        <f>+BS106+BS118+BS119</f>
        <v>-16.834</v>
      </c>
      <c r="BT121" s="2058">
        <f>+BT106+BT118+BT119</f>
        <v>-25.538000000000004</v>
      </c>
      <c r="BU121" s="2057">
        <f t="shared" si="241"/>
        <v>-23.513000000000002</v>
      </c>
      <c r="BV121" s="2057">
        <f t="shared" si="241"/>
        <v>-10.907999999999994</v>
      </c>
      <c r="BW121" s="2057">
        <f t="shared" si="241"/>
        <v>-19.466999999999999</v>
      </c>
      <c r="BX121" s="2058">
        <f t="shared" si="241"/>
        <v>-11.338999999999995</v>
      </c>
      <c r="BY121" s="2057">
        <f t="shared" si="241"/>
        <v>-12.358999999999998</v>
      </c>
      <c r="BZ121" s="2057">
        <f t="shared" si="241"/>
        <v>-12.590000000000003</v>
      </c>
      <c r="CA121" s="2057">
        <f t="shared" si="241"/>
        <v>-18.661999999999999</v>
      </c>
      <c r="CB121" s="2058">
        <f t="shared" ref="CB121" si="242">+CB106+CB118+CB119</f>
        <v>-21.956999999999994</v>
      </c>
      <c r="CC121" s="2057">
        <f t="shared" si="241"/>
        <v>-16.7758</v>
      </c>
      <c r="CD121" s="2057">
        <f t="shared" si="241"/>
        <v>-8.8020500000000013</v>
      </c>
      <c r="CE121" s="2057">
        <f t="shared" si="241"/>
        <v>-8.542989999999989</v>
      </c>
      <c r="CF121" s="2058">
        <f t="shared" si="241"/>
        <v>-19.171900999999984</v>
      </c>
      <c r="CG121" s="2056"/>
      <c r="CH121" s="2060"/>
      <c r="CI121" s="548"/>
      <c r="CJ121" s="2057"/>
      <c r="CK121" s="2057"/>
      <c r="CL121" s="2057"/>
      <c r="CM121" s="2057">
        <f t="shared" ref="CM121:CW121" si="243">+CM106+CM118+CM119</f>
        <v>3.6469999999999985</v>
      </c>
      <c r="CN121" s="2057">
        <f t="shared" si="243"/>
        <v>8.7419999999999991</v>
      </c>
      <c r="CO121" s="2057">
        <f t="shared" si="243"/>
        <v>6.094999999999998</v>
      </c>
      <c r="CP121" s="2057">
        <f t="shared" si="243"/>
        <v>-9.2819999999999983</v>
      </c>
      <c r="CQ121" s="2057">
        <f t="shared" si="243"/>
        <v>-9.0700000000000038</v>
      </c>
      <c r="CR121" s="2057">
        <f t="shared" si="243"/>
        <v>-9.6810000000000009</v>
      </c>
      <c r="CS121" s="2057">
        <f t="shared" si="243"/>
        <v>-28.105999999999995</v>
      </c>
      <c r="CT121" s="2057">
        <f t="shared" si="243"/>
        <v>-35.004000000000005</v>
      </c>
      <c r="CU121" s="2057">
        <f t="shared" si="243"/>
        <v>-25.791000000000011</v>
      </c>
      <c r="CV121" s="2057">
        <f>+CV106+CV118+CV119</f>
        <v>-67.698999999999984</v>
      </c>
      <c r="CW121" s="2057">
        <f t="shared" si="243"/>
        <v>-65.22699999999999</v>
      </c>
      <c r="CX121" s="2057">
        <f>+CX106+CX118+CX119</f>
        <v>-65.567999999999998</v>
      </c>
      <c r="CY121" s="2057">
        <f>+CY106+CY118+CY119</f>
        <v>-53.292741000000021</v>
      </c>
      <c r="CZ121" s="2057">
        <f t="shared" ref="CZ121:DF121" si="244">+CZ106+CZ118+CZ119</f>
        <v>48.156490099999971</v>
      </c>
      <c r="DA121" s="2057">
        <f t="shared" si="244"/>
        <v>138.631222595</v>
      </c>
      <c r="DB121" s="2057">
        <f t="shared" si="244"/>
        <v>260.00316026974991</v>
      </c>
      <c r="DC121" s="2057">
        <f t="shared" si="244"/>
        <v>391.13785595798737</v>
      </c>
      <c r="DD121" s="2057">
        <f t="shared" si="244"/>
        <v>523.95721677820427</v>
      </c>
      <c r="DE121" s="2057">
        <f t="shared" si="244"/>
        <v>691.44490057006738</v>
      </c>
      <c r="DF121" s="2058">
        <f t="shared" si="244"/>
        <v>867.16467492401057</v>
      </c>
      <c r="DG121" s="1491">
        <f>+(CV121/CQ121)^(1/5)-1</f>
        <v>0.4948409734742143</v>
      </c>
      <c r="DH121" s="1491">
        <f>+(DA121/CV121)^(1/5)-1</f>
        <v>-2.1541327368922794</v>
      </c>
      <c r="DJ121" s="51"/>
      <c r="DK121" s="51"/>
      <c r="DL121" s="51"/>
      <c r="DM121" s="51"/>
    </row>
    <row r="122" spans="1:122" s="554" customFormat="1" ht="11.25" customHeight="1">
      <c r="A122" s="547"/>
      <c r="B122"/>
      <c r="C122"/>
      <c r="D122"/>
      <c r="E122"/>
      <c r="F122"/>
      <c r="G122"/>
      <c r="H122" s="1044"/>
      <c r="I122" s="591"/>
      <c r="J122" s="547"/>
      <c r="K122" s="547"/>
      <c r="L122" s="547"/>
      <c r="M122" s="548"/>
      <c r="N122" s="548"/>
      <c r="O122" s="548"/>
      <c r="P122" s="2056"/>
      <c r="Q122" s="548"/>
      <c r="R122" s="548"/>
      <c r="S122" s="548"/>
      <c r="T122" s="2056"/>
      <c r="U122" s="2057"/>
      <c r="V122" s="2057"/>
      <c r="W122" s="2057"/>
      <c r="X122" s="2058"/>
      <c r="Y122" s="2057"/>
      <c r="Z122" s="2057"/>
      <c r="AA122" s="2057"/>
      <c r="AB122" s="2058"/>
      <c r="AC122" s="2057"/>
      <c r="AD122" s="2057"/>
      <c r="AE122" s="2057"/>
      <c r="AF122" s="2058"/>
      <c r="AG122" s="2057"/>
      <c r="AH122" s="2057"/>
      <c r="AI122" s="2057"/>
      <c r="AJ122" s="2058"/>
      <c r="AK122" s="2057"/>
      <c r="AL122" s="2057"/>
      <c r="AM122" s="2057"/>
      <c r="AN122" s="2058"/>
      <c r="AO122" s="2057"/>
      <c r="AP122" s="2057"/>
      <c r="AQ122" s="2057"/>
      <c r="AR122" s="2058"/>
      <c r="AS122" s="2057"/>
      <c r="AT122" s="2057"/>
      <c r="AU122" s="2057"/>
      <c r="AV122" s="2058"/>
      <c r="AW122" s="2213"/>
      <c r="AX122" s="2213"/>
      <c r="AY122" s="2213"/>
      <c r="AZ122" s="2214"/>
      <c r="BA122" s="2213"/>
      <c r="BB122" s="2213"/>
      <c r="BC122" s="2213"/>
      <c r="BD122" s="2214"/>
      <c r="BE122" s="2268"/>
      <c r="BF122" s="2268"/>
      <c r="BG122" s="2268"/>
      <c r="BH122" s="2282"/>
      <c r="BI122" s="2225"/>
      <c r="BJ122" s="2226"/>
      <c r="BK122" s="2226"/>
      <c r="BL122" s="2264"/>
      <c r="BM122" s="2225"/>
      <c r="BN122" s="2226"/>
      <c r="BO122" s="2226"/>
      <c r="BP122" s="2264"/>
      <c r="BQ122" s="2057"/>
      <c r="BR122" s="2057"/>
      <c r="BS122" s="2057"/>
      <c r="BT122" s="2058"/>
      <c r="BU122" s="2057"/>
      <c r="BV122" s="2057"/>
      <c r="BW122" s="2057"/>
      <c r="BX122" s="2058"/>
      <c r="BY122" s="2057"/>
      <c r="BZ122" s="2057"/>
      <c r="CA122" s="2057"/>
      <c r="CB122" s="2058"/>
      <c r="CC122" s="2057"/>
      <c r="CD122" s="2057"/>
      <c r="CE122" s="2057"/>
      <c r="CF122" s="2058"/>
      <c r="CG122" s="2056"/>
      <c r="CH122" s="2060"/>
      <c r="CI122" s="548"/>
      <c r="CJ122" s="2057"/>
      <c r="CK122" s="2057"/>
      <c r="CL122" s="2057"/>
      <c r="CM122" s="2057"/>
      <c r="CN122" s="2057"/>
      <c r="CO122" s="2057"/>
      <c r="CP122" s="2057"/>
      <c r="CQ122" s="2213"/>
      <c r="CR122" s="2213"/>
      <c r="CS122" s="2213"/>
      <c r="CT122" s="2213"/>
      <c r="CU122" s="2213"/>
      <c r="CV122" s="2213"/>
      <c r="CW122" s="2283"/>
      <c r="CX122" s="2213"/>
      <c r="CY122" s="2213"/>
      <c r="CZ122" s="2213"/>
      <c r="DA122" s="2213"/>
      <c r="DB122" s="2057"/>
      <c r="DC122" s="2057"/>
      <c r="DD122" s="2057"/>
      <c r="DE122" s="2057"/>
      <c r="DF122" s="2058"/>
      <c r="DG122" s="1492"/>
      <c r="DH122" s="1492"/>
      <c r="DJ122" s="51"/>
      <c r="DK122" s="51"/>
      <c r="DL122" s="51"/>
      <c r="DM122" s="51"/>
    </row>
    <row r="123" spans="1:122" s="554" customFormat="1" ht="11.25" customHeight="1">
      <c r="A123" s="547"/>
      <c r="B123"/>
      <c r="C123"/>
      <c r="D123"/>
      <c r="E123"/>
      <c r="F123"/>
      <c r="G123"/>
      <c r="H123" s="1044"/>
      <c r="I123" s="591" t="s">
        <v>117</v>
      </c>
      <c r="J123" s="547"/>
      <c r="K123" s="547"/>
      <c r="L123" s="547"/>
      <c r="M123" s="548"/>
      <c r="N123" s="548"/>
      <c r="O123" s="548"/>
      <c r="P123" s="2056"/>
      <c r="Q123" s="548"/>
      <c r="R123" s="548"/>
      <c r="S123" s="548"/>
      <c r="T123" s="2056"/>
      <c r="U123" s="2057"/>
      <c r="V123" s="2057"/>
      <c r="W123" s="2057"/>
      <c r="X123" s="2058"/>
      <c r="Y123" s="2057"/>
      <c r="Z123" s="2057"/>
      <c r="AA123" s="2057"/>
      <c r="AB123" s="2058"/>
      <c r="AC123" s="2057"/>
      <c r="AD123" s="2057"/>
      <c r="AE123" s="2057"/>
      <c r="AF123" s="2058"/>
      <c r="AG123" s="2057">
        <f t="shared" ref="AG123:BL123" si="245">+AG106+AG73</f>
        <v>-0.90600000000000835</v>
      </c>
      <c r="AH123" s="2057">
        <f t="shared" si="245"/>
        <v>18.982000000000006</v>
      </c>
      <c r="AI123" s="2057">
        <f t="shared" si="245"/>
        <v>31.805</v>
      </c>
      <c r="AJ123" s="2058">
        <f t="shared" si="245"/>
        <v>14.659999999999965</v>
      </c>
      <c r="AK123" s="2057">
        <f t="shared" si="245"/>
        <v>12.763000000000041</v>
      </c>
      <c r="AL123" s="2057">
        <f t="shared" si="245"/>
        <v>48.551999999999957</v>
      </c>
      <c r="AM123" s="2057">
        <f t="shared" si="245"/>
        <v>80.22399999999999</v>
      </c>
      <c r="AN123" s="2058">
        <f t="shared" si="245"/>
        <v>45.145000000000017</v>
      </c>
      <c r="AO123" s="2057">
        <f t="shared" si="245"/>
        <v>28.182000000000016</v>
      </c>
      <c r="AP123" s="2057">
        <f t="shared" si="245"/>
        <v>81.538000000000039</v>
      </c>
      <c r="AQ123" s="2057">
        <f t="shared" si="245"/>
        <v>132.72000000000003</v>
      </c>
      <c r="AR123" s="2058">
        <f t="shared" si="245"/>
        <v>54.155000000000001</v>
      </c>
      <c r="AS123" s="2057">
        <f t="shared" si="245"/>
        <v>40.595000000000013</v>
      </c>
      <c r="AT123" s="2057">
        <f t="shared" si="245"/>
        <v>99.472999999999971</v>
      </c>
      <c r="AU123" s="2057">
        <f t="shared" si="245"/>
        <v>194.095</v>
      </c>
      <c r="AV123" s="2058">
        <f t="shared" si="245"/>
        <v>108.13800000000008</v>
      </c>
      <c r="AW123" s="2057">
        <f t="shared" si="245"/>
        <v>80.827999999999875</v>
      </c>
      <c r="AX123" s="2057">
        <f t="shared" si="245"/>
        <v>166.79999999999984</v>
      </c>
      <c r="AY123" s="2057">
        <f t="shared" si="245"/>
        <v>320.6989999999999</v>
      </c>
      <c r="AZ123" s="2058">
        <f t="shared" si="245"/>
        <v>182.65800000000004</v>
      </c>
      <c r="BA123" s="2057">
        <f t="shared" si="245"/>
        <v>140.69200000000004</v>
      </c>
      <c r="BB123" s="2057">
        <f t="shared" si="245"/>
        <v>316.59100000000007</v>
      </c>
      <c r="BC123" s="2057">
        <f t="shared" si="245"/>
        <v>611.8520000000002</v>
      </c>
      <c r="BD123" s="2058">
        <f t="shared" si="245"/>
        <v>298.65900000000011</v>
      </c>
      <c r="BE123" s="2057">
        <f t="shared" si="245"/>
        <v>228.995</v>
      </c>
      <c r="BF123" s="2057">
        <f t="shared" si="245"/>
        <v>445.67900000000003</v>
      </c>
      <c r="BG123" s="2057">
        <f t="shared" si="245"/>
        <v>731.17099999999994</v>
      </c>
      <c r="BH123" s="2058">
        <f t="shared" si="245"/>
        <v>356.02200000000016</v>
      </c>
      <c r="BI123" s="2059">
        <f t="shared" si="245"/>
        <v>290.44199999999995</v>
      </c>
      <c r="BJ123" s="2057">
        <f t="shared" si="245"/>
        <v>535.55700000000002</v>
      </c>
      <c r="BK123" s="2057">
        <f t="shared" si="245"/>
        <v>1020.3509999999994</v>
      </c>
      <c r="BL123" s="2058">
        <f t="shared" si="245"/>
        <v>450.18700000000001</v>
      </c>
      <c r="BM123" s="2059">
        <f t="shared" ref="BM123:CF123" si="246">+BM106+BM73</f>
        <v>416.05300000000011</v>
      </c>
      <c r="BN123" s="2057">
        <f t="shared" si="246"/>
        <v>715.7650000000001</v>
      </c>
      <c r="BO123" s="2057">
        <f t="shared" si="246"/>
        <v>1305.5890000000002</v>
      </c>
      <c r="BP123" s="2058">
        <f t="shared" si="246"/>
        <v>552.04099999999994</v>
      </c>
      <c r="BQ123" s="2057">
        <f t="shared" si="246"/>
        <v>407.24299999999982</v>
      </c>
      <c r="BR123" s="2057">
        <f t="shared" si="246"/>
        <v>648.37700000000018</v>
      </c>
      <c r="BS123" s="2057">
        <f t="shared" si="246"/>
        <v>1456.1699999999998</v>
      </c>
      <c r="BT123" s="2058">
        <f t="shared" si="246"/>
        <v>616.52999999999963</v>
      </c>
      <c r="BU123" s="2057">
        <f t="shared" si="246"/>
        <v>460.49299999999954</v>
      </c>
      <c r="BV123" s="2057">
        <f t="shared" si="246"/>
        <v>692.54800000000012</v>
      </c>
      <c r="BW123" s="2057">
        <f t="shared" si="246"/>
        <v>797.53400000000033</v>
      </c>
      <c r="BX123" s="2058">
        <f t="shared" si="246"/>
        <v>762.66299999999967</v>
      </c>
      <c r="BY123" s="2057">
        <f t="shared" si="246"/>
        <v>527.60999999999979</v>
      </c>
      <c r="BZ123" s="2057">
        <f t="shared" si="246"/>
        <v>864.14400000000046</v>
      </c>
      <c r="CA123" s="2057">
        <f t="shared" si="246"/>
        <v>2066.9110000000005</v>
      </c>
      <c r="CB123" s="2058">
        <f t="shared" ref="CB123" si="247">+CB106+CB73</f>
        <v>940.74999999999977</v>
      </c>
      <c r="CC123" s="2057">
        <f t="shared" si="246"/>
        <v>633.50328899676629</v>
      </c>
      <c r="CD123" s="2057">
        <f t="shared" si="246"/>
        <v>1082.7451203363273</v>
      </c>
      <c r="CE123" s="2057">
        <f t="shared" si="246"/>
        <v>2421.894090317031</v>
      </c>
      <c r="CF123" s="2058">
        <f t="shared" si="246"/>
        <v>1240.8086449972868</v>
      </c>
      <c r="CG123" s="2056"/>
      <c r="CH123" s="2060"/>
      <c r="CI123" s="548"/>
      <c r="CJ123" s="2057"/>
      <c r="CK123" s="2057"/>
      <c r="CL123" s="2057"/>
      <c r="CM123" s="2057">
        <f t="shared" ref="CM123:DF123" si="248">+CM106+CM73</f>
        <v>64.541000000000167</v>
      </c>
      <c r="CN123" s="2057">
        <f t="shared" si="248"/>
        <v>186.68399999999977</v>
      </c>
      <c r="CO123" s="2057">
        <f t="shared" si="248"/>
        <v>296.59500000000003</v>
      </c>
      <c r="CP123" s="2057">
        <f t="shared" si="248"/>
        <v>442.3009999999997</v>
      </c>
      <c r="CQ123" s="2057">
        <f t="shared" si="248"/>
        <v>750.98499999999979</v>
      </c>
      <c r="CR123" s="2057">
        <f t="shared" si="248"/>
        <v>1367.7940000000008</v>
      </c>
      <c r="CS123" s="2057">
        <f t="shared" si="248"/>
        <v>1761.8670000000011</v>
      </c>
      <c r="CT123" s="2057">
        <f t="shared" si="248"/>
        <v>2296.5370000000003</v>
      </c>
      <c r="CU123" s="2057">
        <f t="shared" si="248"/>
        <v>2989.447999999999</v>
      </c>
      <c r="CV123" s="2057">
        <f t="shared" si="248"/>
        <v>3128.3199999999983</v>
      </c>
      <c r="CW123" s="2057">
        <f t="shared" si="248"/>
        <v>2713.2380000000003</v>
      </c>
      <c r="CX123" s="2057">
        <f t="shared" si="248"/>
        <v>4399.4149999999981</v>
      </c>
      <c r="CY123" s="2057">
        <f t="shared" si="248"/>
        <v>5378.9511446474144</v>
      </c>
      <c r="CZ123" s="2057">
        <f t="shared" si="248"/>
        <v>6287.5569510800642</v>
      </c>
      <c r="DA123" s="2057">
        <f t="shared" si="248"/>
        <v>7183.5066384595311</v>
      </c>
      <c r="DB123" s="2057">
        <f t="shared" si="248"/>
        <v>8082.2722444063693</v>
      </c>
      <c r="DC123" s="2057">
        <f t="shared" si="248"/>
        <v>8974.5969048421703</v>
      </c>
      <c r="DD123" s="2057">
        <f t="shared" si="248"/>
        <v>9840.9819476353787</v>
      </c>
      <c r="DE123" s="2057">
        <f t="shared" si="248"/>
        <v>10704.38113920945</v>
      </c>
      <c r="DF123" s="2058">
        <f t="shared" si="248"/>
        <v>11668.764567644579</v>
      </c>
      <c r="DG123" s="1491">
        <f>+(CV123/CQ123)^(1/5)-1</f>
        <v>0.33025831343811318</v>
      </c>
      <c r="DH123" s="1491">
        <f>+(DA123/CV123)^(1/5)-1</f>
        <v>0.18087809125553944</v>
      </c>
      <c r="DJ123" s="51"/>
      <c r="DK123" s="51"/>
      <c r="DL123" s="51"/>
      <c r="DM123" s="51"/>
    </row>
    <row r="124" spans="1:122" s="584" customFormat="1" ht="11.25" hidden="1" customHeight="1" outlineLevel="1">
      <c r="A124" s="542"/>
      <c r="B124"/>
      <c r="C124"/>
      <c r="D124"/>
      <c r="E124"/>
      <c r="F124"/>
      <c r="G124"/>
      <c r="H124" s="1052"/>
      <c r="I124" s="544" t="s">
        <v>736</v>
      </c>
      <c r="J124" s="542"/>
      <c r="K124" s="542"/>
      <c r="L124" s="542"/>
      <c r="M124" s="543"/>
      <c r="N124" s="543"/>
      <c r="O124" s="543"/>
      <c r="P124" s="1003"/>
      <c r="Q124" s="543"/>
      <c r="R124" s="543"/>
      <c r="S124" s="543"/>
      <c r="T124" s="1003"/>
      <c r="U124" s="1931"/>
      <c r="V124" s="1931"/>
      <c r="W124" s="1931"/>
      <c r="X124" s="1930"/>
      <c r="Y124" s="1931"/>
      <c r="Z124" s="1931"/>
      <c r="AA124" s="1931"/>
      <c r="AB124" s="1930"/>
      <c r="AC124" s="1931"/>
      <c r="AD124" s="1931"/>
      <c r="AE124" s="1931"/>
      <c r="AF124" s="1930"/>
      <c r="AG124" s="1931">
        <f t="shared" ref="AG124:BL124" si="249">+AG121+AG79</f>
        <v>8.099000000000002</v>
      </c>
      <c r="AH124" s="1931">
        <f t="shared" si="249"/>
        <v>28.943000000000005</v>
      </c>
      <c r="AI124" s="1931">
        <f t="shared" si="249"/>
        <v>39.71</v>
      </c>
      <c r="AJ124" s="1930">
        <f t="shared" si="249"/>
        <v>25.726999999999958</v>
      </c>
      <c r="AK124" s="1931">
        <f t="shared" si="249"/>
        <v>19.494000000000035</v>
      </c>
      <c r="AL124" s="1931">
        <f t="shared" si="249"/>
        <v>58.303999999999945</v>
      </c>
      <c r="AM124" s="1931">
        <f t="shared" si="249"/>
        <v>90.35</v>
      </c>
      <c r="AN124" s="1930">
        <f t="shared" si="249"/>
        <v>56.863000000000007</v>
      </c>
      <c r="AO124" s="1931">
        <f t="shared" si="249"/>
        <v>45.626000000000005</v>
      </c>
      <c r="AP124" s="1931">
        <f t="shared" si="249"/>
        <v>98.257000000000033</v>
      </c>
      <c r="AQ124" s="1931">
        <f t="shared" si="249"/>
        <v>150.16300000000004</v>
      </c>
      <c r="AR124" s="1930">
        <f t="shared" si="249"/>
        <v>71.445999999999984</v>
      </c>
      <c r="AS124" s="1931">
        <f t="shared" si="249"/>
        <v>59.42</v>
      </c>
      <c r="AT124" s="1931">
        <f t="shared" si="249"/>
        <v>121.72599999999998</v>
      </c>
      <c r="AU124" s="1931">
        <f t="shared" si="249"/>
        <v>219.982</v>
      </c>
      <c r="AV124" s="1930">
        <f t="shared" si="249"/>
        <v>128.38300000000007</v>
      </c>
      <c r="AW124" s="1931">
        <f t="shared" si="249"/>
        <v>107.05899999999987</v>
      </c>
      <c r="AX124" s="1931">
        <f t="shared" si="249"/>
        <v>198.15899999999988</v>
      </c>
      <c r="AY124" s="1931">
        <f t="shared" si="249"/>
        <v>356.42099999999982</v>
      </c>
      <c r="AZ124" s="1930">
        <f t="shared" si="249"/>
        <v>217.47200000000007</v>
      </c>
      <c r="BA124" s="1931">
        <f t="shared" si="249"/>
        <v>168.15100000000001</v>
      </c>
      <c r="BB124" s="1931">
        <f t="shared" si="249"/>
        <v>343.51100000000008</v>
      </c>
      <c r="BC124" s="1931">
        <f t="shared" si="249"/>
        <v>638.7510000000002</v>
      </c>
      <c r="BD124" s="1930">
        <f t="shared" si="249"/>
        <v>337.16200000000009</v>
      </c>
      <c r="BE124" s="1931">
        <f t="shared" si="249"/>
        <v>260.916</v>
      </c>
      <c r="BF124" s="1931">
        <f t="shared" si="249"/>
        <v>482.21999999999997</v>
      </c>
      <c r="BG124" s="1931">
        <f t="shared" si="249"/>
        <v>767.42099999999994</v>
      </c>
      <c r="BH124" s="1930">
        <f t="shared" si="249"/>
        <v>411.14300000000014</v>
      </c>
      <c r="BI124" s="2054">
        <f t="shared" si="249"/>
        <v>353.09899999999988</v>
      </c>
      <c r="BJ124" s="1931">
        <f t="shared" si="249"/>
        <v>604.39499999999998</v>
      </c>
      <c r="BK124" s="1931">
        <f t="shared" si="249"/>
        <v>1094.1019999999999</v>
      </c>
      <c r="BL124" s="1930">
        <f t="shared" si="249"/>
        <v>556.63299999999992</v>
      </c>
      <c r="BM124" s="2054">
        <f t="shared" ref="BM124:CF124" si="250">+BM121+BM79</f>
        <v>492.83400000000006</v>
      </c>
      <c r="BN124" s="1931">
        <f t="shared" si="250"/>
        <v>787.80500000000006</v>
      </c>
      <c r="BO124" s="1931">
        <f t="shared" si="250"/>
        <v>1401.7660000000003</v>
      </c>
      <c r="BP124" s="1930">
        <f t="shared" si="250"/>
        <v>681.11999999999989</v>
      </c>
      <c r="BQ124" s="1931">
        <f t="shared" si="250"/>
        <v>503.95299999999986</v>
      </c>
      <c r="BR124" s="1931">
        <f t="shared" si="250"/>
        <v>766.76900000000012</v>
      </c>
      <c r="BS124" s="1931">
        <f t="shared" si="250"/>
        <v>1558.7209999999998</v>
      </c>
      <c r="BT124" s="1930">
        <f t="shared" si="250"/>
        <v>750.07799999999975</v>
      </c>
      <c r="BU124" s="1931">
        <f t="shared" si="250"/>
        <v>635.18999999999949</v>
      </c>
      <c r="BV124" s="1931">
        <f t="shared" si="250"/>
        <v>819.51600000000019</v>
      </c>
      <c r="BW124" s="1931">
        <f>+BW121+BW79</f>
        <v>1850.4830000000004</v>
      </c>
      <c r="BX124" s="1930">
        <f t="shared" si="250"/>
        <v>895.24699999999984</v>
      </c>
      <c r="BY124" s="1931">
        <f t="shared" si="250"/>
        <v>646.06899999999985</v>
      </c>
      <c r="BZ124" s="1931">
        <f t="shared" si="250"/>
        <v>988.7090000000004</v>
      </c>
      <c r="CA124" s="1931">
        <f t="shared" si="250"/>
        <v>2194.8570000000004</v>
      </c>
      <c r="CB124" s="1930">
        <f t="shared" ref="CB124" si="251">+CB121+CB79</f>
        <v>1079.2419999999997</v>
      </c>
      <c r="CC124" s="1931">
        <f t="shared" si="250"/>
        <v>756.67812899676653</v>
      </c>
      <c r="CD124" s="1931">
        <f t="shared" si="250"/>
        <v>1212.6604403363274</v>
      </c>
      <c r="CE124" s="1931">
        <f t="shared" si="250"/>
        <v>2555.1537703170311</v>
      </c>
      <c r="CF124" s="1930">
        <f t="shared" si="250"/>
        <v>1376.5326049972869</v>
      </c>
      <c r="CG124" s="1003"/>
      <c r="CH124" s="1006"/>
      <c r="CI124" s="543"/>
      <c r="CJ124" s="1931"/>
      <c r="CK124" s="1931"/>
      <c r="CL124" s="1931"/>
      <c r="CM124" s="1931">
        <f t="shared" ref="CM124:DF124" si="252">+CM121+CM79</f>
        <v>102.47900000000016</v>
      </c>
      <c r="CN124" s="1931">
        <f t="shared" si="252"/>
        <v>225.01099999999965</v>
      </c>
      <c r="CO124" s="1931">
        <f t="shared" si="252"/>
        <v>365.49200000000002</v>
      </c>
      <c r="CP124" s="1931">
        <f t="shared" si="252"/>
        <v>529.51099999999985</v>
      </c>
      <c r="CQ124" s="1931">
        <f t="shared" si="252"/>
        <v>879.11099999999976</v>
      </c>
      <c r="CR124" s="1931">
        <f t="shared" si="252"/>
        <v>1487.5750000000005</v>
      </c>
      <c r="CS124" s="1931">
        <f t="shared" si="252"/>
        <v>1921.700000000001</v>
      </c>
      <c r="CT124" s="1931">
        <f t="shared" si="252"/>
        <v>2608.2290000000003</v>
      </c>
      <c r="CU124" s="1931">
        <f t="shared" si="252"/>
        <v>3363.5249999999987</v>
      </c>
      <c r="CV124" s="1931">
        <f t="shared" si="252"/>
        <v>3579.5209999999993</v>
      </c>
      <c r="CW124" s="1931">
        <f t="shared" si="252"/>
        <v>4200.4359999999997</v>
      </c>
      <c r="CX124" s="1931">
        <f t="shared" si="252"/>
        <v>4908.8769999999986</v>
      </c>
      <c r="CY124" s="1931">
        <f t="shared" si="252"/>
        <v>5901.0249446474127</v>
      </c>
      <c r="CZ124" s="1931">
        <f t="shared" si="252"/>
        <v>6829.3555470800638</v>
      </c>
      <c r="DA124" s="1931">
        <f t="shared" si="252"/>
        <v>7744.9032281995305</v>
      </c>
      <c r="DB124" s="1931">
        <f t="shared" si="252"/>
        <v>8662.9351695307687</v>
      </c>
      <c r="DC124" s="1931">
        <f t="shared" si="252"/>
        <v>9573.9802858484145</v>
      </c>
      <c r="DD124" s="1931">
        <f t="shared" si="252"/>
        <v>10458.319947691933</v>
      </c>
      <c r="DE124" s="1931">
        <f t="shared" si="252"/>
        <v>11338.686254268552</v>
      </c>
      <c r="DF124" s="1930">
        <f t="shared" si="252"/>
        <v>12318.830247306043</v>
      </c>
      <c r="DG124" s="1489">
        <f>+(CV124/CQ124)^(1/5)-1</f>
        <v>0.32420810000816092</v>
      </c>
      <c r="DH124" s="1489">
        <f>+(DA124/CV124)^(1/5)-1</f>
        <v>0.16691229623106807</v>
      </c>
      <c r="DJ124" s="51"/>
      <c r="DK124" s="51"/>
      <c r="DL124" s="51"/>
      <c r="DM124" s="51"/>
      <c r="DN124" s="689"/>
      <c r="DO124" s="689"/>
      <c r="DP124" s="689"/>
      <c r="DQ124" s="689"/>
      <c r="DR124" s="689"/>
    </row>
    <row r="125" spans="1:122" s="554" customFormat="1" ht="11.25" customHeight="1" collapsed="1">
      <c r="A125" s="542"/>
      <c r="B125"/>
      <c r="C125"/>
      <c r="D125"/>
      <c r="E125"/>
      <c r="F125"/>
      <c r="G125"/>
      <c r="H125" s="1052"/>
      <c r="I125" s="591"/>
      <c r="J125" s="547"/>
      <c r="K125" s="547"/>
      <c r="L125" s="547"/>
      <c r="M125" s="548"/>
      <c r="N125" s="548"/>
      <c r="O125" s="548"/>
      <c r="P125" s="2056"/>
      <c r="Q125" s="548"/>
      <c r="R125" s="548"/>
      <c r="S125" s="548"/>
      <c r="T125" s="2056"/>
      <c r="U125" s="2057"/>
      <c r="V125" s="2057"/>
      <c r="W125" s="2057"/>
      <c r="X125" s="2058"/>
      <c r="Y125" s="2057"/>
      <c r="Z125" s="2057"/>
      <c r="AA125" s="2057"/>
      <c r="AB125" s="2058"/>
      <c r="AC125" s="2057"/>
      <c r="AD125" s="2057"/>
      <c r="AE125" s="2057"/>
      <c r="AF125" s="2058"/>
      <c r="AG125" s="2057"/>
      <c r="AH125" s="2057"/>
      <c r="AI125" s="2057"/>
      <c r="AJ125" s="2058"/>
      <c r="AK125" s="2057"/>
      <c r="AL125" s="2057"/>
      <c r="AM125" s="2057"/>
      <c r="AN125" s="2058"/>
      <c r="AO125" s="2057"/>
      <c r="AP125" s="2057"/>
      <c r="AQ125" s="2057"/>
      <c r="AR125" s="2058"/>
      <c r="AS125" s="2057"/>
      <c r="AT125" s="2057"/>
      <c r="AU125" s="2057"/>
      <c r="AV125" s="2058"/>
      <c r="AW125" s="2268"/>
      <c r="AX125" s="2268"/>
      <c r="AY125" s="2213"/>
      <c r="AZ125" s="2058"/>
      <c r="BA125" s="2057"/>
      <c r="BB125" s="2057"/>
      <c r="BC125" s="2057"/>
      <c r="BD125" s="2058"/>
      <c r="BE125" s="2057"/>
      <c r="BF125" s="2057"/>
      <c r="BG125" s="2057"/>
      <c r="BH125" s="2058"/>
      <c r="BI125" s="2059"/>
      <c r="BJ125" s="2057"/>
      <c r="BK125" s="2057"/>
      <c r="BL125" s="2058"/>
      <c r="BM125" s="2059"/>
      <c r="BN125" s="2057"/>
      <c r="BO125" s="2057"/>
      <c r="BP125" s="2058"/>
      <c r="BQ125" s="2057"/>
      <c r="BR125" s="2057"/>
      <c r="BS125" s="2057"/>
      <c r="BT125" s="2058"/>
      <c r="BU125" s="2057"/>
      <c r="BV125" s="2057"/>
      <c r="BW125" s="2057"/>
      <c r="BX125" s="2058"/>
      <c r="BY125" s="2057"/>
      <c r="BZ125" s="2057"/>
      <c r="CA125" s="2057"/>
      <c r="CB125" s="2058"/>
      <c r="CC125" s="2057"/>
      <c r="CD125" s="2057"/>
      <c r="CE125" s="2057"/>
      <c r="CF125" s="2058"/>
      <c r="CG125" s="2056"/>
      <c r="CH125" s="2060"/>
      <c r="CI125" s="548"/>
      <c r="CJ125" s="2057"/>
      <c r="CK125" s="2057"/>
      <c r="CL125" s="2057"/>
      <c r="CM125" s="2057"/>
      <c r="CN125" s="2057"/>
      <c r="CO125" s="2057"/>
      <c r="CP125" s="2213"/>
      <c r="CQ125" s="2057"/>
      <c r="CR125" s="2057"/>
      <c r="CS125" s="2226"/>
      <c r="CT125" s="2226"/>
      <c r="CU125" s="2226"/>
      <c r="CV125" s="2226"/>
      <c r="CW125" s="2057"/>
      <c r="CX125" s="2057"/>
      <c r="CY125" s="2057"/>
      <c r="CZ125" s="2057"/>
      <c r="DA125" s="2057"/>
      <c r="DB125" s="2057"/>
      <c r="DC125" s="2057"/>
      <c r="DD125" s="2057"/>
      <c r="DE125" s="2057"/>
      <c r="DF125" s="2058"/>
      <c r="DG125" s="1492"/>
      <c r="DH125" s="1492"/>
      <c r="DJ125" s="51"/>
      <c r="DK125" s="51"/>
      <c r="DL125" s="51"/>
      <c r="DM125" s="51"/>
    </row>
    <row r="126" spans="1:122" s="584" customFormat="1" ht="11.25" customHeight="1">
      <c r="A126" s="542"/>
      <c r="B126"/>
      <c r="C126"/>
      <c r="D126"/>
      <c r="E126"/>
      <c r="F126"/>
      <c r="G126"/>
      <c r="H126" s="1052"/>
      <c r="I126" s="589" t="s">
        <v>714</v>
      </c>
      <c r="J126" s="542"/>
      <c r="K126" s="542"/>
      <c r="L126" s="542"/>
      <c r="M126" s="543"/>
      <c r="N126" s="543"/>
      <c r="O126" s="543"/>
      <c r="P126" s="1003"/>
      <c r="Q126" s="543"/>
      <c r="R126" s="543"/>
      <c r="S126" s="543"/>
      <c r="T126" s="1003"/>
      <c r="U126" s="1931"/>
      <c r="V126" s="1931"/>
      <c r="W126" s="1931"/>
      <c r="X126" s="1930"/>
      <c r="Y126" s="1931"/>
      <c r="Z126" s="1931"/>
      <c r="AA126" s="1931"/>
      <c r="AB126" s="1930"/>
      <c r="AC126" s="1931"/>
      <c r="AD126" s="1931"/>
      <c r="AE126" s="1931"/>
      <c r="AF126" s="1930"/>
      <c r="AG126" s="2051">
        <f t="shared" ref="AG126:BP126" si="253">+AG121+AG83</f>
        <v>4.6529999999999916</v>
      </c>
      <c r="AH126" s="2051">
        <f t="shared" si="253"/>
        <v>24.756000000000007</v>
      </c>
      <c r="AI126" s="2051">
        <f t="shared" si="253"/>
        <v>37.783999999999999</v>
      </c>
      <c r="AJ126" s="2052">
        <f t="shared" si="253"/>
        <v>20.552999999999965</v>
      </c>
      <c r="AK126" s="2051">
        <f t="shared" si="253"/>
        <v>15.890000000000041</v>
      </c>
      <c r="AL126" s="2051">
        <f t="shared" si="253"/>
        <v>54.362999999999957</v>
      </c>
      <c r="AM126" s="2051">
        <f t="shared" si="253"/>
        <v>86.263999999999996</v>
      </c>
      <c r="AN126" s="2052">
        <f t="shared" si="253"/>
        <v>51.998000000000019</v>
      </c>
      <c r="AO126" s="2051">
        <f t="shared" si="253"/>
        <v>34.927000000000014</v>
      </c>
      <c r="AP126" s="2051">
        <f t="shared" si="253"/>
        <v>88.994000000000042</v>
      </c>
      <c r="AQ126" s="2051">
        <f t="shared" si="253"/>
        <v>140.07200000000003</v>
      </c>
      <c r="AR126" s="2052">
        <f t="shared" si="253"/>
        <v>59.984000000000002</v>
      </c>
      <c r="AS126" s="2051">
        <f t="shared" si="253"/>
        <v>48.827000000000012</v>
      </c>
      <c r="AT126" s="2051">
        <f t="shared" si="253"/>
        <v>110.46199999999996</v>
      </c>
      <c r="AU126" s="2051">
        <f t="shared" si="253"/>
        <v>205.43199999999999</v>
      </c>
      <c r="AV126" s="2052">
        <f t="shared" si="253"/>
        <v>121.48800000000007</v>
      </c>
      <c r="AW126" s="2051">
        <f t="shared" si="253"/>
        <v>95.149999999999878</v>
      </c>
      <c r="AX126" s="2051">
        <f t="shared" si="253"/>
        <v>182.69399999999985</v>
      </c>
      <c r="AY126" s="2051">
        <f t="shared" si="253"/>
        <v>337.96499999999986</v>
      </c>
      <c r="AZ126" s="2052">
        <f t="shared" si="253"/>
        <v>196.09000000000006</v>
      </c>
      <c r="BA126" s="2051">
        <f t="shared" si="253"/>
        <v>154.15800000000002</v>
      </c>
      <c r="BB126" s="2051">
        <f t="shared" si="253"/>
        <v>330.39800000000008</v>
      </c>
      <c r="BC126" s="2051">
        <f t="shared" si="253"/>
        <v>625.4530000000002</v>
      </c>
      <c r="BD126" s="2052">
        <f t="shared" si="253"/>
        <v>311.8420000000001</v>
      </c>
      <c r="BE126" s="2051">
        <f t="shared" si="253"/>
        <v>244.39300000000003</v>
      </c>
      <c r="BF126" s="2051">
        <f t="shared" si="253"/>
        <v>464.608</v>
      </c>
      <c r="BG126" s="2051">
        <f t="shared" si="253"/>
        <v>749.86599999999999</v>
      </c>
      <c r="BH126" s="2052">
        <f t="shared" si="253"/>
        <v>375.14200000000017</v>
      </c>
      <c r="BI126" s="2053">
        <f t="shared" si="253"/>
        <v>310.83999999999997</v>
      </c>
      <c r="BJ126" s="2051">
        <f t="shared" si="253"/>
        <v>569.65899999999999</v>
      </c>
      <c r="BK126" s="2051">
        <f t="shared" si="253"/>
        <v>1059.5509999999995</v>
      </c>
      <c r="BL126" s="2052">
        <f t="shared" si="253"/>
        <v>513.41399999999999</v>
      </c>
      <c r="BM126" s="2053">
        <f t="shared" si="253"/>
        <v>454.03100000000012</v>
      </c>
      <c r="BN126" s="2051">
        <f t="shared" si="253"/>
        <v>752.63700000000017</v>
      </c>
      <c r="BO126" s="2051">
        <f t="shared" si="253"/>
        <v>1355.6300000000003</v>
      </c>
      <c r="BP126" s="2052">
        <f t="shared" si="253"/>
        <v>614.80199999999991</v>
      </c>
      <c r="BQ126" s="1931">
        <f>+BQ121+BQ83</f>
        <v>449.94499999999982</v>
      </c>
      <c r="BR126" s="1931">
        <f t="shared" ref="BR126:CF126" si="254">+BR121+BR83</f>
        <v>706.60500000000013</v>
      </c>
      <c r="BS126" s="1931">
        <f t="shared" si="254"/>
        <v>1500.4469999999999</v>
      </c>
      <c r="BT126" s="1930">
        <f t="shared" si="254"/>
        <v>675.12899999999968</v>
      </c>
      <c r="BU126" s="2054">
        <f t="shared" si="254"/>
        <v>569.18999999999949</v>
      </c>
      <c r="BV126" s="1931">
        <f t="shared" si="254"/>
        <v>764.54000000000008</v>
      </c>
      <c r="BW126" s="1931">
        <f>+BW121+BW83</f>
        <v>1796.4090000000001</v>
      </c>
      <c r="BX126" s="1930">
        <f>+BX121+BX83</f>
        <v>820.72299999999973</v>
      </c>
      <c r="BY126" s="1931">
        <f t="shared" si="254"/>
        <v>587.12099999999975</v>
      </c>
      <c r="BZ126" s="1931">
        <f t="shared" si="254"/>
        <v>921.8300000000005</v>
      </c>
      <c r="CA126" s="1931">
        <f t="shared" si="254"/>
        <v>2128.4360000000006</v>
      </c>
      <c r="CB126" s="1930">
        <f>+CB121+CB83</f>
        <v>1010.5799999999998</v>
      </c>
      <c r="CC126" s="1931">
        <f t="shared" si="254"/>
        <v>693.01428899676637</v>
      </c>
      <c r="CD126" s="1931">
        <f t="shared" si="254"/>
        <v>1140.4311203363275</v>
      </c>
      <c r="CE126" s="1931">
        <f t="shared" si="254"/>
        <v>2483.4190903170311</v>
      </c>
      <c r="CF126" s="1930">
        <f t="shared" si="254"/>
        <v>1302.3776449972868</v>
      </c>
      <c r="CG126" s="1003"/>
      <c r="CH126" s="1006"/>
      <c r="CI126" s="543"/>
      <c r="CJ126" s="1931"/>
      <c r="CK126" s="1931"/>
      <c r="CL126" s="1931"/>
      <c r="CM126" s="2051">
        <f t="shared" ref="CM126:CU126" si="255">+CM121+CM83</f>
        <v>87.74600000000018</v>
      </c>
      <c r="CN126" s="2051">
        <f t="shared" si="255"/>
        <v>208.51499999999976</v>
      </c>
      <c r="CO126" s="2051">
        <f t="shared" si="255"/>
        <v>323.97700000000003</v>
      </c>
      <c r="CP126" s="2051">
        <f t="shared" si="255"/>
        <v>486.20899999999972</v>
      </c>
      <c r="CQ126" s="2051">
        <f t="shared" si="255"/>
        <v>811.89899999999977</v>
      </c>
      <c r="CR126" s="2051">
        <f t="shared" si="255"/>
        <v>1421.8510000000006</v>
      </c>
      <c r="CS126" s="2051">
        <f t="shared" si="255"/>
        <v>1834.0090000000012</v>
      </c>
      <c r="CT126" s="2051">
        <f t="shared" si="255"/>
        <v>2453.4640000000004</v>
      </c>
      <c r="CU126" s="2051">
        <f t="shared" si="255"/>
        <v>3177.099999999999</v>
      </c>
      <c r="CV126" s="1931">
        <f t="shared" ref="CV126:DF126" si="256">+CV121+CV83</f>
        <v>3332.1259999999979</v>
      </c>
      <c r="CW126" s="1931">
        <f t="shared" si="256"/>
        <v>3950.8620000000001</v>
      </c>
      <c r="CX126" s="1931">
        <f t="shared" si="256"/>
        <v>4647.9669999999978</v>
      </c>
      <c r="CY126" s="1931">
        <f t="shared" si="256"/>
        <v>5619.2421446474136</v>
      </c>
      <c r="CZ126" s="1931">
        <f t="shared" si="256"/>
        <v>6527.8479510800644</v>
      </c>
      <c r="DA126" s="1931">
        <f t="shared" si="256"/>
        <v>7423.7976384595304</v>
      </c>
      <c r="DB126" s="1931">
        <f t="shared" si="256"/>
        <v>8322.5632444063685</v>
      </c>
      <c r="DC126" s="1931">
        <f t="shared" si="256"/>
        <v>9214.8879048421713</v>
      </c>
      <c r="DD126" s="1931">
        <f t="shared" si="256"/>
        <v>10081.272947635378</v>
      </c>
      <c r="DE126" s="1931">
        <f t="shared" si="256"/>
        <v>10944.672139209451</v>
      </c>
      <c r="DF126" s="1930">
        <f t="shared" si="256"/>
        <v>11909.055567644578</v>
      </c>
      <c r="DG126" s="1489">
        <f>+(CV126/CQ126)^(1/5)-1</f>
        <v>0.32630645032137906</v>
      </c>
      <c r="DH126" s="1489">
        <f>+(DA126/CV126)^(1/5)-1</f>
        <v>0.17376442335032749</v>
      </c>
      <c r="DJ126" s="689"/>
      <c r="DK126" s="689"/>
      <c r="DL126" s="689"/>
      <c r="DM126" s="689"/>
      <c r="DN126" s="689"/>
      <c r="DO126" s="689"/>
      <c r="DP126" s="689"/>
      <c r="DQ126" s="689"/>
      <c r="DR126" s="689"/>
    </row>
    <row r="127" spans="1:122" s="554" customFormat="1" ht="11.25" customHeight="1">
      <c r="A127" s="542"/>
      <c r="B127"/>
      <c r="C127"/>
      <c r="D127"/>
      <c r="E127"/>
      <c r="F127"/>
      <c r="G127"/>
      <c r="H127" s="1052"/>
      <c r="I127" s="591"/>
      <c r="J127" s="547"/>
      <c r="K127" s="547"/>
      <c r="L127" s="547"/>
      <c r="M127" s="548"/>
      <c r="N127" s="548"/>
      <c r="O127" s="548"/>
      <c r="P127" s="2056"/>
      <c r="Q127" s="548"/>
      <c r="R127" s="548"/>
      <c r="S127" s="548"/>
      <c r="T127" s="2056"/>
      <c r="U127" s="2057"/>
      <c r="V127" s="2057"/>
      <c r="W127" s="2057"/>
      <c r="X127" s="2058"/>
      <c r="Y127" s="2057"/>
      <c r="Z127" s="2057"/>
      <c r="AA127" s="2057"/>
      <c r="AB127" s="2058"/>
      <c r="AC127" s="2057"/>
      <c r="AD127" s="2057"/>
      <c r="AE127" s="2057"/>
      <c r="AF127" s="2058"/>
      <c r="AG127" s="2057"/>
      <c r="AH127" s="2057"/>
      <c r="AI127" s="2057"/>
      <c r="AJ127" s="2058"/>
      <c r="AK127" s="2057"/>
      <c r="AL127" s="2057"/>
      <c r="AM127" s="2057"/>
      <c r="AN127" s="2058"/>
      <c r="AO127" s="2057"/>
      <c r="AP127" s="2057"/>
      <c r="AQ127" s="2057"/>
      <c r="AR127" s="2058"/>
      <c r="AS127" s="2057"/>
      <c r="AT127" s="2057"/>
      <c r="AU127" s="2057"/>
      <c r="AV127" s="2058"/>
      <c r="AW127" s="2268"/>
      <c r="AX127" s="2268"/>
      <c r="AY127" s="2213"/>
      <c r="AZ127" s="2058"/>
      <c r="BA127" s="2057"/>
      <c r="BB127" s="2057"/>
      <c r="BC127" s="2057"/>
      <c r="BD127" s="2058"/>
      <c r="BE127" s="2057"/>
      <c r="BF127" s="2057"/>
      <c r="BG127" s="2057"/>
      <c r="BH127" s="2058"/>
      <c r="BI127" s="2059"/>
      <c r="BJ127" s="2057"/>
      <c r="BK127" s="2057"/>
      <c r="BL127" s="2058"/>
      <c r="BM127" s="2059"/>
      <c r="BN127" s="2057"/>
      <c r="BO127" s="2057"/>
      <c r="BP127" s="2058"/>
      <c r="BQ127" s="2057"/>
      <c r="BR127" s="2057"/>
      <c r="BS127" s="2057"/>
      <c r="BT127" s="2058"/>
      <c r="BU127" s="2057"/>
      <c r="BV127" s="2057"/>
      <c r="BW127" s="2057"/>
      <c r="BX127" s="2058"/>
      <c r="BY127" s="2057"/>
      <c r="BZ127" s="2057"/>
      <c r="CA127" s="2057"/>
      <c r="CB127" s="2058"/>
      <c r="CC127" s="2057"/>
      <c r="CD127" s="2057"/>
      <c r="CE127" s="2057"/>
      <c r="CF127" s="2058"/>
      <c r="CG127" s="2056"/>
      <c r="CH127" s="2060"/>
      <c r="CI127" s="548"/>
      <c r="CJ127" s="2057"/>
      <c r="CK127" s="2057"/>
      <c r="CL127" s="2057"/>
      <c r="CM127" s="2057"/>
      <c r="CN127" s="2057"/>
      <c r="CO127" s="2057"/>
      <c r="CP127" s="2213"/>
      <c r="CQ127" s="2057"/>
      <c r="CR127" s="2057"/>
      <c r="CS127" s="2226"/>
      <c r="CT127" s="2226"/>
      <c r="CU127" s="2226"/>
      <c r="CV127" s="2226"/>
      <c r="CW127" s="2226"/>
      <c r="CX127" s="2226"/>
      <c r="CY127" s="2226"/>
      <c r="CZ127" s="2057"/>
      <c r="DA127" s="2057"/>
      <c r="DB127" s="2057"/>
      <c r="DC127" s="2057"/>
      <c r="DD127" s="2057"/>
      <c r="DE127" s="2057"/>
      <c r="DF127" s="2058"/>
      <c r="DG127" s="1492"/>
      <c r="DH127" s="1492"/>
      <c r="DJ127" s="51"/>
      <c r="DK127" s="51"/>
      <c r="DL127" s="51"/>
      <c r="DM127" s="51"/>
    </row>
    <row r="128" spans="1:122" s="554" customFormat="1" ht="11.25" customHeight="1">
      <c r="A128" s="542"/>
      <c r="B128"/>
      <c r="C128"/>
      <c r="D128"/>
      <c r="E128"/>
      <c r="F128"/>
      <c r="G128"/>
      <c r="H128" s="1052"/>
      <c r="I128" s="591" t="s">
        <v>38</v>
      </c>
      <c r="J128" s="547"/>
      <c r="K128" s="547"/>
      <c r="L128" s="547"/>
      <c r="M128" s="548"/>
      <c r="N128" s="548"/>
      <c r="O128" s="548"/>
      <c r="P128" s="2056"/>
      <c r="Q128" s="548"/>
      <c r="R128" s="548"/>
      <c r="S128" s="548"/>
      <c r="T128" s="2056"/>
      <c r="U128" s="2057"/>
      <c r="V128" s="2057"/>
      <c r="W128" s="2057"/>
      <c r="X128" s="2058"/>
      <c r="Y128" s="2057"/>
      <c r="Z128" s="2057"/>
      <c r="AA128" s="2057"/>
      <c r="AB128" s="2058"/>
      <c r="AC128" s="2057"/>
      <c r="AD128" s="2057"/>
      <c r="AE128" s="2057"/>
      <c r="AF128" s="2058"/>
      <c r="AG128" s="2057">
        <v>0.74099999999999999</v>
      </c>
      <c r="AH128" s="2057">
        <v>-5.5780000000000003</v>
      </c>
      <c r="AI128" s="2057">
        <v>18.113</v>
      </c>
      <c r="AJ128" s="2058">
        <v>-0.88900000000000001</v>
      </c>
      <c r="AK128" s="2057">
        <v>11.593</v>
      </c>
      <c r="AL128" s="2057">
        <v>-14.964</v>
      </c>
      <c r="AM128" s="2057">
        <v>26.657</v>
      </c>
      <c r="AN128" s="2058">
        <v>-11.228</v>
      </c>
      <c r="AO128" s="2057">
        <v>-9.5180000000000007</v>
      </c>
      <c r="AP128" s="2057">
        <v>-26.210999999999999</v>
      </c>
      <c r="AQ128" s="2057">
        <v>-42.851999999999997</v>
      </c>
      <c r="AR128" s="2058">
        <v>-19.962</v>
      </c>
      <c r="AS128" s="2057">
        <v>-15.541</v>
      </c>
      <c r="AT128" s="2057">
        <v>-32.494999999999997</v>
      </c>
      <c r="AU128" s="2057">
        <v>124.887</v>
      </c>
      <c r="AV128" s="2058">
        <v>-29.683</v>
      </c>
      <c r="AW128" s="2057">
        <v>-26.952999999999999</v>
      </c>
      <c r="AX128" s="2057">
        <v>-51.274999999999999</v>
      </c>
      <c r="AY128" s="2213">
        <v>-94.119</v>
      </c>
      <c r="AZ128" s="2214">
        <f>+-45.794</f>
        <v>-45.793999999999997</v>
      </c>
      <c r="BA128" s="2057">
        <v>-36.679000000000002</v>
      </c>
      <c r="BB128" s="2057">
        <v>-60.314</v>
      </c>
      <c r="BC128" s="2057">
        <v>-138.96600000000001</v>
      </c>
      <c r="BD128" s="2058">
        <v>-72.703999999999994</v>
      </c>
      <c r="BE128" s="2057">
        <v>-47.179000000000002</v>
      </c>
      <c r="BF128" s="2057">
        <v>-93.025000000000006</v>
      </c>
      <c r="BG128" s="2057">
        <v>-131.20099999999999</v>
      </c>
      <c r="BH128" s="2058">
        <v>-66.427000000000007</v>
      </c>
      <c r="BI128" s="2059">
        <v>-46.15</v>
      </c>
      <c r="BJ128" s="2057">
        <v>-98.117000000000004</v>
      </c>
      <c r="BK128" s="2057">
        <v>-187.36199999999999</v>
      </c>
      <c r="BL128" s="2058">
        <v>-72.11</v>
      </c>
      <c r="BM128" s="2059">
        <v>-84.834999999999994</v>
      </c>
      <c r="BN128" s="2057">
        <v>-139.31399999999999</v>
      </c>
      <c r="BO128" s="2057">
        <v>-243.33600000000001</v>
      </c>
      <c r="BP128" s="2058">
        <v>-100.21</v>
      </c>
      <c r="BQ128" s="2057">
        <v>-73.915999999999997</v>
      </c>
      <c r="BR128" s="2057">
        <v>-131.345</v>
      </c>
      <c r="BS128" s="2057">
        <v>-259.43799999999999</v>
      </c>
      <c r="BT128" s="2058">
        <v>-112.261</v>
      </c>
      <c r="BU128" s="2057">
        <v>-86.069000000000003</v>
      </c>
      <c r="BV128" s="2057">
        <v>-111.91</v>
      </c>
      <c r="BW128" s="2057">
        <v>-291.517</v>
      </c>
      <c r="BX128" s="2058">
        <v>-88.754999999999995</v>
      </c>
      <c r="BY128" s="2057">
        <v>-71.986999999999995</v>
      </c>
      <c r="BZ128" s="2057">
        <v>-142.90799999999999</v>
      </c>
      <c r="CA128" s="2057">
        <v>-346.45400000000001</v>
      </c>
      <c r="CB128" s="2058">
        <v>-1496.2080000000001</v>
      </c>
      <c r="CC128" s="2057">
        <f>+CC123*CC129*-1</f>
        <v>-114.03059201941795</v>
      </c>
      <c r="CD128" s="2057">
        <f>+CD123*CD129*-1</f>
        <v>-200.30784726222055</v>
      </c>
      <c r="CE128" s="2057">
        <f>+CE123*CE129*-1</f>
        <v>-460.15987716023591</v>
      </c>
      <c r="CF128" s="2058">
        <f>+CF123*CF129*-1</f>
        <v>-229.54959932449805</v>
      </c>
      <c r="CG128" s="2056"/>
      <c r="CH128" s="2060"/>
      <c r="CI128" s="548"/>
      <c r="CJ128" s="2057"/>
      <c r="CK128" s="2057"/>
      <c r="CL128" s="2057"/>
      <c r="CM128" s="2057">
        <f>+SUM(AG128:AJ128)</f>
        <v>12.387</v>
      </c>
      <c r="CN128" s="2057">
        <f>+SUM(AK128:AN128)</f>
        <v>12.058000000000002</v>
      </c>
      <c r="CO128" s="2057">
        <f>+SUM(AO128:AR128)</f>
        <v>-98.542999999999992</v>
      </c>
      <c r="CP128" s="2057">
        <f>+SUM(AS128:AV128)</f>
        <v>47.167999999999999</v>
      </c>
      <c r="CQ128" s="2057">
        <f>+SUM(AW128:AZ128)</f>
        <v>-218.14099999999996</v>
      </c>
      <c r="CR128" s="2057">
        <f>+SUM(BA128:BD128)</f>
        <v>-308.66300000000001</v>
      </c>
      <c r="CS128" s="2057">
        <f>+SUM(BE128:BH128)</f>
        <v>-337.83199999999999</v>
      </c>
      <c r="CT128" s="2057">
        <f>+SUM(BI128:BL128)</f>
        <v>-403.73900000000003</v>
      </c>
      <c r="CU128" s="2057">
        <f>SUM(BM128:BP128)</f>
        <v>-567.69500000000005</v>
      </c>
      <c r="CV128" s="2057">
        <f>SUM(BQ128:BT128)</f>
        <v>-576.95999999999992</v>
      </c>
      <c r="CW128" s="2057">
        <f>SUM(BU128:BX128)</f>
        <v>-578.25099999999998</v>
      </c>
      <c r="CX128" s="2057">
        <f>SUM(BY128:CB128)</f>
        <v>-2057.5569999999998</v>
      </c>
      <c r="CY128" s="2057">
        <f>SUM(CC128:CF128)</f>
        <v>-1004.0479157663724</v>
      </c>
      <c r="CZ128" s="2057">
        <f t="shared" ref="CZ128:DF128" si="257">+CZ123*CZ129*-1</f>
        <v>-1226.0736054606123</v>
      </c>
      <c r="DA128" s="2057">
        <f t="shared" si="257"/>
        <v>-1400.7837944996081</v>
      </c>
      <c r="DB128" s="2057">
        <f t="shared" si="257"/>
        <v>-1576.0430876592416</v>
      </c>
      <c r="DC128" s="2057">
        <f t="shared" si="257"/>
        <v>-1750.0463964442229</v>
      </c>
      <c r="DD128" s="2057">
        <f t="shared" si="257"/>
        <v>-1918.9914797888985</v>
      </c>
      <c r="DE128" s="2057">
        <f t="shared" si="257"/>
        <v>-2087.3543221458422</v>
      </c>
      <c r="DF128" s="2058">
        <f t="shared" si="257"/>
        <v>-2275.4090906906922</v>
      </c>
      <c r="DG128" s="1491">
        <f>+(CV128/CQ128)^(1/5)-1</f>
        <v>0.21473538076450405</v>
      </c>
      <c r="DH128" s="1491">
        <f>+(DA128/CV128)^(1/5)-1</f>
        <v>0.19411204957034633</v>
      </c>
      <c r="DJ128" s="51"/>
      <c r="DK128" s="51"/>
      <c r="DL128" s="51"/>
      <c r="DM128" s="51"/>
    </row>
    <row r="129" spans="1:122" s="51" customFormat="1" ht="11.25" customHeight="1">
      <c r="A129" s="82"/>
      <c r="B129"/>
      <c r="C129"/>
      <c r="D129"/>
      <c r="E129"/>
      <c r="F129"/>
      <c r="G129"/>
      <c r="H129" s="1044"/>
      <c r="I129" s="193" t="s">
        <v>39</v>
      </c>
      <c r="J129" s="82"/>
      <c r="K129" s="82"/>
      <c r="L129" s="82"/>
      <c r="M129" s="292"/>
      <c r="N129" s="292"/>
      <c r="O129" s="292"/>
      <c r="P129" s="1007"/>
      <c r="Q129" s="292"/>
      <c r="R129" s="292"/>
      <c r="S129" s="292"/>
      <c r="T129" s="1007"/>
      <c r="U129" s="1957"/>
      <c r="V129" s="1957"/>
      <c r="W129" s="1957"/>
      <c r="X129" s="1958"/>
      <c r="Y129" s="1957"/>
      <c r="Z129" s="1957"/>
      <c r="AA129" s="1957"/>
      <c r="AB129" s="1958"/>
      <c r="AC129" s="1957"/>
      <c r="AD129" s="1957"/>
      <c r="AE129" s="1957"/>
      <c r="AF129" s="1958"/>
      <c r="AG129" s="1957">
        <f t="shared" ref="AG129:BV129" si="258">+AG128/AG123*-1</f>
        <v>0.81788079470197916</v>
      </c>
      <c r="AH129" s="1957">
        <f t="shared" si="258"/>
        <v>0.29385733853124002</v>
      </c>
      <c r="AI129" s="1957">
        <f t="shared" si="258"/>
        <v>-0.56950165068385472</v>
      </c>
      <c r="AJ129" s="1958">
        <f t="shared" si="258"/>
        <v>6.0641200545702739E-2</v>
      </c>
      <c r="AK129" s="1957">
        <f t="shared" si="258"/>
        <v>-0.90832876283005271</v>
      </c>
      <c r="AL129" s="1957">
        <f t="shared" si="258"/>
        <v>0.30820563519525485</v>
      </c>
      <c r="AM129" s="1957">
        <f t="shared" si="258"/>
        <v>-0.33228211009174319</v>
      </c>
      <c r="AN129" s="1958">
        <f t="shared" si="258"/>
        <v>0.24870971314652776</v>
      </c>
      <c r="AO129" s="1957">
        <f t="shared" si="258"/>
        <v>0.33773330494641951</v>
      </c>
      <c r="AP129" s="1957">
        <f t="shared" si="258"/>
        <v>0.32145747994799956</v>
      </c>
      <c r="AQ129" s="1957">
        <f t="shared" si="258"/>
        <v>0.32287522603978291</v>
      </c>
      <c r="AR129" s="1958">
        <f t="shared" si="258"/>
        <v>0.3686086233958083</v>
      </c>
      <c r="AS129" s="1957">
        <f t="shared" si="258"/>
        <v>0.38283039783224526</v>
      </c>
      <c r="AT129" s="1957">
        <f t="shared" si="258"/>
        <v>0.32667155911654427</v>
      </c>
      <c r="AU129" s="1957">
        <f t="shared" si="258"/>
        <v>-0.64343233983358661</v>
      </c>
      <c r="AV129" s="1958">
        <f t="shared" si="258"/>
        <v>0.27449185300264456</v>
      </c>
      <c r="AW129" s="1957">
        <f t="shared" si="258"/>
        <v>0.33346117681991438</v>
      </c>
      <c r="AX129" s="1957">
        <f t="shared" si="258"/>
        <v>0.30740407673860942</v>
      </c>
      <c r="AY129" s="1957">
        <f t="shared" si="258"/>
        <v>0.29348080287122824</v>
      </c>
      <c r="AZ129" s="1958">
        <f t="shared" si="258"/>
        <v>0.2507089752433509</v>
      </c>
      <c r="BA129" s="1957">
        <f t="shared" si="258"/>
        <v>0.2607042333608165</v>
      </c>
      <c r="BB129" s="1957">
        <f t="shared" si="258"/>
        <v>0.19051078520867615</v>
      </c>
      <c r="BC129" s="1957">
        <f t="shared" si="258"/>
        <v>0.22712355275458765</v>
      </c>
      <c r="BD129" s="1958">
        <f t="shared" si="258"/>
        <v>0.24343482031346775</v>
      </c>
      <c r="BE129" s="1957">
        <f t="shared" si="258"/>
        <v>0.20602633245267366</v>
      </c>
      <c r="BF129" s="1957">
        <f t="shared" si="258"/>
        <v>0.2087264600755252</v>
      </c>
      <c r="BG129" s="1957">
        <f t="shared" si="258"/>
        <v>0.17943955654696372</v>
      </c>
      <c r="BH129" s="1958">
        <f t="shared" si="258"/>
        <v>0.18658116633241759</v>
      </c>
      <c r="BI129" s="1970">
        <f t="shared" si="258"/>
        <v>0.15889575199179184</v>
      </c>
      <c r="BJ129" s="1957">
        <f t="shared" si="258"/>
        <v>0.18320552247473193</v>
      </c>
      <c r="BK129" s="1957">
        <f t="shared" si="258"/>
        <v>0.18362504667511484</v>
      </c>
      <c r="BL129" s="1958">
        <f t="shared" si="258"/>
        <v>0.16017788163585353</v>
      </c>
      <c r="BM129" s="1970">
        <f t="shared" si="258"/>
        <v>0.20390431026816289</v>
      </c>
      <c r="BN129" s="1957">
        <f t="shared" si="258"/>
        <v>0.19463650779236197</v>
      </c>
      <c r="BO129" s="1957">
        <f t="shared" si="258"/>
        <v>0.18638024676984868</v>
      </c>
      <c r="BP129" s="1958">
        <f t="shared" si="258"/>
        <v>0.18152637213540299</v>
      </c>
      <c r="BQ129" s="1957">
        <f t="shared" si="258"/>
        <v>0.18150342670101149</v>
      </c>
      <c r="BR129" s="1957">
        <f t="shared" si="258"/>
        <v>0.20257504507408491</v>
      </c>
      <c r="BS129" s="1957">
        <f t="shared" si="258"/>
        <v>0.17816463737063667</v>
      </c>
      <c r="BT129" s="1958">
        <f t="shared" si="258"/>
        <v>0.18208521888634788</v>
      </c>
      <c r="BU129" s="1957">
        <f t="shared" si="258"/>
        <v>0.18690620704332114</v>
      </c>
      <c r="BV129" s="1957">
        <f t="shared" si="258"/>
        <v>0.16159168750758068</v>
      </c>
      <c r="BW129" s="1957">
        <f>+BW128/BW123*-1</f>
        <v>0.36552297456910915</v>
      </c>
      <c r="BX129" s="1958">
        <f>+BX128/BX123*-1</f>
        <v>0.11637512243284391</v>
      </c>
      <c r="BY129" s="1957">
        <f>+BY138-0.02</f>
        <v>0.13849373468160744</v>
      </c>
      <c r="BZ129" s="1957">
        <f>+BZ138-0.015</f>
        <v>0.16280176388271145</v>
      </c>
      <c r="CA129" s="1957">
        <f>+CA138-0.01</f>
        <v>0.16298053594282369</v>
      </c>
      <c r="CB129" s="1958">
        <f>+CB128/CB123*-1</f>
        <v>1.5904416688812122</v>
      </c>
      <c r="CC129" s="1957">
        <f>+CC138-0.02</f>
        <v>0.18000000000000002</v>
      </c>
      <c r="CD129" s="1957">
        <f>+CD138-0.015</f>
        <v>0.185</v>
      </c>
      <c r="CE129" s="1957">
        <f>+CE138-0.01</f>
        <v>0.19</v>
      </c>
      <c r="CF129" s="1958">
        <f>+CF138-0.015</f>
        <v>0.185</v>
      </c>
      <c r="CG129" s="1007"/>
      <c r="CH129" s="1010"/>
      <c r="CI129" s="292"/>
      <c r="CJ129" s="1957"/>
      <c r="CK129" s="1957"/>
      <c r="CL129" s="1957"/>
      <c r="CM129" s="1957">
        <f t="shared" ref="CM129:CY129" si="259">+CM128/CM123*-1</f>
        <v>-0.1919245131001994</v>
      </c>
      <c r="CN129" s="1957">
        <f t="shared" si="259"/>
        <v>-6.4590430888560438E-2</v>
      </c>
      <c r="CO129" s="1957">
        <f t="shared" si="259"/>
        <v>0.33224767780980791</v>
      </c>
      <c r="CP129" s="1957">
        <f t="shared" si="259"/>
        <v>-0.10664230919667834</v>
      </c>
      <c r="CQ129" s="1957">
        <f t="shared" si="259"/>
        <v>0.2904731785588261</v>
      </c>
      <c r="CR129" s="1957">
        <f t="shared" si="259"/>
        <v>0.22566482964539969</v>
      </c>
      <c r="CS129" s="1957">
        <f t="shared" si="259"/>
        <v>0.19174659608245104</v>
      </c>
      <c r="CT129" s="1957">
        <f t="shared" si="259"/>
        <v>0.17580339441515638</v>
      </c>
      <c r="CU129" s="1957">
        <f t="shared" si="259"/>
        <v>0.18989960688394655</v>
      </c>
      <c r="CV129" s="1957">
        <f t="shared" si="259"/>
        <v>0.18443126022913264</v>
      </c>
      <c r="CW129" s="1957">
        <f t="shared" si="259"/>
        <v>0.21312210723865724</v>
      </c>
      <c r="CX129" s="1957">
        <f t="shared" si="259"/>
        <v>0.46768877225722072</v>
      </c>
      <c r="CY129" s="1957">
        <f t="shared" si="259"/>
        <v>0.18666239732731146</v>
      </c>
      <c r="CZ129" s="1957">
        <f t="shared" ref="CZ129:DF129" si="260">+CZ135+0.02</f>
        <v>0.19499999999999995</v>
      </c>
      <c r="DA129" s="1957">
        <f t="shared" si="260"/>
        <v>0.19499999999999995</v>
      </c>
      <c r="DB129" s="1957">
        <f t="shared" si="260"/>
        <v>0.19499999999999995</v>
      </c>
      <c r="DC129" s="1957">
        <f t="shared" si="260"/>
        <v>0.19499999999999995</v>
      </c>
      <c r="DD129" s="1957">
        <f t="shared" si="260"/>
        <v>0.19499999999999995</v>
      </c>
      <c r="DE129" s="1957">
        <f t="shared" si="260"/>
        <v>0.19499999999999995</v>
      </c>
      <c r="DF129" s="1958">
        <f t="shared" si="260"/>
        <v>0.19499999999999995</v>
      </c>
      <c r="DG129" s="1493"/>
      <c r="DH129" s="1493"/>
    </row>
    <row r="130" spans="1:122" s="26" customFormat="1" ht="11.25" customHeight="1">
      <c r="A130" s="24"/>
      <c r="B130"/>
      <c r="C130"/>
      <c r="D130"/>
      <c r="E130"/>
      <c r="F130"/>
      <c r="G130"/>
      <c r="H130" s="1044"/>
      <c r="I130" s="160"/>
      <c r="J130" s="24"/>
      <c r="K130" s="24"/>
      <c r="L130" s="24"/>
      <c r="M130" s="34"/>
      <c r="N130" s="34"/>
      <c r="O130" s="34"/>
      <c r="P130" s="1412"/>
      <c r="Q130" s="34"/>
      <c r="R130" s="34"/>
      <c r="S130" s="34"/>
      <c r="T130" s="1412"/>
      <c r="U130" s="1957"/>
      <c r="V130" s="1957"/>
      <c r="W130" s="1957"/>
      <c r="X130" s="1958"/>
      <c r="Y130" s="1957"/>
      <c r="Z130" s="1957"/>
      <c r="AA130" s="1957"/>
      <c r="AB130" s="1958"/>
      <c r="AC130" s="1957"/>
      <c r="AD130" s="1957"/>
      <c r="AE130" s="1957"/>
      <c r="AF130" s="1958"/>
      <c r="AG130" s="1957"/>
      <c r="AH130" s="1957"/>
      <c r="AI130" s="1957"/>
      <c r="AJ130" s="1958"/>
      <c r="AK130" s="1957"/>
      <c r="AL130" s="1957"/>
      <c r="AM130" s="1957"/>
      <c r="AN130" s="1958"/>
      <c r="AO130" s="1957"/>
      <c r="AP130" s="1957"/>
      <c r="AQ130" s="1957"/>
      <c r="AR130" s="1958"/>
      <c r="AS130" s="1957"/>
      <c r="AT130" s="1957"/>
      <c r="AU130" s="1957"/>
      <c r="AV130" s="1958"/>
      <c r="AW130" s="1957"/>
      <c r="AX130" s="1957"/>
      <c r="AY130" s="1957"/>
      <c r="AZ130" s="1958"/>
      <c r="BA130" s="1957"/>
      <c r="BB130" s="1957"/>
      <c r="BC130" s="1957"/>
      <c r="BD130" s="1958"/>
      <c r="BE130" s="1957"/>
      <c r="BF130" s="1957"/>
      <c r="BG130" s="1957"/>
      <c r="BH130" s="1958"/>
      <c r="BI130" s="1970"/>
      <c r="BJ130" s="1957"/>
      <c r="BK130" s="1957"/>
      <c r="BL130" s="1958"/>
      <c r="BM130" s="1970"/>
      <c r="BN130" s="1957"/>
      <c r="BO130" s="1957"/>
      <c r="BP130" s="1958"/>
      <c r="BQ130" s="2057"/>
      <c r="BR130" s="2057"/>
      <c r="BS130" s="2057"/>
      <c r="BT130" s="2058"/>
      <c r="BU130" s="2059"/>
      <c r="BV130" s="2057"/>
      <c r="BW130" s="1957"/>
      <c r="BX130" s="1958"/>
      <c r="BY130" s="1957"/>
      <c r="BZ130" s="1957"/>
      <c r="CA130" s="1957"/>
      <c r="CB130" s="1958"/>
      <c r="CC130" s="1957"/>
      <c r="CD130" s="1957"/>
      <c r="CE130" s="1957"/>
      <c r="CF130" s="1958"/>
      <c r="CG130" s="1412"/>
      <c r="CH130" s="1414"/>
      <c r="CI130" s="34"/>
      <c r="CJ130" s="1957"/>
      <c r="CK130" s="1957"/>
      <c r="CL130" s="1957"/>
      <c r="CM130" s="1957"/>
      <c r="CN130" s="1957"/>
      <c r="CO130" s="1957"/>
      <c r="CP130" s="1957"/>
      <c r="CQ130" s="1957"/>
      <c r="CR130" s="1957"/>
      <c r="CS130" s="1957"/>
      <c r="CT130" s="1957"/>
      <c r="CU130" s="1957"/>
      <c r="CV130" s="1957"/>
      <c r="CW130" s="1957"/>
      <c r="CX130" s="1957"/>
      <c r="CY130" s="1957"/>
      <c r="CZ130" s="1957"/>
      <c r="DA130" s="1957"/>
      <c r="DB130" s="1957"/>
      <c r="DC130" s="1957"/>
      <c r="DD130" s="1957"/>
      <c r="DE130" s="1957"/>
      <c r="DF130" s="1958"/>
      <c r="DG130" s="945"/>
      <c r="DH130" s="945"/>
      <c r="DJ130" s="51"/>
      <c r="DK130" s="51"/>
      <c r="DL130" s="51"/>
      <c r="DM130" s="51"/>
    </row>
    <row r="131" spans="1:122" s="554" customFormat="1" ht="11.25" hidden="1" customHeight="1" outlineLevel="1">
      <c r="A131" s="547"/>
      <c r="B131"/>
      <c r="C131"/>
      <c r="D131"/>
      <c r="E131"/>
      <c r="F131"/>
      <c r="G131"/>
      <c r="H131" s="1044"/>
      <c r="I131" s="591" t="s">
        <v>735</v>
      </c>
      <c r="J131" s="547"/>
      <c r="K131" s="547"/>
      <c r="L131" s="547"/>
      <c r="M131" s="548"/>
      <c r="N131" s="548"/>
      <c r="O131" s="548"/>
      <c r="P131" s="2056"/>
      <c r="Q131" s="548"/>
      <c r="R131" s="548"/>
      <c r="S131" s="548"/>
      <c r="T131" s="2056"/>
      <c r="U131" s="2057"/>
      <c r="V131" s="2057"/>
      <c r="W131" s="2057"/>
      <c r="X131" s="2058"/>
      <c r="Y131" s="2057"/>
      <c r="Z131" s="2057"/>
      <c r="AA131" s="2057"/>
      <c r="AB131" s="2058"/>
      <c r="AC131" s="2057"/>
      <c r="AD131" s="2057"/>
      <c r="AE131" s="2057"/>
      <c r="AF131" s="2058"/>
      <c r="AG131" s="2057">
        <f t="shared" ref="AG131:BP131" si="261">+AG134-AG128</f>
        <v>-1.0900000000000001</v>
      </c>
      <c r="AH131" s="2057">
        <f t="shared" si="261"/>
        <v>0.90299999999999958</v>
      </c>
      <c r="AI131" s="2057">
        <f t="shared" si="261"/>
        <v>-26.088000000000001</v>
      </c>
      <c r="AJ131" s="2058">
        <f t="shared" si="261"/>
        <v>-1.7740000000000002</v>
      </c>
      <c r="AK131" s="2057">
        <f t="shared" si="261"/>
        <v>-13.303000000000001</v>
      </c>
      <c r="AL131" s="2057">
        <f t="shared" si="261"/>
        <v>5.6</v>
      </c>
      <c r="AM131" s="2057">
        <f t="shared" si="261"/>
        <v>-42.746000000000002</v>
      </c>
      <c r="AN131" s="2058">
        <f t="shared" si="261"/>
        <v>1.7189999999999994</v>
      </c>
      <c r="AO131" s="2057">
        <f t="shared" si="261"/>
        <v>2.0750000000000002</v>
      </c>
      <c r="AP131" s="2057">
        <f t="shared" si="261"/>
        <v>7.9080000000000013</v>
      </c>
      <c r="AQ131" s="2057">
        <f t="shared" si="261"/>
        <v>11.619999999999997</v>
      </c>
      <c r="AR131" s="2058">
        <f t="shared" si="261"/>
        <v>6.7919999999999998</v>
      </c>
      <c r="AS131" s="2057">
        <f t="shared" si="261"/>
        <v>7.4320000000000004</v>
      </c>
      <c r="AT131" s="2057">
        <f t="shared" si="261"/>
        <v>9.7169999999999987</v>
      </c>
      <c r="AU131" s="2057">
        <f t="shared" si="261"/>
        <v>-171.529</v>
      </c>
      <c r="AV131" s="2058">
        <f t="shared" si="261"/>
        <v>2.9489999999999981</v>
      </c>
      <c r="AW131" s="2057">
        <f t="shared" si="261"/>
        <v>7.129999999999999</v>
      </c>
      <c r="AX131" s="2057">
        <f t="shared" si="261"/>
        <v>11.317</v>
      </c>
      <c r="AY131" s="2057">
        <f t="shared" si="261"/>
        <v>12.281000000000006</v>
      </c>
      <c r="AZ131" s="2058">
        <f t="shared" si="261"/>
        <v>3.6330000000000027</v>
      </c>
      <c r="BA131" s="2057">
        <f t="shared" si="261"/>
        <v>5.4469999999999992</v>
      </c>
      <c r="BB131" s="2057">
        <f t="shared" si="261"/>
        <v>-0.2710000000000008</v>
      </c>
      <c r="BC131" s="2057">
        <f t="shared" si="261"/>
        <v>16.325000000000003</v>
      </c>
      <c r="BD131" s="2058">
        <f t="shared" si="261"/>
        <v>13.045999999999999</v>
      </c>
      <c r="BE131" s="2057">
        <f t="shared" si="261"/>
        <v>7.4249999999999972</v>
      </c>
      <c r="BF131" s="2057">
        <f t="shared" si="261"/>
        <v>16.046999999999997</v>
      </c>
      <c r="BG131" s="2057">
        <f t="shared" si="261"/>
        <v>5.527000000000001</v>
      </c>
      <c r="BH131" s="2058">
        <f t="shared" si="261"/>
        <v>4.6280000000000001</v>
      </c>
      <c r="BI131" s="2059">
        <f t="shared" si="261"/>
        <v>-9.304000000000002</v>
      </c>
      <c r="BJ131" s="2057">
        <f t="shared" si="261"/>
        <v>2.1380000000000052</v>
      </c>
      <c r="BK131" s="2057">
        <f t="shared" si="261"/>
        <v>13.350999999999999</v>
      </c>
      <c r="BL131" s="2058">
        <f t="shared" si="261"/>
        <v>-13.406000000000006</v>
      </c>
      <c r="BM131" s="2059">
        <f t="shared" si="261"/>
        <v>8.4789999999999992</v>
      </c>
      <c r="BN131" s="2057">
        <f t="shared" si="261"/>
        <v>18.609000000000009</v>
      </c>
      <c r="BO131" s="2057">
        <f t="shared" si="261"/>
        <v>24.015999999999991</v>
      </c>
      <c r="BP131" s="2058">
        <f t="shared" si="261"/>
        <v>-4.2330000000000041</v>
      </c>
      <c r="BQ131" s="2057">
        <f t="shared" ref="BQ131:BW131" si="262">+BQ134-BQ128</f>
        <v>-1.5100000000000051</v>
      </c>
      <c r="BR131" s="2057">
        <f t="shared" si="262"/>
        <v>17.557999999999993</v>
      </c>
      <c r="BS131" s="2057">
        <f t="shared" si="262"/>
        <v>4.9590000000000032</v>
      </c>
      <c r="BT131" s="2058">
        <f t="shared" si="262"/>
        <v>3.1500000000000057</v>
      </c>
      <c r="BU131" s="2057">
        <f t="shared" si="262"/>
        <v>-16.637</v>
      </c>
      <c r="BV131" s="2057">
        <f t="shared" si="262"/>
        <v>-4.9770000000000039</v>
      </c>
      <c r="BW131" s="2057">
        <f t="shared" si="262"/>
        <v>9.8770000000000095</v>
      </c>
      <c r="BX131" s="2058">
        <f t="shared" ref="BX131:CF131" si="263">+BX134-BX128</f>
        <v>-18.674639999999982</v>
      </c>
      <c r="BY131" s="2057">
        <f t="shared" si="263"/>
        <v>-14.259163672011425</v>
      </c>
      <c r="BZ131" s="2057">
        <f t="shared" si="263"/>
        <v>-8.1684791667118475</v>
      </c>
      <c r="CA131" s="2057">
        <f t="shared" si="263"/>
        <v>21.657884822141739</v>
      </c>
      <c r="CB131" s="2058">
        <f t="shared" ref="CB131" si="264">+CB134-CB128</f>
        <v>1336.3374427170538</v>
      </c>
      <c r="CC131" s="2057">
        <f t="shared" si="263"/>
        <v>-18.388080555016217</v>
      </c>
      <c r="CD131" s="2057">
        <f t="shared" si="263"/>
        <v>-11.907729796636772</v>
      </c>
      <c r="CE131" s="2057">
        <f t="shared" si="263"/>
        <v>13.007967354755408</v>
      </c>
      <c r="CF131" s="2058">
        <f t="shared" si="263"/>
        <v>-11.343606550027175</v>
      </c>
      <c r="CG131" s="2056"/>
      <c r="CH131" s="2060"/>
      <c r="CI131" s="548"/>
      <c r="CJ131" s="2057"/>
      <c r="CK131" s="2057"/>
      <c r="CL131" s="2057"/>
      <c r="CM131" s="2057">
        <f t="shared" ref="CM131:CU131" si="265">+CM134-CM128</f>
        <v>-28.049000000000003</v>
      </c>
      <c r="CN131" s="2057">
        <f t="shared" si="265"/>
        <v>-48.730000000000004</v>
      </c>
      <c r="CO131" s="2057">
        <f t="shared" si="265"/>
        <v>28.394999999999996</v>
      </c>
      <c r="CP131" s="2057">
        <f t="shared" si="265"/>
        <v>-151.43100000000001</v>
      </c>
      <c r="CQ131" s="2057">
        <f t="shared" si="265"/>
        <v>34.360999999999962</v>
      </c>
      <c r="CR131" s="2057">
        <f t="shared" si="265"/>
        <v>34.546999999999969</v>
      </c>
      <c r="CS131" s="2057">
        <f t="shared" si="265"/>
        <v>33.626999999999953</v>
      </c>
      <c r="CT131" s="2057">
        <f t="shared" si="265"/>
        <v>-7.2209999999999468</v>
      </c>
      <c r="CU131" s="2057">
        <f t="shared" si="265"/>
        <v>46.871000000000095</v>
      </c>
      <c r="CV131" s="2057">
        <f t="shared" ref="CV131:DF131" si="266">+CV134-CV128</f>
        <v>24.156999999999925</v>
      </c>
      <c r="CW131" s="2057">
        <f t="shared" si="266"/>
        <v>-30.411640000000034</v>
      </c>
      <c r="CX131" s="2057">
        <f t="shared" si="266"/>
        <v>1335.567684700472</v>
      </c>
      <c r="CY131" s="2057">
        <f t="shared" si="266"/>
        <v>-28.631449546924841</v>
      </c>
      <c r="CZ131" s="2057">
        <f t="shared" si="266"/>
        <v>30.936384721601371</v>
      </c>
      <c r="DA131" s="2057">
        <f t="shared" si="266"/>
        <v>45.425729564690528</v>
      </c>
      <c r="DB131" s="2057">
        <f t="shared" si="266"/>
        <v>60.029432991357453</v>
      </c>
      <c r="DC131" s="2057">
        <f t="shared" si="266"/>
        <v>74.599846420750737</v>
      </c>
      <c r="DD131" s="2057">
        <f t="shared" si="266"/>
        <v>88.785488942810616</v>
      </c>
      <c r="DE131" s="2057">
        <f t="shared" si="266"/>
        <v>103.08422764884608</v>
      </c>
      <c r="DF131" s="2058">
        <f t="shared" si="266"/>
        <v>119.61379741213523</v>
      </c>
      <c r="DG131" s="1491"/>
      <c r="DH131" s="1491"/>
      <c r="DJ131" s="51"/>
      <c r="DK131" s="51"/>
      <c r="DL131" s="51"/>
      <c r="DM131" s="51"/>
    </row>
    <row r="132" spans="1:122" s="554" customFormat="1" ht="11.25" customHeight="1" collapsed="1">
      <c r="A132" s="547"/>
      <c r="B132"/>
      <c r="C132"/>
      <c r="D132"/>
      <c r="E132"/>
      <c r="F132"/>
      <c r="G132"/>
      <c r="H132" s="1044"/>
      <c r="I132" s="2055" t="s">
        <v>717</v>
      </c>
      <c r="J132" s="547"/>
      <c r="K132" s="547"/>
      <c r="L132" s="547"/>
      <c r="M132" s="548"/>
      <c r="N132" s="548"/>
      <c r="O132" s="548"/>
      <c r="P132" s="2056"/>
      <c r="Q132" s="548"/>
      <c r="R132" s="548"/>
      <c r="S132" s="548"/>
      <c r="T132" s="2056"/>
      <c r="U132" s="2057"/>
      <c r="V132" s="2057"/>
      <c r="W132" s="2057"/>
      <c r="X132" s="2058"/>
      <c r="Y132" s="2057"/>
      <c r="Z132" s="2057"/>
      <c r="AA132" s="2057"/>
      <c r="AB132" s="2058"/>
      <c r="AC132" s="2057"/>
      <c r="AD132" s="2057"/>
      <c r="AE132" s="2057"/>
      <c r="AF132" s="2058"/>
      <c r="AG132" s="2259"/>
      <c r="AH132" s="2259"/>
      <c r="AI132" s="2259"/>
      <c r="AJ132" s="2260"/>
      <c r="AK132" s="2259"/>
      <c r="AL132" s="2259"/>
      <c r="AM132" s="2259"/>
      <c r="AN132" s="2260"/>
      <c r="AO132" s="2259"/>
      <c r="AP132" s="2259"/>
      <c r="AQ132" s="2259"/>
      <c r="AR132" s="2260"/>
      <c r="AS132" s="2259"/>
      <c r="AT132" s="2259"/>
      <c r="AU132" s="2259"/>
      <c r="AV132" s="2260"/>
      <c r="AW132" s="2259"/>
      <c r="AX132" s="2259"/>
      <c r="AY132" s="2259"/>
      <c r="AZ132" s="2260"/>
      <c r="BA132" s="2259"/>
      <c r="BB132" s="2259"/>
      <c r="BC132" s="2259"/>
      <c r="BD132" s="2260"/>
      <c r="BE132" s="2259"/>
      <c r="BF132" s="2259"/>
      <c r="BG132" s="2259"/>
      <c r="BH132" s="2260"/>
      <c r="BI132" s="2261"/>
      <c r="BJ132" s="2259"/>
      <c r="BK132" s="2259"/>
      <c r="BL132" s="2260"/>
      <c r="BM132" s="2261"/>
      <c r="BN132" s="2259"/>
      <c r="BO132" s="2259"/>
      <c r="BP132" s="2260"/>
      <c r="BQ132" s="2057">
        <v>-16.202999999999999</v>
      </c>
      <c r="BR132" s="2057">
        <v>-21.815999999999999</v>
      </c>
      <c r="BS132" s="2057">
        <v>-16.149999999999999</v>
      </c>
      <c r="BT132" s="2058">
        <v>-22.222000000000001</v>
      </c>
      <c r="BU132" s="2059">
        <v>-22.14</v>
      </c>
      <c r="BV132" s="2057">
        <v>-22.254999999999999</v>
      </c>
      <c r="BW132" s="2057">
        <v>-21.192</v>
      </c>
      <c r="BX132" s="2058">
        <v>-21.114999999999998</v>
      </c>
      <c r="BY132" s="2057">
        <v>-21.068000000000001</v>
      </c>
      <c r="BZ132" s="2057">
        <v>-20.995000000000001</v>
      </c>
      <c r="CA132" s="2057">
        <v>-21.724</v>
      </c>
      <c r="CB132" s="2058">
        <v>1321.2440000000001</v>
      </c>
      <c r="CC132" s="2057">
        <f>+CC137-CC128</f>
        <v>-24.572265779935321</v>
      </c>
      <c r="CD132" s="2057">
        <f>+CD137-CD128</f>
        <v>-27.778376805044957</v>
      </c>
      <c r="CE132" s="2057">
        <f>+CE137-CE128</f>
        <v>-36.523940903170342</v>
      </c>
      <c r="CF132" s="2058">
        <f>+CF137-CF128</f>
        <v>-30.92592967495932</v>
      </c>
      <c r="CG132" s="2056"/>
      <c r="CH132" s="2060"/>
      <c r="CI132" s="548"/>
      <c r="CJ132" s="2057"/>
      <c r="CK132" s="2057"/>
      <c r="CL132" s="2057"/>
      <c r="CM132" s="2259"/>
      <c r="CN132" s="2259"/>
      <c r="CO132" s="2259"/>
      <c r="CP132" s="2259"/>
      <c r="CQ132" s="2259"/>
      <c r="CR132" s="2259"/>
      <c r="CS132" s="2259"/>
      <c r="CT132" s="2259"/>
      <c r="CU132" s="2259"/>
      <c r="CV132" s="2057">
        <f>+SUM(BQ132:BT132)</f>
        <v>-76.390999999999991</v>
      </c>
      <c r="CW132" s="2057">
        <f>+SUM(BU132:BX132)</f>
        <v>-86.701999999999984</v>
      </c>
      <c r="CX132" s="2057">
        <f>+SUM(BY132:CB132)</f>
        <v>1257.4570000000001</v>
      </c>
      <c r="CY132" s="2057">
        <f>+SUM(CC132:CF132)</f>
        <v>-119.80051316310994</v>
      </c>
      <c r="CZ132" s="2057">
        <f t="shared" ref="CZ132:DF132" si="267">+CZ137-CZ128</f>
        <v>-79.495984755400286</v>
      </c>
      <c r="DA132" s="2057">
        <f t="shared" si="267"/>
        <v>-83.975733192297639</v>
      </c>
      <c r="DB132" s="2057">
        <f t="shared" si="267"/>
        <v>-88.469561222031871</v>
      </c>
      <c r="DC132" s="2057">
        <f t="shared" si="267"/>
        <v>-92.931184524210948</v>
      </c>
      <c r="DD132" s="2057">
        <f t="shared" si="267"/>
        <v>-97.263109738176581</v>
      </c>
      <c r="DE132" s="2057">
        <f t="shared" si="267"/>
        <v>-101.58010569604767</v>
      </c>
      <c r="DF132" s="2058">
        <f t="shared" si="267"/>
        <v>-106.40202283822282</v>
      </c>
      <c r="DG132" s="1491"/>
      <c r="DH132" s="1491"/>
      <c r="DJ132" s="126"/>
      <c r="DK132" s="126"/>
      <c r="DL132" s="126"/>
      <c r="DM132" s="126"/>
      <c r="DN132" s="126"/>
      <c r="DO132" s="126"/>
      <c r="DP132" s="126"/>
      <c r="DQ132" s="126"/>
      <c r="DR132" s="126"/>
    </row>
    <row r="133" spans="1:122" s="26" customFormat="1" ht="11.25" customHeight="1">
      <c r="A133" s="24"/>
      <c r="B133"/>
      <c r="C133"/>
      <c r="D133"/>
      <c r="E133"/>
      <c r="F133"/>
      <c r="G133"/>
      <c r="H133" s="1044"/>
      <c r="I133" s="160"/>
      <c r="J133" s="24"/>
      <c r="K133" s="24"/>
      <c r="L133" s="24"/>
      <c r="M133" s="34"/>
      <c r="N133" s="34"/>
      <c r="O133" s="34"/>
      <c r="P133" s="1412"/>
      <c r="Q133" s="34"/>
      <c r="R133" s="34"/>
      <c r="S133" s="34"/>
      <c r="T133" s="1412"/>
      <c r="U133" s="1957"/>
      <c r="V133" s="1957"/>
      <c r="W133" s="1957"/>
      <c r="X133" s="1958"/>
      <c r="Y133" s="1957"/>
      <c r="Z133" s="1957"/>
      <c r="AA133" s="1957"/>
      <c r="AB133" s="1958"/>
      <c r="AC133" s="1957"/>
      <c r="AD133" s="1957"/>
      <c r="AE133" s="1957"/>
      <c r="AF133" s="1958"/>
      <c r="AG133" s="1957"/>
      <c r="AH133" s="1957"/>
      <c r="AI133" s="1957"/>
      <c r="AJ133" s="1958"/>
      <c r="AK133" s="1957"/>
      <c r="AL133" s="1957"/>
      <c r="AM133" s="1957"/>
      <c r="AN133" s="1958"/>
      <c r="AO133" s="1957"/>
      <c r="AP133" s="1957"/>
      <c r="AQ133" s="1957"/>
      <c r="AR133" s="1958"/>
      <c r="AS133" s="1957"/>
      <c r="AT133" s="1957"/>
      <c r="AU133" s="1957"/>
      <c r="AV133" s="1958"/>
      <c r="AW133" s="1957"/>
      <c r="AX133" s="1957"/>
      <c r="AY133" s="1957"/>
      <c r="AZ133" s="1958"/>
      <c r="BA133" s="1957"/>
      <c r="BB133" s="1957"/>
      <c r="BC133" s="1957"/>
      <c r="BD133" s="1958"/>
      <c r="BE133" s="1957"/>
      <c r="BF133" s="1957"/>
      <c r="BG133" s="1957"/>
      <c r="BH133" s="1958"/>
      <c r="BI133" s="1970"/>
      <c r="BJ133" s="1957"/>
      <c r="BK133" s="1957"/>
      <c r="BL133" s="1958"/>
      <c r="BM133" s="1970"/>
      <c r="BN133" s="1957"/>
      <c r="BO133" s="1957"/>
      <c r="BP133" s="1958"/>
      <c r="BQ133" s="1957"/>
      <c r="BR133" s="1957"/>
      <c r="BS133" s="1957"/>
      <c r="BT133" s="1958"/>
      <c r="BU133" s="1970"/>
      <c r="BV133" s="1957"/>
      <c r="BW133" s="1957"/>
      <c r="BX133" s="1958"/>
      <c r="BY133" s="1957"/>
      <c r="BZ133" s="1957"/>
      <c r="CA133" s="1957"/>
      <c r="CB133" s="1958"/>
      <c r="CC133" s="1957"/>
      <c r="CD133" s="1957"/>
      <c r="CE133" s="1957"/>
      <c r="CF133" s="1958"/>
      <c r="CG133" s="1412"/>
      <c r="CH133" s="1414"/>
      <c r="CI133" s="34"/>
      <c r="CJ133" s="1957"/>
      <c r="CK133" s="1957"/>
      <c r="CL133" s="1957"/>
      <c r="CM133" s="1957"/>
      <c r="CN133" s="1957"/>
      <c r="CO133" s="1957"/>
      <c r="CP133" s="1957"/>
      <c r="CQ133" s="1957"/>
      <c r="CR133" s="1957"/>
      <c r="CS133" s="1957"/>
      <c r="CT133" s="1957"/>
      <c r="CU133" s="1957"/>
      <c r="CV133" s="1957"/>
      <c r="CW133" s="1957"/>
      <c r="CX133" s="1957"/>
      <c r="CY133" s="1957"/>
      <c r="CZ133" s="1957"/>
      <c r="DA133" s="1957"/>
      <c r="DB133" s="1957"/>
      <c r="DC133" s="1957"/>
      <c r="DD133" s="1957"/>
      <c r="DE133" s="1957"/>
      <c r="DF133" s="1958"/>
      <c r="DG133" s="945"/>
      <c r="DH133" s="945"/>
      <c r="DJ133" s="51"/>
      <c r="DK133" s="51"/>
      <c r="DL133" s="51"/>
      <c r="DM133" s="51"/>
    </row>
    <row r="134" spans="1:122" s="609" customFormat="1" ht="11.25" hidden="1" customHeight="1" outlineLevel="1">
      <c r="A134" s="547"/>
      <c r="B134"/>
      <c r="C134"/>
      <c r="D134"/>
      <c r="E134"/>
      <c r="F134"/>
      <c r="G134"/>
      <c r="H134" s="1044"/>
      <c r="I134" s="607" t="s">
        <v>737</v>
      </c>
      <c r="J134" s="608"/>
      <c r="K134" s="608"/>
      <c r="L134" s="608"/>
      <c r="M134" s="2213"/>
      <c r="N134" s="2213"/>
      <c r="O134" s="2213"/>
      <c r="P134" s="2214"/>
      <c r="Q134" s="2213"/>
      <c r="R134" s="2213"/>
      <c r="S134" s="2213"/>
      <c r="T134" s="2214"/>
      <c r="U134" s="2213"/>
      <c r="V134" s="2213"/>
      <c r="W134" s="2213"/>
      <c r="X134" s="2214"/>
      <c r="Y134" s="2213"/>
      <c r="Z134" s="2213"/>
      <c r="AA134" s="2213"/>
      <c r="AB134" s="2214"/>
      <c r="AC134" s="2213"/>
      <c r="AD134" s="2213"/>
      <c r="AE134" s="2213"/>
      <c r="AF134" s="2214"/>
      <c r="AG134" s="2213">
        <f>+AG128-1.09</f>
        <v>-0.34900000000000009</v>
      </c>
      <c r="AH134" s="2213">
        <f>+AH128+0.903</f>
        <v>-4.6750000000000007</v>
      </c>
      <c r="AI134" s="2213">
        <f>+AI128-26.088</f>
        <v>-7.9750000000000014</v>
      </c>
      <c r="AJ134" s="2214">
        <f>+AJ128-1.774</f>
        <v>-2.6630000000000003</v>
      </c>
      <c r="AK134" s="2213">
        <f>+AK128-13.303</f>
        <v>-1.7100000000000009</v>
      </c>
      <c r="AL134" s="2213">
        <f>+AL128+5.6</f>
        <v>-9.3640000000000008</v>
      </c>
      <c r="AM134" s="2213">
        <f>+AM128-42.746</f>
        <v>-16.089000000000002</v>
      </c>
      <c r="AN134" s="2214">
        <f>+AN128+1.719</f>
        <v>-9.5090000000000003</v>
      </c>
      <c r="AO134" s="2213">
        <f>+AO128+2.075</f>
        <v>-7.4430000000000005</v>
      </c>
      <c r="AP134" s="2213">
        <f>+AP128+7.908</f>
        <v>-18.302999999999997</v>
      </c>
      <c r="AQ134" s="2213">
        <f>+AQ128+11.62</f>
        <v>-31.231999999999999</v>
      </c>
      <c r="AR134" s="2214">
        <f>+AR128+6.792</f>
        <v>-13.17</v>
      </c>
      <c r="AS134" s="2213">
        <f>+AS128+7.432</f>
        <v>-8.109</v>
      </c>
      <c r="AT134" s="2213">
        <f>+AT128+9.717</f>
        <v>-22.777999999999999</v>
      </c>
      <c r="AU134" s="2213">
        <f>+AU128-171.529</f>
        <v>-46.641999999999996</v>
      </c>
      <c r="AV134" s="2214">
        <f>+AV128+2.949</f>
        <v>-26.734000000000002</v>
      </c>
      <c r="AW134" s="2213">
        <f>+AW128+7.13</f>
        <v>-19.823</v>
      </c>
      <c r="AX134" s="2213">
        <f>+AX128+11.317</f>
        <v>-39.957999999999998</v>
      </c>
      <c r="AY134" s="2213">
        <f>+AY128+12.281</f>
        <v>-81.837999999999994</v>
      </c>
      <c r="AZ134" s="2214">
        <f>+AZ128+3.633</f>
        <v>-42.160999999999994</v>
      </c>
      <c r="BA134" s="2213">
        <f>+BA128+5.447</f>
        <v>-31.232000000000003</v>
      </c>
      <c r="BB134" s="2213">
        <f>+BB128+12.257-12.528</f>
        <v>-60.585000000000001</v>
      </c>
      <c r="BC134" s="2057">
        <f>+BC128+16.325</f>
        <v>-122.64100000000001</v>
      </c>
      <c r="BD134" s="2058">
        <v>-59.657999999999994</v>
      </c>
      <c r="BE134" s="2057">
        <v>-39.754000000000005</v>
      </c>
      <c r="BF134" s="2057">
        <v>-76.978000000000009</v>
      </c>
      <c r="BG134" s="2057">
        <v>-125.67399999999999</v>
      </c>
      <c r="BH134" s="2058">
        <v>-61.799000000000007</v>
      </c>
      <c r="BI134" s="2059">
        <v>-55.454000000000001</v>
      </c>
      <c r="BJ134" s="2057">
        <v>-95.978999999999999</v>
      </c>
      <c r="BK134" s="2057">
        <v>-174.011</v>
      </c>
      <c r="BL134" s="2058">
        <v>-85.516000000000005</v>
      </c>
      <c r="BM134" s="2059">
        <v>-76.355999999999995</v>
      </c>
      <c r="BN134" s="2057">
        <v>-120.70499999999998</v>
      </c>
      <c r="BO134" s="2057">
        <v>-219.32000000000002</v>
      </c>
      <c r="BP134" s="2058">
        <v>-104.443</v>
      </c>
      <c r="BQ134" s="2057">
        <v>-75.426000000000002</v>
      </c>
      <c r="BR134" s="2057">
        <v>-113.78700000000001</v>
      </c>
      <c r="BS134" s="2057">
        <v>-254.47899999999998</v>
      </c>
      <c r="BT134" s="2058">
        <v>-109.11099999999999</v>
      </c>
      <c r="BU134" s="2059">
        <v>-102.706</v>
      </c>
      <c r="BV134" s="2057">
        <v>-116.887</v>
      </c>
      <c r="BW134" s="2057">
        <v>-281.64</v>
      </c>
      <c r="BX134" s="2058">
        <f t="shared" ref="BX134:CF134" si="268">+BX135*BX124*-1</f>
        <v>-107.42963999999998</v>
      </c>
      <c r="BY134" s="2057">
        <f t="shared" si="268"/>
        <v>-86.24616367201142</v>
      </c>
      <c r="BZ134" s="2057">
        <f t="shared" si="268"/>
        <v>-151.07647916671183</v>
      </c>
      <c r="CA134" s="2057">
        <f t="shared" si="268"/>
        <v>-324.79611517785827</v>
      </c>
      <c r="CB134" s="2058">
        <f t="shared" si="268"/>
        <v>-159.87055728294638</v>
      </c>
      <c r="CC134" s="2057">
        <f t="shared" si="268"/>
        <v>-132.41867257443417</v>
      </c>
      <c r="CD134" s="2057">
        <f t="shared" si="268"/>
        <v>-212.21557705885732</v>
      </c>
      <c r="CE134" s="2057">
        <f t="shared" si="268"/>
        <v>-447.1519098054805</v>
      </c>
      <c r="CF134" s="2058">
        <f t="shared" si="268"/>
        <v>-240.89320587452522</v>
      </c>
      <c r="CG134" s="2058"/>
      <c r="CH134" s="2284"/>
      <c r="CI134" s="2213"/>
      <c r="CJ134" s="2213"/>
      <c r="CK134" s="2213"/>
      <c r="CL134" s="2213"/>
      <c r="CM134" s="2057">
        <f>+SUM(AG134:AJ134)</f>
        <v>-15.662000000000003</v>
      </c>
      <c r="CN134" s="2213">
        <f>+SUM(AK134:AN134)</f>
        <v>-36.672000000000004</v>
      </c>
      <c r="CO134" s="2213">
        <f>+SUM(AO134:AR134)</f>
        <v>-70.147999999999996</v>
      </c>
      <c r="CP134" s="2213">
        <f>+SUM(AS134:AV134)</f>
        <v>-104.26300000000001</v>
      </c>
      <c r="CQ134" s="2057">
        <f>+SUM(AW134:AZ134)</f>
        <v>-183.78</v>
      </c>
      <c r="CR134" s="2057">
        <f>+SUM(BA134:BD134)</f>
        <v>-274.11600000000004</v>
      </c>
      <c r="CS134" s="2057">
        <f>+SUM(BE134:BH134)</f>
        <v>-304.20500000000004</v>
      </c>
      <c r="CT134" s="2057">
        <f>+SUM(BI134:BL134)</f>
        <v>-410.96</v>
      </c>
      <c r="CU134" s="2057">
        <f>SUM(BM134:BP134)</f>
        <v>-520.82399999999996</v>
      </c>
      <c r="CV134" s="2057">
        <f>SUM(BQ134:BT134)</f>
        <v>-552.803</v>
      </c>
      <c r="CW134" s="2057">
        <f>SUM(BU134:BX134)</f>
        <v>-608.66264000000001</v>
      </c>
      <c r="CX134" s="2057">
        <f>SUM(BY134:CB134)</f>
        <v>-721.9893152995279</v>
      </c>
      <c r="CY134" s="2057">
        <f>SUM(CC134:CF134)</f>
        <v>-1032.6793653132972</v>
      </c>
      <c r="CZ134" s="2057">
        <f t="shared" ref="CZ134:DF134" si="269">+CZ135*CZ124*-1</f>
        <v>-1195.1372207390109</v>
      </c>
      <c r="DA134" s="2057">
        <f t="shared" si="269"/>
        <v>-1355.3580649349176</v>
      </c>
      <c r="DB134" s="2057">
        <f t="shared" si="269"/>
        <v>-1516.0136546678841</v>
      </c>
      <c r="DC134" s="2057">
        <f t="shared" si="269"/>
        <v>-1675.4465500234721</v>
      </c>
      <c r="DD134" s="2057">
        <f t="shared" si="269"/>
        <v>-1830.2059908460878</v>
      </c>
      <c r="DE134" s="2057">
        <f t="shared" si="269"/>
        <v>-1984.2700944969961</v>
      </c>
      <c r="DF134" s="2058">
        <f t="shared" si="269"/>
        <v>-2155.795293278557</v>
      </c>
      <c r="DG134" s="1491">
        <f>+(CV134/CQ134)^(1/5)-1</f>
        <v>0.24639135714630878</v>
      </c>
      <c r="DH134" s="1491">
        <f>+(DA134/CV134)^(1/5)-1</f>
        <v>0.19645599635849975</v>
      </c>
      <c r="DI134" s="1709"/>
      <c r="DJ134" s="51"/>
      <c r="DK134" s="51"/>
      <c r="DL134" s="51"/>
      <c r="DM134" s="51"/>
    </row>
    <row r="135" spans="1:122" s="51" customFormat="1" ht="11.25" hidden="1" customHeight="1" outlineLevel="1">
      <c r="A135" s="82"/>
      <c r="B135"/>
      <c r="C135"/>
      <c r="D135"/>
      <c r="E135"/>
      <c r="F135"/>
      <c r="G135"/>
      <c r="H135" s="1044"/>
      <c r="I135" s="193" t="s">
        <v>39</v>
      </c>
      <c r="J135" s="82"/>
      <c r="K135" s="82"/>
      <c r="L135" s="82"/>
      <c r="M135" s="292"/>
      <c r="N135" s="292"/>
      <c r="O135" s="292"/>
      <c r="P135" s="1007"/>
      <c r="Q135" s="292"/>
      <c r="R135" s="292"/>
      <c r="S135" s="292"/>
      <c r="T135" s="1007"/>
      <c r="U135" s="2010"/>
      <c r="V135" s="2010"/>
      <c r="W135" s="2010"/>
      <c r="X135" s="2011"/>
      <c r="Y135" s="2010"/>
      <c r="Z135" s="2010"/>
      <c r="AA135" s="2010"/>
      <c r="AB135" s="2011"/>
      <c r="AC135" s="2010"/>
      <c r="AD135" s="2010"/>
      <c r="AE135" s="2010"/>
      <c r="AF135" s="2011"/>
      <c r="AG135" s="2010">
        <f t="shared" ref="AG135:BW135" si="270">+AG134/AG124*-1</f>
        <v>4.3091739720953204E-2</v>
      </c>
      <c r="AH135" s="2010">
        <f t="shared" si="270"/>
        <v>0.16152437549666585</v>
      </c>
      <c r="AI135" s="2010">
        <f t="shared" si="270"/>
        <v>0.20083102493074795</v>
      </c>
      <c r="AJ135" s="2011">
        <f t="shared" si="270"/>
        <v>0.10350993120068429</v>
      </c>
      <c r="AK135" s="2010">
        <f t="shared" si="270"/>
        <v>8.7719298245613919E-2</v>
      </c>
      <c r="AL135" s="2010">
        <f t="shared" si="270"/>
        <v>0.16060647639956108</v>
      </c>
      <c r="AM135" s="2010">
        <f t="shared" si="270"/>
        <v>0.17807415605976762</v>
      </c>
      <c r="AN135" s="2011">
        <f t="shared" si="270"/>
        <v>0.16722649174331286</v>
      </c>
      <c r="AO135" s="2010">
        <f t="shared" si="270"/>
        <v>0.16313067110857843</v>
      </c>
      <c r="AP135" s="2010">
        <f t="shared" si="270"/>
        <v>0.18627680470602595</v>
      </c>
      <c r="AQ135" s="2010">
        <f t="shared" si="270"/>
        <v>0.20798732044511625</v>
      </c>
      <c r="AR135" s="2011">
        <f t="shared" si="270"/>
        <v>0.18433502225456994</v>
      </c>
      <c r="AS135" s="2010">
        <f t="shared" si="270"/>
        <v>0.13646920228879164</v>
      </c>
      <c r="AT135" s="2010">
        <f t="shared" si="270"/>
        <v>0.18712518278757209</v>
      </c>
      <c r="AU135" s="2010">
        <f t="shared" si="270"/>
        <v>0.21202643852678854</v>
      </c>
      <c r="AV135" s="2011">
        <f t="shared" si="270"/>
        <v>0.2082362929671373</v>
      </c>
      <c r="AW135" s="2010">
        <f t="shared" si="270"/>
        <v>0.18515958490178336</v>
      </c>
      <c r="AX135" s="2010">
        <f t="shared" si="270"/>
        <v>0.20164615283686343</v>
      </c>
      <c r="AY135" s="2010">
        <f t="shared" si="270"/>
        <v>0.22961048871980055</v>
      </c>
      <c r="AZ135" s="2011">
        <f t="shared" si="270"/>
        <v>0.1938686359623307</v>
      </c>
      <c r="BA135" s="2010">
        <f t="shared" si="270"/>
        <v>0.18573781898412736</v>
      </c>
      <c r="BB135" s="1957">
        <f t="shared" si="270"/>
        <v>0.17636989790719945</v>
      </c>
      <c r="BC135" s="1957">
        <f t="shared" si="270"/>
        <v>0.19200126496866535</v>
      </c>
      <c r="BD135" s="1958">
        <f t="shared" si="270"/>
        <v>0.17694164822844799</v>
      </c>
      <c r="BE135" s="1957">
        <f t="shared" si="270"/>
        <v>0.15236321268147604</v>
      </c>
      <c r="BF135" s="1957">
        <f t="shared" si="270"/>
        <v>0.1596325328688151</v>
      </c>
      <c r="BG135" s="1957">
        <f t="shared" si="270"/>
        <v>0.16376148163784937</v>
      </c>
      <c r="BH135" s="1958">
        <f t="shared" si="270"/>
        <v>0.15031023269276136</v>
      </c>
      <c r="BI135" s="1970">
        <f t="shared" si="270"/>
        <v>0.15704943939235178</v>
      </c>
      <c r="BJ135" s="2285">
        <f t="shared" si="270"/>
        <v>0.15880177698359516</v>
      </c>
      <c r="BK135" s="2285">
        <f t="shared" si="270"/>
        <v>0.1590445863365573</v>
      </c>
      <c r="BL135" s="1958">
        <f t="shared" si="270"/>
        <v>0.15363084833274351</v>
      </c>
      <c r="BM135" s="1970">
        <f t="shared" si="270"/>
        <v>0.15493249248225566</v>
      </c>
      <c r="BN135" s="2285">
        <f t="shared" si="270"/>
        <v>0.15321684934723692</v>
      </c>
      <c r="BO135" s="2285">
        <f t="shared" si="270"/>
        <v>0.15645978002034575</v>
      </c>
      <c r="BP135" s="1958">
        <f t="shared" si="270"/>
        <v>0.15334008691566833</v>
      </c>
      <c r="BQ135" s="1970">
        <f t="shared" si="270"/>
        <v>0.14966871910674215</v>
      </c>
      <c r="BR135" s="1957">
        <f t="shared" si="270"/>
        <v>0.14839801817757367</v>
      </c>
      <c r="BS135" s="1957">
        <f t="shared" si="270"/>
        <v>0.16326141753399101</v>
      </c>
      <c r="BT135" s="1958">
        <f t="shared" si="270"/>
        <v>0.14546620484802916</v>
      </c>
      <c r="BU135" s="1970">
        <f t="shared" si="270"/>
        <v>0.1616933515955857</v>
      </c>
      <c r="BV135" s="1957">
        <f t="shared" si="270"/>
        <v>0.14262930803059362</v>
      </c>
      <c r="BW135" s="1957">
        <f t="shared" si="270"/>
        <v>0.15219810179288323</v>
      </c>
      <c r="BX135" s="2257">
        <v>0.12</v>
      </c>
      <c r="BY135" s="2256">
        <f>+BY138-0.025</f>
        <v>0.13349373468160744</v>
      </c>
      <c r="BZ135" s="2256">
        <f t="shared" ref="BZ135:CF135" si="271">+BZ138-0.025</f>
        <v>0.15280176388271147</v>
      </c>
      <c r="CA135" s="2256">
        <f t="shared" si="271"/>
        <v>0.1479805359428237</v>
      </c>
      <c r="CB135" s="2257">
        <f t="shared" si="271"/>
        <v>0.1481322606819846</v>
      </c>
      <c r="CC135" s="2256">
        <f t="shared" si="271"/>
        <v>0.17500000000000002</v>
      </c>
      <c r="CD135" s="2256">
        <f t="shared" si="271"/>
        <v>0.17500000000000002</v>
      </c>
      <c r="CE135" s="2256">
        <f t="shared" si="271"/>
        <v>0.17500000000000002</v>
      </c>
      <c r="CF135" s="2257">
        <f t="shared" si="271"/>
        <v>0.17500000000000002</v>
      </c>
      <c r="CG135" s="1007"/>
      <c r="CH135" s="1010"/>
      <c r="CI135" s="292"/>
      <c r="CJ135" s="2010"/>
      <c r="CK135" s="2010"/>
      <c r="CL135" s="2010"/>
      <c r="CM135" s="2010">
        <f t="shared" ref="CM135:CY135" si="272">+CM134/CM124*-1</f>
        <v>0.15283131178095002</v>
      </c>
      <c r="CN135" s="2010">
        <f t="shared" si="272"/>
        <v>0.1629786988191691</v>
      </c>
      <c r="CO135" s="2010">
        <f t="shared" si="272"/>
        <v>0.19192759349041838</v>
      </c>
      <c r="CP135" s="2010">
        <f t="shared" si="272"/>
        <v>0.19690431360255034</v>
      </c>
      <c r="CQ135" s="2010">
        <f t="shared" si="272"/>
        <v>0.20905209922296508</v>
      </c>
      <c r="CR135" s="1957">
        <f t="shared" si="272"/>
        <v>0.18427037292237364</v>
      </c>
      <c r="CS135" s="2010">
        <f t="shared" si="272"/>
        <v>0.15829994275901541</v>
      </c>
      <c r="CT135" s="2010">
        <f t="shared" si="272"/>
        <v>0.15756285203484816</v>
      </c>
      <c r="CU135" s="2010">
        <f t="shared" si="272"/>
        <v>0.15484469418244257</v>
      </c>
      <c r="CV135" s="2010">
        <f t="shared" si="272"/>
        <v>0.1544349090283309</v>
      </c>
      <c r="CW135" s="2010">
        <f t="shared" si="272"/>
        <v>0.14490463370945303</v>
      </c>
      <c r="CX135" s="2010">
        <f t="shared" si="272"/>
        <v>0.14707830636203109</v>
      </c>
      <c r="CY135" s="2010">
        <f t="shared" si="272"/>
        <v>0.17500000000000002</v>
      </c>
      <c r="CZ135" s="2256">
        <f t="shared" ref="CZ135:DF135" si="273">+CZ138-0.025</f>
        <v>0.17499999999999996</v>
      </c>
      <c r="DA135" s="2256">
        <f t="shared" si="273"/>
        <v>0.17499999999999996</v>
      </c>
      <c r="DB135" s="2256">
        <f t="shared" si="273"/>
        <v>0.17499999999999996</v>
      </c>
      <c r="DC135" s="2256">
        <f t="shared" si="273"/>
        <v>0.17499999999999996</v>
      </c>
      <c r="DD135" s="2256">
        <f t="shared" si="273"/>
        <v>0.17499999999999996</v>
      </c>
      <c r="DE135" s="2256">
        <f t="shared" si="273"/>
        <v>0.17499999999999996</v>
      </c>
      <c r="DF135" s="2257">
        <f t="shared" si="273"/>
        <v>0.17499999999999996</v>
      </c>
      <c r="DG135" s="1493"/>
      <c r="DH135" s="1493"/>
    </row>
    <row r="136" spans="1:122" s="26" customFormat="1" ht="11.25" hidden="1" customHeight="1" outlineLevel="1">
      <c r="A136" s="24"/>
      <c r="B136"/>
      <c r="C136"/>
      <c r="D136"/>
      <c r="E136"/>
      <c r="F136"/>
      <c r="G136"/>
      <c r="H136" s="1044"/>
      <c r="I136" s="160"/>
      <c r="J136" s="24"/>
      <c r="K136" s="24"/>
      <c r="L136" s="24"/>
      <c r="M136" s="34"/>
      <c r="N136" s="34"/>
      <c r="O136" s="34"/>
      <c r="P136" s="1412"/>
      <c r="Q136" s="34"/>
      <c r="R136" s="34"/>
      <c r="S136" s="34"/>
      <c r="T136" s="1412"/>
      <c r="U136" s="2010"/>
      <c r="V136" s="2010"/>
      <c r="W136" s="2010"/>
      <c r="X136" s="2011"/>
      <c r="Y136" s="2010"/>
      <c r="Z136" s="2010"/>
      <c r="AA136" s="2010"/>
      <c r="AB136" s="2011"/>
      <c r="AC136" s="2010"/>
      <c r="AD136" s="2010"/>
      <c r="AE136" s="2010"/>
      <c r="AF136" s="2011"/>
      <c r="AG136" s="2010"/>
      <c r="AH136" s="2010"/>
      <c r="AI136" s="2010"/>
      <c r="AJ136" s="2011"/>
      <c r="AK136" s="2010"/>
      <c r="AL136" s="2010"/>
      <c r="AM136" s="2010"/>
      <c r="AN136" s="2011"/>
      <c r="AO136" s="2010"/>
      <c r="AP136" s="2010"/>
      <c r="AQ136" s="2010"/>
      <c r="AR136" s="2011"/>
      <c r="AS136" s="2010"/>
      <c r="AT136" s="2010"/>
      <c r="AU136" s="2010"/>
      <c r="AV136" s="2011"/>
      <c r="AW136" s="2010"/>
      <c r="AX136" s="2010"/>
      <c r="AY136" s="2010"/>
      <c r="AZ136" s="2011"/>
      <c r="BA136" s="1957"/>
      <c r="BB136" s="1957"/>
      <c r="BC136" s="1957"/>
      <c r="BD136" s="1958"/>
      <c r="BE136" s="1957"/>
      <c r="BF136" s="1957"/>
      <c r="BG136" s="1957"/>
      <c r="BH136" s="1958"/>
      <c r="BI136" s="2207"/>
      <c r="BJ136" s="2208"/>
      <c r="BK136" s="2229"/>
      <c r="BL136" s="2198"/>
      <c r="BM136" s="2207"/>
      <c r="BN136" s="2208"/>
      <c r="BO136" s="2229"/>
      <c r="BP136" s="2198"/>
      <c r="BQ136" s="1957"/>
      <c r="BR136" s="1957"/>
      <c r="BS136" s="1957"/>
      <c r="BT136" s="1958"/>
      <c r="BU136" s="1970"/>
      <c r="BV136" s="1957"/>
      <c r="BW136" s="1957"/>
      <c r="BX136" s="1958"/>
      <c r="BY136" s="1957"/>
      <c r="BZ136" s="1957"/>
      <c r="CA136" s="1957"/>
      <c r="CB136" s="1958"/>
      <c r="CC136" s="1957"/>
      <c r="CD136" s="1957"/>
      <c r="CE136" s="1957"/>
      <c r="CF136" s="1958"/>
      <c r="CG136" s="1412"/>
      <c r="CH136" s="1414"/>
      <c r="CI136" s="34"/>
      <c r="CJ136" s="2010"/>
      <c r="CK136" s="2010"/>
      <c r="CL136" s="2010"/>
      <c r="CM136" s="2010"/>
      <c r="CN136" s="2010"/>
      <c r="CO136" s="2010"/>
      <c r="CP136" s="2010"/>
      <c r="CQ136" s="2010"/>
      <c r="CR136" s="1957"/>
      <c r="CS136" s="1957"/>
      <c r="CT136" s="2010"/>
      <c r="CU136" s="2010"/>
      <c r="CV136" s="2010"/>
      <c r="CW136" s="2010"/>
      <c r="CX136" s="2010"/>
      <c r="CY136" s="2010"/>
      <c r="CZ136" s="1957"/>
      <c r="DA136" s="1957"/>
      <c r="DB136" s="1957"/>
      <c r="DC136" s="1957"/>
      <c r="DD136" s="1957"/>
      <c r="DE136" s="1957"/>
      <c r="DF136" s="1958"/>
      <c r="DG136" s="945"/>
      <c r="DH136" s="945"/>
      <c r="DJ136" s="51"/>
      <c r="DK136" s="51"/>
      <c r="DL136" s="51"/>
      <c r="DM136" s="51"/>
    </row>
    <row r="137" spans="1:122" s="26" customFormat="1" ht="11.25" customHeight="1" collapsed="1">
      <c r="A137" s="24"/>
      <c r="B137"/>
      <c r="C137"/>
      <c r="D137"/>
      <c r="E137"/>
      <c r="F137"/>
      <c r="G137"/>
      <c r="H137" s="1044"/>
      <c r="I137" s="607" t="s">
        <v>718</v>
      </c>
      <c r="J137" s="24"/>
      <c r="K137" s="24"/>
      <c r="L137" s="24"/>
      <c r="M137" s="34"/>
      <c r="N137" s="34"/>
      <c r="O137" s="34"/>
      <c r="P137" s="1412"/>
      <c r="Q137" s="34"/>
      <c r="R137" s="34"/>
      <c r="S137" s="34"/>
      <c r="T137" s="1412"/>
      <c r="U137" s="2010"/>
      <c r="V137" s="2010"/>
      <c r="W137" s="2010"/>
      <c r="X137" s="2011"/>
      <c r="Y137" s="2010"/>
      <c r="Z137" s="2010"/>
      <c r="AA137" s="2010"/>
      <c r="AB137" s="2011"/>
      <c r="AC137" s="2010"/>
      <c r="AD137" s="2010"/>
      <c r="AE137" s="2010"/>
      <c r="AF137" s="2011"/>
      <c r="AG137" s="2256"/>
      <c r="AH137" s="2256"/>
      <c r="AI137" s="2256"/>
      <c r="AJ137" s="2257"/>
      <c r="AK137" s="2256"/>
      <c r="AL137" s="2256"/>
      <c r="AM137" s="2256"/>
      <c r="AN137" s="2257"/>
      <c r="AO137" s="2256"/>
      <c r="AP137" s="2256"/>
      <c r="AQ137" s="2256"/>
      <c r="AR137" s="2257"/>
      <c r="AS137" s="2256"/>
      <c r="AT137" s="2256"/>
      <c r="AU137" s="2256"/>
      <c r="AV137" s="2257"/>
      <c r="AW137" s="2256"/>
      <c r="AX137" s="2256"/>
      <c r="AY137" s="2256"/>
      <c r="AZ137" s="2257"/>
      <c r="BA137" s="2256"/>
      <c r="BB137" s="2256"/>
      <c r="BC137" s="2256"/>
      <c r="BD137" s="2257"/>
      <c r="BE137" s="2256"/>
      <c r="BF137" s="2256"/>
      <c r="BG137" s="2256"/>
      <c r="BH137" s="2257"/>
      <c r="BI137" s="2286"/>
      <c r="BJ137" s="2287"/>
      <c r="BK137" s="2288"/>
      <c r="BL137" s="2289"/>
      <c r="BM137" s="2286"/>
      <c r="BN137" s="2287"/>
      <c r="BO137" s="2288"/>
      <c r="BP137" s="2289"/>
      <c r="BQ137" s="2057">
        <f t="shared" ref="BQ137:BV137" si="274">+BQ128+BQ132</f>
        <v>-90.119</v>
      </c>
      <c r="BR137" s="2057">
        <f t="shared" si="274"/>
        <v>-153.161</v>
      </c>
      <c r="BS137" s="2057">
        <f t="shared" si="274"/>
        <v>-275.58799999999997</v>
      </c>
      <c r="BT137" s="2058">
        <f t="shared" si="274"/>
        <v>-134.483</v>
      </c>
      <c r="BU137" s="2059">
        <f t="shared" si="274"/>
        <v>-108.209</v>
      </c>
      <c r="BV137" s="2057">
        <f t="shared" si="274"/>
        <v>-134.16499999999999</v>
      </c>
      <c r="BW137" s="2057">
        <f t="shared" ref="BW137:CB137" si="275">+BW128+BW132</f>
        <v>-312.709</v>
      </c>
      <c r="BX137" s="2058">
        <f t="shared" si="275"/>
        <v>-109.86999999999999</v>
      </c>
      <c r="BY137" s="2057">
        <f t="shared" si="275"/>
        <v>-93.054999999999993</v>
      </c>
      <c r="BZ137" s="2057">
        <f t="shared" si="275"/>
        <v>-163.90299999999999</v>
      </c>
      <c r="CA137" s="2057">
        <f t="shared" si="275"/>
        <v>-368.178</v>
      </c>
      <c r="CB137" s="2058">
        <f t="shared" si="275"/>
        <v>-174.96399999999994</v>
      </c>
      <c r="CC137" s="2057">
        <f>+CC138*CC126*-1</f>
        <v>-138.60285779935327</v>
      </c>
      <c r="CD137" s="2057">
        <f>+CD138*CD126*-1</f>
        <v>-228.0862240672655</v>
      </c>
      <c r="CE137" s="2057">
        <f>+CE138*CE126*-1</f>
        <v>-496.68381806340625</v>
      </c>
      <c r="CF137" s="2058">
        <f>+CF138*CF126*-1</f>
        <v>-260.47552899945737</v>
      </c>
      <c r="CG137" s="1412"/>
      <c r="CH137" s="1414"/>
      <c r="CI137" s="34"/>
      <c r="CJ137" s="2010"/>
      <c r="CK137" s="2010"/>
      <c r="CL137" s="2010"/>
      <c r="CM137" s="2256"/>
      <c r="CN137" s="2256"/>
      <c r="CO137" s="2256"/>
      <c r="CP137" s="2256"/>
      <c r="CQ137" s="2256"/>
      <c r="CR137" s="2256"/>
      <c r="CS137" s="2256"/>
      <c r="CT137" s="2256"/>
      <c r="CU137" s="2256"/>
      <c r="CV137" s="2057">
        <f>+CV128+CV132</f>
        <v>-653.35099999999989</v>
      </c>
      <c r="CW137" s="2057">
        <f>SUM(BU137:BX137)</f>
        <v>-664.95299999999997</v>
      </c>
      <c r="CX137" s="2057">
        <f>SUM(BY137:CB137)</f>
        <v>-800.09999999999991</v>
      </c>
      <c r="CY137" s="2057">
        <f>SUM(CC137:CF137)</f>
        <v>-1123.8484289294825</v>
      </c>
      <c r="CZ137" s="2057">
        <f t="shared" ref="CZ137:DF137" si="276">+CZ138*CZ126*-1</f>
        <v>-1305.5695902160126</v>
      </c>
      <c r="DA137" s="2057">
        <f t="shared" si="276"/>
        <v>-1484.7595276919058</v>
      </c>
      <c r="DB137" s="2057">
        <f t="shared" si="276"/>
        <v>-1664.5126488812734</v>
      </c>
      <c r="DC137" s="2057">
        <f t="shared" si="276"/>
        <v>-1842.9775809684338</v>
      </c>
      <c r="DD137" s="2057">
        <f t="shared" si="276"/>
        <v>-2016.254589527075</v>
      </c>
      <c r="DE137" s="2057">
        <f t="shared" si="276"/>
        <v>-2188.9344278418898</v>
      </c>
      <c r="DF137" s="2058">
        <f t="shared" si="276"/>
        <v>-2381.811113528915</v>
      </c>
      <c r="DG137" s="945"/>
      <c r="DH137" s="945"/>
      <c r="DJ137" s="51"/>
      <c r="DK137" s="51"/>
      <c r="DL137" s="51"/>
      <c r="DM137" s="51"/>
    </row>
    <row r="138" spans="1:122" s="26" customFormat="1" ht="11.25" customHeight="1">
      <c r="A138" s="24"/>
      <c r="B138"/>
      <c r="C138"/>
      <c r="D138"/>
      <c r="E138"/>
      <c r="F138"/>
      <c r="G138"/>
      <c r="H138" s="1044"/>
      <c r="I138" s="193" t="s">
        <v>39</v>
      </c>
      <c r="J138" s="24"/>
      <c r="K138" s="24"/>
      <c r="L138" s="24"/>
      <c r="M138" s="34"/>
      <c r="N138" s="34"/>
      <c r="O138" s="34"/>
      <c r="P138" s="1412"/>
      <c r="Q138" s="34"/>
      <c r="R138" s="34"/>
      <c r="S138" s="34"/>
      <c r="T138" s="1412"/>
      <c r="U138" s="2010"/>
      <c r="V138" s="2010"/>
      <c r="W138" s="2010"/>
      <c r="X138" s="2011"/>
      <c r="Y138" s="2010"/>
      <c r="Z138" s="2010"/>
      <c r="AA138" s="2010"/>
      <c r="AB138" s="2011"/>
      <c r="AC138" s="2010"/>
      <c r="AD138" s="2010"/>
      <c r="AE138" s="2010"/>
      <c r="AF138" s="2011"/>
      <c r="AG138" s="2256"/>
      <c r="AH138" s="2256"/>
      <c r="AI138" s="2256"/>
      <c r="AJ138" s="2257"/>
      <c r="AK138" s="2256"/>
      <c r="AL138" s="2256"/>
      <c r="AM138" s="2256"/>
      <c r="AN138" s="2257"/>
      <c r="AO138" s="2256"/>
      <c r="AP138" s="2256"/>
      <c r="AQ138" s="2256"/>
      <c r="AR138" s="2257"/>
      <c r="AS138" s="2256"/>
      <c r="AT138" s="2256"/>
      <c r="AU138" s="2256"/>
      <c r="AV138" s="2257"/>
      <c r="AW138" s="2256"/>
      <c r="AX138" s="2256"/>
      <c r="AY138" s="2256"/>
      <c r="AZ138" s="2257"/>
      <c r="BA138" s="2256"/>
      <c r="BB138" s="2256"/>
      <c r="BC138" s="2256"/>
      <c r="BD138" s="2257"/>
      <c r="BE138" s="2256"/>
      <c r="BF138" s="2256"/>
      <c r="BG138" s="2256"/>
      <c r="BH138" s="2257"/>
      <c r="BI138" s="2286"/>
      <c r="BJ138" s="2287"/>
      <c r="BK138" s="2288"/>
      <c r="BL138" s="2289"/>
      <c r="BM138" s="2286"/>
      <c r="BN138" s="2287"/>
      <c r="BO138" s="2288"/>
      <c r="BP138" s="2289"/>
      <c r="BQ138" s="1970">
        <f t="shared" ref="BQ138:BZ138" si="277">+BQ137/BQ126*-1</f>
        <v>0.20028892420184696</v>
      </c>
      <c r="BR138" s="1957">
        <f t="shared" si="277"/>
        <v>0.21675617919488252</v>
      </c>
      <c r="BS138" s="1957">
        <f t="shared" si="277"/>
        <v>0.18367059949468389</v>
      </c>
      <c r="BT138" s="1958">
        <f t="shared" si="277"/>
        <v>0.19919600550413338</v>
      </c>
      <c r="BU138" s="1970">
        <f t="shared" si="277"/>
        <v>0.19011050791475623</v>
      </c>
      <c r="BV138" s="1957">
        <f t="shared" si="277"/>
        <v>0.17548460512203415</v>
      </c>
      <c r="BW138" s="1957">
        <f t="shared" si="277"/>
        <v>0.17407450085142079</v>
      </c>
      <c r="BX138" s="1958">
        <f>+BX137/BX126*-1</f>
        <v>0.13386977092149244</v>
      </c>
      <c r="BY138" s="1957">
        <f t="shared" si="277"/>
        <v>0.15849373468160743</v>
      </c>
      <c r="BZ138" s="1957">
        <f t="shared" si="277"/>
        <v>0.17780176388271146</v>
      </c>
      <c r="CA138" s="1957">
        <f>+CA137/CA126*-1</f>
        <v>0.1729805359428237</v>
      </c>
      <c r="CB138" s="1958">
        <f>+CB137/CB126*-1</f>
        <v>0.17313226068198459</v>
      </c>
      <c r="CC138" s="2256">
        <v>0.2</v>
      </c>
      <c r="CD138" s="2256">
        <v>0.2</v>
      </c>
      <c r="CE138" s="2256">
        <v>0.2</v>
      </c>
      <c r="CF138" s="2257">
        <v>0.2</v>
      </c>
      <c r="CG138" s="1412"/>
      <c r="CH138" s="1414"/>
      <c r="CI138" s="34"/>
      <c r="CJ138" s="2010"/>
      <c r="CK138" s="2010"/>
      <c r="CL138" s="2010"/>
      <c r="CM138" s="2256"/>
      <c r="CN138" s="2256"/>
      <c r="CO138" s="2256"/>
      <c r="CP138" s="2256"/>
      <c r="CQ138" s="2256"/>
      <c r="CR138" s="2256"/>
      <c r="CS138" s="2256"/>
      <c r="CT138" s="2256"/>
      <c r="CU138" s="2256"/>
      <c r="CV138" s="1957">
        <f>+CV137/CV126*-1</f>
        <v>0.19607631884268492</v>
      </c>
      <c r="CW138" s="1957">
        <f>+CW137/CW126*-1</f>
        <v>0.16830580263243819</v>
      </c>
      <c r="CX138" s="1957">
        <f>+CX137/CX126*-1</f>
        <v>0.17213977637965164</v>
      </c>
      <c r="CY138" s="1957">
        <f>+CY137/CY126*-1</f>
        <v>0.19999999999999996</v>
      </c>
      <c r="CZ138" s="2256">
        <f>+CY138</f>
        <v>0.19999999999999996</v>
      </c>
      <c r="DA138" s="2256">
        <f t="shared" ref="DA138:DF138" si="278">+CZ138</f>
        <v>0.19999999999999996</v>
      </c>
      <c r="DB138" s="2256">
        <f t="shared" si="278"/>
        <v>0.19999999999999996</v>
      </c>
      <c r="DC138" s="2256">
        <f t="shared" si="278"/>
        <v>0.19999999999999996</v>
      </c>
      <c r="DD138" s="2256">
        <f t="shared" si="278"/>
        <v>0.19999999999999996</v>
      </c>
      <c r="DE138" s="2256">
        <f t="shared" si="278"/>
        <v>0.19999999999999996</v>
      </c>
      <c r="DF138" s="2257">
        <f t="shared" si="278"/>
        <v>0.19999999999999996</v>
      </c>
      <c r="DG138" s="945"/>
      <c r="DH138" s="945"/>
      <c r="DJ138" s="51"/>
      <c r="DK138" s="51"/>
      <c r="DL138" s="51"/>
      <c r="DM138" s="51"/>
    </row>
    <row r="139" spans="1:122" s="26" customFormat="1" ht="11.25" hidden="1" customHeight="1" outlineLevel="1">
      <c r="A139" s="24"/>
      <c r="B139"/>
      <c r="C139"/>
      <c r="D139"/>
      <c r="E139"/>
      <c r="F139"/>
      <c r="G139"/>
      <c r="H139" s="1044"/>
      <c r="I139" s="1861" t="s">
        <v>722</v>
      </c>
      <c r="J139" s="24"/>
      <c r="K139" s="24"/>
      <c r="L139" s="24"/>
      <c r="M139" s="34"/>
      <c r="N139" s="34"/>
      <c r="O139" s="34"/>
      <c r="P139" s="1412"/>
      <c r="Q139" s="34"/>
      <c r="R139" s="34"/>
      <c r="S139" s="34"/>
      <c r="T139" s="1412"/>
      <c r="U139" s="2010"/>
      <c r="V139" s="2010"/>
      <c r="W139" s="2010"/>
      <c r="X139" s="2011"/>
      <c r="Y139" s="2010"/>
      <c r="Z139" s="2010"/>
      <c r="AA139" s="2010"/>
      <c r="AB139" s="2011"/>
      <c r="AC139" s="2010"/>
      <c r="AD139" s="2010"/>
      <c r="AE139" s="2010"/>
      <c r="AF139" s="2011"/>
      <c r="AG139" s="2256"/>
      <c r="AH139" s="2256"/>
      <c r="AI139" s="2256"/>
      <c r="AJ139" s="2257"/>
      <c r="AK139" s="2256"/>
      <c r="AL139" s="2256"/>
      <c r="AM139" s="2256"/>
      <c r="AN139" s="2257"/>
      <c r="AO139" s="2256"/>
      <c r="AP139" s="2256"/>
      <c r="AQ139" s="2256"/>
      <c r="AR139" s="2257"/>
      <c r="AS139" s="2256"/>
      <c r="AT139" s="2256"/>
      <c r="AU139" s="2256"/>
      <c r="AV139" s="2257"/>
      <c r="AW139" s="2256"/>
      <c r="AX139" s="2256"/>
      <c r="AY139" s="2256"/>
      <c r="AZ139" s="2257"/>
      <c r="BA139" s="2256"/>
      <c r="BB139" s="2256"/>
      <c r="BC139" s="2256"/>
      <c r="BD139" s="2257"/>
      <c r="BE139" s="2256"/>
      <c r="BF139" s="2256"/>
      <c r="BG139" s="2256"/>
      <c r="BH139" s="2257"/>
      <c r="BI139" s="2286"/>
      <c r="BJ139" s="2287"/>
      <c r="BK139" s="2288"/>
      <c r="BL139" s="2289"/>
      <c r="BM139" s="2286"/>
      <c r="BN139" s="2287"/>
      <c r="BO139" s="2288"/>
      <c r="BP139" s="2289"/>
      <c r="BQ139" s="2013">
        <f>+(BQ138-BQ135)*10000</f>
        <v>506.20205095104814</v>
      </c>
      <c r="BR139" s="2013">
        <f t="shared" ref="BR139:CF139" si="279">+(BR138-BR135)*10000</f>
        <v>683.58161017308851</v>
      </c>
      <c r="BS139" s="2013">
        <f t="shared" si="279"/>
        <v>204.09181960692885</v>
      </c>
      <c r="BT139" s="2014">
        <f t="shared" si="279"/>
        <v>537.29800656104226</v>
      </c>
      <c r="BU139" s="2015">
        <f t="shared" si="279"/>
        <v>284.17156319170522</v>
      </c>
      <c r="BV139" s="2013">
        <f>+(BV138-BV135)*10000</f>
        <v>328.55297091440525</v>
      </c>
      <c r="BW139" s="2013">
        <f t="shared" si="279"/>
        <v>218.76399058537555</v>
      </c>
      <c r="BX139" s="2014">
        <f t="shared" si="279"/>
        <v>138.6977092149244</v>
      </c>
      <c r="BY139" s="2013">
        <f t="shared" si="279"/>
        <v>249.99999999999994</v>
      </c>
      <c r="BZ139" s="2013">
        <f t="shared" si="279"/>
        <v>249.99999999999994</v>
      </c>
      <c r="CA139" s="2013">
        <f>+(CA138-CA135)*10000</f>
        <v>249.99999999999994</v>
      </c>
      <c r="CB139" s="2014">
        <f t="shared" si="279"/>
        <v>249.99999999999994</v>
      </c>
      <c r="CC139" s="2013">
        <f t="shared" si="279"/>
        <v>249.99999999999994</v>
      </c>
      <c r="CD139" s="2013">
        <f t="shared" si="279"/>
        <v>249.99999999999994</v>
      </c>
      <c r="CE139" s="2013">
        <f t="shared" si="279"/>
        <v>249.99999999999994</v>
      </c>
      <c r="CF139" s="2014">
        <f t="shared" si="279"/>
        <v>249.99999999999994</v>
      </c>
      <c r="CG139" s="1412"/>
      <c r="CH139" s="1414"/>
      <c r="CI139" s="34"/>
      <c r="CJ139" s="2010"/>
      <c r="CK139" s="2010"/>
      <c r="CL139" s="2010"/>
      <c r="CM139" s="2010"/>
      <c r="CN139" s="2010"/>
      <c r="CO139" s="2010"/>
      <c r="CP139" s="2010"/>
      <c r="CQ139" s="2010"/>
      <c r="CR139" s="1957"/>
      <c r="CS139" s="1957"/>
      <c r="CT139" s="2010"/>
      <c r="CU139" s="2010"/>
      <c r="CV139" s="2013">
        <f t="shared" ref="CV139:DF139" si="280">+(CV138-CV135)*10000</f>
        <v>416.41409814354017</v>
      </c>
      <c r="CW139" s="2013">
        <f t="shared" si="280"/>
        <v>234.01168922985161</v>
      </c>
      <c r="CX139" s="2013">
        <f t="shared" si="280"/>
        <v>250.61470017620547</v>
      </c>
      <c r="CY139" s="2013">
        <f t="shared" si="280"/>
        <v>249.9999999999994</v>
      </c>
      <c r="CZ139" s="2013">
        <f t="shared" si="280"/>
        <v>249.99999999999994</v>
      </c>
      <c r="DA139" s="2013">
        <f t="shared" si="280"/>
        <v>249.99999999999994</v>
      </c>
      <c r="DB139" s="2013">
        <f t="shared" si="280"/>
        <v>249.99999999999994</v>
      </c>
      <c r="DC139" s="2013">
        <f t="shared" si="280"/>
        <v>249.99999999999994</v>
      </c>
      <c r="DD139" s="2013">
        <f t="shared" si="280"/>
        <v>249.99999999999994</v>
      </c>
      <c r="DE139" s="2013">
        <f t="shared" si="280"/>
        <v>249.99999999999994</v>
      </c>
      <c r="DF139" s="2014">
        <f t="shared" si="280"/>
        <v>249.99999999999994</v>
      </c>
      <c r="DG139" s="945"/>
      <c r="DH139" s="945"/>
      <c r="DJ139" s="51"/>
      <c r="DK139" s="51"/>
      <c r="DL139" s="51"/>
      <c r="DM139" s="51"/>
    </row>
    <row r="140" spans="1:122" s="26" customFormat="1" ht="11.25" customHeight="1" collapsed="1">
      <c r="A140" s="24"/>
      <c r="B140"/>
      <c r="C140"/>
      <c r="D140"/>
      <c r="E140"/>
      <c r="F140"/>
      <c r="G140"/>
      <c r="H140" s="1044"/>
      <c r="I140" s="160"/>
      <c r="J140" s="24"/>
      <c r="K140" s="24"/>
      <c r="L140" s="24"/>
      <c r="M140" s="34"/>
      <c r="N140" s="34"/>
      <c r="O140" s="34"/>
      <c r="P140" s="1412"/>
      <c r="Q140" s="34"/>
      <c r="R140" s="34"/>
      <c r="S140" s="34"/>
      <c r="T140" s="1412"/>
      <c r="U140" s="2010"/>
      <c r="V140" s="2010"/>
      <c r="W140" s="2010"/>
      <c r="X140" s="2011"/>
      <c r="Y140" s="2010"/>
      <c r="Z140" s="2010"/>
      <c r="AA140" s="2010"/>
      <c r="AB140" s="2011"/>
      <c r="AC140" s="2010"/>
      <c r="AD140" s="2010"/>
      <c r="AE140" s="2010"/>
      <c r="AF140" s="2011"/>
      <c r="AG140" s="2010"/>
      <c r="AH140" s="2010"/>
      <c r="AI140" s="2010"/>
      <c r="AJ140" s="2011"/>
      <c r="AK140" s="2010"/>
      <c r="AL140" s="2010"/>
      <c r="AM140" s="2010"/>
      <c r="AN140" s="2011"/>
      <c r="AO140" s="2010"/>
      <c r="AP140" s="2010"/>
      <c r="AQ140" s="2010"/>
      <c r="AR140" s="2011"/>
      <c r="AS140" s="2010"/>
      <c r="AT140" s="2010"/>
      <c r="AU140" s="2010"/>
      <c r="AV140" s="2011"/>
      <c r="AW140" s="2010"/>
      <c r="AX140" s="2010"/>
      <c r="AY140" s="2010"/>
      <c r="AZ140" s="2011"/>
      <c r="BA140" s="1957"/>
      <c r="BB140" s="1957"/>
      <c r="BC140" s="1957"/>
      <c r="BD140" s="1958"/>
      <c r="BE140" s="1957"/>
      <c r="BF140" s="1957"/>
      <c r="BG140" s="1957"/>
      <c r="BH140" s="1958"/>
      <c r="BI140" s="2207"/>
      <c r="BJ140" s="2208"/>
      <c r="BK140" s="2229"/>
      <c r="BL140" s="2198"/>
      <c r="BM140" s="2207"/>
      <c r="BN140" s="2208"/>
      <c r="BO140" s="2229"/>
      <c r="BP140" s="2198"/>
      <c r="BQ140" s="1957"/>
      <c r="BR140" s="1957"/>
      <c r="BS140" s="1957"/>
      <c r="BT140" s="1958"/>
      <c r="BU140" s="1970"/>
      <c r="BV140" s="1957"/>
      <c r="BW140" s="1957"/>
      <c r="BX140" s="1958"/>
      <c r="BY140" s="1957"/>
      <c r="BZ140" s="1957"/>
      <c r="CA140" s="1957"/>
      <c r="CB140" s="1958"/>
      <c r="CC140" s="1957"/>
      <c r="CD140" s="1957"/>
      <c r="CE140" s="1957"/>
      <c r="CF140" s="1958"/>
      <c r="CG140" s="1412"/>
      <c r="CH140" s="1414"/>
      <c r="CI140" s="34"/>
      <c r="CJ140" s="2010"/>
      <c r="CK140" s="2010"/>
      <c r="CL140" s="2010"/>
      <c r="CM140" s="2010"/>
      <c r="CN140" s="2010"/>
      <c r="CO140" s="2010"/>
      <c r="CP140" s="2010"/>
      <c r="CQ140" s="2010"/>
      <c r="CR140" s="1957"/>
      <c r="CS140" s="1957"/>
      <c r="CT140" s="2010"/>
      <c r="CU140" s="2010"/>
      <c r="CV140" s="2010"/>
      <c r="CW140" s="2010"/>
      <c r="CX140" s="2010"/>
      <c r="CY140" s="2010"/>
      <c r="CZ140" s="1957"/>
      <c r="DA140" s="1957"/>
      <c r="DB140" s="1957"/>
      <c r="DC140" s="1957"/>
      <c r="DD140" s="1957"/>
      <c r="DE140" s="1957"/>
      <c r="DF140" s="1958"/>
      <c r="DG140" s="945"/>
      <c r="DH140" s="945"/>
      <c r="DJ140" s="51"/>
      <c r="DK140" s="51"/>
      <c r="DL140" s="51"/>
      <c r="DM140" s="51"/>
    </row>
    <row r="141" spans="1:122" s="554" customFormat="1" ht="11.25" customHeight="1">
      <c r="A141" s="547"/>
      <c r="B141"/>
      <c r="C141"/>
      <c r="D141"/>
      <c r="E141"/>
      <c r="F141"/>
      <c r="G141"/>
      <c r="H141" s="1044"/>
      <c r="I141" s="591" t="s">
        <v>40</v>
      </c>
      <c r="J141" s="547"/>
      <c r="K141" s="547"/>
      <c r="L141" s="547"/>
      <c r="M141" s="548"/>
      <c r="N141" s="548"/>
      <c r="O141" s="548"/>
      <c r="P141" s="2056"/>
      <c r="Q141" s="548"/>
      <c r="R141" s="548"/>
      <c r="S141" s="548"/>
      <c r="T141" s="2056"/>
      <c r="U141" s="2213"/>
      <c r="V141" s="2213"/>
      <c r="W141" s="2213"/>
      <c r="X141" s="2214"/>
      <c r="Y141" s="2213"/>
      <c r="Z141" s="2213"/>
      <c r="AA141" s="2213"/>
      <c r="AB141" s="2214"/>
      <c r="AC141" s="2213"/>
      <c r="AD141" s="2213"/>
      <c r="AE141" s="2213"/>
      <c r="AF141" s="2214"/>
      <c r="AG141" s="2213">
        <v>0.20100000000000001</v>
      </c>
      <c r="AH141" s="2213">
        <v>-0.88700000000000001</v>
      </c>
      <c r="AI141" s="2213">
        <v>-2.3279999999999998</v>
      </c>
      <c r="AJ141" s="2214">
        <v>-0.53900000000000003</v>
      </c>
      <c r="AK141" s="2213">
        <v>-9.2999999999999999E-2</v>
      </c>
      <c r="AL141" s="2213">
        <v>-1.3340000000000001</v>
      </c>
      <c r="AM141" s="2213">
        <v>-2.516</v>
      </c>
      <c r="AN141" s="2214">
        <v>-1.0549999999999999</v>
      </c>
      <c r="AO141" s="2213">
        <v>-0.51</v>
      </c>
      <c r="AP141" s="2213">
        <v>-1.2310000000000001</v>
      </c>
      <c r="AQ141" s="2213">
        <v>-1.9</v>
      </c>
      <c r="AR141" s="2214">
        <v>-4.7E-2</v>
      </c>
      <c r="AS141" s="2213">
        <v>-3.1E-2</v>
      </c>
      <c r="AT141" s="2213">
        <v>3.3000000000000002E-2</v>
      </c>
      <c r="AU141" s="2213">
        <v>0</v>
      </c>
      <c r="AV141" s="2214">
        <v>0</v>
      </c>
      <c r="AW141" s="2213">
        <v>0</v>
      </c>
      <c r="AX141" s="2213">
        <v>0.36099999999999999</v>
      </c>
      <c r="AY141" s="2213">
        <f>-1.58</f>
        <v>-1.58</v>
      </c>
      <c r="AZ141" s="2214">
        <f>0.618</f>
        <v>0.61799999999999999</v>
      </c>
      <c r="BA141" s="2213">
        <f>0.777</f>
        <v>0.77700000000000002</v>
      </c>
      <c r="BB141" s="2213">
        <v>9.0999999999999998E-2</v>
      </c>
      <c r="BC141" s="2213">
        <v>-3.387</v>
      </c>
      <c r="BD141" s="2058">
        <v>-0.24</v>
      </c>
      <c r="BE141" s="2057">
        <v>0.154</v>
      </c>
      <c r="BF141" s="2057">
        <v>-0.307</v>
      </c>
      <c r="BG141" s="2057">
        <v>-3.387</v>
      </c>
      <c r="BH141" s="2058">
        <v>-0.93200000000000005</v>
      </c>
      <c r="BI141" s="2059">
        <v>-2.1000000000000001E-2</v>
      </c>
      <c r="BJ141" s="2057">
        <v>-0.114</v>
      </c>
      <c r="BK141" s="2057">
        <v>0</v>
      </c>
      <c r="BL141" s="2058">
        <v>0</v>
      </c>
      <c r="BM141" s="2059">
        <v>0</v>
      </c>
      <c r="BN141" s="2057">
        <v>0</v>
      </c>
      <c r="BO141" s="2057">
        <v>0</v>
      </c>
      <c r="BP141" s="2058">
        <v>0</v>
      </c>
      <c r="BQ141" s="2057">
        <v>0</v>
      </c>
      <c r="BR141" s="2057">
        <v>0</v>
      </c>
      <c r="BS141" s="2057">
        <v>0</v>
      </c>
      <c r="BT141" s="2058">
        <v>0</v>
      </c>
      <c r="BU141" s="2059">
        <v>0</v>
      </c>
      <c r="BV141" s="2057">
        <v>0</v>
      </c>
      <c r="BW141" s="2057">
        <v>0</v>
      </c>
      <c r="BX141" s="2058">
        <v>0</v>
      </c>
      <c r="BY141" s="2059">
        <v>0</v>
      </c>
      <c r="BZ141" s="2057">
        <v>0</v>
      </c>
      <c r="CA141" s="2057">
        <v>0</v>
      </c>
      <c r="CB141" s="2058">
        <v>0</v>
      </c>
      <c r="CC141" s="2057">
        <v>0</v>
      </c>
      <c r="CD141" s="2057">
        <v>0</v>
      </c>
      <c r="CE141" s="2057">
        <v>0</v>
      </c>
      <c r="CF141" s="2058">
        <v>0</v>
      </c>
      <c r="CG141" s="2056"/>
      <c r="CH141" s="2060"/>
      <c r="CI141" s="548"/>
      <c r="CJ141" s="2213"/>
      <c r="CK141" s="2213"/>
      <c r="CL141" s="2213"/>
      <c r="CM141" s="2213">
        <f>+SUM(AG141:AJ141)</f>
        <v>-3.5529999999999999</v>
      </c>
      <c r="CN141" s="2213">
        <f>+SUM(AK141:AN141)</f>
        <v>-4.9980000000000002</v>
      </c>
      <c r="CO141" s="2057">
        <f>+SUM(AO141:AR141)</f>
        <v>-3.6880000000000002</v>
      </c>
      <c r="CP141" s="2213">
        <f>+SUM(AS141:AV141)</f>
        <v>2.0000000000000018E-3</v>
      </c>
      <c r="CQ141" s="2057">
        <f>+SUM(AW141:AZ141)</f>
        <v>-0.60100000000000009</v>
      </c>
      <c r="CR141" s="2057">
        <f>+SUM(BA141:BD141)</f>
        <v>-2.7590000000000003</v>
      </c>
      <c r="CS141" s="2057">
        <f>+SUM(BE141:BH141)</f>
        <v>-4.4720000000000004</v>
      </c>
      <c r="CT141" s="2057">
        <f>+SUM(BI141:BL141)</f>
        <v>-0.13500000000000001</v>
      </c>
      <c r="CU141" s="2057">
        <f>SUM(BM141:BP141)</f>
        <v>0</v>
      </c>
      <c r="CV141" s="2057">
        <f>SUM(BQ141:BT141)</f>
        <v>0</v>
      </c>
      <c r="CW141" s="2057">
        <f>SUM(BU141:BX141)</f>
        <v>0</v>
      </c>
      <c r="CX141" s="2057">
        <f>SUM(BY141:CB141)</f>
        <v>0</v>
      </c>
      <c r="CY141" s="2057">
        <f>SUM(CC141:CF141)</f>
        <v>0</v>
      </c>
      <c r="CZ141" s="2259">
        <f t="shared" ref="CZ141:DF141" si="281">+CY141</f>
        <v>0</v>
      </c>
      <c r="DA141" s="2259">
        <f t="shared" si="281"/>
        <v>0</v>
      </c>
      <c r="DB141" s="2259">
        <f t="shared" si="281"/>
        <v>0</v>
      </c>
      <c r="DC141" s="2259">
        <f t="shared" si="281"/>
        <v>0</v>
      </c>
      <c r="DD141" s="2259">
        <f t="shared" si="281"/>
        <v>0</v>
      </c>
      <c r="DE141" s="2259">
        <f t="shared" si="281"/>
        <v>0</v>
      </c>
      <c r="DF141" s="2260">
        <f t="shared" si="281"/>
        <v>0</v>
      </c>
      <c r="DG141" s="1492"/>
      <c r="DH141" s="1492"/>
      <c r="DJ141" s="51"/>
      <c r="DK141" s="51"/>
      <c r="DL141" s="51"/>
      <c r="DM141" s="51"/>
    </row>
    <row r="142" spans="1:122" s="554" customFormat="1" ht="11.25" customHeight="1">
      <c r="A142" s="547"/>
      <c r="B142"/>
      <c r="C142"/>
      <c r="D142"/>
      <c r="E142"/>
      <c r="F142"/>
      <c r="G142"/>
      <c r="H142" s="1044"/>
      <c r="I142" s="591" t="s">
        <v>41</v>
      </c>
      <c r="J142" s="547"/>
      <c r="K142" s="547"/>
      <c r="L142" s="547"/>
      <c r="M142" s="548"/>
      <c r="N142" s="548"/>
      <c r="O142" s="548"/>
      <c r="P142" s="2056"/>
      <c r="Q142" s="548"/>
      <c r="R142" s="548"/>
      <c r="S142" s="548"/>
      <c r="T142" s="2056"/>
      <c r="U142" s="2213"/>
      <c r="V142" s="2213"/>
      <c r="W142" s="2213"/>
      <c r="X142" s="2214"/>
      <c r="Y142" s="2213"/>
      <c r="Z142" s="2213"/>
      <c r="AA142" s="2213"/>
      <c r="AB142" s="2214"/>
      <c r="AC142" s="2213"/>
      <c r="AD142" s="2213"/>
      <c r="AE142" s="2213"/>
      <c r="AF142" s="2214"/>
      <c r="AG142" s="2213">
        <v>-0.86499999999999999</v>
      </c>
      <c r="AH142" s="2213">
        <v>0</v>
      </c>
      <c r="AI142" s="2213">
        <v>-1.0629999999999999</v>
      </c>
      <c r="AJ142" s="2214">
        <v>0</v>
      </c>
      <c r="AK142" s="2213">
        <v>-1.5549999999999999</v>
      </c>
      <c r="AL142" s="2213"/>
      <c r="AM142" s="2213"/>
      <c r="AN142" s="2214"/>
      <c r="AO142" s="2213"/>
      <c r="AP142" s="2213"/>
      <c r="AQ142" s="2213"/>
      <c r="AR142" s="2214"/>
      <c r="AS142" s="2213"/>
      <c r="AT142" s="2213"/>
      <c r="AU142" s="2213"/>
      <c r="AV142" s="2214"/>
      <c r="AW142" s="2213"/>
      <c r="AX142" s="2213"/>
      <c r="AY142" s="2213"/>
      <c r="AZ142" s="2058"/>
      <c r="BA142" s="2057"/>
      <c r="BB142" s="2057"/>
      <c r="BC142" s="2057"/>
      <c r="BD142" s="2058"/>
      <c r="BE142" s="548"/>
      <c r="BF142" s="548"/>
      <c r="BG142" s="548"/>
      <c r="BH142" s="2264"/>
      <c r="BI142" s="2225"/>
      <c r="BJ142" s="2226"/>
      <c r="BK142" s="2226"/>
      <c r="BL142" s="2264"/>
      <c r="BM142" s="2225"/>
      <c r="BN142" s="2226"/>
      <c r="BO142" s="2226"/>
      <c r="BP142" s="2264"/>
      <c r="BQ142" s="2057"/>
      <c r="BR142" s="2057"/>
      <c r="BS142" s="2057"/>
      <c r="BT142" s="2058"/>
      <c r="BU142" s="2059"/>
      <c r="BV142" s="2057"/>
      <c r="BW142" s="2057"/>
      <c r="BX142" s="2058"/>
      <c r="BY142" s="2057"/>
      <c r="BZ142" s="2057"/>
      <c r="CA142" s="2057"/>
      <c r="CB142" s="2058"/>
      <c r="CC142" s="2057"/>
      <c r="CD142" s="2057"/>
      <c r="CE142" s="2057"/>
      <c r="CF142" s="2058"/>
      <c r="CG142" s="2056"/>
      <c r="CH142" s="2060"/>
      <c r="CI142" s="548"/>
      <c r="CJ142" s="2213"/>
      <c r="CK142" s="2213"/>
      <c r="CL142" s="2213"/>
      <c r="CM142" s="2213">
        <f>+SUM(AG142:AJ142)</f>
        <v>-1.9279999999999999</v>
      </c>
      <c r="CN142" s="2213">
        <f>+SUM(AK142:AN142)</f>
        <v>-1.5549999999999999</v>
      </c>
      <c r="CO142" s="2213"/>
      <c r="CP142" s="2213"/>
      <c r="CQ142" s="2057"/>
      <c r="CR142" s="2057"/>
      <c r="CS142" s="2057"/>
      <c r="CT142" s="2057"/>
      <c r="CU142" s="2057"/>
      <c r="CV142" s="2057"/>
      <c r="CW142" s="2057"/>
      <c r="CX142" s="2057"/>
      <c r="CY142" s="2057"/>
      <c r="CZ142" s="2057"/>
      <c r="DA142" s="2057"/>
      <c r="DB142" s="2057"/>
      <c r="DC142" s="2057"/>
      <c r="DD142" s="2057"/>
      <c r="DE142" s="2057"/>
      <c r="DF142" s="2058"/>
      <c r="DG142" s="1492"/>
      <c r="DH142" s="1492"/>
      <c r="DJ142" s="51"/>
      <c r="DK142" s="51"/>
      <c r="DL142" s="51"/>
      <c r="DM142" s="51"/>
    </row>
    <row r="143" spans="1:122" s="584" customFormat="1" ht="11.25" customHeight="1">
      <c r="A143" s="542"/>
      <c r="B143"/>
      <c r="C143"/>
      <c r="D143"/>
      <c r="E143"/>
      <c r="F143"/>
      <c r="G143"/>
      <c r="H143" s="1052"/>
      <c r="I143" s="544" t="s">
        <v>42</v>
      </c>
      <c r="J143" s="542"/>
      <c r="K143" s="542"/>
      <c r="L143" s="542"/>
      <c r="M143" s="543"/>
      <c r="N143" s="543"/>
      <c r="O143" s="543"/>
      <c r="P143" s="1003"/>
      <c r="Q143" s="543"/>
      <c r="R143" s="543"/>
      <c r="S143" s="543"/>
      <c r="T143" s="1003"/>
      <c r="U143" s="1931"/>
      <c r="V143" s="1931"/>
      <c r="W143" s="1931"/>
      <c r="X143" s="1930"/>
      <c r="Y143" s="1931"/>
      <c r="Z143" s="1931"/>
      <c r="AA143" s="1931"/>
      <c r="AB143" s="1930"/>
      <c r="AC143" s="1931"/>
      <c r="AD143" s="1931"/>
      <c r="AE143" s="1931"/>
      <c r="AF143" s="1930"/>
      <c r="AG143" s="1931">
        <f t="shared" ref="AG143:BL143" si="282">+AG128+AG141+AG123+AG142</f>
        <v>-0.8290000000000084</v>
      </c>
      <c r="AH143" s="1931">
        <f t="shared" si="282"/>
        <v>12.517000000000007</v>
      </c>
      <c r="AI143" s="1931">
        <f t="shared" si="282"/>
        <v>46.527000000000001</v>
      </c>
      <c r="AJ143" s="1930">
        <f t="shared" si="282"/>
        <v>13.231999999999964</v>
      </c>
      <c r="AK143" s="1931">
        <f t="shared" si="282"/>
        <v>22.708000000000041</v>
      </c>
      <c r="AL143" s="1931">
        <f t="shared" si="282"/>
        <v>32.253999999999955</v>
      </c>
      <c r="AM143" s="1931">
        <f t="shared" si="282"/>
        <v>104.36499999999998</v>
      </c>
      <c r="AN143" s="1930">
        <f t="shared" si="282"/>
        <v>32.862000000000016</v>
      </c>
      <c r="AO143" s="1931">
        <f t="shared" si="282"/>
        <v>18.154000000000018</v>
      </c>
      <c r="AP143" s="1931">
        <f t="shared" si="282"/>
        <v>54.096000000000039</v>
      </c>
      <c r="AQ143" s="1931">
        <f t="shared" si="282"/>
        <v>87.968000000000032</v>
      </c>
      <c r="AR143" s="1930">
        <f t="shared" si="282"/>
        <v>34.146000000000001</v>
      </c>
      <c r="AS143" s="1931">
        <f t="shared" si="282"/>
        <v>25.02300000000001</v>
      </c>
      <c r="AT143" s="1931">
        <f t="shared" si="282"/>
        <v>67.010999999999967</v>
      </c>
      <c r="AU143" s="1931">
        <f t="shared" si="282"/>
        <v>318.98199999999997</v>
      </c>
      <c r="AV143" s="1930">
        <f t="shared" si="282"/>
        <v>78.455000000000069</v>
      </c>
      <c r="AW143" s="1931">
        <f t="shared" si="282"/>
        <v>53.874999999999872</v>
      </c>
      <c r="AX143" s="1931">
        <f t="shared" si="282"/>
        <v>115.88599999999984</v>
      </c>
      <c r="AY143" s="1931">
        <f t="shared" si="282"/>
        <v>224.99999999999989</v>
      </c>
      <c r="AZ143" s="1930">
        <f t="shared" si="282"/>
        <v>137.48200000000006</v>
      </c>
      <c r="BA143" s="1931">
        <f t="shared" si="282"/>
        <v>104.79000000000003</v>
      </c>
      <c r="BB143" s="1931">
        <f t="shared" si="282"/>
        <v>256.36800000000005</v>
      </c>
      <c r="BC143" s="1931">
        <f t="shared" si="282"/>
        <v>469.49900000000019</v>
      </c>
      <c r="BD143" s="1930">
        <f t="shared" si="282"/>
        <v>225.71500000000012</v>
      </c>
      <c r="BE143" s="1931">
        <f t="shared" si="282"/>
        <v>181.97</v>
      </c>
      <c r="BF143" s="1931">
        <f t="shared" si="282"/>
        <v>352.34700000000004</v>
      </c>
      <c r="BG143" s="1931">
        <f t="shared" si="282"/>
        <v>596.58299999999997</v>
      </c>
      <c r="BH143" s="1930">
        <f t="shared" si="282"/>
        <v>288.66300000000012</v>
      </c>
      <c r="BI143" s="2054">
        <f t="shared" si="282"/>
        <v>244.27099999999996</v>
      </c>
      <c r="BJ143" s="1931">
        <f t="shared" si="282"/>
        <v>437.32600000000002</v>
      </c>
      <c r="BK143" s="1931">
        <f t="shared" si="282"/>
        <v>832.98899999999946</v>
      </c>
      <c r="BL143" s="1930">
        <f t="shared" si="282"/>
        <v>378.077</v>
      </c>
      <c r="BM143" s="2054">
        <f t="shared" ref="BM143:CF143" si="283">+BM128+BM141+BM123+BM142</f>
        <v>331.21800000000013</v>
      </c>
      <c r="BN143" s="1931">
        <f t="shared" si="283"/>
        <v>576.45100000000014</v>
      </c>
      <c r="BO143" s="1931">
        <f t="shared" si="283"/>
        <v>1062.2530000000002</v>
      </c>
      <c r="BP143" s="1930">
        <f t="shared" si="283"/>
        <v>451.83099999999996</v>
      </c>
      <c r="BQ143" s="1931">
        <f t="shared" si="283"/>
        <v>333.32699999999983</v>
      </c>
      <c r="BR143" s="1931">
        <f t="shared" si="283"/>
        <v>517.03200000000015</v>
      </c>
      <c r="BS143" s="1931">
        <f t="shared" si="283"/>
        <v>1196.732</v>
      </c>
      <c r="BT143" s="1930">
        <f t="shared" si="283"/>
        <v>504.26899999999966</v>
      </c>
      <c r="BU143" s="2054">
        <f t="shared" si="283"/>
        <v>374.42399999999952</v>
      </c>
      <c r="BV143" s="1931">
        <f t="shared" si="283"/>
        <v>580.63800000000015</v>
      </c>
      <c r="BW143" s="1931">
        <f>+BW128+BW141+BW123+BW142</f>
        <v>506.01700000000034</v>
      </c>
      <c r="BX143" s="1930">
        <f>+BX128+BX141+BX123+BX142</f>
        <v>673.90799999999967</v>
      </c>
      <c r="BY143" s="2054">
        <f t="shared" si="283"/>
        <v>455.62299999999982</v>
      </c>
      <c r="BZ143" s="1931">
        <f t="shared" si="283"/>
        <v>721.23600000000044</v>
      </c>
      <c r="CA143" s="1931">
        <f>+CA128+CA141+CA123+CA142</f>
        <v>1720.4570000000006</v>
      </c>
      <c r="CB143" s="1930">
        <f>+CB128+CB141+CB123+CB142</f>
        <v>-555.45800000000031</v>
      </c>
      <c r="CC143" s="1931">
        <f t="shared" si="283"/>
        <v>519.47269697734828</v>
      </c>
      <c r="CD143" s="1931">
        <f t="shared" si="283"/>
        <v>882.43727307410677</v>
      </c>
      <c r="CE143" s="1931">
        <f t="shared" si="283"/>
        <v>1961.734213156795</v>
      </c>
      <c r="CF143" s="1930">
        <f t="shared" si="283"/>
        <v>1011.2590456727887</v>
      </c>
      <c r="CG143" s="1003"/>
      <c r="CH143" s="1006"/>
      <c r="CI143" s="543"/>
      <c r="CJ143" s="1931"/>
      <c r="CK143" s="1931"/>
      <c r="CL143" s="1931"/>
      <c r="CM143" s="1931">
        <f t="shared" ref="CM143:DF143" si="284">+CM128+CM141+CM123+CM142</f>
        <v>71.447000000000173</v>
      </c>
      <c r="CN143" s="1931">
        <f t="shared" si="284"/>
        <v>192.18899999999977</v>
      </c>
      <c r="CO143" s="1931">
        <f t="shared" si="284"/>
        <v>194.36400000000003</v>
      </c>
      <c r="CP143" s="1931">
        <f t="shared" si="284"/>
        <v>489.47099999999972</v>
      </c>
      <c r="CQ143" s="1931">
        <f t="shared" si="284"/>
        <v>532.24299999999982</v>
      </c>
      <c r="CR143" s="1931">
        <f t="shared" si="284"/>
        <v>1056.3720000000008</v>
      </c>
      <c r="CS143" s="1931">
        <f t="shared" si="284"/>
        <v>1419.563000000001</v>
      </c>
      <c r="CT143" s="1931">
        <f t="shared" si="284"/>
        <v>1892.6630000000002</v>
      </c>
      <c r="CU143" s="1931">
        <f t="shared" si="284"/>
        <v>2421.7529999999988</v>
      </c>
      <c r="CV143" s="1931">
        <f t="shared" si="284"/>
        <v>2551.3599999999983</v>
      </c>
      <c r="CW143" s="1931">
        <f t="shared" si="284"/>
        <v>2134.9870000000001</v>
      </c>
      <c r="CX143" s="1931">
        <f t="shared" si="284"/>
        <v>2341.8579999999984</v>
      </c>
      <c r="CY143" s="1931">
        <f t="shared" si="284"/>
        <v>4374.9032288810422</v>
      </c>
      <c r="CZ143" s="1931">
        <f t="shared" si="284"/>
        <v>5061.4833456194519</v>
      </c>
      <c r="DA143" s="1931">
        <f t="shared" si="284"/>
        <v>5782.722843959923</v>
      </c>
      <c r="DB143" s="1931">
        <f t="shared" si="284"/>
        <v>6506.2291567471275</v>
      </c>
      <c r="DC143" s="1931">
        <f t="shared" si="284"/>
        <v>7224.5505083979479</v>
      </c>
      <c r="DD143" s="1931">
        <f t="shared" si="284"/>
        <v>7921.99046784648</v>
      </c>
      <c r="DE143" s="1931">
        <f t="shared" si="284"/>
        <v>8617.0268170636082</v>
      </c>
      <c r="DF143" s="1930">
        <f t="shared" si="284"/>
        <v>9393.355476953886</v>
      </c>
      <c r="DG143" s="1489">
        <f>+(CV143/CQ143)^(1/5)-1</f>
        <v>0.36814572201527374</v>
      </c>
      <c r="DH143" s="1489">
        <f>+(DA143/CV143)^(1/5)-1</f>
        <v>0.1778015650751148</v>
      </c>
      <c r="DJ143" s="51"/>
      <c r="DK143" s="51"/>
      <c r="DL143" s="51"/>
      <c r="DM143" s="51"/>
      <c r="DN143" s="689"/>
      <c r="DO143" s="689"/>
      <c r="DP143" s="689"/>
      <c r="DQ143" s="689"/>
      <c r="DR143" s="689"/>
    </row>
    <row r="144" spans="1:122" s="3" customFormat="1" ht="11.25" customHeight="1">
      <c r="A144" s="24"/>
      <c r="B144"/>
      <c r="C144"/>
      <c r="D144"/>
      <c r="E144"/>
      <c r="F144"/>
      <c r="G144"/>
      <c r="H144" s="1044"/>
      <c r="I144" s="178"/>
      <c r="J144" s="8"/>
      <c r="K144" s="8"/>
      <c r="L144" s="8"/>
      <c r="M144" s="34"/>
      <c r="N144" s="34"/>
      <c r="O144" s="34"/>
      <c r="P144" s="1412"/>
      <c r="Q144" s="34"/>
      <c r="R144" s="34"/>
      <c r="S144" s="34"/>
      <c r="T144" s="1412"/>
      <c r="U144" s="2196"/>
      <c r="V144" s="2196"/>
      <c r="W144" s="2196"/>
      <c r="X144" s="2197"/>
      <c r="Y144" s="2196"/>
      <c r="Z144" s="2196"/>
      <c r="AA144" s="2196"/>
      <c r="AB144" s="2197"/>
      <c r="AC144" s="2196"/>
      <c r="AD144" s="2196"/>
      <c r="AE144" s="2196"/>
      <c r="AF144" s="2197"/>
      <c r="AG144" s="2196"/>
      <c r="AH144" s="2196"/>
      <c r="AI144" s="2196"/>
      <c r="AJ144" s="2197"/>
      <c r="AK144" s="2196"/>
      <c r="AL144" s="2196"/>
      <c r="AM144" s="2196"/>
      <c r="AN144" s="2197"/>
      <c r="AO144" s="2196"/>
      <c r="AP144" s="2196"/>
      <c r="AQ144" s="2196"/>
      <c r="AR144" s="2197"/>
      <c r="AS144" s="2196"/>
      <c r="AT144" s="2196"/>
      <c r="AU144" s="2196"/>
      <c r="AV144" s="2197"/>
      <c r="AW144" s="2196"/>
      <c r="AX144" s="2290"/>
      <c r="AY144" s="2290"/>
      <c r="AZ144" s="2291"/>
      <c r="BA144" s="2196"/>
      <c r="BB144" s="2196"/>
      <c r="BC144" s="2196"/>
      <c r="BD144" s="2197"/>
      <c r="BE144" s="2196"/>
      <c r="BF144" s="2196"/>
      <c r="BG144" s="2196"/>
      <c r="BH144" s="2197"/>
      <c r="BI144" s="2218"/>
      <c r="BJ144" s="2292"/>
      <c r="BK144" s="2196"/>
      <c r="BL144" s="2197"/>
      <c r="BM144" s="2218"/>
      <c r="BN144" s="2292"/>
      <c r="BO144" s="2196"/>
      <c r="BP144" s="2197"/>
      <c r="BQ144" s="2196"/>
      <c r="BR144" s="2196"/>
      <c r="BS144" s="2196"/>
      <c r="BT144" s="2197"/>
      <c r="BU144" s="2218"/>
      <c r="BV144" s="2196"/>
      <c r="BW144" s="2196"/>
      <c r="BX144" s="2197"/>
      <c r="BY144" s="2196"/>
      <c r="BZ144" s="2196"/>
      <c r="CA144" s="2196"/>
      <c r="CB144" s="2197"/>
      <c r="CC144" s="2196"/>
      <c r="CD144" s="2196"/>
      <c r="CE144" s="2196"/>
      <c r="CF144" s="2197"/>
      <c r="CG144" s="1412"/>
      <c r="CH144" s="1414"/>
      <c r="CI144" s="34"/>
      <c r="CJ144" s="2196"/>
      <c r="CK144" s="2196"/>
      <c r="CL144" s="2196"/>
      <c r="CM144" s="2196"/>
      <c r="CN144" s="2196"/>
      <c r="CO144" s="2196"/>
      <c r="CP144" s="2196"/>
      <c r="CQ144" s="2196"/>
      <c r="CR144" s="2196"/>
      <c r="CS144" s="2290"/>
      <c r="CT144" s="2196"/>
      <c r="CU144" s="2196"/>
      <c r="CV144" s="2293"/>
      <c r="CW144" s="2290"/>
      <c r="CX144" s="2196"/>
      <c r="CY144" s="2196"/>
      <c r="CZ144" s="2196"/>
      <c r="DA144" s="2196"/>
      <c r="DB144" s="2196"/>
      <c r="DC144" s="2196"/>
      <c r="DD144" s="2196"/>
      <c r="DE144" s="2196"/>
      <c r="DF144" s="2197"/>
      <c r="DG144" s="1504"/>
      <c r="DH144" s="1504"/>
      <c r="DJ144" s="51"/>
      <c r="DK144" s="51"/>
      <c r="DL144" s="51"/>
      <c r="DM144" s="51"/>
    </row>
    <row r="145" spans="1:122" s="554" customFormat="1" ht="11.25" customHeight="1">
      <c r="A145" s="542"/>
      <c r="B145"/>
      <c r="C145"/>
      <c r="D145"/>
      <c r="E145"/>
      <c r="F145"/>
      <c r="G145"/>
      <c r="H145" s="1052"/>
      <c r="I145" s="591" t="s">
        <v>43</v>
      </c>
      <c r="J145" s="547"/>
      <c r="K145" s="547"/>
      <c r="L145" s="547"/>
      <c r="M145" s="548"/>
      <c r="N145" s="548"/>
      <c r="O145" s="548"/>
      <c r="P145" s="2056"/>
      <c r="Q145" s="548"/>
      <c r="R145" s="548"/>
      <c r="S145" s="548"/>
      <c r="T145" s="2056"/>
      <c r="U145" s="2057"/>
      <c r="V145" s="2057"/>
      <c r="W145" s="2057"/>
      <c r="X145" s="2058"/>
      <c r="Y145" s="2057"/>
      <c r="Z145" s="2057"/>
      <c r="AA145" s="2057"/>
      <c r="AB145" s="2058"/>
      <c r="AC145" s="2057"/>
      <c r="AD145" s="2057"/>
      <c r="AE145" s="2057"/>
      <c r="AF145" s="2058"/>
      <c r="AG145" s="2057"/>
      <c r="AH145" s="2057"/>
      <c r="AI145" s="2057"/>
      <c r="AJ145" s="2058"/>
      <c r="AK145" s="2057"/>
      <c r="AL145" s="2057"/>
      <c r="AM145" s="2057"/>
      <c r="AN145" s="2058"/>
      <c r="AO145" s="2057"/>
      <c r="AP145" s="2057"/>
      <c r="AQ145" s="2057"/>
      <c r="AR145" s="2058"/>
      <c r="AS145" s="2057"/>
      <c r="AT145" s="2057"/>
      <c r="AU145" s="2057"/>
      <c r="AV145" s="2058"/>
      <c r="AW145" s="2057">
        <v>0</v>
      </c>
      <c r="AX145" s="2057">
        <v>-0.40899999999999997</v>
      </c>
      <c r="AY145" s="2057">
        <v>-0.745</v>
      </c>
      <c r="AZ145" s="2058">
        <v>-0.91900000000000004</v>
      </c>
      <c r="BA145" s="2213">
        <f>+-0.664</f>
        <v>-0.66400000000000003</v>
      </c>
      <c r="BB145" s="2057">
        <v>-0.45600000000000002</v>
      </c>
      <c r="BC145" s="2057">
        <v>-0.17299999999999999</v>
      </c>
      <c r="BD145" s="2058">
        <v>-0.49099999999999999</v>
      </c>
      <c r="BE145" s="2057">
        <v>-0.46</v>
      </c>
      <c r="BF145" s="2057">
        <v>-0.33600000000000002</v>
      </c>
      <c r="BG145" s="2057">
        <v>-0.127</v>
      </c>
      <c r="BH145" s="2058">
        <v>0.126</v>
      </c>
      <c r="BI145" s="2059">
        <v>-0.38900000000000001</v>
      </c>
      <c r="BJ145" s="2057">
        <v>-5.0999999999999997E-2</v>
      </c>
      <c r="BK145" s="2057">
        <v>0</v>
      </c>
      <c r="BL145" s="2058">
        <v>0</v>
      </c>
      <c r="BM145" s="2059">
        <v>0</v>
      </c>
      <c r="BN145" s="2057">
        <v>0</v>
      </c>
      <c r="BO145" s="2057">
        <v>0</v>
      </c>
      <c r="BP145" s="2058">
        <v>0</v>
      </c>
      <c r="BQ145" s="2057">
        <v>0</v>
      </c>
      <c r="BR145" s="2057">
        <v>0</v>
      </c>
      <c r="BS145" s="2057">
        <v>0</v>
      </c>
      <c r="BT145" s="2058">
        <v>0</v>
      </c>
      <c r="BU145" s="2059">
        <v>0</v>
      </c>
      <c r="BV145" s="2057">
        <v>0</v>
      </c>
      <c r="BW145" s="2057">
        <v>0</v>
      </c>
      <c r="BX145" s="2058">
        <v>0</v>
      </c>
      <c r="BY145" s="2059">
        <v>0</v>
      </c>
      <c r="BZ145" s="2057">
        <v>0</v>
      </c>
      <c r="CA145" s="2057">
        <v>0</v>
      </c>
      <c r="CB145" s="2058">
        <v>0</v>
      </c>
      <c r="CC145" s="2057">
        <v>0</v>
      </c>
      <c r="CD145" s="2057">
        <v>0</v>
      </c>
      <c r="CE145" s="2057">
        <v>0</v>
      </c>
      <c r="CF145" s="2058">
        <v>0</v>
      </c>
      <c r="CG145" s="2056"/>
      <c r="CH145" s="2060"/>
      <c r="CI145" s="548"/>
      <c r="CJ145" s="2057"/>
      <c r="CK145" s="2057"/>
      <c r="CL145" s="2057"/>
      <c r="CM145" s="2057"/>
      <c r="CN145" s="2057"/>
      <c r="CO145" s="2057"/>
      <c r="CP145" s="2057"/>
      <c r="CQ145" s="2057">
        <f>+SUM(AW145:AZ145)</f>
        <v>-2.073</v>
      </c>
      <c r="CR145" s="2057">
        <f>+SUM(BA145:BD145)</f>
        <v>-1.7840000000000003</v>
      </c>
      <c r="CS145" s="2057">
        <f>+SUM(BE145:BH145)</f>
        <v>-0.79700000000000004</v>
      </c>
      <c r="CT145" s="2057">
        <f>+SUM(BI145:BL145)</f>
        <v>-0.44</v>
      </c>
      <c r="CU145" s="2057">
        <f>SUM(BM145:BP145)</f>
        <v>0</v>
      </c>
      <c r="CV145" s="2057">
        <f>SUM(BQ145:BT145)</f>
        <v>0</v>
      </c>
      <c r="CW145" s="2057">
        <f>SUM(BU145:BX145)</f>
        <v>0</v>
      </c>
      <c r="CX145" s="2057">
        <f>SUM(BY145:CB145)</f>
        <v>0</v>
      </c>
      <c r="CY145" s="2057">
        <f>SUM(CC145:CF145)</f>
        <v>0</v>
      </c>
      <c r="CZ145" s="2259">
        <f t="shared" ref="CZ145:DF145" si="285">+CY145</f>
        <v>0</v>
      </c>
      <c r="DA145" s="2259">
        <f t="shared" si="285"/>
        <v>0</v>
      </c>
      <c r="DB145" s="2259">
        <f t="shared" si="285"/>
        <v>0</v>
      </c>
      <c r="DC145" s="2259">
        <f t="shared" si="285"/>
        <v>0</v>
      </c>
      <c r="DD145" s="2259">
        <f t="shared" si="285"/>
        <v>0</v>
      </c>
      <c r="DE145" s="2259">
        <f t="shared" si="285"/>
        <v>0</v>
      </c>
      <c r="DF145" s="2260">
        <f t="shared" si="285"/>
        <v>0</v>
      </c>
      <c r="DG145" s="1492"/>
      <c r="DH145" s="1492"/>
    </row>
    <row r="146" spans="1:122" s="584" customFormat="1" ht="11.25" hidden="1" customHeight="1" outlineLevel="1">
      <c r="A146" s="542"/>
      <c r="B146"/>
      <c r="C146"/>
      <c r="D146"/>
      <c r="E146"/>
      <c r="F146"/>
      <c r="G146"/>
      <c r="H146" s="1052"/>
      <c r="I146" s="544" t="s">
        <v>738</v>
      </c>
      <c r="J146" s="542"/>
      <c r="K146" s="542"/>
      <c r="L146" s="542"/>
      <c r="M146" s="543"/>
      <c r="N146" s="543"/>
      <c r="O146" s="543"/>
      <c r="P146" s="1003"/>
      <c r="Q146" s="543"/>
      <c r="R146" s="543"/>
      <c r="S146" s="543"/>
      <c r="T146" s="1003"/>
      <c r="U146" s="1931"/>
      <c r="V146" s="1931"/>
      <c r="W146" s="1931"/>
      <c r="X146" s="1930"/>
      <c r="Y146" s="1931"/>
      <c r="Z146" s="1931"/>
      <c r="AA146" s="1931"/>
      <c r="AB146" s="1930"/>
      <c r="AC146" s="1931"/>
      <c r="AD146" s="1931"/>
      <c r="AE146" s="1931"/>
      <c r="AF146" s="1930"/>
      <c r="AG146" s="1931">
        <f>+AG124+AG134+AG141-0.383</f>
        <v>7.5680000000000014</v>
      </c>
      <c r="AH146" s="1931">
        <f>+AH124+AH134+AH141-0.381</f>
        <v>23.000000000000004</v>
      </c>
      <c r="AI146" s="1931">
        <f>+AI124+AI134+AI141+0.744</f>
        <v>30.151</v>
      </c>
      <c r="AJ146" s="1930">
        <f>+AJ124+AJ134+AJ141-0.097</f>
        <v>22.427999999999955</v>
      </c>
      <c r="AK146" s="1931">
        <f>+AK124+AK134+AK141-0.307</f>
        <v>17.384000000000036</v>
      </c>
      <c r="AL146" s="1931">
        <f>+AL124+AL134+AL141-0.264</f>
        <v>47.341999999999935</v>
      </c>
      <c r="AM146" s="1931">
        <f>+AM124+AM134+AM141-0.204</f>
        <v>71.540999999999997</v>
      </c>
      <c r="AN146" s="1930">
        <f>+AN124+AN134+AN141-0.107</f>
        <v>46.192000000000007</v>
      </c>
      <c r="AO146" s="1931">
        <f>+AO124+AO134+AO141-0.324</f>
        <v>37.349000000000011</v>
      </c>
      <c r="AP146" s="1931">
        <f>+AP124+AP134+AP141-0.252</f>
        <v>78.471000000000046</v>
      </c>
      <c r="AQ146" s="1931">
        <f>+AQ124+AQ134+AQ141-0.243</f>
        <v>116.78800000000004</v>
      </c>
      <c r="AR146" s="1930">
        <f>+AR124+AR134+AR141</f>
        <v>58.228999999999985</v>
      </c>
      <c r="AS146" s="1931">
        <f>+AS124+AS134+AS141</f>
        <v>51.28</v>
      </c>
      <c r="AT146" s="1931">
        <f>+AT124+AT134+AT141</f>
        <v>98.98099999999998</v>
      </c>
      <c r="AU146" s="1931">
        <f>+AU124+AU134+AU141</f>
        <v>173.34</v>
      </c>
      <c r="AV146" s="1930">
        <f>+AV124+AV134+AV141</f>
        <v>101.64900000000006</v>
      </c>
      <c r="AW146" s="1931">
        <f t="shared" ref="AW146:CF146" si="286">+AW124+AW134+AW141+AW145</f>
        <v>87.235999999999876</v>
      </c>
      <c r="AX146" s="1931">
        <f t="shared" si="286"/>
        <v>158.15299999999988</v>
      </c>
      <c r="AY146" s="1931">
        <f t="shared" si="286"/>
        <v>272.25799999999987</v>
      </c>
      <c r="AZ146" s="1930">
        <f t="shared" si="286"/>
        <v>175.01000000000005</v>
      </c>
      <c r="BA146" s="1931">
        <f t="shared" si="286"/>
        <v>137.03200000000001</v>
      </c>
      <c r="BB146" s="1931">
        <f t="shared" si="286"/>
        <v>282.56100000000009</v>
      </c>
      <c r="BC146" s="1931">
        <f t="shared" si="286"/>
        <v>512.5500000000003</v>
      </c>
      <c r="BD146" s="1930">
        <f t="shared" si="286"/>
        <v>276.77300000000008</v>
      </c>
      <c r="BE146" s="1931">
        <f t="shared" si="286"/>
        <v>220.85599999999997</v>
      </c>
      <c r="BF146" s="1931">
        <f t="shared" si="286"/>
        <v>404.59899999999993</v>
      </c>
      <c r="BG146" s="1931">
        <f t="shared" si="286"/>
        <v>638.23300000000006</v>
      </c>
      <c r="BH146" s="1930">
        <f t="shared" si="286"/>
        <v>348.53800000000012</v>
      </c>
      <c r="BI146" s="2054">
        <f t="shared" si="286"/>
        <v>297.23499999999984</v>
      </c>
      <c r="BJ146" s="1931">
        <f t="shared" si="286"/>
        <v>508.25100000000003</v>
      </c>
      <c r="BK146" s="1931">
        <f t="shared" si="286"/>
        <v>920.09099999999989</v>
      </c>
      <c r="BL146" s="1930">
        <f t="shared" si="286"/>
        <v>471.1169999999999</v>
      </c>
      <c r="BM146" s="2054">
        <f t="shared" si="286"/>
        <v>416.47800000000007</v>
      </c>
      <c r="BN146" s="1931">
        <f t="shared" si="286"/>
        <v>667.10000000000014</v>
      </c>
      <c r="BO146" s="1931">
        <f t="shared" si="286"/>
        <v>1182.4460000000004</v>
      </c>
      <c r="BP146" s="1930">
        <f t="shared" si="286"/>
        <v>576.67699999999991</v>
      </c>
      <c r="BQ146" s="1931">
        <f t="shared" si="286"/>
        <v>428.52699999999987</v>
      </c>
      <c r="BR146" s="1931">
        <f t="shared" si="286"/>
        <v>652.98200000000008</v>
      </c>
      <c r="BS146" s="1931">
        <f t="shared" si="286"/>
        <v>1304.2419999999997</v>
      </c>
      <c r="BT146" s="1930">
        <f t="shared" si="286"/>
        <v>640.96699999999976</v>
      </c>
      <c r="BU146" s="2054">
        <f t="shared" si="286"/>
        <v>532.48399999999947</v>
      </c>
      <c r="BV146" s="1931">
        <f t="shared" si="286"/>
        <v>702.62900000000013</v>
      </c>
      <c r="BW146" s="1931">
        <f>+BW124+BW134+BW141+BW145</f>
        <v>1568.8430000000003</v>
      </c>
      <c r="BX146" s="1930">
        <f t="shared" si="286"/>
        <v>787.81735999999989</v>
      </c>
      <c r="BY146" s="1931">
        <f t="shared" si="286"/>
        <v>559.8228363279884</v>
      </c>
      <c r="BZ146" s="1931">
        <f t="shared" si="286"/>
        <v>837.63252083328859</v>
      </c>
      <c r="CA146" s="1931">
        <f t="shared" si="286"/>
        <v>1870.0608848221423</v>
      </c>
      <c r="CB146" s="1930">
        <f t="shared" si="286"/>
        <v>919.37144271705336</v>
      </c>
      <c r="CC146" s="1931">
        <f t="shared" si="286"/>
        <v>624.25945642233239</v>
      </c>
      <c r="CD146" s="1931">
        <f t="shared" si="286"/>
        <v>1000.4448632774701</v>
      </c>
      <c r="CE146" s="1931">
        <f t="shared" si="286"/>
        <v>2108.0018605115506</v>
      </c>
      <c r="CF146" s="1930">
        <f t="shared" si="286"/>
        <v>1135.6393991227617</v>
      </c>
      <c r="CG146" s="1003"/>
      <c r="CH146" s="1006"/>
      <c r="CI146" s="543"/>
      <c r="CJ146" s="1931"/>
      <c r="CK146" s="1931"/>
      <c r="CL146" s="1931"/>
      <c r="CM146" s="1931">
        <f>+CM124+CM134+CM141</f>
        <v>83.264000000000152</v>
      </c>
      <c r="CN146" s="1931">
        <f>+CN124+CN134+CN141</f>
        <v>183.34099999999967</v>
      </c>
      <c r="CO146" s="1931">
        <f>+CO124+CO134+CO141</f>
        <v>291.65600000000006</v>
      </c>
      <c r="CP146" s="1931">
        <f>+CP124+CP134+CP141</f>
        <v>425.24999999999983</v>
      </c>
      <c r="CQ146" s="1931">
        <f t="shared" ref="CQ146:DF146" si="287">+CQ124+CQ134+CQ141+CQ145</f>
        <v>692.65699999999981</v>
      </c>
      <c r="CR146" s="1931">
        <f t="shared" si="287"/>
        <v>1208.9160000000004</v>
      </c>
      <c r="CS146" s="1931">
        <f t="shared" si="287"/>
        <v>1612.2260000000008</v>
      </c>
      <c r="CT146" s="1931">
        <f t="shared" si="287"/>
        <v>2196.694</v>
      </c>
      <c r="CU146" s="1931">
        <f t="shared" si="287"/>
        <v>2842.7009999999987</v>
      </c>
      <c r="CV146" s="1931">
        <f t="shared" si="287"/>
        <v>3026.7179999999994</v>
      </c>
      <c r="CW146" s="1931">
        <f t="shared" si="287"/>
        <v>3591.7733599999997</v>
      </c>
      <c r="CX146" s="1931">
        <f t="shared" si="287"/>
        <v>4186.8876847004703</v>
      </c>
      <c r="CY146" s="1931">
        <f t="shared" si="287"/>
        <v>4868.3455793341154</v>
      </c>
      <c r="CZ146" s="1931">
        <f t="shared" si="287"/>
        <v>5634.2183263410534</v>
      </c>
      <c r="DA146" s="1931">
        <f t="shared" si="287"/>
        <v>6389.5451632646127</v>
      </c>
      <c r="DB146" s="1931">
        <f t="shared" si="287"/>
        <v>7146.9215148628846</v>
      </c>
      <c r="DC146" s="1931">
        <f t="shared" si="287"/>
        <v>7898.5337358249426</v>
      </c>
      <c r="DD146" s="1931">
        <f t="shared" si="287"/>
        <v>8628.1139568458457</v>
      </c>
      <c r="DE146" s="1931">
        <f t="shared" si="287"/>
        <v>9354.4161597715556</v>
      </c>
      <c r="DF146" s="1930">
        <f t="shared" si="287"/>
        <v>10163.034954027486</v>
      </c>
      <c r="DG146" s="1489">
        <f>+(CV146/CQ146)^(1/5)-1</f>
        <v>0.34304556292439514</v>
      </c>
      <c r="DH146" s="1489">
        <f>+(DA146/CV146)^(1/5)-1</f>
        <v>0.16118013352495031</v>
      </c>
      <c r="DJ146" s="689"/>
      <c r="DK146" s="689"/>
      <c r="DL146" s="689"/>
      <c r="DM146" s="689"/>
      <c r="DN146" s="689"/>
      <c r="DO146" s="689"/>
      <c r="DP146" s="689"/>
      <c r="DQ146" s="689"/>
      <c r="DR146" s="689"/>
    </row>
    <row r="147" spans="1:122" s="584" customFormat="1" ht="11.25" customHeight="1" collapsed="1">
      <c r="A147" s="547"/>
      <c r="B147"/>
      <c r="C147"/>
      <c r="D147"/>
      <c r="E147"/>
      <c r="F147"/>
      <c r="G147"/>
      <c r="H147" s="1044"/>
      <c r="I147" s="544"/>
      <c r="J147" s="542"/>
      <c r="K147" s="542"/>
      <c r="L147" s="542"/>
      <c r="M147" s="548"/>
      <c r="N147" s="548"/>
      <c r="O147" s="548"/>
      <c r="P147" s="2056"/>
      <c r="Q147" s="548"/>
      <c r="R147" s="548"/>
      <c r="S147" s="548"/>
      <c r="T147" s="2056"/>
      <c r="U147" s="2057"/>
      <c r="V147" s="2057"/>
      <c r="W147" s="2057"/>
      <c r="X147" s="2058"/>
      <c r="Y147" s="2057"/>
      <c r="Z147" s="2057"/>
      <c r="AA147" s="2057"/>
      <c r="AB147" s="2058"/>
      <c r="AC147" s="2057"/>
      <c r="AD147" s="2057"/>
      <c r="AE147" s="2057"/>
      <c r="AF147" s="2058"/>
      <c r="AG147" s="2057"/>
      <c r="AH147" s="2057"/>
      <c r="AI147" s="2057"/>
      <c r="AJ147" s="2058"/>
      <c r="AK147" s="2057"/>
      <c r="AL147" s="2057"/>
      <c r="AM147" s="2057"/>
      <c r="AN147" s="2058"/>
      <c r="AO147" s="2057"/>
      <c r="AP147" s="2057"/>
      <c r="AQ147" s="2057"/>
      <c r="AR147" s="2058"/>
      <c r="AS147" s="2057"/>
      <c r="AT147" s="2057"/>
      <c r="AU147" s="2057"/>
      <c r="AV147" s="2058"/>
      <c r="AW147" s="2057"/>
      <c r="AX147" s="2057"/>
      <c r="AY147" s="2057"/>
      <c r="AZ147" s="2058"/>
      <c r="BA147" s="2057"/>
      <c r="BB147" s="2057"/>
      <c r="BC147" s="2057"/>
      <c r="BD147" s="2058"/>
      <c r="BE147" s="2057"/>
      <c r="BF147" s="2057"/>
      <c r="BG147" s="2057"/>
      <c r="BH147" s="2058"/>
      <c r="BI147" s="2059"/>
      <c r="BJ147" s="2057"/>
      <c r="BK147" s="2057"/>
      <c r="BL147" s="2058"/>
      <c r="BM147" s="2059"/>
      <c r="BN147" s="2057"/>
      <c r="BO147" s="2057"/>
      <c r="BP147" s="2058"/>
      <c r="BQ147" s="2057"/>
      <c r="BR147" s="2057"/>
      <c r="BS147" s="2057"/>
      <c r="BT147" s="2058"/>
      <c r="BU147" s="2059"/>
      <c r="BV147" s="2057"/>
      <c r="BW147" s="2057"/>
      <c r="BX147" s="2058"/>
      <c r="BY147" s="2057"/>
      <c r="BZ147" s="2057"/>
      <c r="CA147" s="2057"/>
      <c r="CB147" s="2058"/>
      <c r="CC147" s="2057"/>
      <c r="CD147" s="2057"/>
      <c r="CE147" s="2057"/>
      <c r="CF147" s="2058"/>
      <c r="CG147" s="2056"/>
      <c r="CH147" s="2060"/>
      <c r="CI147" s="548"/>
      <c r="CJ147" s="2057"/>
      <c r="CK147" s="2057"/>
      <c r="CL147" s="2057"/>
      <c r="CM147" s="2057"/>
      <c r="CN147" s="2057"/>
      <c r="CO147" s="2057"/>
      <c r="CP147" s="2057"/>
      <c r="CQ147" s="2057"/>
      <c r="CR147" s="2057"/>
      <c r="CS147" s="2057"/>
      <c r="CT147" s="2057"/>
      <c r="CU147" s="1966"/>
      <c r="CV147" s="1966"/>
      <c r="CW147" s="1966"/>
      <c r="CX147" s="1966"/>
      <c r="CY147" s="1966"/>
      <c r="CZ147" s="2057"/>
      <c r="DA147" s="2057"/>
      <c r="DB147" s="2057"/>
      <c r="DC147" s="2057"/>
      <c r="DD147" s="2057"/>
      <c r="DE147" s="2057"/>
      <c r="DF147" s="2058"/>
      <c r="DG147" s="1501"/>
      <c r="DH147" s="1501"/>
    </row>
    <row r="148" spans="1:122" s="584" customFormat="1" ht="11.25" customHeight="1">
      <c r="A148" s="542"/>
      <c r="B148"/>
      <c r="C148"/>
      <c r="D148"/>
      <c r="E148"/>
      <c r="F148"/>
      <c r="G148"/>
      <c r="H148" s="1052"/>
      <c r="I148" s="589" t="s">
        <v>713</v>
      </c>
      <c r="J148" s="542"/>
      <c r="K148" s="542"/>
      <c r="L148" s="542"/>
      <c r="M148" s="543"/>
      <c r="N148" s="543"/>
      <c r="O148" s="543"/>
      <c r="P148" s="1003"/>
      <c r="Q148" s="543"/>
      <c r="R148" s="543"/>
      <c r="S148" s="543"/>
      <c r="T148" s="1003"/>
      <c r="U148" s="1931"/>
      <c r="V148" s="1931"/>
      <c r="W148" s="1931"/>
      <c r="X148" s="1930"/>
      <c r="Y148" s="1931"/>
      <c r="Z148" s="1931"/>
      <c r="AA148" s="1931"/>
      <c r="AB148" s="1930"/>
      <c r="AC148" s="1931"/>
      <c r="AD148" s="1931"/>
      <c r="AE148" s="1931"/>
      <c r="AF148" s="1930"/>
      <c r="AG148" s="2051"/>
      <c r="AH148" s="2051"/>
      <c r="AI148" s="2051"/>
      <c r="AJ148" s="2052"/>
      <c r="AK148" s="2051"/>
      <c r="AL148" s="2051"/>
      <c r="AM148" s="2051"/>
      <c r="AN148" s="2052"/>
      <c r="AO148" s="2051"/>
      <c r="AP148" s="2051"/>
      <c r="AQ148" s="2051"/>
      <c r="AR148" s="2052"/>
      <c r="AS148" s="2051"/>
      <c r="AT148" s="2051"/>
      <c r="AU148" s="2051"/>
      <c r="AV148" s="2052"/>
      <c r="AW148" s="2051"/>
      <c r="AX148" s="2051"/>
      <c r="AY148" s="2051"/>
      <c r="AZ148" s="2052"/>
      <c r="BA148" s="2051"/>
      <c r="BB148" s="2051"/>
      <c r="BC148" s="2051"/>
      <c r="BD148" s="2052"/>
      <c r="BE148" s="2051"/>
      <c r="BF148" s="2051"/>
      <c r="BG148" s="2051"/>
      <c r="BH148" s="2052"/>
      <c r="BI148" s="2053"/>
      <c r="BJ148" s="2051"/>
      <c r="BK148" s="2051"/>
      <c r="BL148" s="2052"/>
      <c r="BM148" s="2053"/>
      <c r="BN148" s="2051"/>
      <c r="BO148" s="2051"/>
      <c r="BP148" s="2052"/>
      <c r="BQ148" s="1931">
        <f t="shared" ref="BQ148:CF148" si="288">+BQ126+BQ128+BQ132+BQ141+BQ145</f>
        <v>359.82599999999985</v>
      </c>
      <c r="BR148" s="1931">
        <f t="shared" si="288"/>
        <v>553.44400000000007</v>
      </c>
      <c r="BS148" s="1931">
        <f t="shared" si="288"/>
        <v>1224.8589999999999</v>
      </c>
      <c r="BT148" s="1930">
        <f t="shared" si="288"/>
        <v>540.64599999999973</v>
      </c>
      <c r="BU148" s="2054">
        <f t="shared" si="288"/>
        <v>460.98099999999948</v>
      </c>
      <c r="BV148" s="1931">
        <f t="shared" si="288"/>
        <v>630.37500000000011</v>
      </c>
      <c r="BW148" s="1931">
        <f>+BW126+BW128+BW132+BW141+BW145</f>
        <v>1483.7</v>
      </c>
      <c r="BX148" s="1930">
        <f t="shared" si="288"/>
        <v>710.85299999999972</v>
      </c>
      <c r="BY148" s="2054">
        <f t="shared" si="288"/>
        <v>494.0659999999998</v>
      </c>
      <c r="BZ148" s="1931">
        <f t="shared" si="288"/>
        <v>757.92700000000048</v>
      </c>
      <c r="CA148" s="1931">
        <f t="shared" si="288"/>
        <v>1760.2580000000007</v>
      </c>
      <c r="CB148" s="1930">
        <f t="shared" si="288"/>
        <v>835.61599999999987</v>
      </c>
      <c r="CC148" s="1931">
        <f t="shared" si="288"/>
        <v>554.41143119741309</v>
      </c>
      <c r="CD148" s="1931">
        <f t="shared" si="288"/>
        <v>912.34489626906202</v>
      </c>
      <c r="CE148" s="1931">
        <f t="shared" si="288"/>
        <v>1986.7352722536248</v>
      </c>
      <c r="CF148" s="1930">
        <f t="shared" si="288"/>
        <v>1041.9021159978292</v>
      </c>
      <c r="CG148" s="1003"/>
      <c r="CH148" s="1006"/>
      <c r="CI148" s="543"/>
      <c r="CJ148" s="1931"/>
      <c r="CK148" s="1931"/>
      <c r="CL148" s="1931"/>
      <c r="CM148" s="2051"/>
      <c r="CN148" s="2051"/>
      <c r="CO148" s="2051"/>
      <c r="CP148" s="2051"/>
      <c r="CQ148" s="2051"/>
      <c r="CR148" s="2051"/>
      <c r="CS148" s="2051"/>
      <c r="CT148" s="2051"/>
      <c r="CU148" s="2051"/>
      <c r="CV148" s="1931">
        <f t="shared" ref="CV148:DF148" si="289">+CV126+CV128+CV132+CV141+CV145</f>
        <v>2678.7749999999978</v>
      </c>
      <c r="CW148" s="1931">
        <f>+CW126+CW128+CW132+CW141+CW145</f>
        <v>3285.9090000000001</v>
      </c>
      <c r="CX148" s="1931">
        <f t="shared" si="289"/>
        <v>3847.8669999999984</v>
      </c>
      <c r="CY148" s="1931">
        <f t="shared" si="289"/>
        <v>4495.3937157179316</v>
      </c>
      <c r="CZ148" s="1931">
        <f t="shared" si="289"/>
        <v>5222.278360864052</v>
      </c>
      <c r="DA148" s="1931">
        <f t="shared" si="289"/>
        <v>5939.0381107676249</v>
      </c>
      <c r="DB148" s="1931">
        <f t="shared" si="289"/>
        <v>6658.0505955250946</v>
      </c>
      <c r="DC148" s="1931">
        <f t="shared" si="289"/>
        <v>7371.910323873738</v>
      </c>
      <c r="DD148" s="1931">
        <f t="shared" si="289"/>
        <v>8065.0183581083029</v>
      </c>
      <c r="DE148" s="1931">
        <f t="shared" si="289"/>
        <v>8755.7377113675611</v>
      </c>
      <c r="DF148" s="1930">
        <f t="shared" si="289"/>
        <v>9527.2444541156638</v>
      </c>
      <c r="DG148" s="1489"/>
      <c r="DH148" s="1489">
        <f>+(DA148/CV148)^(1/5)-1</f>
        <v>0.17261643007844008</v>
      </c>
      <c r="DJ148" s="689"/>
      <c r="DK148" s="689"/>
      <c r="DL148" s="689"/>
      <c r="DM148" s="689"/>
      <c r="DN148" s="689"/>
      <c r="DO148" s="689"/>
      <c r="DP148" s="689"/>
      <c r="DQ148" s="689"/>
      <c r="DR148" s="689"/>
    </row>
    <row r="149" spans="1:122" s="584" customFormat="1" ht="11.25" customHeight="1">
      <c r="A149" s="547"/>
      <c r="B149"/>
      <c r="C149"/>
      <c r="D149"/>
      <c r="E149"/>
      <c r="F149"/>
      <c r="G149"/>
      <c r="H149" s="1044"/>
      <c r="I149" s="544"/>
      <c r="J149" s="542"/>
      <c r="K149" s="542"/>
      <c r="L149" s="542"/>
      <c r="M149" s="548"/>
      <c r="N149" s="548"/>
      <c r="O149" s="548"/>
      <c r="P149" s="2056"/>
      <c r="Q149" s="548"/>
      <c r="R149" s="548"/>
      <c r="S149" s="548"/>
      <c r="T149" s="2056"/>
      <c r="U149" s="2057"/>
      <c r="V149" s="2057"/>
      <c r="W149" s="2057"/>
      <c r="X149" s="2058"/>
      <c r="Y149" s="2057"/>
      <c r="Z149" s="2057"/>
      <c r="AA149" s="2057"/>
      <c r="AB149" s="2058"/>
      <c r="AC149" s="2057"/>
      <c r="AD149" s="2057"/>
      <c r="AE149" s="2057"/>
      <c r="AF149" s="2058"/>
      <c r="AG149" s="2057"/>
      <c r="AH149" s="2057"/>
      <c r="AI149" s="2057"/>
      <c r="AJ149" s="2058"/>
      <c r="AK149" s="2057"/>
      <c r="AL149" s="2057"/>
      <c r="AM149" s="2057"/>
      <c r="AN149" s="2058"/>
      <c r="AO149" s="2057"/>
      <c r="AP149" s="2057"/>
      <c r="AQ149" s="2057"/>
      <c r="AR149" s="2058"/>
      <c r="AS149" s="2057"/>
      <c r="AT149" s="2057"/>
      <c r="AU149" s="2057"/>
      <c r="AV149" s="2058"/>
      <c r="AW149" s="2057"/>
      <c r="AX149" s="2057"/>
      <c r="AY149" s="2057"/>
      <c r="AZ149" s="2058"/>
      <c r="BA149" s="2057"/>
      <c r="BB149" s="2057"/>
      <c r="BC149" s="2057"/>
      <c r="BD149" s="2058"/>
      <c r="BE149" s="2057"/>
      <c r="BF149" s="2057"/>
      <c r="BG149" s="2057"/>
      <c r="BH149" s="2058"/>
      <c r="BI149" s="2059"/>
      <c r="BJ149" s="2057"/>
      <c r="BK149" s="2057"/>
      <c r="BL149" s="2058"/>
      <c r="BM149" s="2059"/>
      <c r="BN149" s="2057"/>
      <c r="BO149" s="2057"/>
      <c r="BP149" s="2058"/>
      <c r="BQ149" s="2057"/>
      <c r="BR149" s="2057"/>
      <c r="BS149" s="2057"/>
      <c r="BT149" s="2058"/>
      <c r="BU149" s="2059"/>
      <c r="BV149" s="2057"/>
      <c r="BW149" s="2057"/>
      <c r="BX149" s="2058"/>
      <c r="BY149" s="2057"/>
      <c r="BZ149" s="2057"/>
      <c r="CA149" s="2057"/>
      <c r="CB149" s="2058"/>
      <c r="CC149" s="2057"/>
      <c r="CD149" s="2057"/>
      <c r="CE149" s="2057"/>
      <c r="CF149" s="2058"/>
      <c r="CG149" s="2056"/>
      <c r="CH149" s="2060"/>
      <c r="CI149" s="548"/>
      <c r="CJ149" s="2057"/>
      <c r="CK149" s="2057"/>
      <c r="CL149" s="2057"/>
      <c r="CM149" s="2057"/>
      <c r="CN149" s="2057"/>
      <c r="CO149" s="2057"/>
      <c r="CP149" s="2057"/>
      <c r="CQ149" s="2057"/>
      <c r="CR149" s="2057"/>
      <c r="CS149" s="2057"/>
      <c r="CT149" s="2057"/>
      <c r="CU149" s="1966"/>
      <c r="CV149" s="1966"/>
      <c r="CW149" s="1966"/>
      <c r="CX149" s="1966"/>
      <c r="CY149" s="1966"/>
      <c r="CZ149" s="2057"/>
      <c r="DA149" s="2057"/>
      <c r="DB149" s="2057"/>
      <c r="DC149" s="2057"/>
      <c r="DD149" s="2057"/>
      <c r="DE149" s="2057"/>
      <c r="DF149" s="2058"/>
      <c r="DG149" s="1501"/>
      <c r="DH149" s="1501"/>
    </row>
    <row r="150" spans="1:122" s="554" customFormat="1" ht="11.25" customHeight="1">
      <c r="A150" s="542"/>
      <c r="B150"/>
      <c r="C150"/>
      <c r="D150"/>
      <c r="E150"/>
      <c r="F150"/>
      <c r="G150"/>
      <c r="H150" s="1052"/>
      <c r="I150" s="591" t="s">
        <v>720</v>
      </c>
      <c r="J150" s="547"/>
      <c r="K150" s="547"/>
      <c r="L150" s="547"/>
      <c r="M150" s="548"/>
      <c r="N150" s="548"/>
      <c r="O150" s="548"/>
      <c r="P150" s="2056"/>
      <c r="Q150" s="548"/>
      <c r="R150" s="548"/>
      <c r="S150" s="548"/>
      <c r="T150" s="2056"/>
      <c r="U150" s="2057"/>
      <c r="V150" s="2057"/>
      <c r="W150" s="2057"/>
      <c r="X150" s="2058"/>
      <c r="Y150" s="2057"/>
      <c r="Z150" s="2057"/>
      <c r="AA150" s="2057"/>
      <c r="AB150" s="2058"/>
      <c r="AC150" s="2057"/>
      <c r="AD150" s="2057"/>
      <c r="AE150" s="2057"/>
      <c r="AF150" s="2058"/>
      <c r="AG150" s="2057">
        <v>39.380000000000003</v>
      </c>
      <c r="AH150" s="2057">
        <v>39.481000000000002</v>
      </c>
      <c r="AI150" s="2057">
        <v>39.595999999999997</v>
      </c>
      <c r="AJ150" s="2058">
        <v>36.165999999999997</v>
      </c>
      <c r="AK150" s="2057">
        <v>37.191000000000003</v>
      </c>
      <c r="AL150" s="2057">
        <v>37.597000000000001</v>
      </c>
      <c r="AM150" s="2057">
        <v>37.802999999999997</v>
      </c>
      <c r="AN150" s="2058">
        <v>38.082000000000001</v>
      </c>
      <c r="AO150" s="2057">
        <v>38.223999999999997</v>
      </c>
      <c r="AP150" s="2057">
        <v>38.768000000000001</v>
      </c>
      <c r="AQ150" s="2057">
        <v>39.715000000000003</v>
      </c>
      <c r="AR150" s="2058">
        <v>40.503999999999998</v>
      </c>
      <c r="AS150" s="2057">
        <v>41.003999999999998</v>
      </c>
      <c r="AT150" s="2057">
        <v>41.661000000000001</v>
      </c>
      <c r="AU150" s="2057">
        <v>42.569000000000003</v>
      </c>
      <c r="AV150" s="2058">
        <v>44.35</v>
      </c>
      <c r="AW150" s="2057">
        <v>46.308999999999997</v>
      </c>
      <c r="AX150" s="2057">
        <v>47.790999999999997</v>
      </c>
      <c r="AY150" s="2057">
        <v>48.57</v>
      </c>
      <c r="AZ150" s="2058">
        <v>49.110999999999997</v>
      </c>
      <c r="BA150" s="2057"/>
      <c r="BB150" s="2057"/>
      <c r="BC150" s="2057"/>
      <c r="BD150" s="2058"/>
      <c r="BE150" s="2057"/>
      <c r="BF150" s="2057"/>
      <c r="BG150" s="2057"/>
      <c r="BH150" s="2058"/>
      <c r="BI150" s="2059"/>
      <c r="BJ150" s="2057"/>
      <c r="BK150" s="2057"/>
      <c r="BL150" s="2058"/>
      <c r="BM150" s="2059"/>
      <c r="BN150" s="2057"/>
      <c r="BO150" s="2057"/>
      <c r="BP150" s="2058"/>
      <c r="BQ150" s="2057"/>
      <c r="BR150" s="2057"/>
      <c r="BS150" s="2057"/>
      <c r="BT150" s="2058"/>
      <c r="BU150" s="2059"/>
      <c r="BV150" s="2057"/>
      <c r="BW150" s="2057"/>
      <c r="BX150" s="2058"/>
      <c r="BY150" s="2057"/>
      <c r="BZ150" s="2057"/>
      <c r="CA150" s="2057"/>
      <c r="CB150" s="2058"/>
      <c r="CC150" s="2057"/>
      <c r="CD150" s="2057"/>
      <c r="CE150" s="2057"/>
      <c r="CF150" s="2058"/>
      <c r="CG150" s="2056"/>
      <c r="CH150" s="2060"/>
      <c r="CI150" s="548"/>
      <c r="CJ150" s="2057"/>
      <c r="CK150" s="2057"/>
      <c r="CL150" s="2057"/>
      <c r="CM150" s="2057"/>
      <c r="CN150" s="2057"/>
      <c r="CO150" s="2057"/>
      <c r="CP150" s="2057"/>
      <c r="CQ150" s="2057">
        <v>47.954999999999998</v>
      </c>
      <c r="CR150" s="2057">
        <v>49.654000000000003</v>
      </c>
      <c r="CS150" s="2057">
        <v>49.84</v>
      </c>
      <c r="CT150" s="2057">
        <v>50.923999999999999</v>
      </c>
      <c r="CU150" s="2057">
        <v>52.301000000000002</v>
      </c>
      <c r="CV150" s="2057">
        <f t="shared" ref="CV150:DF150" si="290">+(CU150/CU153)*CV153</f>
        <v>50.898407685239022</v>
      </c>
      <c r="CW150" s="2057">
        <f t="shared" si="290"/>
        <v>49.358989057254853</v>
      </c>
      <c r="CX150" s="2057">
        <f t="shared" si="290"/>
        <v>48.949000534478571</v>
      </c>
      <c r="CY150" s="2057">
        <f t="shared" si="290"/>
        <v>47.879516575490442</v>
      </c>
      <c r="CZ150" s="2057">
        <f t="shared" si="290"/>
        <v>46.96157414713457</v>
      </c>
      <c r="DA150" s="2057">
        <f t="shared" si="290"/>
        <v>46.332155144288535</v>
      </c>
      <c r="DB150" s="2057">
        <f t="shared" si="290"/>
        <v>45.735352720941123</v>
      </c>
      <c r="DC150" s="2057">
        <f t="shared" si="290"/>
        <v>45.482202909557209</v>
      </c>
      <c r="DD150" s="2057">
        <f t="shared" si="290"/>
        <v>45.562696410759216</v>
      </c>
      <c r="DE150" s="2057">
        <f t="shared" si="290"/>
        <v>45.655129428235135</v>
      </c>
      <c r="DF150" s="2058">
        <f t="shared" si="290"/>
        <v>45.759154209083789</v>
      </c>
      <c r="DG150" s="1491">
        <f>+(CV150/CQ150)^(1/5)-1</f>
        <v>1.1984964698803058E-2</v>
      </c>
      <c r="DH150" s="1491">
        <f>+(DA150/CV150)^(1/5)-1</f>
        <v>-1.8623484157615056E-2</v>
      </c>
    </row>
    <row r="151" spans="1:122" s="554" customFormat="1" ht="11.25" customHeight="1">
      <c r="A151" s="547"/>
      <c r="B151"/>
      <c r="C151"/>
      <c r="D151"/>
      <c r="E151"/>
      <c r="F151"/>
      <c r="G151"/>
      <c r="H151" s="1044"/>
      <c r="I151" s="591" t="s">
        <v>721</v>
      </c>
      <c r="J151" s="547"/>
      <c r="K151" s="547"/>
      <c r="L151" s="547"/>
      <c r="M151" s="548"/>
      <c r="N151" s="548"/>
      <c r="O151" s="548"/>
      <c r="P151" s="2056"/>
      <c r="Q151" s="548"/>
      <c r="R151" s="548"/>
      <c r="S151" s="548"/>
      <c r="T151" s="2056"/>
      <c r="U151" s="2057"/>
      <c r="V151" s="2057"/>
      <c r="W151" s="2057"/>
      <c r="X151" s="2058"/>
      <c r="Y151" s="2057"/>
      <c r="Z151" s="2057"/>
      <c r="AA151" s="2057"/>
      <c r="AB151" s="2058"/>
      <c r="AC151" s="2057"/>
      <c r="AD151" s="2057"/>
      <c r="AE151" s="2057"/>
      <c r="AF151" s="2058"/>
      <c r="AG151" s="2057">
        <v>39.380000000000003</v>
      </c>
      <c r="AH151" s="2057">
        <v>46.993000000000002</v>
      </c>
      <c r="AI151" s="2057">
        <v>46.384999999999998</v>
      </c>
      <c r="AJ151" s="2058">
        <v>40.936</v>
      </c>
      <c r="AK151" s="2057">
        <v>37.170999999999999</v>
      </c>
      <c r="AL151" s="2057">
        <v>43.667000000000002</v>
      </c>
      <c r="AM151" s="2057">
        <v>45.923999999999999</v>
      </c>
      <c r="AN151" s="2058">
        <v>48.35</v>
      </c>
      <c r="AO151" s="2057">
        <v>49.134</v>
      </c>
      <c r="AP151" s="2057">
        <v>49.948</v>
      </c>
      <c r="AQ151" s="2057">
        <v>48.655999999999999</v>
      </c>
      <c r="AR151" s="2058">
        <v>45.55</v>
      </c>
      <c r="AS151" s="2057">
        <v>47.012999999999998</v>
      </c>
      <c r="AT151" s="2057">
        <v>48.478999999999999</v>
      </c>
      <c r="AU151" s="2057">
        <v>49.67</v>
      </c>
      <c r="AV151" s="2058">
        <v>50.57</v>
      </c>
      <c r="AW151" s="2057">
        <v>50.862000000000002</v>
      </c>
      <c r="AX151" s="2057">
        <v>50.847000000000001</v>
      </c>
      <c r="AY151" s="2057">
        <v>50.558999999999997</v>
      </c>
      <c r="AZ151" s="2058">
        <v>51.034999999999997</v>
      </c>
      <c r="BA151" s="2057">
        <v>51.158999999999999</v>
      </c>
      <c r="BB151" s="2057">
        <v>51.104999999999997</v>
      </c>
      <c r="BC151" s="2057">
        <f>+BB151/BB153*BC153</f>
        <v>51.115919023385899</v>
      </c>
      <c r="BD151" s="2058">
        <f>+BC151/BC153*BD153</f>
        <v>51.137757070157718</v>
      </c>
      <c r="BE151" s="2057">
        <v>51.347000000000001</v>
      </c>
      <c r="BF151" s="2057">
        <v>51.225999999999999</v>
      </c>
      <c r="BG151" s="2057">
        <v>51.185000000000002</v>
      </c>
      <c r="BH151" s="2058">
        <v>51.241</v>
      </c>
      <c r="BI151" s="2059">
        <v>51.353000000000002</v>
      </c>
      <c r="BJ151" s="2057">
        <v>52.110999999999997</v>
      </c>
      <c r="BK151" s="2057">
        <v>52.984000000000002</v>
      </c>
      <c r="BL151" s="2058">
        <v>52.938000000000002</v>
      </c>
      <c r="BM151" s="2059">
        <v>53.018000000000001</v>
      </c>
      <c r="BN151" s="2057">
        <v>52.954999999999998</v>
      </c>
      <c r="BO151" s="2057">
        <v>53.024000000000001</v>
      </c>
      <c r="BP151" s="2058">
        <v>52.777000000000001</v>
      </c>
      <c r="BQ151" s="2057">
        <v>52.405999999999999</v>
      </c>
      <c r="BR151" s="2057">
        <v>52.037999999999997</v>
      </c>
      <c r="BS151" s="2057">
        <v>51.13</v>
      </c>
      <c r="BT151" s="2057">
        <v>50.402999999999999</v>
      </c>
      <c r="BU151" s="2059">
        <v>50.128999999999998</v>
      </c>
      <c r="BV151" s="2057">
        <v>50.058999999999997</v>
      </c>
      <c r="BW151" s="2057">
        <v>49.975000000000001</v>
      </c>
      <c r="BX151" s="2058">
        <v>50.02</v>
      </c>
      <c r="BY151" s="2059">
        <v>50.024999999999999</v>
      </c>
      <c r="BZ151" s="2057">
        <v>50.055999999999997</v>
      </c>
      <c r="CA151" s="2057">
        <v>49.972000000000001</v>
      </c>
      <c r="CB151" s="2058">
        <v>49.569000000000003</v>
      </c>
      <c r="CC151" s="2057">
        <f>+CB151/CB153*CC153</f>
        <v>49.473701089743592</v>
      </c>
      <c r="CD151" s="2057">
        <f>+CC151/CC153*CD153</f>
        <v>48.938591559690892</v>
      </c>
      <c r="CE151" s="2057">
        <f>+CD151/CD153*CE153</f>
        <v>48.496650651680184</v>
      </c>
      <c r="CF151" s="2058">
        <f>+CE151/CE153*CF153</f>
        <v>48.351526850880582</v>
      </c>
      <c r="CG151" s="2056"/>
      <c r="CH151" s="2060"/>
      <c r="CI151" s="548"/>
      <c r="CJ151" s="2057"/>
      <c r="CK151" s="2057"/>
      <c r="CL151" s="2057"/>
      <c r="CM151" s="2057">
        <v>44.722000000000001</v>
      </c>
      <c r="CN151" s="2057">
        <v>45.503999999999998</v>
      </c>
      <c r="CO151" s="2057">
        <v>48.670999999999999</v>
      </c>
      <c r="CP151" s="2057">
        <v>49.552</v>
      </c>
      <c r="CQ151" s="2057">
        <v>50.988</v>
      </c>
      <c r="CR151" s="2057">
        <v>51.210999999999999</v>
      </c>
      <c r="CS151" s="2057">
        <v>51.326000000000001</v>
      </c>
      <c r="CT151" s="2057">
        <v>52.412999999999997</v>
      </c>
      <c r="CU151" s="2057">
        <v>53.023000000000003</v>
      </c>
      <c r="CV151" s="2057">
        <v>51.593000000000004</v>
      </c>
      <c r="CW151" s="2057">
        <v>50.063000000000002</v>
      </c>
      <c r="CX151" s="2057">
        <f>AVERAGE(BY151:CB151)</f>
        <v>49.905500000000004</v>
      </c>
      <c r="CY151" s="2057">
        <f>AVERAGE(CC151:CF151)</f>
        <v>48.815117537998816</v>
      </c>
      <c r="CZ151" s="2057">
        <f t="shared" ref="CZ151:DF151" si="291">+CY151/CY153*CZ153</f>
        <v>47.879237839575836</v>
      </c>
      <c r="DA151" s="2057">
        <f t="shared" si="291"/>
        <v>47.2375195265654</v>
      </c>
      <c r="DB151" s="2057">
        <f t="shared" si="291"/>
        <v>46.629055145001871</v>
      </c>
      <c r="DC151" s="2057">
        <f t="shared" si="291"/>
        <v>46.370958600147574</v>
      </c>
      <c r="DD151" s="2057">
        <f t="shared" si="291"/>
        <v>46.453025003554671</v>
      </c>
      <c r="DE151" s="2057">
        <f t="shared" si="291"/>
        <v>46.547264230163506</v>
      </c>
      <c r="DF151" s="2058">
        <f t="shared" si="291"/>
        <v>46.653321731725484</v>
      </c>
      <c r="DG151" s="1491">
        <f>+(CV151/CQ151)^(1/5)-1</f>
        <v>2.3619236472041116E-3</v>
      </c>
      <c r="DH151" s="1491">
        <f>+(DA151/CV151)^(1/5)-1</f>
        <v>-1.7484839147801301E-2</v>
      </c>
    </row>
    <row r="152" spans="1:122" s="554" customFormat="1" ht="11.25" customHeight="1">
      <c r="A152" s="547"/>
      <c r="B152"/>
      <c r="C152"/>
      <c r="D152"/>
      <c r="E152"/>
      <c r="F152"/>
      <c r="G152"/>
      <c r="H152" s="1044"/>
      <c r="I152" s="591"/>
      <c r="J152" s="547"/>
      <c r="K152" s="547"/>
      <c r="L152" s="547"/>
      <c r="M152" s="548"/>
      <c r="N152" s="548"/>
      <c r="O152" s="548"/>
      <c r="P152" s="2056"/>
      <c r="Q152" s="548"/>
      <c r="R152" s="548"/>
      <c r="S152" s="548"/>
      <c r="T152" s="2056"/>
      <c r="U152" s="2057"/>
      <c r="V152" s="2057"/>
      <c r="W152" s="2057"/>
      <c r="X152" s="2058"/>
      <c r="Y152" s="2057"/>
      <c r="Z152" s="2057"/>
      <c r="AA152" s="2057"/>
      <c r="AB152" s="2058"/>
      <c r="AC152" s="2057"/>
      <c r="AD152" s="2057"/>
      <c r="AE152" s="2057"/>
      <c r="AF152" s="2058"/>
      <c r="AG152" s="2057"/>
      <c r="AH152" s="2057"/>
      <c r="AI152" s="2057"/>
      <c r="AJ152" s="2058"/>
      <c r="AK152" s="2057"/>
      <c r="AL152" s="2057"/>
      <c r="AM152" s="2057"/>
      <c r="AN152" s="2058"/>
      <c r="AO152" s="2057"/>
      <c r="AP152" s="2057"/>
      <c r="AQ152" s="2057"/>
      <c r="AR152" s="2058"/>
      <c r="AS152" s="2057"/>
      <c r="AT152" s="2057"/>
      <c r="AU152" s="2057"/>
      <c r="AV152" s="2058"/>
      <c r="AW152" s="2057"/>
      <c r="AX152" s="2057"/>
      <c r="AY152" s="2057"/>
      <c r="AZ152" s="2058"/>
      <c r="BA152" s="2057"/>
      <c r="BB152" s="2057"/>
      <c r="BC152" s="2057"/>
      <c r="BD152" s="2058"/>
      <c r="BE152" s="2057"/>
      <c r="BF152" s="2057"/>
      <c r="BG152" s="2057"/>
      <c r="BH152" s="2058"/>
      <c r="BI152" s="2059"/>
      <c r="BJ152" s="2057"/>
      <c r="BK152" s="2057"/>
      <c r="BL152" s="2058"/>
      <c r="BM152" s="2059"/>
      <c r="BN152" s="2057"/>
      <c r="BO152" s="2057"/>
      <c r="BP152" s="2058"/>
      <c r="BQ152" s="2057"/>
      <c r="BR152" s="2057"/>
      <c r="BS152" s="2057"/>
      <c r="BT152" s="2057"/>
      <c r="BU152" s="2059"/>
      <c r="BV152" s="2057"/>
      <c r="BW152" s="2057"/>
      <c r="BX152" s="2058"/>
      <c r="BY152" s="2057"/>
      <c r="BZ152" s="2057"/>
      <c r="CA152" s="2057"/>
      <c r="CB152" s="2058"/>
      <c r="CC152" s="2057"/>
      <c r="CD152" s="2057"/>
      <c r="CE152" s="2057"/>
      <c r="CF152" s="2058"/>
      <c r="CG152" s="2056"/>
      <c r="CH152" s="2060"/>
      <c r="CI152" s="548"/>
      <c r="CJ152" s="2057"/>
      <c r="CK152" s="2057"/>
      <c r="CL152" s="2057"/>
      <c r="CM152" s="2057"/>
      <c r="CN152" s="2057"/>
      <c r="CO152" s="2057"/>
      <c r="CP152" s="2057"/>
      <c r="CQ152" s="2057"/>
      <c r="CR152" s="2057"/>
      <c r="CS152" s="2057"/>
      <c r="CT152" s="2057"/>
      <c r="CU152" s="2057"/>
      <c r="CV152" s="2057"/>
      <c r="CW152" s="2057"/>
      <c r="CX152" s="2057"/>
      <c r="CY152" s="2057"/>
      <c r="CZ152" s="2057"/>
      <c r="DA152" s="2057"/>
      <c r="DB152" s="2057"/>
      <c r="DC152" s="2057"/>
      <c r="DD152" s="2057"/>
      <c r="DE152" s="2057"/>
      <c r="DF152" s="2058"/>
      <c r="DG152" s="1492"/>
      <c r="DH152" s="1492"/>
    </row>
    <row r="153" spans="1:122" s="554" customFormat="1" ht="11.25" customHeight="1">
      <c r="A153" s="547"/>
      <c r="B153"/>
      <c r="C153"/>
      <c r="D153"/>
      <c r="E153"/>
      <c r="F153"/>
      <c r="G153"/>
      <c r="H153" s="1044"/>
      <c r="I153" s="591" t="s">
        <v>154</v>
      </c>
      <c r="J153" s="547"/>
      <c r="K153" s="547"/>
      <c r="L153" s="547"/>
      <c r="M153" s="548"/>
      <c r="N153" s="548"/>
      <c r="O153" s="548"/>
      <c r="P153" s="2056"/>
      <c r="Q153" s="548"/>
      <c r="R153" s="548"/>
      <c r="S153" s="548"/>
      <c r="T153" s="2056"/>
      <c r="U153" s="2057"/>
      <c r="V153" s="2057"/>
      <c r="W153" s="2057"/>
      <c r="X153" s="2058"/>
      <c r="Y153" s="2057"/>
      <c r="Z153" s="2057"/>
      <c r="AA153" s="2057"/>
      <c r="AB153" s="2058"/>
      <c r="AC153" s="2057"/>
      <c r="AD153" s="2057"/>
      <c r="AE153" s="2057"/>
      <c r="AF153" s="2058"/>
      <c r="AG153" s="2057">
        <v>40.890999999999998</v>
      </c>
      <c r="AH153" s="2057">
        <v>41.762999999999998</v>
      </c>
      <c r="AI153" s="2057">
        <v>41.972999999999999</v>
      </c>
      <c r="AJ153" s="2058">
        <v>38.356999999999999</v>
      </c>
      <c r="AK153" s="2057">
        <v>40.238</v>
      </c>
      <c r="AL153" s="2057">
        <v>42.686</v>
      </c>
      <c r="AM153" s="2057">
        <v>45.368000000000002</v>
      </c>
      <c r="AN153" s="2058">
        <v>48.347999999999999</v>
      </c>
      <c r="AO153" s="2057">
        <v>49.405000000000001</v>
      </c>
      <c r="AP153" s="2057">
        <v>50.505000000000003</v>
      </c>
      <c r="AQ153" s="2057">
        <v>48.863</v>
      </c>
      <c r="AR153" s="2058">
        <v>45.287999999999997</v>
      </c>
      <c r="AS153" s="2057">
        <v>47.177</v>
      </c>
      <c r="AT153" s="2057">
        <v>48.997999999999998</v>
      </c>
      <c r="AU153" s="2057">
        <v>50.24</v>
      </c>
      <c r="AV153" s="2058">
        <v>51.073</v>
      </c>
      <c r="AW153" s="2057">
        <v>51.393000000000001</v>
      </c>
      <c r="AX153" s="2057">
        <v>51.259</v>
      </c>
      <c r="AY153" s="2057">
        <v>51.058999999999997</v>
      </c>
      <c r="AZ153" s="2058">
        <v>51.430999999999997</v>
      </c>
      <c r="BA153" s="2057">
        <v>51.521999999999998</v>
      </c>
      <c r="BB153" s="2057">
        <v>51.484000000000002</v>
      </c>
      <c r="BC153" s="2057">
        <v>51.494999999999997</v>
      </c>
      <c r="BD153" s="2058">
        <v>51.517000000000003</v>
      </c>
      <c r="BE153" s="2057">
        <v>51.645000000000003</v>
      </c>
      <c r="BF153" s="2057">
        <v>51.546999999999997</v>
      </c>
      <c r="BG153" s="2057">
        <v>51.475000000000001</v>
      </c>
      <c r="BH153" s="2058">
        <v>51.47</v>
      </c>
      <c r="BI153" s="2059">
        <v>51.567999999999998</v>
      </c>
      <c r="BJ153" s="2057">
        <v>52.395000000000003</v>
      </c>
      <c r="BK153" s="2057">
        <v>53.192999999999998</v>
      </c>
      <c r="BL153" s="2058">
        <v>53.21</v>
      </c>
      <c r="BM153" s="2059">
        <v>53.325000000000003</v>
      </c>
      <c r="BN153" s="2057">
        <v>53.326000000000001</v>
      </c>
      <c r="BO153" s="2057">
        <v>53.362000000000002</v>
      </c>
      <c r="BP153" s="2058">
        <v>53.156999999999996</v>
      </c>
      <c r="BQ153" s="2057">
        <v>52.793999999999997</v>
      </c>
      <c r="BR153" s="2057">
        <v>52.468000000000004</v>
      </c>
      <c r="BS153" s="2057">
        <v>51.448999999999998</v>
      </c>
      <c r="BT153" s="2057">
        <v>50.744999999999997</v>
      </c>
      <c r="BU153" s="2059">
        <v>50.508000000000003</v>
      </c>
      <c r="BV153" s="2057">
        <v>50.448999999999998</v>
      </c>
      <c r="BW153" s="2057">
        <v>50.317</v>
      </c>
      <c r="BX153" s="2058">
        <v>50.02</v>
      </c>
      <c r="BY153" s="2057">
        <v>50.024999999999999</v>
      </c>
      <c r="BZ153" s="2057">
        <v>50.055999999999997</v>
      </c>
      <c r="CA153" s="2057">
        <v>49.972000000000001</v>
      </c>
      <c r="CB153" s="2058">
        <v>49.569000000000003</v>
      </c>
      <c r="CC153" s="2057">
        <f>+AVERAGE(CC170,CB170)</f>
        <v>49.473701089743592</v>
      </c>
      <c r="CD153" s="2057">
        <f>+AVERAGE(CC170:CD170)</f>
        <v>48.938591559690892</v>
      </c>
      <c r="CE153" s="2057">
        <f>+AVERAGE(CD170:CE170)</f>
        <v>48.496650651680184</v>
      </c>
      <c r="CF153" s="2058">
        <f>+AVERAGE(CE170:CF170)</f>
        <v>48.351526850880582</v>
      </c>
      <c r="CG153" s="2056"/>
      <c r="CH153" s="2060"/>
      <c r="CI153" s="548"/>
      <c r="CJ153" s="2057"/>
      <c r="CK153" s="2057"/>
      <c r="CL153" s="2057"/>
      <c r="CM153" s="2057">
        <v>40.939</v>
      </c>
      <c r="CN153" s="2057">
        <v>45.156999999999996</v>
      </c>
      <c r="CO153" s="2057">
        <v>48.801000000000002</v>
      </c>
      <c r="CP153" s="2057">
        <v>49.902999999999999</v>
      </c>
      <c r="CQ153" s="2057">
        <v>51.329000000000001</v>
      </c>
      <c r="CR153" s="2057">
        <v>51.552</v>
      </c>
      <c r="CS153" s="2057">
        <v>51.540999999999997</v>
      </c>
      <c r="CT153" s="2057">
        <v>52.658000000000001</v>
      </c>
      <c r="CU153" s="2057">
        <v>53.323</v>
      </c>
      <c r="CV153" s="2057">
        <v>51.893000000000001</v>
      </c>
      <c r="CW153" s="2057">
        <f>AVERAGE(BU153:BX153)</f>
        <v>50.323500000000003</v>
      </c>
      <c r="CX153" s="2057">
        <f>AVERAGE(BY153:CB153)</f>
        <v>49.905500000000004</v>
      </c>
      <c r="CY153" s="2057">
        <f>AVERAGE(CC153:CF153)</f>
        <v>48.815117537998816</v>
      </c>
      <c r="CZ153" s="2057">
        <f t="shared" ref="CZ153:DF153" si="292">+AVERAGE(CY170:CZ170)</f>
        <v>47.879237839575836</v>
      </c>
      <c r="DA153" s="2057">
        <f t="shared" si="292"/>
        <v>47.2375195265654</v>
      </c>
      <c r="DB153" s="2057">
        <f t="shared" si="292"/>
        <v>46.629055145001871</v>
      </c>
      <c r="DC153" s="2057">
        <f t="shared" si="292"/>
        <v>46.370958600147574</v>
      </c>
      <c r="DD153" s="2057">
        <f t="shared" si="292"/>
        <v>46.453025003554671</v>
      </c>
      <c r="DE153" s="2057">
        <f t="shared" si="292"/>
        <v>46.547264230163506</v>
      </c>
      <c r="DF153" s="2058">
        <f t="shared" si="292"/>
        <v>46.653321731725484</v>
      </c>
      <c r="DG153" s="1491">
        <f>+(CV153/CQ153)^(1/5)-1</f>
        <v>2.1879925134782319E-3</v>
      </c>
      <c r="DH153" s="1491">
        <f>+(DA153/CV153)^(1/5)-1</f>
        <v>-1.8623484157615056E-2</v>
      </c>
    </row>
    <row r="154" spans="1:122" s="40" customFormat="1" ht="11.25" customHeight="1">
      <c r="A154" s="24"/>
      <c r="B154"/>
      <c r="C154"/>
      <c r="D154"/>
      <c r="E154"/>
      <c r="F154"/>
      <c r="G154"/>
      <c r="H154" s="1044"/>
      <c r="I154" s="182"/>
      <c r="J154" s="39"/>
      <c r="K154" s="39"/>
      <c r="L154" s="39"/>
      <c r="M154" s="1141"/>
      <c r="N154" s="1141"/>
      <c r="O154" s="1141"/>
      <c r="P154" s="1190"/>
      <c r="Q154" s="1141"/>
      <c r="R154" s="1141"/>
      <c r="S154" s="1141"/>
      <c r="T154" s="1190"/>
      <c r="U154" s="1964"/>
      <c r="V154" s="1964"/>
      <c r="W154" s="1964"/>
      <c r="X154" s="2206"/>
      <c r="Y154" s="1964"/>
      <c r="Z154" s="1964"/>
      <c r="AA154" s="1964"/>
      <c r="AB154" s="2206"/>
      <c r="AC154" s="1964"/>
      <c r="AD154" s="1964"/>
      <c r="AE154" s="1964"/>
      <c r="AF154" s="2206"/>
      <c r="AG154" s="1964"/>
      <c r="AH154" s="1964"/>
      <c r="AI154" s="1964"/>
      <c r="AJ154" s="2206"/>
      <c r="AK154" s="1964"/>
      <c r="AL154" s="1964"/>
      <c r="AM154" s="1964"/>
      <c r="AN154" s="2206"/>
      <c r="AO154" s="1964"/>
      <c r="AP154" s="1964"/>
      <c r="AQ154" s="1964"/>
      <c r="AR154" s="2206"/>
      <c r="AS154" s="1964"/>
      <c r="AT154" s="1964"/>
      <c r="AU154" s="1964"/>
      <c r="AV154" s="2206"/>
      <c r="AW154" s="2294"/>
      <c r="AX154" s="1964"/>
      <c r="AY154" s="2294"/>
      <c r="AZ154" s="2206"/>
      <c r="BA154" s="1964"/>
      <c r="BB154" s="2196"/>
      <c r="BC154" s="2196"/>
      <c r="BD154" s="2197"/>
      <c r="BE154" s="1141"/>
      <c r="BF154" s="1141"/>
      <c r="BG154" s="1141"/>
      <c r="BH154" s="2295"/>
      <c r="BI154" s="2218"/>
      <c r="BJ154" s="2196"/>
      <c r="BK154" s="2196"/>
      <c r="BL154" s="2058"/>
      <c r="BM154" s="2218"/>
      <c r="BN154" s="2196"/>
      <c r="BO154" s="2196"/>
      <c r="BP154" s="2058"/>
      <c r="BQ154" s="2057"/>
      <c r="BR154" s="1966"/>
      <c r="BS154" s="2219"/>
      <c r="BT154" s="1964"/>
      <c r="BU154" s="2218"/>
      <c r="BV154" s="2296"/>
      <c r="BW154" s="2296"/>
      <c r="BX154" s="2227"/>
      <c r="BY154" s="1964"/>
      <c r="BZ154" s="1964"/>
      <c r="CA154" s="1964"/>
      <c r="CB154" s="2206"/>
      <c r="CC154" s="1964"/>
      <c r="CD154" s="1964"/>
      <c r="CE154" s="1964"/>
      <c r="CF154" s="2206"/>
      <c r="CG154" s="1190"/>
      <c r="CH154" s="1205"/>
      <c r="CI154" s="1141"/>
      <c r="CJ154" s="1964"/>
      <c r="CK154" s="1964"/>
      <c r="CL154" s="1964"/>
      <c r="CM154" s="1964"/>
      <c r="CN154" s="1964"/>
      <c r="CO154" s="1964"/>
      <c r="CP154" s="2294"/>
      <c r="CQ154" s="1964"/>
      <c r="CR154" s="1964"/>
      <c r="CS154" s="1956"/>
      <c r="CT154" s="2297"/>
      <c r="CU154" s="2297"/>
      <c r="CV154" s="2297"/>
      <c r="CW154" s="2297"/>
      <c r="CX154" s="2297"/>
      <c r="CY154" s="2297"/>
      <c r="CZ154" s="1964"/>
      <c r="DA154" s="1964"/>
      <c r="DB154" s="1964"/>
      <c r="DC154" s="1964"/>
      <c r="DD154" s="1964"/>
      <c r="DE154" s="1964"/>
      <c r="DF154" s="2206"/>
      <c r="DG154" s="1506"/>
      <c r="DH154" s="1506"/>
    </row>
    <row r="155" spans="1:122" s="1487" customFormat="1" ht="11.25" customHeight="1">
      <c r="A155" s="24"/>
      <c r="B155"/>
      <c r="C155"/>
      <c r="D155"/>
      <c r="E155"/>
      <c r="F155"/>
      <c r="G155"/>
      <c r="H155" s="1044"/>
      <c r="I155" s="1485" t="s">
        <v>44</v>
      </c>
      <c r="J155" s="1486"/>
      <c r="K155" s="1486"/>
      <c r="L155" s="1486"/>
      <c r="M155" s="1955"/>
      <c r="N155" s="1955"/>
      <c r="O155" s="1955"/>
      <c r="P155" s="1022"/>
      <c r="Q155" s="1955"/>
      <c r="R155" s="1955"/>
      <c r="S155" s="1955"/>
      <c r="T155" s="1022"/>
      <c r="U155" s="1956"/>
      <c r="V155" s="1956"/>
      <c r="W155" s="1956"/>
      <c r="X155" s="1974"/>
      <c r="Y155" s="1956"/>
      <c r="Z155" s="1956"/>
      <c r="AA155" s="1956"/>
      <c r="AB155" s="1974"/>
      <c r="AC155" s="1956"/>
      <c r="AD155" s="1956"/>
      <c r="AE155" s="1956"/>
      <c r="AF155" s="1974"/>
      <c r="AG155" s="1956">
        <f>+AG143/AG151</f>
        <v>-2.1051295073641653E-2</v>
      </c>
      <c r="AH155" s="1956">
        <f>+AH143/AH151</f>
        <v>0.26635881939863398</v>
      </c>
      <c r="AI155" s="1956">
        <f>+AI143/AI151</f>
        <v>1.0030613344831303</v>
      </c>
      <c r="AJ155" s="1974">
        <f>+AJ143/AJ151</f>
        <v>0.32323627125268622</v>
      </c>
      <c r="AK155" s="1956">
        <f>+AK143/AK151</f>
        <v>0.61090635172580887</v>
      </c>
      <c r="AL155" s="1956">
        <f>+AL143/AL151+0.001</f>
        <v>0.7396355829344804</v>
      </c>
      <c r="AM155" s="1956">
        <f t="shared" ref="AM155:CF155" si="293">+AM143/AM151</f>
        <v>2.2725590105391511</v>
      </c>
      <c r="AN155" s="1974">
        <f t="shared" si="293"/>
        <v>0.67966907962771494</v>
      </c>
      <c r="AO155" s="1956">
        <f t="shared" si="293"/>
        <v>0.3694793829120368</v>
      </c>
      <c r="AP155" s="1956">
        <f t="shared" si="293"/>
        <v>1.0830463682229527</v>
      </c>
      <c r="AQ155" s="1956">
        <f t="shared" si="293"/>
        <v>1.8079579085827038</v>
      </c>
      <c r="AR155" s="1974">
        <f t="shared" si="293"/>
        <v>0.74963776070252475</v>
      </c>
      <c r="AS155" s="1956">
        <f t="shared" si="293"/>
        <v>0.53225703528811208</v>
      </c>
      <c r="AT155" s="1956">
        <f t="shared" si="293"/>
        <v>1.3822686111512195</v>
      </c>
      <c r="AU155" s="1956">
        <f t="shared" si="293"/>
        <v>6.4220253674250039</v>
      </c>
      <c r="AV155" s="1974">
        <f t="shared" si="293"/>
        <v>1.5514138817480734</v>
      </c>
      <c r="AW155" s="1956">
        <f t="shared" si="293"/>
        <v>1.0592387243914883</v>
      </c>
      <c r="AX155" s="1956">
        <f t="shared" si="293"/>
        <v>2.2791118453399384</v>
      </c>
      <c r="AY155" s="1956">
        <f t="shared" si="293"/>
        <v>4.4502462469589963</v>
      </c>
      <c r="AZ155" s="1974">
        <f t="shared" si="293"/>
        <v>2.6938767512491442</v>
      </c>
      <c r="BA155" s="1956">
        <f t="shared" si="293"/>
        <v>2.0483199437049207</v>
      </c>
      <c r="BB155" s="1956">
        <f t="shared" si="293"/>
        <v>5.0164954505430011</v>
      </c>
      <c r="BC155" s="1956">
        <f t="shared" si="293"/>
        <v>9.1849859881263409</v>
      </c>
      <c r="BD155" s="1974">
        <f t="shared" si="293"/>
        <v>4.4138619472561853</v>
      </c>
      <c r="BE155" s="1956">
        <f t="shared" si="293"/>
        <v>3.5439266169396459</v>
      </c>
      <c r="BF155" s="1956">
        <f t="shared" si="293"/>
        <v>6.8782844649201582</v>
      </c>
      <c r="BG155" s="1956">
        <f t="shared" si="293"/>
        <v>11.655426394451498</v>
      </c>
      <c r="BH155" s="1974">
        <f t="shared" si="293"/>
        <v>5.633438067172774</v>
      </c>
      <c r="BI155" s="1973">
        <f t="shared" si="293"/>
        <v>4.7567036005686125</v>
      </c>
      <c r="BJ155" s="1956">
        <f t="shared" si="293"/>
        <v>8.3922012626892606</v>
      </c>
      <c r="BK155" s="1956">
        <f t="shared" si="293"/>
        <v>15.721519704061594</v>
      </c>
      <c r="BL155" s="1974">
        <f t="shared" si="293"/>
        <v>7.1418829574218892</v>
      </c>
      <c r="BM155" s="1973">
        <f t="shared" si="293"/>
        <v>6.2472745105435914</v>
      </c>
      <c r="BN155" s="1956">
        <f t="shared" si="293"/>
        <v>10.885676517798133</v>
      </c>
      <c r="BO155" s="1956">
        <f t="shared" si="293"/>
        <v>20.033437688593846</v>
      </c>
      <c r="BP155" s="1974">
        <f t="shared" si="293"/>
        <v>8.5611345851412537</v>
      </c>
      <c r="BQ155" s="1956">
        <f t="shared" si="293"/>
        <v>6.3604739915276847</v>
      </c>
      <c r="BR155" s="1956">
        <f t="shared" si="293"/>
        <v>9.9356624005534453</v>
      </c>
      <c r="BS155" s="1956">
        <f t="shared" si="293"/>
        <v>23.405671816937218</v>
      </c>
      <c r="BT155" s="1956">
        <f t="shared" si="293"/>
        <v>10.004741781243174</v>
      </c>
      <c r="BU155" s="1973">
        <f t="shared" si="293"/>
        <v>7.4692094396457049</v>
      </c>
      <c r="BV155" s="1956">
        <f t="shared" si="293"/>
        <v>11.599073093749379</v>
      </c>
      <c r="BW155" s="1956">
        <f>+BW143/BW151</f>
        <v>10.125402701350682</v>
      </c>
      <c r="BX155" s="1974">
        <f t="shared" si="293"/>
        <v>13.472770891643336</v>
      </c>
      <c r="BY155" s="1956">
        <f t="shared" si="293"/>
        <v>9.1079060469765079</v>
      </c>
      <c r="BZ155" s="1956">
        <f t="shared" si="293"/>
        <v>14.408582387725756</v>
      </c>
      <c r="CA155" s="1956">
        <f t="shared" si="293"/>
        <v>34.428419915152496</v>
      </c>
      <c r="CB155" s="1974">
        <f t="shared" si="293"/>
        <v>-11.205753595997503</v>
      </c>
      <c r="CC155" s="1956">
        <f t="shared" si="293"/>
        <v>10.49997646295034</v>
      </c>
      <c r="CD155" s="1956">
        <f t="shared" si="293"/>
        <v>18.031521646833443</v>
      </c>
      <c r="CE155" s="1956">
        <f t="shared" si="293"/>
        <v>40.45092159552734</v>
      </c>
      <c r="CF155" s="1974">
        <f t="shared" si="293"/>
        <v>20.914728273040495</v>
      </c>
      <c r="CG155" s="1022"/>
      <c r="CH155" s="2298"/>
      <c r="CI155" s="1955"/>
      <c r="CJ155" s="1956"/>
      <c r="CK155" s="1956"/>
      <c r="CL155" s="1956"/>
      <c r="CM155" s="1956">
        <f t="shared" ref="CM155:DF155" si="294">+CM143/CM151</f>
        <v>1.5975806090961981</v>
      </c>
      <c r="CN155" s="1956">
        <f t="shared" si="294"/>
        <v>4.2235627637130753</v>
      </c>
      <c r="CO155" s="1956">
        <f t="shared" si="294"/>
        <v>3.9934252429578194</v>
      </c>
      <c r="CP155" s="1956">
        <f t="shared" si="294"/>
        <v>9.877926218921532</v>
      </c>
      <c r="CQ155" s="1956">
        <f t="shared" si="294"/>
        <v>10.438593394524199</v>
      </c>
      <c r="CR155" s="1956">
        <f t="shared" si="294"/>
        <v>20.627833863818335</v>
      </c>
      <c r="CS155" s="1956">
        <f t="shared" si="294"/>
        <v>27.657775786151287</v>
      </c>
      <c r="CT155" s="1956">
        <f t="shared" si="294"/>
        <v>36.110564173010516</v>
      </c>
      <c r="CU155" s="1956">
        <f t="shared" si="294"/>
        <v>45.673632197348297</v>
      </c>
      <c r="CV155" s="1956">
        <f t="shared" si="294"/>
        <v>49.451669800166655</v>
      </c>
      <c r="CW155" s="1956">
        <f t="shared" si="294"/>
        <v>42.646006032399178</v>
      </c>
      <c r="CX155" s="1956">
        <f t="shared" si="294"/>
        <v>46.925849856228233</v>
      </c>
      <c r="CY155" s="1956">
        <f t="shared" si="294"/>
        <v>89.62189275638876</v>
      </c>
      <c r="CZ155" s="1956">
        <f t="shared" si="294"/>
        <v>105.71353208625536</v>
      </c>
      <c r="DA155" s="1956">
        <f t="shared" si="294"/>
        <v>122.41800377997917</v>
      </c>
      <c r="DB155" s="1956">
        <f t="shared" si="294"/>
        <v>139.53165331175543</v>
      </c>
      <c r="DC155" s="1956">
        <f t="shared" si="294"/>
        <v>155.79903298300493</v>
      </c>
      <c r="DD155" s="1956">
        <f t="shared" si="294"/>
        <v>170.53766610980176</v>
      </c>
      <c r="DE155" s="1956">
        <f t="shared" si="294"/>
        <v>185.12423790267812</v>
      </c>
      <c r="DF155" s="1974">
        <f t="shared" si="294"/>
        <v>201.3437656372956</v>
      </c>
      <c r="DG155" s="1491">
        <f>+(CV155/CQ155)^(1/5)-1</f>
        <v>0.36492188074854726</v>
      </c>
      <c r="DH155" s="1491">
        <f>+(DA155/CV155)^(1/5)-1</f>
        <v>0.19876172094233291</v>
      </c>
    </row>
    <row r="156" spans="1:122" s="68" customFormat="1" ht="11.25" hidden="1" customHeight="1" outlineLevel="1">
      <c r="A156" s="8"/>
      <c r="B156"/>
      <c r="C156"/>
      <c r="D156"/>
      <c r="E156"/>
      <c r="F156"/>
      <c r="G156"/>
      <c r="H156" s="1052" t="s">
        <v>45</v>
      </c>
      <c r="I156" s="183" t="s">
        <v>739</v>
      </c>
      <c r="J156" s="67"/>
      <c r="K156" s="67"/>
      <c r="L156" s="67"/>
      <c r="M156" s="1181"/>
      <c r="N156" s="1181"/>
      <c r="O156" s="1181"/>
      <c r="P156" s="1182"/>
      <c r="Q156" s="1181"/>
      <c r="R156" s="1181"/>
      <c r="S156" s="1181"/>
      <c r="T156" s="1182"/>
      <c r="U156" s="1960"/>
      <c r="V156" s="1960"/>
      <c r="W156" s="1960"/>
      <c r="X156" s="1972"/>
      <c r="Y156" s="1960"/>
      <c r="Z156" s="1960"/>
      <c r="AA156" s="1960"/>
      <c r="AB156" s="1972"/>
      <c r="AC156" s="1960"/>
      <c r="AD156" s="1960"/>
      <c r="AE156" s="1960"/>
      <c r="AF156" s="1972"/>
      <c r="AG156" s="1960">
        <f t="shared" ref="AG156:BL156" si="295">+AG146/AG153</f>
        <v>0.18507740089506253</v>
      </c>
      <c r="AH156" s="1960">
        <f t="shared" si="295"/>
        <v>0.55072671982376753</v>
      </c>
      <c r="AI156" s="1960">
        <f t="shared" si="295"/>
        <v>0.71834274414504562</v>
      </c>
      <c r="AJ156" s="1972">
        <f t="shared" si="295"/>
        <v>0.58471726151680148</v>
      </c>
      <c r="AK156" s="1960">
        <f t="shared" si="295"/>
        <v>0.4320294249217167</v>
      </c>
      <c r="AL156" s="1960">
        <f t="shared" si="295"/>
        <v>1.1090755751300176</v>
      </c>
      <c r="AM156" s="1960">
        <f t="shared" si="295"/>
        <v>1.5769044260271556</v>
      </c>
      <c r="AN156" s="1972">
        <f t="shared" si="295"/>
        <v>0.95540663522793101</v>
      </c>
      <c r="AO156" s="1960">
        <f t="shared" si="295"/>
        <v>0.75597611577775548</v>
      </c>
      <c r="AP156" s="1960">
        <f t="shared" si="295"/>
        <v>1.5537273537273546</v>
      </c>
      <c r="AQ156" s="1960">
        <f t="shared" si="295"/>
        <v>2.3901111270286317</v>
      </c>
      <c r="AR156" s="1972">
        <f t="shared" si="295"/>
        <v>1.2857489842783958</v>
      </c>
      <c r="AS156" s="1960">
        <f t="shared" si="295"/>
        <v>1.0869703457193125</v>
      </c>
      <c r="AT156" s="1960">
        <f t="shared" si="295"/>
        <v>2.0201028613412788</v>
      </c>
      <c r="AU156" s="1960">
        <f t="shared" si="295"/>
        <v>3.4502388535031847</v>
      </c>
      <c r="AV156" s="1972">
        <f t="shared" si="295"/>
        <v>1.9902688308891205</v>
      </c>
      <c r="AW156" s="1960">
        <f t="shared" si="295"/>
        <v>1.6974296110365201</v>
      </c>
      <c r="AX156" s="1960">
        <f t="shared" si="295"/>
        <v>3.0853703739831029</v>
      </c>
      <c r="AY156" s="1960">
        <f t="shared" si="295"/>
        <v>5.332223506139953</v>
      </c>
      <c r="AZ156" s="1972">
        <f t="shared" si="295"/>
        <v>3.4028115338997891</v>
      </c>
      <c r="BA156" s="1960">
        <f t="shared" si="295"/>
        <v>2.6596793602732816</v>
      </c>
      <c r="BB156" s="1960">
        <f t="shared" si="295"/>
        <v>5.4883264703597252</v>
      </c>
      <c r="BC156" s="1960">
        <f t="shared" si="295"/>
        <v>9.9533935333527594</v>
      </c>
      <c r="BD156" s="1972">
        <f t="shared" si="295"/>
        <v>5.3724595764504937</v>
      </c>
      <c r="BE156" s="1960">
        <f t="shared" si="295"/>
        <v>4.2764255978313477</v>
      </c>
      <c r="BF156" s="1960">
        <f t="shared" si="295"/>
        <v>7.8491279802898317</v>
      </c>
      <c r="BG156" s="1960">
        <f t="shared" si="295"/>
        <v>12.398892666342885</v>
      </c>
      <c r="BH156" s="1972">
        <f t="shared" si="295"/>
        <v>6.7716728191179349</v>
      </c>
      <c r="BI156" s="1971">
        <f t="shared" si="295"/>
        <v>5.7639427551970188</v>
      </c>
      <c r="BJ156" s="1960">
        <f t="shared" si="295"/>
        <v>9.7003721729172625</v>
      </c>
      <c r="BK156" s="1960">
        <f t="shared" si="295"/>
        <v>17.297219558964525</v>
      </c>
      <c r="BL156" s="1972">
        <f t="shared" si="295"/>
        <v>8.8539184363841361</v>
      </c>
      <c r="BM156" s="1971">
        <f t="shared" ref="BM156:CF156" si="296">+BM146/BM153</f>
        <v>7.8101828410689178</v>
      </c>
      <c r="BN156" s="1960">
        <f t="shared" si="296"/>
        <v>12.509845103701762</v>
      </c>
      <c r="BO156" s="1960">
        <f t="shared" si="296"/>
        <v>22.158952063266</v>
      </c>
      <c r="BP156" s="1972">
        <f t="shared" si="296"/>
        <v>10.848561807475967</v>
      </c>
      <c r="BQ156" s="1960">
        <f t="shared" si="296"/>
        <v>8.1169640489449542</v>
      </c>
      <c r="BR156" s="1960">
        <f t="shared" si="296"/>
        <v>12.445338110848517</v>
      </c>
      <c r="BS156" s="1960">
        <f t="shared" si="296"/>
        <v>25.350191451728893</v>
      </c>
      <c r="BT156" s="1960">
        <f t="shared" si="296"/>
        <v>12.631136072519455</v>
      </c>
      <c r="BU156" s="1971">
        <f t="shared" si="296"/>
        <v>10.542567514057168</v>
      </c>
      <c r="BV156" s="1960">
        <f t="shared" si="296"/>
        <v>13.927510951654149</v>
      </c>
      <c r="BW156" s="1960">
        <f>+BW146/BW153</f>
        <v>31.179183973607337</v>
      </c>
      <c r="BX156" s="1972">
        <f t="shared" si="296"/>
        <v>15.750047181127545</v>
      </c>
      <c r="BY156" s="1960">
        <f t="shared" si="296"/>
        <v>11.190861295911812</v>
      </c>
      <c r="BZ156" s="1960">
        <f t="shared" si="296"/>
        <v>16.733908439213852</v>
      </c>
      <c r="CA156" s="1960">
        <f t="shared" si="296"/>
        <v>37.422174113946653</v>
      </c>
      <c r="CB156" s="1972">
        <f t="shared" si="296"/>
        <v>18.547306637556805</v>
      </c>
      <c r="CC156" s="1960">
        <f t="shared" si="296"/>
        <v>12.618005984430944</v>
      </c>
      <c r="CD156" s="1960">
        <f t="shared" si="296"/>
        <v>20.442861786433259</v>
      </c>
      <c r="CE156" s="1960">
        <f t="shared" si="296"/>
        <v>43.466957659652692</v>
      </c>
      <c r="CF156" s="1972">
        <f t="shared" si="296"/>
        <v>23.487146592601952</v>
      </c>
      <c r="CG156" s="1182"/>
      <c r="CH156" s="1204"/>
      <c r="CI156" s="1181"/>
      <c r="CJ156" s="1960"/>
      <c r="CK156" s="1960"/>
      <c r="CL156" s="1960"/>
      <c r="CM156" s="1960">
        <f t="shared" ref="CM156:DF156" si="297">+CM146/CM153</f>
        <v>2.0338552480519834</v>
      </c>
      <c r="CN156" s="1960">
        <f t="shared" si="297"/>
        <v>4.0600792789600657</v>
      </c>
      <c r="CO156" s="1960">
        <f t="shared" si="297"/>
        <v>5.9764349091207158</v>
      </c>
      <c r="CP156" s="1960">
        <f t="shared" si="297"/>
        <v>8.5215317716369725</v>
      </c>
      <c r="CQ156" s="1960">
        <f t="shared" si="297"/>
        <v>13.494457324319582</v>
      </c>
      <c r="CR156" s="1960">
        <f t="shared" si="297"/>
        <v>23.450418994413415</v>
      </c>
      <c r="CS156" s="1960">
        <f t="shared" si="297"/>
        <v>31.280456335732737</v>
      </c>
      <c r="CT156" s="1960">
        <f t="shared" si="297"/>
        <v>41.71624444528846</v>
      </c>
      <c r="CU156" s="1960">
        <f t="shared" si="297"/>
        <v>53.310972750970478</v>
      </c>
      <c r="CV156" s="1960">
        <f t="shared" si="297"/>
        <v>58.326132619043015</v>
      </c>
      <c r="CW156" s="1960">
        <f t="shared" si="297"/>
        <v>71.373679493675908</v>
      </c>
      <c r="CX156" s="1960">
        <f t="shared" si="297"/>
        <v>83.896317734527656</v>
      </c>
      <c r="CY156" s="1960">
        <f t="shared" si="297"/>
        <v>99.730284896773682</v>
      </c>
      <c r="CZ156" s="1960">
        <f t="shared" si="297"/>
        <v>117.67560597391011</v>
      </c>
      <c r="DA156" s="1960">
        <f t="shared" si="297"/>
        <v>135.26419734362355</v>
      </c>
      <c r="DB156" s="1960">
        <f t="shared" si="297"/>
        <v>153.27184933595973</v>
      </c>
      <c r="DC156" s="1960">
        <f t="shared" si="297"/>
        <v>170.33363066597906</v>
      </c>
      <c r="DD156" s="1960">
        <f t="shared" si="297"/>
        <v>185.73847356949534</v>
      </c>
      <c r="DE156" s="1960">
        <f t="shared" si="297"/>
        <v>200.96597113670362</v>
      </c>
      <c r="DF156" s="1972">
        <f t="shared" si="297"/>
        <v>217.84161506159924</v>
      </c>
      <c r="DG156" s="1489">
        <f>+(CV156/CQ156)^(1/5)-1</f>
        <v>0.34011340482742081</v>
      </c>
      <c r="DH156" s="1489">
        <f>+(DA156/CV156)^(1/5)-1</f>
        <v>0.18321573298320404</v>
      </c>
      <c r="DI156" s="1710"/>
      <c r="DJ156" s="1851">
        <f>+(CY156/CV156)^(0.333333333333333)-1</f>
        <v>0.19578919873692091</v>
      </c>
    </row>
    <row r="157" spans="1:122" s="50" customFormat="1" ht="11.25" hidden="1" customHeight="1" outlineLevel="1">
      <c r="A157" s="82"/>
      <c r="B157"/>
      <c r="C157"/>
      <c r="D157"/>
      <c r="E157"/>
      <c r="F157"/>
      <c r="G157"/>
      <c r="H157" s="1044"/>
      <c r="I157" s="2012" t="s">
        <v>376</v>
      </c>
      <c r="J157" s="176"/>
      <c r="K157" s="176"/>
      <c r="L157" s="176"/>
      <c r="M157" s="1008"/>
      <c r="N157" s="1008"/>
      <c r="O157" s="1008"/>
      <c r="P157" s="1009"/>
      <c r="Q157" s="1008"/>
      <c r="R157" s="1008"/>
      <c r="S157" s="1008"/>
      <c r="T157" s="1009"/>
      <c r="U157" s="1957"/>
      <c r="V157" s="1957"/>
      <c r="W157" s="1957"/>
      <c r="X157" s="1958"/>
      <c r="Y157" s="1957"/>
      <c r="Z157" s="1957"/>
      <c r="AA157" s="1957"/>
      <c r="AB157" s="1958"/>
      <c r="AC157" s="1957"/>
      <c r="AD157" s="1957"/>
      <c r="AE157" s="1957"/>
      <c r="AF157" s="1958"/>
      <c r="AG157" s="1957"/>
      <c r="AH157" s="1957"/>
      <c r="AI157" s="1957"/>
      <c r="AJ157" s="1958"/>
      <c r="AK157" s="1957">
        <f>+AK156/AG156-1</f>
        <v>1.3343175494812254</v>
      </c>
      <c r="AL157" s="1957">
        <f t="shared" ref="AL157:CE157" si="298">+AL156/AH156-1</f>
        <v>1.0138401410502138</v>
      </c>
      <c r="AM157" s="1957">
        <f t="shared" si="298"/>
        <v>1.1951978200934565</v>
      </c>
      <c r="AN157" s="1958">
        <f t="shared" si="298"/>
        <v>0.63396345226671236</v>
      </c>
      <c r="AO157" s="1957">
        <f>+AO156/AK156-1</f>
        <v>0.74982552615423725</v>
      </c>
      <c r="AP157" s="1957">
        <f t="shared" si="298"/>
        <v>0.40092108109513647</v>
      </c>
      <c r="AQ157" s="1957">
        <f t="shared" si="298"/>
        <v>0.51569815366062777</v>
      </c>
      <c r="AR157" s="1958">
        <f t="shared" si="298"/>
        <v>0.34576099523492965</v>
      </c>
      <c r="AS157" s="1957">
        <f t="shared" si="298"/>
        <v>0.43783688800938769</v>
      </c>
      <c r="AT157" s="1957">
        <f t="shared" si="298"/>
        <v>0.30016560273274506</v>
      </c>
      <c r="AU157" s="1957">
        <f t="shared" si="298"/>
        <v>0.44354746291336489</v>
      </c>
      <c r="AV157" s="1958">
        <f t="shared" si="298"/>
        <v>0.5479450928799483</v>
      </c>
      <c r="AW157" s="1957">
        <f t="shared" si="298"/>
        <v>0.56161538143272027</v>
      </c>
      <c r="AX157" s="1957">
        <f t="shared" si="298"/>
        <v>0.52733330219359376</v>
      </c>
      <c r="AY157" s="1957">
        <f t="shared" si="298"/>
        <v>0.54546503373988253</v>
      </c>
      <c r="AZ157" s="1958">
        <f t="shared" si="298"/>
        <v>0.70972457644309173</v>
      </c>
      <c r="BA157" s="1957">
        <f t="shared" si="298"/>
        <v>0.56688639280256936</v>
      </c>
      <c r="BB157" s="1957">
        <f t="shared" si="298"/>
        <v>0.77882257398955046</v>
      </c>
      <c r="BC157" s="1957">
        <f t="shared" si="298"/>
        <v>0.86664972349557701</v>
      </c>
      <c r="BD157" s="1958">
        <f t="shared" si="298"/>
        <v>0.57882960103094261</v>
      </c>
      <c r="BE157" s="1957">
        <f t="shared" si="298"/>
        <v>0.60787261115262625</v>
      </c>
      <c r="BF157" s="1957">
        <f t="shared" si="298"/>
        <v>0.43014961348962366</v>
      </c>
      <c r="BG157" s="1957">
        <f t="shared" si="298"/>
        <v>0.24569501093225332</v>
      </c>
      <c r="BH157" s="1958">
        <f t="shared" si="298"/>
        <v>0.26044183725471259</v>
      </c>
      <c r="BI157" s="1970">
        <f t="shared" si="298"/>
        <v>0.3478412340717485</v>
      </c>
      <c r="BJ157" s="1957">
        <f t="shared" si="298"/>
        <v>0.23585348554338048</v>
      </c>
      <c r="BK157" s="1957">
        <f t="shared" si="298"/>
        <v>0.39506164174791802</v>
      </c>
      <c r="BL157" s="1958">
        <f t="shared" si="298"/>
        <v>0.30749353562794113</v>
      </c>
      <c r="BM157" s="1970">
        <f t="shared" si="298"/>
        <v>0.35500701044036576</v>
      </c>
      <c r="BN157" s="1957">
        <f t="shared" si="298"/>
        <v>0.28962527217546818</v>
      </c>
      <c r="BO157" s="1957">
        <f t="shared" si="298"/>
        <v>0.2810701736038157</v>
      </c>
      <c r="BP157" s="1958">
        <f>+BP156/BL156-1</f>
        <v>0.22528368489312922</v>
      </c>
      <c r="BQ157" s="1957">
        <f t="shared" si="298"/>
        <v>3.9279644807143743E-2</v>
      </c>
      <c r="BR157" s="1957">
        <f t="shared" si="298"/>
        <v>-5.1564981275552535E-3</v>
      </c>
      <c r="BS157" s="1957">
        <f>+BS156/BO156-1</f>
        <v>0.14401580811906589</v>
      </c>
      <c r="BT157" s="1957">
        <f>+BT156/BP156-1</f>
        <v>0.1643143392348172</v>
      </c>
      <c r="BU157" s="1970">
        <f t="shared" si="298"/>
        <v>0.29883136730505733</v>
      </c>
      <c r="BV157" s="1957">
        <f t="shared" si="298"/>
        <v>0.11909462222754974</v>
      </c>
      <c r="BW157" s="1957">
        <f t="shared" si="298"/>
        <v>0.22993879683227814</v>
      </c>
      <c r="BX157" s="1958">
        <f>+BX156/BT156-1</f>
        <v>0.24692245342789509</v>
      </c>
      <c r="BY157" s="1957">
        <f t="shared" si="298"/>
        <v>6.1492969429906674E-2</v>
      </c>
      <c r="BZ157" s="1957">
        <f t="shared" si="298"/>
        <v>0.2015002894129041</v>
      </c>
      <c r="CA157" s="1957">
        <f t="shared" si="298"/>
        <v>0.20022942696716828</v>
      </c>
      <c r="CB157" s="1958">
        <f>+CB156/BX156-1</f>
        <v>0.17760324297828567</v>
      </c>
      <c r="CC157" s="1957">
        <f t="shared" si="298"/>
        <v>0.12752768985176233</v>
      </c>
      <c r="CD157" s="1957">
        <f t="shared" si="298"/>
        <v>0.2216429808189897</v>
      </c>
      <c r="CE157" s="1957">
        <f t="shared" si="298"/>
        <v>0.16152945917306405</v>
      </c>
      <c r="CF157" s="1958">
        <f>+CF156/CB156-1</f>
        <v>0.26633732064591897</v>
      </c>
      <c r="CG157" s="1009"/>
      <c r="CH157" s="2064"/>
      <c r="CI157" s="1008"/>
      <c r="CJ157" s="1957"/>
      <c r="CK157" s="1957"/>
      <c r="CL157" s="1957"/>
      <c r="CM157" s="1957"/>
      <c r="CN157" s="1957">
        <f t="shared" ref="CN157:CT157" si="299">+CN156/CM156-1</f>
        <v>0.99624790547350406</v>
      </c>
      <c r="CO157" s="1957">
        <f t="shared" si="299"/>
        <v>0.47199955924296599</v>
      </c>
      <c r="CP157" s="1957">
        <f t="shared" si="299"/>
        <v>0.4258553638109821</v>
      </c>
      <c r="CQ157" s="1957">
        <f t="shared" si="299"/>
        <v>0.58357179037159401</v>
      </c>
      <c r="CR157" s="1957">
        <f>+CR156/CQ156-1</f>
        <v>0.73778155214521268</v>
      </c>
      <c r="CS157" s="1957">
        <f t="shared" si="299"/>
        <v>0.33389754542060279</v>
      </c>
      <c r="CT157" s="1957">
        <f t="shared" si="299"/>
        <v>0.33362007246788683</v>
      </c>
      <c r="CU157" s="1957">
        <f t="shared" ref="CU157:DF157" si="300">+CU156/CT156-1</f>
        <v>0.27794276450001854</v>
      </c>
      <c r="CV157" s="1957">
        <f t="shared" si="300"/>
        <v>9.4073688947670542E-2</v>
      </c>
      <c r="CW157" s="1957">
        <f t="shared" si="300"/>
        <v>0.22369984582816271</v>
      </c>
      <c r="CX157" s="1957">
        <f t="shared" si="300"/>
        <v>0.17545176779013216</v>
      </c>
      <c r="CY157" s="1957">
        <f t="shared" si="300"/>
        <v>0.18873256407211225</v>
      </c>
      <c r="CZ157" s="1957">
        <f t="shared" si="300"/>
        <v>0.17993853216914824</v>
      </c>
      <c r="DA157" s="1957">
        <f t="shared" si="300"/>
        <v>0.14946675841731394</v>
      </c>
      <c r="DB157" s="1957">
        <f t="shared" si="300"/>
        <v>0.13312947805833475</v>
      </c>
      <c r="DC157" s="1957">
        <f t="shared" si="300"/>
        <v>0.11131712316344045</v>
      </c>
      <c r="DD157" s="1957">
        <f t="shared" si="300"/>
        <v>9.0439232952915116E-2</v>
      </c>
      <c r="DE157" s="1957">
        <f t="shared" si="300"/>
        <v>8.1983539945001294E-2</v>
      </c>
      <c r="DF157" s="1958">
        <f t="shared" si="300"/>
        <v>8.3972643873207131E-2</v>
      </c>
      <c r="DG157" s="1507"/>
      <c r="DH157" s="1507"/>
      <c r="DI157" s="1711"/>
      <c r="DJ157" s="1487"/>
    </row>
    <row r="158" spans="1:122" s="50" customFormat="1" ht="11.25" customHeight="1" collapsed="1">
      <c r="A158" s="82"/>
      <c r="B158"/>
      <c r="C158"/>
      <c r="D158"/>
      <c r="E158"/>
      <c r="F158"/>
      <c r="G158"/>
      <c r="H158" s="1044"/>
      <c r="I158" s="306"/>
      <c r="J158" s="176"/>
      <c r="K158" s="176"/>
      <c r="L158" s="176"/>
      <c r="M158" s="1008"/>
      <c r="N158" s="1008"/>
      <c r="O158" s="1008"/>
      <c r="P158" s="1009"/>
      <c r="Q158" s="1008"/>
      <c r="R158" s="1008"/>
      <c r="S158" s="1008"/>
      <c r="T158" s="1009"/>
      <c r="U158" s="1957"/>
      <c r="V158" s="1957"/>
      <c r="W158" s="1957"/>
      <c r="X158" s="1958"/>
      <c r="Y158" s="1957"/>
      <c r="Z158" s="1957"/>
      <c r="AA158" s="1957"/>
      <c r="AB158" s="1958"/>
      <c r="AC158" s="1957"/>
      <c r="AD158" s="1957"/>
      <c r="AE158" s="1957"/>
      <c r="AF158" s="1958"/>
      <c r="AG158" s="1957"/>
      <c r="AH158" s="1957"/>
      <c r="AI158" s="1957"/>
      <c r="AJ158" s="1958"/>
      <c r="AK158" s="1957"/>
      <c r="AL158" s="1957"/>
      <c r="AM158" s="1957"/>
      <c r="AN158" s="1958"/>
      <c r="AO158" s="1957"/>
      <c r="AP158" s="1957"/>
      <c r="AQ158" s="1957"/>
      <c r="AR158" s="1958"/>
      <c r="AS158" s="1957"/>
      <c r="AT158" s="1957"/>
      <c r="AU158" s="1957"/>
      <c r="AV158" s="1958"/>
      <c r="AW158" s="1957"/>
      <c r="AX158" s="1957"/>
      <c r="AY158" s="1957"/>
      <c r="AZ158" s="1958"/>
      <c r="BA158" s="1957"/>
      <c r="BB158" s="1957"/>
      <c r="BC158" s="1957"/>
      <c r="BD158" s="1958"/>
      <c r="BE158" s="1957"/>
      <c r="BF158" s="1957"/>
      <c r="BG158" s="1957"/>
      <c r="BH158" s="1958"/>
      <c r="BI158" s="1970"/>
      <c r="BJ158" s="1957"/>
      <c r="BK158" s="1957"/>
      <c r="BL158" s="1958"/>
      <c r="BM158" s="1970"/>
      <c r="BN158" s="1957"/>
      <c r="BO158" s="1957"/>
      <c r="BP158" s="1958"/>
      <c r="BQ158" s="1957"/>
      <c r="BR158" s="1957"/>
      <c r="BS158" s="1957"/>
      <c r="BT158" s="1957"/>
      <c r="BU158" s="1970"/>
      <c r="BV158" s="1957"/>
      <c r="BW158" s="1957"/>
      <c r="BX158" s="1974"/>
      <c r="BY158" s="1957"/>
      <c r="BZ158" s="1957"/>
      <c r="CA158" s="1957"/>
      <c r="CB158" s="1958"/>
      <c r="CC158" s="1957"/>
      <c r="CD158" s="1957"/>
      <c r="CE158" s="1957"/>
      <c r="CF158" s="1958"/>
      <c r="CG158" s="1009"/>
      <c r="CH158" s="2064"/>
      <c r="CI158" s="1008"/>
      <c r="CJ158" s="1957"/>
      <c r="CK158" s="1957"/>
      <c r="CL158" s="1957"/>
      <c r="CM158" s="1957"/>
      <c r="CN158" s="1957"/>
      <c r="CO158" s="1957"/>
      <c r="CP158" s="1957"/>
      <c r="CQ158" s="1957"/>
      <c r="CR158" s="1957"/>
      <c r="CS158" s="1957"/>
      <c r="CT158" s="1957"/>
      <c r="CU158" s="1957"/>
      <c r="CV158" s="1957"/>
      <c r="CW158" s="1957"/>
      <c r="CX158" s="1957"/>
      <c r="CY158" s="1957"/>
      <c r="CZ158" s="1957"/>
      <c r="DA158" s="1957"/>
      <c r="DB158" s="1957"/>
      <c r="DC158" s="1957"/>
      <c r="DD158" s="1957"/>
      <c r="DE158" s="1957"/>
      <c r="DF158" s="1958"/>
      <c r="DG158" s="1507"/>
      <c r="DH158" s="1507"/>
      <c r="DI158" s="1711"/>
      <c r="DJ158" s="1487"/>
    </row>
    <row r="159" spans="1:122" s="68" customFormat="1" ht="11.25" customHeight="1">
      <c r="A159" s="8"/>
      <c r="B159"/>
      <c r="C159"/>
      <c r="D159"/>
      <c r="E159"/>
      <c r="F159"/>
      <c r="G159"/>
      <c r="H159" s="1052"/>
      <c r="I159" s="183" t="s">
        <v>719</v>
      </c>
      <c r="J159" s="67"/>
      <c r="K159" s="67"/>
      <c r="L159" s="67"/>
      <c r="M159" s="1181"/>
      <c r="N159" s="1181"/>
      <c r="O159" s="1181"/>
      <c r="P159" s="1182"/>
      <c r="Q159" s="1181"/>
      <c r="R159" s="1181"/>
      <c r="S159" s="1181"/>
      <c r="T159" s="1182"/>
      <c r="U159" s="1960"/>
      <c r="V159" s="1960"/>
      <c r="W159" s="1960"/>
      <c r="X159" s="1972"/>
      <c r="Y159" s="1960"/>
      <c r="Z159" s="1960"/>
      <c r="AA159" s="1960"/>
      <c r="AB159" s="1972"/>
      <c r="AC159" s="1960"/>
      <c r="AD159" s="1960"/>
      <c r="AE159" s="1960"/>
      <c r="AF159" s="1972"/>
      <c r="AG159" s="2061"/>
      <c r="AH159" s="2061"/>
      <c r="AI159" s="2061"/>
      <c r="AJ159" s="2062"/>
      <c r="AK159" s="2061"/>
      <c r="AL159" s="2061"/>
      <c r="AM159" s="2061"/>
      <c r="AN159" s="2062"/>
      <c r="AO159" s="2061"/>
      <c r="AP159" s="2061"/>
      <c r="AQ159" s="2061"/>
      <c r="AR159" s="2062"/>
      <c r="AS159" s="2061"/>
      <c r="AT159" s="2061"/>
      <c r="AU159" s="2061"/>
      <c r="AV159" s="2062"/>
      <c r="AW159" s="2061"/>
      <c r="AX159" s="2061"/>
      <c r="AY159" s="2061"/>
      <c r="AZ159" s="2062"/>
      <c r="BA159" s="2061"/>
      <c r="BB159" s="2061"/>
      <c r="BC159" s="2061"/>
      <c r="BD159" s="2062"/>
      <c r="BE159" s="2061"/>
      <c r="BF159" s="2061"/>
      <c r="BG159" s="2061"/>
      <c r="BH159" s="2062"/>
      <c r="BI159" s="2063"/>
      <c r="BJ159" s="2061"/>
      <c r="BK159" s="2061"/>
      <c r="BL159" s="2062"/>
      <c r="BM159" s="2063"/>
      <c r="BN159" s="2061"/>
      <c r="BO159" s="2061"/>
      <c r="BP159" s="2062"/>
      <c r="BQ159" s="1960">
        <f t="shared" ref="BQ159:BV159" si="301">+BQ148/BQ151</f>
        <v>6.8661221997481174</v>
      </c>
      <c r="BR159" s="1960">
        <f t="shared" si="301"/>
        <v>10.635381836350362</v>
      </c>
      <c r="BS159" s="1960">
        <f t="shared" si="301"/>
        <v>23.955779385879129</v>
      </c>
      <c r="BT159" s="1960">
        <f t="shared" si="301"/>
        <v>10.726464694561827</v>
      </c>
      <c r="BU159" s="1971">
        <f t="shared" si="301"/>
        <v>9.1958945919527526</v>
      </c>
      <c r="BV159" s="1960">
        <f t="shared" si="301"/>
        <v>12.592640683992892</v>
      </c>
      <c r="BW159" s="1960">
        <f t="shared" ref="BW159:CF159" si="302">+BW148/BW151</f>
        <v>29.688844422211105</v>
      </c>
      <c r="BX159" s="1972">
        <f t="shared" si="302"/>
        <v>14.211375449820066</v>
      </c>
      <c r="BY159" s="1960">
        <f t="shared" si="302"/>
        <v>9.8763818090954487</v>
      </c>
      <c r="BZ159" s="1960">
        <f t="shared" si="302"/>
        <v>15.141581428799755</v>
      </c>
      <c r="CA159" s="1960">
        <f t="shared" si="302"/>
        <v>35.224885936124245</v>
      </c>
      <c r="CB159" s="1972">
        <f t="shared" si="302"/>
        <v>16.857632794690225</v>
      </c>
      <c r="CC159" s="1960">
        <f t="shared" si="302"/>
        <v>11.206184679648887</v>
      </c>
      <c r="CD159" s="1960">
        <f t="shared" si="302"/>
        <v>18.642647186857957</v>
      </c>
      <c r="CE159" s="1960">
        <f t="shared" si="302"/>
        <v>40.966442951350366</v>
      </c>
      <c r="CF159" s="1972">
        <f t="shared" si="302"/>
        <v>21.54848427457372</v>
      </c>
      <c r="CG159" s="1182"/>
      <c r="CH159" s="1204"/>
      <c r="CI159" s="1181"/>
      <c r="CJ159" s="1960"/>
      <c r="CK159" s="1960"/>
      <c r="CL159" s="1960"/>
      <c r="CM159" s="2061"/>
      <c r="CN159" s="2061"/>
      <c r="CO159" s="2061"/>
      <c r="CP159" s="2061"/>
      <c r="CQ159" s="2061"/>
      <c r="CR159" s="2061"/>
      <c r="CS159" s="2061"/>
      <c r="CT159" s="2061"/>
      <c r="CU159" s="2061"/>
      <c r="CV159" s="1960">
        <f t="shared" ref="CV159:DF159" si="303">+CV148/CV151</f>
        <v>51.921287771596873</v>
      </c>
      <c r="CW159" s="1960">
        <f t="shared" si="303"/>
        <v>65.635479296086928</v>
      </c>
      <c r="CX159" s="1960">
        <f t="shared" si="303"/>
        <v>77.103064792457701</v>
      </c>
      <c r="CY159" s="1960">
        <f t="shared" si="303"/>
        <v>92.09019546493181</v>
      </c>
      <c r="CZ159" s="1960">
        <f t="shared" si="303"/>
        <v>109.07187742548903</v>
      </c>
      <c r="DA159" s="1960">
        <f t="shared" si="303"/>
        <v>125.72713745961265</v>
      </c>
      <c r="DB159" s="1960">
        <f t="shared" si="303"/>
        <v>142.78759401880708</v>
      </c>
      <c r="DC159" s="1960">
        <f t="shared" si="303"/>
        <v>158.97688006497836</v>
      </c>
      <c r="DD159" s="1960">
        <f t="shared" si="303"/>
        <v>173.61664514832248</v>
      </c>
      <c r="DE159" s="1960">
        <f t="shared" si="303"/>
        <v>188.10423891021458</v>
      </c>
      <c r="DF159" s="1972">
        <f t="shared" si="303"/>
        <v>204.21363582428231</v>
      </c>
      <c r="DG159" s="1489"/>
      <c r="DH159" s="1489">
        <f>+(DA159/CV159)^(1/5)-1</f>
        <v>0.19348431128671262</v>
      </c>
      <c r="DI159" s="1710"/>
      <c r="DJ159" s="1487"/>
    </row>
    <row r="160" spans="1:122" s="50" customFormat="1" ht="11.25" customHeight="1">
      <c r="A160" s="82"/>
      <c r="B160"/>
      <c r="C160"/>
      <c r="D160"/>
      <c r="E160"/>
      <c r="F160"/>
      <c r="G160"/>
      <c r="H160" s="1044"/>
      <c r="I160" s="2012" t="s">
        <v>376</v>
      </c>
      <c r="J160" s="176"/>
      <c r="K160" s="176"/>
      <c r="L160" s="176"/>
      <c r="M160" s="1008"/>
      <c r="N160" s="1008"/>
      <c r="O160" s="1008"/>
      <c r="P160" s="1009"/>
      <c r="Q160" s="1008"/>
      <c r="R160" s="1008"/>
      <c r="S160" s="1008"/>
      <c r="T160" s="1009"/>
      <c r="U160" s="1957"/>
      <c r="V160" s="1957"/>
      <c r="W160" s="1957"/>
      <c r="X160" s="1958"/>
      <c r="Y160" s="1957"/>
      <c r="Z160" s="1957"/>
      <c r="AA160" s="1957"/>
      <c r="AB160" s="1958"/>
      <c r="AC160" s="1957"/>
      <c r="AD160" s="1957"/>
      <c r="AE160" s="1957"/>
      <c r="AF160" s="1958"/>
      <c r="AG160" s="2256"/>
      <c r="AH160" s="2256"/>
      <c r="AI160" s="2256"/>
      <c r="AJ160" s="2257"/>
      <c r="AK160" s="2256"/>
      <c r="AL160" s="2256"/>
      <c r="AM160" s="2256"/>
      <c r="AN160" s="2257"/>
      <c r="AO160" s="2256"/>
      <c r="AP160" s="2256"/>
      <c r="AQ160" s="2256"/>
      <c r="AR160" s="2257"/>
      <c r="AS160" s="2256"/>
      <c r="AT160" s="2256"/>
      <c r="AU160" s="2256"/>
      <c r="AV160" s="2257"/>
      <c r="AW160" s="2256"/>
      <c r="AX160" s="2256"/>
      <c r="AY160" s="2256"/>
      <c r="AZ160" s="2257"/>
      <c r="BA160" s="2256"/>
      <c r="BB160" s="2256"/>
      <c r="BC160" s="2256"/>
      <c r="BD160" s="2257"/>
      <c r="BE160" s="2256"/>
      <c r="BF160" s="2256"/>
      <c r="BG160" s="2256"/>
      <c r="BH160" s="2257"/>
      <c r="BI160" s="2258"/>
      <c r="BJ160" s="2256"/>
      <c r="BK160" s="2256"/>
      <c r="BL160" s="2257"/>
      <c r="BM160" s="2258"/>
      <c r="BN160" s="2256"/>
      <c r="BO160" s="2256"/>
      <c r="BP160" s="2257"/>
      <c r="BQ160" s="1957"/>
      <c r="BR160" s="1957"/>
      <c r="BS160" s="1957"/>
      <c r="BT160" s="1957"/>
      <c r="BU160" s="1970">
        <f t="shared" ref="BU160:CF160" si="304">+BU159/BQ159-1</f>
        <v>0.33931414624256218</v>
      </c>
      <c r="BV160" s="1957">
        <f t="shared" si="304"/>
        <v>0.18403277642114091</v>
      </c>
      <c r="BW160" s="1957">
        <f t="shared" si="304"/>
        <v>0.23931866060310125</v>
      </c>
      <c r="BX160" s="1958">
        <f t="shared" si="304"/>
        <v>0.32488903422439286</v>
      </c>
      <c r="BY160" s="1957">
        <f t="shared" si="304"/>
        <v>7.3999023187823809E-2</v>
      </c>
      <c r="BZ160" s="1957">
        <f t="shared" si="304"/>
        <v>0.202415109647887</v>
      </c>
      <c r="CA160" s="1957">
        <f t="shared" si="304"/>
        <v>0.18646874345070374</v>
      </c>
      <c r="CB160" s="1958">
        <f t="shared" si="304"/>
        <v>0.1862069828648194</v>
      </c>
      <c r="CC160" s="1957">
        <f t="shared" si="304"/>
        <v>0.13464474098488011</v>
      </c>
      <c r="CD160" s="1957">
        <f t="shared" si="304"/>
        <v>0.23122193507469868</v>
      </c>
      <c r="CE160" s="1957">
        <f t="shared" si="304"/>
        <v>0.16299717834821914</v>
      </c>
      <c r="CF160" s="1958">
        <f t="shared" si="304"/>
        <v>0.27826276304707553</v>
      </c>
      <c r="CG160" s="1009"/>
      <c r="CH160" s="2064"/>
      <c r="CI160" s="1008"/>
      <c r="CJ160" s="1957"/>
      <c r="CK160" s="1957"/>
      <c r="CL160" s="1957"/>
      <c r="CM160" s="1957"/>
      <c r="CN160" s="1957"/>
      <c r="CO160" s="1957"/>
      <c r="CP160" s="1957"/>
      <c r="CQ160" s="1957"/>
      <c r="CR160" s="1957"/>
      <c r="CS160" s="1957"/>
      <c r="CT160" s="1957"/>
      <c r="CU160" s="1957"/>
      <c r="CV160" s="1957"/>
      <c r="CW160" s="1957">
        <f t="shared" ref="CW160:DF160" si="305">+CW159/CV159-1</f>
        <v>0.2641342715692867</v>
      </c>
      <c r="CX160" s="1957">
        <f t="shared" si="305"/>
        <v>0.17471626046394162</v>
      </c>
      <c r="CY160" s="1957">
        <f t="shared" si="305"/>
        <v>0.19437788514393994</v>
      </c>
      <c r="CZ160" s="1957">
        <f t="shared" si="305"/>
        <v>0.18440271382661888</v>
      </c>
      <c r="DA160" s="1957">
        <f t="shared" si="305"/>
        <v>0.15269985652810858</v>
      </c>
      <c r="DB160" s="1957">
        <f t="shared" si="305"/>
        <v>0.13569430517476611</v>
      </c>
      <c r="DC160" s="1957">
        <f t="shared" si="305"/>
        <v>0.11338020055186959</v>
      </c>
      <c r="DD160" s="1957">
        <f t="shared" si="305"/>
        <v>9.2087384513775961E-2</v>
      </c>
      <c r="DE160" s="1957">
        <f t="shared" si="305"/>
        <v>8.3445880143088846E-2</v>
      </c>
      <c r="DF160" s="1958">
        <f t="shared" si="305"/>
        <v>8.5640796865598778E-2</v>
      </c>
      <c r="DG160" s="1507"/>
      <c r="DH160" s="1507"/>
      <c r="DI160" s="1711"/>
    </row>
    <row r="161" spans="1:113" s="50" customFormat="1" ht="11.25" customHeight="1">
      <c r="A161" s="82"/>
      <c r="B161"/>
      <c r="C161"/>
      <c r="D161"/>
      <c r="E161"/>
      <c r="F161"/>
      <c r="G161"/>
      <c r="H161" s="1044"/>
      <c r="I161" s="2012"/>
      <c r="J161" s="176"/>
      <c r="K161" s="176"/>
      <c r="L161" s="176"/>
      <c r="M161" s="1008"/>
      <c r="N161" s="1008"/>
      <c r="O161" s="1008"/>
      <c r="P161" s="1009"/>
      <c r="Q161" s="1008"/>
      <c r="R161" s="1008"/>
      <c r="S161" s="1008"/>
      <c r="T161" s="1009"/>
      <c r="U161" s="1957"/>
      <c r="V161" s="1957"/>
      <c r="W161" s="1957"/>
      <c r="X161" s="1958"/>
      <c r="Y161" s="1957"/>
      <c r="Z161" s="1957"/>
      <c r="AA161" s="1957"/>
      <c r="AB161" s="1958"/>
      <c r="AC161" s="1957"/>
      <c r="AD161" s="1957"/>
      <c r="AE161" s="1957"/>
      <c r="AF161" s="1958"/>
      <c r="AG161" s="1957"/>
      <c r="AH161" s="1957"/>
      <c r="AI161" s="1957"/>
      <c r="AJ161" s="1958"/>
      <c r="AK161" s="1957"/>
      <c r="AL161" s="1957"/>
      <c r="AM161" s="1957"/>
      <c r="AN161" s="1958"/>
      <c r="AO161" s="1957"/>
      <c r="AP161" s="1957"/>
      <c r="AQ161" s="1957"/>
      <c r="AR161" s="1958"/>
      <c r="AS161" s="1957"/>
      <c r="AT161" s="1957"/>
      <c r="AU161" s="1957"/>
      <c r="AV161" s="1958"/>
      <c r="AW161" s="1957"/>
      <c r="AX161" s="1957"/>
      <c r="AY161" s="1957"/>
      <c r="AZ161" s="1958"/>
      <c r="BA161" s="1957"/>
      <c r="BB161" s="1957"/>
      <c r="BC161" s="1957"/>
      <c r="BD161" s="1958"/>
      <c r="BE161" s="1957"/>
      <c r="BF161" s="1957"/>
      <c r="BG161" s="1957"/>
      <c r="BH161" s="1958"/>
      <c r="BI161" s="1970"/>
      <c r="BJ161" s="1957"/>
      <c r="BK161" s="1957"/>
      <c r="BL161" s="1958"/>
      <c r="BM161" s="1970"/>
      <c r="BN161" s="1957"/>
      <c r="BO161" s="1957"/>
      <c r="BP161" s="1958"/>
      <c r="BQ161" s="1960"/>
      <c r="BR161" s="1960"/>
      <c r="BS161" s="1960"/>
      <c r="BT161" s="1960"/>
      <c r="BU161" s="1971">
        <v>9.6</v>
      </c>
      <c r="BV161" s="1960">
        <v>12.5</v>
      </c>
      <c r="BW161" s="1960">
        <v>29.8</v>
      </c>
      <c r="BX161" s="1972">
        <v>12.8</v>
      </c>
      <c r="BY161" s="1960"/>
      <c r="BZ161" s="1960"/>
      <c r="CA161" s="1960"/>
      <c r="CB161" s="1958"/>
      <c r="CC161" s="1957">
        <f>+CC159/10.4-1</f>
        <v>7.7517757658546849E-2</v>
      </c>
      <c r="CD161" s="1957"/>
      <c r="CE161" s="1957"/>
      <c r="CF161" s="1958"/>
      <c r="CG161" s="1009"/>
      <c r="CH161" s="2064"/>
      <c r="CI161" s="1008"/>
      <c r="CJ161" s="1957"/>
      <c r="CK161" s="1957"/>
      <c r="CL161" s="1957"/>
      <c r="CM161" s="1957"/>
      <c r="CN161" s="1957"/>
      <c r="CO161" s="1957"/>
      <c r="CP161" s="1957"/>
      <c r="CQ161" s="1957"/>
      <c r="CR161" s="1957"/>
      <c r="CS161" s="1957"/>
      <c r="CT161" s="1957"/>
      <c r="CU161" s="1957"/>
      <c r="CV161" s="1957"/>
      <c r="CW161" s="1957"/>
      <c r="CX161" s="1957"/>
      <c r="CY161" s="1957"/>
      <c r="CZ161" s="1957"/>
      <c r="DA161" s="1957"/>
      <c r="DB161" s="1957"/>
      <c r="DC161" s="1957"/>
      <c r="DD161" s="1957"/>
      <c r="DE161" s="1957"/>
      <c r="DF161" s="1958"/>
      <c r="DG161" s="1507"/>
      <c r="DH161" s="1507"/>
      <c r="DI161" s="1711"/>
    </row>
    <row r="162" spans="1:113" s="50" customFormat="1" ht="11.25" hidden="1" customHeight="1" outlineLevel="1">
      <c r="A162" s="82"/>
      <c r="B162"/>
      <c r="C162"/>
      <c r="D162"/>
      <c r="E162"/>
      <c r="F162"/>
      <c r="G162"/>
      <c r="H162" s="1044"/>
      <c r="I162" s="1485" t="s">
        <v>723</v>
      </c>
      <c r="J162" s="176"/>
      <c r="K162" s="176"/>
      <c r="L162" s="176"/>
      <c r="M162" s="1008"/>
      <c r="N162" s="1008"/>
      <c r="O162" s="1008"/>
      <c r="P162" s="1009"/>
      <c r="Q162" s="1008"/>
      <c r="R162" s="1008"/>
      <c r="S162" s="1008"/>
      <c r="T162" s="1009"/>
      <c r="U162" s="1957"/>
      <c r="V162" s="1957"/>
      <c r="W162" s="1957"/>
      <c r="X162" s="1958"/>
      <c r="Y162" s="1957"/>
      <c r="Z162" s="1957"/>
      <c r="AA162" s="1957"/>
      <c r="AB162" s="1958"/>
      <c r="AC162" s="1957"/>
      <c r="AD162" s="1957"/>
      <c r="AE162" s="1957"/>
      <c r="AF162" s="1958"/>
      <c r="AG162" s="2256"/>
      <c r="AH162" s="2256"/>
      <c r="AI162" s="2256"/>
      <c r="AJ162" s="2257"/>
      <c r="AK162" s="2256"/>
      <c r="AL162" s="2256"/>
      <c r="AM162" s="2256"/>
      <c r="AN162" s="2257"/>
      <c r="AO162" s="2256"/>
      <c r="AP162" s="2256"/>
      <c r="AQ162" s="2256"/>
      <c r="AR162" s="2257"/>
      <c r="AS162" s="2256"/>
      <c r="AT162" s="2256"/>
      <c r="AU162" s="2256"/>
      <c r="AV162" s="2257"/>
      <c r="AW162" s="2256"/>
      <c r="AX162" s="2256"/>
      <c r="AY162" s="2256"/>
      <c r="AZ162" s="2257"/>
      <c r="BA162" s="2256"/>
      <c r="BB162" s="2256"/>
      <c r="BC162" s="2256"/>
      <c r="BD162" s="2257"/>
      <c r="BE162" s="2256"/>
      <c r="BF162" s="2256"/>
      <c r="BG162" s="2256"/>
      <c r="BH162" s="2257"/>
      <c r="BI162" s="2258"/>
      <c r="BJ162" s="2256"/>
      <c r="BK162" s="2256"/>
      <c r="BL162" s="2257"/>
      <c r="BM162" s="2258"/>
      <c r="BN162" s="2256"/>
      <c r="BO162" s="2256"/>
      <c r="BP162" s="2257"/>
      <c r="BQ162" s="1957">
        <f>+BQ159/BQ156-1</f>
        <v>-0.15410217929441505</v>
      </c>
      <c r="BR162" s="1957">
        <f t="shared" ref="BR162:CF162" si="306">+BR159/BR156-1</f>
        <v>-0.14543247104877199</v>
      </c>
      <c r="BS162" s="1957">
        <f>+BS159/BS156-1</f>
        <v>-5.500597770651805E-2</v>
      </c>
      <c r="BT162" s="1957">
        <f t="shared" si="306"/>
        <v>-0.1507917709873674</v>
      </c>
      <c r="BU162" s="1970">
        <f t="shared" si="306"/>
        <v>-0.12773671312123913</v>
      </c>
      <c r="BV162" s="1957">
        <f t="shared" si="306"/>
        <v>-9.584413699582961E-2</v>
      </c>
      <c r="BW162" s="1957">
        <f t="shared" si="306"/>
        <v>-4.7799183989477689E-2</v>
      </c>
      <c r="BX162" s="1958">
        <f t="shared" si="306"/>
        <v>-9.7693150605363877E-2</v>
      </c>
      <c r="BY162" s="1957">
        <f t="shared" si="306"/>
        <v>-0.11746008212044967</v>
      </c>
      <c r="BZ162" s="1957">
        <f t="shared" si="306"/>
        <v>-9.5155714291030535E-2</v>
      </c>
      <c r="CA162" s="1957">
        <f t="shared" si="306"/>
        <v>-5.8716208500657729E-2</v>
      </c>
      <c r="CB162" s="1958">
        <f t="shared" si="306"/>
        <v>-9.1100766051127047E-2</v>
      </c>
      <c r="CC162" s="1957">
        <f t="shared" si="306"/>
        <v>-0.11188941473986225</v>
      </c>
      <c r="CD162" s="1957">
        <f t="shared" si="306"/>
        <v>-8.8060791995864252E-2</v>
      </c>
      <c r="CE162" s="1957">
        <f t="shared" si="306"/>
        <v>-5.7526793751736971E-2</v>
      </c>
      <c r="CF162" s="1958">
        <f t="shared" si="306"/>
        <v>-8.2541415168706722E-2</v>
      </c>
      <c r="CG162" s="1009"/>
      <c r="CH162" s="2064"/>
      <c r="CI162" s="1008"/>
      <c r="CJ162" s="1957"/>
      <c r="CK162" s="1957"/>
      <c r="CL162" s="1957"/>
      <c r="CM162" s="2256"/>
      <c r="CN162" s="2256"/>
      <c r="CO162" s="2256"/>
      <c r="CP162" s="2256"/>
      <c r="CQ162" s="2256"/>
      <c r="CR162" s="2256"/>
      <c r="CS162" s="2256"/>
      <c r="CT162" s="2256"/>
      <c r="CU162" s="2256"/>
      <c r="CV162" s="1957">
        <f>+CV159/CV156-1</f>
        <v>-0.10981089538851085</v>
      </c>
      <c r="CW162" s="1957">
        <f t="shared" ref="CW162:DF162" si="307">+CW159/CW156-1</f>
        <v>-8.0396586504937195E-2</v>
      </c>
      <c r="CX162" s="1957">
        <f t="shared" si="307"/>
        <v>-8.0972003605280785E-2</v>
      </c>
      <c r="CY162" s="1957">
        <f t="shared" si="307"/>
        <v>-7.6607516360248873E-2</v>
      </c>
      <c r="CZ162" s="1957">
        <f t="shared" si="307"/>
        <v>-7.3113951504346741E-2</v>
      </c>
      <c r="DA162" s="1957">
        <f>+DA159/DA156-1</f>
        <v>-7.0506904793018244E-2</v>
      </c>
      <c r="DB162" s="1957">
        <f t="shared" si="307"/>
        <v>-6.8403006570188829E-2</v>
      </c>
      <c r="DC162" s="1957">
        <f t="shared" si="307"/>
        <v>-6.6673566204145995E-2</v>
      </c>
      <c r="DD162" s="1957">
        <f t="shared" si="307"/>
        <v>-6.526288381839962E-2</v>
      </c>
      <c r="DE162" s="1957">
        <f t="shared" si="307"/>
        <v>-6.399955252991596E-2</v>
      </c>
      <c r="DF162" s="1958">
        <f t="shared" si="307"/>
        <v>-6.2559117703306355E-2</v>
      </c>
      <c r="DG162" s="1507"/>
      <c r="DH162" s="1507"/>
    </row>
    <row r="163" spans="1:113" s="50" customFormat="1" ht="11.25" hidden="1" customHeight="1" outlineLevel="1">
      <c r="A163" s="82"/>
      <c r="B163"/>
      <c r="C163"/>
      <c r="D163"/>
      <c r="E163"/>
      <c r="F163"/>
      <c r="G163"/>
      <c r="H163" s="1044"/>
      <c r="I163" s="1485" t="s">
        <v>724</v>
      </c>
      <c r="J163" s="176"/>
      <c r="K163" s="176"/>
      <c r="L163" s="176"/>
      <c r="M163" s="1008"/>
      <c r="N163" s="1008"/>
      <c r="O163" s="1008"/>
      <c r="P163" s="1009"/>
      <c r="Q163" s="1008"/>
      <c r="R163" s="1008"/>
      <c r="S163" s="1008"/>
      <c r="T163" s="1009"/>
      <c r="U163" s="1957"/>
      <c r="V163" s="1957"/>
      <c r="W163" s="1957"/>
      <c r="X163" s="1958"/>
      <c r="Y163" s="1957"/>
      <c r="Z163" s="1957"/>
      <c r="AA163" s="1957"/>
      <c r="AB163" s="1958"/>
      <c r="AC163" s="1957"/>
      <c r="AD163" s="1957"/>
      <c r="AE163" s="1957"/>
      <c r="AF163" s="1958"/>
      <c r="AG163" s="2256"/>
      <c r="AH163" s="2256"/>
      <c r="AI163" s="2256"/>
      <c r="AJ163" s="2257"/>
      <c r="AK163" s="2256"/>
      <c r="AL163" s="2256"/>
      <c r="AM163" s="2256"/>
      <c r="AN163" s="2257"/>
      <c r="AO163" s="2256"/>
      <c r="AP163" s="2256"/>
      <c r="AQ163" s="2256"/>
      <c r="AR163" s="2257"/>
      <c r="AS163" s="2256"/>
      <c r="AT163" s="2256"/>
      <c r="AU163" s="2256"/>
      <c r="AV163" s="2257"/>
      <c r="AW163" s="2256"/>
      <c r="AX163" s="2256"/>
      <c r="AY163" s="2256"/>
      <c r="AZ163" s="2257"/>
      <c r="BA163" s="2256"/>
      <c r="BB163" s="2256"/>
      <c r="BC163" s="2256"/>
      <c r="BD163" s="2257"/>
      <c r="BE163" s="2256"/>
      <c r="BF163" s="2256"/>
      <c r="BG163" s="2256"/>
      <c r="BH163" s="2257"/>
      <c r="BI163" s="2258"/>
      <c r="BJ163" s="2256"/>
      <c r="BK163" s="2256"/>
      <c r="BL163" s="2257"/>
      <c r="BM163" s="2258"/>
      <c r="BN163" s="2256"/>
      <c r="BO163" s="2256"/>
      <c r="BP163" s="2257"/>
      <c r="BQ163" s="1956">
        <f>+BQ159-BQ156</f>
        <v>-1.2508418491968367</v>
      </c>
      <c r="BR163" s="1956">
        <f t="shared" ref="BR163:CF163" si="308">+BR159-BR156</f>
        <v>-1.8099562744981554</v>
      </c>
      <c r="BS163" s="1956">
        <f t="shared" si="308"/>
        <v>-1.3944120658497638</v>
      </c>
      <c r="BT163" s="1956">
        <f t="shared" si="308"/>
        <v>-1.9046713779576283</v>
      </c>
      <c r="BU163" s="1973">
        <f t="shared" si="308"/>
        <v>-1.3466729221044158</v>
      </c>
      <c r="BV163" s="1956">
        <f t="shared" si="308"/>
        <v>-1.3348702676612572</v>
      </c>
      <c r="BW163" s="1956">
        <f t="shared" si="308"/>
        <v>-1.4903395513962323</v>
      </c>
      <c r="BX163" s="1974">
        <f t="shared" si="308"/>
        <v>-1.5386717313074794</v>
      </c>
      <c r="BY163" s="1956">
        <f t="shared" si="308"/>
        <v>-1.3144794868163636</v>
      </c>
      <c r="BZ163" s="1956">
        <f t="shared" si="308"/>
        <v>-1.5923270104140972</v>
      </c>
      <c r="CA163" s="1956">
        <f t="shared" si="308"/>
        <v>-2.1972881778224078</v>
      </c>
      <c r="CB163" s="1974">
        <f t="shared" si="308"/>
        <v>-1.6896738428665792</v>
      </c>
      <c r="CC163" s="1956">
        <f t="shared" si="308"/>
        <v>-1.4118213047820571</v>
      </c>
      <c r="CD163" s="1956">
        <f t="shared" si="308"/>
        <v>-1.8002145995753018</v>
      </c>
      <c r="CE163" s="1956">
        <f t="shared" si="308"/>
        <v>-2.500514708302326</v>
      </c>
      <c r="CF163" s="1974">
        <f t="shared" si="308"/>
        <v>-1.9386623180282321</v>
      </c>
      <c r="CG163" s="1009"/>
      <c r="CH163" s="2064"/>
      <c r="CI163" s="1008"/>
      <c r="CJ163" s="1957"/>
      <c r="CK163" s="1957"/>
      <c r="CL163" s="1957"/>
      <c r="CM163" s="2256"/>
      <c r="CN163" s="2256"/>
      <c r="CO163" s="2256"/>
      <c r="CP163" s="2256"/>
      <c r="CQ163" s="2256"/>
      <c r="CR163" s="2256"/>
      <c r="CS163" s="2256"/>
      <c r="CT163" s="2256"/>
      <c r="CU163" s="2256"/>
      <c r="CV163" s="1956">
        <f>+CV159-CV156</f>
        <v>-6.4048448474461424</v>
      </c>
      <c r="CW163" s="1956">
        <f t="shared" ref="CW163:DF163" si="309">+CW159-CW156</f>
        <v>-5.7382001975889807</v>
      </c>
      <c r="CX163" s="1956">
        <f t="shared" si="309"/>
        <v>-6.7932529420699552</v>
      </c>
      <c r="CY163" s="1956">
        <f t="shared" si="309"/>
        <v>-7.6400894318418722</v>
      </c>
      <c r="CZ163" s="1956">
        <f t="shared" si="309"/>
        <v>-8.6037285484210742</v>
      </c>
      <c r="DA163" s="1956">
        <f>+DA159-DA156</f>
        <v>-9.5370598840109011</v>
      </c>
      <c r="DB163" s="1956">
        <f t="shared" si="309"/>
        <v>-10.484255317152645</v>
      </c>
      <c r="DC163" s="1956">
        <f t="shared" si="309"/>
        <v>-11.356750601000698</v>
      </c>
      <c r="DD163" s="1956">
        <f t="shared" si="309"/>
        <v>-12.121828421172864</v>
      </c>
      <c r="DE163" s="1956">
        <f t="shared" si="309"/>
        <v>-12.861732226489039</v>
      </c>
      <c r="DF163" s="1974">
        <f t="shared" si="309"/>
        <v>-13.627979237316936</v>
      </c>
      <c r="DG163" s="1507"/>
      <c r="DH163" s="1507"/>
    </row>
    <row r="164" spans="1:113" s="2123" customFormat="1" ht="11.25" customHeight="1" collapsed="1">
      <c r="A164" s="126"/>
      <c r="B164"/>
      <c r="C164"/>
      <c r="D164"/>
      <c r="E164"/>
      <c r="F164"/>
      <c r="G164"/>
      <c r="H164" s="126"/>
      <c r="I164" s="2120"/>
      <c r="J164" s="2121"/>
      <c r="K164" s="2121"/>
      <c r="L164" s="2121"/>
      <c r="M164" s="2299"/>
      <c r="N164" s="2299"/>
      <c r="O164" s="2299"/>
      <c r="P164" s="2300"/>
      <c r="Q164" s="2299"/>
      <c r="R164" s="2299"/>
      <c r="S164" s="2299"/>
      <c r="T164" s="2300"/>
      <c r="U164" s="2299"/>
      <c r="V164" s="2299"/>
      <c r="W164" s="2299"/>
      <c r="X164" s="2300"/>
      <c r="Y164" s="2299"/>
      <c r="Z164" s="2299"/>
      <c r="AA164" s="2299"/>
      <c r="AB164" s="2300"/>
      <c r="AC164" s="2299"/>
      <c r="AD164" s="2299"/>
      <c r="AE164" s="2299"/>
      <c r="AF164" s="2300"/>
      <c r="AG164" s="2299"/>
      <c r="AH164" s="2299"/>
      <c r="AI164" s="2299"/>
      <c r="AJ164" s="2300"/>
      <c r="AK164" s="2299"/>
      <c r="AL164" s="2299"/>
      <c r="AM164" s="2299"/>
      <c r="AN164" s="2300"/>
      <c r="AO164" s="2299"/>
      <c r="AP164" s="2299"/>
      <c r="AQ164" s="2299"/>
      <c r="AR164" s="2300"/>
      <c r="AS164" s="2299"/>
      <c r="AT164" s="2299"/>
      <c r="AU164" s="2299"/>
      <c r="AV164" s="2300"/>
      <c r="AW164" s="2299"/>
      <c r="AX164" s="2299"/>
      <c r="AY164" s="2299"/>
      <c r="AZ164" s="2300"/>
      <c r="BA164" s="2299"/>
      <c r="BB164" s="2299"/>
      <c r="BC164" s="2299"/>
      <c r="BD164" s="2300"/>
      <c r="BE164" s="2299"/>
      <c r="BF164" s="2299"/>
      <c r="BG164" s="2299"/>
      <c r="BH164" s="2300"/>
      <c r="BI164" s="2301"/>
      <c r="BJ164" s="2299"/>
      <c r="BK164" s="2299"/>
      <c r="BL164" s="2300"/>
      <c r="BM164" s="2301"/>
      <c r="BN164" s="2299"/>
      <c r="BO164" s="2299"/>
      <c r="BP164" s="2300"/>
      <c r="BQ164" s="2299"/>
      <c r="BR164" s="2299"/>
      <c r="BS164" s="2299"/>
      <c r="BT164" s="2299"/>
      <c r="BU164" s="2301"/>
      <c r="BV164" s="2299"/>
      <c r="BW164" s="2299"/>
      <c r="BX164" s="2300"/>
      <c r="BY164" s="2299"/>
      <c r="BZ164" s="2299"/>
      <c r="CA164" s="2299"/>
      <c r="CB164" s="2300"/>
      <c r="CC164" s="2299"/>
      <c r="CD164" s="2299"/>
      <c r="CE164" s="2299"/>
      <c r="CF164" s="2300"/>
      <c r="CG164" s="2302"/>
      <c r="CH164" s="2301"/>
      <c r="CI164" s="2299"/>
      <c r="CJ164" s="2299"/>
      <c r="CK164" s="2299"/>
      <c r="CL164" s="2299"/>
      <c r="CM164" s="2299"/>
      <c r="CN164" s="2299"/>
      <c r="CO164" s="2299"/>
      <c r="CP164" s="2299"/>
      <c r="CQ164" s="2299"/>
      <c r="CR164" s="2299"/>
      <c r="CS164" s="2299"/>
      <c r="CT164" s="2299"/>
      <c r="CU164" s="2299"/>
      <c r="CV164" s="2299"/>
      <c r="CW164" s="2299"/>
      <c r="CX164" s="2299"/>
      <c r="CY164" s="2299"/>
      <c r="CZ164" s="2299"/>
      <c r="DA164" s="2299"/>
      <c r="DB164" s="2299"/>
      <c r="DC164" s="2299"/>
      <c r="DD164" s="2299"/>
      <c r="DE164" s="2299"/>
      <c r="DF164" s="2300"/>
      <c r="DG164" s="2122"/>
      <c r="DH164" s="2122"/>
    </row>
    <row r="165" spans="1:113" s="67" customFormat="1" ht="11.25" customHeight="1">
      <c r="A165" s="24"/>
      <c r="B165"/>
      <c r="C165"/>
      <c r="D165"/>
      <c r="E165"/>
      <c r="F165"/>
      <c r="G165"/>
      <c r="H165" s="1044"/>
      <c r="M165" s="404"/>
      <c r="N165" s="404"/>
      <c r="O165" s="404"/>
      <c r="P165" s="404"/>
      <c r="Q165" s="404"/>
      <c r="R165" s="404"/>
      <c r="S165" s="404"/>
      <c r="T165" s="404"/>
      <c r="U165" s="373"/>
      <c r="V165" s="373"/>
      <c r="W165" s="373"/>
      <c r="X165" s="373"/>
      <c r="Y165" s="373"/>
      <c r="Z165" s="373"/>
      <c r="AA165" s="373"/>
      <c r="AB165" s="373"/>
      <c r="AC165" s="373"/>
      <c r="AD165" s="373"/>
      <c r="AE165" s="373"/>
      <c r="AF165" s="373"/>
      <c r="AG165" s="373"/>
      <c r="AH165" s="373"/>
      <c r="AI165" s="373"/>
      <c r="AJ165" s="373"/>
      <c r="AK165" s="373"/>
      <c r="AL165" s="373"/>
      <c r="AM165" s="373"/>
      <c r="AN165" s="373"/>
      <c r="AO165" s="373"/>
      <c r="AP165" s="373"/>
      <c r="AQ165" s="373"/>
      <c r="AR165" s="373"/>
      <c r="AS165" s="373"/>
      <c r="AT165" s="373"/>
      <c r="AU165" s="373"/>
      <c r="AV165" s="373"/>
      <c r="AW165" s="373"/>
      <c r="AX165" s="373"/>
      <c r="AY165" s="373"/>
      <c r="AZ165" s="373"/>
      <c r="BA165" s="341"/>
      <c r="BB165" s="341"/>
      <c r="BC165" s="341"/>
      <c r="BD165" s="341"/>
      <c r="BE165" s="404"/>
      <c r="BF165" s="404"/>
      <c r="BG165" s="404"/>
      <c r="BH165" s="379"/>
      <c r="BI165" s="407"/>
      <c r="BJ165" s="407"/>
      <c r="BK165" s="407"/>
      <c r="BL165" s="407"/>
      <c r="BM165" s="407"/>
      <c r="BN165" s="328"/>
      <c r="BO165" s="1467"/>
      <c r="BP165" s="1467"/>
      <c r="BQ165" s="1467"/>
      <c r="BR165" s="1467"/>
      <c r="BS165" s="1467"/>
      <c r="BT165" s="328"/>
      <c r="BU165" s="328"/>
      <c r="BV165" s="328"/>
      <c r="BW165" s="328"/>
      <c r="BX165" s="328"/>
      <c r="BY165" s="328"/>
      <c r="BZ165" s="328"/>
      <c r="CA165" s="328"/>
      <c r="CB165" s="328"/>
      <c r="CC165" s="328"/>
      <c r="CD165" s="328"/>
      <c r="CE165" s="328"/>
      <c r="CF165" s="328"/>
      <c r="CG165" s="404"/>
      <c r="CH165" s="404"/>
      <c r="CI165" s="404"/>
      <c r="CJ165" s="373"/>
      <c r="CK165" s="373"/>
      <c r="CL165" s="373"/>
      <c r="CM165" s="373"/>
      <c r="CN165" s="373"/>
      <c r="CO165" s="373"/>
      <c r="CP165" s="373"/>
      <c r="CQ165" s="328"/>
      <c r="CR165" s="328"/>
      <c r="CS165" s="328"/>
      <c r="CT165" s="373"/>
      <c r="CU165" s="328"/>
      <c r="CV165" s="408"/>
      <c r="CW165" s="328"/>
      <c r="CX165" s="328"/>
      <c r="CY165" s="328"/>
      <c r="CZ165" s="328"/>
      <c r="DA165" s="328"/>
      <c r="DB165" s="328"/>
      <c r="DC165" s="328"/>
      <c r="DD165" s="328"/>
      <c r="DE165" s="328"/>
      <c r="DF165" s="328"/>
      <c r="DG165" s="1179"/>
      <c r="DH165" s="1179"/>
    </row>
    <row r="166" spans="1:113" customFormat="1" ht="11.25" customHeight="1">
      <c r="A166" s="10"/>
      <c r="H166" s="1054"/>
      <c r="I166" s="659" t="s">
        <v>155</v>
      </c>
      <c r="J166" s="660"/>
      <c r="K166" s="660"/>
      <c r="L166" s="660"/>
      <c r="M166" s="660"/>
      <c r="N166" s="660"/>
      <c r="O166" s="660"/>
      <c r="P166" s="660"/>
      <c r="Q166" s="660"/>
      <c r="R166" s="660"/>
      <c r="S166" s="660"/>
      <c r="T166" s="660"/>
      <c r="U166" s="659"/>
      <c r="V166" s="660"/>
      <c r="W166" s="660"/>
      <c r="X166" s="661"/>
      <c r="Y166" s="659"/>
      <c r="Z166" s="660"/>
      <c r="AA166" s="660"/>
      <c r="AB166" s="661"/>
      <c r="AC166" s="659"/>
      <c r="AD166" s="660"/>
      <c r="AE166" s="660"/>
      <c r="AF166" s="661"/>
      <c r="AG166" s="659"/>
      <c r="AH166" s="660"/>
      <c r="AI166" s="660"/>
      <c r="AJ166" s="661"/>
      <c r="AK166" s="659"/>
      <c r="AL166" s="660"/>
      <c r="AM166" s="660"/>
      <c r="AN166" s="661"/>
      <c r="AO166" s="659"/>
      <c r="AP166" s="660"/>
      <c r="AQ166" s="660"/>
      <c r="AR166" s="661"/>
      <c r="AS166" s="659"/>
      <c r="AT166" s="660"/>
      <c r="AU166" s="660"/>
      <c r="AV166" s="661"/>
      <c r="AW166" s="659"/>
      <c r="AX166" s="660"/>
      <c r="AY166" s="660"/>
      <c r="AZ166" s="661"/>
      <c r="BA166" s="659"/>
      <c r="BB166" s="660"/>
      <c r="BC166" s="660"/>
      <c r="BD166" s="661"/>
      <c r="BE166" s="659"/>
      <c r="BF166" s="660"/>
      <c r="BG166" s="660"/>
      <c r="BH166" s="661"/>
      <c r="BI166" s="659"/>
      <c r="BJ166" s="660"/>
      <c r="BK166" s="660"/>
      <c r="BL166" s="661"/>
      <c r="BM166" s="659"/>
      <c r="BN166" s="660"/>
      <c r="BO166" s="660"/>
      <c r="BP166" s="661"/>
      <c r="BQ166" s="659"/>
      <c r="BR166" s="660"/>
      <c r="BS166" s="660"/>
      <c r="BT166" s="661"/>
      <c r="BU166" s="659"/>
      <c r="BV166" s="660"/>
      <c r="BW166" s="660"/>
      <c r="BX166" s="661"/>
      <c r="BY166" s="659"/>
      <c r="BZ166" s="660"/>
      <c r="CA166" s="660"/>
      <c r="CB166" s="661"/>
      <c r="CC166" s="659"/>
      <c r="CD166" s="660"/>
      <c r="CE166" s="660"/>
      <c r="CF166" s="661"/>
      <c r="CH166" s="661"/>
      <c r="CI166" s="661"/>
      <c r="CJ166" s="661"/>
      <c r="CK166" s="661"/>
      <c r="CL166" s="661"/>
      <c r="CM166" s="661"/>
      <c r="CN166" s="661"/>
      <c r="CO166" s="661"/>
      <c r="CP166" s="661"/>
      <c r="CQ166" s="661"/>
      <c r="CR166" s="661"/>
      <c r="CS166" s="661"/>
      <c r="CT166" s="661"/>
      <c r="CU166" s="661"/>
      <c r="CV166" s="661"/>
      <c r="CW166" s="661"/>
      <c r="CX166" s="661"/>
      <c r="CY166" s="660"/>
      <c r="CZ166" s="660"/>
      <c r="DA166" s="660"/>
      <c r="DB166" s="660"/>
      <c r="DC166" s="660"/>
      <c r="DD166" s="660"/>
      <c r="DE166" s="660"/>
      <c r="DF166" s="660"/>
      <c r="DG166" s="124"/>
      <c r="DH166" s="124"/>
      <c r="DI166" s="1548"/>
    </row>
    <row r="167" spans="1:113" s="554" customFormat="1" ht="11.25" customHeight="1">
      <c r="A167" s="547"/>
      <c r="B167"/>
      <c r="C167"/>
      <c r="D167"/>
      <c r="E167"/>
      <c r="F167"/>
      <c r="G167"/>
      <c r="H167" s="1044"/>
      <c r="I167" s="555" t="s">
        <v>156</v>
      </c>
      <c r="J167" s="550"/>
      <c r="K167" s="550"/>
      <c r="L167" s="547"/>
      <c r="M167" s="551"/>
      <c r="N167" s="551"/>
      <c r="O167" s="551"/>
      <c r="P167" s="552"/>
      <c r="Q167" s="551"/>
      <c r="R167" s="551"/>
      <c r="S167" s="551"/>
      <c r="T167" s="552"/>
      <c r="U167" s="394"/>
      <c r="V167" s="394"/>
      <c r="W167" s="394"/>
      <c r="X167" s="395"/>
      <c r="Y167" s="394"/>
      <c r="Z167" s="394"/>
      <c r="AA167" s="394"/>
      <c r="AB167" s="395"/>
      <c r="AC167" s="394"/>
      <c r="AD167" s="394"/>
      <c r="AE167" s="394"/>
      <c r="AF167" s="395"/>
      <c r="AG167" s="396">
        <f>+L170</f>
        <v>0</v>
      </c>
      <c r="AH167" s="396">
        <f t="shared" ref="AH167:BM167" si="310">+AG170</f>
        <v>40.890999999999998</v>
      </c>
      <c r="AI167" s="396">
        <f t="shared" si="310"/>
        <v>41.762999999999998</v>
      </c>
      <c r="AJ167" s="397">
        <f t="shared" si="310"/>
        <v>41.972999999999999</v>
      </c>
      <c r="AK167" s="396">
        <f t="shared" si="310"/>
        <v>38.356999999999999</v>
      </c>
      <c r="AL167" s="396">
        <f t="shared" si="310"/>
        <v>40.238</v>
      </c>
      <c r="AM167" s="396">
        <f t="shared" si="310"/>
        <v>42.686</v>
      </c>
      <c r="AN167" s="397">
        <f t="shared" si="310"/>
        <v>45.368000000000002</v>
      </c>
      <c r="AO167" s="396">
        <f t="shared" si="310"/>
        <v>48.347999999999999</v>
      </c>
      <c r="AP167" s="396">
        <f t="shared" si="310"/>
        <v>49.405000000000001</v>
      </c>
      <c r="AQ167" s="396">
        <f t="shared" si="310"/>
        <v>50.505000000000003</v>
      </c>
      <c r="AR167" s="397">
        <f t="shared" si="310"/>
        <v>48.863</v>
      </c>
      <c r="AS167" s="396">
        <f t="shared" si="310"/>
        <v>45.287999999999997</v>
      </c>
      <c r="AT167" s="396">
        <f t="shared" si="310"/>
        <v>47.177</v>
      </c>
      <c r="AU167" s="396">
        <f t="shared" si="310"/>
        <v>48.997999999999998</v>
      </c>
      <c r="AV167" s="397">
        <f t="shared" si="310"/>
        <v>50.24</v>
      </c>
      <c r="AW167" s="396">
        <f t="shared" si="310"/>
        <v>51.073</v>
      </c>
      <c r="AX167" s="396">
        <f t="shared" si="310"/>
        <v>51.393000000000001</v>
      </c>
      <c r="AY167" s="396">
        <f t="shared" si="310"/>
        <v>51.259</v>
      </c>
      <c r="AZ167" s="397">
        <f t="shared" si="310"/>
        <v>51.058999999999997</v>
      </c>
      <c r="BA167" s="396">
        <f t="shared" si="310"/>
        <v>51.430999999999997</v>
      </c>
      <c r="BB167" s="396">
        <f t="shared" si="310"/>
        <v>51.521999999999998</v>
      </c>
      <c r="BC167" s="396">
        <f t="shared" si="310"/>
        <v>51.484000000000002</v>
      </c>
      <c r="BD167" s="397">
        <f t="shared" si="310"/>
        <v>51.494999999999997</v>
      </c>
      <c r="BE167" s="396">
        <f t="shared" si="310"/>
        <v>51.517000000000003</v>
      </c>
      <c r="BF167" s="396">
        <f t="shared" si="310"/>
        <v>51.645000000000003</v>
      </c>
      <c r="BG167" s="396">
        <f t="shared" si="310"/>
        <v>51.546999999999997</v>
      </c>
      <c r="BH167" s="397">
        <f t="shared" si="310"/>
        <v>51.475000000000001</v>
      </c>
      <c r="BI167" s="396">
        <f t="shared" si="310"/>
        <v>51.47</v>
      </c>
      <c r="BJ167" s="396">
        <f t="shared" si="310"/>
        <v>51.567999999999998</v>
      </c>
      <c r="BK167" s="396">
        <f t="shared" si="310"/>
        <v>52.395000000000003</v>
      </c>
      <c r="BL167" s="397">
        <f t="shared" si="310"/>
        <v>53.192999999999998</v>
      </c>
      <c r="BM167" s="396">
        <f t="shared" si="310"/>
        <v>53.21</v>
      </c>
      <c r="BN167" s="396">
        <f t="shared" ref="BN167:CF167" si="311">+BM170</f>
        <v>53.325000000000003</v>
      </c>
      <c r="BO167" s="396">
        <f>+BN170</f>
        <v>53.326000000000001</v>
      </c>
      <c r="BP167" s="396">
        <f>+BO170</f>
        <v>53.362000000000002</v>
      </c>
      <c r="BQ167" s="1560">
        <f t="shared" si="311"/>
        <v>53.156999999999996</v>
      </c>
      <c r="BR167" s="1561">
        <f>+BQ170</f>
        <v>52.793999999999997</v>
      </c>
      <c r="BS167" s="1561">
        <f>+BR170</f>
        <v>52.468000000000004</v>
      </c>
      <c r="BT167" s="1562">
        <f>+BS170</f>
        <v>51.448999999999998</v>
      </c>
      <c r="BU167" s="396">
        <f>+BT170</f>
        <v>50.744999999999997</v>
      </c>
      <c r="BV167" s="396">
        <f t="shared" si="311"/>
        <v>50.508000000000003</v>
      </c>
      <c r="BW167" s="396">
        <f t="shared" si="311"/>
        <v>50.448999999999998</v>
      </c>
      <c r="BX167" s="397">
        <f t="shared" si="311"/>
        <v>50.317</v>
      </c>
      <c r="BY167" s="396">
        <f t="shared" si="311"/>
        <v>50.02</v>
      </c>
      <c r="BZ167" s="396">
        <f t="shared" si="311"/>
        <v>50.024999999999999</v>
      </c>
      <c r="CA167" s="396">
        <f t="shared" si="311"/>
        <v>50.055999999999997</v>
      </c>
      <c r="CB167" s="397">
        <f t="shared" si="311"/>
        <v>49.972000000000001</v>
      </c>
      <c r="CC167" s="396">
        <f t="shared" si="311"/>
        <v>49.569000000000003</v>
      </c>
      <c r="CD167" s="396">
        <f t="shared" si="311"/>
        <v>49.378402179487182</v>
      </c>
      <c r="CE167" s="396">
        <f t="shared" si="311"/>
        <v>48.498780939894608</v>
      </c>
      <c r="CF167" s="397">
        <f t="shared" si="311"/>
        <v>48.494520363465753</v>
      </c>
      <c r="CG167" s="552"/>
      <c r="CH167" s="553"/>
      <c r="CI167" s="551"/>
      <c r="CJ167" s="394"/>
      <c r="CK167" s="394"/>
      <c r="CL167" s="394"/>
      <c r="CM167" s="396">
        <f>+AG167</f>
        <v>0</v>
      </c>
      <c r="CN167" s="396">
        <f>+AK167</f>
        <v>38.356999999999999</v>
      </c>
      <c r="CO167" s="396">
        <f>+AO167</f>
        <v>48.347999999999999</v>
      </c>
      <c r="CP167" s="396">
        <f>+AS167</f>
        <v>45.287999999999997</v>
      </c>
      <c r="CQ167" s="396">
        <f>+AW167</f>
        <v>51.073</v>
      </c>
      <c r="CR167" s="396">
        <f>+BA167</f>
        <v>51.430999999999997</v>
      </c>
      <c r="CS167" s="396">
        <f>+BE167</f>
        <v>51.517000000000003</v>
      </c>
      <c r="CT167" s="396">
        <f>+BI167</f>
        <v>51.47</v>
      </c>
      <c r="CU167" s="396">
        <f>+BM167</f>
        <v>53.21</v>
      </c>
      <c r="CV167" s="396">
        <f>+BQ167</f>
        <v>53.156999999999996</v>
      </c>
      <c r="CW167" s="396">
        <f>+BU167</f>
        <v>50.744999999999997</v>
      </c>
      <c r="CX167" s="396">
        <f>+BY167</f>
        <v>50.02</v>
      </c>
      <c r="CY167" s="396">
        <f>+CC167</f>
        <v>49.569000000000003</v>
      </c>
      <c r="CZ167" s="1561">
        <f t="shared" ref="CZ167:DF167" si="312">+CY170</f>
        <v>48.20853333829541</v>
      </c>
      <c r="DA167" s="1561">
        <f t="shared" si="312"/>
        <v>47.549942340856255</v>
      </c>
      <c r="DB167" s="1561">
        <f t="shared" si="312"/>
        <v>46.925096712274545</v>
      </c>
      <c r="DC167" s="1561">
        <f t="shared" si="312"/>
        <v>46.333013577729197</v>
      </c>
      <c r="DD167" s="1561">
        <f t="shared" si="312"/>
        <v>46.408903622565958</v>
      </c>
      <c r="DE167" s="1561">
        <f t="shared" si="312"/>
        <v>46.497146384543392</v>
      </c>
      <c r="DF167" s="1562">
        <f t="shared" si="312"/>
        <v>46.597382075783621</v>
      </c>
      <c r="DG167" s="612"/>
      <c r="DH167" s="612"/>
    </row>
    <row r="168" spans="1:113" s="554" customFormat="1" ht="11.25" customHeight="1">
      <c r="A168" s="547"/>
      <c r="B168"/>
      <c r="C168"/>
      <c r="D168"/>
      <c r="E168"/>
      <c r="F168"/>
      <c r="G168"/>
      <c r="H168" s="1044"/>
      <c r="I168" s="9" t="s">
        <v>157</v>
      </c>
      <c r="J168" s="21"/>
      <c r="K168" s="21"/>
      <c r="L168" s="547"/>
      <c r="M168" s="551"/>
      <c r="N168" s="551"/>
      <c r="O168" s="551"/>
      <c r="P168" s="552"/>
      <c r="Q168" s="551"/>
      <c r="R168" s="551"/>
      <c r="S168" s="551"/>
      <c r="T168" s="552"/>
      <c r="U168" s="394"/>
      <c r="V168" s="394"/>
      <c r="W168" s="394"/>
      <c r="X168" s="395"/>
      <c r="Y168" s="394"/>
      <c r="Z168" s="394"/>
      <c r="AA168" s="394"/>
      <c r="AB168" s="395"/>
      <c r="AC168" s="394"/>
      <c r="AD168" s="394"/>
      <c r="AE168" s="394"/>
      <c r="AF168" s="395"/>
      <c r="AG168" s="396">
        <f t="shared" ref="AG168:BM168" si="313">+AG170-AG169-AG167</f>
        <v>40.890999999999998</v>
      </c>
      <c r="AH168" s="396">
        <f t="shared" si="313"/>
        <v>0.87199999999999989</v>
      </c>
      <c r="AI168" s="396">
        <f t="shared" si="313"/>
        <v>0.21000000000000085</v>
      </c>
      <c r="AJ168" s="397">
        <f t="shared" si="313"/>
        <v>-3.6159999999999997</v>
      </c>
      <c r="AK168" s="396">
        <f t="shared" si="313"/>
        <v>1.8810000000000002</v>
      </c>
      <c r="AL168" s="396">
        <f t="shared" si="313"/>
        <v>2.4480000000000004</v>
      </c>
      <c r="AM168" s="396">
        <f t="shared" si="313"/>
        <v>2.6820000000000022</v>
      </c>
      <c r="AN168" s="397">
        <f t="shared" si="313"/>
        <v>2.9799999999999969</v>
      </c>
      <c r="AO168" s="396">
        <f t="shared" si="313"/>
        <v>1.0836120000000022</v>
      </c>
      <c r="AP168" s="396">
        <f t="shared" si="313"/>
        <v>1.1009450000000029</v>
      </c>
      <c r="AQ168" s="396">
        <f t="shared" si="313"/>
        <v>-1.6331180000000032</v>
      </c>
      <c r="AR168" s="397">
        <f t="shared" si="313"/>
        <v>-3.5750000000000028</v>
      </c>
      <c r="AS168" s="396">
        <f t="shared" si="313"/>
        <v>2.0445279999999997</v>
      </c>
      <c r="AT168" s="396">
        <f t="shared" si="313"/>
        <v>1.8222349999999992</v>
      </c>
      <c r="AU168" s="396">
        <f t="shared" si="313"/>
        <v>1.2487940000000037</v>
      </c>
      <c r="AV168" s="397">
        <f t="shared" si="313"/>
        <v>0.84951399999999921</v>
      </c>
      <c r="AW168" s="396">
        <f t="shared" si="313"/>
        <v>0.83019900000000035</v>
      </c>
      <c r="AX168" s="396">
        <f t="shared" si="313"/>
        <v>-0.10151299999999708</v>
      </c>
      <c r="AY168" s="396">
        <f t="shared" si="313"/>
        <v>-0.19724700000000439</v>
      </c>
      <c r="AZ168" s="397">
        <f t="shared" si="313"/>
        <v>0.38257000000000119</v>
      </c>
      <c r="BA168" s="396">
        <f t="shared" si="313"/>
        <v>0.43790400000000318</v>
      </c>
      <c r="BB168" s="396">
        <f t="shared" si="313"/>
        <v>-3.5236999999995078E-2</v>
      </c>
      <c r="BC168" s="396">
        <f t="shared" si="313"/>
        <v>1.8311999999994555E-2</v>
      </c>
      <c r="BD168" s="397">
        <f t="shared" si="313"/>
        <v>2.3538000000002057E-2</v>
      </c>
      <c r="BE168" s="396">
        <f t="shared" si="313"/>
        <v>0.52863099999999719</v>
      </c>
      <c r="BF168" s="396">
        <f t="shared" si="313"/>
        <v>-9.6547000000008154E-2</v>
      </c>
      <c r="BG168" s="396">
        <f t="shared" si="313"/>
        <v>-7.1594999999994968E-2</v>
      </c>
      <c r="BH168" s="397">
        <f t="shared" si="313"/>
        <v>-2.3470000000003211E-3</v>
      </c>
      <c r="BI168" s="396">
        <f t="shared" si="313"/>
        <v>0.20867899999999651</v>
      </c>
      <c r="BJ168" s="396">
        <f t="shared" si="313"/>
        <v>1.2589100000000073</v>
      </c>
      <c r="BK168" s="396">
        <f t="shared" si="313"/>
        <v>1.2823609999999945</v>
      </c>
      <c r="BL168" s="397">
        <f t="shared" si="313"/>
        <v>1.7451000000001216E-2</v>
      </c>
      <c r="BM168" s="396">
        <f t="shared" si="313"/>
        <v>0.18727700000000169</v>
      </c>
      <c r="BN168" s="396">
        <f t="shared" ref="BN168:CA168" si="314">+BN170-BN169-BN167</f>
        <v>1.5549999999961983E-3</v>
      </c>
      <c r="BO168" s="396">
        <f t="shared" si="314"/>
        <v>0.15064500000000436</v>
      </c>
      <c r="BP168" s="396">
        <f t="shared" si="314"/>
        <v>0.23811699999999547</v>
      </c>
      <c r="BQ168" s="1326">
        <f t="shared" si="314"/>
        <v>-0.11160300000000234</v>
      </c>
      <c r="BR168" s="396">
        <f t="shared" si="314"/>
        <v>0.24269600000000935</v>
      </c>
      <c r="BS168" s="396">
        <f t="shared" si="314"/>
        <v>6.3574999999993054E-2</v>
      </c>
      <c r="BT168" s="397">
        <f t="shared" si="314"/>
        <v>-7.2560000000002844E-2</v>
      </c>
      <c r="BU168" s="396">
        <f t="shared" si="314"/>
        <v>-3.4999999999996589E-2</v>
      </c>
      <c r="BV168" s="396">
        <f t="shared" si="314"/>
        <v>0.1769999999999925</v>
      </c>
      <c r="BW168" s="396">
        <f t="shared" si="314"/>
        <v>1.1828000000001282E-2</v>
      </c>
      <c r="BX168" s="397">
        <f t="shared" si="314"/>
        <v>-0.11584399999999562</v>
      </c>
      <c r="BY168" s="396">
        <f t="shared" si="314"/>
        <v>0.12991499999999689</v>
      </c>
      <c r="BZ168" s="396">
        <f t="shared" si="314"/>
        <v>0.16763699999999915</v>
      </c>
      <c r="CA168" s="396">
        <f t="shared" si="314"/>
        <v>0.2864540000000062</v>
      </c>
      <c r="CB168" s="397">
        <f t="shared" ref="CB168" si="315">+CB170-CB169-CB167</f>
        <v>-9.1159999999987917E-3</v>
      </c>
      <c r="CC168" s="394">
        <f>+BY168</f>
        <v>0.12991499999999689</v>
      </c>
      <c r="CD168" s="394">
        <f>+BZ168+-((714+700)/1905.64)</f>
        <v>-0.57437093434226905</v>
      </c>
      <c r="CE168" s="394">
        <f>+CA168</f>
        <v>0.2864540000000062</v>
      </c>
      <c r="CF168" s="395">
        <f>+CB168</f>
        <v>-9.1159999999987917E-3</v>
      </c>
      <c r="CG168" s="552"/>
      <c r="CH168" s="553"/>
      <c r="CI168" s="551"/>
      <c r="CJ168" s="394"/>
      <c r="CK168" s="394"/>
      <c r="CL168" s="394"/>
      <c r="CM168" s="396">
        <f>+SUM(AG168:AJ168)</f>
        <v>38.356999999999999</v>
      </c>
      <c r="CN168" s="396">
        <f>+SUM(AK168:AN168)</f>
        <v>9.9909999999999997</v>
      </c>
      <c r="CO168" s="396">
        <f>+SUM(AO168:AR168)</f>
        <v>-3.0235610000000008</v>
      </c>
      <c r="CP168" s="396">
        <f>+SUM(AS168:AV168)</f>
        <v>5.9650710000000018</v>
      </c>
      <c r="CQ168" s="396">
        <f>+SUM(AW168:AZ168)</f>
        <v>0.91400900000000007</v>
      </c>
      <c r="CR168" s="396">
        <f>+SUM(BA168:BD168)</f>
        <v>0.44451700000000471</v>
      </c>
      <c r="CS168" s="396">
        <f>+SUM(BE168:BH168)</f>
        <v>0.35814199999999374</v>
      </c>
      <c r="CT168" s="396">
        <f>+SUM(BI168:BL168)</f>
        <v>2.7674009999999996</v>
      </c>
      <c r="CU168" s="396">
        <f>SUM(BM168:BP168)</f>
        <v>0.57759399999999772</v>
      </c>
      <c r="CV168" s="396">
        <f>SUM(BQ168:BT168)</f>
        <v>0.12210799999999722</v>
      </c>
      <c r="CW168" s="396">
        <f>SUM(BU168:BX168)</f>
        <v>3.7984000000001572E-2</v>
      </c>
      <c r="CX168" s="396">
        <f>SUM(BY168:CB168)</f>
        <v>0.57489000000000345</v>
      </c>
      <c r="CY168" s="396">
        <f>SUM(CC168:CF168)</f>
        <v>-0.16711793434226474</v>
      </c>
      <c r="CZ168" s="1439">
        <v>0.5</v>
      </c>
      <c r="DA168" s="1439">
        <f t="shared" ref="DA168:DF168" si="316">+CZ168</f>
        <v>0.5</v>
      </c>
      <c r="DB168" s="1439">
        <f t="shared" si="316"/>
        <v>0.5</v>
      </c>
      <c r="DC168" s="1439">
        <f t="shared" si="316"/>
        <v>0.5</v>
      </c>
      <c r="DD168" s="1439">
        <f t="shared" si="316"/>
        <v>0.5</v>
      </c>
      <c r="DE168" s="1439">
        <f t="shared" si="316"/>
        <v>0.5</v>
      </c>
      <c r="DF168" s="1440">
        <f t="shared" si="316"/>
        <v>0.5</v>
      </c>
      <c r="DG168" s="612"/>
      <c r="DH168" s="612"/>
    </row>
    <row r="169" spans="1:113" s="554" customFormat="1" ht="11.25" customHeight="1">
      <c r="A169" s="547"/>
      <c r="B169"/>
      <c r="C169"/>
      <c r="D169"/>
      <c r="E169"/>
      <c r="F169"/>
      <c r="G169"/>
      <c r="H169" s="1044"/>
      <c r="I169" s="9" t="s">
        <v>47</v>
      </c>
      <c r="J169" s="21"/>
      <c r="K169" s="21"/>
      <c r="L169" s="547"/>
      <c r="M169" s="551"/>
      <c r="N169" s="551"/>
      <c r="O169" s="551"/>
      <c r="P169" s="552"/>
      <c r="Q169" s="551"/>
      <c r="R169" s="551"/>
      <c r="S169" s="551"/>
      <c r="T169" s="552"/>
      <c r="U169" s="394"/>
      <c r="V169" s="394"/>
      <c r="W169" s="394"/>
      <c r="X169" s="395"/>
      <c r="Y169" s="394"/>
      <c r="Z169" s="394"/>
      <c r="AA169" s="394"/>
      <c r="AB169" s="395"/>
      <c r="AC169" s="394"/>
      <c r="AD169" s="394"/>
      <c r="AE169" s="394"/>
      <c r="AF169" s="395"/>
      <c r="AG169" s="396">
        <f t="shared" ref="AG169:BL169" si="317">+AG173*-1</f>
        <v>0</v>
      </c>
      <c r="AH169" s="396">
        <f t="shared" si="317"/>
        <v>0</v>
      </c>
      <c r="AI169" s="396">
        <f t="shared" si="317"/>
        <v>0</v>
      </c>
      <c r="AJ169" s="397">
        <f t="shared" si="317"/>
        <v>0</v>
      </c>
      <c r="AK169" s="396">
        <f t="shared" si="317"/>
        <v>0</v>
      </c>
      <c r="AL169" s="396">
        <f t="shared" si="317"/>
        <v>0</v>
      </c>
      <c r="AM169" s="396">
        <f t="shared" si="317"/>
        <v>0</v>
      </c>
      <c r="AN169" s="397">
        <f t="shared" si="317"/>
        <v>0</v>
      </c>
      <c r="AO169" s="396">
        <f t="shared" si="317"/>
        <v>-2.6612E-2</v>
      </c>
      <c r="AP169" s="396">
        <f t="shared" si="317"/>
        <v>-9.4500000000000139E-4</v>
      </c>
      <c r="AQ169" s="396">
        <f t="shared" si="317"/>
        <v>-8.8819999999999975E-3</v>
      </c>
      <c r="AR169" s="397">
        <f t="shared" si="317"/>
        <v>0</v>
      </c>
      <c r="AS169" s="396">
        <f t="shared" si="317"/>
        <v>-0.155528</v>
      </c>
      <c r="AT169" s="396">
        <f t="shared" si="317"/>
        <v>-1.2350000000000139E-3</v>
      </c>
      <c r="AU169" s="396">
        <f t="shared" si="317"/>
        <v>-6.7939999999999945E-3</v>
      </c>
      <c r="AV169" s="397">
        <f t="shared" si="317"/>
        <v>-1.6514000000000001E-2</v>
      </c>
      <c r="AW169" s="396">
        <f t="shared" si="317"/>
        <v>-0.51019899999999996</v>
      </c>
      <c r="AX169" s="396">
        <f t="shared" si="317"/>
        <v>-3.2487000000000002E-2</v>
      </c>
      <c r="AY169" s="396">
        <f t="shared" si="317"/>
        <v>-2.7530000000000054E-3</v>
      </c>
      <c r="AZ169" s="397">
        <f t="shared" si="317"/>
        <v>-1.0570000000000001E-2</v>
      </c>
      <c r="BA169" s="396">
        <f t="shared" si="317"/>
        <v>-0.34690399999999999</v>
      </c>
      <c r="BB169" s="396">
        <f t="shared" si="317"/>
        <v>-2.7630000000000154E-3</v>
      </c>
      <c r="BC169" s="396">
        <f t="shared" si="317"/>
        <v>-7.3119999999999852E-3</v>
      </c>
      <c r="BD169" s="397">
        <f t="shared" si="317"/>
        <v>-1.5379999999999838E-3</v>
      </c>
      <c r="BE169" s="396">
        <f t="shared" si="317"/>
        <v>-0.40063100000000001</v>
      </c>
      <c r="BF169" s="396">
        <f t="shared" si="317"/>
        <v>-1.4530000000000001E-3</v>
      </c>
      <c r="BG169" s="396">
        <f t="shared" si="317"/>
        <v>-4.0499999999999998E-4</v>
      </c>
      <c r="BH169" s="397">
        <f t="shared" si="317"/>
        <v>-2.653E-3</v>
      </c>
      <c r="BI169" s="396">
        <f t="shared" si="317"/>
        <v>-0.110679</v>
      </c>
      <c r="BJ169" s="396">
        <f t="shared" si="317"/>
        <v>-0.43191000000000002</v>
      </c>
      <c r="BK169" s="396">
        <f t="shared" si="317"/>
        <v>-0.48436099999999999</v>
      </c>
      <c r="BL169" s="397">
        <f t="shared" si="317"/>
        <v>-4.5100000000000001E-4</v>
      </c>
      <c r="BM169" s="396">
        <f t="shared" ref="BM169:CF169" si="318">+BM173*-1</f>
        <v>-7.2276999999999994E-2</v>
      </c>
      <c r="BN169" s="396">
        <f t="shared" si="318"/>
        <v>-5.5499999999999994E-4</v>
      </c>
      <c r="BO169" s="396">
        <f t="shared" ref="BO169:BW169" si="319">+BO173*-1</f>
        <v>-0.114645</v>
      </c>
      <c r="BP169" s="396">
        <f t="shared" si="319"/>
        <v>-0.44311699999999998</v>
      </c>
      <c r="BQ169" s="1326">
        <f>+BQ173*-1</f>
        <v>-0.25139699999999998</v>
      </c>
      <c r="BR169" s="396">
        <f>+BR173*-1</f>
        <v>-0.56869600000000009</v>
      </c>
      <c r="BS169" s="396">
        <f>+BS173*-1</f>
        <v>-1.0825749999999998</v>
      </c>
      <c r="BT169" s="397">
        <f>+BT173*-1</f>
        <v>-0.63144000000000033</v>
      </c>
      <c r="BU169" s="396">
        <f>+BU173*-1</f>
        <v>-0.20200000000000001</v>
      </c>
      <c r="BV169" s="396">
        <f t="shared" si="319"/>
        <v>-0.23599999999999999</v>
      </c>
      <c r="BW169" s="396">
        <f t="shared" si="319"/>
        <v>-0.14382800000000001</v>
      </c>
      <c r="BX169" s="397">
        <f t="shared" si="318"/>
        <v>-0.18115600000000004</v>
      </c>
      <c r="BY169" s="396">
        <f t="shared" si="318"/>
        <v>-0.124915</v>
      </c>
      <c r="BZ169" s="396">
        <f t="shared" si="318"/>
        <v>-0.13663700000000001</v>
      </c>
      <c r="CA169" s="396">
        <f t="shared" si="318"/>
        <v>-0.37045399999999995</v>
      </c>
      <c r="CB169" s="397">
        <f t="shared" ref="CB169" si="320">+CB173*-1</f>
        <v>-0.39388400000000001</v>
      </c>
      <c r="CC169" s="396">
        <f t="shared" si="318"/>
        <v>-0.32051282051282054</v>
      </c>
      <c r="CD169" s="396">
        <f t="shared" si="318"/>
        <v>-0.30525030525030528</v>
      </c>
      <c r="CE169" s="396">
        <f t="shared" si="318"/>
        <v>-0.29071457642886217</v>
      </c>
      <c r="CF169" s="397">
        <f t="shared" si="318"/>
        <v>-0.2768710251703449</v>
      </c>
      <c r="CG169" s="552"/>
      <c r="CH169" s="553"/>
      <c r="CI169" s="551"/>
      <c r="CJ169" s="394"/>
      <c r="CK169" s="394"/>
      <c r="CL169" s="394"/>
      <c r="CM169" s="396">
        <f>+SUM(AG169:AJ169)</f>
        <v>0</v>
      </c>
      <c r="CN169" s="396">
        <f>+SUM(AK169:AN169)</f>
        <v>0</v>
      </c>
      <c r="CO169" s="396">
        <f>+SUM(AO169:AR169)</f>
        <v>-3.6438999999999999E-2</v>
      </c>
      <c r="CP169" s="396">
        <f>+SUM(AS169:AV169)</f>
        <v>-0.18007100000000001</v>
      </c>
      <c r="CQ169" s="396">
        <f>+SUM(AW169:AZ169)</f>
        <v>-0.55600899999999998</v>
      </c>
      <c r="CR169" s="396">
        <f>+SUM(BA169:BD169)</f>
        <v>-0.35851699999999997</v>
      </c>
      <c r="CS169" s="396">
        <f>+SUM(BE169:BH169)</f>
        <v>-0.405142</v>
      </c>
      <c r="CT169" s="396">
        <f>+SUM(BI169:BL169)</f>
        <v>-1.027401</v>
      </c>
      <c r="CU169" s="396">
        <f>SUM(BM169:BP169)</f>
        <v>-0.63059399999999999</v>
      </c>
      <c r="CV169" s="396">
        <f>SUM(BQ169:BT169)</f>
        <v>-2.5341080000000002</v>
      </c>
      <c r="CW169" s="396">
        <f>SUM(BU169:BX169)</f>
        <v>-0.76298400000000011</v>
      </c>
      <c r="CX169" s="396">
        <f>SUM(BY169:CB169)</f>
        <v>-1.02589</v>
      </c>
      <c r="CY169" s="396">
        <f>SUM(CC169:CF169)</f>
        <v>-1.1933487273623329</v>
      </c>
      <c r="CZ169" s="396">
        <f t="shared" ref="CZ169:DF169" si="321">+CZ173*-1</f>
        <v>-1.1585909974391582</v>
      </c>
      <c r="DA169" s="396">
        <f t="shared" si="321"/>
        <v>-1.1248456285817068</v>
      </c>
      <c r="DB169" s="396">
        <f t="shared" si="321"/>
        <v>-1.0920831345453466</v>
      </c>
      <c r="DC169" s="396">
        <f t="shared" si="321"/>
        <v>-0.42410995516324135</v>
      </c>
      <c r="DD169" s="396">
        <f t="shared" si="321"/>
        <v>-0.41175723802256442</v>
      </c>
      <c r="DE169" s="396">
        <f t="shared" si="321"/>
        <v>-0.39976430875977131</v>
      </c>
      <c r="DF169" s="397">
        <f t="shared" si="321"/>
        <v>-0.38812068811628281</v>
      </c>
      <c r="DG169" s="612"/>
      <c r="DH169" s="612"/>
    </row>
    <row r="170" spans="1:113" s="554" customFormat="1" ht="11.25" customHeight="1">
      <c r="A170" s="547"/>
      <c r="B170"/>
      <c r="C170"/>
      <c r="D170"/>
      <c r="E170"/>
      <c r="F170"/>
      <c r="G170"/>
      <c r="H170" s="1044"/>
      <c r="I170" s="555" t="s">
        <v>158</v>
      </c>
      <c r="J170" s="550"/>
      <c r="K170" s="550"/>
      <c r="L170" s="547"/>
      <c r="M170" s="551"/>
      <c r="N170" s="551"/>
      <c r="O170" s="551"/>
      <c r="P170" s="552"/>
      <c r="Q170" s="551"/>
      <c r="R170" s="551"/>
      <c r="S170" s="551"/>
      <c r="T170" s="552"/>
      <c r="U170" s="394"/>
      <c r="V170" s="394"/>
      <c r="W170" s="394"/>
      <c r="X170" s="395"/>
      <c r="Y170" s="394"/>
      <c r="Z170" s="394"/>
      <c r="AA170" s="394"/>
      <c r="AB170" s="395"/>
      <c r="AC170" s="394"/>
      <c r="AD170" s="394"/>
      <c r="AE170" s="394"/>
      <c r="AF170" s="395"/>
      <c r="AG170" s="396">
        <f t="shared" ref="AG170:CA170" si="322">+AG153</f>
        <v>40.890999999999998</v>
      </c>
      <c r="AH170" s="396">
        <f t="shared" si="322"/>
        <v>41.762999999999998</v>
      </c>
      <c r="AI170" s="396">
        <f t="shared" si="322"/>
        <v>41.972999999999999</v>
      </c>
      <c r="AJ170" s="397">
        <f t="shared" si="322"/>
        <v>38.356999999999999</v>
      </c>
      <c r="AK170" s="396">
        <f t="shared" si="322"/>
        <v>40.238</v>
      </c>
      <c r="AL170" s="396">
        <f t="shared" si="322"/>
        <v>42.686</v>
      </c>
      <c r="AM170" s="396">
        <f t="shared" si="322"/>
        <v>45.368000000000002</v>
      </c>
      <c r="AN170" s="397">
        <f t="shared" si="322"/>
        <v>48.347999999999999</v>
      </c>
      <c r="AO170" s="396">
        <f t="shared" si="322"/>
        <v>49.405000000000001</v>
      </c>
      <c r="AP170" s="396">
        <f t="shared" si="322"/>
        <v>50.505000000000003</v>
      </c>
      <c r="AQ170" s="396">
        <f t="shared" si="322"/>
        <v>48.863</v>
      </c>
      <c r="AR170" s="397">
        <f t="shared" si="322"/>
        <v>45.287999999999997</v>
      </c>
      <c r="AS170" s="396">
        <f t="shared" si="322"/>
        <v>47.177</v>
      </c>
      <c r="AT170" s="396">
        <f t="shared" si="322"/>
        <v>48.997999999999998</v>
      </c>
      <c r="AU170" s="396">
        <f t="shared" si="322"/>
        <v>50.24</v>
      </c>
      <c r="AV170" s="397">
        <f t="shared" si="322"/>
        <v>51.073</v>
      </c>
      <c r="AW170" s="396">
        <f t="shared" si="322"/>
        <v>51.393000000000001</v>
      </c>
      <c r="AX170" s="396">
        <f t="shared" si="322"/>
        <v>51.259</v>
      </c>
      <c r="AY170" s="396">
        <f t="shared" si="322"/>
        <v>51.058999999999997</v>
      </c>
      <c r="AZ170" s="397">
        <f t="shared" si="322"/>
        <v>51.430999999999997</v>
      </c>
      <c r="BA170" s="396">
        <f t="shared" si="322"/>
        <v>51.521999999999998</v>
      </c>
      <c r="BB170" s="396">
        <f t="shared" si="322"/>
        <v>51.484000000000002</v>
      </c>
      <c r="BC170" s="396">
        <f t="shared" si="322"/>
        <v>51.494999999999997</v>
      </c>
      <c r="BD170" s="397">
        <f t="shared" si="322"/>
        <v>51.517000000000003</v>
      </c>
      <c r="BE170" s="396">
        <f t="shared" si="322"/>
        <v>51.645000000000003</v>
      </c>
      <c r="BF170" s="396">
        <f t="shared" si="322"/>
        <v>51.546999999999997</v>
      </c>
      <c r="BG170" s="396">
        <f t="shared" si="322"/>
        <v>51.475000000000001</v>
      </c>
      <c r="BH170" s="397">
        <f t="shared" si="322"/>
        <v>51.47</v>
      </c>
      <c r="BI170" s="396">
        <f t="shared" si="322"/>
        <v>51.567999999999998</v>
      </c>
      <c r="BJ170" s="396">
        <f t="shared" si="322"/>
        <v>52.395000000000003</v>
      </c>
      <c r="BK170" s="396">
        <f t="shared" si="322"/>
        <v>53.192999999999998</v>
      </c>
      <c r="BL170" s="397">
        <f t="shared" si="322"/>
        <v>53.21</v>
      </c>
      <c r="BM170" s="396">
        <f t="shared" si="322"/>
        <v>53.325000000000003</v>
      </c>
      <c r="BN170" s="396">
        <f t="shared" si="322"/>
        <v>53.326000000000001</v>
      </c>
      <c r="BO170" s="396">
        <f t="shared" si="322"/>
        <v>53.362000000000002</v>
      </c>
      <c r="BP170" s="396">
        <f t="shared" si="322"/>
        <v>53.156999999999996</v>
      </c>
      <c r="BQ170" s="1326">
        <f t="shared" si="322"/>
        <v>52.793999999999997</v>
      </c>
      <c r="BR170" s="396">
        <f t="shared" si="322"/>
        <v>52.468000000000004</v>
      </c>
      <c r="BS170" s="396">
        <f t="shared" si="322"/>
        <v>51.448999999999998</v>
      </c>
      <c r="BT170" s="397">
        <f t="shared" si="322"/>
        <v>50.744999999999997</v>
      </c>
      <c r="BU170" s="1326">
        <f t="shared" si="322"/>
        <v>50.508000000000003</v>
      </c>
      <c r="BV170" s="396">
        <f t="shared" si="322"/>
        <v>50.448999999999998</v>
      </c>
      <c r="BW170" s="396">
        <f t="shared" si="322"/>
        <v>50.317</v>
      </c>
      <c r="BX170" s="397">
        <f t="shared" si="322"/>
        <v>50.02</v>
      </c>
      <c r="BY170" s="396">
        <f t="shared" si="322"/>
        <v>50.024999999999999</v>
      </c>
      <c r="BZ170" s="396">
        <f t="shared" si="322"/>
        <v>50.055999999999997</v>
      </c>
      <c r="CA170" s="396">
        <f t="shared" si="322"/>
        <v>49.972000000000001</v>
      </c>
      <c r="CB170" s="397">
        <f t="shared" ref="CB170" si="323">+CB153</f>
        <v>49.569000000000003</v>
      </c>
      <c r="CC170" s="396">
        <f>+SUM(CC167:CC169)</f>
        <v>49.378402179487182</v>
      </c>
      <c r="CD170" s="396">
        <f>+SUM(CD167:CD169)</f>
        <v>48.498780939894608</v>
      </c>
      <c r="CE170" s="396">
        <f>+SUM(CE167:CE169)</f>
        <v>48.494520363465753</v>
      </c>
      <c r="CF170" s="397">
        <f>+SUM(CF167:CF169)</f>
        <v>48.20853333829541</v>
      </c>
      <c r="CG170" s="552"/>
      <c r="CH170" s="553"/>
      <c r="CI170" s="551"/>
      <c r="CJ170" s="394"/>
      <c r="CK170" s="394"/>
      <c r="CL170" s="394"/>
      <c r="CM170" s="396">
        <f>+AJ170</f>
        <v>38.356999999999999</v>
      </c>
      <c r="CN170" s="396">
        <f>+AN170</f>
        <v>48.347999999999999</v>
      </c>
      <c r="CO170" s="396">
        <f>+AR170</f>
        <v>45.287999999999997</v>
      </c>
      <c r="CP170" s="396">
        <f>+AV170</f>
        <v>51.073</v>
      </c>
      <c r="CQ170" s="396">
        <f>+AZ170</f>
        <v>51.430999999999997</v>
      </c>
      <c r="CR170" s="396">
        <f>+BD170</f>
        <v>51.517000000000003</v>
      </c>
      <c r="CS170" s="396">
        <f>+BH170</f>
        <v>51.47</v>
      </c>
      <c r="CT170" s="396">
        <f>+BL170</f>
        <v>53.21</v>
      </c>
      <c r="CU170" s="396">
        <f>+BP170</f>
        <v>53.156999999999996</v>
      </c>
      <c r="CV170" s="396">
        <f>+BT170</f>
        <v>50.744999999999997</v>
      </c>
      <c r="CW170" s="396">
        <f>+BX170</f>
        <v>50.02</v>
      </c>
      <c r="CX170" s="396">
        <f>+CB170</f>
        <v>49.569000000000003</v>
      </c>
      <c r="CY170" s="396">
        <f>+CF170</f>
        <v>48.20853333829541</v>
      </c>
      <c r="CZ170" s="396">
        <f t="shared" ref="CZ170:DF170" si="324">+SUM(CZ167:CZ169)</f>
        <v>47.549942340856255</v>
      </c>
      <c r="DA170" s="396">
        <f t="shared" si="324"/>
        <v>46.925096712274545</v>
      </c>
      <c r="DB170" s="396">
        <f t="shared" si="324"/>
        <v>46.333013577729197</v>
      </c>
      <c r="DC170" s="396">
        <f t="shared" si="324"/>
        <v>46.408903622565958</v>
      </c>
      <c r="DD170" s="396">
        <f t="shared" si="324"/>
        <v>46.497146384543392</v>
      </c>
      <c r="DE170" s="396">
        <f t="shared" si="324"/>
        <v>46.597382075783621</v>
      </c>
      <c r="DF170" s="397">
        <f t="shared" si="324"/>
        <v>46.70926138766734</v>
      </c>
      <c r="DG170" s="612"/>
      <c r="DH170" s="612"/>
    </row>
    <row r="171" spans="1:113" s="40" customFormat="1" ht="11.25" customHeight="1">
      <c r="A171" s="24"/>
      <c r="B171"/>
      <c r="C171"/>
      <c r="D171"/>
      <c r="E171"/>
      <c r="F171"/>
      <c r="G171"/>
      <c r="H171" s="1044"/>
      <c r="I171" s="178"/>
      <c r="J171" s="8"/>
      <c r="K171" s="8"/>
      <c r="L171" s="39"/>
      <c r="M171" s="330"/>
      <c r="N171" s="330"/>
      <c r="O171" s="330"/>
      <c r="P171" s="331"/>
      <c r="Q171" s="330"/>
      <c r="R171" s="330"/>
      <c r="S171" s="330"/>
      <c r="T171" s="331"/>
      <c r="U171" s="373"/>
      <c r="V171" s="373"/>
      <c r="W171" s="373"/>
      <c r="X171" s="406"/>
      <c r="Y171" s="373"/>
      <c r="Z171" s="373"/>
      <c r="AA171" s="373"/>
      <c r="AB171" s="406"/>
      <c r="AC171" s="373"/>
      <c r="AD171" s="373"/>
      <c r="AE171" s="373"/>
      <c r="AF171" s="406"/>
      <c r="AG171" s="373"/>
      <c r="AH171" s="373"/>
      <c r="AI171" s="373"/>
      <c r="AJ171" s="406"/>
      <c r="AK171" s="373"/>
      <c r="AL171" s="373"/>
      <c r="AM171" s="373"/>
      <c r="AN171" s="406"/>
      <c r="AO171" s="373"/>
      <c r="AP171" s="373"/>
      <c r="AQ171" s="373"/>
      <c r="AR171" s="406"/>
      <c r="AS171" s="373"/>
      <c r="AT171" s="373"/>
      <c r="AU171" s="373"/>
      <c r="AV171" s="406"/>
      <c r="AW171" s="415"/>
      <c r="AX171" s="373"/>
      <c r="AY171" s="373"/>
      <c r="AZ171" s="406"/>
      <c r="BA171" s="330"/>
      <c r="BB171" s="373"/>
      <c r="BC171" s="373"/>
      <c r="BD171" s="406"/>
      <c r="BE171" s="373"/>
      <c r="BF171" s="373"/>
      <c r="BG171" s="373"/>
      <c r="BH171" s="406"/>
      <c r="BI171" s="321"/>
      <c r="BJ171" s="321"/>
      <c r="BK171" s="321"/>
      <c r="BL171" s="322"/>
      <c r="BM171" s="321"/>
      <c r="BN171" s="321"/>
      <c r="BO171" s="416"/>
      <c r="BP171" s="373"/>
      <c r="BQ171" s="1725"/>
      <c r="BR171" s="373"/>
      <c r="BS171" s="373"/>
      <c r="BT171" s="406"/>
      <c r="BU171" s="1949"/>
      <c r="BV171" s="373"/>
      <c r="BW171" s="373"/>
      <c r="BX171" s="406"/>
      <c r="BY171" s="373"/>
      <c r="BZ171" s="373"/>
      <c r="CA171" s="373"/>
      <c r="CB171" s="406"/>
      <c r="CC171" s="373"/>
      <c r="CD171" s="373"/>
      <c r="CE171" s="373"/>
      <c r="CF171" s="406"/>
      <c r="CG171" s="331"/>
      <c r="CH171" s="333"/>
      <c r="CI171" s="330"/>
      <c r="CJ171" s="373"/>
      <c r="CK171" s="373"/>
      <c r="CL171" s="373"/>
      <c r="CM171" s="373"/>
      <c r="CN171" s="373"/>
      <c r="CO171" s="373"/>
      <c r="CP171" s="373"/>
      <c r="CQ171" s="326"/>
      <c r="CR171" s="373"/>
      <c r="CS171" s="373"/>
      <c r="CT171" s="417"/>
      <c r="CU171" s="373"/>
      <c r="CV171" s="373"/>
      <c r="CW171" s="373"/>
      <c r="CX171" s="373"/>
      <c r="CY171" s="373"/>
      <c r="CZ171" s="373"/>
      <c r="DA171" s="373"/>
      <c r="DB171" s="373"/>
      <c r="DC171" s="373"/>
      <c r="DD171" s="373"/>
      <c r="DE171" s="373"/>
      <c r="DF171" s="406"/>
      <c r="DG171" s="1188"/>
      <c r="DH171" s="1188"/>
    </row>
    <row r="172" spans="1:113" s="73" customFormat="1" ht="11.25" customHeight="1">
      <c r="A172" s="24"/>
      <c r="B172"/>
      <c r="C172"/>
      <c r="D172"/>
      <c r="E172"/>
      <c r="F172"/>
      <c r="G172"/>
      <c r="H172" s="1044"/>
      <c r="I172" s="186" t="s">
        <v>46</v>
      </c>
      <c r="J172" s="71"/>
      <c r="K172" s="71"/>
      <c r="L172" s="72"/>
      <c r="M172" s="418"/>
      <c r="N172" s="418"/>
      <c r="O172" s="418"/>
      <c r="P172" s="419"/>
      <c r="Q172" s="418"/>
      <c r="R172" s="418"/>
      <c r="S172" s="418"/>
      <c r="T172" s="419"/>
      <c r="U172" s="420"/>
      <c r="V172" s="420"/>
      <c r="W172" s="420"/>
      <c r="X172" s="421"/>
      <c r="Y172" s="420"/>
      <c r="Z172" s="420"/>
      <c r="AA172" s="420"/>
      <c r="AB172" s="421"/>
      <c r="AC172" s="420"/>
      <c r="AD172" s="420"/>
      <c r="AE172" s="420"/>
      <c r="AF172" s="421"/>
      <c r="AG172" s="420"/>
      <c r="AH172" s="420"/>
      <c r="AI172" s="420"/>
      <c r="AJ172" s="421"/>
      <c r="AK172" s="420"/>
      <c r="AL172" s="420"/>
      <c r="AM172" s="420"/>
      <c r="AN172" s="421"/>
      <c r="AO172" s="1338">
        <v>3.2730000000000001</v>
      </c>
      <c r="AP172" s="1339">
        <f>3.415-AO172</f>
        <v>0.1419999999999999</v>
      </c>
      <c r="AQ172" s="1339">
        <f>4.336-AP172-AO172</f>
        <v>0.92100000000000071</v>
      </c>
      <c r="AR172" s="1340"/>
      <c r="AS172" s="1338">
        <v>13.106999999999999</v>
      </c>
      <c r="AT172" s="1338">
        <f>13.238-AS172</f>
        <v>0.13100000000000023</v>
      </c>
      <c r="AU172" s="1338">
        <f>14.169-AT172-AS172</f>
        <v>0.93100000000000094</v>
      </c>
      <c r="AV172" s="1341">
        <f>+AV173*AV174</f>
        <v>3.2463221200000003</v>
      </c>
      <c r="AW172" s="1339">
        <v>118.932</v>
      </c>
      <c r="AX172" s="1339">
        <f>125.423-AW172</f>
        <v>6.4909999999999997</v>
      </c>
      <c r="AY172" s="1338">
        <f>125.653-AX172-AW172</f>
        <v>0.23000000000000398</v>
      </c>
      <c r="AZ172" s="1341">
        <f>+CQ172-AY172-AX172-AW172</f>
        <v>3.7919999999999732</v>
      </c>
      <c r="BA172" s="1338">
        <v>157.262</v>
      </c>
      <c r="BB172" s="1339">
        <f>158.691-BA172</f>
        <v>1.429000000000002</v>
      </c>
      <c r="BC172" s="1339">
        <f>162.369-BB172-BA172</f>
        <v>3.6779999999999973</v>
      </c>
      <c r="BD172" s="1342">
        <f>+CR172-BC172-BB172-BA172</f>
        <v>0.8019999999999925</v>
      </c>
      <c r="BE172" s="678">
        <v>254.22499999999999</v>
      </c>
      <c r="BF172" s="678">
        <v>0.94300000000001205</v>
      </c>
      <c r="BG172" s="678">
        <v>0.22899999999998499</v>
      </c>
      <c r="BH172" s="679">
        <v>1.6240000000000236</v>
      </c>
      <c r="BI172" s="678">
        <v>76.38</v>
      </c>
      <c r="BJ172" s="678">
        <v>346.90500000000003</v>
      </c>
      <c r="BK172" s="678">
        <v>459.72300000000007</v>
      </c>
      <c r="BL172" s="680">
        <v>0.50699999999989132</v>
      </c>
      <c r="BM172" s="678">
        <v>96.66</v>
      </c>
      <c r="BN172" s="678">
        <v>0.66599999999999682</v>
      </c>
      <c r="BO172" s="678">
        <v>148.13</v>
      </c>
      <c r="BP172" s="678">
        <v>504.92200000000014</v>
      </c>
      <c r="BQ172" s="1721">
        <v>308.61799999999999</v>
      </c>
      <c r="BR172" s="678">
        <v>677.96299999999997</v>
      </c>
      <c r="BS172" s="678">
        <v>1280.8030000000001</v>
      </c>
      <c r="BT172" s="679">
        <v>821.67099999999982</v>
      </c>
      <c r="BU172" s="1721">
        <v>259.36099999999999</v>
      </c>
      <c r="BV172" s="678">
        <v>265.78300000000002</v>
      </c>
      <c r="BW172" s="678">
        <v>232.33299999999997</v>
      </c>
      <c r="BX172" s="679">
        <v>256.04899999999998</v>
      </c>
      <c r="BY172" s="678">
        <v>209.797</v>
      </c>
      <c r="BZ172" s="678">
        <v>345.45299999999997</v>
      </c>
      <c r="CA172" s="678">
        <v>567.85200000000009</v>
      </c>
      <c r="CB172" s="679">
        <v>704.81700000000001</v>
      </c>
      <c r="CC172" s="422">
        <v>625</v>
      </c>
      <c r="CD172" s="422">
        <v>625</v>
      </c>
      <c r="CE172" s="422">
        <v>625</v>
      </c>
      <c r="CF172" s="1466">
        <v>625</v>
      </c>
      <c r="CG172" s="419"/>
      <c r="CH172" s="426"/>
      <c r="CI172" s="418"/>
      <c r="CJ172" s="420"/>
      <c r="CK172" s="420"/>
      <c r="CL172" s="420"/>
      <c r="CM172" s="422"/>
      <c r="CN172" s="420"/>
      <c r="CO172" s="420"/>
      <c r="CP172" s="422">
        <v>17</v>
      </c>
      <c r="CQ172" s="422">
        <v>129.44499999999999</v>
      </c>
      <c r="CR172" s="678">
        <v>163.17099999999999</v>
      </c>
      <c r="CS172" s="423">
        <f>SUM(BE172:BH172)</f>
        <v>257.02100000000002</v>
      </c>
      <c r="CT172" s="423">
        <f>SUM(BI172:BL172)</f>
        <v>883.51499999999987</v>
      </c>
      <c r="CU172" s="423">
        <f>SUM(BM172:BP172)</f>
        <v>750.37800000000016</v>
      </c>
      <c r="CV172" s="423">
        <f>SUM(BQ172:BT172)</f>
        <v>3089.0549999999998</v>
      </c>
      <c r="CW172" s="423">
        <f>SUM(BU172:BX172)</f>
        <v>1013.526</v>
      </c>
      <c r="CX172" s="423">
        <f>SUM(BY172:CB172)</f>
        <v>1827.9190000000001</v>
      </c>
      <c r="CY172" s="423">
        <f>SUM(CC172:CF172)</f>
        <v>2500</v>
      </c>
      <c r="CZ172" s="1758">
        <f t="shared" ref="CZ172:DF172" si="325">+CY172</f>
        <v>2500</v>
      </c>
      <c r="DA172" s="1758">
        <f t="shared" si="325"/>
        <v>2500</v>
      </c>
      <c r="DB172" s="1758">
        <f t="shared" si="325"/>
        <v>2500</v>
      </c>
      <c r="DC172" s="1758">
        <v>1000</v>
      </c>
      <c r="DD172" s="1758">
        <f t="shared" si="325"/>
        <v>1000</v>
      </c>
      <c r="DE172" s="1758">
        <f t="shared" si="325"/>
        <v>1000</v>
      </c>
      <c r="DF172" s="1797">
        <f t="shared" si="325"/>
        <v>1000</v>
      </c>
      <c r="DG172" s="1471"/>
      <c r="DH172" s="1471"/>
    </row>
    <row r="173" spans="1:113" s="554" customFormat="1" ht="11.25" customHeight="1">
      <c r="A173" s="547"/>
      <c r="B173"/>
      <c r="C173"/>
      <c r="D173"/>
      <c r="E173"/>
      <c r="F173"/>
      <c r="G173"/>
      <c r="H173" s="1044"/>
      <c r="I173" s="9" t="s">
        <v>47</v>
      </c>
      <c r="J173" s="21"/>
      <c r="K173" s="21"/>
      <c r="L173" s="547"/>
      <c r="M173" s="551"/>
      <c r="N173" s="551"/>
      <c r="O173" s="551"/>
      <c r="P173" s="552"/>
      <c r="Q173" s="551"/>
      <c r="R173" s="551"/>
      <c r="S173" s="551"/>
      <c r="T173" s="552"/>
      <c r="U173" s="577"/>
      <c r="V173" s="577"/>
      <c r="W173" s="577"/>
      <c r="X173" s="578"/>
      <c r="Y173" s="577"/>
      <c r="Z173" s="577"/>
      <c r="AA173" s="577"/>
      <c r="AB173" s="578"/>
      <c r="AC173" s="577"/>
      <c r="AD173" s="577"/>
      <c r="AE173" s="577"/>
      <c r="AF173" s="578"/>
      <c r="AG173" s="394"/>
      <c r="AH173" s="577"/>
      <c r="AI173" s="577"/>
      <c r="AJ173" s="578"/>
      <c r="AK173" s="577"/>
      <c r="AL173" s="577"/>
      <c r="AM173" s="577"/>
      <c r="AN173" s="578"/>
      <c r="AO173" s="1336">
        <v>2.6612E-2</v>
      </c>
      <c r="AP173" s="1343">
        <f>0.027557-AO173</f>
        <v>9.4500000000000139E-4</v>
      </c>
      <c r="AQ173" s="1343">
        <f>0.036439-AP173-AO173</f>
        <v>8.8819999999999975E-3</v>
      </c>
      <c r="AR173" s="1337"/>
      <c r="AS173" s="1336">
        <v>0.155528</v>
      </c>
      <c r="AT173" s="1336">
        <f>0.156763-AS173</f>
        <v>1.2350000000000139E-3</v>
      </c>
      <c r="AU173" s="1336">
        <f>0.163557-AT173-AS173</f>
        <v>6.7939999999999945E-3</v>
      </c>
      <c r="AV173" s="1337">
        <v>1.6514000000000001E-2</v>
      </c>
      <c r="AW173" s="1343">
        <f>0.42895+0.081249</f>
        <v>0.51019899999999996</v>
      </c>
      <c r="AX173" s="1343">
        <v>3.2487000000000002E-2</v>
      </c>
      <c r="AY173" s="1336">
        <f>0.42895+0.032487+0.084002-AX173-AW173</f>
        <v>2.7530000000000054E-3</v>
      </c>
      <c r="AZ173" s="1337">
        <f>0.00884+0.00173</f>
        <v>1.0570000000000001E-2</v>
      </c>
      <c r="BA173" s="1343">
        <v>0.34690399999999999</v>
      </c>
      <c r="BB173" s="1343">
        <f>0.349667-BA173</f>
        <v>2.7630000000000154E-3</v>
      </c>
      <c r="BC173" s="1336">
        <f>0.356979-BB173-BA173</f>
        <v>7.3119999999999852E-3</v>
      </c>
      <c r="BD173" s="1337">
        <f>+CR173-BC173-BB173-BA173</f>
        <v>1.5379999999999838E-3</v>
      </c>
      <c r="BE173" s="1336">
        <v>0.40063100000000001</v>
      </c>
      <c r="BF173" s="1336">
        <v>1.4530000000000001E-3</v>
      </c>
      <c r="BG173" s="1336">
        <v>4.0499999999999998E-4</v>
      </c>
      <c r="BH173" s="1337">
        <v>2.653E-3</v>
      </c>
      <c r="BI173" s="1336">
        <v>0.110679</v>
      </c>
      <c r="BJ173" s="1336">
        <v>0.43191000000000002</v>
      </c>
      <c r="BK173" s="1336">
        <v>0.48436099999999999</v>
      </c>
      <c r="BL173" s="1337">
        <v>4.5100000000000001E-4</v>
      </c>
      <c r="BM173" s="1515">
        <v>7.2276999999999994E-2</v>
      </c>
      <c r="BN173" s="1336">
        <f>0.072832-BM173</f>
        <v>5.5499999999999994E-4</v>
      </c>
      <c r="BO173" s="1336">
        <v>0.114645</v>
      </c>
      <c r="BP173" s="1337">
        <v>0.44311699999999998</v>
      </c>
      <c r="BQ173" s="1336">
        <f>0.198335+0.053062</f>
        <v>0.25139699999999998</v>
      </c>
      <c r="BR173" s="1336">
        <f>0.91789+0.057332-0.155129-BQ173</f>
        <v>0.56869600000000009</v>
      </c>
      <c r="BS173" s="1336">
        <f>1.897446+0.062463-0.057241-BR173-BQ173</f>
        <v>1.0825749999999998</v>
      </c>
      <c r="BT173" s="1337">
        <f>2.468259+0.065849-BS173-BR173-BQ173</f>
        <v>0.63144000000000033</v>
      </c>
      <c r="BU173" s="1515">
        <v>0.20200000000000001</v>
      </c>
      <c r="BV173" s="1336">
        <v>0.23599999999999999</v>
      </c>
      <c r="BW173" s="1336">
        <f>0.459694+0.122134-BV173-BU173</f>
        <v>0.14382800000000001</v>
      </c>
      <c r="BX173" s="1337">
        <f>0.635877+0.127107-BW173-BV173-BU173</f>
        <v>0.18115600000000004</v>
      </c>
      <c r="BY173" s="1515">
        <f>0.080027+0.044888</f>
        <v>0.124915</v>
      </c>
      <c r="BZ173" s="1336">
        <f>0.261552-BY173</f>
        <v>0.13663700000000001</v>
      </c>
      <c r="CA173" s="1336">
        <f>0.632006-BZ173-BY173</f>
        <v>0.37045399999999995</v>
      </c>
      <c r="CB173" s="1337">
        <f>1.02589-CA173-BZ173-BY173</f>
        <v>0.39388400000000001</v>
      </c>
      <c r="CC173" s="1336">
        <f t="shared" ref="CC173:CF173" si="326">+CC172/CC174</f>
        <v>0.32051282051282054</v>
      </c>
      <c r="CD173" s="1336">
        <f t="shared" si="326"/>
        <v>0.30525030525030528</v>
      </c>
      <c r="CE173" s="1336">
        <f t="shared" si="326"/>
        <v>0.29071457642886217</v>
      </c>
      <c r="CF173" s="1337">
        <f t="shared" si="326"/>
        <v>0.2768710251703449</v>
      </c>
      <c r="CG173" s="552"/>
      <c r="CH173" s="553"/>
      <c r="CI173" s="551"/>
      <c r="CJ173" s="577"/>
      <c r="CK173" s="577"/>
      <c r="CL173" s="577"/>
      <c r="CM173" s="394"/>
      <c r="CN173" s="394"/>
      <c r="CO173" s="394"/>
      <c r="CP173" s="394"/>
      <c r="CQ173" s="396">
        <f>SUM(AW173:AZ173)</f>
        <v>0.55600899999999998</v>
      </c>
      <c r="CR173" s="394">
        <v>0.35851699999999997</v>
      </c>
      <c r="CS173" s="594">
        <f>SUM(BE173:BH173)</f>
        <v>0.405142</v>
      </c>
      <c r="CT173" s="396">
        <f>+SUM(BI173:BL173)</f>
        <v>1.027401</v>
      </c>
      <c r="CU173" s="594">
        <f>SUM(BM173:BP173)</f>
        <v>0.63059399999999999</v>
      </c>
      <c r="CV173" s="594">
        <f>SUM(BQ173:BT173)</f>
        <v>2.5341080000000002</v>
      </c>
      <c r="CW173" s="594">
        <f>SUM(BU173:BX173)</f>
        <v>0.76298400000000011</v>
      </c>
      <c r="CX173" s="594">
        <f>SUM(BY173:CB173)</f>
        <v>1.02589</v>
      </c>
      <c r="CY173" s="594">
        <f>SUM(CC173:CF173)</f>
        <v>1.1933487273623329</v>
      </c>
      <c r="CZ173" s="1336">
        <f t="shared" ref="CZ173:DF173" si="327">+CZ172/CZ174</f>
        <v>1.1585909974391582</v>
      </c>
      <c r="DA173" s="1336">
        <f t="shared" si="327"/>
        <v>1.1248456285817068</v>
      </c>
      <c r="DB173" s="1336">
        <f t="shared" si="327"/>
        <v>1.0920831345453466</v>
      </c>
      <c r="DC173" s="1336">
        <f t="shared" si="327"/>
        <v>0.42410995516324135</v>
      </c>
      <c r="DD173" s="1336">
        <f t="shared" si="327"/>
        <v>0.41175723802256442</v>
      </c>
      <c r="DE173" s="1336">
        <f t="shared" si="327"/>
        <v>0.39976430875977131</v>
      </c>
      <c r="DF173" s="1337">
        <f t="shared" si="327"/>
        <v>0.38812068811628281</v>
      </c>
      <c r="DG173" s="612"/>
      <c r="DH173" s="612"/>
    </row>
    <row r="174" spans="1:113" s="702" customFormat="1" ht="11.25" customHeight="1">
      <c r="A174" s="690"/>
      <c r="B174"/>
      <c r="C174"/>
      <c r="D174"/>
      <c r="E174"/>
      <c r="F174"/>
      <c r="G174"/>
      <c r="H174" s="1044"/>
      <c r="I174" s="691" t="s">
        <v>48</v>
      </c>
      <c r="J174" s="692"/>
      <c r="K174" s="692"/>
      <c r="L174" s="690"/>
      <c r="M174" s="693"/>
      <c r="N174" s="693"/>
      <c r="O174" s="693"/>
      <c r="P174" s="694"/>
      <c r="Q174" s="693"/>
      <c r="R174" s="693"/>
      <c r="S174" s="693"/>
      <c r="T174" s="694"/>
      <c r="U174" s="695"/>
      <c r="V174" s="695"/>
      <c r="W174" s="695"/>
      <c r="X174" s="696"/>
      <c r="Y174" s="695"/>
      <c r="Z174" s="695"/>
      <c r="AA174" s="695"/>
      <c r="AB174" s="696"/>
      <c r="AC174" s="695"/>
      <c r="AD174" s="695"/>
      <c r="AE174" s="695"/>
      <c r="AF174" s="696"/>
      <c r="AG174" s="695"/>
      <c r="AH174" s="695"/>
      <c r="AI174" s="695"/>
      <c r="AJ174" s="696"/>
      <c r="AK174" s="695"/>
      <c r="AL174" s="695"/>
      <c r="AM174" s="695"/>
      <c r="AN174" s="696"/>
      <c r="AO174" s="424">
        <f>+AO172/AO173</f>
        <v>122.98962873891477</v>
      </c>
      <c r="AP174" s="424">
        <f>+AP172/AP173</f>
        <v>150.26455026454994</v>
      </c>
      <c r="AQ174" s="424">
        <f>+AQ172/AQ173</f>
        <v>103.69286196802533</v>
      </c>
      <c r="AR174" s="697"/>
      <c r="AS174" s="424">
        <f>+AS172/AS173</f>
        <v>84.274214289388397</v>
      </c>
      <c r="AT174" s="424">
        <f>+AT172/AT173</f>
        <v>106.07287449392612</v>
      </c>
      <c r="AU174" s="424">
        <f>+AU172/AU173</f>
        <v>137.03267589049187</v>
      </c>
      <c r="AV174" s="697">
        <v>196.58</v>
      </c>
      <c r="AW174" s="698">
        <f t="shared" ref="AW174:BN174" si="328">+AW172/AW173</f>
        <v>233.10904176605601</v>
      </c>
      <c r="AX174" s="698">
        <f t="shared" si="328"/>
        <v>199.80299812232582</v>
      </c>
      <c r="AY174" s="424">
        <f t="shared" si="328"/>
        <v>83.545223392663829</v>
      </c>
      <c r="AZ174" s="425">
        <f t="shared" si="328"/>
        <v>358.75118259223962</v>
      </c>
      <c r="BA174" s="698">
        <f t="shared" si="328"/>
        <v>453.33002790397347</v>
      </c>
      <c r="BB174" s="698">
        <f t="shared" si="328"/>
        <v>517.19145855953457</v>
      </c>
      <c r="BC174" s="698">
        <f t="shared" si="328"/>
        <v>503.00875273523042</v>
      </c>
      <c r="BD174" s="425">
        <f t="shared" si="328"/>
        <v>521.45643693107991</v>
      </c>
      <c r="BE174" s="698">
        <f t="shared" si="328"/>
        <v>634.56147926645713</v>
      </c>
      <c r="BF174" s="698">
        <f t="shared" si="328"/>
        <v>649.0020646937453</v>
      </c>
      <c r="BG174" s="698">
        <f t="shared" si="328"/>
        <v>565.43209876539504</v>
      </c>
      <c r="BH174" s="425">
        <f t="shared" si="328"/>
        <v>612.13720316623585</v>
      </c>
      <c r="BI174" s="698">
        <f t="shared" si="328"/>
        <v>690.10381373160214</v>
      </c>
      <c r="BJ174" s="698">
        <f t="shared" si="328"/>
        <v>803.18816420087524</v>
      </c>
      <c r="BK174" s="698">
        <f t="shared" si="328"/>
        <v>949.13298139197843</v>
      </c>
      <c r="BL174" s="699">
        <f t="shared" si="328"/>
        <v>1124.1685144121759</v>
      </c>
      <c r="BM174" s="1720">
        <f>+BM172/BM173</f>
        <v>1337.3548985154337</v>
      </c>
      <c r="BN174" s="424">
        <f t="shared" si="328"/>
        <v>1199.9999999999943</v>
      </c>
      <c r="BO174" s="424">
        <f t="shared" ref="BO174:CB174" si="329">+BO172/BO173</f>
        <v>1292.0755375288936</v>
      </c>
      <c r="BP174" s="699">
        <f t="shared" si="329"/>
        <v>1139.4778354249559</v>
      </c>
      <c r="BQ174" s="424">
        <f t="shared" si="329"/>
        <v>1227.6121035652773</v>
      </c>
      <c r="BR174" s="424">
        <f t="shared" si="329"/>
        <v>1192.1360445651101</v>
      </c>
      <c r="BS174" s="424">
        <f t="shared" si="329"/>
        <v>1183.1078678151632</v>
      </c>
      <c r="BT174" s="699">
        <f t="shared" si="329"/>
        <v>1301.2653617129092</v>
      </c>
      <c r="BU174" s="424">
        <f t="shared" si="329"/>
        <v>1283.9653465346532</v>
      </c>
      <c r="BV174" s="424">
        <f t="shared" si="329"/>
        <v>1126.199152542373</v>
      </c>
      <c r="BW174" s="424">
        <f>199/BW173</f>
        <v>1383.5970742831714</v>
      </c>
      <c r="BX174" s="699">
        <f t="shared" si="329"/>
        <v>1413.4171653160809</v>
      </c>
      <c r="BY174" s="424">
        <f t="shared" si="329"/>
        <v>1679.5180722891566</v>
      </c>
      <c r="BZ174" s="424">
        <f t="shared" si="329"/>
        <v>2528.2536940945715</v>
      </c>
      <c r="CA174" s="424">
        <f t="shared" si="329"/>
        <v>1532.854281503237</v>
      </c>
      <c r="CB174" s="699">
        <f t="shared" si="329"/>
        <v>1789.4024636695067</v>
      </c>
      <c r="CC174" s="700">
        <v>1950</v>
      </c>
      <c r="CD174" s="700">
        <f>+CC174*1.05</f>
        <v>2047.5</v>
      </c>
      <c r="CE174" s="700">
        <f t="shared" ref="CE174:CF174" si="330">+CD174*1.05</f>
        <v>2149.875</v>
      </c>
      <c r="CF174" s="697">
        <f t="shared" si="330"/>
        <v>2257.3687500000001</v>
      </c>
      <c r="CG174" s="694"/>
      <c r="CH174" s="701"/>
      <c r="CI174" s="693"/>
      <c r="CJ174" s="695"/>
      <c r="CK174" s="695"/>
      <c r="CL174" s="695"/>
      <c r="CM174" s="700"/>
      <c r="CN174" s="700"/>
      <c r="CO174" s="700"/>
      <c r="CP174" s="700"/>
      <c r="CQ174" s="424">
        <f t="shared" ref="CQ174:CX174" si="331">+CQ172/CQ173</f>
        <v>232.8109796783865</v>
      </c>
      <c r="CR174" s="424">
        <f t="shared" si="331"/>
        <v>455.12765085058732</v>
      </c>
      <c r="CS174" s="698">
        <f t="shared" si="331"/>
        <v>634.3973224202872</v>
      </c>
      <c r="CT174" s="698">
        <f t="shared" si="331"/>
        <v>859.9514697766499</v>
      </c>
      <c r="CU174" s="698">
        <f>+CU172/CU173</f>
        <v>1189.9542336273421</v>
      </c>
      <c r="CV174" s="698">
        <f t="shared" si="331"/>
        <v>1218.9910611544574</v>
      </c>
      <c r="CW174" s="698">
        <f t="shared" si="331"/>
        <v>1328.3712371425872</v>
      </c>
      <c r="CX174" s="698">
        <f t="shared" si="331"/>
        <v>1781.7884958426343</v>
      </c>
      <c r="CY174" s="698">
        <f>+CY172/CY173</f>
        <v>2094.9450421971519</v>
      </c>
      <c r="CZ174" s="1759">
        <f>+CY174*1.03</f>
        <v>2157.7933934630664</v>
      </c>
      <c r="DA174" s="1759">
        <f t="shared" ref="DA174:DF174" si="332">+CZ174*1.03</f>
        <v>2222.5271952669586</v>
      </c>
      <c r="DB174" s="1759">
        <f t="shared" si="332"/>
        <v>2289.2030111249674</v>
      </c>
      <c r="DC174" s="1759">
        <f t="shared" si="332"/>
        <v>2357.8791014587164</v>
      </c>
      <c r="DD174" s="1759">
        <f t="shared" si="332"/>
        <v>2428.6154745024778</v>
      </c>
      <c r="DE174" s="1759">
        <f t="shared" si="332"/>
        <v>2501.4739387375521</v>
      </c>
      <c r="DF174" s="1798">
        <f t="shared" si="332"/>
        <v>2576.5181568996786</v>
      </c>
      <c r="DG174" s="1472"/>
      <c r="DH174" s="1472"/>
    </row>
    <row r="175" spans="1:113" s="68" customFormat="1" ht="11.25" customHeight="1">
      <c r="A175" s="24"/>
      <c r="B175"/>
      <c r="C175"/>
      <c r="D175"/>
      <c r="E175"/>
      <c r="F175"/>
      <c r="G175"/>
      <c r="H175" s="1044"/>
      <c r="I175" s="664"/>
      <c r="J175" s="665"/>
      <c r="K175" s="665"/>
      <c r="L175" s="665"/>
      <c r="M175" s="666"/>
      <c r="N175" s="666"/>
      <c r="O175" s="666"/>
      <c r="P175" s="667"/>
      <c r="Q175" s="666"/>
      <c r="R175" s="666"/>
      <c r="S175" s="666"/>
      <c r="T175" s="667"/>
      <c r="U175" s="668"/>
      <c r="V175" s="668"/>
      <c r="W175" s="668"/>
      <c r="X175" s="669"/>
      <c r="Y175" s="668"/>
      <c r="Z175" s="668"/>
      <c r="AA175" s="668"/>
      <c r="AB175" s="669"/>
      <c r="AC175" s="668"/>
      <c r="AD175" s="668"/>
      <c r="AE175" s="668"/>
      <c r="AF175" s="669"/>
      <c r="AG175" s="668"/>
      <c r="AH175" s="668"/>
      <c r="AI175" s="668"/>
      <c r="AJ175" s="669"/>
      <c r="AK175" s="668"/>
      <c r="AL175" s="668"/>
      <c r="AM175" s="668"/>
      <c r="AN175" s="669"/>
      <c r="AO175" s="668"/>
      <c r="AP175" s="668"/>
      <c r="AQ175" s="668"/>
      <c r="AR175" s="669"/>
      <c r="AS175" s="668"/>
      <c r="AT175" s="668"/>
      <c r="AU175" s="668"/>
      <c r="AV175" s="669"/>
      <c r="AW175" s="668"/>
      <c r="AX175" s="668"/>
      <c r="AY175" s="668"/>
      <c r="AZ175" s="669"/>
      <c r="BA175" s="670"/>
      <c r="BB175" s="670"/>
      <c r="BC175" s="670"/>
      <c r="BD175" s="671"/>
      <c r="BE175" s="666"/>
      <c r="BF175" s="666"/>
      <c r="BG175" s="666"/>
      <c r="BH175" s="672"/>
      <c r="BI175" s="673"/>
      <c r="BJ175" s="673"/>
      <c r="BK175" s="673"/>
      <c r="BL175" s="674"/>
      <c r="BM175" s="1461"/>
      <c r="BN175" s="673"/>
      <c r="BO175" s="673"/>
      <c r="BP175" s="663"/>
      <c r="BQ175" s="662"/>
      <c r="BR175" s="662"/>
      <c r="BS175" s="662"/>
      <c r="BT175" s="663"/>
      <c r="BU175" s="662"/>
      <c r="BV175" s="662"/>
      <c r="BW175" s="662"/>
      <c r="BX175" s="663"/>
      <c r="BY175" s="662"/>
      <c r="BZ175" s="662"/>
      <c r="CA175" s="662"/>
      <c r="CB175" s="663"/>
      <c r="CC175" s="662"/>
      <c r="CD175" s="662"/>
      <c r="CE175" s="662"/>
      <c r="CF175" s="663"/>
      <c r="CG175" s="405"/>
      <c r="CH175" s="675"/>
      <c r="CI175" s="666"/>
      <c r="CJ175" s="668"/>
      <c r="CK175" s="668"/>
      <c r="CL175" s="668"/>
      <c r="CM175" s="668"/>
      <c r="CN175" s="668"/>
      <c r="CO175" s="668"/>
      <c r="CP175" s="668"/>
      <c r="CQ175" s="662"/>
      <c r="CR175" s="662"/>
      <c r="CS175" s="662"/>
      <c r="CT175" s="668"/>
      <c r="CU175" s="662"/>
      <c r="CV175" s="676"/>
      <c r="CW175" s="662"/>
      <c r="CX175" s="662"/>
      <c r="CY175" s="662"/>
      <c r="CZ175" s="662"/>
      <c r="DA175" s="662"/>
      <c r="DB175" s="662"/>
      <c r="DC175" s="662"/>
      <c r="DD175" s="662"/>
      <c r="DE175" s="662"/>
      <c r="DF175" s="663"/>
      <c r="DG175" s="1180"/>
      <c r="DH175" s="1180"/>
    </row>
    <row r="176" spans="1:113" ht="11.25" customHeight="1">
      <c r="M176" s="315"/>
      <c r="N176" s="315"/>
      <c r="O176" s="315"/>
      <c r="P176" s="315"/>
      <c r="Q176" s="315"/>
      <c r="R176" s="315"/>
      <c r="S176" s="315"/>
      <c r="T176" s="315"/>
      <c r="U176" s="326"/>
      <c r="V176" s="326"/>
      <c r="W176" s="326"/>
      <c r="X176" s="326"/>
      <c r="Y176" s="326"/>
      <c r="Z176" s="326"/>
      <c r="AA176" s="326"/>
      <c r="AB176" s="326"/>
      <c r="AC176" s="326"/>
      <c r="AD176" s="326"/>
      <c r="AE176" s="326"/>
      <c r="AF176" s="326"/>
      <c r="AG176" s="326"/>
      <c r="AH176" s="326"/>
      <c r="AI176" s="326"/>
      <c r="AJ176" s="326"/>
      <c r="AK176" s="326"/>
      <c r="AL176" s="326"/>
      <c r="AM176" s="326"/>
      <c r="AN176" s="326"/>
      <c r="AO176" s="326"/>
      <c r="AP176" s="326"/>
      <c r="AQ176" s="326"/>
      <c r="AR176" s="326"/>
      <c r="AS176" s="326"/>
      <c r="AT176" s="326"/>
      <c r="AU176" s="326"/>
      <c r="AV176" s="326"/>
      <c r="AW176" s="358"/>
      <c r="AX176" s="358"/>
      <c r="AY176" s="326"/>
      <c r="AZ176" s="326"/>
      <c r="BA176" s="315"/>
      <c r="BB176" s="373"/>
      <c r="BC176" s="373"/>
      <c r="BD176" s="326"/>
      <c r="BE176" s="326"/>
      <c r="BF176" s="326"/>
      <c r="BG176" s="326"/>
      <c r="BH176" s="326"/>
      <c r="BI176" s="321"/>
      <c r="BJ176" s="321"/>
      <c r="BK176" s="427"/>
      <c r="BL176" s="427"/>
      <c r="BM176" s="427"/>
      <c r="BN176" s="427"/>
      <c r="BO176" s="427"/>
      <c r="BP176" s="326"/>
      <c r="BQ176" s="326"/>
      <c r="BR176" s="326"/>
      <c r="BS176" s="326"/>
      <c r="BT176" s="326"/>
      <c r="BU176" s="326"/>
      <c r="BV176" s="326"/>
      <c r="BW176" s="326"/>
      <c r="BX176" s="326"/>
      <c r="BY176" s="386"/>
      <c r="BZ176" s="326"/>
      <c r="CA176" s="326"/>
      <c r="CB176" s="326"/>
      <c r="CC176" s="326"/>
      <c r="CD176" s="326"/>
      <c r="CE176" s="326"/>
      <c r="CF176" s="326"/>
      <c r="CG176" s="315"/>
      <c r="CH176" s="315"/>
      <c r="CI176" s="315"/>
      <c r="CJ176" s="326"/>
      <c r="CK176" s="326"/>
      <c r="CL176" s="326"/>
      <c r="CM176" s="326"/>
      <c r="CN176" s="326"/>
      <c r="CO176" s="326"/>
      <c r="CP176" s="358"/>
      <c r="CQ176" s="326"/>
      <c r="CR176" s="326"/>
      <c r="CS176" s="321"/>
      <c r="CT176" s="321"/>
      <c r="CU176" s="321"/>
      <c r="CV176" s="321"/>
      <c r="CW176" s="321"/>
      <c r="CX176" s="321"/>
      <c r="CY176" s="321"/>
      <c r="CZ176" s="326"/>
      <c r="DA176" s="326"/>
      <c r="DB176" s="326"/>
      <c r="DC176" s="326"/>
      <c r="DD176" s="326"/>
      <c r="DE176" s="326"/>
      <c r="DF176" s="326"/>
    </row>
    <row r="177" spans="1:113" customFormat="1" ht="11.25" customHeight="1">
      <c r="A177" s="10"/>
      <c r="H177" s="1054"/>
      <c r="I177" s="659" t="s">
        <v>159</v>
      </c>
      <c r="J177" s="660"/>
      <c r="K177" s="660"/>
      <c r="L177" s="660"/>
      <c r="M177" s="660"/>
      <c r="N177" s="660"/>
      <c r="O177" s="660"/>
      <c r="P177" s="660"/>
      <c r="Q177" s="660"/>
      <c r="R177" s="660"/>
      <c r="S177" s="660"/>
      <c r="T177" s="660"/>
      <c r="U177" s="659"/>
      <c r="V177" s="660"/>
      <c r="W177" s="660"/>
      <c r="X177" s="661"/>
      <c r="Y177" s="659"/>
      <c r="Z177" s="660"/>
      <c r="AA177" s="660"/>
      <c r="AB177" s="661"/>
      <c r="AC177" s="659"/>
      <c r="AD177" s="660"/>
      <c r="AE177" s="660"/>
      <c r="AF177" s="661"/>
      <c r="AG177" s="659"/>
      <c r="AH177" s="660"/>
      <c r="AI177" s="660"/>
      <c r="AJ177" s="661"/>
      <c r="AK177" s="659"/>
      <c r="AL177" s="660"/>
      <c r="AM177" s="660"/>
      <c r="AN177" s="661"/>
      <c r="AO177" s="659"/>
      <c r="AP177" s="660"/>
      <c r="AQ177" s="660"/>
      <c r="AR177" s="661"/>
      <c r="AS177" s="659"/>
      <c r="AT177" s="660"/>
      <c r="AU177" s="660"/>
      <c r="AV177" s="661"/>
      <c r="AW177" s="659"/>
      <c r="AX177" s="660"/>
      <c r="AY177" s="660"/>
      <c r="AZ177" s="661"/>
      <c r="BA177" s="659"/>
      <c r="BB177" s="660"/>
      <c r="BC177" s="660"/>
      <c r="BD177" s="661"/>
      <c r="BE177" s="659"/>
      <c r="BF177" s="660"/>
      <c r="BG177" s="660"/>
      <c r="BH177" s="661"/>
      <c r="BI177" s="659"/>
      <c r="BJ177" s="660"/>
      <c r="BK177" s="660"/>
      <c r="BL177" s="661"/>
      <c r="BM177" s="659"/>
      <c r="BN177" s="660"/>
      <c r="BO177" s="660"/>
      <c r="BP177" s="661"/>
      <c r="BQ177" s="659"/>
      <c r="BR177" s="660"/>
      <c r="BS177" s="660"/>
      <c r="BT177" s="661"/>
      <c r="BU177" s="659"/>
      <c r="BV177" s="660"/>
      <c r="BW177" s="660"/>
      <c r="BX177" s="661"/>
      <c r="BY177" s="659"/>
      <c r="BZ177" s="660"/>
      <c r="CA177" s="660"/>
      <c r="CB177" s="661"/>
      <c r="CC177" s="659"/>
      <c r="CD177" s="660"/>
      <c r="CE177" s="660"/>
      <c r="CF177" s="661"/>
      <c r="CH177" s="661"/>
      <c r="CI177" s="661"/>
      <c r="CJ177" s="661"/>
      <c r="CK177" s="661"/>
      <c r="CL177" s="661"/>
      <c r="CM177" s="661"/>
      <c r="CN177" s="661"/>
      <c r="CO177" s="661"/>
      <c r="CP177" s="661"/>
      <c r="CQ177" s="661"/>
      <c r="CR177" s="661"/>
      <c r="CS177" s="661"/>
      <c r="CT177" s="661"/>
      <c r="CU177" s="661"/>
      <c r="CV177" s="661"/>
      <c r="CW177" s="661"/>
      <c r="CX177" s="661"/>
      <c r="CY177" s="660"/>
      <c r="CZ177" s="660"/>
      <c r="DA177" s="660"/>
      <c r="DB177" s="660"/>
      <c r="DC177" s="660"/>
      <c r="DD177" s="660"/>
      <c r="DE177" s="660"/>
      <c r="DF177" s="661"/>
      <c r="DG177" s="124"/>
      <c r="DH177" s="124"/>
      <c r="DI177" s="1548"/>
    </row>
    <row r="178" spans="1:113" s="3" customFormat="1" ht="11.25" customHeight="1">
      <c r="A178" s="8"/>
      <c r="B178"/>
      <c r="C178"/>
      <c r="D178"/>
      <c r="E178"/>
      <c r="F178"/>
      <c r="G178"/>
      <c r="H178" s="1052"/>
      <c r="I178" s="178" t="s">
        <v>160</v>
      </c>
      <c r="J178" s="8"/>
      <c r="K178" s="8"/>
      <c r="L178" s="8"/>
      <c r="M178" s="361"/>
      <c r="N178" s="361"/>
      <c r="O178" s="361"/>
      <c r="P178" s="362"/>
      <c r="Q178" s="361"/>
      <c r="R178" s="361"/>
      <c r="S178" s="361"/>
      <c r="T178" s="362"/>
      <c r="U178" s="363"/>
      <c r="V178" s="363"/>
      <c r="W178" s="363"/>
      <c r="X178" s="364"/>
      <c r="Y178" s="363"/>
      <c r="Z178" s="363"/>
      <c r="AA178" s="363"/>
      <c r="AB178" s="364"/>
      <c r="AC178" s="363"/>
      <c r="AD178" s="363"/>
      <c r="AE178" s="363"/>
      <c r="AF178" s="364"/>
      <c r="AG178" s="363"/>
      <c r="AH178" s="363"/>
      <c r="AI178" s="363"/>
      <c r="AJ178" s="364"/>
      <c r="AK178" s="363"/>
      <c r="AL178" s="363"/>
      <c r="AM178" s="363"/>
      <c r="AN178" s="364"/>
      <c r="AO178" s="363"/>
      <c r="AP178" s="363"/>
      <c r="AQ178" s="363"/>
      <c r="AR178" s="364"/>
      <c r="AS178" s="363"/>
      <c r="AT178" s="363"/>
      <c r="AU178" s="363"/>
      <c r="AV178" s="364"/>
      <c r="AW178" s="428"/>
      <c r="AX178" s="428"/>
      <c r="AY178" s="428"/>
      <c r="AZ178" s="364"/>
      <c r="BA178" s="363"/>
      <c r="BB178" s="363"/>
      <c r="BC178" s="363"/>
      <c r="BD178" s="364"/>
      <c r="BE178" s="363"/>
      <c r="BF178" s="363"/>
      <c r="BG178" s="363"/>
      <c r="BH178" s="364"/>
      <c r="BI178" s="429"/>
      <c r="BJ178" s="429"/>
      <c r="BK178" s="429"/>
      <c r="BL178" s="430"/>
      <c r="BM178" s="1550"/>
      <c r="BN178" s="1551"/>
      <c r="BO178" s="1551"/>
      <c r="BP178" s="1552"/>
      <c r="BQ178" s="1557"/>
      <c r="BR178" s="1558"/>
      <c r="BS178" s="1558"/>
      <c r="BT178" s="1552"/>
      <c r="BU178" s="1557"/>
      <c r="BV178" s="1558"/>
      <c r="BW178" s="1558"/>
      <c r="BX178" s="1552"/>
      <c r="BY178" s="1557"/>
      <c r="BZ178" s="1558"/>
      <c r="CA178" s="1558"/>
      <c r="CB178" s="1552"/>
      <c r="CC178" s="1557"/>
      <c r="CD178" s="1558"/>
      <c r="CE178" s="1558"/>
      <c r="CF178" s="1552"/>
      <c r="CG178" s="362"/>
      <c r="CH178" s="366"/>
      <c r="CI178" s="361"/>
      <c r="CJ178" s="363"/>
      <c r="CK178" s="363"/>
      <c r="CL178" s="363"/>
      <c r="CM178" s="363"/>
      <c r="CN178" s="363"/>
      <c r="CO178" s="363"/>
      <c r="CP178" s="428"/>
      <c r="CQ178" s="363"/>
      <c r="CR178" s="363"/>
      <c r="CS178" s="429"/>
      <c r="CT178" s="429"/>
      <c r="CU178" s="429"/>
      <c r="CV178" s="429"/>
      <c r="CW178" s="429"/>
      <c r="CX178" s="429"/>
      <c r="CY178" s="429"/>
      <c r="CZ178" s="1558"/>
      <c r="DA178" s="1558"/>
      <c r="DB178" s="1558"/>
      <c r="DC178" s="1558"/>
      <c r="DD178" s="1558"/>
      <c r="DE178" s="1558"/>
      <c r="DF178" s="1552"/>
      <c r="DG178" s="1470"/>
      <c r="DH178" s="1470"/>
    </row>
    <row r="179" spans="1:113" s="554" customFormat="1" ht="11.25" customHeight="1">
      <c r="A179" s="547"/>
      <c r="B179"/>
      <c r="C179"/>
      <c r="D179"/>
      <c r="E179"/>
      <c r="F179"/>
      <c r="G179"/>
      <c r="H179" s="1044"/>
      <c r="I179" s="9" t="s">
        <v>516</v>
      </c>
      <c r="J179" s="21"/>
      <c r="K179" s="21"/>
      <c r="L179" s="547"/>
      <c r="M179" s="551"/>
      <c r="N179" s="551"/>
      <c r="O179" s="551"/>
      <c r="P179" s="552"/>
      <c r="Q179" s="551"/>
      <c r="R179" s="551"/>
      <c r="S179" s="551"/>
      <c r="T179" s="552"/>
      <c r="U179" s="394"/>
      <c r="V179" s="394"/>
      <c r="W179" s="394"/>
      <c r="X179" s="395"/>
      <c r="Y179" s="394"/>
      <c r="Z179" s="394"/>
      <c r="AA179" s="394"/>
      <c r="AB179" s="395"/>
      <c r="AC179" s="394"/>
      <c r="AD179" s="394"/>
      <c r="AE179" s="394"/>
      <c r="AF179" s="395"/>
      <c r="AG179" s="396">
        <f t="shared" ref="AG179:BN179" si="333">+AG182-AG180-AG181</f>
        <v>210.43799999999999</v>
      </c>
      <c r="AH179" s="396">
        <f t="shared" si="333"/>
        <v>250.52399999999997</v>
      </c>
      <c r="AI179" s="396">
        <f t="shared" si="333"/>
        <v>236.95800000000003</v>
      </c>
      <c r="AJ179" s="397">
        <f t="shared" si="333"/>
        <v>204.64899999999994</v>
      </c>
      <c r="AK179" s="396">
        <f t="shared" si="333"/>
        <v>230.13300000000004</v>
      </c>
      <c r="AL179" s="396">
        <f t="shared" si="333"/>
        <v>252.59099999999992</v>
      </c>
      <c r="AM179" s="396">
        <f t="shared" si="333"/>
        <v>275.21100000000001</v>
      </c>
      <c r="AN179" s="397">
        <f t="shared" si="333"/>
        <v>225.19300000000001</v>
      </c>
      <c r="AO179" s="396">
        <f t="shared" si="333"/>
        <v>285.62799999999999</v>
      </c>
      <c r="AP179" s="396">
        <f t="shared" si="333"/>
        <v>332.721</v>
      </c>
      <c r="AQ179" s="396">
        <f t="shared" si="333"/>
        <v>319.25900000000001</v>
      </c>
      <c r="AR179" s="397">
        <f t="shared" si="333"/>
        <v>263.34250000000003</v>
      </c>
      <c r="AS179" s="396">
        <f t="shared" si="333"/>
        <v>327.95155</v>
      </c>
      <c r="AT179" s="396">
        <f t="shared" si="333"/>
        <v>383.57584999999989</v>
      </c>
      <c r="AU179" s="396">
        <f t="shared" si="333"/>
        <v>388.1388</v>
      </c>
      <c r="AV179" s="397">
        <f t="shared" si="333"/>
        <v>304.64449999999999</v>
      </c>
      <c r="AW179" s="396">
        <f t="shared" si="333"/>
        <v>344.66473599999989</v>
      </c>
      <c r="AX179" s="396">
        <f t="shared" si="333"/>
        <v>416.80439499999994</v>
      </c>
      <c r="AY179" s="396">
        <f t="shared" si="333"/>
        <v>451.61672000000004</v>
      </c>
      <c r="AZ179" s="397">
        <f t="shared" si="333"/>
        <v>343.01187500000003</v>
      </c>
      <c r="BA179" s="396">
        <f t="shared" si="333"/>
        <v>394.64341920000004</v>
      </c>
      <c r="BB179" s="396">
        <f t="shared" si="333"/>
        <v>457.8099269538726</v>
      </c>
      <c r="BC179" s="396">
        <f t="shared" si="333"/>
        <v>488.27144000000004</v>
      </c>
      <c r="BD179" s="397">
        <f>+BD182-BD180-BD181</f>
        <v>366.62475000000001</v>
      </c>
      <c r="BE179" s="396">
        <f t="shared" si="333"/>
        <v>394.1360126400001</v>
      </c>
      <c r="BF179" s="396">
        <f t="shared" si="333"/>
        <v>428.99440885119594</v>
      </c>
      <c r="BG179" s="396">
        <f>+BG182-BG180-BG181</f>
        <v>444.25461920000015</v>
      </c>
      <c r="BH179" s="397">
        <f t="shared" si="333"/>
        <v>347.2392000000001</v>
      </c>
      <c r="BI179" s="396">
        <f t="shared" si="333"/>
        <v>381.97089820159999</v>
      </c>
      <c r="BJ179" s="396">
        <f t="shared" si="333"/>
        <v>430.83086612417424</v>
      </c>
      <c r="BK179" s="396">
        <f>+BK182-BK180-BK181</f>
        <v>444.29203545599989</v>
      </c>
      <c r="BL179" s="397">
        <f t="shared" si="333"/>
        <v>369.14242000000002</v>
      </c>
      <c r="BM179" s="1326">
        <f t="shared" si="333"/>
        <v>406.85496766208018</v>
      </c>
      <c r="BN179" s="396">
        <f t="shared" si="333"/>
        <v>412.58367994775909</v>
      </c>
      <c r="BO179" s="396">
        <f t="shared" ref="BO179:BT179" si="334">+BO182-BO180-BO181</f>
        <v>493.55692947989695</v>
      </c>
      <c r="BP179" s="397">
        <f t="shared" si="334"/>
        <v>385.36359438709678</v>
      </c>
      <c r="BQ179" s="1326">
        <f t="shared" si="334"/>
        <v>407.3395031299799</v>
      </c>
      <c r="BR179" s="396">
        <f t="shared" si="334"/>
        <v>411.54668071150439</v>
      </c>
      <c r="BS179" s="396">
        <f t="shared" si="334"/>
        <v>490.04990767706863</v>
      </c>
      <c r="BT179" s="397">
        <f t="shared" si="334"/>
        <v>350.67657479354853</v>
      </c>
      <c r="BU179" s="1326">
        <f t="shared" ref="BU179:CB179" si="335">+BU182-BU180-BU181</f>
        <v>341.5432781999225</v>
      </c>
      <c r="BV179" s="396">
        <f t="shared" si="335"/>
        <v>338.80938869244039</v>
      </c>
      <c r="BW179" s="396">
        <f t="shared" si="335"/>
        <v>471.45968512600251</v>
      </c>
      <c r="BX179" s="397">
        <f t="shared" si="335"/>
        <v>300.79941715509688</v>
      </c>
      <c r="BY179" s="1326">
        <f t="shared" si="335"/>
        <v>261.13598257570965</v>
      </c>
      <c r="BZ179" s="396">
        <f t="shared" si="335"/>
        <v>256.00176404760856</v>
      </c>
      <c r="CA179" s="396">
        <f t="shared" si="335"/>
        <v>485.15314992208289</v>
      </c>
      <c r="CB179" s="397">
        <f t="shared" si="335"/>
        <v>316.5051785664516</v>
      </c>
      <c r="CC179" s="1326">
        <f t="shared" ref="CC179:CF179" si="336">+CC213/CC193</f>
        <v>224.86147644756554</v>
      </c>
      <c r="CD179" s="396">
        <f t="shared" si="336"/>
        <v>222.50353627750243</v>
      </c>
      <c r="CE179" s="396">
        <f t="shared" si="336"/>
        <v>507.47500533537163</v>
      </c>
      <c r="CF179" s="397">
        <f t="shared" si="336"/>
        <v>333.42566681984965</v>
      </c>
      <c r="CG179" s="552"/>
      <c r="CH179" s="553"/>
      <c r="CI179" s="551"/>
      <c r="CJ179" s="394"/>
      <c r="CK179" s="394"/>
      <c r="CL179" s="394"/>
      <c r="CM179" s="396">
        <f>+CM182-CM180-CM181</f>
        <v>902.56900000000019</v>
      </c>
      <c r="CN179" s="396">
        <f>+CN182-CN180-CN181</f>
        <v>979.1279999999997</v>
      </c>
      <c r="CO179" s="396">
        <f>+CO182-CO180-CO181</f>
        <v>1200.9505000000001</v>
      </c>
      <c r="CP179" s="396">
        <f>+CP182-CP180-CP181</f>
        <v>1404.3107</v>
      </c>
      <c r="CQ179" s="396">
        <f>+SUM(AW179:AZ179)</f>
        <v>1556.097726</v>
      </c>
      <c r="CR179" s="396">
        <f>+SUM(BA179:BD179)</f>
        <v>1707.3495361538726</v>
      </c>
      <c r="CS179" s="396">
        <f>+SUM(BE179:BH179)</f>
        <v>1614.6242406911965</v>
      </c>
      <c r="CT179" s="396">
        <f>+SUM(BI179:BL179)</f>
        <v>1626.2362197817743</v>
      </c>
      <c r="CU179" s="396">
        <f>SUM(BM179:BP179)</f>
        <v>1698.3591714768331</v>
      </c>
      <c r="CV179" s="396">
        <f>SUM(BQ179:BT179)</f>
        <v>1659.6126663121015</v>
      </c>
      <c r="CW179" s="396">
        <f>SUM(BU179:BX179)</f>
        <v>1452.6117691734621</v>
      </c>
      <c r="CX179" s="396">
        <f>SUM(BY179:CB179)</f>
        <v>1318.7960751118526</v>
      </c>
      <c r="CY179" s="396">
        <f>SUM(CC179:CF179)</f>
        <v>1288.2656848802894</v>
      </c>
      <c r="CZ179" s="396">
        <f t="shared" ref="CZ179:DF179" si="337">+CZ213/CZ193</f>
        <v>1343.7315247442803</v>
      </c>
      <c r="DA179" s="396">
        <f t="shared" si="337"/>
        <v>1386.7730133532195</v>
      </c>
      <c r="DB179" s="396">
        <f t="shared" si="337"/>
        <v>1418.8722378923869</v>
      </c>
      <c r="DC179" s="396">
        <f t="shared" si="337"/>
        <v>1452.0394305734867</v>
      </c>
      <c r="DD179" s="396">
        <f t="shared" si="337"/>
        <v>1486.2533523942425</v>
      </c>
      <c r="DE179" s="396">
        <f t="shared" si="337"/>
        <v>1521.4965994088438</v>
      </c>
      <c r="DF179" s="397">
        <f t="shared" si="337"/>
        <v>1557.7552534454251</v>
      </c>
      <c r="DG179" s="612"/>
      <c r="DH179" s="612"/>
    </row>
    <row r="180" spans="1:113" s="554" customFormat="1" ht="11.25" customHeight="1">
      <c r="A180" s="548"/>
      <c r="B180"/>
      <c r="C180"/>
      <c r="D180"/>
      <c r="E180"/>
      <c r="F180"/>
      <c r="G180"/>
      <c r="H180" s="1047"/>
      <c r="I180" s="9" t="s">
        <v>161</v>
      </c>
      <c r="J180" s="21"/>
      <c r="K180" s="21"/>
      <c r="L180" s="547"/>
      <c r="M180" s="551"/>
      <c r="N180" s="551"/>
      <c r="O180" s="551"/>
      <c r="P180" s="552"/>
      <c r="Q180" s="551"/>
      <c r="R180" s="551"/>
      <c r="S180" s="551"/>
      <c r="T180" s="552"/>
      <c r="U180" s="394"/>
      <c r="V180" s="394"/>
      <c r="W180" s="394"/>
      <c r="X180" s="395"/>
      <c r="Y180" s="394"/>
      <c r="Z180" s="394"/>
      <c r="AA180" s="394"/>
      <c r="AB180" s="395"/>
      <c r="AC180" s="394"/>
      <c r="AD180" s="394"/>
      <c r="AE180" s="394"/>
      <c r="AF180" s="395"/>
      <c r="AG180" s="396">
        <f t="shared" ref="AG180:BV180" si="338">+AG16-AG203</f>
        <v>7.9810000000000016</v>
      </c>
      <c r="AH180" s="396">
        <f t="shared" si="338"/>
        <v>8.7920000000000016</v>
      </c>
      <c r="AI180" s="396">
        <f t="shared" si="338"/>
        <v>8.3259999999999934</v>
      </c>
      <c r="AJ180" s="397">
        <f t="shared" si="338"/>
        <v>6.9010000000000034</v>
      </c>
      <c r="AK180" s="396">
        <f t="shared" si="338"/>
        <v>6.6109999999999971</v>
      </c>
      <c r="AL180" s="396">
        <f t="shared" si="338"/>
        <v>7.9439999999999884</v>
      </c>
      <c r="AM180" s="396">
        <f t="shared" si="338"/>
        <v>7.8229999999999791</v>
      </c>
      <c r="AN180" s="397">
        <f t="shared" si="338"/>
        <v>4.7680000000000007</v>
      </c>
      <c r="AO180" s="396">
        <f t="shared" si="338"/>
        <v>9.6989999999999981</v>
      </c>
      <c r="AP180" s="396">
        <f t="shared" si="338"/>
        <v>12.257999999999981</v>
      </c>
      <c r="AQ180" s="396">
        <f t="shared" si="338"/>
        <v>13.636000000000024</v>
      </c>
      <c r="AR180" s="397">
        <f t="shared" si="338"/>
        <v>10.610500000000016</v>
      </c>
      <c r="AS180" s="396">
        <f t="shared" si="338"/>
        <v>14.707449999999994</v>
      </c>
      <c r="AT180" s="396">
        <f t="shared" si="338"/>
        <v>16.131150000000019</v>
      </c>
      <c r="AU180" s="396">
        <f t="shared" si="338"/>
        <v>18.463199999999972</v>
      </c>
      <c r="AV180" s="397">
        <f t="shared" si="338"/>
        <v>10.358500000000021</v>
      </c>
      <c r="AW180" s="396">
        <f t="shared" si="338"/>
        <v>21.042263999999989</v>
      </c>
      <c r="AX180" s="396">
        <f t="shared" si="338"/>
        <v>24.776605000000018</v>
      </c>
      <c r="AY180" s="396">
        <f t="shared" si="338"/>
        <v>15.889279999999985</v>
      </c>
      <c r="AZ180" s="397">
        <f t="shared" si="338"/>
        <v>11.060125000000028</v>
      </c>
      <c r="BA180" s="396">
        <f t="shared" si="338"/>
        <v>23.382580800000028</v>
      </c>
      <c r="BB180" s="396">
        <f t="shared" si="338"/>
        <v>29.801073046127499</v>
      </c>
      <c r="BC180" s="396">
        <f t="shared" si="338"/>
        <v>9.5595600000000331</v>
      </c>
      <c r="BD180" s="397">
        <f t="shared" si="338"/>
        <v>12.292249999999967</v>
      </c>
      <c r="BE180" s="396">
        <f t="shared" si="338"/>
        <v>22.899987359999955</v>
      </c>
      <c r="BF180" s="396">
        <f t="shared" si="338"/>
        <v>35.025591148804097</v>
      </c>
      <c r="BG180" s="396">
        <f t="shared" si="338"/>
        <v>23.842380799999773</v>
      </c>
      <c r="BH180" s="397">
        <f t="shared" si="338"/>
        <v>4.1738000000000284</v>
      </c>
      <c r="BI180" s="396">
        <f t="shared" si="338"/>
        <v>22.521101798399968</v>
      </c>
      <c r="BJ180" s="396">
        <f t="shared" si="338"/>
        <v>45.13313387582582</v>
      </c>
      <c r="BK180" s="396">
        <f t="shared" si="338"/>
        <v>21.445964543999935</v>
      </c>
      <c r="BL180" s="397">
        <f t="shared" si="338"/>
        <v>17.326580000000035</v>
      </c>
      <c r="BM180" s="1326">
        <f t="shared" si="338"/>
        <v>20.287032337919982</v>
      </c>
      <c r="BN180" s="396">
        <f t="shared" si="338"/>
        <v>55.465320052240713</v>
      </c>
      <c r="BO180" s="396">
        <f t="shared" si="338"/>
        <v>38.515593907199673</v>
      </c>
      <c r="BP180" s="397">
        <f t="shared" si="338"/>
        <v>15.288454000000002</v>
      </c>
      <c r="BQ180" s="1326">
        <f t="shared" si="338"/>
        <v>26.319638805503928</v>
      </c>
      <c r="BR180" s="396">
        <f t="shared" si="338"/>
        <v>59.436184062689108</v>
      </c>
      <c r="BS180" s="396">
        <f t="shared" si="338"/>
        <v>3.959638516479572</v>
      </c>
      <c r="BT180" s="397">
        <f t="shared" si="338"/>
        <v>38.810599399999774</v>
      </c>
      <c r="BU180" s="1326">
        <f t="shared" si="338"/>
        <v>84.886393671044971</v>
      </c>
      <c r="BV180" s="396">
        <f t="shared" si="338"/>
        <v>92.878656615946738</v>
      </c>
      <c r="BW180" s="396">
        <f>+BW16-BW203</f>
        <v>-91.394790698905581</v>
      </c>
      <c r="BX180" s="397">
        <f>+BX16-BX203</f>
        <v>34.194439231999922</v>
      </c>
      <c r="BY180" s="1326">
        <f t="shared" ref="BY180:BZ180" si="339">+BY16-BY203</f>
        <v>135.43512288880652</v>
      </c>
      <c r="BZ180" s="396">
        <f t="shared" si="339"/>
        <v>148.62728352619797</v>
      </c>
      <c r="CA180" s="396">
        <f>+CA16-CA203</f>
        <v>-96.27196077363169</v>
      </c>
      <c r="CB180" s="397">
        <f>+CB16-CB203</f>
        <v>37.037720639999861</v>
      </c>
      <c r="CC180" s="1326">
        <f>+CC196*'Bookings and Drivers'!CC63</f>
        <v>142.20687903324685</v>
      </c>
      <c r="CD180" s="396">
        <f>+CD196*'Bookings and Drivers'!CD63</f>
        <v>156.05864770250787</v>
      </c>
      <c r="CE180" s="396">
        <f>+CE196*'Bookings and Drivers'!CE63</f>
        <v>-101.08555881231328</v>
      </c>
      <c r="CF180" s="397">
        <f>+CF196*'Bookings and Drivers'!CF63</f>
        <v>38.889606671999857</v>
      </c>
      <c r="CG180" s="552"/>
      <c r="CH180" s="553"/>
      <c r="CI180" s="551"/>
      <c r="CJ180" s="394"/>
      <c r="CK180" s="394"/>
      <c r="CL180" s="394"/>
      <c r="CM180" s="396">
        <f>+CM16-CM203</f>
        <v>31.999999999999972</v>
      </c>
      <c r="CN180" s="396">
        <f>+CN16-CN203</f>
        <v>31.145999999999958</v>
      </c>
      <c r="CO180" s="396">
        <f>+CO16-CO203</f>
        <v>46.203499999999963</v>
      </c>
      <c r="CP180" s="396">
        <f>+CP16-CP203</f>
        <v>59.660300000000007</v>
      </c>
      <c r="CQ180" s="396">
        <f>+SUM(AW180:AZ180)</f>
        <v>72.768274000000019</v>
      </c>
      <c r="CR180" s="396">
        <f>+SUM(BA180:BD180)</f>
        <v>75.035463846127527</v>
      </c>
      <c r="CS180" s="396">
        <f>+SUM(BE180:BH180)</f>
        <v>85.941759308803853</v>
      </c>
      <c r="CT180" s="396">
        <f>+SUM(BI180:BL180)</f>
        <v>106.42678021822576</v>
      </c>
      <c r="CU180" s="396">
        <f>SUM(BM180:BP180)</f>
        <v>129.55640029736037</v>
      </c>
      <c r="CV180" s="396">
        <f>SUM(BQ180:BT180)</f>
        <v>128.52606078467238</v>
      </c>
      <c r="CW180" s="396">
        <f>SUM(BU180:BX180)</f>
        <v>120.56469882008605</v>
      </c>
      <c r="CX180" s="396">
        <f>SUM(BY180:CB180)</f>
        <v>224.82816628137266</v>
      </c>
      <c r="CY180" s="396">
        <f>SUM(CC180:CF180)</f>
        <v>236.06957459544134</v>
      </c>
      <c r="CZ180" s="396">
        <f>+CZ196*'Bookings and Drivers'!CZ63</f>
        <v>245.512357579259</v>
      </c>
      <c r="DA180" s="396">
        <f>+DA196*'Bookings and Drivers'!DA63</f>
        <v>252.87772830663678</v>
      </c>
      <c r="DB180" s="396">
        <f>+DB196*'Bookings and Drivers'!DB63</f>
        <v>257.93528287276951</v>
      </c>
      <c r="DC180" s="396">
        <f>+DC196*'Bookings and Drivers'!DC63</f>
        <v>263.09398853022492</v>
      </c>
      <c r="DD180" s="396">
        <f>+DD196*'Bookings and Drivers'!DD63</f>
        <v>268.3558683008294</v>
      </c>
      <c r="DE180" s="396">
        <f>+DE196*'Bookings and Drivers'!DE63</f>
        <v>273.722985666846</v>
      </c>
      <c r="DF180" s="397">
        <f>+DF196*'Bookings and Drivers'!DF63</f>
        <v>279.1974453801829</v>
      </c>
      <c r="DG180" s="612"/>
      <c r="DH180" s="612"/>
    </row>
    <row r="181" spans="1:113" s="554" customFormat="1" ht="11.25" customHeight="1">
      <c r="A181" s="548"/>
      <c r="B181"/>
      <c r="C181"/>
      <c r="D181"/>
      <c r="E181"/>
      <c r="F181"/>
      <c r="G181"/>
      <c r="H181" s="1047"/>
      <c r="I181" s="610" t="s">
        <v>162</v>
      </c>
      <c r="J181" s="588"/>
      <c r="K181" s="588"/>
      <c r="L181" s="560"/>
      <c r="M181" s="561"/>
      <c r="N181" s="561"/>
      <c r="O181" s="561"/>
      <c r="P181" s="562"/>
      <c r="Q181" s="561"/>
      <c r="R181" s="561"/>
      <c r="S181" s="561"/>
      <c r="T181" s="562"/>
      <c r="U181" s="563"/>
      <c r="V181" s="563"/>
      <c r="W181" s="563"/>
      <c r="X181" s="564"/>
      <c r="Y181" s="563"/>
      <c r="Z181" s="563"/>
      <c r="AA181" s="563"/>
      <c r="AB181" s="564"/>
      <c r="AC181" s="563"/>
      <c r="AD181" s="563"/>
      <c r="AE181" s="563"/>
      <c r="AF181" s="564"/>
      <c r="AG181" s="566">
        <f t="shared" ref="AG181:BI181" si="340">+AG20</f>
        <v>1.095</v>
      </c>
      <c r="AH181" s="566">
        <f t="shared" si="340"/>
        <v>1.2350000000000001</v>
      </c>
      <c r="AI181" s="566">
        <f t="shared" si="340"/>
        <v>1.583</v>
      </c>
      <c r="AJ181" s="565">
        <f t="shared" si="340"/>
        <v>1.121</v>
      </c>
      <c r="AK181" s="566">
        <f t="shared" si="340"/>
        <v>0.86699999999999999</v>
      </c>
      <c r="AL181" s="566">
        <f t="shared" si="340"/>
        <v>2.6269999999999998</v>
      </c>
      <c r="AM181" s="566">
        <f t="shared" si="340"/>
        <v>2.4529999999999998</v>
      </c>
      <c r="AN181" s="565">
        <f t="shared" si="340"/>
        <v>2.3919999999999999</v>
      </c>
      <c r="AO181" s="566">
        <f t="shared" si="340"/>
        <v>4.0890000000000004</v>
      </c>
      <c r="AP181" s="566">
        <f t="shared" si="340"/>
        <v>4.4969999999999999</v>
      </c>
      <c r="AQ181" s="566">
        <f t="shared" si="340"/>
        <v>5.0140000000000002</v>
      </c>
      <c r="AR181" s="565">
        <f t="shared" si="340"/>
        <v>4.2519999999999998</v>
      </c>
      <c r="AS181" s="566">
        <f t="shared" si="340"/>
        <v>4.7990000000000004</v>
      </c>
      <c r="AT181" s="566">
        <f t="shared" si="340"/>
        <v>6.4340000000000002</v>
      </c>
      <c r="AU181" s="566">
        <f t="shared" si="340"/>
        <v>7.1580000000000004</v>
      </c>
      <c r="AV181" s="565">
        <f t="shared" si="340"/>
        <v>3.85</v>
      </c>
      <c r="AW181" s="566">
        <f t="shared" si="340"/>
        <v>2.887</v>
      </c>
      <c r="AX181" s="566">
        <f t="shared" si="340"/>
        <v>3.258</v>
      </c>
      <c r="AY181" s="566">
        <f t="shared" si="340"/>
        <v>3.274</v>
      </c>
      <c r="AZ181" s="565">
        <f t="shared" si="340"/>
        <v>3.2440000000000002</v>
      </c>
      <c r="BA181" s="566">
        <f t="shared" si="340"/>
        <v>3.0939999999999999</v>
      </c>
      <c r="BB181" s="566">
        <f t="shared" si="340"/>
        <v>3.0049999999999999</v>
      </c>
      <c r="BC181" s="566">
        <f t="shared" si="340"/>
        <v>2.9729999999999999</v>
      </c>
      <c r="BD181" s="565">
        <f t="shared" si="340"/>
        <v>2.8530000000000002</v>
      </c>
      <c r="BE181" s="566">
        <f t="shared" si="340"/>
        <v>3.2109999999999999</v>
      </c>
      <c r="BF181" s="566">
        <f t="shared" si="340"/>
        <v>3.7389999999999999</v>
      </c>
      <c r="BG181" s="566">
        <f t="shared" si="340"/>
        <v>3.2130000000000001</v>
      </c>
      <c r="BH181" s="565">
        <f t="shared" si="340"/>
        <v>3.2269999999999999</v>
      </c>
      <c r="BI181" s="566">
        <f t="shared" si="340"/>
        <v>3.52</v>
      </c>
      <c r="BJ181" s="566">
        <f>+BJ20-BJ306</f>
        <v>4.2740000000000009</v>
      </c>
      <c r="BK181" s="566">
        <f>+BK20-BK306</f>
        <v>4.164999999999992</v>
      </c>
      <c r="BL181" s="565">
        <f>+BL20-BL306</f>
        <v>4.6839999999999975</v>
      </c>
      <c r="BM181" s="1327">
        <f>+BM20-BM306</f>
        <v>4.6599999999999966</v>
      </c>
      <c r="BN181" s="566">
        <f>+BN20-BN306</f>
        <v>5.5259999999999962</v>
      </c>
      <c r="BO181" s="566">
        <f t="shared" ref="BO181:BX181" si="341">+BO20-BO306-BO319</f>
        <v>4.4244766129032342</v>
      </c>
      <c r="BP181" s="565">
        <f t="shared" si="341"/>
        <v>9.4449516129032247</v>
      </c>
      <c r="BQ181" s="1327">
        <f t="shared" si="341"/>
        <v>7.0348580645161221</v>
      </c>
      <c r="BR181" s="566">
        <f t="shared" si="341"/>
        <v>9.414135225806433</v>
      </c>
      <c r="BS181" s="566">
        <f t="shared" si="341"/>
        <v>8.8914538064516222</v>
      </c>
      <c r="BT181" s="565">
        <f t="shared" si="341"/>
        <v>10.507825806451621</v>
      </c>
      <c r="BU181" s="1327">
        <f t="shared" si="341"/>
        <v>21.689328129032248</v>
      </c>
      <c r="BV181" s="566">
        <f t="shared" si="341"/>
        <v>24.213954691612898</v>
      </c>
      <c r="BW181" s="566">
        <f t="shared" si="341"/>
        <v>10.487105572903218</v>
      </c>
      <c r="BX181" s="565">
        <f t="shared" si="341"/>
        <v>13.439143612903223</v>
      </c>
      <c r="BY181" s="1327">
        <f t="shared" ref="BY181:CB181" si="342">+BY20-BY306-BY319</f>
        <v>22.832894535483831</v>
      </c>
      <c r="BZ181" s="566">
        <f t="shared" si="342"/>
        <v>19.926952426193509</v>
      </c>
      <c r="CA181" s="566">
        <f t="shared" si="342"/>
        <v>45.147810851548371</v>
      </c>
      <c r="CB181" s="565">
        <f t="shared" si="342"/>
        <v>49.550100793548367</v>
      </c>
      <c r="CC181" s="1327">
        <f t="shared" ref="CC181:CF181" si="343">+BY181</f>
        <v>22.832894535483831</v>
      </c>
      <c r="CD181" s="566">
        <f t="shared" si="343"/>
        <v>19.926952426193509</v>
      </c>
      <c r="CE181" s="566">
        <f t="shared" si="343"/>
        <v>45.147810851548371</v>
      </c>
      <c r="CF181" s="565">
        <f t="shared" si="343"/>
        <v>49.550100793548367</v>
      </c>
      <c r="CG181" s="552"/>
      <c r="CH181" s="567"/>
      <c r="CI181" s="561"/>
      <c r="CJ181" s="563"/>
      <c r="CK181" s="563"/>
      <c r="CL181" s="563"/>
      <c r="CM181" s="566">
        <f>+CM20</f>
        <v>5.0340000000000007</v>
      </c>
      <c r="CN181" s="566">
        <f>+CN20</f>
        <v>8.3389999999999986</v>
      </c>
      <c r="CO181" s="566">
        <f>+CO20</f>
        <v>17.852</v>
      </c>
      <c r="CP181" s="566">
        <f>+CP20</f>
        <v>22.241000000000003</v>
      </c>
      <c r="CQ181" s="566">
        <f>+SUM(AW181:AZ181)</f>
        <v>12.663</v>
      </c>
      <c r="CR181" s="566">
        <f>+SUM(BA181:BD181)</f>
        <v>11.924999999999999</v>
      </c>
      <c r="CS181" s="566">
        <f>+SUM(BE181:BH181)</f>
        <v>13.39</v>
      </c>
      <c r="CT181" s="566">
        <f>+SUM(BI181:BL181)</f>
        <v>16.64299999999999</v>
      </c>
      <c r="CU181" s="566">
        <f>SUM(BM181:BP181)</f>
        <v>24.055428225806452</v>
      </c>
      <c r="CV181" s="566">
        <f>SUM(BQ181:BT181)</f>
        <v>35.848272903225798</v>
      </c>
      <c r="CW181" s="566">
        <f>SUM(BU181:BX181)</f>
        <v>69.829532006451586</v>
      </c>
      <c r="CX181" s="566">
        <f>SUM(BY181:CB181)</f>
        <v>137.45775860677406</v>
      </c>
      <c r="CY181" s="566">
        <f>SUM(CC181:CF181)</f>
        <v>137.45775860677406</v>
      </c>
      <c r="CZ181" s="1757">
        <f t="shared" ref="CZ181:DF181" si="344">+CY181</f>
        <v>137.45775860677406</v>
      </c>
      <c r="DA181" s="1757">
        <f t="shared" si="344"/>
        <v>137.45775860677406</v>
      </c>
      <c r="DB181" s="1757">
        <f t="shared" si="344"/>
        <v>137.45775860677406</v>
      </c>
      <c r="DC181" s="1757">
        <f t="shared" si="344"/>
        <v>137.45775860677406</v>
      </c>
      <c r="DD181" s="1757">
        <f t="shared" si="344"/>
        <v>137.45775860677406</v>
      </c>
      <c r="DE181" s="1757">
        <f t="shared" si="344"/>
        <v>137.45775860677406</v>
      </c>
      <c r="DF181" s="1796">
        <f t="shared" si="344"/>
        <v>137.45775860677406</v>
      </c>
      <c r="DG181" s="612"/>
      <c r="DH181" s="612"/>
    </row>
    <row r="182" spans="1:113" s="584" customFormat="1" ht="11.25" customHeight="1">
      <c r="A182" s="542"/>
      <c r="B182"/>
      <c r="C182"/>
      <c r="D182"/>
      <c r="E182"/>
      <c r="F182"/>
      <c r="G182"/>
      <c r="H182" s="1052"/>
      <c r="I182" s="544" t="s">
        <v>160</v>
      </c>
      <c r="J182" s="542"/>
      <c r="K182" s="542"/>
      <c r="L182" s="542"/>
      <c r="M182" s="581"/>
      <c r="N182" s="581"/>
      <c r="O182" s="581"/>
      <c r="P182" s="582"/>
      <c r="Q182" s="581"/>
      <c r="R182" s="581"/>
      <c r="S182" s="581"/>
      <c r="T182" s="582"/>
      <c r="U182" s="572"/>
      <c r="V182" s="572"/>
      <c r="W182" s="572"/>
      <c r="X182" s="573"/>
      <c r="Y182" s="572"/>
      <c r="Z182" s="572"/>
      <c r="AA182" s="572"/>
      <c r="AB182" s="573"/>
      <c r="AC182" s="572"/>
      <c r="AD182" s="572"/>
      <c r="AE182" s="572"/>
      <c r="AF182" s="573"/>
      <c r="AG182" s="465">
        <f t="shared" ref="AG182:AW182" si="345">+AG21-AG206</f>
        <v>219.51399999999998</v>
      </c>
      <c r="AH182" s="465">
        <f t="shared" si="345"/>
        <v>260.55099999999999</v>
      </c>
      <c r="AI182" s="465">
        <f t="shared" si="345"/>
        <v>246.86700000000002</v>
      </c>
      <c r="AJ182" s="466">
        <f t="shared" si="345"/>
        <v>212.67099999999996</v>
      </c>
      <c r="AK182" s="465">
        <f t="shared" si="345"/>
        <v>237.61100000000002</v>
      </c>
      <c r="AL182" s="465">
        <f t="shared" si="345"/>
        <v>263.16199999999992</v>
      </c>
      <c r="AM182" s="465">
        <f t="shared" si="345"/>
        <v>285.48699999999997</v>
      </c>
      <c r="AN182" s="466">
        <f t="shared" si="345"/>
        <v>232.35300000000001</v>
      </c>
      <c r="AO182" s="465">
        <f t="shared" si="345"/>
        <v>299.416</v>
      </c>
      <c r="AP182" s="465">
        <f t="shared" si="345"/>
        <v>349.476</v>
      </c>
      <c r="AQ182" s="465">
        <f t="shared" si="345"/>
        <v>337.90900000000005</v>
      </c>
      <c r="AR182" s="466">
        <f t="shared" si="345"/>
        <v>278.20500000000004</v>
      </c>
      <c r="AS182" s="465">
        <f t="shared" si="345"/>
        <v>347.45799999999997</v>
      </c>
      <c r="AT182" s="465">
        <f t="shared" si="345"/>
        <v>406.14099999999996</v>
      </c>
      <c r="AU182" s="465">
        <f t="shared" si="345"/>
        <v>413.76</v>
      </c>
      <c r="AV182" s="466">
        <f t="shared" si="345"/>
        <v>318.85300000000007</v>
      </c>
      <c r="AW182" s="465">
        <f t="shared" si="345"/>
        <v>368.59399999999988</v>
      </c>
      <c r="AX182" s="465">
        <f>+AX21-AX206-0.929</f>
        <v>444.83899999999994</v>
      </c>
      <c r="AY182" s="465">
        <f>472.8-2.02</f>
        <v>470.78000000000003</v>
      </c>
      <c r="AZ182" s="466">
        <f>+AZ21-AZ206-1.753</f>
        <v>357.31600000000009</v>
      </c>
      <c r="BA182" s="465">
        <f t="shared" ref="BA182:BV182" si="346">+BA21-BA206</f>
        <v>421.12000000000006</v>
      </c>
      <c r="BB182" s="465">
        <f t="shared" si="346"/>
        <v>490.6160000000001</v>
      </c>
      <c r="BC182" s="465">
        <f t="shared" si="346"/>
        <v>500.80400000000009</v>
      </c>
      <c r="BD182" s="466">
        <f t="shared" si="346"/>
        <v>381.77</v>
      </c>
      <c r="BE182" s="465">
        <f t="shared" si="346"/>
        <v>420.24700000000007</v>
      </c>
      <c r="BF182" s="465">
        <f t="shared" si="346"/>
        <v>467.75900000000001</v>
      </c>
      <c r="BG182" s="465">
        <f t="shared" si="346"/>
        <v>471.30999999999995</v>
      </c>
      <c r="BH182" s="466">
        <f t="shared" si="346"/>
        <v>354.6400000000001</v>
      </c>
      <c r="BI182" s="465">
        <f t="shared" si="346"/>
        <v>408.01199999999994</v>
      </c>
      <c r="BJ182" s="465">
        <f t="shared" si="346"/>
        <v>480.23800000000006</v>
      </c>
      <c r="BK182" s="465">
        <f t="shared" si="346"/>
        <v>469.90299999999979</v>
      </c>
      <c r="BL182" s="466">
        <f t="shared" si="346"/>
        <v>391.15300000000002</v>
      </c>
      <c r="BM182" s="635">
        <f t="shared" si="346"/>
        <v>431.80200000000013</v>
      </c>
      <c r="BN182" s="465">
        <f t="shared" si="346"/>
        <v>473.57499999999982</v>
      </c>
      <c r="BO182" s="465">
        <f t="shared" si="346"/>
        <v>536.49699999999984</v>
      </c>
      <c r="BP182" s="466">
        <f t="shared" si="346"/>
        <v>410.09699999999998</v>
      </c>
      <c r="BQ182" s="635">
        <f t="shared" si="346"/>
        <v>440.69399999999996</v>
      </c>
      <c r="BR182" s="465">
        <f t="shared" si="346"/>
        <v>480.39699999999993</v>
      </c>
      <c r="BS182" s="465">
        <f t="shared" si="346"/>
        <v>502.90099999999984</v>
      </c>
      <c r="BT182" s="466">
        <f t="shared" si="346"/>
        <v>399.99499999999989</v>
      </c>
      <c r="BU182" s="635">
        <f t="shared" si="346"/>
        <v>448.11899999999969</v>
      </c>
      <c r="BV182" s="465">
        <f t="shared" si="346"/>
        <v>455.90200000000004</v>
      </c>
      <c r="BW182" s="465">
        <f>+BW21-BW206</f>
        <v>390.55200000000013</v>
      </c>
      <c r="BX182" s="466">
        <f>+BX21-BX206</f>
        <v>348.43299999999999</v>
      </c>
      <c r="BY182" s="635">
        <f t="shared" ref="BY182:BZ182" si="347">+BY21-BY206</f>
        <v>419.404</v>
      </c>
      <c r="BZ182" s="465">
        <f t="shared" si="347"/>
        <v>424.55600000000004</v>
      </c>
      <c r="CA182" s="465">
        <f>+CA21-CA206</f>
        <v>434.02899999999954</v>
      </c>
      <c r="CB182" s="466">
        <f>+CB21-CB206</f>
        <v>403.09299999999985</v>
      </c>
      <c r="CC182" s="635">
        <f t="shared" ref="CC182:CF182" si="348">+SUM(CC179:CC181)</f>
        <v>389.90125001629622</v>
      </c>
      <c r="CD182" s="465">
        <f t="shared" si="348"/>
        <v>398.48913640620384</v>
      </c>
      <c r="CE182" s="465">
        <f t="shared" si="348"/>
        <v>451.53725737460672</v>
      </c>
      <c r="CF182" s="466">
        <f t="shared" si="348"/>
        <v>421.86537428539788</v>
      </c>
      <c r="CG182" s="582"/>
      <c r="CH182" s="583"/>
      <c r="CI182" s="581"/>
      <c r="CJ182" s="572"/>
      <c r="CK182" s="572"/>
      <c r="CL182" s="572"/>
      <c r="CM182" s="465">
        <f>+CM21-CM206</f>
        <v>939.60300000000018</v>
      </c>
      <c r="CN182" s="465">
        <f>+CN21-CN206</f>
        <v>1018.6129999999997</v>
      </c>
      <c r="CO182" s="465">
        <f>+CO21-CO206</f>
        <v>1265.0060000000001</v>
      </c>
      <c r="CP182" s="465">
        <f>+CP21-CP206</f>
        <v>1486.212</v>
      </c>
      <c r="CQ182" s="465">
        <f t="shared" ref="CQ182:CY182" si="349">+SUM(CQ179:CQ181)</f>
        <v>1641.529</v>
      </c>
      <c r="CR182" s="465">
        <f t="shared" si="349"/>
        <v>1794.3100000000002</v>
      </c>
      <c r="CS182" s="465">
        <f t="shared" si="349"/>
        <v>1713.9560000000004</v>
      </c>
      <c r="CT182" s="465">
        <f t="shared" si="349"/>
        <v>1749.306</v>
      </c>
      <c r="CU182" s="465">
        <f>+SUM(CU179:CU181)</f>
        <v>1851.971</v>
      </c>
      <c r="CV182" s="465">
        <f t="shared" si="349"/>
        <v>1823.9869999999996</v>
      </c>
      <c r="CW182" s="465">
        <f t="shared" si="349"/>
        <v>1643.0059999999999</v>
      </c>
      <c r="CX182" s="465">
        <f t="shared" si="349"/>
        <v>1681.0819999999994</v>
      </c>
      <c r="CY182" s="465">
        <f t="shared" si="349"/>
        <v>1661.7930180825047</v>
      </c>
      <c r="CZ182" s="465">
        <f t="shared" ref="CZ182:DF182" si="350">+SUM(CZ179:CZ181)</f>
        <v>1726.7016409303133</v>
      </c>
      <c r="DA182" s="465">
        <f t="shared" si="350"/>
        <v>1777.1085002666305</v>
      </c>
      <c r="DB182" s="465">
        <f t="shared" si="350"/>
        <v>1814.2652793719303</v>
      </c>
      <c r="DC182" s="465">
        <f t="shared" si="350"/>
        <v>1852.5911777104857</v>
      </c>
      <c r="DD182" s="465">
        <f t="shared" si="350"/>
        <v>1892.066979301846</v>
      </c>
      <c r="DE182" s="465">
        <f t="shared" si="350"/>
        <v>1932.6773436824637</v>
      </c>
      <c r="DF182" s="466">
        <f t="shared" si="350"/>
        <v>1974.4104574323819</v>
      </c>
      <c r="DG182" s="632"/>
      <c r="DH182" s="632"/>
    </row>
    <row r="183" spans="1:113" s="51" customFormat="1" ht="11.25" customHeight="1">
      <c r="A183" s="82"/>
      <c r="B183"/>
      <c r="C183"/>
      <c r="D183"/>
      <c r="E183"/>
      <c r="F183"/>
      <c r="G183"/>
      <c r="H183" s="1047"/>
      <c r="I183" s="193" t="s">
        <v>376</v>
      </c>
      <c r="J183" s="83"/>
      <c r="K183" s="83"/>
      <c r="L183" s="82"/>
      <c r="M183" s="336"/>
      <c r="N183" s="336"/>
      <c r="O183" s="336"/>
      <c r="P183" s="337"/>
      <c r="Q183" s="336"/>
      <c r="R183" s="336"/>
      <c r="S183" s="336"/>
      <c r="T183" s="337"/>
      <c r="U183" s="328"/>
      <c r="V183" s="328"/>
      <c r="W183" s="328"/>
      <c r="X183" s="329"/>
      <c r="Y183" s="328"/>
      <c r="Z183" s="328"/>
      <c r="AA183" s="328"/>
      <c r="AB183" s="329"/>
      <c r="AC183" s="328"/>
      <c r="AD183" s="328"/>
      <c r="AE183" s="328"/>
      <c r="AF183" s="329"/>
      <c r="AG183" s="328"/>
      <c r="AH183" s="328"/>
      <c r="AI183" s="328"/>
      <c r="AJ183" s="329"/>
      <c r="AK183" s="338">
        <f t="shared" ref="AK183:CF183" si="351">+AK182/AG182-1</f>
        <v>8.244121103893165E-2</v>
      </c>
      <c r="AL183" s="338">
        <f t="shared" si="351"/>
        <v>1.0021070730873882E-2</v>
      </c>
      <c r="AM183" s="338">
        <f t="shared" si="351"/>
        <v>0.15644051250268332</v>
      </c>
      <c r="AN183" s="339">
        <f t="shared" si="351"/>
        <v>9.2546703593814117E-2</v>
      </c>
      <c r="AO183" s="338">
        <f t="shared" si="351"/>
        <v>0.26011001174188042</v>
      </c>
      <c r="AP183" s="338">
        <f t="shared" si="351"/>
        <v>0.32798808338589946</v>
      </c>
      <c r="AQ183" s="338">
        <f t="shared" si="351"/>
        <v>0.18362307215389873</v>
      </c>
      <c r="AR183" s="339">
        <f t="shared" si="351"/>
        <v>0.19733767156008319</v>
      </c>
      <c r="AS183" s="338">
        <f t="shared" si="351"/>
        <v>0.16045234723595247</v>
      </c>
      <c r="AT183" s="338">
        <f t="shared" si="351"/>
        <v>0.16214275086128938</v>
      </c>
      <c r="AU183" s="338">
        <f t="shared" si="351"/>
        <v>0.22447167728589634</v>
      </c>
      <c r="AV183" s="339">
        <f t="shared" si="351"/>
        <v>0.14610808576409484</v>
      </c>
      <c r="AW183" s="338">
        <f t="shared" si="351"/>
        <v>6.0830373743013366E-2</v>
      </c>
      <c r="AX183" s="338">
        <f t="shared" si="351"/>
        <v>9.5282180326536903E-2</v>
      </c>
      <c r="AY183" s="338">
        <f t="shared" si="351"/>
        <v>0.13780935808197992</v>
      </c>
      <c r="AZ183" s="339">
        <f t="shared" si="351"/>
        <v>0.12062925548763848</v>
      </c>
      <c r="BA183" s="338">
        <f t="shared" si="351"/>
        <v>0.1425036761314622</v>
      </c>
      <c r="BB183" s="338">
        <f t="shared" si="351"/>
        <v>0.10290689440449285</v>
      </c>
      <c r="BC183" s="338">
        <f t="shared" si="351"/>
        <v>6.3775011682739358E-2</v>
      </c>
      <c r="BD183" s="339">
        <f t="shared" si="351"/>
        <v>6.843802124729903E-2</v>
      </c>
      <c r="BE183" s="338">
        <f t="shared" si="351"/>
        <v>-2.0730433130699E-3</v>
      </c>
      <c r="BF183" s="338">
        <f t="shared" si="351"/>
        <v>-4.6588370538262258E-2</v>
      </c>
      <c r="BG183" s="338">
        <f t="shared" si="351"/>
        <v>-5.8893299574284796E-2</v>
      </c>
      <c r="BH183" s="339">
        <f t="shared" si="351"/>
        <v>-7.1063729470623338E-2</v>
      </c>
      <c r="BI183" s="338">
        <f t="shared" si="351"/>
        <v>-2.9113830675769559E-2</v>
      </c>
      <c r="BJ183" s="338">
        <f t="shared" si="351"/>
        <v>2.6678268082495515E-2</v>
      </c>
      <c r="BK183" s="338">
        <f t="shared" si="351"/>
        <v>-2.9852963017974465E-3</v>
      </c>
      <c r="BL183" s="339">
        <f t="shared" si="351"/>
        <v>0.10295792916760638</v>
      </c>
      <c r="BM183" s="372">
        <f t="shared" si="351"/>
        <v>5.8307108614453096E-2</v>
      </c>
      <c r="BN183" s="338">
        <f t="shared" si="351"/>
        <v>-1.3874370624565868E-2</v>
      </c>
      <c r="BO183" s="338">
        <f t="shared" si="351"/>
        <v>0.14171861001100239</v>
      </c>
      <c r="BP183" s="339">
        <f t="shared" si="351"/>
        <v>4.843117654728446E-2</v>
      </c>
      <c r="BQ183" s="372">
        <f t="shared" si="351"/>
        <v>2.0592771687022893E-2</v>
      </c>
      <c r="BR183" s="338">
        <f t="shared" si="351"/>
        <v>1.4405321226838685E-2</v>
      </c>
      <c r="BS183" s="338">
        <f>+BS182/BO182-1</f>
        <v>-6.2621039819421243E-2</v>
      </c>
      <c r="BT183" s="339">
        <f>+BT182/BP182-1</f>
        <v>-2.4633196536429369E-2</v>
      </c>
      <c r="BU183" s="372">
        <f t="shared" si="351"/>
        <v>1.6848425438058534E-2</v>
      </c>
      <c r="BV183" s="338">
        <f t="shared" si="351"/>
        <v>-5.098907778358297E-2</v>
      </c>
      <c r="BW183" s="338">
        <f t="shared" si="351"/>
        <v>-0.22340182262512853</v>
      </c>
      <c r="BX183" s="339">
        <f t="shared" si="351"/>
        <v>-0.12890661133264147</v>
      </c>
      <c r="BY183" s="372">
        <f t="shared" ref="BY183" si="352">+BY182/BU182-1</f>
        <v>-6.4078961168796078E-2</v>
      </c>
      <c r="BZ183" s="338">
        <f t="shared" ref="BZ183" si="353">+BZ182/BV182-1</f>
        <v>-6.8756004579931695E-2</v>
      </c>
      <c r="CA183" s="338">
        <f t="shared" ref="CA183" si="354">+CA182/BW182-1</f>
        <v>0.11132192384112582</v>
      </c>
      <c r="CB183" s="339">
        <f t="shared" ref="CB183" si="355">+CB182/BX182-1</f>
        <v>0.15687377487206966</v>
      </c>
      <c r="CC183" s="372">
        <f t="shared" si="351"/>
        <v>-7.0344464963862485E-2</v>
      </c>
      <c r="CD183" s="338">
        <f t="shared" si="351"/>
        <v>-6.1397939479824082E-2</v>
      </c>
      <c r="CE183" s="338">
        <f t="shared" si="351"/>
        <v>4.0338911396720523E-2</v>
      </c>
      <c r="CF183" s="339">
        <f t="shared" si="351"/>
        <v>4.6570826795300446E-2</v>
      </c>
      <c r="CG183" s="337"/>
      <c r="CH183" s="367"/>
      <c r="CI183" s="336"/>
      <c r="CJ183" s="328"/>
      <c r="CK183" s="328"/>
      <c r="CL183" s="328"/>
      <c r="CM183" s="328"/>
      <c r="CN183" s="338">
        <f t="shared" ref="CN183:CX183" si="356">+CN182/CM182-1</f>
        <v>8.4088705549045129E-2</v>
      </c>
      <c r="CO183" s="338">
        <f t="shared" si="356"/>
        <v>0.24189068861284957</v>
      </c>
      <c r="CP183" s="338">
        <f t="shared" si="356"/>
        <v>0.17486557376012435</v>
      </c>
      <c r="CQ183" s="338">
        <f t="shared" si="356"/>
        <v>0.10450527919300878</v>
      </c>
      <c r="CR183" s="338">
        <f t="shared" si="356"/>
        <v>9.3072373378721984E-2</v>
      </c>
      <c r="CS183" s="338">
        <f t="shared" si="356"/>
        <v>-4.4782674119856591E-2</v>
      </c>
      <c r="CT183" s="338">
        <f t="shared" si="356"/>
        <v>2.0624800169899205E-2</v>
      </c>
      <c r="CU183" s="338">
        <f>+CU182/CT182-1</f>
        <v>5.8688988661789177E-2</v>
      </c>
      <c r="CV183" s="338">
        <f t="shared" si="356"/>
        <v>-1.5110387797649283E-2</v>
      </c>
      <c r="CW183" s="338">
        <f t="shared" si="356"/>
        <v>-9.9222746653347738E-2</v>
      </c>
      <c r="CX183" s="338">
        <f t="shared" si="356"/>
        <v>2.3174595832273104E-2</v>
      </c>
      <c r="CY183" s="338">
        <f t="shared" ref="CY183:DF183" si="357">+CY182/CX182-1</f>
        <v>-1.1474146958622367E-2</v>
      </c>
      <c r="CZ183" s="338">
        <f t="shared" si="357"/>
        <v>3.9059390755356915E-2</v>
      </c>
      <c r="DA183" s="338">
        <f t="shared" si="357"/>
        <v>2.9192570471618273E-2</v>
      </c>
      <c r="DB183" s="338">
        <f t="shared" si="357"/>
        <v>2.0908559662915938E-2</v>
      </c>
      <c r="DC183" s="338">
        <f t="shared" si="357"/>
        <v>2.1124748830459339E-2</v>
      </c>
      <c r="DD183" s="338">
        <f t="shared" si="357"/>
        <v>2.1308425769438477E-2</v>
      </c>
      <c r="DE183" s="338">
        <f t="shared" si="357"/>
        <v>2.1463491950798996E-2</v>
      </c>
      <c r="DF183" s="339">
        <f t="shared" si="357"/>
        <v>2.1593420074144998E-2</v>
      </c>
      <c r="DG183" s="308"/>
      <c r="DH183" s="308"/>
    </row>
    <row r="184" spans="1:113" s="51" customFormat="1" ht="11.25" customHeight="1">
      <c r="A184" s="82"/>
      <c r="B184"/>
      <c r="C184"/>
      <c r="D184"/>
      <c r="E184"/>
      <c r="F184"/>
      <c r="G184"/>
      <c r="H184" s="1047"/>
      <c r="I184" s="193" t="s">
        <v>144</v>
      </c>
      <c r="J184" s="83"/>
      <c r="K184" s="83"/>
      <c r="L184" s="82"/>
      <c r="M184" s="328"/>
      <c r="N184" s="328"/>
      <c r="O184" s="328"/>
      <c r="P184" s="329"/>
      <c r="Q184" s="328"/>
      <c r="R184" s="328"/>
      <c r="S184" s="328"/>
      <c r="T184" s="329"/>
      <c r="U184" s="338">
        <f t="shared" ref="U184:AZ184" si="358">+U183+Q183</f>
        <v>0</v>
      </c>
      <c r="V184" s="338">
        <f t="shared" si="358"/>
        <v>0</v>
      </c>
      <c r="W184" s="338">
        <f t="shared" si="358"/>
        <v>0</v>
      </c>
      <c r="X184" s="339">
        <f t="shared" si="358"/>
        <v>0</v>
      </c>
      <c r="Y184" s="338">
        <f t="shared" si="358"/>
        <v>0</v>
      </c>
      <c r="Z184" s="338">
        <f t="shared" si="358"/>
        <v>0</v>
      </c>
      <c r="AA184" s="338">
        <f t="shared" si="358"/>
        <v>0</v>
      </c>
      <c r="AB184" s="339">
        <f t="shared" si="358"/>
        <v>0</v>
      </c>
      <c r="AC184" s="338">
        <f t="shared" si="358"/>
        <v>0</v>
      </c>
      <c r="AD184" s="338">
        <f t="shared" si="358"/>
        <v>0</v>
      </c>
      <c r="AE184" s="338">
        <f t="shared" si="358"/>
        <v>0</v>
      </c>
      <c r="AF184" s="339">
        <f t="shared" si="358"/>
        <v>0</v>
      </c>
      <c r="AG184" s="338">
        <f t="shared" si="358"/>
        <v>0</v>
      </c>
      <c r="AH184" s="338">
        <f t="shared" si="358"/>
        <v>0</v>
      </c>
      <c r="AI184" s="338">
        <f t="shared" si="358"/>
        <v>0</v>
      </c>
      <c r="AJ184" s="339">
        <f t="shared" si="358"/>
        <v>0</v>
      </c>
      <c r="AK184" s="338">
        <f t="shared" si="358"/>
        <v>8.244121103893165E-2</v>
      </c>
      <c r="AL184" s="338">
        <f t="shared" si="358"/>
        <v>1.0021070730873882E-2</v>
      </c>
      <c r="AM184" s="338">
        <f t="shared" si="358"/>
        <v>0.15644051250268332</v>
      </c>
      <c r="AN184" s="339">
        <f t="shared" si="358"/>
        <v>9.2546703593814117E-2</v>
      </c>
      <c r="AO184" s="338">
        <f t="shared" si="358"/>
        <v>0.34255122278081207</v>
      </c>
      <c r="AP184" s="338">
        <f t="shared" si="358"/>
        <v>0.33800915411677335</v>
      </c>
      <c r="AQ184" s="338">
        <f t="shared" si="358"/>
        <v>0.34006358465658204</v>
      </c>
      <c r="AR184" s="339">
        <f t="shared" si="358"/>
        <v>0.28988437515389731</v>
      </c>
      <c r="AS184" s="338">
        <f t="shared" si="358"/>
        <v>0.4205623589778329</v>
      </c>
      <c r="AT184" s="338">
        <f t="shared" si="358"/>
        <v>0.49013083424718884</v>
      </c>
      <c r="AU184" s="338">
        <f t="shared" si="358"/>
        <v>0.40809474943979507</v>
      </c>
      <c r="AV184" s="339">
        <f t="shared" si="358"/>
        <v>0.34344575732417804</v>
      </c>
      <c r="AW184" s="338">
        <f t="shared" si="358"/>
        <v>0.22128272097896584</v>
      </c>
      <c r="AX184" s="338">
        <f t="shared" si="358"/>
        <v>0.25742493118782628</v>
      </c>
      <c r="AY184" s="338">
        <f t="shared" si="358"/>
        <v>0.36228103536787626</v>
      </c>
      <c r="AZ184" s="339">
        <f t="shared" si="358"/>
        <v>0.26673734125173332</v>
      </c>
      <c r="BA184" s="338">
        <f t="shared" ref="BA184:CF184" si="359">+BA183+AW183</f>
        <v>0.20333404987447556</v>
      </c>
      <c r="BB184" s="338">
        <f t="shared" si="359"/>
        <v>0.19818907473102976</v>
      </c>
      <c r="BC184" s="338">
        <f t="shared" si="359"/>
        <v>0.20158436976471927</v>
      </c>
      <c r="BD184" s="339">
        <f t="shared" si="359"/>
        <v>0.18906727673493751</v>
      </c>
      <c r="BE184" s="338">
        <f t="shared" si="359"/>
        <v>0.1404306328183923</v>
      </c>
      <c r="BF184" s="338">
        <f t="shared" si="359"/>
        <v>5.6318523866230596E-2</v>
      </c>
      <c r="BG184" s="338">
        <f t="shared" si="359"/>
        <v>4.8817121084545612E-3</v>
      </c>
      <c r="BH184" s="339">
        <f t="shared" si="359"/>
        <v>-2.6257082233243079E-3</v>
      </c>
      <c r="BI184" s="338">
        <f t="shared" si="359"/>
        <v>-3.1186873988839459E-2</v>
      </c>
      <c r="BJ184" s="338">
        <f t="shared" si="359"/>
        <v>-1.9910102455766743E-2</v>
      </c>
      <c r="BK184" s="338">
        <f t="shared" si="359"/>
        <v>-6.1878595876082243E-2</v>
      </c>
      <c r="BL184" s="339">
        <f t="shared" si="359"/>
        <v>3.1894199696983039E-2</v>
      </c>
      <c r="BM184" s="372">
        <f t="shared" si="359"/>
        <v>2.9193277938683537E-2</v>
      </c>
      <c r="BN184" s="338">
        <f t="shared" si="359"/>
        <v>1.2803897457929647E-2</v>
      </c>
      <c r="BO184" s="338">
        <f t="shared" si="359"/>
        <v>0.13873331370920494</v>
      </c>
      <c r="BP184" s="339">
        <f t="shared" si="359"/>
        <v>0.15138910571489084</v>
      </c>
      <c r="BQ184" s="372">
        <f t="shared" si="359"/>
        <v>7.8899880301475989E-2</v>
      </c>
      <c r="BR184" s="338">
        <f t="shared" si="359"/>
        <v>5.3095060227281721E-4</v>
      </c>
      <c r="BS184" s="338">
        <f>+BS183+BO183</f>
        <v>7.9097570191581146E-2</v>
      </c>
      <c r="BT184" s="339">
        <f>+BT183+BP183</f>
        <v>2.3797980010855091E-2</v>
      </c>
      <c r="BU184" s="372">
        <f t="shared" si="359"/>
        <v>3.7441197125081427E-2</v>
      </c>
      <c r="BV184" s="338">
        <f t="shared" si="359"/>
        <v>-3.6583756556744285E-2</v>
      </c>
      <c r="BW184" s="338">
        <f t="shared" si="359"/>
        <v>-0.28602286244454977</v>
      </c>
      <c r="BX184" s="339">
        <f t="shared" si="359"/>
        <v>-0.15353980786907084</v>
      </c>
      <c r="BY184" s="372">
        <f t="shared" ref="BY184" si="360">+BY183+BU183</f>
        <v>-4.7230535730737544E-2</v>
      </c>
      <c r="BZ184" s="338">
        <f t="shared" ref="BZ184" si="361">+BZ183+BV183</f>
        <v>-0.11974508236351467</v>
      </c>
      <c r="CA184" s="338">
        <f t="shared" ref="CA184" si="362">+CA183+BW183</f>
        <v>-0.11207989878400271</v>
      </c>
      <c r="CB184" s="339">
        <f t="shared" ref="CB184" si="363">+CB183+BX183</f>
        <v>2.7967163539428186E-2</v>
      </c>
      <c r="CC184" s="372">
        <f t="shared" si="359"/>
        <v>-0.13442342613265856</v>
      </c>
      <c r="CD184" s="338">
        <f t="shared" si="359"/>
        <v>-0.13015394405975578</v>
      </c>
      <c r="CE184" s="338">
        <f t="shared" si="359"/>
        <v>0.15166083523784635</v>
      </c>
      <c r="CF184" s="339">
        <f t="shared" si="359"/>
        <v>0.20344460166737011</v>
      </c>
      <c r="CG184" s="431"/>
      <c r="CH184" s="340"/>
      <c r="CI184" s="328"/>
      <c r="CJ184" s="338">
        <f t="shared" ref="CJ184:CX184" si="364">+CJ183+CI183</f>
        <v>0</v>
      </c>
      <c r="CK184" s="338">
        <f t="shared" si="364"/>
        <v>0</v>
      </c>
      <c r="CL184" s="338">
        <f t="shared" si="364"/>
        <v>0</v>
      </c>
      <c r="CM184" s="338">
        <f t="shared" si="364"/>
        <v>0</v>
      </c>
      <c r="CN184" s="338">
        <f t="shared" si="364"/>
        <v>8.4088705549045129E-2</v>
      </c>
      <c r="CO184" s="338">
        <f t="shared" si="364"/>
        <v>0.3259793941618947</v>
      </c>
      <c r="CP184" s="338">
        <f t="shared" si="364"/>
        <v>0.41675626237297392</v>
      </c>
      <c r="CQ184" s="338">
        <f t="shared" si="364"/>
        <v>0.27937085295313313</v>
      </c>
      <c r="CR184" s="338">
        <f t="shared" si="364"/>
        <v>0.19757765257173077</v>
      </c>
      <c r="CS184" s="338">
        <f t="shared" si="364"/>
        <v>4.8289699258865393E-2</v>
      </c>
      <c r="CT184" s="338">
        <f t="shared" si="364"/>
        <v>-2.4157873949957387E-2</v>
      </c>
      <c r="CU184" s="338">
        <f>+CU183+CT183</f>
        <v>7.9313788831688381E-2</v>
      </c>
      <c r="CV184" s="338">
        <f t="shared" si="364"/>
        <v>4.3578600864139894E-2</v>
      </c>
      <c r="CW184" s="338">
        <f t="shared" si="364"/>
        <v>-0.11433313445099702</v>
      </c>
      <c r="CX184" s="338">
        <f t="shared" si="364"/>
        <v>-7.6048150821074634E-2</v>
      </c>
      <c r="CY184" s="338">
        <f t="shared" ref="CY184:DF184" si="365">+CY183+CX183</f>
        <v>1.1700448873650737E-2</v>
      </c>
      <c r="CZ184" s="338">
        <f t="shared" si="365"/>
        <v>2.7585243796734549E-2</v>
      </c>
      <c r="DA184" s="338">
        <f t="shared" si="365"/>
        <v>6.8251961226975189E-2</v>
      </c>
      <c r="DB184" s="338">
        <f t="shared" si="365"/>
        <v>5.0101130134534211E-2</v>
      </c>
      <c r="DC184" s="338">
        <f t="shared" si="365"/>
        <v>4.2033308493375277E-2</v>
      </c>
      <c r="DD184" s="338">
        <f t="shared" si="365"/>
        <v>4.2433174599897816E-2</v>
      </c>
      <c r="DE184" s="338">
        <f t="shared" si="365"/>
        <v>4.2771917720237473E-2</v>
      </c>
      <c r="DF184" s="339">
        <f t="shared" si="365"/>
        <v>4.3056912024943994E-2</v>
      </c>
      <c r="DG184" s="308"/>
      <c r="DH184" s="308"/>
    </row>
    <row r="185" spans="1:113" s="51" customFormat="1" ht="11.25" customHeight="1">
      <c r="A185" s="82"/>
      <c r="B185"/>
      <c r="C185"/>
      <c r="D185"/>
      <c r="E185"/>
      <c r="F185"/>
      <c r="G185"/>
      <c r="H185" s="1047"/>
      <c r="I185" s="193" t="s">
        <v>163</v>
      </c>
      <c r="J185" s="83"/>
      <c r="K185" s="83"/>
      <c r="L185" s="82"/>
      <c r="M185" s="336"/>
      <c r="N185" s="336"/>
      <c r="O185" s="336"/>
      <c r="P185" s="337"/>
      <c r="Q185" s="336"/>
      <c r="R185" s="336"/>
      <c r="S185" s="336"/>
      <c r="T185" s="337"/>
      <c r="U185" s="328"/>
      <c r="V185" s="328"/>
      <c r="W185" s="328"/>
      <c r="X185" s="329"/>
      <c r="Y185" s="328"/>
      <c r="Z185" s="328"/>
      <c r="AA185" s="328"/>
      <c r="AB185" s="329"/>
      <c r="AC185" s="328"/>
      <c r="AD185" s="328"/>
      <c r="AE185" s="328"/>
      <c r="AF185" s="329"/>
      <c r="AG185" s="338">
        <f t="shared" ref="AG185:BL185" si="366">+AG182/AG21</f>
        <v>0.9074051109071819</v>
      </c>
      <c r="AH185" s="338">
        <f t="shared" si="366"/>
        <v>0.84690444692199918</v>
      </c>
      <c r="AI185" s="338">
        <f t="shared" si="366"/>
        <v>0.79157782003225741</v>
      </c>
      <c r="AJ185" s="339">
        <f t="shared" si="366"/>
        <v>0.81774207812481969</v>
      </c>
      <c r="AK185" s="338">
        <f t="shared" si="366"/>
        <v>0.83223063209473536</v>
      </c>
      <c r="AL185" s="338">
        <f t="shared" si="366"/>
        <v>0.74431641409427474</v>
      </c>
      <c r="AM185" s="338">
        <f t="shared" si="366"/>
        <v>0.68415023712696532</v>
      </c>
      <c r="AN185" s="339">
        <f t="shared" si="366"/>
        <v>0.69389553027746509</v>
      </c>
      <c r="AO185" s="338">
        <f t="shared" si="366"/>
        <v>0.74263604345453638</v>
      </c>
      <c r="AP185" s="338">
        <f t="shared" si="366"/>
        <v>0.67994614534530795</v>
      </c>
      <c r="AQ185" s="338">
        <f t="shared" si="366"/>
        <v>0.60168017250435801</v>
      </c>
      <c r="AR185" s="339">
        <f t="shared" si="366"/>
        <v>0.68516479862871005</v>
      </c>
      <c r="AS185" s="338">
        <f t="shared" si="366"/>
        <v>0.75197918875985259</v>
      </c>
      <c r="AT185" s="338">
        <f t="shared" si="366"/>
        <v>0.67270733642406255</v>
      </c>
      <c r="AU185" s="338">
        <f t="shared" si="366"/>
        <v>0.56628253907426163</v>
      </c>
      <c r="AV185" s="339">
        <f t="shared" si="366"/>
        <v>0.58855788523552255</v>
      </c>
      <c r="AW185" s="338">
        <f t="shared" si="366"/>
        <v>0.63072858379791708</v>
      </c>
      <c r="AX185" s="338">
        <f t="shared" si="366"/>
        <v>0.57894003914790826</v>
      </c>
      <c r="AY185" s="338">
        <f t="shared" si="366"/>
        <v>0.46900855468893993</v>
      </c>
      <c r="AZ185" s="339">
        <f t="shared" si="366"/>
        <v>0.4874247853885515</v>
      </c>
      <c r="BA185" s="338">
        <f t="shared" si="366"/>
        <v>0.52033806158256324</v>
      </c>
      <c r="BB185" s="338">
        <f t="shared" si="366"/>
        <v>0.44491600738540116</v>
      </c>
      <c r="BC185" s="338">
        <f t="shared" si="366"/>
        <v>0.34471546058518565</v>
      </c>
      <c r="BD185" s="339">
        <f t="shared" si="366"/>
        <v>0.38532656418745015</v>
      </c>
      <c r="BE185" s="338">
        <f t="shared" si="366"/>
        <v>0.40515614892113455</v>
      </c>
      <c r="BF185" s="338">
        <f t="shared" si="366"/>
        <v>0.35255762350208292</v>
      </c>
      <c r="BG185" s="338">
        <f t="shared" si="366"/>
        <v>0.27621592793806515</v>
      </c>
      <c r="BH185" s="339">
        <f t="shared" si="366"/>
        <v>0.29785661492978571</v>
      </c>
      <c r="BI185" s="338">
        <f t="shared" si="366"/>
        <v>0.31337038368309966</v>
      </c>
      <c r="BJ185" s="338">
        <f t="shared" si="366"/>
        <v>0.28581546185718931</v>
      </c>
      <c r="BK185" s="338">
        <f t="shared" si="366"/>
        <v>0.2070145728694133</v>
      </c>
      <c r="BL185" s="339">
        <f t="shared" si="366"/>
        <v>0.25380543009032847</v>
      </c>
      <c r="BM185" s="372">
        <f t="shared" ref="BM185:CF185" si="367">+BM182/BM21</f>
        <v>0.26300491776718515</v>
      </c>
      <c r="BN185" s="338">
        <f t="shared" si="367"/>
        <v>0.22300837031891968</v>
      </c>
      <c r="BO185" s="338">
        <f t="shared" si="367"/>
        <v>0.18914069008357839</v>
      </c>
      <c r="BP185" s="339">
        <f t="shared" si="367"/>
        <v>0.22286705537805887</v>
      </c>
      <c r="BQ185" s="372">
        <f t="shared" si="367"/>
        <v>0.23941730673322126</v>
      </c>
      <c r="BR185" s="338">
        <f t="shared" si="367"/>
        <v>0.21066375723174516</v>
      </c>
      <c r="BS185" s="338">
        <f t="shared" si="367"/>
        <v>0.16207445870815726</v>
      </c>
      <c r="BT185" s="339">
        <f t="shared" si="367"/>
        <v>0.19999799999499995</v>
      </c>
      <c r="BU185" s="372">
        <f t="shared" si="367"/>
        <v>0.20860995131089094</v>
      </c>
      <c r="BV185" s="338">
        <f t="shared" si="367"/>
        <v>0.17837225370925805</v>
      </c>
      <c r="BW185" s="338">
        <f>+BW182/BW21</f>
        <v>0.10582481970176823</v>
      </c>
      <c r="BX185" s="339">
        <f t="shared" si="367"/>
        <v>0.14836829494390513</v>
      </c>
      <c r="BY185" s="372">
        <f t="shared" ref="BY185:BZ185" si="368">+BY182/BY21</f>
        <v>0.17335013085867429</v>
      </c>
      <c r="BZ185" s="338">
        <f t="shared" si="368"/>
        <v>0.1403696939319358</v>
      </c>
      <c r="CA185" s="338">
        <f>+CA182/CA21</f>
        <v>9.7885918202158709E-2</v>
      </c>
      <c r="CB185" s="339">
        <f t="shared" ref="CB185" si="369">+CB182/CB21</f>
        <v>0.14380293482949008</v>
      </c>
      <c r="CC185" s="372">
        <f t="shared" si="367"/>
        <v>0.13332392127685674</v>
      </c>
      <c r="CD185" s="338">
        <f t="shared" si="367"/>
        <v>0.10820288762637277</v>
      </c>
      <c r="CE185" s="338">
        <f t="shared" si="367"/>
        <v>8.7622892761518759E-2</v>
      </c>
      <c r="CF185" s="339">
        <f t="shared" si="367"/>
        <v>0.12014676113415639</v>
      </c>
      <c r="CG185" s="337"/>
      <c r="CH185" s="367"/>
      <c r="CI185" s="336"/>
      <c r="CJ185" s="328"/>
      <c r="CK185" s="328"/>
      <c r="CL185" s="328"/>
      <c r="CM185" s="338">
        <f t="shared" ref="CM185:DF185" si="370">+CM182/CM21</f>
        <v>0.83780694300416503</v>
      </c>
      <c r="CN185" s="338">
        <f t="shared" si="370"/>
        <v>0.73217616569137856</v>
      </c>
      <c r="CO185" s="338">
        <f t="shared" si="370"/>
        <v>0.67115979045058216</v>
      </c>
      <c r="CP185" s="338">
        <f t="shared" si="370"/>
        <v>0.6356190114497744</v>
      </c>
      <c r="CQ185" s="338">
        <f t="shared" si="370"/>
        <v>0.53130656057338022</v>
      </c>
      <c r="CR185" s="338">
        <f t="shared" si="370"/>
        <v>0.41195377914918918</v>
      </c>
      <c r="CS185" s="338">
        <f t="shared" si="370"/>
        <v>0.32578793664117323</v>
      </c>
      <c r="CT185" s="338">
        <f t="shared" si="370"/>
        <v>0.25750437268687731</v>
      </c>
      <c r="CU185" s="338">
        <f t="shared" si="370"/>
        <v>0.2193766124048519</v>
      </c>
      <c r="CV185" s="338">
        <f t="shared" si="370"/>
        <v>0.19774388233634754</v>
      </c>
      <c r="CW185" s="338">
        <f t="shared" si="370"/>
        <v>0.1529372691404994</v>
      </c>
      <c r="CX185" s="338">
        <f t="shared" si="370"/>
        <v>0.13256613276374993</v>
      </c>
      <c r="CY185" s="338">
        <f t="shared" si="370"/>
        <v>0.10881519332469926</v>
      </c>
      <c r="CZ185" s="338">
        <f t="shared" si="370"/>
        <v>9.9580897495893647E-2</v>
      </c>
      <c r="DA185" s="338">
        <f t="shared" si="370"/>
        <v>9.1683741897471749E-2</v>
      </c>
      <c r="DB185" s="338">
        <f t="shared" si="370"/>
        <v>8.5012885370064295E-2</v>
      </c>
      <c r="DC185" s="338">
        <f t="shared" si="370"/>
        <v>7.9677727306178739E-2</v>
      </c>
      <c r="DD185" s="338">
        <f t="shared" si="370"/>
        <v>7.5283031179819784E-2</v>
      </c>
      <c r="DE185" s="338">
        <f t="shared" si="370"/>
        <v>7.1661578228570694E-2</v>
      </c>
      <c r="DF185" s="339">
        <f t="shared" si="370"/>
        <v>6.8203705416771662E-2</v>
      </c>
      <c r="DG185" s="308"/>
      <c r="DH185" s="308"/>
    </row>
    <row r="186" spans="1:113" s="26" customFormat="1" ht="11.25" customHeight="1">
      <c r="A186" s="24"/>
      <c r="B186"/>
      <c r="C186"/>
      <c r="D186"/>
      <c r="E186"/>
      <c r="F186"/>
      <c r="G186"/>
      <c r="H186" s="1047"/>
      <c r="I186" s="185"/>
      <c r="J186" s="70"/>
      <c r="K186" s="70"/>
      <c r="L186" s="24"/>
      <c r="M186" s="315"/>
      <c r="N186" s="315"/>
      <c r="O186" s="315"/>
      <c r="P186" s="316"/>
      <c r="Q186" s="315"/>
      <c r="R186" s="315"/>
      <c r="S186" s="315"/>
      <c r="T186" s="316"/>
      <c r="U186" s="360"/>
      <c r="V186" s="360"/>
      <c r="W186" s="360"/>
      <c r="X186" s="369"/>
      <c r="Y186" s="360"/>
      <c r="Z186" s="360"/>
      <c r="AA186" s="360"/>
      <c r="AB186" s="369"/>
      <c r="AC186" s="360"/>
      <c r="AD186" s="360"/>
      <c r="AE186" s="360"/>
      <c r="AF186" s="369"/>
      <c r="AG186" s="360"/>
      <c r="AH186" s="360"/>
      <c r="AI186" s="360"/>
      <c r="AJ186" s="369"/>
      <c r="AK186" s="360"/>
      <c r="AL186" s="360"/>
      <c r="AM186" s="360"/>
      <c r="AN186" s="369"/>
      <c r="AO186" s="360"/>
      <c r="AP186" s="360"/>
      <c r="AQ186" s="360"/>
      <c r="AR186" s="369"/>
      <c r="AS186" s="360"/>
      <c r="AT186" s="360"/>
      <c r="AU186" s="360"/>
      <c r="AV186" s="369"/>
      <c r="AW186" s="360"/>
      <c r="AX186" s="360"/>
      <c r="AY186" s="360"/>
      <c r="AZ186" s="369"/>
      <c r="BA186" s="360"/>
      <c r="BB186" s="360"/>
      <c r="BC186" s="360"/>
      <c r="BD186" s="369"/>
      <c r="BE186" s="360"/>
      <c r="BF186" s="360"/>
      <c r="BG186" s="360"/>
      <c r="BH186" s="369"/>
      <c r="BI186" s="321"/>
      <c r="BJ186" s="321"/>
      <c r="BK186" s="321"/>
      <c r="BL186" s="322"/>
      <c r="BM186" s="1509"/>
      <c r="BN186" s="321"/>
      <c r="BO186" s="321"/>
      <c r="BP186" s="369"/>
      <c r="BQ186" s="371"/>
      <c r="BR186" s="360"/>
      <c r="BS186" s="360"/>
      <c r="BT186" s="369"/>
      <c r="BU186" s="371"/>
      <c r="BV186" s="360"/>
      <c r="BW186" s="360"/>
      <c r="BX186" s="369"/>
      <c r="BY186" s="371"/>
      <c r="BZ186" s="360"/>
      <c r="CA186" s="360"/>
      <c r="CB186" s="369"/>
      <c r="CC186" s="371"/>
      <c r="CD186" s="360"/>
      <c r="CE186" s="360"/>
      <c r="CF186" s="369"/>
      <c r="CG186" s="316"/>
      <c r="CH186" s="320"/>
      <c r="CI186" s="315"/>
      <c r="CJ186" s="360"/>
      <c r="CK186" s="360"/>
      <c r="CL186" s="360"/>
      <c r="CM186" s="360"/>
      <c r="CN186" s="360"/>
      <c r="CO186" s="360"/>
      <c r="CP186" s="360"/>
      <c r="CQ186" s="326"/>
      <c r="CR186" s="360"/>
      <c r="CS186" s="360"/>
      <c r="CT186" s="360"/>
      <c r="CU186" s="360"/>
      <c r="CV186" s="360"/>
      <c r="CW186" s="360"/>
      <c r="CX186" s="360"/>
      <c r="CY186" s="360"/>
      <c r="CZ186" s="360"/>
      <c r="DA186" s="360"/>
      <c r="DB186" s="360"/>
      <c r="DC186" s="360"/>
      <c r="DD186" s="360"/>
      <c r="DE186" s="360"/>
      <c r="DF186" s="369"/>
      <c r="DG186" s="94"/>
      <c r="DH186" s="94"/>
    </row>
    <row r="187" spans="1:113" s="102" customFormat="1" ht="11.25" customHeight="1">
      <c r="A187" s="8"/>
      <c r="B187"/>
      <c r="C187"/>
      <c r="D187"/>
      <c r="E187"/>
      <c r="F187"/>
      <c r="G187"/>
      <c r="H187" s="1046"/>
      <c r="I187" s="1370" t="s">
        <v>164</v>
      </c>
      <c r="J187" s="135"/>
      <c r="K187" s="135"/>
      <c r="L187" s="101"/>
      <c r="M187" s="432"/>
      <c r="N187" s="432"/>
      <c r="O187" s="432"/>
      <c r="P187" s="433"/>
      <c r="Q187" s="432"/>
      <c r="R187" s="432"/>
      <c r="S187" s="432"/>
      <c r="T187" s="433"/>
      <c r="U187" s="368"/>
      <c r="V187" s="368"/>
      <c r="W187" s="368"/>
      <c r="X187" s="434"/>
      <c r="Y187" s="368"/>
      <c r="Z187" s="368"/>
      <c r="AA187" s="368"/>
      <c r="AB187" s="434"/>
      <c r="AC187" s="368"/>
      <c r="AD187" s="368"/>
      <c r="AE187" s="368"/>
      <c r="AF187" s="434"/>
      <c r="AG187" s="368"/>
      <c r="AH187" s="368"/>
      <c r="AI187" s="368"/>
      <c r="AJ187" s="434"/>
      <c r="AK187" s="435"/>
      <c r="AL187" s="435"/>
      <c r="AM187" s="435"/>
      <c r="AN187" s="436"/>
      <c r="AO187" s="435"/>
      <c r="AP187" s="435"/>
      <c r="AQ187" s="435"/>
      <c r="AR187" s="436"/>
      <c r="AS187" s="435"/>
      <c r="AT187" s="435"/>
      <c r="AU187" s="435"/>
      <c r="AV187" s="436"/>
      <c r="AW187" s="435"/>
      <c r="AX187" s="435"/>
      <c r="AY187" s="435"/>
      <c r="AZ187" s="436"/>
      <c r="BA187" s="435"/>
      <c r="BB187" s="435"/>
      <c r="BC187" s="435"/>
      <c r="BD187" s="436"/>
      <c r="BE187" s="435"/>
      <c r="BF187" s="435"/>
      <c r="BG187" s="435"/>
      <c r="BH187" s="436"/>
      <c r="BI187" s="437"/>
      <c r="BJ187" s="429"/>
      <c r="BK187" s="429"/>
      <c r="BL187" s="430"/>
      <c r="BM187" s="1553"/>
      <c r="BN187" s="437"/>
      <c r="BO187" s="414"/>
      <c r="BP187" s="436"/>
      <c r="BQ187" s="1559"/>
      <c r="BR187" s="435"/>
      <c r="BS187" s="435"/>
      <c r="BT187" s="436"/>
      <c r="BU187" s="1559"/>
      <c r="BV187" s="435"/>
      <c r="BW187" s="435"/>
      <c r="BX187" s="436"/>
      <c r="BY187" s="1559"/>
      <c r="BZ187" s="435"/>
      <c r="CA187" s="435"/>
      <c r="CB187" s="436"/>
      <c r="CC187" s="1559"/>
      <c r="CD187" s="435"/>
      <c r="CE187" s="435"/>
      <c r="CF187" s="436"/>
      <c r="CG187" s="433"/>
      <c r="CH187" s="438"/>
      <c r="CI187" s="432"/>
      <c r="CJ187" s="368"/>
      <c r="CK187" s="368"/>
      <c r="CL187" s="368"/>
      <c r="CM187" s="368"/>
      <c r="CN187" s="435"/>
      <c r="CO187" s="435"/>
      <c r="CP187" s="435"/>
      <c r="CQ187" s="435"/>
      <c r="CR187" s="435"/>
      <c r="CS187" s="435"/>
      <c r="CT187" s="435"/>
      <c r="CU187" s="435"/>
      <c r="CV187" s="435"/>
      <c r="CW187" s="435"/>
      <c r="CX187" s="435"/>
      <c r="CY187" s="435"/>
      <c r="CZ187" s="435"/>
      <c r="DA187" s="435"/>
      <c r="DB187" s="435"/>
      <c r="DC187" s="435"/>
      <c r="DD187" s="435"/>
      <c r="DE187" s="435"/>
      <c r="DF187" s="436"/>
    </row>
    <row r="188" spans="1:113" s="612" customFormat="1" ht="11.25" customHeight="1">
      <c r="A188" s="547"/>
      <c r="B188"/>
      <c r="C188"/>
      <c r="D188"/>
      <c r="E188"/>
      <c r="F188"/>
      <c r="G188"/>
      <c r="H188" s="1047"/>
      <c r="I188" s="591" t="s">
        <v>165</v>
      </c>
      <c r="J188" s="547"/>
      <c r="K188" s="547"/>
      <c r="L188" s="611"/>
      <c r="M188" s="551"/>
      <c r="N188" s="551"/>
      <c r="O188" s="551"/>
      <c r="P188" s="552"/>
      <c r="Q188" s="551"/>
      <c r="R188" s="551"/>
      <c r="S188" s="551"/>
      <c r="T188" s="552"/>
      <c r="U188" s="394"/>
      <c r="V188" s="394"/>
      <c r="W188" s="394"/>
      <c r="X188" s="395"/>
      <c r="Y188" s="394"/>
      <c r="Z188" s="394"/>
      <c r="AA188" s="394"/>
      <c r="AB188" s="395"/>
      <c r="AC188" s="394"/>
      <c r="AD188" s="394"/>
      <c r="AE188" s="394"/>
      <c r="AF188" s="395"/>
      <c r="AG188" s="394"/>
      <c r="AH188" s="394"/>
      <c r="AI188" s="394"/>
      <c r="AJ188" s="395"/>
      <c r="AK188" s="396">
        <f t="shared" ref="AK188:CF188" si="371">+AK222</f>
        <v>478.81200000000001</v>
      </c>
      <c r="AL188" s="396">
        <f t="shared" si="371"/>
        <v>547.78700000000003</v>
      </c>
      <c r="AM188" s="396">
        <f t="shared" si="371"/>
        <v>602.20500000000004</v>
      </c>
      <c r="AN188" s="397">
        <f t="shared" si="371"/>
        <v>525.57099999999991</v>
      </c>
      <c r="AO188" s="396">
        <f t="shared" si="371"/>
        <v>720.96799999999985</v>
      </c>
      <c r="AP188" s="396">
        <f t="shared" si="371"/>
        <v>872.28400000000011</v>
      </c>
      <c r="AQ188" s="396">
        <f t="shared" si="371"/>
        <v>799.57700000000023</v>
      </c>
      <c r="AR188" s="397">
        <f t="shared" si="371"/>
        <v>688.92299999999977</v>
      </c>
      <c r="AS188" s="396">
        <f t="shared" si="371"/>
        <v>851.15699999999993</v>
      </c>
      <c r="AT188" s="396">
        <f t="shared" si="371"/>
        <v>964.46399999999994</v>
      </c>
      <c r="AU188" s="396">
        <f t="shared" si="371"/>
        <v>998.71499999999992</v>
      </c>
      <c r="AV188" s="397">
        <f t="shared" si="371"/>
        <v>830.98300000000017</v>
      </c>
      <c r="AW188" s="396">
        <f t="shared" si="371"/>
        <v>989.35000000000014</v>
      </c>
      <c r="AX188" s="396">
        <f t="shared" si="371"/>
        <v>1153.8790000000004</v>
      </c>
      <c r="AY188" s="396">
        <f t="shared" si="371"/>
        <v>1121</v>
      </c>
      <c r="AZ188" s="397">
        <f t="shared" si="371"/>
        <v>902</v>
      </c>
      <c r="BA188" s="396">
        <f t="shared" si="371"/>
        <v>1129</v>
      </c>
      <c r="BB188" s="396">
        <f t="shared" si="371"/>
        <v>1308</v>
      </c>
      <c r="BC188" s="396">
        <f t="shared" si="371"/>
        <v>1268</v>
      </c>
      <c r="BD188" s="397">
        <f t="shared" si="371"/>
        <v>1044</v>
      </c>
      <c r="BE188" s="396">
        <f t="shared" si="371"/>
        <v>1260</v>
      </c>
      <c r="BF188" s="396">
        <f t="shared" si="371"/>
        <v>1377</v>
      </c>
      <c r="BG188" s="396">
        <f t="shared" si="371"/>
        <v>1359</v>
      </c>
      <c r="BH188" s="397">
        <f t="shared" si="371"/>
        <v>1090</v>
      </c>
      <c r="BI188" s="396">
        <f t="shared" si="371"/>
        <v>1370</v>
      </c>
      <c r="BJ188" s="396">
        <f t="shared" si="371"/>
        <v>1538</v>
      </c>
      <c r="BK188" s="396">
        <f t="shared" si="371"/>
        <v>1586</v>
      </c>
      <c r="BL188" s="397">
        <f t="shared" si="371"/>
        <v>1379</v>
      </c>
      <c r="BM188" s="1326">
        <f t="shared" si="371"/>
        <v>1637</v>
      </c>
      <c r="BN188" s="396">
        <f t="shared" si="371"/>
        <v>1856</v>
      </c>
      <c r="BO188" s="396">
        <f>+BO222</f>
        <v>1743</v>
      </c>
      <c r="BP188" s="397">
        <f>+BP222</f>
        <v>1426</v>
      </c>
      <c r="BQ188" s="1326">
        <f t="shared" si="371"/>
        <v>1672</v>
      </c>
      <c r="BR188" s="396">
        <f t="shared" si="371"/>
        <v>1868</v>
      </c>
      <c r="BS188" s="396">
        <f>+BS222</f>
        <v>1700</v>
      </c>
      <c r="BT188" s="397">
        <f>+BT222</f>
        <v>1317</v>
      </c>
      <c r="BU188" s="1326">
        <f t="shared" si="371"/>
        <v>1640.7001174553604</v>
      </c>
      <c r="BV188" s="396">
        <f t="shared" si="371"/>
        <v>1894.4845066380005</v>
      </c>
      <c r="BW188" s="396">
        <f>+BW222</f>
        <v>1880.7066796544</v>
      </c>
      <c r="BX188" s="397">
        <f t="shared" si="371"/>
        <v>1462.8609324000004</v>
      </c>
      <c r="BY188" s="1326">
        <f t="shared" ref="BY188:BZ188" si="372">+BY222</f>
        <v>1686.5101607002885</v>
      </c>
      <c r="BZ188" s="396">
        <f t="shared" si="372"/>
        <v>1951.7842296624005</v>
      </c>
      <c r="CA188" s="396">
        <f>+CA222</f>
        <v>1950.9062400262401</v>
      </c>
      <c r="CB188" s="397">
        <f t="shared" ref="CB188" si="373">+CB222</f>
        <v>1528.8995229200004</v>
      </c>
      <c r="CC188" s="1326">
        <f t="shared" si="371"/>
        <v>1752.7231874213828</v>
      </c>
      <c r="CD188" s="396">
        <f t="shared" si="371"/>
        <v>2030.6611899917707</v>
      </c>
      <c r="CE188" s="396">
        <f t="shared" si="371"/>
        <v>2036.5336652221122</v>
      </c>
      <c r="CF188" s="397">
        <f t="shared" si="371"/>
        <v>1601.7922710160008</v>
      </c>
      <c r="CG188" s="552"/>
      <c r="CH188" s="553"/>
      <c r="CI188" s="336"/>
      <c r="CJ188" s="336"/>
      <c r="CK188" s="336"/>
      <c r="CL188" s="336"/>
      <c r="CM188" s="394"/>
      <c r="CN188" s="396">
        <f t="shared" ref="CN188:CX188" si="374">+CN222</f>
        <v>2154.375</v>
      </c>
      <c r="CO188" s="396">
        <f t="shared" si="374"/>
        <v>3081.752</v>
      </c>
      <c r="CP188" s="396">
        <f t="shared" si="374"/>
        <v>3645.319</v>
      </c>
      <c r="CQ188" s="396">
        <f t="shared" si="374"/>
        <v>4166.2290000000003</v>
      </c>
      <c r="CR188" s="396">
        <f t="shared" si="374"/>
        <v>4749</v>
      </c>
      <c r="CS188" s="396">
        <f t="shared" si="374"/>
        <v>5086</v>
      </c>
      <c r="CT188" s="396">
        <f t="shared" si="374"/>
        <v>5873</v>
      </c>
      <c r="CU188" s="396">
        <f t="shared" si="374"/>
        <v>6662</v>
      </c>
      <c r="CV188" s="396">
        <f t="shared" si="374"/>
        <v>6557</v>
      </c>
      <c r="CW188" s="396">
        <f t="shared" si="374"/>
        <v>6878.7522361477622</v>
      </c>
      <c r="CX188" s="396">
        <f t="shared" si="374"/>
        <v>7118.1001533089293</v>
      </c>
      <c r="CY188" s="396">
        <f t="shared" ref="CY188:DF188" si="375">+CY222</f>
        <v>7421.7103136512669</v>
      </c>
      <c r="CZ188" s="396">
        <f t="shared" si="375"/>
        <v>7678.4162834531689</v>
      </c>
      <c r="DA188" s="396">
        <f t="shared" si="375"/>
        <v>7877.977565852917</v>
      </c>
      <c r="DB188" s="396">
        <f t="shared" si="375"/>
        <v>8022.6851354918481</v>
      </c>
      <c r="DC188" s="396">
        <f t="shared" si="375"/>
        <v>8171.5720546913708</v>
      </c>
      <c r="DD188" s="396">
        <f t="shared" si="375"/>
        <v>8324.5933906259143</v>
      </c>
      <c r="DE188" s="396">
        <f t="shared" si="375"/>
        <v>8481.7161637950776</v>
      </c>
      <c r="DF188" s="397">
        <f t="shared" si="375"/>
        <v>8642.9183018919593</v>
      </c>
    </row>
    <row r="189" spans="1:113" s="308" customFormat="1" ht="11.25" customHeight="1">
      <c r="A189" s="82"/>
      <c r="B189"/>
      <c r="C189"/>
      <c r="D189"/>
      <c r="E189"/>
      <c r="F189"/>
      <c r="G189"/>
      <c r="H189" s="1047"/>
      <c r="I189" s="193" t="s">
        <v>166</v>
      </c>
      <c r="J189" s="83"/>
      <c r="K189" s="83"/>
      <c r="L189" s="307"/>
      <c r="M189" s="336"/>
      <c r="N189" s="336"/>
      <c r="O189" s="336"/>
      <c r="P189" s="337"/>
      <c r="Q189" s="336"/>
      <c r="R189" s="336"/>
      <c r="S189" s="336"/>
      <c r="T189" s="337"/>
      <c r="U189" s="328"/>
      <c r="V189" s="328"/>
      <c r="W189" s="328"/>
      <c r="X189" s="329"/>
      <c r="Y189" s="328"/>
      <c r="Z189" s="328"/>
      <c r="AA189" s="328"/>
      <c r="AB189" s="329"/>
      <c r="AC189" s="328"/>
      <c r="AD189" s="328"/>
      <c r="AE189" s="328"/>
      <c r="AF189" s="329"/>
      <c r="AG189" s="338">
        <f>+AG182/'Bookings and Drivers'!AG74</f>
        <v>0.46310286556949587</v>
      </c>
      <c r="AH189" s="338">
        <f>+AH182/'Bookings and Drivers'!AH74</f>
        <v>0.45650075250938676</v>
      </c>
      <c r="AI189" s="338">
        <f>+AI182/'Bookings and Drivers'!AI74</f>
        <v>0.48908572922940391</v>
      </c>
      <c r="AJ189" s="339">
        <f>+AJ182/'Bookings and Drivers'!AJ74</f>
        <v>0.50244286207043187</v>
      </c>
      <c r="AK189" s="338">
        <f t="shared" ref="AK189:BO189" si="376">+AK182/AK188</f>
        <v>0.49625113823379535</v>
      </c>
      <c r="AL189" s="338">
        <f t="shared" si="376"/>
        <v>0.48040935619136615</v>
      </c>
      <c r="AM189" s="338">
        <f t="shared" si="376"/>
        <v>0.47406946139603612</v>
      </c>
      <c r="AN189" s="339">
        <f t="shared" si="376"/>
        <v>0.44209631048897302</v>
      </c>
      <c r="AO189" s="338">
        <f t="shared" si="376"/>
        <v>0.41529721152672527</v>
      </c>
      <c r="AP189" s="338">
        <f t="shared" si="376"/>
        <v>0.40064474414296258</v>
      </c>
      <c r="AQ189" s="338">
        <f t="shared" si="376"/>
        <v>0.42260970488145599</v>
      </c>
      <c r="AR189" s="339">
        <f t="shared" si="376"/>
        <v>0.40382597184300734</v>
      </c>
      <c r="AS189" s="338">
        <f t="shared" si="376"/>
        <v>0.40821846028406039</v>
      </c>
      <c r="AT189" s="338">
        <f t="shared" si="376"/>
        <v>0.42110540154946163</v>
      </c>
      <c r="AU189" s="338">
        <f t="shared" si="376"/>
        <v>0.41429236568991157</v>
      </c>
      <c r="AV189" s="339">
        <f t="shared" si="376"/>
        <v>0.38370580384917624</v>
      </c>
      <c r="AW189" s="338">
        <f t="shared" si="376"/>
        <v>0.37256178298883086</v>
      </c>
      <c r="AX189" s="338">
        <f t="shared" si="376"/>
        <v>0.38551615897334107</v>
      </c>
      <c r="AY189" s="338">
        <f t="shared" si="376"/>
        <v>0.41996431757359504</v>
      </c>
      <c r="AZ189" s="339">
        <f t="shared" si="376"/>
        <v>0.39613747228381385</v>
      </c>
      <c r="BA189" s="338">
        <f t="shared" si="376"/>
        <v>0.37300265721877773</v>
      </c>
      <c r="BB189" s="338">
        <f t="shared" si="376"/>
        <v>0.37508868501529058</v>
      </c>
      <c r="BC189" s="338">
        <f t="shared" si="376"/>
        <v>0.39495583596214517</v>
      </c>
      <c r="BD189" s="339">
        <f t="shared" si="376"/>
        <v>0.36568007662835245</v>
      </c>
      <c r="BE189" s="338">
        <f t="shared" si="376"/>
        <v>0.33352936507936515</v>
      </c>
      <c r="BF189" s="338">
        <f t="shared" si="376"/>
        <v>0.33969426289034133</v>
      </c>
      <c r="BG189" s="338">
        <f t="shared" si="376"/>
        <v>0.34680647534952169</v>
      </c>
      <c r="BH189" s="339">
        <f t="shared" si="376"/>
        <v>0.32535779816513771</v>
      </c>
      <c r="BI189" s="338">
        <f t="shared" si="376"/>
        <v>0.29781897810218971</v>
      </c>
      <c r="BJ189" s="338">
        <f t="shared" si="376"/>
        <v>0.31224837451235377</v>
      </c>
      <c r="BK189" s="338">
        <f t="shared" si="376"/>
        <v>0.29628184110970984</v>
      </c>
      <c r="BL189" s="339">
        <f t="shared" si="376"/>
        <v>0.2836497461928934</v>
      </c>
      <c r="BM189" s="372">
        <f t="shared" si="376"/>
        <v>0.2637764202810019</v>
      </c>
      <c r="BN189" s="338">
        <f t="shared" si="376"/>
        <v>0.25515894396551714</v>
      </c>
      <c r="BO189" s="338">
        <f t="shared" si="376"/>
        <v>0.30780091795754438</v>
      </c>
      <c r="BP189" s="339">
        <f t="shared" ref="BP189:BV189" si="377">+BP182/BP188</f>
        <v>0.28758555399719493</v>
      </c>
      <c r="BQ189" s="372">
        <f t="shared" si="377"/>
        <v>0.26357296650717699</v>
      </c>
      <c r="BR189" s="338">
        <f t="shared" si="377"/>
        <v>0.25717184154175587</v>
      </c>
      <c r="BS189" s="338">
        <f t="shared" si="377"/>
        <v>0.29582411764705874</v>
      </c>
      <c r="BT189" s="339">
        <f t="shared" si="377"/>
        <v>0.303716780561883</v>
      </c>
      <c r="BU189" s="372">
        <f t="shared" si="377"/>
        <v>0.27312669465460188</v>
      </c>
      <c r="BV189" s="338">
        <f t="shared" si="377"/>
        <v>0.24064699310159846</v>
      </c>
      <c r="BW189" s="338">
        <f>+BW182/BW188</f>
        <v>0.20766236661198451</v>
      </c>
      <c r="BX189" s="339">
        <f>+BX182/BX188</f>
        <v>0.23818600407104557</v>
      </c>
      <c r="BY189" s="372">
        <f t="shared" ref="BY189:BZ189" si="378">+BY182/BY188</f>
        <v>0.24868157321142445</v>
      </c>
      <c r="BZ189" s="338">
        <f t="shared" si="378"/>
        <v>0.21752199528399477</v>
      </c>
      <c r="CA189" s="338">
        <f>+CA182/CA188</f>
        <v>0.2224755813965523</v>
      </c>
      <c r="CB189" s="339">
        <f>+CB182/CB188</f>
        <v>0.26364911098287502</v>
      </c>
      <c r="CC189" s="372">
        <f>+CC182/'Bookings and Drivers'!CC74</f>
        <v>0.22245455118895377</v>
      </c>
      <c r="CD189" s="338">
        <f>+CD182/'Bookings and Drivers'!CD74</f>
        <v>0.19623615124481633</v>
      </c>
      <c r="CE189" s="338">
        <f>+CE182/'Bookings and Drivers'!CE74</f>
        <v>0.22171853335179723</v>
      </c>
      <c r="CF189" s="339">
        <f>+CF182/'Bookings and Drivers'!CF74</f>
        <v>0.26337083897764901</v>
      </c>
      <c r="CG189" s="337"/>
      <c r="CH189" s="367"/>
      <c r="CI189" s="336"/>
      <c r="CJ189" s="336"/>
      <c r="CK189" s="336"/>
      <c r="CL189" s="336"/>
      <c r="CM189" s="338">
        <f>+CM182/'Bookings and Drivers'!CM74</f>
        <v>0.47628130718424183</v>
      </c>
      <c r="CN189" s="338">
        <f t="shared" ref="CN189:CT189" si="379">+CN182/CN188</f>
        <v>0.47281137220771674</v>
      </c>
      <c r="CO189" s="338">
        <f t="shared" si="379"/>
        <v>0.41048273839037019</v>
      </c>
      <c r="CP189" s="338">
        <f t="shared" si="379"/>
        <v>0.40770423658395877</v>
      </c>
      <c r="CQ189" s="338">
        <f t="shared" si="379"/>
        <v>0.39400834663673068</v>
      </c>
      <c r="CR189" s="338">
        <f t="shared" si="379"/>
        <v>0.37782901663508112</v>
      </c>
      <c r="CS189" s="338">
        <f t="shared" si="379"/>
        <v>0.33699488792764459</v>
      </c>
      <c r="CT189" s="338">
        <f t="shared" si="379"/>
        <v>0.29785561042056868</v>
      </c>
      <c r="CU189" s="338">
        <f>+CU182/'Bookings and Drivers'!CU74</f>
        <v>0.27799024317021914</v>
      </c>
      <c r="CV189" s="338">
        <f>+CV182/'Bookings and Drivers'!CV74</f>
        <v>0.27817401250571905</v>
      </c>
      <c r="CW189" s="338">
        <f>+CW182/'Bookings and Drivers'!CW74</f>
        <v>0.23885233013133148</v>
      </c>
      <c r="CX189" s="338">
        <f>+CX182/'Bookings and Drivers'!CX74</f>
        <v>0.23617004029067074</v>
      </c>
      <c r="CY189" s="338">
        <f>+CY182/'Bookings and Drivers'!CY74</f>
        <v>0.2239097118929384</v>
      </c>
      <c r="CZ189" s="338">
        <f>+CZ182/'Bookings and Drivers'!CZ74</f>
        <v>0.22487731547602077</v>
      </c>
      <c r="DA189" s="338">
        <f>+DA182/'Bookings and Drivers'!DA74</f>
        <v>0.2255792791248232</v>
      </c>
      <c r="DB189" s="338">
        <f>+DB182/'Bookings and Drivers'!DB74</f>
        <v>0.22614190245928215</v>
      </c>
      <c r="DC189" s="338">
        <f>+DC182/'Bookings and Drivers'!DC74</f>
        <v>0.22671172270296472</v>
      </c>
      <c r="DD189" s="338">
        <f>+DD182/'Bookings and Drivers'!DD74</f>
        <v>0.22728641394454754</v>
      </c>
      <c r="DE189" s="338">
        <f>+DE182/'Bookings and Drivers'!DE74</f>
        <v>0.227863949507325</v>
      </c>
      <c r="DF189" s="339">
        <f>+DF182/'Bookings and Drivers'!DF74</f>
        <v>0.22844256864029108</v>
      </c>
    </row>
    <row r="190" spans="1:113" s="61" customFormat="1" ht="11.25" customHeight="1">
      <c r="A190" s="57"/>
      <c r="B190"/>
      <c r="C190"/>
      <c r="D190"/>
      <c r="E190"/>
      <c r="F190"/>
      <c r="G190"/>
      <c r="H190" s="1052"/>
      <c r="I190" s="188" t="s">
        <v>384</v>
      </c>
      <c r="J190" s="85"/>
      <c r="K190" s="85"/>
      <c r="L190" s="60"/>
      <c r="M190" s="350"/>
      <c r="N190" s="350"/>
      <c r="O190" s="350"/>
      <c r="P190" s="351"/>
      <c r="Q190" s="350"/>
      <c r="R190" s="350"/>
      <c r="S190" s="350"/>
      <c r="T190" s="351"/>
      <c r="U190" s="352"/>
      <c r="V190" s="352"/>
      <c r="W190" s="352"/>
      <c r="X190" s="353"/>
      <c r="Y190" s="352"/>
      <c r="Z190" s="352"/>
      <c r="AA190" s="352"/>
      <c r="AB190" s="353"/>
      <c r="AC190" s="352"/>
      <c r="AD190" s="352"/>
      <c r="AE190" s="352"/>
      <c r="AF190" s="353"/>
      <c r="AG190" s="352"/>
      <c r="AH190" s="352"/>
      <c r="AI190" s="352"/>
      <c r="AJ190" s="353"/>
      <c r="AK190" s="354">
        <f t="shared" ref="AK190:CF190" si="380">+(AK189-AG189)*10000</f>
        <v>331.48272664299481</v>
      </c>
      <c r="AL190" s="354">
        <f t="shared" si="380"/>
        <v>239.08603681979389</v>
      </c>
      <c r="AM190" s="354">
        <f t="shared" si="380"/>
        <v>-150.16267833367792</v>
      </c>
      <c r="AN190" s="355">
        <f t="shared" si="380"/>
        <v>-603.46551581458857</v>
      </c>
      <c r="AO190" s="354">
        <f t="shared" si="380"/>
        <v>-809.53926707070082</v>
      </c>
      <c r="AP190" s="354">
        <f t="shared" si="380"/>
        <v>-797.64612048403569</v>
      </c>
      <c r="AQ190" s="354">
        <f t="shared" si="380"/>
        <v>-514.59756514580124</v>
      </c>
      <c r="AR190" s="355">
        <f t="shared" si="380"/>
        <v>-382.70338645965683</v>
      </c>
      <c r="AS190" s="354">
        <f t="shared" si="380"/>
        <v>-70.787512426648817</v>
      </c>
      <c r="AT190" s="354">
        <f t="shared" si="380"/>
        <v>204.6065740649905</v>
      </c>
      <c r="AU190" s="354">
        <f t="shared" si="380"/>
        <v>-83.173391915444256</v>
      </c>
      <c r="AV190" s="355">
        <f t="shared" si="380"/>
        <v>-201.20167993831095</v>
      </c>
      <c r="AW190" s="354">
        <f t="shared" si="380"/>
        <v>-356.56677295229531</v>
      </c>
      <c r="AX190" s="354">
        <f t="shared" si="380"/>
        <v>-355.89242576120563</v>
      </c>
      <c r="AY190" s="354">
        <f t="shared" si="380"/>
        <v>56.719518836834681</v>
      </c>
      <c r="AZ190" s="355">
        <f t="shared" si="380"/>
        <v>124.31668434637611</v>
      </c>
      <c r="BA190" s="354">
        <f t="shared" si="380"/>
        <v>4.4087422994687486</v>
      </c>
      <c r="BB190" s="354">
        <f t="shared" si="380"/>
        <v>-104.27473958050493</v>
      </c>
      <c r="BC190" s="354">
        <f t="shared" si="380"/>
        <v>-250.08481611449861</v>
      </c>
      <c r="BD190" s="355">
        <f t="shared" si="380"/>
        <v>-304.57395655461403</v>
      </c>
      <c r="BE190" s="354">
        <f t="shared" si="380"/>
        <v>-394.73292139412587</v>
      </c>
      <c r="BF190" s="354">
        <f t="shared" si="380"/>
        <v>-353.94422124949256</v>
      </c>
      <c r="BG190" s="354">
        <f t="shared" si="380"/>
        <v>-481.49360612623479</v>
      </c>
      <c r="BH190" s="355">
        <f t="shared" si="380"/>
        <v>-403.22278463214735</v>
      </c>
      <c r="BI190" s="354">
        <f t="shared" si="380"/>
        <v>-357.10386977175432</v>
      </c>
      <c r="BJ190" s="354">
        <f t="shared" si="380"/>
        <v>-274.45888377987558</v>
      </c>
      <c r="BK190" s="354">
        <f t="shared" si="380"/>
        <v>-505.24634239811849</v>
      </c>
      <c r="BL190" s="355">
        <f t="shared" si="380"/>
        <v>-417.08051972244311</v>
      </c>
      <c r="BM190" s="1511">
        <f t="shared" si="380"/>
        <v>-340.42557821187813</v>
      </c>
      <c r="BN190" s="354">
        <f t="shared" si="380"/>
        <v>-570.89430546836627</v>
      </c>
      <c r="BO190" s="354">
        <f t="shared" si="380"/>
        <v>115.19076847834542</v>
      </c>
      <c r="BP190" s="355">
        <f>+(BP189-BL189)*10000</f>
        <v>39.358078043015276</v>
      </c>
      <c r="BQ190" s="1511">
        <f t="shared" si="380"/>
        <v>-2.0345377382491314</v>
      </c>
      <c r="BR190" s="354">
        <f t="shared" si="380"/>
        <v>20.12897576238737</v>
      </c>
      <c r="BS190" s="354">
        <f t="shared" si="380"/>
        <v>-119.76800310485646</v>
      </c>
      <c r="BT190" s="355">
        <f t="shared" si="380"/>
        <v>161.31226564688072</v>
      </c>
      <c r="BU190" s="1511">
        <f t="shared" si="380"/>
        <v>95.537281474248886</v>
      </c>
      <c r="BV190" s="354">
        <f t="shared" si="380"/>
        <v>-165.24848440157419</v>
      </c>
      <c r="BW190" s="354">
        <f t="shared" si="380"/>
        <v>-881.61751035074235</v>
      </c>
      <c r="BX190" s="355">
        <f t="shared" si="380"/>
        <v>-655.30776490837434</v>
      </c>
      <c r="BY190" s="1511">
        <f t="shared" ref="BY190" si="381">+(BY189-BU189)*10000</f>
        <v>-244.45121443177425</v>
      </c>
      <c r="BZ190" s="354">
        <f t="shared" ref="BZ190" si="382">+(BZ189-BV189)*10000</f>
        <v>-231.24997817603688</v>
      </c>
      <c r="CA190" s="354">
        <f t="shared" ref="CA190" si="383">+(CA189-BW189)*10000</f>
        <v>148.13214784567791</v>
      </c>
      <c r="CB190" s="355">
        <f t="shared" ref="CB190" si="384">+(CB189-BX189)*10000</f>
        <v>254.63106911829459</v>
      </c>
      <c r="CC190" s="1511">
        <f t="shared" si="380"/>
        <v>-262.2702202247068</v>
      </c>
      <c r="CD190" s="354">
        <f t="shared" si="380"/>
        <v>-212.85844039178437</v>
      </c>
      <c r="CE190" s="354">
        <f t="shared" si="380"/>
        <v>-7.5704804475507093</v>
      </c>
      <c r="CF190" s="355">
        <f t="shared" si="380"/>
        <v>-2.7827200522601014</v>
      </c>
      <c r="CG190" s="351"/>
      <c r="CH190" s="356"/>
      <c r="CI190" s="336"/>
      <c r="CJ190" s="336"/>
      <c r="CK190" s="336"/>
      <c r="CL190" s="336"/>
      <c r="CM190" s="352"/>
      <c r="CN190" s="354">
        <f t="shared" ref="CN190:CX190" si="385">+(CN189-CM189)*10000</f>
        <v>-34.699349765250908</v>
      </c>
      <c r="CO190" s="354">
        <f t="shared" si="385"/>
        <v>-623.28633817346542</v>
      </c>
      <c r="CP190" s="354">
        <f t="shared" si="385"/>
        <v>-27.785018064114265</v>
      </c>
      <c r="CQ190" s="354">
        <f t="shared" si="385"/>
        <v>-136.9588994722809</v>
      </c>
      <c r="CR190" s="354">
        <f t="shared" si="385"/>
        <v>-161.79330001649561</v>
      </c>
      <c r="CS190" s="354">
        <f t="shared" si="385"/>
        <v>-408.34128707436525</v>
      </c>
      <c r="CT190" s="354">
        <f t="shared" si="385"/>
        <v>-391.39277507075911</v>
      </c>
      <c r="CU190" s="354">
        <f>+(CU189-CT189)*10000</f>
        <v>-198.65367250349541</v>
      </c>
      <c r="CV190" s="354">
        <f>+(CV189-CU189)*10000</f>
        <v>1.8376933549990593</v>
      </c>
      <c r="CW190" s="354">
        <f t="shared" si="385"/>
        <v>-393.21682374387575</v>
      </c>
      <c r="CX190" s="354">
        <f t="shared" si="385"/>
        <v>-26.822898406607397</v>
      </c>
      <c r="CY190" s="354">
        <f t="shared" ref="CY190:DF190" si="386">+(CY189-CX189)*10000</f>
        <v>-122.60328397732334</v>
      </c>
      <c r="CZ190" s="354">
        <f t="shared" si="386"/>
        <v>9.6760358308237144</v>
      </c>
      <c r="DA190" s="354">
        <f t="shared" si="386"/>
        <v>7.0196364880242834</v>
      </c>
      <c r="DB190" s="354">
        <f t="shared" si="386"/>
        <v>5.6262333445894486</v>
      </c>
      <c r="DC190" s="354">
        <f t="shared" si="386"/>
        <v>5.6982024368257278</v>
      </c>
      <c r="DD190" s="354">
        <f t="shared" si="386"/>
        <v>5.7469124158282536</v>
      </c>
      <c r="DE190" s="354">
        <f t="shared" si="386"/>
        <v>5.7753556277745366</v>
      </c>
      <c r="DF190" s="355">
        <f t="shared" si="386"/>
        <v>5.7861913296608503</v>
      </c>
    </row>
    <row r="191" spans="1:113" s="61" customFormat="1" ht="11.25" customHeight="1">
      <c r="A191" s="48"/>
      <c r="B191"/>
      <c r="C191"/>
      <c r="D191"/>
      <c r="E191"/>
      <c r="F191"/>
      <c r="G191"/>
      <c r="H191" s="1047"/>
      <c r="I191" s="188" t="s">
        <v>167</v>
      </c>
      <c r="J191" s="85"/>
      <c r="K191" s="85"/>
      <c r="L191" s="60"/>
      <c r="M191" s="350"/>
      <c r="N191" s="350"/>
      <c r="O191" s="350"/>
      <c r="P191" s="351"/>
      <c r="Q191" s="350"/>
      <c r="R191" s="350"/>
      <c r="S191" s="350"/>
      <c r="T191" s="351"/>
      <c r="U191" s="352"/>
      <c r="V191" s="352"/>
      <c r="W191" s="352"/>
      <c r="X191" s="353"/>
      <c r="Y191" s="352"/>
      <c r="Z191" s="352"/>
      <c r="AA191" s="352"/>
      <c r="AB191" s="353"/>
      <c r="AC191" s="352"/>
      <c r="AD191" s="352"/>
      <c r="AE191" s="352"/>
      <c r="AF191" s="353"/>
      <c r="AG191" s="352"/>
      <c r="AH191" s="352"/>
      <c r="AI191" s="352"/>
      <c r="AJ191" s="353"/>
      <c r="AK191" s="354">
        <f t="shared" ref="AK191:CF191" si="387">+AK190+AG190</f>
        <v>331.48272664299481</v>
      </c>
      <c r="AL191" s="354">
        <f t="shared" si="387"/>
        <v>239.08603681979389</v>
      </c>
      <c r="AM191" s="354">
        <f t="shared" si="387"/>
        <v>-150.16267833367792</v>
      </c>
      <c r="AN191" s="355">
        <f t="shared" si="387"/>
        <v>-603.46551581458857</v>
      </c>
      <c r="AO191" s="354">
        <f t="shared" si="387"/>
        <v>-478.05654042770601</v>
      </c>
      <c r="AP191" s="354">
        <f t="shared" si="387"/>
        <v>-558.5600836642418</v>
      </c>
      <c r="AQ191" s="354">
        <f t="shared" si="387"/>
        <v>-664.76024347947919</v>
      </c>
      <c r="AR191" s="355">
        <f t="shared" si="387"/>
        <v>-986.1689022742454</v>
      </c>
      <c r="AS191" s="354">
        <f t="shared" si="387"/>
        <v>-880.32677949734966</v>
      </c>
      <c r="AT191" s="354">
        <f t="shared" si="387"/>
        <v>-593.03954641904522</v>
      </c>
      <c r="AU191" s="354">
        <f t="shared" si="387"/>
        <v>-597.77095706124555</v>
      </c>
      <c r="AV191" s="355">
        <f t="shared" si="387"/>
        <v>-583.90506639796774</v>
      </c>
      <c r="AW191" s="354">
        <f t="shared" si="387"/>
        <v>-427.35428537894416</v>
      </c>
      <c r="AX191" s="354">
        <f t="shared" si="387"/>
        <v>-151.28585169621513</v>
      </c>
      <c r="AY191" s="354">
        <f t="shared" si="387"/>
        <v>-26.453873078609575</v>
      </c>
      <c r="AZ191" s="355">
        <f t="shared" si="387"/>
        <v>-76.884995591934839</v>
      </c>
      <c r="BA191" s="354">
        <f t="shared" si="387"/>
        <v>-352.15803065282654</v>
      </c>
      <c r="BB191" s="354">
        <f t="shared" si="387"/>
        <v>-460.16716534171053</v>
      </c>
      <c r="BC191" s="354">
        <f t="shared" si="387"/>
        <v>-193.36529727766393</v>
      </c>
      <c r="BD191" s="355">
        <f t="shared" si="387"/>
        <v>-180.25727220823791</v>
      </c>
      <c r="BE191" s="354">
        <f t="shared" si="387"/>
        <v>-390.3241790946571</v>
      </c>
      <c r="BF191" s="354">
        <f t="shared" si="387"/>
        <v>-458.21896082999751</v>
      </c>
      <c r="BG191" s="354">
        <f t="shared" si="387"/>
        <v>-731.5784222407334</v>
      </c>
      <c r="BH191" s="355">
        <f t="shared" si="387"/>
        <v>-707.79674118676144</v>
      </c>
      <c r="BI191" s="354">
        <f t="shared" si="387"/>
        <v>-751.83679116588019</v>
      </c>
      <c r="BJ191" s="354">
        <f t="shared" si="387"/>
        <v>-628.40310502936813</v>
      </c>
      <c r="BK191" s="354">
        <f t="shared" si="387"/>
        <v>-986.73994852435328</v>
      </c>
      <c r="BL191" s="355">
        <f t="shared" si="387"/>
        <v>-820.30330435459041</v>
      </c>
      <c r="BM191" s="1511">
        <f t="shared" si="387"/>
        <v>-697.52944798363251</v>
      </c>
      <c r="BN191" s="354">
        <f t="shared" si="387"/>
        <v>-845.35318924824185</v>
      </c>
      <c r="BO191" s="354">
        <f t="shared" si="387"/>
        <v>-390.05557391977305</v>
      </c>
      <c r="BP191" s="355">
        <f>+BP190+BL190</f>
        <v>-377.72244167942785</v>
      </c>
      <c r="BQ191" s="1511">
        <f t="shared" si="387"/>
        <v>-342.46011595012726</v>
      </c>
      <c r="BR191" s="354">
        <f t="shared" si="387"/>
        <v>-550.76532970597896</v>
      </c>
      <c r="BS191" s="354">
        <f t="shared" si="387"/>
        <v>-4.5772346265110428</v>
      </c>
      <c r="BT191" s="355">
        <f t="shared" si="387"/>
        <v>200.67034368989599</v>
      </c>
      <c r="BU191" s="1511">
        <f t="shared" si="387"/>
        <v>93.502743735999758</v>
      </c>
      <c r="BV191" s="354">
        <f t="shared" si="387"/>
        <v>-145.11950863918682</v>
      </c>
      <c r="BW191" s="354">
        <f t="shared" si="387"/>
        <v>-1001.3855134555988</v>
      </c>
      <c r="BX191" s="355">
        <f t="shared" si="387"/>
        <v>-493.99549926149359</v>
      </c>
      <c r="BY191" s="1511">
        <f t="shared" ref="BY191" si="388">+BY190+BU190</f>
        <v>-148.91393295752536</v>
      </c>
      <c r="BZ191" s="354">
        <f t="shared" ref="BZ191" si="389">+BZ190+BV190</f>
        <v>-396.49846257761106</v>
      </c>
      <c r="CA191" s="354">
        <f t="shared" ref="CA191" si="390">+CA190+BW190</f>
        <v>-733.48536250506447</v>
      </c>
      <c r="CB191" s="355">
        <f t="shared" ref="CB191" si="391">+CB190+BX190</f>
        <v>-400.67669579007975</v>
      </c>
      <c r="CC191" s="1511">
        <f t="shared" si="387"/>
        <v>-506.72143465648105</v>
      </c>
      <c r="CD191" s="354">
        <f t="shared" si="387"/>
        <v>-444.10841856782122</v>
      </c>
      <c r="CE191" s="354">
        <f t="shared" si="387"/>
        <v>140.56166739812718</v>
      </c>
      <c r="CF191" s="355">
        <f t="shared" si="387"/>
        <v>251.8483490660345</v>
      </c>
      <c r="CG191" s="351"/>
      <c r="CH191" s="356"/>
      <c r="CI191" s="336"/>
      <c r="CJ191" s="336"/>
      <c r="CK191" s="336"/>
      <c r="CL191" s="336"/>
      <c r="CM191" s="352"/>
      <c r="CN191" s="354">
        <f t="shared" ref="CN191:CX191" si="392">+CN190+CM190</f>
        <v>-34.699349765250908</v>
      </c>
      <c r="CO191" s="354">
        <f t="shared" si="392"/>
        <v>-657.9856879387163</v>
      </c>
      <c r="CP191" s="354">
        <f t="shared" si="392"/>
        <v>-651.07135623757972</v>
      </c>
      <c r="CQ191" s="354">
        <f t="shared" si="392"/>
        <v>-164.74391753639517</v>
      </c>
      <c r="CR191" s="354">
        <f t="shared" si="392"/>
        <v>-298.75219948877651</v>
      </c>
      <c r="CS191" s="354">
        <f t="shared" si="392"/>
        <v>-570.1345870908608</v>
      </c>
      <c r="CT191" s="354">
        <f t="shared" si="392"/>
        <v>-799.73406214512443</v>
      </c>
      <c r="CU191" s="354">
        <f>+CU190+CT190</f>
        <v>-590.04644757425456</v>
      </c>
      <c r="CV191" s="354">
        <f t="shared" si="392"/>
        <v>-196.81597914849635</v>
      </c>
      <c r="CW191" s="354">
        <f t="shared" si="392"/>
        <v>-391.37913038887672</v>
      </c>
      <c r="CX191" s="354">
        <f t="shared" si="392"/>
        <v>-420.03972215048316</v>
      </c>
      <c r="CY191" s="354">
        <f t="shared" ref="CY191:DF191" si="393">+CY190+CX190</f>
        <v>-149.42618238393075</v>
      </c>
      <c r="CZ191" s="354">
        <f t="shared" si="393"/>
        <v>-112.92724814649964</v>
      </c>
      <c r="DA191" s="354">
        <f t="shared" si="393"/>
        <v>16.695672318847997</v>
      </c>
      <c r="DB191" s="354">
        <f t="shared" si="393"/>
        <v>12.645869832613732</v>
      </c>
      <c r="DC191" s="354">
        <f t="shared" si="393"/>
        <v>11.324435781415175</v>
      </c>
      <c r="DD191" s="354">
        <f t="shared" si="393"/>
        <v>11.445114852653981</v>
      </c>
      <c r="DE191" s="354">
        <f t="shared" si="393"/>
        <v>11.522268043602789</v>
      </c>
      <c r="DF191" s="355">
        <f t="shared" si="393"/>
        <v>11.561546957435386</v>
      </c>
    </row>
    <row r="192" spans="1:113" s="26" customFormat="1" ht="11.25" customHeight="1">
      <c r="A192" s="24"/>
      <c r="B192"/>
      <c r="C192"/>
      <c r="D192"/>
      <c r="E192"/>
      <c r="F192"/>
      <c r="G192"/>
      <c r="H192" s="1044"/>
      <c r="I192" s="178"/>
      <c r="J192" s="8"/>
      <c r="K192" s="8"/>
      <c r="L192" s="24"/>
      <c r="M192" s="315"/>
      <c r="N192" s="315"/>
      <c r="O192" s="315"/>
      <c r="P192" s="316"/>
      <c r="Q192" s="315"/>
      <c r="R192" s="315"/>
      <c r="S192" s="315"/>
      <c r="T192" s="316"/>
      <c r="U192" s="360"/>
      <c r="V192" s="360"/>
      <c r="W192" s="360"/>
      <c r="X192" s="369"/>
      <c r="Y192" s="360"/>
      <c r="Z192" s="360"/>
      <c r="AA192" s="360"/>
      <c r="AB192" s="369"/>
      <c r="AC192" s="360"/>
      <c r="AD192" s="360"/>
      <c r="AE192" s="360"/>
      <c r="AF192" s="369"/>
      <c r="AG192" s="360"/>
      <c r="AH192" s="360"/>
      <c r="AI192" s="360"/>
      <c r="AJ192" s="369"/>
      <c r="AK192" s="360"/>
      <c r="AL192" s="360"/>
      <c r="AM192" s="360"/>
      <c r="AN192" s="369"/>
      <c r="AO192" s="360"/>
      <c r="AP192" s="360"/>
      <c r="AQ192" s="360"/>
      <c r="AR192" s="369"/>
      <c r="AS192" s="360"/>
      <c r="AT192" s="360"/>
      <c r="AU192" s="360"/>
      <c r="AV192" s="369"/>
      <c r="AW192" s="360"/>
      <c r="AX192" s="360"/>
      <c r="AY192" s="360"/>
      <c r="AZ192" s="327"/>
      <c r="BA192" s="326"/>
      <c r="BB192" s="326"/>
      <c r="BC192" s="326"/>
      <c r="BD192" s="327"/>
      <c r="BE192" s="326"/>
      <c r="BF192" s="326"/>
      <c r="BG192" s="326"/>
      <c r="BH192" s="327"/>
      <c r="BI192" s="321"/>
      <c r="BJ192" s="321"/>
      <c r="BK192" s="321"/>
      <c r="BL192" s="322"/>
      <c r="BM192" s="1509"/>
      <c r="BN192" s="321"/>
      <c r="BO192" s="321"/>
      <c r="BP192" s="327"/>
      <c r="BQ192" s="378"/>
      <c r="BR192" s="326"/>
      <c r="BS192" s="326"/>
      <c r="BT192" s="327"/>
      <c r="BU192" s="378"/>
      <c r="BV192" s="326"/>
      <c r="BW192" s="326"/>
      <c r="BX192" s="327"/>
      <c r="BY192" s="378"/>
      <c r="BZ192" s="326"/>
      <c r="CA192" s="326"/>
      <c r="CB192" s="327"/>
      <c r="CC192" s="378"/>
      <c r="CD192" s="326"/>
      <c r="CE192" s="326"/>
      <c r="CF192" s="327"/>
      <c r="CG192" s="316"/>
      <c r="CH192" s="320"/>
      <c r="CI192" s="336"/>
      <c r="CJ192" s="336"/>
      <c r="CK192" s="336"/>
      <c r="CL192" s="336"/>
      <c r="CM192" s="360"/>
      <c r="CN192" s="360"/>
      <c r="CO192" s="360"/>
      <c r="CP192" s="360"/>
      <c r="CQ192" s="328"/>
      <c r="CR192" s="326"/>
      <c r="CS192" s="326"/>
      <c r="CT192" s="326"/>
      <c r="CU192" s="326"/>
      <c r="CV192" s="326"/>
      <c r="CW192" s="326"/>
      <c r="CX192" s="326"/>
      <c r="CY192" s="326"/>
      <c r="CZ192" s="326"/>
      <c r="DA192" s="326"/>
      <c r="DB192" s="326"/>
      <c r="DC192" s="326"/>
      <c r="DD192" s="326"/>
      <c r="DE192" s="326"/>
      <c r="DF192" s="327"/>
      <c r="DG192" s="94"/>
      <c r="DH192" s="94"/>
    </row>
    <row r="193" spans="1:112" s="51" customFormat="1" ht="11.25" hidden="1" customHeight="1" outlineLevel="1">
      <c r="A193" s="82"/>
      <c r="B193"/>
      <c r="C193"/>
      <c r="D193"/>
      <c r="E193"/>
      <c r="F193"/>
      <c r="G193"/>
      <c r="H193" s="1047"/>
      <c r="I193" s="193" t="s">
        <v>515</v>
      </c>
      <c r="J193" s="83"/>
      <c r="K193" s="83"/>
      <c r="L193" s="82"/>
      <c r="M193" s="336"/>
      <c r="N193" s="336"/>
      <c r="O193" s="336"/>
      <c r="P193" s="337"/>
      <c r="Q193" s="336"/>
      <c r="R193" s="336"/>
      <c r="S193" s="336"/>
      <c r="T193" s="337"/>
      <c r="U193" s="328"/>
      <c r="V193" s="328"/>
      <c r="W193" s="328"/>
      <c r="X193" s="329"/>
      <c r="Y193" s="328"/>
      <c r="Z193" s="328"/>
      <c r="AA193" s="328"/>
      <c r="AB193" s="329"/>
      <c r="AC193" s="328"/>
      <c r="AD193" s="328"/>
      <c r="AE193" s="328"/>
      <c r="AF193" s="329"/>
      <c r="AG193" s="338">
        <f t="shared" ref="AG193:BX193" si="394">+AG213/AG179</f>
        <v>0</v>
      </c>
      <c r="AH193" s="338">
        <f t="shared" si="394"/>
        <v>0</v>
      </c>
      <c r="AI193" s="338">
        <f t="shared" si="394"/>
        <v>0</v>
      </c>
      <c r="AJ193" s="339">
        <f t="shared" si="394"/>
        <v>0</v>
      </c>
      <c r="AK193" s="338">
        <f t="shared" si="394"/>
        <v>0.21057823084911775</v>
      </c>
      <c r="AL193" s="338">
        <f t="shared" si="394"/>
        <v>0.2134755395085334</v>
      </c>
      <c r="AM193" s="338">
        <f t="shared" si="394"/>
        <v>0.21894110337159486</v>
      </c>
      <c r="AN193" s="339">
        <f t="shared" si="394"/>
        <v>0.2224403067590911</v>
      </c>
      <c r="AO193" s="338">
        <f t="shared" si="394"/>
        <v>0.22236965563600214</v>
      </c>
      <c r="AP193" s="338">
        <f t="shared" si="394"/>
        <v>0.21781011718526946</v>
      </c>
      <c r="AQ193" s="338">
        <f t="shared" si="394"/>
        <v>0.23093475829968776</v>
      </c>
      <c r="AR193" s="339">
        <f t="shared" si="394"/>
        <v>0.23696327026590838</v>
      </c>
      <c r="AS193" s="338">
        <f t="shared" si="394"/>
        <v>0.22845920380617191</v>
      </c>
      <c r="AT193" s="338">
        <f t="shared" si="394"/>
        <v>0.22439590500809686</v>
      </c>
      <c r="AU193" s="338">
        <f t="shared" si="394"/>
        <v>0.23802000727574774</v>
      </c>
      <c r="AV193" s="339">
        <f t="shared" si="394"/>
        <v>0.25236135889536843</v>
      </c>
      <c r="AW193" s="338">
        <f t="shared" si="394"/>
        <v>0.23265140765662753</v>
      </c>
      <c r="AX193" s="338">
        <f t="shared" si="394"/>
        <v>0.22845343317457087</v>
      </c>
      <c r="AY193" s="338">
        <f t="shared" si="394"/>
        <v>0.2591239757465133</v>
      </c>
      <c r="AZ193" s="339">
        <f t="shared" si="394"/>
        <v>0.26269899547938402</v>
      </c>
      <c r="BA193" s="338">
        <f t="shared" si="394"/>
        <v>0.23092091434018275</v>
      </c>
      <c r="BB193" s="338">
        <f t="shared" si="394"/>
        <v>0.22786951704606354</v>
      </c>
      <c r="BC193" s="338">
        <f t="shared" si="394"/>
        <v>0.27774600128158239</v>
      </c>
      <c r="BD193" s="339">
        <f t="shared" si="394"/>
        <v>0.27426339874762967</v>
      </c>
      <c r="BE193" s="338">
        <f t="shared" si="394"/>
        <v>0.25416863576863946</v>
      </c>
      <c r="BF193" s="338">
        <f t="shared" si="394"/>
        <v>0.24796921977622971</v>
      </c>
      <c r="BG193" s="338">
        <f t="shared" si="394"/>
        <v>0.30263189934210633</v>
      </c>
      <c r="BH193" s="339">
        <f t="shared" si="394"/>
        <v>0.27747212872279414</v>
      </c>
      <c r="BI193" s="338">
        <f t="shared" si="394"/>
        <v>0.23463540972249017</v>
      </c>
      <c r="BJ193" s="338">
        <f t="shared" si="394"/>
        <v>0.24680657419175517</v>
      </c>
      <c r="BK193" s="338">
        <f t="shared" si="394"/>
        <v>0.32773824159722181</v>
      </c>
      <c r="BL193" s="339">
        <f t="shared" si="394"/>
        <v>0.29946143821671845</v>
      </c>
      <c r="BM193" s="372">
        <f t="shared" si="394"/>
        <v>0.26027884892395786</v>
      </c>
      <c r="BN193" s="338">
        <f>+BN213/BN179</f>
        <v>0.25464868232563709</v>
      </c>
      <c r="BO193" s="338">
        <f t="shared" si="394"/>
        <v>0.29088640874962141</v>
      </c>
      <c r="BP193" s="339">
        <f t="shared" si="394"/>
        <v>0.26622421235785493</v>
      </c>
      <c r="BQ193" s="372">
        <f t="shared" si="394"/>
        <v>0.25722496915931536</v>
      </c>
      <c r="BR193" s="338">
        <f>+BR213/BR179</f>
        <v>0.21111091534330445</v>
      </c>
      <c r="BS193" s="338">
        <f t="shared" si="394"/>
        <v>0.38504182280432231</v>
      </c>
      <c r="BT193" s="339">
        <f t="shared" si="394"/>
        <v>0.2623587927072481</v>
      </c>
      <c r="BU193" s="372">
        <f t="shared" si="394"/>
        <v>0.18277453354939602</v>
      </c>
      <c r="BV193" s="338">
        <f t="shared" si="394"/>
        <v>0.17090301652827961</v>
      </c>
      <c r="BW193" s="338">
        <f t="shared" si="394"/>
        <v>0.44365109023670035</v>
      </c>
      <c r="BX193" s="339">
        <f t="shared" si="394"/>
        <v>0.25096664557754961</v>
      </c>
      <c r="BY193" s="372">
        <f t="shared" ref="BY193:CB193" si="395">+BY213/BY179</f>
        <v>4.9666362964550619E-2</v>
      </c>
      <c r="BZ193" s="338">
        <f t="shared" si="395"/>
        <v>6.0448137385062259E-2</v>
      </c>
      <c r="CA193" s="338">
        <f t="shared" si="395"/>
        <v>0.51867274087457982</v>
      </c>
      <c r="CB193" s="339">
        <f t="shared" si="395"/>
        <v>0.36847909671710316</v>
      </c>
      <c r="CC193" s="340">
        <f t="shared" ref="CC193:CF193" si="396">+BY193</f>
        <v>4.9666362964550619E-2</v>
      </c>
      <c r="CD193" s="328">
        <f t="shared" si="396"/>
        <v>6.0448137385062259E-2</v>
      </c>
      <c r="CE193" s="328">
        <f t="shared" si="396"/>
        <v>0.51867274087457982</v>
      </c>
      <c r="CF193" s="329">
        <f t="shared" si="396"/>
        <v>0.36847909671710316</v>
      </c>
      <c r="CG193" s="337"/>
      <c r="CH193" s="367"/>
      <c r="CI193" s="336"/>
      <c r="CJ193" s="336"/>
      <c r="CK193" s="336"/>
      <c r="CL193" s="336"/>
      <c r="CM193" s="338"/>
      <c r="CN193" s="338">
        <f t="shared" ref="CN193:CY193" si="397">+CN213/CN179</f>
        <v>0.21726474985905805</v>
      </c>
      <c r="CO193" s="338">
        <f t="shared" si="397"/>
        <v>0.22658344369730493</v>
      </c>
      <c r="CP193" s="338">
        <f t="shared" si="397"/>
        <v>0.23517708723575195</v>
      </c>
      <c r="CQ193" s="338">
        <f t="shared" si="397"/>
        <v>0.2458333558415596</v>
      </c>
      <c r="CR193" s="338">
        <f t="shared" si="397"/>
        <v>0.25280092155363648</v>
      </c>
      <c r="CS193" s="338">
        <f t="shared" si="397"/>
        <v>0.27086750568291584</v>
      </c>
      <c r="CT193" s="338">
        <f t="shared" si="397"/>
        <v>0.27801077929653001</v>
      </c>
      <c r="CU193" s="338">
        <f t="shared" si="397"/>
        <v>0.26915493666121093</v>
      </c>
      <c r="CV193" s="338">
        <f t="shared" si="397"/>
        <v>0.2846162178080604</v>
      </c>
      <c r="CW193" s="338">
        <f t="shared" si="397"/>
        <v>0.27879657354690024</v>
      </c>
      <c r="CX193" s="338">
        <f t="shared" si="397"/>
        <v>0.30080902430840634</v>
      </c>
      <c r="CY193" s="338">
        <f t="shared" si="397"/>
        <v>0.31879434601910744</v>
      </c>
      <c r="CZ193" s="461">
        <f t="shared" ref="CZ193:DF193" si="398">+CY193</f>
        <v>0.31879434601910744</v>
      </c>
      <c r="DA193" s="461">
        <f t="shared" si="398"/>
        <v>0.31879434601910744</v>
      </c>
      <c r="DB193" s="461">
        <f t="shared" si="398"/>
        <v>0.31879434601910744</v>
      </c>
      <c r="DC193" s="461">
        <f t="shared" si="398"/>
        <v>0.31879434601910744</v>
      </c>
      <c r="DD193" s="461">
        <f t="shared" si="398"/>
        <v>0.31879434601910744</v>
      </c>
      <c r="DE193" s="461">
        <f t="shared" si="398"/>
        <v>0.31879434601910744</v>
      </c>
      <c r="DF193" s="462">
        <f t="shared" si="398"/>
        <v>0.31879434601910744</v>
      </c>
      <c r="DG193" s="308"/>
      <c r="DH193" s="308"/>
    </row>
    <row r="194" spans="1:112" s="61" customFormat="1" ht="11.25" hidden="1" customHeight="1" outlineLevel="1">
      <c r="A194" s="24"/>
      <c r="B194"/>
      <c r="C194"/>
      <c r="D194"/>
      <c r="E194"/>
      <c r="F194"/>
      <c r="G194"/>
      <c r="H194" s="1047"/>
      <c r="I194" s="189" t="s">
        <v>384</v>
      </c>
      <c r="J194" s="85"/>
      <c r="K194" s="85"/>
      <c r="L194" s="60"/>
      <c r="M194" s="350"/>
      <c r="N194" s="350"/>
      <c r="O194" s="350"/>
      <c r="P194" s="351"/>
      <c r="Q194" s="350"/>
      <c r="R194" s="350"/>
      <c r="S194" s="350"/>
      <c r="T194" s="351"/>
      <c r="U194" s="352"/>
      <c r="V194" s="352"/>
      <c r="W194" s="352"/>
      <c r="X194" s="353"/>
      <c r="Y194" s="352"/>
      <c r="Z194" s="352"/>
      <c r="AA194" s="352"/>
      <c r="AB194" s="353"/>
      <c r="AC194" s="352"/>
      <c r="AD194" s="352"/>
      <c r="AE194" s="352"/>
      <c r="AF194" s="353"/>
      <c r="AG194" s="352"/>
      <c r="AH194" s="352"/>
      <c r="AI194" s="352"/>
      <c r="AJ194" s="353"/>
      <c r="AK194" s="354">
        <f t="shared" ref="AK194:CF194" si="399">+(AK193-AG193)*10000</f>
        <v>2105.7823084911774</v>
      </c>
      <c r="AL194" s="354">
        <f t="shared" si="399"/>
        <v>2134.7553950853339</v>
      </c>
      <c r="AM194" s="354">
        <f t="shared" si="399"/>
        <v>2189.4110337159486</v>
      </c>
      <c r="AN194" s="355">
        <f t="shared" si="399"/>
        <v>2224.4030675909112</v>
      </c>
      <c r="AO194" s="354">
        <f t="shared" si="399"/>
        <v>117.91424786884386</v>
      </c>
      <c r="AP194" s="354">
        <f t="shared" si="399"/>
        <v>43.345776767360618</v>
      </c>
      <c r="AQ194" s="354">
        <f t="shared" si="399"/>
        <v>119.936549280929</v>
      </c>
      <c r="AR194" s="355">
        <f t="shared" si="399"/>
        <v>145.22963506817283</v>
      </c>
      <c r="AS194" s="354">
        <f t="shared" si="399"/>
        <v>60.895481701697676</v>
      </c>
      <c r="AT194" s="354">
        <f t="shared" si="399"/>
        <v>65.857878228273989</v>
      </c>
      <c r="AU194" s="354">
        <f t="shared" si="399"/>
        <v>70.85248976059971</v>
      </c>
      <c r="AV194" s="355">
        <f t="shared" si="399"/>
        <v>153.98088629460045</v>
      </c>
      <c r="AW194" s="354">
        <f t="shared" si="399"/>
        <v>41.922038504556284</v>
      </c>
      <c r="AX194" s="354">
        <f t="shared" si="399"/>
        <v>40.575281664740061</v>
      </c>
      <c r="AY194" s="354">
        <f t="shared" si="399"/>
        <v>211.03968470765565</v>
      </c>
      <c r="AZ194" s="355">
        <f t="shared" si="399"/>
        <v>103.37636584015597</v>
      </c>
      <c r="BA194" s="354">
        <f t="shared" si="399"/>
        <v>-17.304933164447867</v>
      </c>
      <c r="BB194" s="354">
        <f t="shared" si="399"/>
        <v>-5.8391612850733354</v>
      </c>
      <c r="BC194" s="354">
        <f t="shared" si="399"/>
        <v>186.22025535069088</v>
      </c>
      <c r="BD194" s="355">
        <f t="shared" si="399"/>
        <v>115.64403268245648</v>
      </c>
      <c r="BE194" s="354">
        <f t="shared" si="399"/>
        <v>232.47721428456714</v>
      </c>
      <c r="BF194" s="354">
        <f t="shared" si="399"/>
        <v>200.99702730166175</v>
      </c>
      <c r="BG194" s="354">
        <f t="shared" si="399"/>
        <v>248.85898060523937</v>
      </c>
      <c r="BH194" s="355">
        <f t="shared" si="399"/>
        <v>32.087299751644707</v>
      </c>
      <c r="BI194" s="354">
        <f t="shared" si="399"/>
        <v>-195.33226046149292</v>
      </c>
      <c r="BJ194" s="354">
        <f t="shared" si="399"/>
        <v>-11.62645584474542</v>
      </c>
      <c r="BK194" s="354">
        <f t="shared" si="399"/>
        <v>251.06342255115487</v>
      </c>
      <c r="BL194" s="355">
        <f t="shared" si="399"/>
        <v>219.89309493924304</v>
      </c>
      <c r="BM194" s="1511">
        <f t="shared" si="399"/>
        <v>256.43439201467692</v>
      </c>
      <c r="BN194" s="354">
        <f t="shared" si="399"/>
        <v>78.421081338819192</v>
      </c>
      <c r="BO194" s="354">
        <f t="shared" ref="BO194:BT194" si="400">+(BO193-BK193)*10000</f>
        <v>-368.51832847600406</v>
      </c>
      <c r="BP194" s="355">
        <f t="shared" si="400"/>
        <v>-332.37225858863519</v>
      </c>
      <c r="BQ194" s="1511">
        <f>+(BQ193-BM193)*10000</f>
        <v>-30.538797646424975</v>
      </c>
      <c r="BR194" s="354">
        <f>+(BR193-BN193)*10000</f>
        <v>-435.37766982332636</v>
      </c>
      <c r="BS194" s="354">
        <f>+(BS193-BO193)*10000</f>
        <v>941.55414054700907</v>
      </c>
      <c r="BT194" s="355">
        <f t="shared" si="400"/>
        <v>-38.654196506068274</v>
      </c>
      <c r="BU194" s="1511">
        <f t="shared" si="399"/>
        <v>-744.5043560991935</v>
      </c>
      <c r="BV194" s="354">
        <f t="shared" si="399"/>
        <v>-402.07898815024845</v>
      </c>
      <c r="BW194" s="354">
        <f t="shared" si="399"/>
        <v>586.09267432378044</v>
      </c>
      <c r="BX194" s="355">
        <f t="shared" si="399"/>
        <v>-113.92147129698493</v>
      </c>
      <c r="BY194" s="1511">
        <f t="shared" ref="BY194" si="401">+(BY193-BU193)*10000</f>
        <v>-1331.081705848454</v>
      </c>
      <c r="BZ194" s="354">
        <f t="shared" ref="BZ194" si="402">+(BZ193-BV193)*10000</f>
        <v>-1104.5487914321734</v>
      </c>
      <c r="CA194" s="354">
        <f t="shared" ref="CA194" si="403">+(CA193-BW193)*10000</f>
        <v>750.21650637879463</v>
      </c>
      <c r="CB194" s="355">
        <f t="shared" ref="CB194" si="404">+(CB193-BX193)*10000</f>
        <v>1175.1245113955356</v>
      </c>
      <c r="CC194" s="1511">
        <f t="shared" si="399"/>
        <v>0</v>
      </c>
      <c r="CD194" s="354">
        <f t="shared" si="399"/>
        <v>0</v>
      </c>
      <c r="CE194" s="354">
        <f t="shared" si="399"/>
        <v>0</v>
      </c>
      <c r="CF194" s="355">
        <f t="shared" si="399"/>
        <v>0</v>
      </c>
      <c r="CG194" s="351"/>
      <c r="CH194" s="356"/>
      <c r="CI194" s="336"/>
      <c r="CJ194" s="336"/>
      <c r="CK194" s="336"/>
      <c r="CL194" s="336"/>
      <c r="CM194" s="352"/>
      <c r="CN194" s="354"/>
      <c r="CO194" s="354">
        <f t="shared" ref="CO194:CX194" si="405">+(CO193-CN193)*10000</f>
        <v>93.186938382468782</v>
      </c>
      <c r="CP194" s="354">
        <f t="shared" si="405"/>
        <v>85.936435384470215</v>
      </c>
      <c r="CQ194" s="354">
        <f t="shared" si="405"/>
        <v>106.56268605807651</v>
      </c>
      <c r="CR194" s="354">
        <f t="shared" si="405"/>
        <v>69.67565712076879</v>
      </c>
      <c r="CS194" s="354">
        <f t="shared" si="405"/>
        <v>180.66584129279363</v>
      </c>
      <c r="CT194" s="354">
        <f t="shared" si="405"/>
        <v>71.432736136141656</v>
      </c>
      <c r="CU194" s="354">
        <f t="shared" si="405"/>
        <v>-88.558426353190782</v>
      </c>
      <c r="CV194" s="354">
        <f t="shared" si="405"/>
        <v>154.6128114684947</v>
      </c>
      <c r="CW194" s="354">
        <f t="shared" si="405"/>
        <v>-58.196442611601618</v>
      </c>
      <c r="CX194" s="354">
        <f t="shared" si="405"/>
        <v>220.12450761506096</v>
      </c>
      <c r="CY194" s="354">
        <f t="shared" ref="CY194:DF194" si="406">+(CY193-CX193)*10000</f>
        <v>179.85321710701106</v>
      </c>
      <c r="CZ194" s="354">
        <f t="shared" si="406"/>
        <v>0</v>
      </c>
      <c r="DA194" s="354">
        <f t="shared" si="406"/>
        <v>0</v>
      </c>
      <c r="DB194" s="354">
        <f t="shared" si="406"/>
        <v>0</v>
      </c>
      <c r="DC194" s="354">
        <f t="shared" si="406"/>
        <v>0</v>
      </c>
      <c r="DD194" s="354">
        <f t="shared" si="406"/>
        <v>0</v>
      </c>
      <c r="DE194" s="354">
        <f t="shared" si="406"/>
        <v>0</v>
      </c>
      <c r="DF194" s="355">
        <f t="shared" si="406"/>
        <v>0</v>
      </c>
    </row>
    <row r="195" spans="1:112" s="26" customFormat="1" ht="11.25" hidden="1" customHeight="1" outlineLevel="1">
      <c r="A195" s="24"/>
      <c r="B195"/>
      <c r="C195"/>
      <c r="D195"/>
      <c r="E195"/>
      <c r="F195"/>
      <c r="G195"/>
      <c r="H195" s="1047"/>
      <c r="I195" s="185"/>
      <c r="J195" s="70"/>
      <c r="K195" s="70"/>
      <c r="L195" s="24"/>
      <c r="M195" s="315"/>
      <c r="N195" s="315"/>
      <c r="O195" s="315"/>
      <c r="P195" s="316"/>
      <c r="Q195" s="315"/>
      <c r="R195" s="315"/>
      <c r="S195" s="315"/>
      <c r="T195" s="316"/>
      <c r="U195" s="360"/>
      <c r="V195" s="360"/>
      <c r="W195" s="360"/>
      <c r="X195" s="369"/>
      <c r="Y195" s="360"/>
      <c r="Z195" s="360"/>
      <c r="AA195" s="360"/>
      <c r="AB195" s="369"/>
      <c r="AC195" s="360"/>
      <c r="AD195" s="360"/>
      <c r="AE195" s="360"/>
      <c r="AF195" s="369"/>
      <c r="AG195" s="360"/>
      <c r="AH195" s="360"/>
      <c r="AI195" s="360"/>
      <c r="AJ195" s="369"/>
      <c r="AK195" s="360"/>
      <c r="AL195" s="360"/>
      <c r="AM195" s="360"/>
      <c r="AN195" s="369"/>
      <c r="AO195" s="360"/>
      <c r="AP195" s="360"/>
      <c r="AQ195" s="360"/>
      <c r="AR195" s="369"/>
      <c r="AS195" s="360"/>
      <c r="AT195" s="360"/>
      <c r="AU195" s="360"/>
      <c r="AV195" s="369"/>
      <c r="AW195" s="360"/>
      <c r="AX195" s="360"/>
      <c r="AY195" s="360"/>
      <c r="AZ195" s="369"/>
      <c r="BA195" s="360"/>
      <c r="BB195" s="328"/>
      <c r="BC195" s="328"/>
      <c r="BD195" s="329"/>
      <c r="BE195" s="328"/>
      <c r="BF195" s="328"/>
      <c r="BG195" s="328"/>
      <c r="BH195" s="329"/>
      <c r="BI195" s="321"/>
      <c r="BJ195" s="321"/>
      <c r="BK195" s="321"/>
      <c r="BL195" s="322"/>
      <c r="BM195" s="1509"/>
      <c r="BN195" s="321"/>
      <c r="BO195" s="321"/>
      <c r="BP195" s="329"/>
      <c r="BQ195" s="340"/>
      <c r="BR195" s="328"/>
      <c r="BS195" s="328"/>
      <c r="BT195" s="329"/>
      <c r="BU195" s="340"/>
      <c r="BV195" s="328"/>
      <c r="BW195" s="328"/>
      <c r="BX195" s="329"/>
      <c r="BY195" s="340"/>
      <c r="BZ195" s="328"/>
      <c r="CA195" s="328"/>
      <c r="CB195" s="329"/>
      <c r="CC195" s="340"/>
      <c r="CD195" s="328"/>
      <c r="CE195" s="328"/>
      <c r="CF195" s="329"/>
      <c r="CG195" s="316"/>
      <c r="CH195" s="320"/>
      <c r="CI195" s="336"/>
      <c r="CJ195" s="336"/>
      <c r="CK195" s="336"/>
      <c r="CL195" s="336"/>
      <c r="CM195" s="360"/>
      <c r="CN195" s="360"/>
      <c r="CO195" s="360"/>
      <c r="CP195" s="360"/>
      <c r="CQ195" s="360"/>
      <c r="CR195" s="360"/>
      <c r="CS195" s="360"/>
      <c r="CT195" s="360"/>
      <c r="CU195" s="360"/>
      <c r="CV195" s="360"/>
      <c r="CW195" s="360"/>
      <c r="CX195" s="360"/>
      <c r="CY195" s="360"/>
      <c r="CZ195" s="328"/>
      <c r="DA195" s="328"/>
      <c r="DB195" s="328"/>
      <c r="DC195" s="328"/>
      <c r="DD195" s="328"/>
      <c r="DE195" s="328"/>
      <c r="DF195" s="329"/>
      <c r="DG195" s="94"/>
      <c r="DH195" s="94"/>
    </row>
    <row r="196" spans="1:112" s="51" customFormat="1" ht="11.25" hidden="1" customHeight="1" outlineLevel="1">
      <c r="A196" s="82"/>
      <c r="B196"/>
      <c r="C196"/>
      <c r="D196"/>
      <c r="E196"/>
      <c r="F196"/>
      <c r="G196"/>
      <c r="H196" s="1047"/>
      <c r="I196" s="193" t="s">
        <v>168</v>
      </c>
      <c r="J196" s="83"/>
      <c r="K196" s="83"/>
      <c r="L196" s="82"/>
      <c r="M196" s="336"/>
      <c r="N196" s="336"/>
      <c r="O196" s="336"/>
      <c r="P196" s="337"/>
      <c r="Q196" s="336"/>
      <c r="R196" s="336"/>
      <c r="S196" s="336"/>
      <c r="T196" s="337"/>
      <c r="U196" s="328"/>
      <c r="V196" s="328"/>
      <c r="W196" s="328"/>
      <c r="X196" s="329"/>
      <c r="Y196" s="328"/>
      <c r="Z196" s="328"/>
      <c r="AA196" s="328"/>
      <c r="AB196" s="329"/>
      <c r="AC196" s="328"/>
      <c r="AD196" s="328"/>
      <c r="AE196" s="328"/>
      <c r="AF196" s="329"/>
      <c r="AG196" s="338">
        <f>+AG180/'Bookings and Drivers'!AG63</f>
        <v>3.8427093966065154E-2</v>
      </c>
      <c r="AH196" s="338">
        <f>+AH180/'Bookings and Drivers'!AH63</f>
        <v>3.4793482949531253E-2</v>
      </c>
      <c r="AI196" s="338">
        <f>+AI180/'Bookings and Drivers'!AI63</f>
        <v>4.1219862369424209E-2</v>
      </c>
      <c r="AJ196" s="339">
        <f>+AJ180/'Bookings and Drivers'!AJ63</f>
        <v>4.0137494620028642E-2</v>
      </c>
      <c r="AK196" s="338">
        <f>+AK180/'Bookings and Drivers'!AK63</f>
        <v>3.4639950955991365E-2</v>
      </c>
      <c r="AL196" s="338">
        <f>+AL180/'Bookings and Drivers'!AL63</f>
        <v>3.4221318537409062E-2</v>
      </c>
      <c r="AM196" s="338">
        <f>+AM180/'Bookings and Drivers'!AM63</f>
        <v>3.0782124883430774E-2</v>
      </c>
      <c r="AN196" s="339">
        <f>+AN180/'Bookings and Drivers'!AN63</f>
        <v>1.9355519651860456E-2</v>
      </c>
      <c r="AO196" s="338">
        <f>+AO180/'Bookings and Drivers'!AO63</f>
        <v>2.7162360848561225E-2</v>
      </c>
      <c r="AP196" s="338">
        <f>+AP180/'Bookings and Drivers'!AP63</f>
        <v>2.7652077402355951E-2</v>
      </c>
      <c r="AQ196" s="338">
        <f>+AQ180/'Bookings and Drivers'!AQ63</f>
        <v>3.5395841066547654E-2</v>
      </c>
      <c r="AR196" s="339">
        <f>+AR180/'Bookings and Drivers'!AR63</f>
        <v>3.0029660321395681E-2</v>
      </c>
      <c r="AS196" s="338">
        <f>+AS180/'Bookings and Drivers'!AS63</f>
        <v>3.3783901740942111E-2</v>
      </c>
      <c r="AT196" s="338">
        <f>+AT180/'Bookings and Drivers'!AT63</f>
        <v>3.455880147566065E-2</v>
      </c>
      <c r="AU196" s="338">
        <f>+AU180/'Bookings and Drivers'!AU63</f>
        <v>3.8131350681536509E-2</v>
      </c>
      <c r="AV196" s="339">
        <f>+AV180/'Bookings and Drivers'!AV63</f>
        <v>2.4940769134458925E-2</v>
      </c>
      <c r="AW196" s="338">
        <f>+AW180/'Bookings and Drivers'!AW63</f>
        <v>3.7882372765648528E-2</v>
      </c>
      <c r="AX196" s="338">
        <f>+AX180/'Bookings and Drivers'!AX63</f>
        <v>3.9698908691214584E-2</v>
      </c>
      <c r="AY196" s="338">
        <f>+AY180/'Bookings and Drivers'!AY63</f>
        <v>2.7640067911714743E-2</v>
      </c>
      <c r="AZ196" s="339">
        <f>+AZ180/'Bookings and Drivers'!AZ63</f>
        <v>2.3819792171431719E-2</v>
      </c>
      <c r="BA196" s="338">
        <f>+BA180/'Bookings and Drivers'!BA63</f>
        <v>3.4053870597690501E-2</v>
      </c>
      <c r="BB196" s="338">
        <f>+BB180/'Bookings and Drivers'!BB63</f>
        <v>4.0025619565386437E-2</v>
      </c>
      <c r="BC196" s="338">
        <f>+BC180/'Bookings and Drivers'!BC63</f>
        <v>1.3198197451912768E-2</v>
      </c>
      <c r="BD196" s="339">
        <f>+BD180/'Bookings and Drivers'!BD63</f>
        <v>1.9950093321431415E-2</v>
      </c>
      <c r="BE196" s="338">
        <f>+BE180/'Bookings and Drivers'!BE63</f>
        <v>2.7664354431130338E-2</v>
      </c>
      <c r="BF196" s="338">
        <f>+BF180/'Bookings and Drivers'!BF63</f>
        <v>3.8717929816808043E-2</v>
      </c>
      <c r="BG196" s="338">
        <f>+BG180/'Bookings and Drivers'!BG63</f>
        <v>2.5618703843659447E-2</v>
      </c>
      <c r="BH196" s="339">
        <f>+BH180/'Bookings and Drivers'!BH63</f>
        <v>6.2268570320309548E-3</v>
      </c>
      <c r="BI196" s="338">
        <f>+BI180/'Bookings and Drivers'!BI63</f>
        <v>2.3968436357043103E-2</v>
      </c>
      <c r="BJ196" s="338">
        <f>+BJ180/'Bookings and Drivers'!BJ63</f>
        <v>4.2241596385079697E-2</v>
      </c>
      <c r="BK196" s="338">
        <f>+BK180/'Bookings and Drivers'!BK63</f>
        <v>1.7327278890589794E-2</v>
      </c>
      <c r="BL196" s="339">
        <f>+BL180/'Bookings and Drivers'!BL63</f>
        <v>1.7799531347432666E-2</v>
      </c>
      <c r="BM196" s="372">
        <f>+BM180/'Bookings and Drivers'!BM63</f>
        <v>1.6147808010782427E-2</v>
      </c>
      <c r="BN196" s="338">
        <f>+BN180/'Bookings and Drivers'!BN63</f>
        <v>3.7839931057033163E-2</v>
      </c>
      <c r="BO196" s="338">
        <f>+BO180/'Bookings and Drivers'!BO63</f>
        <v>2.4933426559254287E-2</v>
      </c>
      <c r="BP196" s="339">
        <f>+BP180/'Bookings and Drivers'!BP63</f>
        <v>1.2526024648858958E-2</v>
      </c>
      <c r="BQ196" s="372">
        <f>+BQ180/'Bookings and Drivers'!BQ63</f>
        <v>1.7977892736496887E-2</v>
      </c>
      <c r="BR196" s="338">
        <f>+BR180/'Bookings and Drivers'!BR63</f>
        <v>3.5909940752157449E-2</v>
      </c>
      <c r="BS196" s="338">
        <f>+BS180/'Bookings and Drivers'!BS63</f>
        <v>2.512177571544648E-3</v>
      </c>
      <c r="BT196" s="339">
        <f>+BT180/'Bookings and Drivers'!BT63</f>
        <v>3.0132401014029125E-2</v>
      </c>
      <c r="BU196" s="372">
        <f>+BU180/'Bookings and Drivers'!BU63</f>
        <v>5.5221429409693192E-2</v>
      </c>
      <c r="BV196" s="338">
        <f>+BV180/'Bookings and Drivers'!BV63</f>
        <v>5.1958420378775308E-2</v>
      </c>
      <c r="BW196" s="338">
        <f>+BW180/'Bookings and Drivers'!BW63</f>
        <v>-5.0421805884824387E-2</v>
      </c>
      <c r="BX196" s="339">
        <f>+BX180/'Bookings and Drivers'!BX63</f>
        <v>2.370395705861876E-2</v>
      </c>
      <c r="BY196" s="372">
        <f>+BY180/'Bookings and Drivers'!BY63</f>
        <v>8.39095839886667E-2</v>
      </c>
      <c r="BZ196" s="338">
        <f>+BZ180/'Bookings and Drivers'!BZ63</f>
        <v>7.918615493107628E-2</v>
      </c>
      <c r="CA196" s="338">
        <f>+CA180/'Bookings and Drivers'!CA63</f>
        <v>-5.058333643118481E-2</v>
      </c>
      <c r="CB196" s="339">
        <f>+CB180/'Bookings and Drivers'!CB63</f>
        <v>2.4452333947190815E-2</v>
      </c>
      <c r="CC196" s="340">
        <f t="shared" ref="CC196:CF196" si="407">+BY196</f>
        <v>8.39095839886667E-2</v>
      </c>
      <c r="CD196" s="328">
        <f t="shared" si="407"/>
        <v>7.918615493107628E-2</v>
      </c>
      <c r="CE196" s="328">
        <f t="shared" si="407"/>
        <v>-5.058333643118481E-2</v>
      </c>
      <c r="CF196" s="329">
        <f t="shared" si="407"/>
        <v>2.4452333947190815E-2</v>
      </c>
      <c r="CG196" s="337"/>
      <c r="CH196" s="367"/>
      <c r="CI196" s="336"/>
      <c r="CJ196" s="336"/>
      <c r="CK196" s="336"/>
      <c r="CL196" s="336"/>
      <c r="CM196" s="338">
        <f>+CM180/'Bookings and Drivers'!CM63</f>
        <v>3.8355185800910178E-2</v>
      </c>
      <c r="CN196" s="338">
        <f>+CN180/'Bookings and Drivers'!CN63</f>
        <v>3.3727356994966734E-2</v>
      </c>
      <c r="CO196" s="338">
        <f>+CO180/'Bookings and Drivers'!CO63</f>
        <v>3.0022820813725717E-2</v>
      </c>
      <c r="CP196" s="338">
        <f>+CP180/'Bookings and Drivers'!CP63</f>
        <v>3.3114495317314224E-2</v>
      </c>
      <c r="CQ196" s="338">
        <f>+CQ180/'Bookings and Drivers'!CQ63</f>
        <v>3.2796743882588394E-2</v>
      </c>
      <c r="CR196" s="338">
        <f>+CR180/'Bookings and Drivers'!CR63</f>
        <v>2.7072557366462097E-2</v>
      </c>
      <c r="CS196" s="338">
        <f>+CS180/'Bookings and Drivers'!CS63</f>
        <v>2.5782263346544244E-2</v>
      </c>
      <c r="CT196" s="338">
        <f>+CT180/'Bookings and Drivers'!CT63</f>
        <v>2.5224422807017997E-2</v>
      </c>
      <c r="CU196" s="338">
        <f>+CU180/'Bookings and Drivers'!CU63</f>
        <v>2.3609822467839159E-2</v>
      </c>
      <c r="CV196" s="338">
        <f>+CV180/'Bookings and Drivers'!CV63</f>
        <v>2.1480705246663418E-2</v>
      </c>
      <c r="CW196" s="338">
        <f>+CW180/'Bookings and Drivers'!CW63</f>
        <v>1.8323112695172342E-2</v>
      </c>
      <c r="CX196" s="338">
        <f>+CX180/'Bookings and Drivers'!CX63</f>
        <v>3.2541720184770098E-2</v>
      </c>
      <c r="CY196" s="338">
        <f>+CY180/'Bookings and Drivers'!CY63</f>
        <v>3.2541720184770105E-2</v>
      </c>
      <c r="CZ196" s="461">
        <f t="shared" ref="CZ196:DF196" si="408">+CY196</f>
        <v>3.2541720184770105E-2</v>
      </c>
      <c r="DA196" s="461">
        <f t="shared" si="408"/>
        <v>3.2541720184770105E-2</v>
      </c>
      <c r="DB196" s="461">
        <f t="shared" si="408"/>
        <v>3.2541720184770105E-2</v>
      </c>
      <c r="DC196" s="461">
        <f t="shared" si="408"/>
        <v>3.2541720184770105E-2</v>
      </c>
      <c r="DD196" s="461">
        <f t="shared" si="408"/>
        <v>3.2541720184770105E-2</v>
      </c>
      <c r="DE196" s="461">
        <f t="shared" si="408"/>
        <v>3.2541720184770105E-2</v>
      </c>
      <c r="DF196" s="462">
        <f t="shared" si="408"/>
        <v>3.2541720184770105E-2</v>
      </c>
      <c r="DG196" s="308"/>
      <c r="DH196" s="308"/>
    </row>
    <row r="197" spans="1:112" s="61" customFormat="1" ht="11.25" hidden="1" customHeight="1" outlineLevel="1">
      <c r="A197" s="24"/>
      <c r="B197"/>
      <c r="C197"/>
      <c r="D197"/>
      <c r="E197"/>
      <c r="F197"/>
      <c r="G197"/>
      <c r="H197" s="1047"/>
      <c r="I197" s="189" t="s">
        <v>384</v>
      </c>
      <c r="J197" s="85"/>
      <c r="K197" s="85"/>
      <c r="L197" s="60"/>
      <c r="M197" s="350"/>
      <c r="N197" s="350"/>
      <c r="O197" s="350"/>
      <c r="P197" s="351"/>
      <c r="Q197" s="350"/>
      <c r="R197" s="350"/>
      <c r="S197" s="350"/>
      <c r="T197" s="351"/>
      <c r="U197" s="352"/>
      <c r="V197" s="352"/>
      <c r="W197" s="352"/>
      <c r="X197" s="353"/>
      <c r="Y197" s="352"/>
      <c r="Z197" s="352"/>
      <c r="AA197" s="352"/>
      <c r="AB197" s="353"/>
      <c r="AC197" s="352"/>
      <c r="AD197" s="352"/>
      <c r="AE197" s="352"/>
      <c r="AF197" s="353"/>
      <c r="AG197" s="352"/>
      <c r="AH197" s="352"/>
      <c r="AI197" s="352"/>
      <c r="AJ197" s="353"/>
      <c r="AK197" s="354">
        <f t="shared" ref="AK197:CF197" si="409">+(AK196-AG196)*10000</f>
        <v>-37.871430100737889</v>
      </c>
      <c r="AL197" s="354">
        <f t="shared" si="409"/>
        <v>-5.7216441212219058</v>
      </c>
      <c r="AM197" s="354">
        <f t="shared" si="409"/>
        <v>-104.37737485993435</v>
      </c>
      <c r="AN197" s="355">
        <f t="shared" si="409"/>
        <v>-207.81974968168186</v>
      </c>
      <c r="AO197" s="354">
        <f t="shared" si="409"/>
        <v>-74.775901074301402</v>
      </c>
      <c r="AP197" s="354">
        <f t="shared" si="409"/>
        <v>-65.692411350531117</v>
      </c>
      <c r="AQ197" s="354">
        <f t="shared" si="409"/>
        <v>46.137161831168797</v>
      </c>
      <c r="AR197" s="355">
        <f t="shared" si="409"/>
        <v>106.74140669535224</v>
      </c>
      <c r="AS197" s="354">
        <f t="shared" si="409"/>
        <v>66.215408923808866</v>
      </c>
      <c r="AT197" s="354">
        <f t="shared" si="409"/>
        <v>69.067240733046987</v>
      </c>
      <c r="AU197" s="354">
        <f t="shared" si="409"/>
        <v>27.355096149888556</v>
      </c>
      <c r="AV197" s="355">
        <f t="shared" si="409"/>
        <v>-50.888911869367561</v>
      </c>
      <c r="AW197" s="354">
        <f t="shared" si="409"/>
        <v>40.984710247064172</v>
      </c>
      <c r="AX197" s="354">
        <f t="shared" si="409"/>
        <v>51.401072155539339</v>
      </c>
      <c r="AY197" s="354">
        <f t="shared" si="409"/>
        <v>-104.91282769821767</v>
      </c>
      <c r="AZ197" s="355">
        <f t="shared" si="409"/>
        <v>-11.209769630272058</v>
      </c>
      <c r="BA197" s="354">
        <f t="shared" si="409"/>
        <v>-38.285021679580268</v>
      </c>
      <c r="BB197" s="354">
        <f t="shared" si="409"/>
        <v>3.2671087417185385</v>
      </c>
      <c r="BC197" s="354">
        <f t="shared" si="409"/>
        <v>-144.41870459801976</v>
      </c>
      <c r="BD197" s="355">
        <f t="shared" si="409"/>
        <v>-38.696988500003037</v>
      </c>
      <c r="BE197" s="354">
        <f t="shared" si="409"/>
        <v>-63.895161665601627</v>
      </c>
      <c r="BF197" s="354">
        <f t="shared" si="409"/>
        <v>-13.076897485783945</v>
      </c>
      <c r="BG197" s="354">
        <f t="shared" si="409"/>
        <v>124.2050639174668</v>
      </c>
      <c r="BH197" s="355">
        <f t="shared" si="409"/>
        <v>-137.23236289400461</v>
      </c>
      <c r="BI197" s="354">
        <f t="shared" si="409"/>
        <v>-36.959180740872355</v>
      </c>
      <c r="BJ197" s="354">
        <f t="shared" si="409"/>
        <v>35.236665682716534</v>
      </c>
      <c r="BK197" s="354">
        <f>+(BK196-BG196)*10000</f>
        <v>-82.914249530696537</v>
      </c>
      <c r="BL197" s="355">
        <f t="shared" si="409"/>
        <v>115.72674315401711</v>
      </c>
      <c r="BM197" s="1511">
        <f t="shared" si="409"/>
        <v>-78.206283462606763</v>
      </c>
      <c r="BN197" s="354">
        <f>+(BN196-BJ196)*10000</f>
        <v>-44.016653280465334</v>
      </c>
      <c r="BO197" s="354">
        <f t="shared" ref="BO197:BT197" si="410">+(BO196-BK196)*10000</f>
        <v>76.061476686644923</v>
      </c>
      <c r="BP197" s="355">
        <f t="shared" si="410"/>
        <v>-52.735066985737085</v>
      </c>
      <c r="BQ197" s="1511">
        <f t="shared" si="410"/>
        <v>18.3008472571446</v>
      </c>
      <c r="BR197" s="354">
        <f t="shared" si="410"/>
        <v>-19.299903048757145</v>
      </c>
      <c r="BS197" s="354">
        <f t="shared" si="410"/>
        <v>-224.21248987709637</v>
      </c>
      <c r="BT197" s="355">
        <f t="shared" si="410"/>
        <v>176.06376365170166</v>
      </c>
      <c r="BU197" s="1511">
        <f t="shared" si="409"/>
        <v>372.43536673196303</v>
      </c>
      <c r="BV197" s="354">
        <f t="shared" si="409"/>
        <v>160.48479626617859</v>
      </c>
      <c r="BW197" s="354">
        <f t="shared" si="409"/>
        <v>-529.33983456369037</v>
      </c>
      <c r="BX197" s="355">
        <f t="shared" si="409"/>
        <v>-64.284439554103642</v>
      </c>
      <c r="BY197" s="1511">
        <f t="shared" ref="BY197" si="411">+(BY196-BU196)*10000</f>
        <v>286.88154578973507</v>
      </c>
      <c r="BZ197" s="354">
        <f t="shared" ref="BZ197" si="412">+(BZ196-BV196)*10000</f>
        <v>272.27734552300973</v>
      </c>
      <c r="CA197" s="354">
        <f t="shared" ref="CA197" si="413">+(CA196-BW196)*10000</f>
        <v>-1.6153054636042219</v>
      </c>
      <c r="CB197" s="355">
        <f t="shared" ref="CB197" si="414">+(CB196-BX196)*10000</f>
        <v>7.4837688857205471</v>
      </c>
      <c r="CC197" s="1511">
        <f t="shared" si="409"/>
        <v>0</v>
      </c>
      <c r="CD197" s="354">
        <f t="shared" si="409"/>
        <v>0</v>
      </c>
      <c r="CE197" s="354">
        <f t="shared" si="409"/>
        <v>0</v>
      </c>
      <c r="CF197" s="355">
        <f t="shared" si="409"/>
        <v>0</v>
      </c>
      <c r="CG197" s="351"/>
      <c r="CH197" s="356"/>
      <c r="CI197" s="336"/>
      <c r="CJ197" s="336"/>
      <c r="CK197" s="336"/>
      <c r="CL197" s="336"/>
      <c r="CM197" s="352"/>
      <c r="CN197" s="354">
        <f t="shared" ref="CN197:CX197" si="415">+(CN196-CM196)*10000</f>
        <v>-46.278288059434445</v>
      </c>
      <c r="CO197" s="354">
        <f t="shared" si="415"/>
        <v>-37.045361812410164</v>
      </c>
      <c r="CP197" s="354">
        <f t="shared" si="415"/>
        <v>30.916745035885068</v>
      </c>
      <c r="CQ197" s="354">
        <f t="shared" si="415"/>
        <v>-3.1775143472582981</v>
      </c>
      <c r="CR197" s="354">
        <f t="shared" si="415"/>
        <v>-57.241865161262972</v>
      </c>
      <c r="CS197" s="354">
        <f t="shared" si="415"/>
        <v>-12.902940199178529</v>
      </c>
      <c r="CT197" s="354">
        <f t="shared" si="415"/>
        <v>-5.5784053952624699</v>
      </c>
      <c r="CU197" s="354">
        <f t="shared" si="415"/>
        <v>-16.146003391788387</v>
      </c>
      <c r="CV197" s="354">
        <f t="shared" si="415"/>
        <v>-21.291172211757406</v>
      </c>
      <c r="CW197" s="354">
        <f t="shared" si="415"/>
        <v>-31.575925514910757</v>
      </c>
      <c r="CX197" s="354">
        <f t="shared" si="415"/>
        <v>142.18607489597755</v>
      </c>
      <c r="CY197" s="354">
        <f t="shared" ref="CY197:DF197" si="416">+(CY196-CX196)*10000</f>
        <v>6.9388939039072284E-14</v>
      </c>
      <c r="CZ197" s="354">
        <f t="shared" si="416"/>
        <v>0</v>
      </c>
      <c r="DA197" s="354">
        <f t="shared" si="416"/>
        <v>0</v>
      </c>
      <c r="DB197" s="354">
        <f t="shared" si="416"/>
        <v>0</v>
      </c>
      <c r="DC197" s="354">
        <f t="shared" si="416"/>
        <v>0</v>
      </c>
      <c r="DD197" s="354">
        <f t="shared" si="416"/>
        <v>0</v>
      </c>
      <c r="DE197" s="354">
        <f t="shared" si="416"/>
        <v>0</v>
      </c>
      <c r="DF197" s="355">
        <f t="shared" si="416"/>
        <v>0</v>
      </c>
    </row>
    <row r="198" spans="1:112" s="78" customFormat="1" ht="11.25" hidden="1" customHeight="1" outlineLevel="1">
      <c r="A198" s="8"/>
      <c r="B198"/>
      <c r="C198"/>
      <c r="D198"/>
      <c r="E198"/>
      <c r="F198"/>
      <c r="G198"/>
      <c r="H198" s="1052"/>
      <c r="I198" s="187"/>
      <c r="J198" s="74"/>
      <c r="K198" s="74"/>
      <c r="L198" s="75"/>
      <c r="M198" s="439"/>
      <c r="N198" s="439"/>
      <c r="O198" s="439"/>
      <c r="P198" s="370"/>
      <c r="Q198" s="439"/>
      <c r="R198" s="439"/>
      <c r="S198" s="439"/>
      <c r="T198" s="370"/>
      <c r="U198" s="360"/>
      <c r="V198" s="360"/>
      <c r="W198" s="360"/>
      <c r="X198" s="369"/>
      <c r="Y198" s="360"/>
      <c r="Z198" s="360"/>
      <c r="AA198" s="360"/>
      <c r="AB198" s="369"/>
      <c r="AC198" s="360"/>
      <c r="AD198" s="360"/>
      <c r="AE198" s="360"/>
      <c r="AF198" s="369"/>
      <c r="AG198" s="360"/>
      <c r="AH198" s="360"/>
      <c r="AI198" s="360"/>
      <c r="AJ198" s="369"/>
      <c r="AK198" s="384"/>
      <c r="AL198" s="384"/>
      <c r="AM198" s="384"/>
      <c r="AN198" s="385"/>
      <c r="AO198" s="384"/>
      <c r="AP198" s="384"/>
      <c r="AQ198" s="384"/>
      <c r="AR198" s="385"/>
      <c r="AS198" s="384"/>
      <c r="AT198" s="384"/>
      <c r="AU198" s="384"/>
      <c r="AV198" s="385"/>
      <c r="AW198" s="384"/>
      <c r="AX198" s="384"/>
      <c r="AY198" s="384"/>
      <c r="AZ198" s="385"/>
      <c r="BA198" s="384"/>
      <c r="BB198" s="384"/>
      <c r="BC198" s="384"/>
      <c r="BD198" s="385"/>
      <c r="BE198" s="384"/>
      <c r="BF198" s="384"/>
      <c r="BG198" s="384"/>
      <c r="BH198" s="385"/>
      <c r="BI198" s="384"/>
      <c r="BJ198" s="384"/>
      <c r="BK198" s="384"/>
      <c r="BL198" s="385"/>
      <c r="BM198" s="1554"/>
      <c r="BN198" s="384"/>
      <c r="BO198" s="384"/>
      <c r="BP198" s="385"/>
      <c r="BQ198" s="1554"/>
      <c r="BR198" s="384"/>
      <c r="BS198" s="384"/>
      <c r="BT198" s="385"/>
      <c r="BU198" s="1554"/>
      <c r="BV198" s="384"/>
      <c r="BW198" s="384"/>
      <c r="BX198" s="385"/>
      <c r="BY198" s="1554"/>
      <c r="BZ198" s="384"/>
      <c r="CA198" s="384"/>
      <c r="CB198" s="385"/>
      <c r="CC198" s="1554"/>
      <c r="CD198" s="384"/>
      <c r="CE198" s="384"/>
      <c r="CF198" s="385"/>
      <c r="CG198" s="370"/>
      <c r="CH198" s="440"/>
      <c r="CI198" s="439"/>
      <c r="CJ198" s="396"/>
      <c r="CK198" s="396"/>
      <c r="CL198" s="360"/>
      <c r="CM198" s="360"/>
      <c r="CN198" s="384"/>
      <c r="CO198" s="384"/>
      <c r="CP198" s="384"/>
      <c r="CQ198" s="384"/>
      <c r="CR198" s="384"/>
      <c r="CS198" s="384"/>
      <c r="CT198" s="384"/>
      <c r="CU198" s="384"/>
      <c r="CV198" s="384"/>
      <c r="CW198" s="384"/>
      <c r="CX198" s="384"/>
      <c r="CY198" s="384"/>
      <c r="CZ198" s="384"/>
      <c r="DA198" s="384"/>
      <c r="DB198" s="384"/>
      <c r="DC198" s="384"/>
      <c r="DD198" s="384"/>
      <c r="DE198" s="384"/>
      <c r="DF198" s="385"/>
    </row>
    <row r="199" spans="1:112" s="51" customFormat="1" ht="11.25" hidden="1" customHeight="1" outlineLevel="1">
      <c r="A199" s="82"/>
      <c r="B199"/>
      <c r="C199"/>
      <c r="D199"/>
      <c r="E199"/>
      <c r="F199"/>
      <c r="G199"/>
      <c r="H199" s="1044"/>
      <c r="I199" s="193" t="s">
        <v>169</v>
      </c>
      <c r="J199" s="83"/>
      <c r="K199" s="83"/>
      <c r="L199" s="82"/>
      <c r="M199" s="336"/>
      <c r="N199" s="336"/>
      <c r="O199" s="336"/>
      <c r="P199" s="337"/>
      <c r="Q199" s="336"/>
      <c r="R199" s="336"/>
      <c r="S199" s="336"/>
      <c r="T199" s="337"/>
      <c r="U199" s="328"/>
      <c r="V199" s="328"/>
      <c r="W199" s="328"/>
      <c r="X199" s="329"/>
      <c r="Y199" s="328"/>
      <c r="Z199" s="328"/>
      <c r="AA199" s="328"/>
      <c r="AB199" s="329"/>
      <c r="AC199" s="328"/>
      <c r="AD199" s="328"/>
      <c r="AE199" s="328"/>
      <c r="AF199" s="329"/>
      <c r="AG199" s="338">
        <f>+AG179/'Bookings and Drivers'!AG56</f>
        <v>0.79018455588307079</v>
      </c>
      <c r="AH199" s="338">
        <f>+AH179/'Bookings and Drivers'!AH56</f>
        <v>0.78764784667333188</v>
      </c>
      <c r="AI199" s="338">
        <f>+AI179/'Bookings and Drivers'!AI56</f>
        <v>0.78265436217226736</v>
      </c>
      <c r="AJ199" s="339">
        <f>+AJ179/'Bookings and Drivers'!AJ56</f>
        <v>0.81423171799156502</v>
      </c>
      <c r="AK199" s="338">
        <f>+AK179/'Bookings and Drivers'!AK56</f>
        <v>0.79917558853047099</v>
      </c>
      <c r="AL199" s="338">
        <f>+AL179/'Bookings and Drivers'!AL56</f>
        <v>0.80022239752131286</v>
      </c>
      <c r="AM199" s="338">
        <f>+AM179/'Bookings and Drivers'!AM56</f>
        <v>0.79069079249793139</v>
      </c>
      <c r="AN199" s="339">
        <f>+AN179/'Bookings and Drivers'!AN56</f>
        <v>0.80646986566773993</v>
      </c>
      <c r="AO199" s="338">
        <f>+AO179/'Bookings and Drivers'!AO56</f>
        <v>0.78492304056412188</v>
      </c>
      <c r="AP199" s="338">
        <f>+AP179/'Bookings and Drivers'!AP56</f>
        <v>0.77559150562950185</v>
      </c>
      <c r="AQ199" s="338">
        <f>+AQ179/'Bookings and Drivers'!AQ56</f>
        <v>0.77053536518847121</v>
      </c>
      <c r="AR199" s="339">
        <f>+AR179/'Bookings and Drivers'!AR56</f>
        <v>0.78471731790970511</v>
      </c>
      <c r="AS199" s="338">
        <f>+AS179/'Bookings and Drivers'!AS56</f>
        <v>0.78869012404465422</v>
      </c>
      <c r="AT199" s="338">
        <f>+AT179/'Bookings and Drivers'!AT56</f>
        <v>0.77071239124756363</v>
      </c>
      <c r="AU199" s="338">
        <f>+AU179/'Bookings and Drivers'!AU56</f>
        <v>0.7543780064721145</v>
      </c>
      <c r="AV199" s="339">
        <f>+AV179/'Bookings and Drivers'!AV56</f>
        <v>0.73291929201581107</v>
      </c>
      <c r="AW199" s="338">
        <f>+AW179/'Bookings and Drivers'!AW56</f>
        <v>0.79436557184961587</v>
      </c>
      <c r="AX199" s="338">
        <f>+AX179/'Bookings and Drivers'!AX56</f>
        <v>0.78677075350248959</v>
      </c>
      <c r="AY199" s="338">
        <f>+AY179/'Bookings and Drivers'!AY56</f>
        <v>0.82693087436096502</v>
      </c>
      <c r="AZ199" s="339">
        <f>+AZ179/'Bookings and Drivers'!AZ56</f>
        <v>0.7837136573941853</v>
      </c>
      <c r="BA199" s="338">
        <f>+BA179/'Bookings and Drivers'!BA56</f>
        <v>0.89212178830800726</v>
      </c>
      <c r="BB199" s="338">
        <f>+BB179/'Bookings and Drivers'!BB56</f>
        <v>0.81251199987269962</v>
      </c>
      <c r="BC199" s="338">
        <f>+BC179/'Bookings and Drivers'!BC56</f>
        <v>0.89806625810201368</v>
      </c>
      <c r="BD199" s="339">
        <f>+BD179/'Bookings and Drivers'!BD56</f>
        <v>0.85890769591191307</v>
      </c>
      <c r="BE199" s="338">
        <f>+BE179/'Bookings and Drivers'!BE56</f>
        <v>0.90978168047254082</v>
      </c>
      <c r="BF199" s="338">
        <f>+BF179/'Bookings and Drivers'!BF56</f>
        <v>0.90818399258106874</v>
      </c>
      <c r="BG199" s="338">
        <f>+BG179/'Bookings and Drivers'!BG56</f>
        <v>1.039588570106363</v>
      </c>
      <c r="BH199" s="339">
        <f>+BH179/'Bookings and Drivers'!BH56</f>
        <v>0.82733125253151019</v>
      </c>
      <c r="BI199" s="338">
        <f>+BI179/'Bookings and Drivers'!BI56</f>
        <v>0.88750973803776823</v>
      </c>
      <c r="BJ199" s="338">
        <f>+BJ179/'Bookings and Drivers'!BJ56</f>
        <v>0.91754454903336546</v>
      </c>
      <c r="BK199" s="338">
        <f>+BK179/'Bookings and Drivers'!BK56</f>
        <v>1.2755997899524065</v>
      </c>
      <c r="BL199" s="339">
        <f>+BL179/'Bookings and Drivers'!BL56</f>
        <v>0.90794085165936622</v>
      </c>
      <c r="BM199" s="372">
        <f>+BM179/'Bookings and Drivers'!BM56</f>
        <v>1.0687963866933499</v>
      </c>
      <c r="BN199" s="338">
        <f>+BN179/'Bookings and Drivers'!BN56</f>
        <v>1.0573323450534815</v>
      </c>
      <c r="BO199" s="338">
        <f>+BO179/'Bookings and Drivers'!BO56</f>
        <v>2.4894088395297747</v>
      </c>
      <c r="BP199" s="339">
        <f>+BP179/'Bookings and Drivers'!BP56</f>
        <v>1.8755698999882084</v>
      </c>
      <c r="BQ199" s="372">
        <f>+BQ179/'Bookings and Drivers'!BQ56</f>
        <v>1.9678257167603572</v>
      </c>
      <c r="BR199" s="338">
        <f>+BR179/'Bookings and Drivers'!BR56</f>
        <v>1.9244255683817075</v>
      </c>
      <c r="BS199" s="338">
        <f>+BS179/'Bookings and Drivers'!BS56</f>
        <v>3.9576901831613283</v>
      </c>
      <c r="BT199" s="339">
        <f>+BT179/'Bookings and Drivers'!BT56</f>
        <v>12.093221439487905</v>
      </c>
      <c r="BU199" s="372">
        <f>+BU179/'Bookings and Drivers'!BU56</f>
        <v>3.2999384595114103</v>
      </c>
      <c r="BV199" s="338">
        <f>+BV179/'Bookings and Drivers'!BV56</f>
        <v>3.168600214586943</v>
      </c>
      <c r="BW199" s="338">
        <f>+BW179/'Bookings and Drivers'!BW56</f>
        <v>6.9228250145311154</v>
      </c>
      <c r="BX199" s="339">
        <f>+BX179/'Bookings and Drivers'!BX56</f>
        <v>14.818839686304127</v>
      </c>
      <c r="BY199" s="372">
        <f>+BY179/'Bookings and Drivers'!BY56</f>
        <v>3.6043651067153668</v>
      </c>
      <c r="BZ199" s="338">
        <f>+BZ179/'Bookings and Drivers'!BZ56</f>
        <v>3.4202427322100251</v>
      </c>
      <c r="CA199" s="338">
        <f>+CA179/'Bookings and Drivers'!CA56</f>
        <v>10.176996095075996</v>
      </c>
      <c r="CB199" s="339">
        <f>+CB179/'Bookings and Drivers'!CB56</f>
        <v>22.275116779626259</v>
      </c>
      <c r="CC199" s="372">
        <f>+CC179/'Bookings and Drivers'!CC56</f>
        <v>3.8796015947224252</v>
      </c>
      <c r="CD199" s="338">
        <f>+CD179/'Bookings and Drivers'!CD56</f>
        <v>3.7158733342879984</v>
      </c>
      <c r="CE199" s="338">
        <f>+CE179/'Bookings and Drivers'!CE56</f>
        <v>13.306548531314784</v>
      </c>
      <c r="CF199" s="339">
        <f>+CF179/'Bookings and Drivers'!CF56</f>
        <v>29.33244133388467</v>
      </c>
      <c r="CG199" s="337"/>
      <c r="CH199" s="367"/>
      <c r="CI199" s="336"/>
      <c r="CJ199" s="396"/>
      <c r="CK199" s="396"/>
      <c r="CL199" s="328"/>
      <c r="CM199" s="338">
        <f>+CM179/'Bookings and Drivers'!CM56</f>
        <v>0.79278214957974802</v>
      </c>
      <c r="CN199" s="338">
        <f>+CN179/'Bookings and Drivers'!CN56</f>
        <v>0.78688366493585571</v>
      </c>
      <c r="CO199" s="338">
        <f>+CO179/'Bookings and Drivers'!CO56</f>
        <v>0.77841964576233191</v>
      </c>
      <c r="CP199" s="338">
        <f>+CP179/'Bookings and Drivers'!CP56</f>
        <v>0.76168813276910019</v>
      </c>
      <c r="CQ199" s="338">
        <f>+CQ179/'Bookings and Drivers'!CQ56</f>
        <v>0.79903807505946955</v>
      </c>
      <c r="CR199" s="338">
        <f>+CR179/'Bookings and Drivers'!CR56</f>
        <v>0.86388720636757454</v>
      </c>
      <c r="CS199" s="338">
        <f>+CS179/'Bookings and Drivers'!CS56</f>
        <v>0.92125660221415395</v>
      </c>
      <c r="CT199" s="338">
        <f>+CT179/'Bookings and Drivers'!CT56</f>
        <v>0.98273637231948285</v>
      </c>
      <c r="CU199" s="338">
        <f>+CU179/'Bookings and Drivers'!CU56</f>
        <v>1.4458970096505097</v>
      </c>
      <c r="CV199" s="338">
        <f>+CV179/'Bookings and Drivers'!CV56</f>
        <v>2.8929539696870719</v>
      </c>
      <c r="CW199" s="338">
        <f>+CW179/'Bookings and Drivers'!CW56</f>
        <v>4.8610345496317642</v>
      </c>
      <c r="CX199" s="338">
        <f>+CX179/'Bookings and Drivers'!CX56</f>
        <v>6.3046176756359609</v>
      </c>
      <c r="CY199" s="338">
        <f>+CY179/'Bookings and Drivers'!CY56</f>
        <v>7.6983306603360528</v>
      </c>
      <c r="CZ199" s="338">
        <f>+CZ179/'Bookings and Drivers'!CZ56</f>
        <v>10.037224577980062</v>
      </c>
      <c r="DA199" s="338">
        <f>+DA179/'Bookings and Drivers'!DA56</f>
        <v>12.94841260827506</v>
      </c>
      <c r="DB199" s="338">
        <f>+DB179/'Bookings and Drivers'!DB56</f>
        <v>14.720139647746644</v>
      </c>
      <c r="DC199" s="338">
        <f>+DC179/'Bookings and Drivers'!DC56</f>
        <v>16.73803760891257</v>
      </c>
      <c r="DD199" s="338">
        <f>+DD179/'Bookings and Drivers'!DD56</f>
        <v>19.036033797972607</v>
      </c>
      <c r="DE199" s="338">
        <f>+DE179/'Bookings and Drivers'!DE56</f>
        <v>21.652701886024346</v>
      </c>
      <c r="DF199" s="339">
        <f>+DF179/'Bookings and Drivers'!DF56</f>
        <v>24.6318950603908</v>
      </c>
      <c r="DG199" s="308"/>
      <c r="DH199" s="308"/>
    </row>
    <row r="200" spans="1:112" s="61" customFormat="1" ht="11.25" hidden="1" customHeight="1" outlineLevel="1">
      <c r="A200" s="48"/>
      <c r="B200"/>
      <c r="C200"/>
      <c r="D200"/>
      <c r="E200"/>
      <c r="F200"/>
      <c r="G200"/>
      <c r="H200" s="1047"/>
      <c r="I200" s="188" t="s">
        <v>384</v>
      </c>
      <c r="J200" s="85"/>
      <c r="K200" s="85"/>
      <c r="L200" s="60"/>
      <c r="M200" s="350"/>
      <c r="N200" s="350"/>
      <c r="O200" s="350"/>
      <c r="P200" s="351"/>
      <c r="Q200" s="350"/>
      <c r="R200" s="350"/>
      <c r="S200" s="350"/>
      <c r="T200" s="351"/>
      <c r="U200" s="352"/>
      <c r="V200" s="352"/>
      <c r="W200" s="352"/>
      <c r="X200" s="353"/>
      <c r="Y200" s="352"/>
      <c r="Z200" s="352"/>
      <c r="AA200" s="352"/>
      <c r="AB200" s="353"/>
      <c r="AC200" s="352"/>
      <c r="AD200" s="352"/>
      <c r="AE200" s="352"/>
      <c r="AF200" s="353"/>
      <c r="AG200" s="352"/>
      <c r="AH200" s="352"/>
      <c r="AI200" s="352"/>
      <c r="AJ200" s="353"/>
      <c r="AK200" s="354">
        <f t="shared" ref="AK200:CF200" si="417">+(AK199-AG199)*10000</f>
        <v>89.910326474001991</v>
      </c>
      <c r="AL200" s="354">
        <f t="shared" si="417"/>
        <v>125.74550847980981</v>
      </c>
      <c r="AM200" s="354">
        <f t="shared" si="417"/>
        <v>80.364303256640341</v>
      </c>
      <c r="AN200" s="355">
        <f t="shared" si="417"/>
        <v>-77.618523238250916</v>
      </c>
      <c r="AO200" s="354">
        <f t="shared" si="417"/>
        <v>-142.52547966349115</v>
      </c>
      <c r="AP200" s="354">
        <f t="shared" si="417"/>
        <v>-246.30891891811001</v>
      </c>
      <c r="AQ200" s="354">
        <f t="shared" si="417"/>
        <v>-201.55427309460183</v>
      </c>
      <c r="AR200" s="355">
        <f t="shared" si="417"/>
        <v>-217.52547758034814</v>
      </c>
      <c r="AS200" s="354">
        <f t="shared" si="417"/>
        <v>37.670834805323409</v>
      </c>
      <c r="AT200" s="354">
        <f t="shared" si="417"/>
        <v>-48.791143819382214</v>
      </c>
      <c r="AU200" s="354">
        <f t="shared" si="417"/>
        <v>-161.57358716356705</v>
      </c>
      <c r="AV200" s="355">
        <f t="shared" si="417"/>
        <v>-517.98025893894044</v>
      </c>
      <c r="AW200" s="354">
        <f t="shared" si="417"/>
        <v>56.75447804961653</v>
      </c>
      <c r="AX200" s="354">
        <f t="shared" si="417"/>
        <v>160.58362254925962</v>
      </c>
      <c r="AY200" s="354">
        <f t="shared" si="417"/>
        <v>725.52867888850517</v>
      </c>
      <c r="AZ200" s="355">
        <f t="shared" si="417"/>
        <v>507.94365378374226</v>
      </c>
      <c r="BA200" s="354">
        <f t="shared" si="417"/>
        <v>977.56216458391384</v>
      </c>
      <c r="BB200" s="354">
        <f t="shared" si="417"/>
        <v>257.41246370210024</v>
      </c>
      <c r="BC200" s="354">
        <f t="shared" si="417"/>
        <v>711.35383741048668</v>
      </c>
      <c r="BD200" s="355">
        <f t="shared" si="417"/>
        <v>751.94038517727768</v>
      </c>
      <c r="BE200" s="354">
        <f t="shared" si="417"/>
        <v>176.59892164533565</v>
      </c>
      <c r="BF200" s="354">
        <f t="shared" si="417"/>
        <v>956.71992708369123</v>
      </c>
      <c r="BG200" s="354">
        <f t="shared" si="417"/>
        <v>1415.2231200434928</v>
      </c>
      <c r="BH200" s="355">
        <f t="shared" si="417"/>
        <v>-315.76443380402884</v>
      </c>
      <c r="BI200" s="354">
        <f t="shared" si="417"/>
        <v>-222.71942434772595</v>
      </c>
      <c r="BJ200" s="354">
        <f t="shared" si="417"/>
        <v>93.6055645229672</v>
      </c>
      <c r="BK200" s="354">
        <f t="shared" si="417"/>
        <v>2360.1121984604356</v>
      </c>
      <c r="BL200" s="355">
        <f t="shared" si="417"/>
        <v>806.0959912785604</v>
      </c>
      <c r="BM200" s="1511">
        <f t="shared" si="417"/>
        <v>1812.8664865558164</v>
      </c>
      <c r="BN200" s="354">
        <f t="shared" si="417"/>
        <v>1397.8779602011605</v>
      </c>
      <c r="BO200" s="354">
        <f>+(BO199-BK199)*10000</f>
        <v>12138.090495773682</v>
      </c>
      <c r="BP200" s="355">
        <f>+(BP199-BL199)*10000</f>
        <v>9676.2904832884215</v>
      </c>
      <c r="BQ200" s="1511">
        <f>+(BQ199-BM199)*10000</f>
        <v>8990.2933006700732</v>
      </c>
      <c r="BR200" s="354">
        <f>+(BR199-BN199)*10000</f>
        <v>8670.9322332822594</v>
      </c>
      <c r="BS200" s="354">
        <f t="shared" si="417"/>
        <v>14682.813436315537</v>
      </c>
      <c r="BT200" s="355">
        <f t="shared" si="417"/>
        <v>102176.51539499697</v>
      </c>
      <c r="BU200" s="1511">
        <f t="shared" si="417"/>
        <v>13321.127427510532</v>
      </c>
      <c r="BV200" s="354">
        <f t="shared" si="417"/>
        <v>12441.746462052355</v>
      </c>
      <c r="BW200" s="354">
        <f t="shared" si="417"/>
        <v>29651.348313697872</v>
      </c>
      <c r="BX200" s="355">
        <f t="shared" si="417"/>
        <v>27256.182468162217</v>
      </c>
      <c r="BY200" s="1511">
        <f t="shared" si="417"/>
        <v>3044.2664720395651</v>
      </c>
      <c r="BZ200" s="354">
        <f t="shared" si="417"/>
        <v>2516.4251762308209</v>
      </c>
      <c r="CA200" s="354">
        <f t="shared" si="417"/>
        <v>32541.710805448805</v>
      </c>
      <c r="CB200" s="355">
        <f t="shared" si="417"/>
        <v>74562.770933221327</v>
      </c>
      <c r="CC200" s="1511">
        <f t="shared" si="417"/>
        <v>2752.3648800705837</v>
      </c>
      <c r="CD200" s="354">
        <f t="shared" si="417"/>
        <v>2956.306020779733</v>
      </c>
      <c r="CE200" s="354">
        <f t="shared" si="417"/>
        <v>31295.524362387878</v>
      </c>
      <c r="CF200" s="355">
        <f t="shared" si="417"/>
        <v>70573.245542584118</v>
      </c>
      <c r="CG200" s="351"/>
      <c r="CH200" s="356"/>
      <c r="CI200" s="350"/>
      <c r="CJ200" s="396"/>
      <c r="CK200" s="396"/>
      <c r="CL200" s="352"/>
      <c r="CM200" s="352"/>
      <c r="CN200" s="354">
        <f t="shared" ref="CN200:CX200" si="418">+(CN199-CM199)*10000</f>
        <v>-58.9848464389231</v>
      </c>
      <c r="CO200" s="354">
        <f t="shared" si="418"/>
        <v>-84.640191735237963</v>
      </c>
      <c r="CP200" s="354">
        <f t="shared" si="418"/>
        <v>-167.31512993231723</v>
      </c>
      <c r="CQ200" s="354">
        <f t="shared" si="418"/>
        <v>373.49942290369364</v>
      </c>
      <c r="CR200" s="354">
        <f t="shared" si="418"/>
        <v>648.49131308104995</v>
      </c>
      <c r="CS200" s="354">
        <f t="shared" si="418"/>
        <v>573.69395846579403</v>
      </c>
      <c r="CT200" s="354">
        <f t="shared" si="418"/>
        <v>614.79770105328896</v>
      </c>
      <c r="CU200" s="354">
        <f t="shared" si="418"/>
        <v>4631.6063733102683</v>
      </c>
      <c r="CV200" s="354">
        <f>+(CV199-CU199)*10000</f>
        <v>14470.569600365621</v>
      </c>
      <c r="CW200" s="354">
        <f t="shared" si="418"/>
        <v>19680.805799446924</v>
      </c>
      <c r="CX200" s="354">
        <f t="shared" si="418"/>
        <v>14435.831260041967</v>
      </c>
      <c r="CY200" s="354">
        <f t="shared" ref="CY200:DF200" si="419">+(CY199-CX199)*10000</f>
        <v>13937.129847000921</v>
      </c>
      <c r="CZ200" s="354">
        <f t="shared" si="419"/>
        <v>23388.939176440093</v>
      </c>
      <c r="DA200" s="354">
        <f t="shared" si="419"/>
        <v>29111.880302949976</v>
      </c>
      <c r="DB200" s="354">
        <f t="shared" si="419"/>
        <v>17717.270394715837</v>
      </c>
      <c r="DC200" s="354">
        <f t="shared" si="419"/>
        <v>20178.97961165927</v>
      </c>
      <c r="DD200" s="354">
        <f t="shared" si="419"/>
        <v>22979.961890600363</v>
      </c>
      <c r="DE200" s="354">
        <f t="shared" si="419"/>
        <v>26166.68088051739</v>
      </c>
      <c r="DF200" s="355">
        <f t="shared" si="419"/>
        <v>29791.93174366454</v>
      </c>
    </row>
    <row r="201" spans="1:112" s="26" customFormat="1" ht="11.25" hidden="1" customHeight="1" outlineLevel="1">
      <c r="A201" s="24"/>
      <c r="B201"/>
      <c r="C201"/>
      <c r="D201"/>
      <c r="E201"/>
      <c r="F201"/>
      <c r="G201"/>
      <c r="H201" s="1047"/>
      <c r="I201" s="185"/>
      <c r="J201" s="70"/>
      <c r="K201" s="70"/>
      <c r="L201" s="24"/>
      <c r="M201" s="315"/>
      <c r="N201" s="315"/>
      <c r="O201" s="315"/>
      <c r="P201" s="316"/>
      <c r="Q201" s="315"/>
      <c r="R201" s="315"/>
      <c r="S201" s="315"/>
      <c r="T201" s="316"/>
      <c r="U201" s="360"/>
      <c r="V201" s="360"/>
      <c r="W201" s="360"/>
      <c r="X201" s="369"/>
      <c r="Y201" s="360"/>
      <c r="Z201" s="360"/>
      <c r="AA201" s="360"/>
      <c r="AB201" s="369"/>
      <c r="AC201" s="360"/>
      <c r="AD201" s="360"/>
      <c r="AE201" s="360"/>
      <c r="AF201" s="369"/>
      <c r="AG201" s="360"/>
      <c r="AH201" s="360"/>
      <c r="AI201" s="360"/>
      <c r="AJ201" s="369"/>
      <c r="AK201" s="360"/>
      <c r="AL201" s="360"/>
      <c r="AM201" s="360"/>
      <c r="AN201" s="369"/>
      <c r="AO201" s="360"/>
      <c r="AP201" s="360"/>
      <c r="AQ201" s="360"/>
      <c r="AR201" s="369"/>
      <c r="AS201" s="360"/>
      <c r="AT201" s="360"/>
      <c r="AU201" s="360"/>
      <c r="AV201" s="369"/>
      <c r="AW201" s="360"/>
      <c r="AX201" s="360"/>
      <c r="AY201" s="326"/>
      <c r="AZ201" s="327"/>
      <c r="BA201" s="326"/>
      <c r="BB201" s="326"/>
      <c r="BC201" s="326"/>
      <c r="BD201" s="327"/>
      <c r="BE201" s="326"/>
      <c r="BF201" s="326"/>
      <c r="BG201" s="326"/>
      <c r="BH201" s="327"/>
      <c r="BI201" s="326"/>
      <c r="BJ201" s="326"/>
      <c r="BK201" s="326"/>
      <c r="BL201" s="327"/>
      <c r="BM201" s="378"/>
      <c r="BN201" s="326"/>
      <c r="BO201" s="326"/>
      <c r="BP201" s="327"/>
      <c r="BQ201" s="378"/>
      <c r="BR201" s="326"/>
      <c r="BS201" s="326"/>
      <c r="BT201" s="327"/>
      <c r="BU201" s="378"/>
      <c r="BV201" s="326"/>
      <c r="BW201" s="326"/>
      <c r="BX201" s="327"/>
      <c r="BY201" s="378"/>
      <c r="BZ201" s="326"/>
      <c r="CA201" s="326"/>
      <c r="CB201" s="327"/>
      <c r="CC201" s="378"/>
      <c r="CD201" s="326"/>
      <c r="CE201" s="326"/>
      <c r="CF201" s="327"/>
      <c r="CG201" s="316"/>
      <c r="CH201" s="320"/>
      <c r="CI201" s="315"/>
      <c r="CJ201" s="360"/>
      <c r="CK201" s="360"/>
      <c r="CL201" s="360"/>
      <c r="CM201" s="360"/>
      <c r="CN201" s="360"/>
      <c r="CO201" s="360"/>
      <c r="CP201" s="360"/>
      <c r="CQ201" s="326"/>
      <c r="CR201" s="326"/>
      <c r="CS201" s="326"/>
      <c r="CT201" s="326"/>
      <c r="CU201" s="326"/>
      <c r="CV201" s="326"/>
      <c r="CW201" s="326"/>
      <c r="CX201" s="326"/>
      <c r="CY201" s="326"/>
      <c r="CZ201" s="326"/>
      <c r="DA201" s="326"/>
      <c r="DB201" s="326"/>
      <c r="DC201" s="326"/>
      <c r="DD201" s="326"/>
      <c r="DE201" s="326"/>
      <c r="DF201" s="327"/>
      <c r="DG201" s="94"/>
      <c r="DH201" s="94"/>
    </row>
    <row r="202" spans="1:112" s="26" customFormat="1" ht="11.25" customHeight="1" collapsed="1">
      <c r="A202" s="24"/>
      <c r="B202"/>
      <c r="C202"/>
      <c r="D202"/>
      <c r="E202"/>
      <c r="F202"/>
      <c r="G202"/>
      <c r="H202" s="1047"/>
      <c r="I202" s="190" t="s">
        <v>170</v>
      </c>
      <c r="J202" s="79"/>
      <c r="K202" s="79"/>
      <c r="L202" s="24"/>
      <c r="M202" s="315"/>
      <c r="N202" s="315"/>
      <c r="O202" s="315"/>
      <c r="P202" s="316"/>
      <c r="Q202" s="315"/>
      <c r="R202" s="315"/>
      <c r="S202" s="315"/>
      <c r="T202" s="316"/>
      <c r="U202" s="326"/>
      <c r="V202" s="326"/>
      <c r="W202" s="326"/>
      <c r="X202" s="327"/>
      <c r="Y202" s="326"/>
      <c r="Z202" s="326"/>
      <c r="AA202" s="326"/>
      <c r="AB202" s="327"/>
      <c r="AC202" s="326"/>
      <c r="AD202" s="326"/>
      <c r="AE202" s="326"/>
      <c r="AF202" s="327"/>
      <c r="AG202" s="326"/>
      <c r="AH202" s="326"/>
      <c r="AI202" s="326"/>
      <c r="AJ202" s="327"/>
      <c r="AK202" s="326"/>
      <c r="AL202" s="326"/>
      <c r="AM202" s="326"/>
      <c r="AN202" s="327"/>
      <c r="AO202" s="326"/>
      <c r="AP202" s="326"/>
      <c r="AQ202" s="326"/>
      <c r="AR202" s="327"/>
      <c r="AS202" s="326"/>
      <c r="AT202" s="326"/>
      <c r="AU202" s="326"/>
      <c r="AV202" s="327"/>
      <c r="AW202" s="358"/>
      <c r="AX202" s="358"/>
      <c r="AY202" s="358"/>
      <c r="AZ202" s="329"/>
      <c r="BA202" s="328"/>
      <c r="BB202" s="326"/>
      <c r="BC202" s="341"/>
      <c r="BD202" s="329"/>
      <c r="BE202" s="341"/>
      <c r="BF202" s="341"/>
      <c r="BG202" s="341"/>
      <c r="BH202" s="342"/>
      <c r="BI202" s="326"/>
      <c r="BJ202" s="326"/>
      <c r="BK202" s="326"/>
      <c r="BL202" s="327"/>
      <c r="BM202" s="378"/>
      <c r="BN202" s="326"/>
      <c r="BO202" s="326"/>
      <c r="BP202" s="327"/>
      <c r="BQ202" s="378"/>
      <c r="BR202" s="326"/>
      <c r="BS202" s="326"/>
      <c r="BT202" s="327"/>
      <c r="BU202" s="378"/>
      <c r="BV202" s="326"/>
      <c r="BW202" s="326"/>
      <c r="BX202" s="327"/>
      <c r="BY202" s="378"/>
      <c r="BZ202" s="326"/>
      <c r="CA202" s="326"/>
      <c r="CB202" s="327"/>
      <c r="CC202" s="378"/>
      <c r="CD202" s="326"/>
      <c r="CE202" s="326"/>
      <c r="CF202" s="327"/>
      <c r="CG202" s="316"/>
      <c r="CH202" s="320"/>
      <c r="CI202" s="315"/>
      <c r="CJ202" s="326"/>
      <c r="CK202" s="326"/>
      <c r="CL202" s="326"/>
      <c r="CM202" s="326"/>
      <c r="CN202" s="326"/>
      <c r="CO202" s="326"/>
      <c r="CP202" s="358"/>
      <c r="CQ202" s="326"/>
      <c r="CR202" s="328"/>
      <c r="CS202" s="375"/>
      <c r="CT202" s="321"/>
      <c r="CU202" s="321"/>
      <c r="CV202" s="321"/>
      <c r="CW202" s="321"/>
      <c r="CX202" s="321"/>
      <c r="CY202" s="321"/>
      <c r="CZ202" s="326"/>
      <c r="DA202" s="326"/>
      <c r="DB202" s="326"/>
      <c r="DC202" s="326"/>
      <c r="DD202" s="326"/>
      <c r="DE202" s="326"/>
      <c r="DF202" s="327"/>
      <c r="DG202" s="94"/>
      <c r="DH202" s="94"/>
    </row>
    <row r="203" spans="1:112" s="554" customFormat="1" ht="11.25" customHeight="1">
      <c r="A203" s="547"/>
      <c r="B203"/>
      <c r="C203"/>
      <c r="D203"/>
      <c r="E203"/>
      <c r="F203"/>
      <c r="G203"/>
      <c r="H203" s="1047"/>
      <c r="I203" s="9" t="s">
        <v>171</v>
      </c>
      <c r="J203" s="21"/>
      <c r="K203" s="21"/>
      <c r="L203" s="547"/>
      <c r="M203" s="551"/>
      <c r="N203" s="551"/>
      <c r="O203" s="551"/>
      <c r="P203" s="552"/>
      <c r="Q203" s="551"/>
      <c r="R203" s="551"/>
      <c r="S203" s="551"/>
      <c r="T203" s="552"/>
      <c r="U203" s="394"/>
      <c r="V203" s="394"/>
      <c r="W203" s="394"/>
      <c r="X203" s="395"/>
      <c r="Y203" s="394"/>
      <c r="Z203" s="394"/>
      <c r="AA203" s="394"/>
      <c r="AB203" s="395"/>
      <c r="AC203" s="394"/>
      <c r="AD203" s="394"/>
      <c r="AE203" s="394"/>
      <c r="AF203" s="395"/>
      <c r="AG203" s="396">
        <f t="shared" ref="AG203:AM203" si="420">+AG206-AG204-AG205</f>
        <v>22.4</v>
      </c>
      <c r="AH203" s="396">
        <f t="shared" si="420"/>
        <v>47.1</v>
      </c>
      <c r="AI203" s="396">
        <f t="shared" si="420"/>
        <v>65</v>
      </c>
      <c r="AJ203" s="397">
        <f t="shared" si="420"/>
        <v>47.4</v>
      </c>
      <c r="AK203" s="396">
        <f t="shared" si="420"/>
        <v>47.900000000000006</v>
      </c>
      <c r="AL203" s="396">
        <f t="shared" si="420"/>
        <v>90.4</v>
      </c>
      <c r="AM203" s="396">
        <f t="shared" si="420"/>
        <v>131.80000000000001</v>
      </c>
      <c r="AN203" s="397">
        <f t="shared" ref="AN203:CF203" si="421">+AN238</f>
        <v>101</v>
      </c>
      <c r="AO203" s="396">
        <f t="shared" si="421"/>
        <v>100.233</v>
      </c>
      <c r="AP203" s="396">
        <f t="shared" si="421"/>
        <v>160.99100000000001</v>
      </c>
      <c r="AQ203" s="396">
        <f t="shared" si="421"/>
        <v>219.00199999999998</v>
      </c>
      <c r="AR203" s="397">
        <f t="shared" si="421"/>
        <v>122.3625</v>
      </c>
      <c r="AS203" s="396">
        <f t="shared" si="421"/>
        <v>105.51755</v>
      </c>
      <c r="AT203" s="396">
        <f t="shared" si="421"/>
        <v>188.35384999999999</v>
      </c>
      <c r="AU203" s="396">
        <f t="shared" si="421"/>
        <v>304.72480000000002</v>
      </c>
      <c r="AV203" s="397">
        <f t="shared" si="421"/>
        <v>210.13749999999999</v>
      </c>
      <c r="AW203" s="396">
        <f t="shared" si="421"/>
        <v>192.199736</v>
      </c>
      <c r="AX203" s="396">
        <f t="shared" si="421"/>
        <v>292.73539499999998</v>
      </c>
      <c r="AY203" s="396">
        <f t="shared" si="421"/>
        <v>488.12072000000001</v>
      </c>
      <c r="AZ203" s="397">
        <f t="shared" si="421"/>
        <v>334.77787499999999</v>
      </c>
      <c r="BA203" s="396">
        <f t="shared" si="421"/>
        <v>328.0394192</v>
      </c>
      <c r="BB203" s="396">
        <f t="shared" si="421"/>
        <v>539.37992695387254</v>
      </c>
      <c r="BC203" s="396">
        <f t="shared" si="421"/>
        <v>867.04143999999997</v>
      </c>
      <c r="BD203" s="397">
        <f t="shared" si="421"/>
        <v>529.75575000000003</v>
      </c>
      <c r="BE203" s="396">
        <f t="shared" si="421"/>
        <v>514.72701264</v>
      </c>
      <c r="BF203" s="396">
        <f t="shared" si="421"/>
        <v>736.97040885119588</v>
      </c>
      <c r="BG203" s="396">
        <f>+BG238</f>
        <v>1094.2856192000002</v>
      </c>
      <c r="BH203" s="397">
        <f t="shared" si="421"/>
        <v>710.88919999999996</v>
      </c>
      <c r="BI203" s="396">
        <f t="shared" si="421"/>
        <v>747.40689820160003</v>
      </c>
      <c r="BJ203" s="396">
        <f t="shared" si="421"/>
        <v>1019.5068661241743</v>
      </c>
      <c r="BK203" s="396">
        <f>+BK238</f>
        <v>1554.988035456</v>
      </c>
      <c r="BL203" s="397">
        <f t="shared" si="421"/>
        <v>982.36041999999998</v>
      </c>
      <c r="BM203" s="1326">
        <f t="shared" si="421"/>
        <v>1020.85696766208</v>
      </c>
      <c r="BN203" s="396">
        <f t="shared" si="421"/>
        <v>1418.9306799477592</v>
      </c>
      <c r="BO203" s="396">
        <f>+BO238</f>
        <v>2061.1134060928002</v>
      </c>
      <c r="BP203" s="397">
        <f>+BP238</f>
        <v>1215.344546</v>
      </c>
      <c r="BQ203" s="1326">
        <f t="shared" si="421"/>
        <v>1173.028361194496</v>
      </c>
      <c r="BR203" s="396">
        <f t="shared" si="421"/>
        <v>1522.7168159373109</v>
      </c>
      <c r="BS203" s="396">
        <f>+BS238</f>
        <v>2341.7133614835202</v>
      </c>
      <c r="BT203" s="397">
        <f t="shared" si="421"/>
        <v>1361.9134006000002</v>
      </c>
      <c r="BU203" s="1326">
        <f>+BU238</f>
        <v>1415.142606328955</v>
      </c>
      <c r="BV203" s="396">
        <f>+BV238</f>
        <v>1760.0823433840533</v>
      </c>
      <c r="BW203" s="396">
        <f t="shared" si="421"/>
        <v>2983.8437906989057</v>
      </c>
      <c r="BX203" s="397">
        <f t="shared" si="421"/>
        <v>1702.482560768</v>
      </c>
      <c r="BY203" s="396">
        <f>+BY238</f>
        <v>1649.8778771111936</v>
      </c>
      <c r="BZ203" s="396">
        <f t="shared" si="421"/>
        <v>2183.7437164738021</v>
      </c>
      <c r="CA203" s="396">
        <f t="shared" si="421"/>
        <v>3619.9779607736318</v>
      </c>
      <c r="CB203" s="397">
        <f t="shared" si="421"/>
        <v>2035.69827936</v>
      </c>
      <c r="CC203" s="1326">
        <f t="shared" si="421"/>
        <v>2047.8295771443657</v>
      </c>
      <c r="CD203" s="396">
        <f t="shared" si="421"/>
        <v>2720.041280728974</v>
      </c>
      <c r="CE203" s="396">
        <f t="shared" si="421"/>
        <v>4184.338231224755</v>
      </c>
      <c r="CF203" s="397">
        <f t="shared" si="421"/>
        <v>2573.3822643112076</v>
      </c>
      <c r="CG203" s="552"/>
      <c r="CH203" s="553"/>
      <c r="CI203" s="551"/>
      <c r="CJ203" s="394"/>
      <c r="CK203" s="394"/>
      <c r="CL203" s="394"/>
      <c r="CM203" s="396">
        <f>+CM206-CM204-CM205</f>
        <v>181.9</v>
      </c>
      <c r="CN203" s="396">
        <f>+CN238</f>
        <v>367.1</v>
      </c>
      <c r="CO203" s="396">
        <f>+SUM(AO203:AR203)</f>
        <v>602.58849999999995</v>
      </c>
      <c r="CP203" s="396">
        <f>+SUM(AS203:AV203)</f>
        <v>808.7337</v>
      </c>
      <c r="CQ203" s="396">
        <f>+SUM(AW203:AZ203)</f>
        <v>1307.8337259999998</v>
      </c>
      <c r="CR203" s="396">
        <f>+SUM(BA203:BD203)</f>
        <v>2264.2165361538728</v>
      </c>
      <c r="CS203" s="396">
        <f>+SUM(BE203:BH203)</f>
        <v>3056.8722406911961</v>
      </c>
      <c r="CT203" s="396">
        <f>+SUM(BI203:BL203)</f>
        <v>4304.2622197817745</v>
      </c>
      <c r="CU203" s="396">
        <f>SUM(BM203:BP203)</f>
        <v>5716.2455997026391</v>
      </c>
      <c r="CV203" s="396">
        <f>SUM(BQ203:BT203)</f>
        <v>6399.3719392153271</v>
      </c>
      <c r="CW203" s="396">
        <f>SUM(BU203:BX203)</f>
        <v>7861.5513011799139</v>
      </c>
      <c r="CX203" s="396">
        <f>SUM(BY203:CB203)</f>
        <v>9489.2978337186287</v>
      </c>
      <c r="CY203" s="396">
        <f>SUM(CC203:CF203)</f>
        <v>11525.591353409302</v>
      </c>
      <c r="CZ203" s="396">
        <f t="shared" ref="CZ203:DF205" si="422">+CZ238</f>
        <v>13305.874305869598</v>
      </c>
      <c r="DA203" s="396">
        <f t="shared" si="422"/>
        <v>15083.695336049828</v>
      </c>
      <c r="DB203" s="396">
        <f t="shared" si="422"/>
        <v>16797.511538348826</v>
      </c>
      <c r="DC203" s="396">
        <f t="shared" si="422"/>
        <v>18475.994392295343</v>
      </c>
      <c r="DD203" s="396">
        <f t="shared" si="422"/>
        <v>20113.18315743807</v>
      </c>
      <c r="DE203" s="396">
        <f t="shared" si="422"/>
        <v>21691.408924924566</v>
      </c>
      <c r="DF203" s="397">
        <f t="shared" si="422"/>
        <v>23393.508565100587</v>
      </c>
      <c r="DG203" s="612"/>
      <c r="DH203" s="612"/>
    </row>
    <row r="204" spans="1:112" s="554" customFormat="1" ht="11.25" customHeight="1">
      <c r="A204" s="547"/>
      <c r="B204"/>
      <c r="C204"/>
      <c r="D204"/>
      <c r="E204"/>
      <c r="F204"/>
      <c r="G204"/>
      <c r="H204" s="1047"/>
      <c r="I204" s="9" t="s">
        <v>172</v>
      </c>
      <c r="J204" s="21"/>
      <c r="K204" s="21"/>
      <c r="L204" s="547"/>
      <c r="M204" s="551"/>
      <c r="N204" s="551"/>
      <c r="O204" s="551"/>
      <c r="P204" s="552"/>
      <c r="Q204" s="551"/>
      <c r="R204" s="551"/>
      <c r="S204" s="551"/>
      <c r="T204" s="552"/>
      <c r="U204" s="394"/>
      <c r="V204" s="394"/>
      <c r="W204" s="394"/>
      <c r="X204" s="395"/>
      <c r="Y204" s="394"/>
      <c r="Z204" s="394"/>
      <c r="AA204" s="394"/>
      <c r="AB204" s="395"/>
      <c r="AC204" s="394"/>
      <c r="AD204" s="394"/>
      <c r="AE204" s="394"/>
      <c r="AF204" s="395"/>
      <c r="AG204" s="394">
        <v>0</v>
      </c>
      <c r="AH204" s="394">
        <v>0</v>
      </c>
      <c r="AI204" s="394">
        <v>0</v>
      </c>
      <c r="AJ204" s="395">
        <v>0</v>
      </c>
      <c r="AK204" s="394">
        <v>0</v>
      </c>
      <c r="AL204" s="394">
        <v>0</v>
      </c>
      <c r="AM204" s="394">
        <v>0</v>
      </c>
      <c r="AN204" s="395">
        <v>1.9</v>
      </c>
      <c r="AO204" s="396">
        <f t="shared" ref="AO204:CF204" si="423">+AO239</f>
        <v>3.5670000000000002</v>
      </c>
      <c r="AP204" s="396">
        <f t="shared" si="423"/>
        <v>3.5089999999999995</v>
      </c>
      <c r="AQ204" s="396">
        <f t="shared" si="423"/>
        <v>4.6979999999999995</v>
      </c>
      <c r="AR204" s="397">
        <f t="shared" si="423"/>
        <v>5.4375</v>
      </c>
      <c r="AS204" s="396">
        <f t="shared" si="423"/>
        <v>8.3824500000000004</v>
      </c>
      <c r="AT204" s="396">
        <f t="shared" si="423"/>
        <v>8.2461499999999983</v>
      </c>
      <c r="AU204" s="396">
        <f t="shared" si="423"/>
        <v>11.275199999999998</v>
      </c>
      <c r="AV204" s="397">
        <f t="shared" si="423"/>
        <v>11.962499999999999</v>
      </c>
      <c r="AW204" s="396">
        <f t="shared" si="423"/>
        <v>22.800263999999999</v>
      </c>
      <c r="AX204" s="396">
        <f t="shared" si="423"/>
        <v>22.264605</v>
      </c>
      <c r="AY204" s="396">
        <f t="shared" si="423"/>
        <v>29.879279999999994</v>
      </c>
      <c r="AZ204" s="397">
        <f t="shared" si="423"/>
        <v>31.222125000000002</v>
      </c>
      <c r="BA204" s="396">
        <f t="shared" si="423"/>
        <v>50.160580799999998</v>
      </c>
      <c r="BB204" s="396">
        <f t="shared" si="423"/>
        <v>56.774742749999994</v>
      </c>
      <c r="BC204" s="396">
        <f t="shared" si="423"/>
        <v>59.758559999999989</v>
      </c>
      <c r="BD204" s="397">
        <f t="shared" si="423"/>
        <v>62.444250000000004</v>
      </c>
      <c r="BE204" s="396">
        <f t="shared" si="423"/>
        <v>85.272987359999988</v>
      </c>
      <c r="BF204" s="396">
        <f t="shared" si="423"/>
        <v>96.517062674999991</v>
      </c>
      <c r="BG204" s="396">
        <f t="shared" si="423"/>
        <v>100.39438079999998</v>
      </c>
      <c r="BH204" s="397">
        <f t="shared" si="423"/>
        <v>99.910800000000009</v>
      </c>
      <c r="BI204" s="396">
        <f t="shared" si="423"/>
        <v>122.79310179839997</v>
      </c>
      <c r="BJ204" s="396">
        <f t="shared" si="423"/>
        <v>144.77559401249997</v>
      </c>
      <c r="BK204" s="396">
        <f t="shared" si="423"/>
        <v>143.56396454399996</v>
      </c>
      <c r="BL204" s="397">
        <f t="shared" si="423"/>
        <v>134.87958</v>
      </c>
      <c r="BM204" s="1326">
        <f t="shared" si="423"/>
        <v>159.63103233791998</v>
      </c>
      <c r="BN204" s="396">
        <f t="shared" si="423"/>
        <v>188.20827221624998</v>
      </c>
      <c r="BO204" s="396">
        <f>+BO239</f>
        <v>186.63315390719998</v>
      </c>
      <c r="BP204" s="397">
        <f>+BP239</f>
        <v>175.34345400000004</v>
      </c>
      <c r="BQ204" s="1326">
        <f t="shared" si="423"/>
        <v>191.55723880550394</v>
      </c>
      <c r="BR204" s="396">
        <f t="shared" si="423"/>
        <v>225.84992665949997</v>
      </c>
      <c r="BS204" s="396">
        <f t="shared" si="423"/>
        <v>167.96983851647997</v>
      </c>
      <c r="BT204" s="397">
        <f t="shared" si="423"/>
        <v>192.87779940000004</v>
      </c>
      <c r="BU204" s="1326">
        <f>+BU239</f>
        <v>245.19326567104508</v>
      </c>
      <c r="BV204" s="396">
        <f>+BV239</f>
        <v>282.31240832437493</v>
      </c>
      <c r="BW204" s="396">
        <f t="shared" si="423"/>
        <v>215.00139330109437</v>
      </c>
      <c r="BX204" s="397">
        <f t="shared" si="423"/>
        <v>246.88358323200009</v>
      </c>
      <c r="BY204" s="396">
        <f>+BY239</f>
        <v>306.49158208880635</v>
      </c>
      <c r="BZ204" s="396">
        <f t="shared" si="423"/>
        <v>352.89051040546866</v>
      </c>
      <c r="CA204" s="396">
        <f t="shared" si="423"/>
        <v>268.75174162636796</v>
      </c>
      <c r="CB204" s="397">
        <f t="shared" si="423"/>
        <v>308.60447904000011</v>
      </c>
      <c r="CC204" s="1326">
        <f t="shared" si="423"/>
        <v>352.46531940212725</v>
      </c>
      <c r="CD204" s="396">
        <f t="shared" si="423"/>
        <v>405.82408696628892</v>
      </c>
      <c r="CE204" s="396">
        <f t="shared" si="423"/>
        <v>309.06450287032311</v>
      </c>
      <c r="CF204" s="397">
        <f t="shared" si="423"/>
        <v>354.89515089600008</v>
      </c>
      <c r="CG204" s="552"/>
      <c r="CH204" s="553"/>
      <c r="CI204" s="551"/>
      <c r="CJ204" s="394"/>
      <c r="CK204" s="394"/>
      <c r="CL204" s="394"/>
      <c r="CM204" s="394">
        <v>0</v>
      </c>
      <c r="CN204" s="396">
        <f>+SUM(AK204:AN204)</f>
        <v>1.9</v>
      </c>
      <c r="CO204" s="396">
        <f>+SUM(AO204:AR204)</f>
        <v>17.211500000000001</v>
      </c>
      <c r="CP204" s="396">
        <f>+SUM(AS204:AV204)</f>
        <v>39.866299999999995</v>
      </c>
      <c r="CQ204" s="396">
        <f>+SUM(AW204:AZ204)</f>
        <v>106.166274</v>
      </c>
      <c r="CR204" s="396">
        <f>+SUM(BA204:BD204)</f>
        <v>229.13813354999999</v>
      </c>
      <c r="CS204" s="396">
        <f>+SUM(BE204:BH204)</f>
        <v>382.09523083499994</v>
      </c>
      <c r="CT204" s="396">
        <f>+SUM(BI204:BL204)</f>
        <v>546.01224035489997</v>
      </c>
      <c r="CU204" s="396">
        <f>SUM(BM204:BP204)</f>
        <v>709.81591246137009</v>
      </c>
      <c r="CV204" s="396">
        <f>SUM(BQ204:BT204)</f>
        <v>778.25480338148395</v>
      </c>
      <c r="CW204" s="396">
        <f>SUM(BU204:BX204)</f>
        <v>989.39065052851447</v>
      </c>
      <c r="CX204" s="396">
        <f>SUM(BY204:CB204)</f>
        <v>1236.738313160643</v>
      </c>
      <c r="CY204" s="396">
        <f>SUM(CC204:CF204)</f>
        <v>1422.2490601347395</v>
      </c>
      <c r="CZ204" s="396">
        <f t="shared" si="422"/>
        <v>1603.5858153019187</v>
      </c>
      <c r="DA204" s="396">
        <f t="shared" si="422"/>
        <v>1777.3744280352641</v>
      </c>
      <c r="DB204" s="396">
        <f t="shared" si="422"/>
        <v>1943.3367652530569</v>
      </c>
      <c r="DC204" s="396">
        <f t="shared" si="422"/>
        <v>2095.645784229765</v>
      </c>
      <c r="DD204" s="396">
        <f t="shared" si="422"/>
        <v>2259.892022568773</v>
      </c>
      <c r="DE204" s="396">
        <f t="shared" si="422"/>
        <v>2437.0110598376</v>
      </c>
      <c r="DF204" s="397">
        <f t="shared" si="422"/>
        <v>2628.011801652372</v>
      </c>
      <c r="DG204" s="612"/>
      <c r="DH204" s="612"/>
    </row>
    <row r="205" spans="1:112" s="554" customFormat="1" ht="11.25" customHeight="1">
      <c r="A205" s="547"/>
      <c r="B205"/>
      <c r="C205"/>
      <c r="D205"/>
      <c r="E205"/>
      <c r="F205"/>
      <c r="G205"/>
      <c r="H205" s="1047"/>
      <c r="I205" s="610" t="s">
        <v>173</v>
      </c>
      <c r="J205" s="588"/>
      <c r="K205" s="588"/>
      <c r="L205" s="560"/>
      <c r="M205" s="561"/>
      <c r="N205" s="561"/>
      <c r="O205" s="561"/>
      <c r="P205" s="562"/>
      <c r="Q205" s="561"/>
      <c r="R205" s="561"/>
      <c r="S205" s="561"/>
      <c r="T205" s="562"/>
      <c r="U205" s="563"/>
      <c r="V205" s="563"/>
      <c r="W205" s="563"/>
      <c r="X205" s="564"/>
      <c r="Y205" s="563"/>
      <c r="Z205" s="563"/>
      <c r="AA205" s="563"/>
      <c r="AB205" s="564"/>
      <c r="AC205" s="563"/>
      <c r="AD205" s="563"/>
      <c r="AE205" s="563"/>
      <c r="AF205" s="564"/>
      <c r="AG205" s="563">
        <v>0</v>
      </c>
      <c r="AH205" s="563">
        <v>0</v>
      </c>
      <c r="AI205" s="563">
        <v>0</v>
      </c>
      <c r="AJ205" s="564">
        <v>0</v>
      </c>
      <c r="AK205" s="563">
        <v>0</v>
      </c>
      <c r="AL205" s="563">
        <v>0</v>
      </c>
      <c r="AM205" s="563">
        <v>0</v>
      </c>
      <c r="AN205" s="564">
        <v>0</v>
      </c>
      <c r="AO205" s="563">
        <v>0</v>
      </c>
      <c r="AP205" s="563">
        <v>0</v>
      </c>
      <c r="AQ205" s="563">
        <v>0</v>
      </c>
      <c r="AR205" s="564">
        <v>0</v>
      </c>
      <c r="AS205" s="563">
        <v>0</v>
      </c>
      <c r="AT205" s="563">
        <v>0</v>
      </c>
      <c r="AU205" s="563">
        <v>0</v>
      </c>
      <c r="AV205" s="564">
        <v>0</v>
      </c>
      <c r="AW205" s="563">
        <v>0</v>
      </c>
      <c r="AX205" s="613">
        <f t="shared" ref="AX205:BN205" si="424">+AX206-AX204-AX203</f>
        <v>7.6000000000000227</v>
      </c>
      <c r="AY205" s="613">
        <f t="shared" si="424"/>
        <v>12</v>
      </c>
      <c r="AZ205" s="614">
        <f t="shared" si="424"/>
        <v>8</v>
      </c>
      <c r="BA205" s="613">
        <f t="shared" si="424"/>
        <v>10</v>
      </c>
      <c r="BB205" s="613">
        <f t="shared" si="424"/>
        <v>15.945330296127509</v>
      </c>
      <c r="BC205" s="613">
        <f t="shared" si="424"/>
        <v>25.200000000000045</v>
      </c>
      <c r="BD205" s="614">
        <f t="shared" si="424"/>
        <v>16.799999999999955</v>
      </c>
      <c r="BE205" s="613">
        <f t="shared" si="424"/>
        <v>17</v>
      </c>
      <c r="BF205" s="613">
        <f t="shared" si="424"/>
        <v>25.512528473804082</v>
      </c>
      <c r="BG205" s="613">
        <f t="shared" si="424"/>
        <v>40.319999999999936</v>
      </c>
      <c r="BH205" s="614">
        <f t="shared" si="424"/>
        <v>25.200000000000045</v>
      </c>
      <c r="BI205" s="613">
        <f t="shared" si="424"/>
        <v>23.799999999999955</v>
      </c>
      <c r="BJ205" s="613">
        <f t="shared" si="424"/>
        <v>35.717539863325669</v>
      </c>
      <c r="BK205" s="613">
        <f t="shared" si="424"/>
        <v>101.44800000000009</v>
      </c>
      <c r="BL205" s="614">
        <f t="shared" si="424"/>
        <v>32.759999999999991</v>
      </c>
      <c r="BM205" s="1555">
        <f t="shared" si="424"/>
        <v>29.511999999999944</v>
      </c>
      <c r="BN205" s="613">
        <f t="shared" si="424"/>
        <v>42.861047835990803</v>
      </c>
      <c r="BO205" s="613">
        <f t="shared" ref="BO205:BT205" si="425">+BO206-BO204-BO203</f>
        <v>52.253439999999955</v>
      </c>
      <c r="BP205" s="614">
        <f t="shared" si="425"/>
        <v>39.311999999999898</v>
      </c>
      <c r="BQ205" s="1555">
        <f t="shared" si="425"/>
        <v>35.414400000000114</v>
      </c>
      <c r="BR205" s="613">
        <f t="shared" si="425"/>
        <v>51.433257403189145</v>
      </c>
      <c r="BS205" s="613">
        <f t="shared" si="425"/>
        <v>90.316799999999603</v>
      </c>
      <c r="BT205" s="614">
        <f t="shared" si="425"/>
        <v>45.208799999999883</v>
      </c>
      <c r="BU205" s="1555">
        <f>+BU206-BU204-BU203</f>
        <v>39.664127999999891</v>
      </c>
      <c r="BV205" s="613">
        <f>+BV206-BV204-BV203</f>
        <v>57.605248291571797</v>
      </c>
      <c r="BW205" s="613">
        <f>+BW206-BW204-BW203</f>
        <v>101.15481600000021</v>
      </c>
      <c r="BX205" s="614">
        <f>+BX206-BX204-BX203</f>
        <v>50.633855999999923</v>
      </c>
      <c r="BY205" s="613">
        <f>+BY206-BY204-BY203</f>
        <v>43.630540800000063</v>
      </c>
      <c r="BZ205" s="566">
        <f t="shared" ref="BZ205:CF205" si="426">+BZ240</f>
        <v>63.365773120728946</v>
      </c>
      <c r="CA205" s="566">
        <f t="shared" si="426"/>
        <v>111.27029760000003</v>
      </c>
      <c r="CB205" s="565">
        <f t="shared" si="426"/>
        <v>55.697241599999998</v>
      </c>
      <c r="CC205" s="1327">
        <f t="shared" si="426"/>
        <v>45.812067840000012</v>
      </c>
      <c r="CD205" s="566">
        <f t="shared" si="426"/>
        <v>66.534061776765398</v>
      </c>
      <c r="CE205" s="566">
        <f t="shared" si="426"/>
        <v>116.83381248000005</v>
      </c>
      <c r="CF205" s="565">
        <f t="shared" si="426"/>
        <v>58.482103680000009</v>
      </c>
      <c r="CG205" s="552"/>
      <c r="CH205" s="567"/>
      <c r="CI205" s="561"/>
      <c r="CJ205" s="563"/>
      <c r="CK205" s="563"/>
      <c r="CL205" s="563"/>
      <c r="CM205" s="563">
        <v>0</v>
      </c>
      <c r="CN205" s="563">
        <v>0</v>
      </c>
      <c r="CO205" s="563">
        <v>0</v>
      </c>
      <c r="CP205" s="563">
        <v>0</v>
      </c>
      <c r="CQ205" s="566">
        <f>+SUM(AW205:AZ205)</f>
        <v>27.600000000000023</v>
      </c>
      <c r="CR205" s="566">
        <f>+SUM(BA205:BD205)</f>
        <v>67.945330296127509</v>
      </c>
      <c r="CS205" s="566">
        <f>+SUM(BE205:BH205)</f>
        <v>108.03252847380406</v>
      </c>
      <c r="CT205" s="566">
        <f>+SUM(BI205:BL205)</f>
        <v>193.72553986332571</v>
      </c>
      <c r="CU205" s="566">
        <f>SUM(BM205:BP205)</f>
        <v>163.9384878359906</v>
      </c>
      <c r="CV205" s="566">
        <f>SUM(BQ205:BT205)</f>
        <v>222.37325740318875</v>
      </c>
      <c r="CW205" s="566">
        <f>SUM(BU205:BX205)</f>
        <v>249.05804829157182</v>
      </c>
      <c r="CX205" s="566">
        <f>SUM(BY205:CB205)</f>
        <v>273.96385312072903</v>
      </c>
      <c r="CY205" s="566">
        <f>SUM(CC205:CF205)</f>
        <v>287.66204577676547</v>
      </c>
      <c r="CZ205" s="566">
        <f t="shared" si="422"/>
        <v>299.16852760783615</v>
      </c>
      <c r="DA205" s="566">
        <f t="shared" si="422"/>
        <v>308.14358343607125</v>
      </c>
      <c r="DB205" s="566">
        <f t="shared" si="422"/>
        <v>314.30645510479269</v>
      </c>
      <c r="DC205" s="566">
        <f t="shared" si="422"/>
        <v>317.44951965584067</v>
      </c>
      <c r="DD205" s="566">
        <f t="shared" si="422"/>
        <v>317.44951965584067</v>
      </c>
      <c r="DE205" s="566">
        <f t="shared" si="422"/>
        <v>314.27502445928229</v>
      </c>
      <c r="DF205" s="565">
        <f t="shared" si="422"/>
        <v>311.13227421468946</v>
      </c>
      <c r="DG205" s="612"/>
      <c r="DH205" s="612"/>
    </row>
    <row r="206" spans="1:112" s="584" customFormat="1" ht="11.25" customHeight="1">
      <c r="A206" s="542"/>
      <c r="B206"/>
      <c r="C206"/>
      <c r="D206"/>
      <c r="E206"/>
      <c r="F206"/>
      <c r="G206"/>
      <c r="H206" s="1046"/>
      <c r="I206" s="544" t="s">
        <v>388</v>
      </c>
      <c r="J206" s="542"/>
      <c r="K206" s="542"/>
      <c r="L206" s="542"/>
      <c r="M206" s="581"/>
      <c r="N206" s="581"/>
      <c r="O206" s="581"/>
      <c r="P206" s="582"/>
      <c r="Q206" s="581"/>
      <c r="R206" s="581"/>
      <c r="S206" s="581"/>
      <c r="T206" s="582"/>
      <c r="U206" s="572"/>
      <c r="V206" s="572"/>
      <c r="W206" s="572"/>
      <c r="X206" s="573"/>
      <c r="Y206" s="572"/>
      <c r="Z206" s="572"/>
      <c r="AA206" s="572"/>
      <c r="AB206" s="573"/>
      <c r="AC206" s="572"/>
      <c r="AD206" s="572"/>
      <c r="AE206" s="572"/>
      <c r="AF206" s="573"/>
      <c r="AG206" s="465">
        <f>69.5-AH206</f>
        <v>22.4</v>
      </c>
      <c r="AH206" s="572">
        <v>47.1</v>
      </c>
      <c r="AI206" s="572">
        <v>65</v>
      </c>
      <c r="AJ206" s="573">
        <v>47.4</v>
      </c>
      <c r="AK206" s="465">
        <f>138.3-AL206</f>
        <v>47.900000000000006</v>
      </c>
      <c r="AL206" s="572">
        <v>90.4</v>
      </c>
      <c r="AM206" s="572">
        <v>131.80000000000001</v>
      </c>
      <c r="AN206" s="573">
        <v>102.5</v>
      </c>
      <c r="AO206" s="572">
        <v>103.764</v>
      </c>
      <c r="AP206" s="572">
        <v>164.5</v>
      </c>
      <c r="AQ206" s="572">
        <v>223.7</v>
      </c>
      <c r="AR206" s="466">
        <f>619.8-AQ206-AP206-AO206</f>
        <v>127.83599999999997</v>
      </c>
      <c r="AS206" s="572">
        <v>114.6</v>
      </c>
      <c r="AT206" s="572">
        <v>197.6</v>
      </c>
      <c r="AU206" s="572">
        <v>316.89999999999998</v>
      </c>
      <c r="AV206" s="573">
        <v>222.9</v>
      </c>
      <c r="AW206" s="572">
        <v>215.8</v>
      </c>
      <c r="AX206" s="572">
        <v>322.60000000000002</v>
      </c>
      <c r="AY206" s="465">
        <f t="shared" ref="AY206:BG206" si="427">+AY241</f>
        <v>530</v>
      </c>
      <c r="AZ206" s="466">
        <f t="shared" si="427"/>
        <v>374</v>
      </c>
      <c r="BA206" s="465">
        <f>+BA241</f>
        <v>388.2</v>
      </c>
      <c r="BB206" s="465">
        <f t="shared" si="427"/>
        <v>612.1</v>
      </c>
      <c r="BC206" s="465">
        <f t="shared" si="427"/>
        <v>952</v>
      </c>
      <c r="BD206" s="466">
        <f t="shared" si="427"/>
        <v>609</v>
      </c>
      <c r="BE206" s="465">
        <f t="shared" si="427"/>
        <v>617</v>
      </c>
      <c r="BF206" s="465">
        <f t="shared" si="427"/>
        <v>859</v>
      </c>
      <c r="BG206" s="465">
        <f t="shared" si="427"/>
        <v>1235</v>
      </c>
      <c r="BH206" s="682">
        <v>836</v>
      </c>
      <c r="BI206" s="681">
        <v>894</v>
      </c>
      <c r="BJ206" s="681">
        <v>1200</v>
      </c>
      <c r="BK206" s="681">
        <v>1800</v>
      </c>
      <c r="BL206" s="682">
        <v>1150</v>
      </c>
      <c r="BM206" s="1556">
        <v>1210</v>
      </c>
      <c r="BN206" s="681">
        <v>1650</v>
      </c>
      <c r="BO206" s="681">
        <v>2300</v>
      </c>
      <c r="BP206" s="682">
        <v>1430</v>
      </c>
      <c r="BQ206" s="1556">
        <v>1400</v>
      </c>
      <c r="BR206" s="681">
        <v>1800</v>
      </c>
      <c r="BS206" s="681">
        <v>2600</v>
      </c>
      <c r="BT206" s="682">
        <v>1600</v>
      </c>
      <c r="BU206" s="1556">
        <v>1700</v>
      </c>
      <c r="BV206" s="681">
        <v>2100</v>
      </c>
      <c r="BW206" s="681">
        <v>3300</v>
      </c>
      <c r="BX206" s="682">
        <v>2000</v>
      </c>
      <c r="BY206" s="681">
        <v>2000</v>
      </c>
      <c r="BZ206" s="681">
        <v>2600</v>
      </c>
      <c r="CA206" s="681">
        <v>4000</v>
      </c>
      <c r="CB206" s="682">
        <v>2400</v>
      </c>
      <c r="CC206" s="635">
        <f>+SUM(CC203:CC205)</f>
        <v>2446.106964386493</v>
      </c>
      <c r="CD206" s="465">
        <f>+SUM(CD203:CD205)</f>
        <v>3192.3994294720287</v>
      </c>
      <c r="CE206" s="465">
        <f>+SUM(CE203:CE205)</f>
        <v>4610.2365465750781</v>
      </c>
      <c r="CF206" s="466">
        <f>+SUM(CF203:CF205)</f>
        <v>2986.7595188872074</v>
      </c>
      <c r="CG206" s="582"/>
      <c r="CH206" s="583"/>
      <c r="CI206" s="581"/>
      <c r="CJ206" s="572"/>
      <c r="CK206" s="572"/>
      <c r="CL206" s="572"/>
      <c r="CM206" s="465">
        <f>+SUM(AG206:AJ206)</f>
        <v>181.9</v>
      </c>
      <c r="CN206" s="465">
        <f>+SUM(AK206:AN206)</f>
        <v>372.6</v>
      </c>
      <c r="CO206" s="465">
        <f>+SUM(AO206:AR206)</f>
        <v>619.79999999999995</v>
      </c>
      <c r="CP206" s="465">
        <f>+SUM(AS206:AV206)</f>
        <v>851.99999999999989</v>
      </c>
      <c r="CQ206" s="465">
        <f>+SUM(CQ203:CQ205)</f>
        <v>1441.6</v>
      </c>
      <c r="CR206" s="465">
        <f>+SUM(BA206:BD206)</f>
        <v>2561.3000000000002</v>
      </c>
      <c r="CS206" s="465">
        <f>+SUM(BE206:BH206)</f>
        <v>3547</v>
      </c>
      <c r="CT206" s="465">
        <f>+SUM(BI206:BL206)</f>
        <v>5044</v>
      </c>
      <c r="CU206" s="465">
        <f>SUM(BM206:BP206)</f>
        <v>6590</v>
      </c>
      <c r="CV206" s="465">
        <f>SUM(BQ206:BT206)</f>
        <v>7400</v>
      </c>
      <c r="CW206" s="465">
        <f>SUM(BU206:BX206)</f>
        <v>9100</v>
      </c>
      <c r="CX206" s="465">
        <f>SUM(BY206:CB206)</f>
        <v>11000</v>
      </c>
      <c r="CY206" s="465">
        <f>SUM(CC206:CF206)</f>
        <v>13235.502459320807</v>
      </c>
      <c r="CZ206" s="465">
        <f t="shared" ref="CZ206:DF206" si="428">+SUM(CZ203:CZ205)</f>
        <v>15208.628648779353</v>
      </c>
      <c r="DA206" s="465">
        <f t="shared" si="428"/>
        <v>17169.213347521163</v>
      </c>
      <c r="DB206" s="465">
        <f t="shared" si="428"/>
        <v>19055.154758706678</v>
      </c>
      <c r="DC206" s="465">
        <f t="shared" si="428"/>
        <v>20889.089696180949</v>
      </c>
      <c r="DD206" s="465">
        <f t="shared" si="428"/>
        <v>22690.524699662685</v>
      </c>
      <c r="DE206" s="465">
        <f t="shared" si="428"/>
        <v>24442.69500922145</v>
      </c>
      <c r="DF206" s="466">
        <f t="shared" si="428"/>
        <v>26332.652640967644</v>
      </c>
      <c r="DG206" s="632"/>
      <c r="DH206" s="632"/>
    </row>
    <row r="207" spans="1:112" s="282" customFormat="1" ht="11.25" customHeight="1">
      <c r="A207" s="91"/>
      <c r="B207"/>
      <c r="C207"/>
      <c r="D207"/>
      <c r="E207"/>
      <c r="F207"/>
      <c r="G207"/>
      <c r="H207" s="1046"/>
      <c r="I207" s="192" t="s">
        <v>378</v>
      </c>
      <c r="J207" s="81"/>
      <c r="K207" s="81"/>
      <c r="L207" s="91"/>
      <c r="M207" s="343"/>
      <c r="N207" s="343"/>
      <c r="O207" s="343"/>
      <c r="P207" s="344"/>
      <c r="Q207" s="343"/>
      <c r="R207" s="343"/>
      <c r="S207" s="343"/>
      <c r="T207" s="344"/>
      <c r="U207" s="345"/>
      <c r="V207" s="345"/>
      <c r="W207" s="345"/>
      <c r="X207" s="346"/>
      <c r="Y207" s="345"/>
      <c r="Z207" s="345"/>
      <c r="AA207" s="345"/>
      <c r="AB207" s="346"/>
      <c r="AC207" s="345"/>
      <c r="AD207" s="345"/>
      <c r="AE207" s="345"/>
      <c r="AF207" s="346"/>
      <c r="AG207" s="345"/>
      <c r="AH207" s="345"/>
      <c r="AI207" s="345"/>
      <c r="AJ207" s="346"/>
      <c r="AK207" s="347">
        <f t="shared" ref="AK207:CF207" si="429">+AK206/AG206-1</f>
        <v>1.1383928571428577</v>
      </c>
      <c r="AL207" s="347">
        <f t="shared" si="429"/>
        <v>0.91932059447983017</v>
      </c>
      <c r="AM207" s="347">
        <f t="shared" si="429"/>
        <v>1.0276923076923077</v>
      </c>
      <c r="AN207" s="348">
        <f t="shared" si="429"/>
        <v>1.1624472573839664</v>
      </c>
      <c r="AO207" s="347">
        <f t="shared" si="429"/>
        <v>1.1662630480167011</v>
      </c>
      <c r="AP207" s="347">
        <f t="shared" si="429"/>
        <v>0.81969026548672552</v>
      </c>
      <c r="AQ207" s="347">
        <f t="shared" si="429"/>
        <v>0.69726858877086473</v>
      </c>
      <c r="AR207" s="348">
        <f t="shared" si="429"/>
        <v>0.24718048780487778</v>
      </c>
      <c r="AS207" s="347">
        <f t="shared" si="429"/>
        <v>0.1044292818318493</v>
      </c>
      <c r="AT207" s="347">
        <f t="shared" si="429"/>
        <v>0.20121580547112461</v>
      </c>
      <c r="AU207" s="347">
        <f t="shared" si="429"/>
        <v>0.41662941439427792</v>
      </c>
      <c r="AV207" s="348">
        <f t="shared" si="429"/>
        <v>0.74364028912043612</v>
      </c>
      <c r="AW207" s="347">
        <f t="shared" si="429"/>
        <v>0.88307155322862152</v>
      </c>
      <c r="AX207" s="347">
        <f t="shared" si="429"/>
        <v>0.63259109311740902</v>
      </c>
      <c r="AY207" s="347">
        <f t="shared" si="429"/>
        <v>0.67245187756390035</v>
      </c>
      <c r="AZ207" s="348">
        <f t="shared" si="429"/>
        <v>0.67788245850157014</v>
      </c>
      <c r="BA207" s="347">
        <f t="shared" si="429"/>
        <v>0.79888785912882287</v>
      </c>
      <c r="BB207" s="347">
        <f t="shared" si="429"/>
        <v>0.89739615623062607</v>
      </c>
      <c r="BC207" s="347">
        <f t="shared" si="429"/>
        <v>0.79622641509433967</v>
      </c>
      <c r="BD207" s="348">
        <f t="shared" si="429"/>
        <v>0.62834224598930488</v>
      </c>
      <c r="BE207" s="347">
        <f t="shared" si="429"/>
        <v>0.58938691396187526</v>
      </c>
      <c r="BF207" s="347">
        <f t="shared" si="429"/>
        <v>0.40336546315961441</v>
      </c>
      <c r="BG207" s="347">
        <f t="shared" si="429"/>
        <v>0.29726890756302526</v>
      </c>
      <c r="BH207" s="348">
        <f t="shared" si="429"/>
        <v>0.37274220032840732</v>
      </c>
      <c r="BI207" s="347">
        <f t="shared" si="429"/>
        <v>0.44894651539708263</v>
      </c>
      <c r="BJ207" s="347">
        <f t="shared" si="429"/>
        <v>0.39697322467986029</v>
      </c>
      <c r="BK207" s="347">
        <f t="shared" si="429"/>
        <v>0.45748987854251011</v>
      </c>
      <c r="BL207" s="348">
        <f t="shared" si="429"/>
        <v>0.37559808612440193</v>
      </c>
      <c r="BM207" s="1510">
        <f t="shared" si="429"/>
        <v>0.3534675615212528</v>
      </c>
      <c r="BN207" s="347">
        <f t="shared" si="429"/>
        <v>0.375</v>
      </c>
      <c r="BO207" s="347">
        <f t="shared" si="429"/>
        <v>0.27777777777777768</v>
      </c>
      <c r="BP207" s="348">
        <f>+BP206/BL206-1</f>
        <v>0.24347826086956514</v>
      </c>
      <c r="BQ207" s="1510">
        <f t="shared" si="429"/>
        <v>0.15702479338842967</v>
      </c>
      <c r="BR207" s="347">
        <f t="shared" si="429"/>
        <v>9.0909090909090828E-2</v>
      </c>
      <c r="BS207" s="347">
        <f>+BS206/BO206-1</f>
        <v>0.13043478260869557</v>
      </c>
      <c r="BT207" s="348">
        <f>+BT206/BP206-1</f>
        <v>0.11888111888111896</v>
      </c>
      <c r="BU207" s="1510">
        <f t="shared" si="429"/>
        <v>0.21428571428571419</v>
      </c>
      <c r="BV207" s="347">
        <f t="shared" si="429"/>
        <v>0.16666666666666674</v>
      </c>
      <c r="BW207" s="347">
        <f t="shared" si="429"/>
        <v>0.26923076923076916</v>
      </c>
      <c r="BX207" s="348">
        <f t="shared" si="429"/>
        <v>0.25</v>
      </c>
      <c r="BY207" s="1510">
        <f t="shared" si="429"/>
        <v>0.17647058823529416</v>
      </c>
      <c r="BZ207" s="347">
        <f t="shared" si="429"/>
        <v>0.23809523809523814</v>
      </c>
      <c r="CA207" s="347">
        <f t="shared" si="429"/>
        <v>0.21212121212121215</v>
      </c>
      <c r="CB207" s="348">
        <f t="shared" si="429"/>
        <v>0.19999999999999996</v>
      </c>
      <c r="CC207" s="1510">
        <f t="shared" si="429"/>
        <v>0.22305348219324661</v>
      </c>
      <c r="CD207" s="347">
        <f t="shared" si="429"/>
        <v>0.22784593441231871</v>
      </c>
      <c r="CE207" s="347">
        <f t="shared" si="429"/>
        <v>0.15255913664376952</v>
      </c>
      <c r="CF207" s="348">
        <f t="shared" si="429"/>
        <v>0.24448313286966972</v>
      </c>
      <c r="CG207" s="344"/>
      <c r="CH207" s="349"/>
      <c r="CI207" s="343"/>
      <c r="CJ207" s="345"/>
      <c r="CK207" s="345"/>
      <c r="CL207" s="345"/>
      <c r="CM207" s="345"/>
      <c r="CN207" s="347">
        <f t="shared" ref="CN207:CX207" si="430">+CN206/CM206-1</f>
        <v>1.0483782297965916</v>
      </c>
      <c r="CO207" s="347">
        <f t="shared" si="430"/>
        <v>0.66344605475040241</v>
      </c>
      <c r="CP207" s="347">
        <f t="shared" si="430"/>
        <v>0.37463697967086151</v>
      </c>
      <c r="CQ207" s="347">
        <f t="shared" si="430"/>
        <v>0.69201877934272304</v>
      </c>
      <c r="CR207" s="347">
        <f t="shared" si="430"/>
        <v>0.77670643729189814</v>
      </c>
      <c r="CS207" s="347">
        <f t="shared" si="430"/>
        <v>0.38484363409206246</v>
      </c>
      <c r="CT207" s="347">
        <f t="shared" si="430"/>
        <v>0.42204680011277129</v>
      </c>
      <c r="CU207" s="347">
        <f>+CU206/CT206-1</f>
        <v>0.30650277557494054</v>
      </c>
      <c r="CV207" s="347">
        <f t="shared" si="430"/>
        <v>0.12291350531107748</v>
      </c>
      <c r="CW207" s="347">
        <f t="shared" si="430"/>
        <v>0.22972972972972983</v>
      </c>
      <c r="CX207" s="347">
        <f t="shared" si="430"/>
        <v>0.20879120879120872</v>
      </c>
      <c r="CY207" s="347">
        <f t="shared" ref="CY207:DF207" si="431">+CY206/CX206-1</f>
        <v>0.20322749630189163</v>
      </c>
      <c r="CZ207" s="347">
        <f t="shared" si="431"/>
        <v>0.1490782987289625</v>
      </c>
      <c r="DA207" s="347">
        <f t="shared" si="431"/>
        <v>0.12891265504724947</v>
      </c>
      <c r="DB207" s="347">
        <f t="shared" si="431"/>
        <v>0.10984436927960939</v>
      </c>
      <c r="DC207" s="347">
        <f t="shared" si="431"/>
        <v>9.6243507895747094E-2</v>
      </c>
      <c r="DD207" s="347">
        <f t="shared" si="431"/>
        <v>8.6238080724555743E-2</v>
      </c>
      <c r="DE207" s="347">
        <f t="shared" si="431"/>
        <v>7.7220352228558831E-2</v>
      </c>
      <c r="DF207" s="348">
        <f t="shared" si="431"/>
        <v>7.7321982335956552E-2</v>
      </c>
      <c r="DG207" s="1469"/>
      <c r="DH207" s="1469"/>
    </row>
    <row r="208" spans="1:112" s="51" customFormat="1" ht="11.25" customHeight="1">
      <c r="A208" s="82"/>
      <c r="B208"/>
      <c r="C208"/>
      <c r="D208"/>
      <c r="E208"/>
      <c r="F208"/>
      <c r="G208"/>
      <c r="H208" s="1044"/>
      <c r="I208" s="193" t="s">
        <v>144</v>
      </c>
      <c r="J208" s="83"/>
      <c r="K208" s="83"/>
      <c r="L208" s="82"/>
      <c r="M208" s="328"/>
      <c r="N208" s="328"/>
      <c r="O208" s="328"/>
      <c r="P208" s="329"/>
      <c r="Q208" s="328"/>
      <c r="R208" s="328"/>
      <c r="S208" s="328"/>
      <c r="T208" s="329"/>
      <c r="U208" s="338">
        <f t="shared" ref="U208:AZ208" si="432">+U207+Q207</f>
        <v>0</v>
      </c>
      <c r="V208" s="338">
        <f t="shared" si="432"/>
        <v>0</v>
      </c>
      <c r="W208" s="338">
        <f t="shared" si="432"/>
        <v>0</v>
      </c>
      <c r="X208" s="339">
        <f t="shared" si="432"/>
        <v>0</v>
      </c>
      <c r="Y208" s="338">
        <f t="shared" si="432"/>
        <v>0</v>
      </c>
      <c r="Z208" s="338">
        <f t="shared" si="432"/>
        <v>0</v>
      </c>
      <c r="AA208" s="338">
        <f t="shared" si="432"/>
        <v>0</v>
      </c>
      <c r="AB208" s="339">
        <f t="shared" si="432"/>
        <v>0</v>
      </c>
      <c r="AC208" s="338">
        <f t="shared" si="432"/>
        <v>0</v>
      </c>
      <c r="AD208" s="338">
        <f t="shared" si="432"/>
        <v>0</v>
      </c>
      <c r="AE208" s="338">
        <f t="shared" si="432"/>
        <v>0</v>
      </c>
      <c r="AF208" s="339">
        <f t="shared" si="432"/>
        <v>0</v>
      </c>
      <c r="AG208" s="338">
        <f t="shared" si="432"/>
        <v>0</v>
      </c>
      <c r="AH208" s="338">
        <f t="shared" si="432"/>
        <v>0</v>
      </c>
      <c r="AI208" s="338">
        <f t="shared" si="432"/>
        <v>0</v>
      </c>
      <c r="AJ208" s="339">
        <f t="shared" si="432"/>
        <v>0</v>
      </c>
      <c r="AK208" s="338">
        <f t="shared" si="432"/>
        <v>1.1383928571428577</v>
      </c>
      <c r="AL208" s="338">
        <f t="shared" si="432"/>
        <v>0.91932059447983017</v>
      </c>
      <c r="AM208" s="338">
        <f t="shared" si="432"/>
        <v>1.0276923076923077</v>
      </c>
      <c r="AN208" s="339">
        <f t="shared" si="432"/>
        <v>1.1624472573839664</v>
      </c>
      <c r="AO208" s="338">
        <f t="shared" si="432"/>
        <v>2.3046559051595588</v>
      </c>
      <c r="AP208" s="338">
        <f t="shared" si="432"/>
        <v>1.7390108599665557</v>
      </c>
      <c r="AQ208" s="338">
        <f t="shared" si="432"/>
        <v>1.7249608964631724</v>
      </c>
      <c r="AR208" s="339">
        <f t="shared" si="432"/>
        <v>1.4096277451888442</v>
      </c>
      <c r="AS208" s="338">
        <f t="shared" si="432"/>
        <v>1.2706923298485504</v>
      </c>
      <c r="AT208" s="338">
        <f t="shared" si="432"/>
        <v>1.0209060709578501</v>
      </c>
      <c r="AU208" s="338">
        <f t="shared" si="432"/>
        <v>1.1138980031651426</v>
      </c>
      <c r="AV208" s="339">
        <f t="shared" si="432"/>
        <v>0.9908207769253139</v>
      </c>
      <c r="AW208" s="338">
        <f t="shared" si="432"/>
        <v>0.98750083506047082</v>
      </c>
      <c r="AX208" s="338">
        <f t="shared" si="432"/>
        <v>0.83380689858853363</v>
      </c>
      <c r="AY208" s="338">
        <f t="shared" si="432"/>
        <v>1.0890812919581783</v>
      </c>
      <c r="AZ208" s="339">
        <f t="shared" si="432"/>
        <v>1.4215227476220063</v>
      </c>
      <c r="BA208" s="338">
        <f t="shared" ref="BA208:CF208" si="433">+BA207+AW207</f>
        <v>1.6819594123574444</v>
      </c>
      <c r="BB208" s="338">
        <f t="shared" si="433"/>
        <v>1.5299872493480351</v>
      </c>
      <c r="BC208" s="338">
        <f t="shared" si="433"/>
        <v>1.46867829265824</v>
      </c>
      <c r="BD208" s="339">
        <f t="shared" si="433"/>
        <v>1.306224704490875</v>
      </c>
      <c r="BE208" s="338">
        <f t="shared" si="433"/>
        <v>1.3882747730906981</v>
      </c>
      <c r="BF208" s="338">
        <f t="shared" si="433"/>
        <v>1.3007616193902405</v>
      </c>
      <c r="BG208" s="338">
        <f t="shared" si="433"/>
        <v>1.0934953226573649</v>
      </c>
      <c r="BH208" s="339">
        <f t="shared" si="433"/>
        <v>1.0010844463177122</v>
      </c>
      <c r="BI208" s="338">
        <f t="shared" si="433"/>
        <v>1.0383334293589579</v>
      </c>
      <c r="BJ208" s="338">
        <f t="shared" si="433"/>
        <v>0.80033868783947471</v>
      </c>
      <c r="BK208" s="338">
        <f t="shared" si="433"/>
        <v>0.75475878610553537</v>
      </c>
      <c r="BL208" s="339">
        <f t="shared" si="433"/>
        <v>0.74834028645280926</v>
      </c>
      <c r="BM208" s="372">
        <f t="shared" si="433"/>
        <v>0.80241407691833544</v>
      </c>
      <c r="BN208" s="338">
        <f t="shared" si="433"/>
        <v>0.77197322467986029</v>
      </c>
      <c r="BO208" s="338">
        <f t="shared" si="433"/>
        <v>0.73526765632028779</v>
      </c>
      <c r="BP208" s="339">
        <f t="shared" si="433"/>
        <v>0.61907634699396707</v>
      </c>
      <c r="BQ208" s="372">
        <f t="shared" si="433"/>
        <v>0.51049235490968248</v>
      </c>
      <c r="BR208" s="338">
        <f t="shared" si="433"/>
        <v>0.46590909090909083</v>
      </c>
      <c r="BS208" s="338">
        <f>+BS207+BO207</f>
        <v>0.40821256038647324</v>
      </c>
      <c r="BT208" s="339">
        <f>+BT207+BP207</f>
        <v>0.36235937975068411</v>
      </c>
      <c r="BU208" s="372">
        <f t="shared" si="433"/>
        <v>0.37131050767414386</v>
      </c>
      <c r="BV208" s="338">
        <f t="shared" si="433"/>
        <v>0.25757575757575757</v>
      </c>
      <c r="BW208" s="338">
        <f t="shared" si="433"/>
        <v>0.39966555183946473</v>
      </c>
      <c r="BX208" s="339">
        <f t="shared" si="433"/>
        <v>0.36888111888111896</v>
      </c>
      <c r="BY208" s="372">
        <f t="shared" si="433"/>
        <v>0.39075630252100835</v>
      </c>
      <c r="BZ208" s="338">
        <f t="shared" si="433"/>
        <v>0.40476190476190488</v>
      </c>
      <c r="CA208" s="338">
        <f t="shared" si="433"/>
        <v>0.48135198135198132</v>
      </c>
      <c r="CB208" s="339">
        <f t="shared" si="433"/>
        <v>0.44999999999999996</v>
      </c>
      <c r="CC208" s="372">
        <f t="shared" si="433"/>
        <v>0.39952407042854077</v>
      </c>
      <c r="CD208" s="338">
        <f t="shared" si="433"/>
        <v>0.46594117250755684</v>
      </c>
      <c r="CE208" s="338">
        <f t="shared" si="433"/>
        <v>0.36468034876498168</v>
      </c>
      <c r="CF208" s="339">
        <f t="shared" si="433"/>
        <v>0.44448313286966967</v>
      </c>
      <c r="CG208" s="337"/>
      <c r="CH208" s="340"/>
      <c r="CI208" s="328"/>
      <c r="CJ208" s="338">
        <f t="shared" ref="CJ208:CY208" si="434">+CJ207+CI207</f>
        <v>0</v>
      </c>
      <c r="CK208" s="338">
        <f t="shared" si="434"/>
        <v>0</v>
      </c>
      <c r="CL208" s="338">
        <f t="shared" si="434"/>
        <v>0</v>
      </c>
      <c r="CM208" s="338">
        <f t="shared" si="434"/>
        <v>0</v>
      </c>
      <c r="CN208" s="338">
        <f t="shared" si="434"/>
        <v>1.0483782297965916</v>
      </c>
      <c r="CO208" s="338">
        <f t="shared" si="434"/>
        <v>1.711824284546994</v>
      </c>
      <c r="CP208" s="338">
        <f t="shared" si="434"/>
        <v>1.0380830344212639</v>
      </c>
      <c r="CQ208" s="338">
        <f t="shared" si="434"/>
        <v>1.0666557590135846</v>
      </c>
      <c r="CR208" s="338">
        <f t="shared" si="434"/>
        <v>1.4687252166346212</v>
      </c>
      <c r="CS208" s="338">
        <f t="shared" si="434"/>
        <v>1.1615500713839606</v>
      </c>
      <c r="CT208" s="338">
        <f t="shared" si="434"/>
        <v>0.80689043420483375</v>
      </c>
      <c r="CU208" s="338">
        <f>+CU207+CT207</f>
        <v>0.72854957568771184</v>
      </c>
      <c r="CV208" s="338">
        <f t="shared" si="434"/>
        <v>0.42941628088601802</v>
      </c>
      <c r="CW208" s="338">
        <f t="shared" si="434"/>
        <v>0.3526432350408073</v>
      </c>
      <c r="CX208" s="338">
        <f t="shared" si="434"/>
        <v>0.43852093852093854</v>
      </c>
      <c r="CY208" s="338">
        <f t="shared" si="434"/>
        <v>0.41201870509310035</v>
      </c>
      <c r="CZ208" s="338">
        <f t="shared" ref="CZ208:DF208" si="435">+CZ207+CY207</f>
        <v>0.35230579503085413</v>
      </c>
      <c r="DA208" s="338">
        <f t="shared" si="435"/>
        <v>0.27799095377621197</v>
      </c>
      <c r="DB208" s="338">
        <f t="shared" si="435"/>
        <v>0.23875702432685886</v>
      </c>
      <c r="DC208" s="338">
        <f t="shared" si="435"/>
        <v>0.20608787717535648</v>
      </c>
      <c r="DD208" s="338">
        <f t="shared" si="435"/>
        <v>0.18248158862030284</v>
      </c>
      <c r="DE208" s="338">
        <f t="shared" si="435"/>
        <v>0.16345843295311457</v>
      </c>
      <c r="DF208" s="339">
        <f t="shared" si="435"/>
        <v>0.15454233456451538</v>
      </c>
      <c r="DG208" s="308"/>
      <c r="DH208" s="308"/>
    </row>
    <row r="209" spans="1:113" s="51" customFormat="1" ht="11.25" customHeight="1">
      <c r="A209" s="82"/>
      <c r="B209"/>
      <c r="C209"/>
      <c r="D209"/>
      <c r="E209"/>
      <c r="F209"/>
      <c r="G209"/>
      <c r="H209" s="1047"/>
      <c r="I209" s="193" t="s">
        <v>163</v>
      </c>
      <c r="J209" s="83"/>
      <c r="K209" s="83"/>
      <c r="L209" s="82"/>
      <c r="M209" s="336"/>
      <c r="N209" s="336"/>
      <c r="O209" s="336"/>
      <c r="P209" s="337"/>
      <c r="Q209" s="336"/>
      <c r="R209" s="336"/>
      <c r="S209" s="336"/>
      <c r="T209" s="337"/>
      <c r="U209" s="328"/>
      <c r="V209" s="328"/>
      <c r="W209" s="328"/>
      <c r="X209" s="329"/>
      <c r="Y209" s="328"/>
      <c r="Z209" s="328"/>
      <c r="AA209" s="328"/>
      <c r="AB209" s="329"/>
      <c r="AC209" s="328"/>
      <c r="AD209" s="328"/>
      <c r="AE209" s="328"/>
      <c r="AF209" s="329"/>
      <c r="AG209" s="338">
        <f t="shared" ref="AG209:BL209" si="436">+AG206/AG21</f>
        <v>9.2594889092818114E-2</v>
      </c>
      <c r="AH209" s="338">
        <f t="shared" si="436"/>
        <v>0.15309555307800071</v>
      </c>
      <c r="AI209" s="338">
        <f t="shared" si="436"/>
        <v>0.20842217996774265</v>
      </c>
      <c r="AJ209" s="339">
        <f t="shared" si="436"/>
        <v>0.18225792187518025</v>
      </c>
      <c r="AK209" s="338">
        <f t="shared" si="436"/>
        <v>0.16776936790526459</v>
      </c>
      <c r="AL209" s="338">
        <f t="shared" si="436"/>
        <v>0.25568358590572521</v>
      </c>
      <c r="AM209" s="338">
        <f t="shared" si="436"/>
        <v>0.31584976287303468</v>
      </c>
      <c r="AN209" s="339">
        <f t="shared" si="436"/>
        <v>0.30610446972253497</v>
      </c>
      <c r="AO209" s="338">
        <f t="shared" si="436"/>
        <v>0.25736395654546357</v>
      </c>
      <c r="AP209" s="338">
        <f t="shared" si="436"/>
        <v>0.32005385465469205</v>
      </c>
      <c r="AQ209" s="338">
        <f t="shared" si="436"/>
        <v>0.39831982749564193</v>
      </c>
      <c r="AR209" s="339">
        <f t="shared" si="436"/>
        <v>0.31483520137129001</v>
      </c>
      <c r="AS209" s="338">
        <f t="shared" si="436"/>
        <v>0.24802081124014733</v>
      </c>
      <c r="AT209" s="338">
        <f t="shared" si="436"/>
        <v>0.32729266357593734</v>
      </c>
      <c r="AU209" s="338">
        <f t="shared" si="436"/>
        <v>0.43371746092573837</v>
      </c>
      <c r="AV209" s="339">
        <f t="shared" si="436"/>
        <v>0.41144211476447751</v>
      </c>
      <c r="AW209" s="338">
        <f t="shared" si="436"/>
        <v>0.36927141620208292</v>
      </c>
      <c r="AX209" s="338">
        <f t="shared" si="436"/>
        <v>0.41985090477479547</v>
      </c>
      <c r="AY209" s="338">
        <f t="shared" si="436"/>
        <v>0.52800572238654608</v>
      </c>
      <c r="AZ209" s="339">
        <f t="shared" si="436"/>
        <v>0.51018389810508968</v>
      </c>
      <c r="BA209" s="338">
        <f t="shared" si="436"/>
        <v>0.47966193841743682</v>
      </c>
      <c r="BB209" s="338">
        <f t="shared" si="436"/>
        <v>0.55508399261459884</v>
      </c>
      <c r="BC209" s="338">
        <f t="shared" si="436"/>
        <v>0.65528453941481435</v>
      </c>
      <c r="BD209" s="339">
        <f t="shared" si="436"/>
        <v>0.61467343581254985</v>
      </c>
      <c r="BE209" s="338">
        <f t="shared" si="436"/>
        <v>0.5948438510788655</v>
      </c>
      <c r="BF209" s="338">
        <f t="shared" si="436"/>
        <v>0.64744237649791714</v>
      </c>
      <c r="BG209" s="338">
        <f t="shared" si="436"/>
        <v>0.72378407206193485</v>
      </c>
      <c r="BH209" s="339">
        <f t="shared" si="436"/>
        <v>0.70214338507021423</v>
      </c>
      <c r="BI209" s="338">
        <f t="shared" si="436"/>
        <v>0.68662961631690034</v>
      </c>
      <c r="BJ209" s="338">
        <f t="shared" si="436"/>
        <v>0.71418453814281069</v>
      </c>
      <c r="BK209" s="338">
        <f t="shared" si="436"/>
        <v>0.79298542713058673</v>
      </c>
      <c r="BL209" s="339">
        <f t="shared" si="436"/>
        <v>0.74619456990967148</v>
      </c>
      <c r="BM209" s="372">
        <f t="shared" ref="BM209:CF209" si="437">+BM206/BM21</f>
        <v>0.73699508223281485</v>
      </c>
      <c r="BN209" s="338">
        <f t="shared" si="437"/>
        <v>0.77699162968108038</v>
      </c>
      <c r="BO209" s="338">
        <f t="shared" si="437"/>
        <v>0.81085930991642163</v>
      </c>
      <c r="BP209" s="339">
        <f t="shared" si="437"/>
        <v>0.77713294462194116</v>
      </c>
      <c r="BQ209" s="372">
        <f t="shared" si="437"/>
        <v>0.76058269326677874</v>
      </c>
      <c r="BR209" s="338">
        <f t="shared" si="437"/>
        <v>0.78933624276825487</v>
      </c>
      <c r="BS209" s="338">
        <f t="shared" si="437"/>
        <v>0.83792554129184271</v>
      </c>
      <c r="BT209" s="339">
        <f t="shared" si="437"/>
        <v>0.8000020000050001</v>
      </c>
      <c r="BU209" s="372">
        <f t="shared" si="437"/>
        <v>0.791390048689109</v>
      </c>
      <c r="BV209" s="338">
        <f t="shared" si="437"/>
        <v>0.82162774629074198</v>
      </c>
      <c r="BW209" s="338">
        <f>+BW206/BW21</f>
        <v>0.89417518029823173</v>
      </c>
      <c r="BX209" s="339">
        <f t="shared" si="437"/>
        <v>0.85163170505609487</v>
      </c>
      <c r="BY209" s="372">
        <f t="shared" si="437"/>
        <v>0.82664986914132577</v>
      </c>
      <c r="BZ209" s="338">
        <f t="shared" si="437"/>
        <v>0.85963030606806423</v>
      </c>
      <c r="CA209" s="338">
        <f t="shared" si="437"/>
        <v>0.90211408179784125</v>
      </c>
      <c r="CB209" s="339">
        <f t="shared" si="437"/>
        <v>0.85619706517050986</v>
      </c>
      <c r="CC209" s="372">
        <f t="shared" si="437"/>
        <v>0.83642864017749419</v>
      </c>
      <c r="CD209" s="338">
        <f t="shared" si="437"/>
        <v>0.86684128917769099</v>
      </c>
      <c r="CE209" s="338">
        <f t="shared" si="437"/>
        <v>0.89463772020620957</v>
      </c>
      <c r="CF209" s="339">
        <f t="shared" si="437"/>
        <v>0.85062558900162877</v>
      </c>
      <c r="CG209" s="337"/>
      <c r="CH209" s="367"/>
      <c r="CI209" s="336"/>
      <c r="CJ209" s="328"/>
      <c r="CK209" s="328"/>
      <c r="CL209" s="328"/>
      <c r="CM209" s="338">
        <f t="shared" ref="CM209:DF209" si="438">+CM206/CM21</f>
        <v>0.16219305699583503</v>
      </c>
      <c r="CN209" s="338">
        <f t="shared" si="438"/>
        <v>0.26782383430862139</v>
      </c>
      <c r="CO209" s="338">
        <f t="shared" si="438"/>
        <v>0.32884020954941778</v>
      </c>
      <c r="CP209" s="338">
        <f t="shared" si="438"/>
        <v>0.36438098855022549</v>
      </c>
      <c r="CQ209" s="338">
        <f t="shared" si="438"/>
        <v>0.46659640964161153</v>
      </c>
      <c r="CR209" s="338">
        <f t="shared" si="438"/>
        <v>0.58804622085081071</v>
      </c>
      <c r="CS209" s="338">
        <f t="shared" si="438"/>
        <v>0.67421206335882666</v>
      </c>
      <c r="CT209" s="338">
        <f t="shared" si="438"/>
        <v>0.74249562731312257</v>
      </c>
      <c r="CU209" s="338">
        <f t="shared" si="438"/>
        <v>0.78062338759514815</v>
      </c>
      <c r="CV209" s="338">
        <f t="shared" si="438"/>
        <v>0.80225611766365235</v>
      </c>
      <c r="CW209" s="338">
        <f t="shared" si="438"/>
        <v>0.84706273085950068</v>
      </c>
      <c r="CX209" s="338">
        <f t="shared" si="438"/>
        <v>0.86743386723625004</v>
      </c>
      <c r="CY209" s="338">
        <f t="shared" si="438"/>
        <v>0.86666855811102095</v>
      </c>
      <c r="CZ209" s="338">
        <f t="shared" si="438"/>
        <v>0.87709935209839207</v>
      </c>
      <c r="DA209" s="338">
        <f t="shared" si="438"/>
        <v>0.88578594098254537</v>
      </c>
      <c r="DB209" s="338">
        <f t="shared" si="438"/>
        <v>0.89288689235763863</v>
      </c>
      <c r="DC209" s="338">
        <f t="shared" si="438"/>
        <v>0.89841472447447746</v>
      </c>
      <c r="DD209" s="338">
        <f t="shared" si="438"/>
        <v>0.90282822814311259</v>
      </c>
      <c r="DE209" s="338">
        <f t="shared" si="438"/>
        <v>0.90630860150870751</v>
      </c>
      <c r="DF209" s="339">
        <f t="shared" si="438"/>
        <v>0.90963075930134407</v>
      </c>
      <c r="DG209" s="308"/>
      <c r="DH209" s="308"/>
    </row>
    <row r="210" spans="1:113" s="68" customFormat="1" ht="11.25" customHeight="1">
      <c r="A210" s="24"/>
      <c r="B210"/>
      <c r="C210"/>
      <c r="D210"/>
      <c r="E210"/>
      <c r="F210"/>
      <c r="G210"/>
      <c r="H210" s="1044"/>
      <c r="I210" s="664"/>
      <c r="J210" s="665"/>
      <c r="K210" s="665"/>
      <c r="L210" s="665"/>
      <c r="M210" s="666"/>
      <c r="N210" s="666"/>
      <c r="O210" s="666"/>
      <c r="P210" s="667"/>
      <c r="Q210" s="666"/>
      <c r="R210" s="666"/>
      <c r="S210" s="666"/>
      <c r="T210" s="667"/>
      <c r="U210" s="668"/>
      <c r="V210" s="668"/>
      <c r="W210" s="668"/>
      <c r="X210" s="669"/>
      <c r="Y210" s="668"/>
      <c r="Z210" s="668"/>
      <c r="AA210" s="668"/>
      <c r="AB210" s="669"/>
      <c r="AC210" s="668"/>
      <c r="AD210" s="668"/>
      <c r="AE210" s="668"/>
      <c r="AF210" s="669"/>
      <c r="AG210" s="668"/>
      <c r="AH210" s="668"/>
      <c r="AI210" s="668"/>
      <c r="AJ210" s="669"/>
      <c r="AK210" s="668"/>
      <c r="AL210" s="668"/>
      <c r="AM210" s="668"/>
      <c r="AN210" s="669"/>
      <c r="AO210" s="668"/>
      <c r="AP210" s="668"/>
      <c r="AQ210" s="668"/>
      <c r="AR210" s="669"/>
      <c r="AS210" s="668"/>
      <c r="AT210" s="668"/>
      <c r="AU210" s="668"/>
      <c r="AV210" s="669"/>
      <c r="AW210" s="668"/>
      <c r="AX210" s="668"/>
      <c r="AY210" s="668"/>
      <c r="AZ210" s="669"/>
      <c r="BA210" s="670"/>
      <c r="BB210" s="670"/>
      <c r="BC210" s="670"/>
      <c r="BD210" s="671"/>
      <c r="BE210" s="666"/>
      <c r="BF210" s="666"/>
      <c r="BG210" s="666"/>
      <c r="BH210" s="672"/>
      <c r="BI210" s="673"/>
      <c r="BJ210" s="673"/>
      <c r="BK210" s="673"/>
      <c r="BL210" s="674"/>
      <c r="BM210" s="1461"/>
      <c r="BN210" s="673"/>
      <c r="BO210" s="673"/>
      <c r="BP210" s="663"/>
      <c r="BQ210" s="1407"/>
      <c r="BR210" s="662"/>
      <c r="BS210" s="662"/>
      <c r="BT210" s="663"/>
      <c r="BU210" s="1407"/>
      <c r="BV210" s="662"/>
      <c r="BW210" s="662"/>
      <c r="BX210" s="663"/>
      <c r="BY210" s="1407"/>
      <c r="BZ210" s="662"/>
      <c r="CA210" s="662"/>
      <c r="CB210" s="663"/>
      <c r="CC210" s="1407"/>
      <c r="CD210" s="662"/>
      <c r="CE210" s="662"/>
      <c r="CF210" s="663"/>
      <c r="CG210" s="405"/>
      <c r="CH210" s="675"/>
      <c r="CI210" s="666"/>
      <c r="CJ210" s="668"/>
      <c r="CK210" s="668"/>
      <c r="CL210" s="668"/>
      <c r="CM210" s="668"/>
      <c r="CN210" s="668"/>
      <c r="CO210" s="668"/>
      <c r="CP210" s="668"/>
      <c r="CQ210" s="662"/>
      <c r="CR210" s="662"/>
      <c r="CS210" s="662"/>
      <c r="CT210" s="668"/>
      <c r="CU210" s="662"/>
      <c r="CV210" s="676"/>
      <c r="CW210" s="662"/>
      <c r="CX210" s="662"/>
      <c r="CY210" s="662"/>
      <c r="CZ210" s="662"/>
      <c r="DA210" s="662"/>
      <c r="DB210" s="662"/>
      <c r="DC210" s="662"/>
      <c r="DD210" s="662"/>
      <c r="DE210" s="662"/>
      <c r="DF210" s="663"/>
      <c r="DG210" s="1180"/>
      <c r="DH210" s="1180"/>
    </row>
    <row r="211" spans="1:113" ht="11.25" customHeight="1">
      <c r="I211" s="70"/>
      <c r="J211" s="70"/>
      <c r="K211" s="70"/>
      <c r="M211" s="315"/>
      <c r="N211" s="315"/>
      <c r="O211" s="315"/>
      <c r="P211" s="315"/>
      <c r="Q211" s="315"/>
      <c r="R211" s="315"/>
      <c r="S211" s="315"/>
      <c r="T211" s="315"/>
      <c r="U211" s="328"/>
      <c r="V211" s="328"/>
      <c r="W211" s="328"/>
      <c r="X211" s="328"/>
      <c r="Y211" s="328"/>
      <c r="Z211" s="328"/>
      <c r="AA211" s="328"/>
      <c r="AB211" s="328"/>
      <c r="AC211" s="328"/>
      <c r="AD211" s="328"/>
      <c r="AE211" s="328"/>
      <c r="AF211" s="328"/>
      <c r="AG211" s="328"/>
      <c r="AH211" s="328"/>
      <c r="AI211" s="328"/>
      <c r="AJ211" s="328"/>
      <c r="AK211" s="328"/>
      <c r="AL211" s="328"/>
      <c r="AM211" s="328"/>
      <c r="AN211" s="328"/>
      <c r="AO211" s="328"/>
      <c r="AP211" s="328"/>
      <c r="AQ211" s="328"/>
      <c r="AR211" s="328"/>
      <c r="AS211" s="328"/>
      <c r="AT211" s="328"/>
      <c r="AU211" s="328"/>
      <c r="AV211" s="328"/>
      <c r="AW211" s="328"/>
      <c r="AX211" s="328"/>
      <c r="AY211" s="328"/>
      <c r="AZ211" s="328"/>
      <c r="BA211" s="328"/>
      <c r="BB211" s="328"/>
      <c r="BC211" s="328"/>
      <c r="BD211" s="328"/>
      <c r="BE211" s="328"/>
      <c r="BF211" s="328"/>
      <c r="BG211" s="328"/>
      <c r="BH211" s="328"/>
      <c r="BI211" s="328"/>
      <c r="BJ211" s="328"/>
      <c r="BK211" s="328"/>
      <c r="BL211" s="328"/>
      <c r="BM211" s="328"/>
      <c r="BN211" s="328"/>
      <c r="BO211" s="328"/>
      <c r="BP211" s="328"/>
      <c r="BQ211" s="328"/>
      <c r="BR211" s="328"/>
      <c r="BS211" s="328"/>
      <c r="BT211" s="328"/>
      <c r="BU211" s="328"/>
      <c r="BV211" s="328"/>
      <c r="BW211" s="328"/>
      <c r="BX211" s="328"/>
      <c r="BY211" s="328"/>
      <c r="BZ211" s="328"/>
      <c r="CA211" s="328"/>
      <c r="CB211" s="328"/>
      <c r="CC211" s="328"/>
      <c r="CD211" s="328"/>
      <c r="CE211" s="328"/>
      <c r="CF211" s="328"/>
      <c r="CG211" s="315"/>
      <c r="CH211" s="315"/>
      <c r="CI211" s="315"/>
      <c r="CJ211" s="328"/>
      <c r="CK211" s="328"/>
      <c r="CL211" s="328"/>
      <c r="CM211" s="328"/>
      <c r="CN211" s="328"/>
      <c r="CO211" s="328"/>
      <c r="CP211" s="328"/>
      <c r="CQ211" s="328"/>
      <c r="CR211" s="328"/>
      <c r="CS211" s="328"/>
      <c r="CT211" s="328"/>
      <c r="CU211" s="328"/>
      <c r="CV211" s="328"/>
      <c r="CW211" s="328"/>
      <c r="CX211" s="328"/>
      <c r="CY211" s="328"/>
      <c r="CZ211" s="328"/>
      <c r="DA211" s="328"/>
      <c r="DB211" s="328"/>
      <c r="DC211" s="328"/>
      <c r="DD211" s="328"/>
      <c r="DE211" s="328"/>
      <c r="DF211" s="328"/>
    </row>
    <row r="212" spans="1:113" customFormat="1" ht="11.25" customHeight="1">
      <c r="A212" s="10"/>
      <c r="H212" s="1054"/>
      <c r="I212" s="659" t="s">
        <v>370</v>
      </c>
      <c r="J212" s="660"/>
      <c r="K212" s="660"/>
      <c r="L212" s="660"/>
      <c r="M212" s="660"/>
      <c r="N212" s="660"/>
      <c r="O212" s="660"/>
      <c r="P212" s="660"/>
      <c r="Q212" s="660"/>
      <c r="R212" s="660"/>
      <c r="S212" s="660"/>
      <c r="T212" s="660"/>
      <c r="U212" s="659"/>
      <c r="V212" s="660"/>
      <c r="W212" s="660"/>
      <c r="X212" s="661"/>
      <c r="Y212" s="659"/>
      <c r="Z212" s="660"/>
      <c r="AA212" s="660"/>
      <c r="AB212" s="661"/>
      <c r="AC212" s="659"/>
      <c r="AD212" s="660"/>
      <c r="AE212" s="660"/>
      <c r="AF212" s="661"/>
      <c r="AG212" s="659"/>
      <c r="AH212" s="660"/>
      <c r="AI212" s="660"/>
      <c r="AJ212" s="661"/>
      <c r="AK212" s="659"/>
      <c r="AL212" s="660"/>
      <c r="AM212" s="660"/>
      <c r="AN212" s="661"/>
      <c r="AO212" s="659"/>
      <c r="AP212" s="660"/>
      <c r="AQ212" s="660"/>
      <c r="AR212" s="661"/>
      <c r="AS212" s="659"/>
      <c r="AT212" s="660"/>
      <c r="AU212" s="660"/>
      <c r="AV212" s="661"/>
      <c r="AW212" s="659"/>
      <c r="AX212" s="660"/>
      <c r="AY212" s="660"/>
      <c r="AZ212" s="661"/>
      <c r="BA212" s="659"/>
      <c r="BB212" s="660"/>
      <c r="BC212" s="660"/>
      <c r="BD212" s="661"/>
      <c r="BE212" s="659"/>
      <c r="BF212" s="660"/>
      <c r="BG212" s="660"/>
      <c r="BH212" s="661"/>
      <c r="BI212" s="659"/>
      <c r="BJ212" s="660"/>
      <c r="BK212" s="660"/>
      <c r="BL212" s="661"/>
      <c r="BM212" s="659"/>
      <c r="BN212" s="660"/>
      <c r="BO212" s="660"/>
      <c r="BP212" s="661"/>
      <c r="BQ212" s="659"/>
      <c r="BR212" s="660"/>
      <c r="BS212" s="660"/>
      <c r="BT212" s="661"/>
      <c r="BU212" s="659"/>
      <c r="BV212" s="660"/>
      <c r="BW212" s="660"/>
      <c r="BX212" s="661"/>
      <c r="BY212" s="659"/>
      <c r="BZ212" s="660"/>
      <c r="CA212" s="660"/>
      <c r="CB212" s="661"/>
      <c r="CC212" s="659"/>
      <c r="CD212" s="660"/>
      <c r="CE212" s="660"/>
      <c r="CF212" s="661"/>
      <c r="CH212" s="661"/>
      <c r="CI212" s="661"/>
      <c r="CJ212" s="661"/>
      <c r="CK212" s="661"/>
      <c r="CL212" s="661"/>
      <c r="CM212" s="661"/>
      <c r="CN212" s="661"/>
      <c r="CO212" s="661"/>
      <c r="CP212" s="661"/>
      <c r="CQ212" s="661"/>
      <c r="CR212" s="661"/>
      <c r="CS212" s="661"/>
      <c r="CT212" s="661"/>
      <c r="CU212" s="661"/>
      <c r="CV212" s="661"/>
      <c r="CW212" s="661"/>
      <c r="CX212" s="661"/>
      <c r="CY212" s="660"/>
      <c r="CZ212" s="660"/>
      <c r="DA212" s="660"/>
      <c r="DB212" s="660"/>
      <c r="DC212" s="660"/>
      <c r="DD212" s="660"/>
      <c r="DE212" s="660"/>
      <c r="DF212" s="661"/>
      <c r="DG212" s="124"/>
      <c r="DH212" s="124"/>
      <c r="DI212" s="1548"/>
    </row>
    <row r="213" spans="1:113" s="554" customFormat="1" ht="11.25" customHeight="1">
      <c r="A213" s="547"/>
      <c r="B213"/>
      <c r="C213"/>
      <c r="D213"/>
      <c r="E213"/>
      <c r="F213"/>
      <c r="G213"/>
      <c r="H213" s="1047"/>
      <c r="I213" s="9" t="s">
        <v>174</v>
      </c>
      <c r="J213" s="21"/>
      <c r="K213" s="21"/>
      <c r="L213" s="547"/>
      <c r="M213" s="551"/>
      <c r="N213" s="551"/>
      <c r="O213" s="551"/>
      <c r="P213" s="552"/>
      <c r="Q213" s="551"/>
      <c r="R213" s="551"/>
      <c r="S213" s="551"/>
      <c r="T213" s="552"/>
      <c r="U213" s="394"/>
      <c r="V213" s="394"/>
      <c r="W213" s="394"/>
      <c r="X213" s="395"/>
      <c r="Y213" s="394"/>
      <c r="Z213" s="394"/>
      <c r="AA213" s="394"/>
      <c r="AB213" s="395"/>
      <c r="AC213" s="394"/>
      <c r="AD213" s="394"/>
      <c r="AE213" s="394"/>
      <c r="AF213" s="395"/>
      <c r="AG213" s="394"/>
      <c r="AH213" s="394"/>
      <c r="AI213" s="394"/>
      <c r="AJ213" s="395"/>
      <c r="AK213" s="396">
        <f t="shared" ref="AK213:BM213" si="439">+AK216-AK214-AK215</f>
        <v>48.461000000000027</v>
      </c>
      <c r="AL213" s="396">
        <f t="shared" si="439"/>
        <v>53.921999999999947</v>
      </c>
      <c r="AM213" s="396">
        <f t="shared" si="439"/>
        <v>60.254999999999995</v>
      </c>
      <c r="AN213" s="397">
        <f t="shared" si="439"/>
        <v>50.092000000000006</v>
      </c>
      <c r="AO213" s="396">
        <f t="shared" si="439"/>
        <v>63.515000000000015</v>
      </c>
      <c r="AP213" s="396">
        <f t="shared" si="439"/>
        <v>72.470000000000041</v>
      </c>
      <c r="AQ213" s="396">
        <f t="shared" si="439"/>
        <v>73.728000000000023</v>
      </c>
      <c r="AR213" s="397">
        <f t="shared" si="439"/>
        <v>62.402499999999982</v>
      </c>
      <c r="AS213" s="396">
        <f t="shared" si="439"/>
        <v>74.923549999999977</v>
      </c>
      <c r="AT213" s="396">
        <f t="shared" si="439"/>
        <v>86.072849999999988</v>
      </c>
      <c r="AU213" s="396">
        <f t="shared" si="439"/>
        <v>92.384799999999998</v>
      </c>
      <c r="AV213" s="397">
        <f t="shared" si="439"/>
        <v>76.880500000000069</v>
      </c>
      <c r="AW213" s="396">
        <f t="shared" si="439"/>
        <v>80.186735999999883</v>
      </c>
      <c r="AX213" s="396">
        <f t="shared" si="439"/>
        <v>95.220394999999925</v>
      </c>
      <c r="AY213" s="396">
        <f t="shared" si="439"/>
        <v>117.02471999999989</v>
      </c>
      <c r="AZ213" s="397">
        <f t="shared" si="439"/>
        <v>90.10887500000004</v>
      </c>
      <c r="BA213" s="396">
        <f t="shared" si="439"/>
        <v>91.131419200000039</v>
      </c>
      <c r="BB213" s="396">
        <f t="shared" si="439"/>
        <v>104.32092695387257</v>
      </c>
      <c r="BC213" s="396">
        <f t="shared" si="439"/>
        <v>135.61544000000009</v>
      </c>
      <c r="BD213" s="397">
        <f t="shared" si="439"/>
        <v>100.55175000000004</v>
      </c>
      <c r="BE213" s="396">
        <f t="shared" si="439"/>
        <v>100.17701264000006</v>
      </c>
      <c r="BF213" s="396">
        <f t="shared" si="439"/>
        <v>106.37740885119595</v>
      </c>
      <c r="BG213" s="396">
        <f t="shared" si="439"/>
        <v>134.44561920000021</v>
      </c>
      <c r="BH213" s="397">
        <f t="shared" si="439"/>
        <v>96.349200000000081</v>
      </c>
      <c r="BI213" s="396">
        <f t="shared" si="439"/>
        <v>89.623898201599999</v>
      </c>
      <c r="BJ213" s="396">
        <f t="shared" si="439"/>
        <v>106.33189012417415</v>
      </c>
      <c r="BK213" s="396">
        <f t="shared" si="439"/>
        <v>145.61149045599993</v>
      </c>
      <c r="BL213" s="397">
        <f t="shared" si="439"/>
        <v>110.54391999999993</v>
      </c>
      <c r="BM213" s="396">
        <f t="shared" si="439"/>
        <v>105.89574266208032</v>
      </c>
      <c r="BN213" s="396">
        <f>+BN216-BN214-BN215</f>
        <v>105.06389044775922</v>
      </c>
      <c r="BO213" s="396">
        <f>+BO216-BO214-BO215</f>
        <v>143.56900272989736</v>
      </c>
      <c r="BP213" s="397">
        <f>+BP216-BP215-BP214</f>
        <v>102.59311938709672</v>
      </c>
      <c r="BQ213" s="396">
        <f>+BQ216-BQ215-BQ214</f>
        <v>104.77789112997993</v>
      </c>
      <c r="BR213" s="396">
        <f>+BR216-BR215-BR214</f>
        <v>86.881996471504351</v>
      </c>
      <c r="BS213" s="396">
        <f>+BS216-BS215-BS214</f>
        <v>188.68970971706835</v>
      </c>
      <c r="BT213" s="397">
        <f>+BT216-BT215-BT214</f>
        <v>92.003082793548373</v>
      </c>
      <c r="BU213" s="396">
        <f t="shared" ref="BU213:CF213" si="440">+BU216-BU215-BU214</f>
        <v>62.42541335992243</v>
      </c>
      <c r="BV213" s="396">
        <f>+BV216-BV215-BV214</f>
        <v>57.903546555640446</v>
      </c>
      <c r="BW213" s="396">
        <f>+BW216-BW215-BW214</f>
        <v>209.16360330880246</v>
      </c>
      <c r="BX213" s="397">
        <f>+BX216-BX215-BX214</f>
        <v>75.490620715096696</v>
      </c>
      <c r="BY213" s="396">
        <f t="shared" ref="BY213" si="441">+BY216-BY215-BY214</f>
        <v>12.969674493709761</v>
      </c>
      <c r="BZ213" s="396">
        <f>+BZ216-BZ215-BZ214</f>
        <v>15.474829803968134</v>
      </c>
      <c r="CA213" s="396">
        <f>+CA216-CA215-CA214</f>
        <v>251.63571401402268</v>
      </c>
      <c r="CB213" s="397">
        <f>+CB216-CB215-CB214</f>
        <v>116.62554230445153</v>
      </c>
      <c r="CC213" s="396">
        <f t="shared" si="440"/>
        <v>11.168051705989541</v>
      </c>
      <c r="CD213" s="396">
        <f t="shared" si="440"/>
        <v>13.449924329564652</v>
      </c>
      <c r="CE213" s="396">
        <f t="shared" si="440"/>
        <v>263.21345194263921</v>
      </c>
      <c r="CF213" s="397">
        <f t="shared" si="440"/>
        <v>122.86038853207599</v>
      </c>
      <c r="CG213" s="552"/>
      <c r="CH213" s="553"/>
      <c r="CI213" s="551"/>
      <c r="CJ213" s="394"/>
      <c r="CK213" s="394"/>
      <c r="CL213" s="394"/>
      <c r="CM213" s="394"/>
      <c r="CN213" s="396">
        <f>+CN216-CN214-CN215</f>
        <v>212.72999999999973</v>
      </c>
      <c r="CO213" s="396">
        <f>+CO216-CO214-CO215</f>
        <v>272.11550000000022</v>
      </c>
      <c r="CP213" s="396">
        <f>+CP216-CP214-CP215</f>
        <v>330.26169999999991</v>
      </c>
      <c r="CQ213" s="396">
        <f>+SUM(AW213:AZ213)</f>
        <v>382.54072599999972</v>
      </c>
      <c r="CR213" s="396">
        <f>+SUM(BA213:BD213)</f>
        <v>431.61953615387273</v>
      </c>
      <c r="CS213" s="396">
        <f>+SUM(BE213:BH213)</f>
        <v>437.34924069119631</v>
      </c>
      <c r="CT213" s="396">
        <f>+SUM(BI213:BL213)</f>
        <v>452.11119878177408</v>
      </c>
      <c r="CU213" s="396">
        <f>SUM(BM213:BP213)</f>
        <v>457.12175522683367</v>
      </c>
      <c r="CV213" s="396">
        <f>SUM(BQ213:BT213)</f>
        <v>472.35268011210098</v>
      </c>
      <c r="CW213" s="396">
        <f>SUM(BU213:BX213)</f>
        <v>404.98318393946204</v>
      </c>
      <c r="CX213" s="396">
        <f>SUM(BY213:CB213)</f>
        <v>396.70576061615213</v>
      </c>
      <c r="CY213" s="396">
        <f>SUM(CC213:CF213)</f>
        <v>410.6918165102694</v>
      </c>
      <c r="CZ213" s="396">
        <f t="shared" ref="CZ213:DF213" si="442">+CZ216-CZ215-CZ214</f>
        <v>428.37401265611089</v>
      </c>
      <c r="DA213" s="396">
        <f t="shared" si="442"/>
        <v>442.09539586888661</v>
      </c>
      <c r="DB213" s="396">
        <f t="shared" si="442"/>
        <v>452.32844716357096</v>
      </c>
      <c r="DC213" s="396">
        <f t="shared" si="442"/>
        <v>462.90196066363183</v>
      </c>
      <c r="DD213" s="396">
        <f t="shared" si="442"/>
        <v>473.80916549522857</v>
      </c>
      <c r="DE213" s="396">
        <f t="shared" si="442"/>
        <v>485.0445133788383</v>
      </c>
      <c r="DF213" s="397">
        <f t="shared" si="442"/>
        <v>496.60356727996327</v>
      </c>
      <c r="DG213" s="612"/>
      <c r="DH213" s="612"/>
    </row>
    <row r="214" spans="1:113" s="554" customFormat="1" ht="11.25" customHeight="1">
      <c r="A214" s="547"/>
      <c r="B214"/>
      <c r="C214"/>
      <c r="D214"/>
      <c r="E214"/>
      <c r="F214"/>
      <c r="G214"/>
      <c r="H214" s="1047"/>
      <c r="I214" s="9" t="s">
        <v>175</v>
      </c>
      <c r="J214" s="21"/>
      <c r="K214" s="21"/>
      <c r="L214" s="547"/>
      <c r="M214" s="551"/>
      <c r="N214" s="551"/>
      <c r="O214" s="551"/>
      <c r="P214" s="552"/>
      <c r="Q214" s="551"/>
      <c r="R214" s="551"/>
      <c r="S214" s="551"/>
      <c r="T214" s="552"/>
      <c r="U214" s="394"/>
      <c r="V214" s="394"/>
      <c r="W214" s="394"/>
      <c r="X214" s="395"/>
      <c r="Y214" s="394"/>
      <c r="Z214" s="394"/>
      <c r="AA214" s="394"/>
      <c r="AB214" s="395"/>
      <c r="AC214" s="394"/>
      <c r="AD214" s="394"/>
      <c r="AE214" s="394"/>
      <c r="AF214" s="395"/>
      <c r="AG214" s="394"/>
      <c r="AH214" s="394"/>
      <c r="AI214" s="394"/>
      <c r="AJ214" s="395"/>
      <c r="AK214" s="396">
        <f t="shared" ref="AK214:CF214" si="443">+AK180*AK232</f>
        <v>6.6109999999999971</v>
      </c>
      <c r="AL214" s="396">
        <f t="shared" si="443"/>
        <v>7.9439999999999884</v>
      </c>
      <c r="AM214" s="396">
        <f t="shared" si="443"/>
        <v>7.8229999999999791</v>
      </c>
      <c r="AN214" s="397">
        <f t="shared" si="443"/>
        <v>4.7680000000000007</v>
      </c>
      <c r="AO214" s="396">
        <f t="shared" si="443"/>
        <v>9.6989999999999981</v>
      </c>
      <c r="AP214" s="396">
        <f t="shared" si="443"/>
        <v>12.257999999999981</v>
      </c>
      <c r="AQ214" s="396">
        <f t="shared" si="443"/>
        <v>13.636000000000024</v>
      </c>
      <c r="AR214" s="397">
        <f t="shared" si="443"/>
        <v>10.610500000000016</v>
      </c>
      <c r="AS214" s="396">
        <f t="shared" si="443"/>
        <v>14.707449999999994</v>
      </c>
      <c r="AT214" s="396">
        <f t="shared" si="443"/>
        <v>16.131150000000019</v>
      </c>
      <c r="AU214" s="396">
        <f t="shared" si="443"/>
        <v>18.463199999999972</v>
      </c>
      <c r="AV214" s="397">
        <f t="shared" si="443"/>
        <v>10.358500000000021</v>
      </c>
      <c r="AW214" s="396">
        <f t="shared" si="443"/>
        <v>21.042263999999989</v>
      </c>
      <c r="AX214" s="396">
        <f t="shared" si="443"/>
        <v>24.776605000000018</v>
      </c>
      <c r="AY214" s="396">
        <f t="shared" si="443"/>
        <v>15.889279999999985</v>
      </c>
      <c r="AZ214" s="397">
        <f t="shared" si="443"/>
        <v>11.060125000000028</v>
      </c>
      <c r="BA214" s="396">
        <f t="shared" si="443"/>
        <v>23.382580800000028</v>
      </c>
      <c r="BB214" s="396">
        <f t="shared" si="443"/>
        <v>29.801073046127499</v>
      </c>
      <c r="BC214" s="396">
        <f t="shared" si="443"/>
        <v>9.5595600000000331</v>
      </c>
      <c r="BD214" s="397">
        <f t="shared" si="443"/>
        <v>12.292249999999967</v>
      </c>
      <c r="BE214" s="396">
        <f t="shared" si="443"/>
        <v>22.899987359999955</v>
      </c>
      <c r="BF214" s="396">
        <f t="shared" si="443"/>
        <v>35.025591148804097</v>
      </c>
      <c r="BG214" s="396">
        <f t="shared" si="443"/>
        <v>23.842380799999773</v>
      </c>
      <c r="BH214" s="397">
        <f t="shared" si="443"/>
        <v>4.1738000000000284</v>
      </c>
      <c r="BI214" s="396">
        <f t="shared" si="443"/>
        <v>22.521101798399968</v>
      </c>
      <c r="BJ214" s="396">
        <f t="shared" si="443"/>
        <v>45.13313387582582</v>
      </c>
      <c r="BK214" s="396">
        <f t="shared" si="443"/>
        <v>21.445964543999935</v>
      </c>
      <c r="BL214" s="397">
        <f t="shared" si="443"/>
        <v>17.326580000000035</v>
      </c>
      <c r="BM214" s="396">
        <f t="shared" si="443"/>
        <v>20.287032337919982</v>
      </c>
      <c r="BN214" s="396">
        <f t="shared" si="443"/>
        <v>55.465320052240713</v>
      </c>
      <c r="BO214" s="396">
        <f t="shared" si="443"/>
        <v>38.515593907199673</v>
      </c>
      <c r="BP214" s="397">
        <f t="shared" si="443"/>
        <v>15.288454000000002</v>
      </c>
      <c r="BQ214" s="396">
        <f t="shared" si="443"/>
        <v>26.319638805503928</v>
      </c>
      <c r="BR214" s="396">
        <f>+BR180*BR232</f>
        <v>59.436184062689108</v>
      </c>
      <c r="BS214" s="396">
        <f>+BS180*BS232</f>
        <v>3.959638516479572</v>
      </c>
      <c r="BT214" s="397">
        <f>+BT180*BT232</f>
        <v>38.810599399999774</v>
      </c>
      <c r="BU214" s="396">
        <f t="shared" si="443"/>
        <v>84.886393671044971</v>
      </c>
      <c r="BV214" s="396">
        <f t="shared" si="443"/>
        <v>92.878656615946738</v>
      </c>
      <c r="BW214" s="396">
        <f>+BW180*BW232</f>
        <v>-91.394790698905581</v>
      </c>
      <c r="BX214" s="397">
        <f>+BX180*BX232</f>
        <v>34.194439231999922</v>
      </c>
      <c r="BY214" s="396">
        <f t="shared" ref="BY214:BZ214" si="444">+BY180*BY232</f>
        <v>135.43512288880652</v>
      </c>
      <c r="BZ214" s="396">
        <f t="shared" si="444"/>
        <v>148.62728352619797</v>
      </c>
      <c r="CA214" s="396">
        <f>+CA180*CA232</f>
        <v>-96.27196077363169</v>
      </c>
      <c r="CB214" s="397">
        <f>+CB180*CB232</f>
        <v>37.037720639999861</v>
      </c>
      <c r="CC214" s="396">
        <f t="shared" si="443"/>
        <v>142.20687903324685</v>
      </c>
      <c r="CD214" s="396">
        <f t="shared" si="443"/>
        <v>156.05864770250787</v>
      </c>
      <c r="CE214" s="396">
        <f t="shared" si="443"/>
        <v>-101.08555881231328</v>
      </c>
      <c r="CF214" s="397">
        <f t="shared" si="443"/>
        <v>38.889606671999857</v>
      </c>
      <c r="CG214" s="552"/>
      <c r="CH214" s="553"/>
      <c r="CI214" s="551"/>
      <c r="CJ214" s="394"/>
      <c r="CK214" s="394"/>
      <c r="CL214" s="394"/>
      <c r="CM214" s="394"/>
      <c r="CN214" s="396">
        <f t="shared" ref="CN214:CP215" si="445">+CN180*CN232</f>
        <v>31.145999999999958</v>
      </c>
      <c r="CO214" s="396">
        <f t="shared" si="445"/>
        <v>46.203499999999963</v>
      </c>
      <c r="CP214" s="396">
        <f t="shared" si="445"/>
        <v>59.660300000000007</v>
      </c>
      <c r="CQ214" s="396">
        <f>+SUM(AW214:AZ214)</f>
        <v>72.768274000000019</v>
      </c>
      <c r="CR214" s="396">
        <f>+SUM(BA214:BD214)</f>
        <v>75.035463846127527</v>
      </c>
      <c r="CS214" s="396">
        <f>+SUM(BE214:BH214)</f>
        <v>85.941759308803853</v>
      </c>
      <c r="CT214" s="396">
        <f>+SUM(BI214:BL214)</f>
        <v>106.42678021822576</v>
      </c>
      <c r="CU214" s="396">
        <f>SUM(BM214:BP214)</f>
        <v>129.55640029736037</v>
      </c>
      <c r="CV214" s="396">
        <f>SUM(BQ214:BT214)</f>
        <v>128.52606078467238</v>
      </c>
      <c r="CW214" s="396">
        <f>SUM(BU214:BX214)</f>
        <v>120.56469882008605</v>
      </c>
      <c r="CX214" s="396">
        <f>SUM(BY214:CB214)</f>
        <v>224.82816628137266</v>
      </c>
      <c r="CY214" s="396">
        <f>SUM(CC214:CF214)</f>
        <v>236.06957459544134</v>
      </c>
      <c r="CZ214" s="396">
        <f t="shared" ref="CZ214:DF215" si="446">+CZ180*CZ232</f>
        <v>245.512357579259</v>
      </c>
      <c r="DA214" s="396">
        <f t="shared" si="446"/>
        <v>252.87772830663678</v>
      </c>
      <c r="DB214" s="396">
        <f t="shared" si="446"/>
        <v>257.93528287276951</v>
      </c>
      <c r="DC214" s="396">
        <f t="shared" si="446"/>
        <v>263.09398853022492</v>
      </c>
      <c r="DD214" s="396">
        <f t="shared" si="446"/>
        <v>268.3558683008294</v>
      </c>
      <c r="DE214" s="396">
        <f t="shared" si="446"/>
        <v>273.722985666846</v>
      </c>
      <c r="DF214" s="397">
        <f t="shared" si="446"/>
        <v>279.1974453801829</v>
      </c>
      <c r="DG214" s="612"/>
      <c r="DH214" s="612"/>
    </row>
    <row r="215" spans="1:113" s="554" customFormat="1" ht="11.25" customHeight="1">
      <c r="A215" s="547"/>
      <c r="B215"/>
      <c r="C215"/>
      <c r="D215"/>
      <c r="E215"/>
      <c r="F215"/>
      <c r="G215"/>
      <c r="H215" s="1047"/>
      <c r="I215" s="610" t="s">
        <v>176</v>
      </c>
      <c r="J215" s="588"/>
      <c r="K215" s="588"/>
      <c r="L215" s="560"/>
      <c r="M215" s="561"/>
      <c r="N215" s="561"/>
      <c r="O215" s="561"/>
      <c r="P215" s="562"/>
      <c r="Q215" s="561"/>
      <c r="R215" s="561"/>
      <c r="S215" s="561"/>
      <c r="T215" s="562"/>
      <c r="U215" s="563"/>
      <c r="V215" s="563"/>
      <c r="W215" s="563"/>
      <c r="X215" s="564"/>
      <c r="Y215" s="563"/>
      <c r="Z215" s="563"/>
      <c r="AA215" s="563"/>
      <c r="AB215" s="564"/>
      <c r="AC215" s="563"/>
      <c r="AD215" s="563"/>
      <c r="AE215" s="563"/>
      <c r="AF215" s="564"/>
      <c r="AG215" s="563"/>
      <c r="AH215" s="563"/>
      <c r="AI215" s="563"/>
      <c r="AJ215" s="564"/>
      <c r="AK215" s="566">
        <f t="shared" ref="AK215:CF215" si="447">+AK181*AK233</f>
        <v>0.86699999999999999</v>
      </c>
      <c r="AL215" s="566">
        <f t="shared" si="447"/>
        <v>2.6269999999999998</v>
      </c>
      <c r="AM215" s="566">
        <f t="shared" si="447"/>
        <v>2.4529999999999998</v>
      </c>
      <c r="AN215" s="565">
        <f t="shared" si="447"/>
        <v>2.3919999999999999</v>
      </c>
      <c r="AO215" s="566">
        <f t="shared" si="447"/>
        <v>4.0890000000000004</v>
      </c>
      <c r="AP215" s="566">
        <f t="shared" si="447"/>
        <v>4.4969999999999999</v>
      </c>
      <c r="AQ215" s="566">
        <f t="shared" si="447"/>
        <v>5.0140000000000002</v>
      </c>
      <c r="AR215" s="565">
        <f t="shared" si="447"/>
        <v>4.2519999999999998</v>
      </c>
      <c r="AS215" s="566">
        <f t="shared" si="447"/>
        <v>4.7990000000000004</v>
      </c>
      <c r="AT215" s="566">
        <f t="shared" si="447"/>
        <v>6.4340000000000002</v>
      </c>
      <c r="AU215" s="566">
        <f t="shared" si="447"/>
        <v>7.1580000000000004</v>
      </c>
      <c r="AV215" s="565">
        <f t="shared" si="447"/>
        <v>3.85</v>
      </c>
      <c r="AW215" s="566">
        <f t="shared" si="447"/>
        <v>2.887</v>
      </c>
      <c r="AX215" s="566">
        <f t="shared" si="447"/>
        <v>3.258</v>
      </c>
      <c r="AY215" s="566">
        <f t="shared" si="447"/>
        <v>3.274</v>
      </c>
      <c r="AZ215" s="565">
        <f t="shared" si="447"/>
        <v>3.2440000000000002</v>
      </c>
      <c r="BA215" s="566">
        <f t="shared" si="447"/>
        <v>3.0939999999999999</v>
      </c>
      <c r="BB215" s="566">
        <f t="shared" si="447"/>
        <v>3.0049999999999999</v>
      </c>
      <c r="BC215" s="566">
        <f t="shared" si="447"/>
        <v>2.9729999999999999</v>
      </c>
      <c r="BD215" s="565">
        <f t="shared" si="447"/>
        <v>2.8530000000000002</v>
      </c>
      <c r="BE215" s="566">
        <f t="shared" si="447"/>
        <v>3.2109999999999999</v>
      </c>
      <c r="BF215" s="566">
        <f t="shared" si="447"/>
        <v>3.7389999999999999</v>
      </c>
      <c r="BG215" s="566">
        <f t="shared" si="447"/>
        <v>3.2130000000000001</v>
      </c>
      <c r="BH215" s="565">
        <f t="shared" si="447"/>
        <v>3.2269999999999999</v>
      </c>
      <c r="BI215" s="566">
        <f t="shared" si="447"/>
        <v>3.52</v>
      </c>
      <c r="BJ215" s="566">
        <f t="shared" si="447"/>
        <v>4.2740000000000009</v>
      </c>
      <c r="BK215" s="566">
        <f t="shared" si="447"/>
        <v>4.164999999999992</v>
      </c>
      <c r="BL215" s="565">
        <f t="shared" si="447"/>
        <v>4.6839999999999975</v>
      </c>
      <c r="BM215" s="566">
        <f t="shared" si="447"/>
        <v>4.6599999999999966</v>
      </c>
      <c r="BN215" s="566">
        <f t="shared" si="447"/>
        <v>5.5259999999999962</v>
      </c>
      <c r="BO215" s="566">
        <f t="shared" si="447"/>
        <v>4.4244766129032342</v>
      </c>
      <c r="BP215" s="565">
        <f t="shared" si="447"/>
        <v>9.4449516129032247</v>
      </c>
      <c r="BQ215" s="566">
        <f t="shared" si="447"/>
        <v>7.0348580645161221</v>
      </c>
      <c r="BR215" s="566">
        <f t="shared" si="447"/>
        <v>9.414135225806433</v>
      </c>
      <c r="BS215" s="566">
        <f>+BS181*BS233</f>
        <v>8.8914538064516222</v>
      </c>
      <c r="BT215" s="565">
        <f>+BT181*BT233</f>
        <v>10.507825806451621</v>
      </c>
      <c r="BU215" s="566">
        <f t="shared" si="447"/>
        <v>21.689328129032248</v>
      </c>
      <c r="BV215" s="566">
        <f t="shared" si="447"/>
        <v>24.213954691612898</v>
      </c>
      <c r="BW215" s="566">
        <f t="shared" si="447"/>
        <v>10.487105572903218</v>
      </c>
      <c r="BX215" s="565">
        <f t="shared" si="447"/>
        <v>13.439143612903223</v>
      </c>
      <c r="BY215" s="566">
        <f t="shared" ref="BY215:CB215" si="448">+BY181*BY233</f>
        <v>22.832894535483831</v>
      </c>
      <c r="BZ215" s="566">
        <f t="shared" si="448"/>
        <v>19.926952426193509</v>
      </c>
      <c r="CA215" s="566">
        <f t="shared" si="448"/>
        <v>45.147810851548371</v>
      </c>
      <c r="CB215" s="565">
        <f t="shared" si="448"/>
        <v>49.550100793548367</v>
      </c>
      <c r="CC215" s="566">
        <f t="shared" si="447"/>
        <v>22.832894535483831</v>
      </c>
      <c r="CD215" s="566">
        <f t="shared" si="447"/>
        <v>19.926952426193509</v>
      </c>
      <c r="CE215" s="566">
        <f t="shared" si="447"/>
        <v>45.147810851548371</v>
      </c>
      <c r="CF215" s="565">
        <f t="shared" si="447"/>
        <v>49.550100793548367</v>
      </c>
      <c r="CG215" s="552"/>
      <c r="CH215" s="567"/>
      <c r="CI215" s="561"/>
      <c r="CJ215" s="563"/>
      <c r="CK215" s="563"/>
      <c r="CL215" s="563"/>
      <c r="CM215" s="563"/>
      <c r="CN215" s="566">
        <f t="shared" si="445"/>
        <v>8.3389999999999986</v>
      </c>
      <c r="CO215" s="566">
        <f t="shared" si="445"/>
        <v>17.852</v>
      </c>
      <c r="CP215" s="566">
        <f t="shared" si="445"/>
        <v>22.241000000000003</v>
      </c>
      <c r="CQ215" s="566">
        <f>+SUM(AW215:AZ215)</f>
        <v>12.663</v>
      </c>
      <c r="CR215" s="566">
        <f>+SUM(BA215:BD215)</f>
        <v>11.924999999999999</v>
      </c>
      <c r="CS215" s="566">
        <f>+SUM(BE215:BH215)</f>
        <v>13.39</v>
      </c>
      <c r="CT215" s="566">
        <f>+SUM(BI215:BL215)</f>
        <v>16.64299999999999</v>
      </c>
      <c r="CU215" s="566">
        <f>SUM(BM215:BP215)</f>
        <v>24.055428225806452</v>
      </c>
      <c r="CV215" s="566">
        <f>SUM(BQ215:BT215)</f>
        <v>35.848272903225798</v>
      </c>
      <c r="CW215" s="566">
        <f>SUM(BU215:BX215)</f>
        <v>69.829532006451586</v>
      </c>
      <c r="CX215" s="566">
        <f>SUM(BY215:CB215)</f>
        <v>137.45775860677406</v>
      </c>
      <c r="CY215" s="566">
        <f>SUM(CC215:CF215)</f>
        <v>137.45775860677406</v>
      </c>
      <c r="CZ215" s="566">
        <f t="shared" si="446"/>
        <v>137.45775860677406</v>
      </c>
      <c r="DA215" s="566">
        <f t="shared" si="446"/>
        <v>137.45775860677406</v>
      </c>
      <c r="DB215" s="566">
        <f t="shared" si="446"/>
        <v>137.45775860677406</v>
      </c>
      <c r="DC215" s="566">
        <f t="shared" si="446"/>
        <v>137.45775860677406</v>
      </c>
      <c r="DD215" s="566">
        <f t="shared" si="446"/>
        <v>137.45775860677406</v>
      </c>
      <c r="DE215" s="566">
        <f t="shared" si="446"/>
        <v>137.45775860677406</v>
      </c>
      <c r="DF215" s="565">
        <f t="shared" si="446"/>
        <v>137.45775860677406</v>
      </c>
      <c r="DG215" s="612"/>
      <c r="DH215" s="612"/>
    </row>
    <row r="216" spans="1:113" s="584" customFormat="1" ht="11.25" customHeight="1">
      <c r="A216" s="542"/>
      <c r="B216"/>
      <c r="C216"/>
      <c r="D216"/>
      <c r="E216"/>
      <c r="F216"/>
      <c r="G216"/>
      <c r="H216" s="1046"/>
      <c r="I216" s="544" t="s">
        <v>371</v>
      </c>
      <c r="J216" s="542"/>
      <c r="K216" s="542"/>
      <c r="L216" s="542"/>
      <c r="M216" s="581"/>
      <c r="N216" s="581"/>
      <c r="O216" s="581"/>
      <c r="P216" s="582"/>
      <c r="Q216" s="581"/>
      <c r="R216" s="581"/>
      <c r="S216" s="581"/>
      <c r="T216" s="582"/>
      <c r="U216" s="572"/>
      <c r="V216" s="572"/>
      <c r="W216" s="572"/>
      <c r="X216" s="573"/>
      <c r="Y216" s="572"/>
      <c r="Z216" s="572"/>
      <c r="AA216" s="572"/>
      <c r="AB216" s="573"/>
      <c r="AC216" s="572"/>
      <c r="AD216" s="572"/>
      <c r="AE216" s="572"/>
      <c r="AF216" s="573"/>
      <c r="AG216" s="572"/>
      <c r="AH216" s="572"/>
      <c r="AI216" s="572"/>
      <c r="AJ216" s="573"/>
      <c r="AK216" s="465">
        <f t="shared" ref="AK216:BN216" si="449">+AK287-AK241</f>
        <v>55.939000000000021</v>
      </c>
      <c r="AL216" s="465">
        <f t="shared" si="449"/>
        <v>64.492999999999938</v>
      </c>
      <c r="AM216" s="465">
        <f t="shared" si="449"/>
        <v>70.530999999999977</v>
      </c>
      <c r="AN216" s="466">
        <f t="shared" si="449"/>
        <v>57.25200000000001</v>
      </c>
      <c r="AO216" s="465">
        <f t="shared" si="449"/>
        <v>77.303000000000011</v>
      </c>
      <c r="AP216" s="465">
        <f t="shared" si="449"/>
        <v>89.225000000000023</v>
      </c>
      <c r="AQ216" s="465">
        <f t="shared" si="449"/>
        <v>92.378000000000043</v>
      </c>
      <c r="AR216" s="466">
        <f t="shared" si="449"/>
        <v>77.265000000000001</v>
      </c>
      <c r="AS216" s="465">
        <f t="shared" si="449"/>
        <v>94.429999999999978</v>
      </c>
      <c r="AT216" s="465">
        <f t="shared" si="449"/>
        <v>108.63800000000001</v>
      </c>
      <c r="AU216" s="465">
        <f t="shared" si="449"/>
        <v>118.00599999999997</v>
      </c>
      <c r="AV216" s="466">
        <f t="shared" si="449"/>
        <v>91.089000000000084</v>
      </c>
      <c r="AW216" s="465">
        <f t="shared" si="449"/>
        <v>104.11599999999987</v>
      </c>
      <c r="AX216" s="465">
        <f t="shared" si="449"/>
        <v>123.25499999999994</v>
      </c>
      <c r="AY216" s="465">
        <f t="shared" si="449"/>
        <v>136.18799999999987</v>
      </c>
      <c r="AZ216" s="466">
        <f t="shared" si="449"/>
        <v>104.41300000000007</v>
      </c>
      <c r="BA216" s="465">
        <f t="shared" si="449"/>
        <v>117.60800000000006</v>
      </c>
      <c r="BB216" s="465">
        <f t="shared" si="449"/>
        <v>137.12700000000007</v>
      </c>
      <c r="BC216" s="465">
        <f t="shared" si="449"/>
        <v>148.14800000000014</v>
      </c>
      <c r="BD216" s="466">
        <f t="shared" si="449"/>
        <v>115.697</v>
      </c>
      <c r="BE216" s="465">
        <f t="shared" si="449"/>
        <v>126.28800000000001</v>
      </c>
      <c r="BF216" s="465">
        <f t="shared" si="449"/>
        <v>145.14200000000005</v>
      </c>
      <c r="BG216" s="465">
        <f t="shared" si="449"/>
        <v>161.50099999999998</v>
      </c>
      <c r="BH216" s="466">
        <f t="shared" si="449"/>
        <v>103.75000000000011</v>
      </c>
      <c r="BI216" s="465">
        <f t="shared" si="449"/>
        <v>115.66499999999996</v>
      </c>
      <c r="BJ216" s="465">
        <f t="shared" si="449"/>
        <v>155.73902399999997</v>
      </c>
      <c r="BK216" s="465">
        <f t="shared" si="449"/>
        <v>171.22245499999985</v>
      </c>
      <c r="BL216" s="466">
        <f t="shared" si="449"/>
        <v>132.55449999999996</v>
      </c>
      <c r="BM216" s="465">
        <f t="shared" si="449"/>
        <v>130.8427750000003</v>
      </c>
      <c r="BN216" s="465">
        <f t="shared" si="449"/>
        <v>166.05521049999993</v>
      </c>
      <c r="BO216" s="465">
        <f t="shared" ref="BO216:BX216" si="450">+BO39-BO36-BO37-BO241</f>
        <v>186.50907325000026</v>
      </c>
      <c r="BP216" s="466">
        <f t="shared" si="450"/>
        <v>127.32652499999995</v>
      </c>
      <c r="BQ216" s="465">
        <f t="shared" si="450"/>
        <v>138.13238799999999</v>
      </c>
      <c r="BR216" s="465">
        <f t="shared" si="450"/>
        <v>155.73231575999989</v>
      </c>
      <c r="BS216" s="465">
        <f t="shared" si="450"/>
        <v>201.54080203999956</v>
      </c>
      <c r="BT216" s="466">
        <f t="shared" si="450"/>
        <v>141.32150799999977</v>
      </c>
      <c r="BU216" s="465">
        <f t="shared" si="450"/>
        <v>169.00113515999965</v>
      </c>
      <c r="BV216" s="465">
        <f t="shared" si="450"/>
        <v>174.9961578632001</v>
      </c>
      <c r="BW216" s="465">
        <f>+BW39-BW36-BW37-BW241</f>
        <v>128.25591818280009</v>
      </c>
      <c r="BX216" s="466">
        <f t="shared" si="450"/>
        <v>123.12420355999984</v>
      </c>
      <c r="BY216" s="465">
        <f t="shared" ref="BY216:BZ216" si="451">+BY39-BY36-BY37-BY241</f>
        <v>171.23769191800011</v>
      </c>
      <c r="BZ216" s="465">
        <f t="shared" si="451"/>
        <v>184.02906575635961</v>
      </c>
      <c r="CA216" s="465">
        <f>+CA39-CA36-CA37-CA241</f>
        <v>200.51156409193936</v>
      </c>
      <c r="CB216" s="466">
        <f t="shared" ref="CB216" si="452">+CB39-CB36-CB37-CB241</f>
        <v>203.21336373799977</v>
      </c>
      <c r="CC216" s="465">
        <f>+CC222*CC223</f>
        <v>176.20782527472022</v>
      </c>
      <c r="CD216" s="465">
        <f>+CD222*CD223</f>
        <v>189.43552445826603</v>
      </c>
      <c r="CE216" s="465">
        <f>+CE222*CE223</f>
        <v>207.2757039818743</v>
      </c>
      <c r="CF216" s="466">
        <f>+CF222*CF223</f>
        <v>211.30009599762423</v>
      </c>
      <c r="CG216" s="582"/>
      <c r="CH216" s="583"/>
      <c r="CI216" s="581"/>
      <c r="CJ216" s="465">
        <f>+(CK216)/(1+CK217)</f>
        <v>145.54316308052657</v>
      </c>
      <c r="CK216" s="465">
        <f>+(CL216)/(1+CL217)</f>
        <v>191.53480261397297</v>
      </c>
      <c r="CL216" s="465">
        <f>+(CM216)/(1+CM217)</f>
        <v>202.06921675774149</v>
      </c>
      <c r="CM216" s="465">
        <f>+CM287-CM241</f>
        <v>221.87200000000018</v>
      </c>
      <c r="CN216" s="465">
        <f>+CN287-CN241</f>
        <v>252.21499999999969</v>
      </c>
      <c r="CO216" s="465">
        <f>+CO287-CO241</f>
        <v>336.17100000000016</v>
      </c>
      <c r="CP216" s="465">
        <f>+CP287-CP241</f>
        <v>412.1629999999999</v>
      </c>
      <c r="CQ216" s="465">
        <f>+SUM(CQ213:CQ215)</f>
        <v>467.97199999999975</v>
      </c>
      <c r="CR216" s="465">
        <f>+SUM(CR213:CR215)</f>
        <v>518.58000000000027</v>
      </c>
      <c r="CS216" s="465">
        <f>+SUM(CS213:CS215)</f>
        <v>536.68100000000015</v>
      </c>
      <c r="CT216" s="465">
        <f>+SUM(BI216:BL216)</f>
        <v>575.18097899999975</v>
      </c>
      <c r="CU216" s="465">
        <f>SUM(BM216:BP216)</f>
        <v>610.73358375000043</v>
      </c>
      <c r="CV216" s="465">
        <f>SUM(BQ216:BT216)</f>
        <v>636.72701379999921</v>
      </c>
      <c r="CW216" s="465">
        <f>SUM(BU216:BX216)</f>
        <v>595.37741476599967</v>
      </c>
      <c r="CX216" s="465">
        <f>SUM(BY216:CB216)</f>
        <v>758.99168550429886</v>
      </c>
      <c r="CY216" s="465">
        <f>SUM(CC216:CF216)</f>
        <v>784.21914971248486</v>
      </c>
      <c r="CZ216" s="465">
        <f t="shared" ref="CZ216:DF216" si="453">+CZ222*CZ223</f>
        <v>811.34412884214396</v>
      </c>
      <c r="DA216" s="465">
        <f t="shared" si="453"/>
        <v>832.43088278229743</v>
      </c>
      <c r="DB216" s="465">
        <f t="shared" si="453"/>
        <v>847.72148864311453</v>
      </c>
      <c r="DC216" s="465">
        <f t="shared" si="453"/>
        <v>863.45370780063081</v>
      </c>
      <c r="DD216" s="465">
        <f t="shared" si="453"/>
        <v>879.62279240283203</v>
      </c>
      <c r="DE216" s="465">
        <f t="shared" si="453"/>
        <v>896.22525765245837</v>
      </c>
      <c r="DF216" s="466">
        <f t="shared" si="453"/>
        <v>913.25877126692023</v>
      </c>
      <c r="DG216" s="632"/>
      <c r="DH216" s="632"/>
    </row>
    <row r="217" spans="1:113" s="44" customFormat="1" ht="11.25" customHeight="1">
      <c r="A217" s="43"/>
      <c r="B217"/>
      <c r="C217"/>
      <c r="D217"/>
      <c r="E217"/>
      <c r="F217"/>
      <c r="G217"/>
      <c r="H217" s="43"/>
      <c r="I217" s="187" t="s">
        <v>376</v>
      </c>
      <c r="J217" s="74"/>
      <c r="K217" s="74"/>
      <c r="L217" s="43"/>
      <c r="M217" s="439"/>
      <c r="N217" s="439"/>
      <c r="O217" s="439"/>
      <c r="P217" s="370"/>
      <c r="Q217" s="439"/>
      <c r="R217" s="439"/>
      <c r="S217" s="439"/>
      <c r="T217" s="370"/>
      <c r="U217" s="360"/>
      <c r="V217" s="360"/>
      <c r="W217" s="360"/>
      <c r="X217" s="369"/>
      <c r="Y217" s="360"/>
      <c r="Z217" s="360"/>
      <c r="AA217" s="360"/>
      <c r="AB217" s="369"/>
      <c r="AC217" s="360"/>
      <c r="AD217" s="360"/>
      <c r="AE217" s="360"/>
      <c r="AF217" s="369"/>
      <c r="AG217" s="360"/>
      <c r="AH217" s="360"/>
      <c r="AI217" s="360"/>
      <c r="AJ217" s="369"/>
      <c r="AK217" s="360">
        <v>0.11</v>
      </c>
      <c r="AL217" s="360">
        <v>0.11</v>
      </c>
      <c r="AM217" s="360">
        <v>0.24</v>
      </c>
      <c r="AN217" s="369"/>
      <c r="AO217" s="1373">
        <f t="shared" ref="AO217:CF217" si="454">+AO216/AK216-1</f>
        <v>0.38191601565991484</v>
      </c>
      <c r="AP217" s="1373">
        <f t="shared" si="454"/>
        <v>0.38348347882716127</v>
      </c>
      <c r="AQ217" s="1373">
        <f t="shared" si="454"/>
        <v>0.30975032255320456</v>
      </c>
      <c r="AR217" s="1374">
        <f t="shared" si="454"/>
        <v>0.34955984070425461</v>
      </c>
      <c r="AS217" s="1373">
        <f t="shared" si="454"/>
        <v>0.22155673130408871</v>
      </c>
      <c r="AT217" s="1373">
        <f t="shared" si="454"/>
        <v>0.21757355001400924</v>
      </c>
      <c r="AU217" s="1373">
        <f t="shared" si="454"/>
        <v>0.27742536101669146</v>
      </c>
      <c r="AV217" s="1374">
        <f t="shared" si="454"/>
        <v>0.178916715200933</v>
      </c>
      <c r="AW217" s="1373">
        <f t="shared" si="454"/>
        <v>0.10257333474531283</v>
      </c>
      <c r="AX217" s="1373">
        <f t="shared" si="454"/>
        <v>0.13454776413409619</v>
      </c>
      <c r="AY217" s="1373">
        <f t="shared" si="454"/>
        <v>0.15407691134349033</v>
      </c>
      <c r="AZ217" s="1374">
        <f t="shared" si="454"/>
        <v>0.14627452271953767</v>
      </c>
      <c r="BA217" s="1373">
        <f t="shared" si="454"/>
        <v>0.1295862307426352</v>
      </c>
      <c r="BB217" s="1373">
        <f t="shared" si="454"/>
        <v>0.11254715833029194</v>
      </c>
      <c r="BC217" s="1373">
        <f t="shared" si="454"/>
        <v>8.7819778541430082E-2</v>
      </c>
      <c r="BD217" s="1374">
        <f t="shared" si="454"/>
        <v>0.10807083409153972</v>
      </c>
      <c r="BE217" s="1373">
        <f t="shared" si="454"/>
        <v>7.3804503095027174E-2</v>
      </c>
      <c r="BF217" s="1373">
        <f t="shared" si="454"/>
        <v>5.8449466552903395E-2</v>
      </c>
      <c r="BG217" s="1373">
        <f t="shared" si="454"/>
        <v>9.0132840132838954E-2</v>
      </c>
      <c r="BH217" s="1374">
        <f t="shared" si="454"/>
        <v>-0.10326110443658776</v>
      </c>
      <c r="BI217" s="1373">
        <f t="shared" si="454"/>
        <v>-8.4117255796275603E-2</v>
      </c>
      <c r="BJ217" s="1373">
        <f t="shared" si="454"/>
        <v>7.3011423295806344E-2</v>
      </c>
      <c r="BK217" s="1373">
        <f t="shared" si="454"/>
        <v>6.0194395081144325E-2</v>
      </c>
      <c r="BL217" s="1374">
        <f t="shared" si="454"/>
        <v>0.27763373493975729</v>
      </c>
      <c r="BM217" s="1373">
        <f t="shared" si="454"/>
        <v>0.13122184757705746</v>
      </c>
      <c r="BN217" s="1373">
        <f t="shared" si="454"/>
        <v>6.6240215426031979E-2</v>
      </c>
      <c r="BO217" s="1373">
        <f t="shared" ref="BO217:BT217" si="455">+BO216/BK216-1</f>
        <v>8.9279284367230982E-2</v>
      </c>
      <c r="BP217" s="1374">
        <f t="shared" si="455"/>
        <v>-3.9440192524584305E-2</v>
      </c>
      <c r="BQ217" s="1373">
        <f t="shared" si="455"/>
        <v>5.571276671562253E-2</v>
      </c>
      <c r="BR217" s="1373">
        <f t="shared" si="455"/>
        <v>-6.216543707913369E-2</v>
      </c>
      <c r="BS217" s="1373">
        <f t="shared" si="455"/>
        <v>8.0595161018523154E-2</v>
      </c>
      <c r="BT217" s="1374">
        <f t="shared" si="455"/>
        <v>0.10991412040813819</v>
      </c>
      <c r="BU217" s="1373">
        <f t="shared" si="454"/>
        <v>0.22347218930291457</v>
      </c>
      <c r="BV217" s="1373">
        <f t="shared" si="454"/>
        <v>0.12369842449968993</v>
      </c>
      <c r="BW217" s="1373">
        <f t="shared" si="454"/>
        <v>-0.3636230634958707</v>
      </c>
      <c r="BX217" s="1374">
        <f t="shared" si="454"/>
        <v>-0.12876528631438011</v>
      </c>
      <c r="BY217" s="1373">
        <f t="shared" si="454"/>
        <v>1.3233974765217038E-2</v>
      </c>
      <c r="BZ217" s="1373">
        <f t="shared" si="454"/>
        <v>5.1617749803517521E-2</v>
      </c>
      <c r="CA217" s="1373">
        <f t="shared" si="454"/>
        <v>0.56337085206590642</v>
      </c>
      <c r="CB217" s="1374">
        <f t="shared" si="454"/>
        <v>0.65047454409702277</v>
      </c>
      <c r="CC217" s="1373">
        <f t="shared" si="454"/>
        <v>2.9024762603668597E-2</v>
      </c>
      <c r="CD217" s="1373">
        <f t="shared" si="454"/>
        <v>2.9378286955301647E-2</v>
      </c>
      <c r="CE217" s="1373">
        <f t="shared" si="454"/>
        <v>3.3734412878218878E-2</v>
      </c>
      <c r="CF217" s="1374">
        <f t="shared" si="454"/>
        <v>3.9794293597986918E-2</v>
      </c>
      <c r="CG217" s="370"/>
      <c r="CH217" s="440"/>
      <c r="CI217" s="439"/>
      <c r="CJ217" s="360"/>
      <c r="CK217" s="360">
        <v>0.316</v>
      </c>
      <c r="CL217" s="360">
        <v>5.5E-2</v>
      </c>
      <c r="CM217" s="360">
        <v>9.8000000000000004E-2</v>
      </c>
      <c r="CN217" s="360"/>
      <c r="CO217" s="1373">
        <f t="shared" ref="CO217:DF217" si="456">+CO216/CN216-1</f>
        <v>0.33287472989314892</v>
      </c>
      <c r="CP217" s="1373">
        <f t="shared" si="456"/>
        <v>0.22605162253733879</v>
      </c>
      <c r="CQ217" s="1373">
        <f t="shared" si="456"/>
        <v>0.13540516737310204</v>
      </c>
      <c r="CR217" s="1373">
        <f t="shared" si="456"/>
        <v>0.10814322224406703</v>
      </c>
      <c r="CS217" s="1373">
        <f t="shared" si="456"/>
        <v>3.4904932700836611E-2</v>
      </c>
      <c r="CT217" s="1373">
        <f t="shared" si="456"/>
        <v>7.1737175342521109E-2</v>
      </c>
      <c r="CU217" s="1373">
        <f>+CU216/CT216-1</f>
        <v>6.1811162135110731E-2</v>
      </c>
      <c r="CV217" s="1373">
        <f t="shared" si="456"/>
        <v>4.256099671217517E-2</v>
      </c>
      <c r="CW217" s="1373">
        <f t="shared" si="456"/>
        <v>-6.4940858700535342E-2</v>
      </c>
      <c r="CX217" s="1373">
        <f t="shared" si="456"/>
        <v>0.27480765423828557</v>
      </c>
      <c r="CY217" s="1373">
        <f t="shared" si="456"/>
        <v>3.3238129863601973E-2</v>
      </c>
      <c r="CZ217" s="1373">
        <f t="shared" si="456"/>
        <v>3.4588519216348868E-2</v>
      </c>
      <c r="DA217" s="1373">
        <f t="shared" si="456"/>
        <v>2.5989901437070806E-2</v>
      </c>
      <c r="DB217" s="1373">
        <f t="shared" si="456"/>
        <v>1.8368619157557164E-2</v>
      </c>
      <c r="DC217" s="1373">
        <f t="shared" si="456"/>
        <v>1.8558240375264878E-2</v>
      </c>
      <c r="DD217" s="1373">
        <f t="shared" si="456"/>
        <v>1.8726058451224548E-2</v>
      </c>
      <c r="DE217" s="1373">
        <f t="shared" si="456"/>
        <v>1.8874528255769851E-2</v>
      </c>
      <c r="DF217" s="1374">
        <f t="shared" si="456"/>
        <v>1.9005839736182972E-2</v>
      </c>
      <c r="DG217" s="78"/>
      <c r="DH217" s="78"/>
    </row>
    <row r="218" spans="1:113" s="51" customFormat="1" ht="11.25" customHeight="1">
      <c r="A218" s="82"/>
      <c r="B218"/>
      <c r="C218"/>
      <c r="D218"/>
      <c r="E218"/>
      <c r="F218"/>
      <c r="G218"/>
      <c r="H218" s="1047"/>
      <c r="I218" s="193" t="s">
        <v>144</v>
      </c>
      <c r="J218" s="83"/>
      <c r="K218" s="83"/>
      <c r="L218" s="82"/>
      <c r="M218" s="328"/>
      <c r="N218" s="328"/>
      <c r="O218" s="328"/>
      <c r="P218" s="329"/>
      <c r="Q218" s="328"/>
      <c r="R218" s="328"/>
      <c r="S218" s="328"/>
      <c r="T218" s="329"/>
      <c r="U218" s="338">
        <f t="shared" ref="U218:AZ218" si="457">+U217+Q217</f>
        <v>0</v>
      </c>
      <c r="V218" s="338">
        <f t="shared" si="457"/>
        <v>0</v>
      </c>
      <c r="W218" s="338">
        <f t="shared" si="457"/>
        <v>0</v>
      </c>
      <c r="X218" s="339">
        <f t="shared" si="457"/>
        <v>0</v>
      </c>
      <c r="Y218" s="338">
        <f t="shared" si="457"/>
        <v>0</v>
      </c>
      <c r="Z218" s="338">
        <f t="shared" si="457"/>
        <v>0</v>
      </c>
      <c r="AA218" s="338">
        <f t="shared" si="457"/>
        <v>0</v>
      </c>
      <c r="AB218" s="339">
        <f t="shared" si="457"/>
        <v>0</v>
      </c>
      <c r="AC218" s="338">
        <f t="shared" si="457"/>
        <v>0</v>
      </c>
      <c r="AD218" s="338">
        <f t="shared" si="457"/>
        <v>0</v>
      </c>
      <c r="AE218" s="338">
        <f t="shared" si="457"/>
        <v>0</v>
      </c>
      <c r="AF218" s="339">
        <f t="shared" si="457"/>
        <v>0</v>
      </c>
      <c r="AG218" s="338">
        <f t="shared" si="457"/>
        <v>0</v>
      </c>
      <c r="AH218" s="338">
        <f t="shared" si="457"/>
        <v>0</v>
      </c>
      <c r="AI218" s="338">
        <f t="shared" si="457"/>
        <v>0</v>
      </c>
      <c r="AJ218" s="339">
        <f t="shared" si="457"/>
        <v>0</v>
      </c>
      <c r="AK218" s="338">
        <f t="shared" si="457"/>
        <v>0.11</v>
      </c>
      <c r="AL218" s="338">
        <f t="shared" si="457"/>
        <v>0.11</v>
      </c>
      <c r="AM218" s="338">
        <f t="shared" si="457"/>
        <v>0.24</v>
      </c>
      <c r="AN218" s="339">
        <f t="shared" si="457"/>
        <v>0</v>
      </c>
      <c r="AO218" s="338">
        <f t="shared" si="457"/>
        <v>0.49191601565991483</v>
      </c>
      <c r="AP218" s="338">
        <f t="shared" si="457"/>
        <v>0.49348347882716126</v>
      </c>
      <c r="AQ218" s="338">
        <f t="shared" si="457"/>
        <v>0.54975032255320455</v>
      </c>
      <c r="AR218" s="339">
        <f t="shared" si="457"/>
        <v>0.34955984070425461</v>
      </c>
      <c r="AS218" s="338">
        <f t="shared" si="457"/>
        <v>0.60347274696400355</v>
      </c>
      <c r="AT218" s="338">
        <f t="shared" si="457"/>
        <v>0.60105702884117052</v>
      </c>
      <c r="AU218" s="338">
        <f t="shared" si="457"/>
        <v>0.58717568356989602</v>
      </c>
      <c r="AV218" s="339">
        <f t="shared" si="457"/>
        <v>0.52847655590518761</v>
      </c>
      <c r="AW218" s="338">
        <f t="shared" si="457"/>
        <v>0.32413006604940153</v>
      </c>
      <c r="AX218" s="338">
        <f t="shared" si="457"/>
        <v>0.35212131414810544</v>
      </c>
      <c r="AY218" s="338">
        <f t="shared" si="457"/>
        <v>0.43150227236018179</v>
      </c>
      <c r="AZ218" s="339">
        <f t="shared" si="457"/>
        <v>0.32519123792047067</v>
      </c>
      <c r="BA218" s="338">
        <f t="shared" ref="BA218:CF218" si="458">+BA217+AW217</f>
        <v>0.23215956548794803</v>
      </c>
      <c r="BB218" s="338">
        <f t="shared" si="458"/>
        <v>0.24709492246438813</v>
      </c>
      <c r="BC218" s="338">
        <f t="shared" si="458"/>
        <v>0.24189668988492041</v>
      </c>
      <c r="BD218" s="339">
        <f t="shared" si="458"/>
        <v>0.25434535681107739</v>
      </c>
      <c r="BE218" s="338">
        <f t="shared" si="458"/>
        <v>0.20339073383766237</v>
      </c>
      <c r="BF218" s="338">
        <f t="shared" si="458"/>
        <v>0.17099662488319534</v>
      </c>
      <c r="BG218" s="338">
        <f t="shared" si="458"/>
        <v>0.17795261867426904</v>
      </c>
      <c r="BH218" s="339">
        <f t="shared" si="458"/>
        <v>4.8097296549519664E-3</v>
      </c>
      <c r="BI218" s="338">
        <f t="shared" si="458"/>
        <v>-1.0312752701248429E-2</v>
      </c>
      <c r="BJ218" s="338">
        <f t="shared" si="458"/>
        <v>0.13146088984870974</v>
      </c>
      <c r="BK218" s="338">
        <f t="shared" si="458"/>
        <v>0.15032723521398328</v>
      </c>
      <c r="BL218" s="339">
        <f t="shared" si="458"/>
        <v>0.17437263050316953</v>
      </c>
      <c r="BM218" s="338">
        <f t="shared" si="458"/>
        <v>4.7104591780781857E-2</v>
      </c>
      <c r="BN218" s="338">
        <f t="shared" si="458"/>
        <v>0.13925163872183832</v>
      </c>
      <c r="BO218" s="338">
        <f>+BO217+BK217</f>
        <v>0.14947367944837531</v>
      </c>
      <c r="BP218" s="339">
        <f>+BP217+BL217</f>
        <v>0.23819354241517299</v>
      </c>
      <c r="BQ218" s="338">
        <f t="shared" si="458"/>
        <v>0.18693461429267999</v>
      </c>
      <c r="BR218" s="338">
        <f t="shared" si="458"/>
        <v>4.074778346898289E-3</v>
      </c>
      <c r="BS218" s="338">
        <f>+BS217+BO217</f>
        <v>0.16987444538575414</v>
      </c>
      <c r="BT218" s="339">
        <f>+BT217+BP217</f>
        <v>7.0473927883553888E-2</v>
      </c>
      <c r="BU218" s="338">
        <f t="shared" si="458"/>
        <v>0.2791849560185371</v>
      </c>
      <c r="BV218" s="338">
        <f t="shared" si="458"/>
        <v>6.153298742055624E-2</v>
      </c>
      <c r="BW218" s="338">
        <f t="shared" si="458"/>
        <v>-0.28302790247734755</v>
      </c>
      <c r="BX218" s="339">
        <f t="shared" si="458"/>
        <v>-1.8851165906241918E-2</v>
      </c>
      <c r="BY218" s="338">
        <f t="shared" si="458"/>
        <v>0.23670616406813161</v>
      </c>
      <c r="BZ218" s="338">
        <f t="shared" si="458"/>
        <v>0.17531617430320745</v>
      </c>
      <c r="CA218" s="338">
        <f t="shared" si="458"/>
        <v>0.19974778857003572</v>
      </c>
      <c r="CB218" s="339">
        <f t="shared" si="458"/>
        <v>0.52170925778264265</v>
      </c>
      <c r="CC218" s="338">
        <f t="shared" si="458"/>
        <v>4.2258737368885635E-2</v>
      </c>
      <c r="CD218" s="338">
        <f t="shared" si="458"/>
        <v>8.0996036758819168E-2</v>
      </c>
      <c r="CE218" s="338">
        <f t="shared" si="458"/>
        <v>0.5971052649441253</v>
      </c>
      <c r="CF218" s="339">
        <f t="shared" si="458"/>
        <v>0.69026883769500968</v>
      </c>
      <c r="CG218" s="337"/>
      <c r="CH218" s="340"/>
      <c r="CI218" s="328"/>
      <c r="CJ218" s="338">
        <f t="shared" ref="CJ218:CY218" si="459">+CJ217+CI217</f>
        <v>0</v>
      </c>
      <c r="CK218" s="338">
        <f t="shared" si="459"/>
        <v>0.316</v>
      </c>
      <c r="CL218" s="338">
        <f t="shared" si="459"/>
        <v>0.371</v>
      </c>
      <c r="CM218" s="338">
        <f t="shared" si="459"/>
        <v>0.153</v>
      </c>
      <c r="CN218" s="338">
        <f t="shared" si="459"/>
        <v>9.8000000000000004E-2</v>
      </c>
      <c r="CO218" s="338">
        <f t="shared" si="459"/>
        <v>0.33287472989314892</v>
      </c>
      <c r="CP218" s="338">
        <f t="shared" si="459"/>
        <v>0.55892635243048772</v>
      </c>
      <c r="CQ218" s="338">
        <f t="shared" si="459"/>
        <v>0.36145678991044083</v>
      </c>
      <c r="CR218" s="338">
        <f t="shared" si="459"/>
        <v>0.24354838961716907</v>
      </c>
      <c r="CS218" s="338">
        <f t="shared" si="459"/>
        <v>0.14304815494490364</v>
      </c>
      <c r="CT218" s="338">
        <f t="shared" si="459"/>
        <v>0.10664210804335772</v>
      </c>
      <c r="CU218" s="338">
        <f>+CU217+CT217</f>
        <v>0.13354833747763184</v>
      </c>
      <c r="CV218" s="338">
        <f t="shared" si="459"/>
        <v>0.1043721588472859</v>
      </c>
      <c r="CW218" s="338">
        <f t="shared" si="459"/>
        <v>-2.2379861988360172E-2</v>
      </c>
      <c r="CX218" s="338">
        <f t="shared" si="459"/>
        <v>0.20986679553775023</v>
      </c>
      <c r="CY218" s="338">
        <f t="shared" si="459"/>
        <v>0.30804578410188754</v>
      </c>
      <c r="CZ218" s="338">
        <f t="shared" ref="CZ218:DF218" si="460">+CZ217+CY217</f>
        <v>6.782664907995084E-2</v>
      </c>
      <c r="DA218" s="338">
        <f t="shared" si="460"/>
        <v>6.0578420653419673E-2</v>
      </c>
      <c r="DB218" s="338">
        <f t="shared" si="460"/>
        <v>4.435852059462797E-2</v>
      </c>
      <c r="DC218" s="338">
        <f t="shared" si="460"/>
        <v>3.6926859532822043E-2</v>
      </c>
      <c r="DD218" s="338">
        <f t="shared" si="460"/>
        <v>3.7284298826489426E-2</v>
      </c>
      <c r="DE218" s="338">
        <f t="shared" si="460"/>
        <v>3.7600586706994399E-2</v>
      </c>
      <c r="DF218" s="339">
        <f t="shared" si="460"/>
        <v>3.7880367991952824E-2</v>
      </c>
      <c r="DG218" s="308"/>
      <c r="DH218" s="308"/>
    </row>
    <row r="219" spans="1:113" s="68" customFormat="1" ht="11.25" customHeight="1">
      <c r="A219" s="24"/>
      <c r="B219"/>
      <c r="C219"/>
      <c r="D219"/>
      <c r="E219"/>
      <c r="F219"/>
      <c r="G219"/>
      <c r="H219" s="1044"/>
      <c r="I219" s="664"/>
      <c r="J219" s="665"/>
      <c r="K219" s="665"/>
      <c r="L219" s="665"/>
      <c r="M219" s="666"/>
      <c r="N219" s="666"/>
      <c r="O219" s="666"/>
      <c r="P219" s="667"/>
      <c r="Q219" s="666"/>
      <c r="R219" s="666"/>
      <c r="S219" s="666"/>
      <c r="T219" s="667"/>
      <c r="U219" s="668"/>
      <c r="V219" s="668"/>
      <c r="W219" s="668"/>
      <c r="X219" s="669"/>
      <c r="Y219" s="668"/>
      <c r="Z219" s="668"/>
      <c r="AA219" s="668"/>
      <c r="AB219" s="669"/>
      <c r="AC219" s="668"/>
      <c r="AD219" s="668"/>
      <c r="AE219" s="668"/>
      <c r="AF219" s="669"/>
      <c r="AG219" s="668"/>
      <c r="AH219" s="668"/>
      <c r="AI219" s="668"/>
      <c r="AJ219" s="669"/>
      <c r="AK219" s="668"/>
      <c r="AL219" s="668"/>
      <c r="AM219" s="668"/>
      <c r="AN219" s="669"/>
      <c r="AO219" s="668"/>
      <c r="AP219" s="668"/>
      <c r="AQ219" s="668"/>
      <c r="AR219" s="669"/>
      <c r="AS219" s="668"/>
      <c r="AT219" s="668"/>
      <c r="AU219" s="668"/>
      <c r="AV219" s="669"/>
      <c r="AW219" s="668"/>
      <c r="AX219" s="668"/>
      <c r="AY219" s="668"/>
      <c r="AZ219" s="669"/>
      <c r="BA219" s="670"/>
      <c r="BB219" s="670"/>
      <c r="BC219" s="670"/>
      <c r="BD219" s="671"/>
      <c r="BE219" s="666"/>
      <c r="BF219" s="666"/>
      <c r="BG219" s="666"/>
      <c r="BH219" s="672"/>
      <c r="BI219" s="673"/>
      <c r="BJ219" s="673"/>
      <c r="BK219" s="673"/>
      <c r="BL219" s="674"/>
      <c r="BM219" s="673"/>
      <c r="BN219" s="673"/>
      <c r="BO219" s="673"/>
      <c r="BP219" s="663"/>
      <c r="BQ219" s="662"/>
      <c r="BR219" s="662"/>
      <c r="BS219" s="662"/>
      <c r="BT219" s="663"/>
      <c r="BU219" s="662"/>
      <c r="BV219" s="662"/>
      <c r="BW219" s="662"/>
      <c r="BX219" s="663"/>
      <c r="BY219" s="662"/>
      <c r="BZ219" s="662"/>
      <c r="CA219" s="662"/>
      <c r="CB219" s="663"/>
      <c r="CC219" s="662"/>
      <c r="CD219" s="662"/>
      <c r="CE219" s="662"/>
      <c r="CF219" s="663"/>
      <c r="CG219" s="405"/>
      <c r="CH219" s="675"/>
      <c r="CI219" s="666"/>
      <c r="CJ219" s="668"/>
      <c r="CK219" s="668"/>
      <c r="CL219" s="668"/>
      <c r="CM219" s="668"/>
      <c r="CN219" s="668"/>
      <c r="CO219" s="668"/>
      <c r="CP219" s="668"/>
      <c r="CQ219" s="662"/>
      <c r="CR219" s="662"/>
      <c r="CS219" s="662"/>
      <c r="CT219" s="668"/>
      <c r="CU219" s="662"/>
      <c r="CV219" s="676"/>
      <c r="CW219" s="662"/>
      <c r="CX219" s="662"/>
      <c r="CY219" s="662"/>
      <c r="CZ219" s="662"/>
      <c r="DA219" s="662"/>
      <c r="DB219" s="662"/>
      <c r="DC219" s="662"/>
      <c r="DD219" s="662"/>
      <c r="DE219" s="662"/>
      <c r="DF219" s="663"/>
      <c r="DG219" s="1180"/>
      <c r="DH219" s="1180"/>
    </row>
    <row r="220" spans="1:113" ht="11.25" customHeight="1">
      <c r="I220" s="70"/>
      <c r="J220" s="70"/>
      <c r="K220" s="70"/>
      <c r="M220" s="315"/>
      <c r="N220" s="315"/>
      <c r="O220" s="315"/>
      <c r="P220" s="315"/>
      <c r="Q220" s="315"/>
      <c r="R220" s="315"/>
      <c r="S220" s="315"/>
      <c r="T220" s="315"/>
      <c r="U220" s="328"/>
      <c r="V220" s="328"/>
      <c r="W220" s="328"/>
      <c r="X220" s="328"/>
      <c r="Y220" s="328"/>
      <c r="Z220" s="328"/>
      <c r="AA220" s="328"/>
      <c r="AB220" s="328"/>
      <c r="AC220" s="328"/>
      <c r="AD220" s="328"/>
      <c r="AE220" s="328"/>
      <c r="AF220" s="328"/>
      <c r="AG220" s="328"/>
      <c r="AH220" s="328"/>
      <c r="AI220" s="328"/>
      <c r="AJ220" s="328"/>
      <c r="AK220" s="328"/>
      <c r="AL220" s="328"/>
      <c r="AM220" s="328"/>
      <c r="AN220" s="328"/>
      <c r="AO220" s="328"/>
      <c r="AP220" s="328"/>
      <c r="AQ220" s="328"/>
      <c r="AR220" s="328"/>
      <c r="AS220" s="328"/>
      <c r="AT220" s="328"/>
      <c r="AU220" s="328"/>
      <c r="AV220" s="328"/>
      <c r="AW220" s="328"/>
      <c r="AX220" s="328"/>
      <c r="AY220" s="328"/>
      <c r="AZ220" s="328"/>
      <c r="BA220" s="328"/>
      <c r="BB220" s="328"/>
      <c r="BC220" s="328"/>
      <c r="BD220" s="328"/>
      <c r="BE220" s="328"/>
      <c r="BF220" s="328"/>
      <c r="BG220" s="328"/>
      <c r="BH220" s="328"/>
      <c r="BI220" s="396"/>
      <c r="BJ220" s="396"/>
      <c r="BK220" s="396"/>
      <c r="BL220" s="396"/>
      <c r="BM220" s="396"/>
      <c r="BN220" s="396"/>
      <c r="BO220" s="396"/>
      <c r="BP220" s="396"/>
      <c r="BQ220" s="396"/>
      <c r="BR220" s="396"/>
      <c r="BS220" s="396"/>
      <c r="BT220" s="396"/>
      <c r="BU220" s="328"/>
      <c r="BV220" s="328"/>
      <c r="BW220" s="328"/>
      <c r="BX220" s="328"/>
      <c r="BY220" s="328"/>
      <c r="BZ220" s="328"/>
      <c r="CA220" s="328"/>
      <c r="CB220" s="328"/>
      <c r="CC220" s="328"/>
      <c r="CD220" s="328"/>
      <c r="CE220" s="328"/>
      <c r="CF220" s="328"/>
      <c r="CG220" s="315"/>
      <c r="CH220" s="315"/>
      <c r="CI220" s="315"/>
      <c r="CJ220" s="328"/>
      <c r="CK220" s="328"/>
      <c r="CL220" s="328"/>
      <c r="CM220" s="328"/>
      <c r="CN220" s="328"/>
      <c r="CO220" s="328"/>
      <c r="CP220" s="328"/>
      <c r="CQ220" s="328"/>
      <c r="CR220" s="328"/>
      <c r="CS220" s="328"/>
      <c r="CT220" s="328"/>
      <c r="CU220" s="328"/>
      <c r="CV220" s="328"/>
      <c r="CW220" s="328"/>
      <c r="CX220" s="328"/>
      <c r="CY220" s="328"/>
      <c r="CZ220" s="328"/>
      <c r="DA220" s="328"/>
      <c r="DB220" s="328"/>
      <c r="DC220" s="328"/>
      <c r="DD220" s="328"/>
      <c r="DE220" s="328"/>
      <c r="DF220" s="329"/>
    </row>
    <row r="221" spans="1:113" customFormat="1" ht="11.25" customHeight="1">
      <c r="A221" s="10"/>
      <c r="H221" s="1054"/>
      <c r="I221" s="659" t="s">
        <v>177</v>
      </c>
      <c r="J221" s="660"/>
      <c r="K221" s="660"/>
      <c r="L221" s="660"/>
      <c r="M221" s="660"/>
      <c r="N221" s="660"/>
      <c r="O221" s="660"/>
      <c r="P221" s="660"/>
      <c r="Q221" s="660"/>
      <c r="R221" s="660"/>
      <c r="S221" s="660"/>
      <c r="T221" s="660"/>
      <c r="U221" s="659"/>
      <c r="V221" s="660"/>
      <c r="W221" s="660"/>
      <c r="X221" s="661"/>
      <c r="Y221" s="659"/>
      <c r="Z221" s="660"/>
      <c r="AA221" s="660"/>
      <c r="AB221" s="661"/>
      <c r="AC221" s="659"/>
      <c r="AD221" s="660"/>
      <c r="AE221" s="660"/>
      <c r="AF221" s="661"/>
      <c r="AG221" s="659"/>
      <c r="AH221" s="660"/>
      <c r="AI221" s="660"/>
      <c r="AJ221" s="661"/>
      <c r="AK221" s="659"/>
      <c r="AL221" s="660"/>
      <c r="AM221" s="660"/>
      <c r="AN221" s="661"/>
      <c r="AO221" s="659"/>
      <c r="AP221" s="660"/>
      <c r="AQ221" s="660"/>
      <c r="AR221" s="661"/>
      <c r="AS221" s="659"/>
      <c r="AT221" s="660"/>
      <c r="AU221" s="660"/>
      <c r="AV221" s="661"/>
      <c r="AW221" s="659"/>
      <c r="AX221" s="660"/>
      <c r="AY221" s="660"/>
      <c r="AZ221" s="661"/>
      <c r="BA221" s="659"/>
      <c r="BB221" s="660"/>
      <c r="BC221" s="660"/>
      <c r="BD221" s="661"/>
      <c r="BE221" s="659"/>
      <c r="BF221" s="660"/>
      <c r="BG221" s="660"/>
      <c r="BH221" s="661"/>
      <c r="BI221" s="659"/>
      <c r="BJ221" s="660"/>
      <c r="BK221" s="660"/>
      <c r="BL221" s="661"/>
      <c r="BM221" s="659"/>
      <c r="BN221" s="660"/>
      <c r="BO221" s="660"/>
      <c r="BP221" s="661"/>
      <c r="BQ221" s="659"/>
      <c r="BR221" s="660"/>
      <c r="BS221" s="660"/>
      <c r="BT221" s="661"/>
      <c r="BU221" s="659"/>
      <c r="BV221" s="660"/>
      <c r="BW221" s="660"/>
      <c r="BX221" s="661"/>
      <c r="BY221" s="659"/>
      <c r="BZ221" s="660"/>
      <c r="CA221" s="660"/>
      <c r="CB221" s="661"/>
      <c r="CC221" s="659"/>
      <c r="CD221" s="660"/>
      <c r="CE221" s="660"/>
      <c r="CF221" s="661"/>
      <c r="CH221" s="661"/>
      <c r="CI221" s="661"/>
      <c r="CJ221" s="661"/>
      <c r="CK221" s="661"/>
      <c r="CL221" s="661"/>
      <c r="CM221" s="661"/>
      <c r="CN221" s="661"/>
      <c r="CO221" s="661"/>
      <c r="CP221" s="661"/>
      <c r="CQ221" s="661"/>
      <c r="CR221" s="661"/>
      <c r="CS221" s="661"/>
      <c r="CT221" s="661"/>
      <c r="CU221" s="661"/>
      <c r="CV221" s="661"/>
      <c r="CW221" s="661"/>
      <c r="CX221" s="661"/>
      <c r="CY221" s="660"/>
      <c r="CZ221" s="660"/>
      <c r="DA221" s="660"/>
      <c r="DB221" s="660"/>
      <c r="DC221" s="660"/>
      <c r="DD221" s="660"/>
      <c r="DE221" s="660"/>
      <c r="DF221" s="661"/>
      <c r="DG221" s="124"/>
      <c r="DH221" s="124"/>
      <c r="DI221" s="1548"/>
    </row>
    <row r="222" spans="1:113" s="554" customFormat="1" ht="11.25" customHeight="1">
      <c r="A222" s="547"/>
      <c r="B222"/>
      <c r="C222"/>
      <c r="D222"/>
      <c r="E222"/>
      <c r="F222"/>
      <c r="G222"/>
      <c r="H222" s="1047"/>
      <c r="I222" s="591" t="s">
        <v>165</v>
      </c>
      <c r="J222" s="547"/>
      <c r="K222" s="547"/>
      <c r="L222" s="547"/>
      <c r="M222" s="551"/>
      <c r="N222" s="551"/>
      <c r="O222" s="551"/>
      <c r="P222" s="552"/>
      <c r="Q222" s="551"/>
      <c r="R222" s="551"/>
      <c r="S222" s="551"/>
      <c r="T222" s="552"/>
      <c r="U222" s="394"/>
      <c r="V222" s="394"/>
      <c r="W222" s="394"/>
      <c r="X222" s="395"/>
      <c r="Y222" s="394"/>
      <c r="Z222" s="394"/>
      <c r="AA222" s="394"/>
      <c r="AB222" s="395"/>
      <c r="AC222" s="394"/>
      <c r="AD222" s="394"/>
      <c r="AE222" s="394"/>
      <c r="AF222" s="395"/>
      <c r="AG222" s="394"/>
      <c r="AH222" s="394"/>
      <c r="AI222" s="394"/>
      <c r="AJ222" s="395"/>
      <c r="AK222" s="396">
        <f>'Bookings and Drivers'!AK74</f>
        <v>478.81200000000001</v>
      </c>
      <c r="AL222" s="396">
        <f>'Bookings and Drivers'!AL74</f>
        <v>547.78700000000003</v>
      </c>
      <c r="AM222" s="396">
        <f>'Bookings and Drivers'!AM74</f>
        <v>602.20500000000004</v>
      </c>
      <c r="AN222" s="397">
        <f>'Bookings and Drivers'!AN74</f>
        <v>525.57099999999991</v>
      </c>
      <c r="AO222" s="396">
        <f>'Bookings and Drivers'!AO74</f>
        <v>720.96799999999985</v>
      </c>
      <c r="AP222" s="396">
        <f>'Bookings and Drivers'!AP74</f>
        <v>872.28400000000011</v>
      </c>
      <c r="AQ222" s="396">
        <f>'Bookings and Drivers'!AQ74</f>
        <v>799.57700000000023</v>
      </c>
      <c r="AR222" s="397">
        <f>'Bookings and Drivers'!AR74</f>
        <v>688.92299999999977</v>
      </c>
      <c r="AS222" s="396">
        <f>'Bookings and Drivers'!AS74</f>
        <v>851.15699999999993</v>
      </c>
      <c r="AT222" s="396">
        <f>'Bookings and Drivers'!AT74</f>
        <v>964.46399999999994</v>
      </c>
      <c r="AU222" s="396">
        <f>'Bookings and Drivers'!AU74</f>
        <v>998.71499999999992</v>
      </c>
      <c r="AV222" s="397">
        <f>'Bookings and Drivers'!AV74</f>
        <v>830.98300000000017</v>
      </c>
      <c r="AW222" s="396">
        <f>'Bookings and Drivers'!AW74</f>
        <v>989.35000000000014</v>
      </c>
      <c r="AX222" s="396">
        <f>'Bookings and Drivers'!AX74</f>
        <v>1153.8790000000004</v>
      </c>
      <c r="AY222" s="396">
        <f>'Bookings and Drivers'!AY74</f>
        <v>1121</v>
      </c>
      <c r="AZ222" s="397">
        <f>'Bookings and Drivers'!AZ74</f>
        <v>902</v>
      </c>
      <c r="BA222" s="396">
        <f>'Bookings and Drivers'!BA74</f>
        <v>1129</v>
      </c>
      <c r="BB222" s="396">
        <f>'Bookings and Drivers'!BB74</f>
        <v>1308</v>
      </c>
      <c r="BC222" s="396">
        <f>'Bookings and Drivers'!BC74</f>
        <v>1268</v>
      </c>
      <c r="BD222" s="397">
        <f>'Bookings and Drivers'!BD74</f>
        <v>1044</v>
      </c>
      <c r="BE222" s="396">
        <f>'Bookings and Drivers'!BE74</f>
        <v>1260</v>
      </c>
      <c r="BF222" s="396">
        <f>'Bookings and Drivers'!BF74</f>
        <v>1377</v>
      </c>
      <c r="BG222" s="396">
        <f>'Bookings and Drivers'!BG74</f>
        <v>1359</v>
      </c>
      <c r="BH222" s="397">
        <f>'Bookings and Drivers'!BH74</f>
        <v>1090</v>
      </c>
      <c r="BI222" s="396">
        <f>'Bookings and Drivers'!BI74</f>
        <v>1370</v>
      </c>
      <c r="BJ222" s="396">
        <f>'Bookings and Drivers'!BJ74</f>
        <v>1538</v>
      </c>
      <c r="BK222" s="396">
        <f>'Bookings and Drivers'!BK74</f>
        <v>1586</v>
      </c>
      <c r="BL222" s="397">
        <f>'Bookings and Drivers'!BL74</f>
        <v>1379</v>
      </c>
      <c r="BM222" s="396">
        <f>'Bookings and Drivers'!BM74</f>
        <v>1637</v>
      </c>
      <c r="BN222" s="396">
        <f>'Bookings and Drivers'!BN74</f>
        <v>1856</v>
      </c>
      <c r="BO222" s="396">
        <f>'Bookings and Drivers'!BO74</f>
        <v>1743</v>
      </c>
      <c r="BP222" s="396">
        <f>'Bookings and Drivers'!BP74</f>
        <v>1426</v>
      </c>
      <c r="BQ222" s="1560">
        <f>'Bookings and Drivers'!BQ74</f>
        <v>1672</v>
      </c>
      <c r="BR222" s="1561">
        <f>'Bookings and Drivers'!BR74</f>
        <v>1868</v>
      </c>
      <c r="BS222" s="1561">
        <f>'Bookings and Drivers'!BS74</f>
        <v>1700</v>
      </c>
      <c r="BT222" s="1562">
        <f>'Bookings and Drivers'!BT74</f>
        <v>1317</v>
      </c>
      <c r="BU222" s="1560">
        <f>'Bookings and Drivers'!BU74</f>
        <v>1640.7001174553604</v>
      </c>
      <c r="BV222" s="1561">
        <f>'Bookings and Drivers'!BV74</f>
        <v>1894.4845066380005</v>
      </c>
      <c r="BW222" s="1561">
        <f>'Bookings and Drivers'!BW74</f>
        <v>1880.7066796544</v>
      </c>
      <c r="BX222" s="1562">
        <f>'Bookings and Drivers'!BX74</f>
        <v>1462.8609324000004</v>
      </c>
      <c r="BY222" s="1560">
        <f>'Bookings and Drivers'!BY74</f>
        <v>1686.5101607002885</v>
      </c>
      <c r="BZ222" s="1561">
        <f>'Bookings and Drivers'!BZ74</f>
        <v>1951.7842296624005</v>
      </c>
      <c r="CA222" s="1561">
        <f>'Bookings and Drivers'!CA74</f>
        <v>1950.9062400262401</v>
      </c>
      <c r="CB222" s="1562">
        <f>'Bookings and Drivers'!CB74</f>
        <v>1528.8995229200004</v>
      </c>
      <c r="CC222" s="1560">
        <f>'Bookings and Drivers'!CC74</f>
        <v>1752.7231874213828</v>
      </c>
      <c r="CD222" s="1561">
        <f>'Bookings and Drivers'!CD74</f>
        <v>2030.6611899917707</v>
      </c>
      <c r="CE222" s="1561">
        <f>'Bookings and Drivers'!CE74</f>
        <v>2036.5336652221122</v>
      </c>
      <c r="CF222" s="1562">
        <f>'Bookings and Drivers'!CF74</f>
        <v>1601.7922710160008</v>
      </c>
      <c r="CG222" s="552"/>
      <c r="CH222" s="553"/>
      <c r="CI222" s="551"/>
      <c r="CJ222" s="394"/>
      <c r="CK222" s="394"/>
      <c r="CL222" s="394"/>
      <c r="CM222" s="394"/>
      <c r="CN222" s="615">
        <f>+SUM(AK222:AN222)</f>
        <v>2154.375</v>
      </c>
      <c r="CO222" s="615">
        <f>+SUM(AO222:AR222)</f>
        <v>3081.752</v>
      </c>
      <c r="CP222" s="615">
        <f>+SUM(AS222:AV222)</f>
        <v>3645.319</v>
      </c>
      <c r="CQ222" s="615">
        <f>+SUM(AW222:AZ222)</f>
        <v>4166.2290000000003</v>
      </c>
      <c r="CR222" s="615">
        <f>+SUM(BA222:BD222)</f>
        <v>4749</v>
      </c>
      <c r="CS222" s="615">
        <f>+SUM(BE222:BH222)</f>
        <v>5086</v>
      </c>
      <c r="CT222" s="615">
        <f>+SUM(BI222:BL222)</f>
        <v>5873</v>
      </c>
      <c r="CU222" s="615">
        <f>SUM(BM222:BP222)</f>
        <v>6662</v>
      </c>
      <c r="CV222" s="615">
        <f>SUM(BQ222:BT222)</f>
        <v>6557</v>
      </c>
      <c r="CW222" s="615">
        <f>SUM(BU222:BX222)</f>
        <v>6878.7522361477622</v>
      </c>
      <c r="CX222" s="615">
        <f>SUM(BY222:CB222)</f>
        <v>7118.1001533089293</v>
      </c>
      <c r="CY222" s="615">
        <f>SUM(CC222:CF222)</f>
        <v>7421.7103136512669</v>
      </c>
      <c r="CZ222" s="1561">
        <f>'Bookings and Drivers'!CZ74</f>
        <v>7678.4162834531689</v>
      </c>
      <c r="DA222" s="1561">
        <f>'Bookings and Drivers'!DA74</f>
        <v>7877.977565852917</v>
      </c>
      <c r="DB222" s="1561">
        <f>'Bookings and Drivers'!DB74</f>
        <v>8022.6851354918481</v>
      </c>
      <c r="DC222" s="1561">
        <f>'Bookings and Drivers'!DC74</f>
        <v>8171.5720546913708</v>
      </c>
      <c r="DD222" s="1561">
        <f>'Bookings and Drivers'!DD74</f>
        <v>8324.5933906259143</v>
      </c>
      <c r="DE222" s="1561">
        <f>'Bookings and Drivers'!DE74</f>
        <v>8481.7161637950776</v>
      </c>
      <c r="DF222" s="1562">
        <f>'Bookings and Drivers'!DF74</f>
        <v>8642.9183018919593</v>
      </c>
      <c r="DG222" s="612"/>
      <c r="DH222" s="612"/>
    </row>
    <row r="223" spans="1:113" s="282" customFormat="1" ht="11.25" customHeight="1">
      <c r="A223" s="91"/>
      <c r="B223"/>
      <c r="C223"/>
      <c r="D223"/>
      <c r="E223"/>
      <c r="F223"/>
      <c r="G223"/>
      <c r="H223" s="1046"/>
      <c r="I223" s="200" t="s">
        <v>372</v>
      </c>
      <c r="J223" s="90"/>
      <c r="K223" s="90"/>
      <c r="L223" s="91"/>
      <c r="M223" s="343"/>
      <c r="N223" s="343"/>
      <c r="O223" s="343"/>
      <c r="P223" s="344"/>
      <c r="Q223" s="343"/>
      <c r="R223" s="343"/>
      <c r="S223" s="343"/>
      <c r="T223" s="344"/>
      <c r="U223" s="345"/>
      <c r="V223" s="345"/>
      <c r="W223" s="345"/>
      <c r="X223" s="346"/>
      <c r="Y223" s="345"/>
      <c r="Z223" s="345"/>
      <c r="AA223" s="345"/>
      <c r="AB223" s="346"/>
      <c r="AC223" s="345"/>
      <c r="AD223" s="345"/>
      <c r="AE223" s="345"/>
      <c r="AF223" s="346"/>
      <c r="AG223" s="345"/>
      <c r="AH223" s="345"/>
      <c r="AI223" s="345"/>
      <c r="AJ223" s="346"/>
      <c r="AK223" s="347">
        <f t="shared" ref="AK223:BM223" si="461">+AK216/AK222</f>
        <v>0.11682873445109984</v>
      </c>
      <c r="AL223" s="347">
        <f t="shared" si="461"/>
        <v>0.11773371766763346</v>
      </c>
      <c r="AM223" s="347">
        <f t="shared" si="461"/>
        <v>0.11712124608729581</v>
      </c>
      <c r="AN223" s="348">
        <f t="shared" si="461"/>
        <v>0.10893295101898701</v>
      </c>
      <c r="AO223" s="347">
        <f t="shared" si="461"/>
        <v>0.10722112493203585</v>
      </c>
      <c r="AP223" s="347">
        <f t="shared" si="461"/>
        <v>0.10228893342076664</v>
      </c>
      <c r="AQ223" s="347">
        <f t="shared" si="461"/>
        <v>0.11553358838485851</v>
      </c>
      <c r="AR223" s="348">
        <f t="shared" si="461"/>
        <v>0.1121533175695978</v>
      </c>
      <c r="AS223" s="347">
        <f t="shared" si="461"/>
        <v>0.11094310450363445</v>
      </c>
      <c r="AT223" s="347">
        <f t="shared" si="461"/>
        <v>0.11264080359660911</v>
      </c>
      <c r="AU223" s="347">
        <f t="shared" si="461"/>
        <v>0.11815783281516747</v>
      </c>
      <c r="AV223" s="348">
        <f t="shared" si="461"/>
        <v>0.10961596085599834</v>
      </c>
      <c r="AW223" s="347">
        <f t="shared" si="461"/>
        <v>0.10523677161772867</v>
      </c>
      <c r="AX223" s="347">
        <f t="shared" si="461"/>
        <v>0.10681795924875996</v>
      </c>
      <c r="AY223" s="347">
        <f t="shared" si="461"/>
        <v>0.12148795718108821</v>
      </c>
      <c r="AZ223" s="348">
        <f t="shared" si="461"/>
        <v>0.11575720620842579</v>
      </c>
      <c r="BA223" s="347">
        <f t="shared" si="461"/>
        <v>0.10417006200177154</v>
      </c>
      <c r="BB223" s="347">
        <f t="shared" si="461"/>
        <v>0.1048371559633028</v>
      </c>
      <c r="BC223" s="347">
        <f t="shared" si="461"/>
        <v>0.11683596214511052</v>
      </c>
      <c r="BD223" s="348">
        <f t="shared" si="461"/>
        <v>0.11082088122605364</v>
      </c>
      <c r="BE223" s="347">
        <f t="shared" si="461"/>
        <v>0.10022857142857143</v>
      </c>
      <c r="BF223" s="347">
        <f t="shared" si="461"/>
        <v>0.10540450254175748</v>
      </c>
      <c r="BG223" s="347">
        <f t="shared" si="461"/>
        <v>0.11883811626195731</v>
      </c>
      <c r="BH223" s="348">
        <f t="shared" si="461"/>
        <v>9.5183486238532219E-2</v>
      </c>
      <c r="BI223" s="347">
        <f t="shared" si="461"/>
        <v>8.4427007299270052E-2</v>
      </c>
      <c r="BJ223" s="347">
        <f t="shared" si="461"/>
        <v>0.10126074382314693</v>
      </c>
      <c r="BK223" s="347">
        <f t="shared" si="461"/>
        <v>0.10795867276166447</v>
      </c>
      <c r="BL223" s="348">
        <f t="shared" si="461"/>
        <v>9.6123640319071765E-2</v>
      </c>
      <c r="BM223" s="347">
        <f t="shared" si="461"/>
        <v>7.9928390348198111E-2</v>
      </c>
      <c r="BN223" s="347">
        <f t="shared" ref="BN223:BS223" si="462">+BN216/BN222</f>
        <v>8.9469402209051682E-2</v>
      </c>
      <c r="BO223" s="347">
        <f t="shared" si="462"/>
        <v>0.10700463181296629</v>
      </c>
      <c r="BP223" s="347">
        <f t="shared" si="462"/>
        <v>8.9289288218793797E-2</v>
      </c>
      <c r="BQ223" s="1510">
        <f t="shared" si="462"/>
        <v>8.2615064593301424E-2</v>
      </c>
      <c r="BR223" s="347">
        <f t="shared" si="462"/>
        <v>8.3368477387580242E-2</v>
      </c>
      <c r="BS223" s="347">
        <f t="shared" si="462"/>
        <v>0.11855341296470562</v>
      </c>
      <c r="BT223" s="348">
        <f t="shared" ref="BT223:BX223" si="463">+BT216/BT222</f>
        <v>0.10730562490508715</v>
      </c>
      <c r="BU223" s="1510">
        <f t="shared" si="463"/>
        <v>0.10300549951938293</v>
      </c>
      <c r="BV223" s="347">
        <f t="shared" si="463"/>
        <v>9.2371385065456488E-2</v>
      </c>
      <c r="BW223" s="347">
        <f t="shared" si="463"/>
        <v>6.8195598798196685E-2</v>
      </c>
      <c r="BX223" s="348">
        <f t="shared" si="463"/>
        <v>8.4166717992803106E-2</v>
      </c>
      <c r="BY223" s="1510">
        <f t="shared" ref="BY223:CB223" si="464">+BY216/BY222</f>
        <v>0.1015337445977184</v>
      </c>
      <c r="BZ223" s="347">
        <f t="shared" si="464"/>
        <v>9.4287607697389308E-2</v>
      </c>
      <c r="CA223" s="347">
        <f t="shared" si="464"/>
        <v>0.10277867791803384</v>
      </c>
      <c r="CB223" s="348">
        <f t="shared" si="464"/>
        <v>0.13291479308587167</v>
      </c>
      <c r="CC223" s="1510">
        <f>+BY223+CC224/10000</f>
        <v>0.1005337445977184</v>
      </c>
      <c r="CD223" s="347">
        <f>+BZ223+CD224/10000</f>
        <v>9.3287607697389308E-2</v>
      </c>
      <c r="CE223" s="347">
        <f>+CA223+CE224/10000</f>
        <v>0.10177867791803384</v>
      </c>
      <c r="CF223" s="348">
        <f>+CB223+CF224/10000</f>
        <v>0.13191479308587167</v>
      </c>
      <c r="CG223" s="344"/>
      <c r="CH223" s="349"/>
      <c r="CI223" s="343"/>
      <c r="CJ223" s="345"/>
      <c r="CK223" s="345"/>
      <c r="CL223" s="345"/>
      <c r="CM223" s="345"/>
      <c r="CN223" s="347">
        <f t="shared" ref="CN223:CT223" si="465">+CN216/CN222</f>
        <v>0.1170710762982302</v>
      </c>
      <c r="CO223" s="347">
        <f t="shared" si="465"/>
        <v>0.10908437797720263</v>
      </c>
      <c r="CP223" s="347">
        <f t="shared" si="465"/>
        <v>0.11306637361503888</v>
      </c>
      <c r="CQ223" s="347">
        <f t="shared" si="465"/>
        <v>0.11232507862625883</v>
      </c>
      <c r="CR223" s="347">
        <f t="shared" si="465"/>
        <v>0.10919772583701838</v>
      </c>
      <c r="CS223" s="347">
        <f t="shared" si="465"/>
        <v>0.10552123476209205</v>
      </c>
      <c r="CT223" s="347">
        <f t="shared" si="465"/>
        <v>9.7936485441852503E-2</v>
      </c>
      <c r="CU223" s="347">
        <f>+CU216/'Bookings and Drivers'!CU74</f>
        <v>9.1674209509156473E-2</v>
      </c>
      <c r="CV223" s="347">
        <f>+CV216/'Bookings and Drivers'!CV74</f>
        <v>9.7106453225560344E-2</v>
      </c>
      <c r="CW223" s="347">
        <f>+CW216/'Bookings and Drivers'!CW74</f>
        <v>8.6553112298084864E-2</v>
      </c>
      <c r="CX223" s="347">
        <f>+CX216/'Bookings and Drivers'!CX74</f>
        <v>0.10662840774324775</v>
      </c>
      <c r="CY223" s="347">
        <f>+CY216/'Bookings and Drivers'!CY74</f>
        <v>0.10566555639742717</v>
      </c>
      <c r="CZ223" s="347">
        <f t="shared" ref="CZ223:DF223" si="466">+CY223+CZ224/10000</f>
        <v>0.10566555639742717</v>
      </c>
      <c r="DA223" s="347">
        <f t="shared" si="466"/>
        <v>0.10566555639742717</v>
      </c>
      <c r="DB223" s="347">
        <f t="shared" si="466"/>
        <v>0.10566555639742717</v>
      </c>
      <c r="DC223" s="347">
        <f t="shared" si="466"/>
        <v>0.10566555639742717</v>
      </c>
      <c r="DD223" s="347">
        <f t="shared" si="466"/>
        <v>0.10566555639742717</v>
      </c>
      <c r="DE223" s="347">
        <f t="shared" si="466"/>
        <v>0.10566555639742717</v>
      </c>
      <c r="DF223" s="348">
        <f t="shared" si="466"/>
        <v>0.10566555639742717</v>
      </c>
      <c r="DG223" s="1469"/>
      <c r="DH223" s="1469"/>
    </row>
    <row r="224" spans="1:113" s="58" customFormat="1" ht="11.25" customHeight="1">
      <c r="A224" s="48"/>
      <c r="B224"/>
      <c r="C224"/>
      <c r="D224"/>
      <c r="E224"/>
      <c r="F224"/>
      <c r="G224"/>
      <c r="H224" s="1047"/>
      <c r="I224" s="188" t="s">
        <v>517</v>
      </c>
      <c r="J224" s="85"/>
      <c r="K224" s="85"/>
      <c r="L224" s="57"/>
      <c r="M224" s="350"/>
      <c r="N224" s="350"/>
      <c r="O224" s="350"/>
      <c r="P224" s="351"/>
      <c r="Q224" s="350"/>
      <c r="R224" s="350"/>
      <c r="S224" s="350"/>
      <c r="T224" s="351"/>
      <c r="U224" s="352"/>
      <c r="V224" s="352"/>
      <c r="W224" s="352"/>
      <c r="X224" s="353"/>
      <c r="Y224" s="352"/>
      <c r="Z224" s="352"/>
      <c r="AA224" s="352"/>
      <c r="AB224" s="353"/>
      <c r="AC224" s="352"/>
      <c r="AD224" s="352"/>
      <c r="AE224" s="352"/>
      <c r="AF224" s="353"/>
      <c r="AG224" s="352"/>
      <c r="AH224" s="352"/>
      <c r="AI224" s="352"/>
      <c r="AJ224" s="353"/>
      <c r="AK224" s="352"/>
      <c r="AL224" s="352"/>
      <c r="AM224" s="352"/>
      <c r="AN224" s="353"/>
      <c r="AO224" s="354">
        <f t="shared" ref="AO224:BM224" si="467">+(AO223-AK223)*10000</f>
        <v>-96.07609519063989</v>
      </c>
      <c r="AP224" s="354">
        <f t="shared" si="467"/>
        <v>-154.44784246866823</v>
      </c>
      <c r="AQ224" s="354">
        <f t="shared" si="467"/>
        <v>-15.876577024372951</v>
      </c>
      <c r="AR224" s="355">
        <f t="shared" si="467"/>
        <v>32.203665506107953</v>
      </c>
      <c r="AS224" s="354">
        <f t="shared" si="467"/>
        <v>37.219795715986024</v>
      </c>
      <c r="AT224" s="354">
        <f t="shared" si="467"/>
        <v>103.51870175842464</v>
      </c>
      <c r="AU224" s="354">
        <f t="shared" si="467"/>
        <v>26.242444303089528</v>
      </c>
      <c r="AV224" s="355">
        <f t="shared" si="467"/>
        <v>-25.37356713599462</v>
      </c>
      <c r="AW224" s="354">
        <f t="shared" si="467"/>
        <v>-57.063328859057876</v>
      </c>
      <c r="AX224" s="354">
        <f t="shared" si="467"/>
        <v>-58.228443478491457</v>
      </c>
      <c r="AY224" s="354">
        <f t="shared" si="467"/>
        <v>33.301243659207422</v>
      </c>
      <c r="AZ224" s="355">
        <f t="shared" si="467"/>
        <v>61.412453524274518</v>
      </c>
      <c r="BA224" s="354">
        <f t="shared" si="467"/>
        <v>-10.667096159571315</v>
      </c>
      <c r="BB224" s="354">
        <f t="shared" si="467"/>
        <v>-19.808032854571611</v>
      </c>
      <c r="BC224" s="354">
        <f t="shared" si="467"/>
        <v>-46.51995035977685</v>
      </c>
      <c r="BD224" s="355">
        <f t="shared" si="467"/>
        <v>-49.363249823721475</v>
      </c>
      <c r="BE224" s="354">
        <f t="shared" si="467"/>
        <v>-39.414905732001046</v>
      </c>
      <c r="BF224" s="354">
        <f t="shared" si="467"/>
        <v>5.673465784546833</v>
      </c>
      <c r="BG224" s="354">
        <f t="shared" si="467"/>
        <v>20.021541168467884</v>
      </c>
      <c r="BH224" s="355">
        <f t="shared" si="467"/>
        <v>-156.37394987521424</v>
      </c>
      <c r="BI224" s="354">
        <f t="shared" si="467"/>
        <v>-158.0156412930138</v>
      </c>
      <c r="BJ224" s="354">
        <f t="shared" si="467"/>
        <v>-41.437587186105574</v>
      </c>
      <c r="BK224" s="354">
        <f t="shared" si="467"/>
        <v>-108.79443500292838</v>
      </c>
      <c r="BL224" s="355">
        <f t="shared" si="467"/>
        <v>9.4015408053954594</v>
      </c>
      <c r="BM224" s="354">
        <f t="shared" si="467"/>
        <v>-44.986169510719407</v>
      </c>
      <c r="BN224" s="354">
        <f t="shared" ref="BN224:BX224" si="468">+(BN223-BJ223)*10000</f>
        <v>-117.91341614095244</v>
      </c>
      <c r="BO224" s="354">
        <f t="shared" si="468"/>
        <v>-9.5404094869817886</v>
      </c>
      <c r="BP224" s="354">
        <f t="shared" si="468"/>
        <v>-68.343521002779681</v>
      </c>
      <c r="BQ224" s="1511">
        <f t="shared" si="468"/>
        <v>26.866742451033126</v>
      </c>
      <c r="BR224" s="354">
        <f t="shared" si="468"/>
        <v>-61.009248214714404</v>
      </c>
      <c r="BS224" s="354">
        <f t="shared" si="468"/>
        <v>115.48781151739324</v>
      </c>
      <c r="BT224" s="355">
        <f t="shared" si="468"/>
        <v>180.16336686293349</v>
      </c>
      <c r="BU224" s="1511">
        <f t="shared" si="468"/>
        <v>203.90434926081502</v>
      </c>
      <c r="BV224" s="354">
        <f t="shared" si="468"/>
        <v>90.029076778762459</v>
      </c>
      <c r="BW224" s="354">
        <f t="shared" si="468"/>
        <v>-503.57814166508933</v>
      </c>
      <c r="BX224" s="355">
        <f t="shared" si="468"/>
        <v>-231.3890691228404</v>
      </c>
      <c r="BY224" s="1511">
        <f t="shared" ref="BY224" si="469">+(BY223-BU223)*10000</f>
        <v>-14.717549216645281</v>
      </c>
      <c r="BZ224" s="354">
        <f t="shared" ref="BZ224" si="470">+(BZ223-BV223)*10000</f>
        <v>19.162226319328209</v>
      </c>
      <c r="CA224" s="354">
        <f t="shared" ref="CA224" si="471">+(CA223-BW223)*10000</f>
        <v>345.83079119837157</v>
      </c>
      <c r="CB224" s="355">
        <f t="shared" ref="CB224" si="472">+(CB223-BX223)*10000</f>
        <v>487.4807509306857</v>
      </c>
      <c r="CC224" s="1563">
        <v>-10</v>
      </c>
      <c r="CD224" s="1328">
        <v>-10</v>
      </c>
      <c r="CE224" s="1328">
        <v>-10</v>
      </c>
      <c r="CF224" s="1564">
        <v>-10</v>
      </c>
      <c r="CG224" s="351"/>
      <c r="CH224" s="356"/>
      <c r="CI224" s="350"/>
      <c r="CJ224" s="352"/>
      <c r="CK224" s="352"/>
      <c r="CL224" s="352"/>
      <c r="CM224" s="352"/>
      <c r="CN224" s="352"/>
      <c r="CO224" s="354">
        <f t="shared" ref="CO224:CX224" si="473">+(CO223-CN223)*10000</f>
        <v>-79.866983210275663</v>
      </c>
      <c r="CP224" s="354">
        <f t="shared" si="473"/>
        <v>39.819956378362441</v>
      </c>
      <c r="CQ224" s="354">
        <f t="shared" si="473"/>
        <v>-7.4129498878004743</v>
      </c>
      <c r="CR224" s="354">
        <f t="shared" si="473"/>
        <v>-31.273527892404505</v>
      </c>
      <c r="CS224" s="354">
        <f t="shared" si="473"/>
        <v>-36.764910749263329</v>
      </c>
      <c r="CT224" s="354">
        <f t="shared" si="473"/>
        <v>-75.847493202395455</v>
      </c>
      <c r="CU224" s="354">
        <f>+(CU223-CT223)*10000</f>
        <v>-62.622759326960292</v>
      </c>
      <c r="CV224" s="354">
        <f t="shared" si="473"/>
        <v>54.322437164038703</v>
      </c>
      <c r="CW224" s="354">
        <f t="shared" si="473"/>
        <v>-105.5334092747548</v>
      </c>
      <c r="CX224" s="354">
        <f t="shared" si="473"/>
        <v>200.75295445162885</v>
      </c>
      <c r="CY224" s="354">
        <f>+(CY223-CX223)*10000</f>
        <v>-9.6285134582058127</v>
      </c>
      <c r="CZ224" s="1328">
        <v>0</v>
      </c>
      <c r="DA224" s="1328">
        <f t="shared" ref="DA224:DF224" si="474">+CZ224</f>
        <v>0</v>
      </c>
      <c r="DB224" s="1328">
        <f t="shared" si="474"/>
        <v>0</v>
      </c>
      <c r="DC224" s="1328">
        <f t="shared" si="474"/>
        <v>0</v>
      </c>
      <c r="DD224" s="1328">
        <f t="shared" si="474"/>
        <v>0</v>
      </c>
      <c r="DE224" s="1328">
        <f t="shared" si="474"/>
        <v>0</v>
      </c>
      <c r="DF224" s="1564">
        <f t="shared" si="474"/>
        <v>0</v>
      </c>
      <c r="DG224" s="541"/>
      <c r="DH224" s="541"/>
    </row>
    <row r="225" spans="1:113" s="58" customFormat="1" ht="11.25" customHeight="1">
      <c r="A225" s="48"/>
      <c r="B225"/>
      <c r="C225"/>
      <c r="D225"/>
      <c r="E225"/>
      <c r="F225"/>
      <c r="G225"/>
      <c r="H225" s="1044"/>
      <c r="I225" s="188" t="s">
        <v>167</v>
      </c>
      <c r="J225" s="85"/>
      <c r="K225" s="85"/>
      <c r="L225" s="57"/>
      <c r="M225" s="350"/>
      <c r="N225" s="350"/>
      <c r="O225" s="350"/>
      <c r="P225" s="351"/>
      <c r="Q225" s="350"/>
      <c r="R225" s="350"/>
      <c r="S225" s="350"/>
      <c r="T225" s="351"/>
      <c r="U225" s="352"/>
      <c r="V225" s="352"/>
      <c r="W225" s="352"/>
      <c r="X225" s="353"/>
      <c r="Y225" s="352"/>
      <c r="Z225" s="352"/>
      <c r="AA225" s="352"/>
      <c r="AB225" s="353"/>
      <c r="AC225" s="352"/>
      <c r="AD225" s="352"/>
      <c r="AE225" s="352"/>
      <c r="AF225" s="353"/>
      <c r="AG225" s="352"/>
      <c r="AH225" s="352"/>
      <c r="AI225" s="352"/>
      <c r="AJ225" s="353"/>
      <c r="AK225" s="352"/>
      <c r="AL225" s="352"/>
      <c r="AM225" s="352"/>
      <c r="AN225" s="353"/>
      <c r="AO225" s="352"/>
      <c r="AP225" s="352"/>
      <c r="AQ225" s="352"/>
      <c r="AR225" s="353"/>
      <c r="AS225" s="354">
        <f t="shared" ref="AS225:CF225" si="475">+AS224+AO224</f>
        <v>-58.856299474653866</v>
      </c>
      <c r="AT225" s="354">
        <f t="shared" si="475"/>
        <v>-50.929140710243587</v>
      </c>
      <c r="AU225" s="354">
        <f t="shared" si="475"/>
        <v>10.365867278716577</v>
      </c>
      <c r="AV225" s="355">
        <f t="shared" si="475"/>
        <v>6.8300983701133333</v>
      </c>
      <c r="AW225" s="354">
        <f t="shared" si="475"/>
        <v>-19.843533143071852</v>
      </c>
      <c r="AX225" s="354">
        <f t="shared" si="475"/>
        <v>45.290258279933184</v>
      </c>
      <c r="AY225" s="354">
        <f t="shared" si="475"/>
        <v>59.54368796229695</v>
      </c>
      <c r="AZ225" s="355">
        <f t="shared" si="475"/>
        <v>36.038886388279899</v>
      </c>
      <c r="BA225" s="354">
        <f t="shared" si="475"/>
        <v>-67.730425018629191</v>
      </c>
      <c r="BB225" s="354">
        <f t="shared" si="475"/>
        <v>-78.036476333063064</v>
      </c>
      <c r="BC225" s="354">
        <f t="shared" si="475"/>
        <v>-13.218706700569427</v>
      </c>
      <c r="BD225" s="355">
        <f t="shared" si="475"/>
        <v>12.049203700553043</v>
      </c>
      <c r="BE225" s="354">
        <f t="shared" si="475"/>
        <v>-50.082001891572361</v>
      </c>
      <c r="BF225" s="354">
        <f t="shared" si="475"/>
        <v>-14.134567070024778</v>
      </c>
      <c r="BG225" s="354">
        <f t="shared" si="475"/>
        <v>-26.498409191308966</v>
      </c>
      <c r="BH225" s="355">
        <f t="shared" si="475"/>
        <v>-205.73719969893571</v>
      </c>
      <c r="BI225" s="354">
        <f t="shared" si="475"/>
        <v>-197.43054702501485</v>
      </c>
      <c r="BJ225" s="354">
        <f>+BJ224+BF224</f>
        <v>-35.764121401558739</v>
      </c>
      <c r="BK225" s="354">
        <f t="shared" si="475"/>
        <v>-88.77289383446049</v>
      </c>
      <c r="BL225" s="355">
        <f t="shared" si="475"/>
        <v>-146.97240906981878</v>
      </c>
      <c r="BM225" s="354">
        <f t="shared" ref="BM225:BT225" si="476">+BM224+BI224</f>
        <v>-203.00181080373321</v>
      </c>
      <c r="BN225" s="354">
        <f t="shared" si="476"/>
        <v>-159.35100332705801</v>
      </c>
      <c r="BO225" s="354">
        <f t="shared" si="476"/>
        <v>-118.33484448991017</v>
      </c>
      <c r="BP225" s="354">
        <f t="shared" si="476"/>
        <v>-58.941980197384225</v>
      </c>
      <c r="BQ225" s="1511">
        <f>+BQ224+BM224</f>
        <v>-18.119427059686281</v>
      </c>
      <c r="BR225" s="354">
        <f>+BR224+BN224</f>
        <v>-178.92266435566683</v>
      </c>
      <c r="BS225" s="354">
        <f>+BS224+BO224</f>
        <v>105.94740203041145</v>
      </c>
      <c r="BT225" s="355">
        <f t="shared" si="476"/>
        <v>111.81984586015381</v>
      </c>
      <c r="BU225" s="1511">
        <f>+BU224+BQ224</f>
        <v>230.77109171184816</v>
      </c>
      <c r="BV225" s="354">
        <f t="shared" si="475"/>
        <v>29.019828564048055</v>
      </c>
      <c r="BW225" s="354">
        <f t="shared" si="475"/>
        <v>-388.09033014769608</v>
      </c>
      <c r="BX225" s="355">
        <f t="shared" si="475"/>
        <v>-51.22570225990691</v>
      </c>
      <c r="BY225" s="1511">
        <f>+BY224+BU224</f>
        <v>189.18680004416973</v>
      </c>
      <c r="BZ225" s="354">
        <f t="shared" ref="BZ225" si="477">+BZ224+BV224</f>
        <v>109.19130309809067</v>
      </c>
      <c r="CA225" s="354">
        <f t="shared" ref="CA225" si="478">+CA224+BW224</f>
        <v>-157.74735046671776</v>
      </c>
      <c r="CB225" s="355">
        <f t="shared" ref="CB225" si="479">+CB224+BX224</f>
        <v>256.0916818078453</v>
      </c>
      <c r="CC225" s="1511">
        <f t="shared" si="475"/>
        <v>-24.717549216645281</v>
      </c>
      <c r="CD225" s="354">
        <f t="shared" si="475"/>
        <v>9.1622263193282087</v>
      </c>
      <c r="CE225" s="354">
        <f t="shared" si="475"/>
        <v>335.83079119837157</v>
      </c>
      <c r="CF225" s="355">
        <f t="shared" si="475"/>
        <v>477.4807509306857</v>
      </c>
      <c r="CG225" s="351"/>
      <c r="CH225" s="356"/>
      <c r="CI225" s="350"/>
      <c r="CJ225" s="352"/>
      <c r="CK225" s="352"/>
      <c r="CL225" s="352"/>
      <c r="CM225" s="352"/>
      <c r="CN225" s="352"/>
      <c r="CO225" s="352"/>
      <c r="CP225" s="354">
        <f t="shared" ref="CP225:CX225" si="480">+CP224+CO224</f>
        <v>-40.047026831913222</v>
      </c>
      <c r="CQ225" s="354">
        <f t="shared" si="480"/>
        <v>32.407006490561969</v>
      </c>
      <c r="CR225" s="354">
        <f t="shared" si="480"/>
        <v>-38.686477780204982</v>
      </c>
      <c r="CS225" s="354">
        <f t="shared" si="480"/>
        <v>-68.038438641667838</v>
      </c>
      <c r="CT225" s="354">
        <f t="shared" si="480"/>
        <v>-112.61240395165879</v>
      </c>
      <c r="CU225" s="354">
        <f t="shared" si="480"/>
        <v>-138.47025252935575</v>
      </c>
      <c r="CV225" s="354">
        <f t="shared" si="480"/>
        <v>-8.3003221629215886</v>
      </c>
      <c r="CW225" s="354">
        <f t="shared" si="480"/>
        <v>-51.210972110716099</v>
      </c>
      <c r="CX225" s="354">
        <f t="shared" si="480"/>
        <v>95.21954517687405</v>
      </c>
      <c r="CY225" s="354">
        <f t="shared" ref="CY225:DF225" si="481">+CY224+CX224</f>
        <v>191.12444099342304</v>
      </c>
      <c r="CZ225" s="354">
        <f t="shared" si="481"/>
        <v>-9.6285134582058127</v>
      </c>
      <c r="DA225" s="354">
        <f t="shared" si="481"/>
        <v>0</v>
      </c>
      <c r="DB225" s="354">
        <f t="shared" si="481"/>
        <v>0</v>
      </c>
      <c r="DC225" s="354">
        <f t="shared" si="481"/>
        <v>0</v>
      </c>
      <c r="DD225" s="354">
        <f t="shared" si="481"/>
        <v>0</v>
      </c>
      <c r="DE225" s="354">
        <f t="shared" si="481"/>
        <v>0</v>
      </c>
      <c r="DF225" s="355">
        <f t="shared" si="481"/>
        <v>0</v>
      </c>
      <c r="DG225" s="541"/>
      <c r="DH225" s="541"/>
    </row>
    <row r="226" spans="1:113" s="308" customFormat="1" ht="11.25" customHeight="1">
      <c r="A226" s="82"/>
      <c r="B226"/>
      <c r="C226"/>
      <c r="D226"/>
      <c r="E226"/>
      <c r="F226"/>
      <c r="G226"/>
      <c r="H226" s="1047"/>
      <c r="I226" s="310" t="s">
        <v>178</v>
      </c>
      <c r="J226" s="83"/>
      <c r="K226" s="83"/>
      <c r="L226" s="307"/>
      <c r="M226" s="336"/>
      <c r="N226" s="336"/>
      <c r="O226" s="336"/>
      <c r="P226" s="337"/>
      <c r="Q226" s="336"/>
      <c r="R226" s="336"/>
      <c r="S226" s="336"/>
      <c r="T226" s="337"/>
      <c r="U226" s="328"/>
      <c r="V226" s="328"/>
      <c r="W226" s="328"/>
      <c r="X226" s="329"/>
      <c r="Y226" s="328"/>
      <c r="Z226" s="328"/>
      <c r="AA226" s="328"/>
      <c r="AB226" s="329"/>
      <c r="AC226" s="328"/>
      <c r="AD226" s="328"/>
      <c r="AE226" s="328"/>
      <c r="AF226" s="329"/>
      <c r="AG226" s="328"/>
      <c r="AH226" s="328"/>
      <c r="AI226" s="328"/>
      <c r="AJ226" s="329"/>
      <c r="AK226" s="328"/>
      <c r="AL226" s="338">
        <f t="shared" ref="AL226:CF226" si="482">+AL223/AK223</f>
        <v>1.0077462382930495</v>
      </c>
      <c r="AM226" s="338">
        <f t="shared" si="482"/>
        <v>0.99479782349125601</v>
      </c>
      <c r="AN226" s="339">
        <f t="shared" si="482"/>
        <v>0.93008702227941042</v>
      </c>
      <c r="AO226" s="338">
        <f t="shared" si="482"/>
        <v>0.98428550708542928</v>
      </c>
      <c r="AP226" s="338">
        <f t="shared" si="482"/>
        <v>0.95399981566696324</v>
      </c>
      <c r="AQ226" s="338">
        <f t="shared" si="482"/>
        <v>1.129482775126903</v>
      </c>
      <c r="AR226" s="339">
        <f t="shared" si="482"/>
        <v>0.97074209446346849</v>
      </c>
      <c r="AS226" s="338">
        <f t="shared" si="482"/>
        <v>0.98920929766333177</v>
      </c>
      <c r="AT226" s="338">
        <f t="shared" si="482"/>
        <v>1.0153024300209577</v>
      </c>
      <c r="AU226" s="338">
        <f t="shared" si="482"/>
        <v>1.0489789582673434</v>
      </c>
      <c r="AV226" s="339">
        <f t="shared" si="482"/>
        <v>0.92770794998812267</v>
      </c>
      <c r="AW226" s="338">
        <f t="shared" si="482"/>
        <v>0.96004971170190645</v>
      </c>
      <c r="AX226" s="338">
        <f t="shared" si="482"/>
        <v>1.0150250488182491</v>
      </c>
      <c r="AY226" s="338">
        <f t="shared" si="482"/>
        <v>1.1373364370139711</v>
      </c>
      <c r="AZ226" s="339">
        <f t="shared" si="482"/>
        <v>0.95282864980501536</v>
      </c>
      <c r="BA226" s="338">
        <f t="shared" si="482"/>
        <v>0.89990131425778275</v>
      </c>
      <c r="BB226" s="338">
        <f t="shared" si="482"/>
        <v>1.0064038932944086</v>
      </c>
      <c r="BC226" s="338">
        <f t="shared" si="482"/>
        <v>1.114451847453853</v>
      </c>
      <c r="BD226" s="339">
        <f t="shared" si="482"/>
        <v>0.94851687093066317</v>
      </c>
      <c r="BE226" s="338">
        <f t="shared" si="482"/>
        <v>0.90441954909313615</v>
      </c>
      <c r="BF226" s="338">
        <f t="shared" si="482"/>
        <v>1.0516412739342964</v>
      </c>
      <c r="BG226" s="338">
        <f t="shared" si="482"/>
        <v>1.1274481961989993</v>
      </c>
      <c r="BH226" s="339">
        <f t="shared" si="482"/>
        <v>0.8009508163922533</v>
      </c>
      <c r="BI226" s="338">
        <f>+BI223/BH223</f>
        <v>0.88699217307184819</v>
      </c>
      <c r="BJ226" s="338">
        <f>+BJ223/BI223</f>
        <v>1.1993880520270723</v>
      </c>
      <c r="BK226" s="338">
        <f>+BK223/BJ223</f>
        <v>1.0661453657719082</v>
      </c>
      <c r="BL226" s="339">
        <f>+BL223/BK223</f>
        <v>0.89037441698898634</v>
      </c>
      <c r="BM226" s="338">
        <f t="shared" si="482"/>
        <v>0.83151647277282348</v>
      </c>
      <c r="BN226" s="338">
        <f>+BN223/BM223</f>
        <v>1.1193694983633391</v>
      </c>
      <c r="BO226" s="338">
        <f>+BO223/BN223</f>
        <v>1.195991357614554</v>
      </c>
      <c r="BP226" s="338">
        <f>+BP223/BO223</f>
        <v>0.83444320779368508</v>
      </c>
      <c r="BQ226" s="372">
        <f>+BQ223/BP223</f>
        <v>0.92525168742371533</v>
      </c>
      <c r="BR226" s="338">
        <f t="shared" si="482"/>
        <v>1.0091195570443203</v>
      </c>
      <c r="BS226" s="338">
        <f t="shared" si="482"/>
        <v>1.4220412400426905</v>
      </c>
      <c r="BT226" s="339">
        <f t="shared" si="482"/>
        <v>0.90512472160572011</v>
      </c>
      <c r="BU226" s="372">
        <f>+BU223/BT223</f>
        <v>0.95992637488008925</v>
      </c>
      <c r="BV226" s="338">
        <f t="shared" si="482"/>
        <v>0.89676168259418632</v>
      </c>
      <c r="BW226" s="338">
        <f t="shared" si="482"/>
        <v>0.73827623944224408</v>
      </c>
      <c r="BX226" s="339">
        <f t="shared" si="482"/>
        <v>1.2341957468819638</v>
      </c>
      <c r="BY226" s="372">
        <f>+BY223/BX223</f>
        <v>1.2063407843276044</v>
      </c>
      <c r="BZ226" s="338">
        <f t="shared" ref="BZ226" si="483">+BZ223/BY223</f>
        <v>0.92863321520309694</v>
      </c>
      <c r="CA226" s="338">
        <f t="shared" ref="CA226" si="484">+CA223/BZ223</f>
        <v>1.090054996918536</v>
      </c>
      <c r="CB226" s="339">
        <f t="shared" ref="CB226" si="485">+CB223/CA223</f>
        <v>1.2932136876859948</v>
      </c>
      <c r="CC226" s="372">
        <f t="shared" si="482"/>
        <v>0.75637739234012125</v>
      </c>
      <c r="CD226" s="338">
        <f t="shared" si="482"/>
        <v>0.92792333629544776</v>
      </c>
      <c r="CE226" s="338">
        <f t="shared" si="482"/>
        <v>1.0910203448263811</v>
      </c>
      <c r="CF226" s="339">
        <f t="shared" si="482"/>
        <v>1.29609458271906</v>
      </c>
      <c r="CG226" s="337"/>
      <c r="CH226" s="367"/>
      <c r="CI226" s="336"/>
      <c r="CJ226" s="328"/>
      <c r="CK226" s="328"/>
      <c r="CL226" s="328"/>
      <c r="CM226" s="328"/>
      <c r="CN226" s="328"/>
      <c r="CO226" s="328"/>
      <c r="CP226" s="328"/>
      <c r="CQ226" s="328"/>
      <c r="CR226" s="328"/>
      <c r="CS226" s="328"/>
      <c r="CT226" s="328"/>
      <c r="CU226" s="328"/>
      <c r="CV226" s="328"/>
      <c r="CW226" s="328"/>
      <c r="CX226" s="328"/>
      <c r="CY226" s="328"/>
      <c r="CZ226" s="338"/>
      <c r="DA226" s="338"/>
      <c r="DB226" s="338"/>
      <c r="DC226" s="338"/>
      <c r="DD226" s="338"/>
      <c r="DE226" s="338"/>
      <c r="DF226" s="339"/>
    </row>
    <row r="227" spans="1:113" s="78" customFormat="1" ht="11.25" customHeight="1">
      <c r="A227" s="24"/>
      <c r="B227"/>
      <c r="C227"/>
      <c r="D227"/>
      <c r="E227"/>
      <c r="F227"/>
      <c r="G227"/>
      <c r="H227" s="1044"/>
      <c r="I227" s="194"/>
      <c r="J227" s="74"/>
      <c r="K227" s="74"/>
      <c r="L227" s="75"/>
      <c r="M227" s="439"/>
      <c r="N227" s="439"/>
      <c r="O227" s="439"/>
      <c r="P227" s="370"/>
      <c r="Q227" s="439"/>
      <c r="R227" s="439"/>
      <c r="S227" s="439"/>
      <c r="T227" s="370"/>
      <c r="U227" s="360"/>
      <c r="V227" s="360"/>
      <c r="W227" s="360"/>
      <c r="X227" s="369"/>
      <c r="Y227" s="360"/>
      <c r="Z227" s="360"/>
      <c r="AA227" s="360"/>
      <c r="AB227" s="369"/>
      <c r="AC227" s="360"/>
      <c r="AD227" s="360"/>
      <c r="AE227" s="360"/>
      <c r="AF227" s="369"/>
      <c r="AG227" s="360"/>
      <c r="AH227" s="360"/>
      <c r="AI227" s="360"/>
      <c r="AJ227" s="369"/>
      <c r="AK227" s="384"/>
      <c r="AL227" s="328"/>
      <c r="AM227" s="328"/>
      <c r="AN227" s="329"/>
      <c r="AO227" s="328"/>
      <c r="AP227" s="328"/>
      <c r="AQ227" s="328"/>
      <c r="AR227" s="329"/>
      <c r="AS227" s="328"/>
      <c r="AT227" s="328"/>
      <c r="AU227" s="328"/>
      <c r="AV227" s="329"/>
      <c r="AW227" s="328"/>
      <c r="AX227" s="326">
        <v>38.424999999999997</v>
      </c>
      <c r="AY227" s="357">
        <f>+AX227-293.617</f>
        <v>-255.19200000000001</v>
      </c>
      <c r="AZ227" s="329"/>
      <c r="BA227" s="328"/>
      <c r="BB227" s="328"/>
      <c r="BC227" s="328"/>
      <c r="BD227" s="329"/>
      <c r="BE227" s="328"/>
      <c r="BF227" s="328"/>
      <c r="BG227" s="328"/>
      <c r="BH227" s="329"/>
      <c r="BI227" s="328"/>
      <c r="BJ227" s="328"/>
      <c r="BK227" s="328"/>
      <c r="BL227" s="329"/>
      <c r="BM227" s="328"/>
      <c r="BN227" s="328"/>
      <c r="BO227" s="328"/>
      <c r="BP227" s="328"/>
      <c r="BQ227" s="340"/>
      <c r="BR227" s="354"/>
      <c r="BS227" s="354"/>
      <c r="BT227" s="355"/>
      <c r="BU227" s="2001"/>
      <c r="BV227" s="354"/>
      <c r="BW227" s="354"/>
      <c r="BX227" s="355"/>
      <c r="BY227" s="2001"/>
      <c r="BZ227" s="354"/>
      <c r="CA227" s="354"/>
      <c r="CB227" s="355"/>
      <c r="CC227" s="340"/>
      <c r="CD227" s="354"/>
      <c r="CE227" s="354"/>
      <c r="CF227" s="355"/>
      <c r="CG227" s="370"/>
      <c r="CH227" s="440"/>
      <c r="CI227" s="439"/>
      <c r="CJ227" s="360"/>
      <c r="CK227" s="360"/>
      <c r="CL227" s="360"/>
      <c r="CM227" s="360"/>
      <c r="CN227" s="384"/>
      <c r="CO227" s="384"/>
      <c r="CP227" s="384"/>
      <c r="CQ227" s="384"/>
      <c r="CR227" s="384"/>
      <c r="CS227" s="384"/>
      <c r="CT227" s="384"/>
      <c r="CU227" s="384"/>
      <c r="CV227" s="384"/>
      <c r="CW227" s="384"/>
      <c r="CX227" s="384"/>
      <c r="CY227" s="384"/>
      <c r="CZ227" s="354"/>
      <c r="DA227" s="354"/>
      <c r="DB227" s="354"/>
      <c r="DC227" s="354"/>
      <c r="DD227" s="354"/>
      <c r="DE227" s="354"/>
      <c r="DF227" s="355"/>
    </row>
    <row r="228" spans="1:113" s="3" customFormat="1" ht="11.25" hidden="1" customHeight="1" outlineLevel="1">
      <c r="A228" s="8"/>
      <c r="B228"/>
      <c r="C228"/>
      <c r="D228"/>
      <c r="E228"/>
      <c r="F228"/>
      <c r="G228"/>
      <c r="H228" s="1052"/>
      <c r="I228" s="195" t="s">
        <v>179</v>
      </c>
      <c r="J228" s="135"/>
      <c r="K228" s="135"/>
      <c r="L228" s="8"/>
      <c r="M228" s="361"/>
      <c r="N228" s="361"/>
      <c r="O228" s="361"/>
      <c r="P228" s="362"/>
      <c r="Q228" s="361"/>
      <c r="R228" s="361"/>
      <c r="S228" s="361"/>
      <c r="T228" s="362"/>
      <c r="U228" s="363"/>
      <c r="V228" s="363"/>
      <c r="W228" s="363"/>
      <c r="X228" s="364"/>
      <c r="Y228" s="363"/>
      <c r="Z228" s="363"/>
      <c r="AA228" s="363"/>
      <c r="AB228" s="364"/>
      <c r="AC228" s="363"/>
      <c r="AD228" s="363"/>
      <c r="AE228" s="363"/>
      <c r="AF228" s="364"/>
      <c r="AG228" s="363"/>
      <c r="AH228" s="363"/>
      <c r="AI228" s="363"/>
      <c r="AJ228" s="364"/>
      <c r="AK228" s="363"/>
      <c r="AL228" s="363"/>
      <c r="AM228" s="363"/>
      <c r="AN228" s="364"/>
      <c r="AO228" s="363"/>
      <c r="AP228" s="363"/>
      <c r="AQ228" s="363"/>
      <c r="AR228" s="364"/>
      <c r="AS228" s="363"/>
      <c r="AT228" s="363"/>
      <c r="AU228" s="363"/>
      <c r="AV228" s="364"/>
      <c r="AW228" s="428"/>
      <c r="AX228" s="428"/>
      <c r="AY228" s="428"/>
      <c r="AZ228" s="364"/>
      <c r="BA228" s="363"/>
      <c r="BB228" s="363"/>
      <c r="BC228" s="363"/>
      <c r="BD228" s="364"/>
      <c r="BE228" s="363"/>
      <c r="BF228" s="363"/>
      <c r="BG228" s="363"/>
      <c r="BH228" s="364"/>
      <c r="BI228" s="363"/>
      <c r="BJ228" s="363"/>
      <c r="BK228" s="363"/>
      <c r="BL228" s="364"/>
      <c r="BM228" s="363"/>
      <c r="BN228" s="363"/>
      <c r="BO228" s="363"/>
      <c r="BP228" s="363"/>
      <c r="BQ228" s="1565"/>
      <c r="BR228" s="363"/>
      <c r="BS228" s="363"/>
      <c r="BT228" s="364"/>
      <c r="BU228" s="1565"/>
      <c r="BV228" s="363"/>
      <c r="BW228" s="363"/>
      <c r="BX228" s="364"/>
      <c r="BY228" s="1565"/>
      <c r="BZ228" s="363"/>
      <c r="CA228" s="363"/>
      <c r="CB228" s="364"/>
      <c r="CC228" s="1565"/>
      <c r="CD228" s="363"/>
      <c r="CE228" s="363"/>
      <c r="CF228" s="364"/>
      <c r="CG228" s="362"/>
      <c r="CH228" s="366"/>
      <c r="CI228" s="361"/>
      <c r="CJ228" s="363"/>
      <c r="CK228" s="363"/>
      <c r="CL228" s="411"/>
      <c r="CM228" s="363"/>
      <c r="CN228" s="363"/>
      <c r="CO228" s="363"/>
      <c r="CP228" s="428"/>
      <c r="CQ228" s="345"/>
      <c r="CR228" s="345"/>
      <c r="CS228" s="345"/>
      <c r="CT228" s="429"/>
      <c r="CU228" s="429"/>
      <c r="CV228" s="429"/>
      <c r="CW228" s="429"/>
      <c r="CX228" s="429"/>
      <c r="CY228" s="429"/>
      <c r="CZ228" s="363"/>
      <c r="DA228" s="363"/>
      <c r="DB228" s="363"/>
      <c r="DC228" s="363"/>
      <c r="DD228" s="363"/>
      <c r="DE228" s="363"/>
      <c r="DF228" s="364"/>
      <c r="DG228" s="1470"/>
      <c r="DH228" s="1470"/>
    </row>
    <row r="229" spans="1:113" s="51" customFormat="1" ht="11.25" hidden="1" customHeight="1" outlineLevel="1">
      <c r="A229" s="82"/>
      <c r="B229"/>
      <c r="C229"/>
      <c r="D229"/>
      <c r="E229"/>
      <c r="F229"/>
      <c r="G229"/>
      <c r="H229" s="1044"/>
      <c r="I229" s="193" t="s">
        <v>180</v>
      </c>
      <c r="J229" s="83"/>
      <c r="K229" s="83"/>
      <c r="L229" s="82"/>
      <c r="M229" s="336"/>
      <c r="N229" s="336"/>
      <c r="O229" s="336"/>
      <c r="P229" s="337"/>
      <c r="Q229" s="336"/>
      <c r="R229" s="336"/>
      <c r="S229" s="336"/>
      <c r="T229" s="337"/>
      <c r="U229" s="328"/>
      <c r="V229" s="328"/>
      <c r="W229" s="328"/>
      <c r="X229" s="329"/>
      <c r="Y229" s="328"/>
      <c r="Z229" s="328"/>
      <c r="AA229" s="328"/>
      <c r="AB229" s="329"/>
      <c r="AC229" s="328"/>
      <c r="AD229" s="328"/>
      <c r="AE229" s="328"/>
      <c r="AF229" s="329"/>
      <c r="AG229" s="328"/>
      <c r="AH229" s="328"/>
      <c r="AI229" s="328"/>
      <c r="AJ229" s="329"/>
      <c r="AK229" s="338">
        <f>+AK213/'Bookings and Drivers'!AK56</f>
        <v>0.16828898157054908</v>
      </c>
      <c r="AL229" s="338">
        <f>+AL213/'Bookings and Drivers'!AL56</f>
        <v>0.17082790803767434</v>
      </c>
      <c r="AM229" s="338">
        <f>+AM213/'Bookings and Drivers'!AM56</f>
        <v>0.17311471453525787</v>
      </c>
      <c r="AN229" s="339">
        <f>+AN213/'Bookings and Drivers'!AN56</f>
        <v>0.17939140431109504</v>
      </c>
      <c r="AO229" s="338">
        <f>+AO213/'Bookings and Drivers'!AO56</f>
        <v>0.17454306623100752</v>
      </c>
      <c r="AP229" s="338">
        <f>+AP213/'Bookings and Drivers'!AP56</f>
        <v>0.16893167672906137</v>
      </c>
      <c r="AQ229" s="338">
        <f>+AQ213/'Bookings and Drivers'!AQ56</f>
        <v>0.17794339832116124</v>
      </c>
      <c r="AR229" s="339">
        <f>+AR213/'Bookings and Drivers'!AR56</f>
        <v>0.18594918188617618</v>
      </c>
      <c r="AS229" s="338">
        <f>+AS213/'Bookings and Drivers'!AS56</f>
        <v>0.18018351778903266</v>
      </c>
      <c r="AT229" s="338">
        <f>+AT213/'Bookings and Drivers'!AT56</f>
        <v>0.17294470453495148</v>
      </c>
      <c r="AU229" s="338">
        <f>+AU213/'Bookings and Drivers'!AU56</f>
        <v>0.17955705858915677</v>
      </c>
      <c r="AV229" s="339">
        <f>+AV213/'Bookings and Drivers'!AV56</f>
        <v>0.18496050849374143</v>
      </c>
      <c r="AW229" s="338">
        <f>+AW213/'Bookings and Drivers'!AW56</f>
        <v>0.18481026848477503</v>
      </c>
      <c r="AX229" s="338">
        <f>+AX213/'Bookings and Drivers'!AX56</f>
        <v>0.17974047975898777</v>
      </c>
      <c r="AY229" s="338">
        <f>+AY213/'Bookings and Drivers'!AY56</f>
        <v>0.2142776158319537</v>
      </c>
      <c r="AZ229" s="339">
        <f>+AZ213/'Bookings and Drivers'!AZ56</f>
        <v>0.20588079054092659</v>
      </c>
      <c r="BA229" s="338">
        <f>+BA213/'Bookings and Drivers'!BA56</f>
        <v>0.20600957905888398</v>
      </c>
      <c r="BB229" s="338">
        <f>+BB213/'Bookings and Drivers'!BB56</f>
        <v>0.18514671700512328</v>
      </c>
      <c r="BC229" s="338">
        <f>+BC213/'Bookings and Drivers'!BC56</f>
        <v>0.2494343120737478</v>
      </c>
      <c r="BD229" s="339">
        <f>+BD213/'Bookings and Drivers'!BD56</f>
        <v>0.23556694389129684</v>
      </c>
      <c r="BE229" s="338">
        <f>+BE213/'Bookings and Drivers'!BE56</f>
        <v>0.23123796857300594</v>
      </c>
      <c r="BF229" s="338">
        <f>+BF213/'Bookings and Drivers'!BF56</f>
        <v>0.22520167605358882</v>
      </c>
      <c r="BG229" s="338">
        <f>+BG213/'Bookings and Drivers'!BG56</f>
        <v>0.31461266350563305</v>
      </c>
      <c r="BH229" s="339">
        <f>+BH213/'Bookings and Drivers'!BH56</f>
        <v>0.2295613637988137</v>
      </c>
      <c r="BI229" s="338">
        <f>+BI213/'Bookings and Drivers'!BI56</f>
        <v>0.20824121101719167</v>
      </c>
      <c r="BJ229" s="338">
        <f>+BJ213/'Bookings and Drivers'!BJ56</f>
        <v>0.22645602681524385</v>
      </c>
      <c r="BK229" s="338">
        <f>+BK213/'Bookings and Drivers'!BK56</f>
        <v>0.41806283214078721</v>
      </c>
      <c r="BL229" s="339">
        <f>+BL213/'Bookings and Drivers'!BL56</f>
        <v>0.271893273253626</v>
      </c>
      <c r="BM229" s="338">
        <f>+BM213/'Bookings and Drivers'!BM56</f>
        <v>0.27818509326263041</v>
      </c>
      <c r="BN229" s="338">
        <f>+BN213/'Bookings and Drivers'!BN56</f>
        <v>0.26924828844814486</v>
      </c>
      <c r="BO229" s="338">
        <f>+BO213/'Bookings and Drivers'!BO56</f>
        <v>0.72413519724037867</v>
      </c>
      <c r="BP229" s="338">
        <f>+BP213/'Bookings and Drivers'!BP56</f>
        <v>0.49932211934646153</v>
      </c>
      <c r="BQ229" s="372">
        <f>+BQ213/'Bookings and Drivers'!BQ56</f>
        <v>0.50617390930459061</v>
      </c>
      <c r="BR229" s="338">
        <f>+BR213/'Bookings and Drivers'!BR56</f>
        <v>0.40626724325112118</v>
      </c>
      <c r="BS229" s="338">
        <f>+BS213/'Bookings and Drivers'!BS56</f>
        <v>1.52387624221921</v>
      </c>
      <c r="BT229" s="339">
        <f>+BT213/'Bookings and Drivers'!BT56</f>
        <v>3.1727629768054557</v>
      </c>
      <c r="BU229" s="372">
        <f>+BU213/'Bookings and Drivers'!BU56</f>
        <v>0.60314471267891046</v>
      </c>
      <c r="BV229" s="338">
        <f>+BV213/'Bookings and Drivers'!BV56</f>
        <v>0.54152333484506254</v>
      </c>
      <c r="BW229" s="338">
        <f>+BW213/'Bookings and Drivers'!BW56</f>
        <v>3.0713188652146304</v>
      </c>
      <c r="BX229" s="339">
        <f>+BX213/'Bookings and Drivers'!BX56</f>
        <v>3.7190344874232144</v>
      </c>
      <c r="BY229" s="372">
        <f>+BY213/'Bookings and Drivers'!BY56</f>
        <v>0.17901570564688662</v>
      </c>
      <c r="BZ229" s="338">
        <f>+BZ213/'Bookings and Drivers'!BZ56</f>
        <v>0.2067473025668923</v>
      </c>
      <c r="CA229" s="338">
        <f>+CA213/'Bookings and Drivers'!CA56</f>
        <v>5.2785304585029627</v>
      </c>
      <c r="CB229" s="339">
        <f>+CB213/'Bookings and Drivers'!CB56</f>
        <v>8.2079149102246713</v>
      </c>
      <c r="CC229" s="372">
        <f>+CC213/'Bookings and Drivers'!CC56</f>
        <v>0.19268570096133339</v>
      </c>
      <c r="CD229" s="338">
        <f>+CD213/'Bookings and Drivers'!CD56</f>
        <v>0.22461762181653031</v>
      </c>
      <c r="CE229" s="338">
        <f>+CE213/'Bookings and Drivers'!CE56</f>
        <v>6.9017439983176532</v>
      </c>
      <c r="CF229" s="339">
        <f>+CF213/'Bookings and Drivers'!CF56</f>
        <v>10.808391487217243</v>
      </c>
      <c r="CG229" s="337"/>
      <c r="CH229" s="367"/>
      <c r="CI229" s="336"/>
      <c r="CJ229" s="328"/>
      <c r="CK229" s="328"/>
      <c r="CL229" s="328"/>
      <c r="CM229" s="328"/>
      <c r="CN229" s="338">
        <f>+CN213/'Bookings and Drivers'!CN56</f>
        <v>0.17096208263046755</v>
      </c>
      <c r="CO229" s="338">
        <f>+CO213/'Bookings and Drivers'!CO56</f>
        <v>0.17637700397846537</v>
      </c>
      <c r="CP229" s="338">
        <f>+CP213/'Bookings and Drivers'!CP56</f>
        <v>0.1791315964466757</v>
      </c>
      <c r="CQ229" s="338">
        <f>+CQ213/'Bookings and Drivers'!CQ56</f>
        <v>0.19643021143704939</v>
      </c>
      <c r="CR229" s="338">
        <f>+CR213/'Bookings and Drivers'!CR56</f>
        <v>0.21839148188811935</v>
      </c>
      <c r="CS229" s="338">
        <f>+CS213/'Bookings and Drivers'!CS56</f>
        <v>0.24953847793566608</v>
      </c>
      <c r="CT229" s="338">
        <f>+CT213/'Bookings and Drivers'!CT56</f>
        <v>0.27321130471158428</v>
      </c>
      <c r="CU229" s="338">
        <f>+CU213/'Bookings and Drivers'!CU56</f>
        <v>0.38917031805111724</v>
      </c>
      <c r="CV229" s="338">
        <f>+CV213/'Bookings and Drivers'!CV56</f>
        <v>0.82338161714514857</v>
      </c>
      <c r="CW229" s="338">
        <f>+CW213/'Bookings and Drivers'!CW56</f>
        <v>1.3552397763304354</v>
      </c>
      <c r="CX229" s="338">
        <f>+CX213/'Bookings and Drivers'!CX56</f>
        <v>1.896485891645586</v>
      </c>
      <c r="CY229" s="338">
        <f>+CY213/'Bookings and Drivers'!CY56</f>
        <v>2.4541842883006755</v>
      </c>
      <c r="CZ229" s="338">
        <f>+CZ213/'Bookings and Drivers'!CZ56</f>
        <v>3.1998104451840654</v>
      </c>
      <c r="DA229" s="338">
        <f>+DA213/'Bookings and Drivers'!DA56</f>
        <v>4.127880729440613</v>
      </c>
      <c r="DB229" s="338">
        <f>+DB213/'Bookings and Drivers'!DB56</f>
        <v>4.6926972923133263</v>
      </c>
      <c r="DC229" s="338">
        <f>+DC213/'Bookings and Drivers'!DC56</f>
        <v>5.3359917531765069</v>
      </c>
      <c r="DD229" s="338">
        <f>+DD213/'Bookings and Drivers'!DD56</f>
        <v>6.0685799454223037</v>
      </c>
      <c r="DE229" s="338">
        <f>+DE213/'Bookings and Drivers'!DE56</f>
        <v>6.9027589373018268</v>
      </c>
      <c r="DF229" s="339">
        <f>+DF213/'Bookings and Drivers'!DF56</f>
        <v>7.8525088769885683</v>
      </c>
      <c r="DG229" s="308"/>
      <c r="DH229" s="308"/>
    </row>
    <row r="230" spans="1:113" s="49" customFormat="1" ht="11.25" hidden="1" customHeight="1" outlineLevel="1">
      <c r="A230" s="48"/>
      <c r="B230"/>
      <c r="C230"/>
      <c r="D230"/>
      <c r="E230"/>
      <c r="F230"/>
      <c r="G230"/>
      <c r="H230" s="1044"/>
      <c r="I230" s="188" t="s">
        <v>384</v>
      </c>
      <c r="J230" s="85"/>
      <c r="K230" s="85"/>
      <c r="L230" s="48"/>
      <c r="M230" s="350"/>
      <c r="N230" s="350"/>
      <c r="O230" s="350"/>
      <c r="P230" s="351"/>
      <c r="Q230" s="350"/>
      <c r="R230" s="350"/>
      <c r="S230" s="350"/>
      <c r="T230" s="351"/>
      <c r="U230" s="352"/>
      <c r="V230" s="352"/>
      <c r="W230" s="352"/>
      <c r="X230" s="353"/>
      <c r="Y230" s="352"/>
      <c r="Z230" s="352"/>
      <c r="AA230" s="352"/>
      <c r="AB230" s="353"/>
      <c r="AC230" s="352"/>
      <c r="AD230" s="352"/>
      <c r="AE230" s="352"/>
      <c r="AF230" s="353"/>
      <c r="AG230" s="352"/>
      <c r="AH230" s="352"/>
      <c r="AI230" s="352"/>
      <c r="AJ230" s="353"/>
      <c r="AK230" s="352"/>
      <c r="AL230" s="352"/>
      <c r="AM230" s="352"/>
      <c r="AN230" s="353"/>
      <c r="AO230" s="354">
        <f t="shared" ref="AO230:CF230" si="486">+(AO229-AK229)*10000</f>
        <v>62.54084660458431</v>
      </c>
      <c r="AP230" s="354">
        <f t="shared" si="486"/>
        <v>-18.962313086129669</v>
      </c>
      <c r="AQ230" s="354">
        <f t="shared" si="486"/>
        <v>48.286837859033703</v>
      </c>
      <c r="AR230" s="355">
        <f t="shared" si="486"/>
        <v>65.577775750811355</v>
      </c>
      <c r="AS230" s="354">
        <f t="shared" si="486"/>
        <v>56.404515580251449</v>
      </c>
      <c r="AT230" s="354">
        <f t="shared" si="486"/>
        <v>40.130278058901069</v>
      </c>
      <c r="AU230" s="354">
        <f t="shared" si="486"/>
        <v>16.136602679955313</v>
      </c>
      <c r="AV230" s="355">
        <f t="shared" si="486"/>
        <v>-9.8867339243474675</v>
      </c>
      <c r="AW230" s="354">
        <f t="shared" si="486"/>
        <v>46.267506957423656</v>
      </c>
      <c r="AX230" s="354">
        <f t="shared" si="486"/>
        <v>67.957752240362936</v>
      </c>
      <c r="AY230" s="354">
        <f t="shared" si="486"/>
        <v>347.20557242796934</v>
      </c>
      <c r="AZ230" s="355">
        <f t="shared" si="486"/>
        <v>209.20282047185157</v>
      </c>
      <c r="BA230" s="354">
        <f t="shared" si="486"/>
        <v>211.99310574108955</v>
      </c>
      <c r="BB230" s="354">
        <f t="shared" si="486"/>
        <v>54.062372461355089</v>
      </c>
      <c r="BC230" s="354">
        <f t="shared" si="486"/>
        <v>351.566962417941</v>
      </c>
      <c r="BD230" s="355">
        <f t="shared" si="486"/>
        <v>296.86153350370256</v>
      </c>
      <c r="BE230" s="354">
        <f t="shared" si="486"/>
        <v>252.28389514121957</v>
      </c>
      <c r="BF230" s="354">
        <f t="shared" si="486"/>
        <v>400.54959048465537</v>
      </c>
      <c r="BG230" s="354">
        <f t="shared" si="486"/>
        <v>651.78351431885244</v>
      </c>
      <c r="BH230" s="355">
        <f t="shared" si="486"/>
        <v>-60.055800924831424</v>
      </c>
      <c r="BI230" s="354">
        <f t="shared" si="486"/>
        <v>-229.96757555814261</v>
      </c>
      <c r="BJ230" s="354">
        <f t="shared" si="486"/>
        <v>12.54350761655032</v>
      </c>
      <c r="BK230" s="354">
        <f t="shared" si="486"/>
        <v>1034.5016863515416</v>
      </c>
      <c r="BL230" s="355">
        <f t="shared" si="486"/>
        <v>423.31909454812302</v>
      </c>
      <c r="BM230" s="354">
        <f t="shared" si="486"/>
        <v>699.43882245438738</v>
      </c>
      <c r="BN230" s="354">
        <f t="shared" si="486"/>
        <v>427.92261632901005</v>
      </c>
      <c r="BO230" s="354">
        <f t="shared" si="486"/>
        <v>3060.7236509959148</v>
      </c>
      <c r="BP230" s="354">
        <f t="shared" si="486"/>
        <v>2274.2884609283556</v>
      </c>
      <c r="BQ230" s="1511">
        <f t="shared" si="486"/>
        <v>2279.8881604196022</v>
      </c>
      <c r="BR230" s="354">
        <f t="shared" si="486"/>
        <v>1370.1895480297633</v>
      </c>
      <c r="BS230" s="354">
        <f t="shared" si="486"/>
        <v>7997.4104497883136</v>
      </c>
      <c r="BT230" s="355">
        <f t="shared" si="486"/>
        <v>26734.408574589943</v>
      </c>
      <c r="BU230" s="1511">
        <f t="shared" si="486"/>
        <v>969.70803374319848</v>
      </c>
      <c r="BV230" s="354">
        <f t="shared" si="486"/>
        <v>1352.5609159394137</v>
      </c>
      <c r="BW230" s="354">
        <f t="shared" si="486"/>
        <v>15474.426229954204</v>
      </c>
      <c r="BX230" s="355">
        <f t="shared" si="486"/>
        <v>5462.7151061775867</v>
      </c>
      <c r="BY230" s="1511">
        <f t="shared" si="486"/>
        <v>-4241.2900703202386</v>
      </c>
      <c r="BZ230" s="354">
        <f t="shared" si="486"/>
        <v>-3347.7603227817021</v>
      </c>
      <c r="CA230" s="354">
        <f t="shared" si="486"/>
        <v>22072.115932883324</v>
      </c>
      <c r="CB230" s="355">
        <f t="shared" si="486"/>
        <v>44888.804228014567</v>
      </c>
      <c r="CC230" s="1511">
        <f t="shared" si="486"/>
        <v>136.69995314446766</v>
      </c>
      <c r="CD230" s="354">
        <f t="shared" si="486"/>
        <v>178.70319249638001</v>
      </c>
      <c r="CE230" s="354">
        <f t="shared" si="486"/>
        <v>16232.135398146906</v>
      </c>
      <c r="CF230" s="355">
        <f t="shared" si="486"/>
        <v>26004.765769925714</v>
      </c>
      <c r="CG230" s="351"/>
      <c r="CH230" s="356"/>
      <c r="CI230" s="350"/>
      <c r="CJ230" s="352"/>
      <c r="CK230" s="352"/>
      <c r="CL230" s="352"/>
      <c r="CM230" s="352"/>
      <c r="CN230" s="352"/>
      <c r="CO230" s="354">
        <f t="shared" ref="CO230:CX230" si="487">+(CO229-CN229)*10000</f>
        <v>54.149213479978144</v>
      </c>
      <c r="CP230" s="354">
        <f t="shared" si="487"/>
        <v>27.545924682103319</v>
      </c>
      <c r="CQ230" s="354">
        <f t="shared" si="487"/>
        <v>172.9861499037369</v>
      </c>
      <c r="CR230" s="354">
        <f t="shared" si="487"/>
        <v>219.61270451069964</v>
      </c>
      <c r="CS230" s="354">
        <f t="shared" si="487"/>
        <v>311.46996047546725</v>
      </c>
      <c r="CT230" s="354">
        <f t="shared" si="487"/>
        <v>236.72826775918199</v>
      </c>
      <c r="CU230" s="354">
        <f t="shared" si="487"/>
        <v>1159.5901333953295</v>
      </c>
      <c r="CV230" s="354">
        <f t="shared" si="487"/>
        <v>4342.1129909403135</v>
      </c>
      <c r="CW230" s="354">
        <f t="shared" si="487"/>
        <v>5318.5815918528679</v>
      </c>
      <c r="CX230" s="354">
        <f t="shared" si="487"/>
        <v>5412.4611531515066</v>
      </c>
      <c r="CY230" s="354">
        <f t="shared" ref="CY230:DF230" si="488">+(CY229-CX229)*10000</f>
        <v>5576.9839665508944</v>
      </c>
      <c r="CZ230" s="354">
        <f t="shared" si="488"/>
        <v>7456.2615688338992</v>
      </c>
      <c r="DA230" s="354">
        <f t="shared" si="488"/>
        <v>9280.7028425654753</v>
      </c>
      <c r="DB230" s="354">
        <f t="shared" si="488"/>
        <v>5648.1656287271335</v>
      </c>
      <c r="DC230" s="354">
        <f t="shared" si="488"/>
        <v>6432.9446086318057</v>
      </c>
      <c r="DD230" s="354">
        <f t="shared" si="488"/>
        <v>7325.8819224579684</v>
      </c>
      <c r="DE230" s="354">
        <f t="shared" si="488"/>
        <v>8341.7899187952298</v>
      </c>
      <c r="DF230" s="355">
        <f t="shared" si="488"/>
        <v>9497.4993968674153</v>
      </c>
      <c r="DG230" s="61"/>
      <c r="DH230" s="61"/>
    </row>
    <row r="231" spans="1:113" s="26" customFormat="1" ht="11.25" hidden="1" customHeight="1" outlineLevel="1">
      <c r="A231" s="24"/>
      <c r="B231"/>
      <c r="C231"/>
      <c r="D231"/>
      <c r="E231"/>
      <c r="F231"/>
      <c r="G231"/>
      <c r="H231" s="1044"/>
      <c r="I231" s="185"/>
      <c r="J231" s="70"/>
      <c r="K231" s="70"/>
      <c r="L231" s="24"/>
      <c r="M231" s="315"/>
      <c r="N231" s="315"/>
      <c r="O231" s="315"/>
      <c r="P231" s="316"/>
      <c r="Q231" s="315"/>
      <c r="R231" s="315"/>
      <c r="S231" s="315"/>
      <c r="T231" s="316"/>
      <c r="U231" s="360"/>
      <c r="V231" s="360"/>
      <c r="W231" s="360"/>
      <c r="X231" s="369"/>
      <c r="Y231" s="360"/>
      <c r="Z231" s="360"/>
      <c r="AA231" s="360"/>
      <c r="AB231" s="369"/>
      <c r="AC231" s="360"/>
      <c r="AD231" s="360"/>
      <c r="AE231" s="360"/>
      <c r="AF231" s="369"/>
      <c r="AG231" s="360"/>
      <c r="AH231" s="360"/>
      <c r="AI231" s="360"/>
      <c r="AJ231" s="369"/>
      <c r="AK231" s="328"/>
      <c r="AL231" s="328"/>
      <c r="AM231" s="328"/>
      <c r="AN231" s="329"/>
      <c r="AO231" s="328"/>
      <c r="AP231" s="328"/>
      <c r="AQ231" s="328"/>
      <c r="AR231" s="329"/>
      <c r="AS231" s="328"/>
      <c r="AT231" s="328"/>
      <c r="AU231" s="328"/>
      <c r="AV231" s="329"/>
      <c r="AW231" s="328"/>
      <c r="AX231" s="328"/>
      <c r="AY231" s="328"/>
      <c r="AZ231" s="329"/>
      <c r="BA231" s="328"/>
      <c r="BB231" s="328"/>
      <c r="BC231" s="328"/>
      <c r="BD231" s="329"/>
      <c r="BE231" s="328"/>
      <c r="BF231" s="328"/>
      <c r="BG231" s="328"/>
      <c r="BH231" s="329"/>
      <c r="BI231" s="321"/>
      <c r="BJ231" s="321"/>
      <c r="BK231" s="321"/>
      <c r="BL231" s="322"/>
      <c r="BM231" s="321"/>
      <c r="BN231" s="321"/>
      <c r="BO231" s="321"/>
      <c r="BP231" s="328"/>
      <c r="BQ231" s="340"/>
      <c r="BR231" s="328"/>
      <c r="BS231" s="328"/>
      <c r="BT231" s="329"/>
      <c r="BU231" s="340"/>
      <c r="BV231" s="328"/>
      <c r="BW231" s="328"/>
      <c r="BX231" s="329"/>
      <c r="BY231" s="340"/>
      <c r="BZ231" s="328"/>
      <c r="CA231" s="328"/>
      <c r="CB231" s="329"/>
      <c r="CC231" s="340"/>
      <c r="CD231" s="328"/>
      <c r="CE231" s="328"/>
      <c r="CF231" s="329"/>
      <c r="CG231" s="316"/>
      <c r="CH231" s="320"/>
      <c r="CI231" s="315"/>
      <c r="CJ231" s="360"/>
      <c r="CK231" s="360"/>
      <c r="CL231" s="360"/>
      <c r="CM231" s="360"/>
      <c r="CN231" s="328"/>
      <c r="CO231" s="328"/>
      <c r="CP231" s="328"/>
      <c r="CQ231" s="328"/>
      <c r="CR231" s="328"/>
      <c r="CS231" s="328"/>
      <c r="CT231" s="328"/>
      <c r="CU231" s="328"/>
      <c r="CV231" s="328"/>
      <c r="CW231" s="328"/>
      <c r="CX231" s="328"/>
      <c r="CY231" s="328"/>
      <c r="CZ231" s="328"/>
      <c r="DA231" s="328"/>
      <c r="DB231" s="328"/>
      <c r="DC231" s="328"/>
      <c r="DD231" s="328"/>
      <c r="DE231" s="328"/>
      <c r="DF231" s="329"/>
      <c r="DG231" s="94"/>
      <c r="DH231" s="94"/>
    </row>
    <row r="232" spans="1:113" s="51" customFormat="1" ht="11.25" customHeight="1" collapsed="1">
      <c r="A232" s="82"/>
      <c r="B232"/>
      <c r="C232"/>
      <c r="D232"/>
      <c r="E232"/>
      <c r="F232"/>
      <c r="G232"/>
      <c r="H232" s="1044"/>
      <c r="I232" s="193" t="s">
        <v>181</v>
      </c>
      <c r="J232" s="83"/>
      <c r="K232" s="83"/>
      <c r="L232" s="82"/>
      <c r="M232" s="336"/>
      <c r="N232" s="336"/>
      <c r="O232" s="336"/>
      <c r="P232" s="337"/>
      <c r="Q232" s="336"/>
      <c r="R232" s="336"/>
      <c r="S232" s="336"/>
      <c r="T232" s="337"/>
      <c r="U232" s="328"/>
      <c r="V232" s="328"/>
      <c r="W232" s="328"/>
      <c r="X232" s="329"/>
      <c r="Y232" s="328"/>
      <c r="Z232" s="328"/>
      <c r="AA232" s="328"/>
      <c r="AB232" s="329"/>
      <c r="AC232" s="328"/>
      <c r="AD232" s="328"/>
      <c r="AE232" s="328"/>
      <c r="AF232" s="329"/>
      <c r="AG232" s="328"/>
      <c r="AH232" s="328"/>
      <c r="AI232" s="328"/>
      <c r="AJ232" s="329"/>
      <c r="AK232" s="328">
        <v>1</v>
      </c>
      <c r="AL232" s="328">
        <v>1</v>
      </c>
      <c r="AM232" s="328">
        <v>1</v>
      </c>
      <c r="AN232" s="329">
        <v>1</v>
      </c>
      <c r="AO232" s="328">
        <v>1</v>
      </c>
      <c r="AP232" s="328">
        <v>1</v>
      </c>
      <c r="AQ232" s="328">
        <v>1</v>
      </c>
      <c r="AR232" s="329">
        <v>1</v>
      </c>
      <c r="AS232" s="328">
        <v>1</v>
      </c>
      <c r="AT232" s="328">
        <v>1</v>
      </c>
      <c r="AU232" s="328">
        <v>1</v>
      </c>
      <c r="AV232" s="329">
        <v>1</v>
      </c>
      <c r="AW232" s="328">
        <v>1</v>
      </c>
      <c r="AX232" s="328">
        <v>1</v>
      </c>
      <c r="AY232" s="328">
        <v>1</v>
      </c>
      <c r="AZ232" s="329">
        <v>1</v>
      </c>
      <c r="BA232" s="328">
        <v>1</v>
      </c>
      <c r="BB232" s="328">
        <v>1</v>
      </c>
      <c r="BC232" s="328">
        <v>1</v>
      </c>
      <c r="BD232" s="329">
        <v>1</v>
      </c>
      <c r="BE232" s="328">
        <v>1</v>
      </c>
      <c r="BF232" s="328">
        <v>1</v>
      </c>
      <c r="BG232" s="328">
        <v>1</v>
      </c>
      <c r="BH232" s="329">
        <v>1</v>
      </c>
      <c r="BI232" s="328">
        <v>1</v>
      </c>
      <c r="BJ232" s="328">
        <v>1</v>
      </c>
      <c r="BK232" s="328">
        <v>1</v>
      </c>
      <c r="BL232" s="329">
        <v>1</v>
      </c>
      <c r="BM232" s="328">
        <v>1</v>
      </c>
      <c r="BN232" s="328">
        <v>1</v>
      </c>
      <c r="BO232" s="328">
        <v>1</v>
      </c>
      <c r="BP232" s="328">
        <v>1</v>
      </c>
      <c r="BQ232" s="340">
        <v>1</v>
      </c>
      <c r="BR232" s="328">
        <v>1</v>
      </c>
      <c r="BS232" s="328">
        <v>1</v>
      </c>
      <c r="BT232" s="329">
        <v>1</v>
      </c>
      <c r="BU232" s="340">
        <v>1</v>
      </c>
      <c r="BV232" s="328">
        <v>1</v>
      </c>
      <c r="BW232" s="328">
        <v>1</v>
      </c>
      <c r="BX232" s="329">
        <v>1</v>
      </c>
      <c r="BY232" s="340">
        <v>1</v>
      </c>
      <c r="BZ232" s="328">
        <v>1</v>
      </c>
      <c r="CA232" s="328">
        <v>1</v>
      </c>
      <c r="CB232" s="329">
        <v>1</v>
      </c>
      <c r="CC232" s="340">
        <v>1</v>
      </c>
      <c r="CD232" s="328">
        <v>1</v>
      </c>
      <c r="CE232" s="328">
        <v>1</v>
      </c>
      <c r="CF232" s="329">
        <v>1</v>
      </c>
      <c r="CG232" s="337"/>
      <c r="CH232" s="367"/>
      <c r="CI232" s="336"/>
      <c r="CJ232" s="328"/>
      <c r="CK232" s="328"/>
      <c r="CL232" s="328"/>
      <c r="CM232" s="328"/>
      <c r="CN232" s="328">
        <v>1</v>
      </c>
      <c r="CO232" s="328">
        <v>1</v>
      </c>
      <c r="CP232" s="328">
        <v>1</v>
      </c>
      <c r="CQ232" s="338">
        <f t="shared" ref="CQ232:CY232" si="489">+CQ214/CQ180</f>
        <v>1</v>
      </c>
      <c r="CR232" s="338">
        <f t="shared" si="489"/>
        <v>1</v>
      </c>
      <c r="CS232" s="338">
        <f t="shared" si="489"/>
        <v>1</v>
      </c>
      <c r="CT232" s="338">
        <f t="shared" si="489"/>
        <v>1</v>
      </c>
      <c r="CU232" s="338">
        <f t="shared" si="489"/>
        <v>1</v>
      </c>
      <c r="CV232" s="338">
        <f t="shared" si="489"/>
        <v>1</v>
      </c>
      <c r="CW232" s="338">
        <f t="shared" si="489"/>
        <v>1</v>
      </c>
      <c r="CX232" s="338">
        <f t="shared" si="489"/>
        <v>1</v>
      </c>
      <c r="CY232" s="338">
        <f t="shared" si="489"/>
        <v>1</v>
      </c>
      <c r="CZ232" s="461">
        <f t="shared" ref="CZ232:DF233" si="490">+CY232</f>
        <v>1</v>
      </c>
      <c r="DA232" s="461">
        <f t="shared" si="490"/>
        <v>1</v>
      </c>
      <c r="DB232" s="461">
        <f t="shared" si="490"/>
        <v>1</v>
      </c>
      <c r="DC232" s="461">
        <f t="shared" si="490"/>
        <v>1</v>
      </c>
      <c r="DD232" s="461">
        <f t="shared" si="490"/>
        <v>1</v>
      </c>
      <c r="DE232" s="461">
        <f t="shared" si="490"/>
        <v>1</v>
      </c>
      <c r="DF232" s="462">
        <f t="shared" si="490"/>
        <v>1</v>
      </c>
      <c r="DG232" s="308"/>
      <c r="DH232" s="308"/>
    </row>
    <row r="233" spans="1:113" s="51" customFormat="1" ht="11.25" customHeight="1">
      <c r="A233" s="82"/>
      <c r="B233"/>
      <c r="C233"/>
      <c r="D233"/>
      <c r="E233"/>
      <c r="F233"/>
      <c r="G233"/>
      <c r="H233" s="1044"/>
      <c r="I233" s="193" t="s">
        <v>182</v>
      </c>
      <c r="J233" s="83"/>
      <c r="K233" s="83"/>
      <c r="L233" s="82"/>
      <c r="M233" s="336"/>
      <c r="N233" s="336"/>
      <c r="O233" s="336"/>
      <c r="P233" s="337"/>
      <c r="Q233" s="336"/>
      <c r="R233" s="336"/>
      <c r="S233" s="336"/>
      <c r="T233" s="337"/>
      <c r="U233" s="328"/>
      <c r="V233" s="328"/>
      <c r="W233" s="328"/>
      <c r="X233" s="329"/>
      <c r="Y233" s="328"/>
      <c r="Z233" s="328"/>
      <c r="AA233" s="328"/>
      <c r="AB233" s="329"/>
      <c r="AC233" s="328"/>
      <c r="AD233" s="328"/>
      <c r="AE233" s="328"/>
      <c r="AF233" s="329"/>
      <c r="AG233" s="328"/>
      <c r="AH233" s="328"/>
      <c r="AI233" s="328"/>
      <c r="AJ233" s="329"/>
      <c r="AK233" s="328">
        <v>1</v>
      </c>
      <c r="AL233" s="328">
        <v>1</v>
      </c>
      <c r="AM233" s="328">
        <v>1</v>
      </c>
      <c r="AN233" s="329">
        <v>1</v>
      </c>
      <c r="AO233" s="328">
        <v>1</v>
      </c>
      <c r="AP233" s="328">
        <v>1</v>
      </c>
      <c r="AQ233" s="328">
        <v>1</v>
      </c>
      <c r="AR233" s="329">
        <v>1</v>
      </c>
      <c r="AS233" s="328">
        <v>1</v>
      </c>
      <c r="AT233" s="328">
        <v>1</v>
      </c>
      <c r="AU233" s="328">
        <v>1</v>
      </c>
      <c r="AV233" s="329">
        <v>1</v>
      </c>
      <c r="AW233" s="328">
        <v>1</v>
      </c>
      <c r="AX233" s="328">
        <v>1</v>
      </c>
      <c r="AY233" s="328">
        <v>1</v>
      </c>
      <c r="AZ233" s="329">
        <v>1</v>
      </c>
      <c r="BA233" s="328">
        <v>1</v>
      </c>
      <c r="BB233" s="328">
        <v>1</v>
      </c>
      <c r="BC233" s="328">
        <v>1</v>
      </c>
      <c r="BD233" s="329">
        <v>1</v>
      </c>
      <c r="BE233" s="328">
        <v>1</v>
      </c>
      <c r="BF233" s="328">
        <v>1</v>
      </c>
      <c r="BG233" s="328">
        <v>1</v>
      </c>
      <c r="BH233" s="329">
        <v>1</v>
      </c>
      <c r="BI233" s="328">
        <v>1</v>
      </c>
      <c r="BJ233" s="328">
        <v>1</v>
      </c>
      <c r="BK233" s="328">
        <v>1</v>
      </c>
      <c r="BL233" s="329">
        <v>1</v>
      </c>
      <c r="BM233" s="328">
        <v>1</v>
      </c>
      <c r="BN233" s="328">
        <v>1</v>
      </c>
      <c r="BO233" s="328">
        <v>1</v>
      </c>
      <c r="BP233" s="328">
        <v>1</v>
      </c>
      <c r="BQ233" s="340">
        <v>1</v>
      </c>
      <c r="BR233" s="328">
        <v>1</v>
      </c>
      <c r="BS233" s="328">
        <v>1</v>
      </c>
      <c r="BT233" s="329">
        <v>1</v>
      </c>
      <c r="BU233" s="340">
        <v>1</v>
      </c>
      <c r="BV233" s="328">
        <v>1</v>
      </c>
      <c r="BW233" s="328">
        <v>1</v>
      </c>
      <c r="BX233" s="329">
        <v>1</v>
      </c>
      <c r="BY233" s="340">
        <v>1</v>
      </c>
      <c r="BZ233" s="328">
        <v>1</v>
      </c>
      <c r="CA233" s="328">
        <v>1</v>
      </c>
      <c r="CB233" s="329">
        <v>1</v>
      </c>
      <c r="CC233" s="340">
        <v>1</v>
      </c>
      <c r="CD233" s="328">
        <v>1</v>
      </c>
      <c r="CE233" s="328">
        <v>1</v>
      </c>
      <c r="CF233" s="329">
        <v>1</v>
      </c>
      <c r="CG233" s="337"/>
      <c r="CH233" s="367"/>
      <c r="CI233" s="336"/>
      <c r="CJ233" s="328"/>
      <c r="CK233" s="328"/>
      <c r="CL233" s="328"/>
      <c r="CM233" s="328"/>
      <c r="CN233" s="328">
        <v>1</v>
      </c>
      <c r="CO233" s="328">
        <v>1</v>
      </c>
      <c r="CP233" s="328">
        <v>1</v>
      </c>
      <c r="CQ233" s="338">
        <f t="shared" ref="CQ233:CY233" si="491">+CQ215/CQ181</f>
        <v>1</v>
      </c>
      <c r="CR233" s="338">
        <f t="shared" si="491"/>
        <v>1</v>
      </c>
      <c r="CS233" s="338">
        <f t="shared" si="491"/>
        <v>1</v>
      </c>
      <c r="CT233" s="338">
        <f t="shared" si="491"/>
        <v>1</v>
      </c>
      <c r="CU233" s="338">
        <f t="shared" si="491"/>
        <v>1</v>
      </c>
      <c r="CV233" s="338">
        <f t="shared" si="491"/>
        <v>1</v>
      </c>
      <c r="CW233" s="338">
        <f t="shared" si="491"/>
        <v>1</v>
      </c>
      <c r="CX233" s="338">
        <f t="shared" si="491"/>
        <v>1</v>
      </c>
      <c r="CY233" s="338">
        <f t="shared" si="491"/>
        <v>1</v>
      </c>
      <c r="CZ233" s="461">
        <f t="shared" si="490"/>
        <v>1</v>
      </c>
      <c r="DA233" s="461">
        <f t="shared" si="490"/>
        <v>1</v>
      </c>
      <c r="DB233" s="461">
        <f t="shared" si="490"/>
        <v>1</v>
      </c>
      <c r="DC233" s="461">
        <f t="shared" si="490"/>
        <v>1</v>
      </c>
      <c r="DD233" s="461">
        <f t="shared" si="490"/>
        <v>1</v>
      </c>
      <c r="DE233" s="461">
        <f t="shared" si="490"/>
        <v>1</v>
      </c>
      <c r="DF233" s="462">
        <f t="shared" si="490"/>
        <v>1</v>
      </c>
      <c r="DG233" s="308"/>
      <c r="DH233" s="308"/>
    </row>
    <row r="234" spans="1:113" s="282" customFormat="1" ht="11.25" customHeight="1">
      <c r="A234" s="91"/>
      <c r="B234"/>
      <c r="C234"/>
      <c r="D234"/>
      <c r="E234"/>
      <c r="F234"/>
      <c r="G234"/>
      <c r="H234" s="1052"/>
      <c r="I234" s="200" t="s">
        <v>183</v>
      </c>
      <c r="J234" s="90"/>
      <c r="K234" s="90"/>
      <c r="L234" s="91"/>
      <c r="M234" s="343"/>
      <c r="N234" s="343"/>
      <c r="O234" s="343"/>
      <c r="P234" s="344"/>
      <c r="Q234" s="343"/>
      <c r="R234" s="343"/>
      <c r="S234" s="343"/>
      <c r="T234" s="344"/>
      <c r="U234" s="345"/>
      <c r="V234" s="345"/>
      <c r="W234" s="345"/>
      <c r="X234" s="346"/>
      <c r="Y234" s="345"/>
      <c r="Z234" s="345"/>
      <c r="AA234" s="345"/>
      <c r="AB234" s="346"/>
      <c r="AC234" s="345"/>
      <c r="AD234" s="345"/>
      <c r="AE234" s="345"/>
      <c r="AF234" s="346"/>
      <c r="AG234" s="345"/>
      <c r="AH234" s="345"/>
      <c r="AI234" s="345"/>
      <c r="AJ234" s="346"/>
      <c r="AK234" s="347">
        <f t="shared" ref="AK234:CF234" si="492">+AK216/AK182</f>
        <v>0.23542260248894209</v>
      </c>
      <c r="AL234" s="347">
        <f t="shared" si="492"/>
        <v>0.24506957691459996</v>
      </c>
      <c r="AM234" s="347">
        <f t="shared" si="492"/>
        <v>0.24705503227817724</v>
      </c>
      <c r="AN234" s="348">
        <f t="shared" si="492"/>
        <v>0.24640095027824047</v>
      </c>
      <c r="AO234" s="347">
        <f t="shared" si="492"/>
        <v>0.2581792556176023</v>
      </c>
      <c r="AP234" s="347">
        <f t="shared" si="492"/>
        <v>0.25531080818139162</v>
      </c>
      <c r="AQ234" s="347">
        <f t="shared" si="492"/>
        <v>0.27338129496402885</v>
      </c>
      <c r="AR234" s="348">
        <f t="shared" si="492"/>
        <v>0.27772685609532533</v>
      </c>
      <c r="AS234" s="347">
        <f t="shared" si="492"/>
        <v>0.27177385468171689</v>
      </c>
      <c r="AT234" s="347">
        <f t="shared" si="492"/>
        <v>0.26748838457580004</v>
      </c>
      <c r="AU234" s="347">
        <f t="shared" si="492"/>
        <v>0.28520398298530542</v>
      </c>
      <c r="AV234" s="348">
        <f t="shared" si="492"/>
        <v>0.28567709885119497</v>
      </c>
      <c r="AW234" s="347">
        <f t="shared" si="492"/>
        <v>0.28246797289158238</v>
      </c>
      <c r="AX234" s="347">
        <f t="shared" si="492"/>
        <v>0.27707777420594859</v>
      </c>
      <c r="AY234" s="347">
        <f t="shared" si="492"/>
        <v>0.28928161774077032</v>
      </c>
      <c r="AZ234" s="348">
        <f t="shared" si="492"/>
        <v>0.29221473429681305</v>
      </c>
      <c r="BA234" s="347">
        <f t="shared" si="492"/>
        <v>0.2792743161094226</v>
      </c>
      <c r="BB234" s="347">
        <f t="shared" si="492"/>
        <v>0.27949964942032063</v>
      </c>
      <c r="BC234" s="347">
        <f t="shared" si="492"/>
        <v>0.29582032092395449</v>
      </c>
      <c r="BD234" s="348">
        <f t="shared" si="492"/>
        <v>0.30305419493412267</v>
      </c>
      <c r="BE234" s="347">
        <f t="shared" si="492"/>
        <v>0.30050898638181828</v>
      </c>
      <c r="BF234" s="347">
        <f t="shared" si="492"/>
        <v>0.31029226588905834</v>
      </c>
      <c r="BG234" s="347">
        <f t="shared" si="492"/>
        <v>0.34266406399185251</v>
      </c>
      <c r="BH234" s="348">
        <f t="shared" si="492"/>
        <v>0.29255019174374036</v>
      </c>
      <c r="BI234" s="347">
        <f t="shared" si="492"/>
        <v>0.283484309285021</v>
      </c>
      <c r="BJ234" s="347">
        <f t="shared" si="492"/>
        <v>0.32429550347952463</v>
      </c>
      <c r="BK234" s="347">
        <f t="shared" si="492"/>
        <v>0.36437829722304377</v>
      </c>
      <c r="BL234" s="348">
        <f t="shared" si="492"/>
        <v>0.33888146070719116</v>
      </c>
      <c r="BM234" s="347">
        <f t="shared" si="492"/>
        <v>0.30301567616639169</v>
      </c>
      <c r="BN234" s="347">
        <f t="shared" si="492"/>
        <v>0.35064184236921286</v>
      </c>
      <c r="BO234" s="347">
        <f t="shared" si="492"/>
        <v>0.34764234142968237</v>
      </c>
      <c r="BP234" s="347">
        <f t="shared" si="492"/>
        <v>0.31047904520150099</v>
      </c>
      <c r="BQ234" s="1510">
        <f t="shared" si="492"/>
        <v>0.31344286057899584</v>
      </c>
      <c r="BR234" s="347">
        <f t="shared" si="492"/>
        <v>0.32417420541760233</v>
      </c>
      <c r="BS234" s="347">
        <f t="shared" si="492"/>
        <v>0.40075641535809159</v>
      </c>
      <c r="BT234" s="348">
        <f t="shared" si="492"/>
        <v>0.35330818635232891</v>
      </c>
      <c r="BU234" s="1510">
        <f t="shared" si="492"/>
        <v>0.37713450034477397</v>
      </c>
      <c r="BV234" s="347">
        <f t="shared" si="492"/>
        <v>0.38384599730468405</v>
      </c>
      <c r="BW234" s="347">
        <f t="shared" si="492"/>
        <v>0.32839652128986674</v>
      </c>
      <c r="BX234" s="348">
        <f t="shared" si="492"/>
        <v>0.35336550659667665</v>
      </c>
      <c r="BY234" s="1510">
        <f t="shared" si="492"/>
        <v>0.40828817063738093</v>
      </c>
      <c r="BZ234" s="347">
        <f t="shared" si="492"/>
        <v>0.43346240721214541</v>
      </c>
      <c r="CA234" s="347">
        <f t="shared" si="492"/>
        <v>0.46197734273963165</v>
      </c>
      <c r="CB234" s="348">
        <f t="shared" si="492"/>
        <v>0.50413518403445323</v>
      </c>
      <c r="CC234" s="1510">
        <f t="shared" si="492"/>
        <v>0.45192936741637912</v>
      </c>
      <c r="CD234" s="347">
        <f t="shared" si="492"/>
        <v>0.47538441365478795</v>
      </c>
      <c r="CE234" s="347">
        <f t="shared" si="492"/>
        <v>0.45904452090409259</v>
      </c>
      <c r="CF234" s="348">
        <f t="shared" si="492"/>
        <v>0.50087091493476477</v>
      </c>
      <c r="CG234" s="344"/>
      <c r="CH234" s="349"/>
      <c r="CI234" s="343"/>
      <c r="CJ234" s="345"/>
      <c r="CK234" s="345"/>
      <c r="CL234" s="345"/>
      <c r="CM234" s="345"/>
      <c r="CN234" s="347">
        <f>+CN216/CN182</f>
        <v>0.2476063038661393</v>
      </c>
      <c r="CO234" s="347">
        <f>+CO216/CO182</f>
        <v>0.26574656562893784</v>
      </c>
      <c r="CP234" s="347">
        <f>+CP216/CP182</f>
        <v>0.27732450013860732</v>
      </c>
      <c r="CQ234" s="347">
        <f t="shared" ref="CQ234:CY234" si="493">+CQ216/CQ182</f>
        <v>0.28508299274639665</v>
      </c>
      <c r="CR234" s="347">
        <f t="shared" si="493"/>
        <v>0.28901360411523103</v>
      </c>
      <c r="CS234" s="347">
        <f t="shared" si="493"/>
        <v>0.31312414087642859</v>
      </c>
      <c r="CT234" s="347">
        <f t="shared" si="493"/>
        <v>0.32880523990656851</v>
      </c>
      <c r="CU234" s="347">
        <f t="shared" si="493"/>
        <v>0.32977491750680782</v>
      </c>
      <c r="CV234" s="347">
        <f t="shared" si="493"/>
        <v>0.34908528065167094</v>
      </c>
      <c r="CW234" s="347">
        <f t="shared" si="493"/>
        <v>0.36237080982418796</v>
      </c>
      <c r="CX234" s="347">
        <f t="shared" si="493"/>
        <v>0.45148998413182645</v>
      </c>
      <c r="CY234" s="347">
        <f t="shared" si="493"/>
        <v>0.4719114481642081</v>
      </c>
      <c r="CZ234" s="347">
        <f t="shared" ref="CZ234:DF234" si="494">+CZ216/CZ182</f>
        <v>0.46988090450010084</v>
      </c>
      <c r="DA234" s="347">
        <f t="shared" si="494"/>
        <v>0.46841871650346772</v>
      </c>
      <c r="DB234" s="347">
        <f t="shared" si="494"/>
        <v>0.4672533274387427</v>
      </c>
      <c r="DC234" s="347">
        <f t="shared" si="494"/>
        <v>0.46607892674287976</v>
      </c>
      <c r="DD234" s="347">
        <f t="shared" si="494"/>
        <v>0.46490045121309825</v>
      </c>
      <c r="DE234" s="347">
        <f t="shared" si="494"/>
        <v>0.46372213167502568</v>
      </c>
      <c r="DF234" s="348">
        <f t="shared" si="494"/>
        <v>0.46254757607724878</v>
      </c>
      <c r="DG234" s="1469"/>
      <c r="DH234" s="1469"/>
    </row>
    <row r="235" spans="1:113" s="68" customFormat="1" ht="11.25" customHeight="1">
      <c r="A235" s="24"/>
      <c r="B235"/>
      <c r="C235"/>
      <c r="D235"/>
      <c r="E235"/>
      <c r="F235"/>
      <c r="G235"/>
      <c r="H235" s="1044"/>
      <c r="I235" s="664"/>
      <c r="J235" s="665"/>
      <c r="K235" s="665"/>
      <c r="L235" s="665"/>
      <c r="M235" s="666"/>
      <c r="N235" s="666"/>
      <c r="O235" s="666"/>
      <c r="P235" s="667"/>
      <c r="Q235" s="666"/>
      <c r="R235" s="666"/>
      <c r="S235" s="666"/>
      <c r="T235" s="667"/>
      <c r="U235" s="668"/>
      <c r="V235" s="668"/>
      <c r="W235" s="668"/>
      <c r="X235" s="669"/>
      <c r="Y235" s="668"/>
      <c r="Z235" s="668"/>
      <c r="AA235" s="668"/>
      <c r="AB235" s="669"/>
      <c r="AC235" s="668"/>
      <c r="AD235" s="668"/>
      <c r="AE235" s="668"/>
      <c r="AF235" s="669"/>
      <c r="AG235" s="668"/>
      <c r="AH235" s="668"/>
      <c r="AI235" s="668"/>
      <c r="AJ235" s="669"/>
      <c r="AK235" s="668"/>
      <c r="AL235" s="668"/>
      <c r="AM235" s="668"/>
      <c r="AN235" s="669"/>
      <c r="AO235" s="668"/>
      <c r="AP235" s="668"/>
      <c r="AQ235" s="668"/>
      <c r="AR235" s="669"/>
      <c r="AS235" s="668"/>
      <c r="AT235" s="668"/>
      <c r="AU235" s="668"/>
      <c r="AV235" s="669"/>
      <c r="AW235" s="668"/>
      <c r="AX235" s="668"/>
      <c r="AY235" s="668"/>
      <c r="AZ235" s="669"/>
      <c r="BA235" s="670"/>
      <c r="BB235" s="670"/>
      <c r="BC235" s="670"/>
      <c r="BD235" s="671"/>
      <c r="BE235" s="666"/>
      <c r="BF235" s="666"/>
      <c r="BG235" s="666"/>
      <c r="BH235" s="672"/>
      <c r="BI235" s="673"/>
      <c r="BJ235" s="673"/>
      <c r="BK235" s="673"/>
      <c r="BL235" s="674"/>
      <c r="BM235" s="673"/>
      <c r="BN235" s="673"/>
      <c r="BO235" s="673"/>
      <c r="BP235" s="662"/>
      <c r="BQ235" s="1407"/>
      <c r="BR235" s="662"/>
      <c r="BS235" s="662"/>
      <c r="BT235" s="663"/>
      <c r="BU235" s="1407"/>
      <c r="BV235" s="662"/>
      <c r="BW235" s="662"/>
      <c r="BX235" s="663"/>
      <c r="BY235" s="1407"/>
      <c r="BZ235" s="662"/>
      <c r="CA235" s="662"/>
      <c r="CB235" s="663"/>
      <c r="CC235" s="1407"/>
      <c r="CD235" s="662"/>
      <c r="CE235" s="662"/>
      <c r="CF235" s="663"/>
      <c r="CG235" s="405"/>
      <c r="CH235" s="675"/>
      <c r="CI235" s="666"/>
      <c r="CJ235" s="668"/>
      <c r="CK235" s="668"/>
      <c r="CL235" s="668"/>
      <c r="CM235" s="668"/>
      <c r="CN235" s="668"/>
      <c r="CO235" s="668"/>
      <c r="CP235" s="668"/>
      <c r="CQ235" s="662"/>
      <c r="CR235" s="662"/>
      <c r="CS235" s="662"/>
      <c r="CT235" s="668"/>
      <c r="CU235" s="662"/>
      <c r="CV235" s="676"/>
      <c r="CW235" s="662"/>
      <c r="CX235" s="662"/>
      <c r="CY235" s="662"/>
      <c r="CZ235" s="662"/>
      <c r="DA235" s="662"/>
      <c r="DB235" s="662"/>
      <c r="DC235" s="662"/>
      <c r="DD235" s="662"/>
      <c r="DE235" s="662"/>
      <c r="DF235" s="663"/>
      <c r="DG235" s="1180"/>
      <c r="DH235" s="1180"/>
    </row>
    <row r="236" spans="1:113" ht="11.25" customHeight="1">
      <c r="I236" s="70"/>
      <c r="J236" s="70"/>
      <c r="K236" s="70"/>
      <c r="M236" s="315"/>
      <c r="N236" s="315"/>
      <c r="O236" s="315"/>
      <c r="P236" s="315"/>
      <c r="Q236" s="315"/>
      <c r="R236" s="315"/>
      <c r="S236" s="315"/>
      <c r="T236" s="315"/>
      <c r="U236" s="328"/>
      <c r="V236" s="328"/>
      <c r="W236" s="328"/>
      <c r="X236" s="328"/>
      <c r="Y236" s="328"/>
      <c r="Z236" s="328"/>
      <c r="AA236" s="328"/>
      <c r="AB236" s="328"/>
      <c r="AC236" s="328"/>
      <c r="AD236" s="328"/>
      <c r="AE236" s="328"/>
      <c r="AF236" s="328"/>
      <c r="AG236" s="328"/>
      <c r="AH236" s="328"/>
      <c r="AI236" s="328"/>
      <c r="AJ236" s="328"/>
      <c r="AK236" s="328"/>
      <c r="AL236" s="328"/>
      <c r="AM236" s="328"/>
      <c r="AN236" s="328"/>
      <c r="AO236" s="328"/>
      <c r="AP236" s="328"/>
      <c r="AQ236" s="328"/>
      <c r="AR236" s="328"/>
      <c r="AS236" s="328"/>
      <c r="AT236" s="328"/>
      <c r="AU236" s="328"/>
      <c r="AV236" s="328"/>
      <c r="AW236" s="328"/>
      <c r="AX236" s="328"/>
      <c r="AY236" s="328"/>
      <c r="AZ236" s="328"/>
      <c r="BA236" s="328"/>
      <c r="BB236" s="328"/>
      <c r="BC236" s="328"/>
      <c r="BD236" s="328"/>
      <c r="BE236" s="328"/>
      <c r="BF236" s="328"/>
      <c r="BG236" s="328"/>
      <c r="BH236" s="328"/>
      <c r="BI236" s="328"/>
      <c r="BJ236" s="328"/>
      <c r="BK236" s="328"/>
      <c r="BL236" s="328"/>
      <c r="BM236" s="328"/>
      <c r="BN236" s="328"/>
      <c r="BO236" s="328"/>
      <c r="BP236" s="328"/>
      <c r="BQ236" s="328"/>
      <c r="BR236" s="328"/>
      <c r="BS236" s="328"/>
      <c r="BT236" s="328"/>
      <c r="BU236" s="328"/>
      <c r="BV236" s="328"/>
      <c r="BW236" s="328"/>
      <c r="BX236" s="328"/>
      <c r="BY236" s="328"/>
      <c r="BZ236" s="328"/>
      <c r="CA236" s="328"/>
      <c r="CB236" s="328"/>
      <c r="CC236" s="328"/>
      <c r="CD236" s="328"/>
      <c r="CE236" s="328"/>
      <c r="CF236" s="328"/>
      <c r="CG236" s="315"/>
      <c r="CH236" s="315"/>
      <c r="CI236" s="315"/>
      <c r="CJ236" s="328"/>
      <c r="CK236" s="328"/>
      <c r="CL236" s="328"/>
      <c r="CM236" s="328"/>
      <c r="CN236" s="328"/>
      <c r="CO236" s="328"/>
      <c r="CP236" s="328"/>
      <c r="CQ236" s="328"/>
      <c r="CR236" s="328"/>
      <c r="CS236" s="328"/>
      <c r="CT236" s="328"/>
      <c r="CU236" s="328"/>
      <c r="CV236" s="328"/>
      <c r="CW236" s="328"/>
      <c r="CX236" s="328"/>
      <c r="CY236" s="328"/>
      <c r="CZ236" s="328"/>
      <c r="DA236" s="328"/>
      <c r="DB236" s="328"/>
      <c r="DC236" s="328"/>
      <c r="DD236" s="328"/>
      <c r="DE236" s="328"/>
      <c r="DF236" s="328"/>
    </row>
    <row r="237" spans="1:113" customFormat="1" ht="11.25" customHeight="1">
      <c r="A237" s="10"/>
      <c r="H237" s="1054"/>
      <c r="I237" s="659" t="s">
        <v>184</v>
      </c>
      <c r="J237" s="660"/>
      <c r="K237" s="660"/>
      <c r="L237" s="660"/>
      <c r="M237" s="660"/>
      <c r="N237" s="660"/>
      <c r="O237" s="660"/>
      <c r="P237" s="660"/>
      <c r="Q237" s="660"/>
      <c r="R237" s="660"/>
      <c r="S237" s="660"/>
      <c r="T237" s="660"/>
      <c r="U237" s="659"/>
      <c r="V237" s="660"/>
      <c r="W237" s="660"/>
      <c r="X237" s="661"/>
      <c r="Y237" s="659"/>
      <c r="Z237" s="660"/>
      <c r="AA237" s="660"/>
      <c r="AB237" s="661"/>
      <c r="AC237" s="659"/>
      <c r="AD237" s="660"/>
      <c r="AE237" s="660"/>
      <c r="AF237" s="661"/>
      <c r="AG237" s="659"/>
      <c r="AH237" s="660"/>
      <c r="AI237" s="660"/>
      <c r="AJ237" s="661"/>
      <c r="AK237" s="659"/>
      <c r="AL237" s="660"/>
      <c r="AM237" s="660"/>
      <c r="AN237" s="661"/>
      <c r="AO237" s="659"/>
      <c r="AP237" s="660"/>
      <c r="AQ237" s="660"/>
      <c r="AR237" s="661"/>
      <c r="AS237" s="659"/>
      <c r="AT237" s="660"/>
      <c r="AU237" s="660"/>
      <c r="AV237" s="661"/>
      <c r="AW237" s="659"/>
      <c r="AX237" s="660"/>
      <c r="AY237" s="660"/>
      <c r="AZ237" s="661"/>
      <c r="BA237" s="659"/>
      <c r="BB237" s="660"/>
      <c r="BC237" s="660"/>
      <c r="BD237" s="661"/>
      <c r="BE237" s="659"/>
      <c r="BF237" s="660"/>
      <c r="BG237" s="660"/>
      <c r="BH237" s="661"/>
      <c r="BI237" s="659"/>
      <c r="BJ237" s="660"/>
      <c r="BK237" s="660"/>
      <c r="BL237" s="661"/>
      <c r="BM237" s="659"/>
      <c r="BN237" s="660"/>
      <c r="BO237" s="1178"/>
      <c r="BP237" s="661"/>
      <c r="BQ237" s="659"/>
      <c r="BR237" s="660"/>
      <c r="BS237" s="660"/>
      <c r="BT237" s="661"/>
      <c r="BU237" s="659"/>
      <c r="BV237" s="660"/>
      <c r="BW237" s="660"/>
      <c r="BX237" s="661"/>
      <c r="BY237" s="659"/>
      <c r="BZ237" s="660"/>
      <c r="CA237" s="660"/>
      <c r="CB237" s="661"/>
      <c r="CC237" s="659"/>
      <c r="CD237" s="660"/>
      <c r="CE237" s="660"/>
      <c r="CF237" s="661"/>
      <c r="CH237" s="661"/>
      <c r="CI237" s="661"/>
      <c r="CJ237" s="661"/>
      <c r="CK237" s="661"/>
      <c r="CL237" s="661"/>
      <c r="CM237" s="661"/>
      <c r="CN237" s="661"/>
      <c r="CO237" s="661"/>
      <c r="CP237" s="661"/>
      <c r="CQ237" s="661"/>
      <c r="CR237" s="661"/>
      <c r="CS237" s="661"/>
      <c r="CT237" s="661"/>
      <c r="CU237" s="661"/>
      <c r="CV237" s="661"/>
      <c r="CW237" s="661"/>
      <c r="CX237" s="661"/>
      <c r="CY237" s="660"/>
      <c r="CZ237" s="660"/>
      <c r="DA237" s="660"/>
      <c r="DB237" s="660"/>
      <c r="DC237" s="660"/>
      <c r="DD237" s="660"/>
      <c r="DE237" s="660"/>
      <c r="DF237" s="661"/>
      <c r="DG237" s="124"/>
      <c r="DH237" s="124"/>
      <c r="DI237" s="1548"/>
    </row>
    <row r="238" spans="1:113" s="554" customFormat="1" ht="11.25" customHeight="1">
      <c r="A238" s="547"/>
      <c r="B238"/>
      <c r="C238"/>
      <c r="D238"/>
      <c r="E238"/>
      <c r="F238"/>
      <c r="G238"/>
      <c r="H238" s="1044"/>
      <c r="I238" s="9" t="s">
        <v>470</v>
      </c>
      <c r="J238" s="21"/>
      <c r="K238" s="21"/>
      <c r="L238" s="547"/>
      <c r="M238" s="551"/>
      <c r="N238" s="551"/>
      <c r="O238" s="551"/>
      <c r="P238" s="552"/>
      <c r="Q238" s="551"/>
      <c r="R238" s="551"/>
      <c r="S238" s="551"/>
      <c r="T238" s="552"/>
      <c r="U238" s="394"/>
      <c r="V238" s="394"/>
      <c r="W238" s="394"/>
      <c r="X238" s="395"/>
      <c r="Y238" s="394"/>
      <c r="Z238" s="394"/>
      <c r="AA238" s="394"/>
      <c r="AB238" s="395"/>
      <c r="AC238" s="394"/>
      <c r="AD238" s="394"/>
      <c r="AE238" s="394"/>
      <c r="AF238" s="395"/>
      <c r="AG238" s="394"/>
      <c r="AH238" s="394"/>
      <c r="AI238" s="394"/>
      <c r="AJ238" s="395"/>
      <c r="AK238" s="396">
        <f>+AK281*AK203</f>
        <v>47.900000000000006</v>
      </c>
      <c r="AL238" s="396">
        <f>+AL281*AL203</f>
        <v>90.4</v>
      </c>
      <c r="AM238" s="396">
        <f>+AM281*AM203</f>
        <v>131.80000000000001</v>
      </c>
      <c r="AN238" s="397">
        <f t="shared" ref="AN238:CF238" si="495">+AN241-AN240-AN239</f>
        <v>101</v>
      </c>
      <c r="AO238" s="396">
        <f t="shared" si="495"/>
        <v>100.233</v>
      </c>
      <c r="AP238" s="396">
        <f t="shared" si="495"/>
        <v>160.99100000000001</v>
      </c>
      <c r="AQ238" s="396">
        <f t="shared" si="495"/>
        <v>219.00199999999998</v>
      </c>
      <c r="AR238" s="397">
        <f t="shared" si="495"/>
        <v>122.3625</v>
      </c>
      <c r="AS238" s="396">
        <f t="shared" si="495"/>
        <v>105.51755</v>
      </c>
      <c r="AT238" s="396">
        <f t="shared" si="495"/>
        <v>188.35384999999999</v>
      </c>
      <c r="AU238" s="396">
        <f t="shared" si="495"/>
        <v>304.72480000000002</v>
      </c>
      <c r="AV238" s="397">
        <f t="shared" si="495"/>
        <v>210.13749999999999</v>
      </c>
      <c r="AW238" s="396">
        <f t="shared" si="495"/>
        <v>192.199736</v>
      </c>
      <c r="AX238" s="396">
        <f t="shared" si="495"/>
        <v>292.73539499999998</v>
      </c>
      <c r="AY238" s="396">
        <f t="shared" si="495"/>
        <v>488.12072000000001</v>
      </c>
      <c r="AZ238" s="397">
        <f t="shared" si="495"/>
        <v>334.77787499999999</v>
      </c>
      <c r="BA238" s="396">
        <f t="shared" si="495"/>
        <v>328.0394192</v>
      </c>
      <c r="BB238" s="396">
        <f t="shared" si="495"/>
        <v>539.37992695387254</v>
      </c>
      <c r="BC238" s="396">
        <f t="shared" si="495"/>
        <v>867.04143999999997</v>
      </c>
      <c r="BD238" s="397">
        <f t="shared" si="495"/>
        <v>529.75575000000003</v>
      </c>
      <c r="BE238" s="396">
        <f t="shared" si="495"/>
        <v>514.72701264</v>
      </c>
      <c r="BF238" s="396">
        <f t="shared" si="495"/>
        <v>736.97040885119588</v>
      </c>
      <c r="BG238" s="396">
        <f>+BG241-BG240-BG239</f>
        <v>1094.2856192000002</v>
      </c>
      <c r="BH238" s="397">
        <f t="shared" si="495"/>
        <v>710.88919999999996</v>
      </c>
      <c r="BI238" s="396">
        <f t="shared" si="495"/>
        <v>747.40689820160003</v>
      </c>
      <c r="BJ238" s="396">
        <f t="shared" si="495"/>
        <v>1019.5068661241743</v>
      </c>
      <c r="BK238" s="396">
        <f>+BK241-BK240-BK239</f>
        <v>1554.988035456</v>
      </c>
      <c r="BL238" s="397">
        <f t="shared" si="495"/>
        <v>982.36041999999998</v>
      </c>
      <c r="BM238" s="396">
        <f>+BM241-BM240-BM239</f>
        <v>1020.85696766208</v>
      </c>
      <c r="BN238" s="396">
        <f t="shared" si="495"/>
        <v>1418.9306799477592</v>
      </c>
      <c r="BO238" s="396">
        <f>+BO241-BO240-BO239</f>
        <v>2061.1134060928002</v>
      </c>
      <c r="BP238" s="397">
        <f>+BP241-BP240-BP239</f>
        <v>1215.344546</v>
      </c>
      <c r="BQ238" s="396">
        <f t="shared" si="495"/>
        <v>1173.028361194496</v>
      </c>
      <c r="BR238" s="396">
        <f>+BR241-BR240-BR239</f>
        <v>1522.7168159373109</v>
      </c>
      <c r="BS238" s="396">
        <f>+BS241-BS240-BS239</f>
        <v>2341.7133614835202</v>
      </c>
      <c r="BT238" s="397">
        <f t="shared" si="495"/>
        <v>1361.9134006000002</v>
      </c>
      <c r="BU238" s="396">
        <f>+BU241-BU240-BU239</f>
        <v>1415.142606328955</v>
      </c>
      <c r="BV238" s="396">
        <f>+BV241-BV240-BV239</f>
        <v>1760.0823433840533</v>
      </c>
      <c r="BW238" s="396">
        <f t="shared" si="495"/>
        <v>2983.8437906989057</v>
      </c>
      <c r="BX238" s="397">
        <f t="shared" si="495"/>
        <v>1702.482560768</v>
      </c>
      <c r="BY238" s="396">
        <f>+BY241-BY240-BY239</f>
        <v>1649.8778771111936</v>
      </c>
      <c r="BZ238" s="396">
        <f t="shared" si="495"/>
        <v>2183.7437164738021</v>
      </c>
      <c r="CA238" s="396">
        <f t="shared" si="495"/>
        <v>3619.9779607736318</v>
      </c>
      <c r="CB238" s="397">
        <f t="shared" si="495"/>
        <v>2035.69827936</v>
      </c>
      <c r="CC238" s="396">
        <f>+CC241-CC240-CC239</f>
        <v>2047.8295771443657</v>
      </c>
      <c r="CD238" s="396">
        <f t="shared" si="495"/>
        <v>2720.041280728974</v>
      </c>
      <c r="CE238" s="396">
        <f t="shared" si="495"/>
        <v>4184.338231224755</v>
      </c>
      <c r="CF238" s="397">
        <f t="shared" si="495"/>
        <v>2573.3822643112076</v>
      </c>
      <c r="CG238" s="552"/>
      <c r="CH238" s="553"/>
      <c r="CI238" s="551"/>
      <c r="CJ238" s="394"/>
      <c r="CK238" s="394"/>
      <c r="CL238" s="394"/>
      <c r="CM238" s="394"/>
      <c r="CN238" s="396">
        <f>+CN241-CN240-CN239</f>
        <v>367.1</v>
      </c>
      <c r="CO238" s="396">
        <f>+CO241-CO240-CO239</f>
        <v>602.58849999999995</v>
      </c>
      <c r="CP238" s="396">
        <f>+CP281*CP203</f>
        <v>808.7337</v>
      </c>
      <c r="CQ238" s="396">
        <f>+SUM(AW238:AZ238)</f>
        <v>1307.8337259999998</v>
      </c>
      <c r="CR238" s="396">
        <f>+SUM(BA238:BD238)</f>
        <v>2264.2165361538728</v>
      </c>
      <c r="CS238" s="396">
        <f>+SUM(BE238:BH238)</f>
        <v>3056.8722406911961</v>
      </c>
      <c r="CT238" s="396">
        <f>+SUM(BI238:BL238)</f>
        <v>4304.2622197817745</v>
      </c>
      <c r="CU238" s="396">
        <f>SUM(BM238:BP238)</f>
        <v>5716.2455997026391</v>
      </c>
      <c r="CV238" s="396">
        <f>SUM(BQ238:BT238)</f>
        <v>6399.3719392153271</v>
      </c>
      <c r="CW238" s="396">
        <f>SUM(BU238:BX238)</f>
        <v>7861.5513011799139</v>
      </c>
      <c r="CX238" s="396">
        <f>SUM(BY238:CB238)</f>
        <v>9489.2978337186287</v>
      </c>
      <c r="CY238" s="396">
        <f>SUM(CC238:CF238)</f>
        <v>11525.591353409302</v>
      </c>
      <c r="CZ238" s="396">
        <f t="shared" ref="CZ238:DF238" si="496">+CZ241-CZ240-CZ239</f>
        <v>13305.874305869598</v>
      </c>
      <c r="DA238" s="396">
        <f t="shared" si="496"/>
        <v>15083.695336049828</v>
      </c>
      <c r="DB238" s="396">
        <f t="shared" si="496"/>
        <v>16797.511538348826</v>
      </c>
      <c r="DC238" s="396">
        <f t="shared" si="496"/>
        <v>18475.994392295343</v>
      </c>
      <c r="DD238" s="396">
        <f t="shared" si="496"/>
        <v>20113.18315743807</v>
      </c>
      <c r="DE238" s="396">
        <f t="shared" si="496"/>
        <v>21691.408924924566</v>
      </c>
      <c r="DF238" s="397">
        <f t="shared" si="496"/>
        <v>23393.508565100587</v>
      </c>
      <c r="DG238" s="612"/>
      <c r="DH238" s="612"/>
    </row>
    <row r="239" spans="1:113" s="554" customFormat="1" ht="11.25" customHeight="1">
      <c r="A239" s="547"/>
      <c r="B239"/>
      <c r="C239"/>
      <c r="D239"/>
      <c r="E239"/>
      <c r="F239"/>
      <c r="G239"/>
      <c r="H239" s="1044"/>
      <c r="I239" s="9" t="s">
        <v>172</v>
      </c>
      <c r="J239" s="21"/>
      <c r="K239" s="21"/>
      <c r="L239" s="547"/>
      <c r="M239" s="551"/>
      <c r="N239" s="551"/>
      <c r="O239" s="551"/>
      <c r="P239" s="552"/>
      <c r="Q239" s="551"/>
      <c r="R239" s="551"/>
      <c r="S239" s="551"/>
      <c r="T239" s="552"/>
      <c r="U239" s="394"/>
      <c r="V239" s="394"/>
      <c r="W239" s="394"/>
      <c r="X239" s="395"/>
      <c r="Y239" s="394"/>
      <c r="Z239" s="394"/>
      <c r="AA239" s="394"/>
      <c r="AB239" s="395"/>
      <c r="AC239" s="394"/>
      <c r="AD239" s="394"/>
      <c r="AE239" s="394"/>
      <c r="AF239" s="395"/>
      <c r="AG239" s="394"/>
      <c r="AH239" s="394"/>
      <c r="AI239" s="394"/>
      <c r="AJ239" s="395"/>
      <c r="AK239" s="396">
        <f>+AK267*AK268</f>
        <v>0</v>
      </c>
      <c r="AL239" s="396">
        <f>+AL267*AL268</f>
        <v>0</v>
      </c>
      <c r="AM239" s="396">
        <f>+AM267*AM268</f>
        <v>0</v>
      </c>
      <c r="AN239" s="395">
        <v>1.9</v>
      </c>
      <c r="AO239" s="396">
        <f t="shared" ref="AO239:CF239" si="497">+AO267*AO268</f>
        <v>3.5670000000000002</v>
      </c>
      <c r="AP239" s="396">
        <f t="shared" si="497"/>
        <v>3.5089999999999995</v>
      </c>
      <c r="AQ239" s="396">
        <f t="shared" si="497"/>
        <v>4.6979999999999995</v>
      </c>
      <c r="AR239" s="397">
        <f t="shared" si="497"/>
        <v>5.4375</v>
      </c>
      <c r="AS239" s="396">
        <f t="shared" si="497"/>
        <v>8.3824500000000004</v>
      </c>
      <c r="AT239" s="396">
        <f t="shared" si="497"/>
        <v>8.2461499999999983</v>
      </c>
      <c r="AU239" s="396">
        <f t="shared" si="497"/>
        <v>11.275199999999998</v>
      </c>
      <c r="AV239" s="397">
        <f t="shared" si="497"/>
        <v>11.962499999999999</v>
      </c>
      <c r="AW239" s="396">
        <f t="shared" si="497"/>
        <v>22.800263999999999</v>
      </c>
      <c r="AX239" s="396">
        <f t="shared" si="497"/>
        <v>22.264605</v>
      </c>
      <c r="AY239" s="396">
        <f t="shared" si="497"/>
        <v>29.879279999999994</v>
      </c>
      <c r="AZ239" s="397">
        <f t="shared" si="497"/>
        <v>31.222125000000002</v>
      </c>
      <c r="BA239" s="396">
        <f t="shared" si="497"/>
        <v>50.160580799999998</v>
      </c>
      <c r="BB239" s="396">
        <f t="shared" si="497"/>
        <v>56.774742749999994</v>
      </c>
      <c r="BC239" s="396">
        <f t="shared" si="497"/>
        <v>59.758559999999989</v>
      </c>
      <c r="BD239" s="397">
        <f t="shared" si="497"/>
        <v>62.444250000000004</v>
      </c>
      <c r="BE239" s="396">
        <f t="shared" si="497"/>
        <v>85.272987359999988</v>
      </c>
      <c r="BF239" s="396">
        <f t="shared" si="497"/>
        <v>96.517062674999991</v>
      </c>
      <c r="BG239" s="396">
        <f t="shared" si="497"/>
        <v>100.39438079999998</v>
      </c>
      <c r="BH239" s="397">
        <f t="shared" si="497"/>
        <v>99.910800000000009</v>
      </c>
      <c r="BI239" s="396">
        <f t="shared" si="497"/>
        <v>122.79310179839997</v>
      </c>
      <c r="BJ239" s="396">
        <f t="shared" si="497"/>
        <v>144.77559401249997</v>
      </c>
      <c r="BK239" s="396">
        <f>+BK267*BK268</f>
        <v>143.56396454399996</v>
      </c>
      <c r="BL239" s="397">
        <f t="shared" si="497"/>
        <v>134.87958</v>
      </c>
      <c r="BM239" s="396">
        <f>+BM267*BM268</f>
        <v>159.63103233791998</v>
      </c>
      <c r="BN239" s="396">
        <f t="shared" si="497"/>
        <v>188.20827221624998</v>
      </c>
      <c r="BO239" s="396">
        <f>+BO267*BO268</f>
        <v>186.63315390719998</v>
      </c>
      <c r="BP239" s="397">
        <f>+BP267*BP268</f>
        <v>175.34345400000004</v>
      </c>
      <c r="BQ239" s="396">
        <f t="shared" si="497"/>
        <v>191.55723880550394</v>
      </c>
      <c r="BR239" s="396">
        <f>+BR267*BR268</f>
        <v>225.84992665949997</v>
      </c>
      <c r="BS239" s="396">
        <f>+BS267*BS268</f>
        <v>167.96983851647997</v>
      </c>
      <c r="BT239" s="397">
        <f t="shared" si="497"/>
        <v>192.87779940000004</v>
      </c>
      <c r="BU239" s="396">
        <f>+BU267*BU268</f>
        <v>245.19326567104508</v>
      </c>
      <c r="BV239" s="396">
        <f t="shared" si="497"/>
        <v>282.31240832437493</v>
      </c>
      <c r="BW239" s="396">
        <f t="shared" si="497"/>
        <v>215.00139330109437</v>
      </c>
      <c r="BX239" s="397">
        <f t="shared" si="497"/>
        <v>246.88358323200009</v>
      </c>
      <c r="BY239" s="396">
        <f>+BY267*BY268</f>
        <v>306.49158208880635</v>
      </c>
      <c r="BZ239" s="396">
        <f t="shared" si="497"/>
        <v>352.89051040546866</v>
      </c>
      <c r="CA239" s="396">
        <f t="shared" si="497"/>
        <v>268.75174162636796</v>
      </c>
      <c r="CB239" s="397">
        <f t="shared" si="497"/>
        <v>308.60447904000011</v>
      </c>
      <c r="CC239" s="396">
        <f t="shared" si="497"/>
        <v>352.46531940212725</v>
      </c>
      <c r="CD239" s="396">
        <f t="shared" si="497"/>
        <v>405.82408696628892</v>
      </c>
      <c r="CE239" s="396">
        <f t="shared" si="497"/>
        <v>309.06450287032311</v>
      </c>
      <c r="CF239" s="397">
        <f t="shared" si="497"/>
        <v>354.89515089600008</v>
      </c>
      <c r="CG239" s="552"/>
      <c r="CH239" s="553"/>
      <c r="CI239" s="551"/>
      <c r="CJ239" s="394"/>
      <c r="CK239" s="394"/>
      <c r="CL239" s="394"/>
      <c r="CM239" s="394"/>
      <c r="CN239" s="396">
        <f>+SUM(AK239:AN239)</f>
        <v>1.9</v>
      </c>
      <c r="CO239" s="396">
        <f>+SUM(AO239:AR239)</f>
        <v>17.211500000000001</v>
      </c>
      <c r="CP239" s="396">
        <f>+SUM(AS239:AV239)</f>
        <v>39.866299999999995</v>
      </c>
      <c r="CQ239" s="396">
        <f>+SUM(AW239:AZ239)</f>
        <v>106.166274</v>
      </c>
      <c r="CR239" s="396">
        <f>+SUM(BA239:BD239)</f>
        <v>229.13813354999999</v>
      </c>
      <c r="CS239" s="396">
        <f>+SUM(BE239:BH239)</f>
        <v>382.09523083499994</v>
      </c>
      <c r="CT239" s="396">
        <f>+SUM(BI239:BL239)</f>
        <v>546.01224035489997</v>
      </c>
      <c r="CU239" s="396">
        <f>SUM(BM239:BP239)</f>
        <v>709.81591246137009</v>
      </c>
      <c r="CV239" s="396">
        <f>SUM(BQ239:BT239)</f>
        <v>778.25480338148395</v>
      </c>
      <c r="CW239" s="396">
        <f>SUM(BU239:BX239)</f>
        <v>989.39065052851447</v>
      </c>
      <c r="CX239" s="396">
        <f>SUM(BY239:CB239)</f>
        <v>1236.738313160643</v>
      </c>
      <c r="CY239" s="396">
        <f>SUM(CC239:CF239)</f>
        <v>1422.2490601347395</v>
      </c>
      <c r="CZ239" s="396">
        <f t="shared" ref="CZ239:DF239" si="498">+CZ267*CZ268</f>
        <v>1603.5858153019187</v>
      </c>
      <c r="DA239" s="396">
        <f t="shared" si="498"/>
        <v>1777.3744280352641</v>
      </c>
      <c r="DB239" s="396">
        <f t="shared" si="498"/>
        <v>1943.3367652530569</v>
      </c>
      <c r="DC239" s="396">
        <f t="shared" si="498"/>
        <v>2095.645784229765</v>
      </c>
      <c r="DD239" s="396">
        <f t="shared" si="498"/>
        <v>2259.892022568773</v>
      </c>
      <c r="DE239" s="396">
        <f t="shared" si="498"/>
        <v>2437.0110598376</v>
      </c>
      <c r="DF239" s="397">
        <f t="shared" si="498"/>
        <v>2628.011801652372</v>
      </c>
      <c r="DG239" s="612"/>
      <c r="DH239" s="612"/>
    </row>
    <row r="240" spans="1:113" s="554" customFormat="1" ht="11.25" customHeight="1">
      <c r="A240" s="548"/>
      <c r="B240"/>
      <c r="C240"/>
      <c r="D240"/>
      <c r="E240"/>
      <c r="F240"/>
      <c r="G240"/>
      <c r="H240" s="1047"/>
      <c r="I240" s="610" t="s">
        <v>173</v>
      </c>
      <c r="J240" s="588"/>
      <c r="K240" s="588"/>
      <c r="L240" s="560"/>
      <c r="M240" s="561"/>
      <c r="N240" s="561"/>
      <c r="O240" s="561"/>
      <c r="P240" s="562"/>
      <c r="Q240" s="561"/>
      <c r="R240" s="561"/>
      <c r="S240" s="561"/>
      <c r="T240" s="562"/>
      <c r="U240" s="563"/>
      <c r="V240" s="563"/>
      <c r="W240" s="563"/>
      <c r="X240" s="564"/>
      <c r="Y240" s="563"/>
      <c r="Z240" s="563"/>
      <c r="AA240" s="563"/>
      <c r="AB240" s="564"/>
      <c r="AC240" s="563"/>
      <c r="AD240" s="563"/>
      <c r="AE240" s="563"/>
      <c r="AF240" s="564"/>
      <c r="AG240" s="563"/>
      <c r="AH240" s="563"/>
      <c r="AI240" s="563"/>
      <c r="AJ240" s="564"/>
      <c r="AK240" s="566">
        <f t="shared" ref="AK240:AW240" si="499">+AK282*AK205</f>
        <v>0</v>
      </c>
      <c r="AL240" s="566">
        <f t="shared" si="499"/>
        <v>0</v>
      </c>
      <c r="AM240" s="566">
        <f t="shared" si="499"/>
        <v>0</v>
      </c>
      <c r="AN240" s="565">
        <f t="shared" si="499"/>
        <v>0</v>
      </c>
      <c r="AO240" s="566">
        <f t="shared" si="499"/>
        <v>0</v>
      </c>
      <c r="AP240" s="566">
        <f t="shared" si="499"/>
        <v>0</v>
      </c>
      <c r="AQ240" s="566">
        <f t="shared" si="499"/>
        <v>0</v>
      </c>
      <c r="AR240" s="565">
        <f t="shared" si="499"/>
        <v>0</v>
      </c>
      <c r="AS240" s="566">
        <f t="shared" si="499"/>
        <v>0</v>
      </c>
      <c r="AT240" s="566">
        <f t="shared" si="499"/>
        <v>0</v>
      </c>
      <c r="AU240" s="566">
        <f t="shared" si="499"/>
        <v>0</v>
      </c>
      <c r="AV240" s="565">
        <f t="shared" si="499"/>
        <v>0</v>
      </c>
      <c r="AW240" s="566">
        <f t="shared" si="499"/>
        <v>0</v>
      </c>
      <c r="AX240" s="563">
        <v>7</v>
      </c>
      <c r="AY240" s="563">
        <v>12</v>
      </c>
      <c r="AZ240" s="564">
        <v>8</v>
      </c>
      <c r="BA240" s="563">
        <v>10</v>
      </c>
      <c r="BB240" s="566">
        <f t="shared" ref="BB240:CF240" si="500">+BB272*BB273</f>
        <v>15.945330296127564</v>
      </c>
      <c r="BC240" s="566">
        <f t="shared" si="500"/>
        <v>25.200000000000003</v>
      </c>
      <c r="BD240" s="565">
        <f t="shared" si="500"/>
        <v>16.8</v>
      </c>
      <c r="BE240" s="566">
        <f t="shared" si="500"/>
        <v>17</v>
      </c>
      <c r="BF240" s="566">
        <f t="shared" si="500"/>
        <v>25.512528473804103</v>
      </c>
      <c r="BG240" s="566">
        <f>+BG272*BG273</f>
        <v>40.320000000000007</v>
      </c>
      <c r="BH240" s="565">
        <f t="shared" si="500"/>
        <v>25.2</v>
      </c>
      <c r="BI240" s="566">
        <f t="shared" si="500"/>
        <v>23.799999999999997</v>
      </c>
      <c r="BJ240" s="566">
        <f t="shared" si="500"/>
        <v>35.71753986332574</v>
      </c>
      <c r="BK240" s="566">
        <f>+BK272*BK273</f>
        <v>56.448000000000008</v>
      </c>
      <c r="BL240" s="565">
        <f t="shared" si="500"/>
        <v>32.76</v>
      </c>
      <c r="BM240" s="566">
        <f t="shared" si="500"/>
        <v>29.512</v>
      </c>
      <c r="BN240" s="566">
        <f t="shared" si="500"/>
        <v>42.861047835990895</v>
      </c>
      <c r="BO240" s="566">
        <f>+BO272*BO273</f>
        <v>72.253440000000012</v>
      </c>
      <c r="BP240" s="565">
        <f>+BP272*BP273</f>
        <v>39.311999999999998</v>
      </c>
      <c r="BQ240" s="566">
        <f t="shared" si="500"/>
        <v>35.414400000000001</v>
      </c>
      <c r="BR240" s="566">
        <f>+BR272*BR273</f>
        <v>51.433257403189067</v>
      </c>
      <c r="BS240" s="566">
        <f>+BS272*BS273</f>
        <v>90.316800000000015</v>
      </c>
      <c r="BT240" s="565">
        <f>+BT272*BT273</f>
        <v>45.208799999999989</v>
      </c>
      <c r="BU240" s="566">
        <f t="shared" si="500"/>
        <v>39.664128000000005</v>
      </c>
      <c r="BV240" s="566">
        <f t="shared" si="500"/>
        <v>57.605248291571769</v>
      </c>
      <c r="BW240" s="566">
        <f>+BW272*BW273</f>
        <v>101.15481600000003</v>
      </c>
      <c r="BX240" s="565">
        <f t="shared" si="500"/>
        <v>50.633855999999994</v>
      </c>
      <c r="BY240" s="566">
        <f>+BY272*BY273</f>
        <v>43.630540800000006</v>
      </c>
      <c r="BZ240" s="566">
        <f t="shared" si="500"/>
        <v>63.365773120728946</v>
      </c>
      <c r="CA240" s="566">
        <f t="shared" si="500"/>
        <v>111.27029760000003</v>
      </c>
      <c r="CB240" s="565">
        <f t="shared" si="500"/>
        <v>55.697241599999998</v>
      </c>
      <c r="CC240" s="566">
        <f t="shared" si="500"/>
        <v>45.812067840000012</v>
      </c>
      <c r="CD240" s="566">
        <f t="shared" si="500"/>
        <v>66.534061776765398</v>
      </c>
      <c r="CE240" s="566">
        <f t="shared" si="500"/>
        <v>116.83381248000005</v>
      </c>
      <c r="CF240" s="565">
        <f t="shared" si="500"/>
        <v>58.482103680000009</v>
      </c>
      <c r="CG240" s="552"/>
      <c r="CH240" s="567"/>
      <c r="CI240" s="561"/>
      <c r="CJ240" s="563"/>
      <c r="CK240" s="563"/>
      <c r="CL240" s="563"/>
      <c r="CM240" s="563"/>
      <c r="CN240" s="566">
        <f>+SUM(AK240:AN240)</f>
        <v>0</v>
      </c>
      <c r="CO240" s="566">
        <f>+CO282*CO205</f>
        <v>0</v>
      </c>
      <c r="CP240" s="566">
        <f>+CP282*CP205</f>
        <v>0</v>
      </c>
      <c r="CQ240" s="566">
        <f>+SUM(AW240:AZ240)</f>
        <v>27</v>
      </c>
      <c r="CR240" s="566">
        <f>+SUM(BA240:BD240)</f>
        <v>67.945330296127565</v>
      </c>
      <c r="CS240" s="566">
        <f>+SUM(BE240:BH240)</f>
        <v>108.03252847380411</v>
      </c>
      <c r="CT240" s="566">
        <f>+SUM(BI240:BL240)</f>
        <v>148.72553986332574</v>
      </c>
      <c r="CU240" s="566">
        <f>SUM(BM240:BP240)</f>
        <v>183.93848783599088</v>
      </c>
      <c r="CV240" s="566">
        <f>SUM(BQ240:BT240)</f>
        <v>222.37325740318909</v>
      </c>
      <c r="CW240" s="566">
        <f>SUM(BU240:BX240)</f>
        <v>249.05804829157177</v>
      </c>
      <c r="CX240" s="566">
        <f>SUM(BY240:CB240)</f>
        <v>273.96385312072897</v>
      </c>
      <c r="CY240" s="566">
        <f>SUM(CC240:CF240)</f>
        <v>287.66204577676547</v>
      </c>
      <c r="CZ240" s="566">
        <f t="shared" ref="CZ240:DF240" si="501">+CZ272*CZ273</f>
        <v>299.16852760783615</v>
      </c>
      <c r="DA240" s="566">
        <f t="shared" si="501"/>
        <v>308.14358343607125</v>
      </c>
      <c r="DB240" s="566">
        <f t="shared" si="501"/>
        <v>314.30645510479269</v>
      </c>
      <c r="DC240" s="566">
        <f t="shared" si="501"/>
        <v>317.44951965584067</v>
      </c>
      <c r="DD240" s="566">
        <f t="shared" si="501"/>
        <v>317.44951965584067</v>
      </c>
      <c r="DE240" s="566">
        <f t="shared" si="501"/>
        <v>314.27502445928229</v>
      </c>
      <c r="DF240" s="565">
        <f t="shared" si="501"/>
        <v>311.13227421468946</v>
      </c>
      <c r="DG240" s="612"/>
      <c r="DH240" s="612"/>
    </row>
    <row r="241" spans="1:113" s="584" customFormat="1" ht="11.25" customHeight="1">
      <c r="A241" s="543"/>
      <c r="B241"/>
      <c r="C241"/>
      <c r="D241"/>
      <c r="E241"/>
      <c r="F241"/>
      <c r="G241"/>
      <c r="H241" s="1046"/>
      <c r="I241" s="544" t="s">
        <v>389</v>
      </c>
      <c r="J241" s="542"/>
      <c r="K241" s="542"/>
      <c r="L241" s="542"/>
      <c r="M241" s="581"/>
      <c r="N241" s="581"/>
      <c r="O241" s="581"/>
      <c r="P241" s="582"/>
      <c r="Q241" s="581"/>
      <c r="R241" s="581"/>
      <c r="S241" s="581"/>
      <c r="T241" s="582"/>
      <c r="U241" s="572"/>
      <c r="V241" s="572"/>
      <c r="W241" s="572"/>
      <c r="X241" s="573"/>
      <c r="Y241" s="572"/>
      <c r="Z241" s="572"/>
      <c r="AA241" s="572"/>
      <c r="AB241" s="573"/>
      <c r="AC241" s="572"/>
      <c r="AD241" s="572"/>
      <c r="AE241" s="572"/>
      <c r="AF241" s="573"/>
      <c r="AG241" s="572"/>
      <c r="AH241" s="572"/>
      <c r="AI241" s="572"/>
      <c r="AJ241" s="573"/>
      <c r="AK241" s="465">
        <f>+AK238+AK239</f>
        <v>47.900000000000006</v>
      </c>
      <c r="AL241" s="465">
        <f>+AL238+AL239</f>
        <v>90.4</v>
      </c>
      <c r="AM241" s="465">
        <f>+AM238+AM239</f>
        <v>131.80000000000001</v>
      </c>
      <c r="AN241" s="573">
        <v>102.9</v>
      </c>
      <c r="AO241" s="572">
        <v>103.8</v>
      </c>
      <c r="AP241" s="572">
        <v>164.5</v>
      </c>
      <c r="AQ241" s="572">
        <v>223.7</v>
      </c>
      <c r="AR241" s="573">
        <v>127.8</v>
      </c>
      <c r="AS241" s="572">
        <v>113.9</v>
      </c>
      <c r="AT241" s="572">
        <v>196.6</v>
      </c>
      <c r="AU241" s="572">
        <v>316</v>
      </c>
      <c r="AV241" s="573">
        <v>222.1</v>
      </c>
      <c r="AW241" s="572">
        <v>215</v>
      </c>
      <c r="AX241" s="572">
        <v>322</v>
      </c>
      <c r="AY241" s="572">
        <v>530</v>
      </c>
      <c r="AZ241" s="573">
        <v>374</v>
      </c>
      <c r="BA241" s="572">
        <v>388.2</v>
      </c>
      <c r="BB241" s="572">
        <v>612.1</v>
      </c>
      <c r="BC241" s="572">
        <v>952</v>
      </c>
      <c r="BD241" s="573">
        <v>609</v>
      </c>
      <c r="BE241" s="681">
        <v>617</v>
      </c>
      <c r="BF241" s="681">
        <v>859</v>
      </c>
      <c r="BG241" s="572">
        <v>1235</v>
      </c>
      <c r="BH241" s="682">
        <v>836</v>
      </c>
      <c r="BI241" s="681">
        <v>894</v>
      </c>
      <c r="BJ241" s="681">
        <v>1200</v>
      </c>
      <c r="BK241" s="572">
        <v>1755</v>
      </c>
      <c r="BL241" s="682">
        <v>1150</v>
      </c>
      <c r="BM241" s="681">
        <v>1210</v>
      </c>
      <c r="BN241" s="681">
        <v>1650</v>
      </c>
      <c r="BO241" s="572">
        <v>2320</v>
      </c>
      <c r="BP241" s="681">
        <v>1430</v>
      </c>
      <c r="BQ241" s="1719">
        <v>1400</v>
      </c>
      <c r="BR241" s="1849">
        <v>1800</v>
      </c>
      <c r="BS241" s="1849">
        <v>2600</v>
      </c>
      <c r="BT241" s="1922">
        <v>1600</v>
      </c>
      <c r="BU241" s="681">
        <v>1700</v>
      </c>
      <c r="BV241" s="681">
        <v>2100</v>
      </c>
      <c r="BW241" s="681">
        <v>3300</v>
      </c>
      <c r="BX241" s="682">
        <v>2000</v>
      </c>
      <c r="BY241" s="681">
        <v>2000</v>
      </c>
      <c r="BZ241" s="681">
        <v>2600</v>
      </c>
      <c r="CA241" s="681">
        <v>4000</v>
      </c>
      <c r="CB241" s="682">
        <v>2400</v>
      </c>
      <c r="CC241" s="465">
        <f>+CC249*CC250</f>
        <v>2446.106964386493</v>
      </c>
      <c r="CD241" s="465">
        <f>+CD249*CD250</f>
        <v>3192.3994294720287</v>
      </c>
      <c r="CE241" s="465">
        <f>+CE249*CE250</f>
        <v>4610.2365465750781</v>
      </c>
      <c r="CF241" s="466">
        <f>+CF249*CF250</f>
        <v>2986.7595188872074</v>
      </c>
      <c r="CG241" s="582"/>
      <c r="CH241" s="583"/>
      <c r="CI241" s="581"/>
      <c r="CJ241" s="572">
        <v>0</v>
      </c>
      <c r="CK241" s="465">
        <f>+(CL241)/(1+CL242)</f>
        <v>9.0165341962190322</v>
      </c>
      <c r="CL241" s="465">
        <f>+(CM241)/(1+CM242)</f>
        <v>66.992849077907408</v>
      </c>
      <c r="CM241" s="572">
        <v>178</v>
      </c>
      <c r="CN241" s="572">
        <v>369</v>
      </c>
      <c r="CO241" s="465">
        <f>+SUM(AO241:AR241)</f>
        <v>619.79999999999995</v>
      </c>
      <c r="CP241" s="465">
        <f>+SUM(AS241:AV241)</f>
        <v>848.6</v>
      </c>
      <c r="CQ241" s="465">
        <f>+SUM(CQ238:CQ240)</f>
        <v>1440.9999999999998</v>
      </c>
      <c r="CR241" s="465">
        <f>+SUM(CR238:CR240)</f>
        <v>2561.3000000000002</v>
      </c>
      <c r="CS241" s="465">
        <f>+SUM(CS238:CS240)</f>
        <v>3547.0000000000005</v>
      </c>
      <c r="CT241" s="465">
        <f>+SUM(BI241:BL241)</f>
        <v>4999</v>
      </c>
      <c r="CU241" s="465">
        <f>SUM(BM241:BP241)</f>
        <v>6610</v>
      </c>
      <c r="CV241" s="465">
        <f>SUM(BQ241:BT241)</f>
        <v>7400</v>
      </c>
      <c r="CW241" s="465">
        <f>SUM(BU241:BX241)</f>
        <v>9100</v>
      </c>
      <c r="CX241" s="465">
        <f>SUM(BY241:CB241)</f>
        <v>11000</v>
      </c>
      <c r="CY241" s="465">
        <f>SUM(CC241:CF241)</f>
        <v>13235.502459320807</v>
      </c>
      <c r="CZ241" s="465">
        <f t="shared" ref="CZ241:DF241" si="502">+CZ249*CZ250</f>
        <v>15208.628648779353</v>
      </c>
      <c r="DA241" s="465">
        <f t="shared" si="502"/>
        <v>17169.213347521163</v>
      </c>
      <c r="DB241" s="465">
        <f t="shared" si="502"/>
        <v>19055.154758706678</v>
      </c>
      <c r="DC241" s="465">
        <f t="shared" si="502"/>
        <v>20889.089696180949</v>
      </c>
      <c r="DD241" s="465">
        <f t="shared" si="502"/>
        <v>22690.524699662685</v>
      </c>
      <c r="DE241" s="465">
        <f t="shared" si="502"/>
        <v>24442.69500922145</v>
      </c>
      <c r="DF241" s="466">
        <f t="shared" si="502"/>
        <v>26332.652640967648</v>
      </c>
      <c r="DG241" s="632"/>
      <c r="DH241" s="632"/>
    </row>
    <row r="242" spans="1:113" s="51" customFormat="1" ht="11.25" customHeight="1">
      <c r="A242" s="82"/>
      <c r="B242"/>
      <c r="C242"/>
      <c r="D242"/>
      <c r="E242"/>
      <c r="F242"/>
      <c r="G242"/>
      <c r="H242" s="1044"/>
      <c r="I242" s="193" t="s">
        <v>376</v>
      </c>
      <c r="J242" s="83"/>
      <c r="K242" s="83"/>
      <c r="L242" s="82"/>
      <c r="M242" s="336"/>
      <c r="N242" s="336"/>
      <c r="O242" s="336"/>
      <c r="P242" s="337"/>
      <c r="Q242" s="336"/>
      <c r="R242" s="336"/>
      <c r="S242" s="336"/>
      <c r="T242" s="337"/>
      <c r="U242" s="328"/>
      <c r="V242" s="328"/>
      <c r="W242" s="328"/>
      <c r="X242" s="329"/>
      <c r="Y242" s="328"/>
      <c r="Z242" s="328"/>
      <c r="AA242" s="328"/>
      <c r="AB242" s="329"/>
      <c r="AC242" s="328"/>
      <c r="AD242" s="328"/>
      <c r="AE242" s="328"/>
      <c r="AF242" s="329"/>
      <c r="AG242" s="328"/>
      <c r="AH242" s="328"/>
      <c r="AI242" s="328"/>
      <c r="AJ242" s="329"/>
      <c r="AK242" s="328"/>
      <c r="AL242" s="328"/>
      <c r="AM242" s="328"/>
      <c r="AN242" s="329"/>
      <c r="AO242" s="338">
        <f t="shared" ref="AO242:CF242" si="503">+AO241/AK241-1</f>
        <v>1.1670146137787052</v>
      </c>
      <c r="AP242" s="338">
        <f t="shared" si="503"/>
        <v>0.81969026548672552</v>
      </c>
      <c r="AQ242" s="338">
        <f t="shared" si="503"/>
        <v>0.69726858877086473</v>
      </c>
      <c r="AR242" s="339">
        <f t="shared" si="503"/>
        <v>0.24198250728862969</v>
      </c>
      <c r="AS242" s="338">
        <f t="shared" si="503"/>
        <v>9.7302504816955793E-2</v>
      </c>
      <c r="AT242" s="338">
        <f t="shared" si="503"/>
        <v>0.19513677811550156</v>
      </c>
      <c r="AU242" s="338">
        <f t="shared" si="503"/>
        <v>0.41260616897630764</v>
      </c>
      <c r="AV242" s="339">
        <f t="shared" si="503"/>
        <v>0.7378716744913929</v>
      </c>
      <c r="AW242" s="338">
        <f t="shared" si="503"/>
        <v>0.88762071992976277</v>
      </c>
      <c r="AX242" s="338">
        <f t="shared" si="503"/>
        <v>0.63784333672431348</v>
      </c>
      <c r="AY242" s="338">
        <f t="shared" si="503"/>
        <v>0.67721518987341778</v>
      </c>
      <c r="AZ242" s="339">
        <f t="shared" si="503"/>
        <v>0.68392615938766332</v>
      </c>
      <c r="BA242" s="338">
        <f t="shared" si="503"/>
        <v>0.8055813953488371</v>
      </c>
      <c r="BB242" s="338">
        <f t="shared" si="503"/>
        <v>0.90093167701863353</v>
      </c>
      <c r="BC242" s="338">
        <f t="shared" si="503"/>
        <v>0.79622641509433967</v>
      </c>
      <c r="BD242" s="339">
        <f t="shared" si="503"/>
        <v>0.62834224598930488</v>
      </c>
      <c r="BE242" s="338">
        <f t="shared" si="503"/>
        <v>0.58938691396187526</v>
      </c>
      <c r="BF242" s="338">
        <f t="shared" si="503"/>
        <v>0.40336546315961441</v>
      </c>
      <c r="BG242" s="338">
        <f t="shared" si="503"/>
        <v>0.29726890756302526</v>
      </c>
      <c r="BH242" s="339">
        <f t="shared" si="503"/>
        <v>0.37274220032840732</v>
      </c>
      <c r="BI242" s="338">
        <f t="shared" si="503"/>
        <v>0.44894651539708263</v>
      </c>
      <c r="BJ242" s="338">
        <f t="shared" si="503"/>
        <v>0.39697322467986029</v>
      </c>
      <c r="BK242" s="338">
        <f t="shared" si="503"/>
        <v>0.42105263157894735</v>
      </c>
      <c r="BL242" s="339">
        <f t="shared" si="503"/>
        <v>0.37559808612440193</v>
      </c>
      <c r="BM242" s="338">
        <f t="shared" si="503"/>
        <v>0.3534675615212528</v>
      </c>
      <c r="BN242" s="338">
        <f t="shared" si="503"/>
        <v>0.375</v>
      </c>
      <c r="BO242" s="338">
        <f>+BO241/BK241-1</f>
        <v>0.32193732193732183</v>
      </c>
      <c r="BP242" s="338">
        <f>+BP241/BL241-1</f>
        <v>0.24347826086956514</v>
      </c>
      <c r="BQ242" s="372">
        <f>+BQ241/BM241-1</f>
        <v>0.15702479338842967</v>
      </c>
      <c r="BR242" s="338">
        <f t="shared" si="503"/>
        <v>9.0909090909090828E-2</v>
      </c>
      <c r="BS242" s="338">
        <f t="shared" si="503"/>
        <v>0.1206896551724137</v>
      </c>
      <c r="BT242" s="339">
        <f t="shared" si="503"/>
        <v>0.11888111888111896</v>
      </c>
      <c r="BU242" s="338">
        <f t="shared" si="503"/>
        <v>0.21428571428571419</v>
      </c>
      <c r="BV242" s="338">
        <f t="shared" si="503"/>
        <v>0.16666666666666674</v>
      </c>
      <c r="BW242" s="338">
        <f t="shared" si="503"/>
        <v>0.26923076923076916</v>
      </c>
      <c r="BX242" s="339">
        <f t="shared" si="503"/>
        <v>0.25</v>
      </c>
      <c r="BY242" s="338">
        <f t="shared" si="503"/>
        <v>0.17647058823529416</v>
      </c>
      <c r="BZ242" s="338">
        <f t="shared" si="503"/>
        <v>0.23809523809523814</v>
      </c>
      <c r="CA242" s="338">
        <f t="shared" si="503"/>
        <v>0.21212121212121215</v>
      </c>
      <c r="CB242" s="339">
        <f t="shared" si="503"/>
        <v>0.19999999999999996</v>
      </c>
      <c r="CC242" s="338">
        <f t="shared" si="503"/>
        <v>0.22305348219324661</v>
      </c>
      <c r="CD242" s="338">
        <f t="shared" si="503"/>
        <v>0.22784593441231871</v>
      </c>
      <c r="CE242" s="338">
        <f t="shared" si="503"/>
        <v>0.15255913664376952</v>
      </c>
      <c r="CF242" s="339">
        <f t="shared" si="503"/>
        <v>0.24448313286966972</v>
      </c>
      <c r="CG242" s="337"/>
      <c r="CH242" s="367"/>
      <c r="CI242" s="336"/>
      <c r="CJ242" s="328"/>
      <c r="CK242" s="328" t="s">
        <v>185</v>
      </c>
      <c r="CL242" s="328">
        <v>6.43</v>
      </c>
      <c r="CM242" s="328">
        <v>1.657</v>
      </c>
      <c r="CN242" s="338">
        <f t="shared" ref="CN242:CY242" si="504">+CN241/CM241-1</f>
        <v>1.0730337078651684</v>
      </c>
      <c r="CO242" s="338">
        <f t="shared" si="504"/>
        <v>0.67967479674796727</v>
      </c>
      <c r="CP242" s="338">
        <f t="shared" si="504"/>
        <v>0.36915133914165876</v>
      </c>
      <c r="CQ242" s="338">
        <f t="shared" si="504"/>
        <v>0.69809097336789971</v>
      </c>
      <c r="CR242" s="338">
        <f t="shared" si="504"/>
        <v>0.77744621790423363</v>
      </c>
      <c r="CS242" s="338">
        <f t="shared" si="504"/>
        <v>0.38484363409206268</v>
      </c>
      <c r="CT242" s="338">
        <f t="shared" si="504"/>
        <v>0.40936002255427106</v>
      </c>
      <c r="CU242" s="338">
        <f t="shared" si="504"/>
        <v>0.32226445289057803</v>
      </c>
      <c r="CV242" s="338">
        <f t="shared" si="504"/>
        <v>0.11951588502269295</v>
      </c>
      <c r="CW242" s="338">
        <f t="shared" si="504"/>
        <v>0.22972972972972983</v>
      </c>
      <c r="CX242" s="338">
        <f t="shared" si="504"/>
        <v>0.20879120879120872</v>
      </c>
      <c r="CY242" s="338">
        <f t="shared" si="504"/>
        <v>0.20322749630189163</v>
      </c>
      <c r="CZ242" s="338">
        <f t="shared" ref="CZ242:DF242" si="505">+CZ241/CY241-1</f>
        <v>0.1490782987289625</v>
      </c>
      <c r="DA242" s="338">
        <f t="shared" si="505"/>
        <v>0.12891265504724947</v>
      </c>
      <c r="DB242" s="338">
        <f t="shared" si="505"/>
        <v>0.10984436927960939</v>
      </c>
      <c r="DC242" s="338">
        <f t="shared" si="505"/>
        <v>9.6243507895747094E-2</v>
      </c>
      <c r="DD242" s="338">
        <f t="shared" si="505"/>
        <v>8.6238080724555743E-2</v>
      </c>
      <c r="DE242" s="338">
        <f t="shared" si="505"/>
        <v>7.7220352228558831E-2</v>
      </c>
      <c r="DF242" s="339">
        <f t="shared" si="505"/>
        <v>7.7321982335956774E-2</v>
      </c>
      <c r="DG242" s="308"/>
      <c r="DH242" s="308"/>
    </row>
    <row r="243" spans="1:113" s="51" customFormat="1" ht="11.25" customHeight="1">
      <c r="A243" s="82"/>
      <c r="B243"/>
      <c r="C243"/>
      <c r="D243"/>
      <c r="E243"/>
      <c r="F243"/>
      <c r="G243"/>
      <c r="H243" s="1044"/>
      <c r="I243" s="193" t="s">
        <v>144</v>
      </c>
      <c r="J243" s="83"/>
      <c r="K243" s="83"/>
      <c r="L243" s="82"/>
      <c r="M243" s="328"/>
      <c r="N243" s="328"/>
      <c r="O243" s="328"/>
      <c r="P243" s="329"/>
      <c r="Q243" s="328"/>
      <c r="R243" s="328"/>
      <c r="S243" s="328"/>
      <c r="T243" s="329"/>
      <c r="U243" s="338">
        <f t="shared" ref="U243:AZ243" si="506">+U242+Q242</f>
        <v>0</v>
      </c>
      <c r="V243" s="338">
        <f t="shared" si="506"/>
        <v>0</v>
      </c>
      <c r="W243" s="338">
        <f t="shared" si="506"/>
        <v>0</v>
      </c>
      <c r="X243" s="339">
        <f t="shared" si="506"/>
        <v>0</v>
      </c>
      <c r="Y243" s="338">
        <f t="shared" si="506"/>
        <v>0</v>
      </c>
      <c r="Z243" s="338">
        <f t="shared" si="506"/>
        <v>0</v>
      </c>
      <c r="AA243" s="338">
        <f t="shared" si="506"/>
        <v>0</v>
      </c>
      <c r="AB243" s="339">
        <f t="shared" si="506"/>
        <v>0</v>
      </c>
      <c r="AC243" s="338">
        <f t="shared" si="506"/>
        <v>0</v>
      </c>
      <c r="AD243" s="338">
        <f t="shared" si="506"/>
        <v>0</v>
      </c>
      <c r="AE243" s="338">
        <f t="shared" si="506"/>
        <v>0</v>
      </c>
      <c r="AF243" s="339">
        <f t="shared" si="506"/>
        <v>0</v>
      </c>
      <c r="AG243" s="338">
        <f t="shared" si="506"/>
        <v>0</v>
      </c>
      <c r="AH243" s="338">
        <f t="shared" si="506"/>
        <v>0</v>
      </c>
      <c r="AI243" s="338">
        <f t="shared" si="506"/>
        <v>0</v>
      </c>
      <c r="AJ243" s="339">
        <f t="shared" si="506"/>
        <v>0</v>
      </c>
      <c r="AK243" s="338">
        <f t="shared" si="506"/>
        <v>0</v>
      </c>
      <c r="AL243" s="338">
        <f t="shared" si="506"/>
        <v>0</v>
      </c>
      <c r="AM243" s="338">
        <f t="shared" si="506"/>
        <v>0</v>
      </c>
      <c r="AN243" s="339">
        <f t="shared" si="506"/>
        <v>0</v>
      </c>
      <c r="AO243" s="338">
        <f t="shared" si="506"/>
        <v>1.1670146137787052</v>
      </c>
      <c r="AP243" s="338">
        <f t="shared" si="506"/>
        <v>0.81969026548672552</v>
      </c>
      <c r="AQ243" s="338">
        <f t="shared" si="506"/>
        <v>0.69726858877086473</v>
      </c>
      <c r="AR243" s="339">
        <f t="shared" si="506"/>
        <v>0.24198250728862969</v>
      </c>
      <c r="AS243" s="338">
        <f t="shared" si="506"/>
        <v>1.264317118595661</v>
      </c>
      <c r="AT243" s="338">
        <f t="shared" si="506"/>
        <v>1.0148270436022271</v>
      </c>
      <c r="AU243" s="338">
        <f t="shared" si="506"/>
        <v>1.1098747577471724</v>
      </c>
      <c r="AV243" s="339">
        <f t="shared" si="506"/>
        <v>0.97985418178002259</v>
      </c>
      <c r="AW243" s="338">
        <f t="shared" si="506"/>
        <v>0.98492322474671856</v>
      </c>
      <c r="AX243" s="338">
        <f t="shared" si="506"/>
        <v>0.83298011483981504</v>
      </c>
      <c r="AY243" s="338">
        <f t="shared" si="506"/>
        <v>1.0898213588497254</v>
      </c>
      <c r="AZ243" s="339">
        <f t="shared" si="506"/>
        <v>1.4217978338790562</v>
      </c>
      <c r="BA243" s="338">
        <f t="shared" ref="BA243:CF243" si="507">+BA242+AW242</f>
        <v>1.6932021152785999</v>
      </c>
      <c r="BB243" s="338">
        <f t="shared" si="507"/>
        <v>1.538775013742947</v>
      </c>
      <c r="BC243" s="338">
        <f t="shared" si="507"/>
        <v>1.4734416049677574</v>
      </c>
      <c r="BD243" s="339">
        <f t="shared" si="507"/>
        <v>1.3122684053769682</v>
      </c>
      <c r="BE243" s="338">
        <f t="shared" si="507"/>
        <v>1.3949683093107124</v>
      </c>
      <c r="BF243" s="338">
        <f t="shared" si="507"/>
        <v>1.3042971401782479</v>
      </c>
      <c r="BG243" s="338">
        <f t="shared" si="507"/>
        <v>1.0934953226573649</v>
      </c>
      <c r="BH243" s="339">
        <f t="shared" si="507"/>
        <v>1.0010844463177122</v>
      </c>
      <c r="BI243" s="338">
        <f t="shared" si="507"/>
        <v>1.0383334293589579</v>
      </c>
      <c r="BJ243" s="338">
        <f t="shared" si="507"/>
        <v>0.80033868783947471</v>
      </c>
      <c r="BK243" s="338">
        <f t="shared" si="507"/>
        <v>0.71832153914197261</v>
      </c>
      <c r="BL243" s="339">
        <f t="shared" si="507"/>
        <v>0.74834028645280926</v>
      </c>
      <c r="BM243" s="338">
        <f t="shared" si="507"/>
        <v>0.80241407691833544</v>
      </c>
      <c r="BN243" s="338">
        <f t="shared" si="507"/>
        <v>0.77197322467986029</v>
      </c>
      <c r="BO243" s="338">
        <f>+BO242+BK242</f>
        <v>0.74298995351626917</v>
      </c>
      <c r="BP243" s="338">
        <f t="shared" si="507"/>
        <v>0.61907634699396707</v>
      </c>
      <c r="BQ243" s="372">
        <f t="shared" si="507"/>
        <v>0.51049235490968248</v>
      </c>
      <c r="BR243" s="338">
        <f t="shared" si="507"/>
        <v>0.46590909090909083</v>
      </c>
      <c r="BS243" s="338">
        <f t="shared" si="507"/>
        <v>0.44262697710973553</v>
      </c>
      <c r="BT243" s="339">
        <f t="shared" si="507"/>
        <v>0.36235937975068411</v>
      </c>
      <c r="BU243" s="338">
        <f t="shared" si="507"/>
        <v>0.37131050767414386</v>
      </c>
      <c r="BV243" s="338">
        <f t="shared" si="507"/>
        <v>0.25757575757575757</v>
      </c>
      <c r="BW243" s="338">
        <f t="shared" si="507"/>
        <v>0.38992042440318286</v>
      </c>
      <c r="BX243" s="339">
        <f t="shared" si="507"/>
        <v>0.36888111888111896</v>
      </c>
      <c r="BY243" s="338">
        <f t="shared" si="507"/>
        <v>0.39075630252100835</v>
      </c>
      <c r="BZ243" s="338">
        <f t="shared" si="507"/>
        <v>0.40476190476190488</v>
      </c>
      <c r="CA243" s="338">
        <f t="shared" si="507"/>
        <v>0.48135198135198132</v>
      </c>
      <c r="CB243" s="339">
        <f t="shared" si="507"/>
        <v>0.44999999999999996</v>
      </c>
      <c r="CC243" s="338">
        <f t="shared" si="507"/>
        <v>0.39952407042854077</v>
      </c>
      <c r="CD243" s="338">
        <f t="shared" si="507"/>
        <v>0.46594117250755684</v>
      </c>
      <c r="CE243" s="338">
        <f t="shared" si="507"/>
        <v>0.36468034876498168</v>
      </c>
      <c r="CF243" s="339">
        <f t="shared" si="507"/>
        <v>0.44448313286966967</v>
      </c>
      <c r="CG243" s="337"/>
      <c r="CH243" s="340"/>
      <c r="CI243" s="328"/>
      <c r="CJ243" s="338"/>
      <c r="CK243" s="1714"/>
      <c r="CL243" s="338"/>
      <c r="CM243" s="338">
        <f t="shared" ref="CM243:CY243" si="508">+CM242+CL242</f>
        <v>8.0869999999999997</v>
      </c>
      <c r="CN243" s="338">
        <f t="shared" si="508"/>
        <v>2.7300337078651684</v>
      </c>
      <c r="CO243" s="338">
        <f t="shared" si="508"/>
        <v>1.7527085046131357</v>
      </c>
      <c r="CP243" s="338">
        <f t="shared" si="508"/>
        <v>1.048826135889626</v>
      </c>
      <c r="CQ243" s="338">
        <f t="shared" si="508"/>
        <v>1.0672423125095585</v>
      </c>
      <c r="CR243" s="338">
        <f t="shared" si="508"/>
        <v>1.4755371912721333</v>
      </c>
      <c r="CS243" s="338">
        <f t="shared" si="508"/>
        <v>1.1622898519962963</v>
      </c>
      <c r="CT243" s="338">
        <f t="shared" si="508"/>
        <v>0.79420365664633374</v>
      </c>
      <c r="CU243" s="338">
        <f t="shared" si="508"/>
        <v>0.7316244754448491</v>
      </c>
      <c r="CV243" s="338">
        <f t="shared" si="508"/>
        <v>0.44178033791327098</v>
      </c>
      <c r="CW243" s="338">
        <f t="shared" si="508"/>
        <v>0.34924561475242277</v>
      </c>
      <c r="CX243" s="338">
        <f t="shared" si="508"/>
        <v>0.43852093852093854</v>
      </c>
      <c r="CY243" s="338">
        <f t="shared" si="508"/>
        <v>0.41201870509310035</v>
      </c>
      <c r="CZ243" s="338">
        <f t="shared" ref="CZ243:DF243" si="509">+CZ242+CY242</f>
        <v>0.35230579503085413</v>
      </c>
      <c r="DA243" s="338">
        <f t="shared" si="509"/>
        <v>0.27799095377621197</v>
      </c>
      <c r="DB243" s="338">
        <f t="shared" si="509"/>
        <v>0.23875702432685886</v>
      </c>
      <c r="DC243" s="338">
        <f t="shared" si="509"/>
        <v>0.20608787717535648</v>
      </c>
      <c r="DD243" s="338">
        <f t="shared" si="509"/>
        <v>0.18248158862030284</v>
      </c>
      <c r="DE243" s="338">
        <f t="shared" si="509"/>
        <v>0.16345843295311457</v>
      </c>
      <c r="DF243" s="339">
        <f t="shared" si="509"/>
        <v>0.1545423345645156</v>
      </c>
      <c r="DG243" s="308"/>
      <c r="DH243" s="308"/>
    </row>
    <row r="244" spans="1:113" s="51" customFormat="1" ht="11.25" customHeight="1">
      <c r="A244" s="82"/>
      <c r="B244"/>
      <c r="C244"/>
      <c r="D244"/>
      <c r="E244"/>
      <c r="F244"/>
      <c r="G244"/>
      <c r="H244" s="1047"/>
      <c r="I244" s="544" t="s">
        <v>665</v>
      </c>
      <c r="J244" s="83"/>
      <c r="K244" s="83"/>
      <c r="L244" s="82"/>
      <c r="M244" s="336"/>
      <c r="N244" s="336"/>
      <c r="O244" s="336"/>
      <c r="P244" s="337"/>
      <c r="Q244" s="336"/>
      <c r="R244" s="336"/>
      <c r="S244" s="336"/>
      <c r="T244" s="337"/>
      <c r="U244" s="328"/>
      <c r="V244" s="328"/>
      <c r="W244" s="328"/>
      <c r="X244" s="329"/>
      <c r="Y244" s="328"/>
      <c r="Z244" s="328"/>
      <c r="AA244" s="328"/>
      <c r="AB244" s="329"/>
      <c r="AC244" s="328"/>
      <c r="AD244" s="328"/>
      <c r="AE244" s="328"/>
      <c r="AF244" s="329"/>
      <c r="AG244" s="338"/>
      <c r="AH244" s="338"/>
      <c r="AI244" s="338"/>
      <c r="AJ244" s="339"/>
      <c r="AK244" s="338"/>
      <c r="AL244" s="338"/>
      <c r="AM244" s="338"/>
      <c r="AN244" s="339"/>
      <c r="AO244" s="338"/>
      <c r="AP244" s="338"/>
      <c r="AQ244" s="338"/>
      <c r="AR244" s="339"/>
      <c r="AS244" s="338"/>
      <c r="AT244" s="338"/>
      <c r="AU244" s="338"/>
      <c r="AV244" s="339"/>
      <c r="AW244" s="338"/>
      <c r="AX244" s="338"/>
      <c r="AY244" s="338"/>
      <c r="AZ244" s="339"/>
      <c r="BA244" s="338"/>
      <c r="BB244" s="338"/>
      <c r="BC244" s="338"/>
      <c r="BD244" s="339"/>
      <c r="BE244" s="338"/>
      <c r="BF244" s="338"/>
      <c r="BG244" s="338"/>
      <c r="BH244" s="339"/>
      <c r="BI244" s="465">
        <f t="shared" ref="BI244:BP244" si="510">+BE241*(1+BI245)</f>
        <v>894.65</v>
      </c>
      <c r="BJ244" s="465">
        <f t="shared" si="510"/>
        <v>1194.0100000000002</v>
      </c>
      <c r="BK244" s="465">
        <f t="shared" si="510"/>
        <v>1716.65</v>
      </c>
      <c r="BL244" s="466">
        <f t="shared" si="510"/>
        <v>1153.6799999999998</v>
      </c>
      <c r="BM244" s="635">
        <f t="shared" si="510"/>
        <v>1224.7800000000002</v>
      </c>
      <c r="BN244" s="465">
        <f t="shared" si="510"/>
        <v>1631.9999999999998</v>
      </c>
      <c r="BO244" s="465">
        <f t="shared" si="510"/>
        <v>2334.15</v>
      </c>
      <c r="BP244" s="466">
        <f t="shared" si="510"/>
        <v>1518</v>
      </c>
      <c r="BQ244" s="635">
        <f t="shared" ref="BQ244:CF244" si="511">+BQ45-BQ216-BQ312-BQ324</f>
        <v>1584.3057200000005</v>
      </c>
      <c r="BR244" s="465">
        <f t="shared" si="511"/>
        <v>2079.66896</v>
      </c>
      <c r="BS244" s="465">
        <f t="shared" si="511"/>
        <v>3032.4896200000003</v>
      </c>
      <c r="BT244" s="466">
        <f t="shared" si="511"/>
        <v>1780.47955</v>
      </c>
      <c r="BU244" s="465">
        <f t="shared" si="511"/>
        <v>1804.2897200000004</v>
      </c>
      <c r="BV244" s="465">
        <f t="shared" si="511"/>
        <v>2139.8110799999995</v>
      </c>
      <c r="BW244" s="465">
        <f t="shared" si="511"/>
        <v>3336.0938599999995</v>
      </c>
      <c r="BX244" s="465">
        <f t="shared" si="511"/>
        <v>2054.0739199999998</v>
      </c>
      <c r="BY244" s="635">
        <f t="shared" si="511"/>
        <v>2230.4664999999995</v>
      </c>
      <c r="BZ244" s="465">
        <f t="shared" si="511"/>
        <v>2661.1603200000004</v>
      </c>
      <c r="CA244" s="465">
        <f t="shared" si="511"/>
        <v>3896.4319700000005</v>
      </c>
      <c r="CB244" s="466">
        <f t="shared" si="511"/>
        <v>2293.3993700000001</v>
      </c>
      <c r="CC244" s="635">
        <f t="shared" si="511"/>
        <v>2302.0558704332229</v>
      </c>
      <c r="CD244" s="465">
        <f t="shared" si="511"/>
        <v>3089.1246549932894</v>
      </c>
      <c r="CE244" s="465">
        <f t="shared" si="511"/>
        <v>4630.1743378160309</v>
      </c>
      <c r="CF244" s="466">
        <f t="shared" si="511"/>
        <v>2884.7649488603474</v>
      </c>
      <c r="CG244" s="337"/>
      <c r="CH244" s="367"/>
      <c r="CI244" s="336"/>
      <c r="CJ244" s="328"/>
      <c r="CK244" s="328"/>
      <c r="CL244" s="328"/>
      <c r="CM244" s="338"/>
      <c r="CN244" s="338"/>
      <c r="CO244" s="338"/>
      <c r="CP244" s="338"/>
      <c r="CQ244" s="338"/>
      <c r="CR244" s="338"/>
      <c r="CS244" s="338"/>
      <c r="CT244" s="338"/>
      <c r="CU244" s="338"/>
      <c r="CV244" s="338"/>
      <c r="CW244" s="338"/>
      <c r="CX244" s="338"/>
      <c r="CY244" s="338"/>
      <c r="CZ244" s="338"/>
      <c r="DA244" s="338"/>
      <c r="DB244" s="338"/>
      <c r="DC244" s="338"/>
      <c r="DD244" s="338"/>
      <c r="DE244" s="338"/>
      <c r="DF244" s="339"/>
      <c r="DG244" s="308"/>
      <c r="DH244" s="308"/>
    </row>
    <row r="245" spans="1:113" s="51" customFormat="1" ht="11.25" customHeight="1">
      <c r="A245" s="82"/>
      <c r="B245"/>
      <c r="C245"/>
      <c r="D245"/>
      <c r="E245"/>
      <c r="F245"/>
      <c r="G245"/>
      <c r="H245" s="1047"/>
      <c r="I245" s="192" t="s">
        <v>539</v>
      </c>
      <c r="J245" s="83"/>
      <c r="K245" s="83"/>
      <c r="L245" s="82"/>
      <c r="M245" s="336"/>
      <c r="N245" s="336"/>
      <c r="O245" s="336"/>
      <c r="P245" s="337"/>
      <c r="Q245" s="336"/>
      <c r="R245" s="336"/>
      <c r="S245" s="336"/>
      <c r="T245" s="337"/>
      <c r="U245" s="328"/>
      <c r="V245" s="328"/>
      <c r="W245" s="328"/>
      <c r="X245" s="329"/>
      <c r="Y245" s="328"/>
      <c r="Z245" s="328"/>
      <c r="AA245" s="328"/>
      <c r="AB245" s="329"/>
      <c r="AC245" s="328"/>
      <c r="AD245" s="328"/>
      <c r="AE245" s="328"/>
      <c r="AF245" s="329"/>
      <c r="AG245" s="338"/>
      <c r="AH245" s="338"/>
      <c r="AI245" s="338"/>
      <c r="AJ245" s="339"/>
      <c r="AK245" s="338"/>
      <c r="AL245" s="338"/>
      <c r="AM245" s="338"/>
      <c r="AN245" s="339"/>
      <c r="AO245" s="338"/>
      <c r="AP245" s="338"/>
      <c r="AQ245" s="338"/>
      <c r="AR245" s="339"/>
      <c r="AS245" s="338"/>
      <c r="AT245" s="338"/>
      <c r="AU245" s="338"/>
      <c r="AV245" s="339"/>
      <c r="AW245" s="338"/>
      <c r="AX245" s="338"/>
      <c r="AY245" s="338"/>
      <c r="AZ245" s="339"/>
      <c r="BA245" s="338"/>
      <c r="BB245" s="338"/>
      <c r="BC245" s="338"/>
      <c r="BD245" s="339"/>
      <c r="BE245" s="338"/>
      <c r="BF245" s="338"/>
      <c r="BG245" s="338"/>
      <c r="BH245" s="339"/>
      <c r="BI245" s="345">
        <v>0.45</v>
      </c>
      <c r="BJ245" s="345">
        <v>0.39</v>
      </c>
      <c r="BK245" s="345">
        <v>0.39</v>
      </c>
      <c r="BL245" s="346">
        <v>0.38</v>
      </c>
      <c r="BM245" s="1728">
        <v>0.37</v>
      </c>
      <c r="BN245" s="345">
        <v>0.36</v>
      </c>
      <c r="BO245" s="345">
        <v>0.33</v>
      </c>
      <c r="BP245" s="346">
        <v>0.32</v>
      </c>
      <c r="BQ245" s="1510">
        <f>+BQ244/BM241-1</f>
        <v>0.30934357024793435</v>
      </c>
      <c r="BR245" s="347">
        <f>+BR244/BN241-1</f>
        <v>0.26040543030303032</v>
      </c>
      <c r="BS245" s="347">
        <f>+BS244/BO241-1</f>
        <v>0.30710759482758632</v>
      </c>
      <c r="BT245" s="348">
        <f>+BT244/BP241-1</f>
        <v>0.24509059440559433</v>
      </c>
      <c r="BU245" s="347">
        <f t="shared" ref="BU245:CF245" si="512">+BU244/BQ241-1</f>
        <v>0.28877837142857166</v>
      </c>
      <c r="BV245" s="347">
        <f t="shared" si="512"/>
        <v>0.18878393333333299</v>
      </c>
      <c r="BW245" s="347">
        <f t="shared" si="512"/>
        <v>0.28311302307692299</v>
      </c>
      <c r="BX245" s="347">
        <f t="shared" si="512"/>
        <v>0.28379619999999983</v>
      </c>
      <c r="BY245" s="1510">
        <f t="shared" si="512"/>
        <v>0.31203911764705849</v>
      </c>
      <c r="BZ245" s="347">
        <f t="shared" si="512"/>
        <v>0.26721920000000021</v>
      </c>
      <c r="CA245" s="347">
        <f t="shared" si="512"/>
        <v>0.1807369606060607</v>
      </c>
      <c r="CB245" s="348">
        <f t="shared" si="512"/>
        <v>0.14669968499999997</v>
      </c>
      <c r="CC245" s="1510">
        <f t="shared" si="512"/>
        <v>0.15102793521661151</v>
      </c>
      <c r="CD245" s="347">
        <f t="shared" si="512"/>
        <v>0.18812486730511124</v>
      </c>
      <c r="CE245" s="347">
        <f t="shared" si="512"/>
        <v>0.15754358445400762</v>
      </c>
      <c r="CF245" s="348">
        <f t="shared" si="512"/>
        <v>0.20198539535847804</v>
      </c>
      <c r="CG245" s="337"/>
      <c r="CH245" s="367"/>
      <c r="CI245" s="336"/>
      <c r="CJ245" s="328"/>
      <c r="CK245" s="328"/>
      <c r="CL245" s="328"/>
      <c r="CM245" s="338"/>
      <c r="CN245" s="338"/>
      <c r="CO245" s="338"/>
      <c r="CP245" s="338"/>
      <c r="CQ245" s="338"/>
      <c r="CR245" s="338"/>
      <c r="CS245" s="338"/>
      <c r="CT245" s="338"/>
      <c r="CU245" s="338"/>
      <c r="CV245" s="338"/>
      <c r="CW245" s="338"/>
      <c r="CX245" s="338"/>
      <c r="CY245" s="338"/>
      <c r="CZ245" s="465"/>
      <c r="DA245" s="338"/>
      <c r="DB245" s="338"/>
      <c r="DC245" s="338"/>
      <c r="DD245" s="338"/>
      <c r="DE245" s="338"/>
      <c r="DF245" s="339"/>
      <c r="DG245" s="308"/>
      <c r="DH245" s="308"/>
    </row>
    <row r="246" spans="1:113" s="68" customFormat="1" ht="11.25" customHeight="1">
      <c r="A246" s="24"/>
      <c r="B246"/>
      <c r="C246"/>
      <c r="D246"/>
      <c r="E246"/>
      <c r="F246"/>
      <c r="G246"/>
      <c r="H246" s="1044"/>
      <c r="I246" s="664"/>
      <c r="J246" s="665"/>
      <c r="K246" s="665"/>
      <c r="L246" s="665"/>
      <c r="M246" s="666"/>
      <c r="N246" s="666"/>
      <c r="O246" s="666"/>
      <c r="P246" s="667"/>
      <c r="Q246" s="666"/>
      <c r="R246" s="666"/>
      <c r="S246" s="666"/>
      <c r="T246" s="667"/>
      <c r="U246" s="668"/>
      <c r="V246" s="668"/>
      <c r="W246" s="668"/>
      <c r="X246" s="669"/>
      <c r="Y246" s="668"/>
      <c r="Z246" s="668"/>
      <c r="AA246" s="668"/>
      <c r="AB246" s="669"/>
      <c r="AC246" s="668"/>
      <c r="AD246" s="668"/>
      <c r="AE246" s="668"/>
      <c r="AF246" s="669"/>
      <c r="AG246" s="668"/>
      <c r="AH246" s="668"/>
      <c r="AI246" s="668"/>
      <c r="AJ246" s="669"/>
      <c r="AK246" s="668"/>
      <c r="AL246" s="668"/>
      <c r="AM246" s="668"/>
      <c r="AN246" s="669"/>
      <c r="AO246" s="668"/>
      <c r="AP246" s="668"/>
      <c r="AQ246" s="668"/>
      <c r="AR246" s="669"/>
      <c r="AS246" s="668"/>
      <c r="AT246" s="668"/>
      <c r="AU246" s="668"/>
      <c r="AV246" s="669"/>
      <c r="AW246" s="668"/>
      <c r="AX246" s="668"/>
      <c r="AY246" s="668"/>
      <c r="AZ246" s="669"/>
      <c r="BA246" s="670"/>
      <c r="BB246" s="670"/>
      <c r="BC246" s="670"/>
      <c r="BD246" s="671"/>
      <c r="BE246" s="666"/>
      <c r="BF246" s="666"/>
      <c r="BG246" s="666"/>
      <c r="BH246" s="672"/>
      <c r="BI246" s="673"/>
      <c r="BJ246" s="673"/>
      <c r="BK246" s="673"/>
      <c r="BL246" s="674"/>
      <c r="BM246" s="673"/>
      <c r="BN246" s="673"/>
      <c r="BO246" s="673"/>
      <c r="BP246" s="662"/>
      <c r="BQ246" s="1407"/>
      <c r="BR246" s="662"/>
      <c r="BS246" s="662"/>
      <c r="BT246" s="663"/>
      <c r="BU246" s="662"/>
      <c r="BV246" s="662"/>
      <c r="BW246" s="662"/>
      <c r="BX246" s="663"/>
      <c r="BY246" s="662"/>
      <c r="BZ246" s="662"/>
      <c r="CA246" s="662"/>
      <c r="CB246" s="663"/>
      <c r="CC246" s="662"/>
      <c r="CD246" s="662"/>
      <c r="CE246" s="662"/>
      <c r="CF246" s="663"/>
      <c r="CG246" s="405"/>
      <c r="CH246" s="675"/>
      <c r="CI246" s="666"/>
      <c r="CJ246" s="668"/>
      <c r="CK246" s="668"/>
      <c r="CL246" s="668"/>
      <c r="CM246" s="668"/>
      <c r="CN246" s="668"/>
      <c r="CO246" s="668"/>
      <c r="CP246" s="668"/>
      <c r="CQ246" s="662"/>
      <c r="CR246" s="662"/>
      <c r="CS246" s="662"/>
      <c r="CT246" s="668"/>
      <c r="CU246" s="662"/>
      <c r="CV246" s="676"/>
      <c r="CW246" s="662"/>
      <c r="CX246" s="662"/>
      <c r="CY246" s="662"/>
      <c r="CZ246" s="1700"/>
      <c r="DA246" s="662"/>
      <c r="DB246" s="662"/>
      <c r="DC246" s="662"/>
      <c r="DD246" s="662"/>
      <c r="DE246" s="662"/>
      <c r="DF246" s="663"/>
      <c r="DG246" s="1180"/>
      <c r="DH246" s="1180"/>
    </row>
    <row r="247" spans="1:113" ht="11.25" customHeight="1">
      <c r="I247" s="70"/>
      <c r="J247" s="70"/>
      <c r="K247" s="70"/>
      <c r="M247" s="315"/>
      <c r="N247" s="315"/>
      <c r="O247" s="315"/>
      <c r="P247" s="315"/>
      <c r="Q247" s="315"/>
      <c r="R247" s="315"/>
      <c r="S247" s="315"/>
      <c r="T247" s="315"/>
      <c r="U247" s="328"/>
      <c r="V247" s="328"/>
      <c r="W247" s="328"/>
      <c r="X247" s="328"/>
      <c r="Y247" s="328"/>
      <c r="Z247" s="328"/>
      <c r="AA247" s="328"/>
      <c r="AB247" s="328"/>
      <c r="AC247" s="328"/>
      <c r="AD247" s="328"/>
      <c r="AE247" s="328"/>
      <c r="AF247" s="328"/>
      <c r="AG247" s="328"/>
      <c r="AH247" s="328"/>
      <c r="AI247" s="328"/>
      <c r="AJ247" s="328"/>
      <c r="AK247" s="328"/>
      <c r="AL247" s="328"/>
      <c r="AM247" s="328"/>
      <c r="AN247" s="328"/>
      <c r="AO247" s="328"/>
      <c r="AP247" s="328"/>
      <c r="AQ247" s="328"/>
      <c r="AR247" s="328"/>
      <c r="AS247" s="328"/>
      <c r="AT247" s="328"/>
      <c r="AU247" s="328"/>
      <c r="AV247" s="328"/>
      <c r="AW247" s="328"/>
      <c r="AX247" s="328"/>
      <c r="AY247" s="328"/>
      <c r="AZ247" s="328"/>
      <c r="BA247" s="328"/>
      <c r="BB247" s="328"/>
      <c r="BC247" s="328"/>
      <c r="BD247" s="328"/>
      <c r="BE247" s="328"/>
      <c r="BF247" s="328"/>
      <c r="BG247" s="328"/>
      <c r="BH247" s="328"/>
      <c r="BI247" s="328"/>
      <c r="BJ247" s="328"/>
      <c r="BK247" s="328"/>
      <c r="BL247" s="328"/>
      <c r="BM247" s="357"/>
      <c r="BN247" s="357"/>
      <c r="BO247" s="357"/>
      <c r="BP247" s="357"/>
      <c r="BQ247" s="470"/>
      <c r="BR247" s="470"/>
      <c r="BS247" s="470"/>
      <c r="BT247" s="470"/>
      <c r="BU247" s="470"/>
      <c r="BV247" s="470"/>
      <c r="BW247" s="470"/>
      <c r="BX247" s="470"/>
      <c r="BY247" s="328"/>
      <c r="BZ247" s="328"/>
      <c r="CA247" s="328"/>
      <c r="CB247" s="328"/>
      <c r="CC247" s="328"/>
      <c r="CD247" s="328"/>
      <c r="CE247" s="328"/>
      <c r="CF247" s="328"/>
      <c r="CG247" s="315"/>
      <c r="CH247" s="315"/>
      <c r="CI247" s="315"/>
      <c r="CJ247" s="328"/>
      <c r="CK247" s="328"/>
      <c r="CL247" s="328"/>
      <c r="CM247" s="328"/>
      <c r="CN247" s="328"/>
      <c r="CO247" s="328"/>
      <c r="CP247" s="328"/>
      <c r="CQ247" s="328"/>
      <c r="CR247" s="328"/>
      <c r="CS247" s="328"/>
      <c r="CT247" s="328"/>
      <c r="CU247" s="328"/>
      <c r="CV247" s="328"/>
      <c r="CW247" s="328"/>
      <c r="CX247" s="328"/>
      <c r="CY247" s="328"/>
      <c r="CZ247" s="328"/>
      <c r="DA247" s="328"/>
      <c r="DB247" s="328"/>
      <c r="DC247" s="328"/>
      <c r="DD247" s="328"/>
      <c r="DE247" s="328"/>
      <c r="DF247" s="328"/>
    </row>
    <row r="248" spans="1:113" customFormat="1" ht="11.25" customHeight="1">
      <c r="A248" s="10"/>
      <c r="H248" s="1054"/>
      <c r="I248" s="659" t="s">
        <v>186</v>
      </c>
      <c r="J248" s="660"/>
      <c r="K248" s="660"/>
      <c r="L248" s="660"/>
      <c r="M248" s="660"/>
      <c r="N248" s="660"/>
      <c r="O248" s="660"/>
      <c r="P248" s="660"/>
      <c r="Q248" s="660"/>
      <c r="R248" s="660"/>
      <c r="S248" s="660"/>
      <c r="T248" s="660"/>
      <c r="U248" s="659"/>
      <c r="V248" s="660"/>
      <c r="W248" s="660"/>
      <c r="X248" s="661"/>
      <c r="Y248" s="659"/>
      <c r="Z248" s="660"/>
      <c r="AA248" s="660"/>
      <c r="AB248" s="661"/>
      <c r="AC248" s="659"/>
      <c r="AD248" s="660"/>
      <c r="AE248" s="660"/>
      <c r="AF248" s="661"/>
      <c r="AG248" s="659"/>
      <c r="AH248" s="660"/>
      <c r="AI248" s="660"/>
      <c r="AJ248" s="661"/>
      <c r="AK248" s="659"/>
      <c r="AL248" s="660"/>
      <c r="AM248" s="660"/>
      <c r="AN248" s="661"/>
      <c r="AO248" s="659"/>
      <c r="AP248" s="660"/>
      <c r="AQ248" s="660"/>
      <c r="AR248" s="661"/>
      <c r="AS248" s="659"/>
      <c r="AT248" s="660"/>
      <c r="AU248" s="660"/>
      <c r="AV248" s="661"/>
      <c r="AW248" s="659"/>
      <c r="AX248" s="660"/>
      <c r="AY248" s="660"/>
      <c r="AZ248" s="661"/>
      <c r="BA248" s="659"/>
      <c r="BB248" s="660"/>
      <c r="BC248" s="660"/>
      <c r="BD248" s="661"/>
      <c r="BE248" s="659"/>
      <c r="BF248" s="660"/>
      <c r="BG248" s="660"/>
      <c r="BH248" s="661"/>
      <c r="BI248" s="659"/>
      <c r="BJ248" s="660"/>
      <c r="BK248" s="660"/>
      <c r="BL248" s="661"/>
      <c r="BM248" s="659"/>
      <c r="BN248" s="660"/>
      <c r="BO248" s="660"/>
      <c r="BP248" s="661"/>
      <c r="BQ248" s="659"/>
      <c r="BR248" s="660"/>
      <c r="BS248" s="660"/>
      <c r="BT248" s="661"/>
      <c r="BU248" s="659"/>
      <c r="BV248" s="660"/>
      <c r="BW248" s="660"/>
      <c r="BX248" s="661"/>
      <c r="BY248" s="659"/>
      <c r="BZ248" s="660"/>
      <c r="CA248" s="660"/>
      <c r="CB248" s="661"/>
      <c r="CC248" s="659"/>
      <c r="CD248" s="660"/>
      <c r="CE248" s="660"/>
      <c r="CF248" s="661"/>
      <c r="CH248" s="661"/>
      <c r="CI248" s="661"/>
      <c r="CJ248" s="661"/>
      <c r="CK248" s="661"/>
      <c r="CL248" s="661"/>
      <c r="CM248" s="661"/>
      <c r="CN248" s="661"/>
      <c r="CO248" s="661"/>
      <c r="CP248" s="661"/>
      <c r="CQ248" s="661"/>
      <c r="CR248" s="661"/>
      <c r="CS248" s="661"/>
      <c r="CT248" s="661"/>
      <c r="CU248" s="661"/>
      <c r="CV248" s="661"/>
      <c r="CW248" s="661"/>
      <c r="CX248" s="661"/>
      <c r="CY248" s="660"/>
      <c r="CZ248" s="660"/>
      <c r="DA248" s="660"/>
      <c r="DB248" s="660"/>
      <c r="DC248" s="660"/>
      <c r="DD248" s="660"/>
      <c r="DE248" s="660"/>
      <c r="DF248" s="661"/>
      <c r="DG248" s="124"/>
      <c r="DH248" s="124"/>
      <c r="DI248" s="1548"/>
    </row>
    <row r="249" spans="1:113" s="26" customFormat="1" ht="11.25" customHeight="1">
      <c r="A249" s="24"/>
      <c r="B249"/>
      <c r="C249"/>
      <c r="D249"/>
      <c r="E249"/>
      <c r="F249"/>
      <c r="G249"/>
      <c r="H249" s="1044"/>
      <c r="I249" s="160" t="s">
        <v>187</v>
      </c>
      <c r="J249" s="24"/>
      <c r="K249" s="24"/>
      <c r="L249" s="24"/>
      <c r="M249" s="315"/>
      <c r="N249" s="315"/>
      <c r="O249" s="315"/>
      <c r="P249" s="316"/>
      <c r="Q249" s="315"/>
      <c r="R249" s="315"/>
      <c r="S249" s="315"/>
      <c r="T249" s="316"/>
      <c r="U249" s="326"/>
      <c r="V249" s="326"/>
      <c r="W249" s="326"/>
      <c r="X249" s="327"/>
      <c r="Y249" s="326"/>
      <c r="Z249" s="326"/>
      <c r="AA249" s="326"/>
      <c r="AB249" s="327"/>
      <c r="AC249" s="326"/>
      <c r="AD249" s="326"/>
      <c r="AE249" s="326"/>
      <c r="AF249" s="327"/>
      <c r="AG249" s="326"/>
      <c r="AH249" s="326"/>
      <c r="AI249" s="326"/>
      <c r="AJ249" s="327"/>
      <c r="AK249" s="357">
        <f>'Bookings and Drivers'!AK40</f>
        <v>519.67899999999997</v>
      </c>
      <c r="AL249" s="357">
        <f>'Bookings and Drivers'!AL40</f>
        <v>687.12400000000002</v>
      </c>
      <c r="AM249" s="357">
        <f>'Bookings and Drivers'!AM40</f>
        <v>788.47799999999995</v>
      </c>
      <c r="AN249" s="359">
        <f>'Bookings and Drivers'!AN40</f>
        <v>679.76</v>
      </c>
      <c r="AO249" s="357">
        <f>'Bookings and Drivers'!AO40</f>
        <v>1037.644</v>
      </c>
      <c r="AP249" s="357">
        <f>'Bookings and Drivers'!AP40</f>
        <v>1237.681</v>
      </c>
      <c r="AQ249" s="357">
        <f>'Bookings and Drivers'!AQ40</f>
        <v>1250.8499999999999</v>
      </c>
      <c r="AR249" s="359">
        <f>'Bookings and Drivers'!AR40</f>
        <v>792.19</v>
      </c>
      <c r="AS249" s="357">
        <f>'Bookings and Drivers'!AS40</f>
        <v>1092.4269999999999</v>
      </c>
      <c r="AT249" s="357">
        <f>'Bookings and Drivers'!AT40</f>
        <v>1414.7139999999999</v>
      </c>
      <c r="AU249" s="357">
        <f>'Bookings and Drivers'!AU40</f>
        <v>1724.1310000000001</v>
      </c>
      <c r="AV249" s="359">
        <f>'Bookings and Drivers'!AV40</f>
        <v>1433.471</v>
      </c>
      <c r="AW249" s="357">
        <f>'Bookings and Drivers'!AW40</f>
        <v>1975.345</v>
      </c>
      <c r="AX249" s="357">
        <f>'Bookings and Drivers'!AX40</f>
        <v>2256.3009999999999</v>
      </c>
      <c r="AY249" s="357">
        <f>'Bookings and Drivers'!AY40</f>
        <v>2885</v>
      </c>
      <c r="AZ249" s="359">
        <f>'Bookings and Drivers'!AZ40</f>
        <v>2363</v>
      </c>
      <c r="BA249" s="357">
        <f>'Bookings and Drivers'!BA40</f>
        <v>3536</v>
      </c>
      <c r="BB249" s="357">
        <f>'Bookings and Drivers'!BB40</f>
        <v>4472</v>
      </c>
      <c r="BC249" s="357">
        <f>'Bookings and Drivers'!BC40</f>
        <v>4989</v>
      </c>
      <c r="BD249" s="359">
        <f>'Bookings and Drivers'!BD40</f>
        <v>3912</v>
      </c>
      <c r="BE249" s="357">
        <f>'Bookings and Drivers'!BE40</f>
        <v>5451</v>
      </c>
      <c r="BF249" s="357">
        <f>'Bookings and Drivers'!BF40</f>
        <v>5952</v>
      </c>
      <c r="BG249" s="357">
        <f>'Bookings and Drivers'!BG40</f>
        <v>6473</v>
      </c>
      <c r="BH249" s="359">
        <f>'Bookings and Drivers'!BH40</f>
        <v>5494</v>
      </c>
      <c r="BI249" s="357">
        <f>'Bookings and Drivers'!BI40</f>
        <v>7783</v>
      </c>
      <c r="BJ249" s="357">
        <f>'Bookings and Drivers'!BJ40</f>
        <v>8579</v>
      </c>
      <c r="BK249" s="357">
        <f>'Bookings and Drivers'!BK40</f>
        <v>9179</v>
      </c>
      <c r="BL249" s="359">
        <f>'Bookings and Drivers'!BL40</f>
        <v>7758</v>
      </c>
      <c r="BM249" s="357">
        <f>'Bookings and Drivers'!BM40</f>
        <v>10643</v>
      </c>
      <c r="BN249" s="357">
        <f>'Bookings and Drivers'!BN40</f>
        <v>11682</v>
      </c>
      <c r="BO249" s="357">
        <f>'Bookings and Drivers'!BO40</f>
        <v>12080</v>
      </c>
      <c r="BP249" s="357">
        <f>'Bookings and Drivers'!BP40</f>
        <v>9233</v>
      </c>
      <c r="BQ249" s="1566">
        <f>'Bookings and Drivers'!BQ40</f>
        <v>12104</v>
      </c>
      <c r="BR249" s="1567">
        <f>'Bookings and Drivers'!BR40</f>
        <v>13092</v>
      </c>
      <c r="BS249" s="1567">
        <f>'Bookings and Drivers'!BS40</f>
        <v>13078</v>
      </c>
      <c r="BT249" s="1568">
        <f>'Bookings and Drivers'!BT40</f>
        <v>10697</v>
      </c>
      <c r="BU249" s="1566">
        <f>'Bookings and Drivers'!BU40</f>
        <v>15012.299882544639</v>
      </c>
      <c r="BV249" s="1567">
        <f>'Bookings and Drivers'!BV40</f>
        <v>15967.515493362</v>
      </c>
      <c r="BW249" s="1567">
        <f>'Bookings and Drivers'!BW40</f>
        <v>16579.293320345601</v>
      </c>
      <c r="BX249" s="1567">
        <f>'Bookings and Drivers'!BX40</f>
        <v>13649.139067599999</v>
      </c>
      <c r="BY249" s="1566">
        <f>'Bookings and Drivers'!BY40</f>
        <v>19000.489839299713</v>
      </c>
      <c r="BZ249" s="1567">
        <f>'Bookings and Drivers'!BZ40</f>
        <v>18845.2157703376</v>
      </c>
      <c r="CA249" s="1567">
        <f>'Bookings and Drivers'!CA40</f>
        <v>19811.093759973759</v>
      </c>
      <c r="CB249" s="1568">
        <f>'Bookings and Drivers'!CB40</f>
        <v>16451.100477079999</v>
      </c>
      <c r="CC249" s="1566">
        <f>'Bookings and Drivers'!CC40</f>
        <v>23128.750862393761</v>
      </c>
      <c r="CD249" s="1567">
        <f>'Bookings and Drivers'!CD40</f>
        <v>23055.46671194876</v>
      </c>
      <c r="CE249" s="1567">
        <f>'Bookings and Drivers'!CE40</f>
        <v>22777.052330053313</v>
      </c>
      <c r="CF249" s="1568">
        <f>'Bookings and Drivers'!CF40</f>
        <v>20403.188954299396</v>
      </c>
      <c r="CG249" s="316"/>
      <c r="CH249" s="320"/>
      <c r="CI249" s="315"/>
      <c r="CJ249" s="326"/>
      <c r="CK249" s="326"/>
      <c r="CL249" s="326"/>
      <c r="CM249" s="326"/>
      <c r="CN249" s="357">
        <f>+SUM(AK249:AN249)</f>
        <v>2675.0410000000002</v>
      </c>
      <c r="CO249" s="357">
        <f>+SUM(AO249:AR249)</f>
        <v>4318.3649999999998</v>
      </c>
      <c r="CP249" s="357">
        <f>+SUM(AS249:AV249)</f>
        <v>5664.7430000000004</v>
      </c>
      <c r="CQ249" s="357">
        <f>+SUM(AW249:AZ249)</f>
        <v>9479.6460000000006</v>
      </c>
      <c r="CR249" s="357">
        <f>+SUM(BA249:BD249)</f>
        <v>16909</v>
      </c>
      <c r="CS249" s="357">
        <f>+SUM(BE249:BH249)</f>
        <v>23370</v>
      </c>
      <c r="CT249" s="357">
        <f>+SUM(BI249:BL249)</f>
        <v>33299</v>
      </c>
      <c r="CU249" s="357">
        <f>SUM(BM249:BP249)</f>
        <v>43638</v>
      </c>
      <c r="CV249" s="357">
        <f>SUM(BQ249:BT249)</f>
        <v>48971</v>
      </c>
      <c r="CW249" s="357">
        <f>SUM(BU249:BX249)</f>
        <v>61208.24776385224</v>
      </c>
      <c r="CX249" s="357">
        <f>SUM(BY249:CB249)</f>
        <v>74107.899846691071</v>
      </c>
      <c r="CY249" s="357">
        <f>SUM(CC249:CF249)</f>
        <v>89364.45885869523</v>
      </c>
      <c r="CZ249" s="1567">
        <f>'Bookings and Drivers'!CZ40</f>
        <v>103244.43517308451</v>
      </c>
      <c r="DA249" s="1567">
        <f>'Bookings and Drivers'!DA40</f>
        <v>116950.91260124942</v>
      </c>
      <c r="DB249" s="1567">
        <f>'Bookings and Drivers'!DB40</f>
        <v>130240.89042543466</v>
      </c>
      <c r="DC249" s="1567">
        <f>'Bookings and Drivers'!DC40</f>
        <v>143265.3357700445</v>
      </c>
      <c r="DD249" s="1567">
        <f>'Bookings and Drivers'!DD40</f>
        <v>156155.75117926704</v>
      </c>
      <c r="DE249" s="1567">
        <f>'Bookings and Drivers'!DE40</f>
        <v>168794.9751615242</v>
      </c>
      <c r="DF249" s="1568">
        <f>'Bookings and Drivers'!DF40</f>
        <v>182476.60553945773</v>
      </c>
      <c r="DG249" s="94"/>
      <c r="DH249" s="94"/>
    </row>
    <row r="250" spans="1:113" s="282" customFormat="1" ht="11.25" customHeight="1">
      <c r="A250" s="91"/>
      <c r="B250"/>
      <c r="C250"/>
      <c r="D250"/>
      <c r="E250"/>
      <c r="F250"/>
      <c r="G250"/>
      <c r="H250" s="1052"/>
      <c r="I250" s="200" t="s">
        <v>188</v>
      </c>
      <c r="J250" s="90"/>
      <c r="K250" s="90"/>
      <c r="L250" s="91"/>
      <c r="M250" s="343"/>
      <c r="N250" s="343"/>
      <c r="O250" s="343"/>
      <c r="P250" s="344"/>
      <c r="Q250" s="343"/>
      <c r="R250" s="343"/>
      <c r="S250" s="343"/>
      <c r="T250" s="344"/>
      <c r="U250" s="345"/>
      <c r="V250" s="345"/>
      <c r="W250" s="345"/>
      <c r="X250" s="346"/>
      <c r="Y250" s="345"/>
      <c r="Z250" s="345"/>
      <c r="AA250" s="345"/>
      <c r="AB250" s="346"/>
      <c r="AC250" s="345"/>
      <c r="AD250" s="345"/>
      <c r="AE250" s="345"/>
      <c r="AF250" s="346"/>
      <c r="AG250" s="345"/>
      <c r="AH250" s="345"/>
      <c r="AI250" s="345"/>
      <c r="AJ250" s="346"/>
      <c r="AK250" s="347">
        <f t="shared" ref="AK250:BS250" si="513">+AK241/AK249</f>
        <v>9.2172283274867775E-2</v>
      </c>
      <c r="AL250" s="347">
        <f t="shared" si="513"/>
        <v>0.13156286201617176</v>
      </c>
      <c r="AM250" s="347">
        <f t="shared" si="513"/>
        <v>0.1671574856876159</v>
      </c>
      <c r="AN250" s="348">
        <f t="shared" si="513"/>
        <v>0.15137695657290809</v>
      </c>
      <c r="AO250" s="347">
        <f t="shared" si="513"/>
        <v>0.10003430849115881</v>
      </c>
      <c r="AP250" s="347">
        <f t="shared" si="513"/>
        <v>0.13290985318510989</v>
      </c>
      <c r="AQ250" s="347">
        <f t="shared" si="513"/>
        <v>0.1788383898948715</v>
      </c>
      <c r="AR250" s="348">
        <f t="shared" si="513"/>
        <v>0.16132493467476236</v>
      </c>
      <c r="AS250" s="347">
        <f t="shared" si="513"/>
        <v>0.10426325969607124</v>
      </c>
      <c r="AT250" s="347">
        <f t="shared" si="513"/>
        <v>0.13896801756397406</v>
      </c>
      <c r="AU250" s="347">
        <f t="shared" si="513"/>
        <v>0.18328073678856188</v>
      </c>
      <c r="AV250" s="348">
        <f t="shared" si="513"/>
        <v>0.15493860705936849</v>
      </c>
      <c r="AW250" s="347">
        <f t="shared" si="513"/>
        <v>0.10884174663160107</v>
      </c>
      <c r="AX250" s="347">
        <f t="shared" si="513"/>
        <v>0.14271145560809484</v>
      </c>
      <c r="AY250" s="347">
        <f t="shared" si="513"/>
        <v>0.18370883882149047</v>
      </c>
      <c r="AZ250" s="348">
        <f t="shared" si="513"/>
        <v>0.15827338129496402</v>
      </c>
      <c r="BA250" s="347">
        <f t="shared" si="513"/>
        <v>0.10978506787330317</v>
      </c>
      <c r="BB250" s="347">
        <f t="shared" si="513"/>
        <v>0.13687388193202146</v>
      </c>
      <c r="BC250" s="347">
        <f t="shared" si="513"/>
        <v>0.19081980356784928</v>
      </c>
      <c r="BD250" s="348">
        <f t="shared" si="513"/>
        <v>0.15567484662576686</v>
      </c>
      <c r="BE250" s="347">
        <f t="shared" si="513"/>
        <v>0.11319024032287654</v>
      </c>
      <c r="BF250" s="347">
        <f t="shared" si="513"/>
        <v>0.14432123655913978</v>
      </c>
      <c r="BG250" s="347">
        <f t="shared" si="513"/>
        <v>0.19079252278696121</v>
      </c>
      <c r="BH250" s="348">
        <f t="shared" si="513"/>
        <v>0.15216599927193303</v>
      </c>
      <c r="BI250" s="347">
        <f t="shared" si="513"/>
        <v>0.11486573300783759</v>
      </c>
      <c r="BJ250" s="347">
        <f t="shared" si="513"/>
        <v>0.13987644247581305</v>
      </c>
      <c r="BK250" s="347">
        <f t="shared" si="513"/>
        <v>0.19119729818062969</v>
      </c>
      <c r="BL250" s="348">
        <f t="shared" si="513"/>
        <v>0.14823408094869811</v>
      </c>
      <c r="BM250" s="347">
        <f t="shared" si="513"/>
        <v>0.11368974913088414</v>
      </c>
      <c r="BN250" s="347">
        <f t="shared" si="513"/>
        <v>0.14124293785310735</v>
      </c>
      <c r="BO250" s="347">
        <f t="shared" si="513"/>
        <v>0.19205298013245034</v>
      </c>
      <c r="BP250" s="347">
        <f t="shared" si="513"/>
        <v>0.15487923751759991</v>
      </c>
      <c r="BQ250" s="1510">
        <f t="shared" si="513"/>
        <v>0.11566424322538003</v>
      </c>
      <c r="BR250" s="347">
        <f t="shared" si="513"/>
        <v>0.13748854262144822</v>
      </c>
      <c r="BS250" s="347">
        <f t="shared" si="513"/>
        <v>0.19880715705765409</v>
      </c>
      <c r="BT250" s="348">
        <f t="shared" ref="BT250:CB250" si="514">+BT241/BT249</f>
        <v>0.14957464709731699</v>
      </c>
      <c r="BU250" s="1510">
        <f t="shared" si="514"/>
        <v>0.11324047702888305</v>
      </c>
      <c r="BV250" s="347">
        <f t="shared" si="514"/>
        <v>0.13151701658739645</v>
      </c>
      <c r="BW250" s="347">
        <f t="shared" si="514"/>
        <v>0.19904346561926986</v>
      </c>
      <c r="BX250" s="347">
        <f t="shared" si="514"/>
        <v>0.1465293884174389</v>
      </c>
      <c r="BY250" s="1510">
        <f t="shared" si="514"/>
        <v>0.10526044417356518</v>
      </c>
      <c r="BZ250" s="347">
        <f t="shared" si="514"/>
        <v>0.13796605099594583</v>
      </c>
      <c r="CA250" s="347">
        <f t="shared" si="514"/>
        <v>0.20190707532168573</v>
      </c>
      <c r="CB250" s="347">
        <f t="shared" si="514"/>
        <v>0.14588689694915716</v>
      </c>
      <c r="CC250" s="1510">
        <f>+BY250+CC251/10000</f>
        <v>0.10576044417356519</v>
      </c>
      <c r="CD250" s="347">
        <f>+BZ250+CD251/10000</f>
        <v>0.13846605099594583</v>
      </c>
      <c r="CE250" s="347">
        <f>+CA250+CE251/10000</f>
        <v>0.20240707532168573</v>
      </c>
      <c r="CF250" s="348">
        <f>+CB250+CF251/10000</f>
        <v>0.14638689694915716</v>
      </c>
      <c r="CG250" s="344"/>
      <c r="CH250" s="349"/>
      <c r="CI250" s="343"/>
      <c r="CJ250" s="345"/>
      <c r="CK250" s="345"/>
      <c r="CL250" s="345"/>
      <c r="CM250" s="345"/>
      <c r="CN250" s="347">
        <f t="shared" ref="CN250:CY250" si="515">+CN241/CN249</f>
        <v>0.13794181098532696</v>
      </c>
      <c r="CO250" s="347">
        <f t="shared" si="515"/>
        <v>0.14352654303191137</v>
      </c>
      <c r="CP250" s="347">
        <f t="shared" si="515"/>
        <v>0.14980379515893305</v>
      </c>
      <c r="CQ250" s="347">
        <f t="shared" si="515"/>
        <v>0.15200989572817378</v>
      </c>
      <c r="CR250" s="347">
        <f>+CR241/CR249</f>
        <v>0.1514755455674493</v>
      </c>
      <c r="CS250" s="347">
        <f t="shared" si="515"/>
        <v>0.1517757809157039</v>
      </c>
      <c r="CT250" s="347">
        <f t="shared" si="515"/>
        <v>0.15012462836721824</v>
      </c>
      <c r="CU250" s="347">
        <f t="shared" si="515"/>
        <v>0.15147348641092626</v>
      </c>
      <c r="CV250" s="347">
        <f>+CV241/CV249</f>
        <v>0.1511098405178575</v>
      </c>
      <c r="CW250" s="347">
        <f>+CW241/CW249</f>
        <v>0.1486727742167811</v>
      </c>
      <c r="CX250" s="347">
        <f t="shared" si="515"/>
        <v>0.14843221873452067</v>
      </c>
      <c r="CY250" s="347">
        <f t="shared" si="515"/>
        <v>0.14810700616728439</v>
      </c>
      <c r="CZ250" s="347">
        <f t="shared" ref="CZ250:DF250" si="516">+CY250+CZ251/10000</f>
        <v>0.1473070061672844</v>
      </c>
      <c r="DA250" s="347">
        <f t="shared" si="516"/>
        <v>0.1468070061672844</v>
      </c>
      <c r="DB250" s="347">
        <f t="shared" si="516"/>
        <v>0.1463070061672844</v>
      </c>
      <c r="DC250" s="347">
        <f t="shared" si="516"/>
        <v>0.1458070061672844</v>
      </c>
      <c r="DD250" s="347">
        <f t="shared" si="516"/>
        <v>0.1453070061672844</v>
      </c>
      <c r="DE250" s="347">
        <f t="shared" si="516"/>
        <v>0.1448070061672844</v>
      </c>
      <c r="DF250" s="348">
        <f t="shared" si="516"/>
        <v>0.1443070061672844</v>
      </c>
      <c r="DG250" s="1469"/>
      <c r="DH250" s="1469"/>
    </row>
    <row r="251" spans="1:113" s="61" customFormat="1" ht="11.25" customHeight="1">
      <c r="A251" s="24"/>
      <c r="B251"/>
      <c r="C251"/>
      <c r="D251"/>
      <c r="E251"/>
      <c r="F251"/>
      <c r="G251"/>
      <c r="H251" s="1044"/>
      <c r="I251" s="189" t="s">
        <v>384</v>
      </c>
      <c r="J251" s="85"/>
      <c r="K251" s="85"/>
      <c r="L251" s="60"/>
      <c r="M251" s="350"/>
      <c r="N251" s="350"/>
      <c r="O251" s="350"/>
      <c r="P251" s="351"/>
      <c r="Q251" s="350"/>
      <c r="R251" s="350"/>
      <c r="S251" s="350"/>
      <c r="T251" s="351"/>
      <c r="U251" s="352"/>
      <c r="V251" s="352"/>
      <c r="W251" s="352"/>
      <c r="X251" s="353"/>
      <c r="Y251" s="352"/>
      <c r="Z251" s="352"/>
      <c r="AA251" s="352"/>
      <c r="AB251" s="353"/>
      <c r="AC251" s="352"/>
      <c r="AD251" s="352"/>
      <c r="AE251" s="352"/>
      <c r="AF251" s="353"/>
      <c r="AG251" s="352"/>
      <c r="AH251" s="352"/>
      <c r="AI251" s="352"/>
      <c r="AJ251" s="353"/>
      <c r="AK251" s="352"/>
      <c r="AL251" s="352"/>
      <c r="AM251" s="352"/>
      <c r="AN251" s="353"/>
      <c r="AO251" s="354">
        <f t="shared" ref="AO251:BN251" si="517">+(AO250-AK250)*10000</f>
        <v>78.620252162910347</v>
      </c>
      <c r="AP251" s="354">
        <f t="shared" si="517"/>
        <v>13.46991168938133</v>
      </c>
      <c r="AQ251" s="354">
        <f t="shared" si="517"/>
        <v>116.80904207255594</v>
      </c>
      <c r="AR251" s="355">
        <f t="shared" si="517"/>
        <v>99.47978101854271</v>
      </c>
      <c r="AS251" s="354">
        <f t="shared" si="517"/>
        <v>42.289512049124291</v>
      </c>
      <c r="AT251" s="354">
        <f t="shared" si="517"/>
        <v>60.581643788641671</v>
      </c>
      <c r="AU251" s="354">
        <f t="shared" si="517"/>
        <v>44.423468936903852</v>
      </c>
      <c r="AV251" s="355">
        <f t="shared" si="517"/>
        <v>-63.86327615393872</v>
      </c>
      <c r="AW251" s="354">
        <f t="shared" si="517"/>
        <v>45.78486935529827</v>
      </c>
      <c r="AX251" s="354">
        <f t="shared" si="517"/>
        <v>37.434380441207779</v>
      </c>
      <c r="AY251" s="354">
        <f t="shared" si="517"/>
        <v>4.2810203292859006</v>
      </c>
      <c r="AZ251" s="355">
        <f t="shared" si="517"/>
        <v>33.347742355955276</v>
      </c>
      <c r="BA251" s="354">
        <f t="shared" si="517"/>
        <v>9.4332124170209966</v>
      </c>
      <c r="BB251" s="354">
        <f t="shared" si="517"/>
        <v>-58.375736760733766</v>
      </c>
      <c r="BC251" s="354">
        <f t="shared" si="517"/>
        <v>71.109647463588061</v>
      </c>
      <c r="BD251" s="355">
        <f t="shared" si="517"/>
        <v>-25.985346691971557</v>
      </c>
      <c r="BE251" s="354">
        <f t="shared" si="517"/>
        <v>34.051724495733765</v>
      </c>
      <c r="BF251" s="354">
        <f t="shared" si="517"/>
        <v>74.473546271183181</v>
      </c>
      <c r="BG251" s="354">
        <f>+(BG250-BC250)*10000</f>
        <v>-0.27280780888067069</v>
      </c>
      <c r="BH251" s="355">
        <f t="shared" si="517"/>
        <v>-35.088473538338327</v>
      </c>
      <c r="BI251" s="354">
        <f t="shared" si="517"/>
        <v>16.75492684961047</v>
      </c>
      <c r="BJ251" s="354">
        <f t="shared" si="517"/>
        <v>-44.44794083326736</v>
      </c>
      <c r="BK251" s="354">
        <f t="shared" si="517"/>
        <v>4.0477539366848276</v>
      </c>
      <c r="BL251" s="355">
        <f t="shared" si="517"/>
        <v>-39.319183232349175</v>
      </c>
      <c r="BM251" s="354">
        <f t="shared" si="517"/>
        <v>-11.759838769534458</v>
      </c>
      <c r="BN251" s="354">
        <f t="shared" si="517"/>
        <v>13.664953772943022</v>
      </c>
      <c r="BO251" s="354">
        <f t="shared" ref="BO251:CB251" si="518">+(BO250-BK250)*10000</f>
        <v>8.5568195182064706</v>
      </c>
      <c r="BP251" s="354">
        <f t="shared" si="518"/>
        <v>66.451565689017997</v>
      </c>
      <c r="BQ251" s="1511">
        <f t="shared" si="518"/>
        <v>19.744940944958906</v>
      </c>
      <c r="BR251" s="354">
        <f t="shared" si="518"/>
        <v>-37.543952316591302</v>
      </c>
      <c r="BS251" s="354">
        <f t="shared" si="518"/>
        <v>67.541769252037483</v>
      </c>
      <c r="BT251" s="355">
        <f t="shared" si="518"/>
        <v>-53.045904202829178</v>
      </c>
      <c r="BU251" s="1511">
        <f t="shared" si="518"/>
        <v>-24.237661964969792</v>
      </c>
      <c r="BV251" s="354">
        <f t="shared" si="518"/>
        <v>-59.715260340517659</v>
      </c>
      <c r="BW251" s="354">
        <f t="shared" si="518"/>
        <v>2.3630856161577229</v>
      </c>
      <c r="BX251" s="354">
        <f t="shared" si="518"/>
        <v>-30.452586798780935</v>
      </c>
      <c r="BY251" s="1511">
        <f t="shared" si="518"/>
        <v>-79.800328553178701</v>
      </c>
      <c r="BZ251" s="354">
        <f t="shared" si="518"/>
        <v>64.490344085493817</v>
      </c>
      <c r="CA251" s="354">
        <f t="shared" si="518"/>
        <v>28.636097024158648</v>
      </c>
      <c r="CB251" s="354">
        <f t="shared" si="518"/>
        <v>-6.424914682817418</v>
      </c>
      <c r="CC251" s="1563">
        <v>5</v>
      </c>
      <c r="CD251" s="1328">
        <v>5</v>
      </c>
      <c r="CE251" s="1328">
        <v>5</v>
      </c>
      <c r="CF251" s="1564">
        <v>5</v>
      </c>
      <c r="CG251" s="351"/>
      <c r="CH251" s="356"/>
      <c r="CI251" s="350"/>
      <c r="CJ251" s="352"/>
      <c r="CK251" s="352"/>
      <c r="CL251" s="352"/>
      <c r="CM251" s="352"/>
      <c r="CN251" s="352"/>
      <c r="CO251" s="354">
        <f t="shared" ref="CO251:CU251" si="519">+(CO250-CN250)*10000</f>
        <v>55.84732046584412</v>
      </c>
      <c r="CP251" s="354">
        <f t="shared" si="519"/>
        <v>62.772521270216821</v>
      </c>
      <c r="CQ251" s="354">
        <f t="shared" si="519"/>
        <v>22.061005692407264</v>
      </c>
      <c r="CR251" s="354">
        <f t="shared" si="519"/>
        <v>-5.3435016072447823</v>
      </c>
      <c r="CS251" s="354">
        <f t="shared" si="519"/>
        <v>3.0023534825460163</v>
      </c>
      <c r="CT251" s="354">
        <f t="shared" si="519"/>
        <v>-16.511525484856627</v>
      </c>
      <c r="CU251" s="354">
        <f t="shared" si="519"/>
        <v>13.488580437080177</v>
      </c>
      <c r="CV251" s="354">
        <f>+(CV250-CU250)*10000</f>
        <v>-3.6364589306875361</v>
      </c>
      <c r="CW251" s="354">
        <f>+(CW250-CV250)*10000</f>
        <v>-24.370663010764016</v>
      </c>
      <c r="CX251" s="354">
        <f>+(CX250-CW250)*10000</f>
        <v>-2.4055548226042944</v>
      </c>
      <c r="CY251" s="354">
        <f>+(CY250-CX250)*10000</f>
        <v>-3.2521256723627712</v>
      </c>
      <c r="CZ251" s="1328">
        <v>-8</v>
      </c>
      <c r="DA251" s="1328">
        <v>-5</v>
      </c>
      <c r="DB251" s="1328">
        <v>-5</v>
      </c>
      <c r="DC251" s="1328">
        <v>-5</v>
      </c>
      <c r="DD251" s="1328">
        <v>-5</v>
      </c>
      <c r="DE251" s="1328">
        <v>-5</v>
      </c>
      <c r="DF251" s="1564">
        <v>-5</v>
      </c>
    </row>
    <row r="252" spans="1:113" s="61" customFormat="1" ht="11.25" customHeight="1">
      <c r="A252" s="24"/>
      <c r="B252"/>
      <c r="C252"/>
      <c r="D252"/>
      <c r="E252"/>
      <c r="F252"/>
      <c r="G252"/>
      <c r="H252" s="1044"/>
      <c r="I252" s="189" t="s">
        <v>167</v>
      </c>
      <c r="J252" s="85"/>
      <c r="K252" s="85"/>
      <c r="L252" s="60"/>
      <c r="M252" s="350"/>
      <c r="N252" s="350"/>
      <c r="O252" s="350"/>
      <c r="P252" s="351"/>
      <c r="Q252" s="350"/>
      <c r="R252" s="350"/>
      <c r="S252" s="350"/>
      <c r="T252" s="351"/>
      <c r="U252" s="352"/>
      <c r="V252" s="352"/>
      <c r="W252" s="352"/>
      <c r="X252" s="353"/>
      <c r="Y252" s="352"/>
      <c r="Z252" s="352"/>
      <c r="AA252" s="352"/>
      <c r="AB252" s="353"/>
      <c r="AC252" s="352"/>
      <c r="AD252" s="352"/>
      <c r="AE252" s="352"/>
      <c r="AF252" s="353"/>
      <c r="AG252" s="352"/>
      <c r="AH252" s="352"/>
      <c r="AI252" s="352"/>
      <c r="AJ252" s="353"/>
      <c r="AK252" s="352"/>
      <c r="AL252" s="352"/>
      <c r="AM252" s="352"/>
      <c r="AN252" s="353"/>
      <c r="AO252" s="352"/>
      <c r="AP252" s="352"/>
      <c r="AQ252" s="352"/>
      <c r="AR252" s="353"/>
      <c r="AS252" s="354">
        <f t="shared" ref="AS252:CF252" si="520">+AS251+AO251</f>
        <v>120.90976421203464</v>
      </c>
      <c r="AT252" s="354">
        <f t="shared" si="520"/>
        <v>74.051555478023005</v>
      </c>
      <c r="AU252" s="354">
        <f t="shared" si="520"/>
        <v>161.23251100945978</v>
      </c>
      <c r="AV252" s="355">
        <f t="shared" si="520"/>
        <v>35.616504864603989</v>
      </c>
      <c r="AW252" s="354">
        <f t="shared" si="520"/>
        <v>88.074381404422553</v>
      </c>
      <c r="AX252" s="354">
        <f t="shared" si="520"/>
        <v>98.01602422984945</v>
      </c>
      <c r="AY252" s="354">
        <f t="shared" si="520"/>
        <v>48.704489266189753</v>
      </c>
      <c r="AZ252" s="355">
        <f t="shared" si="520"/>
        <v>-30.515533797983444</v>
      </c>
      <c r="BA252" s="354">
        <f t="shared" si="520"/>
        <v>55.218081772319266</v>
      </c>
      <c r="BB252" s="354">
        <f t="shared" si="520"/>
        <v>-20.941356319525987</v>
      </c>
      <c r="BC252" s="354">
        <f t="shared" si="520"/>
        <v>75.390667792873955</v>
      </c>
      <c r="BD252" s="355">
        <f t="shared" si="520"/>
        <v>7.3623956639837189</v>
      </c>
      <c r="BE252" s="354">
        <f t="shared" si="520"/>
        <v>43.484936912754762</v>
      </c>
      <c r="BF252" s="354">
        <f t="shared" si="520"/>
        <v>16.097809510449416</v>
      </c>
      <c r="BG252" s="354">
        <f t="shared" si="520"/>
        <v>70.83683965470739</v>
      </c>
      <c r="BH252" s="355">
        <f t="shared" si="520"/>
        <v>-61.073820230309884</v>
      </c>
      <c r="BI252" s="354">
        <f t="shared" si="520"/>
        <v>50.806651345344235</v>
      </c>
      <c r="BJ252" s="354">
        <f t="shared" si="520"/>
        <v>30.025605437915821</v>
      </c>
      <c r="BK252" s="354">
        <f t="shared" si="520"/>
        <v>3.7749461278041569</v>
      </c>
      <c r="BL252" s="355">
        <f t="shared" si="520"/>
        <v>-74.40765677068751</v>
      </c>
      <c r="BM252" s="354">
        <f t="shared" si="520"/>
        <v>4.9950880800760125</v>
      </c>
      <c r="BN252" s="354">
        <f t="shared" si="520"/>
        <v>-30.782987060324338</v>
      </c>
      <c r="BO252" s="354">
        <f t="shared" si="520"/>
        <v>12.604573454891298</v>
      </c>
      <c r="BP252" s="354">
        <f t="shared" ref="BP252:BW252" si="521">+BP251+BL251</f>
        <v>27.132382456668822</v>
      </c>
      <c r="BQ252" s="1511">
        <f t="shared" si="521"/>
        <v>7.9851021754244478</v>
      </c>
      <c r="BR252" s="354">
        <f t="shared" si="521"/>
        <v>-23.878998543648279</v>
      </c>
      <c r="BS252" s="354">
        <f t="shared" si="521"/>
        <v>76.09858877024395</v>
      </c>
      <c r="BT252" s="355">
        <f t="shared" si="521"/>
        <v>13.405661486188819</v>
      </c>
      <c r="BU252" s="1511">
        <f t="shared" si="521"/>
        <v>-4.4927210200108867</v>
      </c>
      <c r="BV252" s="354">
        <f t="shared" si="521"/>
        <v>-97.259212657108961</v>
      </c>
      <c r="BW252" s="354">
        <f t="shared" si="521"/>
        <v>69.904854868195201</v>
      </c>
      <c r="BX252" s="354">
        <f t="shared" si="520"/>
        <v>-83.49849100161012</v>
      </c>
      <c r="BY252" s="1511">
        <f t="shared" si="520"/>
        <v>-104.03799051814849</v>
      </c>
      <c r="BZ252" s="354">
        <f t="shared" si="520"/>
        <v>4.7750837449761576</v>
      </c>
      <c r="CA252" s="354">
        <f t="shared" si="520"/>
        <v>30.99918264031637</v>
      </c>
      <c r="CB252" s="355">
        <f t="shared" si="520"/>
        <v>-36.877501481598351</v>
      </c>
      <c r="CC252" s="1511">
        <f t="shared" si="520"/>
        <v>-74.800328553178701</v>
      </c>
      <c r="CD252" s="354">
        <f t="shared" si="520"/>
        <v>69.490344085493817</v>
      </c>
      <c r="CE252" s="354">
        <f t="shared" si="520"/>
        <v>33.636097024158644</v>
      </c>
      <c r="CF252" s="355">
        <f t="shared" si="520"/>
        <v>-1.424914682817418</v>
      </c>
      <c r="CG252" s="351"/>
      <c r="CH252" s="356"/>
      <c r="CI252" s="350"/>
      <c r="CJ252" s="352"/>
      <c r="CK252" s="352"/>
      <c r="CL252" s="352"/>
      <c r="CM252" s="352"/>
      <c r="CN252" s="352"/>
      <c r="CO252" s="352"/>
      <c r="CP252" s="354">
        <f t="shared" ref="CP252:CX252" si="522">+CP251+CO251</f>
        <v>118.61984173606095</v>
      </c>
      <c r="CQ252" s="354">
        <f t="shared" si="522"/>
        <v>84.833526962624092</v>
      </c>
      <c r="CR252" s="354">
        <f t="shared" si="522"/>
        <v>16.717504085162481</v>
      </c>
      <c r="CS252" s="354">
        <f t="shared" si="522"/>
        <v>-2.341148124698766</v>
      </c>
      <c r="CT252" s="354">
        <f t="shared" si="522"/>
        <v>-13.50917200231061</v>
      </c>
      <c r="CU252" s="354">
        <f t="shared" si="522"/>
        <v>-3.0229450477764495</v>
      </c>
      <c r="CV252" s="354">
        <f t="shared" si="522"/>
        <v>9.8521215063926419</v>
      </c>
      <c r="CW252" s="354">
        <f t="shared" si="522"/>
        <v>-28.007121941451551</v>
      </c>
      <c r="CX252" s="354">
        <f t="shared" si="522"/>
        <v>-26.77621783336831</v>
      </c>
      <c r="CY252" s="354">
        <f t="shared" ref="CY252:DF252" si="523">+CY251+CX251</f>
        <v>-5.6576804949670656</v>
      </c>
      <c r="CZ252" s="354">
        <f t="shared" si="523"/>
        <v>-11.252125672362771</v>
      </c>
      <c r="DA252" s="354">
        <f t="shared" si="523"/>
        <v>-13</v>
      </c>
      <c r="DB252" s="354">
        <f t="shared" si="523"/>
        <v>-10</v>
      </c>
      <c r="DC252" s="354">
        <f t="shared" si="523"/>
        <v>-10</v>
      </c>
      <c r="DD252" s="354">
        <f t="shared" si="523"/>
        <v>-10</v>
      </c>
      <c r="DE252" s="354">
        <f t="shared" si="523"/>
        <v>-10</v>
      </c>
      <c r="DF252" s="355">
        <f t="shared" si="523"/>
        <v>-10</v>
      </c>
    </row>
    <row r="253" spans="1:113" s="61" customFormat="1" ht="11.25" customHeight="1">
      <c r="A253" s="24"/>
      <c r="B253"/>
      <c r="C253"/>
      <c r="D253"/>
      <c r="E253"/>
      <c r="F253"/>
      <c r="G253"/>
      <c r="H253" s="1044"/>
      <c r="I253" s="189" t="s">
        <v>662</v>
      </c>
      <c r="J253" s="85"/>
      <c r="K253" s="85"/>
      <c r="L253" s="60"/>
      <c r="M253" s="350"/>
      <c r="N253" s="350"/>
      <c r="O253" s="350"/>
      <c r="P253" s="351"/>
      <c r="Q253" s="350"/>
      <c r="R253" s="350"/>
      <c r="S253" s="350"/>
      <c r="T253" s="351"/>
      <c r="U253" s="352"/>
      <c r="V253" s="352"/>
      <c r="W253" s="352"/>
      <c r="X253" s="353"/>
      <c r="Y253" s="352"/>
      <c r="Z253" s="352"/>
      <c r="AA253" s="352"/>
      <c r="AB253" s="353"/>
      <c r="AC253" s="352"/>
      <c r="AD253" s="352"/>
      <c r="AE253" s="352"/>
      <c r="AF253" s="353"/>
      <c r="AG253" s="352"/>
      <c r="AH253" s="352"/>
      <c r="AI253" s="352"/>
      <c r="AJ253" s="353"/>
      <c r="AK253" s="352"/>
      <c r="AL253" s="352"/>
      <c r="AM253" s="352"/>
      <c r="AN253" s="353"/>
      <c r="AO253" s="352"/>
      <c r="AP253" s="352"/>
      <c r="AQ253" s="352"/>
      <c r="AR253" s="353"/>
      <c r="AS253" s="354"/>
      <c r="AT253" s="354"/>
      <c r="AU253" s="354"/>
      <c r="AV253" s="355"/>
      <c r="AW253" s="354"/>
      <c r="AX253" s="354"/>
      <c r="AY253" s="354"/>
      <c r="AZ253" s="355"/>
      <c r="BA253" s="354"/>
      <c r="BB253" s="354"/>
      <c r="BC253" s="354"/>
      <c r="BD253" s="355"/>
      <c r="BE253" s="354"/>
      <c r="BF253" s="354"/>
      <c r="BG253" s="354"/>
      <c r="BH253" s="355"/>
      <c r="BI253" s="1855">
        <f t="shared" ref="BI253:CF253" si="524">+BI250+BE250+BA250</f>
        <v>0.33784104120401731</v>
      </c>
      <c r="BJ253" s="1855">
        <f t="shared" si="524"/>
        <v>0.42107156096697429</v>
      </c>
      <c r="BK253" s="1855">
        <f t="shared" si="524"/>
        <v>0.57280962453544015</v>
      </c>
      <c r="BL253" s="1859">
        <f t="shared" si="524"/>
        <v>0.456074926846398</v>
      </c>
      <c r="BM253" s="1855">
        <f t="shared" si="524"/>
        <v>0.34174572246159829</v>
      </c>
      <c r="BN253" s="1855">
        <f t="shared" si="524"/>
        <v>0.42544061688806012</v>
      </c>
      <c r="BO253" s="1855">
        <f t="shared" si="524"/>
        <v>0.57404280110004124</v>
      </c>
      <c r="BP253" s="1859">
        <f t="shared" si="524"/>
        <v>0.45527931773823105</v>
      </c>
      <c r="BQ253" s="1855">
        <f t="shared" si="524"/>
        <v>0.34421972536410178</v>
      </c>
      <c r="BR253" s="1855">
        <f t="shared" si="524"/>
        <v>0.41860792295036858</v>
      </c>
      <c r="BS253" s="1855">
        <f t="shared" si="524"/>
        <v>0.58205743537073418</v>
      </c>
      <c r="BT253" s="1859">
        <f t="shared" si="524"/>
        <v>0.45268796556361501</v>
      </c>
      <c r="BU253" s="1855">
        <f t="shared" si="524"/>
        <v>0.34259446938514726</v>
      </c>
      <c r="BV253" s="1855">
        <f t="shared" si="524"/>
        <v>0.41024849706195199</v>
      </c>
      <c r="BW253" s="1855">
        <f t="shared" si="524"/>
        <v>0.58990360280937426</v>
      </c>
      <c r="BX253" s="1855">
        <f t="shared" si="524"/>
        <v>0.4509832730323558</v>
      </c>
      <c r="BY253" s="1968">
        <f t="shared" si="524"/>
        <v>0.33416516442782829</v>
      </c>
      <c r="BZ253" s="1855">
        <f t="shared" si="524"/>
        <v>0.4069716102047905</v>
      </c>
      <c r="CA253" s="1855">
        <f t="shared" si="524"/>
        <v>0.59975769799860967</v>
      </c>
      <c r="CB253" s="1859">
        <f t="shared" si="524"/>
        <v>0.44199093246391302</v>
      </c>
      <c r="CC253" s="1855">
        <f t="shared" si="524"/>
        <v>0.32426136537601341</v>
      </c>
      <c r="CD253" s="1855">
        <f t="shared" si="524"/>
        <v>0.40794911857928812</v>
      </c>
      <c r="CE253" s="1855">
        <f t="shared" si="524"/>
        <v>0.60335761626264128</v>
      </c>
      <c r="CF253" s="1859">
        <f t="shared" si="524"/>
        <v>0.43880318231575322</v>
      </c>
      <c r="CG253" s="351"/>
      <c r="CH253" s="356"/>
      <c r="CI253" s="350"/>
      <c r="CJ253" s="352"/>
      <c r="CK253" s="352"/>
      <c r="CL253" s="352"/>
      <c r="CM253" s="352"/>
      <c r="CN253" s="352"/>
      <c r="CO253" s="352"/>
      <c r="CP253" s="1855">
        <f>+CP250+CO250+CN250</f>
        <v>0.4312721491761714</v>
      </c>
      <c r="CQ253" s="1855">
        <f>+CQ250+CP250+CO250</f>
        <v>0.44534023391901822</v>
      </c>
      <c r="CR253" s="1855">
        <f>+CR250+CQ250+CP250</f>
        <v>0.4532892364545561</v>
      </c>
      <c r="CS253" s="1855">
        <f>+CS250+CR250+CQ250</f>
        <v>0.45526122221132703</v>
      </c>
      <c r="CT253" s="1855">
        <f>+CT250+CS250+CR250</f>
        <v>0.45337595485037147</v>
      </c>
      <c r="CU253" s="1855">
        <f t="shared" ref="CU253:DF253" si="525">+CU250+CT250+CS250</f>
        <v>0.45337389569384834</v>
      </c>
      <c r="CV253" s="1855">
        <f t="shared" si="525"/>
        <v>0.452707955296002</v>
      </c>
      <c r="CW253" s="1855">
        <f t="shared" si="525"/>
        <v>0.45125610114556491</v>
      </c>
      <c r="CX253" s="1855">
        <f>+CX250+CW250+CV250</f>
        <v>0.44821483346915925</v>
      </c>
      <c r="CY253" s="1855">
        <f>+CY250+CX250+CW250</f>
        <v>0.44521199911858617</v>
      </c>
      <c r="CZ253" s="1855">
        <f>+CZ250+CY250+CX250</f>
        <v>0.44384623106908944</v>
      </c>
      <c r="DA253" s="1855">
        <f>+DA250+CZ250+CY250</f>
        <v>0.44222101850185319</v>
      </c>
      <c r="DB253" s="1855">
        <f t="shared" si="525"/>
        <v>0.44042101850185322</v>
      </c>
      <c r="DC253" s="1855">
        <f t="shared" si="525"/>
        <v>0.43892101850185317</v>
      </c>
      <c r="DD253" s="1855">
        <f t="shared" si="525"/>
        <v>0.43742101850185322</v>
      </c>
      <c r="DE253" s="1855">
        <f t="shared" si="525"/>
        <v>0.43592101850185316</v>
      </c>
      <c r="DF253" s="1859">
        <f t="shared" si="525"/>
        <v>0.43442101850185322</v>
      </c>
    </row>
    <row r="254" spans="1:113" s="61" customFormat="1" ht="11.25" customHeight="1">
      <c r="A254" s="24"/>
      <c r="B254"/>
      <c r="C254"/>
      <c r="D254"/>
      <c r="E254"/>
      <c r="F254"/>
      <c r="G254"/>
      <c r="H254" s="1044"/>
      <c r="I254" s="189" t="s">
        <v>663</v>
      </c>
      <c r="J254" s="85"/>
      <c r="K254" s="85"/>
      <c r="L254" s="60"/>
      <c r="M254" s="350"/>
      <c r="N254" s="350"/>
      <c r="O254" s="350"/>
      <c r="P254" s="351"/>
      <c r="Q254" s="350"/>
      <c r="R254" s="350"/>
      <c r="S254" s="350"/>
      <c r="T254" s="351"/>
      <c r="U254" s="352"/>
      <c r="V254" s="352"/>
      <c r="W254" s="352"/>
      <c r="X254" s="353"/>
      <c r="Y254" s="352"/>
      <c r="Z254" s="352"/>
      <c r="AA254" s="352"/>
      <c r="AB254" s="353"/>
      <c r="AC254" s="352"/>
      <c r="AD254" s="352"/>
      <c r="AE254" s="352"/>
      <c r="AF254" s="353"/>
      <c r="AG254" s="352"/>
      <c r="AH254" s="352"/>
      <c r="AI254" s="352"/>
      <c r="AJ254" s="353"/>
      <c r="AK254" s="352"/>
      <c r="AL254" s="352"/>
      <c r="AM254" s="352"/>
      <c r="AN254" s="353"/>
      <c r="AO254" s="352"/>
      <c r="AP254" s="352"/>
      <c r="AQ254" s="352"/>
      <c r="AR254" s="353"/>
      <c r="AS254" s="354"/>
      <c r="AT254" s="354"/>
      <c r="AU254" s="354"/>
      <c r="AV254" s="355"/>
      <c r="AW254" s="354"/>
      <c r="AX254" s="354"/>
      <c r="AY254" s="354"/>
      <c r="AZ254" s="355"/>
      <c r="BA254" s="354"/>
      <c r="BB254" s="354"/>
      <c r="BC254" s="354"/>
      <c r="BD254" s="355"/>
      <c r="BE254" s="354"/>
      <c r="BF254" s="354"/>
      <c r="BG254" s="354"/>
      <c r="BH254" s="355"/>
      <c r="BI254" s="354">
        <f t="shared" ref="BI254:BQ254" si="526">+(BI253-BE253)*10000</f>
        <v>3378.410412040173</v>
      </c>
      <c r="BJ254" s="354">
        <f t="shared" si="526"/>
        <v>4210.7156096697427</v>
      </c>
      <c r="BK254" s="354">
        <f t="shared" si="526"/>
        <v>5728.0962453544016</v>
      </c>
      <c r="BL254" s="355">
        <f t="shared" si="526"/>
        <v>4560.7492684639801</v>
      </c>
      <c r="BM254" s="354">
        <f t="shared" si="526"/>
        <v>39.046812575809774</v>
      </c>
      <c r="BN254" s="354">
        <f t="shared" si="526"/>
        <v>43.690559210858297</v>
      </c>
      <c r="BO254" s="354">
        <f t="shared" si="526"/>
        <v>12.331765646010906</v>
      </c>
      <c r="BP254" s="354">
        <f t="shared" si="526"/>
        <v>-7.956091081669503</v>
      </c>
      <c r="BQ254" s="1511">
        <f t="shared" si="526"/>
        <v>24.740029025034914</v>
      </c>
      <c r="BR254" s="354">
        <f>+(BR253-BN253)*10000</f>
        <v>-68.326939376915362</v>
      </c>
      <c r="BS254" s="354">
        <f t="shared" ref="BS254:CF254" si="527">+(BS253-BO253)*10000</f>
        <v>80.146342706929332</v>
      </c>
      <c r="BT254" s="355">
        <f t="shared" si="527"/>
        <v>-25.913521746160349</v>
      </c>
      <c r="BU254" s="1511">
        <f t="shared" si="527"/>
        <v>-16.252559789545206</v>
      </c>
      <c r="BV254" s="354">
        <f t="shared" si="527"/>
        <v>-83.594258884165939</v>
      </c>
      <c r="BW254" s="354">
        <f t="shared" si="527"/>
        <v>78.46167438640083</v>
      </c>
      <c r="BX254" s="354">
        <f t="shared" si="527"/>
        <v>-17.046925312592109</v>
      </c>
      <c r="BY254" s="1511">
        <f t="shared" si="527"/>
        <v>-84.293049573189734</v>
      </c>
      <c r="BZ254" s="354">
        <f t="shared" si="527"/>
        <v>-32.768868571614874</v>
      </c>
      <c r="CA254" s="354">
        <f t="shared" si="527"/>
        <v>98.540951892354116</v>
      </c>
      <c r="CB254" s="355">
        <f t="shared" si="527"/>
        <v>-89.923405684427806</v>
      </c>
      <c r="CC254" s="1511">
        <f t="shared" si="527"/>
        <v>-99.03799051814876</v>
      </c>
      <c r="CD254" s="354">
        <f t="shared" si="527"/>
        <v>9.7750837449761541</v>
      </c>
      <c r="CE254" s="354">
        <f t="shared" si="527"/>
        <v>35.999182640316093</v>
      </c>
      <c r="CF254" s="355">
        <f t="shared" si="527"/>
        <v>-31.87750148159807</v>
      </c>
      <c r="CG254" s="351"/>
      <c r="CH254" s="356"/>
      <c r="CI254" s="350"/>
      <c r="CJ254" s="352"/>
      <c r="CK254" s="352"/>
      <c r="CL254" s="352"/>
      <c r="CM254" s="352"/>
      <c r="CN254" s="352"/>
      <c r="CO254" s="352"/>
      <c r="CP254" s="354">
        <f>+(CP253-CO253)*10000</f>
        <v>4312.7214917617139</v>
      </c>
      <c r="CQ254" s="354">
        <f>+(CQ253-CP253)*10000</f>
        <v>140.68084742846821</v>
      </c>
      <c r="CR254" s="354">
        <f>+(CR253-CQ253)*10000</f>
        <v>79.490025355378748</v>
      </c>
      <c r="CS254" s="354">
        <f t="shared" ref="CS254:DF254" si="528">+(CS253-CR253)*10000</f>
        <v>19.719857567709333</v>
      </c>
      <c r="CT254" s="354">
        <f t="shared" si="528"/>
        <v>-18.852673609555669</v>
      </c>
      <c r="CU254" s="354">
        <f t="shared" si="528"/>
        <v>-2.059156523126493E-2</v>
      </c>
      <c r="CV254" s="354">
        <f t="shared" si="528"/>
        <v>-6.6594039784634296</v>
      </c>
      <c r="CW254" s="354">
        <f t="shared" si="528"/>
        <v>-14.51854150437082</v>
      </c>
      <c r="CX254" s="354">
        <f t="shared" si="528"/>
        <v>-30.412676764056677</v>
      </c>
      <c r="CY254" s="354">
        <f t="shared" si="528"/>
        <v>-30.028343505730803</v>
      </c>
      <c r="CZ254" s="354">
        <f t="shared" si="528"/>
        <v>-13.657680494967295</v>
      </c>
      <c r="DA254" s="354">
        <f t="shared" si="528"/>
        <v>-16.25212567236245</v>
      </c>
      <c r="DB254" s="354">
        <f t="shared" si="528"/>
        <v>-17.999999999999684</v>
      </c>
      <c r="DC254" s="354">
        <f t="shared" si="528"/>
        <v>-15.000000000000568</v>
      </c>
      <c r="DD254" s="354">
        <f t="shared" si="528"/>
        <v>-14.999999999999458</v>
      </c>
      <c r="DE254" s="354">
        <f t="shared" si="528"/>
        <v>-15.000000000000568</v>
      </c>
      <c r="DF254" s="355">
        <f t="shared" si="528"/>
        <v>-14.999999999999458</v>
      </c>
    </row>
    <row r="255" spans="1:113" s="68" customFormat="1" ht="11.25" customHeight="1">
      <c r="A255" s="24"/>
      <c r="B255"/>
      <c r="C255"/>
      <c r="D255"/>
      <c r="E255"/>
      <c r="F255"/>
      <c r="G255"/>
      <c r="H255" s="1044"/>
      <c r="I255" s="1724" t="s">
        <v>621</v>
      </c>
      <c r="J255" s="665"/>
      <c r="K255" s="665"/>
      <c r="L255" s="665"/>
      <c r="M255" s="666"/>
      <c r="N255" s="666"/>
      <c r="O255" s="666"/>
      <c r="P255" s="667"/>
      <c r="Q255" s="666"/>
      <c r="R255" s="666"/>
      <c r="S255" s="666"/>
      <c r="T255" s="667"/>
      <c r="U255" s="668"/>
      <c r="V255" s="668"/>
      <c r="W255" s="668"/>
      <c r="X255" s="669"/>
      <c r="Y255" s="668"/>
      <c r="Z255" s="668"/>
      <c r="AA255" s="668"/>
      <c r="AB255" s="669"/>
      <c r="AC255" s="668"/>
      <c r="AD255" s="668"/>
      <c r="AE255" s="668"/>
      <c r="AF255" s="669"/>
      <c r="AG255" s="668"/>
      <c r="AH255" s="668"/>
      <c r="AI255" s="668"/>
      <c r="AJ255" s="669"/>
      <c r="AK255" s="668"/>
      <c r="AL255" s="668"/>
      <c r="AM255" s="668"/>
      <c r="AN255" s="669"/>
      <c r="AO255" s="1697">
        <f t="shared" ref="AO255:BP255" si="529">+(AO250-AN250)*10000</f>
        <v>-513.4264808174928</v>
      </c>
      <c r="AP255" s="1697">
        <f t="shared" si="529"/>
        <v>328.75544693951082</v>
      </c>
      <c r="AQ255" s="1697">
        <f t="shared" si="529"/>
        <v>459.28536709761602</v>
      </c>
      <c r="AR255" s="1698">
        <f t="shared" si="529"/>
        <v>-175.13455220109137</v>
      </c>
      <c r="AS255" s="1697">
        <f t="shared" si="529"/>
        <v>-570.61674978691121</v>
      </c>
      <c r="AT255" s="1697">
        <f t="shared" si="529"/>
        <v>347.04757867902822</v>
      </c>
      <c r="AU255" s="1697">
        <f t="shared" si="529"/>
        <v>443.12719224587823</v>
      </c>
      <c r="AV255" s="1698">
        <f t="shared" si="529"/>
        <v>-283.42129729193391</v>
      </c>
      <c r="AW255" s="1697">
        <f t="shared" si="529"/>
        <v>-460.96860427767422</v>
      </c>
      <c r="AX255" s="1697">
        <f t="shared" si="529"/>
        <v>338.69708976493774</v>
      </c>
      <c r="AY255" s="1697">
        <f t="shared" si="529"/>
        <v>409.97383213395631</v>
      </c>
      <c r="AZ255" s="1698">
        <f t="shared" si="529"/>
        <v>-254.35457526526457</v>
      </c>
      <c r="BA255" s="1697">
        <f t="shared" si="529"/>
        <v>-484.88313421660848</v>
      </c>
      <c r="BB255" s="1697">
        <f t="shared" si="529"/>
        <v>270.88814058718299</v>
      </c>
      <c r="BC255" s="1697">
        <f t="shared" si="529"/>
        <v>539.45921635827813</v>
      </c>
      <c r="BD255" s="1698">
        <f t="shared" si="529"/>
        <v>-351.44956942082416</v>
      </c>
      <c r="BE255" s="1697">
        <f t="shared" si="529"/>
        <v>-424.84606302890319</v>
      </c>
      <c r="BF255" s="1697">
        <f t="shared" si="529"/>
        <v>311.3099623626324</v>
      </c>
      <c r="BG255" s="1697">
        <f t="shared" si="529"/>
        <v>464.71286227821429</v>
      </c>
      <c r="BH255" s="1698">
        <f t="shared" si="529"/>
        <v>-386.26523515028185</v>
      </c>
      <c r="BI255" s="1697">
        <f t="shared" si="529"/>
        <v>-373.00266264095438</v>
      </c>
      <c r="BJ255" s="1697">
        <f t="shared" si="529"/>
        <v>250.10709467975457</v>
      </c>
      <c r="BK255" s="1697">
        <f t="shared" si="529"/>
        <v>513.20855704816643</v>
      </c>
      <c r="BL255" s="1698">
        <f t="shared" si="529"/>
        <v>-429.63217231931583</v>
      </c>
      <c r="BM255" s="1697">
        <f t="shared" si="529"/>
        <v>-345.44331817813969</v>
      </c>
      <c r="BN255" s="1697">
        <f t="shared" si="529"/>
        <v>275.53188722223206</v>
      </c>
      <c r="BO255" s="1697">
        <f t="shared" si="529"/>
        <v>508.10042279342991</v>
      </c>
      <c r="BP255" s="1697">
        <f t="shared" si="529"/>
        <v>-371.73742614850431</v>
      </c>
      <c r="BQ255" s="1699">
        <f>+(BQ250-BP250)*10000</f>
        <v>-392.14994292219876</v>
      </c>
      <c r="BR255" s="1697">
        <f t="shared" ref="BR255:CF255" si="530">+(BR250-BQ250)*10000</f>
        <v>218.24299396068184</v>
      </c>
      <c r="BS255" s="1697">
        <f t="shared" si="530"/>
        <v>613.18614436205871</v>
      </c>
      <c r="BT255" s="1698">
        <f>+(BT250-BS250)*10000</f>
        <v>-492.32509960337097</v>
      </c>
      <c r="BU255" s="1699">
        <f t="shared" si="530"/>
        <v>-363.3417006843394</v>
      </c>
      <c r="BV255" s="1697">
        <f t="shared" si="530"/>
        <v>182.76539558513397</v>
      </c>
      <c r="BW255" s="1697">
        <f t="shared" si="530"/>
        <v>675.26449031873403</v>
      </c>
      <c r="BX255" s="1697">
        <f t="shared" si="530"/>
        <v>-525.14077201830958</v>
      </c>
      <c r="BY255" s="1699">
        <f t="shared" si="530"/>
        <v>-412.68944243873716</v>
      </c>
      <c r="BZ255" s="1697">
        <f t="shared" si="530"/>
        <v>327.05606822380651</v>
      </c>
      <c r="CA255" s="1697">
        <f t="shared" si="530"/>
        <v>639.41024325739897</v>
      </c>
      <c r="CB255" s="1698">
        <f t="shared" si="530"/>
        <v>-560.20178372528562</v>
      </c>
      <c r="CC255" s="1699">
        <f t="shared" si="530"/>
        <v>-401.26452775591974</v>
      </c>
      <c r="CD255" s="1697">
        <f t="shared" si="530"/>
        <v>327.05606822380651</v>
      </c>
      <c r="CE255" s="1697">
        <f t="shared" si="530"/>
        <v>639.41024325739897</v>
      </c>
      <c r="CF255" s="1698">
        <f t="shared" si="530"/>
        <v>-560.20178372528562</v>
      </c>
      <c r="CG255" s="405"/>
      <c r="CH255" s="675"/>
      <c r="CI255" s="666"/>
      <c r="CJ255" s="668"/>
      <c r="CK255" s="668"/>
      <c r="CL255" s="668"/>
      <c r="CM255" s="668"/>
      <c r="CN255" s="668"/>
      <c r="CO255" s="668"/>
      <c r="CP255" s="668"/>
      <c r="CQ255" s="662"/>
      <c r="CR255" s="662"/>
      <c r="CS255" s="662"/>
      <c r="CT255" s="668"/>
      <c r="CU255" s="662"/>
      <c r="CV255" s="676"/>
      <c r="CW255" s="662"/>
      <c r="CX255" s="662"/>
      <c r="CY255" s="662"/>
      <c r="CZ255" s="1697"/>
      <c r="DA255" s="1697"/>
      <c r="DB255" s="1697"/>
      <c r="DC255" s="1697"/>
      <c r="DD255" s="1697"/>
      <c r="DE255" s="1697"/>
      <c r="DF255" s="1698"/>
      <c r="DG255" s="1180"/>
      <c r="DH255" s="1180"/>
    </row>
    <row r="256" spans="1:113" s="68" customFormat="1" ht="11.25" customHeight="1">
      <c r="A256" s="24"/>
      <c r="B256"/>
      <c r="C256"/>
      <c r="D256"/>
      <c r="E256"/>
      <c r="F256"/>
      <c r="G256"/>
      <c r="H256" s="1044"/>
      <c r="I256" s="2070"/>
      <c r="J256" s="67"/>
      <c r="K256" s="67"/>
      <c r="L256" s="67"/>
      <c r="M256" s="404"/>
      <c r="N256" s="404"/>
      <c r="O256" s="404"/>
      <c r="P256" s="404"/>
      <c r="Q256" s="404"/>
      <c r="R256" s="404"/>
      <c r="S256" s="404"/>
      <c r="T256" s="404"/>
      <c r="U256" s="373"/>
      <c r="V256" s="373"/>
      <c r="W256" s="373"/>
      <c r="X256" s="373"/>
      <c r="Y256" s="373"/>
      <c r="Z256" s="373"/>
      <c r="AA256" s="373"/>
      <c r="AB256" s="373"/>
      <c r="AC256" s="373"/>
      <c r="AD256" s="373"/>
      <c r="AE256" s="373"/>
      <c r="AF256" s="373"/>
      <c r="AG256" s="373"/>
      <c r="AH256" s="373"/>
      <c r="AI256" s="373"/>
      <c r="AJ256" s="373"/>
      <c r="AK256" s="373"/>
      <c r="AL256" s="373"/>
      <c r="AM256" s="373"/>
      <c r="AN256" s="373"/>
      <c r="AO256" s="354"/>
      <c r="AP256" s="354"/>
      <c r="AQ256" s="354"/>
      <c r="AR256" s="354"/>
      <c r="AS256" s="354"/>
      <c r="AT256" s="354"/>
      <c r="AU256" s="354"/>
      <c r="AV256" s="354"/>
      <c r="AW256" s="354"/>
      <c r="AX256" s="354"/>
      <c r="AY256" s="354"/>
      <c r="AZ256" s="354"/>
      <c r="BA256" s="354"/>
      <c r="BB256" s="354"/>
      <c r="BC256" s="354"/>
      <c r="BD256" s="354"/>
      <c r="BE256" s="354"/>
      <c r="BF256" s="354"/>
      <c r="BG256" s="354"/>
      <c r="BH256" s="354"/>
      <c r="BI256" s="354"/>
      <c r="BJ256" s="354"/>
      <c r="BK256" s="354"/>
      <c r="BL256" s="354"/>
      <c r="BM256" s="354"/>
      <c r="BN256" s="354"/>
      <c r="BO256" s="354"/>
      <c r="BP256" s="354"/>
      <c r="BQ256" s="354"/>
      <c r="BR256" s="354"/>
      <c r="BS256" s="354"/>
      <c r="BT256" s="354"/>
      <c r="BU256" s="354"/>
      <c r="BV256" s="354"/>
      <c r="BW256" s="354"/>
      <c r="BX256" s="354"/>
      <c r="BY256" s="354"/>
      <c r="BZ256" s="354"/>
      <c r="CA256" s="354"/>
      <c r="CB256" s="354"/>
      <c r="CC256" s="354"/>
      <c r="CD256" s="354"/>
      <c r="CE256" s="354"/>
      <c r="CF256" s="354"/>
      <c r="CG256" s="404"/>
      <c r="CH256" s="404"/>
      <c r="CI256" s="404"/>
      <c r="CJ256" s="373"/>
      <c r="CK256" s="373"/>
      <c r="CL256" s="373"/>
      <c r="CM256" s="373"/>
      <c r="CN256" s="373"/>
      <c r="CO256" s="373"/>
      <c r="CP256" s="373"/>
      <c r="CQ256" s="328"/>
      <c r="CR256" s="328"/>
      <c r="CS256" s="328"/>
      <c r="CT256" s="373"/>
      <c r="CU256" s="328"/>
      <c r="CV256" s="408"/>
      <c r="CW256" s="328"/>
      <c r="CX256" s="328"/>
      <c r="CY256" s="328"/>
      <c r="CZ256" s="354"/>
      <c r="DA256" s="354"/>
      <c r="DB256" s="354"/>
      <c r="DC256" s="354"/>
      <c r="DD256" s="354"/>
      <c r="DE256" s="354"/>
      <c r="DF256" s="354"/>
      <c r="DG256" s="1180"/>
      <c r="DH256" s="1180"/>
    </row>
    <row r="257" spans="1:113" customFormat="1" ht="11.25" customHeight="1">
      <c r="A257" s="10"/>
      <c r="H257" s="1054"/>
      <c r="I257" s="659" t="s">
        <v>742</v>
      </c>
      <c r="J257" s="660"/>
      <c r="K257" s="660"/>
      <c r="L257" s="660"/>
      <c r="M257" s="660"/>
      <c r="N257" s="660"/>
      <c r="O257" s="660"/>
      <c r="P257" s="660"/>
      <c r="Q257" s="660"/>
      <c r="R257" s="660"/>
      <c r="S257" s="660"/>
      <c r="T257" s="660"/>
      <c r="U257" s="659"/>
      <c r="V257" s="660"/>
      <c r="W257" s="660"/>
      <c r="X257" s="661"/>
      <c r="Y257" s="659"/>
      <c r="Z257" s="660"/>
      <c r="AA257" s="660"/>
      <c r="AB257" s="661"/>
      <c r="AC257" s="659"/>
      <c r="AD257" s="660"/>
      <c r="AE257" s="660"/>
      <c r="AF257" s="661"/>
      <c r="AG257" s="659"/>
      <c r="AH257" s="660"/>
      <c r="AI257" s="660"/>
      <c r="AJ257" s="661"/>
      <c r="AK257" s="659"/>
      <c r="AL257" s="660"/>
      <c r="AM257" s="660"/>
      <c r="AN257" s="661"/>
      <c r="AO257" s="659"/>
      <c r="AP257" s="660"/>
      <c r="AQ257" s="660"/>
      <c r="AR257" s="661"/>
      <c r="AS257" s="659"/>
      <c r="AT257" s="660"/>
      <c r="AU257" s="660"/>
      <c r="AV257" s="661"/>
      <c r="AW257" s="659"/>
      <c r="AX257" s="660"/>
      <c r="AY257" s="660"/>
      <c r="AZ257" s="661"/>
      <c r="BA257" s="659"/>
      <c r="BB257" s="660"/>
      <c r="BC257" s="660"/>
      <c r="BD257" s="661"/>
      <c r="BE257" s="659"/>
      <c r="BF257" s="660"/>
      <c r="BG257" s="660"/>
      <c r="BH257" s="661"/>
      <c r="BI257" s="659"/>
      <c r="BJ257" s="660"/>
      <c r="BK257" s="660"/>
      <c r="BL257" s="661"/>
      <c r="BM257" s="659"/>
      <c r="BN257" s="660"/>
      <c r="BO257" s="660"/>
      <c r="BP257" s="661"/>
      <c r="BQ257" s="659"/>
      <c r="BR257" s="660"/>
      <c r="BS257" s="660"/>
      <c r="BT257" s="661"/>
      <c r="BU257" s="659"/>
      <c r="BV257" s="660"/>
      <c r="BW257" s="660"/>
      <c r="BX257" s="661"/>
      <c r="BY257" s="659"/>
      <c r="BZ257" s="660"/>
      <c r="CA257" s="660"/>
      <c r="CB257" s="661"/>
      <c r="CC257" s="659"/>
      <c r="CD257" s="660"/>
      <c r="CE257" s="660"/>
      <c r="CF257" s="660"/>
      <c r="CG257" s="2078"/>
      <c r="CH257" s="661"/>
      <c r="CI257" s="661"/>
      <c r="CJ257" s="661"/>
      <c r="CK257" s="661"/>
      <c r="CL257" s="661"/>
      <c r="CM257" s="661"/>
      <c r="CN257" s="661"/>
      <c r="CO257" s="661"/>
      <c r="CP257" s="661"/>
      <c r="CQ257" s="661"/>
      <c r="CR257" s="661"/>
      <c r="CS257" s="661"/>
      <c r="CT257" s="661"/>
      <c r="CU257" s="661"/>
      <c r="CV257" s="661"/>
      <c r="CW257" s="661"/>
      <c r="CX257" s="661"/>
      <c r="CY257" s="660"/>
      <c r="CZ257" s="660"/>
      <c r="DA257" s="660"/>
      <c r="DB257" s="660"/>
      <c r="DC257" s="660"/>
      <c r="DD257" s="660"/>
      <c r="DE257" s="660"/>
      <c r="DF257" s="661"/>
      <c r="DG257" s="124"/>
      <c r="DH257" s="124"/>
      <c r="DI257" s="1548"/>
    </row>
    <row r="258" spans="1:113" s="68" customFormat="1" ht="11.25" customHeight="1">
      <c r="A258" s="8"/>
      <c r="B258"/>
      <c r="C258"/>
      <c r="D258"/>
      <c r="E258"/>
      <c r="F258"/>
      <c r="G258"/>
      <c r="H258" s="1052"/>
      <c r="I258" s="160" t="s">
        <v>30</v>
      </c>
      <c r="J258" s="67"/>
      <c r="K258" s="67"/>
      <c r="L258" s="67"/>
      <c r="M258" s="400"/>
      <c r="N258" s="400"/>
      <c r="O258" s="400"/>
      <c r="P258" s="400"/>
      <c r="Q258" s="400"/>
      <c r="R258" s="400"/>
      <c r="S258" s="400"/>
      <c r="T258" s="400"/>
      <c r="U258" s="401"/>
      <c r="V258" s="401"/>
      <c r="W258" s="401"/>
      <c r="X258" s="401"/>
      <c r="Y258" s="401"/>
      <c r="Z258" s="401"/>
      <c r="AA258" s="401"/>
      <c r="AB258" s="401"/>
      <c r="AC258" s="401"/>
      <c r="AD258" s="401"/>
      <c r="AE258" s="401"/>
      <c r="AF258" s="401"/>
      <c r="AG258" s="401"/>
      <c r="AH258" s="401"/>
      <c r="AI258" s="401"/>
      <c r="AJ258" s="401"/>
      <c r="AK258" s="401"/>
      <c r="AL258" s="401"/>
      <c r="AM258" s="401"/>
      <c r="AN258" s="401"/>
      <c r="AO258" s="538"/>
      <c r="AP258" s="538"/>
      <c r="AQ258" s="538"/>
      <c r="AR258" s="538"/>
      <c r="AS258" s="538"/>
      <c r="AT258" s="538"/>
      <c r="AU258" s="538"/>
      <c r="AV258" s="538"/>
      <c r="AW258" s="538"/>
      <c r="AX258" s="538"/>
      <c r="AY258" s="538"/>
      <c r="AZ258" s="538"/>
      <c r="BA258" s="538"/>
      <c r="BB258" s="538"/>
      <c r="BC258" s="538"/>
      <c r="BD258" s="538"/>
      <c r="BE258" s="538"/>
      <c r="BF258" s="538"/>
      <c r="BG258" s="538"/>
      <c r="BH258" s="538"/>
      <c r="BI258" s="1566">
        <f t="shared" ref="BI258:CF258" si="531">+BI39</f>
        <v>1009.665</v>
      </c>
      <c r="BJ258" s="357">
        <f t="shared" si="531"/>
        <v>1383.855</v>
      </c>
      <c r="BK258" s="357">
        <f t="shared" si="531"/>
        <v>1989.0649999999998</v>
      </c>
      <c r="BL258" s="357">
        <f t="shared" si="531"/>
        <v>1333.3009999999999</v>
      </c>
      <c r="BM258" s="1566">
        <f t="shared" si="531"/>
        <v>1406.4710000000002</v>
      </c>
      <c r="BN258" s="357">
        <f t="shared" si="531"/>
        <v>1882.9959999999999</v>
      </c>
      <c r="BO258" s="357">
        <f t="shared" si="531"/>
        <v>2619.9780000000001</v>
      </c>
      <c r="BP258" s="357">
        <f t="shared" si="531"/>
        <v>1674.6849999999999</v>
      </c>
      <c r="BQ258" s="1566">
        <f t="shared" si="531"/>
        <v>1672.2359999999999</v>
      </c>
      <c r="BR258" s="357">
        <f t="shared" si="531"/>
        <v>2092.9059999999999</v>
      </c>
      <c r="BS258" s="357">
        <f t="shared" si="531"/>
        <v>2947.2819999999997</v>
      </c>
      <c r="BT258" s="357">
        <f t="shared" si="531"/>
        <v>1879.3829999999998</v>
      </c>
      <c r="BU258" s="1566">
        <f t="shared" si="531"/>
        <v>2019.4499999999996</v>
      </c>
      <c r="BV258" s="357">
        <f t="shared" si="531"/>
        <v>2429.8180000000002</v>
      </c>
      <c r="BW258" s="357">
        <f t="shared" si="531"/>
        <v>3589.0630000000001</v>
      </c>
      <c r="BX258" s="357">
        <f t="shared" si="531"/>
        <v>2276.3609999999999</v>
      </c>
      <c r="BY258" s="1566">
        <f t="shared" si="531"/>
        <v>2334.2350000000001</v>
      </c>
      <c r="BZ258" s="357">
        <f t="shared" si="531"/>
        <v>2951.8139999999999</v>
      </c>
      <c r="CA258" s="357">
        <f t="shared" si="531"/>
        <v>4374.5529999999999</v>
      </c>
      <c r="CB258" s="357">
        <f t="shared" si="531"/>
        <v>2769.9429999999998</v>
      </c>
      <c r="CC258" s="1566">
        <f t="shared" si="531"/>
        <v>2797.4827631473131</v>
      </c>
      <c r="CD258" s="357">
        <f t="shared" si="531"/>
        <v>3562.1867348861169</v>
      </c>
      <c r="CE258" s="357">
        <f t="shared" si="531"/>
        <v>5004.4109582604151</v>
      </c>
      <c r="CF258" s="357">
        <f t="shared" si="531"/>
        <v>3377.7905329599316</v>
      </c>
      <c r="CG258" s="403"/>
      <c r="CH258" s="400"/>
      <c r="CI258" s="400"/>
      <c r="CJ258" s="401"/>
      <c r="CK258" s="401"/>
      <c r="CL258" s="401"/>
      <c r="CM258" s="401"/>
      <c r="CN258" s="401"/>
      <c r="CO258" s="401"/>
      <c r="CP258" s="401"/>
      <c r="CQ258" s="345"/>
      <c r="CR258" s="345"/>
      <c r="CS258" s="2107">
        <f>+CS39</f>
        <v>4083.6810000000009</v>
      </c>
      <c r="CT258" s="2081">
        <f>+CT39</f>
        <v>5715.8860000000004</v>
      </c>
      <c r="CU258" s="2081">
        <f>+CU39</f>
        <v>7584.1299999999992</v>
      </c>
      <c r="CV258" s="2081">
        <f>+CV39</f>
        <v>8591.8069999999989</v>
      </c>
      <c r="CW258" s="2081">
        <f t="shared" ref="CW258:DF258" si="532">+CW39</f>
        <v>10314.691999999999</v>
      </c>
      <c r="CX258" s="2081">
        <f t="shared" si="532"/>
        <v>12430.544999999998</v>
      </c>
      <c r="CY258" s="2081">
        <f t="shared" si="532"/>
        <v>14741.870989253777</v>
      </c>
      <c r="CZ258" s="2081">
        <f t="shared" si="532"/>
        <v>16789.461770853006</v>
      </c>
      <c r="DA258" s="2081">
        <f t="shared" si="532"/>
        <v>18821.738388716545</v>
      </c>
      <c r="DB258" s="2081">
        <f t="shared" si="532"/>
        <v>20777.076286445132</v>
      </c>
      <c r="DC258" s="2081">
        <f t="shared" si="532"/>
        <v>22684.602711614214</v>
      </c>
      <c r="DD258" s="2081">
        <f t="shared" si="532"/>
        <v>24564.090972988914</v>
      </c>
      <c r="DE258" s="2081">
        <f t="shared" si="532"/>
        <v>26399.064626385334</v>
      </c>
      <c r="DF258" s="2082">
        <f t="shared" si="532"/>
        <v>28376.886990626772</v>
      </c>
      <c r="DG258" s="1180"/>
      <c r="DH258" s="1180"/>
    </row>
    <row r="259" spans="1:113" s="2105" customFormat="1" ht="11.25" customHeight="1">
      <c r="A259" s="2092"/>
      <c r="B259"/>
      <c r="C259"/>
      <c r="D259"/>
      <c r="E259"/>
      <c r="F259"/>
      <c r="G259"/>
      <c r="H259" s="2093"/>
      <c r="I259" s="258" t="s">
        <v>743</v>
      </c>
      <c r="J259" s="2094"/>
      <c r="K259" s="2094"/>
      <c r="L259" s="2094"/>
      <c r="M259" s="2095"/>
      <c r="N259" s="2095"/>
      <c r="O259" s="2095"/>
      <c r="P259" s="2095"/>
      <c r="Q259" s="2095"/>
      <c r="R259" s="2095"/>
      <c r="S259" s="2095"/>
      <c r="T259" s="2095"/>
      <c r="U259" s="2096"/>
      <c r="V259" s="2096"/>
      <c r="W259" s="2096"/>
      <c r="X259" s="2096"/>
      <c r="Y259" s="2096"/>
      <c r="Z259" s="2096"/>
      <c r="AA259" s="2096"/>
      <c r="AB259" s="2096"/>
      <c r="AC259" s="2096"/>
      <c r="AD259" s="2096"/>
      <c r="AE259" s="2096"/>
      <c r="AF259" s="2096"/>
      <c r="AG259" s="2096"/>
      <c r="AH259" s="2096"/>
      <c r="AI259" s="2096"/>
      <c r="AJ259" s="2096"/>
      <c r="AK259" s="2096"/>
      <c r="AL259" s="2096"/>
      <c r="AM259" s="2096"/>
      <c r="AN259" s="2096"/>
      <c r="AO259" s="2097"/>
      <c r="AP259" s="2097"/>
      <c r="AQ259" s="2097"/>
      <c r="AR259" s="2097"/>
      <c r="AS259" s="2097"/>
      <c r="AT259" s="2097"/>
      <c r="AU259" s="2097"/>
      <c r="AV259" s="2097"/>
      <c r="AW259" s="2097"/>
      <c r="AX259" s="2097"/>
      <c r="AY259" s="2097"/>
      <c r="AZ259" s="2097"/>
      <c r="BA259" s="2097"/>
      <c r="BB259" s="2097"/>
      <c r="BC259" s="2097"/>
      <c r="BD259" s="2097"/>
      <c r="BE259" s="2097"/>
      <c r="BF259" s="2097"/>
      <c r="BG259" s="2097"/>
      <c r="BH259" s="2097"/>
      <c r="BI259" s="2098">
        <f>+'Bookings and Drivers'!BI102</f>
        <v>63200</v>
      </c>
      <c r="BJ259" s="2099">
        <f>+'Bookings and Drivers'!BJ102</f>
        <v>69400</v>
      </c>
      <c r="BK259" s="2099">
        <f>+'Bookings and Drivers'!BK102</f>
        <v>74800</v>
      </c>
      <c r="BL259" s="2099">
        <f>+'Bookings and Drivers'!BL102</f>
        <v>63100</v>
      </c>
      <c r="BM259" s="2098">
        <f>+'Bookings and Drivers'!BM102</f>
        <v>83400</v>
      </c>
      <c r="BN259" s="2099">
        <f>+'Bookings and Drivers'!BN102</f>
        <v>89600</v>
      </c>
      <c r="BO259" s="2099">
        <f>+'Bookings and Drivers'!BO102</f>
        <v>94800</v>
      </c>
      <c r="BP259" s="2099">
        <f>+'Bookings and Drivers'!BP102</f>
        <v>78200</v>
      </c>
      <c r="BQ259" s="2098">
        <f>+'Bookings and Drivers'!BQ102</f>
        <v>104600</v>
      </c>
      <c r="BR259" s="2099">
        <f>+'Bookings and Drivers'!BR102</f>
        <v>113100</v>
      </c>
      <c r="BS259" s="2099">
        <f>+'Bookings and Drivers'!BS102</f>
        <v>115600</v>
      </c>
      <c r="BT259" s="2099">
        <f>+'Bookings and Drivers'!BT102</f>
        <v>99100</v>
      </c>
      <c r="BU259" s="2098">
        <f>+'Bookings and Drivers'!BU102</f>
        <v>136500</v>
      </c>
      <c r="BV259" s="2099">
        <f>+'Bookings and Drivers'!BV102</f>
        <v>140700</v>
      </c>
      <c r="BW259" s="2099">
        <f>+'Bookings and Drivers'!BW102</f>
        <v>149600</v>
      </c>
      <c r="BX259" s="2099">
        <f>+'Bookings and Drivers'!BX102</f>
        <v>129700</v>
      </c>
      <c r="BY259" s="2098">
        <f>+'Bookings and Drivers'!BY102</f>
        <v>173900</v>
      </c>
      <c r="BZ259" s="2099">
        <f>+'Bookings and Drivers'!BZ102</f>
        <v>170200</v>
      </c>
      <c r="CA259" s="2099">
        <f>+'Bookings and Drivers'!CA102</f>
        <v>177500</v>
      </c>
      <c r="CB259" s="2099">
        <f>+'Bookings and Drivers'!CB102</f>
        <v>151500</v>
      </c>
      <c r="CC259" s="2098">
        <f>+'Bookings and Drivers'!CC102</f>
        <v>200257.19366501624</v>
      </c>
      <c r="CD259" s="2099">
        <f>+'Bookings and Drivers'!CD102</f>
        <v>201632.48673994999</v>
      </c>
      <c r="CE259" s="2099">
        <f>+'Bookings and Drivers'!CE102</f>
        <v>208499.00124583999</v>
      </c>
      <c r="CF259" s="2099">
        <f>+'Bookings and Drivers'!CF102</f>
        <v>180065.37883575002</v>
      </c>
      <c r="CG259" s="2100"/>
      <c r="CH259" s="2095"/>
      <c r="CI259" s="2095"/>
      <c r="CJ259" s="2096"/>
      <c r="CK259" s="2096"/>
      <c r="CL259" s="2096"/>
      <c r="CM259" s="2096"/>
      <c r="CN259" s="2096"/>
      <c r="CO259" s="2096"/>
      <c r="CP259" s="2096"/>
      <c r="CQ259" s="2101"/>
      <c r="CR259" s="2101"/>
      <c r="CS259" s="2108">
        <f>+'Bookings and Drivers'!CS102</f>
        <v>197500</v>
      </c>
      <c r="CT259" s="2102">
        <f>+'Bookings and Drivers'!CT102</f>
        <v>270500</v>
      </c>
      <c r="CU259" s="2102">
        <f>+'Bookings and Drivers'!CU102</f>
        <v>346000</v>
      </c>
      <c r="CV259" s="2102">
        <f>+'Bookings and Drivers'!CV102</f>
        <v>432400</v>
      </c>
      <c r="CW259" s="2102">
        <f>+'Bookings and Drivers'!CW102</f>
        <v>556500</v>
      </c>
      <c r="CX259" s="2102">
        <f>+'Bookings and Drivers'!CX102</f>
        <v>673100</v>
      </c>
      <c r="CY259" s="2102">
        <f>+'Bookings and Drivers'!CY102</f>
        <v>790454.06048655626</v>
      </c>
      <c r="CZ259" s="2102">
        <f>+'Bookings and Drivers'!CZ102</f>
        <v>911991.9076507698</v>
      </c>
      <c r="DA259" s="2102">
        <f>+'Bookings and Drivers'!DA102</f>
        <v>1032365.8992588914</v>
      </c>
      <c r="DB259" s="2102">
        <f>+'Bookings and Drivers'!DB102</f>
        <v>1149324.1670952232</v>
      </c>
      <c r="DC259" s="2102">
        <f>+'Bookings and Drivers'!DC102</f>
        <v>1264201.2581736625</v>
      </c>
      <c r="DD259" s="2102">
        <f>+'Bookings and Drivers'!DD102</f>
        <v>1378156.2994027182</v>
      </c>
      <c r="DE259" s="2102">
        <f>+'Bookings and Drivers'!DE102</f>
        <v>1490169.2343656395</v>
      </c>
      <c r="DF259" s="2103">
        <f>+'Bookings and Drivers'!DF102</f>
        <v>1611344.7584483351</v>
      </c>
      <c r="DG259" s="2104"/>
      <c r="DH259" s="2104"/>
    </row>
    <row r="260" spans="1:113" s="68" customFormat="1" ht="11.25" customHeight="1">
      <c r="A260" s="8"/>
      <c r="B260"/>
      <c r="C260"/>
      <c r="D260"/>
      <c r="E260"/>
      <c r="F260"/>
      <c r="G260"/>
      <c r="H260" s="1052"/>
      <c r="I260" s="531" t="s">
        <v>744</v>
      </c>
      <c r="J260" s="67"/>
      <c r="K260" s="67"/>
      <c r="L260" s="67"/>
      <c r="M260" s="400"/>
      <c r="N260" s="400"/>
      <c r="O260" s="400"/>
      <c r="P260" s="400"/>
      <c r="Q260" s="400"/>
      <c r="R260" s="400"/>
      <c r="S260" s="400"/>
      <c r="T260" s="400"/>
      <c r="U260" s="401"/>
      <c r="V260" s="401"/>
      <c r="W260" s="401"/>
      <c r="X260" s="401"/>
      <c r="Y260" s="401"/>
      <c r="Z260" s="401"/>
      <c r="AA260" s="401"/>
      <c r="AB260" s="401"/>
      <c r="AC260" s="401"/>
      <c r="AD260" s="401"/>
      <c r="AE260" s="401"/>
      <c r="AF260" s="401"/>
      <c r="AG260" s="401"/>
      <c r="AH260" s="401"/>
      <c r="AI260" s="401"/>
      <c r="AJ260" s="401"/>
      <c r="AK260" s="401"/>
      <c r="AL260" s="401"/>
      <c r="AM260" s="401"/>
      <c r="AN260" s="401"/>
      <c r="AO260" s="538"/>
      <c r="AP260" s="538"/>
      <c r="AQ260" s="538"/>
      <c r="AR260" s="538"/>
      <c r="AS260" s="538"/>
      <c r="AT260" s="538"/>
      <c r="AU260" s="538"/>
      <c r="AV260" s="538"/>
      <c r="AW260" s="538"/>
      <c r="AX260" s="538"/>
      <c r="AY260" s="538"/>
      <c r="AZ260" s="538"/>
      <c r="BA260" s="538"/>
      <c r="BB260" s="538"/>
      <c r="BC260" s="538"/>
      <c r="BD260" s="538"/>
      <c r="BE260" s="538"/>
      <c r="BF260" s="538"/>
      <c r="BG260" s="538"/>
      <c r="BH260" s="538"/>
      <c r="BI260" s="2072">
        <f t="shared" ref="BI260:BU260" si="533">+(BI258*1000)/BI259</f>
        <v>15.975712025316456</v>
      </c>
      <c r="BJ260" s="2072">
        <f t="shared" si="533"/>
        <v>19.940273775216138</v>
      </c>
      <c r="BK260" s="2072">
        <f t="shared" si="533"/>
        <v>26.591778074866308</v>
      </c>
      <c r="BL260" s="2072">
        <f t="shared" si="533"/>
        <v>21.129968304278922</v>
      </c>
      <c r="BM260" s="2079">
        <f t="shared" si="533"/>
        <v>16.864160671462834</v>
      </c>
      <c r="BN260" s="2072">
        <f t="shared" si="533"/>
        <v>21.015580357142856</v>
      </c>
      <c r="BO260" s="2072">
        <f t="shared" si="533"/>
        <v>27.636898734177215</v>
      </c>
      <c r="BP260" s="2072">
        <f t="shared" si="533"/>
        <v>21.415409207161126</v>
      </c>
      <c r="BQ260" s="2079">
        <f t="shared" si="533"/>
        <v>15.986959847036326</v>
      </c>
      <c r="BR260" s="2072">
        <f t="shared" si="533"/>
        <v>18.504916003536692</v>
      </c>
      <c r="BS260" s="2072">
        <f t="shared" si="533"/>
        <v>25.495519031141864</v>
      </c>
      <c r="BT260" s="2072">
        <f t="shared" si="533"/>
        <v>18.96451059535822</v>
      </c>
      <c r="BU260" s="2079">
        <f t="shared" si="533"/>
        <v>14.794505494505492</v>
      </c>
      <c r="BV260" s="2072">
        <f t="shared" ref="BV260:CF260" si="534">+(BV258*1000)/BV259</f>
        <v>17.269495380241651</v>
      </c>
      <c r="BW260" s="2072">
        <f t="shared" si="534"/>
        <v>23.9910628342246</v>
      </c>
      <c r="BX260" s="2072">
        <f t="shared" si="534"/>
        <v>17.550971472629143</v>
      </c>
      <c r="BY260" s="2079">
        <f t="shared" si="534"/>
        <v>13.422857964347326</v>
      </c>
      <c r="BZ260" s="2072">
        <f t="shared" si="534"/>
        <v>17.343207990599296</v>
      </c>
      <c r="CA260" s="2072">
        <f t="shared" si="534"/>
        <v>24.645369014084508</v>
      </c>
      <c r="CB260" s="2072">
        <f t="shared" si="534"/>
        <v>18.283452145214518</v>
      </c>
      <c r="CC260" s="2079">
        <f t="shared" si="534"/>
        <v>13.96944954610146</v>
      </c>
      <c r="CD260" s="2072">
        <f t="shared" si="534"/>
        <v>17.666730160801666</v>
      </c>
      <c r="CE260" s="2072">
        <f t="shared" si="534"/>
        <v>24.002085997331672</v>
      </c>
      <c r="CF260" s="2072">
        <f t="shared" si="534"/>
        <v>18.758689509331198</v>
      </c>
      <c r="CG260" s="403"/>
      <c r="CH260" s="400"/>
      <c r="CI260" s="400"/>
      <c r="CJ260" s="401"/>
      <c r="CK260" s="401"/>
      <c r="CL260" s="401"/>
      <c r="CM260" s="401"/>
      <c r="CN260" s="401"/>
      <c r="CO260" s="401"/>
      <c r="CP260" s="401"/>
      <c r="CQ260" s="345"/>
      <c r="CR260" s="345"/>
      <c r="CS260" s="2109">
        <f t="shared" ref="CS260:DF260" si="535">+(CS258*1000)/CS259</f>
        <v>20.676865822784816</v>
      </c>
      <c r="CT260" s="2083">
        <f t="shared" si="535"/>
        <v>21.130817005545286</v>
      </c>
      <c r="CU260" s="2083">
        <f t="shared" si="535"/>
        <v>21.919450867052021</v>
      </c>
      <c r="CV260" s="2083">
        <f t="shared" si="535"/>
        <v>19.870043940795554</v>
      </c>
      <c r="CW260" s="2083">
        <f t="shared" si="535"/>
        <v>18.534936208445643</v>
      </c>
      <c r="CX260" s="2083">
        <f t="shared" si="535"/>
        <v>18.467605110681916</v>
      </c>
      <c r="CY260" s="2083">
        <f t="shared" si="535"/>
        <v>18.649876983590374</v>
      </c>
      <c r="CZ260" s="2083">
        <f t="shared" si="535"/>
        <v>18.409660908177944</v>
      </c>
      <c r="DA260" s="2083">
        <f t="shared" si="535"/>
        <v>18.231654495976844</v>
      </c>
      <c r="DB260" s="2083">
        <f t="shared" si="535"/>
        <v>18.077646743439374</v>
      </c>
      <c r="DC260" s="2083">
        <f t="shared" si="535"/>
        <v>17.943822286955868</v>
      </c>
      <c r="DD260" s="2083">
        <f t="shared" si="535"/>
        <v>17.823878890685179</v>
      </c>
      <c r="DE260" s="2083">
        <f t="shared" si="535"/>
        <v>17.715480911551186</v>
      </c>
      <c r="DF260" s="2084">
        <f t="shared" si="535"/>
        <v>17.610686255592288</v>
      </c>
      <c r="DG260" s="1180"/>
      <c r="DH260" s="1180"/>
    </row>
    <row r="261" spans="1:113" s="68" customFormat="1" ht="11.25" customHeight="1">
      <c r="A261" s="8"/>
      <c r="B261"/>
      <c r="C261"/>
      <c r="D261"/>
      <c r="E261"/>
      <c r="F261"/>
      <c r="G261"/>
      <c r="H261" s="1052"/>
      <c r="I261" s="193" t="s">
        <v>376</v>
      </c>
      <c r="J261" s="67"/>
      <c r="K261" s="67"/>
      <c r="L261" s="67"/>
      <c r="M261" s="400"/>
      <c r="N261" s="400"/>
      <c r="O261" s="400"/>
      <c r="P261" s="400"/>
      <c r="Q261" s="400"/>
      <c r="R261" s="400"/>
      <c r="S261" s="400"/>
      <c r="T261" s="400"/>
      <c r="U261" s="401"/>
      <c r="V261" s="401"/>
      <c r="W261" s="401"/>
      <c r="X261" s="401"/>
      <c r="Y261" s="401"/>
      <c r="Z261" s="401"/>
      <c r="AA261" s="401"/>
      <c r="AB261" s="401"/>
      <c r="AC261" s="401"/>
      <c r="AD261" s="401"/>
      <c r="AE261" s="401"/>
      <c r="AF261" s="401"/>
      <c r="AG261" s="401"/>
      <c r="AH261" s="401"/>
      <c r="AI261" s="401"/>
      <c r="AJ261" s="401"/>
      <c r="AK261" s="401"/>
      <c r="AL261" s="401"/>
      <c r="AM261" s="401"/>
      <c r="AN261" s="401"/>
      <c r="AO261" s="538"/>
      <c r="AP261" s="538"/>
      <c r="AQ261" s="538"/>
      <c r="AR261" s="538"/>
      <c r="AS261" s="538"/>
      <c r="AT261" s="538"/>
      <c r="AU261" s="538"/>
      <c r="AV261" s="538"/>
      <c r="AW261" s="538"/>
      <c r="AX261" s="538"/>
      <c r="AY261" s="538"/>
      <c r="AZ261" s="538"/>
      <c r="BA261" s="538"/>
      <c r="BB261" s="538"/>
      <c r="BC261" s="538"/>
      <c r="BD261" s="538"/>
      <c r="BE261" s="538"/>
      <c r="BF261" s="538"/>
      <c r="BG261" s="538"/>
      <c r="BH261" s="538"/>
      <c r="BI261" s="347"/>
      <c r="BJ261" s="347"/>
      <c r="BK261" s="347"/>
      <c r="BL261" s="347"/>
      <c r="BM261" s="372">
        <f t="shared" ref="BM261:CF261" si="536">+BM260/BI260-1</f>
        <v>5.5612460010450171E-2</v>
      </c>
      <c r="BN261" s="338">
        <f t="shared" si="536"/>
        <v>5.3926370021219139E-2</v>
      </c>
      <c r="BO261" s="338">
        <f t="shared" si="536"/>
        <v>3.9302398522147675E-2</v>
      </c>
      <c r="BP261" s="338">
        <f t="shared" si="536"/>
        <v>1.3508818317744531E-2</v>
      </c>
      <c r="BQ261" s="372">
        <f t="shared" si="536"/>
        <v>-5.2015682340532221E-2</v>
      </c>
      <c r="BR261" s="338">
        <f t="shared" si="536"/>
        <v>-0.11946681038255647</v>
      </c>
      <c r="BS261" s="338">
        <f t="shared" si="536"/>
        <v>-7.7482633765532105E-2</v>
      </c>
      <c r="BT261" s="338">
        <f t="shared" si="536"/>
        <v>-0.11444556525136795</v>
      </c>
      <c r="BU261" s="372">
        <f t="shared" si="536"/>
        <v>-7.4589187934433476E-2</v>
      </c>
      <c r="BV261" s="338">
        <f t="shared" si="536"/>
        <v>-6.6761752555857368E-2</v>
      </c>
      <c r="BW261" s="338">
        <f t="shared" si="536"/>
        <v>-5.9008651484193098E-2</v>
      </c>
      <c r="BX261" s="338">
        <f t="shared" si="536"/>
        <v>-7.4536019035210788E-2</v>
      </c>
      <c r="BY261" s="372">
        <f t="shared" si="536"/>
        <v>-9.2713307022501024E-2</v>
      </c>
      <c r="BZ261" s="338">
        <f t="shared" si="536"/>
        <v>4.2683708316100244E-3</v>
      </c>
      <c r="CA261" s="338">
        <f t="shared" si="536"/>
        <v>2.7272913433685098E-2</v>
      </c>
      <c r="CB261" s="338">
        <f t="shared" si="536"/>
        <v>4.1734480266672591E-2</v>
      </c>
      <c r="CC261" s="372">
        <f t="shared" si="536"/>
        <v>4.0720954002936294E-2</v>
      </c>
      <c r="CD261" s="338">
        <f t="shared" si="536"/>
        <v>1.8654113493751012E-2</v>
      </c>
      <c r="CE261" s="338">
        <f t="shared" si="536"/>
        <v>-2.6101577800892617E-2</v>
      </c>
      <c r="CF261" s="338">
        <f t="shared" si="536"/>
        <v>2.5992758935356131E-2</v>
      </c>
      <c r="CG261" s="403"/>
      <c r="CH261" s="400"/>
      <c r="CI261" s="400"/>
      <c r="CJ261" s="401"/>
      <c r="CK261" s="401"/>
      <c r="CL261" s="401"/>
      <c r="CM261" s="401"/>
      <c r="CN261" s="401"/>
      <c r="CO261" s="401"/>
      <c r="CP261" s="401"/>
      <c r="CQ261" s="345"/>
      <c r="CR261" s="345"/>
      <c r="CS261" s="372"/>
      <c r="CT261" s="338">
        <f t="shared" ref="CT261:DF261" si="537">+CT260/CS260-1</f>
        <v>2.1954545077147891E-2</v>
      </c>
      <c r="CU261" s="338">
        <f t="shared" si="537"/>
        <v>3.7321503532010913E-2</v>
      </c>
      <c r="CV261" s="338">
        <f t="shared" si="537"/>
        <v>-9.3497183788349814E-2</v>
      </c>
      <c r="CW261" s="338">
        <f t="shared" si="537"/>
        <v>-6.7191986908935686E-2</v>
      </c>
      <c r="CX261" s="338">
        <f t="shared" si="537"/>
        <v>-3.6326587265537169E-3</v>
      </c>
      <c r="CY261" s="338">
        <f t="shared" si="537"/>
        <v>9.86981646055618E-3</v>
      </c>
      <c r="CZ261" s="338">
        <f t="shared" si="537"/>
        <v>-1.2880303479952726E-2</v>
      </c>
      <c r="DA261" s="338">
        <f t="shared" si="537"/>
        <v>-9.6691847334366976E-3</v>
      </c>
      <c r="DB261" s="338">
        <f t="shared" si="537"/>
        <v>-8.4472724387935072E-3</v>
      </c>
      <c r="DC261" s="338">
        <f t="shared" si="537"/>
        <v>-7.4027586877186691E-3</v>
      </c>
      <c r="DD261" s="338">
        <f t="shared" si="537"/>
        <v>-6.6843838705358261E-3</v>
      </c>
      <c r="DE261" s="338">
        <f t="shared" si="537"/>
        <v>-6.0816155562324337E-3</v>
      </c>
      <c r="DF261" s="339">
        <f t="shared" si="537"/>
        <v>-5.9154282337640085E-3</v>
      </c>
      <c r="DG261" s="1180"/>
      <c r="DH261" s="1180"/>
    </row>
    <row r="262" spans="1:113" s="68" customFormat="1" ht="11.25" customHeight="1">
      <c r="A262" s="8"/>
      <c r="B262"/>
      <c r="C262"/>
      <c r="D262"/>
      <c r="E262"/>
      <c r="F262"/>
      <c r="G262"/>
      <c r="H262" s="1052"/>
      <c r="I262" s="1171" t="s">
        <v>144</v>
      </c>
      <c r="J262" s="665"/>
      <c r="K262" s="665"/>
      <c r="L262" s="665"/>
      <c r="M262" s="2073"/>
      <c r="N262" s="2073"/>
      <c r="O262" s="2073"/>
      <c r="P262" s="2073"/>
      <c r="Q262" s="2073"/>
      <c r="R262" s="2073"/>
      <c r="S262" s="2073"/>
      <c r="T262" s="2073"/>
      <c r="U262" s="2074"/>
      <c r="V262" s="2074"/>
      <c r="W262" s="2074"/>
      <c r="X262" s="2074"/>
      <c r="Y262" s="2074"/>
      <c r="Z262" s="2074"/>
      <c r="AA262" s="2074"/>
      <c r="AB262" s="2074"/>
      <c r="AC262" s="2074"/>
      <c r="AD262" s="2074"/>
      <c r="AE262" s="2074"/>
      <c r="AF262" s="2074"/>
      <c r="AG262" s="2074"/>
      <c r="AH262" s="2074"/>
      <c r="AI262" s="2074"/>
      <c r="AJ262" s="2074"/>
      <c r="AK262" s="2074"/>
      <c r="AL262" s="2074"/>
      <c r="AM262" s="2074"/>
      <c r="AN262" s="2074"/>
      <c r="AO262" s="2075"/>
      <c r="AP262" s="2075"/>
      <c r="AQ262" s="2075"/>
      <c r="AR262" s="2075"/>
      <c r="AS262" s="2075"/>
      <c r="AT262" s="2075"/>
      <c r="AU262" s="2075"/>
      <c r="AV262" s="2075"/>
      <c r="AW262" s="2075"/>
      <c r="AX262" s="2075"/>
      <c r="AY262" s="2075"/>
      <c r="AZ262" s="2075"/>
      <c r="BA262" s="2075"/>
      <c r="BB262" s="2075"/>
      <c r="BC262" s="2075"/>
      <c r="BD262" s="2075"/>
      <c r="BE262" s="2075"/>
      <c r="BF262" s="2075"/>
      <c r="BG262" s="2075"/>
      <c r="BH262" s="2075"/>
      <c r="BI262" s="2075"/>
      <c r="BJ262" s="2075"/>
      <c r="BK262" s="2075"/>
      <c r="BL262" s="2075"/>
      <c r="BM262" s="1699"/>
      <c r="BN262" s="1697"/>
      <c r="BO262" s="1697"/>
      <c r="BP262" s="1697"/>
      <c r="BQ262" s="2076">
        <f t="shared" ref="BQ262:CF262" si="538">+BQ261+BM261</f>
        <v>3.5967776699179499E-3</v>
      </c>
      <c r="BR262" s="1165">
        <f t="shared" si="538"/>
        <v>-6.5540440361337327E-2</v>
      </c>
      <c r="BS262" s="1165">
        <f t="shared" si="538"/>
        <v>-3.8180235243384431E-2</v>
      </c>
      <c r="BT262" s="1165">
        <f t="shared" si="538"/>
        <v>-0.10093674693362342</v>
      </c>
      <c r="BU262" s="2076">
        <f t="shared" si="538"/>
        <v>-0.1266048702749657</v>
      </c>
      <c r="BV262" s="1165">
        <f t="shared" si="538"/>
        <v>-0.18622856293841383</v>
      </c>
      <c r="BW262" s="1165">
        <f t="shared" si="538"/>
        <v>-0.1364912852497252</v>
      </c>
      <c r="BX262" s="1165">
        <f t="shared" si="538"/>
        <v>-0.18898158428657874</v>
      </c>
      <c r="BY262" s="2076">
        <f t="shared" si="538"/>
        <v>-0.1673024949569345</v>
      </c>
      <c r="BZ262" s="1165">
        <f t="shared" si="538"/>
        <v>-6.2493381724247343E-2</v>
      </c>
      <c r="CA262" s="1165">
        <f t="shared" si="538"/>
        <v>-3.1735738050508E-2</v>
      </c>
      <c r="CB262" s="1165">
        <f t="shared" si="538"/>
        <v>-3.2801538768538196E-2</v>
      </c>
      <c r="CC262" s="2076">
        <f t="shared" si="538"/>
        <v>-5.199235301956473E-2</v>
      </c>
      <c r="CD262" s="1165">
        <f t="shared" si="538"/>
        <v>2.2922484325361037E-2</v>
      </c>
      <c r="CE262" s="1165">
        <f t="shared" si="538"/>
        <v>1.1713356327924807E-3</v>
      </c>
      <c r="CF262" s="1165">
        <f t="shared" si="538"/>
        <v>6.7727239202028722E-2</v>
      </c>
      <c r="CG262" s="2077"/>
      <c r="CH262" s="2073"/>
      <c r="CI262" s="2073"/>
      <c r="CJ262" s="2074"/>
      <c r="CK262" s="2074"/>
      <c r="CL262" s="2074"/>
      <c r="CM262" s="2074"/>
      <c r="CN262" s="2074"/>
      <c r="CO262" s="2074"/>
      <c r="CP262" s="2074"/>
      <c r="CQ262" s="2091"/>
      <c r="CR262" s="2091"/>
      <c r="CS262" s="2076"/>
      <c r="CT262" s="1165"/>
      <c r="CU262" s="1165">
        <f t="shared" ref="CU262:DF262" si="539">+CU261+CT261</f>
        <v>5.9276048609158805E-2</v>
      </c>
      <c r="CV262" s="1165">
        <f t="shared" si="539"/>
        <v>-5.61756802563389E-2</v>
      </c>
      <c r="CW262" s="1165">
        <f t="shared" si="539"/>
        <v>-0.1606891706972855</v>
      </c>
      <c r="CX262" s="1165">
        <f t="shared" si="539"/>
        <v>-7.0824645635489403E-2</v>
      </c>
      <c r="CY262" s="1165">
        <f t="shared" si="539"/>
        <v>6.2371577340024631E-3</v>
      </c>
      <c r="CZ262" s="1165">
        <f t="shared" si="539"/>
        <v>-3.0104870193965461E-3</v>
      </c>
      <c r="DA262" s="1165">
        <f t="shared" si="539"/>
        <v>-2.2549488213389424E-2</v>
      </c>
      <c r="DB262" s="1165">
        <f t="shared" si="539"/>
        <v>-1.8116457172230205E-2</v>
      </c>
      <c r="DC262" s="1165">
        <f t="shared" si="539"/>
        <v>-1.5850031126512176E-2</v>
      </c>
      <c r="DD262" s="1165">
        <f t="shared" si="539"/>
        <v>-1.4087142558254495E-2</v>
      </c>
      <c r="DE262" s="1165">
        <f t="shared" si="539"/>
        <v>-1.276599942676826E-2</v>
      </c>
      <c r="DF262" s="2080">
        <f t="shared" si="539"/>
        <v>-1.1997043789996442E-2</v>
      </c>
      <c r="DG262" s="1180"/>
      <c r="DH262" s="1180"/>
    </row>
    <row r="263" spans="1:113" ht="11.25" customHeight="1">
      <c r="I263" s="70"/>
      <c r="J263" s="70"/>
      <c r="K263" s="70"/>
      <c r="M263" s="315"/>
      <c r="N263" s="315"/>
      <c r="O263" s="315"/>
      <c r="P263" s="315"/>
      <c r="Q263" s="315"/>
      <c r="R263" s="315"/>
      <c r="S263" s="315"/>
      <c r="T263" s="315"/>
      <c r="U263" s="328"/>
      <c r="V263" s="328"/>
      <c r="W263" s="328"/>
      <c r="X263" s="328"/>
      <c r="Y263" s="328"/>
      <c r="Z263" s="328"/>
      <c r="AA263" s="328"/>
      <c r="AB263" s="328"/>
      <c r="AC263" s="328"/>
      <c r="AD263" s="328"/>
      <c r="AE263" s="328"/>
      <c r="AF263" s="328"/>
      <c r="AG263" s="328"/>
      <c r="AH263" s="328"/>
      <c r="AI263" s="328"/>
      <c r="AJ263" s="328"/>
      <c r="AK263" s="328"/>
      <c r="AL263" s="328"/>
      <c r="AM263" s="328"/>
      <c r="AN263" s="328"/>
      <c r="AO263" s="328"/>
      <c r="AP263" s="328"/>
      <c r="AQ263" s="328"/>
      <c r="AR263" s="328"/>
      <c r="AS263" s="328"/>
      <c r="AT263" s="328"/>
      <c r="AU263" s="328"/>
      <c r="AV263" s="328"/>
      <c r="AW263" s="328"/>
      <c r="AX263" s="328"/>
      <c r="AY263" s="328"/>
      <c r="AZ263" s="328"/>
      <c r="BA263" s="328"/>
      <c r="BB263" s="328"/>
      <c r="BC263" s="328"/>
      <c r="BD263" s="328"/>
      <c r="BE263" s="328"/>
      <c r="BF263" s="328"/>
      <c r="BG263" s="328"/>
      <c r="BH263" s="328"/>
      <c r="BI263" s="328"/>
      <c r="BJ263" s="328"/>
      <c r="BK263" s="328"/>
      <c r="BL263" s="328"/>
      <c r="BM263" s="328"/>
      <c r="BN263" s="328"/>
      <c r="BO263" s="494"/>
      <c r="BP263" s="328"/>
      <c r="BQ263" s="328"/>
      <c r="BR263" s="328"/>
      <c r="BS263" s="328"/>
      <c r="BT263" s="328"/>
      <c r="BU263" s="328"/>
      <c r="BV263" s="328"/>
      <c r="BW263" s="328"/>
      <c r="BX263" s="328"/>
      <c r="BY263" s="328"/>
      <c r="BZ263" s="328"/>
      <c r="CA263" s="328"/>
      <c r="CB263" s="328"/>
      <c r="CC263" s="328"/>
      <c r="CD263" s="328"/>
      <c r="CE263" s="328"/>
      <c r="CF263" s="328"/>
      <c r="CG263" s="315"/>
      <c r="CH263" s="315"/>
      <c r="CI263" s="315"/>
      <c r="CJ263" s="328"/>
      <c r="CK263" s="328"/>
      <c r="CL263" s="328"/>
      <c r="CM263" s="328"/>
      <c r="CN263" s="328"/>
      <c r="CO263" s="328"/>
      <c r="CP263" s="328"/>
      <c r="CQ263" s="328"/>
      <c r="CR263" s="328"/>
      <c r="CS263" s="328"/>
      <c r="CT263" s="328"/>
      <c r="CU263" s="328"/>
      <c r="CV263" s="328"/>
      <c r="CW263" s="328"/>
      <c r="CX263" s="328"/>
      <c r="CY263" s="328"/>
      <c r="CZ263" s="328"/>
      <c r="DA263" s="328"/>
      <c r="DB263" s="328"/>
      <c r="DC263" s="328"/>
      <c r="DD263" s="328"/>
      <c r="DE263" s="328"/>
      <c r="DF263" s="328"/>
    </row>
    <row r="264" spans="1:113" customFormat="1" ht="11.25" customHeight="1">
      <c r="A264" s="10"/>
      <c r="H264" s="1054"/>
      <c r="I264" s="659" t="s">
        <v>364</v>
      </c>
      <c r="J264" s="660"/>
      <c r="K264" s="660"/>
      <c r="L264" s="660"/>
      <c r="M264" s="660"/>
      <c r="N264" s="660"/>
      <c r="O264" s="660"/>
      <c r="P264" s="660"/>
      <c r="Q264" s="660"/>
      <c r="R264" s="660"/>
      <c r="S264" s="660"/>
      <c r="T264" s="660"/>
      <c r="U264" s="659"/>
      <c r="V264" s="660"/>
      <c r="W264" s="660"/>
      <c r="X264" s="661"/>
      <c r="Y264" s="659"/>
      <c r="Z264" s="660"/>
      <c r="AA264" s="660"/>
      <c r="AB264" s="661"/>
      <c r="AC264" s="659"/>
      <c r="AD264" s="660"/>
      <c r="AE264" s="660"/>
      <c r="AF264" s="661"/>
      <c r="AG264" s="659"/>
      <c r="AH264" s="660"/>
      <c r="AI264" s="660"/>
      <c r="AJ264" s="661"/>
      <c r="AK264" s="659"/>
      <c r="AL264" s="660"/>
      <c r="AM264" s="660"/>
      <c r="AN264" s="661"/>
      <c r="AO264" s="659"/>
      <c r="AP264" s="660"/>
      <c r="AQ264" s="660"/>
      <c r="AR264" s="661"/>
      <c r="AS264" s="659"/>
      <c r="AT264" s="660"/>
      <c r="AU264" s="660"/>
      <c r="AV264" s="661"/>
      <c r="AW264" s="659"/>
      <c r="AX264" s="660"/>
      <c r="AY264" s="660"/>
      <c r="AZ264" s="661"/>
      <c r="BA264" s="659"/>
      <c r="BB264" s="660"/>
      <c r="BC264" s="660"/>
      <c r="BD264" s="661"/>
      <c r="BE264" s="659"/>
      <c r="BF264" s="660"/>
      <c r="BG264" s="660"/>
      <c r="BH264" s="661"/>
      <c r="BI264" s="659"/>
      <c r="BJ264" s="660"/>
      <c r="BK264" s="660"/>
      <c r="BL264" s="661"/>
      <c r="BM264" s="659"/>
      <c r="BN264" s="660"/>
      <c r="BO264" s="660"/>
      <c r="BP264" s="661"/>
      <c r="BQ264" s="659"/>
      <c r="BR264" s="660"/>
      <c r="BS264" s="660"/>
      <c r="BT264" s="661"/>
      <c r="BU264" s="659"/>
      <c r="BV264" s="660"/>
      <c r="BW264" s="660"/>
      <c r="BX264" s="661"/>
      <c r="BY264" s="659"/>
      <c r="BZ264" s="660"/>
      <c r="CA264" s="660"/>
      <c r="CB264" s="661"/>
      <c r="CC264" s="659"/>
      <c r="CD264" s="660"/>
      <c r="CE264" s="660"/>
      <c r="CF264" s="661"/>
      <c r="CH264" s="661"/>
      <c r="CI264" s="661"/>
      <c r="CJ264" s="661"/>
      <c r="CK264" s="661"/>
      <c r="CL264" s="661"/>
      <c r="CM264" s="661"/>
      <c r="CN264" s="661"/>
      <c r="CO264" s="661"/>
      <c r="CP264" s="661"/>
      <c r="CQ264" s="661"/>
      <c r="CR264" s="661"/>
      <c r="CS264" s="661"/>
      <c r="CT264" s="661"/>
      <c r="CU264" s="661"/>
      <c r="CV264" s="661"/>
      <c r="CW264" s="661"/>
      <c r="CX264" s="661"/>
      <c r="CY264" s="660"/>
      <c r="CZ264" s="660"/>
      <c r="DA264" s="660"/>
      <c r="DB264" s="660"/>
      <c r="DC264" s="660"/>
      <c r="DD264" s="660"/>
      <c r="DE264" s="660"/>
      <c r="DF264" s="661"/>
      <c r="DG264" s="124"/>
      <c r="DH264" s="124"/>
      <c r="DI264" s="1548"/>
    </row>
    <row r="265" spans="1:113" s="26" customFormat="1" ht="11.25" customHeight="1">
      <c r="A265" s="12"/>
      <c r="B265"/>
      <c r="C265"/>
      <c r="D265"/>
      <c r="E265"/>
      <c r="F265"/>
      <c r="G265"/>
      <c r="H265" s="1048"/>
      <c r="I265" s="160"/>
      <c r="J265" s="24"/>
      <c r="K265" s="24"/>
      <c r="L265" s="24"/>
      <c r="M265" s="315"/>
      <c r="N265" s="315"/>
      <c r="O265" s="315"/>
      <c r="P265" s="316"/>
      <c r="Q265" s="315"/>
      <c r="R265" s="315"/>
      <c r="S265" s="315"/>
      <c r="T265" s="316"/>
      <c r="U265" s="326"/>
      <c r="V265" s="326"/>
      <c r="W265" s="326"/>
      <c r="X265" s="327"/>
      <c r="Y265" s="326"/>
      <c r="Z265" s="326"/>
      <c r="AA265" s="326"/>
      <c r="AB265" s="327"/>
      <c r="AC265" s="326"/>
      <c r="AD265" s="326"/>
      <c r="AE265" s="326"/>
      <c r="AF265" s="327"/>
      <c r="AG265" s="326"/>
      <c r="AH265" s="326"/>
      <c r="AI265" s="326"/>
      <c r="AJ265" s="327"/>
      <c r="AK265" s="326"/>
      <c r="AL265" s="326"/>
      <c r="AM265" s="326"/>
      <c r="AN265" s="327"/>
      <c r="AO265" s="326"/>
      <c r="AP265" s="326"/>
      <c r="AQ265" s="326"/>
      <c r="AR265" s="327"/>
      <c r="AS265" s="326"/>
      <c r="AT265" s="326"/>
      <c r="AU265" s="326"/>
      <c r="AV265" s="327"/>
      <c r="AW265" s="358"/>
      <c r="AX265" s="358"/>
      <c r="AY265" s="358"/>
      <c r="AZ265" s="327"/>
      <c r="BA265" s="326"/>
      <c r="BB265" s="326"/>
      <c r="BC265" s="326"/>
      <c r="BD265" s="327"/>
      <c r="BE265" s="326"/>
      <c r="BF265" s="326"/>
      <c r="BG265" s="326"/>
      <c r="BH265" s="327"/>
      <c r="BI265" s="326"/>
      <c r="BJ265" s="326"/>
      <c r="BK265" s="326"/>
      <c r="BL265" s="327"/>
      <c r="BM265" s="326"/>
      <c r="BN265" s="326"/>
      <c r="BO265" s="326"/>
      <c r="BP265" s="327"/>
      <c r="BQ265" s="326"/>
      <c r="BR265" s="1445"/>
      <c r="BS265" s="1445"/>
      <c r="BT265" s="342"/>
      <c r="BU265" s="326"/>
      <c r="BV265" s="326"/>
      <c r="BW265" s="326"/>
      <c r="BX265" s="327"/>
      <c r="BY265" s="360"/>
      <c r="BZ265" s="360"/>
      <c r="CA265" s="360"/>
      <c r="CB265" s="327"/>
      <c r="CC265" s="326"/>
      <c r="CD265" s="326"/>
      <c r="CE265" s="326"/>
      <c r="CF265" s="327"/>
      <c r="CG265" s="316"/>
      <c r="CH265" s="320"/>
      <c r="CI265" s="315"/>
      <c r="CJ265" s="326"/>
      <c r="CK265" s="326"/>
      <c r="CL265" s="326"/>
      <c r="CM265" s="326"/>
      <c r="CN265" s="326"/>
      <c r="CO265" s="326"/>
      <c r="CP265" s="326"/>
      <c r="CQ265" s="326"/>
      <c r="CR265" s="441"/>
      <c r="CS265" s="326"/>
      <c r="CT265" s="326"/>
      <c r="CU265" s="326"/>
      <c r="CV265" s="326"/>
      <c r="CW265" s="326"/>
      <c r="CX265" s="326"/>
      <c r="CY265" s="326"/>
      <c r="CZ265" s="326"/>
      <c r="DA265" s="326"/>
      <c r="DB265" s="326"/>
      <c r="DC265" s="326"/>
      <c r="DD265" s="326"/>
      <c r="DE265" s="326"/>
      <c r="DF265" s="327"/>
      <c r="DG265" s="94"/>
      <c r="DH265" s="94"/>
    </row>
    <row r="266" spans="1:113" s="26" customFormat="1" ht="11.25" customHeight="1">
      <c r="A266" s="12"/>
      <c r="B266"/>
      <c r="C266"/>
      <c r="D266"/>
      <c r="E266"/>
      <c r="F266"/>
      <c r="G266"/>
      <c r="H266" s="1048"/>
      <c r="I266" s="281" t="s">
        <v>191</v>
      </c>
      <c r="J266" s="8"/>
      <c r="K266" s="8"/>
      <c r="L266" s="24"/>
      <c r="M266" s="315"/>
      <c r="N266" s="315"/>
      <c r="O266" s="315"/>
      <c r="P266" s="316"/>
      <c r="Q266" s="315"/>
      <c r="R266" s="315"/>
      <c r="S266" s="315"/>
      <c r="T266" s="316"/>
      <c r="U266" s="326"/>
      <c r="V266" s="326"/>
      <c r="W266" s="326"/>
      <c r="X266" s="327"/>
      <c r="Y266" s="326"/>
      <c r="Z266" s="326"/>
      <c r="AA266" s="326"/>
      <c r="AB266" s="327"/>
      <c r="AC266" s="326"/>
      <c r="AD266" s="326"/>
      <c r="AE266" s="326"/>
      <c r="AF266" s="327"/>
      <c r="AG266" s="326"/>
      <c r="AH266" s="326"/>
      <c r="AI266" s="326"/>
      <c r="AJ266" s="327"/>
      <c r="AK266" s="326"/>
      <c r="AL266" s="326"/>
      <c r="AM266" s="326"/>
      <c r="AN266" s="327"/>
      <c r="AO266" s="326"/>
      <c r="AP266" s="326"/>
      <c r="AQ266" s="326"/>
      <c r="AR266" s="327"/>
      <c r="AS266" s="326"/>
      <c r="AT266" s="326"/>
      <c r="AU266" s="326"/>
      <c r="AV266" s="327"/>
      <c r="AW266" s="358"/>
      <c r="AX266" s="358"/>
      <c r="AY266" s="358"/>
      <c r="AZ266" s="327"/>
      <c r="BA266" s="326"/>
      <c r="BB266" s="326"/>
      <c r="BC266" s="326"/>
      <c r="BD266" s="327"/>
      <c r="BE266" s="326"/>
      <c r="BF266" s="326"/>
      <c r="BG266" s="326"/>
      <c r="BH266" s="327"/>
      <c r="BI266" s="326"/>
      <c r="BJ266" s="326"/>
      <c r="BK266" s="326"/>
      <c r="BL266" s="327"/>
      <c r="BM266" s="326"/>
      <c r="BN266" s="326"/>
      <c r="BO266" s="326"/>
      <c r="BP266" s="327"/>
      <c r="BQ266" s="326"/>
      <c r="BR266" s="326"/>
      <c r="BS266" s="326"/>
      <c r="BT266" s="327"/>
      <c r="BU266" s="326"/>
      <c r="BV266" s="326"/>
      <c r="BX266" s="327"/>
      <c r="BY266" s="326"/>
      <c r="BZ266" s="326"/>
      <c r="CA266" s="326"/>
      <c r="CB266" s="327"/>
      <c r="CC266" s="326"/>
      <c r="CD266" s="326"/>
      <c r="CE266" s="326"/>
      <c r="CF266" s="327"/>
      <c r="CG266" s="316"/>
      <c r="CH266" s="320"/>
      <c r="CI266" s="315"/>
      <c r="CJ266" s="326"/>
      <c r="CK266" s="326"/>
      <c r="CL266" s="326"/>
      <c r="CM266" s="326"/>
      <c r="CN266" s="326"/>
      <c r="CO266" s="326"/>
      <c r="CP266" s="326"/>
      <c r="CQ266" s="326"/>
      <c r="CR266" s="441"/>
      <c r="CS266" s="326"/>
      <c r="CT266" s="326"/>
      <c r="CU266" s="326"/>
      <c r="CV266" s="326"/>
      <c r="CW266" s="326"/>
      <c r="CX266" s="326"/>
      <c r="CY266" s="326"/>
      <c r="CZ266" s="326"/>
      <c r="DA266" s="326"/>
      <c r="DB266" s="326"/>
      <c r="DC266" s="326"/>
      <c r="DD266" s="326"/>
      <c r="DE266" s="326"/>
      <c r="DF266" s="327"/>
      <c r="DG266" s="94"/>
      <c r="DH266" s="94"/>
    </row>
    <row r="267" spans="1:113" s="554" customFormat="1" ht="11.25" customHeight="1">
      <c r="A267" s="547"/>
      <c r="B267"/>
      <c r="C267"/>
      <c r="D267"/>
      <c r="E267"/>
      <c r="F267"/>
      <c r="G267"/>
      <c r="H267" s="1044"/>
      <c r="I267" s="591" t="s">
        <v>192</v>
      </c>
      <c r="J267" s="547"/>
      <c r="K267" s="547"/>
      <c r="L267" s="547"/>
      <c r="M267" s="551"/>
      <c r="N267" s="551"/>
      <c r="O267" s="551"/>
      <c r="P267" s="552"/>
      <c r="Q267" s="551"/>
      <c r="R267" s="551"/>
      <c r="S267" s="551"/>
      <c r="T267" s="552"/>
      <c r="U267" s="394"/>
      <c r="V267" s="394"/>
      <c r="W267" s="394"/>
      <c r="X267" s="395"/>
      <c r="Y267" s="394"/>
      <c r="Z267" s="394"/>
      <c r="AA267" s="394"/>
      <c r="AB267" s="395"/>
      <c r="AC267" s="394"/>
      <c r="AD267" s="394"/>
      <c r="AE267" s="394"/>
      <c r="AF267" s="395"/>
      <c r="AG267" s="394"/>
      <c r="AH267" s="394"/>
      <c r="AI267" s="394"/>
      <c r="AJ267" s="395"/>
      <c r="AK267" s="394"/>
      <c r="AL267" s="394"/>
      <c r="AM267" s="394"/>
      <c r="AN267" s="397">
        <f>'Bookings and Drivers'!AN29</f>
        <v>13.4</v>
      </c>
      <c r="AO267" s="396">
        <f>'Bookings and Drivers'!AO29</f>
        <v>24.6</v>
      </c>
      <c r="AP267" s="396">
        <f>'Bookings and Drivers'!AP29</f>
        <v>24.2</v>
      </c>
      <c r="AQ267" s="396">
        <f>'Bookings and Drivers'!AQ29</f>
        <v>32.4</v>
      </c>
      <c r="AR267" s="397">
        <f>'Bookings and Drivers'!AR29</f>
        <v>37.5</v>
      </c>
      <c r="AS267" s="396">
        <f>'Bookings and Drivers'!AS29</f>
        <v>57.81</v>
      </c>
      <c r="AT267" s="396">
        <f>'Bookings and Drivers'!AT29</f>
        <v>56.87</v>
      </c>
      <c r="AU267" s="396">
        <f>'Bookings and Drivers'!AU29</f>
        <v>77.759999999999991</v>
      </c>
      <c r="AV267" s="397">
        <f>'Bookings and Drivers'!AV29</f>
        <v>82.5</v>
      </c>
      <c r="AW267" s="396">
        <f>'Bookings and Drivers'!AW29</f>
        <v>157.2432</v>
      </c>
      <c r="AX267" s="396">
        <f>'Bookings and Drivers'!AX29</f>
        <v>153.54900000000001</v>
      </c>
      <c r="AY267" s="396">
        <f>'Bookings and Drivers'!AY29</f>
        <v>206.06399999999996</v>
      </c>
      <c r="AZ267" s="397">
        <f>'Bookings and Drivers'!AZ29</f>
        <v>215.32500000000002</v>
      </c>
      <c r="BA267" s="396">
        <f>'Bookings and Drivers'!BA29</f>
        <v>345.93504000000001</v>
      </c>
      <c r="BB267" s="396">
        <f>'Bookings and Drivers'!BB29</f>
        <v>391.54994999999997</v>
      </c>
      <c r="BC267" s="396">
        <f>'Bookings and Drivers'!BC29</f>
        <v>412.12799999999993</v>
      </c>
      <c r="BD267" s="397">
        <f>'Bookings and Drivers'!BD29</f>
        <v>430.65000000000003</v>
      </c>
      <c r="BE267" s="396">
        <f>'Bookings and Drivers'!BE29</f>
        <v>588.08956799999999</v>
      </c>
      <c r="BF267" s="396">
        <f>'Bookings and Drivers'!BF29</f>
        <v>665.63491499999998</v>
      </c>
      <c r="BG267" s="396">
        <f>'Bookings and Drivers'!BG29</f>
        <v>692.3750399999999</v>
      </c>
      <c r="BH267" s="397">
        <f>'Bookings and Drivers'!BH29</f>
        <v>689.04000000000008</v>
      </c>
      <c r="BI267" s="396">
        <f>'Bookings and Drivers'!BI29</f>
        <v>846.84897791999992</v>
      </c>
      <c r="BJ267" s="396">
        <f>'Bookings and Drivers'!BJ29</f>
        <v>998.45237249999991</v>
      </c>
      <c r="BK267" s="396">
        <f>'Bookings and Drivers'!BK29</f>
        <v>990.09630719999984</v>
      </c>
      <c r="BL267" s="397">
        <f>'Bookings and Drivers'!BL29</f>
        <v>930.20400000000018</v>
      </c>
      <c r="BM267" s="396">
        <f>'Bookings and Drivers'!BM29</f>
        <v>1100.9036712959999</v>
      </c>
      <c r="BN267" s="396">
        <f>'Bookings and Drivers'!BN29</f>
        <v>1297.9880842499999</v>
      </c>
      <c r="BO267" s="396">
        <f>'Bookings and Drivers'!BO29</f>
        <v>1287.1251993599999</v>
      </c>
      <c r="BP267" s="397">
        <f>'Bookings and Drivers'!BP29</f>
        <v>1209.2652000000003</v>
      </c>
      <c r="BQ267" s="396">
        <f>'Bookings and Drivers'!BQ29</f>
        <v>1321.0844055551997</v>
      </c>
      <c r="BR267" s="396">
        <f>'Bookings and Drivers'!BR29</f>
        <v>1557.5857010999998</v>
      </c>
      <c r="BS267" s="396">
        <f>'Bookings and Drivers'!BS29</f>
        <v>1158.4126794239999</v>
      </c>
      <c r="BT267" s="397">
        <f>'Bookings and Drivers'!BT29</f>
        <v>1330.1917200000005</v>
      </c>
      <c r="BU267" s="396">
        <f>'Bookings and Drivers'!BU29</f>
        <v>1690.9880391106558</v>
      </c>
      <c r="BV267" s="396">
        <f>'Bookings and Drivers'!BV29</f>
        <v>1946.9821263749998</v>
      </c>
      <c r="BW267" s="396">
        <f>'Bookings and Drivers'!BW29</f>
        <v>1482.7682296627199</v>
      </c>
      <c r="BX267" s="397">
        <f>'Bookings and Drivers'!BX29</f>
        <v>1702.6454016000007</v>
      </c>
      <c r="BY267" s="396">
        <f>'Bookings and Drivers'!BY29</f>
        <v>2113.7350488883199</v>
      </c>
      <c r="BZ267" s="396">
        <f>'Bookings and Drivers'!BZ29</f>
        <v>2433.7276579687496</v>
      </c>
      <c r="CA267" s="396">
        <f>'Bookings and Drivers'!CA29</f>
        <v>1853.4602870783999</v>
      </c>
      <c r="CB267" s="397">
        <f>'Bookings and Drivers'!CB29</f>
        <v>2128.3067520000009</v>
      </c>
      <c r="CC267" s="396">
        <f>'Bookings and Drivers'!CC29</f>
        <v>2430.7953062215674</v>
      </c>
      <c r="CD267" s="396">
        <f>'Bookings and Drivers'!CD29</f>
        <v>2798.7868066640617</v>
      </c>
      <c r="CE267" s="396">
        <f>'Bookings and Drivers'!CE29</f>
        <v>2131.4793301401596</v>
      </c>
      <c r="CF267" s="397">
        <f>'Bookings and Drivers'!CF29</f>
        <v>2447.5527648000007</v>
      </c>
      <c r="CG267" s="552"/>
      <c r="CH267" s="553"/>
      <c r="CI267" s="551"/>
      <c r="CJ267" s="394"/>
      <c r="CK267" s="394"/>
      <c r="CL267" s="394"/>
      <c r="CM267" s="394"/>
      <c r="CN267" s="616">
        <f>+SUM(AK267:AN267)</f>
        <v>13.4</v>
      </c>
      <c r="CO267" s="616">
        <f>+SUM(AO267:AR267)</f>
        <v>118.69999999999999</v>
      </c>
      <c r="CP267" s="616">
        <f>+SUM(AS267:AV267)</f>
        <v>274.94</v>
      </c>
      <c r="CQ267" s="616">
        <f>+SUM(AW267:AZ267)</f>
        <v>732.18119999999999</v>
      </c>
      <c r="CR267" s="616">
        <f>+SUM(BA267:BD267)</f>
        <v>1580.2629899999999</v>
      </c>
      <c r="CS267" s="616">
        <f>+SUM(BE267:BH267)</f>
        <v>2635.1395229999998</v>
      </c>
      <c r="CT267" s="616">
        <f>+SUM(BI267:BL267)</f>
        <v>3765.60165762</v>
      </c>
      <c r="CU267" s="616">
        <f>SUM(BM267:BP267)</f>
        <v>4895.282154906</v>
      </c>
      <c r="CV267" s="616">
        <f>SUM(BQ267:BT267)</f>
        <v>5367.2745060792004</v>
      </c>
      <c r="CW267" s="616">
        <f>SUM(BU267:BX267)</f>
        <v>6823.383796748376</v>
      </c>
      <c r="CX267" s="616">
        <f>SUM(BY267:CB267)</f>
        <v>8529.2297459354704</v>
      </c>
      <c r="CY267" s="616">
        <f>SUM(CC267:CF267)</f>
        <v>9808.6142078257908</v>
      </c>
      <c r="CZ267" s="396">
        <f>'Bookings and Drivers'!CZ29</f>
        <v>11059.212519323579</v>
      </c>
      <c r="DA267" s="396">
        <f>'Bookings and Drivers'!DA29</f>
        <v>12257.754676105271</v>
      </c>
      <c r="DB267" s="396">
        <f>'Bookings and Drivers'!DB29</f>
        <v>13402.322518986601</v>
      </c>
      <c r="DC267" s="396">
        <f>'Bookings and Drivers'!DC29</f>
        <v>14452.729546412174</v>
      </c>
      <c r="DD267" s="396">
        <f>'Bookings and Drivers'!DD29</f>
        <v>15585.462224612227</v>
      </c>
      <c r="DE267" s="396">
        <f>'Bookings and Drivers'!DE29</f>
        <v>16806.972826466208</v>
      </c>
      <c r="DF267" s="397">
        <f>'Bookings and Drivers'!DF29</f>
        <v>18124.219321740497</v>
      </c>
      <c r="DG267" s="612"/>
      <c r="DH267" s="612"/>
    </row>
    <row r="268" spans="1:113" s="51" customFormat="1" ht="11.25" customHeight="1">
      <c r="A268" s="82"/>
      <c r="B268"/>
      <c r="C268"/>
      <c r="D268"/>
      <c r="E268"/>
      <c r="F268"/>
      <c r="G268"/>
      <c r="H268" s="1044"/>
      <c r="I268" s="259" t="s">
        <v>193</v>
      </c>
      <c r="J268" s="82"/>
      <c r="K268" s="82"/>
      <c r="L268" s="82"/>
      <c r="M268" s="336"/>
      <c r="N268" s="336"/>
      <c r="O268" s="336"/>
      <c r="P268" s="337"/>
      <c r="Q268" s="336"/>
      <c r="R268" s="336"/>
      <c r="S268" s="336"/>
      <c r="T268" s="337"/>
      <c r="U268" s="328"/>
      <c r="V268" s="328"/>
      <c r="W268" s="328"/>
      <c r="X268" s="329"/>
      <c r="Y268" s="328"/>
      <c r="Z268" s="328"/>
      <c r="AA268" s="328"/>
      <c r="AB268" s="329"/>
      <c r="AC268" s="328"/>
      <c r="AD268" s="328"/>
      <c r="AE268" s="328"/>
      <c r="AF268" s="329"/>
      <c r="AG268" s="328"/>
      <c r="AH268" s="328"/>
      <c r="AI268" s="328"/>
      <c r="AJ268" s="329"/>
      <c r="AK268" s="328"/>
      <c r="AL268" s="328"/>
      <c r="AM268" s="328"/>
      <c r="AN268" s="329"/>
      <c r="AO268" s="328">
        <v>0.14499999999999999</v>
      </c>
      <c r="AP268" s="328">
        <v>0.14499999999999999</v>
      </c>
      <c r="AQ268" s="328">
        <v>0.14499999999999999</v>
      </c>
      <c r="AR268" s="329">
        <v>0.14499999999999999</v>
      </c>
      <c r="AS268" s="328">
        <v>0.14499999999999999</v>
      </c>
      <c r="AT268" s="328">
        <v>0.14499999999999999</v>
      </c>
      <c r="AU268" s="328">
        <v>0.14499999999999999</v>
      </c>
      <c r="AV268" s="329">
        <v>0.14499999999999999</v>
      </c>
      <c r="AW268" s="328">
        <v>0.14499999999999999</v>
      </c>
      <c r="AX268" s="328">
        <v>0.14499999999999999</v>
      </c>
      <c r="AY268" s="328">
        <v>0.14499999999999999</v>
      </c>
      <c r="AZ268" s="329">
        <v>0.14499999999999999</v>
      </c>
      <c r="BA268" s="328">
        <v>0.14499999999999999</v>
      </c>
      <c r="BB268" s="328">
        <v>0.14499999999999999</v>
      </c>
      <c r="BC268" s="328">
        <v>0.14499999999999999</v>
      </c>
      <c r="BD268" s="329">
        <v>0.14499999999999999</v>
      </c>
      <c r="BE268" s="328">
        <v>0.14499999999999999</v>
      </c>
      <c r="BF268" s="328">
        <v>0.14499999999999999</v>
      </c>
      <c r="BG268" s="328">
        <v>0.14499999999999999</v>
      </c>
      <c r="BH268" s="329">
        <v>0.14499999999999999</v>
      </c>
      <c r="BI268" s="328">
        <v>0.14499999999999999</v>
      </c>
      <c r="BJ268" s="328">
        <v>0.14499999999999999</v>
      </c>
      <c r="BK268" s="328">
        <v>0.14499999999999999</v>
      </c>
      <c r="BL268" s="329">
        <v>0.14499999999999999</v>
      </c>
      <c r="BM268" s="328">
        <v>0.14499999999999999</v>
      </c>
      <c r="BN268" s="328">
        <v>0.14499999999999999</v>
      </c>
      <c r="BO268" s="328">
        <v>0.14499999999999999</v>
      </c>
      <c r="BP268" s="329">
        <v>0.14499999999999999</v>
      </c>
      <c r="BQ268" s="328">
        <v>0.14499999999999999</v>
      </c>
      <c r="BR268" s="328">
        <v>0.14499999999999999</v>
      </c>
      <c r="BS268" s="328">
        <v>0.14499999999999999</v>
      </c>
      <c r="BT268" s="329">
        <v>0.14499999999999999</v>
      </c>
      <c r="BU268" s="328">
        <v>0.14499999999999999</v>
      </c>
      <c r="BV268" s="328">
        <v>0.14499999999999999</v>
      </c>
      <c r="BW268" s="328">
        <v>0.14499999999999999</v>
      </c>
      <c r="BX268" s="329">
        <v>0.14499999999999999</v>
      </c>
      <c r="BY268" s="328">
        <v>0.14499999999999999</v>
      </c>
      <c r="BZ268" s="328">
        <v>0.14499999999999999</v>
      </c>
      <c r="CA268" s="328">
        <v>0.14499999999999999</v>
      </c>
      <c r="CB268" s="329">
        <v>0.14499999999999999</v>
      </c>
      <c r="CC268" s="328">
        <v>0.14499999999999999</v>
      </c>
      <c r="CD268" s="328">
        <v>0.14499999999999999</v>
      </c>
      <c r="CE268" s="328">
        <v>0.14499999999999999</v>
      </c>
      <c r="CF268" s="329">
        <v>0.14499999999999999</v>
      </c>
      <c r="CG268" s="337"/>
      <c r="CH268" s="367"/>
      <c r="CI268" s="336"/>
      <c r="CJ268" s="328"/>
      <c r="CK268" s="328"/>
      <c r="CL268" s="328"/>
      <c r="CM268" s="328"/>
      <c r="CN268" s="328"/>
      <c r="CO268" s="381">
        <f t="shared" ref="CO268:CY268" si="540">+CO239/CO267</f>
        <v>0.14500000000000002</v>
      </c>
      <c r="CP268" s="381">
        <f t="shared" si="540"/>
        <v>0.14499999999999999</v>
      </c>
      <c r="CQ268" s="381">
        <f t="shared" si="540"/>
        <v>0.14500000000000002</v>
      </c>
      <c r="CR268" s="381">
        <f t="shared" si="540"/>
        <v>0.14499999999999999</v>
      </c>
      <c r="CS268" s="381">
        <f t="shared" si="540"/>
        <v>0.14499999999999999</v>
      </c>
      <c r="CT268" s="381">
        <f t="shared" si="540"/>
        <v>0.14499999999999999</v>
      </c>
      <c r="CU268" s="338">
        <f t="shared" si="540"/>
        <v>0.14500000000000002</v>
      </c>
      <c r="CV268" s="381">
        <f t="shared" si="540"/>
        <v>0.14499999999999999</v>
      </c>
      <c r="CW268" s="381">
        <f t="shared" si="540"/>
        <v>0.14499999999999999</v>
      </c>
      <c r="CX268" s="381">
        <f t="shared" si="540"/>
        <v>0.14499999999999996</v>
      </c>
      <c r="CY268" s="381">
        <f t="shared" si="540"/>
        <v>0.14499999999999999</v>
      </c>
      <c r="CZ268" s="461">
        <f t="shared" ref="CZ268:DF268" si="541">+CY268</f>
        <v>0.14499999999999999</v>
      </c>
      <c r="DA268" s="461">
        <f t="shared" si="541"/>
        <v>0.14499999999999999</v>
      </c>
      <c r="DB268" s="461">
        <f t="shared" si="541"/>
        <v>0.14499999999999999</v>
      </c>
      <c r="DC268" s="461">
        <f t="shared" si="541"/>
        <v>0.14499999999999999</v>
      </c>
      <c r="DD268" s="461">
        <f t="shared" si="541"/>
        <v>0.14499999999999999</v>
      </c>
      <c r="DE268" s="461">
        <f t="shared" si="541"/>
        <v>0.14499999999999999</v>
      </c>
      <c r="DF268" s="462">
        <f t="shared" si="541"/>
        <v>0.14499999999999999</v>
      </c>
      <c r="DG268" s="308"/>
      <c r="DH268" s="308"/>
    </row>
    <row r="269" spans="1:113" s="61" customFormat="1" ht="11.25" customHeight="1">
      <c r="A269" s="24"/>
      <c r="B269"/>
      <c r="C269"/>
      <c r="D269"/>
      <c r="E269"/>
      <c r="F269"/>
      <c r="G269"/>
      <c r="H269" s="1044"/>
      <c r="I269" s="188" t="s">
        <v>384</v>
      </c>
      <c r="J269" s="85"/>
      <c r="K269" s="85"/>
      <c r="L269" s="60"/>
      <c r="M269" s="350"/>
      <c r="N269" s="350"/>
      <c r="O269" s="350"/>
      <c r="P269" s="351"/>
      <c r="Q269" s="350"/>
      <c r="R269" s="350"/>
      <c r="S269" s="350"/>
      <c r="T269" s="351"/>
      <c r="U269" s="352"/>
      <c r="V269" s="352"/>
      <c r="W269" s="352"/>
      <c r="X269" s="353"/>
      <c r="Y269" s="352"/>
      <c r="Z269" s="352"/>
      <c r="AA269" s="352"/>
      <c r="AB269" s="353"/>
      <c r="AC269" s="352"/>
      <c r="AD269" s="352"/>
      <c r="AE269" s="352"/>
      <c r="AF269" s="353"/>
      <c r="AG269" s="352"/>
      <c r="AH269" s="352"/>
      <c r="AI269" s="352"/>
      <c r="AJ269" s="353"/>
      <c r="AK269" s="352"/>
      <c r="AL269" s="352"/>
      <c r="AM269" s="352"/>
      <c r="AN269" s="353"/>
      <c r="AO269" s="354">
        <f t="shared" ref="AO269:BP269" si="542">+(AO268-AK268)*10000</f>
        <v>1450</v>
      </c>
      <c r="AP269" s="354">
        <f t="shared" si="542"/>
        <v>1450</v>
      </c>
      <c r="AQ269" s="354">
        <f t="shared" si="542"/>
        <v>1450</v>
      </c>
      <c r="AR269" s="355">
        <f t="shared" si="542"/>
        <v>1450</v>
      </c>
      <c r="AS269" s="354">
        <f t="shared" si="542"/>
        <v>0</v>
      </c>
      <c r="AT269" s="354">
        <f t="shared" si="542"/>
        <v>0</v>
      </c>
      <c r="AU269" s="354">
        <f t="shared" si="542"/>
        <v>0</v>
      </c>
      <c r="AV269" s="355">
        <f t="shared" si="542"/>
        <v>0</v>
      </c>
      <c r="AW269" s="354">
        <f t="shared" si="542"/>
        <v>0</v>
      </c>
      <c r="AX269" s="354">
        <f t="shared" si="542"/>
        <v>0</v>
      </c>
      <c r="AY269" s="354">
        <f t="shared" si="542"/>
        <v>0</v>
      </c>
      <c r="AZ269" s="355">
        <f t="shared" si="542"/>
        <v>0</v>
      </c>
      <c r="BA269" s="354">
        <f t="shared" si="542"/>
        <v>0</v>
      </c>
      <c r="BB269" s="354">
        <f t="shared" si="542"/>
        <v>0</v>
      </c>
      <c r="BC269" s="354">
        <f t="shared" si="542"/>
        <v>0</v>
      </c>
      <c r="BD269" s="355">
        <f t="shared" si="542"/>
        <v>0</v>
      </c>
      <c r="BE269" s="354">
        <f t="shared" si="542"/>
        <v>0</v>
      </c>
      <c r="BF269" s="354">
        <f t="shared" si="542"/>
        <v>0</v>
      </c>
      <c r="BG269" s="354">
        <f t="shared" si="542"/>
        <v>0</v>
      </c>
      <c r="BH269" s="355">
        <f t="shared" si="542"/>
        <v>0</v>
      </c>
      <c r="BI269" s="354">
        <f t="shared" si="542"/>
        <v>0</v>
      </c>
      <c r="BJ269" s="354">
        <f t="shared" si="542"/>
        <v>0</v>
      </c>
      <c r="BK269" s="354">
        <f t="shared" si="542"/>
        <v>0</v>
      </c>
      <c r="BL269" s="355">
        <f t="shared" si="542"/>
        <v>0</v>
      </c>
      <c r="BM269" s="354">
        <f t="shared" si="542"/>
        <v>0</v>
      </c>
      <c r="BN269" s="354">
        <f t="shared" si="542"/>
        <v>0</v>
      </c>
      <c r="BO269" s="354">
        <f t="shared" si="542"/>
        <v>0</v>
      </c>
      <c r="BP269" s="355">
        <f t="shared" si="542"/>
        <v>0</v>
      </c>
      <c r="BQ269" s="354">
        <f t="shared" ref="BQ269:CF269" si="543">+(BQ268-BM268)*10000</f>
        <v>0</v>
      </c>
      <c r="BR269" s="354">
        <f t="shared" si="543"/>
        <v>0</v>
      </c>
      <c r="BS269" s="354">
        <f t="shared" si="543"/>
        <v>0</v>
      </c>
      <c r="BT269" s="355">
        <f t="shared" si="543"/>
        <v>0</v>
      </c>
      <c r="BU269" s="354">
        <f t="shared" si="543"/>
        <v>0</v>
      </c>
      <c r="BV269" s="354">
        <f t="shared" si="543"/>
        <v>0</v>
      </c>
      <c r="BW269" s="354">
        <f t="shared" si="543"/>
        <v>0</v>
      </c>
      <c r="BX269" s="355">
        <f t="shared" si="543"/>
        <v>0</v>
      </c>
      <c r="BY269" s="354">
        <f t="shared" si="543"/>
        <v>0</v>
      </c>
      <c r="BZ269" s="354">
        <f t="shared" si="543"/>
        <v>0</v>
      </c>
      <c r="CA269" s="354">
        <f t="shared" si="543"/>
        <v>0</v>
      </c>
      <c r="CB269" s="355">
        <f t="shared" si="543"/>
        <v>0</v>
      </c>
      <c r="CC269" s="354">
        <f t="shared" si="543"/>
        <v>0</v>
      </c>
      <c r="CD269" s="354">
        <f t="shared" si="543"/>
        <v>0</v>
      </c>
      <c r="CE269" s="354">
        <f t="shared" si="543"/>
        <v>0</v>
      </c>
      <c r="CF269" s="355">
        <f t="shared" si="543"/>
        <v>0</v>
      </c>
      <c r="CG269" s="351"/>
      <c r="CH269" s="356"/>
      <c r="CI269" s="350"/>
      <c r="CJ269" s="352"/>
      <c r="CK269" s="352"/>
      <c r="CL269" s="352"/>
      <c r="CM269" s="352"/>
      <c r="CN269" s="352"/>
      <c r="CO269" s="354">
        <f t="shared" ref="CO269:CU269" si="544">+(CO268-CN268)*10000</f>
        <v>1450.0000000000002</v>
      </c>
      <c r="CP269" s="354">
        <f t="shared" si="544"/>
        <v>-2.7755575615628914E-13</v>
      </c>
      <c r="CQ269" s="354">
        <f t="shared" si="544"/>
        <v>2.7755575615628914E-13</v>
      </c>
      <c r="CR269" s="354">
        <f t="shared" si="544"/>
        <v>-2.7755575615628914E-13</v>
      </c>
      <c r="CS269" s="354">
        <f>+(CS268-CR268)*10000</f>
        <v>0</v>
      </c>
      <c r="CT269" s="354">
        <f>+(CT268-CS268)*10000</f>
        <v>0</v>
      </c>
      <c r="CU269" s="354">
        <f t="shared" si="544"/>
        <v>2.7755575615628914E-13</v>
      </c>
      <c r="CV269" s="354">
        <f t="shared" ref="CV269:DF269" si="545">+(CV268-CU268)*10000</f>
        <v>-2.7755575615628914E-13</v>
      </c>
      <c r="CW269" s="354">
        <f t="shared" si="545"/>
        <v>0</v>
      </c>
      <c r="CX269" s="354">
        <f t="shared" si="545"/>
        <v>-2.7755575615628914E-13</v>
      </c>
      <c r="CY269" s="354">
        <f t="shared" si="545"/>
        <v>2.7755575615628914E-13</v>
      </c>
      <c r="CZ269" s="354">
        <f t="shared" si="545"/>
        <v>0</v>
      </c>
      <c r="DA269" s="354">
        <f t="shared" si="545"/>
        <v>0</v>
      </c>
      <c r="DB269" s="354">
        <f t="shared" si="545"/>
        <v>0</v>
      </c>
      <c r="DC269" s="354">
        <f t="shared" si="545"/>
        <v>0</v>
      </c>
      <c r="DD269" s="354">
        <f t="shared" si="545"/>
        <v>0</v>
      </c>
      <c r="DE269" s="354">
        <f t="shared" si="545"/>
        <v>0</v>
      </c>
      <c r="DF269" s="355">
        <f t="shared" si="545"/>
        <v>0</v>
      </c>
    </row>
    <row r="270" spans="1:113" s="78" customFormat="1" ht="11.25" customHeight="1">
      <c r="A270" s="24"/>
      <c r="B270"/>
      <c r="C270"/>
      <c r="D270"/>
      <c r="E270"/>
      <c r="F270"/>
      <c r="G270"/>
      <c r="H270" s="1044"/>
      <c r="I270" s="187"/>
      <c r="J270" s="74"/>
      <c r="K270" s="74"/>
      <c r="L270" s="75"/>
      <c r="M270" s="439"/>
      <c r="N270" s="439"/>
      <c r="O270" s="439"/>
      <c r="P270" s="370"/>
      <c r="Q270" s="439"/>
      <c r="R270" s="439"/>
      <c r="S270" s="439"/>
      <c r="T270" s="370"/>
      <c r="U270" s="360"/>
      <c r="V270" s="360"/>
      <c r="W270" s="360"/>
      <c r="X270" s="369"/>
      <c r="Y270" s="360"/>
      <c r="Z270" s="360"/>
      <c r="AA270" s="360"/>
      <c r="AB270" s="369"/>
      <c r="AC270" s="360"/>
      <c r="AD270" s="360"/>
      <c r="AE270" s="360"/>
      <c r="AF270" s="369"/>
      <c r="AG270" s="360"/>
      <c r="AH270" s="360"/>
      <c r="AI270" s="360"/>
      <c r="AJ270" s="369"/>
      <c r="AK270" s="384"/>
      <c r="AL270" s="384"/>
      <c r="AM270" s="384"/>
      <c r="AN270" s="385"/>
      <c r="AO270" s="384"/>
      <c r="AP270" s="384"/>
      <c r="AQ270" s="384"/>
      <c r="AR270" s="385"/>
      <c r="AS270" s="384"/>
      <c r="AT270" s="384"/>
      <c r="AU270" s="384"/>
      <c r="AV270" s="385"/>
      <c r="AW270" s="384"/>
      <c r="AX270" s="384"/>
      <c r="AY270" s="384"/>
      <c r="AZ270" s="385"/>
      <c r="BA270" s="384"/>
      <c r="BB270" s="384"/>
      <c r="BC270" s="384"/>
      <c r="BD270" s="385"/>
      <c r="BE270" s="384"/>
      <c r="BF270" s="384"/>
      <c r="BG270" s="384"/>
      <c r="BH270" s="385"/>
      <c r="BI270" s="384"/>
      <c r="BJ270" s="384"/>
      <c r="BK270" s="384"/>
      <c r="BL270" s="385"/>
      <c r="BM270" s="384"/>
      <c r="BN270" s="384"/>
      <c r="BO270" s="384"/>
      <c r="BP270" s="442"/>
      <c r="BQ270" s="443"/>
      <c r="BR270" s="443"/>
      <c r="BS270" s="443"/>
      <c r="BT270" s="442"/>
      <c r="BU270" s="443"/>
      <c r="BV270" s="443"/>
      <c r="BW270" s="443"/>
      <c r="BX270" s="442"/>
      <c r="BY270" s="443"/>
      <c r="BZ270" s="443"/>
      <c r="CA270" s="443"/>
      <c r="CB270" s="442"/>
      <c r="CC270" s="443"/>
      <c r="CD270" s="443"/>
      <c r="CE270" s="443"/>
      <c r="CF270" s="442"/>
      <c r="CG270" s="370"/>
      <c r="CH270" s="440"/>
      <c r="CI270" s="439"/>
      <c r="CJ270" s="360"/>
      <c r="CK270" s="360"/>
      <c r="CL270" s="360"/>
      <c r="CM270" s="360"/>
      <c r="CN270" s="384"/>
      <c r="CO270" s="384"/>
      <c r="CP270" s="384"/>
      <c r="CQ270" s="384"/>
      <c r="CR270" s="384"/>
      <c r="CS270" s="384"/>
      <c r="CT270" s="384"/>
      <c r="CU270" s="384"/>
      <c r="CV270" s="384"/>
      <c r="CW270" s="384"/>
      <c r="CX270" s="384"/>
      <c r="CY270" s="384"/>
      <c r="CZ270" s="443"/>
      <c r="DA270" s="443"/>
      <c r="DB270" s="443"/>
      <c r="DC270" s="443"/>
      <c r="DD270" s="443"/>
      <c r="DE270" s="443"/>
      <c r="DF270" s="442"/>
    </row>
    <row r="271" spans="1:113" s="3" customFormat="1" ht="11.25" customHeight="1">
      <c r="A271" s="8"/>
      <c r="B271"/>
      <c r="C271"/>
      <c r="D271"/>
      <c r="E271"/>
      <c r="F271"/>
      <c r="G271"/>
      <c r="H271" s="1052"/>
      <c r="I271" s="196" t="s">
        <v>173</v>
      </c>
      <c r="J271" s="86"/>
      <c r="K271" s="86"/>
      <c r="L271" s="8"/>
      <c r="M271" s="361"/>
      <c r="N271" s="361"/>
      <c r="O271" s="361"/>
      <c r="P271" s="362"/>
      <c r="Q271" s="361"/>
      <c r="R271" s="361"/>
      <c r="S271" s="361"/>
      <c r="T271" s="362"/>
      <c r="U271" s="363"/>
      <c r="V271" s="363"/>
      <c r="W271" s="363"/>
      <c r="X271" s="364"/>
      <c r="Y271" s="363"/>
      <c r="Z271" s="363"/>
      <c r="AA271" s="363"/>
      <c r="AB271" s="364"/>
      <c r="AC271" s="363"/>
      <c r="AD271" s="363"/>
      <c r="AE271" s="363"/>
      <c r="AF271" s="364"/>
      <c r="AG271" s="363"/>
      <c r="AH271" s="363"/>
      <c r="AI271" s="363"/>
      <c r="AJ271" s="364"/>
      <c r="AK271" s="363"/>
      <c r="AL271" s="363"/>
      <c r="AM271" s="363"/>
      <c r="AN271" s="364"/>
      <c r="AO271" s="363"/>
      <c r="AP271" s="363"/>
      <c r="AQ271" s="363"/>
      <c r="AR271" s="364"/>
      <c r="AS271" s="363">
        <v>431.89400000000001</v>
      </c>
      <c r="AT271" s="365">
        <f>+AS271-CO271</f>
        <v>431.89400000000001</v>
      </c>
      <c r="AU271" s="363"/>
      <c r="AV271" s="364"/>
      <c r="AW271" s="428"/>
      <c r="AX271" s="428"/>
      <c r="AY271" s="428"/>
      <c r="AZ271" s="364"/>
      <c r="BA271" s="363"/>
      <c r="BB271" s="363"/>
      <c r="BC271" s="363"/>
      <c r="BD271" s="364"/>
      <c r="BE271" s="363"/>
      <c r="BF271" s="363"/>
      <c r="BG271" s="363"/>
      <c r="BH271" s="364"/>
      <c r="BI271" s="363"/>
      <c r="BJ271" s="363"/>
      <c r="BK271" s="363"/>
      <c r="BL271" s="364"/>
      <c r="BM271" s="363"/>
      <c r="BN271" s="363"/>
      <c r="BO271" s="363"/>
      <c r="BP271" s="364"/>
      <c r="BQ271" s="363"/>
      <c r="BR271" s="363"/>
      <c r="BS271" s="363"/>
      <c r="BT271" s="364"/>
      <c r="BU271" s="363"/>
      <c r="BV271" s="363"/>
      <c r="BW271" s="363"/>
      <c r="BX271" s="364"/>
      <c r="BY271" s="363"/>
      <c r="BZ271" s="363"/>
      <c r="CA271" s="363"/>
      <c r="CB271" s="364"/>
      <c r="CC271" s="363"/>
      <c r="CD271" s="363"/>
      <c r="CE271" s="363"/>
      <c r="CF271" s="364"/>
      <c r="CG271" s="362"/>
      <c r="CH271" s="366"/>
      <c r="CI271" s="361"/>
      <c r="CJ271" s="363"/>
      <c r="CK271" s="363"/>
      <c r="CL271" s="363"/>
      <c r="CM271" s="363"/>
      <c r="CN271" s="363"/>
      <c r="CO271" s="365"/>
      <c r="CP271" s="363"/>
      <c r="CQ271" s="363"/>
      <c r="CR271" s="444"/>
      <c r="CS271" s="363"/>
      <c r="CT271" s="363"/>
      <c r="CU271" s="363"/>
      <c r="CV271" s="363"/>
      <c r="CW271" s="363"/>
      <c r="CX271" s="363"/>
      <c r="CY271" s="363"/>
      <c r="CZ271" s="363"/>
      <c r="DA271" s="363"/>
      <c r="DB271" s="363"/>
      <c r="DC271" s="363"/>
      <c r="DD271" s="363"/>
      <c r="DE271" s="363"/>
      <c r="DF271" s="364"/>
      <c r="DG271" s="1470"/>
      <c r="DH271" s="1470"/>
    </row>
    <row r="272" spans="1:113" s="554" customFormat="1" ht="11.25" customHeight="1">
      <c r="A272" s="547"/>
      <c r="B272"/>
      <c r="C272"/>
      <c r="D272"/>
      <c r="E272"/>
      <c r="F272"/>
      <c r="G272"/>
      <c r="H272" s="1044"/>
      <c r="I272" s="591" t="s">
        <v>194</v>
      </c>
      <c r="J272" s="547"/>
      <c r="K272" s="547"/>
      <c r="L272" s="547"/>
      <c r="M272" s="551"/>
      <c r="N272" s="551"/>
      <c r="O272" s="551"/>
      <c r="P272" s="552"/>
      <c r="Q272" s="551"/>
      <c r="R272" s="551"/>
      <c r="S272" s="551"/>
      <c r="T272" s="552"/>
      <c r="U272" s="394"/>
      <c r="V272" s="394"/>
      <c r="W272" s="394"/>
      <c r="X272" s="395"/>
      <c r="Y272" s="394"/>
      <c r="Z272" s="394"/>
      <c r="AA272" s="394"/>
      <c r="AB272" s="395"/>
      <c r="AC272" s="394"/>
      <c r="AD272" s="394"/>
      <c r="AE272" s="394"/>
      <c r="AF272" s="395"/>
      <c r="AG272" s="394"/>
      <c r="AH272" s="394"/>
      <c r="AI272" s="394"/>
      <c r="AJ272" s="395"/>
      <c r="AK272" s="394"/>
      <c r="AL272" s="394"/>
      <c r="AM272" s="394"/>
      <c r="AN272" s="395"/>
      <c r="AO272" s="394"/>
      <c r="AP272" s="394"/>
      <c r="AQ272" s="394"/>
      <c r="AR272" s="395"/>
      <c r="AS272" s="394"/>
      <c r="AT272" s="396">
        <f>+CS39-CO39</f>
        <v>3127.7100000000009</v>
      </c>
      <c r="AU272" s="394"/>
      <c r="AV272" s="395"/>
      <c r="AW272" s="396">
        <f>'Bookings and Drivers'!AW35</f>
        <v>0</v>
      </c>
      <c r="AX272" s="396">
        <f>'Bookings and Drivers'!AX35</f>
        <v>43.9</v>
      </c>
      <c r="AY272" s="396">
        <f>'Bookings and Drivers'!AY35</f>
        <v>85.8</v>
      </c>
      <c r="AZ272" s="397">
        <f>'Bookings and Drivers'!AZ35</f>
        <v>55</v>
      </c>
      <c r="BA272" s="396">
        <f>'Bookings and Drivers'!BA35</f>
        <v>95.7</v>
      </c>
      <c r="BB272" s="396">
        <f>'Bookings and Drivers'!BB35</f>
        <v>100</v>
      </c>
      <c r="BC272" s="396">
        <f>'Bookings and Drivers'!BC35</f>
        <v>180.18</v>
      </c>
      <c r="BD272" s="397">
        <f>'Bookings and Drivers'!BD35</f>
        <v>115.5</v>
      </c>
      <c r="BE272" s="396">
        <f>'Bookings and Drivers'!BE35</f>
        <v>162.69</v>
      </c>
      <c r="BF272" s="396">
        <f>'Bookings and Drivers'!BF35</f>
        <v>160</v>
      </c>
      <c r="BG272" s="396">
        <f>'Bookings and Drivers'!BG35</f>
        <v>288.28800000000001</v>
      </c>
      <c r="BH272" s="397">
        <f>'Bookings and Drivers'!BH35</f>
        <v>173.25</v>
      </c>
      <c r="BI272" s="396">
        <f>'Bookings and Drivers'!BI35</f>
        <v>227.76599999999999</v>
      </c>
      <c r="BJ272" s="396">
        <f>'Bookings and Drivers'!BJ35</f>
        <v>224</v>
      </c>
      <c r="BK272" s="396">
        <f>'Bookings and Drivers'!BK35</f>
        <v>403.60320000000002</v>
      </c>
      <c r="BL272" s="397">
        <f>'Bookings and Drivers'!BL35</f>
        <v>225.22499999999999</v>
      </c>
      <c r="BM272" s="396">
        <f>'Bookings and Drivers'!BM35</f>
        <v>282.42984000000001</v>
      </c>
      <c r="BN272" s="396">
        <f>'Bookings and Drivers'!BN35</f>
        <v>268.8</v>
      </c>
      <c r="BO272" s="396">
        <f>'Bookings and Drivers'!BO35</f>
        <v>516.61209600000007</v>
      </c>
      <c r="BP272" s="397">
        <f>'Bookings and Drivers'!BP35</f>
        <v>270.27</v>
      </c>
      <c r="BQ272" s="396">
        <f>'Bookings and Drivers'!BQ35</f>
        <v>338.91580800000003</v>
      </c>
      <c r="BR272" s="396">
        <f>'Bookings and Drivers'!BR35</f>
        <v>322.56</v>
      </c>
      <c r="BS272" s="396">
        <f>'Bookings and Drivers'!BS35</f>
        <v>645.76512000000002</v>
      </c>
      <c r="BT272" s="397">
        <f>'Bookings and Drivers'!BT35</f>
        <v>310.81049999999993</v>
      </c>
      <c r="BU272" s="396">
        <f>'Bookings and Drivers'!BU35</f>
        <v>379.58570496000004</v>
      </c>
      <c r="BV272" s="396">
        <f>'Bookings and Drivers'!BV35</f>
        <v>361.26720000000006</v>
      </c>
      <c r="BW272" s="396">
        <f>'Bookings and Drivers'!BW35</f>
        <v>723.25693440000009</v>
      </c>
      <c r="BX272" s="397">
        <f>'Bookings and Drivers'!BX35</f>
        <v>348.10775999999998</v>
      </c>
      <c r="BY272" s="396">
        <f>'Bookings and Drivers'!BY35</f>
        <v>417.54427545600009</v>
      </c>
      <c r="BZ272" s="396">
        <f>'Bookings and Drivers'!BZ35</f>
        <v>397.39392000000009</v>
      </c>
      <c r="CA272" s="396">
        <f>'Bookings and Drivers'!CA35</f>
        <v>795.58262784000021</v>
      </c>
      <c r="CB272" s="397">
        <f>'Bookings and Drivers'!CB35</f>
        <v>382.91853600000002</v>
      </c>
      <c r="CC272" s="396">
        <f>'Bookings and Drivers'!CC35</f>
        <v>438.42148922880011</v>
      </c>
      <c r="CD272" s="396">
        <f>'Bookings and Drivers'!CD35</f>
        <v>417.26361600000013</v>
      </c>
      <c r="CE272" s="396">
        <f>'Bookings and Drivers'!CE35</f>
        <v>835.36175923200028</v>
      </c>
      <c r="CF272" s="397">
        <f>'Bookings and Drivers'!CF35</f>
        <v>402.06446280000006</v>
      </c>
      <c r="CG272" s="552"/>
      <c r="CH272" s="553"/>
      <c r="CI272" s="551"/>
      <c r="CJ272" s="394"/>
      <c r="CK272" s="394"/>
      <c r="CL272" s="394"/>
      <c r="CM272" s="394"/>
      <c r="CN272" s="394"/>
      <c r="CO272" s="394"/>
      <c r="CP272" s="394"/>
      <c r="CQ272" s="396">
        <f>+SUM(AW272:AZ272)</f>
        <v>184.7</v>
      </c>
      <c r="CR272" s="396">
        <f>+SUM(BA272:BD272)</f>
        <v>491.38</v>
      </c>
      <c r="CS272" s="396">
        <f>+SUM(BE272:BH272)</f>
        <v>784.22800000000007</v>
      </c>
      <c r="CT272" s="396">
        <f>+SUM(BI272:BL272)</f>
        <v>1080.5942</v>
      </c>
      <c r="CU272" s="396">
        <f>SUM(BM272:BP272)</f>
        <v>1338.111936</v>
      </c>
      <c r="CV272" s="396">
        <f>SUM(BQ272:BT272)</f>
        <v>1618.0514280000002</v>
      </c>
      <c r="CW272" s="396">
        <f>SUM(BU272:BX272)</f>
        <v>1812.2175993600003</v>
      </c>
      <c r="CX272" s="396">
        <f>SUM(BY272:CB272)</f>
        <v>1993.4393592960005</v>
      </c>
      <c r="CY272" s="396">
        <f>SUM(CC272:CF272)</f>
        <v>2093.1113272608004</v>
      </c>
      <c r="CZ272" s="396">
        <f>'Bookings and Drivers'!CZ35</f>
        <v>2176.8357803512326</v>
      </c>
      <c r="DA272" s="396">
        <f>'Bookings and Drivers'!DA35</f>
        <v>2242.1408537617699</v>
      </c>
      <c r="DB272" s="396">
        <f>'Bookings and Drivers'!DB35</f>
        <v>2286.9836708370053</v>
      </c>
      <c r="DC272" s="396">
        <f>'Bookings and Drivers'!DC35</f>
        <v>2309.8535075453756</v>
      </c>
      <c r="DD272" s="396">
        <f>'Bookings and Drivers'!DD35</f>
        <v>2309.8535075453756</v>
      </c>
      <c r="DE272" s="396">
        <f>'Bookings and Drivers'!DE35</f>
        <v>2286.754972469922</v>
      </c>
      <c r="DF272" s="397">
        <f>'Bookings and Drivers'!DF35</f>
        <v>2263.8874227452229</v>
      </c>
      <c r="DG272" s="612"/>
      <c r="DH272" s="612"/>
    </row>
    <row r="273" spans="1:114" s="51" customFormat="1" ht="11.25" customHeight="1">
      <c r="A273" s="82"/>
      <c r="B273"/>
      <c r="C273"/>
      <c r="D273"/>
      <c r="E273"/>
      <c r="F273"/>
      <c r="G273"/>
      <c r="H273" s="1044"/>
      <c r="I273" s="259" t="s">
        <v>195</v>
      </c>
      <c r="J273" s="82"/>
      <c r="K273" s="82"/>
      <c r="L273" s="82"/>
      <c r="M273" s="336"/>
      <c r="N273" s="336"/>
      <c r="O273" s="336"/>
      <c r="P273" s="337"/>
      <c r="Q273" s="336"/>
      <c r="R273" s="336"/>
      <c r="S273" s="336"/>
      <c r="T273" s="337"/>
      <c r="U273" s="328"/>
      <c r="V273" s="328"/>
      <c r="W273" s="328"/>
      <c r="X273" s="329"/>
      <c r="Y273" s="328"/>
      <c r="Z273" s="328"/>
      <c r="AA273" s="328"/>
      <c r="AB273" s="329"/>
      <c r="AC273" s="328"/>
      <c r="AD273" s="328"/>
      <c r="AE273" s="328"/>
      <c r="AF273" s="329"/>
      <c r="AG273" s="328"/>
      <c r="AH273" s="328"/>
      <c r="AI273" s="328"/>
      <c r="AJ273" s="329"/>
      <c r="AK273" s="328"/>
      <c r="AL273" s="328"/>
      <c r="AM273" s="328"/>
      <c r="AN273" s="329"/>
      <c r="AO273" s="328"/>
      <c r="AP273" s="328"/>
      <c r="AQ273" s="328"/>
      <c r="AR273" s="329"/>
      <c r="AS273" s="328"/>
      <c r="AT273" s="338">
        <f>+AT271/AT272</f>
        <v>0.13808633153329428</v>
      </c>
      <c r="AU273" s="328"/>
      <c r="AV273" s="329"/>
      <c r="AW273" s="328"/>
      <c r="AX273" s="338">
        <f>+AX240/AX272</f>
        <v>0.15945330296127563</v>
      </c>
      <c r="AY273" s="338">
        <f>+AY240/AY272</f>
        <v>0.13986013986013987</v>
      </c>
      <c r="AZ273" s="339">
        <f>+AZ240/AZ272</f>
        <v>0.14545454545454545</v>
      </c>
      <c r="BA273" s="338">
        <f>+BA240/BA272</f>
        <v>0.1044932079414838</v>
      </c>
      <c r="BB273" s="338">
        <f>+AX273</f>
        <v>0.15945330296127563</v>
      </c>
      <c r="BC273" s="338">
        <f>+AY273</f>
        <v>0.13986013986013987</v>
      </c>
      <c r="BD273" s="339">
        <f>+AZ273</f>
        <v>0.14545454545454545</v>
      </c>
      <c r="BE273" s="338">
        <f t="shared" ref="BE273:BT273" si="546">+BA273</f>
        <v>0.1044932079414838</v>
      </c>
      <c r="BF273" s="338">
        <f>+BB273</f>
        <v>0.15945330296127563</v>
      </c>
      <c r="BG273" s="338">
        <f t="shared" si="546"/>
        <v>0.13986013986013987</v>
      </c>
      <c r="BH273" s="339">
        <f t="shared" si="546"/>
        <v>0.14545454545454545</v>
      </c>
      <c r="BI273" s="338">
        <f t="shared" si="546"/>
        <v>0.1044932079414838</v>
      </c>
      <c r="BJ273" s="338">
        <f>+BF273</f>
        <v>0.15945330296127563</v>
      </c>
      <c r="BK273" s="338">
        <f>+BG273</f>
        <v>0.13986013986013987</v>
      </c>
      <c r="BL273" s="339">
        <f t="shared" si="546"/>
        <v>0.14545454545454545</v>
      </c>
      <c r="BM273" s="338">
        <f t="shared" si="546"/>
        <v>0.1044932079414838</v>
      </c>
      <c r="BN273" s="338">
        <f t="shared" si="546"/>
        <v>0.15945330296127563</v>
      </c>
      <c r="BO273" s="338">
        <f t="shared" si="546"/>
        <v>0.13986013986013987</v>
      </c>
      <c r="BP273" s="339">
        <f t="shared" si="546"/>
        <v>0.14545454545454545</v>
      </c>
      <c r="BQ273" s="338">
        <f t="shared" si="546"/>
        <v>0.1044932079414838</v>
      </c>
      <c r="BR273" s="338">
        <f t="shared" si="546"/>
        <v>0.15945330296127563</v>
      </c>
      <c r="BS273" s="338">
        <f t="shared" si="546"/>
        <v>0.13986013986013987</v>
      </c>
      <c r="BT273" s="339">
        <f t="shared" si="546"/>
        <v>0.14545454545454545</v>
      </c>
      <c r="BU273" s="338">
        <f t="shared" ref="BU273" si="547">+BQ273</f>
        <v>0.1044932079414838</v>
      </c>
      <c r="BV273" s="338">
        <f t="shared" ref="BV273" si="548">+BR273</f>
        <v>0.15945330296127563</v>
      </c>
      <c r="BW273" s="338">
        <f t="shared" ref="BW273" si="549">+BS273</f>
        <v>0.13986013986013987</v>
      </c>
      <c r="BX273" s="339">
        <f t="shared" ref="BX273" si="550">+BT273</f>
        <v>0.14545454545454545</v>
      </c>
      <c r="BY273" s="338">
        <f t="shared" ref="BY273" si="551">+BU273</f>
        <v>0.1044932079414838</v>
      </c>
      <c r="BZ273" s="338">
        <f t="shared" ref="BZ273" si="552">+BV273</f>
        <v>0.15945330296127563</v>
      </c>
      <c r="CA273" s="338">
        <f t="shared" ref="CA273" si="553">+BW273</f>
        <v>0.13986013986013987</v>
      </c>
      <c r="CB273" s="339">
        <f t="shared" ref="CB273" si="554">+BX273</f>
        <v>0.14545454545454545</v>
      </c>
      <c r="CC273" s="338">
        <f t="shared" ref="CC273" si="555">+BY273</f>
        <v>0.1044932079414838</v>
      </c>
      <c r="CD273" s="338">
        <f t="shared" ref="CD273" si="556">+BZ273</f>
        <v>0.15945330296127563</v>
      </c>
      <c r="CE273" s="338">
        <f t="shared" ref="CE273" si="557">+CA273</f>
        <v>0.13986013986013987</v>
      </c>
      <c r="CF273" s="339">
        <f t="shared" ref="CF273" si="558">+CB273</f>
        <v>0.14545454545454545</v>
      </c>
      <c r="CG273" s="337"/>
      <c r="CH273" s="367"/>
      <c r="CI273" s="336"/>
      <c r="CJ273" s="328"/>
      <c r="CK273" s="328"/>
      <c r="CL273" s="328"/>
      <c r="CM273" s="328"/>
      <c r="CN273" s="328"/>
      <c r="CO273" s="328"/>
      <c r="CP273" s="328"/>
      <c r="CQ273" s="338">
        <f t="shared" ref="CQ273:CY273" si="559">+CQ240/CQ272</f>
        <v>0.14618299945858149</v>
      </c>
      <c r="CR273" s="445">
        <f t="shared" si="559"/>
        <v>0.13827451319982004</v>
      </c>
      <c r="CS273" s="445">
        <f t="shared" si="559"/>
        <v>0.13775653059289403</v>
      </c>
      <c r="CT273" s="445">
        <f t="shared" si="559"/>
        <v>0.13763310950894031</v>
      </c>
      <c r="CU273" s="445">
        <f t="shared" si="559"/>
        <v>0.13746121149313989</v>
      </c>
      <c r="CV273" s="445">
        <f t="shared" si="559"/>
        <v>0.13743275000724456</v>
      </c>
      <c r="CW273" s="445">
        <f t="shared" si="559"/>
        <v>0.13743275000724453</v>
      </c>
      <c r="CX273" s="445">
        <f t="shared" si="559"/>
        <v>0.13743275000724456</v>
      </c>
      <c r="CY273" s="445">
        <f t="shared" si="559"/>
        <v>0.13743275000724459</v>
      </c>
      <c r="CZ273" s="461">
        <f t="shared" ref="CZ273:DF273" si="560">+CY273</f>
        <v>0.13743275000724459</v>
      </c>
      <c r="DA273" s="461">
        <f t="shared" si="560"/>
        <v>0.13743275000724459</v>
      </c>
      <c r="DB273" s="461">
        <f t="shared" si="560"/>
        <v>0.13743275000724459</v>
      </c>
      <c r="DC273" s="461">
        <f t="shared" si="560"/>
        <v>0.13743275000724459</v>
      </c>
      <c r="DD273" s="461">
        <f t="shared" si="560"/>
        <v>0.13743275000724459</v>
      </c>
      <c r="DE273" s="461">
        <f t="shared" si="560"/>
        <v>0.13743275000724459</v>
      </c>
      <c r="DF273" s="462">
        <f t="shared" si="560"/>
        <v>0.13743275000724459</v>
      </c>
      <c r="DG273" s="308"/>
      <c r="DH273" s="308"/>
    </row>
    <row r="274" spans="1:114" s="61" customFormat="1" ht="11.25" customHeight="1">
      <c r="A274" s="24"/>
      <c r="B274"/>
      <c r="C274"/>
      <c r="D274"/>
      <c r="E274"/>
      <c r="F274"/>
      <c r="G274"/>
      <c r="H274" s="1044"/>
      <c r="I274" s="188" t="s">
        <v>384</v>
      </c>
      <c r="J274" s="85"/>
      <c r="K274" s="85"/>
      <c r="L274" s="60"/>
      <c r="M274" s="350"/>
      <c r="N274" s="350"/>
      <c r="O274" s="350"/>
      <c r="P274" s="351"/>
      <c r="Q274" s="350"/>
      <c r="R274" s="350"/>
      <c r="S274" s="350"/>
      <c r="T274" s="351"/>
      <c r="U274" s="352"/>
      <c r="V274" s="352"/>
      <c r="W274" s="352"/>
      <c r="X274" s="353"/>
      <c r="Y274" s="352"/>
      <c r="Z274" s="352"/>
      <c r="AA274" s="352"/>
      <c r="AB274" s="353"/>
      <c r="AC274" s="352"/>
      <c r="AD274" s="352"/>
      <c r="AE274" s="352"/>
      <c r="AF274" s="353"/>
      <c r="AG274" s="352"/>
      <c r="AH274" s="352"/>
      <c r="AI274" s="352"/>
      <c r="AJ274" s="353"/>
      <c r="AK274" s="352"/>
      <c r="AL274" s="352"/>
      <c r="AM274" s="352"/>
      <c r="AN274" s="353"/>
      <c r="AO274" s="352"/>
      <c r="AP274" s="352"/>
      <c r="AQ274" s="352"/>
      <c r="AR274" s="353"/>
      <c r="AS274" s="352"/>
      <c r="AT274" s="352"/>
      <c r="AU274" s="352"/>
      <c r="AV274" s="353"/>
      <c r="AW274" s="352"/>
      <c r="AX274" s="352"/>
      <c r="AY274" s="352"/>
      <c r="AZ274" s="353"/>
      <c r="BA274" s="354"/>
      <c r="BB274" s="354">
        <f>+(BB273-AX273)*10000</f>
        <v>0</v>
      </c>
      <c r="BC274" s="354">
        <f t="shared" ref="BC274:CF274" si="561">+(BC273-AY273)*10000</f>
        <v>0</v>
      </c>
      <c r="BD274" s="355">
        <f t="shared" si="561"/>
        <v>0</v>
      </c>
      <c r="BE274" s="354">
        <f t="shared" si="561"/>
        <v>0</v>
      </c>
      <c r="BF274" s="354">
        <f t="shared" si="561"/>
        <v>0</v>
      </c>
      <c r="BG274" s="354">
        <f t="shared" si="561"/>
        <v>0</v>
      </c>
      <c r="BH274" s="355">
        <f t="shared" si="561"/>
        <v>0</v>
      </c>
      <c r="BI274" s="354">
        <f t="shared" si="561"/>
        <v>0</v>
      </c>
      <c r="BJ274" s="354">
        <f t="shared" si="561"/>
        <v>0</v>
      </c>
      <c r="BK274" s="354">
        <f t="shared" si="561"/>
        <v>0</v>
      </c>
      <c r="BL274" s="355">
        <f t="shared" si="561"/>
        <v>0</v>
      </c>
      <c r="BM274" s="354">
        <f t="shared" si="561"/>
        <v>0</v>
      </c>
      <c r="BN274" s="354">
        <f t="shared" si="561"/>
        <v>0</v>
      </c>
      <c r="BO274" s="354">
        <f t="shared" si="561"/>
        <v>0</v>
      </c>
      <c r="BP274" s="355">
        <f t="shared" si="561"/>
        <v>0</v>
      </c>
      <c r="BQ274" s="354">
        <f t="shared" si="561"/>
        <v>0</v>
      </c>
      <c r="BR274" s="354">
        <f t="shared" si="561"/>
        <v>0</v>
      </c>
      <c r="BS274" s="354">
        <f t="shared" si="561"/>
        <v>0</v>
      </c>
      <c r="BT274" s="355">
        <f t="shared" si="561"/>
        <v>0</v>
      </c>
      <c r="BU274" s="354">
        <f t="shared" si="561"/>
        <v>0</v>
      </c>
      <c r="BV274" s="354">
        <f t="shared" si="561"/>
        <v>0</v>
      </c>
      <c r="BW274" s="354">
        <f t="shared" si="561"/>
        <v>0</v>
      </c>
      <c r="BX274" s="355">
        <f t="shared" si="561"/>
        <v>0</v>
      </c>
      <c r="BY274" s="354">
        <f t="shared" si="561"/>
        <v>0</v>
      </c>
      <c r="BZ274" s="354">
        <f t="shared" si="561"/>
        <v>0</v>
      </c>
      <c r="CA274" s="354">
        <f t="shared" si="561"/>
        <v>0</v>
      </c>
      <c r="CB274" s="355">
        <f t="shared" si="561"/>
        <v>0</v>
      </c>
      <c r="CC274" s="354">
        <f t="shared" si="561"/>
        <v>0</v>
      </c>
      <c r="CD274" s="354">
        <f>+(CD273-BZ273)*10000</f>
        <v>0</v>
      </c>
      <c r="CE274" s="354">
        <f t="shared" si="561"/>
        <v>0</v>
      </c>
      <c r="CF274" s="355">
        <f t="shared" si="561"/>
        <v>0</v>
      </c>
      <c r="CG274" s="351"/>
      <c r="CH274" s="356"/>
      <c r="CI274" s="350"/>
      <c r="CJ274" s="352"/>
      <c r="CK274" s="352"/>
      <c r="CL274" s="352"/>
      <c r="CM274" s="352"/>
      <c r="CN274" s="352"/>
      <c r="CO274" s="352"/>
      <c r="CP274" s="352"/>
      <c r="CQ274" s="352"/>
      <c r="CR274" s="354">
        <f t="shared" ref="CR274:CX274" si="562">+(CR273-CQ273)*10000</f>
        <v>-79.084862587614495</v>
      </c>
      <c r="CS274" s="354">
        <f t="shared" si="562"/>
        <v>-5.1798260692600966</v>
      </c>
      <c r="CT274" s="354">
        <f t="shared" si="562"/>
        <v>-1.2342108395371754</v>
      </c>
      <c r="CU274" s="354">
        <f t="shared" si="562"/>
        <v>-1.7189801580042019</v>
      </c>
      <c r="CV274" s="354">
        <f t="shared" si="562"/>
        <v>-0.28461485895331373</v>
      </c>
      <c r="CW274" s="354">
        <f t="shared" si="562"/>
        <v>-2.7755575615628914E-13</v>
      </c>
      <c r="CX274" s="354">
        <f t="shared" si="562"/>
        <v>2.7755575615628914E-13</v>
      </c>
      <c r="CY274" s="354">
        <f t="shared" ref="CY274:DF274" si="563">+(CY273-CX273)*10000</f>
        <v>2.7755575615628914E-13</v>
      </c>
      <c r="CZ274" s="354">
        <f t="shared" si="563"/>
        <v>0</v>
      </c>
      <c r="DA274" s="354">
        <f t="shared" si="563"/>
        <v>0</v>
      </c>
      <c r="DB274" s="354">
        <f t="shared" si="563"/>
        <v>0</v>
      </c>
      <c r="DC274" s="354">
        <f t="shared" si="563"/>
        <v>0</v>
      </c>
      <c r="DD274" s="354">
        <f t="shared" si="563"/>
        <v>0</v>
      </c>
      <c r="DE274" s="354">
        <f t="shared" si="563"/>
        <v>0</v>
      </c>
      <c r="DF274" s="355">
        <f t="shared" si="563"/>
        <v>0</v>
      </c>
    </row>
    <row r="275" spans="1:114" s="26" customFormat="1" ht="11.25" customHeight="1">
      <c r="A275" s="24"/>
      <c r="B275"/>
      <c r="C275"/>
      <c r="D275"/>
      <c r="E275"/>
      <c r="F275"/>
      <c r="G275"/>
      <c r="H275" s="1044"/>
      <c r="I275" s="160"/>
      <c r="J275" s="24"/>
      <c r="K275" s="24"/>
      <c r="L275" s="24"/>
      <c r="M275" s="315"/>
      <c r="N275" s="315"/>
      <c r="O275" s="315"/>
      <c r="P275" s="316"/>
      <c r="Q275" s="315"/>
      <c r="R275" s="315"/>
      <c r="S275" s="315"/>
      <c r="T275" s="316"/>
      <c r="U275" s="326"/>
      <c r="V275" s="326"/>
      <c r="W275" s="326"/>
      <c r="X275" s="327"/>
      <c r="Y275" s="326"/>
      <c r="Z275" s="326"/>
      <c r="AA275" s="326"/>
      <c r="AB275" s="327"/>
      <c r="AC275" s="326"/>
      <c r="AD275" s="326"/>
      <c r="AE275" s="326"/>
      <c r="AF275" s="327"/>
      <c r="AG275" s="326"/>
      <c r="AH275" s="326"/>
      <c r="AI275" s="326"/>
      <c r="AJ275" s="327"/>
      <c r="AK275" s="326"/>
      <c r="AL275" s="326"/>
      <c r="AM275" s="326"/>
      <c r="AN275" s="327"/>
      <c r="AO275" s="326"/>
      <c r="AP275" s="326"/>
      <c r="AQ275" s="326"/>
      <c r="AR275" s="327"/>
      <c r="AS275" s="326"/>
      <c r="AT275" s="326"/>
      <c r="AU275" s="326"/>
      <c r="AV275" s="327"/>
      <c r="AW275" s="358"/>
      <c r="AX275" s="358"/>
      <c r="AY275" s="358"/>
      <c r="AZ275" s="327"/>
      <c r="BA275" s="326"/>
      <c r="BB275" s="326"/>
      <c r="BC275" s="326"/>
      <c r="BD275" s="327"/>
      <c r="BE275" s="326"/>
      <c r="BF275" s="326"/>
      <c r="BG275" s="326"/>
      <c r="BH275" s="327"/>
      <c r="BI275" s="326"/>
      <c r="BJ275" s="326"/>
      <c r="BK275" s="326"/>
      <c r="BL275" s="327"/>
      <c r="BM275" s="326"/>
      <c r="BN275" s="326"/>
      <c r="BO275" s="326"/>
      <c r="BP275" s="327"/>
      <c r="BQ275" s="326"/>
      <c r="BR275" s="326"/>
      <c r="BS275" s="326"/>
      <c r="BT275" s="327"/>
      <c r="BU275" s="326"/>
      <c r="BV275" s="326"/>
      <c r="BW275" s="326"/>
      <c r="BX275" s="327"/>
      <c r="BY275" s="326"/>
      <c r="BZ275" s="326"/>
      <c r="CA275" s="326"/>
      <c r="CB275" s="327"/>
      <c r="CC275" s="326"/>
      <c r="CD275" s="326"/>
      <c r="CE275" s="326"/>
      <c r="CF275" s="327"/>
      <c r="CG275" s="316"/>
      <c r="CH275" s="320"/>
      <c r="CI275" s="315"/>
      <c r="CJ275" s="326"/>
      <c r="CK275" s="326"/>
      <c r="CL275" s="326"/>
      <c r="CM275" s="326"/>
      <c r="CN275" s="326"/>
      <c r="CO275" s="326"/>
      <c r="CP275" s="358"/>
      <c r="CQ275" s="326"/>
      <c r="CR275" s="326"/>
      <c r="CS275" s="321"/>
      <c r="CT275" s="321"/>
      <c r="CU275" s="321"/>
      <c r="CV275" s="321"/>
      <c r="CW275" s="321"/>
      <c r="CX275" s="321"/>
      <c r="CY275" s="321"/>
      <c r="CZ275" s="326"/>
      <c r="DA275" s="326"/>
      <c r="DB275" s="326"/>
      <c r="DC275" s="326"/>
      <c r="DD275" s="326"/>
      <c r="DE275" s="326"/>
      <c r="DF275" s="327"/>
      <c r="DG275" s="94"/>
      <c r="DH275" s="94"/>
    </row>
    <row r="276" spans="1:114" s="3" customFormat="1" ht="11.25" customHeight="1">
      <c r="A276" s="8"/>
      <c r="B276"/>
      <c r="C276"/>
      <c r="D276"/>
      <c r="E276"/>
      <c r="F276"/>
      <c r="G276"/>
      <c r="H276" s="1052"/>
      <c r="I276" s="281" t="s">
        <v>365</v>
      </c>
      <c r="J276" s="8"/>
      <c r="K276" s="8"/>
      <c r="L276" s="8"/>
      <c r="M276" s="361"/>
      <c r="N276" s="361"/>
      <c r="O276" s="361"/>
      <c r="P276" s="362"/>
      <c r="Q276" s="361"/>
      <c r="R276" s="361"/>
      <c r="S276" s="361"/>
      <c r="T276" s="362"/>
      <c r="U276" s="363"/>
      <c r="V276" s="363"/>
      <c r="W276" s="363"/>
      <c r="X276" s="364"/>
      <c r="Y276" s="363"/>
      <c r="Z276" s="363"/>
      <c r="AA276" s="363"/>
      <c r="AB276" s="364"/>
      <c r="AC276" s="363"/>
      <c r="AD276" s="363"/>
      <c r="AE276" s="363"/>
      <c r="AF276" s="364"/>
      <c r="AG276" s="363"/>
      <c r="AH276" s="363"/>
      <c r="AI276" s="363"/>
      <c r="AJ276" s="364"/>
      <c r="AK276" s="363"/>
      <c r="AL276" s="363"/>
      <c r="AM276" s="363"/>
      <c r="AN276" s="364"/>
      <c r="AO276" s="363"/>
      <c r="AP276" s="363"/>
      <c r="AQ276" s="363"/>
      <c r="AR276" s="364"/>
      <c r="AS276" s="363"/>
      <c r="AT276" s="363"/>
      <c r="AU276" s="363"/>
      <c r="AV276" s="364"/>
      <c r="AW276" s="428"/>
      <c r="AX276" s="428"/>
      <c r="AY276" s="428"/>
      <c r="AZ276" s="364"/>
      <c r="BA276" s="363"/>
      <c r="BB276" s="363"/>
      <c r="BC276" s="363"/>
      <c r="BD276" s="364"/>
      <c r="BE276" s="363"/>
      <c r="BF276" s="363"/>
      <c r="BG276" s="363"/>
      <c r="BH276" s="364"/>
      <c r="BI276" s="363"/>
      <c r="BJ276" s="363"/>
      <c r="BK276" s="363"/>
      <c r="BL276" s="364"/>
      <c r="BM276" s="363"/>
      <c r="BN276" s="363"/>
      <c r="BO276" s="363"/>
      <c r="BP276" s="364"/>
      <c r="BQ276" s="363"/>
      <c r="BR276" s="363"/>
      <c r="BS276" s="363"/>
      <c r="BT276" s="364"/>
      <c r="BU276" s="363"/>
      <c r="BV276" s="363"/>
      <c r="BW276" s="363"/>
      <c r="BX276" s="364"/>
      <c r="BY276" s="363"/>
      <c r="BZ276" s="363"/>
      <c r="CA276" s="363"/>
      <c r="CB276" s="364"/>
      <c r="CC276" s="363"/>
      <c r="CD276" s="363"/>
      <c r="CE276" s="363"/>
      <c r="CF276" s="364"/>
      <c r="CG276" s="362"/>
      <c r="CH276" s="366"/>
      <c r="CI276" s="361"/>
      <c r="CJ276" s="363"/>
      <c r="CK276" s="363"/>
      <c r="CL276" s="363"/>
      <c r="CM276" s="363"/>
      <c r="CN276" s="363"/>
      <c r="CO276" s="363"/>
      <c r="CP276" s="363"/>
      <c r="CQ276" s="363"/>
      <c r="CR276" s="444"/>
      <c r="CS276" s="363"/>
      <c r="CT276" s="363"/>
      <c r="CU276" s="363"/>
      <c r="CV276" s="363"/>
      <c r="CW276" s="363"/>
      <c r="CX276" s="363"/>
      <c r="CY276" s="363"/>
      <c r="CZ276" s="363"/>
      <c r="DA276" s="363"/>
      <c r="DB276" s="363"/>
      <c r="DC276" s="363"/>
      <c r="DD276" s="363"/>
      <c r="DE276" s="363"/>
      <c r="DF276" s="364"/>
      <c r="DG276" s="1470"/>
      <c r="DH276" s="1470"/>
    </row>
    <row r="277" spans="1:114" s="554" customFormat="1" ht="11.25" customHeight="1">
      <c r="A277" s="547"/>
      <c r="B277"/>
      <c r="C277"/>
      <c r="D277"/>
      <c r="E277"/>
      <c r="F277"/>
      <c r="G277"/>
      <c r="H277" s="1044"/>
      <c r="I277" s="591" t="s">
        <v>189</v>
      </c>
      <c r="J277" s="547"/>
      <c r="K277" s="547"/>
      <c r="L277" s="547"/>
      <c r="M277" s="551"/>
      <c r="N277" s="551"/>
      <c r="O277" s="551"/>
      <c r="P277" s="552"/>
      <c r="Q277" s="551"/>
      <c r="R277" s="551"/>
      <c r="S277" s="551"/>
      <c r="T277" s="552"/>
      <c r="U277" s="394"/>
      <c r="V277" s="394"/>
      <c r="W277" s="394"/>
      <c r="X277" s="395"/>
      <c r="Y277" s="394"/>
      <c r="Z277" s="394"/>
      <c r="AA277" s="394"/>
      <c r="AB277" s="395"/>
      <c r="AC277" s="394"/>
      <c r="AD277" s="394"/>
      <c r="AE277" s="394"/>
      <c r="AF277" s="395"/>
      <c r="AG277" s="394"/>
      <c r="AH277" s="394"/>
      <c r="AI277" s="394"/>
      <c r="AJ277" s="395"/>
      <c r="AK277" s="396">
        <f>'Bookings and Drivers'!AK25</f>
        <v>519.67899999999997</v>
      </c>
      <c r="AL277" s="396">
        <f>'Bookings and Drivers'!AL25</f>
        <v>687.12400000000002</v>
      </c>
      <c r="AM277" s="396">
        <f>'Bookings and Drivers'!AM25</f>
        <v>788.47799999999995</v>
      </c>
      <c r="AN277" s="397">
        <f>'Bookings and Drivers'!AN25</f>
        <v>666.36</v>
      </c>
      <c r="AO277" s="396">
        <f>'Bookings and Drivers'!AO25</f>
        <v>1013.044</v>
      </c>
      <c r="AP277" s="396">
        <f>'Bookings and Drivers'!AP25</f>
        <v>1213.481</v>
      </c>
      <c r="AQ277" s="396">
        <f>'Bookings and Drivers'!AQ25</f>
        <v>1218.4499999999998</v>
      </c>
      <c r="AR277" s="397">
        <f>'Bookings and Drivers'!AR25</f>
        <v>754.69</v>
      </c>
      <c r="AS277" s="396">
        <f>'Bookings and Drivers'!AS25</f>
        <v>1034.617</v>
      </c>
      <c r="AT277" s="396">
        <f>'Bookings and Drivers'!AT25</f>
        <v>1357.8440000000001</v>
      </c>
      <c r="AU277" s="396">
        <f>'Bookings and Drivers'!AU25</f>
        <v>1646.3710000000001</v>
      </c>
      <c r="AV277" s="397">
        <f>'Bookings and Drivers'!AV25</f>
        <v>1350.971</v>
      </c>
      <c r="AW277" s="396">
        <f>'Bookings and Drivers'!AW25</f>
        <v>1818.1017999999999</v>
      </c>
      <c r="AX277" s="396">
        <f>'Bookings and Drivers'!AX25</f>
        <v>2058.8519999999999</v>
      </c>
      <c r="AY277" s="396">
        <f>'Bookings and Drivers'!AY25</f>
        <v>2593.136</v>
      </c>
      <c r="AZ277" s="397">
        <f>'Bookings and Drivers'!AZ25</f>
        <v>2092.6750000000002</v>
      </c>
      <c r="BA277" s="396">
        <f>'Bookings and Drivers'!BA25</f>
        <v>3094.3649600000003</v>
      </c>
      <c r="BB277" s="396">
        <f>'Bookings and Drivers'!BB25</f>
        <v>3980.4500499999999</v>
      </c>
      <c r="BC277" s="396">
        <f>'Bookings and Drivers'!BC25</f>
        <v>4396.692</v>
      </c>
      <c r="BD277" s="397">
        <f>'Bookings and Drivers'!BD25</f>
        <v>3365.85</v>
      </c>
      <c r="BE277" s="396">
        <f>'Bookings and Drivers'!BE25</f>
        <v>4700.2204320000001</v>
      </c>
      <c r="BF277" s="396">
        <f>'Bookings and Drivers'!BF25</f>
        <v>5126.3650850000004</v>
      </c>
      <c r="BG277" s="396">
        <f>'Bookings and Drivers'!BG25</f>
        <v>5492.3369600000005</v>
      </c>
      <c r="BH277" s="397">
        <f>'Bookings and Drivers'!BH25</f>
        <v>4631.71</v>
      </c>
      <c r="BI277" s="396">
        <f>'Bookings and Drivers'!BI25</f>
        <v>6708.3850220800005</v>
      </c>
      <c r="BJ277" s="396">
        <f>'Bookings and Drivers'!BJ25</f>
        <v>7356.5476275000001</v>
      </c>
      <c r="BK277" s="396">
        <f>'Bookings and Drivers'!BK25</f>
        <v>7785.3004928000009</v>
      </c>
      <c r="BL277" s="397">
        <f>'Bookings and Drivers'!BL25</f>
        <v>6602.5709999999999</v>
      </c>
      <c r="BM277" s="396">
        <f>'Bookings and Drivers'!BM25</f>
        <v>9259.6664887039988</v>
      </c>
      <c r="BN277" s="396">
        <f>'Bookings and Drivers'!BN25</f>
        <v>10115.21191575</v>
      </c>
      <c r="BO277" s="396">
        <f>'Bookings and Drivers'!BO25</f>
        <v>10276.262704639999</v>
      </c>
      <c r="BP277" s="397">
        <f>'Bookings and Drivers'!BP25</f>
        <v>7753.4647999999997</v>
      </c>
      <c r="BQ277" s="396">
        <f>'Bookings and Drivers'!BQ25</f>
        <v>10443.9997864448</v>
      </c>
      <c r="BR277" s="396">
        <f>'Bookings and Drivers'!BR25</f>
        <v>11211.8542989</v>
      </c>
      <c r="BS277" s="396">
        <f>'Bookings and Drivers'!BS25</f>
        <v>11273.822200576</v>
      </c>
      <c r="BT277" s="397">
        <f>'Bookings and Drivers'!BT25</f>
        <v>9055.9977799999997</v>
      </c>
      <c r="BU277" s="396">
        <f>'Bookings and Drivers'!BU25</f>
        <v>12941.726138473983</v>
      </c>
      <c r="BV277" s="396">
        <f>'Bookings and Drivers'!BV25</f>
        <v>13659.266166986999</v>
      </c>
      <c r="BW277" s="396">
        <f>'Bookings and Drivers'!BW25</f>
        <v>14373.26815628288</v>
      </c>
      <c r="BX277" s="397">
        <f>'Bookings and Drivers'!BX25</f>
        <v>11598.385905999998</v>
      </c>
      <c r="BY277" s="396">
        <f>'Bookings and Drivers'!BY25</f>
        <v>16469.210514955394</v>
      </c>
      <c r="BZ277" s="396">
        <f>'Bookings and Drivers'!BZ25</f>
        <v>16014.094192368852</v>
      </c>
      <c r="CA277" s="396">
        <f>'Bookings and Drivers'!CA25</f>
        <v>17162.050845055357</v>
      </c>
      <c r="CB277" s="397">
        <f>'Bookings and Drivers'!CB25</f>
        <v>13939.875189079999</v>
      </c>
      <c r="CC277" s="396">
        <f>'Bookings and Drivers'!CC25</f>
        <v>20259.534066943394</v>
      </c>
      <c r="CD277" s="396">
        <f>'Bookings and Drivers'!CD25</f>
        <v>19839.416289284698</v>
      </c>
      <c r="CE277" s="396">
        <f>'Bookings and Drivers'!CE25</f>
        <v>19810.211240681154</v>
      </c>
      <c r="CF277" s="397">
        <f>'Bookings and Drivers'!CF25</f>
        <v>17553.571726699396</v>
      </c>
      <c r="CG277" s="552"/>
      <c r="CH277" s="553"/>
      <c r="CI277" s="551"/>
      <c r="CJ277" s="394"/>
      <c r="CK277" s="394"/>
      <c r="CL277" s="394"/>
      <c r="CM277" s="394"/>
      <c r="CN277" s="396">
        <f>'Bookings and Drivers'!CN25</f>
        <v>2661.6410000000001</v>
      </c>
      <c r="CO277" s="396">
        <f>+SUM(AO277:AR277)</f>
        <v>4199.665</v>
      </c>
      <c r="CP277" s="396">
        <f>+SUM(AS277:AV277)</f>
        <v>5389.8029999999999</v>
      </c>
      <c r="CQ277" s="396">
        <f>+SUM(AW277:AZ277)</f>
        <v>8562.7648000000008</v>
      </c>
      <c r="CR277" s="396">
        <f>+SUM(BA277:BD277)</f>
        <v>14837.357010000002</v>
      </c>
      <c r="CS277" s="396">
        <f>+SUM(BE277:BH277)</f>
        <v>19950.632476999999</v>
      </c>
      <c r="CT277" s="396">
        <f>+SUM(BI277:BL277)</f>
        <v>28452.804142380002</v>
      </c>
      <c r="CU277" s="396">
        <f>SUM(BM277:BP277)</f>
        <v>37404.605909094003</v>
      </c>
      <c r="CV277" s="396">
        <f>SUM(BQ277:BT277)</f>
        <v>41985.674065920794</v>
      </c>
      <c r="CW277" s="396">
        <f>SUM(BU277:BX277)</f>
        <v>52572.646367743859</v>
      </c>
      <c r="CX277" s="396">
        <f>SUM(BY277:CB277)</f>
        <v>63585.2307414596</v>
      </c>
      <c r="CY277" s="396">
        <f>SUM(CC277:CF277)</f>
        <v>77462.733323608642</v>
      </c>
      <c r="CZ277" s="396">
        <f>'Bookings and Drivers'!CZ25</f>
        <v>90008.38687340969</v>
      </c>
      <c r="DA277" s="396">
        <f>'Bookings and Drivers'!DA25</f>
        <v>102451.01707138239</v>
      </c>
      <c r="DB277" s="396">
        <f>'Bookings and Drivers'!DB25</f>
        <v>114551.58423561105</v>
      </c>
      <c r="DC277" s="396">
        <f>'Bookings and Drivers'!DC25</f>
        <v>126502.75271608696</v>
      </c>
      <c r="DD277" s="396">
        <f>'Bookings and Drivers'!DD25</f>
        <v>138260.43544710946</v>
      </c>
      <c r="DE277" s="396">
        <f>'Bookings and Drivers'!DE25</f>
        <v>149701.24736258807</v>
      </c>
      <c r="DF277" s="397">
        <f>'Bookings and Drivers'!DF25</f>
        <v>162088.49879497199</v>
      </c>
      <c r="DG277" s="612"/>
      <c r="DH277" s="612"/>
    </row>
    <row r="278" spans="1:114" s="51" customFormat="1" ht="11.25" customHeight="1">
      <c r="A278" s="82"/>
      <c r="B278"/>
      <c r="C278"/>
      <c r="D278"/>
      <c r="E278"/>
      <c r="F278"/>
      <c r="G278"/>
      <c r="H278" s="1044"/>
      <c r="I278" s="193" t="s">
        <v>190</v>
      </c>
      <c r="J278" s="83"/>
      <c r="K278" s="83"/>
      <c r="L278" s="82"/>
      <c r="M278" s="336"/>
      <c r="N278" s="336"/>
      <c r="O278" s="336"/>
      <c r="P278" s="337"/>
      <c r="Q278" s="336"/>
      <c r="R278" s="336"/>
      <c r="S278" s="336"/>
      <c r="T278" s="337"/>
      <c r="U278" s="328"/>
      <c r="V278" s="328"/>
      <c r="W278" s="328"/>
      <c r="X278" s="329"/>
      <c r="Y278" s="328"/>
      <c r="Z278" s="328"/>
      <c r="AA278" s="328"/>
      <c r="AB278" s="329"/>
      <c r="AC278" s="328"/>
      <c r="AD278" s="328"/>
      <c r="AE278" s="328"/>
      <c r="AF278" s="329"/>
      <c r="AG278" s="328"/>
      <c r="AH278" s="328"/>
      <c r="AI278" s="328"/>
      <c r="AJ278" s="329"/>
      <c r="AK278" s="338">
        <f t="shared" ref="AK278:CF278" si="564">+AK238/AK277</f>
        <v>9.2172283274867775E-2</v>
      </c>
      <c r="AL278" s="338">
        <f t="shared" si="564"/>
        <v>0.13156286201617176</v>
      </c>
      <c r="AM278" s="338">
        <f t="shared" si="564"/>
        <v>0.1671574856876159</v>
      </c>
      <c r="AN278" s="339">
        <f t="shared" si="564"/>
        <v>0.15156972207215319</v>
      </c>
      <c r="AO278" s="338">
        <f t="shared" si="564"/>
        <v>9.8942395394474483E-2</v>
      </c>
      <c r="AP278" s="338">
        <f t="shared" si="564"/>
        <v>0.13266874388638966</v>
      </c>
      <c r="AQ278" s="338">
        <f t="shared" si="564"/>
        <v>0.17973819196520172</v>
      </c>
      <c r="AR278" s="339">
        <f t="shared" si="564"/>
        <v>0.16213610886589194</v>
      </c>
      <c r="AS278" s="338">
        <f t="shared" si="564"/>
        <v>0.10198706381201933</v>
      </c>
      <c r="AT278" s="338">
        <f t="shared" si="564"/>
        <v>0.13871538262127311</v>
      </c>
      <c r="AU278" s="338">
        <f t="shared" si="564"/>
        <v>0.18508878011092275</v>
      </c>
      <c r="AV278" s="339">
        <f t="shared" si="564"/>
        <v>0.15554552984483011</v>
      </c>
      <c r="AW278" s="338">
        <f t="shared" si="564"/>
        <v>0.10571450729546608</v>
      </c>
      <c r="AX278" s="338">
        <f t="shared" si="564"/>
        <v>0.14218379708692028</v>
      </c>
      <c r="AY278" s="338">
        <f t="shared" si="564"/>
        <v>0.18823568065847684</v>
      </c>
      <c r="AZ278" s="339">
        <f t="shared" si="564"/>
        <v>0.15997604740344296</v>
      </c>
      <c r="BA278" s="338">
        <f t="shared" si="564"/>
        <v>0.10601187107547907</v>
      </c>
      <c r="BB278" s="338">
        <f t="shared" si="564"/>
        <v>0.13550727183572434</v>
      </c>
      <c r="BC278" s="338">
        <f t="shared" si="564"/>
        <v>0.19720313362864625</v>
      </c>
      <c r="BD278" s="339">
        <f t="shared" si="564"/>
        <v>0.15739137216453497</v>
      </c>
      <c r="BE278" s="338">
        <f t="shared" si="564"/>
        <v>0.10951124954388096</v>
      </c>
      <c r="BF278" s="338">
        <f t="shared" si="564"/>
        <v>0.14376081231662724</v>
      </c>
      <c r="BG278" s="338">
        <f t="shared" si="564"/>
        <v>0.19923861685281596</v>
      </c>
      <c r="BH278" s="339">
        <f t="shared" si="564"/>
        <v>0.15348309803506696</v>
      </c>
      <c r="BI278" s="338">
        <f t="shared" si="564"/>
        <v>0.11141383443877811</v>
      </c>
      <c r="BJ278" s="338">
        <f t="shared" si="564"/>
        <v>0.13858496100984757</v>
      </c>
      <c r="BK278" s="338">
        <f t="shared" si="564"/>
        <v>0.19973384930923135</v>
      </c>
      <c r="BL278" s="339">
        <f t="shared" si="564"/>
        <v>0.14878452954159826</v>
      </c>
      <c r="BM278" s="338">
        <f t="shared" si="564"/>
        <v>0.11024770372749798</v>
      </c>
      <c r="BN278" s="338">
        <f t="shared" si="564"/>
        <v>0.14027691083153659</v>
      </c>
      <c r="BO278" s="338">
        <f t="shared" si="564"/>
        <v>0.20057033041420341</v>
      </c>
      <c r="BP278" s="339">
        <f t="shared" si="564"/>
        <v>0.1567485733603898</v>
      </c>
      <c r="BQ278" s="338">
        <f t="shared" si="564"/>
        <v>0.11231600777289961</v>
      </c>
      <c r="BR278" s="338">
        <f t="shared" si="564"/>
        <v>0.13581311131439741</v>
      </c>
      <c r="BS278" s="338">
        <f t="shared" si="564"/>
        <v>0.20771246164977464</v>
      </c>
      <c r="BT278" s="339">
        <f t="shared" si="564"/>
        <v>0.15038800071348959</v>
      </c>
      <c r="BU278" s="338">
        <f t="shared" si="564"/>
        <v>0.1093472842175148</v>
      </c>
      <c r="BV278" s="338">
        <f t="shared" si="564"/>
        <v>0.12885628860780135</v>
      </c>
      <c r="BW278" s="338">
        <f t="shared" si="564"/>
        <v>0.20759675240558287</v>
      </c>
      <c r="BX278" s="339">
        <f t="shared" si="564"/>
        <v>0.14678616270969941</v>
      </c>
      <c r="BY278" s="338">
        <f t="shared" si="564"/>
        <v>0.10017953657298685</v>
      </c>
      <c r="BZ278" s="338">
        <f t="shared" si="564"/>
        <v>0.13636386112393512</v>
      </c>
      <c r="CA278" s="338">
        <f t="shared" si="564"/>
        <v>0.21092921781062091</v>
      </c>
      <c r="CB278" s="339">
        <f t="shared" si="564"/>
        <v>0.14603418264136922</v>
      </c>
      <c r="CC278" s="338">
        <f t="shared" si="564"/>
        <v>0.10107979632590469</v>
      </c>
      <c r="CD278" s="338">
        <f t="shared" si="564"/>
        <v>0.13710288856623634</v>
      </c>
      <c r="CE278" s="338">
        <f t="shared" si="564"/>
        <v>0.21122128282166064</v>
      </c>
      <c r="CF278" s="339">
        <f t="shared" si="564"/>
        <v>0.14660163209958191</v>
      </c>
      <c r="CG278" s="337"/>
      <c r="CH278" s="367"/>
      <c r="CI278" s="336"/>
      <c r="CJ278" s="328"/>
      <c r="CK278" s="328"/>
      <c r="CL278" s="328"/>
      <c r="CM278" s="328"/>
      <c r="CN278" s="338">
        <f t="shared" ref="CN278:DF278" si="565">+CN238/CN277</f>
        <v>0.13792243206352772</v>
      </c>
      <c r="CO278" s="338">
        <f t="shared" si="565"/>
        <v>0.14348489700964243</v>
      </c>
      <c r="CP278" s="338">
        <f t="shared" si="565"/>
        <v>0.15004884223041176</v>
      </c>
      <c r="CQ278" s="338">
        <f t="shared" si="565"/>
        <v>0.15273498181335071</v>
      </c>
      <c r="CR278" s="338">
        <f t="shared" si="565"/>
        <v>0.15260241663173896</v>
      </c>
      <c r="CS278" s="338">
        <f t="shared" si="565"/>
        <v>0.15322182112348057</v>
      </c>
      <c r="CT278" s="338">
        <f t="shared" si="565"/>
        <v>0.15127725893879979</v>
      </c>
      <c r="CU278" s="338">
        <f t="shared" si="565"/>
        <v>0.1528219710052573</v>
      </c>
      <c r="CV278" s="338">
        <f t="shared" si="565"/>
        <v>0.152417987363209</v>
      </c>
      <c r="CW278" s="338">
        <f t="shared" si="565"/>
        <v>0.14953691404820355</v>
      </c>
      <c r="CX278" s="338">
        <f t="shared" si="565"/>
        <v>0.14923745220493953</v>
      </c>
      <c r="CY278" s="338">
        <f t="shared" si="565"/>
        <v>0.14878885444514259</v>
      </c>
      <c r="CZ278" s="338">
        <f t="shared" si="565"/>
        <v>0.1478292720053227</v>
      </c>
      <c r="DA278" s="338">
        <f t="shared" si="565"/>
        <v>0.14722836109611598</v>
      </c>
      <c r="DB278" s="338">
        <f t="shared" si="565"/>
        <v>0.14663709498595415</v>
      </c>
      <c r="DC278" s="338">
        <f t="shared" si="565"/>
        <v>0.14605211345686242</v>
      </c>
      <c r="DD278" s="338">
        <f t="shared" si="565"/>
        <v>0.14547316513502684</v>
      </c>
      <c r="DE278" s="338">
        <f t="shared" si="565"/>
        <v>0.14489798386506617</v>
      </c>
      <c r="DF278" s="339">
        <f t="shared" si="565"/>
        <v>0.14432553042946841</v>
      </c>
      <c r="DG278" s="308"/>
      <c r="DH278" s="308"/>
    </row>
    <row r="279" spans="1:114" s="61" customFormat="1" ht="11.25" customHeight="1">
      <c r="A279" s="48"/>
      <c r="B279"/>
      <c r="C279"/>
      <c r="D279"/>
      <c r="E279"/>
      <c r="F279"/>
      <c r="G279"/>
      <c r="H279" s="1047"/>
      <c r="I279" s="189" t="s">
        <v>384</v>
      </c>
      <c r="J279" s="85"/>
      <c r="K279" s="85"/>
      <c r="L279" s="60"/>
      <c r="M279" s="350"/>
      <c r="N279" s="350"/>
      <c r="O279" s="350"/>
      <c r="P279" s="351"/>
      <c r="Q279" s="350"/>
      <c r="R279" s="350"/>
      <c r="S279" s="350"/>
      <c r="T279" s="351"/>
      <c r="U279" s="352"/>
      <c r="V279" s="352"/>
      <c r="W279" s="352"/>
      <c r="X279" s="353"/>
      <c r="Y279" s="352"/>
      <c r="Z279" s="352"/>
      <c r="AA279" s="352"/>
      <c r="AB279" s="353"/>
      <c r="AC279" s="352"/>
      <c r="AD279" s="352"/>
      <c r="AE279" s="352"/>
      <c r="AF279" s="353"/>
      <c r="AG279" s="352"/>
      <c r="AH279" s="352"/>
      <c r="AI279" s="352"/>
      <c r="AJ279" s="353"/>
      <c r="AK279" s="352"/>
      <c r="AL279" s="352"/>
      <c r="AM279" s="352"/>
      <c r="AN279" s="353"/>
      <c r="AO279" s="354">
        <f t="shared" ref="AO279:CF279" si="566">+(AO278-AK278)*10000</f>
        <v>67.701121196067078</v>
      </c>
      <c r="AP279" s="354">
        <f t="shared" si="566"/>
        <v>11.058818702179007</v>
      </c>
      <c r="AQ279" s="354">
        <f t="shared" si="566"/>
        <v>125.80706277585813</v>
      </c>
      <c r="AR279" s="355">
        <f t="shared" si="566"/>
        <v>105.66386793738752</v>
      </c>
      <c r="AS279" s="354">
        <f t="shared" si="566"/>
        <v>30.446684175448464</v>
      </c>
      <c r="AT279" s="354">
        <f t="shared" si="566"/>
        <v>60.46638734883453</v>
      </c>
      <c r="AU279" s="354">
        <f t="shared" si="566"/>
        <v>53.505881457210357</v>
      </c>
      <c r="AV279" s="355">
        <f t="shared" si="566"/>
        <v>-65.905790210618321</v>
      </c>
      <c r="AW279" s="354">
        <f t="shared" si="566"/>
        <v>37.27443483446752</v>
      </c>
      <c r="AX279" s="354">
        <f t="shared" si="566"/>
        <v>34.684144656471631</v>
      </c>
      <c r="AY279" s="354">
        <f t="shared" si="566"/>
        <v>31.469005475540936</v>
      </c>
      <c r="AZ279" s="355">
        <f t="shared" si="566"/>
        <v>44.305175586128456</v>
      </c>
      <c r="BA279" s="354">
        <f t="shared" si="566"/>
        <v>2.9736378001299357</v>
      </c>
      <c r="BB279" s="354">
        <f t="shared" si="566"/>
        <v>-66.765252511959417</v>
      </c>
      <c r="BC279" s="354">
        <f t="shared" si="566"/>
        <v>89.674529701694041</v>
      </c>
      <c r="BD279" s="355">
        <f t="shared" si="566"/>
        <v>-25.846752389079853</v>
      </c>
      <c r="BE279" s="354">
        <f t="shared" si="566"/>
        <v>34.993784684018841</v>
      </c>
      <c r="BF279" s="354">
        <f t="shared" si="566"/>
        <v>82.535404809029046</v>
      </c>
      <c r="BG279" s="354">
        <f t="shared" si="566"/>
        <v>20.354832241697153</v>
      </c>
      <c r="BH279" s="355">
        <f t="shared" si="566"/>
        <v>-39.082741294680091</v>
      </c>
      <c r="BI279" s="354">
        <f t="shared" si="566"/>
        <v>19.025848948971554</v>
      </c>
      <c r="BJ279" s="354">
        <f t="shared" si="566"/>
        <v>-51.758513067796663</v>
      </c>
      <c r="BK279" s="354">
        <f t="shared" si="566"/>
        <v>4.9523245641538978</v>
      </c>
      <c r="BL279" s="355">
        <f t="shared" si="566"/>
        <v>-46.985684934686965</v>
      </c>
      <c r="BM279" s="354">
        <f t="shared" si="566"/>
        <v>-11.661307112801333</v>
      </c>
      <c r="BN279" s="354">
        <f t="shared" si="566"/>
        <v>16.919498216890204</v>
      </c>
      <c r="BO279" s="354">
        <f t="shared" si="566"/>
        <v>8.3648110497205881</v>
      </c>
      <c r="BP279" s="355">
        <f t="shared" si="566"/>
        <v>79.640438187915379</v>
      </c>
      <c r="BQ279" s="354">
        <f t="shared" si="566"/>
        <v>20.683040454016339</v>
      </c>
      <c r="BR279" s="354">
        <f t="shared" si="566"/>
        <v>-44.637995171391829</v>
      </c>
      <c r="BS279" s="354">
        <f t="shared" si="566"/>
        <v>71.421312355712246</v>
      </c>
      <c r="BT279" s="355">
        <f t="shared" si="566"/>
        <v>-63.605726469002086</v>
      </c>
      <c r="BU279" s="354">
        <f t="shared" si="566"/>
        <v>-29.68723555384814</v>
      </c>
      <c r="BV279" s="354">
        <f t="shared" si="566"/>
        <v>-69.568227065960613</v>
      </c>
      <c r="BW279" s="354">
        <f t="shared" si="566"/>
        <v>-1.1570924419176953</v>
      </c>
      <c r="BX279" s="355">
        <f t="shared" si="566"/>
        <v>-36.018380037901863</v>
      </c>
      <c r="BY279" s="354">
        <f t="shared" si="566"/>
        <v>-91.677476445279481</v>
      </c>
      <c r="BZ279" s="354">
        <f t="shared" si="566"/>
        <v>75.075725161337644</v>
      </c>
      <c r="CA279" s="354">
        <f t="shared" si="566"/>
        <v>33.324654050380374</v>
      </c>
      <c r="CB279" s="355">
        <f t="shared" si="566"/>
        <v>-7.5198006833018809</v>
      </c>
      <c r="CC279" s="354">
        <f t="shared" si="566"/>
        <v>9.0025975291783968</v>
      </c>
      <c r="CD279" s="354">
        <f t="shared" si="566"/>
        <v>7.3902744230122668</v>
      </c>
      <c r="CE279" s="354">
        <f t="shared" si="566"/>
        <v>2.920650110397327</v>
      </c>
      <c r="CF279" s="355">
        <f t="shared" si="566"/>
        <v>5.6744945821268766</v>
      </c>
      <c r="CG279" s="351"/>
      <c r="CH279" s="356"/>
      <c r="CI279" s="350"/>
      <c r="CJ279" s="352"/>
      <c r="CK279" s="352"/>
      <c r="CL279" s="352"/>
      <c r="CM279" s="352"/>
      <c r="CN279" s="352"/>
      <c r="CO279" s="354">
        <f>+(CO278-CN278)*10000</f>
        <v>55.624649461147037</v>
      </c>
      <c r="CP279" s="354">
        <f>+(CP278-CO278)*10000</f>
        <v>65.639452207693353</v>
      </c>
      <c r="CQ279" s="354">
        <f>+(CQ278-CP278)*10000</f>
        <v>26.861395829389512</v>
      </c>
      <c r="CR279" s="354">
        <f t="shared" ref="CR279:CX279" si="567">+(CR278-CQ278)*10000</f>
        <v>-1.3256518161175457</v>
      </c>
      <c r="CS279" s="354">
        <f t="shared" si="567"/>
        <v>6.1940449174160968</v>
      </c>
      <c r="CT279" s="354">
        <f t="shared" si="567"/>
        <v>-19.445621846807814</v>
      </c>
      <c r="CU279" s="354">
        <f t="shared" si="567"/>
        <v>15.447120664575099</v>
      </c>
      <c r="CV279" s="354">
        <f t="shared" si="567"/>
        <v>-4.0398364204830006</v>
      </c>
      <c r="CW279" s="354">
        <f t="shared" si="567"/>
        <v>-28.810733150054503</v>
      </c>
      <c r="CX279" s="354">
        <f t="shared" si="567"/>
        <v>-2.9946184326401504</v>
      </c>
      <c r="CY279" s="354">
        <f t="shared" ref="CY279:DF279" si="568">+(CY278-CX278)*10000</f>
        <v>-4.4859775979694261</v>
      </c>
      <c r="CZ279" s="354">
        <f t="shared" si="568"/>
        <v>-9.5958243981988929</v>
      </c>
      <c r="DA279" s="354">
        <f t="shared" si="568"/>
        <v>-6.0091090920671997</v>
      </c>
      <c r="DB279" s="354">
        <f t="shared" si="568"/>
        <v>-5.9126611016183102</v>
      </c>
      <c r="DC279" s="354">
        <f t="shared" si="568"/>
        <v>-5.8498152909172703</v>
      </c>
      <c r="DD279" s="354">
        <f t="shared" si="568"/>
        <v>-5.7894832183558176</v>
      </c>
      <c r="DE279" s="354">
        <f t="shared" si="568"/>
        <v>-5.7518126996067291</v>
      </c>
      <c r="DF279" s="355">
        <f t="shared" si="568"/>
        <v>-5.7245343559775286</v>
      </c>
    </row>
    <row r="280" spans="1:114" s="26" customFormat="1" ht="11.25" customHeight="1">
      <c r="A280" s="24"/>
      <c r="B280"/>
      <c r="C280"/>
      <c r="D280"/>
      <c r="E280"/>
      <c r="F280"/>
      <c r="G280"/>
      <c r="H280" s="1047"/>
      <c r="I280" s="160"/>
      <c r="J280" s="24"/>
      <c r="K280" s="24"/>
      <c r="L280" s="24"/>
      <c r="M280" s="315"/>
      <c r="N280" s="315"/>
      <c r="O280" s="315"/>
      <c r="P280" s="316"/>
      <c r="Q280" s="315"/>
      <c r="R280" s="315"/>
      <c r="S280" s="315"/>
      <c r="T280" s="316"/>
      <c r="U280" s="326"/>
      <c r="V280" s="326"/>
      <c r="W280" s="326"/>
      <c r="X280" s="327"/>
      <c r="Y280" s="326"/>
      <c r="Z280" s="326"/>
      <c r="AA280" s="326"/>
      <c r="AB280" s="327"/>
      <c r="AC280" s="326"/>
      <c r="AD280" s="326"/>
      <c r="AE280" s="326"/>
      <c r="AF280" s="327"/>
      <c r="AG280" s="326"/>
      <c r="AH280" s="326"/>
      <c r="AI280" s="326"/>
      <c r="AJ280" s="327"/>
      <c r="AK280" s="326"/>
      <c r="AL280" s="326"/>
      <c r="AM280" s="326"/>
      <c r="AN280" s="327"/>
      <c r="AO280" s="326"/>
      <c r="AP280" s="326"/>
      <c r="AQ280" s="326"/>
      <c r="AR280" s="327"/>
      <c r="AS280" s="326"/>
      <c r="AT280" s="326"/>
      <c r="AU280" s="326"/>
      <c r="AV280" s="327"/>
      <c r="AW280" s="358"/>
      <c r="AX280" s="358"/>
      <c r="AY280" s="358"/>
      <c r="AZ280" s="327"/>
      <c r="BA280" s="326"/>
      <c r="BB280" s="326"/>
      <c r="BC280" s="326"/>
      <c r="BD280" s="327"/>
      <c r="BE280" s="326"/>
      <c r="BF280" s="326"/>
      <c r="BG280" s="326"/>
      <c r="BH280" s="327"/>
      <c r="BI280" s="326"/>
      <c r="BJ280" s="326"/>
      <c r="BK280" s="326"/>
      <c r="BL280" s="327"/>
      <c r="BM280" s="326"/>
      <c r="BN280" s="326"/>
      <c r="BO280" s="326"/>
      <c r="BP280" s="327"/>
      <c r="BQ280" s="326"/>
      <c r="BR280" s="326"/>
      <c r="BS280" s="326"/>
      <c r="BT280" s="327"/>
      <c r="BU280" s="326"/>
      <c r="BV280" s="326"/>
      <c r="BW280" s="326"/>
      <c r="BX280" s="327"/>
      <c r="BY280" s="326"/>
      <c r="BZ280" s="326"/>
      <c r="CA280" s="326"/>
      <c r="CB280" s="327"/>
      <c r="CC280" s="326"/>
      <c r="CD280" s="326"/>
      <c r="CE280" s="326"/>
      <c r="CF280" s="327"/>
      <c r="CG280" s="316"/>
      <c r="CH280" s="320"/>
      <c r="CI280" s="315"/>
      <c r="CJ280" s="326"/>
      <c r="CK280" s="326"/>
      <c r="CL280" s="326"/>
      <c r="CM280" s="326"/>
      <c r="CN280" s="326"/>
      <c r="CO280" s="326"/>
      <c r="CP280" s="326"/>
      <c r="CQ280" s="326"/>
      <c r="CR280" s="441"/>
      <c r="CS280" s="326"/>
      <c r="CT280" s="326"/>
      <c r="CU280" s="326"/>
      <c r="CV280" s="326"/>
      <c r="CW280" s="326"/>
      <c r="CX280" s="326"/>
      <c r="CY280" s="326"/>
      <c r="CZ280" s="326"/>
      <c r="DA280" s="326"/>
      <c r="DB280" s="326"/>
      <c r="DC280" s="326"/>
      <c r="DD280" s="326"/>
      <c r="DE280" s="326"/>
      <c r="DF280" s="327"/>
      <c r="DG280" s="94"/>
      <c r="DH280" s="94"/>
    </row>
    <row r="281" spans="1:114" s="51" customFormat="1" ht="11.25" customHeight="1">
      <c r="A281" s="82"/>
      <c r="B281"/>
      <c r="C281"/>
      <c r="D281"/>
      <c r="E281"/>
      <c r="F281"/>
      <c r="G281"/>
      <c r="H281" s="1047"/>
      <c r="I281" s="193" t="s">
        <v>196</v>
      </c>
      <c r="J281" s="83"/>
      <c r="K281" s="83"/>
      <c r="L281" s="82"/>
      <c r="M281" s="336"/>
      <c r="N281" s="336"/>
      <c r="O281" s="336"/>
      <c r="P281" s="337"/>
      <c r="Q281" s="336"/>
      <c r="R281" s="336"/>
      <c r="S281" s="336"/>
      <c r="T281" s="337"/>
      <c r="U281" s="328"/>
      <c r="V281" s="328"/>
      <c r="W281" s="328"/>
      <c r="X281" s="329"/>
      <c r="Y281" s="328"/>
      <c r="Z281" s="328"/>
      <c r="AA281" s="328"/>
      <c r="AB281" s="329"/>
      <c r="AC281" s="328"/>
      <c r="AD281" s="328"/>
      <c r="AE281" s="328"/>
      <c r="AF281" s="329"/>
      <c r="AG281" s="328"/>
      <c r="AH281" s="328"/>
      <c r="AI281" s="328"/>
      <c r="AJ281" s="329"/>
      <c r="AK281" s="328">
        <v>1</v>
      </c>
      <c r="AL281" s="328">
        <v>1</v>
      </c>
      <c r="AM281" s="328">
        <v>1</v>
      </c>
      <c r="AN281" s="329">
        <v>1</v>
      </c>
      <c r="AO281" s="328">
        <v>1</v>
      </c>
      <c r="AP281" s="328">
        <v>1</v>
      </c>
      <c r="AQ281" s="328">
        <v>1</v>
      </c>
      <c r="AR281" s="329">
        <v>1</v>
      </c>
      <c r="AS281" s="328">
        <v>1</v>
      </c>
      <c r="AT281" s="328">
        <v>1</v>
      </c>
      <c r="AU281" s="328">
        <v>1</v>
      </c>
      <c r="AV281" s="329">
        <v>1</v>
      </c>
      <c r="AW281" s="328">
        <v>1</v>
      </c>
      <c r="AX281" s="328">
        <v>1</v>
      </c>
      <c r="AY281" s="328">
        <v>1</v>
      </c>
      <c r="AZ281" s="329">
        <v>1</v>
      </c>
      <c r="BA281" s="328">
        <v>1</v>
      </c>
      <c r="BB281" s="328">
        <v>1</v>
      </c>
      <c r="BC281" s="328">
        <v>1</v>
      </c>
      <c r="BD281" s="329">
        <v>1</v>
      </c>
      <c r="BE281" s="328">
        <v>1</v>
      </c>
      <c r="BF281" s="328">
        <v>1</v>
      </c>
      <c r="BG281" s="328">
        <v>1</v>
      </c>
      <c r="BH281" s="329">
        <v>1</v>
      </c>
      <c r="BI281" s="328">
        <v>1</v>
      </c>
      <c r="BJ281" s="328">
        <v>1</v>
      </c>
      <c r="BK281" s="328">
        <v>1</v>
      </c>
      <c r="BL281" s="329">
        <v>1</v>
      </c>
      <c r="BM281" s="328">
        <v>1</v>
      </c>
      <c r="BN281" s="328">
        <v>1</v>
      </c>
      <c r="BO281" s="328">
        <v>1</v>
      </c>
      <c r="BP281" s="329">
        <v>1</v>
      </c>
      <c r="BQ281" s="328">
        <v>1</v>
      </c>
      <c r="BR281" s="328">
        <v>1</v>
      </c>
      <c r="BS281" s="328">
        <v>1</v>
      </c>
      <c r="BT281" s="329">
        <v>1</v>
      </c>
      <c r="BU281" s="328">
        <v>1</v>
      </c>
      <c r="BV281" s="328">
        <v>1</v>
      </c>
      <c r="BW281" s="328">
        <v>1</v>
      </c>
      <c r="BX281" s="329">
        <v>1</v>
      </c>
      <c r="BY281" s="328">
        <v>1</v>
      </c>
      <c r="BZ281" s="328">
        <v>1</v>
      </c>
      <c r="CA281" s="328">
        <v>1</v>
      </c>
      <c r="CB281" s="329">
        <v>1</v>
      </c>
      <c r="CC281" s="328">
        <v>1</v>
      </c>
      <c r="CD281" s="328">
        <v>1</v>
      </c>
      <c r="CE281" s="328">
        <v>1</v>
      </c>
      <c r="CF281" s="329">
        <v>1</v>
      </c>
      <c r="CG281" s="337"/>
      <c r="CH281" s="367"/>
      <c r="CI281" s="336"/>
      <c r="CJ281" s="328"/>
      <c r="CK281" s="328"/>
      <c r="CL281" s="328"/>
      <c r="CM281" s="328"/>
      <c r="CN281" s="328">
        <v>1</v>
      </c>
      <c r="CO281" s="328">
        <v>1</v>
      </c>
      <c r="CP281" s="328">
        <v>1</v>
      </c>
      <c r="CQ281" s="328"/>
      <c r="CR281" s="328"/>
      <c r="CS281" s="328"/>
      <c r="CT281" s="328"/>
      <c r="CU281" s="328"/>
      <c r="CV281" s="328"/>
      <c r="CW281" s="328"/>
      <c r="CX281" s="328"/>
      <c r="CY281" s="328"/>
      <c r="CZ281" s="328"/>
      <c r="DA281" s="328"/>
      <c r="DB281" s="328"/>
      <c r="DC281" s="328"/>
      <c r="DD281" s="328"/>
      <c r="DE281" s="328"/>
      <c r="DF281" s="329"/>
      <c r="DG281" s="308"/>
      <c r="DH281" s="308"/>
    </row>
    <row r="282" spans="1:114" s="51" customFormat="1" ht="11.25" customHeight="1">
      <c r="A282" s="82"/>
      <c r="B282"/>
      <c r="C282"/>
      <c r="D282"/>
      <c r="E282"/>
      <c r="F282"/>
      <c r="G282"/>
      <c r="H282" s="1044"/>
      <c r="I282" s="193" t="s">
        <v>197</v>
      </c>
      <c r="J282" s="83"/>
      <c r="K282" s="83"/>
      <c r="L282" s="82"/>
      <c r="M282" s="336"/>
      <c r="N282" s="336"/>
      <c r="O282" s="336"/>
      <c r="P282" s="337"/>
      <c r="Q282" s="336"/>
      <c r="R282" s="336"/>
      <c r="S282" s="336"/>
      <c r="T282" s="337"/>
      <c r="U282" s="328"/>
      <c r="V282" s="328"/>
      <c r="W282" s="328"/>
      <c r="X282" s="329"/>
      <c r="Y282" s="328"/>
      <c r="Z282" s="328"/>
      <c r="AA282" s="328"/>
      <c r="AB282" s="329"/>
      <c r="AC282" s="328"/>
      <c r="AD282" s="328"/>
      <c r="AE282" s="328"/>
      <c r="AF282" s="329"/>
      <c r="AG282" s="328"/>
      <c r="AH282" s="328"/>
      <c r="AI282" s="328"/>
      <c r="AJ282" s="329"/>
      <c r="AK282" s="328">
        <v>1</v>
      </c>
      <c r="AL282" s="328">
        <v>1</v>
      </c>
      <c r="AM282" s="328">
        <v>1</v>
      </c>
      <c r="AN282" s="329">
        <v>1</v>
      </c>
      <c r="AO282" s="328">
        <v>1</v>
      </c>
      <c r="AP282" s="328">
        <v>1</v>
      </c>
      <c r="AQ282" s="328">
        <v>1</v>
      </c>
      <c r="AR282" s="329">
        <v>1</v>
      </c>
      <c r="AS282" s="328">
        <v>1</v>
      </c>
      <c r="AT282" s="328">
        <v>1</v>
      </c>
      <c r="AU282" s="328">
        <v>1</v>
      </c>
      <c r="AV282" s="329">
        <v>1</v>
      </c>
      <c r="AW282" s="328">
        <v>1</v>
      </c>
      <c r="AX282" s="328">
        <v>1</v>
      </c>
      <c r="AY282" s="328">
        <v>1</v>
      </c>
      <c r="AZ282" s="329">
        <v>1</v>
      </c>
      <c r="BA282" s="328">
        <v>1</v>
      </c>
      <c r="BB282" s="328">
        <v>1</v>
      </c>
      <c r="BC282" s="328">
        <v>1</v>
      </c>
      <c r="BD282" s="329">
        <v>1</v>
      </c>
      <c r="BE282" s="328">
        <v>1</v>
      </c>
      <c r="BF282" s="328">
        <v>1</v>
      </c>
      <c r="BG282" s="328">
        <v>1</v>
      </c>
      <c r="BH282" s="329">
        <v>1</v>
      </c>
      <c r="BI282" s="328">
        <v>1</v>
      </c>
      <c r="BJ282" s="328">
        <v>1</v>
      </c>
      <c r="BK282" s="328">
        <v>1</v>
      </c>
      <c r="BL282" s="329">
        <v>1</v>
      </c>
      <c r="BM282" s="328">
        <v>1</v>
      </c>
      <c r="BN282" s="328">
        <v>1</v>
      </c>
      <c r="BO282" s="328">
        <v>1</v>
      </c>
      <c r="BP282" s="329">
        <v>1</v>
      </c>
      <c r="BQ282" s="328">
        <v>1</v>
      </c>
      <c r="BR282" s="328">
        <v>1</v>
      </c>
      <c r="BS282" s="328">
        <v>1</v>
      </c>
      <c r="BT282" s="329">
        <v>1</v>
      </c>
      <c r="BU282" s="328">
        <v>1</v>
      </c>
      <c r="BV282" s="328">
        <v>1</v>
      </c>
      <c r="BW282" s="328">
        <v>1</v>
      </c>
      <c r="BX282" s="329">
        <v>1</v>
      </c>
      <c r="BY282" s="328">
        <v>1</v>
      </c>
      <c r="BZ282" s="328">
        <v>1</v>
      </c>
      <c r="CA282" s="328">
        <v>1</v>
      </c>
      <c r="CB282" s="329">
        <v>1</v>
      </c>
      <c r="CC282" s="328">
        <v>1</v>
      </c>
      <c r="CD282" s="328">
        <v>1</v>
      </c>
      <c r="CE282" s="328">
        <v>1</v>
      </c>
      <c r="CF282" s="329">
        <v>1</v>
      </c>
      <c r="CG282" s="337"/>
      <c r="CH282" s="367"/>
      <c r="CI282" s="336"/>
      <c r="CJ282" s="328"/>
      <c r="CK282" s="328"/>
      <c r="CL282" s="328"/>
      <c r="CM282" s="328"/>
      <c r="CN282" s="328">
        <v>1</v>
      </c>
      <c r="CO282" s="328">
        <v>1</v>
      </c>
      <c r="CP282" s="328">
        <v>1</v>
      </c>
      <c r="CQ282" s="328"/>
      <c r="CR282" s="328"/>
      <c r="CS282" s="328"/>
      <c r="CT282" s="328"/>
      <c r="CU282" s="328"/>
      <c r="CV282" s="328"/>
      <c r="CW282" s="328"/>
      <c r="CX282" s="328"/>
      <c r="CY282" s="328"/>
      <c r="CZ282" s="328"/>
      <c r="DA282" s="328"/>
      <c r="DB282" s="328"/>
      <c r="DC282" s="328"/>
      <c r="DD282" s="328"/>
      <c r="DE282" s="328"/>
      <c r="DF282" s="329"/>
      <c r="DG282" s="308"/>
      <c r="DH282" s="308"/>
    </row>
    <row r="283" spans="1:114" s="282" customFormat="1" ht="11.25" customHeight="1">
      <c r="A283" s="91"/>
      <c r="B283"/>
      <c r="C283"/>
      <c r="D283"/>
      <c r="E283"/>
      <c r="F283"/>
      <c r="G283"/>
      <c r="H283" s="1052"/>
      <c r="I283" s="200" t="s">
        <v>198</v>
      </c>
      <c r="J283" s="90"/>
      <c r="K283" s="90"/>
      <c r="L283" s="91"/>
      <c r="M283" s="343"/>
      <c r="N283" s="343"/>
      <c r="O283" s="343"/>
      <c r="P283" s="344"/>
      <c r="Q283" s="343"/>
      <c r="R283" s="343"/>
      <c r="S283" s="343"/>
      <c r="T283" s="344"/>
      <c r="U283" s="345"/>
      <c r="V283" s="345"/>
      <c r="W283" s="345"/>
      <c r="X283" s="346"/>
      <c r="Y283" s="345"/>
      <c r="Z283" s="345"/>
      <c r="AA283" s="345"/>
      <c r="AB283" s="346"/>
      <c r="AC283" s="345"/>
      <c r="AD283" s="345"/>
      <c r="AE283" s="345"/>
      <c r="AF283" s="346"/>
      <c r="AG283" s="345"/>
      <c r="AH283" s="345"/>
      <c r="AI283" s="345"/>
      <c r="AJ283" s="346"/>
      <c r="AK283" s="347">
        <f t="shared" ref="AK283:CF283" si="569">+AK241/AK206</f>
        <v>1</v>
      </c>
      <c r="AL283" s="347">
        <f t="shared" si="569"/>
        <v>1</v>
      </c>
      <c r="AM283" s="347">
        <f t="shared" si="569"/>
        <v>1</v>
      </c>
      <c r="AN283" s="348">
        <f t="shared" si="569"/>
        <v>1.0039024390243902</v>
      </c>
      <c r="AO283" s="347">
        <f t="shared" si="569"/>
        <v>1.000346941135654</v>
      </c>
      <c r="AP283" s="347">
        <f t="shared" si="569"/>
        <v>1</v>
      </c>
      <c r="AQ283" s="347">
        <f t="shared" si="569"/>
        <v>1</v>
      </c>
      <c r="AR283" s="348">
        <f t="shared" si="569"/>
        <v>0.99971838918614497</v>
      </c>
      <c r="AS283" s="347">
        <f t="shared" si="569"/>
        <v>0.99389179755671908</v>
      </c>
      <c r="AT283" s="347">
        <f t="shared" si="569"/>
        <v>0.99493927125506076</v>
      </c>
      <c r="AU283" s="347">
        <f t="shared" si="569"/>
        <v>0.99715998737772171</v>
      </c>
      <c r="AV283" s="348">
        <f t="shared" si="569"/>
        <v>0.99641094661283081</v>
      </c>
      <c r="AW283" s="347">
        <f t="shared" si="569"/>
        <v>0.99629286376274317</v>
      </c>
      <c r="AX283" s="347">
        <f t="shared" si="569"/>
        <v>0.99814011159330429</v>
      </c>
      <c r="AY283" s="347">
        <f t="shared" si="569"/>
        <v>1</v>
      </c>
      <c r="AZ283" s="348">
        <f t="shared" si="569"/>
        <v>1</v>
      </c>
      <c r="BA283" s="347">
        <f t="shared" si="569"/>
        <v>1</v>
      </c>
      <c r="BB283" s="347">
        <f t="shared" si="569"/>
        <v>1</v>
      </c>
      <c r="BC283" s="347">
        <f t="shared" si="569"/>
        <v>1</v>
      </c>
      <c r="BD283" s="348">
        <f t="shared" si="569"/>
        <v>1</v>
      </c>
      <c r="BE283" s="347">
        <f t="shared" si="569"/>
        <v>1</v>
      </c>
      <c r="BF283" s="347">
        <f t="shared" si="569"/>
        <v>1</v>
      </c>
      <c r="BG283" s="347">
        <f t="shared" si="569"/>
        <v>1</v>
      </c>
      <c r="BH283" s="348">
        <f t="shared" si="569"/>
        <v>1</v>
      </c>
      <c r="BI283" s="347">
        <f t="shared" si="569"/>
        <v>1</v>
      </c>
      <c r="BJ283" s="347">
        <f t="shared" si="569"/>
        <v>1</v>
      </c>
      <c r="BK283" s="347">
        <f t="shared" si="569"/>
        <v>0.97499999999999998</v>
      </c>
      <c r="BL283" s="348">
        <f t="shared" si="569"/>
        <v>1</v>
      </c>
      <c r="BM283" s="347">
        <f t="shared" si="569"/>
        <v>1</v>
      </c>
      <c r="BN283" s="347">
        <f t="shared" si="569"/>
        <v>1</v>
      </c>
      <c r="BO283" s="347">
        <f t="shared" si="569"/>
        <v>1.008695652173913</v>
      </c>
      <c r="BP283" s="348">
        <f t="shared" si="569"/>
        <v>1</v>
      </c>
      <c r="BQ283" s="347">
        <f t="shared" si="569"/>
        <v>1</v>
      </c>
      <c r="BR283" s="347">
        <f t="shared" si="569"/>
        <v>1</v>
      </c>
      <c r="BS283" s="347">
        <f t="shared" si="569"/>
        <v>1</v>
      </c>
      <c r="BT283" s="348">
        <f t="shared" si="569"/>
        <v>1</v>
      </c>
      <c r="BU283" s="347">
        <f t="shared" si="569"/>
        <v>1</v>
      </c>
      <c r="BV283" s="347">
        <f t="shared" si="569"/>
        <v>1</v>
      </c>
      <c r="BW283" s="347">
        <f t="shared" si="569"/>
        <v>1</v>
      </c>
      <c r="BX283" s="348">
        <f t="shared" si="569"/>
        <v>1</v>
      </c>
      <c r="BY283" s="347">
        <f t="shared" si="569"/>
        <v>1</v>
      </c>
      <c r="BZ283" s="347">
        <f t="shared" si="569"/>
        <v>1</v>
      </c>
      <c r="CA283" s="347">
        <f t="shared" si="569"/>
        <v>1</v>
      </c>
      <c r="CB283" s="348">
        <f t="shared" si="569"/>
        <v>1</v>
      </c>
      <c r="CC283" s="347">
        <f t="shared" si="569"/>
        <v>1</v>
      </c>
      <c r="CD283" s="347">
        <f t="shared" si="569"/>
        <v>1</v>
      </c>
      <c r="CE283" s="347">
        <f t="shared" si="569"/>
        <v>1</v>
      </c>
      <c r="CF283" s="348">
        <f t="shared" si="569"/>
        <v>1</v>
      </c>
      <c r="CG283" s="344"/>
      <c r="CH283" s="349"/>
      <c r="CI283" s="343"/>
      <c r="CJ283" s="345"/>
      <c r="CK283" s="345"/>
      <c r="CL283" s="345"/>
      <c r="CM283" s="345"/>
      <c r="CN283" s="347">
        <f t="shared" ref="CN283:DF283" si="570">+CN241/CN206</f>
        <v>0.99033816425120769</v>
      </c>
      <c r="CO283" s="347">
        <f t="shared" si="570"/>
        <v>1</v>
      </c>
      <c r="CP283" s="347">
        <f t="shared" si="570"/>
        <v>0.99600938967136166</v>
      </c>
      <c r="CQ283" s="347">
        <f t="shared" si="570"/>
        <v>0.99958379578246381</v>
      </c>
      <c r="CR283" s="347">
        <f t="shared" si="570"/>
        <v>1</v>
      </c>
      <c r="CS283" s="347">
        <f t="shared" si="570"/>
        <v>1.0000000000000002</v>
      </c>
      <c r="CT283" s="347">
        <f t="shared" si="570"/>
        <v>0.99107850911974626</v>
      </c>
      <c r="CU283" s="347">
        <f t="shared" si="570"/>
        <v>1.0030349013657056</v>
      </c>
      <c r="CV283" s="347">
        <f t="shared" si="570"/>
        <v>1</v>
      </c>
      <c r="CW283" s="347">
        <f t="shared" si="570"/>
        <v>1</v>
      </c>
      <c r="CX283" s="347">
        <f t="shared" si="570"/>
        <v>1</v>
      </c>
      <c r="CY283" s="347">
        <f t="shared" si="570"/>
        <v>1</v>
      </c>
      <c r="CZ283" s="347">
        <f t="shared" si="570"/>
        <v>1</v>
      </c>
      <c r="DA283" s="347">
        <f t="shared" si="570"/>
        <v>1</v>
      </c>
      <c r="DB283" s="347">
        <f t="shared" si="570"/>
        <v>1</v>
      </c>
      <c r="DC283" s="347">
        <f t="shared" si="570"/>
        <v>1</v>
      </c>
      <c r="DD283" s="347">
        <f t="shared" si="570"/>
        <v>1</v>
      </c>
      <c r="DE283" s="347">
        <f t="shared" si="570"/>
        <v>1</v>
      </c>
      <c r="DF283" s="348">
        <f t="shared" si="570"/>
        <v>1.0000000000000002</v>
      </c>
      <c r="DG283" s="1469"/>
      <c r="DH283" s="1469"/>
    </row>
    <row r="284" spans="1:114" s="68" customFormat="1" ht="11.25" customHeight="1">
      <c r="A284" s="24"/>
      <c r="B284"/>
      <c r="C284"/>
      <c r="D284"/>
      <c r="E284"/>
      <c r="F284"/>
      <c r="G284"/>
      <c r="H284" s="1044"/>
      <c r="I284" s="664"/>
      <c r="J284" s="665"/>
      <c r="K284" s="665"/>
      <c r="L284" s="665"/>
      <c r="M284" s="666"/>
      <c r="N284" s="666"/>
      <c r="O284" s="666"/>
      <c r="P284" s="667"/>
      <c r="Q284" s="666"/>
      <c r="R284" s="666"/>
      <c r="S284" s="666"/>
      <c r="T284" s="667"/>
      <c r="U284" s="668"/>
      <c r="V284" s="668"/>
      <c r="W284" s="668"/>
      <c r="X284" s="669"/>
      <c r="Y284" s="668"/>
      <c r="Z284" s="668"/>
      <c r="AA284" s="668"/>
      <c r="AB284" s="669"/>
      <c r="AC284" s="668"/>
      <c r="AD284" s="668"/>
      <c r="AE284" s="668"/>
      <c r="AF284" s="669"/>
      <c r="AG284" s="668"/>
      <c r="AH284" s="668"/>
      <c r="AI284" s="668"/>
      <c r="AJ284" s="669"/>
      <c r="AK284" s="668"/>
      <c r="AL284" s="668"/>
      <c r="AM284" s="668"/>
      <c r="AN284" s="669"/>
      <c r="AO284" s="668"/>
      <c r="AP284" s="668"/>
      <c r="AQ284" s="668"/>
      <c r="AR284" s="669"/>
      <c r="AS284" s="668"/>
      <c r="AT284" s="668"/>
      <c r="AU284" s="668"/>
      <c r="AV284" s="669"/>
      <c r="AW284" s="668"/>
      <c r="AX284" s="668"/>
      <c r="AY284" s="668"/>
      <c r="AZ284" s="669"/>
      <c r="BA284" s="670"/>
      <c r="BB284" s="670"/>
      <c r="BC284" s="670"/>
      <c r="BD284" s="671"/>
      <c r="BE284" s="666"/>
      <c r="BF284" s="666"/>
      <c r="BG284" s="666"/>
      <c r="BH284" s="672"/>
      <c r="BI284" s="673"/>
      <c r="BJ284" s="673"/>
      <c r="BK284" s="673"/>
      <c r="BL284" s="674"/>
      <c r="BM284" s="673"/>
      <c r="BN284" s="673"/>
      <c r="BO284" s="673"/>
      <c r="BP284" s="663"/>
      <c r="BQ284" s="662"/>
      <c r="BR284" s="662"/>
      <c r="BS284" s="662"/>
      <c r="BT284" s="663"/>
      <c r="BU284" s="662"/>
      <c r="BV284" s="662"/>
      <c r="BW284" s="662"/>
      <c r="BX284" s="663"/>
      <c r="BY284" s="662"/>
      <c r="BZ284" s="662"/>
      <c r="CA284" s="662"/>
      <c r="CB284" s="663"/>
      <c r="CC284" s="662"/>
      <c r="CD284" s="662"/>
      <c r="CE284" s="662"/>
      <c r="CF284" s="663"/>
      <c r="CG284" s="405"/>
      <c r="CH284" s="675"/>
      <c r="CI284" s="666"/>
      <c r="CJ284" s="668"/>
      <c r="CK284" s="668"/>
      <c r="CL284" s="668"/>
      <c r="CM284" s="668"/>
      <c r="CN284" s="668"/>
      <c r="CO284" s="668"/>
      <c r="CP284" s="668"/>
      <c r="CQ284" s="662"/>
      <c r="CR284" s="662"/>
      <c r="CS284" s="662"/>
      <c r="CT284" s="668"/>
      <c r="CU284" s="662"/>
      <c r="CV284" s="676"/>
      <c r="CW284" s="662"/>
      <c r="CX284" s="662"/>
      <c r="CY284" s="662"/>
      <c r="CZ284" s="662"/>
      <c r="DA284" s="662"/>
      <c r="DB284" s="662"/>
      <c r="DC284" s="662"/>
      <c r="DD284" s="662"/>
      <c r="DE284" s="662"/>
      <c r="DF284" s="663"/>
      <c r="DG284" s="1180"/>
      <c r="DH284" s="1180"/>
    </row>
    <row r="285" spans="1:114" ht="11.25" customHeight="1">
      <c r="I285" s="70"/>
      <c r="J285" s="70"/>
      <c r="K285" s="70"/>
      <c r="M285" s="315"/>
      <c r="N285" s="315"/>
      <c r="O285" s="315"/>
      <c r="P285" s="315"/>
      <c r="Q285" s="315"/>
      <c r="R285" s="315"/>
      <c r="S285" s="315"/>
      <c r="T285" s="315"/>
      <c r="U285" s="328"/>
      <c r="V285" s="328"/>
      <c r="W285" s="328"/>
      <c r="X285" s="328"/>
      <c r="Y285" s="328"/>
      <c r="Z285" s="328"/>
      <c r="AA285" s="328"/>
      <c r="AB285" s="328"/>
      <c r="AC285" s="328"/>
      <c r="AD285" s="328"/>
      <c r="AE285" s="328"/>
      <c r="AF285" s="328"/>
      <c r="AG285" s="328"/>
      <c r="AH285" s="328"/>
      <c r="AI285" s="328"/>
      <c r="AJ285" s="328"/>
      <c r="AK285" s="328"/>
      <c r="AL285" s="328"/>
      <c r="AM285" s="328"/>
      <c r="AN285" s="328"/>
      <c r="AO285" s="328"/>
      <c r="AP285" s="328"/>
      <c r="AQ285" s="328"/>
      <c r="AR285" s="328"/>
      <c r="AS285" s="328"/>
      <c r="AT285" s="328"/>
      <c r="AU285" s="328"/>
      <c r="AV285" s="328"/>
      <c r="AW285" s="328"/>
      <c r="AX285" s="328"/>
      <c r="AY285" s="328"/>
      <c r="AZ285" s="328"/>
      <c r="BA285" s="328"/>
      <c r="BB285" s="328"/>
      <c r="BC285" s="328"/>
      <c r="BD285" s="328"/>
      <c r="BE285" s="328"/>
      <c r="BF285" s="328"/>
      <c r="BG285" s="328"/>
      <c r="BH285" s="328"/>
      <c r="BI285" s="328"/>
      <c r="BJ285" s="328"/>
      <c r="BK285" s="328"/>
      <c r="BL285" s="328"/>
      <c r="BM285" s="328"/>
      <c r="BN285" s="328"/>
      <c r="BO285" s="328"/>
      <c r="BP285" s="328"/>
      <c r="BQ285" s="328"/>
      <c r="BR285" s="328"/>
      <c r="BS285" s="328"/>
      <c r="BT285" s="328"/>
      <c r="BU285" s="328"/>
      <c r="BV285" s="328"/>
      <c r="BW285" s="328"/>
      <c r="BX285" s="328"/>
      <c r="BY285" s="328"/>
      <c r="BZ285" s="328"/>
      <c r="CA285" s="328"/>
      <c r="CB285" s="328"/>
      <c r="CC285" s="328"/>
      <c r="CD285" s="328"/>
      <c r="CE285" s="328"/>
      <c r="CF285" s="328"/>
      <c r="CG285" s="315"/>
      <c r="CH285" s="315"/>
      <c r="CI285" s="315"/>
      <c r="CJ285" s="328"/>
      <c r="CK285" s="328"/>
      <c r="CL285" s="328"/>
      <c r="CM285" s="328"/>
      <c r="CN285" s="328"/>
      <c r="CO285" s="328"/>
      <c r="CP285" s="328"/>
      <c r="CQ285" s="328"/>
      <c r="CR285" s="328"/>
      <c r="CS285" s="328"/>
      <c r="CT285" s="328"/>
      <c r="CU285" s="328"/>
      <c r="CV285" s="328"/>
      <c r="CW285" s="328"/>
      <c r="CX285" s="328"/>
      <c r="CY285" s="328"/>
      <c r="CZ285" s="328"/>
      <c r="DA285" s="328"/>
      <c r="DB285" s="328"/>
      <c r="DC285" s="328"/>
      <c r="DD285" s="328"/>
      <c r="DE285" s="328"/>
      <c r="DF285" s="328"/>
    </row>
    <row r="286" spans="1:114" customFormat="1" ht="11.25" customHeight="1">
      <c r="A286" s="10"/>
      <c r="H286" s="1054"/>
      <c r="I286" s="659" t="s">
        <v>199</v>
      </c>
      <c r="J286" s="660"/>
      <c r="K286" s="660"/>
      <c r="L286" s="660"/>
      <c r="M286" s="660"/>
      <c r="N286" s="660"/>
      <c r="O286" s="660"/>
      <c r="P286" s="660"/>
      <c r="Q286" s="660"/>
      <c r="R286" s="660"/>
      <c r="S286" s="660"/>
      <c r="T286" s="660"/>
      <c r="U286" s="659"/>
      <c r="V286" s="660"/>
      <c r="W286" s="660"/>
      <c r="X286" s="661"/>
      <c r="Y286" s="659"/>
      <c r="Z286" s="660"/>
      <c r="AA286" s="660"/>
      <c r="AB286" s="661"/>
      <c r="AC286" s="659"/>
      <c r="AD286" s="660"/>
      <c r="AE286" s="660"/>
      <c r="AF286" s="661"/>
      <c r="AG286" s="659"/>
      <c r="AH286" s="660"/>
      <c r="AI286" s="660"/>
      <c r="AJ286" s="661"/>
      <c r="AK286" s="659"/>
      <c r="AL286" s="660"/>
      <c r="AM286" s="660"/>
      <c r="AN286" s="661"/>
      <c r="AO286" s="659"/>
      <c r="AP286" s="660"/>
      <c r="AQ286" s="660"/>
      <c r="AR286" s="661"/>
      <c r="AS286" s="659"/>
      <c r="AT286" s="660"/>
      <c r="AU286" s="660"/>
      <c r="AV286" s="661"/>
      <c r="AW286" s="659"/>
      <c r="AX286" s="660"/>
      <c r="AY286" s="660"/>
      <c r="AZ286" s="661"/>
      <c r="BA286" s="659"/>
      <c r="BB286" s="660"/>
      <c r="BC286" s="660"/>
      <c r="BD286" s="661"/>
      <c r="BE286" s="659"/>
      <c r="BF286" s="660"/>
      <c r="BG286" s="660"/>
      <c r="BH286" s="661"/>
      <c r="BI286" s="659"/>
      <c r="BJ286" s="660"/>
      <c r="BK286" s="660"/>
      <c r="BL286" s="661"/>
      <c r="BM286" s="659"/>
      <c r="BN286" s="660"/>
      <c r="BO286" s="660"/>
      <c r="BP286" s="661"/>
      <c r="BQ286" s="659"/>
      <c r="BR286" s="660"/>
      <c r="BS286" s="660"/>
      <c r="BT286" s="661"/>
      <c r="BU286" s="659"/>
      <c r="BV286" s="660"/>
      <c r="BW286" s="660"/>
      <c r="BX286" s="661"/>
      <c r="BY286" s="659"/>
      <c r="BZ286" s="660"/>
      <c r="CA286" s="660"/>
      <c r="CB286" s="661"/>
      <c r="CC286" s="659"/>
      <c r="CD286" s="660"/>
      <c r="CE286" s="660"/>
      <c r="CF286" s="661"/>
      <c r="CH286" s="661"/>
      <c r="CI286" s="661"/>
      <c r="CJ286" s="661"/>
      <c r="CK286" s="661"/>
      <c r="CL286" s="661"/>
      <c r="CM286" s="661"/>
      <c r="CN286" s="661"/>
      <c r="CO286" s="661"/>
      <c r="CP286" s="661"/>
      <c r="CQ286" s="661"/>
      <c r="CR286" s="661"/>
      <c r="CS286" s="661"/>
      <c r="CT286" s="661"/>
      <c r="CU286" s="661"/>
      <c r="CV286" s="661"/>
      <c r="CW286" s="661"/>
      <c r="CX286" s="661"/>
      <c r="CY286" s="660"/>
      <c r="CZ286" s="660"/>
      <c r="DA286" s="660"/>
      <c r="DB286" s="660"/>
      <c r="DC286" s="660"/>
      <c r="DD286" s="660"/>
      <c r="DE286" s="660"/>
      <c r="DF286" s="661"/>
      <c r="DG286" s="124"/>
      <c r="DH286" s="124"/>
      <c r="DI286" s="1548"/>
    </row>
    <row r="287" spans="1:114" s="584" customFormat="1" ht="11.25" customHeight="1">
      <c r="A287" s="542"/>
      <c r="B287"/>
      <c r="C287"/>
      <c r="D287"/>
      <c r="E287"/>
      <c r="F287"/>
      <c r="G287"/>
      <c r="H287" s="1052"/>
      <c r="I287" s="617" t="s">
        <v>469</v>
      </c>
      <c r="J287" s="580"/>
      <c r="K287" s="580"/>
      <c r="L287" s="542"/>
      <c r="M287" s="581"/>
      <c r="N287" s="581"/>
      <c r="O287" s="581"/>
      <c r="P287" s="582"/>
      <c r="Q287" s="581"/>
      <c r="R287" s="581"/>
      <c r="S287" s="581"/>
      <c r="T287" s="582"/>
      <c r="U287" s="572"/>
      <c r="V287" s="572"/>
      <c r="W287" s="572"/>
      <c r="X287" s="573"/>
      <c r="Y287" s="572"/>
      <c r="Z287" s="572"/>
      <c r="AA287" s="572"/>
      <c r="AB287" s="573"/>
      <c r="AC287" s="572"/>
      <c r="AD287" s="572"/>
      <c r="AE287" s="572"/>
      <c r="AF287" s="573"/>
      <c r="AG287" s="465">
        <f t="shared" ref="AG287:AW287" si="571">+AG39</f>
        <v>72.230999999999995</v>
      </c>
      <c r="AH287" s="465">
        <f t="shared" si="571"/>
        <v>105.804</v>
      </c>
      <c r="AI287" s="465">
        <f t="shared" si="571"/>
        <v>122.32000000000002</v>
      </c>
      <c r="AJ287" s="466">
        <f t="shared" si="571"/>
        <v>99.516999999999967</v>
      </c>
      <c r="AK287" s="465">
        <f t="shared" si="571"/>
        <v>103.83900000000003</v>
      </c>
      <c r="AL287" s="465">
        <f t="shared" si="571"/>
        <v>154.89299999999994</v>
      </c>
      <c r="AM287" s="465">
        <f t="shared" si="571"/>
        <v>202.33099999999999</v>
      </c>
      <c r="AN287" s="466">
        <f t="shared" si="571"/>
        <v>160.15200000000002</v>
      </c>
      <c r="AO287" s="465">
        <f t="shared" si="571"/>
        <v>181.10300000000001</v>
      </c>
      <c r="AP287" s="465">
        <f t="shared" si="571"/>
        <v>253.72500000000002</v>
      </c>
      <c r="AQ287" s="465">
        <f t="shared" si="571"/>
        <v>316.07800000000003</v>
      </c>
      <c r="AR287" s="466">
        <f t="shared" si="571"/>
        <v>205.065</v>
      </c>
      <c r="AS287" s="465">
        <f t="shared" si="571"/>
        <v>208.32999999999998</v>
      </c>
      <c r="AT287" s="465">
        <f t="shared" si="571"/>
        <v>305.238</v>
      </c>
      <c r="AU287" s="465">
        <f t="shared" si="571"/>
        <v>434.00599999999997</v>
      </c>
      <c r="AV287" s="466">
        <f t="shared" si="571"/>
        <v>313.18900000000008</v>
      </c>
      <c r="AW287" s="465">
        <f t="shared" si="571"/>
        <v>319.11599999999987</v>
      </c>
      <c r="AX287" s="465">
        <f>+AX39-0.929</f>
        <v>445.25499999999994</v>
      </c>
      <c r="AY287" s="465">
        <f>+AY39-2.02</f>
        <v>666.18799999999987</v>
      </c>
      <c r="AZ287" s="466">
        <f>+AZ39-1.753</f>
        <v>478.41300000000007</v>
      </c>
      <c r="BA287" s="465">
        <f t="shared" ref="BA287:BI287" si="572">+BA39</f>
        <v>505.80800000000005</v>
      </c>
      <c r="BB287" s="465">
        <f t="shared" si="572"/>
        <v>749.22700000000009</v>
      </c>
      <c r="BC287" s="465">
        <f t="shared" si="572"/>
        <v>1100.1480000000001</v>
      </c>
      <c r="BD287" s="466">
        <f t="shared" si="572"/>
        <v>724.697</v>
      </c>
      <c r="BE287" s="465">
        <f t="shared" si="572"/>
        <v>743.28800000000001</v>
      </c>
      <c r="BF287" s="465">
        <f t="shared" si="572"/>
        <v>1004.1420000000001</v>
      </c>
      <c r="BG287" s="465">
        <f t="shared" si="572"/>
        <v>1396.501</v>
      </c>
      <c r="BH287" s="466">
        <f t="shared" si="572"/>
        <v>939.75000000000011</v>
      </c>
      <c r="BI287" s="465">
        <f t="shared" si="572"/>
        <v>1009.665</v>
      </c>
      <c r="BJ287" s="465">
        <f>+BJ39-BJ312</f>
        <v>1355.739024</v>
      </c>
      <c r="BK287" s="465">
        <f>+BK39-BK312</f>
        <v>1926.2224549999999</v>
      </c>
      <c r="BL287" s="466">
        <f>+BL39-BL312</f>
        <v>1282.5545</v>
      </c>
      <c r="BM287" s="465">
        <f>+BM39-BM312</f>
        <v>1340.8427750000003</v>
      </c>
      <c r="BN287" s="465">
        <f>+BN39-BN312</f>
        <v>1816.0552104999999</v>
      </c>
      <c r="BO287" s="465">
        <f t="shared" ref="BO287:BX287" si="573">+BO39-BO312-BO324</f>
        <v>2506.5090732500003</v>
      </c>
      <c r="BP287" s="466">
        <f t="shared" si="573"/>
        <v>1557.3265249999999</v>
      </c>
      <c r="BQ287" s="465">
        <f t="shared" si="573"/>
        <v>1538.132388</v>
      </c>
      <c r="BR287" s="465">
        <f t="shared" si="573"/>
        <v>1955.7323157599999</v>
      </c>
      <c r="BS287" s="465">
        <f t="shared" si="573"/>
        <v>2801.5408020399996</v>
      </c>
      <c r="BT287" s="466">
        <f t="shared" si="573"/>
        <v>1741.3215079999998</v>
      </c>
      <c r="BU287" s="465">
        <f t="shared" si="573"/>
        <v>1869.0011351599996</v>
      </c>
      <c r="BV287" s="465">
        <f t="shared" si="573"/>
        <v>2274.9961578632001</v>
      </c>
      <c r="BW287" s="465">
        <f t="shared" si="573"/>
        <v>3428.2559181828001</v>
      </c>
      <c r="BX287" s="466">
        <f t="shared" si="573"/>
        <v>2123.1242035599998</v>
      </c>
      <c r="BY287" s="465">
        <f t="shared" ref="BY287:CF287" si="574">+BY241+BY216</f>
        <v>2171.2376919180001</v>
      </c>
      <c r="BZ287" s="465">
        <f t="shared" si="574"/>
        <v>2784.0290657563596</v>
      </c>
      <c r="CA287" s="465">
        <f t="shared" si="574"/>
        <v>4200.5115640919394</v>
      </c>
      <c r="CB287" s="466">
        <f t="shared" si="574"/>
        <v>2603.2133637379998</v>
      </c>
      <c r="CC287" s="465">
        <f t="shared" si="574"/>
        <v>2622.3147896612131</v>
      </c>
      <c r="CD287" s="465">
        <f t="shared" si="574"/>
        <v>3381.8349539302949</v>
      </c>
      <c r="CE287" s="465">
        <f t="shared" si="574"/>
        <v>4817.5122505569525</v>
      </c>
      <c r="CF287" s="466">
        <f t="shared" si="574"/>
        <v>3198.0596148848317</v>
      </c>
      <c r="CG287" s="582"/>
      <c r="CH287" s="583"/>
      <c r="CI287" s="581"/>
      <c r="CJ287" s="465">
        <f>+CJ241+CJ216</f>
        <v>145.54316308052657</v>
      </c>
      <c r="CK287" s="465">
        <f>+CK241+CK216</f>
        <v>200.551336810192</v>
      </c>
      <c r="CL287" s="465">
        <f>+CL241+CL216</f>
        <v>269.06206583564892</v>
      </c>
      <c r="CM287" s="465">
        <f t="shared" ref="CM287:CR287" si="575">+CM39</f>
        <v>399.87200000000018</v>
      </c>
      <c r="CN287" s="465">
        <f t="shared" si="575"/>
        <v>621.21499999999969</v>
      </c>
      <c r="CO287" s="465">
        <f t="shared" si="575"/>
        <v>955.97100000000012</v>
      </c>
      <c r="CP287" s="465">
        <f t="shared" si="575"/>
        <v>1260.7629999999999</v>
      </c>
      <c r="CQ287" s="465">
        <f t="shared" si="575"/>
        <v>1913.6739999999998</v>
      </c>
      <c r="CR287" s="465">
        <f t="shared" si="575"/>
        <v>3079.8800000000006</v>
      </c>
      <c r="CS287" s="465">
        <f t="shared" ref="CS287:DF287" si="576">+CS241+CS216</f>
        <v>4083.6810000000005</v>
      </c>
      <c r="CT287" s="465">
        <f t="shared" si="576"/>
        <v>5574.1809789999998</v>
      </c>
      <c r="CU287" s="465">
        <f t="shared" si="576"/>
        <v>7220.7335837500004</v>
      </c>
      <c r="CV287" s="465">
        <f t="shared" si="576"/>
        <v>8036.7270137999994</v>
      </c>
      <c r="CW287" s="465">
        <f t="shared" si="576"/>
        <v>9695.3774147660006</v>
      </c>
      <c r="CX287" s="465">
        <f t="shared" si="576"/>
        <v>11758.991685504299</v>
      </c>
      <c r="CY287" s="465">
        <f t="shared" si="576"/>
        <v>14019.721609033291</v>
      </c>
      <c r="CZ287" s="465">
        <f t="shared" si="576"/>
        <v>16019.972777621497</v>
      </c>
      <c r="DA287" s="465">
        <f t="shared" si="576"/>
        <v>18001.64423030346</v>
      </c>
      <c r="DB287" s="465">
        <f t="shared" si="576"/>
        <v>19902.876247349792</v>
      </c>
      <c r="DC287" s="465">
        <f t="shared" si="576"/>
        <v>21752.543403981581</v>
      </c>
      <c r="DD287" s="465">
        <f t="shared" si="576"/>
        <v>23570.147492065516</v>
      </c>
      <c r="DE287" s="465">
        <f t="shared" si="576"/>
        <v>25338.920266873909</v>
      </c>
      <c r="DF287" s="466">
        <f t="shared" si="576"/>
        <v>27245.911412234567</v>
      </c>
      <c r="DG287" s="632"/>
      <c r="DH287" s="632"/>
      <c r="DJ287" s="465"/>
    </row>
    <row r="288" spans="1:114" s="51" customFormat="1" ht="11.25" customHeight="1">
      <c r="A288" s="82"/>
      <c r="B288"/>
      <c r="C288"/>
      <c r="D288"/>
      <c r="E288"/>
      <c r="F288"/>
      <c r="G288"/>
      <c r="H288" s="1044"/>
      <c r="I288" s="193" t="s">
        <v>200</v>
      </c>
      <c r="J288" s="83"/>
      <c r="K288" s="83"/>
      <c r="L288" s="82"/>
      <c r="M288" s="336"/>
      <c r="N288" s="336"/>
      <c r="O288" s="336"/>
      <c r="P288" s="337"/>
      <c r="Q288" s="336"/>
      <c r="R288" s="336"/>
      <c r="S288" s="336"/>
      <c r="T288" s="337"/>
      <c r="U288" s="328"/>
      <c r="V288" s="328"/>
      <c r="W288" s="328"/>
      <c r="X288" s="329"/>
      <c r="Y288" s="328"/>
      <c r="Z288" s="328"/>
      <c r="AA288" s="328"/>
      <c r="AB288" s="329"/>
      <c r="AC288" s="328"/>
      <c r="AD288" s="328"/>
      <c r="AE288" s="328"/>
      <c r="AF288" s="329"/>
      <c r="AG288" s="338">
        <f t="shared" ref="AG288:BL288" si="577">+AG216/AG287</f>
        <v>0</v>
      </c>
      <c r="AH288" s="338">
        <f t="shared" si="577"/>
        <v>0</v>
      </c>
      <c r="AI288" s="338">
        <f t="shared" si="577"/>
        <v>0</v>
      </c>
      <c r="AJ288" s="339">
        <f t="shared" si="577"/>
        <v>0</v>
      </c>
      <c r="AK288" s="338">
        <f t="shared" si="577"/>
        <v>0.53870896291374148</v>
      </c>
      <c r="AL288" s="338">
        <f t="shared" si="577"/>
        <v>0.4163713014790853</v>
      </c>
      <c r="AM288" s="338">
        <f t="shared" si="577"/>
        <v>0.34859215839391877</v>
      </c>
      <c r="AN288" s="339">
        <f t="shared" si="577"/>
        <v>0.35748538888056347</v>
      </c>
      <c r="AO288" s="338">
        <f t="shared" si="577"/>
        <v>0.42684549676151146</v>
      </c>
      <c r="AP288" s="338">
        <f t="shared" si="577"/>
        <v>0.35166026209478773</v>
      </c>
      <c r="AQ288" s="338">
        <f t="shared" si="577"/>
        <v>0.29226330209631812</v>
      </c>
      <c r="AR288" s="339">
        <f t="shared" si="577"/>
        <v>0.37678297125301735</v>
      </c>
      <c r="AS288" s="338">
        <f t="shared" si="577"/>
        <v>0.45327125234003734</v>
      </c>
      <c r="AT288" s="338">
        <f t="shared" si="577"/>
        <v>0.35591243554210161</v>
      </c>
      <c r="AU288" s="338">
        <f t="shared" si="577"/>
        <v>0.27189946682764748</v>
      </c>
      <c r="AV288" s="339">
        <f t="shared" si="577"/>
        <v>0.29084354814504998</v>
      </c>
      <c r="AW288" s="338">
        <f t="shared" si="577"/>
        <v>0.32626380375788089</v>
      </c>
      <c r="AX288" s="338">
        <f t="shared" si="577"/>
        <v>0.2768189015283376</v>
      </c>
      <c r="AY288" s="338">
        <f t="shared" si="577"/>
        <v>0.20442877986394217</v>
      </c>
      <c r="AZ288" s="339">
        <f t="shared" si="577"/>
        <v>0.21824866799188161</v>
      </c>
      <c r="BA288" s="338">
        <f t="shared" si="577"/>
        <v>0.23251510454559843</v>
      </c>
      <c r="BB288" s="338">
        <f t="shared" si="577"/>
        <v>0.18302463739293973</v>
      </c>
      <c r="BC288" s="338">
        <f t="shared" si="577"/>
        <v>0.13466188185589587</v>
      </c>
      <c r="BD288" s="339">
        <f t="shared" si="577"/>
        <v>0.15964879114995648</v>
      </c>
      <c r="BE288" s="338">
        <f t="shared" si="577"/>
        <v>0.16990453229434621</v>
      </c>
      <c r="BF288" s="338">
        <f t="shared" si="577"/>
        <v>0.14454330164458817</v>
      </c>
      <c r="BG288" s="338">
        <f t="shared" si="577"/>
        <v>0.11564689176735282</v>
      </c>
      <c r="BH288" s="339">
        <f t="shared" si="577"/>
        <v>0.11040170258047363</v>
      </c>
      <c r="BI288" s="338">
        <f t="shared" si="577"/>
        <v>0.11455779887388388</v>
      </c>
      <c r="BJ288" s="338">
        <f t="shared" si="577"/>
        <v>0.11487389626102551</v>
      </c>
      <c r="BK288" s="338">
        <f t="shared" si="577"/>
        <v>8.8890280847650008E-2</v>
      </c>
      <c r="BL288" s="339">
        <f t="shared" si="577"/>
        <v>0.10335194332872402</v>
      </c>
      <c r="BM288" s="338">
        <f t="shared" ref="BM288:CF288" si="578">+BM216/BM287</f>
        <v>9.7582488744812207E-2</v>
      </c>
      <c r="BN288" s="338">
        <f t="shared" si="578"/>
        <v>9.1437313986881097E-2</v>
      </c>
      <c r="BO288" s="338">
        <f t="shared" si="578"/>
        <v>7.4409893521018886E-2</v>
      </c>
      <c r="BP288" s="339">
        <f t="shared" si="578"/>
        <v>8.1759684276873121E-2</v>
      </c>
      <c r="BQ288" s="338">
        <f t="shared" si="578"/>
        <v>8.9805265839054682E-2</v>
      </c>
      <c r="BR288" s="338">
        <f t="shared" si="578"/>
        <v>7.9628645753333643E-2</v>
      </c>
      <c r="BS288" s="338">
        <f t="shared" si="578"/>
        <v>7.193927066607185E-2</v>
      </c>
      <c r="BT288" s="339">
        <f t="shared" si="578"/>
        <v>8.1157619285547683E-2</v>
      </c>
      <c r="BU288" s="338">
        <f t="shared" si="578"/>
        <v>9.0423238370870199E-2</v>
      </c>
      <c r="BV288" s="338">
        <f t="shared" si="578"/>
        <v>7.6921517980745063E-2</v>
      </c>
      <c r="BW288" s="338">
        <f t="shared" si="578"/>
        <v>3.7411418879948762E-2</v>
      </c>
      <c r="BX288" s="339">
        <f t="shared" si="578"/>
        <v>5.79919928158458E-2</v>
      </c>
      <c r="BY288" s="338">
        <f t="shared" si="578"/>
        <v>7.8866396136820172E-2</v>
      </c>
      <c r="BZ288" s="338">
        <f t="shared" si="578"/>
        <v>6.610170418833719E-2</v>
      </c>
      <c r="CA288" s="338">
        <f t="shared" si="578"/>
        <v>4.7735034419619717E-2</v>
      </c>
      <c r="CB288" s="339">
        <f t="shared" si="578"/>
        <v>7.8062507886868762E-2</v>
      </c>
      <c r="CC288" s="338">
        <f t="shared" si="578"/>
        <v>6.7195527390319601E-2</v>
      </c>
      <c r="CD288" s="338">
        <f t="shared" si="578"/>
        <v>5.6015603079064571E-2</v>
      </c>
      <c r="CE288" s="338">
        <f t="shared" si="578"/>
        <v>4.3025464846075098E-2</v>
      </c>
      <c r="CF288" s="339">
        <f t="shared" si="578"/>
        <v>6.6071343702963942E-2</v>
      </c>
      <c r="CG288" s="337"/>
      <c r="CH288" s="367"/>
      <c r="CI288" s="336"/>
      <c r="CJ288" s="328"/>
      <c r="CK288" s="328"/>
      <c r="CL288" s="328"/>
      <c r="CM288" s="338">
        <f t="shared" ref="CM288:DF288" si="579">+CM216/CM287</f>
        <v>0.5548575544174138</v>
      </c>
      <c r="CN288" s="338">
        <f t="shared" si="579"/>
        <v>0.40600275267017027</v>
      </c>
      <c r="CO288" s="338">
        <f t="shared" si="579"/>
        <v>0.35165397276695642</v>
      </c>
      <c r="CP288" s="338">
        <f t="shared" si="579"/>
        <v>0.32691552655019218</v>
      </c>
      <c r="CQ288" s="338">
        <f t="shared" si="579"/>
        <v>0.24454112873979572</v>
      </c>
      <c r="CR288" s="338">
        <f t="shared" si="579"/>
        <v>0.16837669000090918</v>
      </c>
      <c r="CS288" s="338">
        <f t="shared" si="579"/>
        <v>0.13142089208241292</v>
      </c>
      <c r="CT288" s="338">
        <f t="shared" si="579"/>
        <v>0.10318663516073825</v>
      </c>
      <c r="CU288" s="338">
        <f t="shared" si="579"/>
        <v>8.4580545268202981E-2</v>
      </c>
      <c r="CV288" s="338">
        <f t="shared" si="579"/>
        <v>7.9227154624844726E-2</v>
      </c>
      <c r="CW288" s="338">
        <f t="shared" si="579"/>
        <v>6.1408379405555012E-2</v>
      </c>
      <c r="CX288" s="338">
        <f t="shared" si="579"/>
        <v>6.4545643521453727E-2</v>
      </c>
      <c r="CY288" s="338">
        <f t="shared" si="579"/>
        <v>5.5936856064758872E-2</v>
      </c>
      <c r="CZ288" s="338">
        <f t="shared" si="579"/>
        <v>5.0645786987573466E-2</v>
      </c>
      <c r="DA288" s="338">
        <f t="shared" si="579"/>
        <v>4.6241936132756518E-2</v>
      </c>
      <c r="DB288" s="338">
        <f t="shared" si="579"/>
        <v>4.25929136124732E-2</v>
      </c>
      <c r="DC288" s="338">
        <f t="shared" si="579"/>
        <v>3.9694379262453713E-2</v>
      </c>
      <c r="DD288" s="338">
        <f t="shared" si="579"/>
        <v>3.7319358849958059E-2</v>
      </c>
      <c r="DE288" s="338">
        <f t="shared" si="579"/>
        <v>3.5369512521183158E-2</v>
      </c>
      <c r="DF288" s="339">
        <f t="shared" si="579"/>
        <v>3.3519112554143755E-2</v>
      </c>
      <c r="DG288" s="308"/>
      <c r="DH288" s="308"/>
    </row>
    <row r="289" spans="1:113" s="51" customFormat="1" ht="11.25" customHeight="1">
      <c r="A289" s="82"/>
      <c r="B289"/>
      <c r="C289"/>
      <c r="D289"/>
      <c r="E289"/>
      <c r="F289"/>
      <c r="G289"/>
      <c r="H289" s="1044"/>
      <c r="I289" s="193" t="s">
        <v>201</v>
      </c>
      <c r="J289" s="83"/>
      <c r="K289" s="83"/>
      <c r="L289" s="82"/>
      <c r="M289" s="336"/>
      <c r="N289" s="336"/>
      <c r="O289" s="336"/>
      <c r="P289" s="337"/>
      <c r="Q289" s="336"/>
      <c r="R289" s="336"/>
      <c r="S289" s="336"/>
      <c r="T289" s="337"/>
      <c r="U289" s="328"/>
      <c r="V289" s="328"/>
      <c r="W289" s="328"/>
      <c r="X289" s="329"/>
      <c r="Y289" s="328"/>
      <c r="Z289" s="328"/>
      <c r="AA289" s="328"/>
      <c r="AB289" s="329"/>
      <c r="AC289" s="328"/>
      <c r="AD289" s="328"/>
      <c r="AE289" s="328"/>
      <c r="AF289" s="329"/>
      <c r="AG289" s="338">
        <f t="shared" ref="AG289:BL289" si="580">+AG241/AG287</f>
        <v>0</v>
      </c>
      <c r="AH289" s="338">
        <f t="shared" si="580"/>
        <v>0</v>
      </c>
      <c r="AI289" s="338">
        <f t="shared" si="580"/>
        <v>0</v>
      </c>
      <c r="AJ289" s="339">
        <f t="shared" si="580"/>
        <v>0</v>
      </c>
      <c r="AK289" s="338">
        <f t="shared" si="580"/>
        <v>0.46129103708625846</v>
      </c>
      <c r="AL289" s="338">
        <f t="shared" si="580"/>
        <v>0.5836286985209147</v>
      </c>
      <c r="AM289" s="338">
        <f t="shared" si="580"/>
        <v>0.65140784160608123</v>
      </c>
      <c r="AN289" s="339">
        <f t="shared" si="580"/>
        <v>0.64251461111943653</v>
      </c>
      <c r="AO289" s="338">
        <f t="shared" si="580"/>
        <v>0.5731545032384886</v>
      </c>
      <c r="AP289" s="338">
        <f t="shared" si="580"/>
        <v>0.64833973790521227</v>
      </c>
      <c r="AQ289" s="338">
        <f t="shared" si="580"/>
        <v>0.70773669790368188</v>
      </c>
      <c r="AR289" s="339">
        <f t="shared" si="580"/>
        <v>0.6232170287469827</v>
      </c>
      <c r="AS289" s="338">
        <f t="shared" si="580"/>
        <v>0.5467287476599626</v>
      </c>
      <c r="AT289" s="338">
        <f t="shared" si="580"/>
        <v>0.64408756445789839</v>
      </c>
      <c r="AU289" s="338">
        <f t="shared" si="580"/>
        <v>0.72810053317235246</v>
      </c>
      <c r="AV289" s="339">
        <f t="shared" si="580"/>
        <v>0.70915645185495002</v>
      </c>
      <c r="AW289" s="338">
        <f t="shared" si="580"/>
        <v>0.67373619624211911</v>
      </c>
      <c r="AX289" s="338">
        <f t="shared" si="580"/>
        <v>0.72318109847166245</v>
      </c>
      <c r="AY289" s="338">
        <f t="shared" si="580"/>
        <v>0.79557122013605786</v>
      </c>
      <c r="AZ289" s="339">
        <f t="shared" si="580"/>
        <v>0.78175133200811842</v>
      </c>
      <c r="BA289" s="338">
        <f t="shared" si="580"/>
        <v>0.76748489545440157</v>
      </c>
      <c r="BB289" s="338">
        <f t="shared" si="580"/>
        <v>0.81697536260706027</v>
      </c>
      <c r="BC289" s="338">
        <f t="shared" si="580"/>
        <v>0.86533811814410411</v>
      </c>
      <c r="BD289" s="339">
        <f t="shared" si="580"/>
        <v>0.84035120885004355</v>
      </c>
      <c r="BE289" s="338">
        <f t="shared" si="580"/>
        <v>0.83009546770565379</v>
      </c>
      <c r="BF289" s="338">
        <f t="shared" si="580"/>
        <v>0.85545669835541183</v>
      </c>
      <c r="BG289" s="338">
        <f t="shared" si="580"/>
        <v>0.88435310823264723</v>
      </c>
      <c r="BH289" s="339">
        <f t="shared" si="580"/>
        <v>0.88959829741952634</v>
      </c>
      <c r="BI289" s="338">
        <f t="shared" si="580"/>
        <v>0.88544220112611616</v>
      </c>
      <c r="BJ289" s="338">
        <f t="shared" si="580"/>
        <v>0.88512610373897449</v>
      </c>
      <c r="BK289" s="338">
        <f t="shared" si="580"/>
        <v>0.91110971915234995</v>
      </c>
      <c r="BL289" s="339">
        <f t="shared" si="580"/>
        <v>0.89664805667127601</v>
      </c>
      <c r="BM289" s="338">
        <f t="shared" ref="BM289:CF289" si="581">+BM241/BM287</f>
        <v>0.90241751125518777</v>
      </c>
      <c r="BN289" s="338">
        <f t="shared" si="581"/>
        <v>0.90856268601311896</v>
      </c>
      <c r="BO289" s="338">
        <f t="shared" si="581"/>
        <v>0.9255901064789811</v>
      </c>
      <c r="BP289" s="339">
        <f t="shared" si="581"/>
        <v>0.91824031572312692</v>
      </c>
      <c r="BQ289" s="338">
        <f t="shared" si="581"/>
        <v>0.91019473416094532</v>
      </c>
      <c r="BR289" s="338">
        <f t="shared" si="581"/>
        <v>0.92037135424666638</v>
      </c>
      <c r="BS289" s="338">
        <f t="shared" si="581"/>
        <v>0.92806072933392814</v>
      </c>
      <c r="BT289" s="339">
        <f t="shared" si="581"/>
        <v>0.91884238071445234</v>
      </c>
      <c r="BU289" s="338">
        <f t="shared" si="581"/>
        <v>0.90957676162912982</v>
      </c>
      <c r="BV289" s="338">
        <f t="shared" si="581"/>
        <v>0.92307848201925491</v>
      </c>
      <c r="BW289" s="338">
        <f t="shared" si="581"/>
        <v>0.96258858112005119</v>
      </c>
      <c r="BX289" s="339">
        <f t="shared" si="581"/>
        <v>0.94200800718415423</v>
      </c>
      <c r="BY289" s="338">
        <f t="shared" si="581"/>
        <v>0.92113360386317988</v>
      </c>
      <c r="BZ289" s="338">
        <f t="shared" si="581"/>
        <v>0.93389829581166284</v>
      </c>
      <c r="CA289" s="338">
        <f t="shared" si="581"/>
        <v>0.95226496558038032</v>
      </c>
      <c r="CB289" s="339">
        <f t="shared" si="581"/>
        <v>0.92193749211313125</v>
      </c>
      <c r="CC289" s="338">
        <f t="shared" si="581"/>
        <v>0.93280447260968047</v>
      </c>
      <c r="CD289" s="338">
        <f t="shared" si="581"/>
        <v>0.94398439692093539</v>
      </c>
      <c r="CE289" s="338">
        <f t="shared" si="581"/>
        <v>0.95697453515392483</v>
      </c>
      <c r="CF289" s="339">
        <f t="shared" si="581"/>
        <v>0.93392865629703603</v>
      </c>
      <c r="CG289" s="337"/>
      <c r="CH289" s="367"/>
      <c r="CI289" s="336"/>
      <c r="CJ289" s="328"/>
      <c r="CK289" s="328"/>
      <c r="CL289" s="328"/>
      <c r="CM289" s="338">
        <f t="shared" ref="CM289:DF289" si="582">+CM241/CM287</f>
        <v>0.4451424455825862</v>
      </c>
      <c r="CN289" s="338">
        <f t="shared" si="582"/>
        <v>0.59399724732982973</v>
      </c>
      <c r="CO289" s="338">
        <f t="shared" si="582"/>
        <v>0.64834602723304358</v>
      </c>
      <c r="CP289" s="338">
        <f t="shared" si="582"/>
        <v>0.67308447344980782</v>
      </c>
      <c r="CQ289" s="338">
        <f t="shared" si="582"/>
        <v>0.75300181744644068</v>
      </c>
      <c r="CR289" s="338">
        <f t="shared" si="582"/>
        <v>0.83162330999909073</v>
      </c>
      <c r="CS289" s="338">
        <f t="shared" si="582"/>
        <v>0.86857910791758708</v>
      </c>
      <c r="CT289" s="338">
        <f t="shared" si="582"/>
        <v>0.89681336483926177</v>
      </c>
      <c r="CU289" s="338">
        <f t="shared" si="582"/>
        <v>0.91541945473179698</v>
      </c>
      <c r="CV289" s="338">
        <f t="shared" si="582"/>
        <v>0.92077284537515525</v>
      </c>
      <c r="CW289" s="338">
        <f t="shared" si="582"/>
        <v>0.9385916205944449</v>
      </c>
      <c r="CX289" s="338">
        <f t="shared" si="582"/>
        <v>0.93545435647854625</v>
      </c>
      <c r="CY289" s="338">
        <f t="shared" si="582"/>
        <v>0.94406314393524116</v>
      </c>
      <c r="CZ289" s="338">
        <f t="shared" si="582"/>
        <v>0.94935421301242651</v>
      </c>
      <c r="DA289" s="338">
        <f t="shared" si="582"/>
        <v>0.95375806386724349</v>
      </c>
      <c r="DB289" s="338">
        <f t="shared" si="582"/>
        <v>0.95740708638752681</v>
      </c>
      <c r="DC289" s="338">
        <f t="shared" si="582"/>
        <v>0.96030562073754622</v>
      </c>
      <c r="DD289" s="338">
        <f t="shared" si="582"/>
        <v>0.96268064115004193</v>
      </c>
      <c r="DE289" s="338">
        <f t="shared" si="582"/>
        <v>0.96463048747881686</v>
      </c>
      <c r="DF289" s="339">
        <f t="shared" si="582"/>
        <v>0.96648088744585625</v>
      </c>
      <c r="DG289" s="308"/>
      <c r="DH289" s="308"/>
    </row>
    <row r="290" spans="1:113" s="26" customFormat="1" ht="11.25" customHeight="1">
      <c r="A290" s="24"/>
      <c r="B290"/>
      <c r="C290"/>
      <c r="D290"/>
      <c r="E290"/>
      <c r="F290"/>
      <c r="G290"/>
      <c r="H290" s="1044"/>
      <c r="I290" s="185"/>
      <c r="J290" s="70"/>
      <c r="K290" s="70"/>
      <c r="L290" s="24"/>
      <c r="M290" s="315"/>
      <c r="N290" s="315"/>
      <c r="O290" s="315"/>
      <c r="P290" s="316"/>
      <c r="Q290" s="315"/>
      <c r="R290" s="315"/>
      <c r="S290" s="315"/>
      <c r="T290" s="316"/>
      <c r="U290" s="326"/>
      <c r="V290" s="326"/>
      <c r="W290" s="326"/>
      <c r="X290" s="327"/>
      <c r="Y290" s="326"/>
      <c r="Z290" s="326"/>
      <c r="AA290" s="326"/>
      <c r="AB290" s="327"/>
      <c r="AC290" s="326"/>
      <c r="AD290" s="326"/>
      <c r="AE290" s="326"/>
      <c r="AF290" s="327"/>
      <c r="AG290" s="326"/>
      <c r="AH290" s="326"/>
      <c r="AI290" s="326"/>
      <c r="AJ290" s="327"/>
      <c r="AK290" s="326"/>
      <c r="AL290" s="326"/>
      <c r="AM290" s="326"/>
      <c r="AN290" s="329"/>
      <c r="AO290" s="328"/>
      <c r="AP290" s="328"/>
      <c r="AQ290" s="328"/>
      <c r="AR290" s="329"/>
      <c r="AS290" s="328"/>
      <c r="AT290" s="328"/>
      <c r="AU290" s="328"/>
      <c r="AV290" s="329"/>
      <c r="AW290" s="328"/>
      <c r="AX290" s="328"/>
      <c r="AY290" s="328"/>
      <c r="AZ290" s="327"/>
      <c r="BA290" s="315"/>
      <c r="BB290" s="326"/>
      <c r="BC290" s="326"/>
      <c r="BD290" s="327"/>
      <c r="BE290" s="326"/>
      <c r="BF290" s="326"/>
      <c r="BG290" s="326"/>
      <c r="BH290" s="327"/>
      <c r="BI290" s="321"/>
      <c r="BJ290" s="447"/>
      <c r="BK290" s="321"/>
      <c r="BL290" s="322"/>
      <c r="BM290" s="321"/>
      <c r="BN290" s="321"/>
      <c r="BO290" s="321"/>
      <c r="BP290" s="327"/>
      <c r="BQ290" s="326"/>
      <c r="BR290" s="326"/>
      <c r="BS290" s="326"/>
      <c r="BT290" s="327"/>
      <c r="BU290" s="326"/>
      <c r="BV290" s="326"/>
      <c r="BW290" s="326"/>
      <c r="BX290" s="327"/>
      <c r="BY290" s="326"/>
      <c r="BZ290" s="326"/>
      <c r="CA290" s="326"/>
      <c r="CB290" s="327"/>
      <c r="CC290" s="326"/>
      <c r="CD290" s="326"/>
      <c r="CE290" s="326"/>
      <c r="CF290" s="327"/>
      <c r="CG290" s="316"/>
      <c r="CH290" s="320"/>
      <c r="CI290" s="315"/>
      <c r="CJ290" s="326"/>
      <c r="CK290" s="326"/>
      <c r="CL290" s="326"/>
      <c r="CM290" s="326"/>
      <c r="CN290" s="328"/>
      <c r="CO290" s="328"/>
      <c r="CP290" s="328"/>
      <c r="CQ290" s="326"/>
      <c r="CR290" s="326"/>
      <c r="CS290" s="321"/>
      <c r="CT290" s="321"/>
      <c r="CU290" s="321"/>
      <c r="CV290" s="321"/>
      <c r="CW290" s="321"/>
      <c r="CX290" s="321"/>
      <c r="CY290" s="321"/>
      <c r="CZ290" s="326"/>
      <c r="DA290" s="326"/>
      <c r="DB290" s="326"/>
      <c r="DC290" s="326"/>
      <c r="DD290" s="326"/>
      <c r="DE290" s="326"/>
      <c r="DF290" s="327"/>
      <c r="DG290" s="94"/>
      <c r="DH290" s="94"/>
    </row>
    <row r="291" spans="1:113" s="554" customFormat="1" ht="11.25" customHeight="1">
      <c r="A291" s="547"/>
      <c r="B291"/>
      <c r="C291"/>
      <c r="D291"/>
      <c r="E291"/>
      <c r="F291"/>
      <c r="G291"/>
      <c r="H291" s="1044"/>
      <c r="I291" s="555" t="s">
        <v>202</v>
      </c>
      <c r="J291" s="550"/>
      <c r="K291" s="550"/>
      <c r="L291" s="547"/>
      <c r="M291" s="551"/>
      <c r="N291" s="551"/>
      <c r="O291" s="551"/>
      <c r="P291" s="552"/>
      <c r="Q291" s="551"/>
      <c r="R291" s="551"/>
      <c r="S291" s="551"/>
      <c r="T291" s="552"/>
      <c r="U291" s="394"/>
      <c r="V291" s="394"/>
      <c r="W291" s="394"/>
      <c r="X291" s="395"/>
      <c r="Y291" s="394"/>
      <c r="Z291" s="394"/>
      <c r="AA291" s="394"/>
      <c r="AB291" s="395"/>
      <c r="AC291" s="394"/>
      <c r="AD291" s="394"/>
      <c r="AE291" s="394"/>
      <c r="AF291" s="395"/>
      <c r="AG291" s="396">
        <f t="shared" ref="AG291:BI291" si="583">+AG179+AG204+AG205</f>
        <v>210.43799999999999</v>
      </c>
      <c r="AH291" s="396">
        <f t="shared" si="583"/>
        <v>250.52399999999997</v>
      </c>
      <c r="AI291" s="396">
        <f t="shared" si="583"/>
        <v>236.95800000000003</v>
      </c>
      <c r="AJ291" s="397">
        <f t="shared" si="583"/>
        <v>204.64899999999994</v>
      </c>
      <c r="AK291" s="396">
        <f t="shared" si="583"/>
        <v>230.13300000000004</v>
      </c>
      <c r="AL291" s="396">
        <f t="shared" si="583"/>
        <v>252.59099999999992</v>
      </c>
      <c r="AM291" s="396">
        <f t="shared" si="583"/>
        <v>275.21100000000001</v>
      </c>
      <c r="AN291" s="397">
        <f t="shared" si="583"/>
        <v>227.09300000000002</v>
      </c>
      <c r="AO291" s="396">
        <f t="shared" si="583"/>
        <v>289.19499999999999</v>
      </c>
      <c r="AP291" s="396">
        <f t="shared" si="583"/>
        <v>336.23</v>
      </c>
      <c r="AQ291" s="396">
        <f t="shared" si="583"/>
        <v>323.95699999999999</v>
      </c>
      <c r="AR291" s="397">
        <f t="shared" si="583"/>
        <v>268.78000000000003</v>
      </c>
      <c r="AS291" s="396">
        <f t="shared" si="583"/>
        <v>336.334</v>
      </c>
      <c r="AT291" s="396">
        <f t="shared" si="583"/>
        <v>391.82199999999989</v>
      </c>
      <c r="AU291" s="396">
        <f t="shared" si="583"/>
        <v>399.41399999999999</v>
      </c>
      <c r="AV291" s="397">
        <f t="shared" si="583"/>
        <v>316.60699999999997</v>
      </c>
      <c r="AW291" s="396">
        <f t="shared" si="583"/>
        <v>367.46499999999992</v>
      </c>
      <c r="AX291" s="396">
        <f t="shared" si="583"/>
        <v>446.66899999999998</v>
      </c>
      <c r="AY291" s="396">
        <f t="shared" si="583"/>
        <v>493.49600000000004</v>
      </c>
      <c r="AZ291" s="397">
        <f t="shared" si="583"/>
        <v>382.23400000000004</v>
      </c>
      <c r="BA291" s="396">
        <f t="shared" si="583"/>
        <v>454.80400000000003</v>
      </c>
      <c r="BB291" s="396">
        <f t="shared" si="583"/>
        <v>530.53000000000009</v>
      </c>
      <c r="BC291" s="396">
        <f t="shared" si="583"/>
        <v>573.23</v>
      </c>
      <c r="BD291" s="397">
        <f t="shared" si="583"/>
        <v>445.86899999999997</v>
      </c>
      <c r="BE291" s="396">
        <f t="shared" si="583"/>
        <v>496.40900000000011</v>
      </c>
      <c r="BF291" s="396">
        <f t="shared" si="583"/>
        <v>551.024</v>
      </c>
      <c r="BG291" s="396">
        <f t="shared" si="583"/>
        <v>584.96900000000005</v>
      </c>
      <c r="BH291" s="397">
        <f t="shared" si="583"/>
        <v>472.35000000000014</v>
      </c>
      <c r="BI291" s="396">
        <f t="shared" si="583"/>
        <v>528.56399999999985</v>
      </c>
      <c r="BJ291" s="396">
        <f t="shared" ref="BJ291:CF291" si="584">+BJ179+BJ204+BJ205-BJ306</f>
        <v>580.22399999999982</v>
      </c>
      <c r="BK291" s="396">
        <f t="shared" si="584"/>
        <v>620.904</v>
      </c>
      <c r="BL291" s="397">
        <f t="shared" si="584"/>
        <v>481.78200000000004</v>
      </c>
      <c r="BM291" s="396">
        <f t="shared" si="584"/>
        <v>526.99800000000005</v>
      </c>
      <c r="BN291" s="396">
        <f t="shared" si="584"/>
        <v>567.25299999999993</v>
      </c>
      <c r="BO291" s="396">
        <f t="shared" si="584"/>
        <v>654.73500000000013</v>
      </c>
      <c r="BP291" s="397">
        <f t="shared" si="584"/>
        <v>537.26800000000003</v>
      </c>
      <c r="BQ291" s="396">
        <f t="shared" si="584"/>
        <v>555.27500000000009</v>
      </c>
      <c r="BR291" s="396">
        <f t="shared" si="584"/>
        <v>608.21299999999997</v>
      </c>
      <c r="BS291" s="396">
        <f t="shared" si="584"/>
        <v>661.30299999999988</v>
      </c>
      <c r="BT291" s="397">
        <f t="shared" si="584"/>
        <v>518.48200000000008</v>
      </c>
      <c r="BU291" s="396">
        <f t="shared" si="584"/>
        <v>541.83199999999977</v>
      </c>
      <c r="BV291" s="396">
        <f t="shared" si="584"/>
        <v>592.46699999999998</v>
      </c>
      <c r="BW291" s="396">
        <f t="shared" si="584"/>
        <v>694.49000000000035</v>
      </c>
      <c r="BX291" s="397">
        <f t="shared" si="584"/>
        <v>523.1160000000001</v>
      </c>
      <c r="BY291" s="396">
        <f t="shared" si="584"/>
        <v>522.46100000000001</v>
      </c>
      <c r="BZ291" s="396">
        <f t="shared" si="584"/>
        <v>581.68499999999972</v>
      </c>
      <c r="CA291" s="396">
        <f t="shared" si="584"/>
        <v>767.39299999999935</v>
      </c>
      <c r="CB291" s="397">
        <f t="shared" si="584"/>
        <v>601.84600000000012</v>
      </c>
      <c r="CC291" s="396">
        <f t="shared" si="584"/>
        <v>529.90190295195089</v>
      </c>
      <c r="CD291" s="396">
        <f t="shared" si="584"/>
        <v>599.7599850680599</v>
      </c>
      <c r="CE291" s="396">
        <f t="shared" si="584"/>
        <v>830.70202207982061</v>
      </c>
      <c r="CF291" s="397">
        <f t="shared" si="584"/>
        <v>663.89397722907552</v>
      </c>
      <c r="CG291" s="552"/>
      <c r="CH291" s="553"/>
      <c r="CI291" s="551"/>
      <c r="CJ291" s="394"/>
      <c r="CK291" s="394"/>
      <c r="CL291" s="394"/>
      <c r="CM291" s="396">
        <f>+CM179+CM204+CM205</f>
        <v>902.56900000000019</v>
      </c>
      <c r="CN291" s="396">
        <f>+CN179+CN204+CN205</f>
        <v>981.02799999999968</v>
      </c>
      <c r="CO291" s="396">
        <f>+CO179+CO204+CO205</f>
        <v>1218.1620000000003</v>
      </c>
      <c r="CP291" s="396">
        <f>+CP179+CP204+CP205</f>
        <v>1444.1769999999999</v>
      </c>
      <c r="CQ291" s="396">
        <f>+CQ179+CQ204+CQ205</f>
        <v>1689.864</v>
      </c>
      <c r="CR291" s="396">
        <f>+SUM(BA291:BD291)</f>
        <v>2004.433</v>
      </c>
      <c r="CS291" s="396">
        <f>+SUM(BE291:BH291)</f>
        <v>2104.7520000000004</v>
      </c>
      <c r="CT291" s="396">
        <f>+SUM(BI291:BL291)</f>
        <v>2211.4739999999997</v>
      </c>
      <c r="CU291" s="396">
        <f>SUM(BM291:BP291)</f>
        <v>2286.2539999999999</v>
      </c>
      <c r="CV291" s="396">
        <f>SUM(BQ291:BT291)</f>
        <v>2343.2730000000001</v>
      </c>
      <c r="CW291" s="396">
        <f>SUM(BU291:BX291)</f>
        <v>2351.9050000000002</v>
      </c>
      <c r="CX291" s="396">
        <f>SUM(BY291:CB291)</f>
        <v>2473.3849999999993</v>
      </c>
      <c r="CY291" s="396">
        <f>SUM(CC291:CF291)</f>
        <v>2624.2578873289067</v>
      </c>
      <c r="CZ291" s="396">
        <f t="shared" ref="CZ291:DF291" si="585">+CZ179+CZ204+CZ205-CZ306</f>
        <v>2853.8710190180036</v>
      </c>
      <c r="DA291" s="396">
        <f t="shared" si="585"/>
        <v>3060.0454337567216</v>
      </c>
      <c r="DB291" s="396">
        <f t="shared" si="585"/>
        <v>3243.6575876290117</v>
      </c>
      <c r="DC291" s="396">
        <f t="shared" si="585"/>
        <v>3410.6339703068065</v>
      </c>
      <c r="DD291" s="396">
        <f t="shared" si="585"/>
        <v>3586.3690922589562</v>
      </c>
      <c r="DE291" s="396">
        <f t="shared" si="585"/>
        <v>3771.6955912278318</v>
      </c>
      <c r="DF291" s="397">
        <f t="shared" si="585"/>
        <v>3970.7578822106975</v>
      </c>
      <c r="DG291" s="612"/>
      <c r="DH291" s="612"/>
    </row>
    <row r="292" spans="1:113" s="554" customFormat="1" ht="11.25" customHeight="1">
      <c r="A292" s="547"/>
      <c r="B292"/>
      <c r="C292"/>
      <c r="D292"/>
      <c r="E292"/>
      <c r="F292"/>
      <c r="G292"/>
      <c r="H292" s="1044"/>
      <c r="I292" s="555" t="s">
        <v>29</v>
      </c>
      <c r="J292" s="550"/>
      <c r="K292" s="550"/>
      <c r="L292" s="547"/>
      <c r="M292" s="551"/>
      <c r="N292" s="551"/>
      <c r="O292" s="551"/>
      <c r="P292" s="552"/>
      <c r="Q292" s="551"/>
      <c r="R292" s="551"/>
      <c r="S292" s="551"/>
      <c r="T292" s="552"/>
      <c r="U292" s="394"/>
      <c r="V292" s="394"/>
      <c r="W292" s="394"/>
      <c r="X292" s="395"/>
      <c r="Y292" s="394"/>
      <c r="Z292" s="394"/>
      <c r="AA292" s="394"/>
      <c r="AB292" s="395"/>
      <c r="AC292" s="394"/>
      <c r="AD292" s="394"/>
      <c r="AE292" s="394"/>
      <c r="AF292" s="395"/>
      <c r="AG292" s="396">
        <f t="shared" ref="AG292:BL292" si="586">+AG213+AG239+AG240</f>
        <v>0</v>
      </c>
      <c r="AH292" s="396">
        <f t="shared" si="586"/>
        <v>0</v>
      </c>
      <c r="AI292" s="396">
        <f t="shared" si="586"/>
        <v>0</v>
      </c>
      <c r="AJ292" s="397">
        <f t="shared" si="586"/>
        <v>0</v>
      </c>
      <c r="AK292" s="396">
        <f t="shared" si="586"/>
        <v>48.461000000000027</v>
      </c>
      <c r="AL292" s="396">
        <f t="shared" si="586"/>
        <v>53.921999999999947</v>
      </c>
      <c r="AM292" s="396">
        <f t="shared" si="586"/>
        <v>60.254999999999995</v>
      </c>
      <c r="AN292" s="397">
        <f t="shared" si="586"/>
        <v>51.992000000000004</v>
      </c>
      <c r="AO292" s="396">
        <f t="shared" si="586"/>
        <v>67.082000000000022</v>
      </c>
      <c r="AP292" s="396">
        <f t="shared" si="586"/>
        <v>75.979000000000042</v>
      </c>
      <c r="AQ292" s="396">
        <f t="shared" si="586"/>
        <v>78.426000000000016</v>
      </c>
      <c r="AR292" s="397">
        <f t="shared" si="586"/>
        <v>67.839999999999975</v>
      </c>
      <c r="AS292" s="396">
        <f t="shared" si="586"/>
        <v>83.305999999999983</v>
      </c>
      <c r="AT292" s="396">
        <f t="shared" si="586"/>
        <v>94.318999999999988</v>
      </c>
      <c r="AU292" s="396">
        <f t="shared" si="586"/>
        <v>103.66</v>
      </c>
      <c r="AV292" s="397">
        <f t="shared" si="586"/>
        <v>88.843000000000075</v>
      </c>
      <c r="AW292" s="396">
        <f t="shared" si="586"/>
        <v>102.98699999999988</v>
      </c>
      <c r="AX292" s="396">
        <f t="shared" si="586"/>
        <v>124.48499999999993</v>
      </c>
      <c r="AY292" s="396">
        <f t="shared" si="586"/>
        <v>158.90399999999988</v>
      </c>
      <c r="AZ292" s="397">
        <f t="shared" si="586"/>
        <v>129.33100000000005</v>
      </c>
      <c r="BA292" s="396">
        <f t="shared" si="586"/>
        <v>151.29200000000003</v>
      </c>
      <c r="BB292" s="396">
        <f t="shared" si="586"/>
        <v>177.04100000000014</v>
      </c>
      <c r="BC292" s="396">
        <f t="shared" si="586"/>
        <v>220.57400000000007</v>
      </c>
      <c r="BD292" s="397">
        <f t="shared" si="586"/>
        <v>179.79600000000005</v>
      </c>
      <c r="BE292" s="396">
        <f t="shared" si="586"/>
        <v>202.45000000000005</v>
      </c>
      <c r="BF292" s="396">
        <f t="shared" si="586"/>
        <v>228.40700000000007</v>
      </c>
      <c r="BG292" s="396">
        <f t="shared" si="586"/>
        <v>275.1600000000002</v>
      </c>
      <c r="BH292" s="397">
        <f t="shared" si="586"/>
        <v>221.46000000000009</v>
      </c>
      <c r="BI292" s="396">
        <f t="shared" si="586"/>
        <v>236.21699999999998</v>
      </c>
      <c r="BJ292" s="396">
        <f t="shared" si="586"/>
        <v>286.82502399999987</v>
      </c>
      <c r="BK292" s="396">
        <f t="shared" si="586"/>
        <v>345.62345499999992</v>
      </c>
      <c r="BL292" s="397">
        <f t="shared" si="586"/>
        <v>278.18349999999992</v>
      </c>
      <c r="BM292" s="396">
        <f t="shared" ref="BM292:CF292" si="587">+BM213+BM239+BM240</f>
        <v>295.03877500000027</v>
      </c>
      <c r="BN292" s="396">
        <f t="shared" si="587"/>
        <v>336.13321050000013</v>
      </c>
      <c r="BO292" s="396">
        <f t="shared" si="587"/>
        <v>402.45559663709736</v>
      </c>
      <c r="BP292" s="397">
        <f t="shared" si="587"/>
        <v>317.24857338709677</v>
      </c>
      <c r="BQ292" s="396">
        <f t="shared" si="587"/>
        <v>331.74952993548391</v>
      </c>
      <c r="BR292" s="396">
        <f t="shared" si="587"/>
        <v>364.16518053419344</v>
      </c>
      <c r="BS292" s="396">
        <f t="shared" si="587"/>
        <v>446.97634823354832</v>
      </c>
      <c r="BT292" s="397">
        <f t="shared" si="587"/>
        <v>330.08968219354841</v>
      </c>
      <c r="BU292" s="396">
        <f t="shared" si="587"/>
        <v>347.28280703096755</v>
      </c>
      <c r="BV292" s="396">
        <f t="shared" si="587"/>
        <v>397.82120317158717</v>
      </c>
      <c r="BW292" s="396">
        <f t="shared" si="587"/>
        <v>525.31981260989687</v>
      </c>
      <c r="BX292" s="397">
        <f t="shared" si="587"/>
        <v>373.0080599470968</v>
      </c>
      <c r="BY292" s="396">
        <f t="shared" si="587"/>
        <v>363.09179738251612</v>
      </c>
      <c r="BZ292" s="396">
        <f t="shared" si="587"/>
        <v>431.73111333016573</v>
      </c>
      <c r="CA292" s="396">
        <f t="shared" si="587"/>
        <v>631.65775324039066</v>
      </c>
      <c r="CB292" s="397">
        <f t="shared" si="587"/>
        <v>480.92726294445163</v>
      </c>
      <c r="CC292" s="396">
        <f t="shared" si="587"/>
        <v>409.44543894811676</v>
      </c>
      <c r="CD292" s="396">
        <f t="shared" si="587"/>
        <v>485.80807307261898</v>
      </c>
      <c r="CE292" s="396">
        <f t="shared" si="587"/>
        <v>689.11176729296233</v>
      </c>
      <c r="CF292" s="397">
        <f t="shared" si="587"/>
        <v>536.2376431080761</v>
      </c>
      <c r="CG292" s="552"/>
      <c r="CH292" s="553"/>
      <c r="CI292" s="551"/>
      <c r="CJ292" s="394"/>
      <c r="CK292" s="394"/>
      <c r="CL292" s="394"/>
      <c r="CM292" s="396">
        <f>+CM213+CM239+CM240</f>
        <v>0</v>
      </c>
      <c r="CN292" s="396">
        <f>+CN213+CN239+CN240</f>
        <v>214.62999999999974</v>
      </c>
      <c r="CO292" s="396">
        <f>+CO213+CO239+CO240</f>
        <v>289.32700000000023</v>
      </c>
      <c r="CP292" s="396">
        <f>+CP213+CP239+CP240</f>
        <v>370.12799999999993</v>
      </c>
      <c r="CQ292" s="396">
        <f>+CQ213+CQ239+CQ240</f>
        <v>515.70699999999965</v>
      </c>
      <c r="CR292" s="396">
        <f>+SUM(BA292:BD292)</f>
        <v>728.70300000000032</v>
      </c>
      <c r="CS292" s="396">
        <f>+SUM(BE292:BH292)</f>
        <v>927.47700000000032</v>
      </c>
      <c r="CT292" s="396">
        <f>+SUM(BI292:BL292)</f>
        <v>1146.8489789999996</v>
      </c>
      <c r="CU292" s="396">
        <f>SUM(BM292:BP292)</f>
        <v>1350.8761555241945</v>
      </c>
      <c r="CV292" s="396">
        <f>SUM(BQ292:BT292)</f>
        <v>1472.9807408967743</v>
      </c>
      <c r="CW292" s="396">
        <f>SUM(BU292:BX292)</f>
        <v>1643.4318827595484</v>
      </c>
      <c r="CX292" s="396">
        <f>SUM(BY292:CB292)</f>
        <v>1907.4079268975242</v>
      </c>
      <c r="CY292" s="396">
        <f>SUM(CC292:CF292)</f>
        <v>2120.6029224217741</v>
      </c>
      <c r="CZ292" s="396">
        <f t="shared" ref="CZ292:DF292" si="588">+CZ213+CZ239+CZ240</f>
        <v>2331.1283555658656</v>
      </c>
      <c r="DA292" s="396">
        <f t="shared" si="588"/>
        <v>2527.6134073402222</v>
      </c>
      <c r="DB292" s="396">
        <f t="shared" si="588"/>
        <v>2709.9716675214208</v>
      </c>
      <c r="DC292" s="396">
        <f t="shared" si="588"/>
        <v>2875.9972645492376</v>
      </c>
      <c r="DD292" s="396">
        <f t="shared" si="588"/>
        <v>3051.1507077198421</v>
      </c>
      <c r="DE292" s="396">
        <f t="shared" si="588"/>
        <v>3236.3305976757206</v>
      </c>
      <c r="DF292" s="397">
        <f t="shared" si="588"/>
        <v>3435.747643147025</v>
      </c>
      <c r="DG292" s="612"/>
      <c r="DH292" s="612"/>
    </row>
    <row r="293" spans="1:113" s="51" customFormat="1" ht="11.25" customHeight="1">
      <c r="A293" s="82"/>
      <c r="B293"/>
      <c r="C293"/>
      <c r="D293"/>
      <c r="E293"/>
      <c r="F293"/>
      <c r="G293"/>
      <c r="H293" s="1044"/>
      <c r="I293" s="199" t="s">
        <v>203</v>
      </c>
      <c r="J293" s="89"/>
      <c r="K293" s="89"/>
      <c r="L293" s="82"/>
      <c r="M293" s="336"/>
      <c r="N293" s="336"/>
      <c r="O293" s="336"/>
      <c r="P293" s="337"/>
      <c r="Q293" s="336"/>
      <c r="R293" s="336"/>
      <c r="S293" s="336"/>
      <c r="T293" s="337"/>
      <c r="U293" s="328"/>
      <c r="V293" s="328"/>
      <c r="W293" s="328"/>
      <c r="X293" s="329"/>
      <c r="Y293" s="328"/>
      <c r="Z293" s="328"/>
      <c r="AA293" s="328"/>
      <c r="AB293" s="329"/>
      <c r="AC293" s="328"/>
      <c r="AD293" s="328"/>
      <c r="AE293" s="328"/>
      <c r="AF293" s="329"/>
      <c r="AG293" s="328"/>
      <c r="AH293" s="328"/>
      <c r="AI293" s="328"/>
      <c r="AJ293" s="329"/>
      <c r="AK293" s="338">
        <f t="shared" ref="AK293:CF293" si="589">+AK292/AK291</f>
        <v>0.21057823084911775</v>
      </c>
      <c r="AL293" s="338">
        <f t="shared" si="589"/>
        <v>0.2134755395085334</v>
      </c>
      <c r="AM293" s="338">
        <f t="shared" si="589"/>
        <v>0.21894110337159486</v>
      </c>
      <c r="AN293" s="339">
        <f t="shared" si="589"/>
        <v>0.22894585037847931</v>
      </c>
      <c r="AO293" s="338">
        <f t="shared" si="589"/>
        <v>0.231961133491243</v>
      </c>
      <c r="AP293" s="338">
        <f t="shared" si="589"/>
        <v>0.22597329209172304</v>
      </c>
      <c r="AQ293" s="338">
        <f t="shared" si="589"/>
        <v>0.24208768447664356</v>
      </c>
      <c r="AR293" s="339">
        <f t="shared" si="589"/>
        <v>0.25239973212292571</v>
      </c>
      <c r="AS293" s="338">
        <f t="shared" si="589"/>
        <v>0.24768830983486648</v>
      </c>
      <c r="AT293" s="338">
        <f t="shared" si="589"/>
        <v>0.24071899995406082</v>
      </c>
      <c r="AU293" s="338">
        <f t="shared" si="589"/>
        <v>0.25953021176022872</v>
      </c>
      <c r="AV293" s="339">
        <f t="shared" si="589"/>
        <v>0.28060971488312036</v>
      </c>
      <c r="AW293" s="338">
        <f t="shared" si="589"/>
        <v>0.28026342644877716</v>
      </c>
      <c r="AX293" s="338">
        <f t="shared" si="589"/>
        <v>0.27869630531780787</v>
      </c>
      <c r="AY293" s="338">
        <f t="shared" si="589"/>
        <v>0.32199653087360358</v>
      </c>
      <c r="AZ293" s="339">
        <f t="shared" si="589"/>
        <v>0.3383555622995339</v>
      </c>
      <c r="BA293" s="338">
        <f t="shared" si="589"/>
        <v>0.33265318686730994</v>
      </c>
      <c r="BB293" s="338">
        <f t="shared" si="589"/>
        <v>0.33370591672478483</v>
      </c>
      <c r="BC293" s="338">
        <f t="shared" si="589"/>
        <v>0.384791444969733</v>
      </c>
      <c r="BD293" s="339">
        <f t="shared" si="589"/>
        <v>0.40324848778452876</v>
      </c>
      <c r="BE293" s="338">
        <f t="shared" si="589"/>
        <v>0.4078290280796682</v>
      </c>
      <c r="BF293" s="338">
        <f t="shared" si="589"/>
        <v>0.41451370539214277</v>
      </c>
      <c r="BG293" s="338">
        <f t="shared" si="589"/>
        <v>0.47038390068533575</v>
      </c>
      <c r="BH293" s="339">
        <f t="shared" si="589"/>
        <v>0.46884725309622111</v>
      </c>
      <c r="BI293" s="338">
        <f t="shared" si="589"/>
        <v>0.44690330783027232</v>
      </c>
      <c r="BJ293" s="338">
        <f t="shared" si="589"/>
        <v>0.49433498786675484</v>
      </c>
      <c r="BK293" s="338">
        <f t="shared" si="589"/>
        <v>0.55664556034427215</v>
      </c>
      <c r="BL293" s="339">
        <f t="shared" si="589"/>
        <v>0.57740534100485263</v>
      </c>
      <c r="BM293" s="338">
        <f t="shared" si="589"/>
        <v>0.55984799752560777</v>
      </c>
      <c r="BN293" s="338">
        <f t="shared" si="589"/>
        <v>0.59256312527214516</v>
      </c>
      <c r="BO293" s="338">
        <f t="shared" si="589"/>
        <v>0.61468471463584085</v>
      </c>
      <c r="BP293" s="339">
        <f t="shared" si="589"/>
        <v>0.59048477368296037</v>
      </c>
      <c r="BQ293" s="338">
        <f t="shared" si="589"/>
        <v>0.59745086657148949</v>
      </c>
      <c r="BR293" s="338">
        <f t="shared" si="589"/>
        <v>0.59874613093471107</v>
      </c>
      <c r="BS293" s="338">
        <f t="shared" si="589"/>
        <v>0.67590249588093265</v>
      </c>
      <c r="BT293" s="339">
        <f t="shared" si="589"/>
        <v>0.63664636803890662</v>
      </c>
      <c r="BU293" s="338">
        <f t="shared" si="589"/>
        <v>0.64094185472797416</v>
      </c>
      <c r="BV293" s="338">
        <f t="shared" si="589"/>
        <v>0.67146558909034115</v>
      </c>
      <c r="BW293" s="338">
        <f>+BW292/BW291</f>
        <v>0.75641090960258117</v>
      </c>
      <c r="BX293" s="339">
        <f>+BX292/BX291</f>
        <v>0.71305037495908508</v>
      </c>
      <c r="BY293" s="338">
        <f t="shared" si="589"/>
        <v>0.69496440381677504</v>
      </c>
      <c r="BZ293" s="338">
        <f t="shared" si="589"/>
        <v>0.74220774702831593</v>
      </c>
      <c r="CA293" s="338">
        <f t="shared" si="589"/>
        <v>0.82312159902473858</v>
      </c>
      <c r="CB293" s="339">
        <f t="shared" si="589"/>
        <v>0.7990869141681618</v>
      </c>
      <c r="CC293" s="338">
        <f t="shared" si="589"/>
        <v>0.7726815787359862</v>
      </c>
      <c r="CD293" s="338">
        <f t="shared" si="589"/>
        <v>0.81000414360336193</v>
      </c>
      <c r="CE293" s="338">
        <f t="shared" si="589"/>
        <v>0.82955349689367541</v>
      </c>
      <c r="CF293" s="339">
        <f t="shared" si="589"/>
        <v>0.8077157821888904</v>
      </c>
      <c r="CG293" s="337"/>
      <c r="CH293" s="367"/>
      <c r="CI293" s="336"/>
      <c r="CJ293" s="328"/>
      <c r="CK293" s="328"/>
      <c r="CL293" s="328"/>
      <c r="CM293" s="328"/>
      <c r="CN293" s="338">
        <f t="shared" ref="CN293:CY293" si="590">+CN292/CN291</f>
        <v>0.21878070758428894</v>
      </c>
      <c r="CO293" s="338">
        <f t="shared" si="590"/>
        <v>0.23751110279256796</v>
      </c>
      <c r="CP293" s="338">
        <f t="shared" si="590"/>
        <v>0.2562899146018805</v>
      </c>
      <c r="CQ293" s="338">
        <f t="shared" si="590"/>
        <v>0.30517662959859471</v>
      </c>
      <c r="CR293" s="338">
        <f t="shared" si="590"/>
        <v>0.36354570095383598</v>
      </c>
      <c r="CS293" s="338">
        <f t="shared" si="590"/>
        <v>0.4406585669000434</v>
      </c>
      <c r="CT293" s="338">
        <f t="shared" si="590"/>
        <v>0.51859030628440572</v>
      </c>
      <c r="CU293" s="338">
        <f t="shared" si="590"/>
        <v>0.59086879914663659</v>
      </c>
      <c r="CV293" s="338">
        <f t="shared" si="590"/>
        <v>0.62859971539670123</v>
      </c>
      <c r="CW293" s="338">
        <f t="shared" si="590"/>
        <v>0.69876626936868125</v>
      </c>
      <c r="CX293" s="338">
        <f t="shared" si="590"/>
        <v>0.77117307936189672</v>
      </c>
      <c r="CY293" s="338">
        <f t="shared" si="590"/>
        <v>0.80807718351957536</v>
      </c>
      <c r="CZ293" s="338">
        <f t="shared" ref="CZ293:DF293" si="591">+CZ292/CZ291</f>
        <v>0.81683031224304947</v>
      </c>
      <c r="DA293" s="338">
        <f t="shared" si="591"/>
        <v>0.82600518915732268</v>
      </c>
      <c r="DB293" s="338">
        <f t="shared" si="591"/>
        <v>0.8354678612986105</v>
      </c>
      <c r="DC293" s="338">
        <f t="shared" si="591"/>
        <v>0.84324418556428227</v>
      </c>
      <c r="DD293" s="338">
        <f t="shared" si="591"/>
        <v>0.85076316163487942</v>
      </c>
      <c r="DE293" s="338">
        <f t="shared" si="591"/>
        <v>0.85805721045005401</v>
      </c>
      <c r="DF293" s="339">
        <f t="shared" si="591"/>
        <v>0.865262437314408</v>
      </c>
      <c r="DG293" s="308"/>
      <c r="DH293" s="308"/>
    </row>
    <row r="294" spans="1:113" s="26" customFormat="1" ht="11.25" customHeight="1">
      <c r="A294" s="24"/>
      <c r="B294"/>
      <c r="C294"/>
      <c r="D294"/>
      <c r="E294"/>
      <c r="F294"/>
      <c r="G294"/>
      <c r="H294" s="1044"/>
      <c r="I294" s="185"/>
      <c r="J294" s="70"/>
      <c r="K294" s="70"/>
      <c r="L294" s="24"/>
      <c r="M294" s="315"/>
      <c r="N294" s="315"/>
      <c r="O294" s="315"/>
      <c r="P294" s="316"/>
      <c r="Q294" s="315"/>
      <c r="R294" s="315"/>
      <c r="S294" s="315"/>
      <c r="T294" s="316"/>
      <c r="U294" s="326"/>
      <c r="V294" s="326"/>
      <c r="W294" s="326"/>
      <c r="X294" s="327"/>
      <c r="Y294" s="326"/>
      <c r="Z294" s="326"/>
      <c r="AA294" s="326"/>
      <c r="AB294" s="327"/>
      <c r="AC294" s="326"/>
      <c r="AD294" s="326"/>
      <c r="AE294" s="326"/>
      <c r="AF294" s="327"/>
      <c r="AG294" s="326"/>
      <c r="AH294" s="326"/>
      <c r="AI294" s="326"/>
      <c r="AJ294" s="327"/>
      <c r="AK294" s="326"/>
      <c r="AL294" s="326"/>
      <c r="AM294" s="326"/>
      <c r="AN294" s="329"/>
      <c r="AO294" s="328"/>
      <c r="AP294" s="328"/>
      <c r="AQ294" s="328"/>
      <c r="AR294" s="329"/>
      <c r="AS294" s="328"/>
      <c r="AT294" s="328"/>
      <c r="AU294" s="328"/>
      <c r="AV294" s="329"/>
      <c r="AW294" s="328"/>
      <c r="AX294" s="328"/>
      <c r="AY294" s="328"/>
      <c r="AZ294" s="327"/>
      <c r="BA294" s="315"/>
      <c r="BB294" s="326"/>
      <c r="BC294" s="326"/>
      <c r="BD294" s="327"/>
      <c r="BE294" s="326"/>
      <c r="BF294" s="326"/>
      <c r="BG294" s="326"/>
      <c r="BH294" s="327"/>
      <c r="BI294" s="321"/>
      <c r="BJ294" s="321"/>
      <c r="BK294" s="321"/>
      <c r="BL294" s="322"/>
      <c r="BM294" s="321"/>
      <c r="BN294" s="321"/>
      <c r="BO294" s="321"/>
      <c r="BP294" s="327"/>
      <c r="BQ294" s="326"/>
      <c r="BR294" s="326"/>
      <c r="BS294" s="326"/>
      <c r="BT294" s="327"/>
      <c r="BU294" s="326"/>
      <c r="BV294" s="326"/>
      <c r="BW294" s="326"/>
      <c r="BX294" s="327"/>
      <c r="BY294" s="326"/>
      <c r="BZ294" s="326"/>
      <c r="CA294" s="326"/>
      <c r="CB294" s="327"/>
      <c r="CC294" s="326"/>
      <c r="CD294" s="326"/>
      <c r="CE294" s="326"/>
      <c r="CF294" s="327"/>
      <c r="CG294" s="316"/>
      <c r="CH294" s="320"/>
      <c r="CI294" s="315"/>
      <c r="CJ294" s="326"/>
      <c r="CK294" s="326"/>
      <c r="CL294" s="326"/>
      <c r="CM294" s="326"/>
      <c r="CN294" s="328"/>
      <c r="CO294" s="380"/>
      <c r="CP294" s="380"/>
      <c r="CQ294" s="326"/>
      <c r="CR294" s="357">
        <f>+CR239+CR213</f>
        <v>660.75766970387269</v>
      </c>
      <c r="CS294" s="321"/>
      <c r="CT294" s="321"/>
      <c r="CU294" s="321"/>
      <c r="CV294" s="321"/>
      <c r="CW294" s="321"/>
      <c r="CX294" s="321"/>
      <c r="CY294" s="321"/>
      <c r="CZ294" s="326"/>
      <c r="DA294" s="326"/>
      <c r="DB294" s="326"/>
      <c r="DC294" s="326"/>
      <c r="DD294" s="326"/>
      <c r="DE294" s="326"/>
      <c r="DF294" s="327"/>
      <c r="DG294" s="94"/>
      <c r="DH294" s="94"/>
    </row>
    <row r="295" spans="1:113" s="554" customFormat="1" ht="11.25" customHeight="1">
      <c r="A295" s="547"/>
      <c r="B295"/>
      <c r="C295"/>
      <c r="D295"/>
      <c r="E295"/>
      <c r="F295"/>
      <c r="G295"/>
      <c r="H295" s="1044"/>
      <c r="I295" s="555" t="s">
        <v>23</v>
      </c>
      <c r="J295" s="550"/>
      <c r="K295" s="550"/>
      <c r="L295" s="547"/>
      <c r="M295" s="551"/>
      <c r="N295" s="551"/>
      <c r="O295" s="551"/>
      <c r="P295" s="552"/>
      <c r="Q295" s="551"/>
      <c r="R295" s="551"/>
      <c r="S295" s="551"/>
      <c r="T295" s="552"/>
      <c r="U295" s="394"/>
      <c r="V295" s="394"/>
      <c r="W295" s="394"/>
      <c r="X295" s="395"/>
      <c r="Y295" s="394"/>
      <c r="Z295" s="394"/>
      <c r="AA295" s="394"/>
      <c r="AB295" s="395"/>
      <c r="AC295" s="394"/>
      <c r="AD295" s="394"/>
      <c r="AE295" s="394"/>
      <c r="AF295" s="395"/>
      <c r="AG295" s="396">
        <f t="shared" ref="AG295:BL295" si="592">+AG203+AG180</f>
        <v>30.381</v>
      </c>
      <c r="AH295" s="396">
        <f t="shared" si="592"/>
        <v>55.892000000000003</v>
      </c>
      <c r="AI295" s="396">
        <f t="shared" si="592"/>
        <v>73.325999999999993</v>
      </c>
      <c r="AJ295" s="397">
        <f t="shared" si="592"/>
        <v>54.301000000000002</v>
      </c>
      <c r="AK295" s="396">
        <f t="shared" si="592"/>
        <v>54.511000000000003</v>
      </c>
      <c r="AL295" s="396">
        <f t="shared" si="592"/>
        <v>98.343999999999994</v>
      </c>
      <c r="AM295" s="396">
        <f t="shared" si="592"/>
        <v>139.62299999999999</v>
      </c>
      <c r="AN295" s="397">
        <f t="shared" si="592"/>
        <v>105.768</v>
      </c>
      <c r="AO295" s="396">
        <f t="shared" si="592"/>
        <v>109.932</v>
      </c>
      <c r="AP295" s="396">
        <f t="shared" si="592"/>
        <v>173.249</v>
      </c>
      <c r="AQ295" s="396">
        <f t="shared" si="592"/>
        <v>232.63800000000001</v>
      </c>
      <c r="AR295" s="397">
        <f t="shared" si="592"/>
        <v>132.97300000000001</v>
      </c>
      <c r="AS295" s="396">
        <f t="shared" si="592"/>
        <v>120.22499999999999</v>
      </c>
      <c r="AT295" s="396">
        <f t="shared" si="592"/>
        <v>204.48500000000001</v>
      </c>
      <c r="AU295" s="396">
        <f t="shared" si="592"/>
        <v>323.18799999999999</v>
      </c>
      <c r="AV295" s="397">
        <f t="shared" si="592"/>
        <v>220.49600000000001</v>
      </c>
      <c r="AW295" s="396">
        <f t="shared" si="592"/>
        <v>213.24199999999999</v>
      </c>
      <c r="AX295" s="396">
        <f t="shared" si="592"/>
        <v>317.512</v>
      </c>
      <c r="AY295" s="396">
        <f t="shared" si="592"/>
        <v>504.01</v>
      </c>
      <c r="AZ295" s="397">
        <f t="shared" si="592"/>
        <v>345.83800000000002</v>
      </c>
      <c r="BA295" s="396">
        <f t="shared" si="592"/>
        <v>351.42200000000003</v>
      </c>
      <c r="BB295" s="396">
        <f t="shared" si="592"/>
        <v>569.18100000000004</v>
      </c>
      <c r="BC295" s="396">
        <f t="shared" si="592"/>
        <v>876.601</v>
      </c>
      <c r="BD295" s="397">
        <f t="shared" si="592"/>
        <v>542.048</v>
      </c>
      <c r="BE295" s="396">
        <f t="shared" si="592"/>
        <v>537.62699999999995</v>
      </c>
      <c r="BF295" s="396">
        <f t="shared" si="592"/>
        <v>771.99599999999998</v>
      </c>
      <c r="BG295" s="396">
        <f t="shared" si="592"/>
        <v>1118.1279999999999</v>
      </c>
      <c r="BH295" s="397">
        <f t="shared" si="592"/>
        <v>715.06299999999999</v>
      </c>
      <c r="BI295" s="396">
        <f t="shared" si="592"/>
        <v>769.928</v>
      </c>
      <c r="BJ295" s="396">
        <f t="shared" si="592"/>
        <v>1064.6400000000001</v>
      </c>
      <c r="BK295" s="396">
        <f t="shared" si="592"/>
        <v>1576.434</v>
      </c>
      <c r="BL295" s="397">
        <f t="shared" si="592"/>
        <v>999.68700000000001</v>
      </c>
      <c r="BM295" s="396">
        <f t="shared" ref="BM295:CF295" si="593">+BM203+BM180</f>
        <v>1041.144</v>
      </c>
      <c r="BN295" s="396">
        <f t="shared" si="593"/>
        <v>1474.396</v>
      </c>
      <c r="BO295" s="396">
        <f t="shared" si="593"/>
        <v>2099.6289999999999</v>
      </c>
      <c r="BP295" s="397">
        <f t="shared" si="593"/>
        <v>1230.633</v>
      </c>
      <c r="BQ295" s="396">
        <f t="shared" si="593"/>
        <v>1199.348</v>
      </c>
      <c r="BR295" s="396">
        <f t="shared" si="593"/>
        <v>1582.153</v>
      </c>
      <c r="BS295" s="396">
        <f t="shared" si="593"/>
        <v>2345.6729999999998</v>
      </c>
      <c r="BT295" s="397">
        <f t="shared" si="593"/>
        <v>1400.7239999999999</v>
      </c>
      <c r="BU295" s="396">
        <f t="shared" si="593"/>
        <v>1500.029</v>
      </c>
      <c r="BV295" s="396">
        <f t="shared" si="593"/>
        <v>1852.961</v>
      </c>
      <c r="BW295" s="396">
        <f t="shared" si="593"/>
        <v>2892.4490000000001</v>
      </c>
      <c r="BX295" s="397">
        <f t="shared" si="593"/>
        <v>1736.6769999999999</v>
      </c>
      <c r="BY295" s="396">
        <f t="shared" si="593"/>
        <v>1785.3130000000001</v>
      </c>
      <c r="BZ295" s="396">
        <f t="shared" si="593"/>
        <v>2332.3710000000001</v>
      </c>
      <c r="CA295" s="396">
        <f t="shared" si="593"/>
        <v>3523.7060000000001</v>
      </c>
      <c r="CB295" s="397">
        <f t="shared" si="593"/>
        <v>2072.7359999999999</v>
      </c>
      <c r="CC295" s="396">
        <f>+CC203+CC180</f>
        <v>2190.0364561776123</v>
      </c>
      <c r="CD295" s="396">
        <f t="shared" si="593"/>
        <v>2876.0999284314821</v>
      </c>
      <c r="CE295" s="396">
        <f>+CE203+CE180</f>
        <v>4083.2526724124418</v>
      </c>
      <c r="CF295" s="397">
        <f t="shared" si="593"/>
        <v>2612.2718709832075</v>
      </c>
      <c r="CG295" s="552"/>
      <c r="CH295" s="553"/>
      <c r="CI295" s="551"/>
      <c r="CJ295" s="394"/>
      <c r="CK295" s="394"/>
      <c r="CL295" s="394"/>
      <c r="CM295" s="396">
        <f>+CM203+CM180</f>
        <v>213.89999999999998</v>
      </c>
      <c r="CN295" s="396">
        <f>+CN203+CN180</f>
        <v>398.24599999999998</v>
      </c>
      <c r="CO295" s="396">
        <f>+CO203+CO180</f>
        <v>648.79199999999992</v>
      </c>
      <c r="CP295" s="396">
        <f>+CP203+CP180</f>
        <v>868.39400000000001</v>
      </c>
      <c r="CQ295" s="396">
        <f>+CQ203+CQ180</f>
        <v>1380.6019999999999</v>
      </c>
      <c r="CR295" s="396">
        <f>+SUM(BA295:BD295)</f>
        <v>2339.2520000000004</v>
      </c>
      <c r="CS295" s="396">
        <f>+SUM(BE295:BH295)</f>
        <v>3142.8140000000003</v>
      </c>
      <c r="CT295" s="396">
        <f>+SUM(BI295:BL295)</f>
        <v>4410.6890000000003</v>
      </c>
      <c r="CU295" s="396">
        <f>SUM(BM295:BP295)</f>
        <v>5845.8019999999997</v>
      </c>
      <c r="CV295" s="396">
        <f>SUM(BQ295:BT295)</f>
        <v>6527.8980000000001</v>
      </c>
      <c r="CW295" s="396">
        <f>SUM(BU295:BX295)</f>
        <v>7982.116</v>
      </c>
      <c r="CX295" s="396">
        <f>SUM(BY295:CB295)</f>
        <v>9714.1260000000002</v>
      </c>
      <c r="CY295" s="396">
        <f>SUM(CC295:CF295)</f>
        <v>11761.660928004745</v>
      </c>
      <c r="CZ295" s="396">
        <f t="shared" ref="CZ295:DF295" si="594">+CZ203+CZ180</f>
        <v>13551.386663448857</v>
      </c>
      <c r="DA295" s="396">
        <f t="shared" si="594"/>
        <v>15336.573064356466</v>
      </c>
      <c r="DB295" s="396">
        <f t="shared" si="594"/>
        <v>17055.446821221594</v>
      </c>
      <c r="DC295" s="396">
        <f t="shared" si="594"/>
        <v>18739.088380825568</v>
      </c>
      <c r="DD295" s="396">
        <f t="shared" si="594"/>
        <v>20381.539025738901</v>
      </c>
      <c r="DE295" s="396">
        <f t="shared" si="594"/>
        <v>21965.131910591412</v>
      </c>
      <c r="DF295" s="397">
        <f t="shared" si="594"/>
        <v>23672.706010480768</v>
      </c>
      <c r="DG295" s="612"/>
      <c r="DH295" s="612"/>
    </row>
    <row r="296" spans="1:113" s="554" customFormat="1" ht="11.25" customHeight="1">
      <c r="A296" s="547"/>
      <c r="B296"/>
      <c r="C296"/>
      <c r="D296"/>
      <c r="E296"/>
      <c r="F296"/>
      <c r="G296"/>
      <c r="H296" s="1044"/>
      <c r="I296" s="555" t="s">
        <v>204</v>
      </c>
      <c r="J296" s="550"/>
      <c r="K296" s="550"/>
      <c r="L296" s="547"/>
      <c r="M296" s="551"/>
      <c r="N296" s="551"/>
      <c r="O296" s="551"/>
      <c r="P296" s="552"/>
      <c r="Q296" s="551"/>
      <c r="R296" s="551"/>
      <c r="S296" s="551"/>
      <c r="T296" s="552"/>
      <c r="U296" s="394"/>
      <c r="V296" s="394"/>
      <c r="W296" s="394"/>
      <c r="X296" s="395"/>
      <c r="Y296" s="394"/>
      <c r="Z296" s="394"/>
      <c r="AA296" s="394"/>
      <c r="AB296" s="395"/>
      <c r="AC296" s="394"/>
      <c r="AD296" s="394"/>
      <c r="AE296" s="394"/>
      <c r="AF296" s="395"/>
      <c r="AG296" s="394"/>
      <c r="AH296" s="394"/>
      <c r="AI296" s="394"/>
      <c r="AJ296" s="395"/>
      <c r="AK296" s="396">
        <f t="shared" ref="AK296:CF296" si="595">+AK238+AK214</f>
        <v>54.511000000000003</v>
      </c>
      <c r="AL296" s="396">
        <f t="shared" si="595"/>
        <v>98.343999999999994</v>
      </c>
      <c r="AM296" s="396">
        <f t="shared" si="595"/>
        <v>139.62299999999999</v>
      </c>
      <c r="AN296" s="397">
        <f t="shared" si="595"/>
        <v>105.768</v>
      </c>
      <c r="AO296" s="396">
        <f t="shared" si="595"/>
        <v>109.932</v>
      </c>
      <c r="AP296" s="396">
        <f t="shared" si="595"/>
        <v>173.249</v>
      </c>
      <c r="AQ296" s="396">
        <f t="shared" si="595"/>
        <v>232.63800000000001</v>
      </c>
      <c r="AR296" s="397">
        <f t="shared" si="595"/>
        <v>132.97300000000001</v>
      </c>
      <c r="AS296" s="396">
        <f t="shared" si="595"/>
        <v>120.22499999999999</v>
      </c>
      <c r="AT296" s="396">
        <f t="shared" si="595"/>
        <v>204.48500000000001</v>
      </c>
      <c r="AU296" s="396">
        <f t="shared" si="595"/>
        <v>323.18799999999999</v>
      </c>
      <c r="AV296" s="397">
        <f t="shared" si="595"/>
        <v>220.49600000000001</v>
      </c>
      <c r="AW296" s="396">
        <f t="shared" si="595"/>
        <v>213.24199999999999</v>
      </c>
      <c r="AX296" s="396">
        <f t="shared" si="595"/>
        <v>317.512</v>
      </c>
      <c r="AY296" s="396">
        <f t="shared" si="595"/>
        <v>504.01</v>
      </c>
      <c r="AZ296" s="397">
        <f t="shared" si="595"/>
        <v>345.83800000000002</v>
      </c>
      <c r="BA296" s="396">
        <f t="shared" si="595"/>
        <v>351.42200000000003</v>
      </c>
      <c r="BB296" s="396">
        <f t="shared" si="595"/>
        <v>569.18100000000004</v>
      </c>
      <c r="BC296" s="396">
        <f t="shared" si="595"/>
        <v>876.601</v>
      </c>
      <c r="BD296" s="397">
        <f t="shared" si="595"/>
        <v>542.048</v>
      </c>
      <c r="BE296" s="396">
        <f t="shared" si="595"/>
        <v>537.62699999999995</v>
      </c>
      <c r="BF296" s="396">
        <f t="shared" si="595"/>
        <v>771.99599999999998</v>
      </c>
      <c r="BG296" s="396">
        <f t="shared" si="595"/>
        <v>1118.1279999999999</v>
      </c>
      <c r="BH296" s="397">
        <f t="shared" si="595"/>
        <v>715.06299999999999</v>
      </c>
      <c r="BI296" s="396">
        <f t="shared" si="595"/>
        <v>769.928</v>
      </c>
      <c r="BJ296" s="396">
        <f t="shared" si="595"/>
        <v>1064.6400000000001</v>
      </c>
      <c r="BK296" s="396">
        <f t="shared" si="595"/>
        <v>1576.434</v>
      </c>
      <c r="BL296" s="397">
        <f t="shared" si="595"/>
        <v>999.68700000000001</v>
      </c>
      <c r="BM296" s="396">
        <f t="shared" si="595"/>
        <v>1041.144</v>
      </c>
      <c r="BN296" s="396">
        <f t="shared" si="595"/>
        <v>1474.396</v>
      </c>
      <c r="BO296" s="396">
        <f t="shared" si="595"/>
        <v>2099.6289999999999</v>
      </c>
      <c r="BP296" s="397">
        <f t="shared" si="595"/>
        <v>1230.633</v>
      </c>
      <c r="BQ296" s="396">
        <f t="shared" si="595"/>
        <v>1199.348</v>
      </c>
      <c r="BR296" s="396">
        <f t="shared" si="595"/>
        <v>1582.153</v>
      </c>
      <c r="BS296" s="396">
        <f t="shared" si="595"/>
        <v>2345.6729999999998</v>
      </c>
      <c r="BT296" s="397">
        <f t="shared" si="595"/>
        <v>1400.7239999999999</v>
      </c>
      <c r="BU296" s="396">
        <f t="shared" si="595"/>
        <v>1500.029</v>
      </c>
      <c r="BV296" s="396">
        <f t="shared" si="595"/>
        <v>1852.961</v>
      </c>
      <c r="BW296" s="396">
        <f t="shared" si="595"/>
        <v>2892.4490000000001</v>
      </c>
      <c r="BX296" s="397">
        <f t="shared" si="595"/>
        <v>1736.6769999999999</v>
      </c>
      <c r="BY296" s="396">
        <f t="shared" si="595"/>
        <v>1785.3130000000001</v>
      </c>
      <c r="BZ296" s="396">
        <f t="shared" si="595"/>
        <v>2332.3710000000001</v>
      </c>
      <c r="CA296" s="396">
        <f t="shared" si="595"/>
        <v>3523.7060000000001</v>
      </c>
      <c r="CB296" s="397">
        <f t="shared" si="595"/>
        <v>2072.7359999999999</v>
      </c>
      <c r="CC296" s="396">
        <f t="shared" si="595"/>
        <v>2190.0364561776123</v>
      </c>
      <c r="CD296" s="396">
        <f t="shared" si="595"/>
        <v>2876.0999284314821</v>
      </c>
      <c r="CE296" s="396">
        <f t="shared" si="595"/>
        <v>4083.2526724124418</v>
      </c>
      <c r="CF296" s="397">
        <f t="shared" si="595"/>
        <v>2612.2718709832075</v>
      </c>
      <c r="CG296" s="552"/>
      <c r="CH296" s="553"/>
      <c r="CI296" s="551"/>
      <c r="CJ296" s="394"/>
      <c r="CK296" s="394"/>
      <c r="CL296" s="394"/>
      <c r="CM296" s="394"/>
      <c r="CN296" s="396">
        <f>+CN238+CN214</f>
        <v>398.24599999999998</v>
      </c>
      <c r="CO296" s="396">
        <f>+CO238+CO214</f>
        <v>648.79199999999992</v>
      </c>
      <c r="CP296" s="396">
        <f>+CP238+CP214</f>
        <v>868.39400000000001</v>
      </c>
      <c r="CQ296" s="396">
        <f>+CQ238+CQ214</f>
        <v>1380.6019999999999</v>
      </c>
      <c r="CR296" s="396">
        <f>+SUM(BA296:BD296)</f>
        <v>2339.2520000000004</v>
      </c>
      <c r="CS296" s="396">
        <f>+SUM(BE296:BH296)</f>
        <v>3142.8140000000003</v>
      </c>
      <c r="CT296" s="396">
        <f>+SUM(BI296:BL296)</f>
        <v>4410.6890000000003</v>
      </c>
      <c r="CU296" s="396">
        <f>SUM(BM296:BP296)</f>
        <v>5845.8019999999997</v>
      </c>
      <c r="CV296" s="396">
        <f>SUM(BQ296:BT296)</f>
        <v>6527.8980000000001</v>
      </c>
      <c r="CW296" s="396">
        <f>SUM(BU296:BX296)</f>
        <v>7982.116</v>
      </c>
      <c r="CX296" s="396">
        <f>SUM(BY296:CB296)</f>
        <v>9714.1260000000002</v>
      </c>
      <c r="CY296" s="396">
        <f>SUM(CC296:CF296)</f>
        <v>11761.660928004745</v>
      </c>
      <c r="CZ296" s="396">
        <f t="shared" ref="CZ296:DF296" si="596">+CZ238+CZ214</f>
        <v>13551.386663448857</v>
      </c>
      <c r="DA296" s="396">
        <f t="shared" si="596"/>
        <v>15336.573064356466</v>
      </c>
      <c r="DB296" s="396">
        <f t="shared" si="596"/>
        <v>17055.446821221594</v>
      </c>
      <c r="DC296" s="396">
        <f t="shared" si="596"/>
        <v>18739.088380825568</v>
      </c>
      <c r="DD296" s="396">
        <f t="shared" si="596"/>
        <v>20381.539025738901</v>
      </c>
      <c r="DE296" s="396">
        <f t="shared" si="596"/>
        <v>21965.131910591412</v>
      </c>
      <c r="DF296" s="397">
        <f t="shared" si="596"/>
        <v>23672.706010480768</v>
      </c>
      <c r="DG296" s="612"/>
      <c r="DH296" s="612"/>
    </row>
    <row r="297" spans="1:113" s="51" customFormat="1" ht="11.25" customHeight="1">
      <c r="A297" s="82"/>
      <c r="B297"/>
      <c r="C297"/>
      <c r="D297"/>
      <c r="E297"/>
      <c r="F297"/>
      <c r="G297"/>
      <c r="H297" s="1044"/>
      <c r="I297" s="199" t="s">
        <v>203</v>
      </c>
      <c r="J297" s="89"/>
      <c r="K297" s="89"/>
      <c r="L297" s="82"/>
      <c r="M297" s="336"/>
      <c r="N297" s="336"/>
      <c r="O297" s="336"/>
      <c r="P297" s="337"/>
      <c r="Q297" s="336"/>
      <c r="R297" s="336"/>
      <c r="S297" s="336"/>
      <c r="T297" s="337"/>
      <c r="U297" s="328"/>
      <c r="V297" s="328"/>
      <c r="W297" s="328"/>
      <c r="X297" s="329"/>
      <c r="Y297" s="328"/>
      <c r="Z297" s="328"/>
      <c r="AA297" s="328"/>
      <c r="AB297" s="329"/>
      <c r="AC297" s="328"/>
      <c r="AD297" s="328"/>
      <c r="AE297" s="328"/>
      <c r="AF297" s="329"/>
      <c r="AG297" s="328"/>
      <c r="AH297" s="328"/>
      <c r="AI297" s="328"/>
      <c r="AJ297" s="329"/>
      <c r="AK297" s="338">
        <f t="shared" ref="AK297:CF297" si="597">+AK296/AK295</f>
        <v>1</v>
      </c>
      <c r="AL297" s="338">
        <f t="shared" si="597"/>
        <v>1</v>
      </c>
      <c r="AM297" s="338">
        <f t="shared" si="597"/>
        <v>1</v>
      </c>
      <c r="AN297" s="339">
        <f t="shared" si="597"/>
        <v>1</v>
      </c>
      <c r="AO297" s="338">
        <f t="shared" si="597"/>
        <v>1</v>
      </c>
      <c r="AP297" s="338">
        <f t="shared" si="597"/>
        <v>1</v>
      </c>
      <c r="AQ297" s="338">
        <f t="shared" si="597"/>
        <v>1</v>
      </c>
      <c r="AR297" s="339">
        <f t="shared" si="597"/>
        <v>1</v>
      </c>
      <c r="AS297" s="338">
        <f t="shared" si="597"/>
        <v>1</v>
      </c>
      <c r="AT297" s="338">
        <f t="shared" si="597"/>
        <v>1</v>
      </c>
      <c r="AU297" s="338">
        <f t="shared" si="597"/>
        <v>1</v>
      </c>
      <c r="AV297" s="339">
        <f t="shared" si="597"/>
        <v>1</v>
      </c>
      <c r="AW297" s="338">
        <f t="shared" si="597"/>
        <v>1</v>
      </c>
      <c r="AX297" s="338">
        <f t="shared" si="597"/>
        <v>1</v>
      </c>
      <c r="AY297" s="338">
        <f t="shared" si="597"/>
        <v>1</v>
      </c>
      <c r="AZ297" s="339">
        <f t="shared" si="597"/>
        <v>1</v>
      </c>
      <c r="BA297" s="338">
        <f t="shared" si="597"/>
        <v>1</v>
      </c>
      <c r="BB297" s="338">
        <f t="shared" si="597"/>
        <v>1</v>
      </c>
      <c r="BC297" s="338">
        <f t="shared" si="597"/>
        <v>1</v>
      </c>
      <c r="BD297" s="339">
        <f t="shared" si="597"/>
        <v>1</v>
      </c>
      <c r="BE297" s="338">
        <f t="shared" si="597"/>
        <v>1</v>
      </c>
      <c r="BF297" s="338">
        <f t="shared" si="597"/>
        <v>1</v>
      </c>
      <c r="BG297" s="338">
        <f t="shared" si="597"/>
        <v>1</v>
      </c>
      <c r="BH297" s="339">
        <f t="shared" si="597"/>
        <v>1</v>
      </c>
      <c r="BI297" s="338">
        <f t="shared" si="597"/>
        <v>1</v>
      </c>
      <c r="BJ297" s="338">
        <f t="shared" si="597"/>
        <v>1</v>
      </c>
      <c r="BK297" s="338">
        <f t="shared" si="597"/>
        <v>1</v>
      </c>
      <c r="BL297" s="339">
        <f t="shared" si="597"/>
        <v>1</v>
      </c>
      <c r="BM297" s="338">
        <f t="shared" si="597"/>
        <v>1</v>
      </c>
      <c r="BN297" s="338">
        <f t="shared" si="597"/>
        <v>1</v>
      </c>
      <c r="BO297" s="338">
        <f t="shared" si="597"/>
        <v>1</v>
      </c>
      <c r="BP297" s="339">
        <f t="shared" si="597"/>
        <v>1</v>
      </c>
      <c r="BQ297" s="338">
        <f t="shared" si="597"/>
        <v>1</v>
      </c>
      <c r="BR297" s="338">
        <f t="shared" si="597"/>
        <v>1</v>
      </c>
      <c r="BS297" s="338">
        <f t="shared" si="597"/>
        <v>1</v>
      </c>
      <c r="BT297" s="339">
        <f t="shared" si="597"/>
        <v>1</v>
      </c>
      <c r="BU297" s="338">
        <f t="shared" si="597"/>
        <v>1</v>
      </c>
      <c r="BV297" s="338">
        <f t="shared" si="597"/>
        <v>1</v>
      </c>
      <c r="BW297" s="338">
        <f>+BW296/BW295</f>
        <v>1</v>
      </c>
      <c r="BX297" s="339">
        <f>+BX296/BX295</f>
        <v>1</v>
      </c>
      <c r="BY297" s="338">
        <f t="shared" si="597"/>
        <v>1</v>
      </c>
      <c r="BZ297" s="338">
        <f t="shared" si="597"/>
        <v>1</v>
      </c>
      <c r="CA297" s="338">
        <f t="shared" si="597"/>
        <v>1</v>
      </c>
      <c r="CB297" s="339">
        <f t="shared" si="597"/>
        <v>1</v>
      </c>
      <c r="CC297" s="338">
        <f t="shared" si="597"/>
        <v>1</v>
      </c>
      <c r="CD297" s="338">
        <f t="shared" si="597"/>
        <v>1</v>
      </c>
      <c r="CE297" s="338">
        <f t="shared" si="597"/>
        <v>1</v>
      </c>
      <c r="CF297" s="339">
        <f t="shared" si="597"/>
        <v>1</v>
      </c>
      <c r="CG297" s="337"/>
      <c r="CH297" s="367"/>
      <c r="CI297" s="336"/>
      <c r="CJ297" s="328"/>
      <c r="CK297" s="328"/>
      <c r="CL297" s="328"/>
      <c r="CM297" s="328"/>
      <c r="CN297" s="338">
        <f t="shared" ref="CN297:CY297" si="598">+CN296/CN295</f>
        <v>1</v>
      </c>
      <c r="CO297" s="338">
        <f t="shared" si="598"/>
        <v>1</v>
      </c>
      <c r="CP297" s="338">
        <f t="shared" si="598"/>
        <v>1</v>
      </c>
      <c r="CQ297" s="338">
        <f t="shared" si="598"/>
        <v>1</v>
      </c>
      <c r="CR297" s="338">
        <f t="shared" si="598"/>
        <v>1</v>
      </c>
      <c r="CS297" s="338">
        <f t="shared" si="598"/>
        <v>1</v>
      </c>
      <c r="CT297" s="338">
        <f t="shared" si="598"/>
        <v>1</v>
      </c>
      <c r="CU297" s="338">
        <f t="shared" si="598"/>
        <v>1</v>
      </c>
      <c r="CV297" s="338">
        <f t="shared" si="598"/>
        <v>1</v>
      </c>
      <c r="CW297" s="338">
        <f t="shared" si="598"/>
        <v>1</v>
      </c>
      <c r="CX297" s="338">
        <f t="shared" si="598"/>
        <v>1</v>
      </c>
      <c r="CY297" s="338">
        <f t="shared" si="598"/>
        <v>1</v>
      </c>
      <c r="CZ297" s="338">
        <f t="shared" ref="CZ297:DF297" si="599">+CZ296/CZ295</f>
        <v>1</v>
      </c>
      <c r="DA297" s="338">
        <f t="shared" si="599"/>
        <v>1</v>
      </c>
      <c r="DB297" s="338">
        <f t="shared" si="599"/>
        <v>1</v>
      </c>
      <c r="DC297" s="338">
        <f t="shared" si="599"/>
        <v>1</v>
      </c>
      <c r="DD297" s="338">
        <f t="shared" si="599"/>
        <v>1</v>
      </c>
      <c r="DE297" s="338">
        <f t="shared" si="599"/>
        <v>1</v>
      </c>
      <c r="DF297" s="339">
        <f t="shared" si="599"/>
        <v>1</v>
      </c>
      <c r="DG297" s="308"/>
      <c r="DH297" s="308"/>
    </row>
    <row r="298" spans="1:113" s="26" customFormat="1" ht="11.25" customHeight="1">
      <c r="A298" s="24"/>
      <c r="B298"/>
      <c r="C298"/>
      <c r="D298"/>
      <c r="E298"/>
      <c r="F298"/>
      <c r="G298"/>
      <c r="H298" s="1044"/>
      <c r="I298" s="185"/>
      <c r="J298" s="70"/>
      <c r="K298" s="70"/>
      <c r="L298" s="24"/>
      <c r="M298" s="315"/>
      <c r="N298" s="315"/>
      <c r="O298" s="315"/>
      <c r="P298" s="316"/>
      <c r="Q298" s="315"/>
      <c r="R298" s="315"/>
      <c r="S298" s="315"/>
      <c r="T298" s="316"/>
      <c r="U298" s="326"/>
      <c r="V298" s="326"/>
      <c r="W298" s="326"/>
      <c r="X298" s="327"/>
      <c r="Y298" s="326"/>
      <c r="Z298" s="326"/>
      <c r="AA298" s="326"/>
      <c r="AB298" s="327"/>
      <c r="AC298" s="326"/>
      <c r="AD298" s="326"/>
      <c r="AE298" s="326"/>
      <c r="AF298" s="327"/>
      <c r="AG298" s="326"/>
      <c r="AH298" s="326"/>
      <c r="AI298" s="326"/>
      <c r="AJ298" s="327"/>
      <c r="AK298" s="326"/>
      <c r="AL298" s="326"/>
      <c r="AM298" s="326"/>
      <c r="AN298" s="329"/>
      <c r="AO298" s="328"/>
      <c r="AP298" s="328"/>
      <c r="AQ298" s="328"/>
      <c r="AR298" s="329"/>
      <c r="AS298" s="328"/>
      <c r="AT298" s="328"/>
      <c r="AU298" s="328"/>
      <c r="AV298" s="329"/>
      <c r="AW298" s="328"/>
      <c r="AX298" s="328"/>
      <c r="AY298" s="328"/>
      <c r="AZ298" s="327"/>
      <c r="BA298" s="315"/>
      <c r="BB298" s="326"/>
      <c r="BC298" s="326"/>
      <c r="BD298" s="327"/>
      <c r="BE298" s="326"/>
      <c r="BF298" s="326"/>
      <c r="BG298" s="326"/>
      <c r="BH298" s="327"/>
      <c r="BI298" s="326"/>
      <c r="BJ298" s="326"/>
      <c r="BK298" s="326"/>
      <c r="BL298" s="327"/>
      <c r="BM298" s="326"/>
      <c r="BN298" s="326"/>
      <c r="BO298" s="326"/>
      <c r="BP298" s="327"/>
      <c r="BQ298" s="326"/>
      <c r="BR298" s="326"/>
      <c r="BS298" s="326"/>
      <c r="BT298" s="327"/>
      <c r="BU298" s="326"/>
      <c r="BV298" s="326"/>
      <c r="BW298" s="326"/>
      <c r="BX298" s="327"/>
      <c r="BY298" s="326"/>
      <c r="BZ298" s="326"/>
      <c r="CA298" s="326"/>
      <c r="CB298" s="327"/>
      <c r="CC298" s="326"/>
      <c r="CD298" s="326"/>
      <c r="CE298" s="326"/>
      <c r="CF298" s="327"/>
      <c r="CG298" s="316"/>
      <c r="CH298" s="320"/>
      <c r="CI298" s="315"/>
      <c r="CJ298" s="326"/>
      <c r="CK298" s="326"/>
      <c r="CL298" s="326"/>
      <c r="CM298" s="326"/>
      <c r="CN298" s="328"/>
      <c r="CO298" s="380"/>
      <c r="CP298" s="380"/>
      <c r="CQ298" s="326"/>
      <c r="CR298" s="326"/>
      <c r="CS298" s="321"/>
      <c r="CT298" s="321"/>
      <c r="CU298" s="321"/>
      <c r="CV298" s="321"/>
      <c r="CW298" s="321"/>
      <c r="CX298" s="321"/>
      <c r="CY298" s="321"/>
      <c r="CZ298" s="326"/>
      <c r="DA298" s="326"/>
      <c r="DB298" s="326"/>
      <c r="DC298" s="326"/>
      <c r="DD298" s="326"/>
      <c r="DE298" s="326"/>
      <c r="DF298" s="327"/>
      <c r="DG298" s="94"/>
      <c r="DH298" s="94"/>
    </row>
    <row r="299" spans="1:113" s="554" customFormat="1" ht="11.25" customHeight="1">
      <c r="A299" s="547"/>
      <c r="B299"/>
      <c r="C299"/>
      <c r="D299"/>
      <c r="E299"/>
      <c r="F299"/>
      <c r="G299"/>
      <c r="H299" s="1044"/>
      <c r="I299" s="555" t="s">
        <v>205</v>
      </c>
      <c r="J299" s="550"/>
      <c r="K299" s="550"/>
      <c r="L299" s="547"/>
      <c r="M299" s="551"/>
      <c r="N299" s="551"/>
      <c r="O299" s="551"/>
      <c r="P299" s="552"/>
      <c r="Q299" s="551"/>
      <c r="R299" s="551"/>
      <c r="S299" s="551"/>
      <c r="T299" s="552"/>
      <c r="U299" s="394"/>
      <c r="V299" s="394"/>
      <c r="W299" s="394"/>
      <c r="X299" s="395"/>
      <c r="Y299" s="394"/>
      <c r="Z299" s="394"/>
      <c r="AA299" s="394"/>
      <c r="AB299" s="395"/>
      <c r="AC299" s="394"/>
      <c r="AD299" s="394"/>
      <c r="AE299" s="394"/>
      <c r="AF299" s="395"/>
      <c r="AG299" s="394"/>
      <c r="AH299" s="394"/>
      <c r="AI299" s="394"/>
      <c r="AJ299" s="395"/>
      <c r="AK299" s="396">
        <f t="shared" ref="AK299:CF299" si="600">+AK181</f>
        <v>0.86699999999999999</v>
      </c>
      <c r="AL299" s="396">
        <f t="shared" si="600"/>
        <v>2.6269999999999998</v>
      </c>
      <c r="AM299" s="396">
        <f t="shared" si="600"/>
        <v>2.4529999999999998</v>
      </c>
      <c r="AN299" s="397">
        <f t="shared" si="600"/>
        <v>2.3919999999999999</v>
      </c>
      <c r="AO299" s="396">
        <f t="shared" si="600"/>
        <v>4.0890000000000004</v>
      </c>
      <c r="AP299" s="396">
        <f t="shared" si="600"/>
        <v>4.4969999999999999</v>
      </c>
      <c r="AQ299" s="396">
        <f t="shared" si="600"/>
        <v>5.0140000000000002</v>
      </c>
      <c r="AR299" s="397">
        <f t="shared" si="600"/>
        <v>4.2519999999999998</v>
      </c>
      <c r="AS299" s="396">
        <f t="shared" si="600"/>
        <v>4.7990000000000004</v>
      </c>
      <c r="AT299" s="396">
        <f t="shared" si="600"/>
        <v>6.4340000000000002</v>
      </c>
      <c r="AU299" s="396">
        <f t="shared" si="600"/>
        <v>7.1580000000000004</v>
      </c>
      <c r="AV299" s="397">
        <f t="shared" si="600"/>
        <v>3.85</v>
      </c>
      <c r="AW299" s="396">
        <f t="shared" si="600"/>
        <v>2.887</v>
      </c>
      <c r="AX299" s="396">
        <f t="shared" si="600"/>
        <v>3.258</v>
      </c>
      <c r="AY299" s="396">
        <f t="shared" si="600"/>
        <v>3.274</v>
      </c>
      <c r="AZ299" s="397">
        <f t="shared" si="600"/>
        <v>3.2440000000000002</v>
      </c>
      <c r="BA299" s="396">
        <f t="shared" si="600"/>
        <v>3.0939999999999999</v>
      </c>
      <c r="BB299" s="396">
        <f t="shared" si="600"/>
        <v>3.0049999999999999</v>
      </c>
      <c r="BC299" s="396">
        <f t="shared" si="600"/>
        <v>2.9729999999999999</v>
      </c>
      <c r="BD299" s="397">
        <f t="shared" si="600"/>
        <v>2.8530000000000002</v>
      </c>
      <c r="BE299" s="396">
        <f t="shared" si="600"/>
        <v>3.2109999999999999</v>
      </c>
      <c r="BF299" s="396">
        <f t="shared" si="600"/>
        <v>3.7389999999999999</v>
      </c>
      <c r="BG299" s="396">
        <f t="shared" si="600"/>
        <v>3.2130000000000001</v>
      </c>
      <c r="BH299" s="397">
        <f t="shared" si="600"/>
        <v>3.2269999999999999</v>
      </c>
      <c r="BI299" s="396">
        <f t="shared" si="600"/>
        <v>3.52</v>
      </c>
      <c r="BJ299" s="396">
        <f t="shared" si="600"/>
        <v>4.2740000000000009</v>
      </c>
      <c r="BK299" s="396">
        <f t="shared" si="600"/>
        <v>4.164999999999992</v>
      </c>
      <c r="BL299" s="397">
        <f t="shared" si="600"/>
        <v>4.6839999999999975</v>
      </c>
      <c r="BM299" s="396">
        <f t="shared" si="600"/>
        <v>4.6599999999999966</v>
      </c>
      <c r="BN299" s="396">
        <f t="shared" si="600"/>
        <v>5.5259999999999962</v>
      </c>
      <c r="BO299" s="396">
        <f t="shared" si="600"/>
        <v>4.4244766129032342</v>
      </c>
      <c r="BP299" s="397">
        <f t="shared" si="600"/>
        <v>9.4449516129032247</v>
      </c>
      <c r="BQ299" s="396">
        <f t="shared" si="600"/>
        <v>7.0348580645161221</v>
      </c>
      <c r="BR299" s="396">
        <f t="shared" si="600"/>
        <v>9.414135225806433</v>
      </c>
      <c r="BS299" s="396">
        <f t="shared" si="600"/>
        <v>8.8914538064516222</v>
      </c>
      <c r="BT299" s="397">
        <f t="shared" si="600"/>
        <v>10.507825806451621</v>
      </c>
      <c r="BU299" s="396">
        <f t="shared" si="600"/>
        <v>21.689328129032248</v>
      </c>
      <c r="BV299" s="396">
        <f t="shared" si="600"/>
        <v>24.213954691612898</v>
      </c>
      <c r="BW299" s="396">
        <f t="shared" si="600"/>
        <v>10.487105572903218</v>
      </c>
      <c r="BX299" s="397">
        <f t="shared" si="600"/>
        <v>13.439143612903223</v>
      </c>
      <c r="BY299" s="396">
        <f t="shared" si="600"/>
        <v>22.832894535483831</v>
      </c>
      <c r="BZ299" s="396">
        <f t="shared" si="600"/>
        <v>19.926952426193509</v>
      </c>
      <c r="CA299" s="396">
        <f t="shared" si="600"/>
        <v>45.147810851548371</v>
      </c>
      <c r="CB299" s="397">
        <f t="shared" si="600"/>
        <v>49.550100793548367</v>
      </c>
      <c r="CC299" s="396">
        <f t="shared" si="600"/>
        <v>22.832894535483831</v>
      </c>
      <c r="CD299" s="396">
        <f t="shared" si="600"/>
        <v>19.926952426193509</v>
      </c>
      <c r="CE299" s="396">
        <f t="shared" si="600"/>
        <v>45.147810851548371</v>
      </c>
      <c r="CF299" s="397">
        <f t="shared" si="600"/>
        <v>49.550100793548367</v>
      </c>
      <c r="CG299" s="552"/>
      <c r="CH299" s="553"/>
      <c r="CI299" s="551"/>
      <c r="CJ299" s="394"/>
      <c r="CK299" s="394"/>
      <c r="CL299" s="394"/>
      <c r="CM299" s="394"/>
      <c r="CN299" s="396">
        <f t="shared" ref="CN299:DF299" si="601">+CN181</f>
        <v>8.3389999999999986</v>
      </c>
      <c r="CO299" s="396">
        <f t="shared" si="601"/>
        <v>17.852</v>
      </c>
      <c r="CP299" s="396">
        <f t="shared" si="601"/>
        <v>22.241000000000003</v>
      </c>
      <c r="CQ299" s="396">
        <f t="shared" si="601"/>
        <v>12.663</v>
      </c>
      <c r="CR299" s="396">
        <f t="shared" si="601"/>
        <v>11.924999999999999</v>
      </c>
      <c r="CS299" s="396">
        <f t="shared" si="601"/>
        <v>13.39</v>
      </c>
      <c r="CT299" s="396">
        <f t="shared" si="601"/>
        <v>16.64299999999999</v>
      </c>
      <c r="CU299" s="396">
        <f t="shared" si="601"/>
        <v>24.055428225806452</v>
      </c>
      <c r="CV299" s="396">
        <f t="shared" si="601"/>
        <v>35.848272903225798</v>
      </c>
      <c r="CW299" s="396">
        <f t="shared" si="601"/>
        <v>69.829532006451586</v>
      </c>
      <c r="CX299" s="396">
        <f t="shared" si="601"/>
        <v>137.45775860677406</v>
      </c>
      <c r="CY299" s="396">
        <f t="shared" si="601"/>
        <v>137.45775860677406</v>
      </c>
      <c r="CZ299" s="396">
        <f t="shared" si="601"/>
        <v>137.45775860677406</v>
      </c>
      <c r="DA299" s="396">
        <f t="shared" si="601"/>
        <v>137.45775860677406</v>
      </c>
      <c r="DB299" s="396">
        <f t="shared" si="601"/>
        <v>137.45775860677406</v>
      </c>
      <c r="DC299" s="396">
        <f t="shared" si="601"/>
        <v>137.45775860677406</v>
      </c>
      <c r="DD299" s="396">
        <f t="shared" si="601"/>
        <v>137.45775860677406</v>
      </c>
      <c r="DE299" s="396">
        <f t="shared" si="601"/>
        <v>137.45775860677406</v>
      </c>
      <c r="DF299" s="397">
        <f t="shared" si="601"/>
        <v>137.45775860677406</v>
      </c>
      <c r="DG299" s="612"/>
      <c r="DH299" s="612"/>
    </row>
    <row r="300" spans="1:113" s="554" customFormat="1" ht="11.25" customHeight="1">
      <c r="A300" s="547"/>
      <c r="B300"/>
      <c r="C300"/>
      <c r="D300"/>
      <c r="E300"/>
      <c r="F300"/>
      <c r="G300"/>
      <c r="H300" s="1044"/>
      <c r="I300" s="555" t="s">
        <v>206</v>
      </c>
      <c r="J300" s="550"/>
      <c r="K300" s="550"/>
      <c r="L300" s="547"/>
      <c r="M300" s="551"/>
      <c r="N300" s="551"/>
      <c r="O300" s="551"/>
      <c r="P300" s="552"/>
      <c r="Q300" s="551"/>
      <c r="R300" s="551"/>
      <c r="S300" s="551"/>
      <c r="T300" s="552"/>
      <c r="U300" s="394"/>
      <c r="V300" s="394"/>
      <c r="W300" s="394"/>
      <c r="X300" s="395"/>
      <c r="Y300" s="394"/>
      <c r="Z300" s="394"/>
      <c r="AA300" s="394"/>
      <c r="AB300" s="395"/>
      <c r="AC300" s="394"/>
      <c r="AD300" s="394"/>
      <c r="AE300" s="394"/>
      <c r="AF300" s="395"/>
      <c r="AG300" s="394"/>
      <c r="AH300" s="394"/>
      <c r="AI300" s="394"/>
      <c r="AJ300" s="395"/>
      <c r="AK300" s="396">
        <f t="shared" ref="AK300:CF300" si="602">+AK215</f>
        <v>0.86699999999999999</v>
      </c>
      <c r="AL300" s="396">
        <f t="shared" si="602"/>
        <v>2.6269999999999998</v>
      </c>
      <c r="AM300" s="396">
        <f t="shared" si="602"/>
        <v>2.4529999999999998</v>
      </c>
      <c r="AN300" s="397">
        <f t="shared" si="602"/>
        <v>2.3919999999999999</v>
      </c>
      <c r="AO300" s="396">
        <f t="shared" si="602"/>
        <v>4.0890000000000004</v>
      </c>
      <c r="AP300" s="396">
        <f t="shared" si="602"/>
        <v>4.4969999999999999</v>
      </c>
      <c r="AQ300" s="396">
        <f t="shared" si="602"/>
        <v>5.0140000000000002</v>
      </c>
      <c r="AR300" s="397">
        <f t="shared" si="602"/>
        <v>4.2519999999999998</v>
      </c>
      <c r="AS300" s="396">
        <f t="shared" si="602"/>
        <v>4.7990000000000004</v>
      </c>
      <c r="AT300" s="396">
        <f t="shared" si="602"/>
        <v>6.4340000000000002</v>
      </c>
      <c r="AU300" s="396">
        <f t="shared" si="602"/>
        <v>7.1580000000000004</v>
      </c>
      <c r="AV300" s="397">
        <f t="shared" si="602"/>
        <v>3.85</v>
      </c>
      <c r="AW300" s="396">
        <f t="shared" si="602"/>
        <v>2.887</v>
      </c>
      <c r="AX300" s="396">
        <f t="shared" si="602"/>
        <v>3.258</v>
      </c>
      <c r="AY300" s="396">
        <f t="shared" si="602"/>
        <v>3.274</v>
      </c>
      <c r="AZ300" s="397">
        <f t="shared" si="602"/>
        <v>3.2440000000000002</v>
      </c>
      <c r="BA300" s="396">
        <f t="shared" si="602"/>
        <v>3.0939999999999999</v>
      </c>
      <c r="BB300" s="396">
        <f t="shared" si="602"/>
        <v>3.0049999999999999</v>
      </c>
      <c r="BC300" s="396">
        <f t="shared" si="602"/>
        <v>2.9729999999999999</v>
      </c>
      <c r="BD300" s="397">
        <f t="shared" si="602"/>
        <v>2.8530000000000002</v>
      </c>
      <c r="BE300" s="396">
        <f t="shared" si="602"/>
        <v>3.2109999999999999</v>
      </c>
      <c r="BF300" s="396">
        <f t="shared" si="602"/>
        <v>3.7389999999999999</v>
      </c>
      <c r="BG300" s="396">
        <f t="shared" si="602"/>
        <v>3.2130000000000001</v>
      </c>
      <c r="BH300" s="397">
        <f t="shared" si="602"/>
        <v>3.2269999999999999</v>
      </c>
      <c r="BI300" s="396">
        <f t="shared" si="602"/>
        <v>3.52</v>
      </c>
      <c r="BJ300" s="396">
        <f t="shared" si="602"/>
        <v>4.2740000000000009</v>
      </c>
      <c r="BK300" s="396">
        <f t="shared" si="602"/>
        <v>4.164999999999992</v>
      </c>
      <c r="BL300" s="397">
        <f t="shared" si="602"/>
        <v>4.6839999999999975</v>
      </c>
      <c r="BM300" s="396">
        <f t="shared" si="602"/>
        <v>4.6599999999999966</v>
      </c>
      <c r="BN300" s="396">
        <f t="shared" si="602"/>
        <v>5.5259999999999962</v>
      </c>
      <c r="BO300" s="396">
        <f t="shared" si="602"/>
        <v>4.4244766129032342</v>
      </c>
      <c r="BP300" s="397">
        <f t="shared" si="602"/>
        <v>9.4449516129032247</v>
      </c>
      <c r="BQ300" s="396">
        <f t="shared" si="602"/>
        <v>7.0348580645161221</v>
      </c>
      <c r="BR300" s="396">
        <f t="shared" si="602"/>
        <v>9.414135225806433</v>
      </c>
      <c r="BS300" s="396">
        <f t="shared" si="602"/>
        <v>8.8914538064516222</v>
      </c>
      <c r="BT300" s="397">
        <f t="shared" si="602"/>
        <v>10.507825806451621</v>
      </c>
      <c r="BU300" s="396">
        <f t="shared" si="602"/>
        <v>21.689328129032248</v>
      </c>
      <c r="BV300" s="396">
        <f t="shared" si="602"/>
        <v>24.213954691612898</v>
      </c>
      <c r="BW300" s="396">
        <f t="shared" si="602"/>
        <v>10.487105572903218</v>
      </c>
      <c r="BX300" s="397">
        <f t="shared" si="602"/>
        <v>13.439143612903223</v>
      </c>
      <c r="BY300" s="396">
        <f t="shared" si="602"/>
        <v>22.832894535483831</v>
      </c>
      <c r="BZ300" s="396">
        <f t="shared" si="602"/>
        <v>19.926952426193509</v>
      </c>
      <c r="CA300" s="396">
        <f t="shared" si="602"/>
        <v>45.147810851548371</v>
      </c>
      <c r="CB300" s="397">
        <f t="shared" si="602"/>
        <v>49.550100793548367</v>
      </c>
      <c r="CC300" s="396">
        <f t="shared" si="602"/>
        <v>22.832894535483831</v>
      </c>
      <c r="CD300" s="396">
        <f t="shared" si="602"/>
        <v>19.926952426193509</v>
      </c>
      <c r="CE300" s="396">
        <f t="shared" si="602"/>
        <v>45.147810851548371</v>
      </c>
      <c r="CF300" s="397">
        <f t="shared" si="602"/>
        <v>49.550100793548367</v>
      </c>
      <c r="CG300" s="552"/>
      <c r="CH300" s="553"/>
      <c r="CI300" s="551"/>
      <c r="CJ300" s="394"/>
      <c r="CK300" s="394"/>
      <c r="CL300" s="394"/>
      <c r="CM300" s="394"/>
      <c r="CN300" s="396">
        <f t="shared" ref="CN300:DF300" si="603">+CN215</f>
        <v>8.3389999999999986</v>
      </c>
      <c r="CO300" s="396">
        <f t="shared" si="603"/>
        <v>17.852</v>
      </c>
      <c r="CP300" s="396">
        <f t="shared" si="603"/>
        <v>22.241000000000003</v>
      </c>
      <c r="CQ300" s="396">
        <f t="shared" si="603"/>
        <v>12.663</v>
      </c>
      <c r="CR300" s="396">
        <f t="shared" si="603"/>
        <v>11.924999999999999</v>
      </c>
      <c r="CS300" s="396">
        <f t="shared" si="603"/>
        <v>13.39</v>
      </c>
      <c r="CT300" s="396">
        <f t="shared" si="603"/>
        <v>16.64299999999999</v>
      </c>
      <c r="CU300" s="396">
        <f t="shared" si="603"/>
        <v>24.055428225806452</v>
      </c>
      <c r="CV300" s="396">
        <f t="shared" si="603"/>
        <v>35.848272903225798</v>
      </c>
      <c r="CW300" s="396">
        <f t="shared" si="603"/>
        <v>69.829532006451586</v>
      </c>
      <c r="CX300" s="396">
        <f t="shared" si="603"/>
        <v>137.45775860677406</v>
      </c>
      <c r="CY300" s="396">
        <f t="shared" si="603"/>
        <v>137.45775860677406</v>
      </c>
      <c r="CZ300" s="396">
        <f t="shared" si="603"/>
        <v>137.45775860677406</v>
      </c>
      <c r="DA300" s="396">
        <f t="shared" si="603"/>
        <v>137.45775860677406</v>
      </c>
      <c r="DB300" s="396">
        <f t="shared" si="603"/>
        <v>137.45775860677406</v>
      </c>
      <c r="DC300" s="396">
        <f t="shared" si="603"/>
        <v>137.45775860677406</v>
      </c>
      <c r="DD300" s="396">
        <f t="shared" si="603"/>
        <v>137.45775860677406</v>
      </c>
      <c r="DE300" s="396">
        <f t="shared" si="603"/>
        <v>137.45775860677406</v>
      </c>
      <c r="DF300" s="397">
        <f t="shared" si="603"/>
        <v>137.45775860677406</v>
      </c>
      <c r="DG300" s="612"/>
      <c r="DH300" s="612"/>
    </row>
    <row r="301" spans="1:113" s="51" customFormat="1" ht="11.25" customHeight="1">
      <c r="A301" s="82"/>
      <c r="B301"/>
      <c r="C301"/>
      <c r="D301"/>
      <c r="E301"/>
      <c r="F301"/>
      <c r="G301"/>
      <c r="H301" s="1044"/>
      <c r="I301" s="199" t="s">
        <v>203</v>
      </c>
      <c r="J301" s="89"/>
      <c r="K301" s="89"/>
      <c r="L301" s="82"/>
      <c r="M301" s="336"/>
      <c r="N301" s="336"/>
      <c r="O301" s="336"/>
      <c r="P301" s="337"/>
      <c r="Q301" s="336"/>
      <c r="R301" s="336"/>
      <c r="S301" s="336"/>
      <c r="T301" s="337"/>
      <c r="U301" s="328"/>
      <c r="V301" s="328"/>
      <c r="W301" s="328"/>
      <c r="X301" s="329"/>
      <c r="Y301" s="328"/>
      <c r="Z301" s="328"/>
      <c r="AA301" s="328"/>
      <c r="AB301" s="329"/>
      <c r="AC301" s="328"/>
      <c r="AD301" s="328"/>
      <c r="AE301" s="328"/>
      <c r="AF301" s="329"/>
      <c r="AG301" s="328"/>
      <c r="AH301" s="328"/>
      <c r="AI301" s="328"/>
      <c r="AJ301" s="329"/>
      <c r="AK301" s="338">
        <f t="shared" ref="AK301:CF301" si="604">+AK300/AK299</f>
        <v>1</v>
      </c>
      <c r="AL301" s="338">
        <f t="shared" si="604"/>
        <v>1</v>
      </c>
      <c r="AM301" s="338">
        <f t="shared" si="604"/>
        <v>1</v>
      </c>
      <c r="AN301" s="339">
        <f t="shared" si="604"/>
        <v>1</v>
      </c>
      <c r="AO301" s="338">
        <f t="shared" si="604"/>
        <v>1</v>
      </c>
      <c r="AP301" s="338">
        <f t="shared" si="604"/>
        <v>1</v>
      </c>
      <c r="AQ301" s="338">
        <f t="shared" si="604"/>
        <v>1</v>
      </c>
      <c r="AR301" s="339">
        <f t="shared" si="604"/>
        <v>1</v>
      </c>
      <c r="AS301" s="338">
        <f t="shared" si="604"/>
        <v>1</v>
      </c>
      <c r="AT301" s="338">
        <f t="shared" si="604"/>
        <v>1</v>
      </c>
      <c r="AU301" s="338">
        <f t="shared" si="604"/>
        <v>1</v>
      </c>
      <c r="AV301" s="339">
        <f t="shared" si="604"/>
        <v>1</v>
      </c>
      <c r="AW301" s="338">
        <f t="shared" si="604"/>
        <v>1</v>
      </c>
      <c r="AX301" s="338">
        <f t="shared" si="604"/>
        <v>1</v>
      </c>
      <c r="AY301" s="338">
        <f t="shared" si="604"/>
        <v>1</v>
      </c>
      <c r="AZ301" s="339">
        <f t="shared" si="604"/>
        <v>1</v>
      </c>
      <c r="BA301" s="338">
        <f t="shared" si="604"/>
        <v>1</v>
      </c>
      <c r="BB301" s="338">
        <f t="shared" si="604"/>
        <v>1</v>
      </c>
      <c r="BC301" s="338">
        <f t="shared" si="604"/>
        <v>1</v>
      </c>
      <c r="BD301" s="339">
        <f t="shared" si="604"/>
        <v>1</v>
      </c>
      <c r="BE301" s="338">
        <f t="shared" si="604"/>
        <v>1</v>
      </c>
      <c r="BF301" s="338">
        <f t="shared" si="604"/>
        <v>1</v>
      </c>
      <c r="BG301" s="338">
        <f t="shared" si="604"/>
        <v>1</v>
      </c>
      <c r="BH301" s="339">
        <f t="shared" si="604"/>
        <v>1</v>
      </c>
      <c r="BI301" s="338">
        <f t="shared" si="604"/>
        <v>1</v>
      </c>
      <c r="BJ301" s="338">
        <f t="shared" si="604"/>
        <v>1</v>
      </c>
      <c r="BK301" s="338">
        <f t="shared" si="604"/>
        <v>1</v>
      </c>
      <c r="BL301" s="339">
        <f t="shared" si="604"/>
        <v>1</v>
      </c>
      <c r="BM301" s="338">
        <f t="shared" si="604"/>
        <v>1</v>
      </c>
      <c r="BN301" s="338">
        <f t="shared" si="604"/>
        <v>1</v>
      </c>
      <c r="BO301" s="338">
        <f t="shared" si="604"/>
        <v>1</v>
      </c>
      <c r="BP301" s="339">
        <f t="shared" si="604"/>
        <v>1</v>
      </c>
      <c r="BQ301" s="338">
        <f t="shared" si="604"/>
        <v>1</v>
      </c>
      <c r="BR301" s="338">
        <f t="shared" si="604"/>
        <v>1</v>
      </c>
      <c r="BS301" s="338">
        <f t="shared" si="604"/>
        <v>1</v>
      </c>
      <c r="BT301" s="339">
        <f t="shared" si="604"/>
        <v>1</v>
      </c>
      <c r="BU301" s="338">
        <f t="shared" si="604"/>
        <v>1</v>
      </c>
      <c r="BV301" s="338">
        <f t="shared" si="604"/>
        <v>1</v>
      </c>
      <c r="BW301" s="338">
        <f>+BW300/BW299</f>
        <v>1</v>
      </c>
      <c r="BX301" s="339">
        <f>+BX300/BX299</f>
        <v>1</v>
      </c>
      <c r="BY301" s="338">
        <f t="shared" si="604"/>
        <v>1</v>
      </c>
      <c r="BZ301" s="338">
        <f t="shared" si="604"/>
        <v>1</v>
      </c>
      <c r="CA301" s="338">
        <f t="shared" si="604"/>
        <v>1</v>
      </c>
      <c r="CB301" s="339">
        <f t="shared" si="604"/>
        <v>1</v>
      </c>
      <c r="CC301" s="338">
        <f t="shared" si="604"/>
        <v>1</v>
      </c>
      <c r="CD301" s="338">
        <f t="shared" si="604"/>
        <v>1</v>
      </c>
      <c r="CE301" s="338">
        <f t="shared" si="604"/>
        <v>1</v>
      </c>
      <c r="CF301" s="339">
        <f t="shared" si="604"/>
        <v>1</v>
      </c>
      <c r="CG301" s="337"/>
      <c r="CH301" s="367"/>
      <c r="CI301" s="336"/>
      <c r="CJ301" s="328"/>
      <c r="CK301" s="328"/>
      <c r="CL301" s="328"/>
      <c r="CM301" s="328"/>
      <c r="CN301" s="338">
        <f t="shared" ref="CN301:CY301" si="605">+CN300/CN299</f>
        <v>1</v>
      </c>
      <c r="CO301" s="338">
        <f t="shared" si="605"/>
        <v>1</v>
      </c>
      <c r="CP301" s="338">
        <f t="shared" si="605"/>
        <v>1</v>
      </c>
      <c r="CQ301" s="338">
        <f t="shared" si="605"/>
        <v>1</v>
      </c>
      <c r="CR301" s="338">
        <f t="shared" si="605"/>
        <v>1</v>
      </c>
      <c r="CS301" s="338">
        <f t="shared" si="605"/>
        <v>1</v>
      </c>
      <c r="CT301" s="338">
        <f t="shared" si="605"/>
        <v>1</v>
      </c>
      <c r="CU301" s="338">
        <f t="shared" si="605"/>
        <v>1</v>
      </c>
      <c r="CV301" s="338">
        <f t="shared" si="605"/>
        <v>1</v>
      </c>
      <c r="CW301" s="338">
        <f t="shared" si="605"/>
        <v>1</v>
      </c>
      <c r="CX301" s="338">
        <f t="shared" si="605"/>
        <v>1</v>
      </c>
      <c r="CY301" s="338">
        <f t="shared" si="605"/>
        <v>1</v>
      </c>
      <c r="CZ301" s="338">
        <f t="shared" ref="CZ301:DF301" si="606">+CZ300/CZ299</f>
        <v>1</v>
      </c>
      <c r="DA301" s="338">
        <f t="shared" si="606"/>
        <v>1</v>
      </c>
      <c r="DB301" s="338">
        <f t="shared" si="606"/>
        <v>1</v>
      </c>
      <c r="DC301" s="338">
        <f t="shared" si="606"/>
        <v>1</v>
      </c>
      <c r="DD301" s="338">
        <f t="shared" si="606"/>
        <v>1</v>
      </c>
      <c r="DE301" s="338">
        <f t="shared" si="606"/>
        <v>1</v>
      </c>
      <c r="DF301" s="339">
        <f t="shared" si="606"/>
        <v>1</v>
      </c>
      <c r="DG301" s="308"/>
      <c r="DH301" s="308"/>
    </row>
    <row r="302" spans="1:113" s="68" customFormat="1" ht="11.25" customHeight="1">
      <c r="A302" s="24"/>
      <c r="B302"/>
      <c r="C302"/>
      <c r="D302"/>
      <c r="E302"/>
      <c r="F302"/>
      <c r="G302"/>
      <c r="H302" s="1044"/>
      <c r="I302" s="664"/>
      <c r="J302" s="665"/>
      <c r="K302" s="665"/>
      <c r="L302" s="665"/>
      <c r="M302" s="666"/>
      <c r="N302" s="666"/>
      <c r="O302" s="666"/>
      <c r="P302" s="667"/>
      <c r="Q302" s="666"/>
      <c r="R302" s="666"/>
      <c r="S302" s="666"/>
      <c r="T302" s="667"/>
      <c r="U302" s="668"/>
      <c r="V302" s="668"/>
      <c r="W302" s="668"/>
      <c r="X302" s="669"/>
      <c r="Y302" s="668"/>
      <c r="Z302" s="668"/>
      <c r="AA302" s="668"/>
      <c r="AB302" s="669"/>
      <c r="AC302" s="668"/>
      <c r="AD302" s="668"/>
      <c r="AE302" s="668"/>
      <c r="AF302" s="669"/>
      <c r="AG302" s="668"/>
      <c r="AH302" s="668"/>
      <c r="AI302" s="668"/>
      <c r="AJ302" s="669"/>
      <c r="AK302" s="668"/>
      <c r="AL302" s="668"/>
      <c r="AM302" s="668"/>
      <c r="AN302" s="669"/>
      <c r="AO302" s="668"/>
      <c r="AP302" s="668"/>
      <c r="AQ302" s="668"/>
      <c r="AR302" s="669"/>
      <c r="AS302" s="668"/>
      <c r="AT302" s="668"/>
      <c r="AU302" s="668"/>
      <c r="AV302" s="669"/>
      <c r="AW302" s="668"/>
      <c r="AX302" s="668"/>
      <c r="AY302" s="668"/>
      <c r="AZ302" s="669"/>
      <c r="BA302" s="670"/>
      <c r="BB302" s="670"/>
      <c r="BC302" s="670"/>
      <c r="BD302" s="671"/>
      <c r="BE302" s="666"/>
      <c r="BF302" s="666"/>
      <c r="BG302" s="666"/>
      <c r="BH302" s="672"/>
      <c r="BI302" s="673"/>
      <c r="BJ302" s="673"/>
      <c r="BK302" s="673"/>
      <c r="BL302" s="674"/>
      <c r="BM302" s="673"/>
      <c r="BN302" s="673"/>
      <c r="BO302" s="673"/>
      <c r="BP302" s="663"/>
      <c r="BQ302" s="662"/>
      <c r="BR302" s="662"/>
      <c r="BS302" s="662"/>
      <c r="BT302" s="663"/>
      <c r="BU302" s="662"/>
      <c r="BV302" s="662"/>
      <c r="BW302" s="662"/>
      <c r="BX302" s="663"/>
      <c r="BY302" s="662"/>
      <c r="BZ302" s="662"/>
      <c r="CA302" s="662"/>
      <c r="CB302" s="663"/>
      <c r="CC302" s="662"/>
      <c r="CD302" s="662"/>
      <c r="CE302" s="662"/>
      <c r="CF302" s="663"/>
      <c r="CG302" s="405"/>
      <c r="CH302" s="675"/>
      <c r="CI302" s="666"/>
      <c r="CJ302" s="668"/>
      <c r="CK302" s="668"/>
      <c r="CL302" s="668"/>
      <c r="CM302" s="668"/>
      <c r="CN302" s="668"/>
      <c r="CO302" s="668"/>
      <c r="CP302" s="668"/>
      <c r="CQ302" s="662"/>
      <c r="CR302" s="662"/>
      <c r="CS302" s="662"/>
      <c r="CT302" s="668"/>
      <c r="CU302" s="662"/>
      <c r="CV302" s="676"/>
      <c r="CW302" s="662"/>
      <c r="CX302" s="662"/>
      <c r="CY302" s="662"/>
      <c r="CZ302" s="662"/>
      <c r="DA302" s="662"/>
      <c r="DB302" s="662"/>
      <c r="DC302" s="662"/>
      <c r="DD302" s="662"/>
      <c r="DE302" s="662"/>
      <c r="DF302" s="663"/>
      <c r="DG302" s="1180"/>
      <c r="DH302" s="1180"/>
    </row>
    <row r="303" spans="1:113" ht="11.25" customHeight="1">
      <c r="I303" s="70"/>
      <c r="J303" s="70"/>
      <c r="K303" s="70"/>
      <c r="M303" s="315"/>
      <c r="N303" s="315"/>
      <c r="O303" s="315"/>
      <c r="P303" s="315"/>
      <c r="Q303" s="315"/>
      <c r="R303" s="315"/>
      <c r="S303" s="315"/>
      <c r="T303" s="315"/>
      <c r="U303" s="328"/>
      <c r="V303" s="328"/>
      <c r="W303" s="328"/>
      <c r="X303" s="328"/>
      <c r="Y303" s="328"/>
      <c r="Z303" s="328"/>
      <c r="AA303" s="328"/>
      <c r="AB303" s="328"/>
      <c r="AC303" s="328"/>
      <c r="AD303" s="328"/>
      <c r="AE303" s="328"/>
      <c r="AF303" s="328"/>
      <c r="AG303" s="328"/>
      <c r="AH303" s="328"/>
      <c r="AI303" s="328"/>
      <c r="AJ303" s="328"/>
      <c r="AK303" s="328"/>
      <c r="AL303" s="328"/>
      <c r="AM303" s="328"/>
      <c r="AN303" s="328"/>
      <c r="AO303" s="328"/>
      <c r="AP303" s="328"/>
      <c r="AQ303" s="328"/>
      <c r="AR303" s="328"/>
      <c r="AS303" s="328"/>
      <c r="AT303" s="328"/>
      <c r="AU303" s="328"/>
      <c r="AV303" s="328"/>
      <c r="AW303" s="328"/>
      <c r="AX303" s="328"/>
      <c r="AY303" s="328"/>
      <c r="AZ303" s="328"/>
      <c r="BA303" s="328"/>
      <c r="BB303" s="328"/>
      <c r="BC303" s="328"/>
      <c r="BD303" s="328"/>
      <c r="BE303" s="328"/>
      <c r="BF303" s="328"/>
      <c r="BG303" s="328"/>
      <c r="BH303" s="328"/>
      <c r="BI303" s="328"/>
      <c r="BJ303" s="328"/>
      <c r="BK303" s="328"/>
      <c r="BL303" s="328"/>
      <c r="BM303" s="328"/>
      <c r="BN303" s="328"/>
      <c r="BO303" s="328"/>
      <c r="BP303" s="24"/>
      <c r="BQ303" s="328"/>
      <c r="BR303" s="328"/>
      <c r="BS303" s="328"/>
      <c r="BT303" s="328"/>
      <c r="BU303" s="328"/>
      <c r="BV303" s="328"/>
      <c r="BW303" s="328"/>
      <c r="BX303" s="328"/>
      <c r="BY303" s="328"/>
      <c r="BZ303" s="328"/>
      <c r="CA303" s="328"/>
      <c r="CB303" s="328"/>
      <c r="CC303" s="328"/>
      <c r="CD303" s="328"/>
      <c r="CE303" s="328"/>
      <c r="CF303" s="328"/>
      <c r="CG303" s="315"/>
      <c r="CH303" s="315"/>
      <c r="CI303" s="315"/>
      <c r="CJ303" s="328"/>
      <c r="CK303" s="328"/>
      <c r="CL303" s="328"/>
      <c r="CM303" s="328"/>
      <c r="CN303" s="328"/>
      <c r="CO303" s="328"/>
      <c r="CP303" s="328"/>
      <c r="CQ303" s="328"/>
      <c r="CR303" s="328"/>
      <c r="CS303" s="328"/>
      <c r="CT303" s="328"/>
      <c r="CU303" s="328"/>
      <c r="CV303" s="328"/>
      <c r="CW303" s="328"/>
      <c r="CX303" s="328"/>
      <c r="CY303" s="328"/>
      <c r="CZ303" s="328"/>
      <c r="DA303" s="328"/>
      <c r="DB303" s="328"/>
      <c r="DC303" s="328"/>
      <c r="DD303" s="328"/>
      <c r="DE303" s="328"/>
      <c r="DF303" s="328"/>
    </row>
    <row r="304" spans="1:113" customFormat="1" ht="11.25" customHeight="1">
      <c r="A304" s="10"/>
      <c r="H304" s="1054"/>
      <c r="I304" s="659" t="s">
        <v>222</v>
      </c>
      <c r="J304" s="660"/>
      <c r="K304" s="660"/>
      <c r="L304" s="660"/>
      <c r="M304" s="660"/>
      <c r="N304" s="660"/>
      <c r="O304" s="660"/>
      <c r="P304" s="660"/>
      <c r="Q304" s="660"/>
      <c r="R304" s="660"/>
      <c r="S304" s="660"/>
      <c r="T304" s="660"/>
      <c r="U304" s="659"/>
      <c r="V304" s="660"/>
      <c r="W304" s="660"/>
      <c r="X304" s="661"/>
      <c r="Y304" s="659"/>
      <c r="Z304" s="660"/>
      <c r="AA304" s="660"/>
      <c r="AB304" s="661"/>
      <c r="AC304" s="659"/>
      <c r="AD304" s="660"/>
      <c r="AE304" s="660"/>
      <c r="AF304" s="661"/>
      <c r="AG304" s="659"/>
      <c r="AH304" s="660"/>
      <c r="AI304" s="660"/>
      <c r="AJ304" s="661"/>
      <c r="AK304" s="659"/>
      <c r="AL304" s="660"/>
      <c r="AM304" s="660"/>
      <c r="AN304" s="661"/>
      <c r="AO304" s="659"/>
      <c r="AP304" s="660"/>
      <c r="AQ304" s="660"/>
      <c r="AR304" s="661"/>
      <c r="AS304" s="659"/>
      <c r="AT304" s="660"/>
      <c r="AU304" s="660"/>
      <c r="AV304" s="661"/>
      <c r="AW304" s="659"/>
      <c r="AX304" s="660"/>
      <c r="AY304" s="660"/>
      <c r="AZ304" s="661"/>
      <c r="BA304" s="659"/>
      <c r="BB304" s="660"/>
      <c r="BC304" s="660"/>
      <c r="BD304" s="661"/>
      <c r="BE304" s="659"/>
      <c r="BF304" s="660"/>
      <c r="BG304" s="660"/>
      <c r="BH304" s="661"/>
      <c r="BI304" s="659"/>
      <c r="BJ304" s="660"/>
      <c r="BK304" s="660"/>
      <c r="BL304" s="661"/>
      <c r="BM304" s="659"/>
      <c r="BN304" s="660"/>
      <c r="BO304" s="660"/>
      <c r="BP304" s="661"/>
      <c r="BQ304" s="659"/>
      <c r="BR304" s="660"/>
      <c r="BS304" s="660"/>
      <c r="BT304" s="661"/>
      <c r="BU304" s="659"/>
      <c r="BV304" s="660"/>
      <c r="BW304" s="660"/>
      <c r="BX304" s="661"/>
      <c r="BY304" s="659"/>
      <c r="BZ304" s="660"/>
      <c r="CA304" s="660"/>
      <c r="CB304" s="661"/>
      <c r="CC304" s="659"/>
      <c r="CD304" s="660"/>
      <c r="CE304" s="660"/>
      <c r="CF304" s="661"/>
      <c r="CH304" s="661"/>
      <c r="CI304" s="661"/>
      <c r="CJ304" s="661"/>
      <c r="CK304" s="661"/>
      <c r="CL304" s="661"/>
      <c r="CM304" s="661"/>
      <c r="CN304" s="661"/>
      <c r="CO304" s="661"/>
      <c r="CP304" s="661"/>
      <c r="CQ304" s="661"/>
      <c r="CR304" s="661"/>
      <c r="CS304" s="661"/>
      <c r="CT304" s="661"/>
      <c r="CU304" s="661"/>
      <c r="CV304" s="661"/>
      <c r="CW304" s="661"/>
      <c r="CX304" s="661"/>
      <c r="CY304" s="660"/>
      <c r="CZ304" s="660"/>
      <c r="DA304" s="660"/>
      <c r="DB304" s="660"/>
      <c r="DC304" s="660"/>
      <c r="DD304" s="660"/>
      <c r="DE304" s="660"/>
      <c r="DF304" s="661"/>
      <c r="DG304" s="124"/>
      <c r="DH304" s="124"/>
      <c r="DI304" s="1548"/>
    </row>
    <row r="305" spans="1:114" s="88" customFormat="1" ht="11.25" customHeight="1">
      <c r="A305" s="24"/>
      <c r="B305"/>
      <c r="C305"/>
      <c r="D305"/>
      <c r="E305"/>
      <c r="F305"/>
      <c r="G305"/>
      <c r="H305" s="1044"/>
      <c r="I305" s="286"/>
      <c r="J305" s="32"/>
      <c r="K305" s="32"/>
      <c r="L305" s="32"/>
      <c r="M305" s="448"/>
      <c r="N305" s="448"/>
      <c r="O305" s="448"/>
      <c r="P305" s="449"/>
      <c r="Q305" s="448"/>
      <c r="R305" s="448"/>
      <c r="S305" s="448"/>
      <c r="T305" s="449"/>
      <c r="U305" s="448"/>
      <c r="V305" s="448"/>
      <c r="W305" s="448"/>
      <c r="X305" s="449"/>
      <c r="Y305" s="448"/>
      <c r="Z305" s="448"/>
      <c r="AA305" s="448"/>
      <c r="AB305" s="449"/>
      <c r="AC305" s="448"/>
      <c r="AD305" s="448"/>
      <c r="AE305" s="448"/>
      <c r="AF305" s="449"/>
      <c r="AG305" s="448"/>
      <c r="AH305" s="448"/>
      <c r="AI305" s="448"/>
      <c r="AJ305" s="449"/>
      <c r="AK305" s="448"/>
      <c r="AL305" s="448"/>
      <c r="AM305" s="448"/>
      <c r="AN305" s="449"/>
      <c r="AO305" s="448"/>
      <c r="AP305" s="448"/>
      <c r="AQ305" s="448"/>
      <c r="AR305" s="449"/>
      <c r="AS305" s="448"/>
      <c r="AT305" s="448"/>
      <c r="AU305" s="448"/>
      <c r="AV305" s="449"/>
      <c r="AW305" s="450"/>
      <c r="AX305" s="450"/>
      <c r="AY305" s="450"/>
      <c r="AZ305" s="451"/>
      <c r="BA305" s="450"/>
      <c r="BB305" s="450"/>
      <c r="BC305" s="450"/>
      <c r="BD305" s="451"/>
      <c r="BE305" s="450"/>
      <c r="BF305" s="450"/>
      <c r="BG305" s="450"/>
      <c r="BH305" s="450"/>
      <c r="BI305" s="1574"/>
      <c r="BJ305" s="1575"/>
      <c r="BK305" s="1575"/>
      <c r="BL305" s="1576"/>
      <c r="BM305" s="328"/>
      <c r="BN305" s="328"/>
      <c r="BO305" s="328"/>
      <c r="BP305" s="329"/>
      <c r="BQ305" s="1569"/>
      <c r="BR305" s="1570"/>
      <c r="BS305" s="1570"/>
      <c r="BT305" s="1571"/>
      <c r="BU305" s="1569"/>
      <c r="BV305" s="1570"/>
      <c r="BW305" s="1570"/>
      <c r="BX305" s="1571"/>
      <c r="BY305" s="1569"/>
      <c r="BZ305" s="1570"/>
      <c r="CA305" s="1570"/>
      <c r="CB305" s="1571"/>
      <c r="CC305" s="1569"/>
      <c r="CD305" s="1570"/>
      <c r="CE305" s="1570"/>
      <c r="CF305" s="1571"/>
      <c r="CG305" s="316"/>
      <c r="CH305" s="453"/>
      <c r="CI305" s="454"/>
      <c r="CJ305" s="454"/>
      <c r="CK305" s="454"/>
      <c r="CL305" s="454"/>
      <c r="CM305" s="455"/>
      <c r="CN305" s="455"/>
      <c r="CO305" s="455"/>
      <c r="CP305" s="455"/>
      <c r="CQ305" s="450"/>
      <c r="CR305" s="450"/>
      <c r="CS305" s="2085"/>
      <c r="CT305" s="452"/>
      <c r="CU305" s="332"/>
      <c r="CV305" s="452"/>
      <c r="CW305" s="452"/>
      <c r="CX305" s="452"/>
      <c r="CY305" s="452"/>
      <c r="CZ305" s="1570"/>
      <c r="DA305" s="1570"/>
      <c r="DB305" s="1570"/>
      <c r="DC305" s="1570"/>
      <c r="DD305" s="1570"/>
      <c r="DE305" s="1570"/>
      <c r="DF305" s="1571"/>
      <c r="DG305" s="93"/>
      <c r="DH305" s="93"/>
    </row>
    <row r="306" spans="1:114" s="623" customFormat="1" ht="11.25" customHeight="1">
      <c r="A306" s="542"/>
      <c r="B306"/>
      <c r="C306"/>
      <c r="D306"/>
      <c r="E306"/>
      <c r="F306"/>
      <c r="G306"/>
      <c r="H306" s="1052"/>
      <c r="I306" s="544" t="s">
        <v>18</v>
      </c>
      <c r="J306" s="542"/>
      <c r="K306" s="542"/>
      <c r="L306" s="618"/>
      <c r="M306" s="619"/>
      <c r="N306" s="619"/>
      <c r="O306" s="619"/>
      <c r="P306" s="620"/>
      <c r="Q306" s="619"/>
      <c r="R306" s="619"/>
      <c r="S306" s="619"/>
      <c r="T306" s="620"/>
      <c r="U306" s="619"/>
      <c r="V306" s="619"/>
      <c r="W306" s="619"/>
      <c r="X306" s="620"/>
      <c r="Y306" s="619"/>
      <c r="Z306" s="619"/>
      <c r="AA306" s="619"/>
      <c r="AB306" s="620"/>
      <c r="AC306" s="619"/>
      <c r="AD306" s="619"/>
      <c r="AE306" s="619"/>
      <c r="AF306" s="620"/>
      <c r="AG306" s="619"/>
      <c r="AH306" s="619"/>
      <c r="AI306" s="619"/>
      <c r="AJ306" s="620"/>
      <c r="AK306" s="619"/>
      <c r="AL306" s="619"/>
      <c r="AM306" s="619"/>
      <c r="AN306" s="620"/>
      <c r="AO306" s="619"/>
      <c r="AP306" s="619"/>
      <c r="AQ306" s="619"/>
      <c r="AR306" s="620"/>
      <c r="AS306" s="619"/>
      <c r="AT306" s="619"/>
      <c r="AU306" s="619"/>
      <c r="AV306" s="620"/>
      <c r="AW306" s="619"/>
      <c r="AX306" s="619"/>
      <c r="AY306" s="619"/>
      <c r="AZ306" s="620"/>
      <c r="BA306" s="619"/>
      <c r="BB306" s="619"/>
      <c r="BC306" s="619"/>
      <c r="BD306" s="620"/>
      <c r="BE306" s="619"/>
      <c r="BF306" s="619"/>
      <c r="BG306" s="619"/>
      <c r="BH306" s="619"/>
      <c r="BI306" s="1456">
        <v>82.307000000000002</v>
      </c>
      <c r="BJ306" s="572">
        <v>31.1</v>
      </c>
      <c r="BK306" s="572">
        <v>68.400000000000006</v>
      </c>
      <c r="BL306" s="573">
        <v>55</v>
      </c>
      <c r="BM306" s="572">
        <v>69</v>
      </c>
      <c r="BN306" s="572">
        <v>76.400000000000006</v>
      </c>
      <c r="BO306" s="465">
        <f t="shared" ref="BO306:BT306" si="607">+BO312/BO313</f>
        <v>77.708523387096761</v>
      </c>
      <c r="BP306" s="466">
        <f>+BP312/BP313</f>
        <v>62.751048387096766</v>
      </c>
      <c r="BQ306" s="635">
        <f>+BQ312/BQ313</f>
        <v>79.036141935483869</v>
      </c>
      <c r="BR306" s="465">
        <f t="shared" si="607"/>
        <v>80.616864774193559</v>
      </c>
      <c r="BS306" s="465">
        <f t="shared" si="607"/>
        <v>87.033546193548375</v>
      </c>
      <c r="BT306" s="466">
        <f t="shared" si="607"/>
        <v>70.281174193548381</v>
      </c>
      <c r="BU306" s="635">
        <f>+BU312/BU313</f>
        <v>84.568671870967748</v>
      </c>
      <c r="BV306" s="465">
        <f t="shared" ref="BV306:CF306" si="608">+BV312/BV313</f>
        <v>86.26004530838712</v>
      </c>
      <c r="BW306" s="465">
        <f>+BW312/BW313</f>
        <v>93.125894427096767</v>
      </c>
      <c r="BX306" s="466">
        <f t="shared" si="608"/>
        <v>75.200856387096778</v>
      </c>
      <c r="BY306" s="635">
        <f t="shared" si="608"/>
        <v>88.79710546451615</v>
      </c>
      <c r="BZ306" s="465">
        <f t="shared" si="608"/>
        <v>90.573047573806477</v>
      </c>
      <c r="CA306" s="465">
        <f t="shared" si="608"/>
        <v>97.782189148451607</v>
      </c>
      <c r="CB306" s="466">
        <f t="shared" si="608"/>
        <v>78.960899206451614</v>
      </c>
      <c r="CC306" s="635">
        <f t="shared" si="608"/>
        <v>93.236960737741953</v>
      </c>
      <c r="CD306" s="465">
        <f t="shared" si="608"/>
        <v>95.101699952496801</v>
      </c>
      <c r="CE306" s="465">
        <f t="shared" si="608"/>
        <v>102.67129860587418</v>
      </c>
      <c r="CF306" s="466">
        <f t="shared" si="608"/>
        <v>82.908944166774205</v>
      </c>
      <c r="CG306" s="582"/>
      <c r="CH306" s="621"/>
      <c r="CI306" s="622"/>
      <c r="CJ306" s="622"/>
      <c r="CK306" s="622"/>
      <c r="CL306" s="622"/>
      <c r="CM306" s="622"/>
      <c r="CN306" s="622"/>
      <c r="CO306" s="622"/>
      <c r="CP306" s="622"/>
      <c r="CQ306" s="619"/>
      <c r="CR306" s="619"/>
      <c r="CS306" s="2086"/>
      <c r="CT306" s="465">
        <f>+SUM(BJ306:BL306)</f>
        <v>154.5</v>
      </c>
      <c r="CU306" s="465">
        <f>SUM(BM306:BP306)</f>
        <v>285.85957177419351</v>
      </c>
      <c r="CV306" s="465">
        <f>SUM(BQ306:BT306)</f>
        <v>316.96772709677418</v>
      </c>
      <c r="CW306" s="465">
        <f>SUM(BU306:BX306)</f>
        <v>339.15546799354843</v>
      </c>
      <c r="CX306" s="465">
        <f>SUM(BY306:CB306)</f>
        <v>356.11324139322585</v>
      </c>
      <c r="CY306" s="465">
        <f>SUM(CC306:CF306)</f>
        <v>373.9189034628871</v>
      </c>
      <c r="CZ306" s="465">
        <f t="shared" ref="CZ306:DF306" si="609">+CZ312/CZ313</f>
        <v>392.61484863603141</v>
      </c>
      <c r="DA306" s="465">
        <f t="shared" si="609"/>
        <v>412.24559106783295</v>
      </c>
      <c r="DB306" s="465">
        <f t="shared" si="609"/>
        <v>432.85787062122449</v>
      </c>
      <c r="DC306" s="465">
        <f t="shared" si="609"/>
        <v>454.50076415228563</v>
      </c>
      <c r="DD306" s="465">
        <f t="shared" si="609"/>
        <v>477.22580235989983</v>
      </c>
      <c r="DE306" s="465">
        <f t="shared" si="609"/>
        <v>501.08709247789471</v>
      </c>
      <c r="DF306" s="466">
        <f t="shared" si="609"/>
        <v>526.14144710178937</v>
      </c>
      <c r="DG306" s="631"/>
      <c r="DH306" s="631"/>
    </row>
    <row r="307" spans="1:114" s="51" customFormat="1" ht="11.25" customHeight="1">
      <c r="A307" s="24"/>
      <c r="B307"/>
      <c r="C307"/>
      <c r="D307"/>
      <c r="E307"/>
      <c r="F307"/>
      <c r="G307"/>
      <c r="H307" s="1044"/>
      <c r="I307" s="199" t="s">
        <v>376</v>
      </c>
      <c r="J307" s="89"/>
      <c r="K307" s="89"/>
      <c r="L307" s="82"/>
      <c r="M307" s="336"/>
      <c r="N307" s="336"/>
      <c r="O307" s="336"/>
      <c r="P307" s="337"/>
      <c r="Q307" s="328"/>
      <c r="R307" s="328"/>
      <c r="S307" s="328"/>
      <c r="T307" s="329"/>
      <c r="U307" s="328"/>
      <c r="V307" s="328"/>
      <c r="W307" s="328"/>
      <c r="X307" s="329"/>
      <c r="Y307" s="328"/>
      <c r="Z307" s="328"/>
      <c r="AA307" s="328"/>
      <c r="AB307" s="329"/>
      <c r="AC307" s="328"/>
      <c r="AD307" s="328"/>
      <c r="AE307" s="328"/>
      <c r="AF307" s="329"/>
      <c r="AG307" s="328"/>
      <c r="AH307" s="328"/>
      <c r="AI307" s="328"/>
      <c r="AJ307" s="329"/>
      <c r="AK307" s="328"/>
      <c r="AL307" s="328"/>
      <c r="AM307" s="328"/>
      <c r="AN307" s="329"/>
      <c r="AO307" s="328"/>
      <c r="AP307" s="328"/>
      <c r="AQ307" s="328"/>
      <c r="AR307" s="329"/>
      <c r="AS307" s="328"/>
      <c r="AT307" s="328"/>
      <c r="AU307" s="328"/>
      <c r="AV307" s="329"/>
      <c r="AW307" s="328"/>
      <c r="AX307" s="328"/>
      <c r="AY307" s="328"/>
      <c r="AZ307" s="329"/>
      <c r="BA307" s="328"/>
      <c r="BB307" s="328"/>
      <c r="BC307" s="328"/>
      <c r="BD307" s="329"/>
      <c r="BE307" s="328"/>
      <c r="BF307" s="328"/>
      <c r="BG307" s="328"/>
      <c r="BH307" s="328"/>
      <c r="BI307" s="1573"/>
      <c r="BJ307" s="328"/>
      <c r="BK307" s="328"/>
      <c r="BL307" s="329"/>
      <c r="BM307" s="338">
        <f t="shared" ref="BM307:CF307" si="610">+BM306/BI306-1</f>
        <v>-0.1616751916604906</v>
      </c>
      <c r="BN307" s="338">
        <f t="shared" si="610"/>
        <v>1.4565916398713825</v>
      </c>
      <c r="BO307" s="338">
        <f>+BO306/BK306-1</f>
        <v>0.13608952320316892</v>
      </c>
      <c r="BP307" s="339">
        <f t="shared" si="610"/>
        <v>0.14092815249266843</v>
      </c>
      <c r="BQ307" s="372">
        <f t="shared" si="610"/>
        <v>0.14545133239831687</v>
      </c>
      <c r="BR307" s="338">
        <f>+BR306/BN306-1</f>
        <v>5.5194565107245408E-2</v>
      </c>
      <c r="BS307" s="338">
        <f t="shared" si="610"/>
        <v>0.12000000000000011</v>
      </c>
      <c r="BT307" s="339">
        <f t="shared" si="610"/>
        <v>0.12000000000000011</v>
      </c>
      <c r="BU307" s="372">
        <f t="shared" si="610"/>
        <v>7.0000000000000062E-2</v>
      </c>
      <c r="BV307" s="338">
        <f t="shared" si="610"/>
        <v>7.0000000000000062E-2</v>
      </c>
      <c r="BW307" s="338">
        <f t="shared" si="610"/>
        <v>7.0000000000000062E-2</v>
      </c>
      <c r="BX307" s="339">
        <f t="shared" si="610"/>
        <v>7.0000000000000062E-2</v>
      </c>
      <c r="BY307" s="372">
        <f t="shared" si="610"/>
        <v>5.0000000000000266E-2</v>
      </c>
      <c r="BZ307" s="338">
        <f t="shared" si="610"/>
        <v>5.0000000000000044E-2</v>
      </c>
      <c r="CA307" s="338">
        <f t="shared" si="610"/>
        <v>5.0000000000000044E-2</v>
      </c>
      <c r="CB307" s="339">
        <f t="shared" si="610"/>
        <v>5.0000000000000044E-2</v>
      </c>
      <c r="CC307" s="372">
        <f t="shared" si="610"/>
        <v>5.0000000000000044E-2</v>
      </c>
      <c r="CD307" s="338">
        <f t="shared" si="610"/>
        <v>5.0000000000000044E-2</v>
      </c>
      <c r="CE307" s="338">
        <f t="shared" si="610"/>
        <v>5.0000000000000044E-2</v>
      </c>
      <c r="CF307" s="339">
        <f t="shared" si="610"/>
        <v>5.0000000000000044E-2</v>
      </c>
      <c r="CG307" s="337"/>
      <c r="CH307" s="340"/>
      <c r="CI307" s="328"/>
      <c r="CJ307" s="328"/>
      <c r="CK307" s="328"/>
      <c r="CL307" s="328"/>
      <c r="CM307" s="328"/>
      <c r="CN307" s="328"/>
      <c r="CO307" s="328"/>
      <c r="CP307" s="328"/>
      <c r="CQ307" s="328"/>
      <c r="CR307" s="328"/>
      <c r="CS307" s="340"/>
      <c r="CT307" s="328"/>
      <c r="CU307" s="338">
        <f t="shared" ref="CU307:DF307" si="611">+CU306/CT306-1</f>
        <v>0.85022376552876056</v>
      </c>
      <c r="CV307" s="338">
        <f t="shared" si="611"/>
        <v>0.10882320689668434</v>
      </c>
      <c r="CW307" s="338">
        <f t="shared" si="611"/>
        <v>7.0000000000000062E-2</v>
      </c>
      <c r="CX307" s="338">
        <f t="shared" si="611"/>
        <v>5.0000000000000044E-2</v>
      </c>
      <c r="CY307" s="338">
        <f t="shared" si="611"/>
        <v>4.9999999999999822E-2</v>
      </c>
      <c r="CZ307" s="338">
        <f t="shared" si="611"/>
        <v>4.9999999999999822E-2</v>
      </c>
      <c r="DA307" s="338">
        <f t="shared" si="611"/>
        <v>4.9999999999999822E-2</v>
      </c>
      <c r="DB307" s="338">
        <f t="shared" si="611"/>
        <v>4.9999999999999822E-2</v>
      </c>
      <c r="DC307" s="338">
        <f t="shared" si="611"/>
        <v>4.9999999999999822E-2</v>
      </c>
      <c r="DD307" s="338">
        <f t="shared" si="611"/>
        <v>4.9999999999999822E-2</v>
      </c>
      <c r="DE307" s="338">
        <f t="shared" si="611"/>
        <v>4.9999999999999822E-2</v>
      </c>
      <c r="DF307" s="339">
        <f t="shared" si="611"/>
        <v>4.9999999999999822E-2</v>
      </c>
      <c r="DG307" s="308"/>
      <c r="DH307" s="308"/>
    </row>
    <row r="308" spans="1:114" s="44" customFormat="1" ht="11.25" customHeight="1">
      <c r="A308" s="24"/>
      <c r="B308"/>
      <c r="C308"/>
      <c r="D308"/>
      <c r="E308"/>
      <c r="F308"/>
      <c r="G308"/>
      <c r="H308" s="1044"/>
      <c r="I308" s="165"/>
      <c r="J308" s="42"/>
      <c r="K308" s="42"/>
      <c r="L308" s="43"/>
      <c r="M308" s="439"/>
      <c r="N308" s="439"/>
      <c r="O308" s="439"/>
      <c r="P308" s="370"/>
      <c r="Q308" s="360"/>
      <c r="R308" s="360"/>
      <c r="S308" s="360"/>
      <c r="T308" s="369"/>
      <c r="U308" s="360"/>
      <c r="V308" s="360"/>
      <c r="W308" s="360"/>
      <c r="X308" s="369"/>
      <c r="Y308" s="360"/>
      <c r="Z308" s="360"/>
      <c r="AA308" s="360"/>
      <c r="AB308" s="369"/>
      <c r="AC308" s="360"/>
      <c r="AD308" s="360"/>
      <c r="AE308" s="360"/>
      <c r="AF308" s="369"/>
      <c r="AG308" s="360"/>
      <c r="AH308" s="360"/>
      <c r="AI308" s="360"/>
      <c r="AJ308" s="369"/>
      <c r="AK308" s="360"/>
      <c r="AL308" s="360"/>
      <c r="AM308" s="360"/>
      <c r="AN308" s="369"/>
      <c r="AO308" s="360"/>
      <c r="AP308" s="360"/>
      <c r="AQ308" s="360"/>
      <c r="AR308" s="369"/>
      <c r="AS308" s="360"/>
      <c r="AT308" s="360"/>
      <c r="AU308" s="360"/>
      <c r="AV308" s="369"/>
      <c r="AW308" s="360"/>
      <c r="AX308" s="360"/>
      <c r="AY308" s="360"/>
      <c r="AZ308" s="369"/>
      <c r="BA308" s="360"/>
      <c r="BB308" s="360"/>
      <c r="BC308" s="360"/>
      <c r="BD308" s="369"/>
      <c r="BE308" s="360"/>
      <c r="BF308" s="360"/>
      <c r="BG308" s="360"/>
      <c r="BH308" s="360"/>
      <c r="BI308" s="1458"/>
      <c r="BJ308" s="360"/>
      <c r="BK308" s="360"/>
      <c r="BL308" s="369"/>
      <c r="BM308" s="360"/>
      <c r="BN308" s="360"/>
      <c r="BO308" s="360"/>
      <c r="BP308" s="369"/>
      <c r="BQ308" s="371"/>
      <c r="BR308" s="360"/>
      <c r="BS308" s="360"/>
      <c r="BT308" s="369"/>
      <c r="BU308" s="371"/>
      <c r="BV308" s="360"/>
      <c r="BW308" s="360"/>
      <c r="BX308" s="369"/>
      <c r="BY308" s="371"/>
      <c r="BZ308" s="360"/>
      <c r="CA308" s="360"/>
      <c r="CB308" s="369"/>
      <c r="CC308" s="371"/>
      <c r="CD308" s="360"/>
      <c r="CE308" s="360"/>
      <c r="CF308" s="369"/>
      <c r="CG308" s="456"/>
      <c r="CH308" s="378"/>
      <c r="CI308" s="360"/>
      <c r="CJ308" s="360"/>
      <c r="CK308" s="360"/>
      <c r="CL308" s="360"/>
      <c r="CM308" s="360"/>
      <c r="CN308" s="360"/>
      <c r="CO308" s="360"/>
      <c r="CP308" s="360"/>
      <c r="CQ308" s="360"/>
      <c r="CR308" s="360"/>
      <c r="CS308" s="371"/>
      <c r="CT308" s="360"/>
      <c r="CU308" s="360"/>
      <c r="CV308" s="360"/>
      <c r="CW308" s="360"/>
      <c r="CX308" s="360"/>
      <c r="CY308" s="360"/>
      <c r="CZ308" s="360"/>
      <c r="DA308" s="360"/>
      <c r="DB308" s="360"/>
      <c r="DC308" s="360"/>
      <c r="DD308" s="360"/>
      <c r="DE308" s="360"/>
      <c r="DF308" s="369"/>
      <c r="DG308" s="78"/>
      <c r="DH308" s="78"/>
    </row>
    <row r="309" spans="1:114" s="630" customFormat="1" ht="11.25" customHeight="1">
      <c r="A309" s="547"/>
      <c r="B309"/>
      <c r="C309"/>
      <c r="D309"/>
      <c r="E309"/>
      <c r="F309"/>
      <c r="G309"/>
      <c r="H309" s="1044"/>
      <c r="I309" s="624" t="s">
        <v>28</v>
      </c>
      <c r="J309" s="608"/>
      <c r="K309" s="608"/>
      <c r="L309" s="625"/>
      <c r="M309" s="626"/>
      <c r="N309" s="626"/>
      <c r="O309" s="626"/>
      <c r="P309" s="627"/>
      <c r="Q309" s="626"/>
      <c r="R309" s="626"/>
      <c r="S309" s="626"/>
      <c r="T309" s="627"/>
      <c r="U309" s="626"/>
      <c r="V309" s="626"/>
      <c r="W309" s="626"/>
      <c r="X309" s="627"/>
      <c r="Y309" s="626"/>
      <c r="Z309" s="626"/>
      <c r="AA309" s="626"/>
      <c r="AB309" s="627"/>
      <c r="AC309" s="626"/>
      <c r="AD309" s="626"/>
      <c r="AE309" s="626"/>
      <c r="AF309" s="627"/>
      <c r="AG309" s="626"/>
      <c r="AH309" s="626"/>
      <c r="AI309" s="626"/>
      <c r="AJ309" s="627"/>
      <c r="AK309" s="626"/>
      <c r="AL309" s="626"/>
      <c r="AM309" s="626"/>
      <c r="AN309" s="627"/>
      <c r="AO309" s="626"/>
      <c r="AP309" s="626"/>
      <c r="AQ309" s="626"/>
      <c r="AR309" s="627"/>
      <c r="AS309" s="626"/>
      <c r="AT309" s="626"/>
      <c r="AU309" s="626"/>
      <c r="AV309" s="627"/>
      <c r="AW309" s="626"/>
      <c r="AX309" s="626"/>
      <c r="AY309" s="626"/>
      <c r="AZ309" s="627"/>
      <c r="BA309" s="626"/>
      <c r="BB309" s="626"/>
      <c r="BC309" s="626"/>
      <c r="BD309" s="627"/>
      <c r="BE309" s="626"/>
      <c r="BF309" s="626"/>
      <c r="BG309" s="626"/>
      <c r="BH309" s="626"/>
      <c r="BI309" s="1577">
        <f t="shared" ref="BI309:CF309" si="612">+BI306-BI312</f>
        <v>5.4909999999999997</v>
      </c>
      <c r="BJ309" s="396">
        <f t="shared" si="612"/>
        <v>2.984023999999998</v>
      </c>
      <c r="BK309" s="396">
        <f t="shared" si="612"/>
        <v>5.5574550000000116</v>
      </c>
      <c r="BL309" s="397">
        <f t="shared" si="612"/>
        <v>4.2534999999999954</v>
      </c>
      <c r="BM309" s="396">
        <f t="shared" si="612"/>
        <v>3.3717749999999995</v>
      </c>
      <c r="BN309" s="396">
        <f t="shared" si="612"/>
        <v>9.4592104999999975</v>
      </c>
      <c r="BO309" s="396">
        <f t="shared" si="612"/>
        <v>5.4395966370967699</v>
      </c>
      <c r="BP309" s="397">
        <f t="shared" si="612"/>
        <v>4.3925733870967676</v>
      </c>
      <c r="BQ309" s="1326">
        <f t="shared" si="612"/>
        <v>5.5325299354838648</v>
      </c>
      <c r="BR309" s="396">
        <f>+BR306-BR312</f>
        <v>5.6431805341935473</v>
      </c>
      <c r="BS309" s="396">
        <f t="shared" si="612"/>
        <v>6.0923482335483783</v>
      </c>
      <c r="BT309" s="397">
        <f t="shared" si="612"/>
        <v>4.9196821935483825</v>
      </c>
      <c r="BU309" s="1326">
        <f t="shared" si="612"/>
        <v>5.919807030967732</v>
      </c>
      <c r="BV309" s="396">
        <f t="shared" si="612"/>
        <v>6.0382031715870994</v>
      </c>
      <c r="BW309" s="396">
        <f>+BW306-BW312</f>
        <v>6.51881260989677</v>
      </c>
      <c r="BX309" s="397">
        <f t="shared" si="612"/>
        <v>5.2640599470967686</v>
      </c>
      <c r="BY309" s="1326">
        <f t="shared" si="612"/>
        <v>6.2157973825161292</v>
      </c>
      <c r="BZ309" s="396">
        <f t="shared" si="612"/>
        <v>6.3401133301664458</v>
      </c>
      <c r="CA309" s="396">
        <f t="shared" si="612"/>
        <v>6.8447532403916114</v>
      </c>
      <c r="CB309" s="397">
        <f t="shared" si="612"/>
        <v>5.527262944451607</v>
      </c>
      <c r="CC309" s="1326">
        <f t="shared" si="612"/>
        <v>6.5265872516419279</v>
      </c>
      <c r="CD309" s="396">
        <f t="shared" si="612"/>
        <v>6.6571189966747681</v>
      </c>
      <c r="CE309" s="396">
        <f t="shared" si="612"/>
        <v>7.186990902411182</v>
      </c>
      <c r="CF309" s="397">
        <f t="shared" si="612"/>
        <v>5.8036260916741895</v>
      </c>
      <c r="CG309" s="395"/>
      <c r="CH309" s="628"/>
      <c r="CI309" s="629"/>
      <c r="CJ309" s="629"/>
      <c r="CK309" s="629"/>
      <c r="CL309" s="629"/>
      <c r="CM309" s="629"/>
      <c r="CN309" s="629"/>
      <c r="CO309" s="629"/>
      <c r="CP309" s="629"/>
      <c r="CQ309" s="626"/>
      <c r="CR309" s="626"/>
      <c r="CS309" s="2087"/>
      <c r="CT309" s="396">
        <f>+CT306-CT312</f>
        <v>12.794979000000012</v>
      </c>
      <c r="CU309" s="396">
        <f>+CU306-CU312</f>
        <v>22.663155524193542</v>
      </c>
      <c r="CV309" s="396">
        <f>+CV306-CV312</f>
        <v>22.187740896774187</v>
      </c>
      <c r="CW309" s="396">
        <f>+CW306-CW312</f>
        <v>23.740882759548413</v>
      </c>
      <c r="CX309" s="396">
        <f>+CX306-CX312</f>
        <v>24.927926897525765</v>
      </c>
      <c r="CY309" s="396">
        <f t="shared" ref="CY309:DF309" si="613">+CY306-CY312</f>
        <v>26.174323242402068</v>
      </c>
      <c r="CZ309" s="396">
        <f t="shared" si="613"/>
        <v>27.483039404522174</v>
      </c>
      <c r="DA309" s="396">
        <f t="shared" si="613"/>
        <v>28.857191374748311</v>
      </c>
      <c r="DB309" s="396">
        <f t="shared" si="613"/>
        <v>30.300050943485701</v>
      </c>
      <c r="DC309" s="396">
        <f t="shared" si="613"/>
        <v>31.815053490659977</v>
      </c>
      <c r="DD309" s="396">
        <f t="shared" si="613"/>
        <v>33.405806165192985</v>
      </c>
      <c r="DE309" s="396">
        <f t="shared" si="613"/>
        <v>35.076096473452594</v>
      </c>
      <c r="DF309" s="397">
        <f t="shared" si="613"/>
        <v>36.829901297125218</v>
      </c>
      <c r="DG309" s="1473"/>
      <c r="DH309" s="1473"/>
    </row>
    <row r="310" spans="1:114" s="51" customFormat="1" ht="11.25" customHeight="1">
      <c r="A310" s="24"/>
      <c r="B310"/>
      <c r="C310"/>
      <c r="D310"/>
      <c r="E310"/>
      <c r="F310"/>
      <c r="G310"/>
      <c r="H310" s="1044"/>
      <c r="I310" s="199" t="s">
        <v>376</v>
      </c>
      <c r="J310" s="89"/>
      <c r="K310" s="89"/>
      <c r="L310" s="82"/>
      <c r="M310" s="336"/>
      <c r="N310" s="336"/>
      <c r="O310" s="336"/>
      <c r="P310" s="337"/>
      <c r="Q310" s="328"/>
      <c r="R310" s="328"/>
      <c r="S310" s="328"/>
      <c r="T310" s="329"/>
      <c r="U310" s="328"/>
      <c r="V310" s="328"/>
      <c r="W310" s="328"/>
      <c r="X310" s="329"/>
      <c r="Y310" s="328"/>
      <c r="Z310" s="328"/>
      <c r="AA310" s="328"/>
      <c r="AB310" s="329"/>
      <c r="AC310" s="328"/>
      <c r="AD310" s="328"/>
      <c r="AE310" s="328"/>
      <c r="AF310" s="329"/>
      <c r="AG310" s="328"/>
      <c r="AH310" s="328"/>
      <c r="AI310" s="328"/>
      <c r="AJ310" s="329"/>
      <c r="AK310" s="328"/>
      <c r="AL310" s="328"/>
      <c r="AM310" s="328"/>
      <c r="AN310" s="329"/>
      <c r="AO310" s="328"/>
      <c r="AP310" s="328"/>
      <c r="AQ310" s="328"/>
      <c r="AR310" s="329"/>
      <c r="AS310" s="328"/>
      <c r="AT310" s="328"/>
      <c r="AU310" s="328"/>
      <c r="AV310" s="329"/>
      <c r="AW310" s="328"/>
      <c r="AX310" s="328"/>
      <c r="AY310" s="328"/>
      <c r="AZ310" s="329"/>
      <c r="BA310" s="328"/>
      <c r="BB310" s="328"/>
      <c r="BC310" s="328"/>
      <c r="BD310" s="329"/>
      <c r="BE310" s="328"/>
      <c r="BF310" s="328"/>
      <c r="BG310" s="328"/>
      <c r="BH310" s="328"/>
      <c r="BI310" s="1573"/>
      <c r="BJ310" s="328"/>
      <c r="BK310" s="328"/>
      <c r="BL310" s="329"/>
      <c r="BM310" s="338">
        <f t="shared" ref="BM310:CF310" si="614">+BM309/BI309-1</f>
        <v>-0.38594518302677117</v>
      </c>
      <c r="BN310" s="338">
        <f t="shared" si="614"/>
        <v>2.169951213529115</v>
      </c>
      <c r="BO310" s="338">
        <f t="shared" si="614"/>
        <v>-2.120725456224859E-2</v>
      </c>
      <c r="BP310" s="339">
        <f t="shared" si="614"/>
        <v>3.2696223603331909E-2</v>
      </c>
      <c r="BQ310" s="372">
        <f t="shared" si="614"/>
        <v>0.64083603902510267</v>
      </c>
      <c r="BR310" s="338">
        <f>+BR309/BN309-1</f>
        <v>-0.403419499524453</v>
      </c>
      <c r="BS310" s="338">
        <f t="shared" si="614"/>
        <v>0.11999999999999922</v>
      </c>
      <c r="BT310" s="339">
        <f t="shared" si="614"/>
        <v>0.12000000000000055</v>
      </c>
      <c r="BU310" s="372">
        <f t="shared" si="614"/>
        <v>6.9999999999999396E-2</v>
      </c>
      <c r="BV310" s="338">
        <f t="shared" si="614"/>
        <v>7.0000000000000728E-2</v>
      </c>
      <c r="BW310" s="338">
        <f t="shared" si="614"/>
        <v>7.000000000000095E-2</v>
      </c>
      <c r="BX310" s="339">
        <f t="shared" si="614"/>
        <v>6.999999999999984E-2</v>
      </c>
      <c r="BY310" s="372">
        <f t="shared" si="614"/>
        <v>5.0000000000001821E-2</v>
      </c>
      <c r="BZ310" s="338">
        <f t="shared" si="614"/>
        <v>4.999999999999849E-2</v>
      </c>
      <c r="CA310" s="338">
        <f t="shared" si="614"/>
        <v>5.0000000000000488E-2</v>
      </c>
      <c r="CB310" s="339">
        <f t="shared" si="614"/>
        <v>5.0000000000000044E-2</v>
      </c>
      <c r="CC310" s="372">
        <f t="shared" si="614"/>
        <v>4.9999999999998712E-2</v>
      </c>
      <c r="CD310" s="338">
        <f t="shared" si="614"/>
        <v>5.0000000000000044E-2</v>
      </c>
      <c r="CE310" s="338">
        <f t="shared" si="614"/>
        <v>4.999999999999849E-2</v>
      </c>
      <c r="CF310" s="339">
        <f t="shared" si="614"/>
        <v>5.0000000000000488E-2</v>
      </c>
      <c r="CG310" s="337"/>
      <c r="CH310" s="340"/>
      <c r="CI310" s="328"/>
      <c r="CJ310" s="328"/>
      <c r="CK310" s="328"/>
      <c r="CL310" s="328"/>
      <c r="CM310" s="328"/>
      <c r="CN310" s="328"/>
      <c r="CO310" s="328"/>
      <c r="CP310" s="328"/>
      <c r="CQ310" s="328"/>
      <c r="CR310" s="328"/>
      <c r="CS310" s="340"/>
      <c r="CT310" s="338"/>
      <c r="CU310" s="338">
        <f t="shared" ref="CU310:DF310" si="615">+CU309/CT309-1</f>
        <v>0.77125382731722492</v>
      </c>
      <c r="CV310" s="338">
        <f t="shared" si="615"/>
        <v>-2.0977424212256568E-2</v>
      </c>
      <c r="CW310" s="338">
        <f t="shared" si="615"/>
        <v>7.0000000000001394E-2</v>
      </c>
      <c r="CX310" s="338">
        <f t="shared" si="615"/>
        <v>4.9999999999997158E-2</v>
      </c>
      <c r="CY310" s="338">
        <f t="shared" si="615"/>
        <v>5.0000000000000488E-2</v>
      </c>
      <c r="CZ310" s="338">
        <f t="shared" si="615"/>
        <v>5.0000000000000044E-2</v>
      </c>
      <c r="DA310" s="338">
        <f t="shared" si="615"/>
        <v>5.0000000000000933E-2</v>
      </c>
      <c r="DB310" s="338">
        <f t="shared" si="615"/>
        <v>4.9999999999999156E-2</v>
      </c>
      <c r="DC310" s="338">
        <f t="shared" si="615"/>
        <v>4.9999999999999822E-2</v>
      </c>
      <c r="DD310" s="338">
        <f t="shared" si="615"/>
        <v>5.0000000000000266E-2</v>
      </c>
      <c r="DE310" s="338">
        <f t="shared" si="615"/>
        <v>4.9999999999998712E-2</v>
      </c>
      <c r="DF310" s="339">
        <f t="shared" si="615"/>
        <v>4.9999999999999822E-2</v>
      </c>
      <c r="DG310" s="308"/>
      <c r="DH310" s="308"/>
    </row>
    <row r="311" spans="1:114" s="26" customFormat="1" ht="11.25" customHeight="1">
      <c r="A311" s="24"/>
      <c r="B311"/>
      <c r="C311"/>
      <c r="D311"/>
      <c r="E311"/>
      <c r="F311"/>
      <c r="G311"/>
      <c r="H311" s="1044"/>
      <c r="I311" s="190"/>
      <c r="J311" s="79"/>
      <c r="K311" s="79"/>
      <c r="L311" s="8"/>
      <c r="M311" s="315"/>
      <c r="N311" s="315"/>
      <c r="O311" s="315"/>
      <c r="P311" s="316"/>
      <c r="Q311" s="315"/>
      <c r="R311" s="315"/>
      <c r="S311" s="315"/>
      <c r="T311" s="316"/>
      <c r="U311" s="326"/>
      <c r="V311" s="326"/>
      <c r="W311" s="326"/>
      <c r="X311" s="327"/>
      <c r="Y311" s="326"/>
      <c r="Z311" s="326"/>
      <c r="AA311" s="326"/>
      <c r="AB311" s="327"/>
      <c r="AC311" s="326"/>
      <c r="AD311" s="326"/>
      <c r="AE311" s="326"/>
      <c r="AF311" s="327"/>
      <c r="AG311" s="326"/>
      <c r="AH311" s="326"/>
      <c r="AI311" s="326"/>
      <c r="AJ311" s="327"/>
      <c r="AK311" s="328"/>
      <c r="AL311" s="328"/>
      <c r="AM311" s="328"/>
      <c r="AN311" s="329"/>
      <c r="AO311" s="328"/>
      <c r="AP311" s="328"/>
      <c r="AQ311" s="328"/>
      <c r="AR311" s="329"/>
      <c r="AS311" s="328"/>
      <c r="AT311" s="328"/>
      <c r="AU311" s="328"/>
      <c r="AV311" s="329"/>
      <c r="AW311" s="328"/>
      <c r="AX311" s="328"/>
      <c r="AY311" s="328"/>
      <c r="AZ311" s="329"/>
      <c r="BA311" s="450"/>
      <c r="BB311" s="450"/>
      <c r="BC311" s="450"/>
      <c r="BD311" s="451"/>
      <c r="BE311" s="450"/>
      <c r="BF311" s="450"/>
      <c r="BG311" s="450"/>
      <c r="BH311" s="450"/>
      <c r="BI311" s="1578"/>
      <c r="BJ311" s="457"/>
      <c r="BK311" s="328"/>
      <c r="BL311" s="329"/>
      <c r="BM311" s="457"/>
      <c r="BN311" s="457"/>
      <c r="BO311" s="457"/>
      <c r="BP311" s="458"/>
      <c r="BQ311" s="1572"/>
      <c r="BR311" s="457"/>
      <c r="BS311" s="457"/>
      <c r="BT311" s="458"/>
      <c r="BU311" s="1572"/>
      <c r="BV311" s="457"/>
      <c r="BW311" s="457"/>
      <c r="BX311" s="458"/>
      <c r="BY311" s="1572"/>
      <c r="BZ311" s="457"/>
      <c r="CA311" s="457"/>
      <c r="CB311" s="458"/>
      <c r="CC311" s="1572"/>
      <c r="CD311" s="457"/>
      <c r="CE311" s="457"/>
      <c r="CF311" s="458"/>
      <c r="CG311" s="316"/>
      <c r="CH311" s="320"/>
      <c r="CI311" s="315"/>
      <c r="CJ311" s="326"/>
      <c r="CK311" s="326"/>
      <c r="CL311" s="326"/>
      <c r="CM311" s="326"/>
      <c r="CN311" s="328"/>
      <c r="CO311" s="328"/>
      <c r="CP311" s="328"/>
      <c r="CQ311" s="326"/>
      <c r="CR311" s="450"/>
      <c r="CS311" s="2088"/>
      <c r="CT311" s="457"/>
      <c r="CU311" s="457"/>
      <c r="CV311" s="457"/>
      <c r="CW311" s="457"/>
      <c r="CX311" s="457"/>
      <c r="CY311" s="457"/>
      <c r="CZ311" s="457"/>
      <c r="DA311" s="457"/>
      <c r="DB311" s="457"/>
      <c r="DC311" s="457"/>
      <c r="DD311" s="457"/>
      <c r="DE311" s="457"/>
      <c r="DF311" s="458"/>
      <c r="DG311" s="94"/>
      <c r="DH311" s="94"/>
    </row>
    <row r="312" spans="1:114" s="584" customFormat="1" ht="11.25" customHeight="1">
      <c r="A312" s="542"/>
      <c r="B312"/>
      <c r="C312"/>
      <c r="D312"/>
      <c r="E312"/>
      <c r="F312"/>
      <c r="G312"/>
      <c r="H312" s="1052"/>
      <c r="I312" s="579" t="s">
        <v>1</v>
      </c>
      <c r="J312" s="580"/>
      <c r="K312" s="580"/>
      <c r="L312" s="542"/>
      <c r="M312" s="581"/>
      <c r="N312" s="581"/>
      <c r="O312" s="581"/>
      <c r="P312" s="582"/>
      <c r="Q312" s="581"/>
      <c r="R312" s="581"/>
      <c r="S312" s="581"/>
      <c r="T312" s="582"/>
      <c r="U312" s="572"/>
      <c r="V312" s="572"/>
      <c r="W312" s="572"/>
      <c r="X312" s="573"/>
      <c r="Y312" s="572"/>
      <c r="Z312" s="572"/>
      <c r="AA312" s="572"/>
      <c r="AB312" s="573"/>
      <c r="AC312" s="572"/>
      <c r="AD312" s="572"/>
      <c r="AE312" s="572"/>
      <c r="AF312" s="573"/>
      <c r="AG312" s="572"/>
      <c r="AH312" s="572"/>
      <c r="AI312" s="572"/>
      <c r="AJ312" s="573"/>
      <c r="AK312" s="572"/>
      <c r="AL312" s="572"/>
      <c r="AM312" s="572"/>
      <c r="AN312" s="573"/>
      <c r="AO312" s="572"/>
      <c r="AP312" s="572"/>
      <c r="AQ312" s="572"/>
      <c r="AR312" s="573"/>
      <c r="AS312" s="572"/>
      <c r="AT312" s="572"/>
      <c r="AU312" s="572"/>
      <c r="AV312" s="573"/>
      <c r="AW312" s="572"/>
      <c r="AX312" s="572"/>
      <c r="AY312" s="572"/>
      <c r="AZ312" s="573"/>
      <c r="BA312" s="619"/>
      <c r="BB312" s="619"/>
      <c r="BC312" s="619"/>
      <c r="BD312" s="620"/>
      <c r="BE312" s="619"/>
      <c r="BF312" s="619"/>
      <c r="BG312" s="619"/>
      <c r="BH312" s="619"/>
      <c r="BI312" s="1456">
        <f>82.307-5.491</f>
        <v>76.816000000000003</v>
      </c>
      <c r="BJ312" s="572">
        <f>+BF39*0.028</f>
        <v>28.115976000000003</v>
      </c>
      <c r="BK312" s="572">
        <f>+BG39*0.045</f>
        <v>62.842544999999994</v>
      </c>
      <c r="BL312" s="573">
        <f>+BH39*0.054</f>
        <v>50.746500000000005</v>
      </c>
      <c r="BM312" s="572">
        <f>+BI39*0.065</f>
        <v>65.628225</v>
      </c>
      <c r="BN312" s="572">
        <f>+BM312*1.02</f>
        <v>66.940789500000008</v>
      </c>
      <c r="BO312" s="465">
        <f t="shared" ref="BO312:BT312" si="616">+BK312*(1+BO314)</f>
        <v>72.268926749999991</v>
      </c>
      <c r="BP312" s="466">
        <f t="shared" si="616"/>
        <v>58.358474999999999</v>
      </c>
      <c r="BQ312" s="635">
        <f>+BM312*(1+BQ314)</f>
        <v>73.503612000000004</v>
      </c>
      <c r="BR312" s="465">
        <f t="shared" si="616"/>
        <v>74.973684240000011</v>
      </c>
      <c r="BS312" s="465">
        <f t="shared" si="616"/>
        <v>80.941197959999997</v>
      </c>
      <c r="BT312" s="466">
        <f t="shared" si="616"/>
        <v>65.361491999999998</v>
      </c>
      <c r="BU312" s="635">
        <f t="shared" ref="BU312:CF312" si="617">+BQ312*(1+BU314)</f>
        <v>78.648864840000016</v>
      </c>
      <c r="BV312" s="465">
        <f t="shared" si="617"/>
        <v>80.221842136800021</v>
      </c>
      <c r="BW312" s="465">
        <f t="shared" si="617"/>
        <v>86.607081817199997</v>
      </c>
      <c r="BX312" s="466">
        <f t="shared" si="617"/>
        <v>69.936796440000009</v>
      </c>
      <c r="BY312" s="635">
        <f t="shared" si="617"/>
        <v>82.581308082000021</v>
      </c>
      <c r="BZ312" s="465">
        <f t="shared" si="617"/>
        <v>84.232934243640031</v>
      </c>
      <c r="CA312" s="465">
        <f t="shared" si="617"/>
        <v>90.937435908059996</v>
      </c>
      <c r="CB312" s="466">
        <f t="shared" si="617"/>
        <v>73.433636262000007</v>
      </c>
      <c r="CC312" s="635">
        <f t="shared" si="617"/>
        <v>86.710373486100025</v>
      </c>
      <c r="CD312" s="465">
        <f t="shared" si="617"/>
        <v>88.444580955822033</v>
      </c>
      <c r="CE312" s="465">
        <f t="shared" si="617"/>
        <v>95.484307703463003</v>
      </c>
      <c r="CF312" s="466">
        <f t="shared" si="617"/>
        <v>77.105318075100016</v>
      </c>
      <c r="CG312" s="582"/>
      <c r="CH312" s="583"/>
      <c r="CI312" s="581"/>
      <c r="CJ312" s="572"/>
      <c r="CK312" s="572"/>
      <c r="CL312" s="572"/>
      <c r="CM312" s="572"/>
      <c r="CN312" s="572"/>
      <c r="CO312" s="572"/>
      <c r="CP312" s="572"/>
      <c r="CQ312" s="572"/>
      <c r="CR312" s="619"/>
      <c r="CS312" s="2086"/>
      <c r="CT312" s="465">
        <f>+SUM(BJ312:BL312)</f>
        <v>141.70502099999999</v>
      </c>
      <c r="CU312" s="465">
        <f>SUM(BM312:BP312)</f>
        <v>263.19641624999997</v>
      </c>
      <c r="CV312" s="465">
        <f>SUM(BQ312:BT312)</f>
        <v>294.7799862</v>
      </c>
      <c r="CW312" s="465">
        <f>SUM(BU312:BX312)</f>
        <v>315.41458523400001</v>
      </c>
      <c r="CX312" s="465">
        <f>SUM(BY312:CB312)</f>
        <v>331.18531449570008</v>
      </c>
      <c r="CY312" s="465">
        <f>SUM(CC312:CF312)</f>
        <v>347.74458022048503</v>
      </c>
      <c r="CZ312" s="465">
        <f t="shared" ref="CZ312:DF312" si="618">+CY312*(1+CZ314)</f>
        <v>365.13180923150924</v>
      </c>
      <c r="DA312" s="465">
        <f t="shared" si="618"/>
        <v>383.38839969308464</v>
      </c>
      <c r="DB312" s="465">
        <f t="shared" si="618"/>
        <v>402.55781967773879</v>
      </c>
      <c r="DC312" s="465">
        <f t="shared" si="618"/>
        <v>422.68571066162565</v>
      </c>
      <c r="DD312" s="465">
        <f t="shared" si="618"/>
        <v>443.81999619470685</v>
      </c>
      <c r="DE312" s="465">
        <f t="shared" si="618"/>
        <v>466.01099600444212</v>
      </c>
      <c r="DF312" s="466">
        <f t="shared" si="618"/>
        <v>489.31154580466415</v>
      </c>
      <c r="DG312" s="632"/>
      <c r="DH312" s="632"/>
      <c r="DJ312" s="465"/>
    </row>
    <row r="313" spans="1:114" s="51" customFormat="1" ht="11.25" customHeight="1">
      <c r="A313" s="24"/>
      <c r="B313"/>
      <c r="C313"/>
      <c r="D313"/>
      <c r="E313"/>
      <c r="F313"/>
      <c r="G313"/>
      <c r="H313" s="1044"/>
      <c r="I313" s="193" t="s">
        <v>360</v>
      </c>
      <c r="J313" s="83"/>
      <c r="K313" s="83"/>
      <c r="L313" s="82"/>
      <c r="M313" s="336"/>
      <c r="N313" s="336"/>
      <c r="O313" s="336"/>
      <c r="P313" s="337"/>
      <c r="Q313" s="336"/>
      <c r="R313" s="336"/>
      <c r="S313" s="336"/>
      <c r="T313" s="337"/>
      <c r="U313" s="328"/>
      <c r="V313" s="328"/>
      <c r="W313" s="328"/>
      <c r="X313" s="329"/>
      <c r="Y313" s="328"/>
      <c r="Z313" s="328"/>
      <c r="AA313" s="328"/>
      <c r="AB313" s="329"/>
      <c r="AC313" s="328"/>
      <c r="AD313" s="328"/>
      <c r="AE313" s="328"/>
      <c r="AF313" s="329"/>
      <c r="AG313" s="328"/>
      <c r="AH313" s="328"/>
      <c r="AI313" s="328"/>
      <c r="AJ313" s="329"/>
      <c r="AK313" s="328"/>
      <c r="AL313" s="328"/>
      <c r="AM313" s="328"/>
      <c r="AN313" s="329"/>
      <c r="AO313" s="328"/>
      <c r="AP313" s="328"/>
      <c r="AQ313" s="328"/>
      <c r="AR313" s="329"/>
      <c r="AS313" s="328"/>
      <c r="AT313" s="328"/>
      <c r="AU313" s="328"/>
      <c r="AV313" s="329"/>
      <c r="AW313" s="328"/>
      <c r="AX313" s="328"/>
      <c r="AY313" s="328"/>
      <c r="AZ313" s="329"/>
      <c r="BA313" s="459"/>
      <c r="BB313" s="459"/>
      <c r="BC313" s="459"/>
      <c r="BD313" s="460"/>
      <c r="BE313" s="459"/>
      <c r="BF313" s="459"/>
      <c r="BG313" s="459"/>
      <c r="BH313" s="459"/>
      <c r="BI313" s="1457">
        <f t="shared" ref="BI313:BN313" si="619">+BI312/BI306</f>
        <v>0.93328635474503996</v>
      </c>
      <c r="BJ313" s="338">
        <f t="shared" si="619"/>
        <v>0.90405067524115768</v>
      </c>
      <c r="BK313" s="338">
        <f t="shared" si="619"/>
        <v>0.91875065789473664</v>
      </c>
      <c r="BL313" s="339">
        <f t="shared" si="619"/>
        <v>0.92266363636363646</v>
      </c>
      <c r="BM313" s="338">
        <f t="shared" si="619"/>
        <v>0.95113369565217387</v>
      </c>
      <c r="BN313" s="338">
        <f t="shared" si="619"/>
        <v>0.87618834424083769</v>
      </c>
      <c r="BO313" s="328">
        <v>0.93</v>
      </c>
      <c r="BP313" s="329">
        <v>0.93</v>
      </c>
      <c r="BQ313" s="340">
        <v>0.93</v>
      </c>
      <c r="BR313" s="328">
        <v>0.93</v>
      </c>
      <c r="BS313" s="328">
        <v>0.93</v>
      </c>
      <c r="BT313" s="329">
        <v>0.93</v>
      </c>
      <c r="BU313" s="340">
        <v>0.93</v>
      </c>
      <c r="BV313" s="328">
        <v>0.93</v>
      </c>
      <c r="BW313" s="328">
        <v>0.93</v>
      </c>
      <c r="BX313" s="329">
        <v>0.93</v>
      </c>
      <c r="BY313" s="340">
        <v>0.93</v>
      </c>
      <c r="BZ313" s="328">
        <v>0.93</v>
      </c>
      <c r="CA313" s="328">
        <v>0.93</v>
      </c>
      <c r="CB313" s="329">
        <v>0.93</v>
      </c>
      <c r="CC313" s="340">
        <v>0.93</v>
      </c>
      <c r="CD313" s="328">
        <v>0.93</v>
      </c>
      <c r="CE313" s="328">
        <v>0.93</v>
      </c>
      <c r="CF313" s="329">
        <v>0.93</v>
      </c>
      <c r="CG313" s="337"/>
      <c r="CH313" s="367"/>
      <c r="CI313" s="336"/>
      <c r="CJ313" s="328"/>
      <c r="CK313" s="328"/>
      <c r="CL313" s="328"/>
      <c r="CM313" s="328"/>
      <c r="CN313" s="328"/>
      <c r="CO313" s="328"/>
      <c r="CP313" s="328"/>
      <c r="CQ313" s="328"/>
      <c r="CR313" s="459"/>
      <c r="CS313" s="2089"/>
      <c r="CT313" s="338">
        <f t="shared" ref="CT313:CY313" si="620">+CT312/CT306</f>
        <v>0.91718460194174745</v>
      </c>
      <c r="CU313" s="338">
        <f t="shared" si="620"/>
        <v>0.92071927001242537</v>
      </c>
      <c r="CV313" s="338">
        <f t="shared" si="620"/>
        <v>0.93</v>
      </c>
      <c r="CW313" s="338">
        <f t="shared" si="620"/>
        <v>0.92999999999999994</v>
      </c>
      <c r="CX313" s="338">
        <f t="shared" si="620"/>
        <v>0.93000000000000016</v>
      </c>
      <c r="CY313" s="338">
        <f t="shared" si="620"/>
        <v>0.93</v>
      </c>
      <c r="CZ313" s="461">
        <f t="shared" ref="CZ313:DF314" si="621">+CY313</f>
        <v>0.93</v>
      </c>
      <c r="DA313" s="461">
        <f t="shared" si="621"/>
        <v>0.93</v>
      </c>
      <c r="DB313" s="461">
        <f t="shared" si="621"/>
        <v>0.93</v>
      </c>
      <c r="DC313" s="461">
        <f t="shared" si="621"/>
        <v>0.93</v>
      </c>
      <c r="DD313" s="461">
        <f t="shared" si="621"/>
        <v>0.93</v>
      </c>
      <c r="DE313" s="461">
        <f t="shared" si="621"/>
        <v>0.93</v>
      </c>
      <c r="DF313" s="462">
        <f t="shared" si="621"/>
        <v>0.93</v>
      </c>
      <c r="DG313" s="308"/>
      <c r="DH313" s="308"/>
    </row>
    <row r="314" spans="1:114" s="68" customFormat="1" ht="11.25" customHeight="1">
      <c r="A314" s="24"/>
      <c r="B314"/>
      <c r="C314"/>
      <c r="D314"/>
      <c r="E314"/>
      <c r="F314"/>
      <c r="G314"/>
      <c r="H314" s="1044"/>
      <c r="I314" s="199" t="s">
        <v>376</v>
      </c>
      <c r="J314" s="67"/>
      <c r="K314" s="67"/>
      <c r="L314" s="67"/>
      <c r="M314" s="404"/>
      <c r="N314" s="404"/>
      <c r="O314" s="404"/>
      <c r="P314" s="405"/>
      <c r="Q314" s="404"/>
      <c r="R314" s="404"/>
      <c r="S314" s="404"/>
      <c r="T314" s="405"/>
      <c r="U314" s="373"/>
      <c r="V314" s="373"/>
      <c r="W314" s="373"/>
      <c r="X314" s="406"/>
      <c r="Y314" s="373"/>
      <c r="Z314" s="373"/>
      <c r="AA314" s="373"/>
      <c r="AB314" s="406"/>
      <c r="AC314" s="373"/>
      <c r="AD314" s="373"/>
      <c r="AE314" s="373"/>
      <c r="AF314" s="406"/>
      <c r="AG314" s="373"/>
      <c r="AH314" s="373"/>
      <c r="AI314" s="373"/>
      <c r="AJ314" s="406"/>
      <c r="AK314" s="373"/>
      <c r="AL314" s="373"/>
      <c r="AM314" s="373"/>
      <c r="AN314" s="406"/>
      <c r="AO314" s="373"/>
      <c r="AP314" s="373"/>
      <c r="AQ314" s="373"/>
      <c r="AR314" s="406"/>
      <c r="AS314" s="373"/>
      <c r="AT314" s="373"/>
      <c r="AU314" s="373"/>
      <c r="AV314" s="406"/>
      <c r="AW314" s="373"/>
      <c r="AX314" s="373"/>
      <c r="AY314" s="373"/>
      <c r="AZ314" s="406"/>
      <c r="BA314" s="341"/>
      <c r="BB314" s="341"/>
      <c r="BC314" s="341"/>
      <c r="BD314" s="342"/>
      <c r="BE314" s="404"/>
      <c r="BF314" s="404"/>
      <c r="BG314" s="404"/>
      <c r="BH314" s="379"/>
      <c r="BI314" s="1579"/>
      <c r="BJ314" s="407"/>
      <c r="BK314" s="407"/>
      <c r="BL314" s="1329"/>
      <c r="BM314" s="407"/>
      <c r="BN314" s="338">
        <f>+BN312/BJ312-1</f>
        <v>1.3808808735645526</v>
      </c>
      <c r="BO314" s="376">
        <v>0.15</v>
      </c>
      <c r="BP314" s="329">
        <v>0.15</v>
      </c>
      <c r="BQ314" s="340">
        <v>0.12</v>
      </c>
      <c r="BR314" s="376">
        <v>0.12</v>
      </c>
      <c r="BS314" s="376">
        <v>0.12</v>
      </c>
      <c r="BT314" s="377">
        <v>0.12</v>
      </c>
      <c r="BU314" s="340">
        <v>7.0000000000000007E-2</v>
      </c>
      <c r="BV314" s="376">
        <v>7.0000000000000007E-2</v>
      </c>
      <c r="BW314" s="376">
        <v>7.0000000000000007E-2</v>
      </c>
      <c r="BX314" s="377">
        <v>7.0000000000000007E-2</v>
      </c>
      <c r="BY314" s="340">
        <v>0.05</v>
      </c>
      <c r="BZ314" s="328">
        <v>0.05</v>
      </c>
      <c r="CA314" s="328">
        <v>0.05</v>
      </c>
      <c r="CB314" s="329">
        <v>0.05</v>
      </c>
      <c r="CC314" s="1573">
        <v>0.05</v>
      </c>
      <c r="CD314" s="461">
        <v>0.05</v>
      </c>
      <c r="CE314" s="461">
        <v>0.05</v>
      </c>
      <c r="CF314" s="462">
        <v>0.05</v>
      </c>
      <c r="CG314" s="405"/>
      <c r="CS314" s="183"/>
      <c r="CU314" s="338">
        <f>+CU312/CT312-1</f>
        <v>0.85735420236097348</v>
      </c>
      <c r="CV314" s="338">
        <f>+CV312/CU312-1</f>
        <v>0.12000000000000011</v>
      </c>
      <c r="CW314" s="338">
        <f>+CW312/CV312-1</f>
        <v>7.0000000000000062E-2</v>
      </c>
      <c r="CX314" s="338">
        <f>+CX312/CW312-1</f>
        <v>5.0000000000000266E-2</v>
      </c>
      <c r="CY314" s="338">
        <f>+CY312/CX312-1</f>
        <v>4.9999999999999822E-2</v>
      </c>
      <c r="CZ314" s="461">
        <f t="shared" si="621"/>
        <v>4.9999999999999822E-2</v>
      </c>
      <c r="DA314" s="461">
        <f t="shared" si="621"/>
        <v>4.9999999999999822E-2</v>
      </c>
      <c r="DB314" s="461">
        <f t="shared" si="621"/>
        <v>4.9999999999999822E-2</v>
      </c>
      <c r="DC314" s="461">
        <f t="shared" si="621"/>
        <v>4.9999999999999822E-2</v>
      </c>
      <c r="DD314" s="461">
        <f t="shared" si="621"/>
        <v>4.9999999999999822E-2</v>
      </c>
      <c r="DE314" s="461">
        <f t="shared" si="621"/>
        <v>4.9999999999999822E-2</v>
      </c>
      <c r="DF314" s="462">
        <f t="shared" si="621"/>
        <v>4.9999999999999822E-2</v>
      </c>
      <c r="DG314" s="1180"/>
      <c r="DH314" s="1180"/>
    </row>
    <row r="315" spans="1:114" s="68" customFormat="1" ht="11.25" customHeight="1">
      <c r="A315" s="24"/>
      <c r="B315"/>
      <c r="C315"/>
      <c r="D315"/>
      <c r="E315"/>
      <c r="F315"/>
      <c r="G315"/>
      <c r="H315" s="1044"/>
      <c r="I315" s="664"/>
      <c r="J315" s="665"/>
      <c r="K315" s="665"/>
      <c r="L315" s="665"/>
      <c r="M315" s="666"/>
      <c r="N315" s="666"/>
      <c r="O315" s="666"/>
      <c r="P315" s="666"/>
      <c r="Q315" s="666"/>
      <c r="R315" s="666"/>
      <c r="S315" s="666"/>
      <c r="T315" s="666"/>
      <c r="U315" s="668"/>
      <c r="V315" s="668"/>
      <c r="W315" s="668"/>
      <c r="X315" s="668"/>
      <c r="Y315" s="668"/>
      <c r="Z315" s="668"/>
      <c r="AA315" s="668"/>
      <c r="AB315" s="668"/>
      <c r="AC315" s="668"/>
      <c r="AD315" s="668"/>
      <c r="AE315" s="668"/>
      <c r="AF315" s="668"/>
      <c r="AG315" s="668"/>
      <c r="AH315" s="668"/>
      <c r="AI315" s="668"/>
      <c r="AJ315" s="668"/>
      <c r="AK315" s="668"/>
      <c r="AL315" s="668"/>
      <c r="AM315" s="668"/>
      <c r="AN315" s="668"/>
      <c r="AO315" s="668"/>
      <c r="AP315" s="668"/>
      <c r="AQ315" s="668"/>
      <c r="AR315" s="668"/>
      <c r="AS315" s="668"/>
      <c r="AT315" s="668"/>
      <c r="AU315" s="668"/>
      <c r="AV315" s="668"/>
      <c r="AW315" s="668"/>
      <c r="AX315" s="668"/>
      <c r="AY315" s="668"/>
      <c r="AZ315" s="668"/>
      <c r="BA315" s="670"/>
      <c r="BB315" s="670"/>
      <c r="BC315" s="670"/>
      <c r="BD315" s="670"/>
      <c r="BE315" s="666"/>
      <c r="BF315" s="666"/>
      <c r="BG315" s="666"/>
      <c r="BH315" s="677"/>
      <c r="BI315" s="1461"/>
      <c r="BJ315" s="673"/>
      <c r="BK315" s="673"/>
      <c r="BL315" s="674"/>
      <c r="BM315" s="673"/>
      <c r="BN315" s="673"/>
      <c r="BO315" s="673"/>
      <c r="BP315" s="662"/>
      <c r="BQ315" s="1407"/>
      <c r="BR315" s="662"/>
      <c r="BS315" s="662"/>
      <c r="BT315" s="663"/>
      <c r="BU315" s="1407"/>
      <c r="BV315" s="662"/>
      <c r="BW315" s="662"/>
      <c r="BX315" s="663"/>
      <c r="BY315" s="1407"/>
      <c r="BZ315" s="662"/>
      <c r="CA315" s="662"/>
      <c r="CB315" s="663"/>
      <c r="CC315" s="1407"/>
      <c r="CD315" s="662"/>
      <c r="CE315" s="662"/>
      <c r="CF315" s="663"/>
      <c r="CG315" s="404"/>
      <c r="CH315" s="675"/>
      <c r="CI315" s="666"/>
      <c r="CJ315" s="668"/>
      <c r="CK315" s="668"/>
      <c r="CL315" s="668"/>
      <c r="CM315" s="668"/>
      <c r="CN315" s="668"/>
      <c r="CO315" s="668"/>
      <c r="CP315" s="668"/>
      <c r="CQ315" s="662"/>
      <c r="CR315" s="662"/>
      <c r="CS315" s="1407"/>
      <c r="CT315" s="668"/>
      <c r="CU315" s="662"/>
      <c r="CV315" s="676"/>
      <c r="CW315" s="662"/>
      <c r="CX315" s="662"/>
      <c r="CY315" s="662"/>
      <c r="CZ315" s="662"/>
      <c r="DA315" s="662"/>
      <c r="DB315" s="662"/>
      <c r="DC315" s="662"/>
      <c r="DD315" s="662"/>
      <c r="DE315" s="662"/>
      <c r="DF315" s="663"/>
      <c r="DG315" s="1180"/>
      <c r="DH315" s="1180"/>
    </row>
    <row r="316" spans="1:114" ht="11.25" customHeight="1">
      <c r="I316" s="70"/>
      <c r="J316" s="70"/>
      <c r="K316" s="70"/>
      <c r="M316" s="315"/>
      <c r="N316" s="315"/>
      <c r="O316" s="315"/>
      <c r="P316" s="315"/>
      <c r="Q316" s="315"/>
      <c r="R316" s="315"/>
      <c r="S316" s="315"/>
      <c r="T316" s="315"/>
      <c r="U316" s="328"/>
      <c r="V316" s="328"/>
      <c r="W316" s="328"/>
      <c r="X316" s="328"/>
      <c r="Y316" s="328"/>
      <c r="Z316" s="328"/>
      <c r="AA316" s="328"/>
      <c r="AB316" s="328"/>
      <c r="AC316" s="328"/>
      <c r="AD316" s="328"/>
      <c r="AE316" s="328"/>
      <c r="AF316" s="328"/>
      <c r="AG316" s="328"/>
      <c r="AH316" s="328"/>
      <c r="AI316" s="328"/>
      <c r="AJ316" s="328"/>
      <c r="AK316" s="328"/>
      <c r="AL316" s="328"/>
      <c r="AM316" s="328"/>
      <c r="AN316" s="328"/>
      <c r="AO316" s="328"/>
      <c r="AP316" s="328"/>
      <c r="AQ316" s="328"/>
      <c r="AR316" s="328"/>
      <c r="AS316" s="328"/>
      <c r="AT316" s="328"/>
      <c r="AU316" s="328"/>
      <c r="AV316" s="328"/>
      <c r="AW316" s="328"/>
      <c r="AX316" s="328"/>
      <c r="AY316" s="328"/>
      <c r="AZ316" s="328"/>
      <c r="BA316" s="328"/>
      <c r="BB316" s="328"/>
      <c r="BC316" s="328"/>
      <c r="BD316" s="328"/>
      <c r="BE316" s="328"/>
      <c r="BF316" s="328"/>
      <c r="BG316" s="328"/>
      <c r="BH316" s="328"/>
      <c r="BI316" s="328"/>
      <c r="BJ316" s="328"/>
      <c r="BK316" s="328"/>
      <c r="BL316" s="328"/>
      <c r="BM316" s="328"/>
      <c r="BN316" s="328"/>
      <c r="BO316" s="328"/>
      <c r="BP316" s="328"/>
      <c r="BQ316" s="328"/>
      <c r="BR316" s="328"/>
      <c r="BS316" s="328"/>
      <c r="BT316" s="328"/>
      <c r="BU316" s="328"/>
      <c r="BV316" s="328"/>
      <c r="BW316" s="328"/>
      <c r="BX316" s="328"/>
      <c r="BY316" s="328"/>
      <c r="BZ316" s="328"/>
      <c r="CA316" s="328"/>
      <c r="CB316" s="328"/>
      <c r="CC316" s="328"/>
      <c r="CD316" s="328"/>
      <c r="CE316" s="328"/>
      <c r="CF316" s="328"/>
      <c r="CG316" s="315"/>
      <c r="CH316" s="315"/>
      <c r="CI316" s="315"/>
      <c r="CJ316" s="328"/>
      <c r="CK316" s="328"/>
      <c r="CL316" s="328"/>
      <c r="CM316" s="328"/>
      <c r="CN316" s="328"/>
      <c r="CO316" s="328"/>
      <c r="CP316" s="328"/>
      <c r="CQ316" s="328"/>
      <c r="CR316" s="328"/>
      <c r="CS316" s="328"/>
      <c r="CT316" s="328"/>
      <c r="CU316" s="328"/>
      <c r="CV316" s="328"/>
      <c r="CW316" s="328"/>
      <c r="CX316" s="328"/>
      <c r="CY316" s="328"/>
      <c r="CZ316" s="328"/>
      <c r="DA316" s="328"/>
      <c r="DB316" s="328"/>
      <c r="DC316" s="328"/>
      <c r="DD316" s="328"/>
      <c r="DE316" s="328"/>
      <c r="DF316" s="328"/>
    </row>
    <row r="317" spans="1:114" customFormat="1" ht="11.25" customHeight="1">
      <c r="A317" s="10"/>
      <c r="H317" s="1054"/>
      <c r="I317" s="659" t="s">
        <v>223</v>
      </c>
      <c r="J317" s="660"/>
      <c r="K317" s="660"/>
      <c r="L317" s="660"/>
      <c r="M317" s="660"/>
      <c r="N317" s="660"/>
      <c r="O317" s="660"/>
      <c r="P317" s="660"/>
      <c r="Q317" s="660"/>
      <c r="R317" s="660"/>
      <c r="S317" s="660"/>
      <c r="T317" s="660"/>
      <c r="U317" s="659"/>
      <c r="V317" s="660"/>
      <c r="W317" s="660"/>
      <c r="X317" s="661"/>
      <c r="Y317" s="659"/>
      <c r="Z317" s="660"/>
      <c r="AA317" s="660"/>
      <c r="AB317" s="661"/>
      <c r="AC317" s="659"/>
      <c r="AD317" s="660"/>
      <c r="AE317" s="660"/>
      <c r="AF317" s="661"/>
      <c r="AG317" s="659"/>
      <c r="AH317" s="660"/>
      <c r="AI317" s="660"/>
      <c r="AJ317" s="661"/>
      <c r="AK317" s="659"/>
      <c r="AL317" s="660"/>
      <c r="AM317" s="660"/>
      <c r="AN317" s="661"/>
      <c r="AO317" s="659"/>
      <c r="AP317" s="660"/>
      <c r="AQ317" s="660"/>
      <c r="AR317" s="661"/>
      <c r="AS317" s="659"/>
      <c r="AT317" s="660"/>
      <c r="AU317" s="660"/>
      <c r="AV317" s="661"/>
      <c r="AW317" s="659"/>
      <c r="AX317" s="660"/>
      <c r="AY317" s="660"/>
      <c r="AZ317" s="661"/>
      <c r="BA317" s="659"/>
      <c r="BB317" s="660"/>
      <c r="BC317" s="660"/>
      <c r="BD317" s="661"/>
      <c r="BE317" s="659"/>
      <c r="BF317" s="660"/>
      <c r="BG317" s="660"/>
      <c r="BH317" s="661"/>
      <c r="BI317" s="659"/>
      <c r="BJ317" s="660"/>
      <c r="BK317" s="660"/>
      <c r="BL317" s="661"/>
      <c r="BM317" s="659"/>
      <c r="BN317" s="660"/>
      <c r="BO317" s="660"/>
      <c r="BP317" s="661"/>
      <c r="BQ317" s="659"/>
      <c r="BR317" s="660"/>
      <c r="BS317" s="660"/>
      <c r="BT317" s="661"/>
      <c r="BU317" s="659"/>
      <c r="BV317" s="660"/>
      <c r="BW317" s="660"/>
      <c r="BX317" s="661"/>
      <c r="BY317" s="659"/>
      <c r="BZ317" s="660"/>
      <c r="CA317" s="660"/>
      <c r="CB317" s="661"/>
      <c r="CC317" s="659"/>
      <c r="CD317" s="660"/>
      <c r="CE317" s="660"/>
      <c r="CF317" s="661"/>
      <c r="CH317" s="661"/>
      <c r="CI317" s="661"/>
      <c r="CJ317" s="661"/>
      <c r="CK317" s="661"/>
      <c r="CL317" s="661"/>
      <c r="CM317" s="661"/>
      <c r="CN317" s="661"/>
      <c r="CO317" s="661"/>
      <c r="CP317" s="661"/>
      <c r="CQ317" s="661"/>
      <c r="CR317" s="661"/>
      <c r="CS317" s="661"/>
      <c r="CT317" s="661"/>
      <c r="CU317" s="661"/>
      <c r="CV317" s="661"/>
      <c r="CW317" s="661"/>
      <c r="CX317" s="661"/>
      <c r="CY317" s="660"/>
      <c r="CZ317" s="660"/>
      <c r="DA317" s="660"/>
      <c r="DB317" s="660"/>
      <c r="DC317" s="660"/>
      <c r="DD317" s="660"/>
      <c r="DE317" s="660"/>
      <c r="DF317" s="661"/>
      <c r="DG317" s="124"/>
      <c r="DH317" s="124"/>
      <c r="DI317" s="1548"/>
    </row>
    <row r="318" spans="1:114" s="78" customFormat="1" ht="11.25" customHeight="1">
      <c r="A318" s="24"/>
      <c r="B318"/>
      <c r="C318"/>
      <c r="D318"/>
      <c r="E318"/>
      <c r="F318"/>
      <c r="G318"/>
      <c r="H318" s="1044"/>
      <c r="I318" s="185"/>
      <c r="J318" s="70"/>
      <c r="K318" s="70"/>
      <c r="L318" s="75"/>
      <c r="M318" s="326"/>
      <c r="N318" s="326"/>
      <c r="O318" s="326"/>
      <c r="P318" s="327"/>
      <c r="Q318" s="326"/>
      <c r="R318" s="326"/>
      <c r="S318" s="326"/>
      <c r="T318" s="327"/>
      <c r="U318" s="326"/>
      <c r="V318" s="326"/>
      <c r="W318" s="326"/>
      <c r="X318" s="327"/>
      <c r="Y318" s="326"/>
      <c r="Z318" s="326"/>
      <c r="AA318" s="326"/>
      <c r="AB318" s="327"/>
      <c r="AC318" s="326"/>
      <c r="AD318" s="326"/>
      <c r="AE318" s="326"/>
      <c r="AF318" s="327"/>
      <c r="AG318" s="326"/>
      <c r="AH318" s="326"/>
      <c r="AI318" s="326"/>
      <c r="AJ318" s="327"/>
      <c r="AK318" s="326"/>
      <c r="AL318" s="326"/>
      <c r="AM318" s="326"/>
      <c r="AN318" s="327"/>
      <c r="AO318" s="326"/>
      <c r="AP318" s="326"/>
      <c r="AQ318" s="326"/>
      <c r="AR318" s="327"/>
      <c r="AS318" s="326"/>
      <c r="AT318" s="326"/>
      <c r="AU318" s="326"/>
      <c r="AV318" s="327"/>
      <c r="AW318" s="326"/>
      <c r="AX318" s="326"/>
      <c r="AY318" s="326"/>
      <c r="AZ318" s="327"/>
      <c r="BA318" s="326"/>
      <c r="BB318" s="326"/>
      <c r="BC318" s="326"/>
      <c r="BD318" s="327"/>
      <c r="BE318" s="326"/>
      <c r="BF318" s="326"/>
      <c r="BG318" s="326"/>
      <c r="BH318" s="327"/>
      <c r="BI318" s="463"/>
      <c r="BJ318" s="463"/>
      <c r="BK318" s="463"/>
      <c r="BL318" s="464"/>
      <c r="BM318" s="1453"/>
      <c r="BN318" s="1454"/>
      <c r="BO318" s="1454"/>
      <c r="BP318" s="1455"/>
      <c r="BQ318" s="463"/>
      <c r="BR318" s="463"/>
      <c r="BS318" s="463"/>
      <c r="BT318" s="464"/>
      <c r="BU318" s="463"/>
      <c r="BV318" s="463"/>
      <c r="BW318" s="463"/>
      <c r="BX318" s="464"/>
      <c r="BY318" s="463"/>
      <c r="BZ318" s="463"/>
      <c r="CA318" s="463"/>
      <c r="CB318" s="464"/>
      <c r="CC318" s="463"/>
      <c r="CD318" s="463"/>
      <c r="CE318" s="463"/>
      <c r="CF318" s="464"/>
      <c r="CG318" s="370"/>
      <c r="CH318" s="378"/>
      <c r="CI318" s="326"/>
      <c r="CJ318" s="326"/>
      <c r="CK318" s="326"/>
      <c r="CL318" s="326"/>
      <c r="CM318" s="326"/>
      <c r="CN318" s="326"/>
      <c r="CO318" s="326"/>
      <c r="CP318" s="326"/>
      <c r="CQ318" s="326"/>
      <c r="CR318" s="326"/>
      <c r="CS318" s="326"/>
      <c r="CT318" s="463"/>
      <c r="CU318" s="463"/>
      <c r="CV318" s="463"/>
      <c r="CW318" s="463"/>
      <c r="CX318" s="463"/>
      <c r="CY318" s="1581"/>
      <c r="CZ318" s="1581"/>
      <c r="DA318" s="463"/>
      <c r="DB318" s="463"/>
      <c r="DC318" s="463"/>
      <c r="DD318" s="463"/>
      <c r="DE318" s="463"/>
      <c r="DF318" s="464"/>
    </row>
    <row r="319" spans="1:114" s="632" customFormat="1" ht="11.25" customHeight="1">
      <c r="A319" s="542"/>
      <c r="B319"/>
      <c r="C319"/>
      <c r="D319"/>
      <c r="E319"/>
      <c r="F319"/>
      <c r="G319"/>
      <c r="H319" s="1052"/>
      <c r="I319" s="544" t="s">
        <v>18</v>
      </c>
      <c r="J319" s="542"/>
      <c r="K319" s="542"/>
      <c r="L319" s="631"/>
      <c r="M319" s="572"/>
      <c r="N319" s="572"/>
      <c r="O319" s="572"/>
      <c r="P319" s="573"/>
      <c r="Q319" s="572"/>
      <c r="R319" s="572"/>
      <c r="S319" s="572"/>
      <c r="T319" s="573"/>
      <c r="U319" s="572"/>
      <c r="V319" s="572"/>
      <c r="W319" s="572"/>
      <c r="X319" s="573"/>
      <c r="Y319" s="572"/>
      <c r="Z319" s="572"/>
      <c r="AA319" s="572"/>
      <c r="AB319" s="573"/>
      <c r="AC319" s="572"/>
      <c r="AD319" s="572"/>
      <c r="AE319" s="572"/>
      <c r="AF319" s="573"/>
      <c r="AG319" s="572"/>
      <c r="AH319" s="572"/>
      <c r="AI319" s="572"/>
      <c r="AJ319" s="573"/>
      <c r="AK319" s="572"/>
      <c r="AL319" s="572"/>
      <c r="AM319" s="572"/>
      <c r="AN319" s="573"/>
      <c r="AO319" s="572"/>
      <c r="AP319" s="572"/>
      <c r="AQ319" s="572"/>
      <c r="AR319" s="573"/>
      <c r="AS319" s="572"/>
      <c r="AT319" s="572"/>
      <c r="AU319" s="572"/>
      <c r="AV319" s="573"/>
      <c r="AW319" s="572"/>
      <c r="AX319" s="572"/>
      <c r="AY319" s="572"/>
      <c r="AZ319" s="573"/>
      <c r="BA319" s="572"/>
      <c r="BB319" s="572"/>
      <c r="BC319" s="572"/>
      <c r="BD319" s="573"/>
      <c r="BE319" s="1330">
        <v>39.369</v>
      </c>
      <c r="BF319" s="1330">
        <v>39.558</v>
      </c>
      <c r="BG319" s="1330">
        <v>39.738</v>
      </c>
      <c r="BH319" s="1331">
        <v>42.966999999999999</v>
      </c>
      <c r="BI319" s="1330">
        <v>45.500999999999998</v>
      </c>
      <c r="BJ319" s="1330">
        <v>45.564999999999998</v>
      </c>
      <c r="BK319" s="1330">
        <v>46.692999999999998</v>
      </c>
      <c r="BL319" s="1331">
        <v>52.290999999999997</v>
      </c>
      <c r="BM319" s="1456">
        <v>53.779000000000003</v>
      </c>
      <c r="BN319" s="1330">
        <f>109.511-Model!BM319</f>
        <v>55.731999999999992</v>
      </c>
      <c r="BO319" s="572">
        <v>41.2</v>
      </c>
      <c r="BP319" s="573">
        <v>59</v>
      </c>
      <c r="BQ319" s="572">
        <v>60.6</v>
      </c>
      <c r="BR319" s="572">
        <v>62.2</v>
      </c>
      <c r="BS319" s="572">
        <v>64.8</v>
      </c>
      <c r="BT319" s="1930">
        <v>72.7</v>
      </c>
      <c r="BU319" s="1931">
        <v>71.8</v>
      </c>
      <c r="BV319" s="1931">
        <v>74.599999999999994</v>
      </c>
      <c r="BW319" s="1931">
        <v>74.2</v>
      </c>
      <c r="BX319" s="1930">
        <v>83.3</v>
      </c>
      <c r="BY319" s="465">
        <f t="shared" ref="BY319:CF319" si="622">+BU319*(1+BY320)</f>
        <v>80.416000000000011</v>
      </c>
      <c r="BZ319" s="465">
        <f t="shared" si="622"/>
        <v>83.552000000000007</v>
      </c>
      <c r="CA319" s="465">
        <f t="shared" si="622"/>
        <v>83.104000000000013</v>
      </c>
      <c r="CB319" s="466">
        <f t="shared" si="622"/>
        <v>93.296000000000006</v>
      </c>
      <c r="CC319" s="465">
        <f t="shared" si="622"/>
        <v>88.457600000000014</v>
      </c>
      <c r="CD319" s="465">
        <f t="shared" si="622"/>
        <v>91.907200000000017</v>
      </c>
      <c r="CE319" s="465">
        <f t="shared" si="622"/>
        <v>91.414400000000029</v>
      </c>
      <c r="CF319" s="466">
        <f t="shared" si="622"/>
        <v>102.62560000000002</v>
      </c>
      <c r="CG319" s="582"/>
      <c r="CH319" s="574"/>
      <c r="CI319" s="572"/>
      <c r="CJ319" s="572"/>
      <c r="CK319" s="572"/>
      <c r="CL319" s="572"/>
      <c r="CM319" s="572"/>
      <c r="CN319" s="572"/>
      <c r="CO319" s="572"/>
      <c r="CP319" s="572"/>
      <c r="CQ319" s="572"/>
      <c r="CR319" s="572"/>
      <c r="CS319" s="465"/>
      <c r="CT319" s="465"/>
      <c r="CU319" s="465">
        <f>SUM(BO319:BP319)</f>
        <v>100.2</v>
      </c>
      <c r="CV319" s="465">
        <f>SUM(BQ319:BT319)</f>
        <v>260.3</v>
      </c>
      <c r="CW319" s="465">
        <f>SUM(BU319:BX319)</f>
        <v>303.89999999999998</v>
      </c>
      <c r="CX319" s="465">
        <f>SUM(BY319:CB319)</f>
        <v>340.36800000000005</v>
      </c>
      <c r="CY319" s="465">
        <f>SUM(CC319:CF319)</f>
        <v>374.40480000000008</v>
      </c>
      <c r="CZ319" s="465">
        <f t="shared" ref="CZ319:DF319" si="623">+CY319*(1+CZ320)</f>
        <v>404.35718400000013</v>
      </c>
      <c r="DA319" s="465">
        <f t="shared" si="623"/>
        <v>436.70575872000018</v>
      </c>
      <c r="DB319" s="465">
        <f t="shared" si="623"/>
        <v>471.64221941760024</v>
      </c>
      <c r="DC319" s="465">
        <f t="shared" si="623"/>
        <v>509.37359697100828</v>
      </c>
      <c r="DD319" s="465">
        <f t="shared" si="623"/>
        <v>550.12348472868894</v>
      </c>
      <c r="DE319" s="465">
        <f t="shared" si="623"/>
        <v>594.1333635069841</v>
      </c>
      <c r="DF319" s="466">
        <f t="shared" si="623"/>
        <v>641.66403258754292</v>
      </c>
    </row>
    <row r="320" spans="1:114" s="51" customFormat="1" ht="11.25" customHeight="1">
      <c r="A320" s="82"/>
      <c r="B320"/>
      <c r="C320"/>
      <c r="D320"/>
      <c r="E320"/>
      <c r="F320"/>
      <c r="G320"/>
      <c r="H320" s="1044"/>
      <c r="I320" s="199" t="s">
        <v>376</v>
      </c>
      <c r="J320" s="89"/>
      <c r="K320" s="89"/>
      <c r="L320" s="82"/>
      <c r="M320" s="336"/>
      <c r="N320" s="336"/>
      <c r="O320" s="336"/>
      <c r="P320" s="337"/>
      <c r="Q320" s="338"/>
      <c r="R320" s="338"/>
      <c r="S320" s="338"/>
      <c r="T320" s="339"/>
      <c r="U320" s="338"/>
      <c r="V320" s="338"/>
      <c r="W320" s="338"/>
      <c r="X320" s="339"/>
      <c r="Y320" s="338"/>
      <c r="Z320" s="338"/>
      <c r="AA320" s="338"/>
      <c r="AB320" s="339"/>
      <c r="AC320" s="338"/>
      <c r="AD320" s="338"/>
      <c r="AE320" s="338"/>
      <c r="AF320" s="339"/>
      <c r="AG320" s="338"/>
      <c r="AH320" s="338"/>
      <c r="AI320" s="338"/>
      <c r="AJ320" s="339"/>
      <c r="AK320" s="338"/>
      <c r="AL320" s="338"/>
      <c r="AM320" s="338"/>
      <c r="AN320" s="339"/>
      <c r="AO320" s="338"/>
      <c r="AP320" s="338"/>
      <c r="AQ320" s="338"/>
      <c r="AR320" s="339"/>
      <c r="AS320" s="338"/>
      <c r="AT320" s="338"/>
      <c r="AU320" s="338"/>
      <c r="AV320" s="339"/>
      <c r="AW320" s="338"/>
      <c r="AX320" s="338"/>
      <c r="AY320" s="338"/>
      <c r="AZ320" s="339"/>
      <c r="BA320" s="328"/>
      <c r="BB320" s="328"/>
      <c r="BC320" s="328"/>
      <c r="BD320" s="329"/>
      <c r="BE320" s="461"/>
      <c r="BF320" s="461"/>
      <c r="BG320" s="461"/>
      <c r="BH320" s="462"/>
      <c r="BI320" s="1435">
        <f t="shared" ref="BI320:BX320" si="624">+BI319/BE319-1</f>
        <v>0.15575706774365616</v>
      </c>
      <c r="BJ320" s="1435">
        <f t="shared" si="624"/>
        <v>0.15185297537792608</v>
      </c>
      <c r="BK320" s="1435">
        <f t="shared" si="624"/>
        <v>0.17502139010518891</v>
      </c>
      <c r="BL320" s="1436">
        <f t="shared" si="624"/>
        <v>0.21700374706169856</v>
      </c>
      <c r="BM320" s="1457">
        <f t="shared" si="624"/>
        <v>0.18193006747104468</v>
      </c>
      <c r="BN320" s="1435">
        <f t="shared" si="624"/>
        <v>0.22313178975090509</v>
      </c>
      <c r="BO320" s="338"/>
      <c r="BP320" s="339">
        <f>+BP319/BL319-1</f>
        <v>0.12830123730661125</v>
      </c>
      <c r="BQ320" s="338">
        <f>+BQ319/BM319-1</f>
        <v>0.12683389427099789</v>
      </c>
      <c r="BR320" s="338">
        <f>+BR319/BN319-1</f>
        <v>0.11605540802411562</v>
      </c>
      <c r="BS320" s="338">
        <f>+BS319/BO319-1</f>
        <v>0.57281553398058227</v>
      </c>
      <c r="BT320" s="339">
        <f>+BT319/BP319-1</f>
        <v>0.23220338983050848</v>
      </c>
      <c r="BU320" s="338">
        <f t="shared" si="624"/>
        <v>0.18481848184818483</v>
      </c>
      <c r="BV320" s="338">
        <f t="shared" si="624"/>
        <v>0.19935691318327953</v>
      </c>
      <c r="BW320" s="338">
        <f t="shared" si="624"/>
        <v>0.14506172839506193</v>
      </c>
      <c r="BX320" s="339">
        <f t="shared" si="624"/>
        <v>0.14580467675378261</v>
      </c>
      <c r="BY320" s="328">
        <v>0.12</v>
      </c>
      <c r="BZ320" s="328">
        <v>0.12</v>
      </c>
      <c r="CA320" s="328">
        <v>0.12</v>
      </c>
      <c r="CB320" s="329">
        <v>0.12</v>
      </c>
      <c r="CC320" s="461">
        <v>0.1</v>
      </c>
      <c r="CD320" s="461">
        <v>0.1</v>
      </c>
      <c r="CE320" s="461">
        <v>0.1</v>
      </c>
      <c r="CF320" s="462">
        <v>0.1</v>
      </c>
      <c r="CG320" s="337"/>
      <c r="CH320" s="340"/>
      <c r="CI320" s="338"/>
      <c r="CJ320" s="338"/>
      <c r="CK320" s="338"/>
      <c r="CL320" s="338"/>
      <c r="CM320" s="338"/>
      <c r="CN320" s="338"/>
      <c r="CO320" s="338"/>
      <c r="CP320" s="338"/>
      <c r="CQ320" s="338"/>
      <c r="CR320" s="328"/>
      <c r="CS320" s="328"/>
      <c r="CT320" s="338"/>
      <c r="CU320" s="338"/>
      <c r="CV320" s="338">
        <f>+CV319/CU319-1</f>
        <v>1.597804391217565</v>
      </c>
      <c r="CW320" s="338">
        <f>+CW319/CV319-1</f>
        <v>0.16749903956972712</v>
      </c>
      <c r="CX320" s="338">
        <f>+CX319/CW319-1</f>
        <v>0.12000000000000033</v>
      </c>
      <c r="CY320" s="338">
        <f>+CY319/CX319-1</f>
        <v>0.10000000000000009</v>
      </c>
      <c r="CZ320" s="461">
        <f>+CY320-2%</f>
        <v>8.0000000000000085E-2</v>
      </c>
      <c r="DA320" s="461">
        <f t="shared" ref="DA320:DF320" si="625">+CZ320</f>
        <v>8.0000000000000085E-2</v>
      </c>
      <c r="DB320" s="461">
        <f t="shared" si="625"/>
        <v>8.0000000000000085E-2</v>
      </c>
      <c r="DC320" s="461">
        <f t="shared" si="625"/>
        <v>8.0000000000000085E-2</v>
      </c>
      <c r="DD320" s="461">
        <f t="shared" si="625"/>
        <v>8.0000000000000085E-2</v>
      </c>
      <c r="DE320" s="461">
        <f t="shared" si="625"/>
        <v>8.0000000000000085E-2</v>
      </c>
      <c r="DF320" s="461">
        <f t="shared" si="625"/>
        <v>8.0000000000000085E-2</v>
      </c>
      <c r="DG320" s="308"/>
      <c r="DH320" s="308"/>
    </row>
    <row r="321" spans="1:114" s="44" customFormat="1" ht="11.25" customHeight="1">
      <c r="A321" s="24"/>
      <c r="B321"/>
      <c r="C321"/>
      <c r="D321"/>
      <c r="E321"/>
      <c r="F321"/>
      <c r="G321"/>
      <c r="H321" s="1044"/>
      <c r="I321" s="165"/>
      <c r="J321" s="42"/>
      <c r="K321" s="42"/>
      <c r="L321" s="43"/>
      <c r="M321" s="439"/>
      <c r="N321" s="439"/>
      <c r="O321" s="439"/>
      <c r="P321" s="370"/>
      <c r="Q321" s="360"/>
      <c r="R321" s="360"/>
      <c r="S321" s="360"/>
      <c r="T321" s="369"/>
      <c r="U321" s="360"/>
      <c r="V321" s="360"/>
      <c r="W321" s="360"/>
      <c r="X321" s="369"/>
      <c r="Y321" s="360"/>
      <c r="Z321" s="360"/>
      <c r="AA321" s="360"/>
      <c r="AB321" s="369"/>
      <c r="AC321" s="360"/>
      <c r="AD321" s="360"/>
      <c r="AE321" s="360"/>
      <c r="AF321" s="369"/>
      <c r="AG321" s="360"/>
      <c r="AH321" s="360"/>
      <c r="AI321" s="360"/>
      <c r="AJ321" s="369"/>
      <c r="AK321" s="360"/>
      <c r="AL321" s="360"/>
      <c r="AM321" s="360"/>
      <c r="AN321" s="369"/>
      <c r="AO321" s="360"/>
      <c r="AP321" s="360"/>
      <c r="AQ321" s="360"/>
      <c r="AR321" s="369"/>
      <c r="AS321" s="360"/>
      <c r="AT321" s="360"/>
      <c r="AU321" s="360"/>
      <c r="AV321" s="369"/>
      <c r="AW321" s="360"/>
      <c r="AX321" s="360"/>
      <c r="AY321" s="360"/>
      <c r="AZ321" s="369"/>
      <c r="BA321" s="360"/>
      <c r="BB321" s="360"/>
      <c r="BC321" s="360"/>
      <c r="BD321" s="369"/>
      <c r="BE321" s="1437"/>
      <c r="BF321" s="1437"/>
      <c r="BG321" s="1437"/>
      <c r="BH321" s="1438"/>
      <c r="BI321" s="1437"/>
      <c r="BJ321" s="1437"/>
      <c r="BK321" s="1437"/>
      <c r="BL321" s="1438"/>
      <c r="BM321" s="1458"/>
      <c r="BN321" s="1437"/>
      <c r="BO321" s="360"/>
      <c r="BP321" s="369"/>
      <c r="BQ321" s="360"/>
      <c r="BR321" s="360"/>
      <c r="BS321" s="360"/>
      <c r="BT321" s="369"/>
      <c r="BU321" s="360"/>
      <c r="BV321" s="360"/>
      <c r="BW321" s="360"/>
      <c r="BX321" s="369"/>
      <c r="BY321" s="360"/>
      <c r="BZ321" s="360"/>
      <c r="CA321" s="360"/>
      <c r="CB321" s="369"/>
      <c r="CC321" s="360"/>
      <c r="CD321" s="360"/>
      <c r="CE321" s="360"/>
      <c r="CF321" s="369"/>
      <c r="CG321" s="456"/>
      <c r="CH321" s="378"/>
      <c r="CI321" s="360"/>
      <c r="CJ321" s="360"/>
      <c r="CK321" s="360"/>
      <c r="CL321" s="360"/>
      <c r="CM321" s="360"/>
      <c r="CN321" s="360"/>
      <c r="CO321" s="360"/>
      <c r="CP321" s="360"/>
      <c r="CQ321" s="360"/>
      <c r="CR321" s="360"/>
      <c r="CS321" s="360"/>
      <c r="CT321" s="360"/>
      <c r="CU321" s="360"/>
      <c r="CV321" s="360"/>
      <c r="CW321" s="360"/>
      <c r="CX321" s="360"/>
      <c r="CY321" s="360"/>
      <c r="CZ321" s="360"/>
      <c r="DA321" s="360"/>
      <c r="DB321" s="360"/>
      <c r="DC321" s="360"/>
      <c r="DD321" s="360"/>
      <c r="DE321" s="360"/>
      <c r="DF321" s="369"/>
      <c r="DG321" s="78"/>
      <c r="DH321" s="78"/>
    </row>
    <row r="322" spans="1:114" s="612" customFormat="1" ht="11.25" customHeight="1">
      <c r="A322" s="547"/>
      <c r="B322"/>
      <c r="C322"/>
      <c r="D322"/>
      <c r="E322"/>
      <c r="F322"/>
      <c r="G322"/>
      <c r="H322" s="1044"/>
      <c r="I322" s="624" t="s">
        <v>224</v>
      </c>
      <c r="J322" s="608"/>
      <c r="K322" s="608"/>
      <c r="L322" s="611"/>
      <c r="M322" s="394"/>
      <c r="N322" s="394"/>
      <c r="O322" s="394"/>
      <c r="P322" s="395"/>
      <c r="Q322" s="394"/>
      <c r="R322" s="394"/>
      <c r="S322" s="394"/>
      <c r="T322" s="395"/>
      <c r="U322" s="394"/>
      <c r="V322" s="394"/>
      <c r="W322" s="394"/>
      <c r="X322" s="395"/>
      <c r="Y322" s="394"/>
      <c r="Z322" s="394"/>
      <c r="AA322" s="394"/>
      <c r="AB322" s="395"/>
      <c r="AC322" s="394"/>
      <c r="AD322" s="394"/>
      <c r="AE322" s="394"/>
      <c r="AF322" s="395"/>
      <c r="AG322" s="394"/>
      <c r="AH322" s="394"/>
      <c r="AI322" s="394"/>
      <c r="AJ322" s="395"/>
      <c r="AK322" s="394"/>
      <c r="AL322" s="394"/>
      <c r="AM322" s="394"/>
      <c r="AN322" s="395"/>
      <c r="AO322" s="394"/>
      <c r="AP322" s="394"/>
      <c r="AQ322" s="394"/>
      <c r="AR322" s="395"/>
      <c r="AS322" s="394"/>
      <c r="AT322" s="394"/>
      <c r="AU322" s="394"/>
      <c r="AV322" s="395"/>
      <c r="AW322" s="394"/>
      <c r="AX322" s="394"/>
      <c r="AY322" s="394"/>
      <c r="AZ322" s="395"/>
      <c r="BA322" s="394"/>
      <c r="BB322" s="394"/>
      <c r="BC322" s="394"/>
      <c r="BD322" s="395"/>
      <c r="BE322" s="1439">
        <f>10.519-0.301</f>
        <v>10.218</v>
      </c>
      <c r="BF322" s="1439">
        <f>10.338-0.333</f>
        <v>10.004999999999999</v>
      </c>
      <c r="BG322" s="1439">
        <f>10.544-0.332</f>
        <v>10.212</v>
      </c>
      <c r="BH322" s="1440">
        <f>10.506-0.331</f>
        <v>10.175000000000001</v>
      </c>
      <c r="BI322" s="1439">
        <f>11.363-0.023</f>
        <v>11.34</v>
      </c>
      <c r="BJ322" s="1439">
        <f>11.458-0.223</f>
        <v>11.234999999999999</v>
      </c>
      <c r="BK322" s="1439">
        <f>12.829-0.261</f>
        <v>12.568000000000001</v>
      </c>
      <c r="BL322" s="1440">
        <f>12.535-0.28</f>
        <v>12.255000000000001</v>
      </c>
      <c r="BM322" s="1459">
        <v>0</v>
      </c>
      <c r="BN322" s="1439">
        <v>0</v>
      </c>
      <c r="BO322" s="394">
        <v>0</v>
      </c>
      <c r="BP322" s="395">
        <v>0</v>
      </c>
      <c r="BQ322" s="394">
        <v>0</v>
      </c>
      <c r="BR322" s="394">
        <v>0</v>
      </c>
      <c r="BS322" s="394">
        <v>0</v>
      </c>
      <c r="BT322" s="395">
        <v>0</v>
      </c>
      <c r="BU322" s="394">
        <v>0</v>
      </c>
      <c r="BV322" s="394">
        <v>0</v>
      </c>
      <c r="BW322" s="394">
        <v>0</v>
      </c>
      <c r="BX322" s="395">
        <v>0</v>
      </c>
      <c r="BY322" s="394">
        <v>0</v>
      </c>
      <c r="BZ322" s="394">
        <v>0</v>
      </c>
      <c r="CA322" s="394">
        <v>0</v>
      </c>
      <c r="CB322" s="395">
        <v>0</v>
      </c>
      <c r="CC322" s="394">
        <v>0</v>
      </c>
      <c r="CD322" s="394">
        <v>0</v>
      </c>
      <c r="CE322" s="394">
        <v>0</v>
      </c>
      <c r="CF322" s="395">
        <v>0</v>
      </c>
      <c r="CG322" s="552"/>
      <c r="CH322" s="585"/>
      <c r="CI322" s="394"/>
      <c r="CJ322" s="394"/>
      <c r="CK322" s="394"/>
      <c r="CL322" s="394"/>
      <c r="CM322" s="394"/>
      <c r="CN322" s="394"/>
      <c r="CO322" s="394"/>
      <c r="CP322" s="394"/>
      <c r="CQ322" s="394"/>
      <c r="CR322" s="394"/>
      <c r="CS322" s="396"/>
      <c r="CT322" s="396"/>
      <c r="CU322" s="396">
        <f>SUM(BO322:BP322)</f>
        <v>0</v>
      </c>
      <c r="CV322" s="396">
        <f>SUM(BQ322:BT322)</f>
        <v>0</v>
      </c>
      <c r="CW322" s="396">
        <f>SUM(BU322:BX322)</f>
        <v>0</v>
      </c>
      <c r="CX322" s="396">
        <f>SUM(BY322:CB322)</f>
        <v>0</v>
      </c>
      <c r="CY322" s="396">
        <f>SUM(CC322:CF322)</f>
        <v>0</v>
      </c>
      <c r="CZ322" s="396">
        <f t="shared" ref="CZ322:DF322" si="626">+CZ319-CZ324</f>
        <v>0</v>
      </c>
      <c r="DA322" s="396">
        <f t="shared" si="626"/>
        <v>0</v>
      </c>
      <c r="DB322" s="396">
        <f t="shared" si="626"/>
        <v>0</v>
      </c>
      <c r="DC322" s="396">
        <f t="shared" si="626"/>
        <v>0</v>
      </c>
      <c r="DD322" s="396">
        <f t="shared" si="626"/>
        <v>0</v>
      </c>
      <c r="DE322" s="396">
        <f t="shared" si="626"/>
        <v>0</v>
      </c>
      <c r="DF322" s="397">
        <f t="shared" si="626"/>
        <v>0</v>
      </c>
    </row>
    <row r="323" spans="1:114" s="78" customFormat="1" ht="11.25" customHeight="1">
      <c r="A323" s="24"/>
      <c r="B323"/>
      <c r="C323"/>
      <c r="D323"/>
      <c r="E323"/>
      <c r="F323"/>
      <c r="G323"/>
      <c r="H323" s="1044"/>
      <c r="I323" s="190"/>
      <c r="J323" s="79"/>
      <c r="K323" s="79"/>
      <c r="L323" s="75"/>
      <c r="M323" s="326"/>
      <c r="N323" s="326"/>
      <c r="O323" s="326"/>
      <c r="P323" s="327"/>
      <c r="Q323" s="326"/>
      <c r="R323" s="326"/>
      <c r="S323" s="326"/>
      <c r="T323" s="327"/>
      <c r="U323" s="326"/>
      <c r="V323" s="326"/>
      <c r="W323" s="326"/>
      <c r="X323" s="327"/>
      <c r="Y323" s="326"/>
      <c r="Z323" s="326"/>
      <c r="AA323" s="326"/>
      <c r="AB323" s="327"/>
      <c r="AC323" s="326"/>
      <c r="AD323" s="326"/>
      <c r="AE323" s="326"/>
      <c r="AF323" s="327"/>
      <c r="AG323" s="326"/>
      <c r="AH323" s="326"/>
      <c r="AI323" s="326"/>
      <c r="AJ323" s="327"/>
      <c r="AK323" s="326"/>
      <c r="AL323" s="326"/>
      <c r="AM323" s="326"/>
      <c r="AN323" s="327"/>
      <c r="AO323" s="326"/>
      <c r="AP323" s="326"/>
      <c r="AQ323" s="326"/>
      <c r="AR323" s="327"/>
      <c r="AS323" s="326"/>
      <c r="AT323" s="326"/>
      <c r="AU323" s="326"/>
      <c r="AV323" s="327"/>
      <c r="AW323" s="326"/>
      <c r="AX323" s="326"/>
      <c r="AY323" s="326"/>
      <c r="AZ323" s="327"/>
      <c r="BA323" s="326"/>
      <c r="BB323" s="326"/>
      <c r="BC323" s="326"/>
      <c r="BD323" s="327"/>
      <c r="BE323" s="1439"/>
      <c r="BF323" s="1439"/>
      <c r="BG323" s="1439"/>
      <c r="BH323" s="1440"/>
      <c r="BI323" s="1439"/>
      <c r="BJ323" s="1439"/>
      <c r="BK323" s="1439"/>
      <c r="BL323" s="1440"/>
      <c r="BM323" s="1459"/>
      <c r="BN323" s="1439"/>
      <c r="BO323" s="394"/>
      <c r="BP323" s="395"/>
      <c r="BQ323" s="394"/>
      <c r="BR323" s="394"/>
      <c r="BS323" s="394"/>
      <c r="BT323" s="395"/>
      <c r="BU323" s="394"/>
      <c r="BV323" s="394"/>
      <c r="BW323" s="394"/>
      <c r="BX323" s="395"/>
      <c r="BY323" s="394"/>
      <c r="BZ323" s="394"/>
      <c r="CA323" s="394"/>
      <c r="CB323" s="395"/>
      <c r="CC323" s="394"/>
      <c r="CD323" s="394"/>
      <c r="CE323" s="394"/>
      <c r="CF323" s="395"/>
      <c r="CG323" s="370"/>
      <c r="CH323" s="378"/>
      <c r="CI323" s="326"/>
      <c r="CJ323" s="326"/>
      <c r="CK323" s="326"/>
      <c r="CL323" s="326"/>
      <c r="CM323" s="326"/>
      <c r="CN323" s="326"/>
      <c r="CO323" s="326"/>
      <c r="CP323" s="326"/>
      <c r="CQ323" s="326"/>
      <c r="CR323" s="326"/>
      <c r="CS323" s="326"/>
      <c r="CT323" s="326"/>
      <c r="CU323" s="326"/>
      <c r="CV323" s="326"/>
      <c r="CW323" s="326"/>
      <c r="CX323" s="326"/>
      <c r="CY323" s="326"/>
      <c r="CZ323" s="394"/>
      <c r="DA323" s="394"/>
      <c r="DB323" s="394"/>
      <c r="DC323" s="394"/>
      <c r="DD323" s="394"/>
      <c r="DE323" s="394"/>
      <c r="DF323" s="395"/>
    </row>
    <row r="324" spans="1:114" s="632" customFormat="1" ht="11.25" customHeight="1">
      <c r="A324" s="542"/>
      <c r="B324"/>
      <c r="C324"/>
      <c r="D324"/>
      <c r="E324"/>
      <c r="F324"/>
      <c r="G324"/>
      <c r="H324" s="1052"/>
      <c r="I324" s="579" t="s">
        <v>1</v>
      </c>
      <c r="J324" s="580"/>
      <c r="K324" s="580"/>
      <c r="L324" s="631"/>
      <c r="M324" s="572"/>
      <c r="N324" s="572"/>
      <c r="O324" s="572"/>
      <c r="P324" s="573"/>
      <c r="Q324" s="572"/>
      <c r="R324" s="572"/>
      <c r="S324" s="572"/>
      <c r="T324" s="573"/>
      <c r="U324" s="572"/>
      <c r="V324" s="572"/>
      <c r="W324" s="572"/>
      <c r="X324" s="573"/>
      <c r="Y324" s="572"/>
      <c r="Z324" s="572"/>
      <c r="AA324" s="572"/>
      <c r="AB324" s="573"/>
      <c r="AC324" s="572"/>
      <c r="AD324" s="572"/>
      <c r="AE324" s="572"/>
      <c r="AF324" s="573"/>
      <c r="AG324" s="572"/>
      <c r="AH324" s="572"/>
      <c r="AI324" s="572"/>
      <c r="AJ324" s="573"/>
      <c r="AK324" s="572"/>
      <c r="AL324" s="572"/>
      <c r="AM324" s="572"/>
      <c r="AN324" s="573"/>
      <c r="AO324" s="572"/>
      <c r="AP324" s="572"/>
      <c r="AQ324" s="572"/>
      <c r="AR324" s="573"/>
      <c r="AS324" s="572"/>
      <c r="AT324" s="572"/>
      <c r="AU324" s="572"/>
      <c r="AV324" s="573"/>
      <c r="AW324" s="572"/>
      <c r="AX324" s="572"/>
      <c r="AY324" s="572"/>
      <c r="AZ324" s="573"/>
      <c r="BA324" s="572"/>
      <c r="BB324" s="572"/>
      <c r="BC324" s="572"/>
      <c r="BD324" s="573"/>
      <c r="BE324" s="1441">
        <f t="shared" ref="BE324:BL324" si="627">+BE319-BE322</f>
        <v>29.151</v>
      </c>
      <c r="BF324" s="1441">
        <f t="shared" si="627"/>
        <v>29.553000000000001</v>
      </c>
      <c r="BG324" s="1441">
        <f t="shared" si="627"/>
        <v>29.526</v>
      </c>
      <c r="BH324" s="1442">
        <f t="shared" si="627"/>
        <v>32.792000000000002</v>
      </c>
      <c r="BI324" s="1441">
        <f t="shared" si="627"/>
        <v>34.161000000000001</v>
      </c>
      <c r="BJ324" s="1441">
        <f t="shared" si="627"/>
        <v>34.33</v>
      </c>
      <c r="BK324" s="1441">
        <f t="shared" si="627"/>
        <v>34.125</v>
      </c>
      <c r="BL324" s="1442">
        <f t="shared" si="627"/>
        <v>40.035999999999994</v>
      </c>
      <c r="BM324" s="1460">
        <f>BM319</f>
        <v>53.779000000000003</v>
      </c>
      <c r="BN324" s="1441">
        <f>+BN319-BN322</f>
        <v>55.731999999999992</v>
      </c>
      <c r="BO324" s="465">
        <f>+BO319</f>
        <v>41.2</v>
      </c>
      <c r="BP324" s="466">
        <f>+BP319</f>
        <v>59</v>
      </c>
      <c r="BQ324" s="465">
        <f>+BQ319</f>
        <v>60.6</v>
      </c>
      <c r="BR324" s="465">
        <f>+BR319</f>
        <v>62.2</v>
      </c>
      <c r="BS324" s="465">
        <f>+BS319</f>
        <v>64.8</v>
      </c>
      <c r="BT324" s="466">
        <f>+BT319*BT325</f>
        <v>72.7</v>
      </c>
      <c r="BU324" s="465">
        <f t="shared" ref="BU324:CF324" si="628">+BU319*BU325</f>
        <v>71.8</v>
      </c>
      <c r="BV324" s="465">
        <f>+BV319*BV325</f>
        <v>74.599999999999994</v>
      </c>
      <c r="BW324" s="465">
        <f t="shared" si="628"/>
        <v>74.2</v>
      </c>
      <c r="BX324" s="466">
        <f t="shared" si="628"/>
        <v>83.3</v>
      </c>
      <c r="BY324" s="465">
        <f t="shared" si="628"/>
        <v>80.416000000000011</v>
      </c>
      <c r="BZ324" s="465">
        <f t="shared" si="628"/>
        <v>83.552000000000007</v>
      </c>
      <c r="CA324" s="465">
        <f t="shared" si="628"/>
        <v>83.104000000000013</v>
      </c>
      <c r="CB324" s="466">
        <f t="shared" si="628"/>
        <v>93.296000000000006</v>
      </c>
      <c r="CC324" s="465">
        <f t="shared" si="628"/>
        <v>88.457600000000014</v>
      </c>
      <c r="CD324" s="465">
        <f t="shared" si="628"/>
        <v>91.907200000000017</v>
      </c>
      <c r="CE324" s="465">
        <f t="shared" si="628"/>
        <v>91.414400000000029</v>
      </c>
      <c r="CF324" s="466">
        <f t="shared" si="628"/>
        <v>102.62560000000002</v>
      </c>
      <c r="CG324" s="582"/>
      <c r="CH324" s="574"/>
      <c r="CI324" s="572"/>
      <c r="CJ324" s="572"/>
      <c r="CK324" s="572"/>
      <c r="CL324" s="572"/>
      <c r="CM324" s="572"/>
      <c r="CN324" s="572"/>
      <c r="CO324" s="572"/>
      <c r="CP324" s="572"/>
      <c r="CQ324" s="572"/>
      <c r="CR324" s="572"/>
      <c r="CS324" s="465"/>
      <c r="CT324" s="465"/>
      <c r="CU324" s="465">
        <f>+CU319-CU322</f>
        <v>100.2</v>
      </c>
      <c r="CV324" s="465">
        <f>+CV319-CV322</f>
        <v>260.3</v>
      </c>
      <c r="CW324" s="465">
        <f>+CW319-CW322</f>
        <v>303.89999999999998</v>
      </c>
      <c r="CX324" s="465">
        <f>+CX319-CX322</f>
        <v>340.36800000000005</v>
      </c>
      <c r="CY324" s="465">
        <f>+CY319-CY322</f>
        <v>374.40480000000008</v>
      </c>
      <c r="CZ324" s="465">
        <f t="shared" ref="CZ324:DF324" si="629">+CZ319*CZ325</f>
        <v>404.35718400000013</v>
      </c>
      <c r="DA324" s="465">
        <f t="shared" si="629"/>
        <v>436.70575872000018</v>
      </c>
      <c r="DB324" s="465">
        <f t="shared" si="629"/>
        <v>471.64221941760024</v>
      </c>
      <c r="DC324" s="465">
        <f t="shared" si="629"/>
        <v>509.37359697100828</v>
      </c>
      <c r="DD324" s="465">
        <f t="shared" si="629"/>
        <v>550.12348472868894</v>
      </c>
      <c r="DE324" s="465">
        <f t="shared" si="629"/>
        <v>594.1333635069841</v>
      </c>
      <c r="DF324" s="466">
        <f t="shared" si="629"/>
        <v>641.66403258754292</v>
      </c>
      <c r="DJ324" s="465"/>
    </row>
    <row r="325" spans="1:114" s="308" customFormat="1" ht="11.25" customHeight="1">
      <c r="A325" s="82"/>
      <c r="B325"/>
      <c r="C325"/>
      <c r="D325"/>
      <c r="E325"/>
      <c r="F325"/>
      <c r="G325"/>
      <c r="H325" s="1044"/>
      <c r="I325" s="193" t="s">
        <v>360</v>
      </c>
      <c r="J325" s="83"/>
      <c r="K325" s="83"/>
      <c r="L325" s="307"/>
      <c r="M325" s="328"/>
      <c r="N325" s="328"/>
      <c r="O325" s="328"/>
      <c r="P325" s="329"/>
      <c r="Q325" s="328"/>
      <c r="R325" s="328"/>
      <c r="S325" s="328"/>
      <c r="T325" s="329"/>
      <c r="U325" s="328"/>
      <c r="V325" s="328"/>
      <c r="W325" s="328"/>
      <c r="X325" s="329"/>
      <c r="Y325" s="328"/>
      <c r="Z325" s="328"/>
      <c r="AA325" s="328"/>
      <c r="AB325" s="329"/>
      <c r="AC325" s="328"/>
      <c r="AD325" s="328"/>
      <c r="AE325" s="328"/>
      <c r="AF325" s="329"/>
      <c r="AG325" s="328"/>
      <c r="AH325" s="328"/>
      <c r="AI325" s="328"/>
      <c r="AJ325" s="329"/>
      <c r="AK325" s="328"/>
      <c r="AL325" s="328"/>
      <c r="AM325" s="328"/>
      <c r="AN325" s="329"/>
      <c r="AO325" s="328"/>
      <c r="AP325" s="328"/>
      <c r="AQ325" s="328"/>
      <c r="AR325" s="329"/>
      <c r="AS325" s="328"/>
      <c r="AT325" s="328"/>
      <c r="AU325" s="328"/>
      <c r="AV325" s="329"/>
      <c r="AW325" s="328"/>
      <c r="AX325" s="328"/>
      <c r="AY325" s="328"/>
      <c r="AZ325" s="329"/>
      <c r="BA325" s="328"/>
      <c r="BB325" s="328"/>
      <c r="BC325" s="328"/>
      <c r="BD325" s="329"/>
      <c r="BE325" s="1435">
        <f t="shared" ref="BE325:BL325" si="630">+BE324/BE319</f>
        <v>0.74045568848586452</v>
      </c>
      <c r="BF325" s="1435">
        <f t="shared" si="630"/>
        <v>0.74708023661459122</v>
      </c>
      <c r="BG325" s="1435">
        <f t="shared" si="630"/>
        <v>0.74301675977653636</v>
      </c>
      <c r="BH325" s="1436">
        <f t="shared" si="630"/>
        <v>0.76319035538901958</v>
      </c>
      <c r="BI325" s="1435">
        <f t="shared" si="630"/>
        <v>0.75077470824817039</v>
      </c>
      <c r="BJ325" s="1435">
        <f t="shared" si="630"/>
        <v>0.75342916712388897</v>
      </c>
      <c r="BK325" s="1435">
        <f t="shared" si="630"/>
        <v>0.7308375987835436</v>
      </c>
      <c r="BL325" s="1436">
        <f t="shared" si="630"/>
        <v>0.76563844638656742</v>
      </c>
      <c r="BM325" s="1457">
        <f t="shared" ref="BM325:BS325" si="631">+BM324/BM319</f>
        <v>1</v>
      </c>
      <c r="BN325" s="1435">
        <f t="shared" si="631"/>
        <v>1</v>
      </c>
      <c r="BO325" s="338">
        <f t="shared" si="631"/>
        <v>1</v>
      </c>
      <c r="BP325" s="339">
        <f t="shared" si="631"/>
        <v>1</v>
      </c>
      <c r="BQ325" s="338">
        <f t="shared" si="631"/>
        <v>1</v>
      </c>
      <c r="BR325" s="338">
        <f t="shared" si="631"/>
        <v>1</v>
      </c>
      <c r="BS325" s="338">
        <f t="shared" si="631"/>
        <v>1</v>
      </c>
      <c r="BT325" s="329">
        <v>1</v>
      </c>
      <c r="BU325" s="328">
        <v>1</v>
      </c>
      <c r="BV325" s="328">
        <v>1</v>
      </c>
      <c r="BW325" s="328">
        <v>1</v>
      </c>
      <c r="BX325" s="329">
        <v>1</v>
      </c>
      <c r="BY325" s="328">
        <v>1</v>
      </c>
      <c r="BZ325" s="328">
        <v>1</v>
      </c>
      <c r="CA325" s="328">
        <v>1</v>
      </c>
      <c r="CB325" s="329">
        <v>1</v>
      </c>
      <c r="CC325" s="328">
        <v>1</v>
      </c>
      <c r="CD325" s="328">
        <v>1</v>
      </c>
      <c r="CE325" s="328">
        <v>1</v>
      </c>
      <c r="CF325" s="329">
        <v>1</v>
      </c>
      <c r="CG325" s="337"/>
      <c r="CH325" s="340"/>
      <c r="CI325" s="328"/>
      <c r="CJ325" s="328"/>
      <c r="CK325" s="328"/>
      <c r="CL325" s="328"/>
      <c r="CM325" s="328"/>
      <c r="CN325" s="328"/>
      <c r="CO325" s="328"/>
      <c r="CP325" s="328"/>
      <c r="CQ325" s="328"/>
      <c r="CR325" s="328"/>
      <c r="CS325" s="338"/>
      <c r="CT325" s="338"/>
      <c r="CU325" s="338">
        <f>+CU324/CU319</f>
        <v>1</v>
      </c>
      <c r="CV325" s="338">
        <f>+CV324/CV319</f>
        <v>1</v>
      </c>
      <c r="CW325" s="338">
        <f>+CW324/CW319</f>
        <v>1</v>
      </c>
      <c r="CX325" s="338">
        <f>+CX324/CX319</f>
        <v>1</v>
      </c>
      <c r="CY325" s="338">
        <f>+CY324/CY319</f>
        <v>1</v>
      </c>
      <c r="CZ325" s="461">
        <f t="shared" ref="CZ325:DF325" si="632">+CY325</f>
        <v>1</v>
      </c>
      <c r="DA325" s="461">
        <f t="shared" si="632"/>
        <v>1</v>
      </c>
      <c r="DB325" s="461">
        <f t="shared" si="632"/>
        <v>1</v>
      </c>
      <c r="DC325" s="461">
        <f t="shared" si="632"/>
        <v>1</v>
      </c>
      <c r="DD325" s="461">
        <f t="shared" si="632"/>
        <v>1</v>
      </c>
      <c r="DE325" s="461">
        <f t="shared" si="632"/>
        <v>1</v>
      </c>
      <c r="DF325" s="462">
        <f t="shared" si="632"/>
        <v>1</v>
      </c>
    </row>
    <row r="326" spans="1:114" s="308" customFormat="1" ht="11.25" customHeight="1">
      <c r="A326" s="82"/>
      <c r="B326"/>
      <c r="C326"/>
      <c r="D326"/>
      <c r="E326"/>
      <c r="F326"/>
      <c r="G326"/>
      <c r="H326" s="1044"/>
      <c r="I326" s="199" t="s">
        <v>376</v>
      </c>
      <c r="J326" s="83"/>
      <c r="K326" s="83"/>
      <c r="L326" s="307"/>
      <c r="M326" s="328"/>
      <c r="N326" s="328"/>
      <c r="O326" s="328"/>
      <c r="P326" s="329"/>
      <c r="Q326" s="328"/>
      <c r="R326" s="328"/>
      <c r="S326" s="328"/>
      <c r="T326" s="329"/>
      <c r="U326" s="328"/>
      <c r="V326" s="328"/>
      <c r="W326" s="328"/>
      <c r="X326" s="329"/>
      <c r="Y326" s="328"/>
      <c r="Z326" s="328"/>
      <c r="AA326" s="328"/>
      <c r="AB326" s="329"/>
      <c r="AC326" s="328"/>
      <c r="AD326" s="328"/>
      <c r="AE326" s="328"/>
      <c r="AF326" s="329"/>
      <c r="AG326" s="328"/>
      <c r="AH326" s="328"/>
      <c r="AI326" s="328"/>
      <c r="AJ326" s="329"/>
      <c r="AK326" s="328"/>
      <c r="AL326" s="328"/>
      <c r="AM326" s="328"/>
      <c r="AN326" s="329"/>
      <c r="AO326" s="328"/>
      <c r="AP326" s="328"/>
      <c r="AQ326" s="328"/>
      <c r="AR326" s="329"/>
      <c r="AS326" s="328"/>
      <c r="AT326" s="328"/>
      <c r="AU326" s="328"/>
      <c r="AV326" s="329"/>
      <c r="AW326" s="328"/>
      <c r="AX326" s="328"/>
      <c r="AY326" s="328"/>
      <c r="AZ326" s="329"/>
      <c r="BA326" s="328"/>
      <c r="BB326" s="328"/>
      <c r="BC326" s="328"/>
      <c r="BD326" s="329"/>
      <c r="BE326" s="1435"/>
      <c r="BF326" s="1435"/>
      <c r="BG326" s="1435"/>
      <c r="BH326" s="1436"/>
      <c r="BI326" s="1435"/>
      <c r="BJ326" s="1435"/>
      <c r="BK326" s="1435"/>
      <c r="BL326" s="1436"/>
      <c r="BM326" s="1457"/>
      <c r="BN326" s="1435"/>
      <c r="BO326" s="338"/>
      <c r="BP326" s="329"/>
      <c r="BQ326" s="338"/>
      <c r="BR326" s="338"/>
      <c r="BS326" s="338">
        <f>+BS324/BO324-1</f>
        <v>0.57281553398058227</v>
      </c>
      <c r="BT326" s="339">
        <f>+BT324/BP324-1</f>
        <v>0.23220338983050848</v>
      </c>
      <c r="BU326" s="338">
        <f t="shared" ref="BU326:CF326" si="633">+BU324/BQ324-1</f>
        <v>0.18481848184818483</v>
      </c>
      <c r="BV326" s="338">
        <f t="shared" si="633"/>
        <v>0.19935691318327953</v>
      </c>
      <c r="BW326" s="338">
        <f t="shared" si="633"/>
        <v>0.14506172839506193</v>
      </c>
      <c r="BX326" s="339">
        <f t="shared" si="633"/>
        <v>0.14580467675378261</v>
      </c>
      <c r="BY326" s="338">
        <f t="shared" si="633"/>
        <v>0.12000000000000011</v>
      </c>
      <c r="BZ326" s="338">
        <f t="shared" si="633"/>
        <v>0.12000000000000011</v>
      </c>
      <c r="CA326" s="338">
        <f t="shared" si="633"/>
        <v>0.12000000000000011</v>
      </c>
      <c r="CB326" s="339">
        <f t="shared" si="633"/>
        <v>0.12000000000000011</v>
      </c>
      <c r="CC326" s="338">
        <f t="shared" si="633"/>
        <v>0.10000000000000009</v>
      </c>
      <c r="CD326" s="338">
        <f t="shared" si="633"/>
        <v>0.10000000000000009</v>
      </c>
      <c r="CE326" s="338">
        <f t="shared" si="633"/>
        <v>0.10000000000000009</v>
      </c>
      <c r="CF326" s="339">
        <f t="shared" si="633"/>
        <v>0.10000000000000009</v>
      </c>
      <c r="CG326" s="337"/>
      <c r="CH326" s="340"/>
      <c r="CI326" s="328"/>
      <c r="CJ326" s="328"/>
      <c r="CK326" s="328"/>
      <c r="CL326" s="328"/>
      <c r="CM326" s="328"/>
      <c r="CN326" s="328"/>
      <c r="CO326" s="328"/>
      <c r="CP326" s="328"/>
      <c r="CQ326" s="328"/>
      <c r="CR326" s="328"/>
      <c r="CS326" s="338"/>
      <c r="CT326" s="338"/>
      <c r="CU326" s="338"/>
      <c r="CV326" s="338">
        <f t="shared" ref="CV326:DF326" si="634">+CV324/CU324-1</f>
        <v>1.597804391217565</v>
      </c>
      <c r="CW326" s="338">
        <f t="shared" si="634"/>
        <v>0.16749903956972712</v>
      </c>
      <c r="CX326" s="338">
        <f t="shared" si="634"/>
        <v>0.12000000000000033</v>
      </c>
      <c r="CY326" s="338">
        <f t="shared" si="634"/>
        <v>0.10000000000000009</v>
      </c>
      <c r="CZ326" s="338">
        <f t="shared" si="634"/>
        <v>8.0000000000000071E-2</v>
      </c>
      <c r="DA326" s="338">
        <f t="shared" si="634"/>
        <v>8.0000000000000071E-2</v>
      </c>
      <c r="DB326" s="338">
        <f t="shared" si="634"/>
        <v>8.0000000000000071E-2</v>
      </c>
      <c r="DC326" s="338">
        <f t="shared" si="634"/>
        <v>8.0000000000000071E-2</v>
      </c>
      <c r="DD326" s="338">
        <f t="shared" si="634"/>
        <v>8.0000000000000071E-2</v>
      </c>
      <c r="DE326" s="338">
        <f t="shared" si="634"/>
        <v>8.0000000000000071E-2</v>
      </c>
      <c r="DF326" s="339">
        <f t="shared" si="634"/>
        <v>8.0000000000000071E-2</v>
      </c>
    </row>
    <row r="327" spans="1:114" s="68" customFormat="1" ht="11.25" customHeight="1">
      <c r="A327" s="24"/>
      <c r="B327"/>
      <c r="C327"/>
      <c r="D327"/>
      <c r="E327"/>
      <c r="F327"/>
      <c r="G327"/>
      <c r="H327" s="1044"/>
      <c r="I327" s="664"/>
      <c r="J327" s="665"/>
      <c r="K327" s="665"/>
      <c r="L327" s="665"/>
      <c r="M327" s="666"/>
      <c r="N327" s="666"/>
      <c r="O327" s="666"/>
      <c r="P327" s="667"/>
      <c r="Q327" s="666"/>
      <c r="R327" s="666"/>
      <c r="S327" s="666"/>
      <c r="T327" s="667"/>
      <c r="U327" s="668"/>
      <c r="V327" s="668"/>
      <c r="W327" s="668"/>
      <c r="X327" s="669"/>
      <c r="Y327" s="668"/>
      <c r="Z327" s="668"/>
      <c r="AA327" s="668"/>
      <c r="AB327" s="669"/>
      <c r="AC327" s="668"/>
      <c r="AD327" s="668"/>
      <c r="AE327" s="668"/>
      <c r="AF327" s="669"/>
      <c r="AG327" s="668"/>
      <c r="AH327" s="668"/>
      <c r="AI327" s="668"/>
      <c r="AJ327" s="669"/>
      <c r="AK327" s="668"/>
      <c r="AL327" s="668"/>
      <c r="AM327" s="668"/>
      <c r="AN327" s="669"/>
      <c r="AO327" s="668"/>
      <c r="AP327" s="668"/>
      <c r="AQ327" s="668"/>
      <c r="AR327" s="669"/>
      <c r="AS327" s="668"/>
      <c r="AT327" s="668"/>
      <c r="AU327" s="668"/>
      <c r="AV327" s="669"/>
      <c r="AW327" s="668"/>
      <c r="AX327" s="668"/>
      <c r="AY327" s="668"/>
      <c r="AZ327" s="669"/>
      <c r="BA327" s="670"/>
      <c r="BB327" s="670"/>
      <c r="BC327" s="670"/>
      <c r="BD327" s="671"/>
      <c r="BE327" s="666"/>
      <c r="BF327" s="666"/>
      <c r="BG327" s="666"/>
      <c r="BH327" s="672"/>
      <c r="BI327" s="673"/>
      <c r="BJ327" s="673"/>
      <c r="BK327" s="673"/>
      <c r="BL327" s="674"/>
      <c r="BM327" s="1461"/>
      <c r="BN327" s="673"/>
      <c r="BO327" s="673"/>
      <c r="BP327" s="663"/>
      <c r="BQ327" s="662"/>
      <c r="BR327" s="662"/>
      <c r="BS327" s="662"/>
      <c r="BT327" s="663"/>
      <c r="BU327" s="662"/>
      <c r="BV327" s="662"/>
      <c r="BW327" s="662"/>
      <c r="BX327" s="663"/>
      <c r="BY327" s="662"/>
      <c r="BZ327" s="662"/>
      <c r="CA327" s="662"/>
      <c r="CB327" s="663"/>
      <c r="CC327" s="662"/>
      <c r="CD327" s="662"/>
      <c r="CE327" s="662"/>
      <c r="CF327" s="663"/>
      <c r="CG327" s="405"/>
      <c r="CH327" s="675"/>
      <c r="CI327" s="666"/>
      <c r="CJ327" s="668"/>
      <c r="CK327" s="668"/>
      <c r="CL327" s="668"/>
      <c r="CM327" s="668"/>
      <c r="CN327" s="668"/>
      <c r="CO327" s="668"/>
      <c r="CP327" s="668"/>
      <c r="CQ327" s="662"/>
      <c r="CR327" s="662"/>
      <c r="CS327" s="662"/>
      <c r="CT327" s="668"/>
      <c r="CU327" s="662"/>
      <c r="CV327" s="676"/>
      <c r="CW327" s="662"/>
      <c r="CX327" s="662"/>
      <c r="CY327" s="662"/>
      <c r="CZ327" s="662"/>
      <c r="DA327" s="662"/>
      <c r="DB327" s="662"/>
      <c r="DC327" s="662"/>
      <c r="DD327" s="662"/>
      <c r="DE327" s="662"/>
      <c r="DF327" s="663"/>
      <c r="DG327" s="1180"/>
      <c r="DH327" s="1180"/>
    </row>
    <row r="328" spans="1:114" ht="11.25" customHeight="1">
      <c r="I328" s="70"/>
      <c r="J328" s="70"/>
      <c r="K328" s="70"/>
      <c r="M328" s="315"/>
      <c r="N328" s="315"/>
      <c r="O328" s="315"/>
      <c r="P328" s="315"/>
      <c r="Q328" s="315"/>
      <c r="R328" s="315"/>
      <c r="S328" s="315"/>
      <c r="T328" s="315"/>
      <c r="U328" s="328"/>
      <c r="V328" s="328"/>
      <c r="W328" s="328"/>
      <c r="X328" s="328"/>
      <c r="Y328" s="328"/>
      <c r="Z328" s="328"/>
      <c r="AA328" s="328"/>
      <c r="AB328" s="328"/>
      <c r="AC328" s="328"/>
      <c r="AD328" s="328"/>
      <c r="AE328" s="328"/>
      <c r="AF328" s="328"/>
      <c r="AG328" s="328"/>
      <c r="AH328" s="328"/>
      <c r="AI328" s="328"/>
      <c r="AJ328" s="328"/>
      <c r="AK328" s="328"/>
      <c r="AL328" s="328"/>
      <c r="AM328" s="328"/>
      <c r="AN328" s="328"/>
      <c r="AO328" s="328"/>
      <c r="AP328" s="328"/>
      <c r="AQ328" s="328"/>
      <c r="AR328" s="328"/>
      <c r="AS328" s="328"/>
      <c r="AT328" s="328"/>
      <c r="AU328" s="328"/>
      <c r="AV328" s="328"/>
      <c r="AW328" s="328"/>
      <c r="AX328" s="328"/>
      <c r="AY328" s="328"/>
      <c r="AZ328" s="328"/>
      <c r="BA328" s="328"/>
      <c r="BB328" s="328"/>
      <c r="BC328" s="328"/>
      <c r="BD328" s="328"/>
      <c r="BE328" s="328"/>
      <c r="BF328" s="328"/>
      <c r="BG328" s="328"/>
      <c r="BH328" s="328"/>
      <c r="BI328" s="328"/>
      <c r="BJ328" s="328"/>
      <c r="BK328" s="328"/>
      <c r="BL328" s="328"/>
      <c r="BM328" s="328"/>
      <c r="BN328" s="328"/>
      <c r="BO328" s="328"/>
      <c r="BP328" s="328"/>
      <c r="BQ328" s="328"/>
      <c r="BR328" s="328"/>
      <c r="BS328" s="328"/>
      <c r="BT328" s="328"/>
      <c r="BU328" s="328"/>
      <c r="BV328" s="328"/>
      <c r="BW328" s="328"/>
      <c r="BX328" s="328"/>
      <c r="BY328" s="328"/>
      <c r="BZ328" s="328"/>
      <c r="CA328" s="328"/>
      <c r="CB328" s="328"/>
      <c r="CC328" s="328"/>
      <c r="CD328" s="328"/>
      <c r="CE328" s="328"/>
      <c r="CF328" s="328"/>
      <c r="CG328" s="315"/>
      <c r="CH328" s="315"/>
      <c r="CI328" s="315"/>
      <c r="CJ328" s="328"/>
      <c r="CK328" s="328"/>
      <c r="CL328" s="328"/>
      <c r="CM328" s="328"/>
      <c r="CN328" s="328"/>
      <c r="CO328" s="328"/>
      <c r="CP328" s="328"/>
      <c r="CQ328" s="328"/>
      <c r="CR328" s="328"/>
      <c r="CS328" s="328"/>
      <c r="CT328" s="328"/>
      <c r="CU328" s="328"/>
      <c r="CV328" s="328"/>
      <c r="CW328" s="328"/>
      <c r="CX328" s="328"/>
      <c r="CY328" s="328"/>
      <c r="CZ328" s="328"/>
      <c r="DA328" s="328"/>
      <c r="DB328" s="328"/>
      <c r="DC328" s="328"/>
      <c r="DD328" s="328"/>
      <c r="DE328" s="328"/>
      <c r="DF328" s="328"/>
    </row>
    <row r="329" spans="1:114" customFormat="1" ht="11.25" customHeight="1">
      <c r="A329" s="10"/>
      <c r="H329" s="1045" t="s">
        <v>366</v>
      </c>
      <c r="I329" s="659" t="s">
        <v>366</v>
      </c>
      <c r="J329" s="660"/>
      <c r="K329" s="660"/>
      <c r="L329" s="660"/>
      <c r="M329" s="660"/>
      <c r="N329" s="660"/>
      <c r="O329" s="660"/>
      <c r="P329" s="660"/>
      <c r="Q329" s="660"/>
      <c r="R329" s="660"/>
      <c r="S329" s="660"/>
      <c r="T329" s="660"/>
      <c r="U329" s="659"/>
      <c r="V329" s="660"/>
      <c r="W329" s="660"/>
      <c r="X329" s="661"/>
      <c r="Y329" s="659"/>
      <c r="Z329" s="660"/>
      <c r="AA329" s="660"/>
      <c r="AB329" s="661"/>
      <c r="AC329" s="659"/>
      <c r="AD329" s="660"/>
      <c r="AE329" s="660"/>
      <c r="AF329" s="661"/>
      <c r="AG329" s="659"/>
      <c r="AH329" s="660"/>
      <c r="AI329" s="660"/>
      <c r="AJ329" s="661"/>
      <c r="AK329" s="659"/>
      <c r="AL329" s="660"/>
      <c r="AM329" s="660"/>
      <c r="AN329" s="661"/>
      <c r="AO329" s="659"/>
      <c r="AP329" s="660"/>
      <c r="AQ329" s="660"/>
      <c r="AR329" s="661"/>
      <c r="AS329" s="659"/>
      <c r="AT329" s="660"/>
      <c r="AU329" s="660"/>
      <c r="AV329" s="661"/>
      <c r="AW329" s="659"/>
      <c r="AX329" s="660"/>
      <c r="AY329" s="660"/>
      <c r="AZ329" s="661"/>
      <c r="BA329" s="659"/>
      <c r="BB329" s="660"/>
      <c r="BC329" s="660"/>
      <c r="BD329" s="661"/>
      <c r="BE329" s="659"/>
      <c r="BF329" s="660"/>
      <c r="BG329" s="660"/>
      <c r="BH329" s="661"/>
      <c r="BI329" s="659"/>
      <c r="BJ329" s="660"/>
      <c r="BK329" s="660"/>
      <c r="BL329" s="661"/>
      <c r="BM329" s="659"/>
      <c r="BN329" s="660"/>
      <c r="BO329" s="660"/>
      <c r="BP329" s="661"/>
      <c r="BQ329" s="659"/>
      <c r="BR329" s="660"/>
      <c r="BS329" s="660"/>
      <c r="BT329" s="661"/>
      <c r="BU329" s="659"/>
      <c r="BV329" s="660"/>
      <c r="BW329" s="660"/>
      <c r="BX329" s="661"/>
      <c r="BY329" s="659"/>
      <c r="BZ329" s="660"/>
      <c r="CA329" s="660"/>
      <c r="CB329" s="661"/>
      <c r="CC329" s="659"/>
      <c r="CD329" s="660"/>
      <c r="CE329" s="660"/>
      <c r="CF329" s="661"/>
      <c r="CH329" s="661"/>
      <c r="CI329" s="661"/>
      <c r="CJ329" s="661"/>
      <c r="CK329" s="661"/>
      <c r="CL329" s="661"/>
      <c r="CM329" s="661"/>
      <c r="CN329" s="661"/>
      <c r="CO329" s="661"/>
      <c r="CP329" s="661"/>
      <c r="CQ329" s="661"/>
      <c r="CR329" s="661"/>
      <c r="CS329" s="661"/>
      <c r="CT329" s="661"/>
      <c r="CU329" s="661"/>
      <c r="CV329" s="661"/>
      <c r="CW329" s="661"/>
      <c r="CX329" s="661"/>
      <c r="CY329" s="660"/>
      <c r="CZ329" s="660"/>
      <c r="DA329" s="660"/>
      <c r="DB329" s="660"/>
      <c r="DC329" s="660"/>
      <c r="DD329" s="660"/>
      <c r="DE329" s="660"/>
      <c r="DF329" s="661"/>
      <c r="DG329" s="124"/>
      <c r="DH329" s="124"/>
      <c r="DI329" s="1548"/>
    </row>
    <row r="330" spans="1:114" s="94" customFormat="1" ht="11.25" customHeight="1">
      <c r="A330" s="24"/>
      <c r="B330"/>
      <c r="C330"/>
      <c r="D330"/>
      <c r="E330"/>
      <c r="F330"/>
      <c r="G330"/>
      <c r="H330" s="1044"/>
      <c r="I330" s="190"/>
      <c r="J330" s="79"/>
      <c r="K330" s="79"/>
      <c r="L330" s="93"/>
      <c r="M330" s="315"/>
      <c r="N330" s="315"/>
      <c r="O330" s="315"/>
      <c r="P330" s="316"/>
      <c r="Q330" s="315"/>
      <c r="R330" s="315"/>
      <c r="S330" s="315"/>
      <c r="T330" s="316"/>
      <c r="U330" s="326"/>
      <c r="V330" s="326"/>
      <c r="W330" s="326"/>
      <c r="X330" s="327"/>
      <c r="Y330" s="326"/>
      <c r="Z330" s="326"/>
      <c r="AA330" s="326"/>
      <c r="AB330" s="327"/>
      <c r="AC330" s="326"/>
      <c r="AD330" s="326"/>
      <c r="AE330" s="326"/>
      <c r="AF330" s="327"/>
      <c r="AG330" s="326"/>
      <c r="AH330" s="326"/>
      <c r="AI330" s="326"/>
      <c r="AJ330" s="327"/>
      <c r="AK330" s="326"/>
      <c r="AL330" s="326"/>
      <c r="AM330" s="326"/>
      <c r="AN330" s="327"/>
      <c r="AO330" s="326"/>
      <c r="AP330" s="326"/>
      <c r="AQ330" s="326"/>
      <c r="AR330" s="327"/>
      <c r="AS330" s="326"/>
      <c r="AT330" s="326"/>
      <c r="AU330" s="326"/>
      <c r="AV330" s="327"/>
      <c r="AW330" s="326"/>
      <c r="AX330" s="326"/>
      <c r="AY330" s="326"/>
      <c r="AZ330" s="327"/>
      <c r="BA330" s="467"/>
      <c r="BB330" s="326"/>
      <c r="BC330" s="326"/>
      <c r="BD330" s="327"/>
      <c r="BE330" s="326"/>
      <c r="BF330" s="326"/>
      <c r="BG330" s="326"/>
      <c r="BH330" s="327"/>
      <c r="BI330" s="326"/>
      <c r="BJ330" s="326"/>
      <c r="BK330" s="326"/>
      <c r="BL330" s="327"/>
      <c r="BM330" s="326"/>
      <c r="BN330" s="326"/>
      <c r="BO330" s="326"/>
      <c r="BP330" s="329"/>
      <c r="BQ330" s="1580"/>
      <c r="BR330" s="1581"/>
      <c r="BS330" s="1581"/>
      <c r="BT330" s="1582"/>
      <c r="BU330" s="1580"/>
      <c r="BV330" s="1581"/>
      <c r="BW330" s="1581"/>
      <c r="BX330" s="1582"/>
      <c r="BY330" s="1580"/>
      <c r="BZ330" s="1581"/>
      <c r="CA330" s="1581"/>
      <c r="CB330" s="1582"/>
      <c r="CC330" s="1580"/>
      <c r="CD330" s="1581"/>
      <c r="CE330" s="1581"/>
      <c r="CF330" s="1582"/>
      <c r="CG330" s="316"/>
      <c r="CH330" s="320"/>
      <c r="CI330" s="315"/>
      <c r="CJ330" s="326"/>
      <c r="CK330" s="326"/>
      <c r="CL330" s="326"/>
      <c r="CM330" s="326"/>
      <c r="CN330" s="326"/>
      <c r="CO330" s="326"/>
      <c r="CP330" s="326"/>
      <c r="CQ330" s="467"/>
      <c r="CR330" s="326"/>
      <c r="CS330" s="326"/>
      <c r="CT330" s="326"/>
      <c r="CU330" s="326"/>
      <c r="CV330" s="326"/>
      <c r="CW330" s="326"/>
      <c r="CX330" s="326"/>
      <c r="CY330" s="1581"/>
      <c r="CZ330" s="1581"/>
      <c r="DA330" s="1581"/>
      <c r="DB330" s="1581"/>
      <c r="DC330" s="1581"/>
      <c r="DD330" s="1581"/>
      <c r="DE330" s="1581"/>
      <c r="DF330" s="1582"/>
    </row>
    <row r="331" spans="1:114" s="282" customFormat="1" ht="11.25" customHeight="1">
      <c r="A331" s="91"/>
      <c r="B331"/>
      <c r="C331"/>
      <c r="D331"/>
      <c r="E331"/>
      <c r="F331"/>
      <c r="G331"/>
      <c r="H331" s="1052"/>
      <c r="I331" s="200" t="s">
        <v>207</v>
      </c>
      <c r="J331" s="90"/>
      <c r="K331" s="90"/>
      <c r="L331" s="81"/>
      <c r="M331" s="343"/>
      <c r="N331" s="343"/>
      <c r="O331" s="343"/>
      <c r="P331" s="344"/>
      <c r="Q331" s="343"/>
      <c r="R331" s="343"/>
      <c r="S331" s="343"/>
      <c r="T331" s="344"/>
      <c r="U331" s="345"/>
      <c r="V331" s="345"/>
      <c r="W331" s="345"/>
      <c r="X331" s="346"/>
      <c r="Y331" s="345"/>
      <c r="Z331" s="345"/>
      <c r="AA331" s="345"/>
      <c r="AB331" s="346"/>
      <c r="AC331" s="345"/>
      <c r="AD331" s="345"/>
      <c r="AE331" s="345"/>
      <c r="AF331" s="346"/>
      <c r="AG331" s="345"/>
      <c r="AH331" s="345"/>
      <c r="AI331" s="345"/>
      <c r="AJ331" s="346"/>
      <c r="AK331" s="347">
        <f>+AK12/$CN$12</f>
        <v>0.20675191368894291</v>
      </c>
      <c r="AL331" s="347">
        <f>+AL12/$CN$12</f>
        <v>0.25570607294960718</v>
      </c>
      <c r="AM331" s="347">
        <f>+AM12/$CN$12</f>
        <v>0.28796090458970608</v>
      </c>
      <c r="AN331" s="348">
        <f>+AN12/$CN$12</f>
        <v>0.2495811087717438</v>
      </c>
      <c r="AO331" s="347">
        <f>+AO12/$CO$12</f>
        <v>0.23764651288621516</v>
      </c>
      <c r="AP331" s="347">
        <f>+AP12/$CO$12</f>
        <v>0.28512589733378541</v>
      </c>
      <c r="AQ331" s="347">
        <f>+AQ12/$CO$12</f>
        <v>0.27708034886475447</v>
      </c>
      <c r="AR331" s="348">
        <f>+AR12/$CO$12</f>
        <v>0.20014724091524497</v>
      </c>
      <c r="AS331" s="347">
        <f>+AS12/$CP$12</f>
        <v>0.2087616602338416</v>
      </c>
      <c r="AT331" s="347">
        <f>+AT12/$CP$12</f>
        <v>0.25554910375462592</v>
      </c>
      <c r="AU331" s="347">
        <f>+AU12/$CP$12</f>
        <v>0.29246271399696372</v>
      </c>
      <c r="AV331" s="348">
        <f>+AV12/$CP$12</f>
        <v>0.24322652201456876</v>
      </c>
      <c r="AW331" s="347">
        <f>+AW12/$CQ$12</f>
        <v>0.21725942821548638</v>
      </c>
      <c r="AX331" s="347">
        <f>+AX12/$CQ$12</f>
        <v>0.24990555754028235</v>
      </c>
      <c r="AY331" s="347">
        <f>+AY12/$CQ$12</f>
        <v>0.29356856925627706</v>
      </c>
      <c r="AZ331" s="348">
        <f>+AZ12/$CQ$12</f>
        <v>0.23926644498795424</v>
      </c>
      <c r="BA331" s="347">
        <f>+BA12/CR12</f>
        <v>0.21539384984763135</v>
      </c>
      <c r="BB331" s="347">
        <f>+BB12/CR12</f>
        <v>0.26687598116169547</v>
      </c>
      <c r="BC331" s="347">
        <f>+BC12/CR12</f>
        <v>0.28890017545479729</v>
      </c>
      <c r="BD331" s="348">
        <f>+BD12/CR12</f>
        <v>0.22882999353587588</v>
      </c>
      <c r="BE331" s="347">
        <f>+BE12/BF12</f>
        <v>0.9156774457634056</v>
      </c>
      <c r="BF331" s="347">
        <f>+BF12/CS12</f>
        <v>0.25755552431824569</v>
      </c>
      <c r="BG331" s="347">
        <f>+BG12/CS12</f>
        <v>0.27523193702558335</v>
      </c>
      <c r="BH331" s="348">
        <f>+BH12/CS12</f>
        <v>0.23137475400618499</v>
      </c>
      <c r="BI331" s="347">
        <f>+BI12/CT12</f>
        <v>0.2336617992443582</v>
      </c>
      <c r="BJ331" s="347">
        <f>+BJ12/CT12</f>
        <v>0.25827121413254367</v>
      </c>
      <c r="BK331" s="347">
        <f>+BK12/CT12</f>
        <v>0.27481364239763095</v>
      </c>
      <c r="BL331" s="348">
        <f>+BL12/CT12</f>
        <v>0.23325334422546717</v>
      </c>
      <c r="BM331" s="347">
        <f>+BM12/CU12</f>
        <v>0.24413518886679919</v>
      </c>
      <c r="BN331" s="347">
        <f>+BN12/CU12</f>
        <v>0.26914512922465211</v>
      </c>
      <c r="BO331" s="347">
        <f>+BO12/CU12</f>
        <v>0.27481113320079525</v>
      </c>
      <c r="BP331" s="348">
        <f>+BP12/CU12</f>
        <v>0.21190854870775347</v>
      </c>
      <c r="BQ331" s="1510">
        <f>+BQ12/CV12</f>
        <v>0.24809105316236854</v>
      </c>
      <c r="BR331" s="347">
        <f>+BR12/CV12</f>
        <v>0.26941362916006339</v>
      </c>
      <c r="BS331" s="347">
        <f>+BS12/CV12</f>
        <v>0.26613600345771504</v>
      </c>
      <c r="BT331" s="348">
        <f>+BT12/CV12</f>
        <v>0.21635931421985305</v>
      </c>
      <c r="BU331" s="1510">
        <f>+BU12/CW12</f>
        <v>0.24458413500374521</v>
      </c>
      <c r="BV331" s="347">
        <f>+BV12/CW12</f>
        <v>0.26234082864570329</v>
      </c>
      <c r="BW331" s="347">
        <f>+BW12/CW12</f>
        <v>0.27112370937183311</v>
      </c>
      <c r="BX331" s="348">
        <f>+BX12/CW12</f>
        <v>0.22195132697871842</v>
      </c>
      <c r="BY331" s="1510">
        <f>+BY12/CX12</f>
        <v>0.25468446064068156</v>
      </c>
      <c r="BZ331" s="347">
        <f>+BZ12/CX12</f>
        <v>0.25603870681801394</v>
      </c>
      <c r="CA331" s="347">
        <f>+CA12/CX12</f>
        <v>0.26791913919188437</v>
      </c>
      <c r="CB331" s="348">
        <f>+CB12/CX12</f>
        <v>0.22135769334942013</v>
      </c>
      <c r="CC331" s="1510">
        <f>+CC12/CY12</f>
        <v>0.25707675241809463</v>
      </c>
      <c r="CD331" s="347">
        <f>+CD12/CY12</f>
        <v>0.259191247225312</v>
      </c>
      <c r="CE331" s="347">
        <f>+CE12/CY12</f>
        <v>0.25637532932096979</v>
      </c>
      <c r="CF331" s="348">
        <f>+CF12/CY12</f>
        <v>0.22735667103562363</v>
      </c>
      <c r="CG331" s="344"/>
      <c r="CH331" s="349"/>
      <c r="CI331" s="343"/>
      <c r="CJ331" s="345"/>
      <c r="CK331" s="345"/>
      <c r="CL331" s="347"/>
      <c r="CM331" s="347"/>
      <c r="CN331" s="347"/>
      <c r="CO331" s="347"/>
      <c r="CP331" s="347"/>
      <c r="CQ331" s="347"/>
      <c r="CR331" s="347"/>
      <c r="CS331" s="347"/>
      <c r="CT331" s="413"/>
      <c r="CU331" s="347"/>
      <c r="CV331" s="413"/>
      <c r="CW331" s="413"/>
      <c r="CX331" s="413"/>
      <c r="CY331" s="413"/>
      <c r="CZ331" s="347"/>
      <c r="DA331" s="347"/>
      <c r="DB331" s="347"/>
      <c r="DC331" s="347"/>
      <c r="DD331" s="347"/>
      <c r="DE331" s="347"/>
      <c r="DF331" s="348"/>
      <c r="DG331" s="1469"/>
      <c r="DH331" s="1469"/>
    </row>
    <row r="332" spans="1:114" s="282" customFormat="1" ht="11.25" customHeight="1">
      <c r="A332" s="91"/>
      <c r="B332"/>
      <c r="C332"/>
      <c r="D332"/>
      <c r="E332"/>
      <c r="F332"/>
      <c r="G332"/>
      <c r="H332" s="1052"/>
      <c r="I332" s="200" t="s">
        <v>208</v>
      </c>
      <c r="J332" s="90"/>
      <c r="K332" s="90"/>
      <c r="L332" s="81"/>
      <c r="M332" s="343"/>
      <c r="N332" s="343"/>
      <c r="O332" s="343"/>
      <c r="P332" s="344"/>
      <c r="Q332" s="343"/>
      <c r="R332" s="343"/>
      <c r="S332" s="343"/>
      <c r="T332" s="344"/>
      <c r="U332" s="345"/>
      <c r="V332" s="345"/>
      <c r="W332" s="345"/>
      <c r="X332" s="346"/>
      <c r="Y332" s="345"/>
      <c r="Z332" s="345"/>
      <c r="AA332" s="345"/>
      <c r="AB332" s="346"/>
      <c r="AC332" s="345"/>
      <c r="AD332" s="345"/>
      <c r="AE332" s="345"/>
      <c r="AF332" s="346"/>
      <c r="AG332" s="345"/>
      <c r="AH332" s="345"/>
      <c r="AI332" s="345"/>
      <c r="AJ332" s="346"/>
      <c r="AK332" s="347">
        <f>+AK39/$CN$39</f>
        <v>0.16715468879534473</v>
      </c>
      <c r="AL332" s="347">
        <f>+AL39/$CN$39</f>
        <v>0.24933879574704412</v>
      </c>
      <c r="AM332" s="347">
        <f>+AM39/$CN$39</f>
        <v>0.32570205162463894</v>
      </c>
      <c r="AN332" s="348">
        <f>+AN39/$CN$39</f>
        <v>0.25780446383297262</v>
      </c>
      <c r="AO332" s="347">
        <f>+AO39/$CO$39</f>
        <v>0.18944403125199402</v>
      </c>
      <c r="AP332" s="347">
        <f>+AP39/$CO$39</f>
        <v>0.2654107708288222</v>
      </c>
      <c r="AQ332" s="347">
        <f>+AQ39/$CO$39</f>
        <v>0.33063555275212325</v>
      </c>
      <c r="AR332" s="348">
        <f>+AR39/$CO$39</f>
        <v>0.21450964516706048</v>
      </c>
      <c r="AS332" s="347">
        <f>+AS39/$CP$39</f>
        <v>0.16524120711029749</v>
      </c>
      <c r="AT332" s="347">
        <f>+AT39/$CP$39</f>
        <v>0.24210577245683765</v>
      </c>
      <c r="AU332" s="347">
        <f>+AU39/$CP$39</f>
        <v>0.34424074945092775</v>
      </c>
      <c r="AV332" s="348">
        <f>+AV39/$CP$39</f>
        <v>0.24841227098193722</v>
      </c>
      <c r="AW332" s="347">
        <f>+AW39/$CQ$39</f>
        <v>0.1667556752090481</v>
      </c>
      <c r="AX332" s="347">
        <f>+AX39/$CQ$39</f>
        <v>0.23315569945560213</v>
      </c>
      <c r="AY332" s="347">
        <f>+AY39/$CQ$39</f>
        <v>0.34917546039712088</v>
      </c>
      <c r="AZ332" s="348">
        <f>+AZ39/$CQ$39</f>
        <v>0.25091316493822885</v>
      </c>
      <c r="BA332" s="347">
        <f>+BA39/CR39</f>
        <v>0.1642297751860462</v>
      </c>
      <c r="BB332" s="347">
        <f>+BB39/CR39</f>
        <v>0.2432649973375586</v>
      </c>
      <c r="BC332" s="347">
        <f>+BC39/CR39</f>
        <v>0.35720482616205823</v>
      </c>
      <c r="BD332" s="348">
        <f>+BD39/CR39</f>
        <v>0.23530040131433688</v>
      </c>
      <c r="BE332" s="347">
        <f>+BE39/BF39</f>
        <v>0.74022200047403652</v>
      </c>
      <c r="BF332" s="347">
        <f>+BF39/CS39</f>
        <v>0.24589139063506671</v>
      </c>
      <c r="BG332" s="347">
        <f>+BG39/CS39</f>
        <v>0.34197112849901834</v>
      </c>
      <c r="BH332" s="348">
        <f>+BH39/CS39</f>
        <v>0.23012326379068293</v>
      </c>
      <c r="BI332" s="347">
        <f>+BI39/CT39</f>
        <v>0.1766419064341031</v>
      </c>
      <c r="BJ332" s="347">
        <f>+BJ39/CT39</f>
        <v>0.24210682298422326</v>
      </c>
      <c r="BK332" s="347">
        <f>+BK39/CT39</f>
        <v>0.34798892070275711</v>
      </c>
      <c r="BL332" s="348">
        <f>+BL39/CT39</f>
        <v>0.23326234987891639</v>
      </c>
      <c r="BM332" s="347">
        <f>+BM39/CU39</f>
        <v>0.18544922093898711</v>
      </c>
      <c r="BN332" s="347">
        <f>+BN39/CU39</f>
        <v>0.24828108167977078</v>
      </c>
      <c r="BO332" s="347">
        <f>+BO39/CU39</f>
        <v>0.34545531260671958</v>
      </c>
      <c r="BP332" s="348">
        <f>+BP39/CU39</f>
        <v>0.22081438477452262</v>
      </c>
      <c r="BQ332" s="1510">
        <f>+BQ39/CV39</f>
        <v>0.19463146693122879</v>
      </c>
      <c r="BR332" s="347">
        <f>+BR39/CV39</f>
        <v>0.2435932278273942</v>
      </c>
      <c r="BS332" s="347">
        <f>+BS39/CV39</f>
        <v>0.34303400902743741</v>
      </c>
      <c r="BT332" s="348">
        <f>+BT39/CV39</f>
        <v>0.21874129621393965</v>
      </c>
      <c r="BU332" s="1510">
        <f>+BU39/CW39</f>
        <v>0.19578383920722012</v>
      </c>
      <c r="BV332" s="347">
        <f>+BV39/CW39</f>
        <v>0.23556864325178109</v>
      </c>
      <c r="BW332" s="347">
        <f>+BW39/CW39</f>
        <v>0.34795639074826473</v>
      </c>
      <c r="BX332" s="348">
        <f>+BX39/CW39</f>
        <v>0.22069112679273409</v>
      </c>
      <c r="BY332" s="1510">
        <f>+BY39/CX39</f>
        <v>0.18778219297705775</v>
      </c>
      <c r="BZ332" s="347">
        <f>+BZ39/CX39</f>
        <v>0.23746456812633721</v>
      </c>
      <c r="CA332" s="347">
        <f>+CA39/CX39</f>
        <v>0.35191964632282818</v>
      </c>
      <c r="CB332" s="348">
        <f>+CB39/CX39</f>
        <v>0.22283359257377694</v>
      </c>
      <c r="CC332" s="1510">
        <f>+CC39/CY39</f>
        <v>0.18976443120324171</v>
      </c>
      <c r="CD332" s="347">
        <f>+CD39/CY39</f>
        <v>0.24163735644429435</v>
      </c>
      <c r="CE332" s="347">
        <f>+CE39/CY39</f>
        <v>0.3394691869104286</v>
      </c>
      <c r="CF332" s="348">
        <f>+CF39/CY39</f>
        <v>0.22912902544203537</v>
      </c>
      <c r="CG332" s="344"/>
      <c r="CH332" s="349"/>
      <c r="CI332" s="343"/>
      <c r="CJ332" s="345"/>
      <c r="CK332" s="345"/>
      <c r="CL332" s="347"/>
      <c r="CM332" s="347"/>
      <c r="CN332" s="347"/>
      <c r="CO332" s="347"/>
      <c r="CP332" s="347"/>
      <c r="CQ332" s="347"/>
      <c r="CR332" s="347"/>
      <c r="CS332" s="347"/>
      <c r="CT332" s="413"/>
      <c r="CU332" s="465"/>
      <c r="CV332" s="465"/>
      <c r="CW332" s="413"/>
      <c r="CX332" s="413"/>
      <c r="CY332" s="2119"/>
      <c r="CZ332" s="347"/>
      <c r="DA332" s="347"/>
      <c r="DB332" s="347"/>
      <c r="DC332" s="347"/>
      <c r="DD332" s="347"/>
      <c r="DE332" s="347"/>
      <c r="DF332" s="348"/>
      <c r="DG332" s="1469"/>
      <c r="DH332" s="1469"/>
    </row>
    <row r="333" spans="1:114" s="541" customFormat="1" ht="11.25" customHeight="1">
      <c r="A333" s="57"/>
      <c r="B333"/>
      <c r="C333"/>
      <c r="D333"/>
      <c r="E333"/>
      <c r="F333"/>
      <c r="G333"/>
      <c r="H333" s="1052"/>
      <c r="I333" s="531" t="s">
        <v>0</v>
      </c>
      <c r="J333" s="532"/>
      <c r="K333" s="532"/>
      <c r="L333" s="533"/>
      <c r="M333" s="534"/>
      <c r="N333" s="534"/>
      <c r="O333" s="534"/>
      <c r="P333" s="535"/>
      <c r="Q333" s="534"/>
      <c r="R333" s="534"/>
      <c r="S333" s="534"/>
      <c r="T333" s="535"/>
      <c r="U333" s="536"/>
      <c r="V333" s="536"/>
      <c r="W333" s="536"/>
      <c r="X333" s="537"/>
      <c r="Y333" s="536"/>
      <c r="Z333" s="536"/>
      <c r="AA333" s="536"/>
      <c r="AB333" s="537"/>
      <c r="AC333" s="536"/>
      <c r="AD333" s="536"/>
      <c r="AE333" s="536"/>
      <c r="AF333" s="537"/>
      <c r="AG333" s="536"/>
      <c r="AH333" s="536"/>
      <c r="AI333" s="536"/>
      <c r="AJ333" s="537"/>
      <c r="AK333" s="538">
        <f t="shared" ref="AK333:CF333" si="635">+(AK331-AK332)*10000</f>
        <v>395.97224893598184</v>
      </c>
      <c r="AL333" s="538">
        <f t="shared" si="635"/>
        <v>63.672772025630543</v>
      </c>
      <c r="AM333" s="538">
        <f t="shared" si="635"/>
        <v>-377.41147034932862</v>
      </c>
      <c r="AN333" s="539">
        <f t="shared" si="635"/>
        <v>-82.233550612288155</v>
      </c>
      <c r="AO333" s="538">
        <f t="shared" si="635"/>
        <v>482.02481634221141</v>
      </c>
      <c r="AP333" s="538">
        <f t="shared" si="635"/>
        <v>197.15126504963209</v>
      </c>
      <c r="AQ333" s="538">
        <f t="shared" si="635"/>
        <v>-535.55203887368782</v>
      </c>
      <c r="AR333" s="539">
        <f t="shared" si="635"/>
        <v>-143.62404251815508</v>
      </c>
      <c r="AS333" s="538">
        <f t="shared" si="635"/>
        <v>435.20453123544104</v>
      </c>
      <c r="AT333" s="538">
        <f t="shared" si="635"/>
        <v>134.43331297788268</v>
      </c>
      <c r="AU333" s="538">
        <f t="shared" si="635"/>
        <v>-517.78035453964037</v>
      </c>
      <c r="AV333" s="539">
        <f t="shared" si="635"/>
        <v>-51.857489673684533</v>
      </c>
      <c r="AW333" s="538">
        <f t="shared" si="635"/>
        <v>505.03753006438279</v>
      </c>
      <c r="AX333" s="538">
        <f t="shared" si="635"/>
        <v>167.49858084680213</v>
      </c>
      <c r="AY333" s="538">
        <f t="shared" si="635"/>
        <v>-556.06891140843823</v>
      </c>
      <c r="AZ333" s="539">
        <f t="shared" si="635"/>
        <v>-116.46719950274608</v>
      </c>
      <c r="BA333" s="538">
        <f t="shared" si="635"/>
        <v>511.64074661585153</v>
      </c>
      <c r="BB333" s="538">
        <f t="shared" si="635"/>
        <v>236.10983824136872</v>
      </c>
      <c r="BC333" s="538">
        <f t="shared" si="635"/>
        <v>-683.04650707260942</v>
      </c>
      <c r="BD333" s="539">
        <f t="shared" si="635"/>
        <v>-64.704077784610021</v>
      </c>
      <c r="BE333" s="538">
        <f t="shared" si="635"/>
        <v>1754.5544528936907</v>
      </c>
      <c r="BF333" s="538">
        <f t="shared" si="635"/>
        <v>116.64133683178979</v>
      </c>
      <c r="BG333" s="538">
        <f t="shared" si="635"/>
        <v>-667.39191473434994</v>
      </c>
      <c r="BH333" s="539">
        <f t="shared" si="635"/>
        <v>12.514902155020547</v>
      </c>
      <c r="BI333" s="538">
        <f t="shared" si="635"/>
        <v>570.19892810255101</v>
      </c>
      <c r="BJ333" s="538">
        <f t="shared" si="635"/>
        <v>161.64391148320411</v>
      </c>
      <c r="BK333" s="538">
        <f t="shared" si="635"/>
        <v>-731.75278305126153</v>
      </c>
      <c r="BL333" s="539">
        <f t="shared" si="635"/>
        <v>-9.0056534492177764E-2</v>
      </c>
      <c r="BM333" s="538">
        <f t="shared" si="635"/>
        <v>586.85967927812078</v>
      </c>
      <c r="BN333" s="538">
        <f t="shared" si="635"/>
        <v>208.64047544881331</v>
      </c>
      <c r="BO333" s="538">
        <f>+(BO331-BO332)*10000</f>
        <v>-706.44179405924319</v>
      </c>
      <c r="BP333" s="539">
        <f t="shared" si="635"/>
        <v>-89.05836066769146</v>
      </c>
      <c r="BQ333" s="1583">
        <f t="shared" si="635"/>
        <v>534.59586231139747</v>
      </c>
      <c r="BR333" s="538">
        <f t="shared" si="635"/>
        <v>258.20401332669189</v>
      </c>
      <c r="BS333" s="538">
        <f>+(BS331-BS332)*10000</f>
        <v>-768.98005569722375</v>
      </c>
      <c r="BT333" s="539">
        <f>+(BT331-BT332)*10000</f>
        <v>-23.819819940865962</v>
      </c>
      <c r="BU333" s="1583">
        <f t="shared" si="635"/>
        <v>488.00295796525091</v>
      </c>
      <c r="BV333" s="538">
        <f t="shared" si="635"/>
        <v>267.72185393922206</v>
      </c>
      <c r="BW333" s="538">
        <f>+(BW331-BW332)*10000</f>
        <v>-768.32681376431617</v>
      </c>
      <c r="BX333" s="539">
        <f t="shared" si="635"/>
        <v>12.602001859843281</v>
      </c>
      <c r="BY333" s="1583">
        <f t="shared" si="635"/>
        <v>669.02267663623809</v>
      </c>
      <c r="BZ333" s="538">
        <f t="shared" si="635"/>
        <v>185.74138691676734</v>
      </c>
      <c r="CA333" s="538">
        <f>+(CA331-CA332)*10000</f>
        <v>-840.00507130943811</v>
      </c>
      <c r="CB333" s="539">
        <f t="shared" si="635"/>
        <v>-14.758992243568137</v>
      </c>
      <c r="CC333" s="1583">
        <f t="shared" si="635"/>
        <v>673.12321214852921</v>
      </c>
      <c r="CD333" s="538">
        <f t="shared" si="635"/>
        <v>175.53890781017657</v>
      </c>
      <c r="CE333" s="538">
        <f t="shared" si="635"/>
        <v>-830.9385758945881</v>
      </c>
      <c r="CF333" s="539">
        <f t="shared" si="635"/>
        <v>-17.723544064117412</v>
      </c>
      <c r="CG333" s="535"/>
      <c r="CH333" s="540"/>
      <c r="CI333" s="534"/>
      <c r="CJ333" s="536"/>
      <c r="CK333" s="536"/>
      <c r="CL333" s="538"/>
      <c r="CM333" s="538"/>
      <c r="CN333" s="538"/>
      <c r="CO333" s="538"/>
      <c r="CP333" s="538"/>
      <c r="CQ333" s="538"/>
      <c r="CR333" s="538"/>
      <c r="CS333" s="538"/>
      <c r="CT333" s="536"/>
      <c r="CU333" s="1444"/>
      <c r="CV333" s="1444"/>
      <c r="CW333" s="1380"/>
      <c r="CX333" s="536"/>
      <c r="CY333" s="411"/>
      <c r="CZ333" s="538"/>
      <c r="DA333" s="538"/>
      <c r="DB333" s="538"/>
      <c r="DC333" s="538"/>
      <c r="DD333" s="538"/>
      <c r="DE333" s="538"/>
      <c r="DF333" s="539"/>
    </row>
    <row r="334" spans="1:114" s="94" customFormat="1" ht="11.25" customHeight="1">
      <c r="A334" s="24"/>
      <c r="B334"/>
      <c r="C334"/>
      <c r="D334"/>
      <c r="E334"/>
      <c r="F334"/>
      <c r="G334"/>
      <c r="H334" s="1044"/>
      <c r="I334" s="190"/>
      <c r="J334" s="79"/>
      <c r="K334" s="79"/>
      <c r="L334" s="93"/>
      <c r="M334" s="315"/>
      <c r="N334" s="315"/>
      <c r="O334" s="315"/>
      <c r="P334" s="316"/>
      <c r="Q334" s="315"/>
      <c r="R334" s="315"/>
      <c r="S334" s="315"/>
      <c r="T334" s="316"/>
      <c r="U334" s="326"/>
      <c r="V334" s="326"/>
      <c r="W334" s="326"/>
      <c r="X334" s="327"/>
      <c r="Y334" s="326"/>
      <c r="Z334" s="326"/>
      <c r="AA334" s="326"/>
      <c r="AB334" s="327"/>
      <c r="AC334" s="326"/>
      <c r="AD334" s="326"/>
      <c r="AE334" s="326"/>
      <c r="AF334" s="327"/>
      <c r="AG334" s="326"/>
      <c r="AH334" s="326"/>
      <c r="AI334" s="326"/>
      <c r="AJ334" s="327"/>
      <c r="AK334" s="326"/>
      <c r="AL334" s="326"/>
      <c r="AM334" s="326"/>
      <c r="AN334" s="327"/>
      <c r="AO334" s="326"/>
      <c r="AP334" s="326"/>
      <c r="AQ334" s="326"/>
      <c r="AR334" s="327"/>
      <c r="AS334" s="326"/>
      <c r="AT334" s="326"/>
      <c r="AU334" s="326"/>
      <c r="AV334" s="327"/>
      <c r="AW334" s="326"/>
      <c r="AX334" s="326"/>
      <c r="AY334" s="326"/>
      <c r="AZ334" s="327"/>
      <c r="BA334" s="467"/>
      <c r="BB334" s="326"/>
      <c r="BC334" s="326"/>
      <c r="BD334" s="327"/>
      <c r="BE334" s="326"/>
      <c r="BF334" s="326"/>
      <c r="BG334" s="326"/>
      <c r="BH334" s="327"/>
      <c r="BI334" s="328"/>
      <c r="BJ334" s="551"/>
      <c r="BK334" s="328"/>
      <c r="BL334" s="329"/>
      <c r="BM334" s="328"/>
      <c r="BN334" s="551"/>
      <c r="BO334" s="315"/>
      <c r="BP334" s="468"/>
      <c r="BQ334" s="465"/>
      <c r="BR334" s="394"/>
      <c r="BS334" s="551"/>
      <c r="BT334" s="552"/>
      <c r="BU334" s="574"/>
      <c r="BV334" s="572"/>
      <c r="BW334" s="572"/>
      <c r="BX334" s="573"/>
      <c r="BY334" s="340"/>
      <c r="BZ334" s="336"/>
      <c r="CA334" s="317"/>
      <c r="CB334" s="468"/>
      <c r="CC334" s="340"/>
      <c r="CD334" s="336"/>
      <c r="CE334" s="317"/>
      <c r="CF334" s="468"/>
      <c r="CG334" s="316"/>
      <c r="CH334" s="320"/>
      <c r="CI334" s="315"/>
      <c r="CJ334" s="326"/>
      <c r="CK334" s="326"/>
      <c r="CL334" s="326"/>
      <c r="CM334" s="326"/>
      <c r="CN334" s="326"/>
      <c r="CO334" s="326"/>
      <c r="CP334" s="326"/>
      <c r="CQ334" s="467"/>
      <c r="CR334" s="326"/>
      <c r="CS334" s="326"/>
      <c r="CT334" s="326"/>
      <c r="CU334" s="326"/>
      <c r="CV334" s="354"/>
      <c r="CW334" s="326"/>
      <c r="CX334" s="326"/>
      <c r="CY334" s="326"/>
      <c r="CZ334" s="317"/>
      <c r="DA334" s="317"/>
      <c r="DB334" s="317"/>
      <c r="DC334" s="317"/>
      <c r="DD334" s="317"/>
      <c r="DE334" s="317"/>
      <c r="DF334" s="318"/>
    </row>
    <row r="335" spans="1:114" s="632" customFormat="1" ht="11.25" customHeight="1">
      <c r="A335" s="542"/>
      <c r="B335"/>
      <c r="C335"/>
      <c r="D335"/>
      <c r="E335"/>
      <c r="F335"/>
      <c r="G335"/>
      <c r="H335" s="1052"/>
      <c r="I335" s="633" t="s">
        <v>711</v>
      </c>
      <c r="J335" s="634"/>
      <c r="K335" s="634"/>
      <c r="L335" s="631"/>
      <c r="M335" s="465">
        <f t="shared" ref="M335:AR335" si="636">+M61</f>
        <v>16.189</v>
      </c>
      <c r="N335" s="465">
        <f t="shared" si="636"/>
        <v>13.701000000000001</v>
      </c>
      <c r="O335" s="465">
        <f t="shared" si="636"/>
        <v>9.6</v>
      </c>
      <c r="P335" s="466">
        <f t="shared" si="636"/>
        <v>7.3849999999999998</v>
      </c>
      <c r="Q335" s="465">
        <f t="shared" si="636"/>
        <v>10.227</v>
      </c>
      <c r="R335" s="465">
        <f t="shared" si="636"/>
        <v>12.776999999999999</v>
      </c>
      <c r="S335" s="465">
        <f t="shared" si="636"/>
        <v>11.648999999999999</v>
      </c>
      <c r="T335" s="466">
        <f t="shared" si="636"/>
        <v>10.010999999999999</v>
      </c>
      <c r="U335" s="465">
        <f t="shared" si="636"/>
        <v>6.9859999999999998</v>
      </c>
      <c r="V335" s="465">
        <f t="shared" si="636"/>
        <v>6.5010000000000003</v>
      </c>
      <c r="W335" s="465">
        <f t="shared" si="636"/>
        <v>5.524</v>
      </c>
      <c r="X335" s="466">
        <f t="shared" si="636"/>
        <v>6.0279999999999996</v>
      </c>
      <c r="Y335" s="465">
        <f t="shared" si="636"/>
        <v>10.664</v>
      </c>
      <c r="Z335" s="465">
        <f t="shared" si="636"/>
        <v>9.6170000000000009</v>
      </c>
      <c r="AA335" s="465">
        <f t="shared" si="636"/>
        <v>7.4710000000000001</v>
      </c>
      <c r="AB335" s="466">
        <f t="shared" si="636"/>
        <v>6.0179999999999998</v>
      </c>
      <c r="AC335" s="465">
        <f t="shared" si="636"/>
        <v>11.071999999999999</v>
      </c>
      <c r="AD335" s="465">
        <f t="shared" si="636"/>
        <v>8.0890000000000004</v>
      </c>
      <c r="AE335" s="465">
        <f t="shared" si="636"/>
        <v>7.32</v>
      </c>
      <c r="AF335" s="466">
        <f t="shared" si="636"/>
        <v>4.4749999999999996</v>
      </c>
      <c r="AG335" s="465">
        <f t="shared" si="636"/>
        <v>9.4379999999999988</v>
      </c>
      <c r="AH335" s="465">
        <f t="shared" si="636"/>
        <v>8.8610000000000007</v>
      </c>
      <c r="AI335" s="465">
        <f t="shared" si="636"/>
        <v>6.6649999999999991</v>
      </c>
      <c r="AJ335" s="466">
        <f t="shared" si="636"/>
        <v>6.8689999999999998</v>
      </c>
      <c r="AK335" s="465">
        <f t="shared" si="636"/>
        <v>11.333999999999996</v>
      </c>
      <c r="AL335" s="465">
        <f t="shared" si="636"/>
        <v>9.2810000000000006</v>
      </c>
      <c r="AM335" s="465">
        <f t="shared" si="636"/>
        <v>8.4130000000000003</v>
      </c>
      <c r="AN335" s="466">
        <f t="shared" si="636"/>
        <v>6.9349999999999996</v>
      </c>
      <c r="AO335" s="465">
        <f t="shared" si="636"/>
        <v>12.031000000000006</v>
      </c>
      <c r="AP335" s="465">
        <f t="shared" si="636"/>
        <v>9.9280000000000008</v>
      </c>
      <c r="AQ335" s="465">
        <f t="shared" si="636"/>
        <v>8.2929999999999993</v>
      </c>
      <c r="AR335" s="466">
        <f t="shared" si="636"/>
        <v>7.7789999999999999</v>
      </c>
      <c r="AS335" s="465">
        <f t="shared" ref="AS335:BP335" si="637">+AS61</f>
        <v>10.766</v>
      </c>
      <c r="AT335" s="465">
        <f t="shared" si="637"/>
        <v>11.053000000000001</v>
      </c>
      <c r="AU335" s="465">
        <f t="shared" si="637"/>
        <v>8.4740000000000002</v>
      </c>
      <c r="AV335" s="466">
        <f t="shared" si="637"/>
        <v>5.9779999999999998</v>
      </c>
      <c r="AW335" s="465">
        <f t="shared" si="637"/>
        <v>11.788</v>
      </c>
      <c r="AX335" s="465">
        <f t="shared" si="637"/>
        <v>10.122999999999999</v>
      </c>
      <c r="AY335" s="465">
        <f t="shared" si="637"/>
        <v>7.7729999999999997</v>
      </c>
      <c r="AZ335" s="466">
        <f t="shared" si="637"/>
        <v>6.03</v>
      </c>
      <c r="BA335" s="465">
        <f t="shared" si="637"/>
        <v>11.614000000000001</v>
      </c>
      <c r="BB335" s="465">
        <f t="shared" si="637"/>
        <v>9.8149999999999995</v>
      </c>
      <c r="BC335" s="465">
        <f t="shared" si="637"/>
        <v>8.0350000000000001</v>
      </c>
      <c r="BD335" s="466">
        <f t="shared" si="637"/>
        <v>6.0060000000000002</v>
      </c>
      <c r="BE335" s="465">
        <f t="shared" si="637"/>
        <v>11.157</v>
      </c>
      <c r="BF335" s="465">
        <f t="shared" si="637"/>
        <v>9.9220000000000006</v>
      </c>
      <c r="BG335" s="465">
        <f t="shared" si="637"/>
        <v>8.4410000000000007</v>
      </c>
      <c r="BH335" s="466">
        <f t="shared" si="637"/>
        <v>5.9729999999999999</v>
      </c>
      <c r="BI335" s="465">
        <f t="shared" si="637"/>
        <v>27.728999999999999</v>
      </c>
      <c r="BJ335" s="465">
        <f t="shared" si="637"/>
        <v>32.130000000000003</v>
      </c>
      <c r="BK335" s="465">
        <f t="shared" si="637"/>
        <v>39.890999999999998</v>
      </c>
      <c r="BL335" s="466">
        <f t="shared" si="637"/>
        <v>27.709</v>
      </c>
      <c r="BM335" s="465">
        <f t="shared" si="637"/>
        <v>53.473999999999997</v>
      </c>
      <c r="BN335" s="465">
        <f t="shared" si="637"/>
        <v>58.026000000000003</v>
      </c>
      <c r="BO335" s="465">
        <f t="shared" si="637"/>
        <v>71.593000000000004</v>
      </c>
      <c r="BP335" s="466">
        <f t="shared" si="637"/>
        <v>48.216000000000001</v>
      </c>
      <c r="BQ335" s="572">
        <v>73.254000000000005</v>
      </c>
      <c r="BR335" s="572">
        <v>78.430999999999997</v>
      </c>
      <c r="BS335" s="572">
        <v>67.858000000000004</v>
      </c>
      <c r="BT335" s="573">
        <v>54.161000000000001</v>
      </c>
      <c r="BU335" s="635">
        <f t="shared" ref="BU335:CA335" si="638">+BU61</f>
        <v>69.844999999999999</v>
      </c>
      <c r="BV335" s="465">
        <f t="shared" si="638"/>
        <v>112.321</v>
      </c>
      <c r="BW335" s="465">
        <f t="shared" si="638"/>
        <v>72.792000000000002</v>
      </c>
      <c r="BX335" s="466">
        <f t="shared" si="638"/>
        <v>40.74</v>
      </c>
      <c r="BY335" s="465">
        <f t="shared" si="638"/>
        <v>73.012</v>
      </c>
      <c r="BZ335" s="465">
        <f t="shared" si="638"/>
        <v>121.187</v>
      </c>
      <c r="CA335" s="465">
        <f t="shared" si="638"/>
        <v>112.79600000000001</v>
      </c>
      <c r="CB335" s="466">
        <f t="shared" ref="CB335" si="639">+CB61</f>
        <v>84.588999999999999</v>
      </c>
      <c r="CC335" s="635">
        <f>+BY335+CC339</f>
        <v>123.012</v>
      </c>
      <c r="CD335" s="465">
        <f>+BZ335+CD339</f>
        <v>176.18700000000001</v>
      </c>
      <c r="CE335" s="465">
        <f>+CA335+CE339</f>
        <v>142.79599999999999</v>
      </c>
      <c r="CF335" s="466">
        <f>+CB335+CF339</f>
        <v>94.588999999999999</v>
      </c>
      <c r="CG335" s="582"/>
      <c r="CH335" s="635">
        <f>+CH61</f>
        <v>46.875</v>
      </c>
      <c r="CI335" s="465">
        <f>+CI61</f>
        <v>44.664000000000001</v>
      </c>
      <c r="CJ335" s="465">
        <f>+CJ61</f>
        <v>25.039000000000001</v>
      </c>
      <c r="CK335" s="465">
        <f>+CK61</f>
        <v>33.475999999999999</v>
      </c>
      <c r="CL335" s="465">
        <f>+CL61</f>
        <v>30.956</v>
      </c>
      <c r="CM335" s="546">
        <f>+SUM(AG335:AJ335)</f>
        <v>31.832999999999998</v>
      </c>
      <c r="CN335" s="546">
        <f>+SUM(AK335:AN335)</f>
        <v>35.962999999999994</v>
      </c>
      <c r="CO335" s="546">
        <f>+SUM(AO335:AR335)</f>
        <v>38.031000000000006</v>
      </c>
      <c r="CP335" s="546">
        <f>+SUM(AS335:AV335)</f>
        <v>36.271000000000001</v>
      </c>
      <c r="CQ335" s="546">
        <f>+SUM(AW335:AZ335)</f>
        <v>35.713999999999999</v>
      </c>
      <c r="CR335" s="546">
        <f>+SUM(BA335:BD335)</f>
        <v>35.47</v>
      </c>
      <c r="CS335" s="546">
        <f>+SUM(BE335:BH335)</f>
        <v>35.493000000000002</v>
      </c>
      <c r="CT335" s="465">
        <f>+SUM(BI335:BL335)</f>
        <v>127.459</v>
      </c>
      <c r="CU335" s="465">
        <f>SUM(BM335:BP335)</f>
        <v>231.30900000000003</v>
      </c>
      <c r="CV335" s="465">
        <f>SUM(BQ335:BT335)</f>
        <v>273.70400000000001</v>
      </c>
      <c r="CW335" s="465">
        <f>SUM(BU335:BX335)</f>
        <v>295.69799999999998</v>
      </c>
      <c r="CX335" s="465">
        <f>SUM(BY335:CB335)</f>
        <v>391.584</v>
      </c>
      <c r="CY335" s="465">
        <f>SUM(CC335:CF335)</f>
        <v>536.58400000000006</v>
      </c>
      <c r="CZ335" s="465">
        <f t="shared" ref="CZ335:DF335" si="640">+CY335+CZ339</f>
        <v>616.58400000000006</v>
      </c>
      <c r="DA335" s="465">
        <f t="shared" si="640"/>
        <v>686.58400000000006</v>
      </c>
      <c r="DB335" s="465">
        <f t="shared" si="640"/>
        <v>746.58400000000006</v>
      </c>
      <c r="DC335" s="465">
        <f>+DB335+DC339</f>
        <v>806.58400000000006</v>
      </c>
      <c r="DD335" s="465">
        <f t="shared" si="640"/>
        <v>866.58400000000006</v>
      </c>
      <c r="DE335" s="465">
        <f t="shared" si="640"/>
        <v>926.58400000000006</v>
      </c>
      <c r="DF335" s="466">
        <f t="shared" si="640"/>
        <v>976.58400000000006</v>
      </c>
      <c r="DG335" s="1474"/>
      <c r="DH335" s="1474"/>
      <c r="DI335" s="465"/>
    </row>
    <row r="336" spans="1:114" s="51" customFormat="1" ht="11.25" customHeight="1">
      <c r="A336" s="82"/>
      <c r="B336"/>
      <c r="C336"/>
      <c r="D336"/>
      <c r="E336"/>
      <c r="F336"/>
      <c r="G336"/>
      <c r="H336" s="1044"/>
      <c r="I336" s="310" t="s">
        <v>376</v>
      </c>
      <c r="J336" s="89"/>
      <c r="K336" s="89"/>
      <c r="L336" s="82"/>
      <c r="M336" s="336"/>
      <c r="N336" s="336"/>
      <c r="O336" s="336"/>
      <c r="P336" s="337"/>
      <c r="Q336" s="338">
        <f t="shared" ref="Q336:AZ336" si="641">+Q335/M335-1</f>
        <v>-0.36827475446290692</v>
      </c>
      <c r="R336" s="338">
        <f t="shared" si="641"/>
        <v>-6.7440332822421789E-2</v>
      </c>
      <c r="S336" s="338">
        <f t="shared" si="641"/>
        <v>0.21343749999999995</v>
      </c>
      <c r="T336" s="339">
        <f t="shared" si="641"/>
        <v>0.35558564658090708</v>
      </c>
      <c r="U336" s="338">
        <f t="shared" si="641"/>
        <v>-0.31690622861054074</v>
      </c>
      <c r="V336" s="338">
        <f t="shared" si="641"/>
        <v>-0.49119511622446577</v>
      </c>
      <c r="W336" s="338">
        <f t="shared" si="641"/>
        <v>-0.5257962056828912</v>
      </c>
      <c r="X336" s="339">
        <f t="shared" si="641"/>
        <v>-0.39786235141344517</v>
      </c>
      <c r="Y336" s="338">
        <f t="shared" si="641"/>
        <v>0.52648153449756663</v>
      </c>
      <c r="Z336" s="338">
        <f t="shared" si="641"/>
        <v>0.47931087524996152</v>
      </c>
      <c r="AA336" s="338">
        <f t="shared" si="641"/>
        <v>0.3524619840695149</v>
      </c>
      <c r="AB336" s="339">
        <f t="shared" si="641"/>
        <v>-1.6589250165892633E-3</v>
      </c>
      <c r="AC336" s="338">
        <f t="shared" si="641"/>
        <v>3.825956489122273E-2</v>
      </c>
      <c r="AD336" s="338">
        <f t="shared" si="641"/>
        <v>-0.15888530726837891</v>
      </c>
      <c r="AE336" s="338">
        <f t="shared" si="641"/>
        <v>-2.0211484406371327E-2</v>
      </c>
      <c r="AF336" s="339">
        <f t="shared" si="641"/>
        <v>-0.25639747424393489</v>
      </c>
      <c r="AG336" s="338">
        <f t="shared" si="641"/>
        <v>-0.14757947976878616</v>
      </c>
      <c r="AH336" s="338">
        <f t="shared" si="641"/>
        <v>9.5438249474595116E-2</v>
      </c>
      <c r="AI336" s="338">
        <f t="shared" si="641"/>
        <v>-8.9480874316940073E-2</v>
      </c>
      <c r="AJ336" s="339">
        <f t="shared" si="641"/>
        <v>0.53497206703910627</v>
      </c>
      <c r="AK336" s="338">
        <f>+AK335/AG335-1</f>
        <v>0.20089001907183701</v>
      </c>
      <c r="AL336" s="338">
        <f t="shared" si="641"/>
        <v>4.7398713463491671E-2</v>
      </c>
      <c r="AM336" s="338">
        <f t="shared" si="641"/>
        <v>0.26226556639159804</v>
      </c>
      <c r="AN336" s="339">
        <f t="shared" si="641"/>
        <v>9.6083855000728136E-3</v>
      </c>
      <c r="AO336" s="338">
        <f t="shared" si="641"/>
        <v>6.1496382565732421E-2</v>
      </c>
      <c r="AP336" s="338">
        <f t="shared" si="641"/>
        <v>6.9712315483245302E-2</v>
      </c>
      <c r="AQ336" s="338">
        <f t="shared" si="641"/>
        <v>-1.4263639605372802E-2</v>
      </c>
      <c r="AR336" s="339">
        <f t="shared" si="641"/>
        <v>0.12170151405912044</v>
      </c>
      <c r="AS336" s="338">
        <f t="shared" si="641"/>
        <v>-0.1051450419748986</v>
      </c>
      <c r="AT336" s="338">
        <f t="shared" si="641"/>
        <v>0.1133158742949234</v>
      </c>
      <c r="AU336" s="338">
        <f t="shared" si="641"/>
        <v>2.1825636078620647E-2</v>
      </c>
      <c r="AV336" s="339">
        <f t="shared" si="641"/>
        <v>-0.2315207610232678</v>
      </c>
      <c r="AW336" s="338">
        <f t="shared" si="641"/>
        <v>9.4928478543563122E-2</v>
      </c>
      <c r="AX336" s="338">
        <f t="shared" si="641"/>
        <v>-8.4140052474441451E-2</v>
      </c>
      <c r="AY336" s="338">
        <f t="shared" si="641"/>
        <v>-8.2723625206514106E-2</v>
      </c>
      <c r="AZ336" s="339">
        <f t="shared" si="641"/>
        <v>8.6985613917698323E-3</v>
      </c>
      <c r="BA336" s="338">
        <f t="shared" ref="BA336:BI336" si="642">+BA335/AW335-1</f>
        <v>-1.4760773668136995E-2</v>
      </c>
      <c r="BB336" s="338">
        <f t="shared" si="642"/>
        <v>-3.0425763113701487E-2</v>
      </c>
      <c r="BC336" s="338">
        <f t="shared" si="642"/>
        <v>3.3706419657789866E-2</v>
      </c>
      <c r="BD336" s="339">
        <f t="shared" si="642"/>
        <v>-3.9800995024875663E-3</v>
      </c>
      <c r="BE336" s="338">
        <f t="shared" si="642"/>
        <v>-3.9349061477527147E-2</v>
      </c>
      <c r="BF336" s="338">
        <f t="shared" si="642"/>
        <v>1.0901681100356608E-2</v>
      </c>
      <c r="BG336" s="338">
        <f t="shared" si="642"/>
        <v>5.0528935905413963E-2</v>
      </c>
      <c r="BH336" s="339">
        <f t="shared" si="642"/>
        <v>-5.494505494505586E-3</v>
      </c>
      <c r="BI336" s="338">
        <f t="shared" si="642"/>
        <v>1.485345522990051</v>
      </c>
      <c r="BJ336" s="338">
        <f t="shared" ref="BJ336:BP336" si="643">+BJ335/BF335-1</f>
        <v>2.2382584156420076</v>
      </c>
      <c r="BK336" s="338">
        <f t="shared" si="643"/>
        <v>3.725861864707972</v>
      </c>
      <c r="BL336" s="339">
        <f t="shared" si="643"/>
        <v>3.639042357274402</v>
      </c>
      <c r="BM336" s="338">
        <f t="shared" si="643"/>
        <v>0.92845035883010563</v>
      </c>
      <c r="BN336" s="338">
        <f t="shared" si="643"/>
        <v>0.80597572362278247</v>
      </c>
      <c r="BO336" s="338">
        <f>+BO335/BK335-1</f>
        <v>0.7947156000100275</v>
      </c>
      <c r="BP336" s="339">
        <f t="shared" si="643"/>
        <v>0.74008444909596172</v>
      </c>
      <c r="BQ336" s="372">
        <f t="shared" ref="BQ336:CF336" si="644">+BQ335/BM335-1</f>
        <v>0.36989939035793107</v>
      </c>
      <c r="BR336" s="338">
        <f t="shared" si="644"/>
        <v>0.35165270740702437</v>
      </c>
      <c r="BS336" s="338">
        <f t="shared" si="644"/>
        <v>-5.2169904878968554E-2</v>
      </c>
      <c r="BT336" s="339">
        <f t="shared" si="644"/>
        <v>0.1232993197278911</v>
      </c>
      <c r="BU336" s="372">
        <f t="shared" si="644"/>
        <v>-4.6536707893084395E-2</v>
      </c>
      <c r="BV336" s="338">
        <f t="shared" si="644"/>
        <v>0.43209955247287435</v>
      </c>
      <c r="BW336" s="338">
        <f t="shared" si="644"/>
        <v>7.2710660496920099E-2</v>
      </c>
      <c r="BX336" s="339">
        <f t="shared" si="644"/>
        <v>-0.24779823119957167</v>
      </c>
      <c r="BY336" s="338">
        <f t="shared" si="644"/>
        <v>4.5343260075882297E-2</v>
      </c>
      <c r="BZ336" s="338">
        <f t="shared" si="644"/>
        <v>7.8934482420918606E-2</v>
      </c>
      <c r="CA336" s="338">
        <f t="shared" si="644"/>
        <v>0.54956588636113857</v>
      </c>
      <c r="CB336" s="339">
        <f t="shared" si="644"/>
        <v>1.0763132056946487</v>
      </c>
      <c r="CC336" s="372">
        <f t="shared" si="644"/>
        <v>0.68481893387388371</v>
      </c>
      <c r="CD336" s="338">
        <f t="shared" si="644"/>
        <v>0.45384405918126536</v>
      </c>
      <c r="CE336" s="338">
        <f t="shared" si="644"/>
        <v>0.26596687825809417</v>
      </c>
      <c r="CF336" s="339">
        <f t="shared" si="644"/>
        <v>0.11821868091595844</v>
      </c>
      <c r="CG336" s="337"/>
      <c r="CH336" s="340"/>
      <c r="CI336" s="338">
        <f t="shared" ref="CI336:CY336" si="645">+CI335/CH335-1</f>
        <v>-4.7167999999999988E-2</v>
      </c>
      <c r="CJ336" s="338">
        <f t="shared" si="645"/>
        <v>-0.43939190399426831</v>
      </c>
      <c r="CK336" s="338">
        <f t="shared" si="645"/>
        <v>0.33695435121210893</v>
      </c>
      <c r="CL336" s="338">
        <f t="shared" si="645"/>
        <v>-7.5277810969052394E-2</v>
      </c>
      <c r="CM336" s="338">
        <f t="shared" si="645"/>
        <v>2.8330533660679613E-2</v>
      </c>
      <c r="CN336" s="338">
        <f t="shared" si="645"/>
        <v>0.12973957842490491</v>
      </c>
      <c r="CO336" s="338">
        <f t="shared" si="645"/>
        <v>5.7503545310458426E-2</v>
      </c>
      <c r="CP336" s="338">
        <f t="shared" si="645"/>
        <v>-4.6278036338776363E-2</v>
      </c>
      <c r="CQ336" s="338">
        <f t="shared" si="645"/>
        <v>-1.5356620991977099E-2</v>
      </c>
      <c r="CR336" s="338">
        <f t="shared" si="645"/>
        <v>-6.8320546564372142E-3</v>
      </c>
      <c r="CS336" s="338">
        <f t="shared" si="645"/>
        <v>6.4843529743452422E-4</v>
      </c>
      <c r="CT336" s="338">
        <f t="shared" si="645"/>
        <v>2.5911024709097568</v>
      </c>
      <c r="CU336" s="338">
        <f t="shared" si="645"/>
        <v>0.81477180897386625</v>
      </c>
      <c r="CV336" s="338">
        <f t="shared" si="645"/>
        <v>0.18328296780497078</v>
      </c>
      <c r="CW336" s="338">
        <f t="shared" si="645"/>
        <v>8.0356881887001963E-2</v>
      </c>
      <c r="CX336" s="338">
        <f t="shared" si="645"/>
        <v>0.32427003226264639</v>
      </c>
      <c r="CY336" s="338">
        <f t="shared" si="645"/>
        <v>0.37029092097736394</v>
      </c>
      <c r="CZ336" s="338">
        <f t="shared" ref="CZ336:DF336" si="646">+CZ335/CY335-1</f>
        <v>0.1490912885960074</v>
      </c>
      <c r="DA336" s="338">
        <f t="shared" si="646"/>
        <v>0.11352873250035689</v>
      </c>
      <c r="DB336" s="338">
        <f t="shared" si="646"/>
        <v>8.7389161413607086E-2</v>
      </c>
      <c r="DC336" s="338">
        <f t="shared" si="646"/>
        <v>8.036604052591545E-2</v>
      </c>
      <c r="DD336" s="338">
        <f t="shared" si="646"/>
        <v>7.4387788500639651E-2</v>
      </c>
      <c r="DE336" s="338">
        <f t="shared" si="646"/>
        <v>6.9237373411002334E-2</v>
      </c>
      <c r="DF336" s="339">
        <f t="shared" si="646"/>
        <v>5.3961648377265359E-2</v>
      </c>
      <c r="DG336" s="1475"/>
      <c r="DH336" s="1475"/>
      <c r="DI336" s="338"/>
    </row>
    <row r="337" spans="1:113" s="308" customFormat="1" ht="11.25" customHeight="1">
      <c r="A337" s="82"/>
      <c r="B337"/>
      <c r="C337"/>
      <c r="D337"/>
      <c r="E337"/>
      <c r="F337"/>
      <c r="G337"/>
      <c r="H337" s="1044"/>
      <c r="I337" s="310" t="s">
        <v>506</v>
      </c>
      <c r="J337" s="83"/>
      <c r="K337" s="83"/>
      <c r="L337" s="307"/>
      <c r="M337" s="338">
        <f t="shared" ref="M337:AR337" si="647">+M335/M39</f>
        <v>0.37548417024237501</v>
      </c>
      <c r="N337" s="338">
        <f t="shared" si="647"/>
        <v>0.22794729311549597</v>
      </c>
      <c r="O337" s="338">
        <f t="shared" si="647"/>
        <v>0.19035532994923857</v>
      </c>
      <c r="P337" s="339">
        <f t="shared" si="647"/>
        <v>0.18813848623035181</v>
      </c>
      <c r="Q337" s="338">
        <f t="shared" si="647"/>
        <v>0.24354059009834972</v>
      </c>
      <c r="R337" s="338">
        <f t="shared" si="647"/>
        <v>0.26536927805931709</v>
      </c>
      <c r="S337" s="338">
        <f t="shared" si="647"/>
        <v>0.30865636840571259</v>
      </c>
      <c r="T337" s="339">
        <f t="shared" si="647"/>
        <v>0.32840178454271091</v>
      </c>
      <c r="U337" s="338">
        <f t="shared" si="647"/>
        <v>0.21178039833873949</v>
      </c>
      <c r="V337" s="338">
        <f t="shared" si="647"/>
        <v>0.16054230256334273</v>
      </c>
      <c r="W337" s="338">
        <f t="shared" si="647"/>
        <v>0.13589844518795513</v>
      </c>
      <c r="X337" s="339">
        <f t="shared" si="647"/>
        <v>0.18946442041740005</v>
      </c>
      <c r="Y337" s="338">
        <f t="shared" si="647"/>
        <v>0.24586157605939041</v>
      </c>
      <c r="Z337" s="338">
        <f t="shared" si="647"/>
        <v>0.17610972751245241</v>
      </c>
      <c r="AA337" s="338">
        <f t="shared" si="647"/>
        <v>0.14462425955321537</v>
      </c>
      <c r="AB337" s="339">
        <f t="shared" si="647"/>
        <v>0.11685663799297073</v>
      </c>
      <c r="AC337" s="338">
        <f t="shared" si="647"/>
        <v>0.1906730040642006</v>
      </c>
      <c r="AD337" s="338">
        <f t="shared" si="647"/>
        <v>0.12335681825113613</v>
      </c>
      <c r="AE337" s="338">
        <f t="shared" si="647"/>
        <v>9.0521239102207399E-2</v>
      </c>
      <c r="AF337" s="339">
        <f t="shared" si="647"/>
        <v>6.8484765009258819E-2</v>
      </c>
      <c r="AG337" s="338">
        <f t="shared" si="647"/>
        <v>0.13066411928396393</v>
      </c>
      <c r="AH337" s="338">
        <f t="shared" si="647"/>
        <v>8.3749196627726744E-2</v>
      </c>
      <c r="AI337" s="338">
        <f t="shared" si="647"/>
        <v>5.4488227599738377E-2</v>
      </c>
      <c r="AJ337" s="339">
        <f t="shared" si="647"/>
        <v>6.9023382939598282E-2</v>
      </c>
      <c r="AK337" s="338">
        <f t="shared" si="647"/>
        <v>0.10914974142663154</v>
      </c>
      <c r="AL337" s="338">
        <f t="shared" si="647"/>
        <v>5.9918782643502311E-2</v>
      </c>
      <c r="AM337" s="338">
        <f t="shared" si="647"/>
        <v>4.1580380663368444E-2</v>
      </c>
      <c r="AN337" s="339">
        <f t="shared" si="647"/>
        <v>4.330261251810779E-2</v>
      </c>
      <c r="AO337" s="338">
        <f t="shared" si="647"/>
        <v>6.6431809522757804E-2</v>
      </c>
      <c r="AP337" s="338">
        <f t="shared" si="647"/>
        <v>3.9128978224455609E-2</v>
      </c>
      <c r="AQ337" s="338">
        <f t="shared" si="647"/>
        <v>2.6237194616518703E-2</v>
      </c>
      <c r="AR337" s="339">
        <f t="shared" si="647"/>
        <v>3.7934313510350377E-2</v>
      </c>
      <c r="AS337" s="338">
        <f t="shared" ref="AS337:BX337" si="648">+AS335/AS39</f>
        <v>5.1677626842029478E-2</v>
      </c>
      <c r="AT337" s="338">
        <f t="shared" si="648"/>
        <v>3.6211087741369032E-2</v>
      </c>
      <c r="AU337" s="338">
        <f t="shared" si="648"/>
        <v>1.9525075690197832E-2</v>
      </c>
      <c r="AV337" s="339">
        <f t="shared" si="648"/>
        <v>1.9087515845064795E-2</v>
      </c>
      <c r="AW337" s="338">
        <f t="shared" si="648"/>
        <v>3.6939545494428377E-2</v>
      </c>
      <c r="AX337" s="338">
        <f t="shared" si="648"/>
        <v>2.2687949366180772E-2</v>
      </c>
      <c r="AY337" s="338">
        <f t="shared" si="648"/>
        <v>1.1632605416277569E-2</v>
      </c>
      <c r="AZ337" s="339">
        <f t="shared" si="648"/>
        <v>1.2558156970714295E-2</v>
      </c>
      <c r="BA337" s="338">
        <f t="shared" si="648"/>
        <v>2.2961281751178311E-2</v>
      </c>
      <c r="BB337" s="338">
        <f t="shared" si="648"/>
        <v>1.3100168573743336E-2</v>
      </c>
      <c r="BC337" s="338">
        <f t="shared" si="648"/>
        <v>7.3035627933696187E-3</v>
      </c>
      <c r="BD337" s="339">
        <f t="shared" si="648"/>
        <v>8.2876015769349116E-3</v>
      </c>
      <c r="BE337" s="338">
        <f t="shared" si="648"/>
        <v>1.5010332468706611E-2</v>
      </c>
      <c r="BF337" s="338">
        <f t="shared" si="648"/>
        <v>9.8810725973019747E-3</v>
      </c>
      <c r="BG337" s="338">
        <f t="shared" si="648"/>
        <v>6.0443923778071059E-3</v>
      </c>
      <c r="BH337" s="339">
        <f t="shared" si="648"/>
        <v>6.3559457302474051E-3</v>
      </c>
      <c r="BI337" s="338">
        <f t="shared" si="648"/>
        <v>2.7463564647680173E-2</v>
      </c>
      <c r="BJ337" s="338">
        <f t="shared" si="648"/>
        <v>2.3217750414602688E-2</v>
      </c>
      <c r="BK337" s="338">
        <f t="shared" si="648"/>
        <v>2.0055151541050694E-2</v>
      </c>
      <c r="BL337" s="339">
        <f t="shared" si="648"/>
        <v>2.0782253969658764E-2</v>
      </c>
      <c r="BM337" s="338">
        <f t="shared" si="648"/>
        <v>3.8019980504397165E-2</v>
      </c>
      <c r="BN337" s="338">
        <f t="shared" si="648"/>
        <v>3.0815785057429761E-2</v>
      </c>
      <c r="BO337" s="338">
        <f t="shared" si="648"/>
        <v>2.7325801972382976E-2</v>
      </c>
      <c r="BP337" s="339">
        <f t="shared" si="648"/>
        <v>2.8791086084845808E-2</v>
      </c>
      <c r="BQ337" s="372">
        <f t="shared" si="648"/>
        <v>4.3806017810883162E-2</v>
      </c>
      <c r="BR337" s="338">
        <f t="shared" si="648"/>
        <v>3.7474688304204778E-2</v>
      </c>
      <c r="BS337" s="338">
        <f t="shared" si="648"/>
        <v>2.3023925094375092E-2</v>
      </c>
      <c r="BT337" s="339">
        <f t="shared" si="648"/>
        <v>2.8818500539804823E-2</v>
      </c>
      <c r="BU337" s="372">
        <f t="shared" si="648"/>
        <v>3.4586149694223682E-2</v>
      </c>
      <c r="BV337" s="338">
        <f t="shared" si="648"/>
        <v>4.6226095946280743E-2</v>
      </c>
      <c r="BW337" s="338">
        <f t="shared" si="648"/>
        <v>2.028161667822493E-2</v>
      </c>
      <c r="BX337" s="339">
        <f t="shared" si="648"/>
        <v>1.7896985583569568E-2</v>
      </c>
      <c r="BY337" s="338">
        <f t="shared" ref="BY337:CF337" si="649">+BY335/BY39</f>
        <v>3.1278770132398832E-2</v>
      </c>
      <c r="BZ337" s="338">
        <f t="shared" si="649"/>
        <v>4.1055093579744524E-2</v>
      </c>
      <c r="CA337" s="338">
        <f t="shared" si="649"/>
        <v>2.5784577304241146E-2</v>
      </c>
      <c r="CB337" s="339">
        <f t="shared" si="649"/>
        <v>3.053817352920259E-2</v>
      </c>
      <c r="CC337" s="372">
        <f t="shared" si="649"/>
        <v>4.3972388899227791E-2</v>
      </c>
      <c r="CD337" s="338">
        <f t="shared" si="649"/>
        <v>4.9460349249667482E-2</v>
      </c>
      <c r="CE337" s="338">
        <f t="shared" si="649"/>
        <v>2.8534027519122322E-2</v>
      </c>
      <c r="CF337" s="339">
        <f t="shared" si="649"/>
        <v>2.8003216622527624E-2</v>
      </c>
      <c r="CG337" s="337"/>
      <c r="CH337" s="338">
        <f t="shared" ref="CH337:DF337" si="650">+CH335/CH39</f>
        <v>0.24299399707629621</v>
      </c>
      <c r="CI337" s="338">
        <f t="shared" si="650"/>
        <v>0.28203023376229747</v>
      </c>
      <c r="CJ337" s="338">
        <f t="shared" si="650"/>
        <v>0.17156463051149407</v>
      </c>
      <c r="CK337" s="338">
        <f t="shared" si="650"/>
        <v>0.16643216879869144</v>
      </c>
      <c r="CL337" s="338">
        <f t="shared" si="650"/>
        <v>0.11471558273114692</v>
      </c>
      <c r="CM337" s="338">
        <f t="shared" si="650"/>
        <v>7.9607974551856558E-2</v>
      </c>
      <c r="CN337" s="338">
        <f t="shared" si="650"/>
        <v>5.7891390259411014E-2</v>
      </c>
      <c r="CO337" s="338">
        <f t="shared" si="650"/>
        <v>3.9782587547111788E-2</v>
      </c>
      <c r="CP337" s="338">
        <f t="shared" si="650"/>
        <v>2.8769086656254984E-2</v>
      </c>
      <c r="CQ337" s="338">
        <f t="shared" si="650"/>
        <v>1.8662530817683681E-2</v>
      </c>
      <c r="CR337" s="338">
        <f t="shared" si="650"/>
        <v>1.1516682468148107E-2</v>
      </c>
      <c r="CS337" s="338">
        <f t="shared" si="650"/>
        <v>8.6914232526977483E-3</v>
      </c>
      <c r="CT337" s="338">
        <f t="shared" si="650"/>
        <v>2.2299080142606061E-2</v>
      </c>
      <c r="CU337" s="338">
        <f t="shared" si="650"/>
        <v>3.0499081634940337E-2</v>
      </c>
      <c r="CV337" s="338">
        <f t="shared" si="650"/>
        <v>3.1856395284484397E-2</v>
      </c>
      <c r="CW337" s="338">
        <f t="shared" si="650"/>
        <v>2.8667651927948987E-2</v>
      </c>
      <c r="CX337" s="338">
        <f t="shared" si="650"/>
        <v>3.1501756359033337E-2</v>
      </c>
      <c r="CY337" s="338">
        <f t="shared" si="650"/>
        <v>3.6398636264769101E-2</v>
      </c>
      <c r="CZ337" s="338">
        <f t="shared" si="650"/>
        <v>3.6724464930162792E-2</v>
      </c>
      <c r="DA337" s="338">
        <f t="shared" si="650"/>
        <v>3.6478245835761945E-2</v>
      </c>
      <c r="DB337" s="338">
        <f t="shared" si="650"/>
        <v>3.5933063425630678E-2</v>
      </c>
      <c r="DC337" s="338">
        <f t="shared" si="650"/>
        <v>3.5556452553036771E-2</v>
      </c>
      <c r="DD337" s="338">
        <f t="shared" si="650"/>
        <v>3.5278488463216913E-2</v>
      </c>
      <c r="DE337" s="338">
        <f t="shared" si="650"/>
        <v>3.509912237852162E-2</v>
      </c>
      <c r="DF337" s="339">
        <f t="shared" si="650"/>
        <v>3.4414768622174012E-2</v>
      </c>
      <c r="DG337" s="1475"/>
      <c r="DH337" s="1475"/>
      <c r="DI337" s="338"/>
    </row>
    <row r="338" spans="1:113" s="61" customFormat="1" ht="11.25" customHeight="1">
      <c r="A338" s="48"/>
      <c r="B338"/>
      <c r="C338"/>
      <c r="D338"/>
      <c r="E338"/>
      <c r="F338"/>
      <c r="G338"/>
      <c r="H338" s="1044"/>
      <c r="I338" s="1332" t="s">
        <v>623</v>
      </c>
      <c r="J338" s="85"/>
      <c r="K338" s="85"/>
      <c r="L338" s="60"/>
      <c r="M338" s="352"/>
      <c r="N338" s="352"/>
      <c r="O338" s="352"/>
      <c r="P338" s="353"/>
      <c r="Q338" s="352"/>
      <c r="R338" s="352"/>
      <c r="S338" s="352"/>
      <c r="T338" s="353"/>
      <c r="U338" s="352"/>
      <c r="V338" s="352"/>
      <c r="W338" s="352"/>
      <c r="X338" s="353"/>
      <c r="Y338" s="352"/>
      <c r="Z338" s="352"/>
      <c r="AA338" s="352"/>
      <c r="AB338" s="353"/>
      <c r="AC338" s="352"/>
      <c r="AD338" s="352"/>
      <c r="AE338" s="352"/>
      <c r="AF338" s="353"/>
      <c r="AG338" s="352"/>
      <c r="AH338" s="352"/>
      <c r="AI338" s="352"/>
      <c r="AJ338" s="353"/>
      <c r="AK338" s="354">
        <f>+(AK337-AG337)*10000</f>
        <v>-215.14377857332386</v>
      </c>
      <c r="AL338" s="354">
        <f t="shared" ref="AL338:CF338" si="651">+(AL337-AH337)*10000</f>
        <v>-238.30413984224433</v>
      </c>
      <c r="AM338" s="354">
        <f t="shared" si="651"/>
        <v>-129.07846936369933</v>
      </c>
      <c r="AN338" s="355">
        <f t="shared" si="651"/>
        <v>-257.20770421490494</v>
      </c>
      <c r="AO338" s="354">
        <f t="shared" si="651"/>
        <v>-427.17931903873739</v>
      </c>
      <c r="AP338" s="354">
        <f t="shared" si="651"/>
        <v>-207.89804419046703</v>
      </c>
      <c r="AQ338" s="354">
        <f t="shared" si="651"/>
        <v>-153.4318604684974</v>
      </c>
      <c r="AR338" s="355">
        <f t="shared" si="651"/>
        <v>-53.682990077574125</v>
      </c>
      <c r="AS338" s="354">
        <f t="shared" si="651"/>
        <v>-147.54182680728326</v>
      </c>
      <c r="AT338" s="354">
        <f t="shared" si="651"/>
        <v>-29.178904830865772</v>
      </c>
      <c r="AU338" s="354">
        <f t="shared" si="651"/>
        <v>-67.121189263208706</v>
      </c>
      <c r="AV338" s="355">
        <f t="shared" si="651"/>
        <v>-188.46797665285581</v>
      </c>
      <c r="AW338" s="354">
        <f t="shared" si="651"/>
        <v>-147.38081347601101</v>
      </c>
      <c r="AX338" s="354">
        <f t="shared" si="651"/>
        <v>-135.23138375188259</v>
      </c>
      <c r="AY338" s="354">
        <f t="shared" si="651"/>
        <v>-78.92470273920263</v>
      </c>
      <c r="AZ338" s="355">
        <f t="shared" si="651"/>
        <v>-65.293588743505012</v>
      </c>
      <c r="BA338" s="354">
        <f t="shared" si="651"/>
        <v>-139.78263743250068</v>
      </c>
      <c r="BB338" s="354">
        <f t="shared" si="651"/>
        <v>-95.877807924374352</v>
      </c>
      <c r="BC338" s="354">
        <f t="shared" si="651"/>
        <v>-43.2904262290795</v>
      </c>
      <c r="BD338" s="355">
        <f t="shared" si="651"/>
        <v>-42.70555393779383</v>
      </c>
      <c r="BE338" s="354">
        <f t="shared" si="651"/>
        <v>-79.509492824717</v>
      </c>
      <c r="BF338" s="354">
        <f t="shared" si="651"/>
        <v>-32.19095976441362</v>
      </c>
      <c r="BG338" s="354">
        <f t="shared" si="651"/>
        <v>-12.591704155625127</v>
      </c>
      <c r="BH338" s="355">
        <f t="shared" si="651"/>
        <v>-19.316558466875065</v>
      </c>
      <c r="BI338" s="354">
        <f t="shared" si="651"/>
        <v>124.53232178973562</v>
      </c>
      <c r="BJ338" s="354">
        <f t="shared" si="651"/>
        <v>133.36677817300713</v>
      </c>
      <c r="BK338" s="354">
        <f t="shared" si="651"/>
        <v>140.10759163243588</v>
      </c>
      <c r="BL338" s="355">
        <f t="shared" si="651"/>
        <v>144.26308239411358</v>
      </c>
      <c r="BM338" s="354">
        <f>+(BM337-BI337)*10000</f>
        <v>105.56415856716993</v>
      </c>
      <c r="BN338" s="354">
        <f t="shared" si="651"/>
        <v>75.980346428270735</v>
      </c>
      <c r="BO338" s="354">
        <f>+(BO337-BK337)*10000</f>
        <v>72.706504313322824</v>
      </c>
      <c r="BP338" s="355">
        <f t="shared" si="651"/>
        <v>80.088321151870446</v>
      </c>
      <c r="BQ338" s="1511">
        <f>+(BQ337-BM337)*10000</f>
        <v>57.860373064859971</v>
      </c>
      <c r="BR338" s="354">
        <f t="shared" si="651"/>
        <v>66.589032467750172</v>
      </c>
      <c r="BS338" s="354">
        <f t="shared" si="651"/>
        <v>-43.018768780078851</v>
      </c>
      <c r="BT338" s="355">
        <f t="shared" si="651"/>
        <v>0.27414454959014817</v>
      </c>
      <c r="BU338" s="1511">
        <f t="shared" si="651"/>
        <v>-92.198681166594795</v>
      </c>
      <c r="BV338" s="354">
        <f t="shared" si="651"/>
        <v>87.51407642075965</v>
      </c>
      <c r="BW338" s="354">
        <f t="shared" si="651"/>
        <v>-27.423084161501617</v>
      </c>
      <c r="BX338" s="355">
        <f t="shared" si="651"/>
        <v>-109.21514956235255</v>
      </c>
      <c r="BY338" s="354">
        <f t="shared" si="651"/>
        <v>-33.073795618248496</v>
      </c>
      <c r="BZ338" s="354">
        <f t="shared" si="651"/>
        <v>-51.710023665362186</v>
      </c>
      <c r="CA338" s="354">
        <f t="shared" si="651"/>
        <v>55.029606260162154</v>
      </c>
      <c r="CB338" s="355">
        <f t="shared" si="651"/>
        <v>126.41187945633021</v>
      </c>
      <c r="CC338" s="1511">
        <f t="shared" si="651"/>
        <v>126.93618766828958</v>
      </c>
      <c r="CD338" s="354">
        <f>+(CD337-BZ337)*10000</f>
        <v>84.052556699229584</v>
      </c>
      <c r="CE338" s="354">
        <f>+(CE337-CA337)*10000</f>
        <v>27.494502148811758</v>
      </c>
      <c r="CF338" s="355">
        <f t="shared" si="651"/>
        <v>-25.349569066749655</v>
      </c>
      <c r="CG338" s="351"/>
      <c r="CH338" s="383"/>
      <c r="CI338" s="352"/>
      <c r="CJ338" s="352"/>
      <c r="CK338" s="352"/>
      <c r="CL338" s="352"/>
      <c r="CM338" s="352"/>
      <c r="CN338" s="354">
        <f t="shared" ref="CN338:CY338" si="652">+(CN337-CM337)*10000</f>
        <v>-217.16584292445543</v>
      </c>
      <c r="CO338" s="354">
        <f t="shared" si="652"/>
        <v>-181.08802712299226</v>
      </c>
      <c r="CP338" s="354">
        <f t="shared" si="652"/>
        <v>-110.13500890856804</v>
      </c>
      <c r="CQ338" s="354">
        <f t="shared" si="652"/>
        <v>-101.06555838571302</v>
      </c>
      <c r="CR338" s="354">
        <f>+(CR337-CQ337)*10000</f>
        <v>-71.458483495355736</v>
      </c>
      <c r="CS338" s="354">
        <f t="shared" si="652"/>
        <v>-28.252592154503592</v>
      </c>
      <c r="CT338" s="354">
        <f t="shared" si="652"/>
        <v>136.07656889908313</v>
      </c>
      <c r="CU338" s="354">
        <f>+(CU337-CT337)*10000</f>
        <v>82.000014923342761</v>
      </c>
      <c r="CV338" s="354">
        <f t="shared" si="652"/>
        <v>13.573136495440599</v>
      </c>
      <c r="CW338" s="354">
        <f t="shared" si="652"/>
        <v>-31.887433565354097</v>
      </c>
      <c r="CX338" s="354">
        <f t="shared" si="652"/>
        <v>28.341044310843493</v>
      </c>
      <c r="CY338" s="354">
        <f t="shared" si="652"/>
        <v>48.968799057357643</v>
      </c>
      <c r="CZ338" s="354">
        <f t="shared" ref="CZ338:DF338" si="653">+(CZ337-CY337)*10000</f>
        <v>3.2582866539369175</v>
      </c>
      <c r="DA338" s="354">
        <f t="shared" si="653"/>
        <v>-2.4621909440084715</v>
      </c>
      <c r="DB338" s="354">
        <f t="shared" si="653"/>
        <v>-5.451824101312674</v>
      </c>
      <c r="DC338" s="354">
        <f t="shared" si="653"/>
        <v>-3.7661087259390631</v>
      </c>
      <c r="DD338" s="354">
        <f t="shared" si="653"/>
        <v>-2.779640898198585</v>
      </c>
      <c r="DE338" s="354">
        <f t="shared" si="653"/>
        <v>-1.7936608469529269</v>
      </c>
      <c r="DF338" s="355">
        <f t="shared" si="653"/>
        <v>-6.8435375634760822</v>
      </c>
      <c r="DG338" s="1476"/>
      <c r="DH338" s="1476"/>
      <c r="DI338" s="354"/>
    </row>
    <row r="339" spans="1:113" s="612" customFormat="1" ht="11.25" customHeight="1">
      <c r="A339" s="547"/>
      <c r="B339"/>
      <c r="C339"/>
      <c r="D339"/>
      <c r="E339"/>
      <c r="F339"/>
      <c r="G339"/>
      <c r="H339" s="1044"/>
      <c r="I339" s="1333" t="s">
        <v>637</v>
      </c>
      <c r="J339" s="21"/>
      <c r="K339" s="21"/>
      <c r="L339" s="611"/>
      <c r="M339" s="394"/>
      <c r="N339" s="394"/>
      <c r="O339" s="394"/>
      <c r="P339" s="395"/>
      <c r="Q339" s="394"/>
      <c r="R339" s="394"/>
      <c r="S339" s="394"/>
      <c r="T339" s="395"/>
      <c r="U339" s="394"/>
      <c r="V339" s="394"/>
      <c r="W339" s="394"/>
      <c r="X339" s="395"/>
      <c r="Y339" s="394"/>
      <c r="Z339" s="394"/>
      <c r="AA339" s="394"/>
      <c r="AB339" s="395"/>
      <c r="AC339" s="394"/>
      <c r="AD339" s="394"/>
      <c r="AE339" s="394"/>
      <c r="AF339" s="395"/>
      <c r="AG339" s="394"/>
      <c r="AH339" s="394"/>
      <c r="AI339" s="394"/>
      <c r="AJ339" s="395"/>
      <c r="AK339" s="396">
        <f>+AK335-AG335</f>
        <v>1.8959999999999972</v>
      </c>
      <c r="AL339" s="396">
        <f t="shared" ref="AL339:BP339" si="654">+AL335-AH335</f>
        <v>0.41999999999999993</v>
      </c>
      <c r="AM339" s="396">
        <f t="shared" si="654"/>
        <v>1.7480000000000011</v>
      </c>
      <c r="AN339" s="397">
        <f t="shared" si="654"/>
        <v>6.5999999999999837E-2</v>
      </c>
      <c r="AO339" s="396">
        <f t="shared" si="654"/>
        <v>0.69700000000000983</v>
      </c>
      <c r="AP339" s="396">
        <f t="shared" si="654"/>
        <v>0.64700000000000024</v>
      </c>
      <c r="AQ339" s="396">
        <f t="shared" si="654"/>
        <v>-0.12000000000000099</v>
      </c>
      <c r="AR339" s="397">
        <f t="shared" si="654"/>
        <v>0.84400000000000031</v>
      </c>
      <c r="AS339" s="396">
        <f t="shared" si="654"/>
        <v>-1.2650000000000059</v>
      </c>
      <c r="AT339" s="396">
        <f t="shared" si="654"/>
        <v>1.125</v>
      </c>
      <c r="AU339" s="396">
        <f t="shared" si="654"/>
        <v>0.18100000000000094</v>
      </c>
      <c r="AV339" s="397">
        <f t="shared" si="654"/>
        <v>-1.8010000000000002</v>
      </c>
      <c r="AW339" s="396">
        <f t="shared" si="654"/>
        <v>1.0220000000000002</v>
      </c>
      <c r="AX339" s="396">
        <f t="shared" si="654"/>
        <v>-0.93000000000000149</v>
      </c>
      <c r="AY339" s="396">
        <f t="shared" si="654"/>
        <v>-0.70100000000000051</v>
      </c>
      <c r="AZ339" s="397">
        <f t="shared" si="654"/>
        <v>5.200000000000049E-2</v>
      </c>
      <c r="BA339" s="396">
        <f t="shared" si="654"/>
        <v>-0.17399999999999949</v>
      </c>
      <c r="BB339" s="396">
        <f t="shared" si="654"/>
        <v>-0.30799999999999983</v>
      </c>
      <c r="BC339" s="396">
        <f t="shared" si="654"/>
        <v>0.26200000000000045</v>
      </c>
      <c r="BD339" s="397">
        <f t="shared" si="654"/>
        <v>-2.4000000000000021E-2</v>
      </c>
      <c r="BE339" s="396">
        <f t="shared" si="654"/>
        <v>-0.45700000000000074</v>
      </c>
      <c r="BF339" s="396">
        <f t="shared" si="654"/>
        <v>0.10700000000000109</v>
      </c>
      <c r="BG339" s="396">
        <f t="shared" si="654"/>
        <v>0.40600000000000058</v>
      </c>
      <c r="BH339" s="397">
        <f t="shared" si="654"/>
        <v>-3.3000000000000362E-2</v>
      </c>
      <c r="BI339" s="396">
        <f t="shared" si="654"/>
        <v>16.571999999999999</v>
      </c>
      <c r="BJ339" s="396">
        <f t="shared" si="654"/>
        <v>22.208000000000002</v>
      </c>
      <c r="BK339" s="396">
        <f t="shared" si="654"/>
        <v>31.449999999999996</v>
      </c>
      <c r="BL339" s="397">
        <f t="shared" si="654"/>
        <v>21.736000000000001</v>
      </c>
      <c r="BM339" s="396">
        <f>+BM335-BI335</f>
        <v>25.744999999999997</v>
      </c>
      <c r="BN339" s="396">
        <f>+BN335-BJ335</f>
        <v>25.896000000000001</v>
      </c>
      <c r="BO339" s="396">
        <f t="shared" si="654"/>
        <v>31.702000000000005</v>
      </c>
      <c r="BP339" s="397">
        <f t="shared" si="654"/>
        <v>20.507000000000001</v>
      </c>
      <c r="BQ339" s="396">
        <f t="shared" ref="BQ339:CB339" si="655">+BQ335-BM335</f>
        <v>19.780000000000008</v>
      </c>
      <c r="BR339" s="396">
        <f t="shared" si="655"/>
        <v>20.404999999999994</v>
      </c>
      <c r="BS339" s="396">
        <f t="shared" si="655"/>
        <v>-3.7349999999999994</v>
      </c>
      <c r="BT339" s="396">
        <f t="shared" si="655"/>
        <v>5.9450000000000003</v>
      </c>
      <c r="BU339" s="1326">
        <f t="shared" si="655"/>
        <v>-3.409000000000006</v>
      </c>
      <c r="BV339" s="396">
        <f t="shared" si="655"/>
        <v>33.89</v>
      </c>
      <c r="BW339" s="396">
        <f t="shared" si="655"/>
        <v>4.9339999999999975</v>
      </c>
      <c r="BX339" s="397">
        <f t="shared" si="655"/>
        <v>-13.420999999999999</v>
      </c>
      <c r="BY339" s="396">
        <f t="shared" si="655"/>
        <v>3.1670000000000016</v>
      </c>
      <c r="BZ339" s="396">
        <f t="shared" si="655"/>
        <v>8.8659999999999997</v>
      </c>
      <c r="CA339" s="396">
        <f t="shared" si="655"/>
        <v>40.004000000000005</v>
      </c>
      <c r="CB339" s="397">
        <f t="shared" si="655"/>
        <v>43.848999999999997</v>
      </c>
      <c r="CC339" s="1524">
        <v>50</v>
      </c>
      <c r="CD339" s="1382">
        <v>55</v>
      </c>
      <c r="CE339" s="1382">
        <v>30</v>
      </c>
      <c r="CF339" s="1525">
        <v>10</v>
      </c>
      <c r="CG339" s="552"/>
      <c r="CH339" s="585"/>
      <c r="CI339" s="394"/>
      <c r="CJ339" s="394"/>
      <c r="CK339" s="394"/>
      <c r="CL339" s="394"/>
      <c r="CM339" s="394"/>
      <c r="CN339" s="394"/>
      <c r="CO339" s="396">
        <f t="shared" ref="CO339:CY339" si="656">+CO335-CN335</f>
        <v>2.0680000000000121</v>
      </c>
      <c r="CP339" s="396">
        <f t="shared" si="656"/>
        <v>-1.7600000000000051</v>
      </c>
      <c r="CQ339" s="396">
        <f t="shared" si="656"/>
        <v>-0.55700000000000216</v>
      </c>
      <c r="CR339" s="396">
        <f t="shared" si="656"/>
        <v>-0.24399999999999977</v>
      </c>
      <c r="CS339" s="396">
        <f t="shared" si="656"/>
        <v>2.300000000000324E-2</v>
      </c>
      <c r="CT339" s="396">
        <f t="shared" si="656"/>
        <v>91.966000000000008</v>
      </c>
      <c r="CU339" s="396">
        <f t="shared" si="656"/>
        <v>103.85000000000002</v>
      </c>
      <c r="CV339" s="396">
        <f t="shared" si="656"/>
        <v>42.394999999999982</v>
      </c>
      <c r="CW339" s="396">
        <f t="shared" si="656"/>
        <v>21.993999999999971</v>
      </c>
      <c r="CX339" s="396">
        <f t="shared" si="656"/>
        <v>95.886000000000024</v>
      </c>
      <c r="CY339" s="396">
        <f t="shared" si="656"/>
        <v>145.00000000000006</v>
      </c>
      <c r="CZ339" s="1382">
        <v>80</v>
      </c>
      <c r="DA339" s="1382">
        <v>70</v>
      </c>
      <c r="DB339" s="1382">
        <v>60</v>
      </c>
      <c r="DC339" s="1382">
        <v>60</v>
      </c>
      <c r="DD339" s="1382">
        <f>+DC339</f>
        <v>60</v>
      </c>
      <c r="DE339" s="1382">
        <f>+DD339</f>
        <v>60</v>
      </c>
      <c r="DF339" s="1525">
        <v>50</v>
      </c>
      <c r="DG339" s="1477"/>
      <c r="DH339" s="1477"/>
      <c r="DI339" s="396"/>
    </row>
    <row r="340" spans="1:113" s="612" customFormat="1" ht="11.25" customHeight="1">
      <c r="A340" s="547"/>
      <c r="B340"/>
      <c r="C340"/>
      <c r="D340"/>
      <c r="E340"/>
      <c r="F340"/>
      <c r="G340"/>
      <c r="H340" s="1044"/>
      <c r="I340" s="164" t="s">
        <v>519</v>
      </c>
      <c r="J340" s="21"/>
      <c r="K340" s="21"/>
      <c r="L340" s="611"/>
      <c r="M340" s="394"/>
      <c r="N340" s="394"/>
      <c r="O340" s="394"/>
      <c r="P340" s="395"/>
      <c r="Q340" s="394"/>
      <c r="R340" s="394"/>
      <c r="S340" s="394"/>
      <c r="T340" s="395"/>
      <c r="U340" s="394"/>
      <c r="V340" s="394"/>
      <c r="W340" s="394"/>
      <c r="X340" s="395"/>
      <c r="Y340" s="394"/>
      <c r="Z340" s="394"/>
      <c r="AA340" s="394"/>
      <c r="AB340" s="395"/>
      <c r="AC340" s="394"/>
      <c r="AD340" s="394"/>
      <c r="AE340" s="394"/>
      <c r="AF340" s="395"/>
      <c r="AG340" s="394"/>
      <c r="AH340" s="394"/>
      <c r="AI340" s="394"/>
      <c r="AJ340" s="395"/>
      <c r="AK340" s="1278">
        <f>FX!AK57</f>
        <v>8.3213882074507195E-2</v>
      </c>
      <c r="AL340" s="1186">
        <f>FX!AL57</f>
        <v>7.2842550230693123E-2</v>
      </c>
      <c r="AM340" s="1186">
        <f>FX!AM57</f>
        <v>6.5219877535805382E-2</v>
      </c>
      <c r="AN340" s="1187">
        <f>FX!AN57</f>
        <v>0.13027561856479319</v>
      </c>
      <c r="AO340" s="1278">
        <f>FX!AO57</f>
        <v>0.14556289454262397</v>
      </c>
      <c r="AP340" s="1186">
        <f>FX!AP57</f>
        <v>0.14268668573674295</v>
      </c>
      <c r="AQ340" s="1186">
        <f>FX!AQ57</f>
        <v>8.5046663822106003E-2</v>
      </c>
      <c r="AR340" s="1187">
        <f>FX!AR57</f>
        <v>-5.9157470816737681E-2</v>
      </c>
      <c r="AS340" s="1278">
        <f>FX!AS57</f>
        <v>-0.10241134194793704</v>
      </c>
      <c r="AT340" s="1186">
        <f>FX!AT57</f>
        <v>-0.10760533056400479</v>
      </c>
      <c r="AU340" s="1186">
        <f>FX!AU57</f>
        <v>-6.7520668247712162E-2</v>
      </c>
      <c r="AV340" s="1187">
        <f>FX!AV57</f>
        <v>7.2484674391877987E-2</v>
      </c>
      <c r="AW340" s="1278">
        <f>FX!AW57</f>
        <v>5.3447696468529225E-2</v>
      </c>
      <c r="AX340" s="1186">
        <f>FX!AX57</f>
        <v>-5.0362897248835241E-2</v>
      </c>
      <c r="AY340" s="1186">
        <f>FX!AY57</f>
        <v>-7.6837267471436863E-2</v>
      </c>
      <c r="AZ340" s="1187">
        <f>FX!AZ57</f>
        <v>-4.4548648462389893E-2</v>
      </c>
      <c r="BA340" s="1278">
        <f>FX!BA57</f>
        <v>6.8726890420110417E-3</v>
      </c>
      <c r="BB340" s="1186">
        <f>FX!BB57</f>
        <v>0.15242329247989281</v>
      </c>
      <c r="BC340" s="1186">
        <f>FX!BC57</f>
        <v>9.1925676310123675E-2</v>
      </c>
      <c r="BD340" s="1187">
        <f>FX!BD57</f>
        <v>-1.0638302973914854E-2</v>
      </c>
      <c r="BE340" s="1278">
        <f>FX!BE57</f>
        <v>-3.121276374103155E-2</v>
      </c>
      <c r="BF340" s="1186">
        <f>FX!BF57</f>
        <v>-9.0999151311805374E-2</v>
      </c>
      <c r="BG340" s="1186">
        <f>FX!BG57</f>
        <v>-8.9710887496926378E-2</v>
      </c>
      <c r="BH340" s="1187">
        <f>FX!BH57</f>
        <v>-1.8026788620613455E-2</v>
      </c>
      <c r="BI340" s="1278">
        <f>FX!BI57</f>
        <v>-1.8610062416968608E-3</v>
      </c>
      <c r="BJ340" s="1186">
        <f>FX!BJ57</f>
        <v>1.1568525934735942E-3</v>
      </c>
      <c r="BK340" s="1186">
        <f>FX!BK57</f>
        <v>6.8590395389214456E-3</v>
      </c>
      <c r="BL340" s="1187">
        <f>FX!BL57</f>
        <v>-6.718920491309008E-3</v>
      </c>
      <c r="BM340" s="1278">
        <f>FX!BM57</f>
        <v>-1.0861790354907782E-2</v>
      </c>
      <c r="BN340" s="1186">
        <f>FX!BN57</f>
        <v>1.0093537506192272E-2</v>
      </c>
      <c r="BO340" s="1186">
        <f>FX!BO57</f>
        <v>-3.4541129487172186E-3</v>
      </c>
      <c r="BP340" s="1187">
        <f>FX!BP57</f>
        <v>-6.9187885937255583E-2</v>
      </c>
      <c r="BQ340" s="1278">
        <f>FX!BQ57</f>
        <v>-0.13419990358599074</v>
      </c>
      <c r="BR340" s="1186">
        <f>FX!BR57</f>
        <v>-0.15691277407447077</v>
      </c>
      <c r="BS340" s="1186">
        <f>FX!BS57</f>
        <v>-0.1481289306907799</v>
      </c>
      <c r="BT340" s="1187">
        <f>FX!BT57</f>
        <v>-0.11702003321870257</v>
      </c>
      <c r="BU340" s="1278">
        <f>FX!BU57</f>
        <v>-5.1070780399274041E-2</v>
      </c>
      <c r="BV340" s="1186">
        <f>FX!BV57</f>
        <v>-1.6592040122384629E-2</v>
      </c>
      <c r="BW340" s="1186">
        <f>FX!BW57</f>
        <v>-1.1146367651723312E-2</v>
      </c>
      <c r="BX340" s="1187">
        <f>FX!BX57</f>
        <v>-2.3207461135675754E-2</v>
      </c>
      <c r="BY340" s="1186">
        <f>FX!BY57</f>
        <v>-2.9401893107762436E-2</v>
      </c>
      <c r="BZ340" s="1186">
        <f>FX!BZ57</f>
        <v>-2.6971936117361522E-2</v>
      </c>
      <c r="CA340" s="1186">
        <f>FX!CA57</f>
        <v>1.9660360220411274E-2</v>
      </c>
      <c r="CB340" s="1187">
        <f>FX!CB57</f>
        <v>5.2628085235402924E-2</v>
      </c>
      <c r="CC340" s="1278">
        <f>FX!CC57</f>
        <v>6.171233571310078E-2</v>
      </c>
      <c r="CD340" s="1186">
        <f>FX!CD57</f>
        <v>3.4986884159618183E-2</v>
      </c>
      <c r="CE340" s="1186">
        <f>FX!CE57</f>
        <v>-4.557675090678546E-3</v>
      </c>
      <c r="CF340" s="1187">
        <f>FX!CF57</f>
        <v>3.6821902121040105E-2</v>
      </c>
      <c r="CG340" s="552"/>
      <c r="CH340" s="585"/>
      <c r="CI340" s="394"/>
      <c r="CJ340" s="394"/>
      <c r="CK340" s="394"/>
      <c r="CL340" s="394"/>
      <c r="CM340" s="394"/>
      <c r="CN340" s="394"/>
      <c r="CO340" s="1186">
        <f>FX!CO57</f>
        <v>3.2802420937837057E-3</v>
      </c>
      <c r="CP340" s="1186">
        <f>FX!CP57</f>
        <v>-5.8505127907454768E-2</v>
      </c>
      <c r="CQ340" s="1186">
        <f>FX!CQ57</f>
        <v>-2.3317772499692517E-2</v>
      </c>
      <c r="CR340" s="1186">
        <f>FX!CR57</f>
        <v>1.2390599810113089E-3</v>
      </c>
      <c r="CS340" s="1186">
        <f>FX!CS57</f>
        <v>-5.4851299737803866E-2</v>
      </c>
      <c r="CT340" s="1186">
        <f>FX!CT57</f>
        <v>-2.1106341786858104E-4</v>
      </c>
      <c r="CU340" s="1186">
        <f>FX!CU57</f>
        <v>-1.9592559987190242E-2</v>
      </c>
      <c r="CV340" s="1186">
        <f>FX!CV57</f>
        <v>-0.13896771583995177</v>
      </c>
      <c r="CW340" s="1186">
        <f>FX!CW57</f>
        <v>-2.5412829772573559E-2</v>
      </c>
      <c r="CX340" s="1186">
        <f>FX!CX57</f>
        <v>2.380801179736703E-2</v>
      </c>
      <c r="CY340" s="1186">
        <f>FX!CY57</f>
        <v>3.0660110734828074E-2</v>
      </c>
      <c r="CZ340" s="1186">
        <f>FX!CZ57</f>
        <v>1.800640704885353E-4</v>
      </c>
      <c r="DA340" s="1186">
        <f>FX!DA57</f>
        <v>0</v>
      </c>
      <c r="DB340" s="1186">
        <f>FX!DB57</f>
        <v>0</v>
      </c>
      <c r="DC340" s="1186">
        <f>FX!DC57</f>
        <v>0</v>
      </c>
      <c r="DD340" s="1186">
        <f>FX!DD57</f>
        <v>0</v>
      </c>
      <c r="DE340" s="1186">
        <f>FX!DE57</f>
        <v>0</v>
      </c>
      <c r="DF340" s="2139">
        <f>FX!DF57</f>
        <v>0</v>
      </c>
      <c r="DG340" s="1478"/>
      <c r="DH340" s="1478"/>
      <c r="DI340" s="1186"/>
    </row>
    <row r="341" spans="1:113" s="632" customFormat="1" ht="11.25" customHeight="1">
      <c r="A341" s="542"/>
      <c r="B341"/>
      <c r="C341"/>
      <c r="D341"/>
      <c r="E341"/>
      <c r="F341"/>
      <c r="G341"/>
      <c r="H341" s="1052"/>
      <c r="I341" s="728" t="s">
        <v>627</v>
      </c>
      <c r="J341" s="634"/>
      <c r="K341" s="634"/>
      <c r="L341" s="631"/>
      <c r="M341" s="572"/>
      <c r="N341" s="572"/>
      <c r="O341" s="572"/>
      <c r="P341" s="573"/>
      <c r="Q341" s="572"/>
      <c r="R341" s="572"/>
      <c r="S341" s="572"/>
      <c r="T341" s="573"/>
      <c r="U341" s="572"/>
      <c r="V341" s="572"/>
      <c r="W341" s="572"/>
      <c r="X341" s="573"/>
      <c r="Y341" s="572"/>
      <c r="Z341" s="572"/>
      <c r="AA341" s="572"/>
      <c r="AB341" s="573"/>
      <c r="AC341" s="572"/>
      <c r="AD341" s="572"/>
      <c r="AE341" s="572"/>
      <c r="AF341" s="573"/>
      <c r="AG341" s="572"/>
      <c r="AH341" s="572"/>
      <c r="AI341" s="572"/>
      <c r="AJ341" s="573"/>
      <c r="AK341" s="465">
        <f t="shared" ref="AK341:CF341" si="657">+AG335*(1+AK342)</f>
        <v>10.548627380980797</v>
      </c>
      <c r="AL341" s="465">
        <f t="shared" si="657"/>
        <v>8.6355421624058284</v>
      </c>
      <c r="AM341" s="465">
        <f t="shared" si="657"/>
        <v>7.978309516223856</v>
      </c>
      <c r="AN341" s="466">
        <f t="shared" si="657"/>
        <v>6.0401367760784357</v>
      </c>
      <c r="AO341" s="465">
        <f t="shared" si="657"/>
        <v>10.381190153253907</v>
      </c>
      <c r="AP341" s="465">
        <f t="shared" si="657"/>
        <v>8.6037248696772899</v>
      </c>
      <c r="AQ341" s="465">
        <f t="shared" si="657"/>
        <v>7.577502417264621</v>
      </c>
      <c r="AR341" s="466">
        <f t="shared" si="657"/>
        <v>8.1892570601140751</v>
      </c>
      <c r="AS341" s="465">
        <f t="shared" si="657"/>
        <v>11.99811085497563</v>
      </c>
      <c r="AT341" s="465">
        <f t="shared" si="657"/>
        <v>12.121305721839439</v>
      </c>
      <c r="AU341" s="465">
        <f t="shared" si="657"/>
        <v>9.0339489017782757</v>
      </c>
      <c r="AV341" s="466">
        <f t="shared" si="657"/>
        <v>5.4141417179055811</v>
      </c>
      <c r="AW341" s="465">
        <f t="shared" si="657"/>
        <v>11.212582099819814</v>
      </c>
      <c r="AX341" s="465">
        <f t="shared" si="657"/>
        <v>10.679661103291375</v>
      </c>
      <c r="AY341" s="465">
        <f t="shared" si="657"/>
        <v>8.4241190045529546</v>
      </c>
      <c r="AZ341" s="466">
        <f t="shared" si="657"/>
        <v>6.2963118205081665</v>
      </c>
      <c r="BA341" s="465">
        <f t="shared" si="657"/>
        <v>11.532984741572776</v>
      </c>
      <c r="BB341" s="465">
        <f t="shared" si="657"/>
        <v>8.2720190102260442</v>
      </c>
      <c r="BC341" s="465">
        <f t="shared" si="657"/>
        <v>7.3204617180414084</v>
      </c>
      <c r="BD341" s="466">
        <f t="shared" si="657"/>
        <v>6.0701489669327069</v>
      </c>
      <c r="BE341" s="465">
        <f t="shared" si="657"/>
        <v>11.51950503808834</v>
      </c>
      <c r="BF341" s="465">
        <f t="shared" si="657"/>
        <v>10.815156670125369</v>
      </c>
      <c r="BG341" s="465">
        <f t="shared" si="657"/>
        <v>9.1618269810378052</v>
      </c>
      <c r="BH341" s="466">
        <f t="shared" si="657"/>
        <v>6.0812688924554044</v>
      </c>
      <c r="BI341" s="465">
        <f t="shared" si="657"/>
        <v>27.749763246638611</v>
      </c>
      <c r="BJ341" s="465">
        <f t="shared" si="657"/>
        <v>32.118521708567556</v>
      </c>
      <c r="BK341" s="465">
        <f t="shared" si="657"/>
        <v>39.833102847251965</v>
      </c>
      <c r="BL341" s="466">
        <f t="shared" si="657"/>
        <v>27.749132112094593</v>
      </c>
      <c r="BM341" s="465">
        <f t="shared" si="657"/>
        <v>53.775186584751232</v>
      </c>
      <c r="BN341" s="465">
        <f t="shared" si="657"/>
        <v>57.701694639926053</v>
      </c>
      <c r="BO341" s="465">
        <f t="shared" si="657"/>
        <v>71.730788019637274</v>
      </c>
      <c r="BP341" s="466">
        <f t="shared" si="657"/>
        <v>50.133127131435415</v>
      </c>
      <c r="BQ341" s="635">
        <f t="shared" si="657"/>
        <v>80.430205644357258</v>
      </c>
      <c r="BR341" s="465">
        <f>+BN335*(1+BR342)</f>
        <v>87.536020628445243</v>
      </c>
      <c r="BS341" s="465">
        <f>+BO335*(1+BS342)</f>
        <v>78.462994534945011</v>
      </c>
      <c r="BT341" s="466">
        <f t="shared" si="657"/>
        <v>59.803237921672959</v>
      </c>
      <c r="BU341" s="635">
        <f t="shared" si="657"/>
        <v>73.586138947368411</v>
      </c>
      <c r="BV341" s="465">
        <f t="shared" si="657"/>
        <v>113.62233029883876</v>
      </c>
      <c r="BW341" s="465">
        <f t="shared" si="657"/>
        <v>73.548370216110655</v>
      </c>
      <c r="BX341" s="466">
        <f t="shared" si="657"/>
        <v>41.996939302569331</v>
      </c>
      <c r="BY341" s="465">
        <f t="shared" si="657"/>
        <v>75.065575224111669</v>
      </c>
      <c r="BZ341" s="465">
        <f t="shared" si="657"/>
        <v>124.21651483663815</v>
      </c>
      <c r="CA341" s="465">
        <f t="shared" si="657"/>
        <v>111.36488305883583</v>
      </c>
      <c r="CB341" s="466">
        <f t="shared" si="657"/>
        <v>82.444931807509676</v>
      </c>
      <c r="CC341" s="635">
        <f t="shared" si="657"/>
        <v>118.50625894491509</v>
      </c>
      <c r="CD341" s="465">
        <f t="shared" si="657"/>
        <v>171.94704446934836</v>
      </c>
      <c r="CE341" s="465">
        <f t="shared" si="657"/>
        <v>143.3100875195282</v>
      </c>
      <c r="CF341" s="466">
        <f t="shared" si="657"/>
        <v>91.474272121483352</v>
      </c>
      <c r="CG341" s="582"/>
      <c r="CH341" s="574"/>
      <c r="CI341" s="572"/>
      <c r="CJ341" s="572"/>
      <c r="CK341" s="572"/>
      <c r="CL341" s="572"/>
      <c r="CM341" s="572"/>
      <c r="CN341" s="572"/>
      <c r="CO341" s="465">
        <f t="shared" ref="CO341:CX341" si="658">+CN335*(1+CO342)</f>
        <v>37.913032653581269</v>
      </c>
      <c r="CP341" s="465">
        <f t="shared" si="658"/>
        <v>38.496008519448417</v>
      </c>
      <c r="CQ341" s="465">
        <f t="shared" si="658"/>
        <v>36.559758926336343</v>
      </c>
      <c r="CR341" s="465">
        <f t="shared" si="658"/>
        <v>35.425748211838162</v>
      </c>
      <c r="CS341" s="465">
        <f t="shared" si="658"/>
        <v>37.438575601699903</v>
      </c>
      <c r="CT341" s="465">
        <f t="shared" si="658"/>
        <v>127.46649127389041</v>
      </c>
      <c r="CU341" s="465">
        <f t="shared" si="658"/>
        <v>233.80624810340731</v>
      </c>
      <c r="CV341" s="465">
        <f t="shared" si="658"/>
        <v>305.84848338322342</v>
      </c>
      <c r="CW341" s="465">
        <f t="shared" si="658"/>
        <v>302.65359316007243</v>
      </c>
      <c r="CX341" s="465">
        <f t="shared" si="658"/>
        <v>384.54401852754211</v>
      </c>
      <c r="CY341" s="465">
        <f t="shared" ref="CY341:DF341" si="659">+CX335*(1+CY342)</f>
        <v>524.57799119801314</v>
      </c>
      <c r="CZ341" s="465">
        <f t="shared" si="659"/>
        <v>616.48738050080112</v>
      </c>
      <c r="DA341" s="465">
        <f t="shared" si="659"/>
        <v>686.58400000000017</v>
      </c>
      <c r="DB341" s="465">
        <f t="shared" si="659"/>
        <v>746.58400000000006</v>
      </c>
      <c r="DC341" s="465">
        <f t="shared" si="659"/>
        <v>806.58400000000017</v>
      </c>
      <c r="DD341" s="465">
        <f t="shared" si="659"/>
        <v>866.58399999999995</v>
      </c>
      <c r="DE341" s="465">
        <f t="shared" si="659"/>
        <v>926.58400000000006</v>
      </c>
      <c r="DF341" s="2144">
        <f t="shared" si="659"/>
        <v>976.58400000000006</v>
      </c>
      <c r="DG341" s="1474"/>
      <c r="DH341" s="1474"/>
      <c r="DI341" s="465"/>
    </row>
    <row r="342" spans="1:113" s="612" customFormat="1" ht="11.25" customHeight="1">
      <c r="A342" s="547"/>
      <c r="B342"/>
      <c r="C342"/>
      <c r="D342"/>
      <c r="E342"/>
      <c r="F342"/>
      <c r="G342"/>
      <c r="H342" s="1044"/>
      <c r="I342" s="164" t="s">
        <v>493</v>
      </c>
      <c r="J342" s="21"/>
      <c r="K342" s="21"/>
      <c r="L342" s="611"/>
      <c r="M342" s="394"/>
      <c r="N342" s="394"/>
      <c r="O342" s="394"/>
      <c r="P342" s="395"/>
      <c r="Q342" s="394"/>
      <c r="R342" s="394"/>
      <c r="S342" s="394"/>
      <c r="T342" s="395"/>
      <c r="U342" s="394"/>
      <c r="V342" s="394"/>
      <c r="W342" s="394"/>
      <c r="X342" s="395"/>
      <c r="Y342" s="394"/>
      <c r="Z342" s="394"/>
      <c r="AA342" s="394"/>
      <c r="AB342" s="395"/>
      <c r="AC342" s="394"/>
      <c r="AD342" s="394"/>
      <c r="AE342" s="394"/>
      <c r="AF342" s="395"/>
      <c r="AG342" s="394"/>
      <c r="AH342" s="394"/>
      <c r="AI342" s="394"/>
      <c r="AJ342" s="395"/>
      <c r="AK342" s="338">
        <f>+AK336-AK340</f>
        <v>0.11767613699732982</v>
      </c>
      <c r="AL342" s="338">
        <f t="shared" ref="AL342:CF342" si="660">+AL336-AL340</f>
        <v>-2.5443836767201453E-2</v>
      </c>
      <c r="AM342" s="338">
        <f t="shared" si="660"/>
        <v>0.19704568885579266</v>
      </c>
      <c r="AN342" s="339">
        <f t="shared" si="660"/>
        <v>-0.12066723306472038</v>
      </c>
      <c r="AO342" s="338">
        <f t="shared" si="660"/>
        <v>-8.406651197689155E-2</v>
      </c>
      <c r="AP342" s="338">
        <f t="shared" si="660"/>
        <v>-7.297437025349765E-2</v>
      </c>
      <c r="AQ342" s="338">
        <f t="shared" si="660"/>
        <v>-9.9310303427478805E-2</v>
      </c>
      <c r="AR342" s="339">
        <f t="shared" si="660"/>
        <v>0.18085898487585811</v>
      </c>
      <c r="AS342" s="338">
        <f t="shared" si="660"/>
        <v>-2.7337000269615636E-3</v>
      </c>
      <c r="AT342" s="338">
        <f t="shared" si="660"/>
        <v>0.22092120485892819</v>
      </c>
      <c r="AU342" s="338">
        <f t="shared" si="660"/>
        <v>8.9346304326332809E-2</v>
      </c>
      <c r="AV342" s="339">
        <f t="shared" si="660"/>
        <v>-0.3040054354151458</v>
      </c>
      <c r="AW342" s="338">
        <f t="shared" si="660"/>
        <v>4.1480782075033897E-2</v>
      </c>
      <c r="AX342" s="338">
        <f t="shared" si="660"/>
        <v>-3.377715522560621E-2</v>
      </c>
      <c r="AY342" s="338">
        <f t="shared" si="660"/>
        <v>-5.8863577350772439E-3</v>
      </c>
      <c r="AZ342" s="339">
        <f t="shared" si="660"/>
        <v>5.3247209854159726E-2</v>
      </c>
      <c r="BA342" s="338">
        <f t="shared" si="660"/>
        <v>-2.1633462710148037E-2</v>
      </c>
      <c r="BB342" s="338">
        <f t="shared" si="660"/>
        <v>-0.1828490555935943</v>
      </c>
      <c r="BC342" s="338">
        <f t="shared" si="660"/>
        <v>-5.8219256652333809E-2</v>
      </c>
      <c r="BD342" s="339">
        <f t="shared" si="660"/>
        <v>6.6582034714272875E-3</v>
      </c>
      <c r="BE342" s="338">
        <f t="shared" si="660"/>
        <v>-8.1362977364955978E-3</v>
      </c>
      <c r="BF342" s="338">
        <f t="shared" si="660"/>
        <v>0.10190083241216198</v>
      </c>
      <c r="BG342" s="338">
        <f t="shared" si="660"/>
        <v>0.14023982340234034</v>
      </c>
      <c r="BH342" s="339">
        <f t="shared" si="660"/>
        <v>1.2532283126107869E-2</v>
      </c>
      <c r="BI342" s="338">
        <f t="shared" si="660"/>
        <v>1.4872065292317478</v>
      </c>
      <c r="BJ342" s="338">
        <f t="shared" si="660"/>
        <v>2.237101563048534</v>
      </c>
      <c r="BK342" s="338">
        <f t="shared" si="660"/>
        <v>3.7190028251690506</v>
      </c>
      <c r="BL342" s="339">
        <f t="shared" si="660"/>
        <v>3.6457612777657111</v>
      </c>
      <c r="BM342" s="338">
        <f t="shared" si="660"/>
        <v>0.93931214918501338</v>
      </c>
      <c r="BN342" s="338">
        <f t="shared" si="660"/>
        <v>0.79588218611659023</v>
      </c>
      <c r="BO342" s="338">
        <f t="shared" si="660"/>
        <v>0.79816971295874473</v>
      </c>
      <c r="BP342" s="339">
        <f t="shared" si="660"/>
        <v>0.80927233503321727</v>
      </c>
      <c r="BQ342" s="372">
        <f>+BQ336-BQ340</f>
        <v>0.50409929394392183</v>
      </c>
      <c r="BR342" s="338">
        <f>+BR336-BR340</f>
        <v>0.50856548148149516</v>
      </c>
      <c r="BS342" s="338">
        <f>+BS336-BS340</f>
        <v>9.5959025811811344E-2</v>
      </c>
      <c r="BT342" s="339">
        <f t="shared" si="660"/>
        <v>0.24031935294659368</v>
      </c>
      <c r="BU342" s="372">
        <f t="shared" si="660"/>
        <v>4.5340725061896459E-3</v>
      </c>
      <c r="BV342" s="338">
        <f t="shared" si="660"/>
        <v>0.44869159259525898</v>
      </c>
      <c r="BW342" s="338">
        <f t="shared" si="660"/>
        <v>8.3857028148643403E-2</v>
      </c>
      <c r="BX342" s="338">
        <f t="shared" si="660"/>
        <v>-0.22459077006389591</v>
      </c>
      <c r="BY342" s="372">
        <f>+BY336-BY340</f>
        <v>7.4745153183644733E-2</v>
      </c>
      <c r="BZ342" s="338">
        <f t="shared" si="660"/>
        <v>0.10590641853828013</v>
      </c>
      <c r="CA342" s="338">
        <f t="shared" si="660"/>
        <v>0.52990552614072728</v>
      </c>
      <c r="CB342" s="338">
        <f t="shared" ref="CB342" si="661">+CB336-CB340</f>
        <v>1.0236851204592459</v>
      </c>
      <c r="CC342" s="372">
        <f t="shared" si="660"/>
        <v>0.62310659816078295</v>
      </c>
      <c r="CD342" s="338">
        <f t="shared" si="660"/>
        <v>0.41885717502164715</v>
      </c>
      <c r="CE342" s="338">
        <f t="shared" si="660"/>
        <v>0.27052455334877273</v>
      </c>
      <c r="CF342" s="339">
        <f t="shared" si="660"/>
        <v>8.1396778794918329E-2</v>
      </c>
      <c r="CG342" s="552"/>
      <c r="CH342" s="585"/>
      <c r="CI342" s="394"/>
      <c r="CJ342" s="394"/>
      <c r="CK342" s="394"/>
      <c r="CL342" s="394"/>
      <c r="CM342" s="394"/>
      <c r="CN342" s="394"/>
      <c r="CO342" s="338">
        <f t="shared" ref="CO342:CX342" si="662">+CO336-CO340</f>
        <v>5.422330321667472E-2</v>
      </c>
      <c r="CP342" s="338">
        <f t="shared" si="662"/>
        <v>1.2227091568678405E-2</v>
      </c>
      <c r="CQ342" s="338">
        <f t="shared" si="662"/>
        <v>7.961151507715418E-3</v>
      </c>
      <c r="CR342" s="338">
        <f t="shared" si="662"/>
        <v>-8.0711146374485235E-3</v>
      </c>
      <c r="CS342" s="338">
        <f t="shared" si="662"/>
        <v>5.549973503523839E-2</v>
      </c>
      <c r="CT342" s="338">
        <f t="shared" si="662"/>
        <v>2.5913135343276252</v>
      </c>
      <c r="CU342" s="338">
        <f t="shared" si="662"/>
        <v>0.83436436896105648</v>
      </c>
      <c r="CV342" s="338">
        <f t="shared" si="662"/>
        <v>0.32225068364492254</v>
      </c>
      <c r="CW342" s="338">
        <f t="shared" si="662"/>
        <v>0.10576971165957552</v>
      </c>
      <c r="CX342" s="338">
        <f t="shared" si="662"/>
        <v>0.30046202046527937</v>
      </c>
      <c r="CY342" s="338">
        <f t="shared" ref="CY342:DF342" si="663">+CY336-CY340</f>
        <v>0.33963081024253589</v>
      </c>
      <c r="CZ342" s="338">
        <f t="shared" si="663"/>
        <v>0.14891122452551886</v>
      </c>
      <c r="DA342" s="338">
        <f t="shared" si="663"/>
        <v>0.11352873250035689</v>
      </c>
      <c r="DB342" s="338">
        <f t="shared" si="663"/>
        <v>8.7389161413607086E-2</v>
      </c>
      <c r="DC342" s="338">
        <f t="shared" si="663"/>
        <v>8.036604052591545E-2</v>
      </c>
      <c r="DD342" s="338">
        <f t="shared" si="663"/>
        <v>7.4387788500639651E-2</v>
      </c>
      <c r="DE342" s="338">
        <f t="shared" si="663"/>
        <v>6.9237373411002334E-2</v>
      </c>
      <c r="DF342" s="2145">
        <f t="shared" si="663"/>
        <v>5.3961648377265359E-2</v>
      </c>
      <c r="DG342" s="1475"/>
      <c r="DH342" s="1475"/>
      <c r="DI342" s="338"/>
    </row>
    <row r="343" spans="1:113" s="612" customFormat="1" ht="11.25" customHeight="1">
      <c r="A343" s="547"/>
      <c r="B343"/>
      <c r="C343"/>
      <c r="D343"/>
      <c r="E343"/>
      <c r="F343"/>
      <c r="G343"/>
      <c r="H343" s="1044"/>
      <c r="I343" s="185" t="s">
        <v>535</v>
      </c>
      <c r="J343" s="21"/>
      <c r="K343" s="21"/>
      <c r="L343" s="611"/>
      <c r="M343" s="394"/>
      <c r="N343" s="394"/>
      <c r="O343" s="394"/>
      <c r="P343" s="395"/>
      <c r="Q343" s="394"/>
      <c r="R343" s="394"/>
      <c r="S343" s="394"/>
      <c r="T343" s="395"/>
      <c r="U343" s="394"/>
      <c r="V343" s="394"/>
      <c r="W343" s="394"/>
      <c r="X343" s="395"/>
      <c r="Y343" s="394"/>
      <c r="Z343" s="394"/>
      <c r="AA343" s="394"/>
      <c r="AB343" s="395"/>
      <c r="AC343" s="394"/>
      <c r="AD343" s="394"/>
      <c r="AE343" s="394"/>
      <c r="AF343" s="395"/>
      <c r="AG343" s="394"/>
      <c r="AH343" s="394"/>
      <c r="AI343" s="394"/>
      <c r="AJ343" s="395"/>
      <c r="AK343" s="396">
        <f>+AG335*AK342</f>
        <v>1.1106273809807987</v>
      </c>
      <c r="AL343" s="396">
        <f t="shared" ref="AL343:CF343" si="664">+AH335*AL342</f>
        <v>-0.22545783759417209</v>
      </c>
      <c r="AM343" s="396">
        <f t="shared" si="664"/>
        <v>1.3133095162238579</v>
      </c>
      <c r="AN343" s="397">
        <f t="shared" si="664"/>
        <v>-0.82886322392156431</v>
      </c>
      <c r="AO343" s="396">
        <f t="shared" si="664"/>
        <v>-0.95280984674608848</v>
      </c>
      <c r="AP343" s="396">
        <f t="shared" si="664"/>
        <v>-0.67727513032271169</v>
      </c>
      <c r="AQ343" s="396">
        <f t="shared" si="664"/>
        <v>-0.83549758273537922</v>
      </c>
      <c r="AR343" s="397">
        <f t="shared" si="664"/>
        <v>1.2542570601140759</v>
      </c>
      <c r="AS343" s="396">
        <f t="shared" si="664"/>
        <v>-3.2889145024374587E-2</v>
      </c>
      <c r="AT343" s="396">
        <f t="shared" si="664"/>
        <v>2.1933057218394394</v>
      </c>
      <c r="AU343" s="396">
        <f t="shared" si="664"/>
        <v>0.74094890177827788</v>
      </c>
      <c r="AV343" s="397">
        <f t="shared" si="664"/>
        <v>-2.3648582820944193</v>
      </c>
      <c r="AW343" s="396">
        <f t="shared" si="664"/>
        <v>0.44658209981981495</v>
      </c>
      <c r="AX343" s="396">
        <f t="shared" si="664"/>
        <v>-0.37333889670862547</v>
      </c>
      <c r="AY343" s="396">
        <f t="shared" si="664"/>
        <v>-4.9880995447044565E-2</v>
      </c>
      <c r="AZ343" s="397">
        <f t="shared" si="664"/>
        <v>0.31831182050816681</v>
      </c>
      <c r="BA343" s="396">
        <f t="shared" si="664"/>
        <v>-0.25501525842722506</v>
      </c>
      <c r="BB343" s="396">
        <f t="shared" si="664"/>
        <v>-1.8509809897739549</v>
      </c>
      <c r="BC343" s="396">
        <f t="shared" si="664"/>
        <v>-0.45253828195859069</v>
      </c>
      <c r="BD343" s="397">
        <f t="shared" si="664"/>
        <v>4.0148966932706545E-2</v>
      </c>
      <c r="BE343" s="396">
        <f t="shared" si="664"/>
        <v>-9.4494961911659875E-2</v>
      </c>
      <c r="BF343" s="396">
        <f t="shared" si="664"/>
        <v>1.0001566701253699</v>
      </c>
      <c r="BG343" s="396">
        <f t="shared" si="664"/>
        <v>1.1268269810378047</v>
      </c>
      <c r="BH343" s="397">
        <f t="shared" si="664"/>
        <v>7.5268892455403857E-2</v>
      </c>
      <c r="BI343" s="396">
        <f t="shared" si="664"/>
        <v>16.592763246638611</v>
      </c>
      <c r="BJ343" s="396">
        <f t="shared" si="664"/>
        <v>22.196521708567555</v>
      </c>
      <c r="BK343" s="396">
        <f t="shared" si="664"/>
        <v>31.392102847251959</v>
      </c>
      <c r="BL343" s="397">
        <f t="shared" si="664"/>
        <v>21.776132112094594</v>
      </c>
      <c r="BM343" s="396">
        <f t="shared" si="664"/>
        <v>26.046186584751236</v>
      </c>
      <c r="BN343" s="396">
        <f>+BJ335*BN342</f>
        <v>25.571694639926047</v>
      </c>
      <c r="BO343" s="396">
        <f t="shared" si="664"/>
        <v>31.839788019637286</v>
      </c>
      <c r="BP343" s="397">
        <f t="shared" si="664"/>
        <v>22.424127131435416</v>
      </c>
      <c r="BQ343" s="1326">
        <f>+BM335*BQ342</f>
        <v>26.956205644357276</v>
      </c>
      <c r="BR343" s="396">
        <f>+BN335*BR342</f>
        <v>29.51002062844524</v>
      </c>
      <c r="BS343" s="396">
        <f>+BO335*BS342</f>
        <v>6.8699945349450102</v>
      </c>
      <c r="BT343" s="396">
        <f t="shared" si="664"/>
        <v>11.58723792167296</v>
      </c>
      <c r="BU343" s="1326">
        <f t="shared" si="664"/>
        <v>0.33213894736841632</v>
      </c>
      <c r="BV343" s="396">
        <f t="shared" si="664"/>
        <v>35.191330298838757</v>
      </c>
      <c r="BW343" s="396">
        <f t="shared" si="664"/>
        <v>5.6903702161106446</v>
      </c>
      <c r="BX343" s="396">
        <f t="shared" si="664"/>
        <v>-12.164060697430667</v>
      </c>
      <c r="BY343" s="1326">
        <f t="shared" si="664"/>
        <v>5.2205752241116663</v>
      </c>
      <c r="BZ343" s="396">
        <f t="shared" si="664"/>
        <v>11.895514836638162</v>
      </c>
      <c r="CA343" s="396">
        <f t="shared" si="664"/>
        <v>38.572883058835821</v>
      </c>
      <c r="CB343" s="396">
        <f t="shared" si="664"/>
        <v>41.704931807509681</v>
      </c>
      <c r="CC343" s="1326">
        <f t="shared" si="664"/>
        <v>45.494258944915089</v>
      </c>
      <c r="CD343" s="396">
        <f t="shared" si="664"/>
        <v>50.760044469348351</v>
      </c>
      <c r="CE343" s="396">
        <f t="shared" si="664"/>
        <v>30.514087519528172</v>
      </c>
      <c r="CF343" s="397">
        <f t="shared" si="664"/>
        <v>6.8852721214833466</v>
      </c>
      <c r="CG343" s="552"/>
      <c r="CH343" s="585"/>
      <c r="CI343" s="394"/>
      <c r="CJ343" s="394"/>
      <c r="CK343" s="394"/>
      <c r="CL343" s="394"/>
      <c r="CM343" s="394"/>
      <c r="CN343" s="394"/>
      <c r="CO343" s="396">
        <f t="shared" ref="CO343:CX343" si="665">+CN335*CO342</f>
        <v>1.9500326535812726</v>
      </c>
      <c r="CP343" s="396">
        <f t="shared" si="665"/>
        <v>0.46500851944840849</v>
      </c>
      <c r="CQ343" s="396">
        <f t="shared" si="665"/>
        <v>0.28875892633634592</v>
      </c>
      <c r="CR343" s="396">
        <f t="shared" si="665"/>
        <v>-0.28825178816183655</v>
      </c>
      <c r="CS343" s="396">
        <f t="shared" si="665"/>
        <v>1.9685756016999056</v>
      </c>
      <c r="CT343" s="396">
        <f t="shared" si="665"/>
        <v>91.973491273890403</v>
      </c>
      <c r="CU343" s="396">
        <f>+CT335*CU342</f>
        <v>106.3472481034073</v>
      </c>
      <c r="CV343" s="396">
        <f>+CU335*CV342</f>
        <v>74.539483383223399</v>
      </c>
      <c r="CW343" s="396">
        <f t="shared" si="665"/>
        <v>28.94959316007246</v>
      </c>
      <c r="CX343" s="396">
        <f t="shared" si="665"/>
        <v>88.846018527542171</v>
      </c>
      <c r="CY343" s="396">
        <f t="shared" ref="CY343:DF343" si="666">+CX335*CY342</f>
        <v>132.99399119801316</v>
      </c>
      <c r="CZ343" s="396">
        <f t="shared" si="666"/>
        <v>79.903380500801021</v>
      </c>
      <c r="DA343" s="396">
        <f t="shared" si="666"/>
        <v>70.000000000000057</v>
      </c>
      <c r="DB343" s="396">
        <f t="shared" si="666"/>
        <v>60.000000000000014</v>
      </c>
      <c r="DC343" s="396">
        <f t="shared" si="666"/>
        <v>60.000000000000064</v>
      </c>
      <c r="DD343" s="396">
        <f t="shared" si="666"/>
        <v>59.999999999999936</v>
      </c>
      <c r="DE343" s="396">
        <f t="shared" si="666"/>
        <v>60.00000000000005</v>
      </c>
      <c r="DF343" s="2146">
        <f t="shared" si="666"/>
        <v>50.00000000000005</v>
      </c>
      <c r="DG343" s="1477"/>
      <c r="DH343" s="1477"/>
      <c r="DI343" s="396"/>
    </row>
    <row r="344" spans="1:113" s="612" customFormat="1" ht="11.25" customHeight="1">
      <c r="A344" s="547"/>
      <c r="B344"/>
      <c r="C344"/>
      <c r="D344"/>
      <c r="E344"/>
      <c r="F344"/>
      <c r="G344"/>
      <c r="H344" s="1044"/>
      <c r="I344" s="185"/>
      <c r="J344" s="21"/>
      <c r="K344" s="21"/>
      <c r="L344" s="611"/>
      <c r="M344" s="394"/>
      <c r="N344" s="394"/>
      <c r="O344" s="394"/>
      <c r="P344" s="395"/>
      <c r="Q344" s="394"/>
      <c r="R344" s="394"/>
      <c r="S344" s="394"/>
      <c r="T344" s="395"/>
      <c r="U344" s="394"/>
      <c r="V344" s="394"/>
      <c r="W344" s="394"/>
      <c r="X344" s="395"/>
      <c r="Y344" s="394"/>
      <c r="Z344" s="394"/>
      <c r="AA344" s="394"/>
      <c r="AB344" s="395"/>
      <c r="AC344" s="394"/>
      <c r="AD344" s="394"/>
      <c r="AE344" s="394"/>
      <c r="AF344" s="395"/>
      <c r="AG344" s="394"/>
      <c r="AH344" s="394"/>
      <c r="AI344" s="394"/>
      <c r="AJ344" s="395"/>
      <c r="AK344" s="396"/>
      <c r="AL344" s="396"/>
      <c r="AM344" s="396"/>
      <c r="AN344" s="397"/>
      <c r="AO344" s="396"/>
      <c r="AP344" s="396"/>
      <c r="AQ344" s="396"/>
      <c r="AR344" s="397"/>
      <c r="AS344" s="396"/>
      <c r="AT344" s="396"/>
      <c r="AU344" s="396"/>
      <c r="AV344" s="397"/>
      <c r="AW344" s="396"/>
      <c r="AX344" s="396"/>
      <c r="AY344" s="396"/>
      <c r="AZ344" s="397"/>
      <c r="BA344" s="396"/>
      <c r="BB344" s="396"/>
      <c r="BC344" s="396"/>
      <c r="BD344" s="397"/>
      <c r="BE344" s="396"/>
      <c r="BF344" s="396"/>
      <c r="BG344" s="396"/>
      <c r="BH344" s="397"/>
      <c r="BI344" s="396"/>
      <c r="BJ344" s="396"/>
      <c r="BK344" s="396"/>
      <c r="BL344" s="397"/>
      <c r="BM344" s="396"/>
      <c r="BN344" s="396"/>
      <c r="BO344" s="396"/>
      <c r="BP344" s="397"/>
      <c r="BQ344" s="396"/>
      <c r="BR344" s="396"/>
      <c r="BS344" s="396"/>
      <c r="BT344" s="1855"/>
      <c r="BU344" s="1326"/>
      <c r="BV344" s="1855"/>
      <c r="BW344" s="2071"/>
      <c r="BX344" s="1855"/>
      <c r="BY344" s="1726"/>
      <c r="BZ344" s="1855"/>
      <c r="CA344" s="396"/>
      <c r="CB344" s="397"/>
      <c r="CC344" s="1326"/>
      <c r="CD344" s="396"/>
      <c r="CE344" s="396"/>
      <c r="CF344" s="397"/>
      <c r="CG344" s="552"/>
      <c r="CH344" s="585"/>
      <c r="CI344" s="394"/>
      <c r="CJ344" s="394"/>
      <c r="CK344" s="394"/>
      <c r="CL344" s="394"/>
      <c r="CM344" s="394"/>
      <c r="CN344" s="394"/>
      <c r="CO344" s="396"/>
      <c r="CP344" s="396"/>
      <c r="CQ344" s="396"/>
      <c r="CR344" s="396"/>
      <c r="CS344" s="396"/>
      <c r="CT344" s="396"/>
      <c r="CU344" s="396"/>
      <c r="CV344" s="396"/>
      <c r="CW344" s="396"/>
      <c r="CX344" s="396"/>
      <c r="CY344" s="396"/>
      <c r="CZ344" s="396"/>
      <c r="DA344" s="396"/>
      <c r="DB344" s="396"/>
      <c r="DC344" s="396"/>
      <c r="DD344" s="396"/>
      <c r="DE344" s="396"/>
      <c r="DF344" s="2146"/>
      <c r="DG344" s="1477"/>
      <c r="DH344" s="1477"/>
      <c r="DI344" s="396"/>
    </row>
    <row r="345" spans="1:113" s="78" customFormat="1" ht="11.25" customHeight="1">
      <c r="A345" s="24"/>
      <c r="B345"/>
      <c r="C345"/>
      <c r="D345"/>
      <c r="E345"/>
      <c r="F345"/>
      <c r="G345"/>
      <c r="H345" s="1044"/>
      <c r="I345" s="194"/>
      <c r="J345" s="74"/>
      <c r="K345" s="74"/>
      <c r="L345" s="75"/>
      <c r="M345" s="360"/>
      <c r="N345" s="360"/>
      <c r="O345" s="360"/>
      <c r="P345" s="369"/>
      <c r="Q345" s="360"/>
      <c r="R345" s="360"/>
      <c r="S345" s="360"/>
      <c r="T345" s="369"/>
      <c r="U345" s="360"/>
      <c r="V345" s="360"/>
      <c r="W345" s="360"/>
      <c r="X345" s="369"/>
      <c r="Y345" s="360"/>
      <c r="Z345" s="360"/>
      <c r="AA345" s="360"/>
      <c r="AB345" s="369"/>
      <c r="AC345" s="360"/>
      <c r="AD345" s="360"/>
      <c r="AE345" s="360"/>
      <c r="AF345" s="369"/>
      <c r="AG345" s="360"/>
      <c r="AH345" s="360"/>
      <c r="AI345" s="328"/>
      <c r="AJ345" s="369"/>
      <c r="AK345" s="360"/>
      <c r="AL345" s="360"/>
      <c r="AM345" s="328"/>
      <c r="AN345" s="369"/>
      <c r="AO345" s="360"/>
      <c r="AP345" s="360"/>
      <c r="AQ345" s="328"/>
      <c r="AR345" s="369"/>
      <c r="AS345" s="360"/>
      <c r="AT345" s="360"/>
      <c r="AU345" s="328"/>
      <c r="AV345" s="369"/>
      <c r="AW345" s="360"/>
      <c r="AX345" s="360"/>
      <c r="AY345" s="328"/>
      <c r="AZ345" s="369"/>
      <c r="BA345" s="360"/>
      <c r="BB345" s="360"/>
      <c r="BC345" s="360"/>
      <c r="BD345" s="369"/>
      <c r="BE345" s="360"/>
      <c r="BF345" s="360"/>
      <c r="BG345" s="360"/>
      <c r="BH345" s="369"/>
      <c r="BI345" s="360"/>
      <c r="BJ345" s="360"/>
      <c r="BK345" s="360"/>
      <c r="BL345" s="327"/>
      <c r="BM345" s="360"/>
      <c r="BN345" s="360"/>
      <c r="BO345" s="360"/>
      <c r="BP345" s="327"/>
      <c r="BQ345" s="360"/>
      <c r="BR345" s="360"/>
      <c r="BS345" s="360"/>
      <c r="BT345" s="465"/>
      <c r="BU345" s="371"/>
      <c r="BV345" s="465"/>
      <c r="BW345" s="360"/>
      <c r="BX345" s="465"/>
      <c r="BY345" s="371"/>
      <c r="BZ345" s="465"/>
      <c r="CA345" s="360"/>
      <c r="CB345" s="369"/>
      <c r="CC345" s="378"/>
      <c r="CD345" s="393"/>
      <c r="CE345" s="360"/>
      <c r="CF345" s="327"/>
      <c r="CG345" s="370"/>
      <c r="CH345" s="371"/>
      <c r="CI345" s="360"/>
      <c r="CJ345" s="360"/>
      <c r="CK345" s="360"/>
      <c r="CL345" s="360"/>
      <c r="CM345" s="360"/>
      <c r="CN345" s="326"/>
      <c r="CO345" s="326"/>
      <c r="CP345" s="326"/>
      <c r="CQ345" s="326"/>
      <c r="CR345" s="360"/>
      <c r="CS345" s="326"/>
      <c r="CT345" s="326"/>
      <c r="CU345" s="326"/>
      <c r="CV345" s="326"/>
      <c r="CW345" s="326"/>
      <c r="CX345" s="326"/>
      <c r="CY345" s="326"/>
      <c r="CZ345" s="360"/>
      <c r="DA345" s="360"/>
      <c r="DB345" s="360"/>
      <c r="DC345" s="360"/>
      <c r="DD345" s="360"/>
      <c r="DE345" s="360"/>
      <c r="DF345" s="2170"/>
      <c r="DG345" s="1479"/>
      <c r="DH345" s="1479"/>
      <c r="DI345" s="326"/>
    </row>
    <row r="346" spans="1:113" s="632" customFormat="1" ht="11.25" customHeight="1">
      <c r="A346" s="542"/>
      <c r="B346"/>
      <c r="C346"/>
      <c r="D346"/>
      <c r="E346"/>
      <c r="F346"/>
      <c r="G346"/>
      <c r="H346" s="1052"/>
      <c r="I346" s="633" t="s">
        <v>712</v>
      </c>
      <c r="J346" s="634"/>
      <c r="K346" s="634"/>
      <c r="L346" s="631"/>
      <c r="M346" s="465"/>
      <c r="N346" s="465"/>
      <c r="O346" s="465"/>
      <c r="P346" s="466"/>
      <c r="Q346" s="465"/>
      <c r="R346" s="465"/>
      <c r="S346" s="465"/>
      <c r="T346" s="466"/>
      <c r="U346" s="465">
        <f t="shared" ref="U346:BP346" si="667">+U62</f>
        <v>4.1120000000000001</v>
      </c>
      <c r="V346" s="465">
        <f t="shared" si="667"/>
        <v>4.2729999999999997</v>
      </c>
      <c r="W346" s="465">
        <f t="shared" si="667"/>
        <v>4.76</v>
      </c>
      <c r="X346" s="466">
        <f t="shared" si="667"/>
        <v>4.0640000000000001</v>
      </c>
      <c r="Y346" s="465">
        <f t="shared" si="667"/>
        <v>4.7409999999999997</v>
      </c>
      <c r="Z346" s="465">
        <f t="shared" si="667"/>
        <v>6.7489999999999997</v>
      </c>
      <c r="AA346" s="465">
        <f t="shared" si="667"/>
        <v>7.1779999999999999</v>
      </c>
      <c r="AB346" s="466">
        <f t="shared" si="667"/>
        <v>8.5180000000000007</v>
      </c>
      <c r="AC346" s="465">
        <f t="shared" si="667"/>
        <v>9.9320000000000004</v>
      </c>
      <c r="AD346" s="465">
        <f t="shared" si="667"/>
        <v>12.205</v>
      </c>
      <c r="AE346" s="465">
        <f t="shared" si="667"/>
        <v>19.864999999999998</v>
      </c>
      <c r="AF346" s="466">
        <f t="shared" si="667"/>
        <v>16.533000000000001</v>
      </c>
      <c r="AG346" s="465">
        <f t="shared" si="667"/>
        <v>21.861000000000001</v>
      </c>
      <c r="AH346" s="465">
        <f t="shared" si="667"/>
        <v>30.492999999999999</v>
      </c>
      <c r="AI346" s="465">
        <f t="shared" si="667"/>
        <v>34.56</v>
      </c>
      <c r="AJ346" s="466">
        <f t="shared" si="667"/>
        <v>26.908000000000001</v>
      </c>
      <c r="AK346" s="465">
        <f t="shared" si="667"/>
        <v>31.927</v>
      </c>
      <c r="AL346" s="465">
        <f t="shared" si="667"/>
        <v>43.47</v>
      </c>
      <c r="AM346" s="465">
        <f t="shared" si="667"/>
        <v>53.844000000000001</v>
      </c>
      <c r="AN346" s="466">
        <f t="shared" si="667"/>
        <v>43.433999999999997</v>
      </c>
      <c r="AO346" s="465">
        <f t="shared" si="667"/>
        <v>57.8</v>
      </c>
      <c r="AP346" s="465">
        <f t="shared" si="667"/>
        <v>72.86</v>
      </c>
      <c r="AQ346" s="465">
        <f t="shared" si="667"/>
        <v>84.290999999999997</v>
      </c>
      <c r="AR346" s="466">
        <f t="shared" si="667"/>
        <v>55.761000000000003</v>
      </c>
      <c r="AS346" s="465">
        <f t="shared" si="667"/>
        <v>68.117000000000004</v>
      </c>
      <c r="AT346" s="465">
        <f t="shared" si="667"/>
        <v>90.106999999999999</v>
      </c>
      <c r="AU346" s="465">
        <f t="shared" si="667"/>
        <v>115.10299999999999</v>
      </c>
      <c r="AV346" s="466">
        <f t="shared" si="667"/>
        <v>92.054000000000002</v>
      </c>
      <c r="AW346" s="465">
        <f t="shared" si="667"/>
        <v>113.10899999999999</v>
      </c>
      <c r="AX346" s="465">
        <f t="shared" si="667"/>
        <v>132.518</v>
      </c>
      <c r="AY346" s="465">
        <f t="shared" si="667"/>
        <v>172.727</v>
      </c>
      <c r="AZ346" s="466">
        <f t="shared" si="667"/>
        <v>133.786</v>
      </c>
      <c r="BA346" s="465">
        <f t="shared" si="667"/>
        <v>185.108</v>
      </c>
      <c r="BB346" s="465">
        <f t="shared" si="667"/>
        <v>236.28200000000001</v>
      </c>
      <c r="BC346" s="465">
        <f t="shared" si="667"/>
        <v>279.92599999999999</v>
      </c>
      <c r="BD346" s="466">
        <f t="shared" si="667"/>
        <v>217.89699999999999</v>
      </c>
      <c r="BE346" s="465">
        <f t="shared" si="667"/>
        <v>277.13600000000002</v>
      </c>
      <c r="BF346" s="465">
        <f t="shared" si="667"/>
        <v>314.48</v>
      </c>
      <c r="BG346" s="465">
        <f t="shared" si="667"/>
        <v>375.20400000000001</v>
      </c>
      <c r="BH346" s="466">
        <f t="shared" si="667"/>
        <v>306.81700000000001</v>
      </c>
      <c r="BI346" s="465">
        <f t="shared" si="667"/>
        <v>403.15300000000002</v>
      </c>
      <c r="BJ346" s="465">
        <f t="shared" si="667"/>
        <v>463.13499999999999</v>
      </c>
      <c r="BK346" s="465">
        <f t="shared" si="667"/>
        <v>533.16399999999999</v>
      </c>
      <c r="BL346" s="466">
        <f t="shared" si="667"/>
        <v>399.19299999999998</v>
      </c>
      <c r="BM346" s="465">
        <f t="shared" si="667"/>
        <v>520.84799999999996</v>
      </c>
      <c r="BN346" s="465">
        <f t="shared" si="667"/>
        <v>639.65499999999997</v>
      </c>
      <c r="BO346" s="465">
        <f t="shared" si="667"/>
        <v>699.81399999999996</v>
      </c>
      <c r="BP346" s="466">
        <f t="shared" si="667"/>
        <v>499.904</v>
      </c>
      <c r="BQ346" s="572">
        <v>633.54399999999998</v>
      </c>
      <c r="BR346" s="572">
        <v>758.69</v>
      </c>
      <c r="BS346" s="572">
        <v>784.72900000000004</v>
      </c>
      <c r="BT346" s="572">
        <v>561.255</v>
      </c>
      <c r="BU346" s="635">
        <f t="shared" ref="BU346:CA346" si="668">+BU62</f>
        <v>779.90899999999999</v>
      </c>
      <c r="BV346" s="465">
        <f t="shared" si="668"/>
        <v>920.76300000000003</v>
      </c>
      <c r="BW346" s="465">
        <f t="shared" si="668"/>
        <v>1040.1489999999999</v>
      </c>
      <c r="BX346" s="465">
        <f t="shared" si="668"/>
        <v>738.46600000000001</v>
      </c>
      <c r="BY346" s="635">
        <f t="shared" si="668"/>
        <v>980.77300000000002</v>
      </c>
      <c r="BZ346" s="465">
        <f t="shared" si="668"/>
        <v>1147.5889999999999</v>
      </c>
      <c r="CA346" s="465">
        <f t="shared" si="668"/>
        <v>1224.345</v>
      </c>
      <c r="CB346" s="465">
        <f t="shared" ref="CB346" si="669">+CB62</f>
        <v>789.06399999999996</v>
      </c>
      <c r="CC346" s="635">
        <f>+CC347*(CC39)</f>
        <v>1091.4908296427843</v>
      </c>
      <c r="CD346" s="465">
        <f>+CD347*(CD39)</f>
        <v>1313.6424108728399</v>
      </c>
      <c r="CE346" s="465">
        <f>+CE347*(CE39)</f>
        <v>1350.5848311780512</v>
      </c>
      <c r="CF346" s="466">
        <f>+CF347*(CF39)</f>
        <v>952.08603475695327</v>
      </c>
      <c r="CG346" s="582"/>
      <c r="CH346" s="635">
        <f t="shared" ref="CH346:CS346" si="670">+CH62</f>
        <v>0</v>
      </c>
      <c r="CI346" s="465">
        <f t="shared" si="670"/>
        <v>0</v>
      </c>
      <c r="CJ346" s="465">
        <f t="shared" si="670"/>
        <v>17.209</v>
      </c>
      <c r="CK346" s="465">
        <f t="shared" si="670"/>
        <v>27.48</v>
      </c>
      <c r="CL346" s="465">
        <f t="shared" si="670"/>
        <v>58.534999999999997</v>
      </c>
      <c r="CM346" s="465">
        <f t="shared" si="670"/>
        <v>113.822</v>
      </c>
      <c r="CN346" s="465">
        <f t="shared" si="670"/>
        <v>172.67499999999998</v>
      </c>
      <c r="CO346" s="465">
        <f t="shared" si="670"/>
        <v>270.71199999999999</v>
      </c>
      <c r="CP346" s="465">
        <f t="shared" si="670"/>
        <v>365.38099999999997</v>
      </c>
      <c r="CQ346" s="465">
        <f t="shared" si="670"/>
        <v>552.1400000000001</v>
      </c>
      <c r="CR346" s="465">
        <f t="shared" si="670"/>
        <v>919.21299999999997</v>
      </c>
      <c r="CS346" s="465">
        <f t="shared" si="670"/>
        <v>1273.6369999999999</v>
      </c>
      <c r="CT346" s="465">
        <f>+SUM(BI346:BL346)</f>
        <v>1798.645</v>
      </c>
      <c r="CU346" s="465">
        <f>SUM(BM346:BP346)</f>
        <v>2360.221</v>
      </c>
      <c r="CV346" s="465">
        <f>SUM(BQ346:BT346)</f>
        <v>2738.2179999999998</v>
      </c>
      <c r="CW346" s="465">
        <f>SUM(BU346:BX346)</f>
        <v>3479.2869999999998</v>
      </c>
      <c r="CX346" s="465">
        <f>SUM(BY346:CB346)</f>
        <v>4141.7710000000006</v>
      </c>
      <c r="CY346" s="465">
        <f>SUM(CC346:CF346)</f>
        <v>4707.8041064506288</v>
      </c>
      <c r="CZ346" s="465">
        <f t="shared" ref="CZ346:DF346" si="671">+CZ347*(CZ39)</f>
        <v>5361.7005010785706</v>
      </c>
      <c r="DA346" s="465">
        <f t="shared" si="671"/>
        <v>6029.5280687813502</v>
      </c>
      <c r="DB346" s="465">
        <f t="shared" si="671"/>
        <v>6676.6959966893583</v>
      </c>
      <c r="DC346" s="465">
        <f t="shared" si="671"/>
        <v>7312.3626124099183</v>
      </c>
      <c r="DD346" s="465">
        <f t="shared" si="671"/>
        <v>7942.7781642904947</v>
      </c>
      <c r="DE346" s="465">
        <f t="shared" si="671"/>
        <v>8562.5144170209351</v>
      </c>
      <c r="DF346" s="2144">
        <f t="shared" si="671"/>
        <v>9232.3963250340639</v>
      </c>
      <c r="DG346" s="1474"/>
      <c r="DH346" s="1474"/>
      <c r="DI346" s="465"/>
    </row>
    <row r="347" spans="1:113" s="308" customFormat="1" ht="11.25" customHeight="1">
      <c r="A347" s="82"/>
      <c r="B347"/>
      <c r="C347"/>
      <c r="D347"/>
      <c r="E347"/>
      <c r="F347"/>
      <c r="G347"/>
      <c r="H347" s="1044"/>
      <c r="I347" s="1333" t="s">
        <v>507</v>
      </c>
      <c r="J347" s="83"/>
      <c r="K347" s="83"/>
      <c r="L347" s="307"/>
      <c r="M347" s="338"/>
      <c r="N347" s="338"/>
      <c r="O347" s="338"/>
      <c r="P347" s="339"/>
      <c r="Q347" s="338"/>
      <c r="R347" s="338"/>
      <c r="S347" s="338"/>
      <c r="T347" s="339"/>
      <c r="U347" s="338">
        <f t="shared" ref="U347:BL347" si="672">+U346/U39</f>
        <v>0.12465516718707369</v>
      </c>
      <c r="V347" s="338">
        <f t="shared" si="672"/>
        <v>0.10552180569960981</v>
      </c>
      <c r="W347" s="338">
        <f t="shared" si="672"/>
        <v>0.11710293249360361</v>
      </c>
      <c r="X347" s="339">
        <f t="shared" si="672"/>
        <v>0.12773447322102088</v>
      </c>
      <c r="Y347" s="338">
        <f t="shared" si="672"/>
        <v>0.10930511366256281</v>
      </c>
      <c r="Z347" s="338">
        <f t="shared" si="672"/>
        <v>0.12358995019044829</v>
      </c>
      <c r="AA347" s="338">
        <f t="shared" si="672"/>
        <v>0.13895234039258197</v>
      </c>
      <c r="AB347" s="339">
        <f t="shared" si="672"/>
        <v>0.16540126992757143</v>
      </c>
      <c r="AC347" s="338">
        <f t="shared" si="672"/>
        <v>0.17104084866019151</v>
      </c>
      <c r="AD347" s="338">
        <f t="shared" si="672"/>
        <v>0.18612559856040506</v>
      </c>
      <c r="AE347" s="338">
        <f t="shared" si="672"/>
        <v>0.24565634081493848</v>
      </c>
      <c r="AF347" s="339">
        <f t="shared" si="672"/>
        <v>0.25301868601074329</v>
      </c>
      <c r="AG347" s="338">
        <f t="shared" si="672"/>
        <v>0.30265398513103797</v>
      </c>
      <c r="AH347" s="338">
        <f t="shared" si="672"/>
        <v>0.28820271445313977</v>
      </c>
      <c r="AI347" s="338">
        <f t="shared" si="672"/>
        <v>0.28253760627861346</v>
      </c>
      <c r="AJ347" s="339">
        <f t="shared" si="672"/>
        <v>0.27038596420712047</v>
      </c>
      <c r="AK347" s="338">
        <f t="shared" si="672"/>
        <v>0.30746636620152346</v>
      </c>
      <c r="AL347" s="338">
        <f t="shared" si="672"/>
        <v>0.28064534872460351</v>
      </c>
      <c r="AM347" s="338">
        <f t="shared" si="672"/>
        <v>0.26611839016265426</v>
      </c>
      <c r="AN347" s="339">
        <f t="shared" si="672"/>
        <v>0.27120485538738193</v>
      </c>
      <c r="AO347" s="338">
        <f t="shared" si="672"/>
        <v>0.31915539775707741</v>
      </c>
      <c r="AP347" s="338">
        <f t="shared" si="672"/>
        <v>0.28716129667947576</v>
      </c>
      <c r="AQ347" s="338">
        <f t="shared" si="672"/>
        <v>0.26667784534197253</v>
      </c>
      <c r="AR347" s="339">
        <f t="shared" si="672"/>
        <v>0.27191865993709313</v>
      </c>
      <c r="AS347" s="338">
        <f t="shared" si="672"/>
        <v>0.32696683146930355</v>
      </c>
      <c r="AT347" s="338">
        <f t="shared" si="672"/>
        <v>0.29520243220044684</v>
      </c>
      <c r="AU347" s="338">
        <f t="shared" si="672"/>
        <v>0.26521061920802941</v>
      </c>
      <c r="AV347" s="339">
        <f t="shared" si="672"/>
        <v>0.29392475470083551</v>
      </c>
      <c r="AW347" s="338">
        <f t="shared" si="672"/>
        <v>0.35444477870116209</v>
      </c>
      <c r="AX347" s="338">
        <f t="shared" si="672"/>
        <v>0.29700303014003199</v>
      </c>
      <c r="AY347" s="338">
        <f t="shared" si="672"/>
        <v>0.25849286449728237</v>
      </c>
      <c r="AZ347" s="339">
        <f t="shared" si="672"/>
        <v>0.27862447570215298</v>
      </c>
      <c r="BA347" s="338">
        <f t="shared" si="672"/>
        <v>0.36596495112770061</v>
      </c>
      <c r="BB347" s="338">
        <f t="shared" si="672"/>
        <v>0.31536770564862182</v>
      </c>
      <c r="BC347" s="338">
        <f t="shared" si="672"/>
        <v>0.25444394754160343</v>
      </c>
      <c r="BD347" s="339">
        <f t="shared" si="672"/>
        <v>0.30067324688800973</v>
      </c>
      <c r="BE347" s="338">
        <f t="shared" si="672"/>
        <v>0.37285143847337776</v>
      </c>
      <c r="BF347" s="338">
        <f t="shared" si="672"/>
        <v>0.31318279685542483</v>
      </c>
      <c r="BG347" s="338">
        <f t="shared" si="672"/>
        <v>0.26867435111038229</v>
      </c>
      <c r="BH347" s="339">
        <f t="shared" si="672"/>
        <v>0.32648789571694597</v>
      </c>
      <c r="BI347" s="338">
        <f t="shared" si="672"/>
        <v>0.39929382517963885</v>
      </c>
      <c r="BJ347" s="338">
        <f t="shared" si="672"/>
        <v>0.33467017859530079</v>
      </c>
      <c r="BK347" s="338">
        <f t="shared" si="672"/>
        <v>0.26804754997951302</v>
      </c>
      <c r="BL347" s="339">
        <f t="shared" si="672"/>
        <v>0.29940201049875459</v>
      </c>
      <c r="BM347" s="338">
        <f>+BM62/BM39</f>
        <v>0.37032260174578779</v>
      </c>
      <c r="BN347" s="338">
        <f>+BN62/BN39</f>
        <v>0.33970066850912056</v>
      </c>
      <c r="BO347" s="338">
        <f>+BO62/BO39</f>
        <v>0.26710682303439187</v>
      </c>
      <c r="BP347" s="339">
        <f t="shared" ref="BP347:CA347" si="673">+BP346/BP39</f>
        <v>0.29850628625681846</v>
      </c>
      <c r="BQ347" s="338">
        <f t="shared" si="673"/>
        <v>0.37886040008706906</v>
      </c>
      <c r="BR347" s="338">
        <f t="shared" si="673"/>
        <v>0.36250553058761364</v>
      </c>
      <c r="BS347" s="338">
        <f t="shared" si="673"/>
        <v>0.26625514626696739</v>
      </c>
      <c r="BT347" s="339">
        <f t="shared" si="673"/>
        <v>0.29863790403552659</v>
      </c>
      <c r="BU347" s="338">
        <f t="shared" si="673"/>
        <v>0.38619871747257922</v>
      </c>
      <c r="BV347" s="338">
        <f t="shared" si="673"/>
        <v>0.37894319656863185</v>
      </c>
      <c r="BW347" s="338">
        <f t="shared" si="673"/>
        <v>0.28981073890316217</v>
      </c>
      <c r="BX347" s="338">
        <f t="shared" si="673"/>
        <v>0.32440636612558377</v>
      </c>
      <c r="BY347" s="372">
        <f t="shared" si="673"/>
        <v>0.42016892043860193</v>
      </c>
      <c r="BZ347" s="338">
        <f t="shared" si="673"/>
        <v>0.38877415717928027</v>
      </c>
      <c r="CA347" s="338">
        <f t="shared" si="673"/>
        <v>0.27987888133941913</v>
      </c>
      <c r="CB347" s="338">
        <f t="shared" ref="CB347" si="674">+CB346/CB39</f>
        <v>0.28486651169356192</v>
      </c>
      <c r="CC347" s="461">
        <f>+BY347-0.03</f>
        <v>0.39016892043860196</v>
      </c>
      <c r="CD347" s="461">
        <f>+BZ347-0.02</f>
        <v>0.36877415717928025</v>
      </c>
      <c r="CE347" s="461">
        <f>+CA347-0.01</f>
        <v>0.26987888133941912</v>
      </c>
      <c r="CF347" s="461">
        <f>+CB347-0.003</f>
        <v>0.28186651169356192</v>
      </c>
      <c r="CG347" s="337"/>
      <c r="CH347" s="372"/>
      <c r="CI347" s="352"/>
      <c r="CJ347" s="338">
        <f t="shared" ref="CJ347:CY347" si="675">+CJ346/CJ39</f>
        <v>0.11791428277775874</v>
      </c>
      <c r="CK347" s="338">
        <f t="shared" si="675"/>
        <v>0.13662193806273273</v>
      </c>
      <c r="CL347" s="338">
        <f t="shared" si="675"/>
        <v>0.21691680563275892</v>
      </c>
      <c r="CM347" s="338">
        <f t="shared" si="675"/>
        <v>0.28464608674775915</v>
      </c>
      <c r="CN347" s="338">
        <f t="shared" si="675"/>
        <v>0.27796334602351852</v>
      </c>
      <c r="CO347" s="338">
        <f t="shared" si="675"/>
        <v>0.28318013830963484</v>
      </c>
      <c r="CP347" s="338">
        <f t="shared" si="675"/>
        <v>0.28980942492760337</v>
      </c>
      <c r="CQ347" s="338">
        <f t="shared" si="675"/>
        <v>0.28852354162725741</v>
      </c>
      <c r="CR347" s="338">
        <f t="shared" si="675"/>
        <v>0.29845740743145832</v>
      </c>
      <c r="CS347" s="338">
        <f t="shared" si="675"/>
        <v>0.31188454729936049</v>
      </c>
      <c r="CT347" s="338">
        <f t="shared" si="675"/>
        <v>0.31467475033616832</v>
      </c>
      <c r="CU347" s="338">
        <f t="shared" si="675"/>
        <v>0.31120524041650133</v>
      </c>
      <c r="CV347" s="338">
        <f t="shared" si="675"/>
        <v>0.31870106020770722</v>
      </c>
      <c r="CW347" s="338">
        <f t="shared" si="675"/>
        <v>0.33731370747667505</v>
      </c>
      <c r="CX347" s="338">
        <f t="shared" si="675"/>
        <v>0.33319303377285558</v>
      </c>
      <c r="CY347" s="338">
        <f t="shared" si="675"/>
        <v>0.31934915926766866</v>
      </c>
      <c r="CZ347" s="461">
        <f>+CY347+0</f>
        <v>0.31934915926766866</v>
      </c>
      <c r="DA347" s="461">
        <f t="shared" ref="DA347:DF347" si="676">+CZ347+0.001</f>
        <v>0.32034915926766866</v>
      </c>
      <c r="DB347" s="461">
        <f t="shared" si="676"/>
        <v>0.32134915926766866</v>
      </c>
      <c r="DC347" s="461">
        <f t="shared" si="676"/>
        <v>0.32234915926766866</v>
      </c>
      <c r="DD347" s="461">
        <f t="shared" si="676"/>
        <v>0.32334915926766866</v>
      </c>
      <c r="DE347" s="461">
        <f t="shared" si="676"/>
        <v>0.32434915926766866</v>
      </c>
      <c r="DF347" s="2336">
        <f t="shared" si="676"/>
        <v>0.32534915926766866</v>
      </c>
      <c r="DG347" s="1475"/>
      <c r="DH347" s="1475"/>
      <c r="DI347" s="338"/>
    </row>
    <row r="348" spans="1:113" s="61" customFormat="1" ht="11.25" customHeight="1">
      <c r="A348" s="48"/>
      <c r="B348"/>
      <c r="C348"/>
      <c r="D348"/>
      <c r="E348"/>
      <c r="F348"/>
      <c r="G348"/>
      <c r="H348" s="1044"/>
      <c r="I348" s="1332" t="s">
        <v>623</v>
      </c>
      <c r="J348" s="85"/>
      <c r="K348" s="85"/>
      <c r="L348" s="60"/>
      <c r="M348" s="352"/>
      <c r="N348" s="352"/>
      <c r="O348" s="352"/>
      <c r="P348" s="353"/>
      <c r="Q348" s="352"/>
      <c r="R348" s="352"/>
      <c r="S348" s="352"/>
      <c r="T348" s="353"/>
      <c r="U348" s="352"/>
      <c r="V348" s="352"/>
      <c r="W348" s="352"/>
      <c r="X348" s="353"/>
      <c r="Y348" s="352"/>
      <c r="Z348" s="352"/>
      <c r="AA348" s="352"/>
      <c r="AB348" s="353"/>
      <c r="AC348" s="352"/>
      <c r="AD348" s="352"/>
      <c r="AE348" s="352"/>
      <c r="AF348" s="353"/>
      <c r="AG348" s="352"/>
      <c r="AH348" s="352"/>
      <c r="AI348" s="352"/>
      <c r="AJ348" s="353"/>
      <c r="AK348" s="354">
        <f>+(AK347-AG347)*10000</f>
        <v>48.123810704854833</v>
      </c>
      <c r="AL348" s="354">
        <f>+(AL347-AH347)*10000</f>
        <v>-75.5736572853627</v>
      </c>
      <c r="AM348" s="354">
        <f>+(AM347-AI347)*10000</f>
        <v>-164.19216115959202</v>
      </c>
      <c r="AN348" s="355">
        <f>+(AN347-AJ347)*10000</f>
        <v>8.1889118026146068</v>
      </c>
      <c r="AO348" s="354">
        <f t="shared" ref="AO348:CF348" si="677">+(AO347-AK347)*10000</f>
        <v>116.89031555553953</v>
      </c>
      <c r="AP348" s="354">
        <f t="shared" si="677"/>
        <v>65.159479548722587</v>
      </c>
      <c r="AQ348" s="354">
        <f t="shared" si="677"/>
        <v>5.5945517931826894</v>
      </c>
      <c r="AR348" s="355">
        <f t="shared" si="677"/>
        <v>7.1380454971120555</v>
      </c>
      <c r="AS348" s="354">
        <f t="shared" si="677"/>
        <v>78.11433712226146</v>
      </c>
      <c r="AT348" s="354">
        <f t="shared" si="677"/>
        <v>80.411355209710763</v>
      </c>
      <c r="AU348" s="354">
        <f t="shared" si="677"/>
        <v>-14.672261339431225</v>
      </c>
      <c r="AV348" s="355">
        <f t="shared" si="677"/>
        <v>220.06094763742379</v>
      </c>
      <c r="AW348" s="354">
        <f t="shared" si="677"/>
        <v>274.77947231858536</v>
      </c>
      <c r="AX348" s="354">
        <f t="shared" si="677"/>
        <v>18.005979395851469</v>
      </c>
      <c r="AY348" s="354">
        <f t="shared" si="677"/>
        <v>-67.177547107470374</v>
      </c>
      <c r="AZ348" s="355">
        <f t="shared" si="677"/>
        <v>-153.00278998682526</v>
      </c>
      <c r="BA348" s="354">
        <f t="shared" si="677"/>
        <v>115.20172426538522</v>
      </c>
      <c r="BB348" s="354">
        <f t="shared" si="677"/>
        <v>183.64675508589835</v>
      </c>
      <c r="BC348" s="354">
        <f t="shared" si="677"/>
        <v>-40.489169556789385</v>
      </c>
      <c r="BD348" s="355">
        <f t="shared" si="677"/>
        <v>220.48771185856742</v>
      </c>
      <c r="BE348" s="354">
        <f t="shared" si="677"/>
        <v>68.864873456771505</v>
      </c>
      <c r="BF348" s="354">
        <f t="shared" si="677"/>
        <v>-21.849087931969933</v>
      </c>
      <c r="BG348" s="354">
        <f t="shared" si="677"/>
        <v>142.3040356877886</v>
      </c>
      <c r="BH348" s="355">
        <f t="shared" si="677"/>
        <v>258.14648828936248</v>
      </c>
      <c r="BI348" s="354">
        <f t="shared" si="677"/>
        <v>264.4238670626109</v>
      </c>
      <c r="BJ348" s="354">
        <f t="shared" si="677"/>
        <v>214.87381739875966</v>
      </c>
      <c r="BK348" s="354">
        <f t="shared" si="677"/>
        <v>-6.2680113086927003</v>
      </c>
      <c r="BL348" s="355">
        <f t="shared" si="677"/>
        <v>-270.85885218191385</v>
      </c>
      <c r="BM348" s="354">
        <f t="shared" si="677"/>
        <v>-289.71223433851054</v>
      </c>
      <c r="BN348" s="354">
        <f t="shared" si="677"/>
        <v>50.30489913819769</v>
      </c>
      <c r="BO348" s="354">
        <f t="shared" si="677"/>
        <v>-9.4072694512115085</v>
      </c>
      <c r="BP348" s="355">
        <f t="shared" si="677"/>
        <v>-8.9572424193612434</v>
      </c>
      <c r="BQ348" s="1511">
        <f>+(BQ347-BM347)*10000</f>
        <v>85.377983412812668</v>
      </c>
      <c r="BR348" s="354">
        <f>+(BR347-BN347)*10000</f>
        <v>228.04862078493082</v>
      </c>
      <c r="BS348" s="354">
        <f>+(BS347-BO347)*10000</f>
        <v>-8.5167676742448073</v>
      </c>
      <c r="BT348" s="355">
        <f>+(BT347-BP347)*10000</f>
        <v>1.316177787081263</v>
      </c>
      <c r="BU348" s="1511">
        <f>+(BU347-BQ347)*10000</f>
        <v>73.383173855101631</v>
      </c>
      <c r="BV348" s="354">
        <f t="shared" si="677"/>
        <v>164.37665981018202</v>
      </c>
      <c r="BW348" s="354">
        <f t="shared" si="677"/>
        <v>235.55592636194777</v>
      </c>
      <c r="BX348" s="354">
        <f t="shared" si="677"/>
        <v>257.68462090057176</v>
      </c>
      <c r="BY348" s="1511">
        <f t="shared" si="677"/>
        <v>339.70202966022714</v>
      </c>
      <c r="BZ348" s="354">
        <f t="shared" si="677"/>
        <v>98.30960610648421</v>
      </c>
      <c r="CA348" s="354">
        <f t="shared" si="677"/>
        <v>-99.318575637430399</v>
      </c>
      <c r="CB348" s="355">
        <f t="shared" si="677"/>
        <v>-395.39854432021849</v>
      </c>
      <c r="CC348" s="1511">
        <f t="shared" si="677"/>
        <v>-299.99999999999972</v>
      </c>
      <c r="CD348" s="354">
        <f t="shared" si="677"/>
        <v>-200.00000000000017</v>
      </c>
      <c r="CE348" s="354">
        <f t="shared" si="677"/>
        <v>-100.00000000000009</v>
      </c>
      <c r="CF348" s="355">
        <f t="shared" si="677"/>
        <v>-30.000000000000028</v>
      </c>
      <c r="CG348" s="351"/>
      <c r="CH348" s="383"/>
      <c r="CI348" s="352"/>
      <c r="CJ348" s="352"/>
      <c r="CK348" s="352"/>
      <c r="CL348" s="352"/>
      <c r="CM348" s="352"/>
      <c r="CN348" s="354">
        <f t="shared" ref="CN348:CY348" si="678">+(CN347-CM347)*10000</f>
        <v>-66.827407242406323</v>
      </c>
      <c r="CO348" s="354">
        <f t="shared" si="678"/>
        <v>52.167922861163227</v>
      </c>
      <c r="CP348" s="354">
        <f t="shared" si="678"/>
        <v>66.29286617968522</v>
      </c>
      <c r="CQ348" s="354">
        <f>+(CQ347-CP347)*10000</f>
        <v>-12.85883300345958</v>
      </c>
      <c r="CR348" s="354">
        <f t="shared" si="678"/>
        <v>99.338658042009143</v>
      </c>
      <c r="CS348" s="354">
        <f t="shared" si="678"/>
        <v>134.2713986790217</v>
      </c>
      <c r="CT348" s="354">
        <f t="shared" si="678"/>
        <v>27.902030368078258</v>
      </c>
      <c r="CU348" s="354">
        <f>+(CU347-CT347)*10000</f>
        <v>-34.695099196669908</v>
      </c>
      <c r="CV348" s="354">
        <f t="shared" si="678"/>
        <v>74.958197912058935</v>
      </c>
      <c r="CW348" s="354">
        <f t="shared" si="678"/>
        <v>186.12647268967831</v>
      </c>
      <c r="CX348" s="354">
        <f t="shared" si="678"/>
        <v>-41.20673703819466</v>
      </c>
      <c r="CY348" s="354">
        <f t="shared" si="678"/>
        <v>-138.43874505186926</v>
      </c>
      <c r="CZ348" s="354">
        <f t="shared" ref="CZ348:DF348" si="679">+(CZ347-CY347)*10000</f>
        <v>0</v>
      </c>
      <c r="DA348" s="354">
        <f t="shared" si="679"/>
        <v>10.000000000000009</v>
      </c>
      <c r="DB348" s="354">
        <f t="shared" si="679"/>
        <v>10.000000000000009</v>
      </c>
      <c r="DC348" s="354">
        <f t="shared" si="679"/>
        <v>10.000000000000009</v>
      </c>
      <c r="DD348" s="354">
        <f t="shared" si="679"/>
        <v>10.000000000000009</v>
      </c>
      <c r="DE348" s="354">
        <f t="shared" si="679"/>
        <v>10.000000000000009</v>
      </c>
      <c r="DF348" s="2142">
        <f t="shared" si="679"/>
        <v>10.000000000000009</v>
      </c>
      <c r="DG348" s="1476"/>
      <c r="DH348" s="1476"/>
      <c r="DI348" s="354"/>
    </row>
    <row r="349" spans="1:113" s="61" customFormat="1" ht="11.25" customHeight="1">
      <c r="A349" s="48"/>
      <c r="B349"/>
      <c r="C349"/>
      <c r="D349"/>
      <c r="E349"/>
      <c r="F349"/>
      <c r="G349"/>
      <c r="H349" s="1044"/>
      <c r="I349" s="1332" t="s">
        <v>509</v>
      </c>
      <c r="J349" s="85"/>
      <c r="K349" s="85"/>
      <c r="L349" s="60"/>
      <c r="M349" s="352"/>
      <c r="N349" s="352"/>
      <c r="O349" s="352"/>
      <c r="P349" s="353"/>
      <c r="Q349" s="352"/>
      <c r="R349" s="352"/>
      <c r="S349" s="352"/>
      <c r="T349" s="353"/>
      <c r="U349" s="352"/>
      <c r="V349" s="352"/>
      <c r="W349" s="352"/>
      <c r="X349" s="353"/>
      <c r="Y349" s="352"/>
      <c r="Z349" s="352"/>
      <c r="AA349" s="352"/>
      <c r="AB349" s="353"/>
      <c r="AC349" s="352"/>
      <c r="AD349" s="352"/>
      <c r="AE349" s="352"/>
      <c r="AF349" s="353"/>
      <c r="AG349" s="352"/>
      <c r="AH349" s="352"/>
      <c r="AI349" s="352"/>
      <c r="AJ349" s="353"/>
      <c r="AK349" s="354">
        <f>+(AK347-AJ347)*1000</f>
        <v>37.08040199440299</v>
      </c>
      <c r="AL349" s="354">
        <f t="shared" ref="AL349:CF349" si="680">+(AL347-AK347)*1000</f>
        <v>-26.821017476919952</v>
      </c>
      <c r="AM349" s="354">
        <f t="shared" si="680"/>
        <v>-14.526958561949243</v>
      </c>
      <c r="AN349" s="355">
        <f t="shared" si="680"/>
        <v>5.0864652247276654</v>
      </c>
      <c r="AO349" s="354">
        <f t="shared" si="680"/>
        <v>47.950542369695484</v>
      </c>
      <c r="AP349" s="354">
        <f t="shared" si="680"/>
        <v>-31.994101077601645</v>
      </c>
      <c r="AQ349" s="354">
        <f t="shared" si="680"/>
        <v>-20.483451337503233</v>
      </c>
      <c r="AR349" s="355">
        <f t="shared" si="680"/>
        <v>5.240814595120602</v>
      </c>
      <c r="AS349" s="354">
        <f t="shared" si="680"/>
        <v>55.048171532210418</v>
      </c>
      <c r="AT349" s="354">
        <f t="shared" si="680"/>
        <v>-31.764399268856714</v>
      </c>
      <c r="AU349" s="354">
        <f t="shared" si="680"/>
        <v>-29.991812992417433</v>
      </c>
      <c r="AV349" s="355">
        <f t="shared" si="680"/>
        <v>28.714135492806104</v>
      </c>
      <c r="AW349" s="354">
        <f t="shared" si="680"/>
        <v>60.520024000326579</v>
      </c>
      <c r="AX349" s="354">
        <f t="shared" si="680"/>
        <v>-57.441748561130105</v>
      </c>
      <c r="AY349" s="354">
        <f t="shared" si="680"/>
        <v>-38.51016564274962</v>
      </c>
      <c r="AZ349" s="355">
        <f t="shared" si="680"/>
        <v>20.131611204870616</v>
      </c>
      <c r="BA349" s="354">
        <f t="shared" si="680"/>
        <v>87.340475425547623</v>
      </c>
      <c r="BB349" s="354">
        <f t="shared" si="680"/>
        <v>-50.597245479078786</v>
      </c>
      <c r="BC349" s="354">
        <f t="shared" si="680"/>
        <v>-60.923758107018386</v>
      </c>
      <c r="BD349" s="355">
        <f t="shared" si="680"/>
        <v>46.229299346406293</v>
      </c>
      <c r="BE349" s="354">
        <f t="shared" si="680"/>
        <v>72.17819158536804</v>
      </c>
      <c r="BF349" s="354">
        <f t="shared" si="680"/>
        <v>-59.668641617952936</v>
      </c>
      <c r="BG349" s="354">
        <f t="shared" si="680"/>
        <v>-44.508445745042536</v>
      </c>
      <c r="BH349" s="355">
        <f t="shared" si="680"/>
        <v>57.813544606563681</v>
      </c>
      <c r="BI349" s="354">
        <f t="shared" si="680"/>
        <v>72.805929462692873</v>
      </c>
      <c r="BJ349" s="354">
        <f t="shared" si="680"/>
        <v>-64.623646584338061</v>
      </c>
      <c r="BK349" s="354">
        <f t="shared" si="680"/>
        <v>-66.622628615787775</v>
      </c>
      <c r="BL349" s="355">
        <f>+(BL347-BK347)*1000</f>
        <v>31.354460519241567</v>
      </c>
      <c r="BM349" s="354">
        <f>+(BM347-BL347)*1000</f>
        <v>70.920591247033201</v>
      </c>
      <c r="BN349" s="354">
        <f t="shared" si="680"/>
        <v>-30.621933236667232</v>
      </c>
      <c r="BO349" s="354">
        <f t="shared" si="680"/>
        <v>-72.593845474728695</v>
      </c>
      <c r="BP349" s="355">
        <f>+(BP347-BO347)*1000</f>
        <v>31.399463222426593</v>
      </c>
      <c r="BQ349" s="1511">
        <f>+(BQ347-BP347)*1000</f>
        <v>80.354113830250597</v>
      </c>
      <c r="BR349" s="354">
        <f t="shared" si="680"/>
        <v>-16.354869499455415</v>
      </c>
      <c r="BS349" s="354">
        <f>+(BS347-BR347)*1000</f>
        <v>-96.250384320646248</v>
      </c>
      <c r="BT349" s="355">
        <f>+(BT347-BS347)*1000</f>
        <v>32.382757768559202</v>
      </c>
      <c r="BU349" s="1511">
        <f t="shared" si="680"/>
        <v>87.56081343705263</v>
      </c>
      <c r="BV349" s="354">
        <f t="shared" si="680"/>
        <v>-7.2555209039473763</v>
      </c>
      <c r="BW349" s="354">
        <f t="shared" si="680"/>
        <v>-89.132457665469673</v>
      </c>
      <c r="BX349" s="355">
        <f t="shared" si="680"/>
        <v>34.595627222421598</v>
      </c>
      <c r="BY349" s="354">
        <f t="shared" si="680"/>
        <v>95.762554313018171</v>
      </c>
      <c r="BZ349" s="354">
        <f t="shared" si="680"/>
        <v>-31.394763259321667</v>
      </c>
      <c r="CA349" s="354">
        <f t="shared" si="680"/>
        <v>-108.89527583986114</v>
      </c>
      <c r="CB349" s="355">
        <f t="shared" si="680"/>
        <v>4.9876303541427909</v>
      </c>
      <c r="CC349" s="1511">
        <f t="shared" si="680"/>
        <v>105.30240874504004</v>
      </c>
      <c r="CD349" s="354">
        <f t="shared" si="680"/>
        <v>-21.394763259321714</v>
      </c>
      <c r="CE349" s="354">
        <f t="shared" si="680"/>
        <v>-98.895275839861128</v>
      </c>
      <c r="CF349" s="355">
        <f t="shared" si="680"/>
        <v>11.987630354142798</v>
      </c>
      <c r="CG349" s="351"/>
      <c r="CH349" s="383"/>
      <c r="CI349" s="352"/>
      <c r="CJ349" s="352"/>
      <c r="CK349" s="352"/>
      <c r="CL349" s="352"/>
      <c r="CM349" s="352"/>
      <c r="CN349" s="352"/>
      <c r="CO349" s="352"/>
      <c r="CP349" s="352"/>
      <c r="CQ349" s="352"/>
      <c r="CR349" s="352"/>
      <c r="CS349" s="465"/>
      <c r="CT349" s="465"/>
      <c r="CU349" s="465"/>
      <c r="CV349" s="465"/>
      <c r="CW349" s="465"/>
      <c r="CX349" s="465"/>
      <c r="CY349" s="352"/>
      <c r="CZ349" s="352"/>
      <c r="DA349" s="352"/>
      <c r="DB349" s="352"/>
      <c r="DC349" s="352"/>
      <c r="DD349" s="352"/>
      <c r="DE349" s="352"/>
      <c r="DF349" s="2171"/>
      <c r="DG349" s="1474"/>
      <c r="DH349" s="1474"/>
      <c r="DI349" s="465"/>
    </row>
    <row r="350" spans="1:113" s="612" customFormat="1" ht="11.25" customHeight="1">
      <c r="A350" s="547"/>
      <c r="B350"/>
      <c r="C350"/>
      <c r="D350"/>
      <c r="E350"/>
      <c r="F350"/>
      <c r="G350"/>
      <c r="H350" s="1044"/>
      <c r="I350" s="9" t="s">
        <v>385</v>
      </c>
      <c r="J350" s="21"/>
      <c r="K350" s="21"/>
      <c r="L350" s="611"/>
      <c r="M350" s="394"/>
      <c r="N350" s="394"/>
      <c r="O350" s="394"/>
      <c r="P350" s="395"/>
      <c r="Q350" s="394"/>
      <c r="R350" s="394"/>
      <c r="S350" s="394"/>
      <c r="T350" s="395"/>
      <c r="U350" s="394"/>
      <c r="V350" s="394"/>
      <c r="W350" s="394"/>
      <c r="X350" s="395"/>
      <c r="Y350" s="394"/>
      <c r="Z350" s="394"/>
      <c r="AA350" s="394"/>
      <c r="AB350" s="395"/>
      <c r="AC350" s="394"/>
      <c r="AD350" s="394"/>
      <c r="AE350" s="394"/>
      <c r="AF350" s="395"/>
      <c r="AG350" s="394"/>
      <c r="AH350" s="394"/>
      <c r="AI350" s="394"/>
      <c r="AJ350" s="395"/>
      <c r="AK350" s="396">
        <f t="shared" ref="AK350:CF350" si="681">+AK346-AG346</f>
        <v>10.065999999999999</v>
      </c>
      <c r="AL350" s="396">
        <f t="shared" si="681"/>
        <v>12.977</v>
      </c>
      <c r="AM350" s="396">
        <f t="shared" si="681"/>
        <v>19.283999999999999</v>
      </c>
      <c r="AN350" s="397">
        <f t="shared" si="681"/>
        <v>16.525999999999996</v>
      </c>
      <c r="AO350" s="396">
        <f t="shared" si="681"/>
        <v>25.872999999999998</v>
      </c>
      <c r="AP350" s="396">
        <f t="shared" si="681"/>
        <v>29.39</v>
      </c>
      <c r="AQ350" s="396">
        <f t="shared" si="681"/>
        <v>30.446999999999996</v>
      </c>
      <c r="AR350" s="397">
        <f t="shared" si="681"/>
        <v>12.327000000000005</v>
      </c>
      <c r="AS350" s="396">
        <f t="shared" si="681"/>
        <v>10.317000000000007</v>
      </c>
      <c r="AT350" s="396">
        <f t="shared" si="681"/>
        <v>17.247</v>
      </c>
      <c r="AU350" s="396">
        <f t="shared" si="681"/>
        <v>30.811999999999998</v>
      </c>
      <c r="AV350" s="397">
        <f t="shared" si="681"/>
        <v>36.292999999999999</v>
      </c>
      <c r="AW350" s="396">
        <f t="shared" si="681"/>
        <v>44.99199999999999</v>
      </c>
      <c r="AX350" s="396">
        <f t="shared" si="681"/>
        <v>42.411000000000001</v>
      </c>
      <c r="AY350" s="396">
        <f t="shared" si="681"/>
        <v>57.624000000000009</v>
      </c>
      <c r="AZ350" s="397">
        <f t="shared" si="681"/>
        <v>41.731999999999999</v>
      </c>
      <c r="BA350" s="396">
        <f t="shared" si="681"/>
        <v>71.999000000000009</v>
      </c>
      <c r="BB350" s="396">
        <f t="shared" si="681"/>
        <v>103.76400000000001</v>
      </c>
      <c r="BC350" s="396">
        <f t="shared" si="681"/>
        <v>107.19899999999998</v>
      </c>
      <c r="BD350" s="397">
        <f t="shared" si="681"/>
        <v>84.11099999999999</v>
      </c>
      <c r="BE350" s="396">
        <f t="shared" si="681"/>
        <v>92.02800000000002</v>
      </c>
      <c r="BF350" s="396">
        <f t="shared" si="681"/>
        <v>78.198000000000008</v>
      </c>
      <c r="BG350" s="396">
        <f t="shared" si="681"/>
        <v>95.27800000000002</v>
      </c>
      <c r="BH350" s="397">
        <f t="shared" si="681"/>
        <v>88.920000000000016</v>
      </c>
      <c r="BI350" s="396">
        <f t="shared" si="681"/>
        <v>126.017</v>
      </c>
      <c r="BJ350" s="396">
        <f t="shared" si="681"/>
        <v>148.65499999999997</v>
      </c>
      <c r="BK350" s="396">
        <f t="shared" si="681"/>
        <v>157.95999999999998</v>
      </c>
      <c r="BL350" s="397">
        <f t="shared" si="681"/>
        <v>92.375999999999976</v>
      </c>
      <c r="BM350" s="396">
        <f t="shared" si="681"/>
        <v>117.69499999999994</v>
      </c>
      <c r="BN350" s="396">
        <f t="shared" si="681"/>
        <v>176.51999999999998</v>
      </c>
      <c r="BO350" s="396">
        <f t="shared" si="681"/>
        <v>166.64999999999998</v>
      </c>
      <c r="BP350" s="397">
        <f t="shared" si="681"/>
        <v>100.71100000000001</v>
      </c>
      <c r="BQ350" s="1326">
        <f t="shared" si="681"/>
        <v>112.69600000000003</v>
      </c>
      <c r="BR350" s="396">
        <f t="shared" si="681"/>
        <v>119.03500000000008</v>
      </c>
      <c r="BS350" s="396">
        <f t="shared" si="681"/>
        <v>84.915000000000077</v>
      </c>
      <c r="BT350" s="397">
        <f t="shared" si="681"/>
        <v>61.350999999999999</v>
      </c>
      <c r="BU350" s="1326">
        <f>+BU346-BQ346</f>
        <v>146.36500000000001</v>
      </c>
      <c r="BV350" s="396">
        <f t="shared" si="681"/>
        <v>162.07299999999998</v>
      </c>
      <c r="BW350" s="396">
        <f t="shared" si="681"/>
        <v>255.41999999999985</v>
      </c>
      <c r="BX350" s="397">
        <f t="shared" si="681"/>
        <v>177.21100000000001</v>
      </c>
      <c r="BY350" s="396">
        <f t="shared" si="681"/>
        <v>200.86400000000003</v>
      </c>
      <c r="BZ350" s="396">
        <f>+BZ346-BV346</f>
        <v>226.82599999999991</v>
      </c>
      <c r="CA350" s="396">
        <f>+CA346-BW346</f>
        <v>184.19600000000014</v>
      </c>
      <c r="CB350" s="397">
        <f t="shared" si="681"/>
        <v>50.597999999999956</v>
      </c>
      <c r="CC350" s="1326">
        <f t="shared" si="681"/>
        <v>110.7178296427843</v>
      </c>
      <c r="CD350" s="396">
        <f t="shared" si="681"/>
        <v>166.05341087284</v>
      </c>
      <c r="CE350" s="396">
        <f t="shared" si="681"/>
        <v>126.23983117805119</v>
      </c>
      <c r="CF350" s="397">
        <f t="shared" si="681"/>
        <v>163.0220347569533</v>
      </c>
      <c r="CG350" s="552"/>
      <c r="CH350" s="585"/>
      <c r="CI350" s="394"/>
      <c r="CJ350" s="396"/>
      <c r="CK350" s="396">
        <f t="shared" ref="CK350:CY350" si="682">+CK346-CJ346</f>
        <v>10.271000000000001</v>
      </c>
      <c r="CL350" s="396">
        <f t="shared" si="682"/>
        <v>31.054999999999996</v>
      </c>
      <c r="CM350" s="396">
        <f t="shared" si="682"/>
        <v>55.287000000000006</v>
      </c>
      <c r="CN350" s="396">
        <f t="shared" si="682"/>
        <v>58.85299999999998</v>
      </c>
      <c r="CO350" s="396">
        <f t="shared" si="682"/>
        <v>98.037000000000006</v>
      </c>
      <c r="CP350" s="396">
        <f t="shared" si="682"/>
        <v>94.668999999999983</v>
      </c>
      <c r="CQ350" s="396">
        <f t="shared" si="682"/>
        <v>186.75900000000013</v>
      </c>
      <c r="CR350" s="396">
        <f t="shared" si="682"/>
        <v>367.07299999999987</v>
      </c>
      <c r="CS350" s="396">
        <f t="shared" si="682"/>
        <v>354.42399999999998</v>
      </c>
      <c r="CT350" s="396">
        <f t="shared" si="682"/>
        <v>525.00800000000004</v>
      </c>
      <c r="CU350" s="396">
        <f t="shared" si="682"/>
        <v>561.57600000000002</v>
      </c>
      <c r="CV350" s="396">
        <f t="shared" si="682"/>
        <v>377.99699999999984</v>
      </c>
      <c r="CW350" s="396">
        <f t="shared" si="682"/>
        <v>741.06899999999996</v>
      </c>
      <c r="CX350" s="396">
        <f t="shared" si="682"/>
        <v>662.48400000000083</v>
      </c>
      <c r="CY350" s="396">
        <f t="shared" si="682"/>
        <v>566.03310645062811</v>
      </c>
      <c r="CZ350" s="396">
        <f t="shared" ref="CZ350:DF350" si="683">+CZ346-CY346</f>
        <v>653.89639462794185</v>
      </c>
      <c r="DA350" s="396">
        <f t="shared" si="683"/>
        <v>667.82756770277956</v>
      </c>
      <c r="DB350" s="396">
        <f t="shared" si="683"/>
        <v>647.1679279080081</v>
      </c>
      <c r="DC350" s="396">
        <f t="shared" si="683"/>
        <v>635.66661572056</v>
      </c>
      <c r="DD350" s="396">
        <f t="shared" si="683"/>
        <v>630.41555188057646</v>
      </c>
      <c r="DE350" s="396">
        <f t="shared" si="683"/>
        <v>619.73625273044036</v>
      </c>
      <c r="DF350" s="2146">
        <f t="shared" si="683"/>
        <v>669.88190801312885</v>
      </c>
      <c r="DG350" s="1477"/>
      <c r="DH350" s="1477"/>
      <c r="DI350" s="396"/>
    </row>
    <row r="351" spans="1:113" s="612" customFormat="1" ht="11.25" customHeight="1">
      <c r="A351" s="547"/>
      <c r="B351"/>
      <c r="C351"/>
      <c r="D351"/>
      <c r="E351"/>
      <c r="F351"/>
      <c r="G351"/>
      <c r="H351" s="1044"/>
      <c r="I351" s="9" t="s">
        <v>387</v>
      </c>
      <c r="J351" s="21"/>
      <c r="K351" s="21"/>
      <c r="L351" s="611"/>
      <c r="M351" s="394"/>
      <c r="N351" s="394"/>
      <c r="O351" s="394"/>
      <c r="P351" s="395"/>
      <c r="Q351" s="394"/>
      <c r="R351" s="394"/>
      <c r="S351" s="394"/>
      <c r="T351" s="395"/>
      <c r="U351" s="394"/>
      <c r="V351" s="394"/>
      <c r="W351" s="394"/>
      <c r="X351" s="395"/>
      <c r="Y351" s="394"/>
      <c r="Z351" s="394"/>
      <c r="AA351" s="394"/>
      <c r="AB351" s="395"/>
      <c r="AC351" s="394"/>
      <c r="AD351" s="394"/>
      <c r="AE351" s="394"/>
      <c r="AF351" s="395"/>
      <c r="AG351" s="396">
        <f t="shared" ref="AG351:BL351" si="684">+AG346-AF346</f>
        <v>5.3279999999999994</v>
      </c>
      <c r="AH351" s="396">
        <f t="shared" si="684"/>
        <v>8.6319999999999979</v>
      </c>
      <c r="AI351" s="396">
        <f t="shared" si="684"/>
        <v>4.0670000000000037</v>
      </c>
      <c r="AJ351" s="397">
        <f t="shared" si="684"/>
        <v>-7.652000000000001</v>
      </c>
      <c r="AK351" s="396">
        <f t="shared" si="684"/>
        <v>5.0189999999999984</v>
      </c>
      <c r="AL351" s="396">
        <f t="shared" si="684"/>
        <v>11.542999999999999</v>
      </c>
      <c r="AM351" s="396">
        <f t="shared" si="684"/>
        <v>10.374000000000002</v>
      </c>
      <c r="AN351" s="397">
        <f t="shared" si="684"/>
        <v>-10.410000000000004</v>
      </c>
      <c r="AO351" s="396">
        <f t="shared" si="684"/>
        <v>14.366</v>
      </c>
      <c r="AP351" s="396">
        <f t="shared" si="684"/>
        <v>15.060000000000002</v>
      </c>
      <c r="AQ351" s="396">
        <f t="shared" si="684"/>
        <v>11.430999999999997</v>
      </c>
      <c r="AR351" s="397">
        <f t="shared" si="684"/>
        <v>-28.529999999999994</v>
      </c>
      <c r="AS351" s="396">
        <f t="shared" si="684"/>
        <v>12.356000000000002</v>
      </c>
      <c r="AT351" s="396">
        <f t="shared" si="684"/>
        <v>21.989999999999995</v>
      </c>
      <c r="AU351" s="396">
        <f t="shared" si="684"/>
        <v>24.995999999999995</v>
      </c>
      <c r="AV351" s="397">
        <f t="shared" si="684"/>
        <v>-23.048999999999992</v>
      </c>
      <c r="AW351" s="396">
        <f t="shared" si="684"/>
        <v>21.054999999999993</v>
      </c>
      <c r="AX351" s="396">
        <f t="shared" si="684"/>
        <v>19.409000000000006</v>
      </c>
      <c r="AY351" s="396">
        <f t="shared" si="684"/>
        <v>40.209000000000003</v>
      </c>
      <c r="AZ351" s="397">
        <f t="shared" si="684"/>
        <v>-38.941000000000003</v>
      </c>
      <c r="BA351" s="396">
        <f t="shared" si="684"/>
        <v>51.322000000000003</v>
      </c>
      <c r="BB351" s="396">
        <f t="shared" si="684"/>
        <v>51.174000000000007</v>
      </c>
      <c r="BC351" s="396">
        <f t="shared" si="684"/>
        <v>43.643999999999977</v>
      </c>
      <c r="BD351" s="397">
        <f t="shared" si="684"/>
        <v>-62.028999999999996</v>
      </c>
      <c r="BE351" s="396">
        <f t="shared" si="684"/>
        <v>59.239000000000033</v>
      </c>
      <c r="BF351" s="396">
        <f t="shared" si="684"/>
        <v>37.343999999999994</v>
      </c>
      <c r="BG351" s="396">
        <f t="shared" si="684"/>
        <v>60.72399999999999</v>
      </c>
      <c r="BH351" s="397">
        <f t="shared" si="684"/>
        <v>-68.387</v>
      </c>
      <c r="BI351" s="396">
        <f t="shared" si="684"/>
        <v>96.336000000000013</v>
      </c>
      <c r="BJ351" s="396">
        <f t="shared" si="684"/>
        <v>59.981999999999971</v>
      </c>
      <c r="BK351" s="396">
        <f t="shared" si="684"/>
        <v>70.028999999999996</v>
      </c>
      <c r="BL351" s="397">
        <f t="shared" si="684"/>
        <v>-133.971</v>
      </c>
      <c r="BM351" s="396">
        <f t="shared" ref="BM351:CF351" si="685">+BM346-BL346</f>
        <v>121.65499999999997</v>
      </c>
      <c r="BN351" s="396">
        <f t="shared" si="685"/>
        <v>118.80700000000002</v>
      </c>
      <c r="BO351" s="396">
        <f t="shared" si="685"/>
        <v>60.158999999999992</v>
      </c>
      <c r="BP351" s="397">
        <f t="shared" si="685"/>
        <v>-199.90999999999997</v>
      </c>
      <c r="BQ351" s="1326">
        <f t="shared" si="685"/>
        <v>133.63999999999999</v>
      </c>
      <c r="BR351" s="396">
        <f t="shared" si="685"/>
        <v>125.14600000000007</v>
      </c>
      <c r="BS351" s="396">
        <f t="shared" si="685"/>
        <v>26.038999999999987</v>
      </c>
      <c r="BT351" s="397">
        <f t="shared" si="685"/>
        <v>-223.47400000000005</v>
      </c>
      <c r="BU351" s="1326">
        <f t="shared" si="685"/>
        <v>218.654</v>
      </c>
      <c r="BV351" s="396">
        <f t="shared" si="685"/>
        <v>140.85400000000004</v>
      </c>
      <c r="BW351" s="396">
        <f t="shared" si="685"/>
        <v>119.38599999999985</v>
      </c>
      <c r="BX351" s="397">
        <f t="shared" si="685"/>
        <v>-301.68299999999988</v>
      </c>
      <c r="BY351" s="396">
        <f t="shared" si="685"/>
        <v>242.30700000000002</v>
      </c>
      <c r="BZ351" s="396">
        <f t="shared" si="685"/>
        <v>166.81599999999992</v>
      </c>
      <c r="CA351" s="396">
        <f t="shared" si="685"/>
        <v>76.756000000000085</v>
      </c>
      <c r="CB351" s="397">
        <f t="shared" si="685"/>
        <v>-435.28100000000006</v>
      </c>
      <c r="CC351" s="1326">
        <f t="shared" si="685"/>
        <v>302.42682964278436</v>
      </c>
      <c r="CD351" s="396">
        <f t="shared" si="685"/>
        <v>222.15158123005563</v>
      </c>
      <c r="CE351" s="396">
        <f t="shared" si="685"/>
        <v>36.942420305211272</v>
      </c>
      <c r="CF351" s="397">
        <f t="shared" si="685"/>
        <v>-398.49879642109795</v>
      </c>
      <c r="CG351" s="552"/>
      <c r="CH351" s="585"/>
      <c r="CI351" s="394"/>
      <c r="CJ351" s="394"/>
      <c r="CK351" s="394"/>
      <c r="CL351" s="394"/>
      <c r="CM351" s="394"/>
      <c r="CN351" s="394"/>
      <c r="CO351" s="394"/>
      <c r="CP351" s="394"/>
      <c r="CQ351" s="394"/>
      <c r="CR351" s="394"/>
      <c r="CS351" s="394"/>
      <c r="CT351" s="394"/>
      <c r="CU351" s="394"/>
      <c r="CV351" s="394"/>
      <c r="CW351" s="394"/>
      <c r="CX351" s="394"/>
      <c r="CY351" s="394"/>
      <c r="CZ351" s="394"/>
      <c r="DA351" s="394"/>
      <c r="DB351" s="394"/>
      <c r="DC351" s="394"/>
      <c r="DD351" s="394"/>
      <c r="DE351" s="394"/>
      <c r="DF351" s="395"/>
      <c r="DG351" s="1477"/>
      <c r="DH351" s="1477"/>
      <c r="DI351" s="394"/>
    </row>
    <row r="352" spans="1:113" s="308" customFormat="1" ht="11.25" customHeight="1">
      <c r="A352" s="82"/>
      <c r="B352"/>
      <c r="C352"/>
      <c r="D352"/>
      <c r="E352"/>
      <c r="F352"/>
      <c r="G352"/>
      <c r="H352" s="1044"/>
      <c r="I352" s="293" t="s">
        <v>376</v>
      </c>
      <c r="J352" s="83"/>
      <c r="K352" s="83"/>
      <c r="L352" s="307"/>
      <c r="M352" s="328"/>
      <c r="N352" s="328"/>
      <c r="O352" s="328"/>
      <c r="P352" s="329"/>
      <c r="Q352" s="328"/>
      <c r="R352" s="328"/>
      <c r="S352" s="328"/>
      <c r="T352" s="329"/>
      <c r="U352" s="328"/>
      <c r="V352" s="328"/>
      <c r="W352" s="328"/>
      <c r="X352" s="329"/>
      <c r="Y352" s="328"/>
      <c r="Z352" s="328"/>
      <c r="AA352" s="328"/>
      <c r="AB352" s="329"/>
      <c r="AC352" s="328"/>
      <c r="AD352" s="328"/>
      <c r="AE352" s="328"/>
      <c r="AF352" s="329"/>
      <c r="AG352" s="338"/>
      <c r="AH352" s="338"/>
      <c r="AI352" s="338"/>
      <c r="AJ352" s="339"/>
      <c r="AK352" s="338">
        <f t="shared" ref="AK352:CF352" si="686">+AK346/AG346-1</f>
        <v>0.46045469100224135</v>
      </c>
      <c r="AL352" s="338">
        <f t="shared" si="686"/>
        <v>0.42557308234676805</v>
      </c>
      <c r="AM352" s="338">
        <f t="shared" si="686"/>
        <v>0.55798611111111107</v>
      </c>
      <c r="AN352" s="339">
        <f t="shared" si="686"/>
        <v>0.61416679054556256</v>
      </c>
      <c r="AO352" s="338">
        <f t="shared" si="686"/>
        <v>0.81037992921351831</v>
      </c>
      <c r="AP352" s="338">
        <f t="shared" si="686"/>
        <v>0.67609845870715435</v>
      </c>
      <c r="AQ352" s="338">
        <f t="shared" si="686"/>
        <v>0.56546690439046121</v>
      </c>
      <c r="AR352" s="339">
        <f t="shared" si="686"/>
        <v>0.28380991849703019</v>
      </c>
      <c r="AS352" s="338">
        <f t="shared" si="686"/>
        <v>0.17849480968858145</v>
      </c>
      <c r="AT352" s="338">
        <f t="shared" si="686"/>
        <v>0.23671424650013728</v>
      </c>
      <c r="AU352" s="338">
        <f t="shared" si="686"/>
        <v>0.3655431778007141</v>
      </c>
      <c r="AV352" s="339">
        <f t="shared" si="686"/>
        <v>0.65086709348828031</v>
      </c>
      <c r="AW352" s="338">
        <f t="shared" si="686"/>
        <v>0.66051059206952734</v>
      </c>
      <c r="AX352" s="338">
        <f t="shared" si="686"/>
        <v>0.47067375453627358</v>
      </c>
      <c r="AY352" s="338">
        <f t="shared" si="686"/>
        <v>0.50062987063760289</v>
      </c>
      <c r="AZ352" s="339">
        <f t="shared" si="686"/>
        <v>0.45334260325461151</v>
      </c>
      <c r="BA352" s="338">
        <f t="shared" si="686"/>
        <v>0.63654527933232563</v>
      </c>
      <c r="BB352" s="338">
        <f t="shared" si="686"/>
        <v>0.78301815602408742</v>
      </c>
      <c r="BC352" s="338">
        <f t="shared" si="686"/>
        <v>0.62062676941068839</v>
      </c>
      <c r="BD352" s="339">
        <f t="shared" si="686"/>
        <v>0.62869807005217271</v>
      </c>
      <c r="BE352" s="338">
        <f t="shared" si="686"/>
        <v>0.49715841562763363</v>
      </c>
      <c r="BF352" s="338">
        <f t="shared" si="686"/>
        <v>0.33095199803624475</v>
      </c>
      <c r="BG352" s="338">
        <f t="shared" si="686"/>
        <v>0.34036852596757727</v>
      </c>
      <c r="BH352" s="339">
        <f t="shared" si="686"/>
        <v>0.4080827179814317</v>
      </c>
      <c r="BI352" s="338">
        <f t="shared" si="686"/>
        <v>0.45471176606431496</v>
      </c>
      <c r="BJ352" s="338">
        <f t="shared" si="686"/>
        <v>0.47270096667514605</v>
      </c>
      <c r="BK352" s="338">
        <f t="shared" si="686"/>
        <v>0.4209976439483587</v>
      </c>
      <c r="BL352" s="339">
        <f t="shared" si="686"/>
        <v>0.30107849304308432</v>
      </c>
      <c r="BM352" s="338">
        <f t="shared" si="686"/>
        <v>0.2919363120204983</v>
      </c>
      <c r="BN352" s="338">
        <f t="shared" si="686"/>
        <v>0.38114156779340802</v>
      </c>
      <c r="BO352" s="338">
        <f t="shared" si="686"/>
        <v>0.31256799033693183</v>
      </c>
      <c r="BP352" s="339">
        <f t="shared" si="686"/>
        <v>0.2522864879895188</v>
      </c>
      <c r="BQ352" s="372">
        <f t="shared" si="686"/>
        <v>0.21637022701440745</v>
      </c>
      <c r="BR352" s="338">
        <f t="shared" si="686"/>
        <v>0.18609250298989322</v>
      </c>
      <c r="BS352" s="338">
        <f t="shared" si="686"/>
        <v>0.12133938446501502</v>
      </c>
      <c r="BT352" s="339">
        <f t="shared" si="686"/>
        <v>0.12272556330815521</v>
      </c>
      <c r="BU352" s="372">
        <f t="shared" si="686"/>
        <v>0.23102578510726968</v>
      </c>
      <c r="BV352" s="338">
        <f t="shared" si="686"/>
        <v>0.21362216452042326</v>
      </c>
      <c r="BW352" s="338">
        <f t="shared" si="686"/>
        <v>0.32548816215534249</v>
      </c>
      <c r="BX352" s="339">
        <f t="shared" si="686"/>
        <v>0.31574061701009337</v>
      </c>
      <c r="BY352" s="338">
        <f t="shared" si="686"/>
        <v>0.2575479959841469</v>
      </c>
      <c r="BZ352" s="338">
        <f t="shared" si="686"/>
        <v>0.24634569373443527</v>
      </c>
      <c r="CA352" s="338">
        <f t="shared" si="686"/>
        <v>0.17708616746254635</v>
      </c>
      <c r="CB352" s="339">
        <f t="shared" si="686"/>
        <v>6.8517711038829088E-2</v>
      </c>
      <c r="CC352" s="372">
        <f t="shared" si="686"/>
        <v>0.11288833363355666</v>
      </c>
      <c r="CD352" s="338">
        <f t="shared" si="686"/>
        <v>0.14469763205541364</v>
      </c>
      <c r="CE352" s="338">
        <f t="shared" si="686"/>
        <v>0.10310805465620487</v>
      </c>
      <c r="CF352" s="339">
        <f t="shared" si="686"/>
        <v>0.20660178991432043</v>
      </c>
      <c r="CG352" s="337"/>
      <c r="CH352" s="340"/>
      <c r="CI352" s="328"/>
      <c r="CJ352" s="328"/>
      <c r="CK352" s="338">
        <f t="shared" ref="CK352:CY352" si="687">+CK346/CJ346-1</f>
        <v>0.59683886338543801</v>
      </c>
      <c r="CL352" s="338">
        <f t="shared" si="687"/>
        <v>1.13009461426492</v>
      </c>
      <c r="CM352" s="338">
        <f t="shared" si="687"/>
        <v>0.94451183052874366</v>
      </c>
      <c r="CN352" s="338">
        <f t="shared" si="687"/>
        <v>0.51706172796120242</v>
      </c>
      <c r="CO352" s="338">
        <f t="shared" si="687"/>
        <v>0.56775445200521224</v>
      </c>
      <c r="CP352" s="338">
        <f t="shared" si="687"/>
        <v>0.34970374420047867</v>
      </c>
      <c r="CQ352" s="338">
        <f t="shared" si="687"/>
        <v>0.51113495228268624</v>
      </c>
      <c r="CR352" s="338">
        <f t="shared" si="687"/>
        <v>0.66481870540080368</v>
      </c>
      <c r="CS352" s="338">
        <f t="shared" si="687"/>
        <v>0.3855733110824151</v>
      </c>
      <c r="CT352" s="338">
        <f t="shared" si="687"/>
        <v>0.41221164272080668</v>
      </c>
      <c r="CU352" s="338">
        <f t="shared" si="687"/>
        <v>0.31222170022433549</v>
      </c>
      <c r="CV352" s="338">
        <f t="shared" si="687"/>
        <v>0.16015322293971623</v>
      </c>
      <c r="CW352" s="338">
        <f t="shared" si="687"/>
        <v>0.27063915290893559</v>
      </c>
      <c r="CX352" s="338">
        <f t="shared" si="687"/>
        <v>0.19040797726660696</v>
      </c>
      <c r="CY352" s="338">
        <f t="shared" si="687"/>
        <v>0.13666451053199902</v>
      </c>
      <c r="CZ352" s="338">
        <f t="shared" ref="CZ352:DF352" si="688">+CZ346/CY346-1</f>
        <v>0.13889626242773656</v>
      </c>
      <c r="DA352" s="338">
        <f t="shared" si="688"/>
        <v>0.12455517938169769</v>
      </c>
      <c r="DB352" s="338">
        <f t="shared" si="688"/>
        <v>0.10733309813396552</v>
      </c>
      <c r="DC352" s="338">
        <f t="shared" si="688"/>
        <v>9.5206763350578649E-2</v>
      </c>
      <c r="DD352" s="338">
        <f t="shared" si="688"/>
        <v>8.6212293522026417E-2</v>
      </c>
      <c r="DE352" s="338">
        <f t="shared" si="688"/>
        <v>7.8025124196050122E-2</v>
      </c>
      <c r="DF352" s="339">
        <f t="shared" si="688"/>
        <v>7.8234251691478462E-2</v>
      </c>
      <c r="DG352" s="1475"/>
      <c r="DH352" s="1475"/>
      <c r="DI352" s="338"/>
    </row>
    <row r="353" spans="1:113" s="308" customFormat="1" ht="11.25" customHeight="1">
      <c r="A353" s="82"/>
      <c r="B353"/>
      <c r="C353"/>
      <c r="D353"/>
      <c r="E353"/>
      <c r="F353"/>
      <c r="G353"/>
      <c r="H353" s="1044"/>
      <c r="I353" s="293" t="s">
        <v>375</v>
      </c>
      <c r="J353" s="83"/>
      <c r="K353" s="83"/>
      <c r="L353" s="307"/>
      <c r="M353" s="328"/>
      <c r="N353" s="328"/>
      <c r="O353" s="328"/>
      <c r="P353" s="329"/>
      <c r="Q353" s="328"/>
      <c r="R353" s="328"/>
      <c r="S353" s="328"/>
      <c r="T353" s="329"/>
      <c r="U353" s="328"/>
      <c r="V353" s="338">
        <f t="shared" ref="V353:BY353" si="689">+V346/U346-1</f>
        <v>3.9153696498054336E-2</v>
      </c>
      <c r="W353" s="338">
        <f t="shared" si="689"/>
        <v>0.11397144863093844</v>
      </c>
      <c r="X353" s="339">
        <f t="shared" si="689"/>
        <v>-0.14621848739495791</v>
      </c>
      <c r="Y353" s="338">
        <f t="shared" si="689"/>
        <v>0.16658464566929121</v>
      </c>
      <c r="Z353" s="338">
        <f t="shared" si="689"/>
        <v>0.42353933769246987</v>
      </c>
      <c r="AA353" s="338">
        <f t="shared" si="689"/>
        <v>6.3564972588531665E-2</v>
      </c>
      <c r="AB353" s="339">
        <f t="shared" si="689"/>
        <v>0.18668152688771267</v>
      </c>
      <c r="AC353" s="338">
        <f t="shared" si="689"/>
        <v>0.16600140878140413</v>
      </c>
      <c r="AD353" s="338">
        <f t="shared" si="689"/>
        <v>0.22885622231171965</v>
      </c>
      <c r="AE353" s="338">
        <f t="shared" si="689"/>
        <v>0.62761163457599323</v>
      </c>
      <c r="AF353" s="339">
        <f t="shared" si="689"/>
        <v>-0.1677321922980114</v>
      </c>
      <c r="AG353" s="338">
        <f t="shared" si="689"/>
        <v>0.32226456178551977</v>
      </c>
      <c r="AH353" s="338">
        <f t="shared" si="689"/>
        <v>0.3948584236768673</v>
      </c>
      <c r="AI353" s="338">
        <f t="shared" si="689"/>
        <v>0.13337487292165418</v>
      </c>
      <c r="AJ353" s="339">
        <f t="shared" si="689"/>
        <v>-0.22141203703703705</v>
      </c>
      <c r="AK353" s="338">
        <f t="shared" si="689"/>
        <v>0.18652445369406867</v>
      </c>
      <c r="AL353" s="338">
        <f t="shared" si="689"/>
        <v>0.36154352115764077</v>
      </c>
      <c r="AM353" s="338">
        <f t="shared" si="689"/>
        <v>0.23864734299516921</v>
      </c>
      <c r="AN353" s="339">
        <f t="shared" si="689"/>
        <v>-0.1933363048807667</v>
      </c>
      <c r="AO353" s="338">
        <f t="shared" si="689"/>
        <v>0.33075470829304243</v>
      </c>
      <c r="AP353" s="338">
        <f t="shared" si="689"/>
        <v>0.26055363321799319</v>
      </c>
      <c r="AQ353" s="338">
        <f t="shared" si="689"/>
        <v>0.15688992588525941</v>
      </c>
      <c r="AR353" s="339">
        <f t="shared" si="689"/>
        <v>-0.33847029932021211</v>
      </c>
      <c r="AS353" s="338">
        <f t="shared" si="689"/>
        <v>0.22158856548483707</v>
      </c>
      <c r="AT353" s="338">
        <f t="shared" si="689"/>
        <v>0.32282690077366882</v>
      </c>
      <c r="AU353" s="338">
        <f t="shared" si="689"/>
        <v>0.27740353135716411</v>
      </c>
      <c r="AV353" s="339">
        <f t="shared" si="689"/>
        <v>-0.20024673553252303</v>
      </c>
      <c r="AW353" s="338">
        <f t="shared" si="689"/>
        <v>0.22872444434788264</v>
      </c>
      <c r="AX353" s="338">
        <f t="shared" si="689"/>
        <v>0.1715955405847458</v>
      </c>
      <c r="AY353" s="338">
        <f t="shared" si="689"/>
        <v>0.30342293122443742</v>
      </c>
      <c r="AZ353" s="339">
        <f t="shared" si="689"/>
        <v>-0.22544825070776431</v>
      </c>
      <c r="BA353" s="338">
        <f t="shared" si="689"/>
        <v>0.38361263510382249</v>
      </c>
      <c r="BB353" s="338">
        <f t="shared" si="689"/>
        <v>0.27645482637163177</v>
      </c>
      <c r="BC353" s="338">
        <f t="shared" si="689"/>
        <v>0.1847114888142134</v>
      </c>
      <c r="BD353" s="339">
        <f t="shared" si="689"/>
        <v>-0.22159070611518761</v>
      </c>
      <c r="BE353" s="338">
        <f t="shared" si="689"/>
        <v>0.27186698302408963</v>
      </c>
      <c r="BF353" s="338">
        <f t="shared" si="689"/>
        <v>0.13474972576641076</v>
      </c>
      <c r="BG353" s="338">
        <f t="shared" si="689"/>
        <v>0.19309336046807424</v>
      </c>
      <c r="BH353" s="339">
        <f t="shared" si="689"/>
        <v>-0.18226618053112442</v>
      </c>
      <c r="BI353" s="338">
        <f t="shared" si="689"/>
        <v>0.31398520942451036</v>
      </c>
      <c r="BJ353" s="338">
        <f t="shared" si="689"/>
        <v>0.14878222411838671</v>
      </c>
      <c r="BK353" s="338">
        <f t="shared" si="689"/>
        <v>0.15120645168255487</v>
      </c>
      <c r="BL353" s="339">
        <f t="shared" si="689"/>
        <v>-0.25127540494106881</v>
      </c>
      <c r="BM353" s="338">
        <f t="shared" si="689"/>
        <v>0.30475233784159528</v>
      </c>
      <c r="BN353" s="338">
        <f t="shared" si="689"/>
        <v>0.22810301661905208</v>
      </c>
      <c r="BO353" s="338">
        <f t="shared" si="689"/>
        <v>9.4049135862300792E-2</v>
      </c>
      <c r="BP353" s="339">
        <f t="shared" si="689"/>
        <v>-0.28566161865867212</v>
      </c>
      <c r="BQ353" s="372">
        <f t="shared" si="689"/>
        <v>0.26733132761490208</v>
      </c>
      <c r="BR353" s="338">
        <f t="shared" si="689"/>
        <v>0.19753324157438179</v>
      </c>
      <c r="BS353" s="338">
        <f t="shared" si="689"/>
        <v>3.4321000672211222E-2</v>
      </c>
      <c r="BT353" s="339">
        <f t="shared" si="689"/>
        <v>-0.28477856686830749</v>
      </c>
      <c r="BU353" s="372">
        <f t="shared" si="689"/>
        <v>0.38958049371497805</v>
      </c>
      <c r="BV353" s="338">
        <f t="shared" si="689"/>
        <v>0.18060312164624337</v>
      </c>
      <c r="BW353" s="338">
        <f t="shared" si="689"/>
        <v>0.12965985818283299</v>
      </c>
      <c r="BX353" s="339">
        <f t="shared" si="689"/>
        <v>-0.29003825413474404</v>
      </c>
      <c r="BY353" s="338">
        <f t="shared" si="689"/>
        <v>0.32812208009576604</v>
      </c>
      <c r="BZ353" s="338">
        <f t="shared" ref="BZ353:CF353" si="690">+BZ346/BY346-1</f>
        <v>0.17008624829598684</v>
      </c>
      <c r="CA353" s="338">
        <f t="shared" si="690"/>
        <v>6.6884572786947372E-2</v>
      </c>
      <c r="CB353" s="339">
        <f t="shared" si="690"/>
        <v>-0.3555215237535172</v>
      </c>
      <c r="CC353" s="372">
        <f t="shared" si="690"/>
        <v>0.3832728772859797</v>
      </c>
      <c r="CD353" s="338">
        <f t="shared" si="690"/>
        <v>0.20353041472896294</v>
      </c>
      <c r="CE353" s="338">
        <f t="shared" si="690"/>
        <v>2.8122128213464936E-2</v>
      </c>
      <c r="CF353" s="339">
        <f t="shared" si="690"/>
        <v>-0.2950564727381888</v>
      </c>
      <c r="CG353" s="337"/>
      <c r="CH353" s="340"/>
      <c r="CI353" s="328"/>
      <c r="CJ353" s="328"/>
      <c r="CK353" s="338"/>
      <c r="CL353" s="338"/>
      <c r="CM353" s="338"/>
      <c r="CN353" s="338"/>
      <c r="CO353" s="338"/>
      <c r="CP353" s="338"/>
      <c r="CQ353" s="338"/>
      <c r="CR353" s="338"/>
      <c r="CS353" s="338"/>
      <c r="CT353" s="338"/>
      <c r="CU353" s="338"/>
      <c r="CV353" s="338"/>
      <c r="CW353" s="338"/>
      <c r="CX353" s="338"/>
      <c r="CY353" s="338"/>
      <c r="CZ353" s="338"/>
      <c r="DA353" s="338"/>
      <c r="DB353" s="338"/>
      <c r="DC353" s="338"/>
      <c r="DD353" s="338"/>
      <c r="DE353" s="338"/>
      <c r="DF353" s="339"/>
      <c r="DG353" s="1475"/>
      <c r="DH353" s="1475"/>
      <c r="DI353" s="338"/>
    </row>
    <row r="354" spans="1:113" s="1469" customFormat="1" ht="11.25" customHeight="1">
      <c r="A354" s="91"/>
      <c r="B354"/>
      <c r="C354"/>
      <c r="D354"/>
      <c r="E354"/>
      <c r="F354"/>
      <c r="G354"/>
      <c r="H354" s="1052"/>
      <c r="I354" s="1727" t="s">
        <v>510</v>
      </c>
      <c r="J354" s="81"/>
      <c r="K354" s="81"/>
      <c r="L354" s="1150"/>
      <c r="M354" s="345"/>
      <c r="N354" s="345"/>
      <c r="O354" s="345"/>
      <c r="P354" s="346"/>
      <c r="Q354" s="345"/>
      <c r="R354" s="345"/>
      <c r="S354" s="345"/>
      <c r="T354" s="346"/>
      <c r="U354" s="345"/>
      <c r="V354" s="345"/>
      <c r="W354" s="345"/>
      <c r="X354" s="346"/>
      <c r="Y354" s="345"/>
      <c r="Z354" s="345"/>
      <c r="AA354" s="345"/>
      <c r="AB354" s="346"/>
      <c r="AC354" s="345"/>
      <c r="AD354" s="345"/>
      <c r="AE354" s="345"/>
      <c r="AF354" s="346"/>
      <c r="AG354" s="347">
        <f t="shared" ref="AG354:BL354" si="691">+AG346/AG12</f>
        <v>2.9272074566730186E-2</v>
      </c>
      <c r="AH354" s="347">
        <f t="shared" si="691"/>
        <v>3.2881867687496631E-2</v>
      </c>
      <c r="AI354" s="347">
        <f t="shared" si="691"/>
        <v>3.8265306122448987E-2</v>
      </c>
      <c r="AJ354" s="348">
        <f t="shared" si="691"/>
        <v>3.624412386686602E-2</v>
      </c>
      <c r="AK354" s="347">
        <f t="shared" si="691"/>
        <v>3.1975250653235733E-2</v>
      </c>
      <c r="AL354" s="347">
        <f t="shared" si="691"/>
        <v>3.520091731306952E-2</v>
      </c>
      <c r="AM354" s="347">
        <f t="shared" si="691"/>
        <v>3.8717666067680415E-2</v>
      </c>
      <c r="AN354" s="348">
        <f t="shared" si="691"/>
        <v>3.603491489059852E-2</v>
      </c>
      <c r="AO354" s="347">
        <f t="shared" si="691"/>
        <v>3.2866829067469121E-2</v>
      </c>
      <c r="AP354" s="347">
        <f t="shared" si="691"/>
        <v>3.4531378482581462E-2</v>
      </c>
      <c r="AQ354" s="347">
        <f t="shared" si="691"/>
        <v>4.1108998272067231E-2</v>
      </c>
      <c r="AR354" s="348">
        <f t="shared" si="691"/>
        <v>3.7648039008502394E-2</v>
      </c>
      <c r="AS354" s="347">
        <f t="shared" si="691"/>
        <v>3.5047108846337494E-2</v>
      </c>
      <c r="AT354" s="347">
        <f t="shared" si="691"/>
        <v>3.7873164597184407E-2</v>
      </c>
      <c r="AU354" s="347">
        <f t="shared" si="691"/>
        <v>4.2273048126849622E-2</v>
      </c>
      <c r="AV354" s="348">
        <f t="shared" si="691"/>
        <v>4.0651742097653563E-2</v>
      </c>
      <c r="AW354" s="347">
        <f t="shared" si="691"/>
        <v>3.8151985280104696E-2</v>
      </c>
      <c r="AX354" s="347">
        <f t="shared" si="691"/>
        <v>3.8859532341401333E-2</v>
      </c>
      <c r="AY354" s="347">
        <f t="shared" si="691"/>
        <v>4.3117074388417373E-2</v>
      </c>
      <c r="AZ354" s="348">
        <f t="shared" si="691"/>
        <v>4.0975803981623281E-2</v>
      </c>
      <c r="BA354" s="347">
        <f t="shared" si="691"/>
        <v>3.9680171489817791E-2</v>
      </c>
      <c r="BB354" s="347">
        <f t="shared" si="691"/>
        <v>4.087923875432526E-2</v>
      </c>
      <c r="BC354" s="347">
        <f t="shared" si="691"/>
        <v>4.4738053380214159E-2</v>
      </c>
      <c r="BD354" s="348">
        <f t="shared" si="691"/>
        <v>4.3966303470540757E-2</v>
      </c>
      <c r="BE354" s="347">
        <f t="shared" si="691"/>
        <v>4.1295783042765613E-2</v>
      </c>
      <c r="BF354" s="347">
        <f t="shared" si="691"/>
        <v>4.2908991676899988E-2</v>
      </c>
      <c r="BG354" s="347">
        <f t="shared" si="691"/>
        <v>4.790653728294178E-2</v>
      </c>
      <c r="BH354" s="348">
        <f t="shared" si="691"/>
        <v>4.660039489671932E-2</v>
      </c>
      <c r="BI354" s="347">
        <f t="shared" si="691"/>
        <v>4.404599584835573E-2</v>
      </c>
      <c r="BJ354" s="347">
        <f t="shared" si="691"/>
        <v>4.577789858653751E-2</v>
      </c>
      <c r="BK354" s="347">
        <f t="shared" si="691"/>
        <v>4.9527542963307011E-2</v>
      </c>
      <c r="BL354" s="348">
        <f t="shared" si="691"/>
        <v>4.3689723103863411E-2</v>
      </c>
      <c r="BM354" s="347">
        <f t="shared" ref="BM354:CF354" si="692">+BM346/BM12</f>
        <v>4.2414332247557002E-2</v>
      </c>
      <c r="BN354" s="347">
        <f t="shared" si="692"/>
        <v>4.7248855074604815E-2</v>
      </c>
      <c r="BO354" s="347">
        <f t="shared" si="692"/>
        <v>5.0626781451204514E-2</v>
      </c>
      <c r="BP354" s="348">
        <f t="shared" si="692"/>
        <v>4.6899709165963033E-2</v>
      </c>
      <c r="BQ354" s="1510">
        <f t="shared" si="692"/>
        <v>4.5988966318234611E-2</v>
      </c>
      <c r="BR354" s="347">
        <f t="shared" si="692"/>
        <v>5.0714572192513373E-2</v>
      </c>
      <c r="BS354" s="347">
        <f t="shared" si="692"/>
        <v>5.3101163892272298E-2</v>
      </c>
      <c r="BT354" s="348">
        <f t="shared" si="692"/>
        <v>4.6716747128350257E-2</v>
      </c>
      <c r="BU354" s="1510">
        <f t="shared" si="692"/>
        <v>4.6832943013270879E-2</v>
      </c>
      <c r="BV354" s="347">
        <f t="shared" si="692"/>
        <v>5.1548706751763519E-2</v>
      </c>
      <c r="BW354" s="347">
        <f t="shared" si="692"/>
        <v>5.6346099674972908E-2</v>
      </c>
      <c r="BX354" s="348">
        <f t="shared" si="692"/>
        <v>4.8866199047114874E-2</v>
      </c>
      <c r="BY354" s="347">
        <f t="shared" si="692"/>
        <v>4.7410112631120993E-2</v>
      </c>
      <c r="BZ354" s="347">
        <f t="shared" si="692"/>
        <v>5.5180506803865936E-2</v>
      </c>
      <c r="CA354" s="347">
        <f t="shared" si="692"/>
        <v>5.6260683760683765E-2</v>
      </c>
      <c r="CB354" s="348">
        <f t="shared" ref="CB354" si="693">+CB346/CB12</f>
        <v>4.3885650723025582E-2</v>
      </c>
      <c r="CC354" s="1510">
        <f t="shared" si="692"/>
        <v>4.3867611197693231E-2</v>
      </c>
      <c r="CD354" s="347">
        <f t="shared" si="692"/>
        <v>5.236529192579073E-2</v>
      </c>
      <c r="CE354" s="347">
        <f t="shared" si="692"/>
        <v>5.4429248212459348E-2</v>
      </c>
      <c r="CF354" s="348">
        <f t="shared" si="692"/>
        <v>4.3266841494126608E-2</v>
      </c>
      <c r="CG354" s="344"/>
      <c r="CH354" s="1728"/>
      <c r="CI354" s="345"/>
      <c r="CJ354" s="345"/>
      <c r="CK354" s="345"/>
      <c r="CL354" s="345"/>
      <c r="CM354" s="347">
        <f t="shared" ref="CM354:DF354" si="694">+CM346/CM12</f>
        <v>3.428632706870309E-2</v>
      </c>
      <c r="CN354" s="347">
        <f t="shared" si="694"/>
        <v>3.5754840750931369E-2</v>
      </c>
      <c r="CO354" s="347">
        <f t="shared" si="694"/>
        <v>3.6582124309656183E-2</v>
      </c>
      <c r="CP354" s="347">
        <f t="shared" si="694"/>
        <v>3.9245818126667685E-2</v>
      </c>
      <c r="CQ354" s="347">
        <f t="shared" si="694"/>
        <v>4.0462044390704159E-2</v>
      </c>
      <c r="CR354" s="347">
        <f t="shared" si="694"/>
        <v>4.244219226151999E-2</v>
      </c>
      <c r="CS354" s="347">
        <f t="shared" si="694"/>
        <v>4.4758117795895412E-2</v>
      </c>
      <c r="CT354" s="347">
        <f t="shared" si="694"/>
        <v>4.5916598590830186E-2</v>
      </c>
      <c r="CU354" s="347">
        <f t="shared" si="694"/>
        <v>4.6922882703777334E-2</v>
      </c>
      <c r="CV354" s="347">
        <f t="shared" si="694"/>
        <v>4.9312382941939202E-2</v>
      </c>
      <c r="CW354" s="347">
        <f t="shared" si="694"/>
        <v>5.1100606576879579E-2</v>
      </c>
      <c r="CX354" s="347">
        <f t="shared" si="694"/>
        <v>5.0990704946691952E-2</v>
      </c>
      <c r="CY354" s="347">
        <f t="shared" si="694"/>
        <v>4.8641289832098561E-2</v>
      </c>
      <c r="CZ354" s="347">
        <f t="shared" si="694"/>
        <v>4.8337204017689879E-2</v>
      </c>
      <c r="DA354" s="347">
        <f t="shared" si="694"/>
        <v>4.8302344599154216E-2</v>
      </c>
      <c r="DB354" s="347">
        <f t="shared" si="694"/>
        <v>4.8289623421081278E-2</v>
      </c>
      <c r="DC354" s="347">
        <f t="shared" si="694"/>
        <v>4.8286528808900497E-2</v>
      </c>
      <c r="DD354" s="347">
        <f t="shared" si="694"/>
        <v>4.8290135730566612E-2</v>
      </c>
      <c r="DE354" s="347">
        <f t="shared" si="694"/>
        <v>4.8300283319863642E-2</v>
      </c>
      <c r="DF354" s="348">
        <f t="shared" si="694"/>
        <v>4.8306924062336887E-2</v>
      </c>
      <c r="DG354" s="1729"/>
      <c r="DH354" s="1729"/>
      <c r="DI354" s="347"/>
    </row>
    <row r="355" spans="1:113" s="1469" customFormat="1" ht="11.25" customHeight="1">
      <c r="A355" s="91"/>
      <c r="B355"/>
      <c r="C355"/>
      <c r="D355"/>
      <c r="E355"/>
      <c r="F355"/>
      <c r="G355"/>
      <c r="H355" s="1052"/>
      <c r="I355" s="1332" t="s">
        <v>623</v>
      </c>
      <c r="J355" s="85"/>
      <c r="K355" s="85"/>
      <c r="L355" s="60"/>
      <c r="M355" s="352"/>
      <c r="N355" s="352"/>
      <c r="O355" s="352"/>
      <c r="P355" s="353"/>
      <c r="Q355" s="352"/>
      <c r="R355" s="352"/>
      <c r="S355" s="352"/>
      <c r="T355" s="353"/>
      <c r="U355" s="352"/>
      <c r="V355" s="352"/>
      <c r="W355" s="352"/>
      <c r="X355" s="353"/>
      <c r="Y355" s="352"/>
      <c r="Z355" s="352"/>
      <c r="AA355" s="352"/>
      <c r="AB355" s="353"/>
      <c r="AC355" s="352"/>
      <c r="AD355" s="352"/>
      <c r="AE355" s="352"/>
      <c r="AF355" s="353"/>
      <c r="AG355" s="352"/>
      <c r="AH355" s="352"/>
      <c r="AI355" s="352"/>
      <c r="AJ355" s="353"/>
      <c r="AK355" s="354">
        <f t="shared" ref="AK355:CF355" si="695">+(AK354-AG354)*10000</f>
        <v>27.031760865055475</v>
      </c>
      <c r="AL355" s="354">
        <f t="shared" si="695"/>
        <v>23.190496255728888</v>
      </c>
      <c r="AM355" s="354">
        <f t="shared" si="695"/>
        <v>4.5235994523142722</v>
      </c>
      <c r="AN355" s="355">
        <f t="shared" si="695"/>
        <v>-2.0920897626749979</v>
      </c>
      <c r="AO355" s="354">
        <f t="shared" si="695"/>
        <v>8.9157841423338766</v>
      </c>
      <c r="AP355" s="354">
        <f t="shared" si="695"/>
        <v>-6.6953883048805753</v>
      </c>
      <c r="AQ355" s="354">
        <f t="shared" si="695"/>
        <v>23.91332204386816</v>
      </c>
      <c r="AR355" s="355">
        <f t="shared" si="695"/>
        <v>16.131241179038746</v>
      </c>
      <c r="AS355" s="354">
        <f t="shared" si="695"/>
        <v>21.80279778868373</v>
      </c>
      <c r="AT355" s="354">
        <f t="shared" si="695"/>
        <v>33.417861146029445</v>
      </c>
      <c r="AU355" s="354">
        <f t="shared" si="695"/>
        <v>11.64049854782391</v>
      </c>
      <c r="AV355" s="355">
        <f t="shared" si="695"/>
        <v>30.037030891511691</v>
      </c>
      <c r="AW355" s="354">
        <f t="shared" si="695"/>
        <v>31.048764337672022</v>
      </c>
      <c r="AX355" s="354">
        <f t="shared" si="695"/>
        <v>9.8636774421692603</v>
      </c>
      <c r="AY355" s="354">
        <f t="shared" si="695"/>
        <v>8.4402626156775131</v>
      </c>
      <c r="AZ355" s="355">
        <f t="shared" si="695"/>
        <v>3.2406188396971736</v>
      </c>
      <c r="BA355" s="354">
        <f t="shared" si="695"/>
        <v>15.281862097130949</v>
      </c>
      <c r="BB355" s="354">
        <f t="shared" si="695"/>
        <v>20.197064129239273</v>
      </c>
      <c r="BC355" s="354">
        <f t="shared" si="695"/>
        <v>16.209789917967857</v>
      </c>
      <c r="BD355" s="355">
        <f t="shared" si="695"/>
        <v>29.904994889174766</v>
      </c>
      <c r="BE355" s="354">
        <f t="shared" si="695"/>
        <v>16.156115529478225</v>
      </c>
      <c r="BF355" s="354">
        <f t="shared" si="695"/>
        <v>20.297529225747276</v>
      </c>
      <c r="BG355" s="354">
        <f t="shared" si="695"/>
        <v>31.684839027276215</v>
      </c>
      <c r="BH355" s="355">
        <f t="shared" si="695"/>
        <v>26.340914261785628</v>
      </c>
      <c r="BI355" s="354">
        <f t="shared" si="695"/>
        <v>27.502128055901174</v>
      </c>
      <c r="BJ355" s="354">
        <f t="shared" si="695"/>
        <v>28.689069096375224</v>
      </c>
      <c r="BK355" s="354">
        <f t="shared" si="695"/>
        <v>16.210056803652311</v>
      </c>
      <c r="BL355" s="355">
        <f t="shared" si="695"/>
        <v>-29.106717928559096</v>
      </c>
      <c r="BM355" s="354">
        <f t="shared" si="695"/>
        <v>-16.316636007987288</v>
      </c>
      <c r="BN355" s="354">
        <f t="shared" si="695"/>
        <v>14.709564880673042</v>
      </c>
      <c r="BO355" s="354">
        <f t="shared" si="695"/>
        <v>10.992384878975026</v>
      </c>
      <c r="BP355" s="355">
        <f t="shared" si="695"/>
        <v>32.099860620996218</v>
      </c>
      <c r="BQ355" s="1511">
        <f t="shared" si="695"/>
        <v>35.746340706776095</v>
      </c>
      <c r="BR355" s="354">
        <f t="shared" si="695"/>
        <v>34.65717117908558</v>
      </c>
      <c r="BS355" s="354">
        <f t="shared" si="695"/>
        <v>24.743824410677835</v>
      </c>
      <c r="BT355" s="355">
        <f t="shared" si="695"/>
        <v>-1.8296203761277581</v>
      </c>
      <c r="BU355" s="1511">
        <f t="shared" si="695"/>
        <v>8.439766950362678</v>
      </c>
      <c r="BV355" s="354">
        <f t="shared" si="695"/>
        <v>8.3413455925014652</v>
      </c>
      <c r="BW355" s="354">
        <f t="shared" si="695"/>
        <v>32.449357827006104</v>
      </c>
      <c r="BX355" s="355">
        <f t="shared" si="695"/>
        <v>21.494519187646166</v>
      </c>
      <c r="BY355" s="354">
        <f t="shared" si="695"/>
        <v>5.7716961785011369</v>
      </c>
      <c r="BZ355" s="354">
        <f t="shared" si="695"/>
        <v>36.318000521024175</v>
      </c>
      <c r="CA355" s="354">
        <f t="shared" si="695"/>
        <v>-0.85415914289142802</v>
      </c>
      <c r="CB355" s="355">
        <f t="shared" si="695"/>
        <v>-49.805483240892912</v>
      </c>
      <c r="CC355" s="1511">
        <f t="shared" si="695"/>
        <v>-35.425014334277627</v>
      </c>
      <c r="CD355" s="354">
        <f t="shared" si="695"/>
        <v>-28.152148780752061</v>
      </c>
      <c r="CE355" s="354">
        <f t="shared" si="695"/>
        <v>-18.314355482244167</v>
      </c>
      <c r="CF355" s="355">
        <f t="shared" si="695"/>
        <v>-6.1880922889897407</v>
      </c>
      <c r="CG355" s="351"/>
      <c r="CH355" s="383"/>
      <c r="CI355" s="352"/>
      <c r="CJ355" s="352"/>
      <c r="CK355" s="352"/>
      <c r="CL355" s="352"/>
      <c r="CM355" s="352"/>
      <c r="CN355" s="354">
        <f t="shared" ref="CN355:CX355" si="696">+(CN354-CM354)*10000</f>
        <v>14.685136822282786</v>
      </c>
      <c r="CO355" s="354">
        <f t="shared" si="696"/>
        <v>8.2728355872481458</v>
      </c>
      <c r="CP355" s="354">
        <f t="shared" si="696"/>
        <v>26.63693817011502</v>
      </c>
      <c r="CQ355" s="354">
        <f t="shared" si="696"/>
        <v>12.162262640364741</v>
      </c>
      <c r="CR355" s="354">
        <f t="shared" si="696"/>
        <v>19.801478708158307</v>
      </c>
      <c r="CS355" s="354">
        <f t="shared" si="696"/>
        <v>23.159255343754221</v>
      </c>
      <c r="CT355" s="354">
        <f t="shared" si="696"/>
        <v>11.584807949347741</v>
      </c>
      <c r="CU355" s="354">
        <f t="shared" si="696"/>
        <v>10.062841129471478</v>
      </c>
      <c r="CV355" s="354">
        <f t="shared" si="696"/>
        <v>23.895002381618681</v>
      </c>
      <c r="CW355" s="354">
        <f t="shared" si="696"/>
        <v>17.882236349403765</v>
      </c>
      <c r="CX355" s="354">
        <f t="shared" si="696"/>
        <v>-1.0990163018762682</v>
      </c>
      <c r="CY355" s="354">
        <f t="shared" ref="CY355:DF355" si="697">+(CY354-CX354)*10000</f>
        <v>-23.494151145933909</v>
      </c>
      <c r="CZ355" s="354">
        <f t="shared" si="697"/>
        <v>-3.0408581440868194</v>
      </c>
      <c r="DA355" s="354">
        <f t="shared" si="697"/>
        <v>-0.34859418535662656</v>
      </c>
      <c r="DB355" s="354">
        <f t="shared" si="697"/>
        <v>-0.12721178072938599</v>
      </c>
      <c r="DC355" s="354">
        <f t="shared" si="697"/>
        <v>-3.0946121807803872E-2</v>
      </c>
      <c r="DD355" s="354">
        <f t="shared" si="697"/>
        <v>3.6069216661147041E-2</v>
      </c>
      <c r="DE355" s="354">
        <f t="shared" si="697"/>
        <v>0.10147589297029858</v>
      </c>
      <c r="DF355" s="355">
        <f t="shared" si="697"/>
        <v>6.6407424732448095E-2</v>
      </c>
      <c r="DG355" s="1729"/>
      <c r="DH355" s="1729"/>
      <c r="DI355" s="347"/>
    </row>
    <row r="356" spans="1:113" s="308" customFormat="1" ht="11.25" customHeight="1">
      <c r="A356" s="82"/>
      <c r="B356"/>
      <c r="C356"/>
      <c r="D356"/>
      <c r="E356"/>
      <c r="F356"/>
      <c r="G356"/>
      <c r="H356" s="1044"/>
      <c r="I356" s="164" t="s">
        <v>519</v>
      </c>
      <c r="J356" s="83"/>
      <c r="K356" s="83"/>
      <c r="L356" s="307"/>
      <c r="M356" s="328"/>
      <c r="N356" s="328"/>
      <c r="O356" s="328"/>
      <c r="P356" s="329"/>
      <c r="Q356" s="328"/>
      <c r="R356" s="328"/>
      <c r="S356" s="328"/>
      <c r="T356" s="329"/>
      <c r="U356" s="328"/>
      <c r="V356" s="328"/>
      <c r="W356" s="328"/>
      <c r="X356" s="329"/>
      <c r="Y356" s="328"/>
      <c r="Z356" s="328"/>
      <c r="AA356" s="328"/>
      <c r="AB356" s="329"/>
      <c r="AC356" s="328"/>
      <c r="AD356" s="328"/>
      <c r="AE356" s="328"/>
      <c r="AF356" s="329"/>
      <c r="AG356" s="338"/>
      <c r="AH356" s="338"/>
      <c r="AI356" s="338"/>
      <c r="AJ356" s="339"/>
      <c r="AK356" s="1278">
        <f>FX!AK57</f>
        <v>8.3213882074507195E-2</v>
      </c>
      <c r="AL356" s="1186">
        <f>FX!AL57</f>
        <v>7.2842550230693123E-2</v>
      </c>
      <c r="AM356" s="1186">
        <f>FX!AM57</f>
        <v>6.5219877535805382E-2</v>
      </c>
      <c r="AN356" s="1187">
        <f>FX!AN57</f>
        <v>0.13027561856479319</v>
      </c>
      <c r="AO356" s="1278">
        <f>FX!AO57</f>
        <v>0.14556289454262397</v>
      </c>
      <c r="AP356" s="1186">
        <f>FX!AP57</f>
        <v>0.14268668573674295</v>
      </c>
      <c r="AQ356" s="1186">
        <f>FX!AQ57</f>
        <v>8.5046663822106003E-2</v>
      </c>
      <c r="AR356" s="1187">
        <f>FX!AR57</f>
        <v>-5.9157470816737681E-2</v>
      </c>
      <c r="AS356" s="1278">
        <f>FX!AS57</f>
        <v>-0.10241134194793704</v>
      </c>
      <c r="AT356" s="1186">
        <f>FX!AT57</f>
        <v>-0.10760533056400479</v>
      </c>
      <c r="AU356" s="1186">
        <f>FX!AU57</f>
        <v>-6.7520668247712162E-2</v>
      </c>
      <c r="AV356" s="1187">
        <f>FX!AV57</f>
        <v>7.2484674391877987E-2</v>
      </c>
      <c r="AW356" s="1278">
        <f>FX!AW57</f>
        <v>5.3447696468529225E-2</v>
      </c>
      <c r="AX356" s="1186">
        <f>FX!AX57</f>
        <v>-5.0362897248835241E-2</v>
      </c>
      <c r="AY356" s="1186">
        <f>FX!AY57</f>
        <v>-7.6837267471436863E-2</v>
      </c>
      <c r="AZ356" s="1187">
        <f>FX!AZ57</f>
        <v>-4.4548648462389893E-2</v>
      </c>
      <c r="BA356" s="1278">
        <f>FX!BA57</f>
        <v>6.8726890420110417E-3</v>
      </c>
      <c r="BB356" s="1186">
        <f>FX!BB57</f>
        <v>0.15242329247989281</v>
      </c>
      <c r="BC356" s="1186">
        <f>FX!BC57</f>
        <v>9.1925676310123675E-2</v>
      </c>
      <c r="BD356" s="1187">
        <f>FX!BD57</f>
        <v>-1.0638302973914854E-2</v>
      </c>
      <c r="BE356" s="1278">
        <f>FX!BE57</f>
        <v>-3.121276374103155E-2</v>
      </c>
      <c r="BF356" s="1186">
        <f>FX!BF57</f>
        <v>-9.0999151311805374E-2</v>
      </c>
      <c r="BG356" s="1186">
        <f>FX!BG57</f>
        <v>-8.9710887496926378E-2</v>
      </c>
      <c r="BH356" s="1187">
        <f>FX!BH57</f>
        <v>-1.8026788620613455E-2</v>
      </c>
      <c r="BI356" s="1278">
        <f>FX!BI57</f>
        <v>-1.8610062416968608E-3</v>
      </c>
      <c r="BJ356" s="1186">
        <f>FX!BJ57</f>
        <v>1.1568525934735942E-3</v>
      </c>
      <c r="BK356" s="1186">
        <f>FX!BK57</f>
        <v>6.8590395389214456E-3</v>
      </c>
      <c r="BL356" s="1187">
        <f>FX!BL57</f>
        <v>-6.718920491309008E-3</v>
      </c>
      <c r="BM356" s="1278">
        <f>FX!BM57</f>
        <v>-1.0861790354907782E-2</v>
      </c>
      <c r="BN356" s="1186">
        <f>FX!BN57</f>
        <v>1.0093537506192272E-2</v>
      </c>
      <c r="BO356" s="1186">
        <f>FX!BO57</f>
        <v>-3.4541129487172186E-3</v>
      </c>
      <c r="BP356" s="1187">
        <f>FX!BP57</f>
        <v>-6.9187885937255583E-2</v>
      </c>
      <c r="BQ356" s="1278">
        <f>FX!BQ57</f>
        <v>-0.13419990358599074</v>
      </c>
      <c r="BR356" s="1186">
        <f>FX!BR57</f>
        <v>-0.15691277407447077</v>
      </c>
      <c r="BS356" s="1186">
        <f>FX!BS57</f>
        <v>-0.1481289306907799</v>
      </c>
      <c r="BT356" s="1187">
        <f>FX!BT57</f>
        <v>-0.11702003321870257</v>
      </c>
      <c r="BU356" s="1278">
        <f>FX!BU57</f>
        <v>-5.1070780399274041E-2</v>
      </c>
      <c r="BV356" s="1186">
        <f>FX!BV57</f>
        <v>-1.6592040122384629E-2</v>
      </c>
      <c r="BW356" s="1186">
        <f>FX!BW57</f>
        <v>-1.1146367651723312E-2</v>
      </c>
      <c r="BX356" s="1187">
        <f>FX!BX57</f>
        <v>-2.3207461135675754E-2</v>
      </c>
      <c r="BY356" s="1186">
        <f>FX!BY57</f>
        <v>-2.9401893107762436E-2</v>
      </c>
      <c r="BZ356" s="1186">
        <f>FX!BZ57</f>
        <v>-2.6971936117361522E-2</v>
      </c>
      <c r="CA356" s="1186">
        <f>FX!CA57</f>
        <v>1.9660360220411274E-2</v>
      </c>
      <c r="CB356" s="1187">
        <f>FX!CB57</f>
        <v>5.2628085235402924E-2</v>
      </c>
      <c r="CC356" s="1278">
        <f>FX!CC57</f>
        <v>6.171233571310078E-2</v>
      </c>
      <c r="CD356" s="1186">
        <f>FX!CD57</f>
        <v>3.4986884159618183E-2</v>
      </c>
      <c r="CE356" s="1186">
        <f>FX!CE57</f>
        <v>-4.557675090678546E-3</v>
      </c>
      <c r="CF356" s="1187">
        <f>FX!CF57</f>
        <v>3.6821902121040105E-2</v>
      </c>
      <c r="CG356" s="337"/>
      <c r="CH356" s="340"/>
      <c r="CI356" s="328"/>
      <c r="CJ356" s="328"/>
      <c r="CK356" s="328"/>
      <c r="CL356" s="328"/>
      <c r="CM356" s="338"/>
      <c r="CN356" s="338"/>
      <c r="CO356" s="1186">
        <f>FX!CO57</f>
        <v>3.2802420937837057E-3</v>
      </c>
      <c r="CP356" s="1186">
        <f>FX!CP57</f>
        <v>-5.8505127907454768E-2</v>
      </c>
      <c r="CQ356" s="1186">
        <f>FX!CQ57</f>
        <v>-2.3317772499692517E-2</v>
      </c>
      <c r="CR356" s="1186">
        <f>FX!CR57</f>
        <v>1.2390599810113089E-3</v>
      </c>
      <c r="CS356" s="1186">
        <f>FX!CS57</f>
        <v>-5.4851299737803866E-2</v>
      </c>
      <c r="CT356" s="1186">
        <f>FX!CT57</f>
        <v>-2.1106341786858104E-4</v>
      </c>
      <c r="CU356" s="1186">
        <f>FX!CU57</f>
        <v>-1.9592559987190242E-2</v>
      </c>
      <c r="CV356" s="1186">
        <f>FX!CV57</f>
        <v>-0.13896771583995177</v>
      </c>
      <c r="CW356" s="1186">
        <f>FX!CW57</f>
        <v>-2.5412829772573559E-2</v>
      </c>
      <c r="CX356" s="1186">
        <f>FX!CX57</f>
        <v>2.380801179736703E-2</v>
      </c>
      <c r="CY356" s="1186">
        <f>FX!CY57</f>
        <v>3.0660110734828074E-2</v>
      </c>
      <c r="CZ356" s="1186">
        <f>FX!CZ57</f>
        <v>1.800640704885353E-4</v>
      </c>
      <c r="DA356" s="1186">
        <f>FX!DA57</f>
        <v>0</v>
      </c>
      <c r="DB356" s="1186">
        <f>FX!DB57</f>
        <v>0</v>
      </c>
      <c r="DC356" s="1186">
        <f>FX!DC57</f>
        <v>0</v>
      </c>
      <c r="DD356" s="1186">
        <f>FX!DD57</f>
        <v>0</v>
      </c>
      <c r="DE356" s="1186">
        <f>FX!DE57</f>
        <v>0</v>
      </c>
      <c r="DF356" s="1187">
        <f>FX!DF57</f>
        <v>0</v>
      </c>
      <c r="DG356" s="1478"/>
      <c r="DH356" s="1478"/>
      <c r="DI356" s="1186"/>
    </row>
    <row r="357" spans="1:113" s="1469" customFormat="1" ht="11.25" customHeight="1">
      <c r="A357" s="91"/>
      <c r="B357"/>
      <c r="C357"/>
      <c r="D357"/>
      <c r="E357"/>
      <c r="F357"/>
      <c r="G357"/>
      <c r="H357" s="1052"/>
      <c r="I357" s="728" t="s">
        <v>626</v>
      </c>
      <c r="J357" s="81"/>
      <c r="K357" s="81"/>
      <c r="L357" s="1150"/>
      <c r="M357" s="345"/>
      <c r="N357" s="345"/>
      <c r="O357" s="345"/>
      <c r="P357" s="346"/>
      <c r="Q357" s="345"/>
      <c r="R357" s="345"/>
      <c r="S357" s="345"/>
      <c r="T357" s="346"/>
      <c r="U357" s="345"/>
      <c r="V357" s="345"/>
      <c r="W357" s="345"/>
      <c r="X357" s="346"/>
      <c r="Y357" s="345"/>
      <c r="Z357" s="345"/>
      <c r="AA357" s="345"/>
      <c r="AB357" s="346"/>
      <c r="AC357" s="345"/>
      <c r="AD357" s="345"/>
      <c r="AE357" s="345"/>
      <c r="AF357" s="346"/>
      <c r="AG357" s="347"/>
      <c r="AH357" s="347"/>
      <c r="AI357" s="347"/>
      <c r="AJ357" s="348"/>
      <c r="AK357" s="465">
        <f t="shared" ref="AK357:CF357" si="698">+AG346*(1+AK358)</f>
        <v>30.107861323969196</v>
      </c>
      <c r="AL357" s="465">
        <f t="shared" si="698"/>
        <v>41.248812115815475</v>
      </c>
      <c r="AM357" s="465">
        <f t="shared" si="698"/>
        <v>51.590001032362572</v>
      </c>
      <c r="AN357" s="466">
        <f t="shared" si="698"/>
        <v>39.928543655658544</v>
      </c>
      <c r="AO357" s="465">
        <f t="shared" si="698"/>
        <v>53.152613465937641</v>
      </c>
      <c r="AP357" s="465">
        <f t="shared" si="698"/>
        <v>66.657409771023779</v>
      </c>
      <c r="AQ357" s="465">
        <f t="shared" si="698"/>
        <v>79.711747433162515</v>
      </c>
      <c r="AR357" s="466">
        <f t="shared" si="698"/>
        <v>58.330445587454193</v>
      </c>
      <c r="AS357" s="465">
        <f t="shared" si="698"/>
        <v>74.03637556459077</v>
      </c>
      <c r="AT357" s="465">
        <f t="shared" si="698"/>
        <v>97.947124384893385</v>
      </c>
      <c r="AU357" s="465">
        <f t="shared" si="698"/>
        <v>120.79438464726789</v>
      </c>
      <c r="AV357" s="466">
        <f t="shared" si="698"/>
        <v>88.012182071234506</v>
      </c>
      <c r="AW357" s="465">
        <f t="shared" si="698"/>
        <v>109.4683032596532</v>
      </c>
      <c r="AX357" s="465">
        <f t="shared" si="698"/>
        <v>137.05604958240079</v>
      </c>
      <c r="AY357" s="465">
        <f t="shared" si="698"/>
        <v>181.57119999776478</v>
      </c>
      <c r="AZ357" s="466">
        <f t="shared" si="698"/>
        <v>137.88688128555685</v>
      </c>
      <c r="BA357" s="465">
        <f t="shared" si="698"/>
        <v>184.3306370151472</v>
      </c>
      <c r="BB357" s="465">
        <f t="shared" si="698"/>
        <v>216.0831701271496</v>
      </c>
      <c r="BC357" s="465">
        <f t="shared" si="698"/>
        <v>264.04795370798126</v>
      </c>
      <c r="BD357" s="466">
        <f t="shared" si="698"/>
        <v>219.32025600166813</v>
      </c>
      <c r="BE357" s="465">
        <f t="shared" si="698"/>
        <v>282.91373227057488</v>
      </c>
      <c r="BF357" s="465">
        <f t="shared" si="698"/>
        <v>335.98146147025597</v>
      </c>
      <c r="BG357" s="465">
        <f t="shared" si="698"/>
        <v>400.31640989346465</v>
      </c>
      <c r="BH357" s="466">
        <f t="shared" si="698"/>
        <v>310.74498316006577</v>
      </c>
      <c r="BI357" s="465">
        <f t="shared" si="698"/>
        <v>403.66875182579889</v>
      </c>
      <c r="BJ357" s="465">
        <f t="shared" si="698"/>
        <v>462.77119299640441</v>
      </c>
      <c r="BK357" s="465">
        <f t="shared" si="698"/>
        <v>530.59046092883852</v>
      </c>
      <c r="BL357" s="466">
        <f t="shared" si="698"/>
        <v>401.25447902838192</v>
      </c>
      <c r="BM357" s="465">
        <f t="shared" si="698"/>
        <v>525.22696336695208</v>
      </c>
      <c r="BN357" s="465">
        <f t="shared" si="698"/>
        <v>634.98032950706965</v>
      </c>
      <c r="BO357" s="465">
        <f t="shared" si="698"/>
        <v>701.65560867618979</v>
      </c>
      <c r="BP357" s="466">
        <f>+BL346*(1+BP358)</f>
        <v>527.5233197509508</v>
      </c>
      <c r="BQ357" s="635">
        <f t="shared" si="698"/>
        <v>703.44175138295623</v>
      </c>
      <c r="BR357" s="465">
        <f t="shared" si="698"/>
        <v>859.06004050060585</v>
      </c>
      <c r="BS357" s="465">
        <f t="shared" si="698"/>
        <v>888.39169950243752</v>
      </c>
      <c r="BT357" s="466">
        <f t="shared" si="698"/>
        <v>619.75378268616225</v>
      </c>
      <c r="BU357" s="635">
        <f t="shared" si="698"/>
        <v>812.26458649727772</v>
      </c>
      <c r="BV357" s="465">
        <f t="shared" si="698"/>
        <v>933.35121492045198</v>
      </c>
      <c r="BW357" s="465">
        <f t="shared" si="698"/>
        <v>1048.8958779409691</v>
      </c>
      <c r="BX357" s="466">
        <f t="shared" si="698"/>
        <v>751.49130359970366</v>
      </c>
      <c r="BY357" s="465">
        <f t="shared" si="698"/>
        <v>1003.7038010517819</v>
      </c>
      <c r="BZ357" s="465">
        <f t="shared" si="698"/>
        <v>1172.42376081523</v>
      </c>
      <c r="CA357" s="465">
        <f t="shared" si="698"/>
        <v>1203.8952959770995</v>
      </c>
      <c r="CB357" s="466">
        <f t="shared" si="698"/>
        <v>750.19994840855293</v>
      </c>
      <c r="CC357" s="635">
        <f t="shared" si="698"/>
        <v>1030.9650370084391</v>
      </c>
      <c r="CD357" s="465">
        <f t="shared" si="698"/>
        <v>1273.491847466988</v>
      </c>
      <c r="CE357" s="465">
        <f t="shared" si="698"/>
        <v>1356.1649978869482</v>
      </c>
      <c r="CF357" s="466">
        <f t="shared" si="698"/>
        <v>923.03119738171688</v>
      </c>
      <c r="CG357" s="344"/>
      <c r="CH357" s="1728"/>
      <c r="CI357" s="345"/>
      <c r="CJ357" s="345"/>
      <c r="CK357" s="345"/>
      <c r="CL357" s="345"/>
      <c r="CM357" s="465"/>
      <c r="CN357" s="465"/>
      <c r="CO357" s="465">
        <f t="shared" ref="CO357:CX357" si="699">+CN346*(1+CO358)</f>
        <v>270.14558419645584</v>
      </c>
      <c r="CP357" s="465">
        <f t="shared" si="699"/>
        <v>381.21904018608291</v>
      </c>
      <c r="CQ357" s="465">
        <f t="shared" si="699"/>
        <v>560.65987103371026</v>
      </c>
      <c r="CR357" s="465">
        <f t="shared" si="699"/>
        <v>918.52886542208432</v>
      </c>
      <c r="CS357" s="465">
        <f t="shared" si="699"/>
        <v>1324.057027785886</v>
      </c>
      <c r="CT357" s="465">
        <f t="shared" si="699"/>
        <v>1798.9138181783439</v>
      </c>
      <c r="CU357" s="465">
        <f t="shared" si="699"/>
        <v>2395.4610600581595</v>
      </c>
      <c r="CV357" s="465">
        <f t="shared" si="699"/>
        <v>3066.2125212474871</v>
      </c>
      <c r="CW357" s="465">
        <f t="shared" si="699"/>
        <v>3548.8728679141964</v>
      </c>
      <c r="CX357" s="465">
        <f t="shared" si="699"/>
        <v>4058.9360940575748</v>
      </c>
      <c r="CY357" s="465">
        <f t="shared" ref="CY357:DF357" si="700">+CX346*(1+CY358)</f>
        <v>4580.8169489523289</v>
      </c>
      <c r="CZ357" s="465">
        <f t="shared" si="700"/>
        <v>5360.8527947081011</v>
      </c>
      <c r="DA357" s="465">
        <f t="shared" si="700"/>
        <v>6029.5280687813502</v>
      </c>
      <c r="DB357" s="465">
        <f t="shared" si="700"/>
        <v>6676.6959966893583</v>
      </c>
      <c r="DC357" s="465">
        <f t="shared" si="700"/>
        <v>7312.3626124099183</v>
      </c>
      <c r="DD357" s="465">
        <f t="shared" si="700"/>
        <v>7942.7781642904938</v>
      </c>
      <c r="DE357" s="465">
        <f t="shared" si="700"/>
        <v>8562.5144170209351</v>
      </c>
      <c r="DF357" s="466">
        <f t="shared" si="700"/>
        <v>9232.3963250340639</v>
      </c>
      <c r="DG357" s="1474"/>
      <c r="DH357" s="1474"/>
      <c r="DI357" s="465"/>
    </row>
    <row r="358" spans="1:113" s="308" customFormat="1" ht="11.25" customHeight="1">
      <c r="A358" s="82"/>
      <c r="B358"/>
      <c r="C358"/>
      <c r="D358"/>
      <c r="E358"/>
      <c r="F358"/>
      <c r="G358"/>
      <c r="H358" s="1044"/>
      <c r="I358" s="164" t="s">
        <v>493</v>
      </c>
      <c r="J358" s="83"/>
      <c r="K358" s="83"/>
      <c r="L358" s="307"/>
      <c r="M358" s="328"/>
      <c r="N358" s="328"/>
      <c r="O358" s="328"/>
      <c r="P358" s="329"/>
      <c r="Q358" s="328"/>
      <c r="R358" s="328"/>
      <c r="S358" s="328"/>
      <c r="T358" s="329"/>
      <c r="U358" s="328"/>
      <c r="V358" s="328"/>
      <c r="W358" s="328"/>
      <c r="X358" s="329"/>
      <c r="Y358" s="328"/>
      <c r="Z358" s="328"/>
      <c r="AA358" s="328"/>
      <c r="AB358" s="329"/>
      <c r="AC358" s="328"/>
      <c r="AD358" s="328"/>
      <c r="AE358" s="328"/>
      <c r="AF358" s="329"/>
      <c r="AG358" s="338"/>
      <c r="AH358" s="338"/>
      <c r="AI358" s="338"/>
      <c r="AJ358" s="339"/>
      <c r="AK358" s="338">
        <f>+AK352-AK356</f>
        <v>0.37724080892773415</v>
      </c>
      <c r="AL358" s="338">
        <f t="shared" ref="AL358:CF358" si="701">+AL352-AL356</f>
        <v>0.35273053211607491</v>
      </c>
      <c r="AM358" s="338">
        <f t="shared" si="701"/>
        <v>0.49276623357530569</v>
      </c>
      <c r="AN358" s="339">
        <f t="shared" si="701"/>
        <v>0.48389117198076936</v>
      </c>
      <c r="AO358" s="338">
        <f t="shared" si="701"/>
        <v>0.66481703467089437</v>
      </c>
      <c r="AP358" s="338">
        <f t="shared" si="701"/>
        <v>0.53341177297041142</v>
      </c>
      <c r="AQ358" s="338">
        <f t="shared" si="701"/>
        <v>0.48042024056835519</v>
      </c>
      <c r="AR358" s="339">
        <f t="shared" si="701"/>
        <v>0.34296738931376786</v>
      </c>
      <c r="AS358" s="338">
        <f t="shared" si="701"/>
        <v>0.2809061516365185</v>
      </c>
      <c r="AT358" s="338">
        <f t="shared" si="701"/>
        <v>0.34431957706414207</v>
      </c>
      <c r="AU358" s="338">
        <f t="shared" si="701"/>
        <v>0.43306384604842629</v>
      </c>
      <c r="AV358" s="339">
        <f t="shared" si="701"/>
        <v>0.57838241909640231</v>
      </c>
      <c r="AW358" s="338">
        <f t="shared" si="701"/>
        <v>0.60706289560099813</v>
      </c>
      <c r="AX358" s="338">
        <f t="shared" si="701"/>
        <v>0.52103665178510883</v>
      </c>
      <c r="AY358" s="338">
        <f t="shared" si="701"/>
        <v>0.57746713810903971</v>
      </c>
      <c r="AZ358" s="339">
        <f t="shared" si="701"/>
        <v>0.49789125171700138</v>
      </c>
      <c r="BA358" s="338">
        <f t="shared" si="701"/>
        <v>0.62967259029031464</v>
      </c>
      <c r="BB358" s="338">
        <f t="shared" si="701"/>
        <v>0.63059486354419458</v>
      </c>
      <c r="BC358" s="338">
        <f t="shared" si="701"/>
        <v>0.52870109310056468</v>
      </c>
      <c r="BD358" s="339">
        <f t="shared" si="701"/>
        <v>0.63933637302608759</v>
      </c>
      <c r="BE358" s="338">
        <f t="shared" si="701"/>
        <v>0.52837117936866518</v>
      </c>
      <c r="BF358" s="338">
        <f t="shared" si="701"/>
        <v>0.42195114934805011</v>
      </c>
      <c r="BG358" s="338">
        <f t="shared" si="701"/>
        <v>0.43007941346450362</v>
      </c>
      <c r="BH358" s="339">
        <f t="shared" si="701"/>
        <v>0.42610950660204516</v>
      </c>
      <c r="BI358" s="338">
        <f t="shared" si="701"/>
        <v>0.45657277230601184</v>
      </c>
      <c r="BJ358" s="338">
        <f t="shared" si="701"/>
        <v>0.47154411408167246</v>
      </c>
      <c r="BK358" s="338">
        <f t="shared" si="701"/>
        <v>0.41413860440943728</v>
      </c>
      <c r="BL358" s="339">
        <f t="shared" si="701"/>
        <v>0.30779741353439333</v>
      </c>
      <c r="BM358" s="338">
        <f>+BM352-BM356</f>
        <v>0.30279810237540611</v>
      </c>
      <c r="BN358" s="338">
        <f t="shared" si="701"/>
        <v>0.37104803028721572</v>
      </c>
      <c r="BO358" s="338">
        <f t="shared" si="701"/>
        <v>0.31602210328564906</v>
      </c>
      <c r="BP358" s="339">
        <f t="shared" si="701"/>
        <v>0.32147437392677436</v>
      </c>
      <c r="BQ358" s="372">
        <f t="shared" si="701"/>
        <v>0.35057013060039821</v>
      </c>
      <c r="BR358" s="338">
        <f t="shared" si="701"/>
        <v>0.34300527706436401</v>
      </c>
      <c r="BS358" s="338">
        <f t="shared" si="701"/>
        <v>0.26946831515579495</v>
      </c>
      <c r="BT358" s="339">
        <f t="shared" si="701"/>
        <v>0.23974559652685778</v>
      </c>
      <c r="BU358" s="372">
        <f>+BU352-BU356</f>
        <v>0.28209656550654372</v>
      </c>
      <c r="BV358" s="338">
        <f t="shared" si="701"/>
        <v>0.2302142046428079</v>
      </c>
      <c r="BW358" s="338">
        <f t="shared" si="701"/>
        <v>0.33663452980706582</v>
      </c>
      <c r="BX358" s="339">
        <f t="shared" si="701"/>
        <v>0.3389480781457691</v>
      </c>
      <c r="BY358" s="338">
        <f>+BY352-BY356</f>
        <v>0.28694988909190933</v>
      </c>
      <c r="BZ358" s="338">
        <f t="shared" si="701"/>
        <v>0.27331762985179681</v>
      </c>
      <c r="CA358" s="338">
        <f t="shared" si="701"/>
        <v>0.15742580724213506</v>
      </c>
      <c r="CB358" s="339">
        <f t="shared" ref="CB358" si="702">+CB352-CB356</f>
        <v>1.5889625803426163E-2</v>
      </c>
      <c r="CC358" s="372">
        <f t="shared" si="701"/>
        <v>5.1175997920455879E-2</v>
      </c>
      <c r="CD358" s="338">
        <f t="shared" si="701"/>
        <v>0.10971074789579546</v>
      </c>
      <c r="CE358" s="338">
        <f t="shared" si="701"/>
        <v>0.10766572974688342</v>
      </c>
      <c r="CF358" s="339">
        <f t="shared" si="701"/>
        <v>0.16977988779328032</v>
      </c>
      <c r="CG358" s="337"/>
      <c r="CH358" s="340"/>
      <c r="CI358" s="328"/>
      <c r="CJ358" s="328"/>
      <c r="CK358" s="328"/>
      <c r="CL358" s="328"/>
      <c r="CM358" s="338"/>
      <c r="CN358" s="338"/>
      <c r="CO358" s="338">
        <f t="shared" ref="CO358:CY358" si="703">+CO352-CO356</f>
        <v>0.56447420991142849</v>
      </c>
      <c r="CP358" s="338">
        <f t="shared" si="703"/>
        <v>0.40820887210793344</v>
      </c>
      <c r="CQ358" s="338">
        <f t="shared" si="703"/>
        <v>0.53445272478237871</v>
      </c>
      <c r="CR358" s="338">
        <f t="shared" si="703"/>
        <v>0.66357964541979242</v>
      </c>
      <c r="CS358" s="338">
        <f t="shared" si="703"/>
        <v>0.440424610820219</v>
      </c>
      <c r="CT358" s="338">
        <f t="shared" si="703"/>
        <v>0.41242270613867527</v>
      </c>
      <c r="CU358" s="338">
        <f t="shared" si="703"/>
        <v>0.33181426021152571</v>
      </c>
      <c r="CV358" s="338">
        <f t="shared" si="703"/>
        <v>0.299120938779668</v>
      </c>
      <c r="CW358" s="338">
        <f t="shared" si="703"/>
        <v>0.29605198268150912</v>
      </c>
      <c r="CX358" s="338">
        <f t="shared" si="703"/>
        <v>0.16659996546923994</v>
      </c>
      <c r="CY358" s="338">
        <f t="shared" si="703"/>
        <v>0.10600439979717094</v>
      </c>
      <c r="CZ358" s="338">
        <f t="shared" ref="CZ358:DF358" si="704">+CZ352-CZ356</f>
        <v>0.13871619835724802</v>
      </c>
      <c r="DA358" s="338">
        <f t="shared" si="704"/>
        <v>0.12455517938169769</v>
      </c>
      <c r="DB358" s="338">
        <f t="shared" si="704"/>
        <v>0.10733309813396552</v>
      </c>
      <c r="DC358" s="338">
        <f t="shared" si="704"/>
        <v>9.5206763350578649E-2</v>
      </c>
      <c r="DD358" s="338">
        <f t="shared" si="704"/>
        <v>8.6212293522026417E-2</v>
      </c>
      <c r="DE358" s="338">
        <f t="shared" si="704"/>
        <v>7.8025124196050122E-2</v>
      </c>
      <c r="DF358" s="339">
        <f t="shared" si="704"/>
        <v>7.8234251691478462E-2</v>
      </c>
      <c r="DG358" s="1475"/>
      <c r="DH358" s="1475"/>
      <c r="DI358" s="338"/>
    </row>
    <row r="359" spans="1:113" s="308" customFormat="1" ht="11.25" customHeight="1">
      <c r="A359" s="82"/>
      <c r="B359"/>
      <c r="C359"/>
      <c r="D359"/>
      <c r="E359"/>
      <c r="F359"/>
      <c r="G359"/>
      <c r="H359" s="1044"/>
      <c r="I359" s="185" t="s">
        <v>535</v>
      </c>
      <c r="J359" s="83"/>
      <c r="K359" s="83"/>
      <c r="L359" s="307"/>
      <c r="M359" s="328"/>
      <c r="N359" s="328"/>
      <c r="O359" s="328"/>
      <c r="P359" s="329"/>
      <c r="Q359" s="328"/>
      <c r="R359" s="328"/>
      <c r="S359" s="328"/>
      <c r="T359" s="329"/>
      <c r="U359" s="328"/>
      <c r="V359" s="328"/>
      <c r="W359" s="328"/>
      <c r="X359" s="329"/>
      <c r="Y359" s="328"/>
      <c r="Z359" s="328"/>
      <c r="AA359" s="328"/>
      <c r="AB359" s="329"/>
      <c r="AC359" s="328"/>
      <c r="AD359" s="328"/>
      <c r="AE359" s="328"/>
      <c r="AF359" s="329"/>
      <c r="AG359" s="338"/>
      <c r="AH359" s="338"/>
      <c r="AI359" s="338"/>
      <c r="AJ359" s="339"/>
      <c r="AK359" s="396">
        <f t="shared" ref="AK359:CF359" si="705">+AG346*AK358</f>
        <v>8.2468613239691972</v>
      </c>
      <c r="AL359" s="396">
        <f t="shared" si="705"/>
        <v>10.755812115815472</v>
      </c>
      <c r="AM359" s="396">
        <f t="shared" si="705"/>
        <v>17.030001032362566</v>
      </c>
      <c r="AN359" s="397">
        <f t="shared" si="705"/>
        <v>13.020543655658543</v>
      </c>
      <c r="AO359" s="396">
        <f t="shared" si="705"/>
        <v>21.225613465937645</v>
      </c>
      <c r="AP359" s="396">
        <f t="shared" si="705"/>
        <v>23.187409771023784</v>
      </c>
      <c r="AQ359" s="396">
        <f t="shared" si="705"/>
        <v>25.867747433162517</v>
      </c>
      <c r="AR359" s="397">
        <f t="shared" si="705"/>
        <v>14.896445587454192</v>
      </c>
      <c r="AS359" s="396">
        <f t="shared" si="705"/>
        <v>16.236375564590769</v>
      </c>
      <c r="AT359" s="396">
        <f t="shared" si="705"/>
        <v>25.087124384893389</v>
      </c>
      <c r="AU359" s="396">
        <f t="shared" si="705"/>
        <v>36.5033846472679</v>
      </c>
      <c r="AV359" s="397">
        <f t="shared" si="705"/>
        <v>32.251182071234489</v>
      </c>
      <c r="AW359" s="396">
        <f t="shared" si="705"/>
        <v>41.351303259653193</v>
      </c>
      <c r="AX359" s="396">
        <f t="shared" si="705"/>
        <v>46.949049582400804</v>
      </c>
      <c r="AY359" s="396">
        <f t="shared" si="705"/>
        <v>66.468199997764799</v>
      </c>
      <c r="AZ359" s="397">
        <f t="shared" si="705"/>
        <v>45.832881285556844</v>
      </c>
      <c r="BA359" s="396">
        <f t="shared" si="705"/>
        <v>71.221637015147195</v>
      </c>
      <c r="BB359" s="396">
        <f t="shared" si="705"/>
        <v>83.565170127149585</v>
      </c>
      <c r="BC359" s="396">
        <f t="shared" si="705"/>
        <v>91.320953707981232</v>
      </c>
      <c r="BD359" s="397">
        <f t="shared" si="705"/>
        <v>85.534256001668155</v>
      </c>
      <c r="BE359" s="396">
        <f t="shared" si="705"/>
        <v>97.805732270574879</v>
      </c>
      <c r="BF359" s="396">
        <f t="shared" si="705"/>
        <v>99.699461470255983</v>
      </c>
      <c r="BG359" s="396">
        <f t="shared" si="705"/>
        <v>120.39040989346464</v>
      </c>
      <c r="BH359" s="397">
        <f t="shared" si="705"/>
        <v>92.847983160065837</v>
      </c>
      <c r="BI359" s="396">
        <f t="shared" si="705"/>
        <v>126.53275182579891</v>
      </c>
      <c r="BJ359" s="396">
        <f t="shared" si="705"/>
        <v>148.29119299640436</v>
      </c>
      <c r="BK359" s="396">
        <f t="shared" si="705"/>
        <v>155.38646092883852</v>
      </c>
      <c r="BL359" s="397">
        <f t="shared" si="705"/>
        <v>94.437479028381958</v>
      </c>
      <c r="BM359" s="396">
        <f t="shared" si="705"/>
        <v>122.0739633669521</v>
      </c>
      <c r="BN359" s="396">
        <f t="shared" si="705"/>
        <v>171.84532950706966</v>
      </c>
      <c r="BO359" s="396">
        <f t="shared" si="705"/>
        <v>168.4916086761898</v>
      </c>
      <c r="BP359" s="397">
        <f t="shared" si="705"/>
        <v>128.33031975095082</v>
      </c>
      <c r="BQ359" s="1326">
        <f t="shared" si="705"/>
        <v>182.59375138295619</v>
      </c>
      <c r="BR359" s="396">
        <f t="shared" si="705"/>
        <v>219.40504050060576</v>
      </c>
      <c r="BS359" s="396">
        <f t="shared" si="705"/>
        <v>188.57769950243747</v>
      </c>
      <c r="BT359" s="397">
        <f t="shared" si="705"/>
        <v>119.84978268616231</v>
      </c>
      <c r="BU359" s="1326">
        <f t="shared" si="705"/>
        <v>178.72058649727774</v>
      </c>
      <c r="BV359" s="396">
        <f t="shared" si="705"/>
        <v>174.66121492045193</v>
      </c>
      <c r="BW359" s="396">
        <f t="shared" si="705"/>
        <v>264.16687794096896</v>
      </c>
      <c r="BX359" s="397">
        <f t="shared" si="705"/>
        <v>190.23630359970363</v>
      </c>
      <c r="BY359" s="396">
        <f t="shared" si="705"/>
        <v>223.79480105178192</v>
      </c>
      <c r="BZ359" s="396">
        <f t="shared" si="705"/>
        <v>251.66076081522999</v>
      </c>
      <c r="CA359" s="396">
        <f t="shared" si="705"/>
        <v>163.74629597709952</v>
      </c>
      <c r="CB359" s="397">
        <f t="shared" si="705"/>
        <v>11.733948408552905</v>
      </c>
      <c r="CC359" s="1326">
        <f t="shared" si="705"/>
        <v>50.192037008439279</v>
      </c>
      <c r="CD359" s="396">
        <f t="shared" si="705"/>
        <v>125.90284746698801</v>
      </c>
      <c r="CE359" s="396">
        <f t="shared" si="705"/>
        <v>131.81999788694799</v>
      </c>
      <c r="CF359" s="397">
        <f t="shared" si="705"/>
        <v>133.96719738171694</v>
      </c>
      <c r="CG359" s="337"/>
      <c r="CH359" s="340"/>
      <c r="CI359" s="328"/>
      <c r="CJ359" s="328"/>
      <c r="CK359" s="328"/>
      <c r="CL359" s="328"/>
      <c r="CM359" s="396"/>
      <c r="CN359" s="396"/>
      <c r="CO359" s="396">
        <f t="shared" ref="CO359:CY359" si="706">+CN346*CO358</f>
        <v>97.470584196455903</v>
      </c>
      <c r="CP359" s="396">
        <f t="shared" si="706"/>
        <v>110.50704018608288</v>
      </c>
      <c r="CQ359" s="396">
        <f t="shared" si="706"/>
        <v>195.27887103371029</v>
      </c>
      <c r="CR359" s="396">
        <f t="shared" si="706"/>
        <v>366.38886542208428</v>
      </c>
      <c r="CS359" s="396">
        <f t="shared" si="706"/>
        <v>404.84402778588594</v>
      </c>
      <c r="CT359" s="396">
        <f t="shared" si="706"/>
        <v>525.27681817834389</v>
      </c>
      <c r="CU359" s="396">
        <f t="shared" si="706"/>
        <v>596.81606005815968</v>
      </c>
      <c r="CV359" s="396">
        <f t="shared" si="706"/>
        <v>705.99152124748673</v>
      </c>
      <c r="CW359" s="396">
        <f t="shared" si="706"/>
        <v>810.65486791419653</v>
      </c>
      <c r="CX359" s="396">
        <f t="shared" si="706"/>
        <v>579.64909405757544</v>
      </c>
      <c r="CY359" s="396">
        <f t="shared" si="706"/>
        <v>439.04594895232856</v>
      </c>
      <c r="CZ359" s="396">
        <f t="shared" ref="CZ359:DF359" si="707">+CY346*CZ358</f>
        <v>653.04868825747224</v>
      </c>
      <c r="DA359" s="396">
        <f t="shared" si="707"/>
        <v>667.82756770277979</v>
      </c>
      <c r="DB359" s="396">
        <f t="shared" si="707"/>
        <v>647.16792790800821</v>
      </c>
      <c r="DC359" s="396">
        <f t="shared" si="707"/>
        <v>635.66661572055955</v>
      </c>
      <c r="DD359" s="396">
        <f t="shared" si="707"/>
        <v>630.41555188057578</v>
      </c>
      <c r="DE359" s="396">
        <f t="shared" si="707"/>
        <v>619.73625273044081</v>
      </c>
      <c r="DF359" s="397">
        <f t="shared" si="707"/>
        <v>669.88190801312885</v>
      </c>
      <c r="DG359" s="1477"/>
      <c r="DH359" s="1477"/>
      <c r="DI359" s="396"/>
    </row>
    <row r="360" spans="1:113" s="308" customFormat="1" ht="11.25" customHeight="1">
      <c r="A360" s="82"/>
      <c r="B360"/>
      <c r="C360"/>
      <c r="D360"/>
      <c r="E360"/>
      <c r="F360"/>
      <c r="G360"/>
      <c r="H360" s="1044"/>
      <c r="I360" s="185"/>
      <c r="J360" s="83"/>
      <c r="K360" s="83"/>
      <c r="L360" s="307"/>
      <c r="M360" s="328"/>
      <c r="N360" s="328"/>
      <c r="O360" s="328"/>
      <c r="P360" s="329"/>
      <c r="Q360" s="328"/>
      <c r="R360" s="328"/>
      <c r="S360" s="328"/>
      <c r="T360" s="329"/>
      <c r="U360" s="328"/>
      <c r="V360" s="328"/>
      <c r="W360" s="328"/>
      <c r="X360" s="329"/>
      <c r="Y360" s="328"/>
      <c r="Z360" s="328"/>
      <c r="AA360" s="328"/>
      <c r="AB360" s="329"/>
      <c r="AC360" s="328"/>
      <c r="AD360" s="328"/>
      <c r="AE360" s="328"/>
      <c r="AF360" s="329"/>
      <c r="AG360" s="338"/>
      <c r="AH360" s="338"/>
      <c r="AI360" s="338"/>
      <c r="AJ360" s="339"/>
      <c r="AK360" s="396"/>
      <c r="AL360" s="396"/>
      <c r="AM360" s="396"/>
      <c r="AN360" s="397"/>
      <c r="AO360" s="396"/>
      <c r="AP360" s="396"/>
      <c r="AQ360" s="396"/>
      <c r="AR360" s="397"/>
      <c r="AS360" s="396"/>
      <c r="AT360" s="396"/>
      <c r="AU360" s="396"/>
      <c r="AV360" s="397"/>
      <c r="AW360" s="396"/>
      <c r="AX360" s="396"/>
      <c r="AY360" s="396"/>
      <c r="AZ360" s="397"/>
      <c r="BA360" s="396"/>
      <c r="BB360" s="396"/>
      <c r="BC360" s="396"/>
      <c r="BD360" s="397"/>
      <c r="BE360" s="396"/>
      <c r="BF360" s="396"/>
      <c r="BG360" s="396"/>
      <c r="BH360" s="397"/>
      <c r="BI360" s="396"/>
      <c r="BJ360" s="396"/>
      <c r="BK360" s="396"/>
      <c r="BL360" s="397"/>
      <c r="BM360" s="396"/>
      <c r="BN360" s="396"/>
      <c r="BO360" s="396"/>
      <c r="BP360" s="397"/>
      <c r="BQ360" s="1968"/>
      <c r="BR360" s="396"/>
      <c r="BS360" s="396"/>
      <c r="BT360" s="397"/>
      <c r="BU360" s="1326"/>
      <c r="BV360" s="396"/>
      <c r="BW360" s="396"/>
      <c r="BX360" s="397"/>
      <c r="BY360" s="1326"/>
      <c r="BZ360" s="396"/>
      <c r="CA360" s="396"/>
      <c r="CB360" s="397"/>
      <c r="CC360" s="1326"/>
      <c r="CD360" s="396"/>
      <c r="CE360" s="396"/>
      <c r="CF360" s="397"/>
      <c r="CG360" s="337"/>
      <c r="CH360" s="340"/>
      <c r="CI360" s="328"/>
      <c r="CJ360" s="328"/>
      <c r="CK360" s="328"/>
      <c r="CL360" s="328"/>
      <c r="CM360" s="396"/>
      <c r="CN360" s="396"/>
      <c r="CO360" s="396"/>
      <c r="CP360" s="396"/>
      <c r="CQ360" s="396"/>
      <c r="CR360" s="396"/>
      <c r="CS360" s="396"/>
      <c r="CT360" s="396"/>
      <c r="CU360" s="396"/>
      <c r="CV360" s="396"/>
      <c r="CW360" s="396"/>
      <c r="CX360" s="396"/>
      <c r="CY360" s="396"/>
      <c r="CZ360" s="396"/>
      <c r="DA360" s="396"/>
      <c r="DB360" s="396"/>
      <c r="DC360" s="396"/>
      <c r="DD360" s="396"/>
      <c r="DE360" s="396"/>
      <c r="DF360" s="397"/>
      <c r="DG360" s="1477"/>
      <c r="DH360" s="1477"/>
      <c r="DI360" s="396"/>
    </row>
    <row r="361" spans="1:113" s="632" customFormat="1" ht="11.25" customHeight="1">
      <c r="A361" s="542"/>
      <c r="B361"/>
      <c r="C361"/>
      <c r="D361"/>
      <c r="E361"/>
      <c r="F361"/>
      <c r="G361"/>
      <c r="H361" s="1052"/>
      <c r="I361" s="633" t="s">
        <v>624</v>
      </c>
      <c r="J361" s="634"/>
      <c r="K361" s="634"/>
      <c r="L361" s="631"/>
      <c r="M361" s="465"/>
      <c r="N361" s="465"/>
      <c r="O361" s="465"/>
      <c r="P361" s="466"/>
      <c r="Q361" s="465"/>
      <c r="R361" s="465"/>
      <c r="S361" s="465"/>
      <c r="T361" s="466"/>
      <c r="U361" s="635">
        <f t="shared" ref="U361:AZ361" si="708">+U335+U346</f>
        <v>11.097999999999999</v>
      </c>
      <c r="V361" s="465">
        <f t="shared" si="708"/>
        <v>10.774000000000001</v>
      </c>
      <c r="W361" s="465">
        <f t="shared" si="708"/>
        <v>10.283999999999999</v>
      </c>
      <c r="X361" s="466">
        <f t="shared" si="708"/>
        <v>10.091999999999999</v>
      </c>
      <c r="Y361" s="635">
        <f t="shared" si="708"/>
        <v>15.404999999999999</v>
      </c>
      <c r="Z361" s="465">
        <f t="shared" si="708"/>
        <v>16.366</v>
      </c>
      <c r="AA361" s="465">
        <f t="shared" si="708"/>
        <v>14.649000000000001</v>
      </c>
      <c r="AB361" s="466">
        <f t="shared" si="708"/>
        <v>14.536000000000001</v>
      </c>
      <c r="AC361" s="635">
        <f t="shared" si="708"/>
        <v>21.003999999999998</v>
      </c>
      <c r="AD361" s="465">
        <f t="shared" si="708"/>
        <v>20.294</v>
      </c>
      <c r="AE361" s="465">
        <f t="shared" si="708"/>
        <v>27.184999999999999</v>
      </c>
      <c r="AF361" s="466">
        <f t="shared" si="708"/>
        <v>21.008000000000003</v>
      </c>
      <c r="AG361" s="635">
        <f t="shared" si="708"/>
        <v>31.298999999999999</v>
      </c>
      <c r="AH361" s="465">
        <f t="shared" si="708"/>
        <v>39.353999999999999</v>
      </c>
      <c r="AI361" s="465">
        <f t="shared" si="708"/>
        <v>41.225000000000001</v>
      </c>
      <c r="AJ361" s="466">
        <f t="shared" si="708"/>
        <v>33.777000000000001</v>
      </c>
      <c r="AK361" s="635">
        <f t="shared" si="708"/>
        <v>43.260999999999996</v>
      </c>
      <c r="AL361" s="465">
        <f t="shared" si="708"/>
        <v>52.750999999999998</v>
      </c>
      <c r="AM361" s="465">
        <f t="shared" si="708"/>
        <v>62.257000000000005</v>
      </c>
      <c r="AN361" s="466">
        <f t="shared" si="708"/>
        <v>50.369</v>
      </c>
      <c r="AO361" s="635">
        <f t="shared" si="708"/>
        <v>69.831000000000003</v>
      </c>
      <c r="AP361" s="465">
        <f t="shared" si="708"/>
        <v>82.787999999999997</v>
      </c>
      <c r="AQ361" s="465">
        <f t="shared" si="708"/>
        <v>92.584000000000003</v>
      </c>
      <c r="AR361" s="466">
        <f t="shared" si="708"/>
        <v>63.540000000000006</v>
      </c>
      <c r="AS361" s="635">
        <f t="shared" si="708"/>
        <v>78.88300000000001</v>
      </c>
      <c r="AT361" s="465">
        <f t="shared" si="708"/>
        <v>101.16</v>
      </c>
      <c r="AU361" s="465">
        <f t="shared" si="708"/>
        <v>123.577</v>
      </c>
      <c r="AV361" s="466">
        <f t="shared" si="708"/>
        <v>98.031999999999996</v>
      </c>
      <c r="AW361" s="635">
        <f t="shared" si="708"/>
        <v>124.89699999999999</v>
      </c>
      <c r="AX361" s="465">
        <f t="shared" si="708"/>
        <v>142.64099999999999</v>
      </c>
      <c r="AY361" s="465">
        <f t="shared" si="708"/>
        <v>180.5</v>
      </c>
      <c r="AZ361" s="466">
        <f t="shared" si="708"/>
        <v>139.816</v>
      </c>
      <c r="BA361" s="635">
        <f t="shared" ref="BA361:CF361" si="709">+BA335+BA346</f>
        <v>196.72200000000001</v>
      </c>
      <c r="BB361" s="465">
        <f t="shared" si="709"/>
        <v>246.09700000000001</v>
      </c>
      <c r="BC361" s="465">
        <f t="shared" si="709"/>
        <v>287.96100000000001</v>
      </c>
      <c r="BD361" s="466">
        <f t="shared" si="709"/>
        <v>223.90299999999999</v>
      </c>
      <c r="BE361" s="635">
        <f t="shared" si="709"/>
        <v>288.29300000000001</v>
      </c>
      <c r="BF361" s="465">
        <f t="shared" si="709"/>
        <v>324.40200000000004</v>
      </c>
      <c r="BG361" s="465">
        <f t="shared" si="709"/>
        <v>383.64499999999998</v>
      </c>
      <c r="BH361" s="466">
        <f t="shared" si="709"/>
        <v>312.79000000000002</v>
      </c>
      <c r="BI361" s="635">
        <f t="shared" si="709"/>
        <v>430.88200000000001</v>
      </c>
      <c r="BJ361" s="465">
        <f t="shared" si="709"/>
        <v>495.26499999999999</v>
      </c>
      <c r="BK361" s="465">
        <f t="shared" si="709"/>
        <v>573.05499999999995</v>
      </c>
      <c r="BL361" s="466">
        <f t="shared" si="709"/>
        <v>426.90199999999999</v>
      </c>
      <c r="BM361" s="635">
        <f t="shared" si="709"/>
        <v>574.322</v>
      </c>
      <c r="BN361" s="465">
        <f t="shared" si="709"/>
        <v>697.68099999999993</v>
      </c>
      <c r="BO361" s="465">
        <f t="shared" si="709"/>
        <v>771.40699999999993</v>
      </c>
      <c r="BP361" s="466">
        <f t="shared" si="709"/>
        <v>548.12</v>
      </c>
      <c r="BQ361" s="635">
        <f t="shared" si="709"/>
        <v>706.798</v>
      </c>
      <c r="BR361" s="465">
        <f t="shared" si="709"/>
        <v>837.12100000000009</v>
      </c>
      <c r="BS361" s="465">
        <f t="shared" si="709"/>
        <v>852.58699999999999</v>
      </c>
      <c r="BT361" s="466">
        <f>+BT335+BT346</f>
        <v>615.41599999999994</v>
      </c>
      <c r="BU361" s="635">
        <f t="shared" si="709"/>
        <v>849.75400000000002</v>
      </c>
      <c r="BV361" s="465">
        <f t="shared" si="709"/>
        <v>1033.0840000000001</v>
      </c>
      <c r="BW361" s="465">
        <f t="shared" si="709"/>
        <v>1112.9409999999998</v>
      </c>
      <c r="BX361" s="466">
        <f t="shared" si="709"/>
        <v>779.20600000000002</v>
      </c>
      <c r="BY361" s="465">
        <f>+BY335+BY346</f>
        <v>1053.7850000000001</v>
      </c>
      <c r="BZ361" s="465">
        <f t="shared" si="709"/>
        <v>1268.7759999999998</v>
      </c>
      <c r="CA361" s="465">
        <f t="shared" si="709"/>
        <v>1337.1410000000001</v>
      </c>
      <c r="CB361" s="466">
        <f t="shared" ref="CB361" si="710">+CB335+CB346</f>
        <v>873.65300000000002</v>
      </c>
      <c r="CC361" s="635">
        <f t="shared" si="709"/>
        <v>1214.5028296427843</v>
      </c>
      <c r="CD361" s="465">
        <f t="shared" si="709"/>
        <v>1489.8294108728401</v>
      </c>
      <c r="CE361" s="465">
        <f t="shared" si="709"/>
        <v>1493.3808311780513</v>
      </c>
      <c r="CF361" s="466">
        <f t="shared" si="709"/>
        <v>1046.6750347569532</v>
      </c>
      <c r="CG361" s="582"/>
      <c r="CH361" s="635"/>
      <c r="CI361" s="465"/>
      <c r="CJ361" s="465">
        <f t="shared" ref="CJ361:DF361" si="711">+CJ335+CJ346</f>
        <v>42.248000000000005</v>
      </c>
      <c r="CK361" s="465">
        <f t="shared" si="711"/>
        <v>60.956000000000003</v>
      </c>
      <c r="CL361" s="465">
        <f t="shared" si="711"/>
        <v>89.491</v>
      </c>
      <c r="CM361" s="465">
        <f t="shared" si="711"/>
        <v>145.655</v>
      </c>
      <c r="CN361" s="465">
        <f t="shared" si="711"/>
        <v>208.63799999999998</v>
      </c>
      <c r="CO361" s="465">
        <f t="shared" si="711"/>
        <v>308.74299999999999</v>
      </c>
      <c r="CP361" s="465">
        <f t="shared" si="711"/>
        <v>401.65199999999999</v>
      </c>
      <c r="CQ361" s="465">
        <f t="shared" si="711"/>
        <v>587.85400000000004</v>
      </c>
      <c r="CR361" s="465">
        <f t="shared" si="711"/>
        <v>954.68299999999999</v>
      </c>
      <c r="CS361" s="465">
        <f t="shared" si="711"/>
        <v>1309.1299999999999</v>
      </c>
      <c r="CT361" s="465">
        <f t="shared" si="711"/>
        <v>1926.104</v>
      </c>
      <c r="CU361" s="465">
        <f t="shared" si="711"/>
        <v>2591.5300000000002</v>
      </c>
      <c r="CV361" s="465">
        <f t="shared" si="711"/>
        <v>3011.922</v>
      </c>
      <c r="CW361" s="465">
        <f t="shared" si="711"/>
        <v>3774.9849999999997</v>
      </c>
      <c r="CX361" s="465">
        <f t="shared" si="711"/>
        <v>4533.3550000000005</v>
      </c>
      <c r="CY361" s="465">
        <f t="shared" si="711"/>
        <v>5244.3881064506286</v>
      </c>
      <c r="CZ361" s="465">
        <f t="shared" si="711"/>
        <v>5978.2845010785704</v>
      </c>
      <c r="DA361" s="465">
        <f t="shared" si="711"/>
        <v>6716.11206878135</v>
      </c>
      <c r="DB361" s="465">
        <f t="shared" si="711"/>
        <v>7423.2799966893581</v>
      </c>
      <c r="DC361" s="465">
        <f t="shared" si="711"/>
        <v>8118.9466124099181</v>
      </c>
      <c r="DD361" s="465">
        <f t="shared" si="711"/>
        <v>8809.3621642904945</v>
      </c>
      <c r="DE361" s="465">
        <f t="shared" si="711"/>
        <v>9489.0984170209358</v>
      </c>
      <c r="DF361" s="466">
        <f t="shared" si="711"/>
        <v>10208.980325034065</v>
      </c>
      <c r="DG361" s="1474"/>
      <c r="DH361" s="1474"/>
      <c r="DI361" s="465"/>
    </row>
    <row r="362" spans="1:113" s="632" customFormat="1" ht="11.25" customHeight="1">
      <c r="A362" s="542"/>
      <c r="B362"/>
      <c r="C362"/>
      <c r="D362"/>
      <c r="E362"/>
      <c r="F362"/>
      <c r="G362"/>
      <c r="H362" s="1052"/>
      <c r="I362" s="310" t="s">
        <v>506</v>
      </c>
      <c r="J362" s="634"/>
      <c r="K362" s="634"/>
      <c r="L362" s="631"/>
      <c r="M362" s="465"/>
      <c r="N362" s="465"/>
      <c r="O362" s="465"/>
      <c r="P362" s="466"/>
      <c r="Q362" s="465"/>
      <c r="R362" s="465"/>
      <c r="S362" s="465"/>
      <c r="T362" s="466"/>
      <c r="U362" s="1726">
        <f t="shared" ref="U362:AZ362" si="712">+U361/U39</f>
        <v>0.33643556552581316</v>
      </c>
      <c r="V362" s="1373">
        <f t="shared" si="712"/>
        <v>0.26606410826295257</v>
      </c>
      <c r="W362" s="1373">
        <f t="shared" si="712"/>
        <v>0.25300137768155873</v>
      </c>
      <c r="X362" s="1374">
        <f t="shared" si="712"/>
        <v>0.31719889363842091</v>
      </c>
      <c r="Y362" s="1726">
        <f t="shared" si="712"/>
        <v>0.3551666897219532</v>
      </c>
      <c r="Z362" s="1373">
        <f t="shared" si="712"/>
        <v>0.29969967770290068</v>
      </c>
      <c r="AA362" s="1373">
        <f t="shared" si="712"/>
        <v>0.28357659994579737</v>
      </c>
      <c r="AB362" s="1374">
        <f t="shared" si="712"/>
        <v>0.28225790792054217</v>
      </c>
      <c r="AC362" s="1726">
        <f t="shared" si="712"/>
        <v>0.36171385272439205</v>
      </c>
      <c r="AD362" s="1373">
        <f t="shared" si="712"/>
        <v>0.30948241681154115</v>
      </c>
      <c r="AE362" s="1373">
        <f t="shared" si="712"/>
        <v>0.33617757991714586</v>
      </c>
      <c r="AF362" s="1374">
        <f t="shared" si="712"/>
        <v>0.32150345102000216</v>
      </c>
      <c r="AG362" s="1726">
        <f t="shared" si="712"/>
        <v>0.4333181044150019</v>
      </c>
      <c r="AH362" s="1373">
        <f t="shared" si="712"/>
        <v>0.3719519110808665</v>
      </c>
      <c r="AI362" s="1373">
        <f t="shared" si="712"/>
        <v>0.33702583387835183</v>
      </c>
      <c r="AJ362" s="1374">
        <f t="shared" si="712"/>
        <v>0.33940934714671878</v>
      </c>
      <c r="AK362" s="1726">
        <f t="shared" si="712"/>
        <v>0.41661610762815499</v>
      </c>
      <c r="AL362" s="1373">
        <f t="shared" si="712"/>
        <v>0.34056413136810582</v>
      </c>
      <c r="AM362" s="1373">
        <f t="shared" si="712"/>
        <v>0.30769877082602276</v>
      </c>
      <c r="AN362" s="1374">
        <f t="shared" si="712"/>
        <v>0.31450746790548978</v>
      </c>
      <c r="AO362" s="1726">
        <f t="shared" si="712"/>
        <v>0.38558720727983525</v>
      </c>
      <c r="AP362" s="1373">
        <f t="shared" si="712"/>
        <v>0.32629027490393137</v>
      </c>
      <c r="AQ362" s="1373">
        <f t="shared" si="712"/>
        <v>0.29291503995849122</v>
      </c>
      <c r="AR362" s="1374">
        <f t="shared" si="712"/>
        <v>0.3098529734474435</v>
      </c>
      <c r="AS362" s="1726">
        <f t="shared" si="712"/>
        <v>0.37864445831133303</v>
      </c>
      <c r="AT362" s="1373">
        <f t="shared" si="712"/>
        <v>0.33141351994181589</v>
      </c>
      <c r="AU362" s="1373">
        <f t="shared" si="712"/>
        <v>0.28473569489822725</v>
      </c>
      <c r="AV362" s="1374">
        <f t="shared" si="712"/>
        <v>0.31301227054590031</v>
      </c>
      <c r="AW362" s="1726">
        <f t="shared" si="712"/>
        <v>0.39138432419559044</v>
      </c>
      <c r="AX362" s="1373">
        <f t="shared" si="712"/>
        <v>0.31969097950621272</v>
      </c>
      <c r="AY362" s="1373">
        <f t="shared" si="712"/>
        <v>0.2701254699135599</v>
      </c>
      <c r="AZ362" s="1374">
        <f t="shared" si="712"/>
        <v>0.29118263267286726</v>
      </c>
      <c r="BA362" s="1726">
        <f t="shared" ref="BA362:CF362" si="713">+BA361/BA39</f>
        <v>0.3889262328788789</v>
      </c>
      <c r="BB362" s="1373">
        <f t="shared" si="713"/>
        <v>0.32846787422236517</v>
      </c>
      <c r="BC362" s="1373">
        <f t="shared" si="713"/>
        <v>0.26174751033497307</v>
      </c>
      <c r="BD362" s="1374">
        <f t="shared" si="713"/>
        <v>0.30896084846494465</v>
      </c>
      <c r="BE362" s="1726">
        <f t="shared" si="713"/>
        <v>0.38786177094208435</v>
      </c>
      <c r="BF362" s="1373">
        <f t="shared" si="713"/>
        <v>0.32306386945272686</v>
      </c>
      <c r="BG362" s="1373">
        <f t="shared" si="713"/>
        <v>0.27471874348818942</v>
      </c>
      <c r="BH362" s="1374">
        <f t="shared" si="713"/>
        <v>0.33284384144719337</v>
      </c>
      <c r="BI362" s="1726">
        <f t="shared" si="713"/>
        <v>0.42675738982731898</v>
      </c>
      <c r="BJ362" s="1373">
        <f t="shared" si="713"/>
        <v>0.35788792900990346</v>
      </c>
      <c r="BK362" s="1373">
        <f t="shared" si="713"/>
        <v>0.28810270152056366</v>
      </c>
      <c r="BL362" s="1374">
        <f t="shared" si="713"/>
        <v>0.32018426446841336</v>
      </c>
      <c r="BM362" s="1726">
        <f t="shared" si="713"/>
        <v>0.40834258225018499</v>
      </c>
      <c r="BN362" s="1373">
        <f t="shared" si="713"/>
        <v>0.37051645356655033</v>
      </c>
      <c r="BO362" s="1373">
        <f t="shared" si="713"/>
        <v>0.29443262500677481</v>
      </c>
      <c r="BP362" s="1374">
        <f t="shared" si="713"/>
        <v>0.32729737234166428</v>
      </c>
      <c r="BQ362" s="1726">
        <f t="shared" si="713"/>
        <v>0.42266641789795223</v>
      </c>
      <c r="BR362" s="1373">
        <f t="shared" si="713"/>
        <v>0.3999802188918184</v>
      </c>
      <c r="BS362" s="1373">
        <f t="shared" si="713"/>
        <v>0.28927907136134245</v>
      </c>
      <c r="BT362" s="1374">
        <f t="shared" si="713"/>
        <v>0.32745640457533137</v>
      </c>
      <c r="BU362" s="1726">
        <f t="shared" si="713"/>
        <v>0.42078486716680291</v>
      </c>
      <c r="BV362" s="1373">
        <f t="shared" si="713"/>
        <v>0.42516929251491264</v>
      </c>
      <c r="BW362" s="1373">
        <f t="shared" si="713"/>
        <v>0.31009235558138704</v>
      </c>
      <c r="BX362" s="1374">
        <f t="shared" si="713"/>
        <v>0.34230335170915338</v>
      </c>
      <c r="BY362" s="1373">
        <f t="shared" si="713"/>
        <v>0.45144769057100081</v>
      </c>
      <c r="BZ362" s="1373">
        <f t="shared" si="713"/>
        <v>0.42982925075902478</v>
      </c>
      <c r="CA362" s="1373">
        <f t="shared" si="713"/>
        <v>0.30566345864366029</v>
      </c>
      <c r="CB362" s="1374">
        <f t="shared" ref="CB362" si="714">+CB361/CB39</f>
        <v>0.31540468522276455</v>
      </c>
      <c r="CC362" s="1726">
        <f t="shared" si="713"/>
        <v>0.43414130933782968</v>
      </c>
      <c r="CD362" s="1373">
        <f t="shared" si="713"/>
        <v>0.41823450642894777</v>
      </c>
      <c r="CE362" s="1373">
        <f t="shared" si="713"/>
        <v>0.29841290885854144</v>
      </c>
      <c r="CF362" s="1374">
        <f t="shared" si="713"/>
        <v>0.3098697283160895</v>
      </c>
      <c r="CG362" s="582"/>
      <c r="CH362" s="635"/>
      <c r="CI362" s="465"/>
      <c r="CJ362" s="1373">
        <f t="shared" ref="CJ362:DF362" si="715">+CJ361/CJ39</f>
        <v>0.28947891328925285</v>
      </c>
      <c r="CK362" s="1373">
        <f t="shared" si="715"/>
        <v>0.3030541068614242</v>
      </c>
      <c r="CL362" s="1373">
        <f t="shared" si="715"/>
        <v>0.33163238836390585</v>
      </c>
      <c r="CM362" s="1373">
        <f t="shared" si="715"/>
        <v>0.36425406129961574</v>
      </c>
      <c r="CN362" s="1373">
        <f t="shared" si="715"/>
        <v>0.33585473628292956</v>
      </c>
      <c r="CO362" s="1373">
        <f t="shared" si="715"/>
        <v>0.32296272585674668</v>
      </c>
      <c r="CP362" s="1373">
        <f t="shared" si="715"/>
        <v>0.31857851158385836</v>
      </c>
      <c r="CQ362" s="1373">
        <f t="shared" si="715"/>
        <v>0.30718607244494106</v>
      </c>
      <c r="CR362" s="1373">
        <f t="shared" si="715"/>
        <v>0.3099740898996064</v>
      </c>
      <c r="CS362" s="1373">
        <f t="shared" si="715"/>
        <v>0.32057597055205822</v>
      </c>
      <c r="CT362" s="1373">
        <f t="shared" si="715"/>
        <v>0.33697383047877438</v>
      </c>
      <c r="CU362" s="1373">
        <f t="shared" si="715"/>
        <v>0.34170432205144169</v>
      </c>
      <c r="CV362" s="1373">
        <f t="shared" si="715"/>
        <v>0.35055745549219164</v>
      </c>
      <c r="CW362" s="1373">
        <f t="shared" si="715"/>
        <v>0.36598135940462401</v>
      </c>
      <c r="CX362" s="1373">
        <f t="shared" si="715"/>
        <v>0.36469479013188894</v>
      </c>
      <c r="CY362" s="1373">
        <f t="shared" si="715"/>
        <v>0.35574779553243774</v>
      </c>
      <c r="CZ362" s="1373">
        <f t="shared" si="715"/>
        <v>0.3560736241978314</v>
      </c>
      <c r="DA362" s="1373">
        <f t="shared" si="715"/>
        <v>0.35682740510343058</v>
      </c>
      <c r="DB362" s="1373">
        <f t="shared" si="715"/>
        <v>0.35728222269329935</v>
      </c>
      <c r="DC362" s="1373">
        <f t="shared" si="715"/>
        <v>0.3579056118207054</v>
      </c>
      <c r="DD362" s="1373">
        <f t="shared" si="715"/>
        <v>0.35862764773088557</v>
      </c>
      <c r="DE362" s="1373">
        <f t="shared" si="715"/>
        <v>0.3594482816461903</v>
      </c>
      <c r="DF362" s="1374">
        <f t="shared" si="715"/>
        <v>0.35976392788984268</v>
      </c>
      <c r="DG362" s="1474"/>
      <c r="DH362" s="1474"/>
      <c r="DI362" s="465"/>
    </row>
    <row r="363" spans="1:113" s="632" customFormat="1" ht="11.25" customHeight="1">
      <c r="A363" s="542"/>
      <c r="B363"/>
      <c r="C363"/>
      <c r="D363"/>
      <c r="E363"/>
      <c r="F363"/>
      <c r="G363"/>
      <c r="H363" s="1052"/>
      <c r="I363" s="1368" t="s">
        <v>623</v>
      </c>
      <c r="J363" s="634"/>
      <c r="K363" s="634"/>
      <c r="L363" s="631"/>
      <c r="M363" s="465"/>
      <c r="N363" s="465"/>
      <c r="O363" s="465"/>
      <c r="P363" s="466"/>
      <c r="Q363" s="465"/>
      <c r="R363" s="465"/>
      <c r="S363" s="465"/>
      <c r="T363" s="466"/>
      <c r="U363" s="1511"/>
      <c r="V363" s="354"/>
      <c r="W363" s="354"/>
      <c r="X363" s="355"/>
      <c r="Y363" s="1511">
        <f t="shared" ref="Y363:BD363" si="716">+(Y362-U362)*10000</f>
        <v>187.31124196140036</v>
      </c>
      <c r="Z363" s="354">
        <f t="shared" si="716"/>
        <v>336.35569439948108</v>
      </c>
      <c r="AA363" s="354">
        <f t="shared" si="716"/>
        <v>305.75222264238641</v>
      </c>
      <c r="AB363" s="355">
        <f t="shared" si="716"/>
        <v>-349.40985717878738</v>
      </c>
      <c r="AC363" s="1511">
        <f t="shared" si="716"/>
        <v>65.471630024388489</v>
      </c>
      <c r="AD363" s="354">
        <f t="shared" si="716"/>
        <v>97.827391086404702</v>
      </c>
      <c r="AE363" s="354">
        <f t="shared" si="716"/>
        <v>526.00979971348488</v>
      </c>
      <c r="AF363" s="355">
        <f t="shared" si="716"/>
        <v>392.45543099459991</v>
      </c>
      <c r="AG363" s="1511">
        <f t="shared" si="716"/>
        <v>716.04251690609851</v>
      </c>
      <c r="AH363" s="354">
        <f t="shared" si="716"/>
        <v>624.69494269325355</v>
      </c>
      <c r="AI363" s="354">
        <f t="shared" si="716"/>
        <v>8.4825396120596928</v>
      </c>
      <c r="AJ363" s="355">
        <f t="shared" si="716"/>
        <v>179.05896126716613</v>
      </c>
      <c r="AK363" s="1511">
        <f t="shared" si="716"/>
        <v>-167.01996786846917</v>
      </c>
      <c r="AL363" s="354">
        <f t="shared" si="716"/>
        <v>-313.87779712760687</v>
      </c>
      <c r="AM363" s="354">
        <f t="shared" si="716"/>
        <v>-293.27063052329072</v>
      </c>
      <c r="AN363" s="355">
        <f t="shared" si="716"/>
        <v>-249.01879241228997</v>
      </c>
      <c r="AO363" s="1511">
        <f t="shared" si="716"/>
        <v>-310.28900348319735</v>
      </c>
      <c r="AP363" s="354">
        <f t="shared" si="716"/>
        <v>-142.73856464174452</v>
      </c>
      <c r="AQ363" s="354">
        <f t="shared" si="716"/>
        <v>-147.83730867531543</v>
      </c>
      <c r="AR363" s="355">
        <f t="shared" si="716"/>
        <v>-46.544944580462769</v>
      </c>
      <c r="AS363" s="1511">
        <f t="shared" si="716"/>
        <v>-69.427489685022209</v>
      </c>
      <c r="AT363" s="354">
        <f t="shared" si="716"/>
        <v>51.232450378845272</v>
      </c>
      <c r="AU363" s="354">
        <f t="shared" si="716"/>
        <v>-81.793450602639652</v>
      </c>
      <c r="AV363" s="355">
        <f t="shared" si="716"/>
        <v>31.592970984568037</v>
      </c>
      <c r="AW363" s="1511">
        <f t="shared" si="716"/>
        <v>127.39865884257406</v>
      </c>
      <c r="AX363" s="354">
        <f t="shared" si="716"/>
        <v>-117.22540435603167</v>
      </c>
      <c r="AY363" s="354">
        <f t="shared" si="716"/>
        <v>-146.10224984667352</v>
      </c>
      <c r="AZ363" s="355">
        <f t="shared" si="716"/>
        <v>-218.29637873033047</v>
      </c>
      <c r="BA363" s="1511">
        <f t="shared" si="716"/>
        <v>-24.580913167115416</v>
      </c>
      <c r="BB363" s="354">
        <f t="shared" si="716"/>
        <v>87.768947161524508</v>
      </c>
      <c r="BC363" s="354">
        <f t="shared" si="716"/>
        <v>-83.779595785868352</v>
      </c>
      <c r="BD363" s="355">
        <f t="shared" si="716"/>
        <v>177.7821579207739</v>
      </c>
      <c r="BE363" s="1511">
        <f t="shared" ref="BE363:CF363" si="717">+(BE362-BA362)*10000</f>
        <v>-10.644619367945474</v>
      </c>
      <c r="BF363" s="354">
        <f t="shared" si="717"/>
        <v>-54.040047696383155</v>
      </c>
      <c r="BG363" s="354">
        <f t="shared" si="717"/>
        <v>129.71233153216355</v>
      </c>
      <c r="BH363" s="355">
        <f t="shared" si="717"/>
        <v>238.82992982248717</v>
      </c>
      <c r="BI363" s="1511">
        <f t="shared" si="717"/>
        <v>388.95618885234626</v>
      </c>
      <c r="BJ363" s="354">
        <f t="shared" si="717"/>
        <v>348.24059557176599</v>
      </c>
      <c r="BK363" s="354">
        <f t="shared" si="717"/>
        <v>133.83958032374244</v>
      </c>
      <c r="BL363" s="355">
        <f t="shared" si="717"/>
        <v>-126.59576978780007</v>
      </c>
      <c r="BM363" s="1511">
        <f t="shared" si="717"/>
        <v>-184.14807577133985</v>
      </c>
      <c r="BN363" s="354">
        <f t="shared" si="717"/>
        <v>126.28524556646869</v>
      </c>
      <c r="BO363" s="354">
        <f t="shared" si="717"/>
        <v>63.299234862111419</v>
      </c>
      <c r="BP363" s="355">
        <f t="shared" si="717"/>
        <v>71.131078732509238</v>
      </c>
      <c r="BQ363" s="1511">
        <f t="shared" si="717"/>
        <v>143.23835647767237</v>
      </c>
      <c r="BR363" s="354">
        <f t="shared" si="717"/>
        <v>294.63765325268065</v>
      </c>
      <c r="BS363" s="354">
        <f t="shared" si="717"/>
        <v>-51.53553645432352</v>
      </c>
      <c r="BT363" s="355">
        <f t="shared" si="717"/>
        <v>1.5903223366708907</v>
      </c>
      <c r="BU363" s="1511">
        <f t="shared" si="717"/>
        <v>-18.815507311493175</v>
      </c>
      <c r="BV363" s="354">
        <f t="shared" si="717"/>
        <v>251.89073623094248</v>
      </c>
      <c r="BW363" s="354">
        <f t="shared" si="717"/>
        <v>208.13284220044582</v>
      </c>
      <c r="BX363" s="355">
        <f t="shared" si="717"/>
        <v>148.46947133822007</v>
      </c>
      <c r="BY363" s="354">
        <f t="shared" si="717"/>
        <v>306.62823404197906</v>
      </c>
      <c r="BZ363" s="354">
        <f t="shared" si="717"/>
        <v>46.599582441121392</v>
      </c>
      <c r="CA363" s="354">
        <f t="shared" si="717"/>
        <v>-44.288969377267449</v>
      </c>
      <c r="CB363" s="355">
        <f t="shared" si="717"/>
        <v>-268.98666486388834</v>
      </c>
      <c r="CC363" s="1511">
        <f t="shared" si="717"/>
        <v>-173.06381233171132</v>
      </c>
      <c r="CD363" s="354">
        <f t="shared" si="717"/>
        <v>-115.94744330077012</v>
      </c>
      <c r="CE363" s="354">
        <f t="shared" si="717"/>
        <v>-72.505497851188537</v>
      </c>
      <c r="CF363" s="355">
        <f t="shared" si="717"/>
        <v>-55.349569066750483</v>
      </c>
      <c r="CG363" s="582"/>
      <c r="CH363" s="635"/>
      <c r="CI363" s="465"/>
      <c r="CJ363" s="354"/>
      <c r="CK363" s="354">
        <f t="shared" ref="CK363:CX363" si="718">+(CK362-CJ362)*10000</f>
        <v>135.75193572171352</v>
      </c>
      <c r="CL363" s="354">
        <f t="shared" si="718"/>
        <v>285.7828150248165</v>
      </c>
      <c r="CM363" s="354">
        <f t="shared" si="718"/>
        <v>326.21672935709887</v>
      </c>
      <c r="CN363" s="354">
        <f t="shared" si="718"/>
        <v>-283.99325016686186</v>
      </c>
      <c r="CO363" s="354">
        <f t="shared" si="718"/>
        <v>-128.92010426182875</v>
      </c>
      <c r="CP363" s="354">
        <f t="shared" si="718"/>
        <v>-43.842142728883204</v>
      </c>
      <c r="CQ363" s="354">
        <f t="shared" si="718"/>
        <v>-113.92439138917298</v>
      </c>
      <c r="CR363" s="354">
        <f t="shared" si="718"/>
        <v>27.880174546653368</v>
      </c>
      <c r="CS363" s="354">
        <f t="shared" si="718"/>
        <v>106.01880652451823</v>
      </c>
      <c r="CT363" s="354">
        <f t="shared" si="718"/>
        <v>163.97859926716163</v>
      </c>
      <c r="CU363" s="354">
        <f t="shared" si="718"/>
        <v>47.304915726673059</v>
      </c>
      <c r="CV363" s="354">
        <f t="shared" si="718"/>
        <v>88.5313344074995</v>
      </c>
      <c r="CW363" s="354">
        <f t="shared" si="718"/>
        <v>154.23903912432368</v>
      </c>
      <c r="CX363" s="354">
        <f t="shared" si="718"/>
        <v>-12.865692727350719</v>
      </c>
      <c r="CY363" s="354">
        <f t="shared" ref="CY363:DF363" si="719">+(CY362-CX362)*10000</f>
        <v>-89.469945994511974</v>
      </c>
      <c r="CZ363" s="354">
        <f t="shared" si="719"/>
        <v>3.2582866539365707</v>
      </c>
      <c r="DA363" s="354">
        <f t="shared" si="719"/>
        <v>7.5378090559918842</v>
      </c>
      <c r="DB363" s="354">
        <f t="shared" si="719"/>
        <v>4.548175898687612</v>
      </c>
      <c r="DC363" s="354">
        <f t="shared" si="719"/>
        <v>6.233891274060599</v>
      </c>
      <c r="DD363" s="354">
        <f t="shared" si="719"/>
        <v>7.2203591018016322</v>
      </c>
      <c r="DE363" s="354">
        <f t="shared" si="719"/>
        <v>8.2063391530473595</v>
      </c>
      <c r="DF363" s="355">
        <f t="shared" si="719"/>
        <v>3.1564624365237881</v>
      </c>
      <c r="DG363" s="1474"/>
      <c r="DH363" s="1474"/>
      <c r="DI363" s="465"/>
    </row>
    <row r="364" spans="1:113" s="632" customFormat="1" ht="11.25" customHeight="1">
      <c r="A364" s="542"/>
      <c r="B364"/>
      <c r="C364"/>
      <c r="D364"/>
      <c r="E364"/>
      <c r="F364"/>
      <c r="G364"/>
      <c r="H364" s="1052"/>
      <c r="I364" s="633" t="s">
        <v>628</v>
      </c>
      <c r="J364" s="634"/>
      <c r="K364" s="634"/>
      <c r="L364" s="631"/>
      <c r="M364" s="465"/>
      <c r="N364" s="465"/>
      <c r="O364" s="465"/>
      <c r="P364" s="466"/>
      <c r="Q364" s="465"/>
      <c r="R364" s="465"/>
      <c r="S364" s="465"/>
      <c r="T364" s="466"/>
      <c r="U364" s="635"/>
      <c r="V364" s="465"/>
      <c r="W364" s="465"/>
      <c r="X364" s="466"/>
      <c r="Y364" s="635"/>
      <c r="Z364" s="465"/>
      <c r="AA364" s="465"/>
      <c r="AB364" s="466"/>
      <c r="AC364" s="635"/>
      <c r="AD364" s="465"/>
      <c r="AE364" s="465"/>
      <c r="AF364" s="466"/>
      <c r="AG364" s="635"/>
      <c r="AH364" s="465"/>
      <c r="AI364" s="465"/>
      <c r="AJ364" s="466"/>
      <c r="AK364" s="635">
        <f t="shared" ref="AK364:CF364" si="720">+AK341+AK357</f>
        <v>40.656488704949993</v>
      </c>
      <c r="AL364" s="465">
        <f t="shared" si="720"/>
        <v>49.884354278221302</v>
      </c>
      <c r="AM364" s="465">
        <f t="shared" si="720"/>
        <v>59.568310548586425</v>
      </c>
      <c r="AN364" s="466">
        <f t="shared" si="720"/>
        <v>45.968680431736978</v>
      </c>
      <c r="AO364" s="635">
        <f t="shared" si="720"/>
        <v>63.533803619191545</v>
      </c>
      <c r="AP364" s="465">
        <f t="shared" si="720"/>
        <v>75.261134640701073</v>
      </c>
      <c r="AQ364" s="465">
        <f t="shared" si="720"/>
        <v>87.28924985042714</v>
      </c>
      <c r="AR364" s="466">
        <f t="shared" si="720"/>
        <v>66.519702647568266</v>
      </c>
      <c r="AS364" s="635">
        <f t="shared" si="720"/>
        <v>86.034486419566406</v>
      </c>
      <c r="AT364" s="465">
        <f t="shared" si="720"/>
        <v>110.06843010673282</v>
      </c>
      <c r="AU364" s="465">
        <f t="shared" si="720"/>
        <v>129.82833354904616</v>
      </c>
      <c r="AV364" s="466">
        <f t="shared" si="720"/>
        <v>93.426323789140085</v>
      </c>
      <c r="AW364" s="635">
        <f t="shared" si="720"/>
        <v>120.68088535947301</v>
      </c>
      <c r="AX364" s="465">
        <f t="shared" si="720"/>
        <v>147.73571068569217</v>
      </c>
      <c r="AY364" s="465">
        <f t="shared" si="720"/>
        <v>189.99531900231773</v>
      </c>
      <c r="AZ364" s="466">
        <f t="shared" si="720"/>
        <v>144.18319310606503</v>
      </c>
      <c r="BA364" s="635">
        <f t="shared" si="720"/>
        <v>195.86362175671997</v>
      </c>
      <c r="BB364" s="465">
        <f t="shared" si="720"/>
        <v>224.35518913737565</v>
      </c>
      <c r="BC364" s="465">
        <f t="shared" si="720"/>
        <v>271.36841542602269</v>
      </c>
      <c r="BD364" s="466">
        <f t="shared" si="720"/>
        <v>225.39040496860085</v>
      </c>
      <c r="BE364" s="635">
        <f t="shared" si="720"/>
        <v>294.43323730866325</v>
      </c>
      <c r="BF364" s="465">
        <f t="shared" si="720"/>
        <v>346.79661814038133</v>
      </c>
      <c r="BG364" s="465">
        <f t="shared" si="720"/>
        <v>409.47823687450244</v>
      </c>
      <c r="BH364" s="466">
        <f t="shared" si="720"/>
        <v>316.82625205252117</v>
      </c>
      <c r="BI364" s="635">
        <f t="shared" si="720"/>
        <v>431.41851507243751</v>
      </c>
      <c r="BJ364" s="465">
        <f t="shared" si="720"/>
        <v>494.88971470497199</v>
      </c>
      <c r="BK364" s="465">
        <f t="shared" si="720"/>
        <v>570.42356377609053</v>
      </c>
      <c r="BL364" s="466">
        <f t="shared" si="720"/>
        <v>429.00361114047649</v>
      </c>
      <c r="BM364" s="635">
        <f t="shared" si="720"/>
        <v>579.00214995170336</v>
      </c>
      <c r="BN364" s="465">
        <f t="shared" si="720"/>
        <v>692.68202414699567</v>
      </c>
      <c r="BO364" s="465">
        <f t="shared" si="720"/>
        <v>773.3863966958271</v>
      </c>
      <c r="BP364" s="466">
        <f t="shared" si="720"/>
        <v>577.65644688238626</v>
      </c>
      <c r="BQ364" s="635">
        <f t="shared" si="720"/>
        <v>783.87195702731344</v>
      </c>
      <c r="BR364" s="465">
        <f t="shared" si="720"/>
        <v>946.59606112905112</v>
      </c>
      <c r="BS364" s="465">
        <f t="shared" si="720"/>
        <v>966.8546940373825</v>
      </c>
      <c r="BT364" s="466">
        <f t="shared" si="720"/>
        <v>679.55702060783517</v>
      </c>
      <c r="BU364" s="635">
        <f t="shared" si="720"/>
        <v>885.85072544464617</v>
      </c>
      <c r="BV364" s="465">
        <f t="shared" si="720"/>
        <v>1046.9735452192908</v>
      </c>
      <c r="BW364" s="465">
        <f t="shared" si="720"/>
        <v>1122.4442481570798</v>
      </c>
      <c r="BX364" s="466">
        <f t="shared" si="720"/>
        <v>793.48824290227299</v>
      </c>
      <c r="BY364" s="465">
        <f>+BY341+BY357</f>
        <v>1078.7693762758936</v>
      </c>
      <c r="BZ364" s="465">
        <f t="shared" si="720"/>
        <v>1296.6402756518683</v>
      </c>
      <c r="CA364" s="465">
        <f t="shared" si="720"/>
        <v>1315.2601790359354</v>
      </c>
      <c r="CB364" s="466">
        <f t="shared" ref="CB364" si="721">+CB341+CB357</f>
        <v>832.64488021606257</v>
      </c>
      <c r="CC364" s="635">
        <f t="shared" si="720"/>
        <v>1149.4712959533542</v>
      </c>
      <c r="CD364" s="465">
        <f t="shared" si="720"/>
        <v>1445.4388919363364</v>
      </c>
      <c r="CE364" s="465">
        <f t="shared" si="720"/>
        <v>1499.4750854064764</v>
      </c>
      <c r="CF364" s="466">
        <f t="shared" si="720"/>
        <v>1014.5054695032002</v>
      </c>
      <c r="CG364" s="582"/>
      <c r="CH364" s="635"/>
      <c r="CI364" s="465"/>
      <c r="CJ364" s="465"/>
      <c r="CK364" s="465"/>
      <c r="CL364" s="465"/>
      <c r="CM364" s="465"/>
      <c r="CN364" s="465"/>
      <c r="CO364" s="465">
        <f t="shared" ref="CO364:DF364" si="722">+CO341+CO357</f>
        <v>308.05861685003708</v>
      </c>
      <c r="CP364" s="465">
        <f t="shared" si="722"/>
        <v>419.71504870553133</v>
      </c>
      <c r="CQ364" s="465">
        <f t="shared" si="722"/>
        <v>597.21962996004663</v>
      </c>
      <c r="CR364" s="465">
        <f t="shared" si="722"/>
        <v>953.95461363392246</v>
      </c>
      <c r="CS364" s="465">
        <f t="shared" si="722"/>
        <v>1361.495603387586</v>
      </c>
      <c r="CT364" s="465">
        <f t="shared" si="722"/>
        <v>1926.3803094522343</v>
      </c>
      <c r="CU364" s="465">
        <f t="shared" si="722"/>
        <v>2629.2673081615667</v>
      </c>
      <c r="CV364" s="465">
        <f t="shared" si="722"/>
        <v>3372.0610046307106</v>
      </c>
      <c r="CW364" s="465">
        <f t="shared" si="722"/>
        <v>3851.5264610742688</v>
      </c>
      <c r="CX364" s="465">
        <f t="shared" si="722"/>
        <v>4443.4801125851172</v>
      </c>
      <c r="CY364" s="465">
        <f t="shared" si="722"/>
        <v>5105.3949401503423</v>
      </c>
      <c r="CZ364" s="465">
        <f t="shared" si="722"/>
        <v>5977.3401752089021</v>
      </c>
      <c r="DA364" s="465">
        <f t="shared" si="722"/>
        <v>6716.11206878135</v>
      </c>
      <c r="DB364" s="465">
        <f t="shared" si="722"/>
        <v>7423.2799966893581</v>
      </c>
      <c r="DC364" s="465">
        <f t="shared" si="722"/>
        <v>8118.9466124099181</v>
      </c>
      <c r="DD364" s="465">
        <f t="shared" si="722"/>
        <v>8809.3621642904945</v>
      </c>
      <c r="DE364" s="465">
        <f t="shared" si="722"/>
        <v>9489.0984170209358</v>
      </c>
      <c r="DF364" s="466">
        <f t="shared" si="722"/>
        <v>10208.980325034065</v>
      </c>
      <c r="DG364" s="1474"/>
      <c r="DH364" s="1474"/>
      <c r="DI364" s="465"/>
    </row>
    <row r="365" spans="1:113" s="632" customFormat="1" ht="11.25" customHeight="1">
      <c r="A365" s="542"/>
      <c r="B365"/>
      <c r="C365"/>
      <c r="D365"/>
      <c r="E365"/>
      <c r="F365"/>
      <c r="G365"/>
      <c r="H365" s="1052"/>
      <c r="I365" s="310" t="s">
        <v>506</v>
      </c>
      <c r="J365" s="634"/>
      <c r="K365" s="634"/>
      <c r="L365" s="631"/>
      <c r="M365" s="465"/>
      <c r="N365" s="465"/>
      <c r="O365" s="465"/>
      <c r="P365" s="466"/>
      <c r="Q365" s="465"/>
      <c r="R365" s="465"/>
      <c r="S365" s="465"/>
      <c r="T365" s="466"/>
      <c r="U365" s="1726"/>
      <c r="V365" s="1373"/>
      <c r="W365" s="1373"/>
      <c r="X365" s="1374"/>
      <c r="Y365" s="1726"/>
      <c r="Z365" s="1373"/>
      <c r="AA365" s="1373"/>
      <c r="AB365" s="1374"/>
      <c r="AC365" s="1726"/>
      <c r="AD365" s="1373"/>
      <c r="AE365" s="1373"/>
      <c r="AF365" s="1374"/>
      <c r="AG365" s="1726"/>
      <c r="AH365" s="1373"/>
      <c r="AI365" s="1373"/>
      <c r="AJ365" s="1374"/>
      <c r="AK365" s="1726">
        <f t="shared" ref="AK365:CF365" si="723">+AK364/AK39</f>
        <v>0.39153390060526377</v>
      </c>
      <c r="AL365" s="1373">
        <f t="shared" si="723"/>
        <v>0.32205686685790397</v>
      </c>
      <c r="AM365" s="1373">
        <f t="shared" si="723"/>
        <v>0.29441020184048133</v>
      </c>
      <c r="AN365" s="1374">
        <f t="shared" si="723"/>
        <v>0.28703157270428703</v>
      </c>
      <c r="AO365" s="1726">
        <f t="shared" si="723"/>
        <v>0.35081585406752808</v>
      </c>
      <c r="AP365" s="1373">
        <f t="shared" si="723"/>
        <v>0.29662482861641959</v>
      </c>
      <c r="AQ365" s="1373">
        <f t="shared" si="723"/>
        <v>0.27616363635060692</v>
      </c>
      <c r="AR365" s="1374">
        <f t="shared" si="723"/>
        <v>0.32438350107316349</v>
      </c>
      <c r="AS365" s="1726">
        <f t="shared" si="723"/>
        <v>0.41297214236819668</v>
      </c>
      <c r="AT365" s="1373">
        <f t="shared" si="723"/>
        <v>0.36059871348499473</v>
      </c>
      <c r="AU365" s="1373">
        <f t="shared" si="723"/>
        <v>0.29913949012005864</v>
      </c>
      <c r="AV365" s="1374">
        <f t="shared" si="723"/>
        <v>0.29830652988815082</v>
      </c>
      <c r="AW365" s="1726">
        <f t="shared" si="723"/>
        <v>0.37817246819173295</v>
      </c>
      <c r="AX365" s="1373">
        <f t="shared" si="723"/>
        <v>0.33110938690247116</v>
      </c>
      <c r="AY365" s="1373">
        <f t="shared" si="723"/>
        <v>0.28433559460874125</v>
      </c>
      <c r="AZ365" s="1374">
        <f t="shared" si="723"/>
        <v>0.30027780622964773</v>
      </c>
      <c r="BA365" s="1726">
        <f t="shared" si="723"/>
        <v>0.38722918925109912</v>
      </c>
      <c r="BB365" s="1373">
        <f t="shared" si="723"/>
        <v>0.29944888416644838</v>
      </c>
      <c r="BC365" s="1373">
        <f t="shared" si="723"/>
        <v>0.24666537177363651</v>
      </c>
      <c r="BD365" s="1374">
        <f t="shared" si="723"/>
        <v>0.31101329930798782</v>
      </c>
      <c r="BE365" s="1726">
        <f t="shared" si="723"/>
        <v>0.39612268368204956</v>
      </c>
      <c r="BF365" s="1373">
        <f t="shared" si="723"/>
        <v>0.34536611170569631</v>
      </c>
      <c r="BG365" s="1373">
        <f t="shared" si="723"/>
        <v>0.29321728869116631</v>
      </c>
      <c r="BH365" s="1374">
        <f t="shared" si="723"/>
        <v>0.33713886890398631</v>
      </c>
      <c r="BI365" s="1726">
        <f t="shared" si="723"/>
        <v>0.42728876911890334</v>
      </c>
      <c r="BJ365" s="1373">
        <f t="shared" si="723"/>
        <v>0.35761674070258226</v>
      </c>
      <c r="BK365" s="1373">
        <f t="shared" si="723"/>
        <v>0.28677975017211133</v>
      </c>
      <c r="BL365" s="1374">
        <f t="shared" si="723"/>
        <v>0.32176051104775028</v>
      </c>
      <c r="BM365" s="1726">
        <f t="shared" si="723"/>
        <v>0.41167016593424482</v>
      </c>
      <c r="BN365" s="1373">
        <f t="shared" si="723"/>
        <v>0.36786165459034204</v>
      </c>
      <c r="BO365" s="1373">
        <f t="shared" si="723"/>
        <v>0.29518812627275004</v>
      </c>
      <c r="BP365" s="1374">
        <f t="shared" si="723"/>
        <v>0.34493438878498722</v>
      </c>
      <c r="BQ365" s="1726">
        <f t="shared" si="723"/>
        <v>0.46875677657179576</v>
      </c>
      <c r="BR365" s="1373">
        <f t="shared" si="723"/>
        <v>0.45228790071271768</v>
      </c>
      <c r="BS365" s="1373">
        <f t="shared" si="723"/>
        <v>0.32804960436001124</v>
      </c>
      <c r="BT365" s="1374">
        <f t="shared" si="723"/>
        <v>0.36158516949862546</v>
      </c>
      <c r="BU365" s="1726">
        <f t="shared" si="723"/>
        <v>0.43865940005677106</v>
      </c>
      <c r="BV365" s="1373">
        <f t="shared" si="723"/>
        <v>0.430885582878755</v>
      </c>
      <c r="BW365" s="1373">
        <f t="shared" si="723"/>
        <v>0.31274019100725725</v>
      </c>
      <c r="BX365" s="1374">
        <f t="shared" si="723"/>
        <v>0.3485775072153639</v>
      </c>
      <c r="BY365" s="1726">
        <f t="shared" si="723"/>
        <v>0.4621511442831992</v>
      </c>
      <c r="BZ365" s="1373">
        <f t="shared" si="723"/>
        <v>0.43926896330590892</v>
      </c>
      <c r="CA365" s="1373">
        <f t="shared" si="723"/>
        <v>0.30066161709229156</v>
      </c>
      <c r="CB365" s="1374">
        <f t="shared" ref="CB365" si="724">+CB364/CB39</f>
        <v>0.30060000520446184</v>
      </c>
      <c r="CC365" s="1726">
        <f t="shared" si="723"/>
        <v>0.41089486273014225</v>
      </c>
      <c r="CD365" s="1373">
        <f t="shared" si="723"/>
        <v>0.40577291408687116</v>
      </c>
      <c r="CE365" s="1373">
        <f t="shared" si="723"/>
        <v>0.2996306853919346</v>
      </c>
      <c r="CF365" s="1374">
        <f t="shared" si="723"/>
        <v>0.30034587982997185</v>
      </c>
      <c r="CG365" s="582"/>
      <c r="CH365" s="635"/>
      <c r="CI365" s="465"/>
      <c r="CJ365" s="1373"/>
      <c r="CK365" s="1373"/>
      <c r="CL365" s="1373"/>
      <c r="CM365" s="1373"/>
      <c r="CN365" s="1373"/>
      <c r="CO365" s="1373">
        <f t="shared" ref="CO365:DF365" si="725">+CO364/CO39</f>
        <v>0.32224682218397527</v>
      </c>
      <c r="CP365" s="1373">
        <f t="shared" si="725"/>
        <v>0.33290558868362363</v>
      </c>
      <c r="CQ365" s="1373">
        <f t="shared" si="725"/>
        <v>0.31208012961457737</v>
      </c>
      <c r="CR365" s="1373">
        <f t="shared" si="725"/>
        <v>0.30973759160549186</v>
      </c>
      <c r="CS365" s="1373">
        <f t="shared" si="725"/>
        <v>0.33339910815452667</v>
      </c>
      <c r="CT365" s="1373">
        <f t="shared" si="725"/>
        <v>0.33702217109512578</v>
      </c>
      <c r="CU365" s="1373">
        <f t="shared" si="725"/>
        <v>0.3466801476453551</v>
      </c>
      <c r="CV365" s="1373">
        <f t="shared" si="725"/>
        <v>0.39247401677327143</v>
      </c>
      <c r="CW365" s="1373">
        <f t="shared" si="725"/>
        <v>0.37340198438055827</v>
      </c>
      <c r="CX365" s="1373">
        <f t="shared" si="725"/>
        <v>0.35746462545166907</v>
      </c>
      <c r="CY365" s="1373">
        <f t="shared" si="725"/>
        <v>0.34631933381264612</v>
      </c>
      <c r="CZ365" s="1373">
        <f t="shared" si="725"/>
        <v>0.35601737904342701</v>
      </c>
      <c r="DA365" s="1373">
        <f t="shared" si="725"/>
        <v>0.35682740510343058</v>
      </c>
      <c r="DB365" s="1373">
        <f t="shared" si="725"/>
        <v>0.35728222269329935</v>
      </c>
      <c r="DC365" s="1373">
        <f t="shared" si="725"/>
        <v>0.3579056118207054</v>
      </c>
      <c r="DD365" s="1373">
        <f t="shared" si="725"/>
        <v>0.35862764773088557</v>
      </c>
      <c r="DE365" s="1373">
        <f t="shared" si="725"/>
        <v>0.3594482816461903</v>
      </c>
      <c r="DF365" s="1374">
        <f t="shared" si="725"/>
        <v>0.35976392788984268</v>
      </c>
      <c r="DG365" s="1474"/>
      <c r="DH365" s="1474"/>
      <c r="DI365" s="465"/>
    </row>
    <row r="366" spans="1:113" s="632" customFormat="1" ht="11.25" customHeight="1">
      <c r="A366" s="542"/>
      <c r="B366"/>
      <c r="C366"/>
      <c r="D366"/>
      <c r="E366"/>
      <c r="F366"/>
      <c r="G366"/>
      <c r="H366" s="1052"/>
      <c r="I366" s="1332" t="s">
        <v>623</v>
      </c>
      <c r="J366" s="634"/>
      <c r="K366" s="634"/>
      <c r="L366" s="631"/>
      <c r="M366" s="465"/>
      <c r="N366" s="465"/>
      <c r="O366" s="465"/>
      <c r="P366" s="466"/>
      <c r="Q366" s="465"/>
      <c r="R366" s="465"/>
      <c r="S366" s="465"/>
      <c r="T366" s="466"/>
      <c r="U366" s="1511"/>
      <c r="V366" s="354"/>
      <c r="W366" s="354"/>
      <c r="X366" s="355"/>
      <c r="Y366" s="1511"/>
      <c r="Z366" s="354"/>
      <c r="AA366" s="354"/>
      <c r="AB366" s="355"/>
      <c r="AC366" s="1511"/>
      <c r="AD366" s="354"/>
      <c r="AE366" s="354"/>
      <c r="AF366" s="355"/>
      <c r="AG366" s="1511"/>
      <c r="AH366" s="354"/>
      <c r="AI366" s="354"/>
      <c r="AJ366" s="355"/>
      <c r="AK366" s="1511"/>
      <c r="AL366" s="354"/>
      <c r="AM366" s="354"/>
      <c r="AN366" s="355"/>
      <c r="AO366" s="1511">
        <f>+(AO365-AK365)*10000</f>
        <v>-407.180465377357</v>
      </c>
      <c r="AP366" s="354">
        <f>+(AP365-AL365)*10000</f>
        <v>-254.32038241484378</v>
      </c>
      <c r="AQ366" s="354">
        <f>+(AQ365-AM365)*10000</f>
        <v>-182.46565489874411</v>
      </c>
      <c r="AR366" s="355">
        <f>+(AR365-AN365)*10000</f>
        <v>373.51928368876463</v>
      </c>
      <c r="AS366" s="1511">
        <f t="shared" ref="AS366:CF366" si="726">+(AS365-AO365)*10000</f>
        <v>621.56288300668609</v>
      </c>
      <c r="AT366" s="354">
        <f t="shared" si="726"/>
        <v>639.73884868575135</v>
      </c>
      <c r="AU366" s="354">
        <f t="shared" si="726"/>
        <v>229.75853769451714</v>
      </c>
      <c r="AV366" s="355">
        <f t="shared" si="726"/>
        <v>-260.76971185012678</v>
      </c>
      <c r="AW366" s="1511">
        <f t="shared" si="726"/>
        <v>-347.99674176463736</v>
      </c>
      <c r="AX366" s="354">
        <f t="shared" si="726"/>
        <v>-294.89326582523569</v>
      </c>
      <c r="AY366" s="354">
        <f t="shared" si="726"/>
        <v>-148.0389551131739</v>
      </c>
      <c r="AZ366" s="355">
        <f t="shared" si="726"/>
        <v>19.712763414969082</v>
      </c>
      <c r="BA366" s="1511">
        <f t="shared" si="726"/>
        <v>90.567210593661684</v>
      </c>
      <c r="BB366" s="354">
        <f t="shared" si="726"/>
        <v>-316.60502736022778</v>
      </c>
      <c r="BC366" s="354">
        <f t="shared" si="726"/>
        <v>-376.70222835104738</v>
      </c>
      <c r="BD366" s="355">
        <f t="shared" si="726"/>
        <v>107.35493078340097</v>
      </c>
      <c r="BE366" s="1511">
        <f t="shared" si="726"/>
        <v>88.934944309504431</v>
      </c>
      <c r="BF366" s="354">
        <f t="shared" si="726"/>
        <v>459.17227539247926</v>
      </c>
      <c r="BG366" s="354">
        <f t="shared" si="726"/>
        <v>465.51916917529803</v>
      </c>
      <c r="BH366" s="355">
        <f t="shared" si="726"/>
        <v>261.25569595998491</v>
      </c>
      <c r="BI366" s="1511">
        <f t="shared" si="726"/>
        <v>311.66085436853785</v>
      </c>
      <c r="BJ366" s="354">
        <f t="shared" si="726"/>
        <v>122.50628996885948</v>
      </c>
      <c r="BK366" s="354">
        <f t="shared" si="726"/>
        <v>-64.375385190549864</v>
      </c>
      <c r="BL366" s="355">
        <f t="shared" si="726"/>
        <v>-153.78357856236036</v>
      </c>
      <c r="BM366" s="1511">
        <f t="shared" si="726"/>
        <v>-156.18603184658519</v>
      </c>
      <c r="BN366" s="354">
        <f t="shared" si="726"/>
        <v>102.44913887759776</v>
      </c>
      <c r="BO366" s="354">
        <f t="shared" si="726"/>
        <v>84.083761006387149</v>
      </c>
      <c r="BP366" s="355">
        <f t="shared" si="726"/>
        <v>231.73877737236947</v>
      </c>
      <c r="BQ366" s="1511">
        <f t="shared" si="726"/>
        <v>570.86610637550939</v>
      </c>
      <c r="BR366" s="354">
        <f t="shared" si="726"/>
        <v>844.26246122375653</v>
      </c>
      <c r="BS366" s="354">
        <f t="shared" si="726"/>
        <v>328.61478087261196</v>
      </c>
      <c r="BT366" s="355">
        <f t="shared" si="726"/>
        <v>166.50780713638235</v>
      </c>
      <c r="BU366" s="1511">
        <f t="shared" si="726"/>
        <v>-300.973765150247</v>
      </c>
      <c r="BV366" s="354">
        <f t="shared" si="726"/>
        <v>-214.02317833962681</v>
      </c>
      <c r="BW366" s="354">
        <f t="shared" si="726"/>
        <v>-153.09413352753987</v>
      </c>
      <c r="BX366" s="355">
        <f t="shared" si="726"/>
        <v>-130.07662283261556</v>
      </c>
      <c r="BY366" s="1511">
        <f t="shared" si="726"/>
        <v>234.91744226428136</v>
      </c>
      <c r="BZ366" s="354">
        <f t="shared" si="726"/>
        <v>83.833804271539194</v>
      </c>
      <c r="CA366" s="354">
        <f t="shared" si="726"/>
        <v>-120.78573914965696</v>
      </c>
      <c r="CB366" s="355">
        <f t="shared" si="726"/>
        <v>-479.7750201090206</v>
      </c>
      <c r="CC366" s="1511">
        <f t="shared" si="726"/>
        <v>-512.56281553056954</v>
      </c>
      <c r="CD366" s="354">
        <f t="shared" si="726"/>
        <v>-334.96049219037758</v>
      </c>
      <c r="CE366" s="354">
        <f t="shared" si="726"/>
        <v>-10.309317003569518</v>
      </c>
      <c r="CF366" s="355">
        <f t="shared" si="726"/>
        <v>-2.5412537448998851</v>
      </c>
      <c r="CG366" s="582"/>
      <c r="CH366" s="635"/>
      <c r="CI366" s="465"/>
      <c r="CJ366" s="354"/>
      <c r="CK366" s="354"/>
      <c r="CL366" s="354"/>
      <c r="CM366" s="354"/>
      <c r="CN366" s="354"/>
      <c r="CO366" s="354"/>
      <c r="CP366" s="354">
        <f>+(CP365-CO365)*10000</f>
        <v>106.58766499648364</v>
      </c>
      <c r="CQ366" s="354">
        <f t="shared" ref="CQ366:CX366" si="727">+(CQ365-CP365)*10000</f>
        <v>-208.25459069046261</v>
      </c>
      <c r="CR366" s="354">
        <f t="shared" si="727"/>
        <v>-23.425380090855153</v>
      </c>
      <c r="CS366" s="354">
        <f t="shared" si="727"/>
        <v>236.61516549034812</v>
      </c>
      <c r="CT366" s="354">
        <f t="shared" si="727"/>
        <v>36.230629405991088</v>
      </c>
      <c r="CU366" s="354">
        <f t="shared" si="727"/>
        <v>96.579765502293185</v>
      </c>
      <c r="CV366" s="354">
        <f t="shared" si="727"/>
        <v>457.93869127916332</v>
      </c>
      <c r="CW366" s="354">
        <f t="shared" si="727"/>
        <v>-190.72032392713157</v>
      </c>
      <c r="CX366" s="354">
        <f t="shared" si="727"/>
        <v>-159.37358928889199</v>
      </c>
      <c r="CY366" s="354">
        <f t="shared" ref="CY366:DF366" si="728">+(CY365-CX365)*10000</f>
        <v>-111.45291639022948</v>
      </c>
      <c r="CZ366" s="354">
        <f t="shared" si="728"/>
        <v>96.980452307808832</v>
      </c>
      <c r="DA366" s="354">
        <f t="shared" si="728"/>
        <v>8.1002606000357691</v>
      </c>
      <c r="DB366" s="354">
        <f t="shared" si="728"/>
        <v>4.548175898687612</v>
      </c>
      <c r="DC366" s="354">
        <f t="shared" si="728"/>
        <v>6.233891274060599</v>
      </c>
      <c r="DD366" s="354">
        <f t="shared" si="728"/>
        <v>7.2203591018016322</v>
      </c>
      <c r="DE366" s="354">
        <f t="shared" si="728"/>
        <v>8.2063391530473595</v>
      </c>
      <c r="DF366" s="355">
        <f t="shared" si="728"/>
        <v>3.1564624365237881</v>
      </c>
      <c r="DG366" s="1474"/>
      <c r="DH366" s="1474"/>
      <c r="DI366" s="465"/>
    </row>
    <row r="367" spans="1:113" s="632" customFormat="1" ht="11.25" customHeight="1">
      <c r="A367" s="542"/>
      <c r="B367"/>
      <c r="C367"/>
      <c r="D367"/>
      <c r="E367"/>
      <c r="F367"/>
      <c r="G367"/>
      <c r="H367" s="1052"/>
      <c r="I367" s="1332"/>
      <c r="J367" s="634"/>
      <c r="K367" s="634"/>
      <c r="L367" s="631"/>
      <c r="M367" s="465"/>
      <c r="N367" s="465"/>
      <c r="O367" s="465"/>
      <c r="P367" s="466"/>
      <c r="Q367" s="465"/>
      <c r="R367" s="465"/>
      <c r="S367" s="465"/>
      <c r="T367" s="466"/>
      <c r="U367" s="354"/>
      <c r="V367" s="354"/>
      <c r="W367" s="354"/>
      <c r="X367" s="355"/>
      <c r="Y367" s="354"/>
      <c r="Z367" s="354"/>
      <c r="AA367" s="354"/>
      <c r="AB367" s="355"/>
      <c r="AC367" s="354"/>
      <c r="AD367" s="354"/>
      <c r="AE367" s="354"/>
      <c r="AF367" s="355"/>
      <c r="AG367" s="354"/>
      <c r="AH367" s="354"/>
      <c r="AI367" s="354"/>
      <c r="AJ367" s="355"/>
      <c r="AK367" s="354"/>
      <c r="AL367" s="354"/>
      <c r="AM367" s="354"/>
      <c r="AN367" s="355"/>
      <c r="AO367" s="354"/>
      <c r="AP367" s="354"/>
      <c r="AQ367" s="354"/>
      <c r="AR367" s="355"/>
      <c r="AS367" s="354"/>
      <c r="AT367" s="354"/>
      <c r="AU367" s="354"/>
      <c r="AV367" s="355"/>
      <c r="AW367" s="354"/>
      <c r="AX367" s="354"/>
      <c r="AY367" s="354"/>
      <c r="AZ367" s="355"/>
      <c r="BA367" s="354"/>
      <c r="BB367" s="354"/>
      <c r="BC367" s="354"/>
      <c r="BD367" s="355"/>
      <c r="BE367" s="354"/>
      <c r="BF367" s="354"/>
      <c r="BG367" s="354"/>
      <c r="BH367" s="355"/>
      <c r="BI367" s="354"/>
      <c r="BJ367" s="354"/>
      <c r="BK367" s="354"/>
      <c r="BL367" s="355"/>
      <c r="BM367" s="354"/>
      <c r="BN367" s="354"/>
      <c r="BO367" s="354"/>
      <c r="BP367" s="355"/>
      <c r="BQ367" s="465"/>
      <c r="BR367" s="465"/>
      <c r="BS367" s="354"/>
      <c r="BT367" s="355"/>
      <c r="BU367" s="1511"/>
      <c r="BV367" s="354"/>
      <c r="BW367" s="354"/>
      <c r="BX367" s="355"/>
      <c r="BY367" s="1511"/>
      <c r="BZ367" s="354"/>
      <c r="CA367" s="354"/>
      <c r="CB367" s="355"/>
      <c r="CC367" s="1511"/>
      <c r="CD367" s="354"/>
      <c r="CE367" s="354"/>
      <c r="CF367" s="355"/>
      <c r="CG367" s="582"/>
      <c r="CH367" s="635"/>
      <c r="CI367" s="465"/>
      <c r="CJ367" s="354"/>
      <c r="CK367" s="354"/>
      <c r="CL367" s="354"/>
      <c r="CM367" s="354"/>
      <c r="CN367" s="354"/>
      <c r="CO367" s="354"/>
      <c r="CP367" s="354"/>
      <c r="CQ367" s="1855"/>
      <c r="CR367" s="1855"/>
      <c r="CS367" s="1855"/>
      <c r="CT367" s="1855"/>
      <c r="CU367" s="1855"/>
      <c r="CV367" s="1855"/>
      <c r="CW367" s="1855"/>
      <c r="CX367" s="1855"/>
      <c r="CY367" s="1855"/>
      <c r="CZ367" s="354"/>
      <c r="DA367" s="354"/>
      <c r="DB367" s="354"/>
      <c r="DC367" s="354"/>
      <c r="DD367" s="354"/>
      <c r="DE367" s="354"/>
      <c r="DF367" s="355"/>
      <c r="DG367" s="1474"/>
      <c r="DH367" s="1474"/>
      <c r="DI367" s="465"/>
    </row>
    <row r="368" spans="1:113" s="632" customFormat="1" ht="11.25" customHeight="1">
      <c r="A368" s="542"/>
      <c r="B368"/>
      <c r="C368"/>
      <c r="D368"/>
      <c r="E368"/>
      <c r="F368"/>
      <c r="G368"/>
      <c r="H368" s="1052"/>
      <c r="I368" s="633" t="s">
        <v>10</v>
      </c>
      <c r="J368" s="634"/>
      <c r="K368" s="634"/>
      <c r="L368" s="631"/>
      <c r="M368" s="465"/>
      <c r="N368" s="465"/>
      <c r="O368" s="465"/>
      <c r="P368" s="466"/>
      <c r="Q368" s="465"/>
      <c r="R368" s="465"/>
      <c r="S368" s="465"/>
      <c r="T368" s="466"/>
      <c r="U368" s="465">
        <f t="shared" ref="U368:BP368" si="729">+U335</f>
        <v>6.9859999999999998</v>
      </c>
      <c r="V368" s="465">
        <f t="shared" si="729"/>
        <v>6.5010000000000003</v>
      </c>
      <c r="W368" s="465">
        <f t="shared" si="729"/>
        <v>5.524</v>
      </c>
      <c r="X368" s="466">
        <f t="shared" si="729"/>
        <v>6.0279999999999996</v>
      </c>
      <c r="Y368" s="465">
        <f t="shared" si="729"/>
        <v>10.664</v>
      </c>
      <c r="Z368" s="465">
        <f t="shared" si="729"/>
        <v>9.6170000000000009</v>
      </c>
      <c r="AA368" s="465">
        <f t="shared" si="729"/>
        <v>7.4710000000000001</v>
      </c>
      <c r="AB368" s="466">
        <f t="shared" si="729"/>
        <v>6.0179999999999998</v>
      </c>
      <c r="AC368" s="465">
        <f t="shared" si="729"/>
        <v>11.071999999999999</v>
      </c>
      <c r="AD368" s="465">
        <f t="shared" si="729"/>
        <v>8.0890000000000004</v>
      </c>
      <c r="AE368" s="465">
        <f t="shared" si="729"/>
        <v>7.32</v>
      </c>
      <c r="AF368" s="466">
        <f t="shared" si="729"/>
        <v>4.4749999999999996</v>
      </c>
      <c r="AG368" s="465">
        <f t="shared" si="729"/>
        <v>9.4379999999999988</v>
      </c>
      <c r="AH368" s="465">
        <f t="shared" si="729"/>
        <v>8.8610000000000007</v>
      </c>
      <c r="AI368" s="465">
        <f t="shared" si="729"/>
        <v>6.6649999999999991</v>
      </c>
      <c r="AJ368" s="466">
        <f t="shared" si="729"/>
        <v>6.8689999999999998</v>
      </c>
      <c r="AK368" s="465">
        <f t="shared" si="729"/>
        <v>11.333999999999996</v>
      </c>
      <c r="AL368" s="465">
        <f t="shared" si="729"/>
        <v>9.2810000000000006</v>
      </c>
      <c r="AM368" s="465">
        <f t="shared" si="729"/>
        <v>8.4130000000000003</v>
      </c>
      <c r="AN368" s="466">
        <f t="shared" si="729"/>
        <v>6.9349999999999996</v>
      </c>
      <c r="AO368" s="465">
        <f t="shared" si="729"/>
        <v>12.031000000000006</v>
      </c>
      <c r="AP368" s="465">
        <f t="shared" si="729"/>
        <v>9.9280000000000008</v>
      </c>
      <c r="AQ368" s="465">
        <f t="shared" si="729"/>
        <v>8.2929999999999993</v>
      </c>
      <c r="AR368" s="466">
        <f t="shared" si="729"/>
        <v>7.7789999999999999</v>
      </c>
      <c r="AS368" s="465">
        <f t="shared" si="729"/>
        <v>10.766</v>
      </c>
      <c r="AT368" s="465">
        <f t="shared" si="729"/>
        <v>11.053000000000001</v>
      </c>
      <c r="AU368" s="465">
        <f t="shared" si="729"/>
        <v>8.4740000000000002</v>
      </c>
      <c r="AV368" s="466">
        <f t="shared" si="729"/>
        <v>5.9779999999999998</v>
      </c>
      <c r="AW368" s="465">
        <f t="shared" si="729"/>
        <v>11.788</v>
      </c>
      <c r="AX368" s="465">
        <f t="shared" si="729"/>
        <v>10.122999999999999</v>
      </c>
      <c r="AY368" s="465">
        <f t="shared" si="729"/>
        <v>7.7729999999999997</v>
      </c>
      <c r="AZ368" s="466">
        <f t="shared" si="729"/>
        <v>6.03</v>
      </c>
      <c r="BA368" s="465">
        <f t="shared" si="729"/>
        <v>11.614000000000001</v>
      </c>
      <c r="BB368" s="465">
        <f t="shared" si="729"/>
        <v>9.8149999999999995</v>
      </c>
      <c r="BC368" s="465">
        <f t="shared" si="729"/>
        <v>8.0350000000000001</v>
      </c>
      <c r="BD368" s="466">
        <f t="shared" si="729"/>
        <v>6.0060000000000002</v>
      </c>
      <c r="BE368" s="465">
        <f t="shared" si="729"/>
        <v>11.157</v>
      </c>
      <c r="BF368" s="465">
        <f t="shared" si="729"/>
        <v>9.9220000000000006</v>
      </c>
      <c r="BG368" s="465">
        <f t="shared" si="729"/>
        <v>8.4410000000000007</v>
      </c>
      <c r="BH368" s="466">
        <f t="shared" si="729"/>
        <v>5.9729999999999999</v>
      </c>
      <c r="BI368" s="465">
        <f t="shared" si="729"/>
        <v>27.728999999999999</v>
      </c>
      <c r="BJ368" s="465">
        <f t="shared" si="729"/>
        <v>32.130000000000003</v>
      </c>
      <c r="BK368" s="465">
        <f t="shared" si="729"/>
        <v>39.890999999999998</v>
      </c>
      <c r="BL368" s="466">
        <f t="shared" si="729"/>
        <v>27.709</v>
      </c>
      <c r="BM368" s="465">
        <f t="shared" si="729"/>
        <v>53.473999999999997</v>
      </c>
      <c r="BN368" s="465">
        <f t="shared" si="729"/>
        <v>58.026000000000003</v>
      </c>
      <c r="BO368" s="465">
        <f t="shared" si="729"/>
        <v>71.593000000000004</v>
      </c>
      <c r="BP368" s="466">
        <f t="shared" si="729"/>
        <v>48.216000000000001</v>
      </c>
      <c r="BQ368" s="572">
        <v>63.582000000000001</v>
      </c>
      <c r="BR368" s="572">
        <v>66.302999999999997</v>
      </c>
      <c r="BS368" s="354"/>
      <c r="BT368" s="355"/>
      <c r="BU368" s="1511"/>
      <c r="BV368" s="354"/>
      <c r="BW368" s="354"/>
      <c r="BX368" s="355"/>
      <c r="BY368" s="1511"/>
      <c r="BZ368" s="354"/>
      <c r="CA368" s="354"/>
      <c r="CB368" s="355"/>
      <c r="CC368" s="1511"/>
      <c r="CD368" s="354"/>
      <c r="CE368" s="354"/>
      <c r="CF368" s="355"/>
      <c r="CG368" s="582"/>
      <c r="CH368" s="635"/>
      <c r="CI368" s="465"/>
      <c r="CJ368" s="354"/>
      <c r="CK368" s="354"/>
      <c r="CL368" s="354"/>
      <c r="CM368" s="1855">
        <f>+CM362+CM453</f>
        <v>0.46958276648527508</v>
      </c>
      <c r="CN368" s="354"/>
      <c r="CO368" s="354"/>
      <c r="CP368" s="354"/>
      <c r="CQ368" s="1855"/>
      <c r="CR368" s="1855"/>
      <c r="CS368" s="1855"/>
      <c r="CT368" s="1855"/>
      <c r="CU368" s="1855"/>
      <c r="CV368" s="1855"/>
      <c r="CW368" s="1855"/>
      <c r="CX368" s="1855"/>
      <c r="CY368" s="1855"/>
      <c r="CZ368" s="354"/>
      <c r="DA368" s="354"/>
      <c r="DB368" s="354"/>
      <c r="DC368" s="354"/>
      <c r="DD368" s="354"/>
      <c r="DE368" s="354"/>
      <c r="DF368" s="355"/>
      <c r="DG368" s="1474"/>
      <c r="DH368" s="1474"/>
      <c r="DI368" s="465"/>
    </row>
    <row r="369" spans="1:113" s="632" customFormat="1" ht="11.25" customHeight="1">
      <c r="A369" s="542"/>
      <c r="B369"/>
      <c r="C369"/>
      <c r="D369"/>
      <c r="E369"/>
      <c r="F369"/>
      <c r="G369"/>
      <c r="H369" s="1052"/>
      <c r="I369" s="633" t="s">
        <v>9</v>
      </c>
      <c r="J369" s="634"/>
      <c r="K369" s="634"/>
      <c r="L369" s="631"/>
      <c r="M369" s="465"/>
      <c r="N369" s="465"/>
      <c r="O369" s="465"/>
      <c r="P369" s="466"/>
      <c r="Q369" s="465"/>
      <c r="R369" s="465"/>
      <c r="S369" s="465"/>
      <c r="T369" s="466"/>
      <c r="U369" s="465">
        <f t="shared" ref="U369:BP369" si="730">+U346</f>
        <v>4.1120000000000001</v>
      </c>
      <c r="V369" s="465">
        <f t="shared" si="730"/>
        <v>4.2729999999999997</v>
      </c>
      <c r="W369" s="465">
        <f t="shared" si="730"/>
        <v>4.76</v>
      </c>
      <c r="X369" s="466">
        <f t="shared" si="730"/>
        <v>4.0640000000000001</v>
      </c>
      <c r="Y369" s="465">
        <f t="shared" si="730"/>
        <v>4.7409999999999997</v>
      </c>
      <c r="Z369" s="465">
        <f t="shared" si="730"/>
        <v>6.7489999999999997</v>
      </c>
      <c r="AA369" s="465">
        <f t="shared" si="730"/>
        <v>7.1779999999999999</v>
      </c>
      <c r="AB369" s="466">
        <f t="shared" si="730"/>
        <v>8.5180000000000007</v>
      </c>
      <c r="AC369" s="465">
        <f t="shared" si="730"/>
        <v>9.9320000000000004</v>
      </c>
      <c r="AD369" s="465">
        <f t="shared" si="730"/>
        <v>12.205</v>
      </c>
      <c r="AE369" s="465">
        <f t="shared" si="730"/>
        <v>19.864999999999998</v>
      </c>
      <c r="AF369" s="466">
        <f t="shared" si="730"/>
        <v>16.533000000000001</v>
      </c>
      <c r="AG369" s="465">
        <f t="shared" si="730"/>
        <v>21.861000000000001</v>
      </c>
      <c r="AH369" s="465">
        <f t="shared" si="730"/>
        <v>30.492999999999999</v>
      </c>
      <c r="AI369" s="465">
        <f t="shared" si="730"/>
        <v>34.56</v>
      </c>
      <c r="AJ369" s="466">
        <f t="shared" si="730"/>
        <v>26.908000000000001</v>
      </c>
      <c r="AK369" s="465">
        <f t="shared" si="730"/>
        <v>31.927</v>
      </c>
      <c r="AL369" s="465">
        <f t="shared" si="730"/>
        <v>43.47</v>
      </c>
      <c r="AM369" s="465">
        <f t="shared" si="730"/>
        <v>53.844000000000001</v>
      </c>
      <c r="AN369" s="466">
        <f t="shared" si="730"/>
        <v>43.433999999999997</v>
      </c>
      <c r="AO369" s="465">
        <f t="shared" si="730"/>
        <v>57.8</v>
      </c>
      <c r="AP369" s="465">
        <f t="shared" si="730"/>
        <v>72.86</v>
      </c>
      <c r="AQ369" s="465">
        <f t="shared" si="730"/>
        <v>84.290999999999997</v>
      </c>
      <c r="AR369" s="466">
        <f t="shared" si="730"/>
        <v>55.761000000000003</v>
      </c>
      <c r="AS369" s="465">
        <f t="shared" si="730"/>
        <v>68.117000000000004</v>
      </c>
      <c r="AT369" s="465">
        <f t="shared" si="730"/>
        <v>90.106999999999999</v>
      </c>
      <c r="AU369" s="465">
        <f t="shared" si="730"/>
        <v>115.10299999999999</v>
      </c>
      <c r="AV369" s="466">
        <f t="shared" si="730"/>
        <v>92.054000000000002</v>
      </c>
      <c r="AW369" s="465">
        <f t="shared" si="730"/>
        <v>113.10899999999999</v>
      </c>
      <c r="AX369" s="465">
        <f t="shared" si="730"/>
        <v>132.518</v>
      </c>
      <c r="AY369" s="465">
        <f t="shared" si="730"/>
        <v>172.727</v>
      </c>
      <c r="AZ369" s="466">
        <f t="shared" si="730"/>
        <v>133.786</v>
      </c>
      <c r="BA369" s="465">
        <f t="shared" si="730"/>
        <v>185.108</v>
      </c>
      <c r="BB369" s="465">
        <f t="shared" si="730"/>
        <v>236.28200000000001</v>
      </c>
      <c r="BC369" s="465">
        <f t="shared" si="730"/>
        <v>279.92599999999999</v>
      </c>
      <c r="BD369" s="466">
        <f t="shared" si="730"/>
        <v>217.89699999999999</v>
      </c>
      <c r="BE369" s="465">
        <f t="shared" si="730"/>
        <v>277.13600000000002</v>
      </c>
      <c r="BF369" s="465">
        <f t="shared" si="730"/>
        <v>314.48</v>
      </c>
      <c r="BG369" s="465">
        <f t="shared" si="730"/>
        <v>375.20400000000001</v>
      </c>
      <c r="BH369" s="466">
        <f t="shared" si="730"/>
        <v>306.81700000000001</v>
      </c>
      <c r="BI369" s="465">
        <f t="shared" si="730"/>
        <v>403.15300000000002</v>
      </c>
      <c r="BJ369" s="465">
        <f t="shared" si="730"/>
        <v>463.13499999999999</v>
      </c>
      <c r="BK369" s="465">
        <f t="shared" si="730"/>
        <v>533.16399999999999</v>
      </c>
      <c r="BL369" s="466">
        <f t="shared" si="730"/>
        <v>399.19299999999998</v>
      </c>
      <c r="BM369" s="465">
        <f t="shared" si="730"/>
        <v>520.84799999999996</v>
      </c>
      <c r="BN369" s="465">
        <f t="shared" si="730"/>
        <v>639.65499999999997</v>
      </c>
      <c r="BO369" s="465">
        <f t="shared" si="730"/>
        <v>699.81399999999996</v>
      </c>
      <c r="BP369" s="466">
        <f t="shared" si="730"/>
        <v>499.904</v>
      </c>
      <c r="BQ369" s="572">
        <v>643.21600000000001</v>
      </c>
      <c r="BR369" s="572">
        <v>770.81799999999998</v>
      </c>
      <c r="BS369" s="354"/>
      <c r="BT369" s="355"/>
      <c r="BU369" s="1511"/>
      <c r="BV369" s="354"/>
      <c r="BW369" s="354"/>
      <c r="BX369" s="355"/>
      <c r="BY369" s="1511"/>
      <c r="BZ369" s="354"/>
      <c r="CA369" s="354"/>
      <c r="CB369" s="355"/>
      <c r="CC369" s="1511"/>
      <c r="CD369" s="354"/>
      <c r="CE369" s="354"/>
      <c r="CF369" s="355"/>
      <c r="CG369" s="582"/>
      <c r="CH369" s="635"/>
      <c r="CI369" s="465"/>
      <c r="CJ369" s="354"/>
      <c r="CK369" s="354"/>
      <c r="CL369" s="354"/>
      <c r="CM369" s="354"/>
      <c r="CN369" s="354"/>
      <c r="CO369" s="354"/>
      <c r="CP369" s="354"/>
      <c r="CQ369" s="1855"/>
      <c r="CR369" s="1855"/>
      <c r="CS369" s="1855"/>
      <c r="CT369" s="1855"/>
      <c r="CU369" s="1855"/>
      <c r="CV369" s="1855"/>
      <c r="CW369" s="1855"/>
      <c r="CX369" s="1855"/>
      <c r="CY369" s="1855"/>
      <c r="CZ369" s="354"/>
      <c r="DA369" s="354"/>
      <c r="DB369" s="354"/>
      <c r="DC369" s="354"/>
      <c r="DD369" s="354"/>
      <c r="DE369" s="354"/>
      <c r="DF369" s="355"/>
      <c r="DG369" s="1474"/>
      <c r="DH369" s="1474"/>
      <c r="DI369" s="465"/>
    </row>
    <row r="370" spans="1:113" s="632" customFormat="1" ht="11.25" customHeight="1">
      <c r="A370" s="542"/>
      <c r="B370"/>
      <c r="C370"/>
      <c r="D370"/>
      <c r="E370"/>
      <c r="F370"/>
      <c r="G370"/>
      <c r="H370" s="1052"/>
      <c r="I370" s="2007" t="s">
        <v>708</v>
      </c>
      <c r="J370" s="634"/>
      <c r="K370" s="634"/>
      <c r="L370" s="631"/>
      <c r="M370" s="465"/>
      <c r="N370" s="465"/>
      <c r="O370" s="465"/>
      <c r="P370" s="466"/>
      <c r="Q370" s="465"/>
      <c r="R370" s="465"/>
      <c r="S370" s="465"/>
      <c r="T370" s="466"/>
      <c r="U370" s="354"/>
      <c r="V370" s="354"/>
      <c r="W370" s="354"/>
      <c r="X370" s="355"/>
      <c r="Y370" s="354"/>
      <c r="Z370" s="354"/>
      <c r="AA370" s="354"/>
      <c r="AB370" s="355"/>
      <c r="AC370" s="354"/>
      <c r="AD370" s="354"/>
      <c r="AE370" s="354"/>
      <c r="AF370" s="355"/>
      <c r="AG370" s="354"/>
      <c r="AH370" s="354"/>
      <c r="AI370" s="354"/>
      <c r="AJ370" s="355"/>
      <c r="AK370" s="354"/>
      <c r="AL370" s="354"/>
      <c r="AM370" s="354"/>
      <c r="AN370" s="355"/>
      <c r="AO370" s="354"/>
      <c r="AP370" s="354"/>
      <c r="AQ370" s="354"/>
      <c r="AR370" s="355"/>
      <c r="AS370" s="354"/>
      <c r="AT370" s="354"/>
      <c r="AU370" s="354"/>
      <c r="AV370" s="355"/>
      <c r="AW370" s="354"/>
      <c r="AX370" s="354"/>
      <c r="AY370" s="354"/>
      <c r="AZ370" s="355"/>
      <c r="BA370" s="354"/>
      <c r="BB370" s="354"/>
      <c r="BC370" s="354"/>
      <c r="BD370" s="355"/>
      <c r="BE370" s="354"/>
      <c r="BF370" s="354"/>
      <c r="BG370" s="354"/>
      <c r="BH370" s="355"/>
      <c r="BI370" s="354"/>
      <c r="BJ370" s="354"/>
      <c r="BK370" s="354"/>
      <c r="BL370" s="355"/>
      <c r="BM370" s="354"/>
      <c r="BN370" s="354"/>
      <c r="BO370" s="354"/>
      <c r="BP370" s="355"/>
      <c r="BQ370" s="632">
        <f>+BQ335-BQ368</f>
        <v>9.6720000000000041</v>
      </c>
      <c r="BR370" s="632">
        <f>+BR335-BR368</f>
        <v>12.128</v>
      </c>
      <c r="BS370" s="354"/>
      <c r="BT370" s="355"/>
      <c r="BU370" s="1511"/>
      <c r="BV370" s="354"/>
      <c r="BW370" s="354"/>
      <c r="BX370" s="355"/>
      <c r="BY370" s="1511"/>
      <c r="BZ370" s="354"/>
      <c r="CA370" s="354"/>
      <c r="CB370" s="355"/>
      <c r="CC370" s="1511"/>
      <c r="CD370" s="354"/>
      <c r="CE370" s="354"/>
      <c r="CF370" s="355"/>
      <c r="CG370" s="582"/>
      <c r="CH370" s="635"/>
      <c r="CI370" s="465"/>
      <c r="CJ370" s="354"/>
      <c r="CK370" s="354"/>
      <c r="CL370" s="354"/>
      <c r="CM370" s="354"/>
      <c r="CN370" s="354"/>
      <c r="CO370" s="354"/>
      <c r="CP370" s="354"/>
      <c r="CQ370" s="1855"/>
      <c r="CR370" s="1855"/>
      <c r="CS370" s="1855"/>
      <c r="CT370" s="1855"/>
      <c r="CU370" s="1855"/>
      <c r="CV370" s="1855"/>
      <c r="CW370" s="1855"/>
      <c r="CX370" s="1855"/>
      <c r="CY370" s="1855"/>
      <c r="CZ370" s="354"/>
      <c r="DA370" s="354"/>
      <c r="DB370" s="354"/>
      <c r="DC370" s="354"/>
      <c r="DD370" s="354"/>
      <c r="DE370" s="354"/>
      <c r="DF370" s="355"/>
      <c r="DG370" s="1474"/>
      <c r="DH370" s="1474"/>
      <c r="DI370" s="465"/>
    </row>
    <row r="371" spans="1:113" s="632" customFormat="1" ht="11.25" customHeight="1">
      <c r="A371" s="542"/>
      <c r="B371"/>
      <c r="C371"/>
      <c r="D371"/>
      <c r="E371"/>
      <c r="F371"/>
      <c r="G371"/>
      <c r="H371" s="1052"/>
      <c r="I371" s="1332" t="s">
        <v>709</v>
      </c>
      <c r="J371" s="634"/>
      <c r="K371" s="634"/>
      <c r="L371" s="631"/>
      <c r="M371" s="465"/>
      <c r="N371" s="465"/>
      <c r="O371" s="465"/>
      <c r="P371" s="466"/>
      <c r="Q371" s="465"/>
      <c r="R371" s="465"/>
      <c r="S371" s="465"/>
      <c r="T371" s="466"/>
      <c r="U371" s="354"/>
      <c r="V371" s="354"/>
      <c r="W371" s="354"/>
      <c r="X371" s="355"/>
      <c r="Y371" s="354"/>
      <c r="Z371" s="354"/>
      <c r="AA371" s="354"/>
      <c r="AB371" s="355"/>
      <c r="AC371" s="354"/>
      <c r="AD371" s="354"/>
      <c r="AE371" s="354"/>
      <c r="AF371" s="355"/>
      <c r="AG371" s="354"/>
      <c r="AH371" s="354"/>
      <c r="AI371" s="354"/>
      <c r="AJ371" s="355"/>
      <c r="AK371" s="354"/>
      <c r="AL371" s="354"/>
      <c r="AM371" s="354"/>
      <c r="AN371" s="355"/>
      <c r="AO371" s="354"/>
      <c r="AP371" s="354"/>
      <c r="AQ371" s="354"/>
      <c r="AR371" s="355"/>
      <c r="AS371" s="354"/>
      <c r="AT371" s="354"/>
      <c r="AU371" s="354"/>
      <c r="AV371" s="355"/>
      <c r="AW371" s="354"/>
      <c r="AX371" s="354"/>
      <c r="AY371" s="354"/>
      <c r="AZ371" s="355"/>
      <c r="BA371" s="354"/>
      <c r="BB371" s="354"/>
      <c r="BC371" s="354"/>
      <c r="BD371" s="355"/>
      <c r="BE371" s="354"/>
      <c r="BF371" s="354"/>
      <c r="BG371" s="354"/>
      <c r="BH371" s="355"/>
      <c r="BI371" s="354"/>
      <c r="BJ371" s="354"/>
      <c r="BK371" s="354"/>
      <c r="BL371" s="355"/>
      <c r="BM371" s="354"/>
      <c r="BN371" s="354"/>
      <c r="BO371" s="354"/>
      <c r="BP371" s="355"/>
      <c r="BQ371" s="1968">
        <f>+BQ370/BQ369</f>
        <v>1.5036939379617429E-2</v>
      </c>
      <c r="BR371" s="1855">
        <f>+BR370/BR369</f>
        <v>1.5733934599347705E-2</v>
      </c>
      <c r="BS371" s="354"/>
      <c r="BT371" s="355"/>
      <c r="BU371" s="1511"/>
      <c r="BV371" s="354"/>
      <c r="BW371" s="354"/>
      <c r="BX371" s="355"/>
      <c r="BY371" s="1511"/>
      <c r="BZ371" s="354"/>
      <c r="CA371" s="354"/>
      <c r="CB371" s="355"/>
      <c r="CC371" s="1511"/>
      <c r="CD371" s="354"/>
      <c r="CE371" s="354"/>
      <c r="CF371" s="355"/>
      <c r="CG371" s="582"/>
      <c r="CH371" s="635"/>
      <c r="CI371" s="465"/>
      <c r="CJ371" s="354"/>
      <c r="CK371" s="354"/>
      <c r="CL371" s="354"/>
      <c r="CM371" s="354"/>
      <c r="CN371" s="354"/>
      <c r="CO371" s="354"/>
      <c r="CP371" s="354"/>
      <c r="CQ371" s="1855"/>
      <c r="CR371" s="1855"/>
      <c r="CS371" s="1855"/>
      <c r="CT371" s="1855"/>
      <c r="CU371" s="1855"/>
      <c r="CV371" s="1855"/>
      <c r="CW371" s="1855"/>
      <c r="CX371" s="1855"/>
      <c r="CY371" s="1855"/>
      <c r="CZ371" s="354"/>
      <c r="DA371" s="354"/>
      <c r="DB371" s="354"/>
      <c r="DC371" s="354"/>
      <c r="DD371" s="354"/>
      <c r="DE371" s="354"/>
      <c r="DF371" s="355"/>
      <c r="DG371" s="1474"/>
      <c r="DH371" s="1474"/>
      <c r="DI371" s="465"/>
    </row>
    <row r="372" spans="1:113" s="632" customFormat="1" ht="11.25" customHeight="1">
      <c r="A372" s="542"/>
      <c r="B372"/>
      <c r="C372"/>
      <c r="D372"/>
      <c r="E372"/>
      <c r="F372"/>
      <c r="G372"/>
      <c r="H372" s="1052"/>
      <c r="I372" s="1332" t="s">
        <v>710</v>
      </c>
      <c r="J372" s="634"/>
      <c r="K372" s="634"/>
      <c r="L372" s="631"/>
      <c r="M372" s="465"/>
      <c r="N372" s="465"/>
      <c r="O372" s="465"/>
      <c r="P372" s="466"/>
      <c r="Q372" s="465"/>
      <c r="R372" s="465"/>
      <c r="S372" s="465"/>
      <c r="T372" s="466"/>
      <c r="U372" s="354"/>
      <c r="V372" s="354"/>
      <c r="W372" s="354"/>
      <c r="X372" s="355"/>
      <c r="Y372" s="354"/>
      <c r="Z372" s="354"/>
      <c r="AA372" s="354"/>
      <c r="AB372" s="355"/>
      <c r="AC372" s="354"/>
      <c r="AD372" s="354"/>
      <c r="AE372" s="354"/>
      <c r="AF372" s="355"/>
      <c r="AG372" s="354"/>
      <c r="AH372" s="354"/>
      <c r="AI372" s="354"/>
      <c r="AJ372" s="355"/>
      <c r="AK372" s="354"/>
      <c r="AL372" s="354"/>
      <c r="AM372" s="354"/>
      <c r="AN372" s="355"/>
      <c r="AO372" s="354"/>
      <c r="AP372" s="354"/>
      <c r="AQ372" s="354"/>
      <c r="AR372" s="355"/>
      <c r="AS372" s="354"/>
      <c r="AT372" s="354"/>
      <c r="AU372" s="354"/>
      <c r="AV372" s="355"/>
      <c r="AW372" s="354"/>
      <c r="AX372" s="354"/>
      <c r="AY372" s="354"/>
      <c r="AZ372" s="355"/>
      <c r="BA372" s="354"/>
      <c r="BB372" s="354"/>
      <c r="BC372" s="354"/>
      <c r="BD372" s="355"/>
      <c r="BE372" s="354"/>
      <c r="BF372" s="354"/>
      <c r="BG372" s="354"/>
      <c r="BH372" s="355"/>
      <c r="BI372" s="354"/>
      <c r="BJ372" s="354"/>
      <c r="BK372" s="354"/>
      <c r="BL372" s="355"/>
      <c r="BM372" s="354"/>
      <c r="BN372" s="354"/>
      <c r="BO372" s="354"/>
      <c r="BP372" s="355"/>
      <c r="BQ372" s="1968">
        <f>+BQ370/BQ335</f>
        <v>0.13203374559751008</v>
      </c>
      <c r="BR372" s="1855">
        <f>+BR370/BR335</f>
        <v>0.15463273450548889</v>
      </c>
      <c r="BS372" s="354"/>
      <c r="BT372" s="355"/>
      <c r="BU372" s="1511"/>
      <c r="BV372" s="354"/>
      <c r="BW372" s="354"/>
      <c r="BX372" s="355"/>
      <c r="BY372" s="1511"/>
      <c r="BZ372" s="354"/>
      <c r="CA372" s="1855"/>
      <c r="CB372" s="355"/>
      <c r="CC372" s="1511"/>
      <c r="CD372" s="354"/>
      <c r="CE372" s="354"/>
      <c r="CF372" s="355"/>
      <c r="CG372" s="582"/>
      <c r="CH372" s="635"/>
      <c r="CI372" s="465"/>
      <c r="CJ372" s="354"/>
      <c r="CK372" s="354"/>
      <c r="CL372" s="354"/>
      <c r="CM372" s="354"/>
      <c r="CN372" s="354"/>
      <c r="CO372" s="354"/>
      <c r="CP372" s="354"/>
      <c r="CQ372" s="1855"/>
      <c r="CR372" s="1855"/>
      <c r="CS372" s="1855"/>
      <c r="CT372" s="1855"/>
      <c r="CU372" s="1855"/>
      <c r="CV372" s="1855"/>
      <c r="CW372" s="1855"/>
      <c r="CX372" s="1855"/>
      <c r="CY372" s="1855"/>
      <c r="CZ372" s="354"/>
      <c r="DA372" s="354"/>
      <c r="DB372" s="354"/>
      <c r="DC372" s="354"/>
      <c r="DD372" s="354"/>
      <c r="DE372" s="354"/>
      <c r="DF372" s="355"/>
      <c r="DG372" s="1474"/>
      <c r="DH372" s="1474"/>
      <c r="DI372" s="465"/>
    </row>
    <row r="373" spans="1:113" s="632" customFormat="1" ht="11.25" customHeight="1">
      <c r="A373" s="542"/>
      <c r="B373"/>
      <c r="C373"/>
      <c r="D373"/>
      <c r="E373"/>
      <c r="F373"/>
      <c r="G373"/>
      <c r="H373" s="1052"/>
      <c r="I373" s="1332"/>
      <c r="J373" s="634"/>
      <c r="K373" s="634"/>
      <c r="L373" s="631"/>
      <c r="M373" s="465"/>
      <c r="N373" s="465"/>
      <c r="O373" s="465"/>
      <c r="P373" s="466"/>
      <c r="Q373" s="465"/>
      <c r="R373" s="465"/>
      <c r="S373" s="465"/>
      <c r="T373" s="466"/>
      <c r="U373" s="354"/>
      <c r="V373" s="354"/>
      <c r="W373" s="354"/>
      <c r="X373" s="355"/>
      <c r="Y373" s="354"/>
      <c r="Z373" s="354"/>
      <c r="AA373" s="354"/>
      <c r="AB373" s="355"/>
      <c r="AC373" s="354"/>
      <c r="AD373" s="354"/>
      <c r="AE373" s="354"/>
      <c r="AF373" s="355"/>
      <c r="AG373" s="354"/>
      <c r="AH373" s="354"/>
      <c r="AI373" s="354"/>
      <c r="AJ373" s="355"/>
      <c r="AK373" s="354"/>
      <c r="AL373" s="354"/>
      <c r="AM373" s="354"/>
      <c r="AN373" s="355"/>
      <c r="AO373" s="354"/>
      <c r="AP373" s="354"/>
      <c r="AQ373" s="354"/>
      <c r="AR373" s="355"/>
      <c r="AS373" s="354"/>
      <c r="AT373" s="354"/>
      <c r="AU373" s="354"/>
      <c r="AV373" s="355"/>
      <c r="AW373" s="354"/>
      <c r="AX373" s="354"/>
      <c r="AY373" s="354"/>
      <c r="AZ373" s="355"/>
      <c r="BA373" s="354"/>
      <c r="BB373" s="354"/>
      <c r="BC373" s="354"/>
      <c r="BD373" s="355"/>
      <c r="BE373" s="354"/>
      <c r="BF373" s="354"/>
      <c r="BG373" s="354"/>
      <c r="BH373" s="355"/>
      <c r="BI373" s="354"/>
      <c r="BJ373" s="354"/>
      <c r="BK373" s="354"/>
      <c r="BL373" s="355"/>
      <c r="BM373" s="354"/>
      <c r="BN373" s="354"/>
      <c r="BO373" s="354"/>
      <c r="BP373" s="355"/>
      <c r="BQ373" s="1511"/>
      <c r="BR373" s="354"/>
      <c r="BS373" s="354"/>
      <c r="BT373" s="355"/>
      <c r="BU373" s="1511"/>
      <c r="BV373" s="354"/>
      <c r="BW373" s="354"/>
      <c r="BX373" s="355"/>
      <c r="BY373" s="1511"/>
      <c r="BZ373" s="354"/>
      <c r="CA373" s="354"/>
      <c r="CB373" s="355"/>
      <c r="CC373" s="1511"/>
      <c r="CD373" s="354"/>
      <c r="CE373" s="354"/>
      <c r="CF373" s="355"/>
      <c r="CG373" s="582"/>
      <c r="CH373" s="635"/>
      <c r="CI373" s="465"/>
      <c r="CJ373" s="354"/>
      <c r="CK373" s="354"/>
      <c r="CL373" s="354"/>
      <c r="CM373" s="354"/>
      <c r="CN373" s="354"/>
      <c r="CO373" s="354"/>
      <c r="CP373" s="354"/>
      <c r="CQ373" s="1855"/>
      <c r="CR373" s="1855"/>
      <c r="CS373" s="1855"/>
      <c r="CT373" s="1855"/>
      <c r="CU373" s="1855"/>
      <c r="CV373" s="1855"/>
      <c r="CW373" s="1855"/>
      <c r="CX373" s="1855"/>
      <c r="CY373" s="1855"/>
      <c r="CZ373" s="354"/>
      <c r="DA373" s="354"/>
      <c r="DB373" s="1855"/>
      <c r="DC373" s="354"/>
      <c r="DD373" s="354"/>
      <c r="DE373" s="354"/>
      <c r="DF373" s="355"/>
      <c r="DG373" s="1474"/>
      <c r="DH373" s="1474"/>
      <c r="DI373" s="465"/>
    </row>
    <row r="374" spans="1:113" s="632" customFormat="1" ht="11.25" customHeight="1">
      <c r="A374" s="542"/>
      <c r="B374"/>
      <c r="C374"/>
      <c r="D374"/>
      <c r="E374"/>
      <c r="F374"/>
      <c r="G374"/>
      <c r="H374" s="1052"/>
      <c r="I374" s="633" t="s">
        <v>3</v>
      </c>
      <c r="J374" s="634"/>
      <c r="K374" s="634"/>
      <c r="L374" s="631"/>
      <c r="M374" s="465"/>
      <c r="N374" s="465"/>
      <c r="O374" s="465"/>
      <c r="P374" s="466"/>
      <c r="Q374" s="465"/>
      <c r="R374" s="465"/>
      <c r="S374" s="465"/>
      <c r="T374" s="466"/>
      <c r="U374" s="635"/>
      <c r="V374" s="465"/>
      <c r="W374" s="465"/>
      <c r="X374" s="466"/>
      <c r="Y374" s="635"/>
      <c r="Z374" s="465"/>
      <c r="AA374" s="465"/>
      <c r="AB374" s="466"/>
      <c r="AC374" s="635"/>
      <c r="AD374" s="465"/>
      <c r="AE374" s="465"/>
      <c r="AF374" s="466"/>
      <c r="AG374" s="635">
        <f>+'Bookings and Drivers'!AG11</f>
        <v>746.82099999999991</v>
      </c>
      <c r="AH374" s="465">
        <f>+'Bookings and Drivers'!AH11</f>
        <v>927.34999999999991</v>
      </c>
      <c r="AI374" s="465">
        <f>+'Bookings and Drivers'!AI11</f>
        <v>903.16799999999989</v>
      </c>
      <c r="AJ374" s="466">
        <f>+'Bookings and Drivers'!AJ11</f>
        <v>742.41</v>
      </c>
      <c r="AK374" s="635">
        <f>+'Bookings and Drivers'!AK11</f>
        <v>998.49099999999999</v>
      </c>
      <c r="AL374" s="465">
        <f>+'Bookings and Drivers'!AL11</f>
        <v>1234.9110000000001</v>
      </c>
      <c r="AM374" s="465">
        <f>+'Bookings and Drivers'!AM11</f>
        <v>1390.683</v>
      </c>
      <c r="AN374" s="466">
        <f>+'Bookings and Drivers'!AN11</f>
        <v>1205.3309999999999</v>
      </c>
      <c r="AO374" s="635">
        <f>+'Bookings and Drivers'!AO11</f>
        <v>1758.6119999999999</v>
      </c>
      <c r="AP374" s="465">
        <f>+'Bookings and Drivers'!AP11</f>
        <v>2109.9650000000001</v>
      </c>
      <c r="AQ374" s="465">
        <f>+'Bookings and Drivers'!AQ11</f>
        <v>2050.4270000000001</v>
      </c>
      <c r="AR374" s="466">
        <f>+'Bookings and Drivers'!AR11</f>
        <v>1481.1129999999998</v>
      </c>
      <c r="AS374" s="635">
        <f>+'Bookings and Drivers'!AS11</f>
        <v>1943.5839999999998</v>
      </c>
      <c r="AT374" s="465">
        <f>+'Bookings and Drivers'!AT11</f>
        <v>2379.1779999999999</v>
      </c>
      <c r="AU374" s="465">
        <f>+'Bookings and Drivers'!AU11</f>
        <v>2722.846</v>
      </c>
      <c r="AV374" s="466">
        <f>+'Bookings and Drivers'!AV11</f>
        <v>2264.4540000000002</v>
      </c>
      <c r="AW374" s="635">
        <f>+'Bookings and Drivers'!AW11</f>
        <v>2964.6950000000002</v>
      </c>
      <c r="AX374" s="465">
        <f>+'Bookings and Drivers'!AX11</f>
        <v>3410.1800000000003</v>
      </c>
      <c r="AY374" s="465">
        <f>+'Bookings and Drivers'!AY11</f>
        <v>4006</v>
      </c>
      <c r="AZ374" s="466">
        <f>+'Bookings and Drivers'!AZ11</f>
        <v>3265</v>
      </c>
      <c r="BA374" s="635">
        <f>+'Bookings and Drivers'!BA11</f>
        <v>4665</v>
      </c>
      <c r="BB374" s="465">
        <f>+'Bookings and Drivers'!BB11</f>
        <v>5780</v>
      </c>
      <c r="BC374" s="465">
        <f>+'Bookings and Drivers'!BC11</f>
        <v>6257</v>
      </c>
      <c r="BD374" s="466">
        <f>+'Bookings and Drivers'!BD11</f>
        <v>4956</v>
      </c>
      <c r="BE374" s="635">
        <f>+'Bookings and Drivers'!BE11</f>
        <v>6711</v>
      </c>
      <c r="BF374" s="465">
        <f>+'Bookings and Drivers'!BF11</f>
        <v>7329</v>
      </c>
      <c r="BG374" s="465">
        <f>+'Bookings and Drivers'!BG11</f>
        <v>7832</v>
      </c>
      <c r="BH374" s="466">
        <f>+'Bookings and Drivers'!BH11</f>
        <v>6584</v>
      </c>
      <c r="BI374" s="635">
        <f>+'Bookings and Drivers'!BI11</f>
        <v>9153</v>
      </c>
      <c r="BJ374" s="465">
        <f>+'Bookings and Drivers'!BJ11</f>
        <v>10117</v>
      </c>
      <c r="BK374" s="465">
        <f>+'Bookings and Drivers'!BK11</f>
        <v>10765</v>
      </c>
      <c r="BL374" s="466">
        <f>+'Bookings and Drivers'!BL11</f>
        <v>9138</v>
      </c>
      <c r="BM374" s="635">
        <f>+'Bookings and Drivers'!BM11</f>
        <v>12280</v>
      </c>
      <c r="BN374" s="465">
        <f>+'Bookings and Drivers'!BN11</f>
        <v>13538</v>
      </c>
      <c r="BO374" s="465">
        <f>+'Bookings and Drivers'!BO11</f>
        <v>13823</v>
      </c>
      <c r="BP374" s="466">
        <f>+'Bookings and Drivers'!BP11</f>
        <v>10659</v>
      </c>
      <c r="BQ374" s="635">
        <f>+'Bookings and Drivers'!BQ11</f>
        <v>13775</v>
      </c>
      <c r="BR374" s="465">
        <f>+'Bookings and Drivers'!BR11</f>
        <v>14960</v>
      </c>
      <c r="BS374" s="465">
        <f>+'Bookings and Drivers'!BS11</f>
        <v>14778</v>
      </c>
      <c r="BT374" s="466">
        <f>+'Bookings and Drivers'!BT11</f>
        <v>12015</v>
      </c>
      <c r="BU374" s="635">
        <f>+'Bookings and Drivers'!BU11</f>
        <v>16653</v>
      </c>
      <c r="BV374" s="465">
        <f>+'Bookings and Drivers'!BV11</f>
        <v>17862</v>
      </c>
      <c r="BW374" s="465">
        <f>+'Bookings and Drivers'!BW11</f>
        <v>18460</v>
      </c>
      <c r="BX374" s="466">
        <f>+'Bookings and Drivers'!BX11</f>
        <v>15112</v>
      </c>
      <c r="BY374" s="635">
        <f>+'Bookings and Drivers'!BY11</f>
        <v>20687</v>
      </c>
      <c r="BZ374" s="465">
        <f>+'Bookings and Drivers'!BZ11</f>
        <v>20797</v>
      </c>
      <c r="CA374" s="465">
        <f>+'Bookings and Drivers'!CA11</f>
        <v>21762</v>
      </c>
      <c r="CB374" s="466">
        <f>+'Bookings and Drivers'!CB11</f>
        <v>17980</v>
      </c>
      <c r="CC374" s="635">
        <f>+'Bookings and Drivers'!CC11</f>
        <v>24881.474049815144</v>
      </c>
      <c r="CD374" s="465">
        <f>+'Bookings and Drivers'!CD11</f>
        <v>25086.12790194053</v>
      </c>
      <c r="CE374" s="465">
        <f>+'Bookings and Drivers'!CE11</f>
        <v>24813.585995275425</v>
      </c>
      <c r="CF374" s="466">
        <f>+'Bookings and Drivers'!CF11</f>
        <v>22004.981225315398</v>
      </c>
      <c r="CG374" s="582"/>
      <c r="CH374" s="635"/>
      <c r="CI374" s="465"/>
      <c r="CJ374" s="465"/>
      <c r="CK374" s="465"/>
      <c r="CL374" s="465"/>
      <c r="CM374" s="465"/>
      <c r="CN374" s="465"/>
      <c r="CO374" s="465">
        <f>+'Bookings and Drivers'!CO11</f>
        <v>7400.1170000000002</v>
      </c>
      <c r="CP374" s="465">
        <f>+'Bookings and Drivers'!CP11</f>
        <v>9310.0619999999999</v>
      </c>
      <c r="CQ374" s="465">
        <f>+'Bookings and Drivers'!CQ11</f>
        <v>13645.875</v>
      </c>
      <c r="CR374" s="465">
        <f>+'Bookings and Drivers'!CR11</f>
        <v>21658</v>
      </c>
      <c r="CS374" s="465">
        <f>+'Bookings and Drivers'!CS11</f>
        <v>28456</v>
      </c>
      <c r="CT374" s="465">
        <f>+'Bookings and Drivers'!CT11</f>
        <v>39173</v>
      </c>
      <c r="CU374" s="465">
        <f>+'Bookings and Drivers'!CU11</f>
        <v>50300</v>
      </c>
      <c r="CV374" s="465">
        <f>+'Bookings and Drivers'!CV11</f>
        <v>55528</v>
      </c>
      <c r="CW374" s="465">
        <f>+'Bookings and Drivers'!CW11</f>
        <v>68087</v>
      </c>
      <c r="CX374" s="465">
        <f>+'Bookings and Drivers'!CX11</f>
        <v>81226</v>
      </c>
      <c r="CY374" s="465">
        <f>+'Bookings and Drivers'!CY11</f>
        <v>96786.16917234649</v>
      </c>
      <c r="CZ374" s="465">
        <f>+'Bookings and Drivers'!CZ11</f>
        <v>110922.85145653768</v>
      </c>
      <c r="DA374" s="465">
        <f>+'Bookings and Drivers'!DA11</f>
        <v>124828.89016710233</v>
      </c>
      <c r="DB374" s="465">
        <f>+'Bookings and Drivers'!DB11</f>
        <v>138263.57556092652</v>
      </c>
      <c r="DC374" s="465">
        <f>+'Bookings and Drivers'!DC11</f>
        <v>151436.90782473588</v>
      </c>
      <c r="DD374" s="465">
        <f>+'Bookings and Drivers'!DD11</f>
        <v>164480.34456989294</v>
      </c>
      <c r="DE374" s="465">
        <f>+'Bookings and Drivers'!DE11</f>
        <v>177276.69132531929</v>
      </c>
      <c r="DF374" s="466">
        <f>+'Bookings and Drivers'!DF11</f>
        <v>191119.5238413497</v>
      </c>
      <c r="DG374" s="1474"/>
      <c r="DH374" s="1474"/>
      <c r="DI374" s="465"/>
    </row>
    <row r="375" spans="1:113" s="632" customFormat="1" ht="11.25" customHeight="1">
      <c r="A375" s="542"/>
      <c r="B375"/>
      <c r="C375"/>
      <c r="D375"/>
      <c r="E375"/>
      <c r="F375"/>
      <c r="G375"/>
      <c r="H375" s="1052"/>
      <c r="I375" s="633" t="s">
        <v>625</v>
      </c>
      <c r="J375" s="634"/>
      <c r="K375" s="634"/>
      <c r="L375" s="631"/>
      <c r="M375" s="465"/>
      <c r="N375" s="465"/>
      <c r="O375" s="465"/>
      <c r="P375" s="466"/>
      <c r="Q375" s="465"/>
      <c r="R375" s="465"/>
      <c r="S375" s="465"/>
      <c r="T375" s="466"/>
      <c r="U375" s="465"/>
      <c r="V375" s="465"/>
      <c r="W375" s="465"/>
      <c r="X375" s="466"/>
      <c r="Y375" s="465"/>
      <c r="Z375" s="465"/>
      <c r="AA375" s="465"/>
      <c r="AB375" s="466"/>
      <c r="AC375" s="465"/>
      <c r="AD375" s="465"/>
      <c r="AE375" s="465"/>
      <c r="AF375" s="466"/>
      <c r="AG375" s="635"/>
      <c r="AH375" s="465"/>
      <c r="AI375" s="465"/>
      <c r="AJ375" s="466"/>
      <c r="AK375" s="635"/>
      <c r="AL375" s="465"/>
      <c r="AM375" s="465"/>
      <c r="AN375" s="466"/>
      <c r="AO375" s="635">
        <f>+'Bookings and Drivers'!AO15</f>
        <v>1630.4062499999998</v>
      </c>
      <c r="AP375" s="465">
        <f>+'Bookings and Drivers'!AP15</f>
        <v>1942.8231920000003</v>
      </c>
      <c r="AQ375" s="465">
        <f>+'Bookings and Drivers'!AQ15</f>
        <v>1940.5046660000003</v>
      </c>
      <c r="AR375" s="466">
        <f>+'Bookings and Drivers'!AR15</f>
        <v>1556.2967599999997</v>
      </c>
      <c r="AS375" s="635">
        <f>+'Bookings and Drivers'!AS15</f>
        <v>2132.6473399999995</v>
      </c>
      <c r="AT375" s="465">
        <f>+'Bookings and Drivers'!AT15</f>
        <v>2603.153644</v>
      </c>
      <c r="AU375" s="465">
        <f>+'Bookings and Drivers'!AU15</f>
        <v>2856.2272499999999</v>
      </c>
      <c r="AV375" s="466">
        <f>+'Bookings and Drivers'!AV15</f>
        <v>2173.7450500000004</v>
      </c>
      <c r="AW375" s="635">
        <f>+'Bookings and Drivers'!AW15</f>
        <v>2877.0638559999998</v>
      </c>
      <c r="AX375" s="465">
        <f>+'Bookings and Drivers'!AX15</f>
        <v>3517.8660940000004</v>
      </c>
      <c r="AY375" s="465">
        <f>+'Bookings and Drivers'!AY15</f>
        <v>4189.9531800000004</v>
      </c>
      <c r="AZ375" s="466">
        <f>+'Bookings and Drivers'!AZ15</f>
        <v>3353.2354099999998</v>
      </c>
      <c r="BA375" s="635">
        <f>+'Bookings and Drivers'!BA15</f>
        <v>4647.0894450000005</v>
      </c>
      <c r="BB375" s="465">
        <f>+'Bookings and Drivers'!BB15</f>
        <v>5335.4972850000004</v>
      </c>
      <c r="BC375" s="465">
        <f>+'Bookings and Drivers'!BC15</f>
        <v>5924.3899999999994</v>
      </c>
      <c r="BD375" s="466">
        <f>+'Bookings and Drivers'!BD15</f>
        <v>4987.8469999999998</v>
      </c>
      <c r="BE375" s="635">
        <f>+'Bookings and Drivers'!BE15</f>
        <v>6846.88</v>
      </c>
      <c r="BF375" s="465">
        <f>+'Bookings and Drivers'!BF15</f>
        <v>7830.0960000000005</v>
      </c>
      <c r="BG375" s="465">
        <f>+'Bookings and Drivers'!BG15</f>
        <v>8373.5339999999997</v>
      </c>
      <c r="BH375" s="466">
        <f>+'Bookings and Drivers'!BH15</f>
        <v>6668.5119999999997</v>
      </c>
      <c r="BI375" s="635">
        <f>+'Bookings and Drivers'!BI15</f>
        <v>9164.93</v>
      </c>
      <c r="BJ375" s="465">
        <f>+'Bookings and Drivers'!BJ15</f>
        <v>10108.879999999999</v>
      </c>
      <c r="BK375" s="465">
        <f>+'Bookings and Drivers'!BK15</f>
        <v>10712.93</v>
      </c>
      <c r="BL375" s="466">
        <f>+'Bookings and Drivers'!BL15</f>
        <v>9180.48</v>
      </c>
      <c r="BM375" s="635">
        <f>+'Bookings and Drivers'!BM15</f>
        <v>12377.539999999999</v>
      </c>
      <c r="BN375" s="465">
        <f>+'Bookings and Drivers'!BN15</f>
        <v>13437.650000000001</v>
      </c>
      <c r="BO375" s="465">
        <f>+'Bookings and Drivers'!BO15</f>
        <v>13859.28</v>
      </c>
      <c r="BP375" s="466">
        <f>+'Bookings and Drivers'!BP15</f>
        <v>11278.66</v>
      </c>
      <c r="BQ375" s="635">
        <f>+'Bookings and Drivers'!BQ15</f>
        <v>15401.470000000001</v>
      </c>
      <c r="BR375" s="465">
        <f>+'Bookings and Drivers'!BR15</f>
        <v>17054.599999999999</v>
      </c>
      <c r="BS375" s="465">
        <f>+'Bookings and Drivers'!BS15</f>
        <v>16800</v>
      </c>
      <c r="BT375" s="466">
        <f>+'Bookings and Drivers'!BT15</f>
        <v>13227.57</v>
      </c>
      <c r="BU375" s="635">
        <f>+'Bookings and Drivers'!BU15</f>
        <v>17356.5</v>
      </c>
      <c r="BV375" s="465">
        <f>+'Bookings and Drivers'!BV15</f>
        <v>18101.599999999999</v>
      </c>
      <c r="BW375" s="465">
        <f>+'Bookings and Drivers'!BW15</f>
        <v>18620.28</v>
      </c>
      <c r="BX375" s="466">
        <f>+'Bookings and Drivers'!BX15</f>
        <v>15379.2</v>
      </c>
      <c r="BY375" s="635">
        <f>+'Bookings and Drivers'!BY15</f>
        <v>21149.31</v>
      </c>
      <c r="BZ375" s="465">
        <f>+'Bookings and Drivers'!BZ15</f>
        <v>21272.279460198337</v>
      </c>
      <c r="CA375" s="465">
        <f>+'Bookings and Drivers'!CA15</f>
        <v>21403.946569932883</v>
      </c>
      <c r="CB375" s="466">
        <f>+'Bookings and Drivers'!CB15</f>
        <v>17194.913407572898</v>
      </c>
      <c r="CC375" s="635">
        <f>+'Bookings and Drivers'!CC15</f>
        <v>23620.051155374917</v>
      </c>
      <c r="CD375" s="465">
        <f>+'Bookings and Drivers'!CD15</f>
        <v>24368.72009980421</v>
      </c>
      <c r="CE375" s="465">
        <f>+'Bookings and Drivers'!CE15</f>
        <v>24911.951727127544</v>
      </c>
      <c r="CF375" s="466">
        <f>+'Bookings and Drivers'!CF15</f>
        <v>21351.663975984611</v>
      </c>
      <c r="CG375" s="582"/>
      <c r="CH375" s="635"/>
      <c r="CI375" s="465"/>
      <c r="CJ375" s="465"/>
      <c r="CK375" s="465"/>
      <c r="CL375" s="465"/>
      <c r="CM375" s="465"/>
      <c r="CN375" s="465"/>
      <c r="CO375" s="465">
        <f>+'Bookings and Drivers'!CO15</f>
        <v>7385.0801946068932</v>
      </c>
      <c r="CP375" s="465">
        <f>+'Bookings and Drivers'!CP15</f>
        <v>9725.2890541023771</v>
      </c>
      <c r="CQ375" s="465">
        <f>+'Bookings and Drivers'!CQ15</f>
        <v>13836.016336049077</v>
      </c>
      <c r="CR375" s="465">
        <f>+'Bookings and Drivers'!CR15</f>
        <v>21642.955253466018</v>
      </c>
      <c r="CS375" s="465">
        <f>+'Bookings and Drivers'!CS15</f>
        <v>29585.327716281394</v>
      </c>
      <c r="CT375" s="465">
        <f>+'Bookings and Drivers'!CT15</f>
        <v>39177.802662616203</v>
      </c>
      <c r="CU375" s="465">
        <f>+'Bookings and Drivers'!CU15</f>
        <v>51052.013303707237</v>
      </c>
      <c r="CV375" s="465">
        <f>+'Bookings and Drivers'!CV15</f>
        <v>62404.252503550451</v>
      </c>
      <c r="CW375" s="465">
        <f>+'Bookings and Drivers'!CW15</f>
        <v>69471.351105843874</v>
      </c>
      <c r="CX375" s="465">
        <f>+'Bookings and Drivers'!CX15</f>
        <v>79628.784055827506</v>
      </c>
      <c r="CY375" s="465">
        <f>+'Bookings and Drivers'!CY15</f>
        <v>94325.310369671322</v>
      </c>
      <c r="CZ375" s="465">
        <f>+'Bookings and Drivers'!CZ15</f>
        <v>110905.56339634543</v>
      </c>
      <c r="DA375" s="465">
        <f>+'Bookings and Drivers'!DA15</f>
        <v>124828.89016710232</v>
      </c>
      <c r="DB375" s="465">
        <f>+'Bookings and Drivers'!DB15</f>
        <v>138263.57556092652</v>
      </c>
      <c r="DC375" s="465">
        <f>+'Bookings and Drivers'!DC15</f>
        <v>151436.90782473588</v>
      </c>
      <c r="DD375" s="465">
        <f>+'Bookings and Drivers'!DD15</f>
        <v>164480.34456989294</v>
      </c>
      <c r="DE375" s="465">
        <f>+'Bookings and Drivers'!DE15</f>
        <v>177276.69132531929</v>
      </c>
      <c r="DF375" s="466">
        <f>+'Bookings and Drivers'!DF15</f>
        <v>191119.5238413497</v>
      </c>
      <c r="DG375" s="1474"/>
      <c r="DH375" s="1474"/>
      <c r="DI375" s="465"/>
    </row>
    <row r="376" spans="1:113" s="632" customFormat="1" ht="11.25" customHeight="1">
      <c r="A376" s="542"/>
      <c r="B376"/>
      <c r="C376"/>
      <c r="D376"/>
      <c r="E376"/>
      <c r="F376"/>
      <c r="G376"/>
      <c r="H376" s="1052"/>
      <c r="I376" s="1332"/>
      <c r="J376" s="634"/>
      <c r="K376" s="634"/>
      <c r="L376" s="631"/>
      <c r="M376" s="465"/>
      <c r="N376" s="465"/>
      <c r="O376" s="465"/>
      <c r="P376" s="466"/>
      <c r="Q376" s="465"/>
      <c r="R376" s="465"/>
      <c r="S376" s="465"/>
      <c r="T376" s="466"/>
      <c r="U376" s="354"/>
      <c r="V376" s="354"/>
      <c r="W376" s="354"/>
      <c r="X376" s="355"/>
      <c r="Y376" s="354"/>
      <c r="Z376" s="354"/>
      <c r="AA376" s="354"/>
      <c r="AB376" s="355"/>
      <c r="AC376" s="354"/>
      <c r="AD376" s="354"/>
      <c r="AE376" s="354"/>
      <c r="AF376" s="355"/>
      <c r="AG376" s="354"/>
      <c r="AH376" s="354"/>
      <c r="AI376" s="354"/>
      <c r="AJ376" s="355"/>
      <c r="AK376" s="354"/>
      <c r="AL376" s="354"/>
      <c r="AM376" s="354"/>
      <c r="AN376" s="355"/>
      <c r="AO376" s="354"/>
      <c r="AP376" s="354"/>
      <c r="AQ376" s="354"/>
      <c r="AR376" s="355"/>
      <c r="AS376" s="354"/>
      <c r="AT376" s="354"/>
      <c r="AU376" s="354"/>
      <c r="AV376" s="355"/>
      <c r="AW376" s="354"/>
      <c r="AX376" s="354"/>
      <c r="AY376" s="354"/>
      <c r="AZ376" s="355"/>
      <c r="BA376" s="354"/>
      <c r="BB376" s="354"/>
      <c r="BC376" s="354"/>
      <c r="BD376" s="355"/>
      <c r="BE376" s="1511"/>
      <c r="BF376" s="354"/>
      <c r="BG376" s="354"/>
      <c r="BH376" s="355"/>
      <c r="BI376" s="1511"/>
      <c r="BJ376" s="354"/>
      <c r="BK376" s="354"/>
      <c r="BL376" s="355"/>
      <c r="BM376" s="1730"/>
      <c r="BN376" s="354"/>
      <c r="BO376" s="354"/>
      <c r="BP376" s="355"/>
      <c r="BQ376" s="1730"/>
      <c r="BR376" s="354"/>
      <c r="BS376" s="354"/>
      <c r="BT376" s="355"/>
      <c r="BU376" s="1511"/>
      <c r="BV376" s="354"/>
      <c r="BW376" s="354"/>
      <c r="BX376" s="355"/>
      <c r="BY376" s="1511"/>
      <c r="BZ376" s="354"/>
      <c r="CA376" s="354"/>
      <c r="CB376" s="355"/>
      <c r="CC376" s="1511"/>
      <c r="CD376" s="354"/>
      <c r="CE376" s="354"/>
      <c r="CF376" s="355"/>
      <c r="CG376" s="582"/>
      <c r="CH376" s="635"/>
      <c r="CI376" s="465"/>
      <c r="CJ376" s="354"/>
      <c r="CK376" s="354"/>
      <c r="CL376" s="354"/>
      <c r="CM376" s="354"/>
      <c r="CN376" s="354"/>
      <c r="CO376" s="354"/>
      <c r="CP376" s="354"/>
      <c r="CQ376" s="354"/>
      <c r="CR376" s="354"/>
      <c r="CS376" s="354"/>
      <c r="CT376" s="354"/>
      <c r="CU376" s="354"/>
      <c r="CV376" s="354"/>
      <c r="CW376" s="354"/>
      <c r="CX376" s="354"/>
      <c r="CY376" s="354"/>
      <c r="CZ376" s="354"/>
      <c r="DA376" s="354"/>
      <c r="DB376" s="354"/>
      <c r="DC376" s="354"/>
      <c r="DD376" s="354"/>
      <c r="DE376" s="354"/>
      <c r="DF376" s="355"/>
      <c r="DG376" s="1474"/>
      <c r="DH376" s="1474"/>
      <c r="DI376" s="465"/>
    </row>
    <row r="377" spans="1:113" s="632" customFormat="1" ht="11.25" customHeight="1">
      <c r="A377" s="542"/>
      <c r="B377"/>
      <c r="C377"/>
      <c r="D377"/>
      <c r="E377"/>
      <c r="F377"/>
      <c r="G377"/>
      <c r="H377" s="1052"/>
      <c r="I377" s="1903"/>
      <c r="J377" s="1904"/>
      <c r="K377" s="1904"/>
      <c r="L377" s="1905"/>
      <c r="M377" s="1906"/>
      <c r="N377" s="1906"/>
      <c r="O377" s="1906"/>
      <c r="P377" s="1907"/>
      <c r="Q377" s="1906"/>
      <c r="R377" s="1906"/>
      <c r="S377" s="1906"/>
      <c r="T377" s="1907"/>
      <c r="U377" s="1697"/>
      <c r="V377" s="1697"/>
      <c r="W377" s="1697"/>
      <c r="X377" s="1698"/>
      <c r="Y377" s="1697"/>
      <c r="Z377" s="1697"/>
      <c r="AA377" s="1697"/>
      <c r="AB377" s="1698"/>
      <c r="AC377" s="1697"/>
      <c r="AD377" s="1697"/>
      <c r="AE377" s="1697"/>
      <c r="AF377" s="1698"/>
      <c r="AG377" s="1697"/>
      <c r="AH377" s="1697"/>
      <c r="AI377" s="1697"/>
      <c r="AJ377" s="1698"/>
      <c r="AK377" s="1697"/>
      <c r="AL377" s="1697"/>
      <c r="AM377" s="1697"/>
      <c r="AN377" s="1698"/>
      <c r="AO377" s="1697"/>
      <c r="AP377" s="1697"/>
      <c r="AQ377" s="1697"/>
      <c r="AR377" s="1698"/>
      <c r="AS377" s="1697"/>
      <c r="AT377" s="1697"/>
      <c r="AU377" s="1697"/>
      <c r="AV377" s="1698"/>
      <c r="AW377" s="1697"/>
      <c r="AX377" s="1697"/>
      <c r="AY377" s="1697"/>
      <c r="AZ377" s="1698"/>
      <c r="BA377" s="1697"/>
      <c r="BB377" s="1697"/>
      <c r="BC377" s="1697"/>
      <c r="BD377" s="1698"/>
      <c r="BE377" s="1699"/>
      <c r="BF377" s="1697"/>
      <c r="BG377" s="1697"/>
      <c r="BH377" s="1698"/>
      <c r="BI377" s="1699"/>
      <c r="BJ377" s="1697"/>
      <c r="BK377" s="1697"/>
      <c r="BL377" s="1698"/>
      <c r="BM377" s="1699"/>
      <c r="BN377" s="1697"/>
      <c r="BO377" s="1959"/>
      <c r="BP377" s="1698"/>
      <c r="BQ377" s="1948"/>
      <c r="BR377" s="1959"/>
      <c r="BS377" s="1697"/>
      <c r="BT377" s="1698"/>
      <c r="BU377" s="1699"/>
      <c r="BV377" s="1697"/>
      <c r="BW377" s="1697"/>
      <c r="BX377" s="1698"/>
      <c r="BY377" s="1699"/>
      <c r="BZ377" s="1697"/>
      <c r="CA377" s="1697"/>
      <c r="CB377" s="1698"/>
      <c r="CC377" s="1699"/>
      <c r="CD377" s="1697"/>
      <c r="CE377" s="1697"/>
      <c r="CF377" s="1698"/>
      <c r="CG377" s="582"/>
      <c r="CH377" s="1908"/>
      <c r="CI377" s="1906"/>
      <c r="CJ377" s="1697"/>
      <c r="CK377" s="1697"/>
      <c r="CL377" s="1697"/>
      <c r="CM377" s="1697"/>
      <c r="CN377" s="1697"/>
      <c r="CO377" s="1697"/>
      <c r="CP377" s="1697"/>
      <c r="CQ377" s="1697"/>
      <c r="CR377" s="1697"/>
      <c r="CS377" s="1697"/>
      <c r="CT377" s="1697"/>
      <c r="CU377" s="1697"/>
      <c r="CV377" s="1697"/>
      <c r="CW377" s="1697"/>
      <c r="CX377" s="1697"/>
      <c r="CY377" s="1697"/>
      <c r="CZ377" s="1697"/>
      <c r="DA377" s="1697"/>
      <c r="DB377" s="1697"/>
      <c r="DC377" s="1697"/>
      <c r="DD377" s="1697"/>
      <c r="DE377" s="1697"/>
      <c r="DF377" s="1698"/>
      <c r="DG377" s="1474"/>
      <c r="DH377" s="1474"/>
      <c r="DI377" s="465"/>
    </row>
    <row r="378" spans="1:113" s="68" customFormat="1" ht="11.25" customHeight="1">
      <c r="A378" s="24"/>
      <c r="B378"/>
      <c r="C378"/>
      <c r="D378"/>
      <c r="E378"/>
      <c r="F378"/>
      <c r="G378"/>
      <c r="H378" s="1044"/>
      <c r="I378" s="183"/>
      <c r="J378" s="67"/>
      <c r="K378" s="67"/>
      <c r="L378" s="67"/>
      <c r="M378" s="404"/>
      <c r="N378" s="404"/>
      <c r="O378" s="404"/>
      <c r="P378" s="404"/>
      <c r="Q378" s="404"/>
      <c r="R378" s="404"/>
      <c r="S378" s="404"/>
      <c r="T378" s="404"/>
      <c r="U378" s="373"/>
      <c r="V378" s="373"/>
      <c r="W378" s="373"/>
      <c r="X378" s="373"/>
      <c r="Y378" s="373"/>
      <c r="Z378" s="373"/>
      <c r="AA378" s="373"/>
      <c r="AB378" s="373"/>
      <c r="AC378" s="1569"/>
      <c r="AD378" s="1570"/>
      <c r="AE378" s="1570"/>
      <c r="AF378" s="1571"/>
      <c r="AG378" s="1570"/>
      <c r="AH378" s="1570"/>
      <c r="AI378" s="1570"/>
      <c r="AJ378" s="1571"/>
      <c r="AK378" s="1569"/>
      <c r="AL378" s="1570"/>
      <c r="AM378" s="1570"/>
      <c r="AN378" s="1571"/>
      <c r="AO378" s="1569"/>
      <c r="AP378" s="1570"/>
      <c r="AQ378" s="1570"/>
      <c r="AR378" s="1571"/>
      <c r="AS378" s="1569"/>
      <c r="AT378" s="1570"/>
      <c r="AU378" s="1570"/>
      <c r="AV378" s="1571"/>
      <c r="AW378" s="1569"/>
      <c r="AX378" s="1570"/>
      <c r="AY378" s="1570"/>
      <c r="AZ378" s="1571"/>
      <c r="BA378" s="1569"/>
      <c r="BB378" s="1570"/>
      <c r="BC378" s="1570"/>
      <c r="BD378" s="1571"/>
      <c r="BE378" s="1569"/>
      <c r="BF378" s="1570"/>
      <c r="BG378" s="1570"/>
      <c r="BH378" s="1571"/>
      <c r="BI378" s="1569"/>
      <c r="BJ378" s="1570"/>
      <c r="BK378" s="1570"/>
      <c r="BL378" s="1571"/>
      <c r="BM378" s="1569"/>
      <c r="BN378" s="1570"/>
      <c r="BO378" s="1570"/>
      <c r="BP378" s="1571"/>
      <c r="BQ378" s="1569"/>
      <c r="BR378" s="1570"/>
      <c r="BS378" s="1570"/>
      <c r="BT378" s="1571"/>
      <c r="BU378" s="1569"/>
      <c r="BV378" s="1570"/>
      <c r="BW378" s="1570"/>
      <c r="BX378" s="1571"/>
      <c r="BY378" s="1569"/>
      <c r="BZ378" s="1570"/>
      <c r="CA378" s="1570"/>
      <c r="CB378" s="1571"/>
      <c r="CC378" s="1569"/>
      <c r="CD378" s="1570"/>
      <c r="CE378" s="1570"/>
      <c r="CF378" s="1571"/>
      <c r="CG378" s="337"/>
      <c r="CH378" s="404"/>
      <c r="CI378" s="404"/>
      <c r="CJ378" s="373"/>
      <c r="CK378" s="373"/>
      <c r="CL378" s="373"/>
      <c r="CM378" s="373"/>
      <c r="CN378" s="373"/>
      <c r="CO378" s="373"/>
      <c r="CP378" s="373"/>
      <c r="CQ378" s="328"/>
      <c r="CR378" s="408"/>
      <c r="CS378" s="408"/>
      <c r="CT378" s="408"/>
      <c r="CU378" s="408"/>
      <c r="CV378" s="408"/>
      <c r="CW378" s="408"/>
      <c r="CX378" s="408"/>
      <c r="CY378" s="408"/>
      <c r="CZ378" s="328"/>
      <c r="DA378" s="328"/>
      <c r="DB378" s="328"/>
      <c r="DC378" s="328"/>
      <c r="DD378" s="328"/>
      <c r="DE378" s="328"/>
      <c r="DF378" s="329"/>
      <c r="DG378" s="1180"/>
      <c r="DH378" s="1180"/>
    </row>
    <row r="379" spans="1:113" s="68" customFormat="1" ht="11.25" customHeight="1">
      <c r="A379" s="8"/>
      <c r="B379"/>
      <c r="C379"/>
      <c r="D379"/>
      <c r="E379"/>
      <c r="F379"/>
      <c r="G379"/>
      <c r="H379" s="1052"/>
      <c r="I379" s="1870" t="s">
        <v>690</v>
      </c>
      <c r="J379" s="67"/>
      <c r="K379" s="67"/>
      <c r="L379" s="67"/>
      <c r="M379" s="1181"/>
      <c r="N379" s="1181"/>
      <c r="O379" s="1181"/>
      <c r="P379" s="1181"/>
      <c r="Q379" s="1181"/>
      <c r="R379" s="1181"/>
      <c r="S379" s="1181"/>
      <c r="T379" s="1181"/>
      <c r="U379" s="1960"/>
      <c r="V379" s="1960"/>
      <c r="W379" s="1960"/>
      <c r="X379" s="1960"/>
      <c r="Y379" s="1960"/>
      <c r="Z379" s="1960"/>
      <c r="AA379" s="1960"/>
      <c r="AB379" s="1960"/>
      <c r="AC379" s="1971"/>
      <c r="AD379" s="1960"/>
      <c r="AE379" s="1960"/>
      <c r="AF379" s="1972"/>
      <c r="AG379" s="1961">
        <f t="shared" ref="AG379:BL379" si="731">+(AG346-AC346)/(AG374-AC374)</f>
        <v>1.5973037715864981E-2</v>
      </c>
      <c r="AH379" s="1961">
        <f t="shared" si="731"/>
        <v>1.9720709548714077E-2</v>
      </c>
      <c r="AI379" s="1961">
        <f t="shared" si="731"/>
        <v>1.6270505598072568E-2</v>
      </c>
      <c r="AJ379" s="1963">
        <f t="shared" si="731"/>
        <v>1.3974757883110412E-2</v>
      </c>
      <c r="AK379" s="1969">
        <f t="shared" si="731"/>
        <v>3.9996821234155822E-2</v>
      </c>
      <c r="AL379" s="1961">
        <f t="shared" si="731"/>
        <v>4.2193255971986025E-2</v>
      </c>
      <c r="AM379" s="1961">
        <f t="shared" si="731"/>
        <v>3.9555705978277581E-2</v>
      </c>
      <c r="AN379" s="1963">
        <f t="shared" si="731"/>
        <v>3.5699395793234695E-2</v>
      </c>
      <c r="AO379" s="1969">
        <f t="shared" si="731"/>
        <v>3.4038001844443187E-2</v>
      </c>
      <c r="AP379" s="1961">
        <f t="shared" si="731"/>
        <v>3.3586498661796867E-2</v>
      </c>
      <c r="AQ379" s="1961">
        <f t="shared" si="731"/>
        <v>4.6149718678760228E-2</v>
      </c>
      <c r="AR379" s="1963">
        <f t="shared" si="731"/>
        <v>4.4698348695708962E-2</v>
      </c>
      <c r="AS379" s="1969">
        <f t="shared" si="731"/>
        <v>5.5776009341954501E-2</v>
      </c>
      <c r="AT379" s="1961">
        <f t="shared" si="731"/>
        <v>6.4064513972207943E-2</v>
      </c>
      <c r="AU379" s="1961">
        <f t="shared" si="731"/>
        <v>4.5822619527407765E-2</v>
      </c>
      <c r="AV379" s="1963">
        <f t="shared" si="731"/>
        <v>4.6331035909010228E-2</v>
      </c>
      <c r="AW379" s="1969">
        <f t="shared" si="731"/>
        <v>4.4061811105746557E-2</v>
      </c>
      <c r="AX379" s="1961">
        <f t="shared" si="731"/>
        <v>4.1135710696972444E-2</v>
      </c>
      <c r="AY379" s="1961">
        <f t="shared" si="731"/>
        <v>4.4908093650489346E-2</v>
      </c>
      <c r="AZ379" s="1963">
        <f t="shared" si="731"/>
        <v>4.170922676218785E-2</v>
      </c>
      <c r="BA379" s="1969">
        <f t="shared" si="731"/>
        <v>4.2344755793813471E-2</v>
      </c>
      <c r="BB379" s="1961">
        <f t="shared" si="731"/>
        <v>4.3785603969921774E-2</v>
      </c>
      <c r="BC379" s="1961">
        <f t="shared" si="731"/>
        <v>4.7622834295868499E-2</v>
      </c>
      <c r="BD379" s="1963">
        <f t="shared" si="731"/>
        <v>4.9740390301596681E-2</v>
      </c>
      <c r="BE379" s="1969">
        <f t="shared" si="731"/>
        <v>4.4979472140762471E-2</v>
      </c>
      <c r="BF379" s="1961">
        <f t="shared" si="731"/>
        <v>5.0482892188508717E-2</v>
      </c>
      <c r="BG379" s="1961">
        <f t="shared" si="731"/>
        <v>6.0493968253968265E-2</v>
      </c>
      <c r="BH379" s="1963">
        <f t="shared" si="731"/>
        <v>5.4619164619164627E-2</v>
      </c>
      <c r="BI379" s="1969">
        <f t="shared" si="731"/>
        <v>5.1604013104013101E-2</v>
      </c>
      <c r="BJ379" s="1961">
        <f t="shared" si="731"/>
        <v>5.3319583931133417E-2</v>
      </c>
      <c r="BK379" s="1961">
        <f t="shared" si="731"/>
        <v>5.3856120013637904E-2</v>
      </c>
      <c r="BL379" s="1963">
        <f t="shared" si="731"/>
        <v>3.6169146436961619E-2</v>
      </c>
      <c r="BM379" s="1969">
        <f t="shared" ref="BM379:CF379" si="732">+(BM346-BI346)/(BM374-BI374)</f>
        <v>3.7638311480652359E-2</v>
      </c>
      <c r="BN379" s="1961">
        <f t="shared" si="732"/>
        <v>5.1598947676118091E-2</v>
      </c>
      <c r="BO379" s="1961">
        <f t="shared" si="732"/>
        <v>5.4496402877697837E-2</v>
      </c>
      <c r="BP379" s="1963">
        <f t="shared" si="732"/>
        <v>6.6213675213675216E-2</v>
      </c>
      <c r="BQ379" s="1969">
        <f t="shared" si="732"/>
        <v>7.5381939799331124E-2</v>
      </c>
      <c r="BR379" s="1961">
        <f t="shared" si="732"/>
        <v>8.3709563994374181E-2</v>
      </c>
      <c r="BS379" s="1961">
        <f t="shared" si="732"/>
        <v>8.8916230366492224E-2</v>
      </c>
      <c r="BT379" s="1963">
        <f t="shared" si="732"/>
        <v>4.5244100294985247E-2</v>
      </c>
      <c r="BU379" s="1969">
        <f t="shared" si="732"/>
        <v>5.0856497567755392E-2</v>
      </c>
      <c r="BV379" s="1961">
        <f t="shared" si="732"/>
        <v>5.5848725017229491E-2</v>
      </c>
      <c r="BW379" s="1961">
        <f t="shared" si="732"/>
        <v>6.9369907658881E-2</v>
      </c>
      <c r="BX379" s="1963">
        <f t="shared" si="732"/>
        <v>5.7220213109460773E-2</v>
      </c>
      <c r="BY379" s="1969">
        <f t="shared" si="732"/>
        <v>4.9792761527020335E-2</v>
      </c>
      <c r="BZ379" s="1961">
        <f t="shared" si="732"/>
        <v>7.7283134582623481E-2</v>
      </c>
      <c r="CA379" s="1961">
        <f t="shared" si="732"/>
        <v>5.5783161720169637E-2</v>
      </c>
      <c r="CB379" s="1963">
        <f t="shared" si="732"/>
        <v>1.7642259414225925E-2</v>
      </c>
      <c r="CC379" s="1969">
        <f t="shared" si="732"/>
        <v>2.6396117445920013E-2</v>
      </c>
      <c r="CD379" s="1961">
        <f t="shared" si="732"/>
        <v>3.8714959000805842E-2</v>
      </c>
      <c r="CE379" s="1961">
        <f t="shared" si="732"/>
        <v>4.1368596976621409E-2</v>
      </c>
      <c r="CF379" s="1963">
        <f t="shared" si="732"/>
        <v>4.0502557808621553E-2</v>
      </c>
      <c r="CG379" s="1962"/>
      <c r="CH379" s="1181"/>
      <c r="CI379" s="1181"/>
      <c r="CJ379" s="1960"/>
      <c r="CK379" s="1960"/>
      <c r="CL379" s="1960"/>
      <c r="CM379" s="1960"/>
      <c r="CN379" s="1960"/>
      <c r="CO379" s="1961">
        <f t="shared" ref="CO379:DF379" si="733">+(CO346-CN346)/(CO374-CN374)</f>
        <v>1.3248033781087515E-2</v>
      </c>
      <c r="CP379" s="1961">
        <f t="shared" si="733"/>
        <v>4.9566348769205397E-2</v>
      </c>
      <c r="CQ379" s="1961">
        <f t="shared" si="733"/>
        <v>4.3073582739846052E-2</v>
      </c>
      <c r="CR379" s="1961">
        <f t="shared" si="733"/>
        <v>4.5814687114841553E-2</v>
      </c>
      <c r="CS379" s="1961">
        <f t="shared" si="733"/>
        <v>5.2136510738452484E-2</v>
      </c>
      <c r="CT379" s="1961">
        <f t="shared" si="733"/>
        <v>4.8988336288140338E-2</v>
      </c>
      <c r="CU379" s="1961">
        <f t="shared" si="733"/>
        <v>5.0469668374224862E-2</v>
      </c>
      <c r="CV379" s="1961">
        <f t="shared" si="733"/>
        <v>7.2302410099464393E-2</v>
      </c>
      <c r="CW379" s="1961">
        <f t="shared" si="733"/>
        <v>5.9007006927303124E-2</v>
      </c>
      <c r="CX379" s="1961">
        <f t="shared" si="733"/>
        <v>5.0421188827155856E-2</v>
      </c>
      <c r="CY379" s="1961">
        <f t="shared" si="733"/>
        <v>3.637705349994403E-2</v>
      </c>
      <c r="CZ379" s="1961">
        <f t="shared" si="733"/>
        <v>4.6255293956714502E-2</v>
      </c>
      <c r="DA379" s="1961">
        <f t="shared" si="733"/>
        <v>4.8024285103954137E-2</v>
      </c>
      <c r="DB379" s="1961">
        <f t="shared" si="733"/>
        <v>4.8171424111316065E-2</v>
      </c>
      <c r="DC379" s="1961">
        <f t="shared" si="733"/>
        <v>4.825404863330629E-2</v>
      </c>
      <c r="DD379" s="1961">
        <f t="shared" si="733"/>
        <v>4.833201281208694E-2</v>
      </c>
      <c r="DE379" s="1961">
        <f t="shared" si="733"/>
        <v>4.8430717342638312E-2</v>
      </c>
      <c r="DF379" s="1963">
        <f t="shared" si="733"/>
        <v>4.8391967990466245E-2</v>
      </c>
      <c r="DG379" s="1180"/>
      <c r="DH379" s="1180"/>
    </row>
    <row r="380" spans="1:113" s="68" customFormat="1" ht="11.25" customHeight="1">
      <c r="A380" s="24"/>
      <c r="B380"/>
      <c r="C380"/>
      <c r="D380"/>
      <c r="E380"/>
      <c r="F380"/>
      <c r="G380"/>
      <c r="H380" s="1044"/>
      <c r="I380" s="1332" t="s">
        <v>623</v>
      </c>
      <c r="J380" s="67"/>
      <c r="K380" s="67"/>
      <c r="L380" s="67"/>
      <c r="M380" s="1955"/>
      <c r="N380" s="1955"/>
      <c r="O380" s="1955"/>
      <c r="P380" s="1955"/>
      <c r="Q380" s="1955"/>
      <c r="R380" s="1955"/>
      <c r="S380" s="1955"/>
      <c r="T380" s="1955"/>
      <c r="U380" s="1956"/>
      <c r="V380" s="1956"/>
      <c r="W380" s="1956"/>
      <c r="X380" s="1956"/>
      <c r="Y380" s="1956"/>
      <c r="Z380" s="1956"/>
      <c r="AA380" s="1956"/>
      <c r="AB380" s="1956"/>
      <c r="AC380" s="1973"/>
      <c r="AD380" s="1956"/>
      <c r="AE380" s="1956"/>
      <c r="AF380" s="1974"/>
      <c r="AG380" s="354"/>
      <c r="AH380" s="354"/>
      <c r="AI380" s="354"/>
      <c r="AJ380" s="355"/>
      <c r="AK380" s="1511">
        <f t="shared" ref="AK380:CF380" si="734">+(AK379-AG379)*10000</f>
        <v>240.23783518290841</v>
      </c>
      <c r="AL380" s="354">
        <f t="shared" si="734"/>
        <v>224.72546423271947</v>
      </c>
      <c r="AM380" s="354">
        <f t="shared" si="734"/>
        <v>232.85200380205012</v>
      </c>
      <c r="AN380" s="355">
        <f t="shared" si="734"/>
        <v>217.24637910124284</v>
      </c>
      <c r="AO380" s="1511">
        <f t="shared" si="734"/>
        <v>-59.588193897126345</v>
      </c>
      <c r="AP380" s="354">
        <f t="shared" si="734"/>
        <v>-86.067573101891583</v>
      </c>
      <c r="AQ380" s="354">
        <f t="shared" si="734"/>
        <v>65.940127004826479</v>
      </c>
      <c r="AR380" s="355">
        <f t="shared" si="734"/>
        <v>89.989529024742666</v>
      </c>
      <c r="AS380" s="1511">
        <f t="shared" si="734"/>
        <v>217.38007497511313</v>
      </c>
      <c r="AT380" s="354">
        <f t="shared" si="734"/>
        <v>304.78015310411075</v>
      </c>
      <c r="AU380" s="354">
        <f t="shared" si="734"/>
        <v>-3.2709915135246264</v>
      </c>
      <c r="AV380" s="355">
        <f t="shared" si="734"/>
        <v>16.326872133012664</v>
      </c>
      <c r="AW380" s="1511">
        <f t="shared" si="734"/>
        <v>-117.14198236207945</v>
      </c>
      <c r="AX380" s="354">
        <f t="shared" si="734"/>
        <v>-229.28803275235498</v>
      </c>
      <c r="AY380" s="354">
        <f t="shared" si="734"/>
        <v>-9.145258769184192</v>
      </c>
      <c r="AZ380" s="355">
        <f t="shared" si="734"/>
        <v>-46.218091468223783</v>
      </c>
      <c r="BA380" s="1511">
        <f t="shared" si="734"/>
        <v>-17.170553119330854</v>
      </c>
      <c r="BB380" s="354">
        <f t="shared" si="734"/>
        <v>26.498932729493301</v>
      </c>
      <c r="BC380" s="354">
        <f t="shared" si="734"/>
        <v>27.147406453791532</v>
      </c>
      <c r="BD380" s="355">
        <f t="shared" si="734"/>
        <v>80.311635394088313</v>
      </c>
      <c r="BE380" s="1511">
        <f t="shared" si="734"/>
        <v>26.347163469489995</v>
      </c>
      <c r="BF380" s="354">
        <f t="shared" si="734"/>
        <v>66.972882185869423</v>
      </c>
      <c r="BG380" s="354">
        <f t="shared" si="734"/>
        <v>128.71133958099767</v>
      </c>
      <c r="BH380" s="355">
        <f t="shared" si="734"/>
        <v>48.787743175679466</v>
      </c>
      <c r="BI380" s="1511">
        <f t="shared" si="734"/>
        <v>66.245409632506309</v>
      </c>
      <c r="BJ380" s="354">
        <f t="shared" si="734"/>
        <v>28.366917426247003</v>
      </c>
      <c r="BK380" s="354">
        <f t="shared" si="734"/>
        <v>-66.378482403303622</v>
      </c>
      <c r="BL380" s="355">
        <f t="shared" si="734"/>
        <v>-184.50018182203007</v>
      </c>
      <c r="BM380" s="1511">
        <f t="shared" si="734"/>
        <v>-139.65701623360741</v>
      </c>
      <c r="BN380" s="354">
        <f t="shared" si="734"/>
        <v>-17.206362550153258</v>
      </c>
      <c r="BO380" s="354">
        <f t="shared" si="734"/>
        <v>6.4028286405993367</v>
      </c>
      <c r="BP380" s="355">
        <f t="shared" si="734"/>
        <v>300.44528776713599</v>
      </c>
      <c r="BQ380" s="1511">
        <f t="shared" si="734"/>
        <v>377.43628318678765</v>
      </c>
      <c r="BR380" s="354">
        <f t="shared" si="734"/>
        <v>321.10616318256092</v>
      </c>
      <c r="BS380" s="354">
        <f t="shared" si="734"/>
        <v>344.19827488794385</v>
      </c>
      <c r="BT380" s="355">
        <f t="shared" si="734"/>
        <v>-209.69574918689969</v>
      </c>
      <c r="BU380" s="1511">
        <f t="shared" si="734"/>
        <v>-245.25442231575732</v>
      </c>
      <c r="BV380" s="354">
        <f t="shared" si="734"/>
        <v>-278.60838977144692</v>
      </c>
      <c r="BW380" s="354">
        <f t="shared" si="734"/>
        <v>-195.46322707611225</v>
      </c>
      <c r="BX380" s="355">
        <f t="shared" si="734"/>
        <v>119.76112814475526</v>
      </c>
      <c r="BY380" s="1511">
        <f t="shared" si="734"/>
        <v>-10.637360407350569</v>
      </c>
      <c r="BZ380" s="354">
        <f t="shared" si="734"/>
        <v>214.34409565393989</v>
      </c>
      <c r="CA380" s="354">
        <f t="shared" si="734"/>
        <v>-135.86745938711363</v>
      </c>
      <c r="CB380" s="355">
        <f t="shared" si="734"/>
        <v>-395.77953695234845</v>
      </c>
      <c r="CC380" s="1511">
        <f t="shared" si="734"/>
        <v>-233.96644081100322</v>
      </c>
      <c r="CD380" s="354">
        <f t="shared" si="734"/>
        <v>-385.68175581817638</v>
      </c>
      <c r="CE380" s="354">
        <f t="shared" si="734"/>
        <v>-144.14564743548229</v>
      </c>
      <c r="CF380" s="355">
        <f t="shared" si="734"/>
        <v>228.60298394395627</v>
      </c>
      <c r="CG380" s="1007"/>
      <c r="CH380" s="1955"/>
      <c r="CI380" s="1955"/>
      <c r="CJ380" s="1956"/>
      <c r="CK380" s="1956"/>
      <c r="CL380" s="1956"/>
      <c r="CM380" s="1956"/>
      <c r="CN380" s="1956"/>
      <c r="CO380" s="354"/>
      <c r="CP380" s="354">
        <f>+(CP379-CO379)*10000</f>
        <v>363.18314988117885</v>
      </c>
      <c r="CQ380" s="354">
        <f t="shared" ref="CQ380:DF380" si="735">+(CQ379-CP379)*10000</f>
        <v>-64.927660293593448</v>
      </c>
      <c r="CR380" s="354">
        <f t="shared" si="735"/>
        <v>27.411043749955009</v>
      </c>
      <c r="CS380" s="354">
        <f t="shared" si="735"/>
        <v>63.218236236109313</v>
      </c>
      <c r="CT380" s="354">
        <f t="shared" si="735"/>
        <v>-31.481744503121455</v>
      </c>
      <c r="CU380" s="354">
        <f t="shared" si="735"/>
        <v>14.813320860845232</v>
      </c>
      <c r="CV380" s="354">
        <f t="shared" si="735"/>
        <v>218.32741725239532</v>
      </c>
      <c r="CW380" s="354">
        <f t="shared" si="735"/>
        <v>-132.95403172161269</v>
      </c>
      <c r="CX380" s="354">
        <f t="shared" si="735"/>
        <v>-85.858181001472673</v>
      </c>
      <c r="CY380" s="354">
        <f t="shared" si="735"/>
        <v>-140.44135327211825</v>
      </c>
      <c r="CZ380" s="354">
        <f t="shared" si="735"/>
        <v>98.782404567704717</v>
      </c>
      <c r="DA380" s="354">
        <f t="shared" si="735"/>
        <v>17.689911472396346</v>
      </c>
      <c r="DB380" s="354">
        <f t="shared" si="735"/>
        <v>1.4713900736192804</v>
      </c>
      <c r="DC380" s="354">
        <f t="shared" si="735"/>
        <v>0.82624521990225241</v>
      </c>
      <c r="DD380" s="354">
        <f t="shared" si="735"/>
        <v>0.77964178780649818</v>
      </c>
      <c r="DE380" s="354">
        <f t="shared" si="735"/>
        <v>0.98704530551371739</v>
      </c>
      <c r="DF380" s="355">
        <f t="shared" si="735"/>
        <v>-0.38749352172066931</v>
      </c>
      <c r="DG380" s="1180"/>
      <c r="DH380" s="1180"/>
    </row>
    <row r="381" spans="1:113" s="68" customFormat="1" ht="11.25" customHeight="1">
      <c r="A381" s="24"/>
      <c r="B381"/>
      <c r="C381"/>
      <c r="D381"/>
      <c r="E381"/>
      <c r="F381"/>
      <c r="G381"/>
      <c r="H381" s="1044"/>
      <c r="I381" s="1332" t="s">
        <v>607</v>
      </c>
      <c r="J381" s="67"/>
      <c r="K381" s="67"/>
      <c r="L381" s="67"/>
      <c r="M381" s="1955"/>
      <c r="N381" s="1955"/>
      <c r="O381" s="1955"/>
      <c r="P381" s="1955"/>
      <c r="Q381" s="1955"/>
      <c r="R381" s="1955"/>
      <c r="S381" s="1955"/>
      <c r="T381" s="1955"/>
      <c r="U381" s="1956"/>
      <c r="V381" s="1956"/>
      <c r="W381" s="1956"/>
      <c r="X381" s="1956"/>
      <c r="Y381" s="1956"/>
      <c r="Z381" s="1956"/>
      <c r="AA381" s="1956"/>
      <c r="AB381" s="1956"/>
      <c r="AC381" s="1973"/>
      <c r="AD381" s="1956"/>
      <c r="AE381" s="1956"/>
      <c r="AF381" s="1974"/>
      <c r="AG381" s="354"/>
      <c r="AH381" s="354">
        <f t="shared" ref="AH381:BM381" si="736">+(AH379-AG379)*10000</f>
        <v>37.476718328490961</v>
      </c>
      <c r="AI381" s="354">
        <f t="shared" si="736"/>
        <v>-34.502039506415088</v>
      </c>
      <c r="AJ381" s="355">
        <f t="shared" si="736"/>
        <v>-22.95747714962156</v>
      </c>
      <c r="AK381" s="1511">
        <f t="shared" si="736"/>
        <v>260.22063351045409</v>
      </c>
      <c r="AL381" s="354">
        <f t="shared" si="736"/>
        <v>21.964347378302037</v>
      </c>
      <c r="AM381" s="354">
        <f t="shared" si="736"/>
        <v>-26.375499937084449</v>
      </c>
      <c r="AN381" s="355">
        <f t="shared" si="736"/>
        <v>-38.563101850428858</v>
      </c>
      <c r="AO381" s="1511">
        <f t="shared" si="736"/>
        <v>-16.613939487915079</v>
      </c>
      <c r="AP381" s="354">
        <f t="shared" si="736"/>
        <v>-4.5150318264632059</v>
      </c>
      <c r="AQ381" s="354">
        <f t="shared" si="736"/>
        <v>125.63220016963361</v>
      </c>
      <c r="AR381" s="355">
        <f t="shared" si="736"/>
        <v>-14.513699830512664</v>
      </c>
      <c r="AS381" s="1511">
        <f t="shared" si="736"/>
        <v>110.77660646245539</v>
      </c>
      <c r="AT381" s="354">
        <f t="shared" si="736"/>
        <v>82.88504630253442</v>
      </c>
      <c r="AU381" s="354">
        <f t="shared" si="736"/>
        <v>-182.41894444800178</v>
      </c>
      <c r="AV381" s="355">
        <f t="shared" si="736"/>
        <v>5.0841638160246259</v>
      </c>
      <c r="AW381" s="1511">
        <f t="shared" si="736"/>
        <v>-22.692248032636712</v>
      </c>
      <c r="AX381" s="354">
        <f t="shared" si="736"/>
        <v>-29.261004087741128</v>
      </c>
      <c r="AY381" s="354">
        <f t="shared" si="736"/>
        <v>37.723829535169024</v>
      </c>
      <c r="AZ381" s="355">
        <f t="shared" si="736"/>
        <v>-31.988668883014963</v>
      </c>
      <c r="BA381" s="1511">
        <f t="shared" si="736"/>
        <v>6.3552903162562151</v>
      </c>
      <c r="BB381" s="354">
        <f t="shared" si="736"/>
        <v>14.408481761083031</v>
      </c>
      <c r="BC381" s="354">
        <f t="shared" si="736"/>
        <v>38.372303259467252</v>
      </c>
      <c r="BD381" s="355">
        <f t="shared" si="736"/>
        <v>21.175560057281814</v>
      </c>
      <c r="BE381" s="1511">
        <f t="shared" si="736"/>
        <v>-47.609181608342098</v>
      </c>
      <c r="BF381" s="354">
        <f t="shared" si="736"/>
        <v>55.034200477462463</v>
      </c>
      <c r="BG381" s="354">
        <f t="shared" si="736"/>
        <v>100.11076065459548</v>
      </c>
      <c r="BH381" s="355">
        <f t="shared" si="736"/>
        <v>-58.748036348036379</v>
      </c>
      <c r="BI381" s="1511">
        <f t="shared" si="736"/>
        <v>-30.151515151515262</v>
      </c>
      <c r="BJ381" s="354">
        <f t="shared" si="736"/>
        <v>17.155708271203164</v>
      </c>
      <c r="BK381" s="354">
        <f t="shared" si="736"/>
        <v>5.3653608250448652</v>
      </c>
      <c r="BL381" s="355">
        <f t="shared" si="736"/>
        <v>-176.86973576676286</v>
      </c>
      <c r="BM381" s="1511">
        <f t="shared" si="736"/>
        <v>14.6916504369074</v>
      </c>
      <c r="BN381" s="354">
        <f t="shared" ref="BN381:CF381" si="737">+(BN379-BM379)*10000</f>
        <v>139.60636195465733</v>
      </c>
      <c r="BO381" s="354">
        <f t="shared" si="737"/>
        <v>28.97455201579746</v>
      </c>
      <c r="BP381" s="355">
        <f t="shared" si="737"/>
        <v>117.17272335977378</v>
      </c>
      <c r="BQ381" s="1511">
        <f t="shared" si="737"/>
        <v>91.682645856559077</v>
      </c>
      <c r="BR381" s="354">
        <f t="shared" si="737"/>
        <v>83.276241950430574</v>
      </c>
      <c r="BS381" s="354">
        <f t="shared" si="737"/>
        <v>52.066663721180433</v>
      </c>
      <c r="BT381" s="355">
        <f t="shared" si="737"/>
        <v>-436.72130071506979</v>
      </c>
      <c r="BU381" s="1511">
        <f t="shared" si="737"/>
        <v>56.12397272770145</v>
      </c>
      <c r="BV381" s="354">
        <f t="shared" si="737"/>
        <v>49.922274494740989</v>
      </c>
      <c r="BW381" s="354">
        <f t="shared" si="737"/>
        <v>135.21182641651509</v>
      </c>
      <c r="BX381" s="355">
        <f t="shared" si="737"/>
        <v>-121.49694549420227</v>
      </c>
      <c r="BY381" s="1511">
        <f t="shared" si="737"/>
        <v>-74.274515824404375</v>
      </c>
      <c r="BZ381" s="354">
        <f t="shared" si="737"/>
        <v>274.90373055603146</v>
      </c>
      <c r="CA381" s="354">
        <f t="shared" si="737"/>
        <v>-214.99972862453845</v>
      </c>
      <c r="CB381" s="355">
        <f t="shared" si="737"/>
        <v>-381.40902305943712</v>
      </c>
      <c r="CC381" s="1511">
        <f t="shared" si="737"/>
        <v>87.53858031694088</v>
      </c>
      <c r="CD381" s="354">
        <f t="shared" si="737"/>
        <v>123.18841554885829</v>
      </c>
      <c r="CE381" s="354">
        <f t="shared" si="737"/>
        <v>26.536379758155675</v>
      </c>
      <c r="CF381" s="355">
        <f t="shared" si="737"/>
        <v>-8.6603916799985612</v>
      </c>
      <c r="CG381" s="1007"/>
      <c r="CH381" s="1955"/>
      <c r="CI381" s="1955"/>
      <c r="CJ381" s="1956"/>
      <c r="CK381" s="1956"/>
      <c r="CL381" s="1956"/>
      <c r="CM381" s="1956"/>
      <c r="CN381" s="1956"/>
      <c r="CP381" s="1956"/>
      <c r="CQ381" s="1957"/>
      <c r="CR381" s="1956"/>
      <c r="CS381" s="1956"/>
      <c r="CT381" s="1956"/>
      <c r="CU381" s="1956"/>
      <c r="CV381" s="1956"/>
      <c r="CW381" s="1956"/>
      <c r="CX381" s="1956"/>
      <c r="CY381" s="1956"/>
      <c r="CZ381" s="1957"/>
      <c r="DA381" s="1957"/>
      <c r="DB381" s="1957"/>
      <c r="DC381" s="1957"/>
      <c r="DD381" s="1957"/>
      <c r="DE381" s="1957"/>
      <c r="DF381" s="1958"/>
      <c r="DG381" s="1180"/>
      <c r="DH381" s="1180"/>
    </row>
    <row r="382" spans="1:113" s="68" customFormat="1" ht="11.25" customHeight="1">
      <c r="A382" s="24"/>
      <c r="B382"/>
      <c r="C382"/>
      <c r="D382"/>
      <c r="E382"/>
      <c r="F382"/>
      <c r="G382"/>
      <c r="H382" s="1044"/>
      <c r="I382" s="183"/>
      <c r="J382" s="67"/>
      <c r="K382" s="67"/>
      <c r="L382" s="67"/>
      <c r="M382" s="404"/>
      <c r="N382" s="404"/>
      <c r="O382" s="404"/>
      <c r="P382" s="404"/>
      <c r="Q382" s="404"/>
      <c r="R382" s="404"/>
      <c r="S382" s="404"/>
      <c r="T382" s="404"/>
      <c r="U382" s="373"/>
      <c r="V382" s="373"/>
      <c r="W382" s="373"/>
      <c r="X382" s="373"/>
      <c r="Y382" s="373"/>
      <c r="Z382" s="373"/>
      <c r="AA382" s="373"/>
      <c r="AB382" s="373"/>
      <c r="AC382" s="1949"/>
      <c r="AD382" s="373"/>
      <c r="AE382" s="373"/>
      <c r="AF382" s="406"/>
      <c r="AG382" s="328"/>
      <c r="AH382" s="328"/>
      <c r="AI382" s="328"/>
      <c r="AJ382" s="329"/>
      <c r="AK382" s="340"/>
      <c r="AL382" s="328"/>
      <c r="AM382" s="328"/>
      <c r="AN382" s="329"/>
      <c r="AO382" s="340"/>
      <c r="AP382" s="328"/>
      <c r="AQ382" s="328"/>
      <c r="AR382" s="329"/>
      <c r="AS382" s="340"/>
      <c r="AT382" s="328"/>
      <c r="AU382" s="328"/>
      <c r="AV382" s="329"/>
      <c r="AW382" s="340"/>
      <c r="AX382" s="328"/>
      <c r="AY382" s="328"/>
      <c r="AZ382" s="329"/>
      <c r="BA382" s="340"/>
      <c r="BB382" s="328"/>
      <c r="BC382" s="328"/>
      <c r="BD382" s="329"/>
      <c r="BE382" s="340"/>
      <c r="BF382" s="328"/>
      <c r="BG382" s="328"/>
      <c r="BH382" s="329"/>
      <c r="BI382" s="340"/>
      <c r="BJ382" s="328"/>
      <c r="BK382" s="328"/>
      <c r="BL382" s="329"/>
      <c r="BM382" s="340"/>
      <c r="BN382" s="328"/>
      <c r="BO382" s="328"/>
      <c r="BP382" s="329"/>
      <c r="BQ382" s="340"/>
      <c r="BR382" s="328"/>
      <c r="BS382" s="328"/>
      <c r="BT382" s="329"/>
      <c r="BU382" s="340"/>
      <c r="BV382" s="328"/>
      <c r="BW382" s="328"/>
      <c r="BX382" s="329"/>
      <c r="BY382" s="340"/>
      <c r="BZ382" s="328"/>
      <c r="CA382" s="328"/>
      <c r="CB382" s="329"/>
      <c r="CC382" s="340"/>
      <c r="CD382" s="328"/>
      <c r="CE382" s="328"/>
      <c r="CF382" s="329"/>
      <c r="CG382" s="337"/>
      <c r="CH382" s="404"/>
      <c r="CI382" s="404"/>
      <c r="CJ382" s="373"/>
      <c r="CK382" s="373"/>
      <c r="CL382" s="373"/>
      <c r="CM382" s="373"/>
      <c r="CN382" s="373"/>
      <c r="CO382" s="373"/>
      <c r="CP382" s="373"/>
      <c r="CQ382" s="328"/>
      <c r="CR382" s="408"/>
      <c r="CS382" s="408"/>
      <c r="CT382" s="408"/>
      <c r="CU382" s="408"/>
      <c r="CV382" s="408"/>
      <c r="CW382" s="408"/>
      <c r="CX382" s="408"/>
      <c r="CY382" s="408"/>
      <c r="CZ382" s="328"/>
      <c r="DA382" s="328"/>
      <c r="DB382" s="328"/>
      <c r="DC382" s="328"/>
      <c r="DD382" s="328"/>
      <c r="DE382" s="328"/>
      <c r="DF382" s="329"/>
      <c r="DG382" s="1180"/>
      <c r="DH382" s="1180"/>
    </row>
    <row r="383" spans="1:113" s="68" customFormat="1" ht="11.25" customHeight="1">
      <c r="A383" s="8"/>
      <c r="B383"/>
      <c r="C383"/>
      <c r="D383"/>
      <c r="E383"/>
      <c r="F383"/>
      <c r="G383"/>
      <c r="H383" s="1052"/>
      <c r="I383" s="1870" t="s">
        <v>694</v>
      </c>
      <c r="J383" s="67"/>
      <c r="K383" s="67"/>
      <c r="L383" s="67"/>
      <c r="M383" s="1181"/>
      <c r="N383" s="1181"/>
      <c r="O383" s="1181"/>
      <c r="P383" s="1181"/>
      <c r="Q383" s="1181"/>
      <c r="R383" s="1181"/>
      <c r="S383" s="1181"/>
      <c r="T383" s="1181"/>
      <c r="U383" s="1960"/>
      <c r="V383" s="1960"/>
      <c r="W383" s="1960"/>
      <c r="X383" s="1960"/>
      <c r="Y383" s="1960"/>
      <c r="Z383" s="1960"/>
      <c r="AA383" s="1960"/>
      <c r="AB383" s="1960"/>
      <c r="AC383" s="1971"/>
      <c r="AD383" s="1960"/>
      <c r="AE383" s="1960"/>
      <c r="AF383" s="1972"/>
      <c r="AG383" s="1961"/>
      <c r="AH383" s="1961"/>
      <c r="AI383" s="1961"/>
      <c r="AJ383" s="1963"/>
      <c r="AK383" s="1969">
        <f t="shared" ref="AK383:CF383" si="738">+(AK361-AG361)/(AK374-AG374)</f>
        <v>4.753049628481739E-2</v>
      </c>
      <c r="AL383" s="1961">
        <f t="shared" si="738"/>
        <v>4.3558838734429894E-2</v>
      </c>
      <c r="AM383" s="1961">
        <f t="shared" si="738"/>
        <v>4.3141236679897027E-2</v>
      </c>
      <c r="AN383" s="1963">
        <f t="shared" si="738"/>
        <v>3.5841968716044427E-2</v>
      </c>
      <c r="AO383" s="1969">
        <f t="shared" si="738"/>
        <v>3.4954961118032542E-2</v>
      </c>
      <c r="AP383" s="1961">
        <f t="shared" si="738"/>
        <v>3.4325881602735371E-2</v>
      </c>
      <c r="AQ383" s="1961">
        <f t="shared" si="738"/>
        <v>4.5967829946160922E-2</v>
      </c>
      <c r="AR383" s="1963">
        <f t="shared" si="738"/>
        <v>4.7758736973406567E-2</v>
      </c>
      <c r="AS383" s="1969">
        <f t="shared" si="738"/>
        <v>4.8937136431459936E-2</v>
      </c>
      <c r="AT383" s="1961">
        <f t="shared" si="738"/>
        <v>6.824336120469672E-2</v>
      </c>
      <c r="AU383" s="1961">
        <f t="shared" si="738"/>
        <v>4.6091796930187875E-2</v>
      </c>
      <c r="AV383" s="1963">
        <f t="shared" si="738"/>
        <v>4.4031909474928514E-2</v>
      </c>
      <c r="AW383" s="1969">
        <f t="shared" si="738"/>
        <v>4.5062681726080675E-2</v>
      </c>
      <c r="AX383" s="1961">
        <f t="shared" si="738"/>
        <v>4.0233675589378078E-2</v>
      </c>
      <c r="AY383" s="1961">
        <f t="shared" si="738"/>
        <v>4.4361783542739223E-2</v>
      </c>
      <c r="AZ383" s="1963">
        <f t="shared" si="738"/>
        <v>4.1761198385681431E-2</v>
      </c>
      <c r="BA383" s="1969">
        <f t="shared" si="738"/>
        <v>4.2242421212664798E-2</v>
      </c>
      <c r="BB383" s="1961">
        <f t="shared" si="738"/>
        <v>4.3655636293051803E-2</v>
      </c>
      <c r="BC383" s="1961">
        <f t="shared" si="738"/>
        <v>4.773922701021769E-2</v>
      </c>
      <c r="BD383" s="1963">
        <f t="shared" si="738"/>
        <v>4.972619751626256E-2</v>
      </c>
      <c r="BE383" s="1969">
        <f t="shared" si="738"/>
        <v>4.4756109481915933E-2</v>
      </c>
      <c r="BF383" s="1961">
        <f t="shared" si="738"/>
        <v>5.0551969012266003E-2</v>
      </c>
      <c r="BG383" s="1961">
        <f t="shared" si="738"/>
        <v>6.0751746031746011E-2</v>
      </c>
      <c r="BH383" s="1963">
        <f t="shared" si="738"/>
        <v>5.4598894348894367E-2</v>
      </c>
      <c r="BI383" s="1969">
        <f t="shared" si="738"/>
        <v>5.8390253890253888E-2</v>
      </c>
      <c r="BJ383" s="1961">
        <f t="shared" si="738"/>
        <v>6.1285150645624085E-2</v>
      </c>
      <c r="BK383" s="1961">
        <f t="shared" si="738"/>
        <v>6.4578929423798143E-2</v>
      </c>
      <c r="BL383" s="1963">
        <f t="shared" si="738"/>
        <v>4.4679718089271715E-2</v>
      </c>
      <c r="BM383" s="1969">
        <f t="shared" si="738"/>
        <v>4.5871442276942759E-2</v>
      </c>
      <c r="BN383" s="1961">
        <f t="shared" si="738"/>
        <v>5.9168664133294344E-2</v>
      </c>
      <c r="BO383" s="1961">
        <f t="shared" si="738"/>
        <v>6.4863309352517981E-2</v>
      </c>
      <c r="BP383" s="1963">
        <f t="shared" si="738"/>
        <v>7.9696252465483244E-2</v>
      </c>
      <c r="BQ383" s="1969">
        <f t="shared" si="738"/>
        <v>8.8612709030100337E-2</v>
      </c>
      <c r="BR383" s="1961">
        <f t="shared" si="738"/>
        <v>9.8059071729957925E-2</v>
      </c>
      <c r="BS383" s="1961">
        <f t="shared" si="738"/>
        <v>8.5005235602094303E-2</v>
      </c>
      <c r="BT383" s="1963">
        <f t="shared" si="738"/>
        <v>4.9628318584070748E-2</v>
      </c>
      <c r="BU383" s="1969">
        <f t="shared" si="738"/>
        <v>4.9671994440583747E-2</v>
      </c>
      <c r="BV383" s="1961">
        <f t="shared" si="738"/>
        <v>6.752687801516194E-2</v>
      </c>
      <c r="BW383" s="1961">
        <f t="shared" si="738"/>
        <v>7.0709940249864156E-2</v>
      </c>
      <c r="BX383" s="1963">
        <f t="shared" si="738"/>
        <v>5.2886664514045875E-2</v>
      </c>
      <c r="BY383" s="1969">
        <f t="shared" si="738"/>
        <v>5.0577838373822522E-2</v>
      </c>
      <c r="BZ383" s="1961">
        <f t="shared" si="738"/>
        <v>8.0303918228279314E-2</v>
      </c>
      <c r="CA383" s="1961">
        <f t="shared" si="738"/>
        <v>6.7898243488794752E-2</v>
      </c>
      <c r="CB383" s="1963">
        <f t="shared" si="738"/>
        <v>3.2931311018131106E-2</v>
      </c>
      <c r="CC383" s="1969">
        <f t="shared" si="738"/>
        <v>3.8316563109948722E-2</v>
      </c>
      <c r="CD383" s="1961">
        <f t="shared" si="738"/>
        <v>5.1538078585352753E-2</v>
      </c>
      <c r="CE383" s="1961">
        <f t="shared" si="738"/>
        <v>5.1199550469803991E-2</v>
      </c>
      <c r="CF383" s="1963">
        <f t="shared" si="738"/>
        <v>4.2987041447229403E-2</v>
      </c>
      <c r="CG383" s="1962"/>
      <c r="CH383" s="1181"/>
      <c r="CI383" s="1181"/>
      <c r="CJ383" s="1960"/>
      <c r="CK383" s="1960"/>
      <c r="CL383" s="1960"/>
      <c r="CM383" s="1960"/>
      <c r="CN383" s="1960"/>
      <c r="CO383" s="1961"/>
      <c r="CP383" s="1961">
        <f t="shared" ref="CP383:DF383" si="739">+(CP361-CO361)/(CP374-CO374)</f>
        <v>4.8644856265494557E-2</v>
      </c>
      <c r="CQ383" s="1961">
        <f t="shared" si="739"/>
        <v>4.2945117789904695E-2</v>
      </c>
      <c r="CR383" s="1961">
        <f t="shared" si="739"/>
        <v>4.5784233271447955E-2</v>
      </c>
      <c r="CS383" s="1961">
        <f t="shared" si="739"/>
        <v>5.2139894086496011E-2</v>
      </c>
      <c r="CT383" s="1961">
        <f t="shared" si="739"/>
        <v>5.7569655687225919E-2</v>
      </c>
      <c r="CU383" s="1961">
        <f t="shared" si="739"/>
        <v>5.9802821964590649E-2</v>
      </c>
      <c r="CV383" s="1961">
        <f t="shared" si="739"/>
        <v>8.0411629686304484E-2</v>
      </c>
      <c r="CW383" s="1961">
        <f t="shared" si="739"/>
        <v>6.0758261008042012E-2</v>
      </c>
      <c r="CX383" s="1961">
        <f t="shared" si="739"/>
        <v>5.7719004490448346E-2</v>
      </c>
      <c r="CY383" s="1961">
        <f t="shared" si="739"/>
        <v>4.5695718251847484E-2</v>
      </c>
      <c r="CZ383" s="1961">
        <f t="shared" si="739"/>
        <v>5.191433038349072E-2</v>
      </c>
      <c r="DA383" s="1961">
        <f t="shared" si="739"/>
        <v>5.3058069451672067E-2</v>
      </c>
      <c r="DB383" s="1961">
        <f t="shared" si="739"/>
        <v>5.2637475845402938E-2</v>
      </c>
      <c r="DC383" s="1961">
        <f t="shared" si="739"/>
        <v>5.2808704873537615E-2</v>
      </c>
      <c r="DD383" s="1961">
        <f t="shared" si="739"/>
        <v>5.2932027453341482E-2</v>
      </c>
      <c r="DE383" s="1961">
        <f t="shared" si="739"/>
        <v>5.3119555582705362E-2</v>
      </c>
      <c r="DF383" s="1963">
        <f t="shared" si="739"/>
        <v>5.20039455205056E-2</v>
      </c>
      <c r="DG383" s="1996"/>
      <c r="DH383" s="1997"/>
    </row>
    <row r="384" spans="1:113" s="68" customFormat="1" ht="11.25" customHeight="1">
      <c r="A384" s="24"/>
      <c r="B384"/>
      <c r="C384"/>
      <c r="D384"/>
      <c r="E384"/>
      <c r="F384"/>
      <c r="G384"/>
      <c r="H384" s="1044"/>
      <c r="I384" s="1332" t="s">
        <v>623</v>
      </c>
      <c r="J384" s="67"/>
      <c r="K384" s="67"/>
      <c r="L384" s="67"/>
      <c r="M384" s="1955"/>
      <c r="N384" s="1955"/>
      <c r="O384" s="1955"/>
      <c r="P384" s="1955"/>
      <c r="Q384" s="1955"/>
      <c r="R384" s="1955"/>
      <c r="S384" s="1955"/>
      <c r="T384" s="1955"/>
      <c r="U384" s="1956"/>
      <c r="V384" s="1956"/>
      <c r="W384" s="1956"/>
      <c r="X384" s="1956"/>
      <c r="Y384" s="1956"/>
      <c r="Z384" s="1956"/>
      <c r="AA384" s="1956"/>
      <c r="AB384" s="1956"/>
      <c r="AC384" s="1973"/>
      <c r="AD384" s="1956"/>
      <c r="AE384" s="1956"/>
      <c r="AF384" s="1974"/>
      <c r="AG384" s="354"/>
      <c r="AH384" s="354"/>
      <c r="AI384" s="354"/>
      <c r="AJ384" s="355"/>
      <c r="AK384" s="1511"/>
      <c r="AL384" s="354"/>
      <c r="AM384" s="354"/>
      <c r="AN384" s="355"/>
      <c r="AO384" s="1511">
        <f t="shared" ref="AO384:CF384" si="740">+(AO383-AK383)*10000</f>
        <v>-125.75535166784849</v>
      </c>
      <c r="AP384" s="354">
        <f t="shared" si="740"/>
        <v>-92.329571316945234</v>
      </c>
      <c r="AQ384" s="354">
        <f t="shared" si="740"/>
        <v>28.265932662638953</v>
      </c>
      <c r="AR384" s="355">
        <f t="shared" si="740"/>
        <v>119.16768257362139</v>
      </c>
      <c r="AS384" s="1511">
        <f t="shared" si="740"/>
        <v>139.82175313427393</v>
      </c>
      <c r="AT384" s="354">
        <f t="shared" si="740"/>
        <v>339.1747960196135</v>
      </c>
      <c r="AU384" s="354">
        <f t="shared" si="740"/>
        <v>1.2396698402695332</v>
      </c>
      <c r="AV384" s="355">
        <f t="shared" si="740"/>
        <v>-37.268274984780525</v>
      </c>
      <c r="AW384" s="1511">
        <f t="shared" si="740"/>
        <v>-38.744547053792616</v>
      </c>
      <c r="AX384" s="354">
        <f t="shared" si="740"/>
        <v>-280.09685615318642</v>
      </c>
      <c r="AY384" s="354">
        <f t="shared" si="740"/>
        <v>-17.300133874486519</v>
      </c>
      <c r="AZ384" s="355">
        <f t="shared" si="740"/>
        <v>-22.707110892470837</v>
      </c>
      <c r="BA384" s="1511">
        <f t="shared" si="740"/>
        <v>-28.202605134158773</v>
      </c>
      <c r="BB384" s="354">
        <f t="shared" si="740"/>
        <v>34.219607036737251</v>
      </c>
      <c r="BC384" s="354">
        <f t="shared" si="740"/>
        <v>33.774434674784665</v>
      </c>
      <c r="BD384" s="355">
        <f t="shared" si="740"/>
        <v>79.649991305811298</v>
      </c>
      <c r="BE384" s="1511">
        <f t="shared" si="740"/>
        <v>25.136882692511353</v>
      </c>
      <c r="BF384" s="354">
        <f t="shared" si="740"/>
        <v>68.963327192142003</v>
      </c>
      <c r="BG384" s="354">
        <f t="shared" si="740"/>
        <v>130.1251902152832</v>
      </c>
      <c r="BH384" s="355">
        <f t="shared" si="740"/>
        <v>48.726968326318065</v>
      </c>
      <c r="BI384" s="1511">
        <f t="shared" si="740"/>
        <v>136.34144408337954</v>
      </c>
      <c r="BJ384" s="354">
        <f t="shared" si="740"/>
        <v>107.33181633358083</v>
      </c>
      <c r="BK384" s="354">
        <f t="shared" si="740"/>
        <v>38.271833920521317</v>
      </c>
      <c r="BL384" s="355">
        <f t="shared" si="740"/>
        <v>-99.191762596226511</v>
      </c>
      <c r="BM384" s="1511">
        <f t="shared" si="740"/>
        <v>-125.18811613311129</v>
      </c>
      <c r="BN384" s="354">
        <f t="shared" si="740"/>
        <v>-21.164865123297417</v>
      </c>
      <c r="BO384" s="354">
        <f t="shared" si="740"/>
        <v>2.8437992871983839</v>
      </c>
      <c r="BP384" s="355">
        <f t="shared" si="740"/>
        <v>350.1653437621153</v>
      </c>
      <c r="BQ384" s="1511">
        <f t="shared" si="740"/>
        <v>427.41266753157578</v>
      </c>
      <c r="BR384" s="354">
        <f t="shared" si="740"/>
        <v>388.90407596663579</v>
      </c>
      <c r="BS384" s="354">
        <f t="shared" si="740"/>
        <v>201.41926249576323</v>
      </c>
      <c r="BT384" s="355">
        <f t="shared" si="740"/>
        <v>-300.67933881412495</v>
      </c>
      <c r="BU384" s="1511">
        <f t="shared" si="740"/>
        <v>-389.40714589516591</v>
      </c>
      <c r="BV384" s="354">
        <f t="shared" si="740"/>
        <v>-305.32193714795983</v>
      </c>
      <c r="BW384" s="354">
        <f t="shared" si="740"/>
        <v>-142.95295352230147</v>
      </c>
      <c r="BX384" s="355">
        <f t="shared" si="740"/>
        <v>32.583459299751276</v>
      </c>
      <c r="BY384" s="1511">
        <f t="shared" si="740"/>
        <v>9.0584393323877439</v>
      </c>
      <c r="BZ384" s="354">
        <f t="shared" si="740"/>
        <v>127.77040213117374</v>
      </c>
      <c r="CA384" s="354">
        <f t="shared" si="740"/>
        <v>-28.116967610694044</v>
      </c>
      <c r="CB384" s="355">
        <f t="shared" si="740"/>
        <v>-199.5535349591477</v>
      </c>
      <c r="CC384" s="1511">
        <f t="shared" si="740"/>
        <v>-122.612752638738</v>
      </c>
      <c r="CD384" s="354">
        <f t="shared" si="740"/>
        <v>-287.65839642926562</v>
      </c>
      <c r="CE384" s="354">
        <f t="shared" si="740"/>
        <v>-166.98693018990761</v>
      </c>
      <c r="CF384" s="355">
        <f t="shared" si="740"/>
        <v>100.55730429098297</v>
      </c>
      <c r="CG384" s="1007"/>
      <c r="CH384" s="1955"/>
      <c r="CI384" s="1955"/>
      <c r="CJ384" s="1956"/>
      <c r="CK384" s="1956"/>
      <c r="CL384" s="1956"/>
      <c r="CM384" s="1956"/>
      <c r="CN384" s="1956"/>
      <c r="CO384" s="354"/>
      <c r="CP384" s="354"/>
      <c r="CQ384" s="354">
        <f t="shared" ref="CQ384:DF384" si="741">+(CQ383-CP383)*10000</f>
        <v>-56.997384755898622</v>
      </c>
      <c r="CR384" s="354">
        <f t="shared" si="741"/>
        <v>28.3911548154326</v>
      </c>
      <c r="CS384" s="354">
        <f t="shared" si="741"/>
        <v>63.556608150480557</v>
      </c>
      <c r="CT384" s="354">
        <f t="shared" si="741"/>
        <v>54.297616007299084</v>
      </c>
      <c r="CU384" s="354">
        <f t="shared" si="741"/>
        <v>22.331662773647302</v>
      </c>
      <c r="CV384" s="354">
        <f t="shared" si="741"/>
        <v>206.08807721713833</v>
      </c>
      <c r="CW384" s="354">
        <f t="shared" si="741"/>
        <v>-196.53368678262473</v>
      </c>
      <c r="CX384" s="354">
        <f t="shared" si="741"/>
        <v>-30.392565175936664</v>
      </c>
      <c r="CY384" s="354">
        <f t="shared" si="741"/>
        <v>-120.23286238600862</v>
      </c>
      <c r="CZ384" s="354">
        <f t="shared" si="741"/>
        <v>62.186121316432363</v>
      </c>
      <c r="DA384" s="354">
        <f t="shared" si="741"/>
        <v>11.437390681813472</v>
      </c>
      <c r="DB384" s="354">
        <f t="shared" si="741"/>
        <v>-4.2059360626912898</v>
      </c>
      <c r="DC384" s="354">
        <f t="shared" si="741"/>
        <v>1.7122902813467706</v>
      </c>
      <c r="DD384" s="354">
        <f t="shared" si="741"/>
        <v>1.2332257980386674</v>
      </c>
      <c r="DE384" s="354">
        <f t="shared" si="741"/>
        <v>1.8752812936388001</v>
      </c>
      <c r="DF384" s="355">
        <f t="shared" si="741"/>
        <v>-11.156100621997622</v>
      </c>
      <c r="DG384" s="1180"/>
      <c r="DH384" s="1180"/>
    </row>
    <row r="385" spans="1:113" s="68" customFormat="1" ht="11.25" customHeight="1">
      <c r="A385" s="24"/>
      <c r="B385"/>
      <c r="C385"/>
      <c r="D385"/>
      <c r="E385"/>
      <c r="F385"/>
      <c r="G385"/>
      <c r="H385" s="1044"/>
      <c r="I385" s="1332" t="s">
        <v>607</v>
      </c>
      <c r="J385" s="67"/>
      <c r="K385" s="67"/>
      <c r="L385" s="67"/>
      <c r="M385" s="1955"/>
      <c r="N385" s="1955"/>
      <c r="O385" s="1955"/>
      <c r="P385" s="1955"/>
      <c r="Q385" s="1955"/>
      <c r="R385" s="1955"/>
      <c r="S385" s="1955"/>
      <c r="T385" s="1955"/>
      <c r="U385" s="1956"/>
      <c r="V385" s="1956"/>
      <c r="W385" s="1956"/>
      <c r="X385" s="1956"/>
      <c r="Y385" s="1956"/>
      <c r="Z385" s="1956"/>
      <c r="AA385" s="1956"/>
      <c r="AB385" s="1956"/>
      <c r="AC385" s="1973"/>
      <c r="AD385" s="1956"/>
      <c r="AE385" s="1956"/>
      <c r="AF385" s="1974"/>
      <c r="AG385" s="354"/>
      <c r="AH385" s="354"/>
      <c r="AI385" s="354"/>
      <c r="AJ385" s="355"/>
      <c r="AK385" s="1511"/>
      <c r="AL385" s="354">
        <f t="shared" ref="AL385:CF385" si="742">+(AL383-AK383)*10000</f>
        <v>-39.716575503874957</v>
      </c>
      <c r="AM385" s="354">
        <f t="shared" si="742"/>
        <v>-4.1760205453286741</v>
      </c>
      <c r="AN385" s="355">
        <f t="shared" si="742"/>
        <v>-72.992679638525999</v>
      </c>
      <c r="AO385" s="1511">
        <f t="shared" si="742"/>
        <v>-8.8700759801188518</v>
      </c>
      <c r="AP385" s="354">
        <f t="shared" si="742"/>
        <v>-6.2907951529717065</v>
      </c>
      <c r="AQ385" s="354">
        <f t="shared" si="742"/>
        <v>116.41948343425551</v>
      </c>
      <c r="AR385" s="355">
        <f t="shared" si="742"/>
        <v>17.909070272456447</v>
      </c>
      <c r="AS385" s="1511">
        <f t="shared" si="742"/>
        <v>11.783994580533697</v>
      </c>
      <c r="AT385" s="354">
        <f t="shared" si="742"/>
        <v>193.06224773236784</v>
      </c>
      <c r="AU385" s="354">
        <f t="shared" si="742"/>
        <v>-221.51564274508846</v>
      </c>
      <c r="AV385" s="355">
        <f t="shared" si="742"/>
        <v>-20.598874552593614</v>
      </c>
      <c r="AW385" s="1511">
        <f t="shared" si="742"/>
        <v>10.307722511521607</v>
      </c>
      <c r="AX385" s="354">
        <f t="shared" si="742"/>
        <v>-48.290061367025977</v>
      </c>
      <c r="AY385" s="354">
        <f t="shared" si="742"/>
        <v>41.281079533611461</v>
      </c>
      <c r="AZ385" s="355">
        <f t="shared" si="742"/>
        <v>-26.005851570577928</v>
      </c>
      <c r="BA385" s="1511">
        <f t="shared" si="742"/>
        <v>4.8122282698336711</v>
      </c>
      <c r="BB385" s="354">
        <f t="shared" si="742"/>
        <v>14.132150803870051</v>
      </c>
      <c r="BC385" s="354">
        <f t="shared" si="742"/>
        <v>40.835907171658874</v>
      </c>
      <c r="BD385" s="355">
        <f t="shared" si="742"/>
        <v>19.869705060448702</v>
      </c>
      <c r="BE385" s="1511">
        <f t="shared" si="742"/>
        <v>-49.700880343466274</v>
      </c>
      <c r="BF385" s="354">
        <f t="shared" si="742"/>
        <v>57.958595303500701</v>
      </c>
      <c r="BG385" s="354">
        <f t="shared" si="742"/>
        <v>101.99777019480008</v>
      </c>
      <c r="BH385" s="355">
        <f t="shared" si="742"/>
        <v>-61.528516828516445</v>
      </c>
      <c r="BI385" s="1511">
        <f t="shared" si="742"/>
        <v>37.91359541359521</v>
      </c>
      <c r="BJ385" s="354">
        <f t="shared" si="742"/>
        <v>28.94896755370198</v>
      </c>
      <c r="BK385" s="354">
        <f t="shared" si="742"/>
        <v>32.937787781740575</v>
      </c>
      <c r="BL385" s="355">
        <f t="shared" si="742"/>
        <v>-198.99211334526427</v>
      </c>
      <c r="BM385" s="1511">
        <f t="shared" si="742"/>
        <v>11.917241876710435</v>
      </c>
      <c r="BN385" s="354">
        <f t="shared" si="742"/>
        <v>132.97221856351584</v>
      </c>
      <c r="BO385" s="354">
        <f t="shared" si="742"/>
        <v>56.946452192236372</v>
      </c>
      <c r="BP385" s="355">
        <f t="shared" si="742"/>
        <v>148.32943112965265</v>
      </c>
      <c r="BQ385" s="1511">
        <f t="shared" si="742"/>
        <v>89.164565646170928</v>
      </c>
      <c r="BR385" s="354">
        <f t="shared" si="742"/>
        <v>94.46362699857589</v>
      </c>
      <c r="BS385" s="354">
        <f t="shared" si="742"/>
        <v>-130.53836127863622</v>
      </c>
      <c r="BT385" s="355">
        <f t="shared" si="742"/>
        <v>-353.76917018023556</v>
      </c>
      <c r="BU385" s="1511">
        <f t="shared" si="742"/>
        <v>0.43675856512999378</v>
      </c>
      <c r="BV385" s="354">
        <f t="shared" si="742"/>
        <v>178.54883574578193</v>
      </c>
      <c r="BW385" s="354">
        <f t="shared" si="742"/>
        <v>31.830622347022164</v>
      </c>
      <c r="BX385" s="355">
        <f t="shared" si="742"/>
        <v>-178.23275735818279</v>
      </c>
      <c r="BY385" s="1511">
        <f t="shared" si="742"/>
        <v>-23.088261402233538</v>
      </c>
      <c r="BZ385" s="354">
        <f t="shared" si="742"/>
        <v>297.26079854456793</v>
      </c>
      <c r="CA385" s="354">
        <f t="shared" si="742"/>
        <v>-124.05674739484563</v>
      </c>
      <c r="CB385" s="355">
        <f t="shared" si="742"/>
        <v>-349.66932470663647</v>
      </c>
      <c r="CC385" s="1511">
        <f t="shared" si="742"/>
        <v>53.852520918176161</v>
      </c>
      <c r="CD385" s="354">
        <f t="shared" si="742"/>
        <v>132.21515475404033</v>
      </c>
      <c r="CE385" s="354">
        <f t="shared" si="742"/>
        <v>-3.3852811554876268</v>
      </c>
      <c r="CF385" s="355">
        <f t="shared" si="742"/>
        <v>-82.125090225745879</v>
      </c>
      <c r="CG385" s="1007"/>
      <c r="CH385" s="1955"/>
      <c r="CI385" s="1955"/>
      <c r="CJ385" s="1956"/>
      <c r="CK385" s="1956"/>
      <c r="CL385" s="1956"/>
      <c r="CM385" s="1956"/>
      <c r="CN385" s="1956"/>
      <c r="CP385" s="1956"/>
      <c r="CQ385" s="1957"/>
      <c r="CR385" s="1956"/>
      <c r="CS385" s="1956"/>
      <c r="CT385" s="1956"/>
      <c r="CU385" s="1956"/>
      <c r="CV385" s="1956"/>
      <c r="CW385" s="1956"/>
      <c r="CX385" s="1956"/>
      <c r="CY385" s="1956"/>
      <c r="CZ385" s="1957"/>
      <c r="DA385" s="1957"/>
      <c r="DB385" s="1957"/>
      <c r="DC385" s="1957"/>
      <c r="DD385" s="1957"/>
      <c r="DE385" s="1957"/>
      <c r="DF385" s="1958"/>
      <c r="DG385" s="1180"/>
      <c r="DH385" s="1180"/>
    </row>
    <row r="386" spans="1:113" s="68" customFormat="1" ht="11.25" customHeight="1">
      <c r="A386" s="24"/>
      <c r="B386"/>
      <c r="C386"/>
      <c r="D386"/>
      <c r="E386"/>
      <c r="F386"/>
      <c r="G386"/>
      <c r="H386" s="1044"/>
      <c r="I386" s="183"/>
      <c r="J386" s="67"/>
      <c r="K386" s="67"/>
      <c r="L386" s="67"/>
      <c r="M386" s="404"/>
      <c r="N386" s="404"/>
      <c r="O386" s="404"/>
      <c r="P386" s="404"/>
      <c r="Q386" s="404"/>
      <c r="R386" s="404"/>
      <c r="S386" s="404"/>
      <c r="T386" s="404"/>
      <c r="U386" s="373"/>
      <c r="V386" s="373"/>
      <c r="W386" s="373"/>
      <c r="X386" s="373"/>
      <c r="Y386" s="373"/>
      <c r="Z386" s="373"/>
      <c r="AA386" s="373"/>
      <c r="AB386" s="373"/>
      <c r="AC386" s="1949"/>
      <c r="AD386" s="373"/>
      <c r="AE386" s="373"/>
      <c r="AF386" s="406"/>
      <c r="AG386" s="328"/>
      <c r="AH386" s="328"/>
      <c r="AI386" s="328"/>
      <c r="AJ386" s="329"/>
      <c r="AK386" s="340"/>
      <c r="AL386" s="328"/>
      <c r="AM386" s="328"/>
      <c r="AN386" s="329"/>
      <c r="AO386" s="340"/>
      <c r="AP386" s="328"/>
      <c r="AQ386" s="328"/>
      <c r="AR386" s="329"/>
      <c r="AS386" s="340"/>
      <c r="AT386" s="328"/>
      <c r="AU386" s="328"/>
      <c r="AV386" s="329"/>
      <c r="AW386" s="340"/>
      <c r="AX386" s="328"/>
      <c r="AY386" s="328"/>
      <c r="AZ386" s="329"/>
      <c r="BA386" s="340"/>
      <c r="BB386" s="328"/>
      <c r="BC386" s="328"/>
      <c r="BD386" s="329"/>
      <c r="BE386" s="340"/>
      <c r="BF386" s="328"/>
      <c r="BG386" s="328"/>
      <c r="BH386" s="329"/>
      <c r="BI386" s="340"/>
      <c r="BJ386" s="328"/>
      <c r="BK386" s="328"/>
      <c r="BL386" s="329"/>
      <c r="BM386" s="340"/>
      <c r="BN386" s="328"/>
      <c r="BO386" s="328"/>
      <c r="BP386" s="329"/>
      <c r="BQ386" s="340"/>
      <c r="BR386" s="328"/>
      <c r="BS386" s="328"/>
      <c r="BT386" s="329"/>
      <c r="BU386" s="340"/>
      <c r="BV386" s="328"/>
      <c r="BW386" s="328"/>
      <c r="BX386" s="329"/>
      <c r="BY386" s="340"/>
      <c r="BZ386" s="328"/>
      <c r="CA386" s="328"/>
      <c r="CB386" s="329"/>
      <c r="CC386" s="340"/>
      <c r="CD386" s="328"/>
      <c r="CE386" s="328"/>
      <c r="CF386" s="329"/>
      <c r="CG386" s="337"/>
      <c r="CH386" s="404"/>
      <c r="CI386" s="404"/>
      <c r="CJ386" s="373"/>
      <c r="CK386" s="373"/>
      <c r="CL386" s="373"/>
      <c r="CM386" s="373"/>
      <c r="CN386" s="373"/>
      <c r="CO386" s="373"/>
      <c r="CP386" s="373"/>
      <c r="CQ386" s="328"/>
      <c r="CR386" s="408"/>
      <c r="CS386" s="408"/>
      <c r="CT386" s="408"/>
      <c r="CU386" s="408"/>
      <c r="CV386" s="408"/>
      <c r="CW386" s="408"/>
      <c r="CX386" s="408"/>
      <c r="CY386" s="408"/>
      <c r="CZ386" s="328"/>
      <c r="DA386" s="328"/>
      <c r="DB386" s="328"/>
      <c r="DC386" s="328"/>
      <c r="DD386" s="328"/>
      <c r="DE386" s="328"/>
      <c r="DF386" s="329"/>
      <c r="DG386" s="1180"/>
      <c r="DH386" s="1180"/>
    </row>
    <row r="387" spans="1:113" s="68" customFormat="1" ht="11.25" customHeight="1">
      <c r="A387" s="24"/>
      <c r="B387"/>
      <c r="C387"/>
      <c r="D387"/>
      <c r="E387"/>
      <c r="F387"/>
      <c r="G387"/>
      <c r="H387" s="1044"/>
      <c r="I387" s="195" t="s">
        <v>692</v>
      </c>
      <c r="J387" s="67"/>
      <c r="K387" s="67"/>
      <c r="L387" s="67"/>
      <c r="M387" s="404"/>
      <c r="N387" s="404"/>
      <c r="O387" s="404"/>
      <c r="P387" s="404"/>
      <c r="Q387" s="404"/>
      <c r="R387" s="404"/>
      <c r="S387" s="404"/>
      <c r="T387" s="404"/>
      <c r="U387" s="373"/>
      <c r="V387" s="373"/>
      <c r="W387" s="373"/>
      <c r="X387" s="373"/>
      <c r="Y387" s="373"/>
      <c r="Z387" s="373"/>
      <c r="AA387" s="373"/>
      <c r="AB387" s="373"/>
      <c r="AC387" s="1949"/>
      <c r="AD387" s="373"/>
      <c r="AE387" s="373"/>
      <c r="AF387" s="406"/>
      <c r="AG387" s="1731"/>
      <c r="AH387" s="1731"/>
      <c r="AI387" s="1731"/>
      <c r="AJ387" s="1732"/>
      <c r="AK387" s="1730">
        <f t="shared" ref="AK387:CF387" si="743">+(AK374-AG374)/(AK346-AG346)</f>
        <v>25.001986886548789</v>
      </c>
      <c r="AL387" s="1731">
        <f t="shared" si="743"/>
        <v>23.700470062418134</v>
      </c>
      <c r="AM387" s="1731">
        <f t="shared" si="743"/>
        <v>25.280802738021166</v>
      </c>
      <c r="AN387" s="1732">
        <f t="shared" si="743"/>
        <v>28.011678567106379</v>
      </c>
      <c r="AO387" s="1730">
        <f t="shared" si="743"/>
        <v>29.378927839833029</v>
      </c>
      <c r="AP387" s="1731">
        <f t="shared" si="743"/>
        <v>29.773868662810482</v>
      </c>
      <c r="AQ387" s="1731">
        <f t="shared" si="743"/>
        <v>21.668604460209551</v>
      </c>
      <c r="AR387" s="1732">
        <f t="shared" si="743"/>
        <v>22.372191125172371</v>
      </c>
      <c r="AS387" s="1730">
        <f t="shared" si="743"/>
        <v>17.92885528738973</v>
      </c>
      <c r="AT387" s="1731">
        <f t="shared" si="743"/>
        <v>15.609265379486272</v>
      </c>
      <c r="AU387" s="1731">
        <f t="shared" si="743"/>
        <v>21.823283136440345</v>
      </c>
      <c r="AV387" s="1732">
        <f t="shared" si="743"/>
        <v>21.58380403934644</v>
      </c>
      <c r="AW387" s="1730">
        <f t="shared" si="743"/>
        <v>22.69539029160741</v>
      </c>
      <c r="AX387" s="1731">
        <f t="shared" si="743"/>
        <v>24.309778123600019</v>
      </c>
      <c r="AY387" s="1731">
        <f t="shared" si="743"/>
        <v>22.267700957934192</v>
      </c>
      <c r="AZ387" s="1732">
        <f t="shared" si="743"/>
        <v>23.975510399693277</v>
      </c>
      <c r="BA387" s="1730">
        <f t="shared" si="743"/>
        <v>23.615675217711352</v>
      </c>
      <c r="BB387" s="1731">
        <f t="shared" si="743"/>
        <v>22.838556724875673</v>
      </c>
      <c r="BC387" s="1731">
        <f t="shared" si="743"/>
        <v>20.998330208304186</v>
      </c>
      <c r="BD387" s="1732">
        <f t="shared" si="743"/>
        <v>20.104385871051353</v>
      </c>
      <c r="BE387" s="1730">
        <f t="shared" si="743"/>
        <v>22.232364063111223</v>
      </c>
      <c r="BF387" s="1731">
        <f t="shared" si="743"/>
        <v>19.808690759354459</v>
      </c>
      <c r="BG387" s="1731">
        <f t="shared" si="743"/>
        <v>16.530573689624045</v>
      </c>
      <c r="BH387" s="1732">
        <f t="shared" si="743"/>
        <v>18.308591992802516</v>
      </c>
      <c r="BI387" s="1730">
        <f t="shared" si="743"/>
        <v>19.378337843306856</v>
      </c>
      <c r="BJ387" s="1731">
        <f t="shared" si="743"/>
        <v>18.754835020685483</v>
      </c>
      <c r="BK387" s="1731">
        <f t="shared" si="743"/>
        <v>18.567991896682706</v>
      </c>
      <c r="BL387" s="1732">
        <f t="shared" si="743"/>
        <v>27.647873906642424</v>
      </c>
      <c r="BM387" s="1730">
        <f t="shared" si="743"/>
        <v>26.568673265644264</v>
      </c>
      <c r="BN387" s="1731">
        <f t="shared" si="743"/>
        <v>19.380240199410835</v>
      </c>
      <c r="BO387" s="1731">
        <f t="shared" si="743"/>
        <v>18.349834983498351</v>
      </c>
      <c r="BP387" s="1732">
        <f t="shared" si="743"/>
        <v>15.102620369175163</v>
      </c>
      <c r="BQ387" s="1730">
        <f t="shared" si="743"/>
        <v>13.265776957478524</v>
      </c>
      <c r="BR387" s="1731">
        <f t="shared" si="743"/>
        <v>11.946066283025992</v>
      </c>
      <c r="BS387" s="1731">
        <f t="shared" si="743"/>
        <v>11.246540658305355</v>
      </c>
      <c r="BT387" s="1732">
        <f t="shared" si="743"/>
        <v>22.102329220387606</v>
      </c>
      <c r="BU387" s="1730">
        <f t="shared" si="743"/>
        <v>19.663170840023227</v>
      </c>
      <c r="BV387" s="1731">
        <f t="shared" si="743"/>
        <v>17.905511713857337</v>
      </c>
      <c r="BW387" s="1731">
        <f t="shared" si="743"/>
        <v>14.415472555007447</v>
      </c>
      <c r="BX387" s="1732">
        <f t="shared" si="743"/>
        <v>17.476341762080231</v>
      </c>
      <c r="BY387" s="1730">
        <f t="shared" si="743"/>
        <v>20.083240401465666</v>
      </c>
      <c r="BZ387" s="1731">
        <f t="shared" si="743"/>
        <v>12.939433750980934</v>
      </c>
      <c r="CA387" s="1731">
        <f t="shared" si="743"/>
        <v>17.92655649416924</v>
      </c>
      <c r="CB387" s="1732">
        <f t="shared" si="743"/>
        <v>56.682082295742966</v>
      </c>
      <c r="CC387" s="1730">
        <f t="shared" si="743"/>
        <v>37.884359396747861</v>
      </c>
      <c r="CD387" s="1731">
        <f t="shared" si="743"/>
        <v>25.82980909211825</v>
      </c>
      <c r="CE387" s="1731">
        <f t="shared" si="743"/>
        <v>24.172925191664802</v>
      </c>
      <c r="CF387" s="1732">
        <f t="shared" si="743"/>
        <v>24.689798721480638</v>
      </c>
      <c r="CG387" s="337"/>
      <c r="CH387" s="404"/>
      <c r="CI387" s="404"/>
      <c r="CJ387" s="373"/>
      <c r="CK387" s="1731"/>
      <c r="CL387" s="1731"/>
      <c r="CM387" s="1731"/>
      <c r="CN387" s="1731"/>
      <c r="CO387" s="1731"/>
      <c r="CP387" s="1731">
        <f t="shared" ref="CP387:DF387" si="744">+(CP374-CO374)/(CP346-CO346)</f>
        <v>20.174978081526159</v>
      </c>
      <c r="CQ387" s="1731">
        <f t="shared" si="744"/>
        <v>23.216085971760382</v>
      </c>
      <c r="CR387" s="1731">
        <f t="shared" si="744"/>
        <v>21.827061647138315</v>
      </c>
      <c r="CS387" s="1731">
        <f t="shared" si="744"/>
        <v>19.180416676071598</v>
      </c>
      <c r="CT387" s="1731">
        <f t="shared" si="744"/>
        <v>20.413022277755765</v>
      </c>
      <c r="CU387" s="1731">
        <f t="shared" si="744"/>
        <v>19.813880935082697</v>
      </c>
      <c r="CV387" s="1731">
        <f t="shared" si="744"/>
        <v>13.830797598922748</v>
      </c>
      <c r="CW387" s="1731">
        <f t="shared" si="744"/>
        <v>16.94713987496441</v>
      </c>
      <c r="CX387" s="1731">
        <f t="shared" si="744"/>
        <v>19.832931814202279</v>
      </c>
      <c r="CY387" s="1731">
        <f t="shared" si="744"/>
        <v>27.489857033130477</v>
      </c>
      <c r="CZ387" s="1731">
        <f t="shared" si="744"/>
        <v>21.619147009114148</v>
      </c>
      <c r="DA387" s="1731">
        <f t="shared" si="744"/>
        <v>20.822798253745663</v>
      </c>
      <c r="DB387" s="1731">
        <f t="shared" si="744"/>
        <v>20.759195279117513</v>
      </c>
      <c r="DC387" s="1731">
        <f t="shared" si="744"/>
        <v>20.723649689982121</v>
      </c>
      <c r="DD387" s="1731">
        <f t="shared" si="744"/>
        <v>20.690220452600695</v>
      </c>
      <c r="DE387" s="1731">
        <f t="shared" si="744"/>
        <v>20.648052617622533</v>
      </c>
      <c r="DF387" s="1732">
        <f t="shared" si="744"/>
        <v>20.664586325503667</v>
      </c>
      <c r="DG387" s="1996"/>
      <c r="DH387" s="1997"/>
    </row>
    <row r="388" spans="1:113" s="67" customFormat="1" ht="11.25" customHeight="1">
      <c r="A388" s="24"/>
      <c r="B388"/>
      <c r="C388"/>
      <c r="D388"/>
      <c r="E388"/>
      <c r="F388"/>
      <c r="G388"/>
      <c r="H388" s="1044"/>
      <c r="I388" s="1733" t="s">
        <v>376</v>
      </c>
      <c r="M388" s="1955"/>
      <c r="N388" s="1955"/>
      <c r="O388" s="1955"/>
      <c r="P388" s="1955"/>
      <c r="Q388" s="1955"/>
      <c r="R388" s="1955"/>
      <c r="S388" s="1955"/>
      <c r="T388" s="1955"/>
      <c r="U388" s="1956"/>
      <c r="V388" s="1956"/>
      <c r="W388" s="1956"/>
      <c r="X388" s="1956"/>
      <c r="Y388" s="1956"/>
      <c r="Z388" s="1956"/>
      <c r="AA388" s="1956"/>
      <c r="AB388" s="1956"/>
      <c r="AC388" s="1973"/>
      <c r="AD388" s="1956"/>
      <c r="AE388" s="1956"/>
      <c r="AF388" s="1974"/>
      <c r="AG388" s="1957"/>
      <c r="AH388" s="1957"/>
      <c r="AI388" s="1957"/>
      <c r="AJ388" s="1958"/>
      <c r="AK388" s="1970"/>
      <c r="AL388" s="1957"/>
      <c r="AM388" s="1957"/>
      <c r="AN388" s="1958"/>
      <c r="AO388" s="1970">
        <f t="shared" ref="AO388:CF388" si="745">+AO387/AK387-1</f>
        <v>0.17506372486096522</v>
      </c>
      <c r="AP388" s="1957">
        <f t="shared" si="745"/>
        <v>0.25625646176625594</v>
      </c>
      <c r="AQ388" s="1957">
        <f t="shared" si="745"/>
        <v>-0.14288305301235682</v>
      </c>
      <c r="AR388" s="1958">
        <f t="shared" si="745"/>
        <v>-0.2013262942605788</v>
      </c>
      <c r="AS388" s="1970">
        <f t="shared" si="745"/>
        <v>-0.38973759065907332</v>
      </c>
      <c r="AT388" s="1957">
        <f t="shared" si="745"/>
        <v>-0.47573942922025214</v>
      </c>
      <c r="AU388" s="1957">
        <f t="shared" si="745"/>
        <v>7.1383773936541939E-3</v>
      </c>
      <c r="AV388" s="1958">
        <f t="shared" si="745"/>
        <v>-3.5239600869441334E-2</v>
      </c>
      <c r="AW388" s="1970">
        <f t="shared" si="745"/>
        <v>0.26585830092399854</v>
      </c>
      <c r="AX388" s="1957">
        <f t="shared" si="745"/>
        <v>0.55739412026064827</v>
      </c>
      <c r="AY388" s="1957">
        <f t="shared" si="745"/>
        <v>2.0364388745512052E-2</v>
      </c>
      <c r="AZ388" s="1958">
        <f t="shared" si="745"/>
        <v>0.11081023326503758</v>
      </c>
      <c r="BA388" s="1970">
        <f t="shared" si="745"/>
        <v>4.0549420577457918E-2</v>
      </c>
      <c r="BB388" s="1957">
        <f t="shared" si="745"/>
        <v>-6.0519737829119791E-2</v>
      </c>
      <c r="BC388" s="1957">
        <f t="shared" si="745"/>
        <v>-5.7005020501576187E-2</v>
      </c>
      <c r="BD388" s="1958">
        <f t="shared" si="745"/>
        <v>-0.1614616107897936</v>
      </c>
      <c r="BE388" s="1970">
        <f t="shared" si="745"/>
        <v>-5.8575973028400674E-2</v>
      </c>
      <c r="BF388" s="1957">
        <f t="shared" si="745"/>
        <v>-0.13266451124825651</v>
      </c>
      <c r="BG388" s="1957">
        <f t="shared" si="745"/>
        <v>-0.21276722836339057</v>
      </c>
      <c r="BH388" s="1958">
        <f t="shared" si="745"/>
        <v>-8.9323488405315121E-2</v>
      </c>
      <c r="BI388" s="1970">
        <f t="shared" si="745"/>
        <v>-0.1283725928426962</v>
      </c>
      <c r="BJ388" s="1957">
        <f t="shared" si="745"/>
        <v>-5.3201685637467078E-2</v>
      </c>
      <c r="BK388" s="1957">
        <f t="shared" si="745"/>
        <v>0.12325151233786347</v>
      </c>
      <c r="BL388" s="1958">
        <f t="shared" si="745"/>
        <v>0.51010377627680881</v>
      </c>
      <c r="BM388" s="1970">
        <f t="shared" si="745"/>
        <v>0.37105016335654928</v>
      </c>
      <c r="BN388" s="1957">
        <f t="shared" si="745"/>
        <v>3.3346343918011945E-2</v>
      </c>
      <c r="BO388" s="1957">
        <f t="shared" si="745"/>
        <v>-1.174908489826143E-2</v>
      </c>
      <c r="BP388" s="2003">
        <f t="shared" si="745"/>
        <v>-0.45375111228546416</v>
      </c>
      <c r="BQ388" s="1967">
        <f t="shared" si="745"/>
        <v>-0.50069855484156256</v>
      </c>
      <c r="BR388" s="1967">
        <f t="shared" si="745"/>
        <v>-0.38359555092670339</v>
      </c>
      <c r="BS388" s="1967">
        <f t="shared" si="745"/>
        <v>-0.38710398930458234</v>
      </c>
      <c r="BT388" s="1967">
        <f t="shared" si="745"/>
        <v>0.46347644846446845</v>
      </c>
      <c r="BU388" s="1970">
        <f t="shared" si="745"/>
        <v>0.48224796052659391</v>
      </c>
      <c r="BV388" s="1957">
        <f t="shared" si="745"/>
        <v>0.49886257866315731</v>
      </c>
      <c r="BW388" s="1957">
        <f t="shared" si="745"/>
        <v>0.28176947854288836</v>
      </c>
      <c r="BX388" s="1958">
        <f t="shared" si="745"/>
        <v>-0.20929864052700276</v>
      </c>
      <c r="BY388" s="1970">
        <f t="shared" si="745"/>
        <v>2.1363266629785382E-2</v>
      </c>
      <c r="BZ388" s="1957">
        <f t="shared" si="745"/>
        <v>-0.27734912256280742</v>
      </c>
      <c r="CA388" s="1957">
        <f t="shared" si="745"/>
        <v>0.24356356864223372</v>
      </c>
      <c r="CB388" s="1958">
        <f t="shared" si="745"/>
        <v>2.2433608284504061</v>
      </c>
      <c r="CC388" s="1970">
        <f t="shared" si="745"/>
        <v>0.88636687304619821</v>
      </c>
      <c r="CD388" s="1957">
        <f t="shared" si="745"/>
        <v>0.9962086123096463</v>
      </c>
      <c r="CE388" s="1957">
        <f t="shared" si="745"/>
        <v>0.34844219521620023</v>
      </c>
      <c r="CF388" s="1958">
        <f t="shared" si="745"/>
        <v>-0.56441616607061507</v>
      </c>
      <c r="CG388" s="1007"/>
      <c r="CH388" s="1955"/>
      <c r="CI388" s="1955"/>
      <c r="CJ388" s="1956"/>
      <c r="CK388" s="1956"/>
      <c r="CL388" s="1956"/>
      <c r="CM388" s="1956"/>
      <c r="CN388" s="1956"/>
      <c r="CO388" s="1956"/>
      <c r="CP388" s="1966"/>
      <c r="CQ388" s="1966">
        <f>+CQ387/CP387-1</f>
        <v>0.15073661433213181</v>
      </c>
      <c r="CR388" s="1966">
        <f t="shared" ref="CR388:CW388" si="746">+CR387/CQ387-1</f>
        <v>-5.983025417426735E-2</v>
      </c>
      <c r="CS388" s="1966">
        <f t="shared" si="746"/>
        <v>-0.12125521125349048</v>
      </c>
      <c r="CT388" s="1966">
        <f t="shared" si="746"/>
        <v>6.4263755188483263E-2</v>
      </c>
      <c r="CU388" s="1966">
        <f t="shared" si="746"/>
        <v>-2.9350937578996206E-2</v>
      </c>
      <c r="CV388" s="1966">
        <f t="shared" si="746"/>
        <v>-0.30196423183134347</v>
      </c>
      <c r="CW388" s="1966">
        <f t="shared" si="746"/>
        <v>0.22531905725266244</v>
      </c>
      <c r="CX388" s="1966">
        <f t="shared" ref="CX388:DF388" si="747">+CX387/CW387-1</f>
        <v>0.17028194494936444</v>
      </c>
      <c r="CY388" s="1966">
        <f t="shared" si="747"/>
        <v>0.3860712722989903</v>
      </c>
      <c r="CZ388" s="1966">
        <f t="shared" si="747"/>
        <v>-0.21355913262629966</v>
      </c>
      <c r="DA388" s="1966">
        <f t="shared" si="747"/>
        <v>-3.6835345771632944E-2</v>
      </c>
      <c r="DB388" s="1966">
        <f t="shared" si="747"/>
        <v>-3.0544873870018696E-3</v>
      </c>
      <c r="DC388" s="1966">
        <f t="shared" si="747"/>
        <v>-1.712281649527525E-3</v>
      </c>
      <c r="DD388" s="1966">
        <f t="shared" si="747"/>
        <v>-1.6130960463777155E-3</v>
      </c>
      <c r="DE388" s="1966">
        <f t="shared" si="747"/>
        <v>-2.0380563404225338E-3</v>
      </c>
      <c r="DF388" s="1977">
        <f t="shared" si="747"/>
        <v>8.0073933301694211E-4</v>
      </c>
      <c r="DG388" s="1179"/>
      <c r="DH388" s="1179"/>
    </row>
    <row r="389" spans="1:113" s="67" customFormat="1" ht="11.25" customHeight="1">
      <c r="A389" s="24"/>
      <c r="B389"/>
      <c r="C389"/>
      <c r="D389"/>
      <c r="E389"/>
      <c r="F389"/>
      <c r="G389"/>
      <c r="H389" s="1044"/>
      <c r="I389" s="1733" t="s">
        <v>704</v>
      </c>
      <c r="M389" s="1955"/>
      <c r="N389" s="1955"/>
      <c r="O389" s="1955"/>
      <c r="P389" s="1955"/>
      <c r="Q389" s="1955"/>
      <c r="R389" s="1955"/>
      <c r="S389" s="1955"/>
      <c r="T389" s="1955"/>
      <c r="U389" s="1956"/>
      <c r="V389" s="1956"/>
      <c r="W389" s="1956"/>
      <c r="X389" s="1956"/>
      <c r="Y389" s="1956"/>
      <c r="Z389" s="1956"/>
      <c r="AA389" s="1956"/>
      <c r="AB389" s="1956"/>
      <c r="AC389" s="1973"/>
      <c r="AD389" s="1956"/>
      <c r="AE389" s="1956"/>
      <c r="AF389" s="1974"/>
      <c r="AG389" s="1957"/>
      <c r="AH389" s="1957"/>
      <c r="AI389" s="1957"/>
      <c r="AJ389" s="1958"/>
      <c r="AK389" s="1970"/>
      <c r="AL389" s="1957"/>
      <c r="AM389" s="1957"/>
      <c r="AN389" s="1958"/>
      <c r="AO389" s="1970">
        <f t="shared" ref="AO389:CF389" si="748">+AO388+AK388</f>
        <v>0.17506372486096522</v>
      </c>
      <c r="AP389" s="1957">
        <f t="shared" si="748"/>
        <v>0.25625646176625594</v>
      </c>
      <c r="AQ389" s="1957">
        <f t="shared" si="748"/>
        <v>-0.14288305301235682</v>
      </c>
      <c r="AR389" s="1958">
        <f t="shared" si="748"/>
        <v>-0.2013262942605788</v>
      </c>
      <c r="AS389" s="1970">
        <f t="shared" si="748"/>
        <v>-0.2146738657981081</v>
      </c>
      <c r="AT389" s="1957">
        <f t="shared" si="748"/>
        <v>-0.2194829674539962</v>
      </c>
      <c r="AU389" s="1957">
        <f t="shared" si="748"/>
        <v>-0.13574467561870263</v>
      </c>
      <c r="AV389" s="1958">
        <f t="shared" si="748"/>
        <v>-0.23656589513002013</v>
      </c>
      <c r="AW389" s="1970">
        <f t="shared" si="748"/>
        <v>-0.12387928973507478</v>
      </c>
      <c r="AX389" s="1957">
        <f t="shared" si="748"/>
        <v>8.1654691040396132E-2</v>
      </c>
      <c r="AY389" s="1957">
        <f t="shared" si="748"/>
        <v>2.7502766139166246E-2</v>
      </c>
      <c r="AZ389" s="1958">
        <f t="shared" si="748"/>
        <v>7.5570632395596249E-2</v>
      </c>
      <c r="BA389" s="1970">
        <f t="shared" si="748"/>
        <v>0.30640772150145645</v>
      </c>
      <c r="BB389" s="1957">
        <f t="shared" si="748"/>
        <v>0.49687438243152848</v>
      </c>
      <c r="BC389" s="1957">
        <f t="shared" si="748"/>
        <v>-3.6640631756064135E-2</v>
      </c>
      <c r="BD389" s="1958">
        <f t="shared" si="748"/>
        <v>-5.0651377524756014E-2</v>
      </c>
      <c r="BE389" s="1970">
        <f t="shared" si="748"/>
        <v>-1.8026552450942757E-2</v>
      </c>
      <c r="BF389" s="1957">
        <f t="shared" si="748"/>
        <v>-0.1931842490773763</v>
      </c>
      <c r="BG389" s="1957">
        <f t="shared" si="748"/>
        <v>-0.26977224886496676</v>
      </c>
      <c r="BH389" s="1958">
        <f t="shared" si="748"/>
        <v>-0.25078509919510872</v>
      </c>
      <c r="BI389" s="1970">
        <f t="shared" si="748"/>
        <v>-0.18694856587109687</v>
      </c>
      <c r="BJ389" s="1957">
        <f t="shared" si="748"/>
        <v>-0.18586619688572359</v>
      </c>
      <c r="BK389" s="1957">
        <f t="shared" si="748"/>
        <v>-8.9515716025527103E-2</v>
      </c>
      <c r="BL389" s="1958">
        <f t="shared" si="748"/>
        <v>0.42078028787149369</v>
      </c>
      <c r="BM389" s="1970">
        <f t="shared" si="748"/>
        <v>0.24267757051385308</v>
      </c>
      <c r="BN389" s="1957">
        <f t="shared" si="748"/>
        <v>-1.9855341719455133E-2</v>
      </c>
      <c r="BO389" s="1957">
        <f t="shared" si="748"/>
        <v>0.11150242743960204</v>
      </c>
      <c r="BP389" s="1958">
        <f t="shared" si="748"/>
        <v>5.6352663991344643E-2</v>
      </c>
      <c r="BQ389" s="1970">
        <f t="shared" si="748"/>
        <v>-0.12964839148501328</v>
      </c>
      <c r="BR389" s="1957">
        <f t="shared" si="748"/>
        <v>-0.35024920700869144</v>
      </c>
      <c r="BS389" s="1957">
        <f t="shared" si="748"/>
        <v>-0.39885307420284377</v>
      </c>
      <c r="BT389" s="1958">
        <f t="shared" si="748"/>
        <v>9.7253361790042847E-3</v>
      </c>
      <c r="BU389" s="1970">
        <f t="shared" si="748"/>
        <v>-1.8450594314968649E-2</v>
      </c>
      <c r="BV389" s="1957">
        <f t="shared" si="748"/>
        <v>0.11526702773645392</v>
      </c>
      <c r="BW389" s="1957">
        <f t="shared" si="748"/>
        <v>-0.10533451076169398</v>
      </c>
      <c r="BX389" s="1958">
        <f t="shared" si="748"/>
        <v>0.25417780793746569</v>
      </c>
      <c r="BY389" s="1970">
        <f t="shared" si="748"/>
        <v>0.50361122715637929</v>
      </c>
      <c r="BZ389" s="1957">
        <f t="shared" si="748"/>
        <v>0.22151345610034989</v>
      </c>
      <c r="CA389" s="1957">
        <f t="shared" si="748"/>
        <v>0.52533304718512208</v>
      </c>
      <c r="CB389" s="1958">
        <f t="shared" si="748"/>
        <v>2.0340621879234035</v>
      </c>
      <c r="CC389" s="1970">
        <f t="shared" si="748"/>
        <v>0.90773013967598359</v>
      </c>
      <c r="CD389" s="1957">
        <f t="shared" si="748"/>
        <v>0.71885948974683889</v>
      </c>
      <c r="CE389" s="1957">
        <f t="shared" si="748"/>
        <v>0.59200576385843395</v>
      </c>
      <c r="CF389" s="1958">
        <f t="shared" si="748"/>
        <v>1.678944662379791</v>
      </c>
      <c r="CG389" s="1007"/>
      <c r="CH389" s="1955"/>
      <c r="CI389" s="1955"/>
      <c r="CJ389" s="1956"/>
      <c r="CK389" s="1956"/>
      <c r="CL389" s="1956"/>
      <c r="CM389" s="1956"/>
      <c r="CN389" s="1956"/>
      <c r="CO389" s="1956"/>
      <c r="CP389" s="1966"/>
      <c r="CQ389" s="1966"/>
      <c r="CR389" s="1966">
        <f>+CR388+CQ388</f>
        <v>9.0906360157864463E-2</v>
      </c>
      <c r="CS389" s="1966">
        <f>+CS388+CR388</f>
        <v>-0.18108546542775783</v>
      </c>
      <c r="CT389" s="1966">
        <f t="shared" ref="CT389:DF389" si="749">+CT388+CS388</f>
        <v>-5.6991456065007218E-2</v>
      </c>
      <c r="CU389" s="1966">
        <f t="shared" si="749"/>
        <v>3.4912817609487057E-2</v>
      </c>
      <c r="CV389" s="1966">
        <f t="shared" si="749"/>
        <v>-0.33131516941033967</v>
      </c>
      <c r="CW389" s="1966">
        <f t="shared" si="749"/>
        <v>-7.664517457868103E-2</v>
      </c>
      <c r="CX389" s="1966">
        <f t="shared" si="749"/>
        <v>0.39560100220202687</v>
      </c>
      <c r="CY389" s="1966">
        <f t="shared" si="749"/>
        <v>0.55635321724835474</v>
      </c>
      <c r="CZ389" s="1966">
        <f t="shared" si="749"/>
        <v>0.17251213967269063</v>
      </c>
      <c r="DA389" s="1966">
        <f t="shared" si="749"/>
        <v>-0.25039447839793261</v>
      </c>
      <c r="DB389" s="1966">
        <f t="shared" si="749"/>
        <v>-3.9889833158634813E-2</v>
      </c>
      <c r="DC389" s="1966">
        <f t="shared" si="749"/>
        <v>-4.7667690365293947E-3</v>
      </c>
      <c r="DD389" s="1966">
        <f t="shared" si="749"/>
        <v>-3.3253776959052406E-3</v>
      </c>
      <c r="DE389" s="1966">
        <f t="shared" si="749"/>
        <v>-3.6511523868002493E-3</v>
      </c>
      <c r="DF389" s="1977">
        <f t="shared" si="749"/>
        <v>-1.2373170074055917E-3</v>
      </c>
      <c r="DG389" s="1179"/>
      <c r="DH389" s="1179"/>
    </row>
    <row r="390" spans="1:113" s="67" customFormat="1" ht="11.25" customHeight="1">
      <c r="A390" s="24"/>
      <c r="B390"/>
      <c r="C390"/>
      <c r="D390"/>
      <c r="E390"/>
      <c r="F390"/>
      <c r="G390"/>
      <c r="H390" s="1044"/>
      <c r="I390" s="1733" t="s">
        <v>621</v>
      </c>
      <c r="M390" s="1955"/>
      <c r="N390" s="1955"/>
      <c r="O390" s="1955"/>
      <c r="P390" s="1955"/>
      <c r="Q390" s="1955"/>
      <c r="R390" s="1955"/>
      <c r="S390" s="1955"/>
      <c r="T390" s="1955"/>
      <c r="U390" s="1956"/>
      <c r="V390" s="1956"/>
      <c r="W390" s="1956"/>
      <c r="X390" s="1956"/>
      <c r="Y390" s="1956"/>
      <c r="Z390" s="1956"/>
      <c r="AA390" s="1956"/>
      <c r="AB390" s="1956"/>
      <c r="AC390" s="1973"/>
      <c r="AD390" s="1956"/>
      <c r="AE390" s="1956"/>
      <c r="AF390" s="1974"/>
      <c r="AG390" s="1957"/>
      <c r="AH390" s="1957"/>
      <c r="AI390" s="1957"/>
      <c r="AJ390" s="1958"/>
      <c r="AK390" s="1970"/>
      <c r="AL390" s="1957"/>
      <c r="AM390" s="1957"/>
      <c r="AN390" s="1958"/>
      <c r="AO390" s="1970">
        <f>+AO387/AN387-1</f>
        <v>4.8809972935081047E-2</v>
      </c>
      <c r="AP390" s="1957">
        <f t="shared" ref="AP390:CF390" si="750">+AP387/AO387-1</f>
        <v>1.3442996460952372E-2</v>
      </c>
      <c r="AQ390" s="1957">
        <f t="shared" si="750"/>
        <v>-0.2722274452941662</v>
      </c>
      <c r="AR390" s="1958">
        <f t="shared" si="750"/>
        <v>3.2470326654161275E-2</v>
      </c>
      <c r="AS390" s="1970">
        <f>+AS387/AR387-1</f>
        <v>-0.19860977464934859</v>
      </c>
      <c r="AT390" s="1957">
        <f t="shared" si="750"/>
        <v>-0.12937746837272668</v>
      </c>
      <c r="AU390" s="1957">
        <f t="shared" si="750"/>
        <v>0.39809802741393252</v>
      </c>
      <c r="AV390" s="1958">
        <f t="shared" si="750"/>
        <v>-1.097355955090118E-2</v>
      </c>
      <c r="AW390" s="1970">
        <f t="shared" si="750"/>
        <v>5.1500942569465025E-2</v>
      </c>
      <c r="AX390" s="1957">
        <f t="shared" si="750"/>
        <v>7.1132851704674094E-2</v>
      </c>
      <c r="AY390" s="1957">
        <f t="shared" si="750"/>
        <v>-8.4002295507722868E-2</v>
      </c>
      <c r="AZ390" s="1958">
        <f t="shared" si="750"/>
        <v>7.6694466347706935E-2</v>
      </c>
      <c r="BA390" s="1970">
        <f t="shared" si="750"/>
        <v>-1.5008447202297215E-2</v>
      </c>
      <c r="BB390" s="1957">
        <f t="shared" si="750"/>
        <v>-3.2906892801983223E-2</v>
      </c>
      <c r="BC390" s="1957">
        <f t="shared" si="750"/>
        <v>-8.0575429469547877E-2</v>
      </c>
      <c r="BD390" s="1958">
        <f t="shared" si="750"/>
        <v>-4.25721630427216E-2</v>
      </c>
      <c r="BE390" s="1970">
        <f t="shared" si="750"/>
        <v>0.10584646582634405</v>
      </c>
      <c r="BF390" s="1957">
        <f t="shared" si="750"/>
        <v>-0.10901554584463713</v>
      </c>
      <c r="BG390" s="1957">
        <f t="shared" si="750"/>
        <v>-0.16548883061251052</v>
      </c>
      <c r="BH390" s="1958">
        <f t="shared" si="750"/>
        <v>0.10755938278745281</v>
      </c>
      <c r="BI390" s="1970">
        <f t="shared" si="750"/>
        <v>5.8428624709364829E-2</v>
      </c>
      <c r="BJ390" s="1957">
        <f t="shared" si="750"/>
        <v>-3.2175247828942433E-2</v>
      </c>
      <c r="BK390" s="1957">
        <f t="shared" si="750"/>
        <v>-9.962397632221287E-3</v>
      </c>
      <c r="BL390" s="1958">
        <f t="shared" si="750"/>
        <v>0.48900721523806245</v>
      </c>
      <c r="BM390" s="1970">
        <f t="shared" si="750"/>
        <v>-3.9033766019125227E-2</v>
      </c>
      <c r="BN390" s="1957">
        <f t="shared" si="750"/>
        <v>-0.27056048280471479</v>
      </c>
      <c r="BO390" s="1957">
        <f t="shared" si="750"/>
        <v>-5.3167824821067411E-2</v>
      </c>
      <c r="BP390" s="1958">
        <f t="shared" si="750"/>
        <v>-0.17696151585250464</v>
      </c>
      <c r="BQ390" s="1970">
        <f t="shared" si="750"/>
        <v>-0.12162415308046037</v>
      </c>
      <c r="BR390" s="1957">
        <f t="shared" si="750"/>
        <v>-9.9482350614115367E-2</v>
      </c>
      <c r="BS390" s="1957">
        <f t="shared" si="750"/>
        <v>-5.8556985048256793E-2</v>
      </c>
      <c r="BT390" s="1958">
        <f t="shared" si="750"/>
        <v>0.96525579659603689</v>
      </c>
      <c r="BU390" s="1970">
        <f t="shared" si="750"/>
        <v>-0.11035752639655971</v>
      </c>
      <c r="BV390" s="1957">
        <f t="shared" si="750"/>
        <v>-8.9388387074798681E-2</v>
      </c>
      <c r="BW390" s="1957">
        <f t="shared" si="750"/>
        <v>-0.19491423728197044</v>
      </c>
      <c r="BX390" s="1958">
        <f t="shared" si="750"/>
        <v>0.21233221425055127</v>
      </c>
      <c r="BY390" s="1970">
        <f t="shared" si="750"/>
        <v>0.14916729570039799</v>
      </c>
      <c r="BZ390" s="1957">
        <f t="shared" si="750"/>
        <v>-0.35570986094272816</v>
      </c>
      <c r="CA390" s="1957">
        <f t="shared" si="750"/>
        <v>0.38542047814188418</v>
      </c>
      <c r="CB390" s="1958">
        <f t="shared" si="750"/>
        <v>2.1619057633393943</v>
      </c>
      <c r="CC390" s="1970">
        <f t="shared" si="750"/>
        <v>-0.33163430378080661</v>
      </c>
      <c r="CD390" s="1957">
        <f t="shared" si="750"/>
        <v>-0.31819332559875413</v>
      </c>
      <c r="CE390" s="1957">
        <f t="shared" si="750"/>
        <v>-6.4146192275150504E-2</v>
      </c>
      <c r="CF390" s="1958">
        <f t="shared" si="750"/>
        <v>2.1382332742835075E-2</v>
      </c>
      <c r="CG390" s="1007"/>
      <c r="CH390" s="1955"/>
      <c r="CI390" s="1955"/>
      <c r="CJ390" s="1956"/>
      <c r="CK390" s="1956"/>
      <c r="CL390" s="1956"/>
      <c r="CM390" s="1956"/>
      <c r="CN390" s="1956"/>
      <c r="CO390" s="1956"/>
      <c r="CP390" s="1966"/>
      <c r="CQ390" s="1966"/>
      <c r="CR390" s="1966"/>
      <c r="CS390" s="1966"/>
      <c r="CT390" s="1966"/>
      <c r="CU390" s="1966"/>
      <c r="CV390" s="1966"/>
      <c r="CW390" s="1966"/>
      <c r="CX390" s="1966"/>
      <c r="CY390" s="1966"/>
      <c r="CZ390" s="1966"/>
      <c r="DA390" s="1966"/>
      <c r="DB390" s="1966"/>
      <c r="DC390" s="1966"/>
      <c r="DD390" s="1966"/>
      <c r="DE390" s="1966"/>
      <c r="DF390" s="1977"/>
      <c r="DG390" s="1179"/>
      <c r="DH390" s="1179"/>
    </row>
    <row r="391" spans="1:113" s="67" customFormat="1" ht="11.25" customHeight="1">
      <c r="A391" s="24"/>
      <c r="B391"/>
      <c r="C391"/>
      <c r="D391"/>
      <c r="E391"/>
      <c r="F391"/>
      <c r="G391"/>
      <c r="H391" s="1044"/>
      <c r="I391" s="1733"/>
      <c r="M391" s="1955"/>
      <c r="N391" s="1955"/>
      <c r="O391" s="1955"/>
      <c r="P391" s="1955"/>
      <c r="Q391" s="1955"/>
      <c r="R391" s="1955"/>
      <c r="S391" s="1955"/>
      <c r="T391" s="1955"/>
      <c r="U391" s="1956"/>
      <c r="V391" s="1956"/>
      <c r="W391" s="1956"/>
      <c r="X391" s="1956"/>
      <c r="Y391" s="1956"/>
      <c r="Z391" s="1956"/>
      <c r="AA391" s="1956"/>
      <c r="AB391" s="1956"/>
      <c r="AC391" s="1973"/>
      <c r="AD391" s="1956"/>
      <c r="AE391" s="1956"/>
      <c r="AF391" s="1974"/>
      <c r="AG391" s="1957"/>
      <c r="AH391" s="1957"/>
      <c r="AI391" s="1957"/>
      <c r="AJ391" s="1958"/>
      <c r="AK391" s="1970"/>
      <c r="AL391" s="1957"/>
      <c r="AM391" s="1957"/>
      <c r="AN391" s="1958"/>
      <c r="AO391" s="1970"/>
      <c r="AP391" s="1957"/>
      <c r="AQ391" s="1957"/>
      <c r="AR391" s="1958"/>
      <c r="AS391" s="1970"/>
      <c r="AT391" s="1957"/>
      <c r="AU391" s="1957"/>
      <c r="AV391" s="1958"/>
      <c r="AW391" s="1970"/>
      <c r="AX391" s="1957"/>
      <c r="AY391" s="1957"/>
      <c r="AZ391" s="1958"/>
      <c r="BA391" s="1970"/>
      <c r="BB391" s="1957"/>
      <c r="BC391" s="1957"/>
      <c r="BD391" s="1958"/>
      <c r="BE391" s="1970"/>
      <c r="BF391" s="1957"/>
      <c r="BG391" s="1957"/>
      <c r="BH391" s="1958"/>
      <c r="BI391" s="1970"/>
      <c r="BJ391" s="1957"/>
      <c r="BK391" s="1957"/>
      <c r="BL391" s="1958"/>
      <c r="BM391" s="1970"/>
      <c r="BN391" s="1957"/>
      <c r="BO391" s="1957"/>
      <c r="BP391" s="1958"/>
      <c r="BQ391" s="1970"/>
      <c r="BR391" s="1957"/>
      <c r="BS391" s="1957"/>
      <c r="BT391" s="1958"/>
      <c r="BU391" s="1970"/>
      <c r="BV391" s="1957"/>
      <c r="BW391" s="1957"/>
      <c r="BX391" s="1958"/>
      <c r="BY391" s="1970"/>
      <c r="BZ391" s="1957"/>
      <c r="CA391" s="1957"/>
      <c r="CB391" s="1958"/>
      <c r="CC391" s="1970"/>
      <c r="CD391" s="1957"/>
      <c r="CE391" s="1957"/>
      <c r="CF391" s="1958"/>
      <c r="CG391" s="1007"/>
      <c r="CH391" s="1955"/>
      <c r="CI391" s="1955"/>
      <c r="CJ391" s="1956"/>
      <c r="CK391" s="1956"/>
      <c r="CL391" s="1956"/>
      <c r="CM391" s="1956"/>
      <c r="CN391" s="1956"/>
      <c r="CO391" s="1956"/>
      <c r="CP391" s="1966"/>
      <c r="CQ391" s="1966"/>
      <c r="CR391" s="1966"/>
      <c r="CS391" s="1966"/>
      <c r="CT391" s="1966"/>
      <c r="CU391" s="1966"/>
      <c r="CV391" s="1966"/>
      <c r="CW391" s="1966"/>
      <c r="CX391" s="1966"/>
      <c r="CY391" s="1966"/>
      <c r="CZ391" s="1966"/>
      <c r="DA391" s="1966"/>
      <c r="DB391" s="1966"/>
      <c r="DC391" s="1966"/>
      <c r="DD391" s="1966"/>
      <c r="DE391" s="1966"/>
      <c r="DF391" s="1977"/>
      <c r="DG391" s="1179"/>
      <c r="DH391" s="1179"/>
    </row>
    <row r="392" spans="1:113" s="2037" customFormat="1" ht="11.25" customHeight="1">
      <c r="A392" s="2021"/>
      <c r="B392"/>
      <c r="C392"/>
      <c r="D392"/>
      <c r="E392"/>
      <c r="F392"/>
      <c r="G392"/>
      <c r="H392" s="2022" t="s">
        <v>727</v>
      </c>
      <c r="I392" s="2023" t="s">
        <v>689</v>
      </c>
      <c r="J392" s="2024"/>
      <c r="K392" s="2024"/>
      <c r="L392" s="2024"/>
      <c r="M392" s="2025"/>
      <c r="N392" s="2025"/>
      <c r="O392" s="2025"/>
      <c r="P392" s="2025"/>
      <c r="Q392" s="2025"/>
      <c r="R392" s="2025"/>
      <c r="S392" s="2025"/>
      <c r="T392" s="2025"/>
      <c r="U392" s="2026"/>
      <c r="V392" s="2026"/>
      <c r="W392" s="2026"/>
      <c r="X392" s="2026"/>
      <c r="Y392" s="2026"/>
      <c r="Z392" s="2026"/>
      <c r="AA392" s="2026"/>
      <c r="AB392" s="2026"/>
      <c r="AC392" s="2027"/>
      <c r="AD392" s="2026"/>
      <c r="AE392" s="2026"/>
      <c r="AF392" s="2028"/>
      <c r="AG392" s="2029"/>
      <c r="AH392" s="2029"/>
      <c r="AI392" s="2029"/>
      <c r="AJ392" s="2030"/>
      <c r="AK392" s="2031">
        <f t="shared" ref="AK392:CF392" si="751">+(AK374-AG374)/(AK361-AG361)</f>
        <v>21.039123892325712</v>
      </c>
      <c r="AL392" s="2029">
        <f t="shared" si="751"/>
        <v>22.957453161155495</v>
      </c>
      <c r="AM392" s="2029">
        <f t="shared" si="751"/>
        <v>23.179678585013313</v>
      </c>
      <c r="AN392" s="2030">
        <f t="shared" si="751"/>
        <v>27.900253134040501</v>
      </c>
      <c r="AO392" s="2031">
        <f t="shared" si="751"/>
        <v>28.608242378622492</v>
      </c>
      <c r="AP392" s="2029">
        <f t="shared" si="751"/>
        <v>29.13253653826947</v>
      </c>
      <c r="AQ392" s="2029">
        <f t="shared" si="751"/>
        <v>21.754344313647909</v>
      </c>
      <c r="AR392" s="2030">
        <f t="shared" si="751"/>
        <v>20.93857717713156</v>
      </c>
      <c r="AS392" s="2031">
        <f t="shared" si="751"/>
        <v>20.434379142730872</v>
      </c>
      <c r="AT392" s="2029">
        <f t="shared" si="751"/>
        <v>14.653440017417795</v>
      </c>
      <c r="AU392" s="2029">
        <f t="shared" si="751"/>
        <v>21.695834543283965</v>
      </c>
      <c r="AV392" s="2030">
        <f t="shared" si="751"/>
        <v>22.710802504928697</v>
      </c>
      <c r="AW392" s="2031">
        <f t="shared" si="751"/>
        <v>22.191311340026964</v>
      </c>
      <c r="AX392" s="2029">
        <f t="shared" si="751"/>
        <v>24.854800993225826</v>
      </c>
      <c r="AY392" s="2029">
        <f t="shared" si="751"/>
        <v>22.541925056655479</v>
      </c>
      <c r="AZ392" s="2030">
        <f t="shared" si="751"/>
        <v>23.945672984874584</v>
      </c>
      <c r="BA392" s="2031">
        <f t="shared" si="751"/>
        <v>23.67288548555516</v>
      </c>
      <c r="BB392" s="2029">
        <f t="shared" si="751"/>
        <v>22.906549644293218</v>
      </c>
      <c r="BC392" s="2029">
        <f t="shared" si="751"/>
        <v>20.947134309191238</v>
      </c>
      <c r="BD392" s="2030">
        <f t="shared" si="751"/>
        <v>20.110124038198535</v>
      </c>
      <c r="BE392" s="2031">
        <f t="shared" si="751"/>
        <v>22.343318299461622</v>
      </c>
      <c r="BF392" s="2029">
        <f t="shared" si="751"/>
        <v>19.781623140284776</v>
      </c>
      <c r="BG392" s="2029">
        <f t="shared" si="751"/>
        <v>16.460432256176588</v>
      </c>
      <c r="BH392" s="2030">
        <f t="shared" si="751"/>
        <v>18.315389202020537</v>
      </c>
      <c r="BI392" s="2031">
        <f t="shared" si="751"/>
        <v>17.126145775620842</v>
      </c>
      <c r="BJ392" s="2029">
        <f t="shared" si="751"/>
        <v>16.317166384764409</v>
      </c>
      <c r="BK392" s="2029">
        <f t="shared" si="751"/>
        <v>15.484926878200731</v>
      </c>
      <c r="BL392" s="2030">
        <f t="shared" si="751"/>
        <v>22.381519910263606</v>
      </c>
      <c r="BM392" s="2031">
        <f t="shared" si="751"/>
        <v>21.80005577244841</v>
      </c>
      <c r="BN392" s="2029">
        <f t="shared" si="751"/>
        <v>16.900837878428586</v>
      </c>
      <c r="BO392" s="2029">
        <f t="shared" si="751"/>
        <v>15.417036379769302</v>
      </c>
      <c r="BP392" s="2030">
        <f t="shared" si="751"/>
        <v>12.547641439390187</v>
      </c>
      <c r="BQ392" s="2031">
        <f t="shared" si="751"/>
        <v>11.28506295479936</v>
      </c>
      <c r="BR392" s="2029">
        <f t="shared" si="751"/>
        <v>10.197934595524945</v>
      </c>
      <c r="BS392" s="2029">
        <f t="shared" si="751"/>
        <v>11.76398127617639</v>
      </c>
      <c r="BT392" s="2030">
        <f>+(BT374-BP374)/(BT361-BP361)</f>
        <v>20.14978601997149</v>
      </c>
      <c r="BU392" s="2031">
        <f t="shared" si="751"/>
        <v>20.1320686085229</v>
      </c>
      <c r="BV392" s="2029">
        <f t="shared" si="751"/>
        <v>14.808918010032508</v>
      </c>
      <c r="BW392" s="2029">
        <f t="shared" si="751"/>
        <v>14.142283199029025</v>
      </c>
      <c r="BX392" s="2030">
        <f t="shared" si="751"/>
        <v>18.908358263630248</v>
      </c>
      <c r="BY392" s="2031">
        <f t="shared" si="751"/>
        <v>19.771505310467521</v>
      </c>
      <c r="BZ392" s="2029">
        <f t="shared" si="751"/>
        <v>12.452692496987606</v>
      </c>
      <c r="CA392" s="2029">
        <f t="shared" si="751"/>
        <v>14.727921498661891</v>
      </c>
      <c r="CB392" s="2030">
        <f t="shared" si="751"/>
        <v>30.366237148877147</v>
      </c>
      <c r="CC392" s="2031">
        <f t="shared" si="751"/>
        <v>26.098374145157983</v>
      </c>
      <c r="CD392" s="2029">
        <f t="shared" si="751"/>
        <v>19.403129248287545</v>
      </c>
      <c r="CE392" s="2029">
        <f t="shared" si="751"/>
        <v>19.531421483666559</v>
      </c>
      <c r="CF392" s="2030">
        <f t="shared" si="751"/>
        <v>23.262824477641551</v>
      </c>
      <c r="CG392" s="2032"/>
      <c r="CH392" s="2025"/>
      <c r="CI392" s="2025"/>
      <c r="CJ392" s="2026"/>
      <c r="CK392" s="2026"/>
      <c r="CL392" s="2026"/>
      <c r="CM392" s="2026"/>
      <c r="CN392" s="2026"/>
      <c r="CO392" s="2026"/>
      <c r="CP392" s="2033">
        <f t="shared" ref="CP392:DF392" si="752">+(CP374-CO374)/(CP361-CO361)</f>
        <v>20.557158079411035</v>
      </c>
      <c r="CQ392" s="2033">
        <f t="shared" si="752"/>
        <v>23.285533989967877</v>
      </c>
      <c r="CR392" s="2033">
        <f t="shared" si="752"/>
        <v>21.841580136793986</v>
      </c>
      <c r="CS392" s="2033">
        <f t="shared" si="752"/>
        <v>19.179172062395793</v>
      </c>
      <c r="CT392" s="2033">
        <f t="shared" si="752"/>
        <v>17.370261955933309</v>
      </c>
      <c r="CU392" s="2033">
        <f t="shared" si="752"/>
        <v>16.721618932834001</v>
      </c>
      <c r="CV392" s="2033">
        <f t="shared" si="752"/>
        <v>12.436012102989595</v>
      </c>
      <c r="CW392" s="2033">
        <f t="shared" si="752"/>
        <v>16.45866723979541</v>
      </c>
      <c r="CX392" s="2033">
        <f t="shared" si="752"/>
        <v>17.325316138560314</v>
      </c>
      <c r="CY392" s="2033">
        <f t="shared" si="752"/>
        <v>21.883888431047254</v>
      </c>
      <c r="CZ392" s="2033">
        <f t="shared" si="752"/>
        <v>19.262504064157401</v>
      </c>
      <c r="DA392" s="2033">
        <f t="shared" si="752"/>
        <v>18.847274511388882</v>
      </c>
      <c r="DB392" s="2033">
        <f t="shared" si="752"/>
        <v>18.997871458293616</v>
      </c>
      <c r="DC392" s="2033">
        <f t="shared" si="752"/>
        <v>18.936272010357499</v>
      </c>
      <c r="DD392" s="2033">
        <f t="shared" si="752"/>
        <v>18.892153732094993</v>
      </c>
      <c r="DE392" s="2033">
        <f t="shared" si="752"/>
        <v>18.825458704055489</v>
      </c>
      <c r="DF392" s="2034">
        <f t="shared" si="752"/>
        <v>19.229310199275002</v>
      </c>
      <c r="DG392" s="2035">
        <f>+(CV392/CQ392)^(1/5)-1</f>
        <v>-0.11789763419654398</v>
      </c>
      <c r="DH392" s="2036">
        <f>+(DA392/CV392)^(1/5)-1</f>
        <v>8.6709550903404153E-2</v>
      </c>
    </row>
    <row r="393" spans="1:113" s="632" customFormat="1" ht="11.25" customHeight="1">
      <c r="A393" s="542"/>
      <c r="B393"/>
      <c r="C393"/>
      <c r="D393"/>
      <c r="E393"/>
      <c r="F393"/>
      <c r="G393"/>
      <c r="H393" s="1052"/>
      <c r="I393" s="1733" t="s">
        <v>376</v>
      </c>
      <c r="J393" s="634"/>
      <c r="K393" s="634"/>
      <c r="L393" s="631"/>
      <c r="M393" s="465"/>
      <c r="N393" s="465"/>
      <c r="O393" s="465"/>
      <c r="P393" s="466"/>
      <c r="Q393" s="465"/>
      <c r="R393" s="465"/>
      <c r="S393" s="465"/>
      <c r="T393" s="466"/>
      <c r="U393" s="354"/>
      <c r="V393" s="354"/>
      <c r="W393" s="354"/>
      <c r="X393" s="355"/>
      <c r="Y393" s="354"/>
      <c r="Z393" s="354"/>
      <c r="AA393" s="354"/>
      <c r="AB393" s="354"/>
      <c r="AC393" s="1511"/>
      <c r="AD393" s="354"/>
      <c r="AE393" s="354"/>
      <c r="AF393" s="355"/>
      <c r="AG393" s="1373"/>
      <c r="AH393" s="1373"/>
      <c r="AI393" s="1373"/>
      <c r="AJ393" s="1374"/>
      <c r="AK393" s="1726"/>
      <c r="AL393" s="1373"/>
      <c r="AM393" s="1373"/>
      <c r="AN393" s="1374"/>
      <c r="AO393" s="1726">
        <f t="shared" ref="AO393:CF393" si="753">+AO392/AK392-1</f>
        <v>0.3597639580922718</v>
      </c>
      <c r="AP393" s="1373">
        <f t="shared" si="753"/>
        <v>0.2689794609953664</v>
      </c>
      <c r="AQ393" s="1373">
        <f t="shared" si="753"/>
        <v>-6.1490683148943459E-2</v>
      </c>
      <c r="AR393" s="1374">
        <f t="shared" si="753"/>
        <v>-0.24952017185876885</v>
      </c>
      <c r="AS393" s="1726">
        <f t="shared" si="753"/>
        <v>-0.28571707159470727</v>
      </c>
      <c r="AT393" s="1373">
        <f t="shared" si="753"/>
        <v>-0.49700775288933219</v>
      </c>
      <c r="AU393" s="1373">
        <f t="shared" si="753"/>
        <v>-2.6895671742787064E-3</v>
      </c>
      <c r="AV393" s="1374">
        <f t="shared" si="753"/>
        <v>8.4639243287872645E-2</v>
      </c>
      <c r="AW393" s="1726">
        <f t="shared" si="753"/>
        <v>8.5979230639903426E-2</v>
      </c>
      <c r="AX393" s="1373">
        <f t="shared" si="753"/>
        <v>0.69617516185156481</v>
      </c>
      <c r="AY393" s="1373">
        <f t="shared" si="753"/>
        <v>3.899783212687824E-2</v>
      </c>
      <c r="AZ393" s="1374">
        <f t="shared" si="753"/>
        <v>5.4373705186238741E-2</v>
      </c>
      <c r="BA393" s="1726">
        <f t="shared" si="753"/>
        <v>6.676370417352695E-2</v>
      </c>
      <c r="BB393" s="1373">
        <f t="shared" si="753"/>
        <v>-7.8385312739522761E-2</v>
      </c>
      <c r="BC393" s="1373">
        <f t="shared" si="753"/>
        <v>-7.0747761934972009E-2</v>
      </c>
      <c r="BD393" s="1374">
        <f t="shared" si="753"/>
        <v>-0.16017712048012989</v>
      </c>
      <c r="BE393" s="1726">
        <f t="shared" si="753"/>
        <v>-5.6164137105500722E-2</v>
      </c>
      <c r="BF393" s="1373">
        <f t="shared" si="753"/>
        <v>-0.13642065490151045</v>
      </c>
      <c r="BG393" s="1373">
        <f t="shared" si="753"/>
        <v>-0.21419168783607612</v>
      </c>
      <c r="BH393" s="1374">
        <f t="shared" si="753"/>
        <v>-8.924533895310427E-2</v>
      </c>
      <c r="BI393" s="1726">
        <f t="shared" si="753"/>
        <v>-0.23350034466306158</v>
      </c>
      <c r="BJ393" s="1373">
        <f t="shared" si="753"/>
        <v>-0.17513511054940112</v>
      </c>
      <c r="BK393" s="1373">
        <f t="shared" si="753"/>
        <v>-5.9263654975391655E-2</v>
      </c>
      <c r="BL393" s="1374">
        <f t="shared" si="753"/>
        <v>0.22200624094815824</v>
      </c>
      <c r="BM393" s="1726">
        <f t="shared" si="753"/>
        <v>0.27291079137495733</v>
      </c>
      <c r="BN393" s="1373">
        <f t="shared" si="753"/>
        <v>3.577039541676541E-2</v>
      </c>
      <c r="BO393" s="1373">
        <f t="shared" si="753"/>
        <v>-4.3842957067498078E-3</v>
      </c>
      <c r="BP393" s="1374">
        <f t="shared" si="753"/>
        <v>-0.43937491780278282</v>
      </c>
      <c r="BQ393" s="1726">
        <f t="shared" si="753"/>
        <v>-0.48233788607725614</v>
      </c>
      <c r="BR393" s="1373">
        <f t="shared" si="753"/>
        <v>-0.39660183306408159</v>
      </c>
      <c r="BS393" s="1373">
        <f t="shared" si="753"/>
        <v>-0.23694924326614164</v>
      </c>
      <c r="BT393" s="1374">
        <f>+BT392/BP392-1</f>
        <v>0.60586243377311289</v>
      </c>
      <c r="BU393" s="1726">
        <f t="shared" si="753"/>
        <v>0.7839571377810568</v>
      </c>
      <c r="BV393" s="1373">
        <f t="shared" si="753"/>
        <v>0.45214875338884353</v>
      </c>
      <c r="BW393" s="1373">
        <f t="shared" si="753"/>
        <v>0.20216811528500211</v>
      </c>
      <c r="BX393" s="1374">
        <f t="shared" si="753"/>
        <v>-6.1609972190811324E-2</v>
      </c>
      <c r="BY393" s="1726">
        <f t="shared" si="753"/>
        <v>-1.7909898136485358E-2</v>
      </c>
      <c r="BZ393" s="1373">
        <f t="shared" si="753"/>
        <v>-0.15910855279559555</v>
      </c>
      <c r="CA393" s="1373">
        <f t="shared" si="753"/>
        <v>4.1410449175071973E-2</v>
      </c>
      <c r="CB393" s="1374">
        <f t="shared" si="753"/>
        <v>0.60596899664662263</v>
      </c>
      <c r="CC393" s="1726">
        <f t="shared" si="753"/>
        <v>0.31999934933334906</v>
      </c>
      <c r="CD393" s="1373">
        <f t="shared" si="753"/>
        <v>0.55814730452721761</v>
      </c>
      <c r="CE393" s="1373">
        <f t="shared" si="753"/>
        <v>0.32614921158026888</v>
      </c>
      <c r="CF393" s="1374">
        <f t="shared" si="753"/>
        <v>-0.23392469196659282</v>
      </c>
      <c r="CG393" s="582"/>
      <c r="CH393" s="635"/>
      <c r="CI393" s="465"/>
      <c r="CJ393" s="354"/>
      <c r="CK393" s="354"/>
      <c r="CL393" s="354"/>
      <c r="CM393" s="354"/>
      <c r="CN393" s="354"/>
      <c r="CO393" s="354"/>
      <c r="CP393" s="354"/>
      <c r="CQ393" s="1373">
        <f>+CQ392/CP392-1</f>
        <v>0.13272145400727542</v>
      </c>
      <c r="CR393" s="1373">
        <f>+CR392/CQ392-1</f>
        <v>-6.201076830773955E-2</v>
      </c>
      <c r="CS393" s="1373">
        <f>+CS392/CR392-1</f>
        <v>-0.12189631234203346</v>
      </c>
      <c r="CT393" s="1373">
        <f>+CT392/CS392-1</f>
        <v>-9.4316381362946178E-2</v>
      </c>
      <c r="CU393" s="1373">
        <f t="shared" ref="CU393:DF393" si="754">+CU392/CT392-1</f>
        <v>-3.734215550374842E-2</v>
      </c>
      <c r="CV393" s="1373">
        <f t="shared" si="754"/>
        <v>-0.2562913822554187</v>
      </c>
      <c r="CW393" s="1373">
        <f t="shared" si="754"/>
        <v>0.32346825521653977</v>
      </c>
      <c r="CX393" s="1373">
        <f t="shared" si="754"/>
        <v>5.2656079993490312E-2</v>
      </c>
      <c r="CY393" s="1373">
        <f t="shared" si="754"/>
        <v>0.26311625462008714</v>
      </c>
      <c r="CZ393" s="1373">
        <f>+CZ392/CY392-1</f>
        <v>-0.11978604145919636</v>
      </c>
      <c r="DA393" s="1373">
        <f>+DA392/CZ392-1</f>
        <v>-2.1556364187414023E-2</v>
      </c>
      <c r="DB393" s="1373">
        <f>+DB392/DA392-1</f>
        <v>7.9903832680812137E-3</v>
      </c>
      <c r="DC393" s="1373">
        <f t="shared" si="754"/>
        <v>-3.2424394528275391E-3</v>
      </c>
      <c r="DD393" s="1373">
        <f t="shared" si="754"/>
        <v>-2.3298291362933155E-3</v>
      </c>
      <c r="DE393" s="1373">
        <f t="shared" si="754"/>
        <v>-3.5303030551884218E-3</v>
      </c>
      <c r="DF393" s="1374">
        <f t="shared" si="754"/>
        <v>2.1452411947471495E-2</v>
      </c>
      <c r="DG393" s="1474"/>
      <c r="DH393" s="1474"/>
      <c r="DI393" s="465"/>
    </row>
    <row r="394" spans="1:113" s="67" customFormat="1" ht="11.25" customHeight="1">
      <c r="A394" s="24"/>
      <c r="B394"/>
      <c r="C394"/>
      <c r="D394"/>
      <c r="E394"/>
      <c r="F394"/>
      <c r="G394"/>
      <c r="H394" s="1044"/>
      <c r="I394" s="1733" t="s">
        <v>704</v>
      </c>
      <c r="M394" s="1955"/>
      <c r="N394" s="1955"/>
      <c r="O394" s="1955"/>
      <c r="P394" s="1955"/>
      <c r="Q394" s="1955"/>
      <c r="R394" s="1955"/>
      <c r="S394" s="1955"/>
      <c r="T394" s="1955"/>
      <c r="U394" s="1956"/>
      <c r="V394" s="1956"/>
      <c r="W394" s="1956"/>
      <c r="X394" s="1956"/>
      <c r="Y394" s="1956"/>
      <c r="Z394" s="1956"/>
      <c r="AA394" s="1956"/>
      <c r="AB394" s="1956"/>
      <c r="AC394" s="1973"/>
      <c r="AD394" s="1956"/>
      <c r="AE394" s="1956"/>
      <c r="AF394" s="1974"/>
      <c r="AG394" s="1957"/>
      <c r="AH394" s="1957"/>
      <c r="AI394" s="1957"/>
      <c r="AJ394" s="1958"/>
      <c r="AK394" s="1970"/>
      <c r="AL394" s="1957"/>
      <c r="AM394" s="1957"/>
      <c r="AN394" s="1958"/>
      <c r="AO394" s="1970">
        <f t="shared" ref="AO394:CF394" si="755">+AO393+AK393</f>
        <v>0.3597639580922718</v>
      </c>
      <c r="AP394" s="1957">
        <f t="shared" si="755"/>
        <v>0.2689794609953664</v>
      </c>
      <c r="AQ394" s="1957">
        <f t="shared" si="755"/>
        <v>-6.1490683148943459E-2</v>
      </c>
      <c r="AR394" s="1958">
        <f t="shared" si="755"/>
        <v>-0.24952017185876885</v>
      </c>
      <c r="AS394" s="1970">
        <f t="shared" si="755"/>
        <v>7.4046886497564524E-2</v>
      </c>
      <c r="AT394" s="1957">
        <f t="shared" si="755"/>
        <v>-0.22802829189396578</v>
      </c>
      <c r="AU394" s="1957">
        <f t="shared" si="755"/>
        <v>-6.4180250323222165E-2</v>
      </c>
      <c r="AV394" s="1958">
        <f t="shared" si="755"/>
        <v>-0.1648809285708962</v>
      </c>
      <c r="AW394" s="1970">
        <f t="shared" si="755"/>
        <v>-0.19973784095480385</v>
      </c>
      <c r="AX394" s="1957">
        <f t="shared" si="755"/>
        <v>0.19916740896223262</v>
      </c>
      <c r="AY394" s="1957">
        <f t="shared" si="755"/>
        <v>3.6308264952599534E-2</v>
      </c>
      <c r="AZ394" s="1958">
        <f t="shared" si="755"/>
        <v>0.13901294847411139</v>
      </c>
      <c r="BA394" s="1970">
        <f t="shared" si="755"/>
        <v>0.15274293481343038</v>
      </c>
      <c r="BB394" s="1957">
        <f t="shared" si="755"/>
        <v>0.61778984911204204</v>
      </c>
      <c r="BC394" s="1957">
        <f t="shared" si="755"/>
        <v>-3.1749929808093769E-2</v>
      </c>
      <c r="BD394" s="1958">
        <f t="shared" si="755"/>
        <v>-0.10580341529389115</v>
      </c>
      <c r="BE394" s="1970">
        <f t="shared" si="755"/>
        <v>1.0599567068026228E-2</v>
      </c>
      <c r="BF394" s="1957">
        <f t="shared" si="755"/>
        <v>-0.21480596764103321</v>
      </c>
      <c r="BG394" s="1957">
        <f t="shared" si="755"/>
        <v>-0.28493944977104813</v>
      </c>
      <c r="BH394" s="1958">
        <f t="shared" si="755"/>
        <v>-0.24942245943323416</v>
      </c>
      <c r="BI394" s="1970">
        <f t="shared" si="755"/>
        <v>-0.2896644817685623</v>
      </c>
      <c r="BJ394" s="1957">
        <f t="shared" si="755"/>
        <v>-0.31155576545091157</v>
      </c>
      <c r="BK394" s="1957">
        <f t="shared" si="755"/>
        <v>-0.27345534281146777</v>
      </c>
      <c r="BL394" s="1958">
        <f t="shared" si="755"/>
        <v>0.13276090199505397</v>
      </c>
      <c r="BM394" s="1970">
        <f t="shared" si="755"/>
        <v>3.9410446711895752E-2</v>
      </c>
      <c r="BN394" s="1957">
        <f t="shared" si="755"/>
        <v>-0.13936471513263571</v>
      </c>
      <c r="BO394" s="1957">
        <f t="shared" si="755"/>
        <v>-6.3647950682141463E-2</v>
      </c>
      <c r="BP394" s="1958">
        <f t="shared" si="755"/>
        <v>-0.21736867685462458</v>
      </c>
      <c r="BQ394" s="1970">
        <f t="shared" si="755"/>
        <v>-0.20942709470229881</v>
      </c>
      <c r="BR394" s="1957">
        <f t="shared" si="755"/>
        <v>-0.36083143764731618</v>
      </c>
      <c r="BS394" s="1957">
        <f t="shared" si="755"/>
        <v>-0.24133353897289145</v>
      </c>
      <c r="BT394" s="1958">
        <f t="shared" si="755"/>
        <v>0.16648751597033007</v>
      </c>
      <c r="BU394" s="1970">
        <f t="shared" si="755"/>
        <v>0.30161925170380066</v>
      </c>
      <c r="BV394" s="1957">
        <f t="shared" si="755"/>
        <v>5.5546920324761939E-2</v>
      </c>
      <c r="BW394" s="1957">
        <f t="shared" si="755"/>
        <v>-3.4781127981139526E-2</v>
      </c>
      <c r="BX394" s="1958">
        <f t="shared" si="755"/>
        <v>0.54425246158230156</v>
      </c>
      <c r="BY394" s="1970">
        <f t="shared" si="755"/>
        <v>0.76604723964457144</v>
      </c>
      <c r="BZ394" s="1957">
        <f t="shared" si="755"/>
        <v>0.29304020059324798</v>
      </c>
      <c r="CA394" s="1957">
        <f t="shared" si="755"/>
        <v>0.24357856446007409</v>
      </c>
      <c r="CB394" s="1958">
        <f t="shared" si="755"/>
        <v>0.5443590244558113</v>
      </c>
      <c r="CC394" s="1970">
        <f t="shared" si="755"/>
        <v>0.3020894511968637</v>
      </c>
      <c r="CD394" s="1957">
        <f t="shared" si="755"/>
        <v>0.39903875173162207</v>
      </c>
      <c r="CE394" s="1957">
        <f t="shared" si="755"/>
        <v>0.36755966075534086</v>
      </c>
      <c r="CF394" s="1958">
        <f t="shared" si="755"/>
        <v>0.3720443046800298</v>
      </c>
      <c r="CG394" s="1007"/>
      <c r="CH394" s="1955"/>
      <c r="CI394" s="1955"/>
      <c r="CJ394" s="1956"/>
      <c r="CK394" s="1956"/>
      <c r="CL394" s="1956"/>
      <c r="CM394" s="1956"/>
      <c r="CN394" s="1956"/>
      <c r="CO394" s="1956"/>
      <c r="CP394" s="1966"/>
      <c r="CQ394" s="1966"/>
      <c r="CR394" s="1966">
        <f t="shared" ref="CR394:DF394" si="756">+CR393+CQ393</f>
        <v>7.0710685699535869E-2</v>
      </c>
      <c r="CS394" s="1966">
        <f t="shared" si="756"/>
        <v>-0.18390708064977301</v>
      </c>
      <c r="CT394" s="1966">
        <f t="shared" si="756"/>
        <v>-0.21621269370497964</v>
      </c>
      <c r="CU394" s="1966">
        <f t="shared" si="756"/>
        <v>-0.1316585368666946</v>
      </c>
      <c r="CV394" s="1966">
        <f t="shared" si="756"/>
        <v>-0.29363353775916712</v>
      </c>
      <c r="CW394" s="1966">
        <f t="shared" si="756"/>
        <v>6.717687296112107E-2</v>
      </c>
      <c r="CX394" s="1966">
        <f t="shared" si="756"/>
        <v>0.37612433521003008</v>
      </c>
      <c r="CY394" s="1966">
        <f t="shared" si="756"/>
        <v>0.31577233461357745</v>
      </c>
      <c r="CZ394" s="1966">
        <f t="shared" si="756"/>
        <v>0.14333021316089078</v>
      </c>
      <c r="DA394" s="1966">
        <f t="shared" si="756"/>
        <v>-0.14134240564661038</v>
      </c>
      <c r="DB394" s="1966">
        <f t="shared" si="756"/>
        <v>-1.356598091933281E-2</v>
      </c>
      <c r="DC394" s="1966">
        <f t="shared" si="756"/>
        <v>4.7479438152536746E-3</v>
      </c>
      <c r="DD394" s="1966">
        <f t="shared" si="756"/>
        <v>-5.5722685891208545E-3</v>
      </c>
      <c r="DE394" s="1966">
        <f t="shared" si="756"/>
        <v>-5.8601321914817373E-3</v>
      </c>
      <c r="DF394" s="1977">
        <f t="shared" si="756"/>
        <v>1.7922108892283073E-2</v>
      </c>
      <c r="DG394" s="1179"/>
      <c r="DH394" s="1179"/>
    </row>
    <row r="395" spans="1:113" s="67" customFormat="1" ht="11.25" customHeight="1">
      <c r="A395" s="24"/>
      <c r="B395"/>
      <c r="C395"/>
      <c r="D395"/>
      <c r="E395"/>
      <c r="F395"/>
      <c r="G395"/>
      <c r="H395" s="1044"/>
      <c r="I395" s="1733" t="s">
        <v>621</v>
      </c>
      <c r="M395" s="1955"/>
      <c r="N395" s="1955"/>
      <c r="O395" s="1955"/>
      <c r="P395" s="1955"/>
      <c r="Q395" s="1955"/>
      <c r="R395" s="1955"/>
      <c r="S395" s="1955"/>
      <c r="T395" s="1955"/>
      <c r="U395" s="1956"/>
      <c r="V395" s="1956"/>
      <c r="W395" s="1956"/>
      <c r="X395" s="1956"/>
      <c r="Y395" s="1956"/>
      <c r="Z395" s="1956"/>
      <c r="AA395" s="1956"/>
      <c r="AB395" s="1956"/>
      <c r="AC395" s="1973"/>
      <c r="AD395" s="1956"/>
      <c r="AE395" s="1956"/>
      <c r="AF395" s="1974"/>
      <c r="AG395" s="1957"/>
      <c r="AH395" s="1957"/>
      <c r="AI395" s="1957"/>
      <c r="AJ395" s="1958"/>
      <c r="AK395" s="1970"/>
      <c r="AL395" s="1957"/>
      <c r="AM395" s="1957"/>
      <c r="AN395" s="1958"/>
      <c r="AO395" s="1970">
        <f>+AO392/AN392-1</f>
        <v>2.5375728355603755E-2</v>
      </c>
      <c r="AP395" s="1957">
        <f>+AP392/AO392-1</f>
        <v>1.8326681964871749E-2</v>
      </c>
      <c r="AQ395" s="1957">
        <f>+AQ392/AP392-1</f>
        <v>-0.25326295274458244</v>
      </c>
      <c r="AR395" s="1958">
        <f>+AR392/AQ392-1</f>
        <v>-3.7499045007050147E-2</v>
      </c>
      <c r="AS395" s="1970">
        <f>+AS392/AR392-1</f>
        <v>-2.4079861307450989E-2</v>
      </c>
      <c r="AT395" s="1957">
        <f t="shared" ref="AT395:CF395" si="757">+AT392/AS392-1</f>
        <v>-0.28290260667741074</v>
      </c>
      <c r="AU395" s="1957">
        <f t="shared" si="757"/>
        <v>0.48059667337466405</v>
      </c>
      <c r="AV395" s="1958">
        <f t="shared" si="757"/>
        <v>4.6781697178775783E-2</v>
      </c>
      <c r="AW395" s="1970">
        <f t="shared" si="757"/>
        <v>-2.2874187945978286E-2</v>
      </c>
      <c r="AX395" s="1957">
        <f t="shared" si="757"/>
        <v>0.12002398652280943</v>
      </c>
      <c r="AY395" s="1957">
        <f t="shared" si="757"/>
        <v>-9.3055500110450273E-2</v>
      </c>
      <c r="AZ395" s="1958">
        <f t="shared" si="757"/>
        <v>6.2272761740224558E-2</v>
      </c>
      <c r="BA395" s="1970">
        <f t="shared" si="757"/>
        <v>-1.1391932876212429E-2</v>
      </c>
      <c r="BB395" s="1957">
        <f t="shared" si="757"/>
        <v>-3.2371881396948798E-2</v>
      </c>
      <c r="BC395" s="1957">
        <f t="shared" si="757"/>
        <v>-8.5539523216240254E-2</v>
      </c>
      <c r="BD395" s="1958">
        <f t="shared" si="757"/>
        <v>-3.9958223336804433E-2</v>
      </c>
      <c r="BE395" s="1970">
        <f t="shared" si="757"/>
        <v>0.11104825892775239</v>
      </c>
      <c r="BF395" s="1957">
        <f t="shared" si="757"/>
        <v>-0.11465150900341303</v>
      </c>
      <c r="BG395" s="1957">
        <f t="shared" si="757"/>
        <v>-0.1678927386572574</v>
      </c>
      <c r="BH395" s="1958">
        <f t="shared" si="757"/>
        <v>0.11269187327373476</v>
      </c>
      <c r="BI395" s="1970">
        <f t="shared" si="757"/>
        <v>-6.4931376193114065E-2</v>
      </c>
      <c r="BJ395" s="1957">
        <f t="shared" si="757"/>
        <v>-4.7236512024090072E-2</v>
      </c>
      <c r="BK395" s="1957">
        <f t="shared" si="757"/>
        <v>-5.1003923532994877E-2</v>
      </c>
      <c r="BL395" s="1958">
        <f t="shared" si="757"/>
        <v>0.44537459468224649</v>
      </c>
      <c r="BM395" s="1970">
        <f t="shared" si="757"/>
        <v>-2.5979653756604382E-2</v>
      </c>
      <c r="BN395" s="1957">
        <f t="shared" si="757"/>
        <v>-0.22473419082769541</v>
      </c>
      <c r="BO395" s="1957">
        <f t="shared" si="757"/>
        <v>-8.7794552514649959E-2</v>
      </c>
      <c r="BP395" s="1958">
        <f t="shared" si="757"/>
        <v>-0.18611845167236041</v>
      </c>
      <c r="BQ395" s="1970">
        <f t="shared" si="757"/>
        <v>-0.10062277366543781</v>
      </c>
      <c r="BR395" s="1957">
        <f t="shared" si="757"/>
        <v>-9.6333388978754098E-2</v>
      </c>
      <c r="BS395" s="1957">
        <f t="shared" si="757"/>
        <v>0.15356508379046252</v>
      </c>
      <c r="BT395" s="1958">
        <f t="shared" si="757"/>
        <v>0.71283730795946254</v>
      </c>
      <c r="BU395" s="1970">
        <f t="shared" si="757"/>
        <v>-8.7928533985570656E-4</v>
      </c>
      <c r="BV395" s="1957">
        <f t="shared" si="757"/>
        <v>-0.2644115069346048</v>
      </c>
      <c r="BW395" s="1957">
        <f t="shared" si="757"/>
        <v>-4.501576756329273E-2</v>
      </c>
      <c r="BX395" s="1958">
        <f t="shared" si="757"/>
        <v>0.33700888304431986</v>
      </c>
      <c r="BY395" s="1970">
        <f t="shared" si="757"/>
        <v>4.5648968292372416E-2</v>
      </c>
      <c r="BZ395" s="1957">
        <f t="shared" si="757"/>
        <v>-0.37016973156844846</v>
      </c>
      <c r="CA395" s="1957">
        <f t="shared" si="757"/>
        <v>0.18270980370106127</v>
      </c>
      <c r="CB395" s="1958">
        <f t="shared" si="757"/>
        <v>1.061814163772945</v>
      </c>
      <c r="CC395" s="1970">
        <f t="shared" si="757"/>
        <v>-0.14054632395825095</v>
      </c>
      <c r="CD395" s="1957">
        <f t="shared" si="757"/>
        <v>-0.25653877362749833</v>
      </c>
      <c r="CE395" s="1957">
        <f t="shared" si="757"/>
        <v>6.6119353088542887E-3</v>
      </c>
      <c r="CF395" s="1958">
        <f t="shared" si="757"/>
        <v>0.1910461559132004</v>
      </c>
      <c r="CG395" s="1007"/>
      <c r="CH395" s="1955"/>
      <c r="CI395" s="1955"/>
      <c r="CJ395" s="1956"/>
      <c r="CK395" s="1956"/>
      <c r="CL395" s="1956"/>
      <c r="CM395" s="1956"/>
      <c r="CN395" s="1956"/>
      <c r="CO395" s="1956"/>
      <c r="CP395" s="1966"/>
      <c r="CQ395" s="1966"/>
      <c r="CR395" s="1966"/>
      <c r="CS395" s="1966"/>
      <c r="CT395" s="1966"/>
      <c r="CU395" s="1966"/>
      <c r="CV395" s="1966"/>
      <c r="CW395" s="1966"/>
      <c r="CX395" s="1966"/>
      <c r="CY395" s="1966"/>
      <c r="CZ395" s="1966"/>
      <c r="DA395" s="1966"/>
      <c r="DB395" s="1966"/>
      <c r="DC395" s="1966"/>
      <c r="DD395" s="1966"/>
      <c r="DE395" s="1966"/>
      <c r="DF395" s="1977"/>
      <c r="DG395" s="1179"/>
      <c r="DH395" s="1179"/>
    </row>
    <row r="396" spans="1:113" s="67" customFormat="1" ht="11.25" customHeight="1">
      <c r="A396" s="24"/>
      <c r="B396"/>
      <c r="C396"/>
      <c r="D396"/>
      <c r="E396"/>
      <c r="F396"/>
      <c r="G396"/>
      <c r="H396" s="1044"/>
      <c r="I396" s="1733"/>
      <c r="M396" s="1955"/>
      <c r="N396" s="1955"/>
      <c r="O396" s="1955"/>
      <c r="P396" s="1955"/>
      <c r="Q396" s="1955"/>
      <c r="R396" s="1955"/>
      <c r="S396" s="1955"/>
      <c r="T396" s="1955"/>
      <c r="U396" s="1956"/>
      <c r="V396" s="1956"/>
      <c r="W396" s="1956"/>
      <c r="X396" s="1956"/>
      <c r="Y396" s="1956"/>
      <c r="Z396" s="1956"/>
      <c r="AA396" s="1956"/>
      <c r="AB396" s="1956"/>
      <c r="AC396" s="1973"/>
      <c r="AD396" s="1956"/>
      <c r="AE396" s="1956"/>
      <c r="AF396" s="1974"/>
      <c r="AG396" s="1957"/>
      <c r="AH396" s="1957"/>
      <c r="AI396" s="1957"/>
      <c r="AJ396" s="1958"/>
      <c r="AK396" s="1970"/>
      <c r="AL396" s="1957"/>
      <c r="AM396" s="1957"/>
      <c r="AN396" s="1958"/>
      <c r="AO396" s="1970"/>
      <c r="AP396" s="1957"/>
      <c r="AQ396" s="1957"/>
      <c r="AR396" s="1958"/>
      <c r="AS396" s="1970"/>
      <c r="AT396" s="1957"/>
      <c r="AU396" s="1957"/>
      <c r="AV396" s="1958"/>
      <c r="AW396" s="1970"/>
      <c r="AX396" s="1957"/>
      <c r="AY396" s="1957"/>
      <c r="AZ396" s="1958"/>
      <c r="BA396" s="1970"/>
      <c r="BB396" s="1957"/>
      <c r="BC396" s="1957"/>
      <c r="BD396" s="1958"/>
      <c r="BE396" s="1970"/>
      <c r="BF396" s="1957"/>
      <c r="BG396" s="1957"/>
      <c r="BH396" s="1958"/>
      <c r="BI396" s="1970"/>
      <c r="BJ396" s="1957"/>
      <c r="BK396" s="1957"/>
      <c r="BL396" s="1958"/>
      <c r="BM396" s="1970"/>
      <c r="BN396" s="1957"/>
      <c r="BO396" s="1957"/>
      <c r="BP396" s="1958"/>
      <c r="BQ396" s="1970"/>
      <c r="BR396" s="1957"/>
      <c r="BS396" s="1957"/>
      <c r="BT396" s="1958"/>
      <c r="BU396" s="1970"/>
      <c r="BV396" s="1957"/>
      <c r="BW396" s="1957"/>
      <c r="BX396" s="1958"/>
      <c r="BY396" s="1970"/>
      <c r="BZ396" s="1957"/>
      <c r="CA396" s="1957"/>
      <c r="CB396" s="1958"/>
      <c r="CC396" s="1970"/>
      <c r="CD396" s="1957"/>
      <c r="CE396" s="1957"/>
      <c r="CF396" s="1958"/>
      <c r="CG396" s="1007"/>
      <c r="CH396" s="1955"/>
      <c r="CI396" s="1955"/>
      <c r="CJ396" s="1956"/>
      <c r="CK396" s="1956"/>
      <c r="CL396" s="1956"/>
      <c r="CM396" s="1956"/>
      <c r="CN396" s="1956"/>
      <c r="CO396" s="1956"/>
      <c r="CP396" s="1966"/>
      <c r="CQ396" s="1966"/>
      <c r="CR396" s="1966"/>
      <c r="CS396" s="1966"/>
      <c r="CT396" s="1966"/>
      <c r="CU396" s="1966"/>
      <c r="CV396" s="1966"/>
      <c r="CW396" s="1966"/>
      <c r="CX396" s="1966"/>
      <c r="CY396" s="1966"/>
      <c r="CZ396" s="1966"/>
      <c r="DA396" s="1966"/>
      <c r="DB396" s="1966"/>
      <c r="DC396" s="1966"/>
      <c r="DD396" s="1966"/>
      <c r="DE396" s="1966"/>
      <c r="DF396" s="1977"/>
      <c r="DG396" s="1179"/>
      <c r="DH396" s="1179"/>
    </row>
    <row r="397" spans="1:113" s="632" customFormat="1" ht="11.25" customHeight="1">
      <c r="A397" s="542"/>
      <c r="B397"/>
      <c r="C397"/>
      <c r="D397"/>
      <c r="E397"/>
      <c r="F397"/>
      <c r="G397"/>
      <c r="H397" s="1052"/>
      <c r="I397" s="1870" t="s">
        <v>691</v>
      </c>
      <c r="J397" s="634"/>
      <c r="K397" s="634"/>
      <c r="L397" s="631"/>
      <c r="M397" s="465"/>
      <c r="N397" s="465"/>
      <c r="O397" s="465"/>
      <c r="P397" s="465"/>
      <c r="Q397" s="465"/>
      <c r="R397" s="465"/>
      <c r="S397" s="465"/>
      <c r="T397" s="465"/>
      <c r="U397" s="538"/>
      <c r="V397" s="538"/>
      <c r="W397" s="538"/>
      <c r="X397" s="538"/>
      <c r="Y397" s="538"/>
      <c r="Z397" s="538"/>
      <c r="AA397" s="538"/>
      <c r="AB397" s="538"/>
      <c r="AC397" s="1583"/>
      <c r="AD397" s="538"/>
      <c r="AE397" s="538"/>
      <c r="AF397" s="539"/>
      <c r="AG397" s="1731"/>
      <c r="AH397" s="1731"/>
      <c r="AI397" s="1731"/>
      <c r="AJ397" s="1732"/>
      <c r="AK397" s="1730"/>
      <c r="AL397" s="1731"/>
      <c r="AM397" s="1731"/>
      <c r="AN397" s="1732"/>
      <c r="AO397" s="1730">
        <f t="shared" ref="AO397:CF397" si="758">+(AO375-AK375)/(AO364-AK364)</f>
        <v>71.267378016685072</v>
      </c>
      <c r="AP397" s="1731">
        <f t="shared" si="758"/>
        <v>76.559089224435851</v>
      </c>
      <c r="AQ397" s="1731">
        <f t="shared" si="758"/>
        <v>70.001403807812082</v>
      </c>
      <c r="AR397" s="1732">
        <f t="shared" si="758"/>
        <v>75.728435483910914</v>
      </c>
      <c r="AS397" s="1730">
        <f t="shared" si="758"/>
        <v>22.321148849386582</v>
      </c>
      <c r="AT397" s="1731">
        <f t="shared" si="758"/>
        <v>18.97103590379243</v>
      </c>
      <c r="AU397" s="1731">
        <f t="shared" si="758"/>
        <v>21.526617509857822</v>
      </c>
      <c r="AV397" s="1732">
        <f t="shared" si="758"/>
        <v>22.94781967424435</v>
      </c>
      <c r="AW397" s="1730">
        <f t="shared" si="758"/>
        <v>21.486115116643834</v>
      </c>
      <c r="AX397" s="1731">
        <f t="shared" si="758"/>
        <v>24.284005533198798</v>
      </c>
      <c r="AY397" s="1731">
        <f t="shared" si="758"/>
        <v>22.167072522452251</v>
      </c>
      <c r="AZ397" s="1732">
        <f t="shared" si="758"/>
        <v>23.238043950963238</v>
      </c>
      <c r="BA397" s="1730">
        <f t="shared" si="758"/>
        <v>23.542979064337644</v>
      </c>
      <c r="BB397" s="1731">
        <f t="shared" si="758"/>
        <v>23.722834293974017</v>
      </c>
      <c r="BC397" s="1731">
        <f t="shared" si="758"/>
        <v>21.314622353423637</v>
      </c>
      <c r="BD397" s="1732">
        <f t="shared" si="758"/>
        <v>20.128896836982932</v>
      </c>
      <c r="BE397" s="1730">
        <f t="shared" si="758"/>
        <v>22.317126253178646</v>
      </c>
      <c r="BF397" s="1731">
        <f t="shared" si="758"/>
        <v>20.373812485794843</v>
      </c>
      <c r="BG397" s="1731">
        <f t="shared" si="758"/>
        <v>17.733307988625739</v>
      </c>
      <c r="BH397" s="1732">
        <f t="shared" si="758"/>
        <v>18.380810738894084</v>
      </c>
      <c r="BI397" s="1730">
        <f t="shared" si="758"/>
        <v>16.921891445863157</v>
      </c>
      <c r="BJ397" s="1731">
        <f t="shared" si="758"/>
        <v>15.387509970838575</v>
      </c>
      <c r="BK397" s="1731">
        <f t="shared" si="758"/>
        <v>14.535345915513608</v>
      </c>
      <c r="BL397" s="1732">
        <f t="shared" si="758"/>
        <v>22.392825258352104</v>
      </c>
      <c r="BM397" s="1730">
        <f t="shared" si="758"/>
        <v>21.76806393627686</v>
      </c>
      <c r="BN397" s="1731">
        <f t="shared" si="758"/>
        <v>16.829622998945375</v>
      </c>
      <c r="BO397" s="1731">
        <f t="shared" si="758"/>
        <v>15.502099348624347</v>
      </c>
      <c r="BP397" s="1732">
        <f t="shared" si="758"/>
        <v>14.114631513944671</v>
      </c>
      <c r="BQ397" s="1730">
        <f t="shared" si="758"/>
        <v>14.760252099441761</v>
      </c>
      <c r="BR397" s="1731">
        <f t="shared" si="758"/>
        <v>14.24478159218749</v>
      </c>
      <c r="BS397" s="1731">
        <f t="shared" si="758"/>
        <v>15.200009719465065</v>
      </c>
      <c r="BT397" s="1732">
        <f t="shared" si="758"/>
        <v>19.125603799355982</v>
      </c>
      <c r="BU397" s="1730">
        <f t="shared" si="758"/>
        <v>19.170951270948219</v>
      </c>
      <c r="BV397" s="1731">
        <f t="shared" si="758"/>
        <v>10.430626046163335</v>
      </c>
      <c r="BW397" s="1731">
        <f t="shared" si="758"/>
        <v>11.699242987737028</v>
      </c>
      <c r="BX397" s="1732">
        <f t="shared" si="758"/>
        <v>18.885341144146093</v>
      </c>
      <c r="BY397" s="1730">
        <f t="shared" si="758"/>
        <v>19.660152005301462</v>
      </c>
      <c r="BZ397" s="1731">
        <f t="shared" si="758"/>
        <v>12.699647464861489</v>
      </c>
      <c r="CA397" s="1731">
        <f t="shared" si="758"/>
        <v>14.436911707683713</v>
      </c>
      <c r="CB397" s="1732">
        <f t="shared" si="758"/>
        <v>46.370514225272018</v>
      </c>
      <c r="CC397" s="1730">
        <f t="shared" si="758"/>
        <v>34.945885014810614</v>
      </c>
      <c r="CD397" s="1731">
        <f t="shared" si="758"/>
        <v>20.809606412509929</v>
      </c>
      <c r="CE397" s="1731">
        <f t="shared" si="758"/>
        <v>19.043003773746985</v>
      </c>
      <c r="CF397" s="1732">
        <f t="shared" si="758"/>
        <v>22.856796982267923</v>
      </c>
      <c r="CG397" s="582"/>
      <c r="CH397" s="635"/>
      <c r="CI397" s="465"/>
      <c r="CJ397" s="538"/>
      <c r="CK397" s="538"/>
      <c r="CL397" s="538"/>
      <c r="CM397" s="538"/>
      <c r="CN397" s="538"/>
      <c r="CO397" s="538"/>
      <c r="CP397" s="1731">
        <f t="shared" ref="CP397:DF397" si="759">+(CP375-CO375)/(CP364-CO364)</f>
        <v>20.959015263215488</v>
      </c>
      <c r="CQ397" s="1731">
        <f t="shared" si="759"/>
        <v>23.15842922415915</v>
      </c>
      <c r="CR397" s="1731">
        <f t="shared" si="759"/>
        <v>21.884421979073352</v>
      </c>
      <c r="CS397" s="1731">
        <f t="shared" si="759"/>
        <v>19.488524252777886</v>
      </c>
      <c r="CT397" s="1731">
        <f t="shared" si="759"/>
        <v>16.981296967946228</v>
      </c>
      <c r="CU397" s="1731">
        <f t="shared" si="759"/>
        <v>16.893484532926216</v>
      </c>
      <c r="CV397" s="1731">
        <f t="shared" si="759"/>
        <v>15.283165775108046</v>
      </c>
      <c r="CW397" s="1731">
        <f t="shared" si="759"/>
        <v>14.7395365136703</v>
      </c>
      <c r="CX397" s="1882">
        <f t="shared" si="759"/>
        <v>17.159169343847658</v>
      </c>
      <c r="CY397" s="1882">
        <f t="shared" si="759"/>
        <v>22.203047434219354</v>
      </c>
      <c r="CZ397" s="1731">
        <f t="shared" si="759"/>
        <v>19.015245866399603</v>
      </c>
      <c r="DA397" s="1731">
        <f t="shared" si="759"/>
        <v>18.846584300098979</v>
      </c>
      <c r="DB397" s="1731">
        <f t="shared" si="759"/>
        <v>18.997871458293634</v>
      </c>
      <c r="DC397" s="1731">
        <f t="shared" si="759"/>
        <v>18.936272010357499</v>
      </c>
      <c r="DD397" s="1731">
        <f t="shared" si="759"/>
        <v>18.892153732094993</v>
      </c>
      <c r="DE397" s="1731">
        <f t="shared" si="759"/>
        <v>18.825458704055489</v>
      </c>
      <c r="DF397" s="1732">
        <f t="shared" si="759"/>
        <v>19.229310199275002</v>
      </c>
      <c r="DG397" s="1474"/>
      <c r="DH397" s="1474"/>
      <c r="DI397" s="465"/>
    </row>
    <row r="398" spans="1:113" s="1897" customFormat="1" ht="11.25" customHeight="1">
      <c r="A398" s="1447"/>
      <c r="B398"/>
      <c r="C398"/>
      <c r="D398"/>
      <c r="E398"/>
      <c r="F398"/>
      <c r="G398"/>
      <c r="H398" s="1885"/>
      <c r="I398" s="1886" t="s">
        <v>376</v>
      </c>
      <c r="J398" s="1887"/>
      <c r="K398" s="1887"/>
      <c r="L398" s="1888"/>
      <c r="M398" s="1889"/>
      <c r="N398" s="1889"/>
      <c r="O398" s="1889"/>
      <c r="P398" s="1889"/>
      <c r="Q398" s="1889"/>
      <c r="R398" s="1889"/>
      <c r="S398" s="1889"/>
      <c r="T398" s="1889"/>
      <c r="U398" s="1890"/>
      <c r="V398" s="1890"/>
      <c r="W398" s="1890"/>
      <c r="X398" s="1890"/>
      <c r="Y398" s="1890"/>
      <c r="Z398" s="1890"/>
      <c r="AA398" s="1890"/>
      <c r="AB398" s="1890"/>
      <c r="AC398" s="1975"/>
      <c r="AD398" s="1890"/>
      <c r="AE398" s="1890"/>
      <c r="AF398" s="1976"/>
      <c r="AG398" s="1883"/>
      <c r="AH398" s="1883"/>
      <c r="AI398" s="1883"/>
      <c r="AJ398" s="1884"/>
      <c r="AK398" s="1892"/>
      <c r="AL398" s="1893"/>
      <c r="AM398" s="1893"/>
      <c r="AN398" s="1884"/>
      <c r="AO398" s="1892"/>
      <c r="AP398" s="1883"/>
      <c r="AQ398" s="1883"/>
      <c r="AR398" s="1884"/>
      <c r="AS398" s="1891">
        <f t="shared" ref="AS398:CF398" si="760">+AS397/AO397-1</f>
        <v>-0.68679710871135502</v>
      </c>
      <c r="AT398" s="1883">
        <f t="shared" si="760"/>
        <v>-0.75220400221614281</v>
      </c>
      <c r="AU398" s="1883">
        <f t="shared" si="760"/>
        <v>-0.69248305978321723</v>
      </c>
      <c r="AV398" s="1884">
        <f t="shared" si="760"/>
        <v>-0.69697222017587057</v>
      </c>
      <c r="AW398" s="1891">
        <f t="shared" si="760"/>
        <v>-3.740998003181617E-2</v>
      </c>
      <c r="AX398" s="1883">
        <f t="shared" si="760"/>
        <v>0.28005690655744697</v>
      </c>
      <c r="AY398" s="1883">
        <f t="shared" si="760"/>
        <v>2.9751771837871921E-2</v>
      </c>
      <c r="AZ398" s="1884">
        <f t="shared" si="760"/>
        <v>1.2647139503393579E-2</v>
      </c>
      <c r="BA398" s="1891">
        <f t="shared" si="760"/>
        <v>9.5729913785135512E-2</v>
      </c>
      <c r="BB398" s="1883">
        <f t="shared" si="760"/>
        <v>-2.3108676962604102E-2</v>
      </c>
      <c r="BC398" s="1883">
        <f t="shared" si="760"/>
        <v>-3.8455694506579374E-2</v>
      </c>
      <c r="BD398" s="1884">
        <f t="shared" si="760"/>
        <v>-0.13379556044136964</v>
      </c>
      <c r="BE398" s="1891">
        <f t="shared" si="760"/>
        <v>-5.2068721116771965E-2</v>
      </c>
      <c r="BF398" s="1883">
        <f t="shared" si="760"/>
        <v>-0.14117292085245814</v>
      </c>
      <c r="BG398" s="1883">
        <f t="shared" si="760"/>
        <v>-0.16802147865512862</v>
      </c>
      <c r="BH398" s="1884">
        <f t="shared" si="760"/>
        <v>-8.6844605158742705E-2</v>
      </c>
      <c r="BI398" s="1891">
        <f t="shared" si="760"/>
        <v>-0.24175311579585845</v>
      </c>
      <c r="BJ398" s="1883">
        <f t="shared" si="760"/>
        <v>-0.24474076800465538</v>
      </c>
      <c r="BK398" s="1883">
        <f t="shared" si="760"/>
        <v>-0.18033646486957344</v>
      </c>
      <c r="BL398" s="1884">
        <f t="shared" si="760"/>
        <v>0.21827190195525681</v>
      </c>
      <c r="BM398" s="1891">
        <f t="shared" si="760"/>
        <v>0.28638479959038099</v>
      </c>
      <c r="BN398" s="1883">
        <f t="shared" si="760"/>
        <v>9.3719713640465496E-2</v>
      </c>
      <c r="BO398" s="1883">
        <f t="shared" si="760"/>
        <v>6.6510521230796593E-2</v>
      </c>
      <c r="BP398" s="1884">
        <f t="shared" si="760"/>
        <v>-0.36968062979546634</v>
      </c>
      <c r="BQ398" s="1891">
        <f t="shared" si="760"/>
        <v>-0.3219308734736146</v>
      </c>
      <c r="BR398" s="1883">
        <f t="shared" si="760"/>
        <v>-0.15358878846661417</v>
      </c>
      <c r="BS398" s="1883">
        <f t="shared" si="760"/>
        <v>-1.9487014136965186E-2</v>
      </c>
      <c r="BT398" s="1884">
        <f t="shared" si="760"/>
        <v>0.35501970281411022</v>
      </c>
      <c r="BU398" s="1891">
        <f t="shared" si="760"/>
        <v>0.29882275328300612</v>
      </c>
      <c r="BV398" s="1883">
        <f t="shared" si="760"/>
        <v>-0.26775809241722726</v>
      </c>
      <c r="BW398" s="1883">
        <f t="shared" si="760"/>
        <v>-0.2303134535002942</v>
      </c>
      <c r="BX398" s="1884">
        <f t="shared" si="760"/>
        <v>-1.256235660481364E-2</v>
      </c>
      <c r="BY398" s="1891">
        <f t="shared" si="760"/>
        <v>2.5517812206563795E-2</v>
      </c>
      <c r="BZ398" s="1883">
        <f t="shared" si="760"/>
        <v>0.21753453806665424</v>
      </c>
      <c r="CA398" s="1883">
        <f t="shared" si="760"/>
        <v>0.23400391998151227</v>
      </c>
      <c r="CB398" s="1884">
        <f t="shared" si="760"/>
        <v>1.4553707487378658</v>
      </c>
      <c r="CC398" s="1891">
        <f t="shared" si="760"/>
        <v>0.7774982108677122</v>
      </c>
      <c r="CD398" s="1883">
        <f t="shared" si="760"/>
        <v>0.63859717130635274</v>
      </c>
      <c r="CE398" s="1883">
        <f t="shared" si="760"/>
        <v>0.31904968038363668</v>
      </c>
      <c r="CF398" s="1884">
        <f t="shared" si="760"/>
        <v>-0.50708338339256698</v>
      </c>
      <c r="CG398" s="1894"/>
      <c r="CH398" s="1895"/>
      <c r="CI398" s="1889"/>
      <c r="CJ398" s="1890"/>
      <c r="CK398" s="1890"/>
      <c r="CL398" s="1890"/>
      <c r="CM398" s="1890"/>
      <c r="CN398" s="1890"/>
      <c r="CO398" s="1890"/>
      <c r="CP398" s="1890"/>
      <c r="CQ398" s="1883">
        <f>+CQ397/CP397-1</f>
        <v>0.10493880238752373</v>
      </c>
      <c r="CR398" s="1883">
        <f>+CR397/CQ397-1</f>
        <v>-5.501267951959099E-2</v>
      </c>
      <c r="CS398" s="1883">
        <f t="shared" ref="CS398:DF398" si="761">+CS397/CR397-1</f>
        <v>-0.10947959825425169</v>
      </c>
      <c r="CT398" s="1883">
        <f t="shared" si="761"/>
        <v>-0.12865146956800888</v>
      </c>
      <c r="CU398" s="1883">
        <f t="shared" si="761"/>
        <v>-5.1711265155874875E-3</v>
      </c>
      <c r="CV398" s="1883">
        <f t="shared" si="761"/>
        <v>-9.5321883101119886E-2</v>
      </c>
      <c r="CW398" s="1883">
        <f t="shared" si="761"/>
        <v>-3.5570461607055459E-2</v>
      </c>
      <c r="CX398" s="1883">
        <f t="shared" si="761"/>
        <v>0.16415935656682623</v>
      </c>
      <c r="CY398" s="1883">
        <f t="shared" si="761"/>
        <v>0.29394651858134124</v>
      </c>
      <c r="CZ398" s="1883">
        <f t="shared" si="761"/>
        <v>-0.14357495642272544</v>
      </c>
      <c r="DA398" s="1883">
        <f t="shared" si="761"/>
        <v>-8.8698072844092257E-3</v>
      </c>
      <c r="DB398" s="1883">
        <f t="shared" si="761"/>
        <v>8.0272985165732447E-3</v>
      </c>
      <c r="DC398" s="1883">
        <f t="shared" si="761"/>
        <v>-3.2424394528285383E-3</v>
      </c>
      <c r="DD398" s="1883">
        <f t="shared" si="761"/>
        <v>-2.3298291362933155E-3</v>
      </c>
      <c r="DE398" s="1883">
        <f t="shared" si="761"/>
        <v>-3.5303030551884218E-3</v>
      </c>
      <c r="DF398" s="1884">
        <f t="shared" si="761"/>
        <v>2.1452411947471495E-2</v>
      </c>
      <c r="DG398" s="1896"/>
      <c r="DH398" s="1899"/>
      <c r="DI398" s="1889"/>
    </row>
    <row r="399" spans="1:113" s="632" customFormat="1" ht="11.25" customHeight="1">
      <c r="A399" s="542"/>
      <c r="B399"/>
      <c r="C399"/>
      <c r="D399"/>
      <c r="E399"/>
      <c r="F399"/>
      <c r="G399"/>
      <c r="H399" s="1052"/>
      <c r="I399" s="1880"/>
      <c r="J399" s="634"/>
      <c r="K399" s="634"/>
      <c r="L399" s="631"/>
      <c r="M399" s="465"/>
      <c r="N399" s="465"/>
      <c r="O399" s="465"/>
      <c r="P399" s="465"/>
      <c r="Q399" s="465"/>
      <c r="R399" s="465"/>
      <c r="S399" s="465"/>
      <c r="T399" s="465"/>
      <c r="U399" s="354"/>
      <c r="V399" s="354"/>
      <c r="W399" s="354"/>
      <c r="X399" s="354"/>
      <c r="Y399" s="354"/>
      <c r="Z399" s="354"/>
      <c r="AA399" s="354"/>
      <c r="AB399" s="354"/>
      <c r="AC399" s="1511"/>
      <c r="AD399" s="354"/>
      <c r="AE399" s="354"/>
      <c r="AF399" s="355"/>
      <c r="AG399" s="1373"/>
      <c r="AH399" s="1373"/>
      <c r="AI399" s="1373"/>
      <c r="AJ399" s="1374"/>
      <c r="AK399" s="1881"/>
      <c r="AL399" s="1714"/>
      <c r="AM399" s="1714"/>
      <c r="AN399" s="1374"/>
      <c r="AO399" s="1881"/>
      <c r="AP399" s="1373"/>
      <c r="AQ399" s="1373"/>
      <c r="AR399" s="1374"/>
      <c r="AS399" s="1726"/>
      <c r="AT399" s="1373"/>
      <c r="AU399" s="1373"/>
      <c r="AV399" s="1374"/>
      <c r="AW399" s="1726"/>
      <c r="AX399" s="1373"/>
      <c r="AY399" s="1373"/>
      <c r="AZ399" s="1374"/>
      <c r="BA399" s="1726"/>
      <c r="BB399" s="1373"/>
      <c r="BC399" s="1373"/>
      <c r="BD399" s="1374"/>
      <c r="BE399" s="1726"/>
      <c r="BF399" s="1373"/>
      <c r="BG399" s="1373"/>
      <c r="BH399" s="1374"/>
      <c r="BI399" s="1726"/>
      <c r="BJ399" s="1373"/>
      <c r="BK399" s="1373"/>
      <c r="BL399" s="1374"/>
      <c r="BM399" s="1726"/>
      <c r="BN399" s="1373"/>
      <c r="BO399" s="1373"/>
      <c r="BP399" s="1374"/>
      <c r="BQ399" s="1726"/>
      <c r="BR399" s="1373"/>
      <c r="BS399" s="1373"/>
      <c r="BT399" s="1374"/>
      <c r="BU399" s="1726"/>
      <c r="BV399" s="1373"/>
      <c r="BW399" s="1373"/>
      <c r="BX399" s="1374"/>
      <c r="BY399" s="1726"/>
      <c r="BZ399" s="1373"/>
      <c r="CA399" s="1373"/>
      <c r="CB399" s="1374"/>
      <c r="CC399" s="1726"/>
      <c r="CD399" s="1373"/>
      <c r="CE399" s="1373"/>
      <c r="CF399" s="1374"/>
      <c r="CG399" s="582"/>
      <c r="CH399" s="635"/>
      <c r="CI399" s="465"/>
      <c r="CJ399" s="354"/>
      <c r="CK399" s="354"/>
      <c r="CL399" s="354"/>
      <c r="CM399" s="354"/>
      <c r="CN399" s="354"/>
      <c r="CO399" s="354"/>
      <c r="CP399" s="354"/>
      <c r="CQ399" s="1373"/>
      <c r="CR399" s="1373"/>
      <c r="CS399" s="1373"/>
      <c r="CT399" s="1373"/>
      <c r="CU399" s="1373"/>
      <c r="CV399" s="1373"/>
      <c r="CW399" s="1373"/>
      <c r="CX399" s="1373"/>
      <c r="CY399" s="1373"/>
      <c r="CZ399" s="1373"/>
      <c r="DA399" s="1373"/>
      <c r="DB399" s="1373"/>
      <c r="DC399" s="1373"/>
      <c r="DD399" s="1373"/>
      <c r="DE399" s="1373"/>
      <c r="DF399" s="1374"/>
      <c r="DG399" s="1474"/>
      <c r="DH399" s="1474"/>
      <c r="DI399" s="465"/>
    </row>
    <row r="400" spans="1:113" s="2037" customFormat="1" ht="11.25" customHeight="1">
      <c r="A400" s="2021"/>
      <c r="B400"/>
      <c r="C400"/>
      <c r="D400"/>
      <c r="E400"/>
      <c r="F400"/>
      <c r="G400"/>
      <c r="H400" s="2022"/>
      <c r="I400" s="2023" t="s">
        <v>693</v>
      </c>
      <c r="J400" s="2024"/>
      <c r="K400" s="2024"/>
      <c r="L400" s="2024"/>
      <c r="M400" s="2110"/>
      <c r="N400" s="2110"/>
      <c r="O400" s="2110"/>
      <c r="P400" s="2110"/>
      <c r="Q400" s="2110"/>
      <c r="R400" s="2110"/>
      <c r="S400" s="2110"/>
      <c r="T400" s="2110"/>
      <c r="U400" s="2111"/>
      <c r="V400" s="2111"/>
      <c r="W400" s="2111"/>
      <c r="X400" s="2111"/>
      <c r="Y400" s="2111"/>
      <c r="Z400" s="2111"/>
      <c r="AA400" s="2111"/>
      <c r="AB400" s="2111"/>
      <c r="AC400" s="2112"/>
      <c r="AD400" s="2113"/>
      <c r="AE400" s="2113"/>
      <c r="AF400" s="2114"/>
      <c r="AG400" s="2113">
        <f t="shared" ref="AG400:BL400" si="762">+AG346/AG374</f>
        <v>2.9272074566730186E-2</v>
      </c>
      <c r="AH400" s="2113">
        <f t="shared" si="762"/>
        <v>3.2881867687496631E-2</v>
      </c>
      <c r="AI400" s="2113">
        <f t="shared" si="762"/>
        <v>3.8265306122448987E-2</v>
      </c>
      <c r="AJ400" s="2114">
        <f t="shared" si="762"/>
        <v>3.624412386686602E-2</v>
      </c>
      <c r="AK400" s="2112">
        <f t="shared" si="762"/>
        <v>3.1975250653235733E-2</v>
      </c>
      <c r="AL400" s="2113">
        <f t="shared" si="762"/>
        <v>3.520091731306952E-2</v>
      </c>
      <c r="AM400" s="2113">
        <f t="shared" si="762"/>
        <v>3.8717666067680415E-2</v>
      </c>
      <c r="AN400" s="2114">
        <f t="shared" si="762"/>
        <v>3.603491489059852E-2</v>
      </c>
      <c r="AO400" s="2112">
        <f t="shared" si="762"/>
        <v>3.2866829067469121E-2</v>
      </c>
      <c r="AP400" s="2113">
        <f t="shared" si="762"/>
        <v>3.4531378482581462E-2</v>
      </c>
      <c r="AQ400" s="2113">
        <f t="shared" si="762"/>
        <v>4.1108998272067231E-2</v>
      </c>
      <c r="AR400" s="2114">
        <f t="shared" si="762"/>
        <v>3.7648039008502394E-2</v>
      </c>
      <c r="AS400" s="2112">
        <f t="shared" si="762"/>
        <v>3.5047108846337494E-2</v>
      </c>
      <c r="AT400" s="2113">
        <f t="shared" si="762"/>
        <v>3.7873164597184407E-2</v>
      </c>
      <c r="AU400" s="2113">
        <f t="shared" si="762"/>
        <v>4.2273048126849622E-2</v>
      </c>
      <c r="AV400" s="2114">
        <f t="shared" si="762"/>
        <v>4.0651742097653563E-2</v>
      </c>
      <c r="AW400" s="2112">
        <f t="shared" si="762"/>
        <v>3.8151985280104696E-2</v>
      </c>
      <c r="AX400" s="2113">
        <f t="shared" si="762"/>
        <v>3.8859532341401333E-2</v>
      </c>
      <c r="AY400" s="2113">
        <f t="shared" si="762"/>
        <v>4.3117074388417373E-2</v>
      </c>
      <c r="AZ400" s="2114">
        <f t="shared" si="762"/>
        <v>4.0975803981623281E-2</v>
      </c>
      <c r="BA400" s="2112">
        <f t="shared" si="762"/>
        <v>3.9680171489817791E-2</v>
      </c>
      <c r="BB400" s="2113">
        <f t="shared" si="762"/>
        <v>4.087923875432526E-2</v>
      </c>
      <c r="BC400" s="2113">
        <f t="shared" si="762"/>
        <v>4.4738053380214159E-2</v>
      </c>
      <c r="BD400" s="2114">
        <f t="shared" si="762"/>
        <v>4.3966303470540757E-2</v>
      </c>
      <c r="BE400" s="2112">
        <f t="shared" si="762"/>
        <v>4.1295783042765613E-2</v>
      </c>
      <c r="BF400" s="2113">
        <f t="shared" si="762"/>
        <v>4.2908991676899988E-2</v>
      </c>
      <c r="BG400" s="2113">
        <f t="shared" si="762"/>
        <v>4.790653728294178E-2</v>
      </c>
      <c r="BH400" s="2114">
        <f t="shared" si="762"/>
        <v>4.660039489671932E-2</v>
      </c>
      <c r="BI400" s="2112">
        <f t="shared" si="762"/>
        <v>4.404599584835573E-2</v>
      </c>
      <c r="BJ400" s="2113">
        <f t="shared" si="762"/>
        <v>4.577789858653751E-2</v>
      </c>
      <c r="BK400" s="2113">
        <f t="shared" si="762"/>
        <v>4.9527542963307011E-2</v>
      </c>
      <c r="BL400" s="2114">
        <f t="shared" si="762"/>
        <v>4.3684942000437731E-2</v>
      </c>
      <c r="BM400" s="2112">
        <f t="shared" ref="BM400:CF400" si="763">+BM346/BM374</f>
        <v>4.2414332247557002E-2</v>
      </c>
      <c r="BN400" s="2113">
        <f t="shared" si="763"/>
        <v>4.7248855074604815E-2</v>
      </c>
      <c r="BO400" s="2113">
        <f t="shared" si="763"/>
        <v>5.0626781451204514E-2</v>
      </c>
      <c r="BP400" s="2114">
        <f t="shared" si="763"/>
        <v>4.6899709165963033E-2</v>
      </c>
      <c r="BQ400" s="2112">
        <f t="shared" si="763"/>
        <v>4.599230490018149E-2</v>
      </c>
      <c r="BR400" s="2113">
        <f t="shared" si="763"/>
        <v>5.0714572192513373E-2</v>
      </c>
      <c r="BS400" s="2113">
        <f t="shared" si="763"/>
        <v>5.3101163892272298E-2</v>
      </c>
      <c r="BT400" s="2114">
        <f t="shared" si="763"/>
        <v>4.6712858926342075E-2</v>
      </c>
      <c r="BU400" s="2112">
        <f t="shared" si="763"/>
        <v>4.6832943013270879E-2</v>
      </c>
      <c r="BV400" s="2113">
        <f t="shared" si="763"/>
        <v>5.1548706751763519E-2</v>
      </c>
      <c r="BW400" s="2113">
        <f>+BW346/BW374</f>
        <v>5.6346099674972908E-2</v>
      </c>
      <c r="BX400" s="2114">
        <f t="shared" si="763"/>
        <v>4.8866199047114874E-2</v>
      </c>
      <c r="BY400" s="2112">
        <f t="shared" si="763"/>
        <v>4.7410112631120993E-2</v>
      </c>
      <c r="BZ400" s="2113">
        <f t="shared" si="763"/>
        <v>5.5180506803865936E-2</v>
      </c>
      <c r="CA400" s="2113">
        <f t="shared" si="763"/>
        <v>5.6260683760683765E-2</v>
      </c>
      <c r="CB400" s="2114">
        <f t="shared" si="763"/>
        <v>4.3885650723025582E-2</v>
      </c>
      <c r="CC400" s="2112">
        <f t="shared" si="763"/>
        <v>4.3867611197693231E-2</v>
      </c>
      <c r="CD400" s="2113">
        <f t="shared" si="763"/>
        <v>5.236529192579073E-2</v>
      </c>
      <c r="CE400" s="2113">
        <f t="shared" si="763"/>
        <v>5.4429248212459348E-2</v>
      </c>
      <c r="CF400" s="2114">
        <f t="shared" si="763"/>
        <v>4.3266841494126608E-2</v>
      </c>
      <c r="CG400" s="2115"/>
      <c r="CH400" s="2110"/>
      <c r="CI400" s="2110"/>
      <c r="CJ400" s="2111"/>
      <c r="CK400" s="2111"/>
      <c r="CL400" s="2111"/>
      <c r="CM400" s="2111"/>
      <c r="CN400" s="2111"/>
      <c r="CO400" s="2113">
        <f t="shared" ref="CO400:DF400" si="764">+CO346/CO374</f>
        <v>3.6582124309656183E-2</v>
      </c>
      <c r="CP400" s="2113">
        <f t="shared" si="764"/>
        <v>3.9245818126667685E-2</v>
      </c>
      <c r="CQ400" s="2113">
        <f t="shared" si="764"/>
        <v>4.0462044390704159E-2</v>
      </c>
      <c r="CR400" s="2113">
        <f t="shared" si="764"/>
        <v>4.244219226151999E-2</v>
      </c>
      <c r="CS400" s="2113">
        <f t="shared" si="764"/>
        <v>4.4758117795895412E-2</v>
      </c>
      <c r="CT400" s="2113">
        <f t="shared" si="764"/>
        <v>4.591542644168177E-2</v>
      </c>
      <c r="CU400" s="2113">
        <f t="shared" si="764"/>
        <v>4.6922882703777334E-2</v>
      </c>
      <c r="CV400" s="2113">
        <f t="shared" si="764"/>
        <v>4.9312382941939202E-2</v>
      </c>
      <c r="CW400" s="2113">
        <f t="shared" si="764"/>
        <v>5.1100606576879579E-2</v>
      </c>
      <c r="CX400" s="2113">
        <f>+CX346/CX374</f>
        <v>5.0990704946691952E-2</v>
      </c>
      <c r="CY400" s="2113">
        <f t="shared" si="764"/>
        <v>4.8641289832098561E-2</v>
      </c>
      <c r="CZ400" s="2113">
        <f t="shared" si="764"/>
        <v>4.8337204017689879E-2</v>
      </c>
      <c r="DA400" s="2113">
        <f t="shared" si="764"/>
        <v>4.8302344599154216E-2</v>
      </c>
      <c r="DB400" s="2113">
        <f t="shared" si="764"/>
        <v>4.8289623421081278E-2</v>
      </c>
      <c r="DC400" s="2113">
        <f t="shared" si="764"/>
        <v>4.8286528808900497E-2</v>
      </c>
      <c r="DD400" s="2113">
        <f t="shared" si="764"/>
        <v>4.8290135730566612E-2</v>
      </c>
      <c r="DE400" s="2113">
        <f t="shared" si="764"/>
        <v>4.8300283319863642E-2</v>
      </c>
      <c r="DF400" s="2114">
        <f t="shared" si="764"/>
        <v>4.8306924062336887E-2</v>
      </c>
      <c r="DG400" s="2116"/>
      <c r="DH400" s="2116"/>
    </row>
    <row r="401" spans="1:116" s="6" customFormat="1" ht="11.25" customHeight="1">
      <c r="A401" s="39"/>
      <c r="B401"/>
      <c r="C401"/>
      <c r="D401"/>
      <c r="E401"/>
      <c r="F401"/>
      <c r="G401"/>
      <c r="H401" s="39"/>
      <c r="I401" s="1332" t="s">
        <v>623</v>
      </c>
      <c r="J401" s="5"/>
      <c r="K401" s="5"/>
      <c r="L401" s="5"/>
      <c r="M401" s="1141"/>
      <c r="N401" s="1141"/>
      <c r="O401" s="1141"/>
      <c r="P401" s="1141"/>
      <c r="Q401" s="1141"/>
      <c r="R401" s="1141"/>
      <c r="S401" s="1141"/>
      <c r="T401" s="1141"/>
      <c r="U401" s="1964"/>
      <c r="V401" s="1964"/>
      <c r="W401" s="1964"/>
      <c r="X401" s="1964"/>
      <c r="Y401" s="1964"/>
      <c r="Z401" s="1964"/>
      <c r="AA401" s="1964"/>
      <c r="AB401" s="1964"/>
      <c r="AC401" s="1511"/>
      <c r="AD401" s="354"/>
      <c r="AE401" s="354"/>
      <c r="AF401" s="355"/>
      <c r="AG401" s="354"/>
      <c r="AH401" s="354"/>
      <c r="AI401" s="354"/>
      <c r="AJ401" s="355"/>
      <c r="AK401" s="1511">
        <f t="shared" ref="AK401:CF401" si="765">+(AK400-AG400)*10000</f>
        <v>27.031760865055475</v>
      </c>
      <c r="AL401" s="354">
        <f t="shared" si="765"/>
        <v>23.190496255728888</v>
      </c>
      <c r="AM401" s="354">
        <f t="shared" si="765"/>
        <v>4.5235994523142722</v>
      </c>
      <c r="AN401" s="355">
        <f t="shared" si="765"/>
        <v>-2.0920897626749979</v>
      </c>
      <c r="AO401" s="1511">
        <f t="shared" si="765"/>
        <v>8.9157841423338766</v>
      </c>
      <c r="AP401" s="354">
        <f t="shared" si="765"/>
        <v>-6.6953883048805753</v>
      </c>
      <c r="AQ401" s="354">
        <f t="shared" si="765"/>
        <v>23.91332204386816</v>
      </c>
      <c r="AR401" s="355">
        <f t="shared" si="765"/>
        <v>16.131241179038746</v>
      </c>
      <c r="AS401" s="1511">
        <f t="shared" si="765"/>
        <v>21.80279778868373</v>
      </c>
      <c r="AT401" s="354">
        <f t="shared" si="765"/>
        <v>33.417861146029445</v>
      </c>
      <c r="AU401" s="354">
        <f t="shared" si="765"/>
        <v>11.64049854782391</v>
      </c>
      <c r="AV401" s="355">
        <f t="shared" si="765"/>
        <v>30.037030891511691</v>
      </c>
      <c r="AW401" s="1511">
        <f t="shared" si="765"/>
        <v>31.048764337672022</v>
      </c>
      <c r="AX401" s="354">
        <f t="shared" si="765"/>
        <v>9.8636774421692603</v>
      </c>
      <c r="AY401" s="354">
        <f t="shared" si="765"/>
        <v>8.4402626156775131</v>
      </c>
      <c r="AZ401" s="355">
        <f t="shared" si="765"/>
        <v>3.2406188396971736</v>
      </c>
      <c r="BA401" s="1511">
        <f t="shared" si="765"/>
        <v>15.281862097130949</v>
      </c>
      <c r="BB401" s="354">
        <f t="shared" si="765"/>
        <v>20.197064129239273</v>
      </c>
      <c r="BC401" s="354">
        <f t="shared" si="765"/>
        <v>16.209789917967857</v>
      </c>
      <c r="BD401" s="355">
        <f t="shared" si="765"/>
        <v>29.904994889174766</v>
      </c>
      <c r="BE401" s="1511">
        <f t="shared" si="765"/>
        <v>16.156115529478225</v>
      </c>
      <c r="BF401" s="354">
        <f t="shared" si="765"/>
        <v>20.297529225747276</v>
      </c>
      <c r="BG401" s="354">
        <f t="shared" si="765"/>
        <v>31.684839027276215</v>
      </c>
      <c r="BH401" s="355">
        <f t="shared" si="765"/>
        <v>26.340914261785628</v>
      </c>
      <c r="BI401" s="1511">
        <f t="shared" si="765"/>
        <v>27.502128055901174</v>
      </c>
      <c r="BJ401" s="354">
        <f t="shared" si="765"/>
        <v>28.689069096375224</v>
      </c>
      <c r="BK401" s="354">
        <f t="shared" si="765"/>
        <v>16.210056803652311</v>
      </c>
      <c r="BL401" s="355">
        <f t="shared" si="765"/>
        <v>-29.154528962815895</v>
      </c>
      <c r="BM401" s="1511">
        <f t="shared" si="765"/>
        <v>-16.316636007987288</v>
      </c>
      <c r="BN401" s="354">
        <f t="shared" si="765"/>
        <v>14.709564880673042</v>
      </c>
      <c r="BO401" s="354">
        <f t="shared" si="765"/>
        <v>10.992384878975026</v>
      </c>
      <c r="BP401" s="355">
        <f t="shared" si="765"/>
        <v>32.147671655253021</v>
      </c>
      <c r="BQ401" s="1511">
        <f t="shared" si="765"/>
        <v>35.779726526244879</v>
      </c>
      <c r="BR401" s="354">
        <f t="shared" si="765"/>
        <v>34.65717117908558</v>
      </c>
      <c r="BS401" s="354">
        <f t="shared" si="765"/>
        <v>24.743824410677835</v>
      </c>
      <c r="BT401" s="355">
        <f t="shared" si="765"/>
        <v>-1.868502396209573</v>
      </c>
      <c r="BU401" s="1511">
        <f t="shared" si="765"/>
        <v>8.406381130893898</v>
      </c>
      <c r="BV401" s="354">
        <f t="shared" si="765"/>
        <v>8.3413455925014652</v>
      </c>
      <c r="BW401" s="354">
        <f t="shared" si="765"/>
        <v>32.449357827006104</v>
      </c>
      <c r="BX401" s="355">
        <f t="shared" si="765"/>
        <v>21.53340120772798</v>
      </c>
      <c r="BY401" s="1511">
        <f t="shared" si="765"/>
        <v>5.7716961785011369</v>
      </c>
      <c r="BZ401" s="354">
        <f t="shared" si="765"/>
        <v>36.318000521024175</v>
      </c>
      <c r="CA401" s="354">
        <f t="shared" si="765"/>
        <v>-0.85415914289142802</v>
      </c>
      <c r="CB401" s="355">
        <f t="shared" si="765"/>
        <v>-49.805483240892912</v>
      </c>
      <c r="CC401" s="1511">
        <f t="shared" si="765"/>
        <v>-35.425014334277627</v>
      </c>
      <c r="CD401" s="354">
        <f t="shared" si="765"/>
        <v>-28.152148780752061</v>
      </c>
      <c r="CE401" s="354">
        <f t="shared" si="765"/>
        <v>-18.314355482244167</v>
      </c>
      <c r="CF401" s="355">
        <f t="shared" si="765"/>
        <v>-6.1880922889897407</v>
      </c>
      <c r="CG401" s="1190"/>
      <c r="CH401" s="1141"/>
      <c r="CI401" s="1141"/>
      <c r="CJ401" s="1964"/>
      <c r="CK401" s="1964"/>
      <c r="CL401" s="1964"/>
      <c r="CM401" s="1964"/>
      <c r="CN401" s="1964"/>
      <c r="CO401" s="354"/>
      <c r="CP401" s="354">
        <f>+(CP400-CO400)*10000</f>
        <v>26.63693817011502</v>
      </c>
      <c r="CQ401" s="354">
        <f t="shared" ref="CQ401:DF401" si="766">+(CQ400-CP400)*10000</f>
        <v>12.162262640364741</v>
      </c>
      <c r="CR401" s="354">
        <f t="shared" si="766"/>
        <v>19.801478708158307</v>
      </c>
      <c r="CS401" s="354">
        <f t="shared" si="766"/>
        <v>23.159255343754221</v>
      </c>
      <c r="CT401" s="354">
        <f t="shared" si="766"/>
        <v>11.573086457863576</v>
      </c>
      <c r="CU401" s="354">
        <f t="shared" si="766"/>
        <v>10.074562620955643</v>
      </c>
      <c r="CV401" s="354">
        <f t="shared" si="766"/>
        <v>23.895002381618681</v>
      </c>
      <c r="CW401" s="354">
        <f t="shared" si="766"/>
        <v>17.882236349403765</v>
      </c>
      <c r="CX401" s="354">
        <f t="shared" si="766"/>
        <v>-1.0990163018762682</v>
      </c>
      <c r="CY401" s="354">
        <f t="shared" si="766"/>
        <v>-23.494151145933909</v>
      </c>
      <c r="CZ401" s="354">
        <f t="shared" si="766"/>
        <v>-3.0408581440868194</v>
      </c>
      <c r="DA401" s="354">
        <f t="shared" si="766"/>
        <v>-0.34859418535662656</v>
      </c>
      <c r="DB401" s="354">
        <f t="shared" si="766"/>
        <v>-0.12721178072938599</v>
      </c>
      <c r="DC401" s="354">
        <f t="shared" si="766"/>
        <v>-3.0946121807803872E-2</v>
      </c>
      <c r="DD401" s="354">
        <f t="shared" si="766"/>
        <v>3.6069216661147041E-2</v>
      </c>
      <c r="DE401" s="354">
        <f t="shared" si="766"/>
        <v>0.10147589297029858</v>
      </c>
      <c r="DF401" s="355">
        <f t="shared" si="766"/>
        <v>6.6407424732448095E-2</v>
      </c>
      <c r="DG401" s="1965"/>
      <c r="DH401" s="1965"/>
    </row>
    <row r="402" spans="1:116" s="6" customFormat="1" ht="11.25" customHeight="1">
      <c r="A402" s="39"/>
      <c r="B402"/>
      <c r="C402"/>
      <c r="D402"/>
      <c r="E402"/>
      <c r="F402"/>
      <c r="G402"/>
      <c r="H402" s="39"/>
      <c r="I402" s="1332" t="s">
        <v>607</v>
      </c>
      <c r="J402" s="5"/>
      <c r="K402" s="5"/>
      <c r="L402" s="5"/>
      <c r="M402" s="1141"/>
      <c r="N402" s="1141"/>
      <c r="O402" s="1141"/>
      <c r="P402" s="1141"/>
      <c r="Q402" s="1141"/>
      <c r="R402" s="1141"/>
      <c r="S402" s="1141"/>
      <c r="T402" s="1141"/>
      <c r="U402" s="1964"/>
      <c r="V402" s="1964"/>
      <c r="W402" s="1964"/>
      <c r="X402" s="1964"/>
      <c r="Y402" s="1964"/>
      <c r="Z402" s="1964"/>
      <c r="AA402" s="1964"/>
      <c r="AB402" s="1964"/>
      <c r="AC402" s="1511"/>
      <c r="AD402" s="354"/>
      <c r="AE402" s="354"/>
      <c r="AF402" s="355"/>
      <c r="AG402" s="354"/>
      <c r="AH402" s="354">
        <f t="shared" ref="AH402:BM402" si="767">+(AH400-AG400)*10000</f>
        <v>36.097931207664452</v>
      </c>
      <c r="AI402" s="354">
        <f t="shared" si="767"/>
        <v>53.83438434952356</v>
      </c>
      <c r="AJ402" s="355">
        <f t="shared" si="767"/>
        <v>-20.211822555829677</v>
      </c>
      <c r="AK402" s="1511">
        <f t="shared" si="767"/>
        <v>-42.688732136302868</v>
      </c>
      <c r="AL402" s="354">
        <f t="shared" si="767"/>
        <v>32.256666598337866</v>
      </c>
      <c r="AM402" s="354">
        <f t="shared" si="767"/>
        <v>35.167487546108944</v>
      </c>
      <c r="AN402" s="355">
        <f t="shared" si="767"/>
        <v>-26.827511770818948</v>
      </c>
      <c r="AO402" s="1511">
        <f t="shared" si="767"/>
        <v>-31.680858231293989</v>
      </c>
      <c r="AP402" s="354">
        <f t="shared" si="767"/>
        <v>16.645494151123415</v>
      </c>
      <c r="AQ402" s="354">
        <f t="shared" si="767"/>
        <v>65.776197894857688</v>
      </c>
      <c r="AR402" s="355">
        <f t="shared" si="767"/>
        <v>-34.609592635648362</v>
      </c>
      <c r="AS402" s="1511">
        <f t="shared" si="767"/>
        <v>-26.009301621649008</v>
      </c>
      <c r="AT402" s="354">
        <f t="shared" si="767"/>
        <v>28.260557508469134</v>
      </c>
      <c r="AU402" s="354">
        <f t="shared" si="767"/>
        <v>43.998835296652146</v>
      </c>
      <c r="AV402" s="355">
        <f t="shared" si="767"/>
        <v>-16.213060291960581</v>
      </c>
      <c r="AW402" s="1511">
        <f t="shared" si="767"/>
        <v>-24.997568175488677</v>
      </c>
      <c r="AX402" s="354">
        <f t="shared" si="767"/>
        <v>7.075470612966372</v>
      </c>
      <c r="AY402" s="354">
        <f t="shared" si="767"/>
        <v>42.575420470160402</v>
      </c>
      <c r="AZ402" s="355">
        <f t="shared" si="767"/>
        <v>-21.412704067940922</v>
      </c>
      <c r="BA402" s="1511">
        <f t="shared" si="767"/>
        <v>-12.956324918054902</v>
      </c>
      <c r="BB402" s="354">
        <f t="shared" si="767"/>
        <v>11.990672645074696</v>
      </c>
      <c r="BC402" s="354">
        <f t="shared" si="767"/>
        <v>38.588146258888983</v>
      </c>
      <c r="BD402" s="355">
        <f t="shared" si="767"/>
        <v>-7.717499096734012</v>
      </c>
      <c r="BE402" s="1511">
        <f t="shared" si="767"/>
        <v>-26.705204277751442</v>
      </c>
      <c r="BF402" s="354">
        <f t="shared" si="767"/>
        <v>16.132086341343747</v>
      </c>
      <c r="BG402" s="354">
        <f t="shared" si="767"/>
        <v>49.975456060417919</v>
      </c>
      <c r="BH402" s="355">
        <f t="shared" si="767"/>
        <v>-13.061423862224601</v>
      </c>
      <c r="BI402" s="1511">
        <f t="shared" si="767"/>
        <v>-25.543990483635898</v>
      </c>
      <c r="BJ402" s="354">
        <f t="shared" si="767"/>
        <v>17.319027381817801</v>
      </c>
      <c r="BK402" s="354">
        <f t="shared" si="767"/>
        <v>37.496443767695013</v>
      </c>
      <c r="BL402" s="355">
        <f t="shared" si="767"/>
        <v>-58.42600962869281</v>
      </c>
      <c r="BM402" s="1511">
        <f t="shared" si="767"/>
        <v>-12.706097528807289</v>
      </c>
      <c r="BN402" s="354">
        <f t="shared" ref="BN402:CF402" si="768">+(BN400-BM400)*10000</f>
        <v>48.345228270478131</v>
      </c>
      <c r="BO402" s="354">
        <f t="shared" si="768"/>
        <v>33.779263765996994</v>
      </c>
      <c r="BP402" s="355">
        <f t="shared" si="768"/>
        <v>-37.270722852414814</v>
      </c>
      <c r="BQ402" s="1511">
        <f t="shared" si="768"/>
        <v>-9.074042657815431</v>
      </c>
      <c r="BR402" s="354">
        <f t="shared" si="768"/>
        <v>47.222672923318832</v>
      </c>
      <c r="BS402" s="354">
        <f t="shared" si="768"/>
        <v>23.865916997589249</v>
      </c>
      <c r="BT402" s="355">
        <f t="shared" si="768"/>
        <v>-63.883049659302223</v>
      </c>
      <c r="BU402" s="1511">
        <f t="shared" si="768"/>
        <v>1.200840869288039</v>
      </c>
      <c r="BV402" s="354">
        <f t="shared" si="768"/>
        <v>47.157637384926396</v>
      </c>
      <c r="BW402" s="354">
        <f t="shared" si="768"/>
        <v>47.973929232093887</v>
      </c>
      <c r="BX402" s="355">
        <f t="shared" si="768"/>
        <v>-74.799006278580336</v>
      </c>
      <c r="BY402" s="1511">
        <f t="shared" si="768"/>
        <v>-14.560864159938806</v>
      </c>
      <c r="BZ402" s="354">
        <f t="shared" si="768"/>
        <v>77.703941727449433</v>
      </c>
      <c r="CA402" s="354">
        <f t="shared" si="768"/>
        <v>10.801769568178285</v>
      </c>
      <c r="CB402" s="355">
        <f t="shared" si="768"/>
        <v>-123.75033037658183</v>
      </c>
      <c r="CC402" s="1511">
        <f t="shared" si="768"/>
        <v>-0.1803952533235148</v>
      </c>
      <c r="CD402" s="354">
        <f t="shared" si="768"/>
        <v>84.976807280974995</v>
      </c>
      <c r="CE402" s="354">
        <f t="shared" si="768"/>
        <v>20.63956286668618</v>
      </c>
      <c r="CF402" s="355">
        <f t="shared" si="768"/>
        <v>-111.6240671833274</v>
      </c>
      <c r="CG402" s="1190"/>
      <c r="CH402" s="1141"/>
      <c r="CI402" s="1141"/>
      <c r="CJ402" s="1964"/>
      <c r="CK402" s="1964"/>
      <c r="CL402" s="1964"/>
      <c r="CM402" s="1964"/>
      <c r="CN402" s="1964"/>
      <c r="CO402" s="354"/>
      <c r="CP402" s="354"/>
      <c r="CQ402" s="354"/>
      <c r="CR402" s="354"/>
      <c r="CS402" s="354"/>
      <c r="CT402" s="354"/>
      <c r="CU402" s="354"/>
      <c r="CV402" s="354"/>
      <c r="CW402" s="354"/>
      <c r="CX402" s="354"/>
      <c r="CY402" s="354"/>
      <c r="CZ402" s="354"/>
      <c r="DA402" s="354"/>
      <c r="DB402" s="354"/>
      <c r="DC402" s="354"/>
      <c r="DD402" s="354"/>
      <c r="DE402" s="354"/>
      <c r="DF402" s="355"/>
      <c r="DG402" s="1965"/>
      <c r="DH402" s="1965"/>
    </row>
    <row r="403" spans="1:116" s="68" customFormat="1" ht="11.25" customHeight="1">
      <c r="A403" s="24"/>
      <c r="B403"/>
      <c r="C403"/>
      <c r="D403"/>
      <c r="E403"/>
      <c r="F403"/>
      <c r="G403"/>
      <c r="H403" s="1044"/>
      <c r="I403" s="183"/>
      <c r="J403" s="67"/>
      <c r="K403" s="67"/>
      <c r="L403" s="67"/>
      <c r="M403" s="1955"/>
      <c r="N403" s="1955"/>
      <c r="O403" s="1955"/>
      <c r="P403" s="1955"/>
      <c r="Q403" s="1955"/>
      <c r="R403" s="1955"/>
      <c r="S403" s="1955"/>
      <c r="T403" s="1955"/>
      <c r="U403" s="1956"/>
      <c r="V403" s="1956"/>
      <c r="W403" s="1956"/>
      <c r="X403" s="1956"/>
      <c r="Y403" s="1956"/>
      <c r="Z403" s="1956"/>
      <c r="AA403" s="1956"/>
      <c r="AB403" s="1956"/>
      <c r="AC403" s="1970"/>
      <c r="AD403" s="1957"/>
      <c r="AE403" s="1957"/>
      <c r="AF403" s="1958"/>
      <c r="AG403" s="1957"/>
      <c r="AH403" s="1957"/>
      <c r="AI403" s="1957"/>
      <c r="AJ403" s="1958"/>
      <c r="AK403" s="1970"/>
      <c r="AL403" s="1957"/>
      <c r="AM403" s="1957"/>
      <c r="AN403" s="1958"/>
      <c r="AO403" s="1970"/>
      <c r="AP403" s="1957"/>
      <c r="AQ403" s="1957"/>
      <c r="AR403" s="1958"/>
      <c r="AS403" s="1970"/>
      <c r="AT403" s="1957"/>
      <c r="AU403" s="1957"/>
      <c r="AV403" s="1958"/>
      <c r="AW403" s="1970"/>
      <c r="AX403" s="1957"/>
      <c r="AY403" s="1957"/>
      <c r="AZ403" s="1958"/>
      <c r="BA403" s="1970"/>
      <c r="BB403" s="1957"/>
      <c r="BC403" s="1957"/>
      <c r="BD403" s="1958"/>
      <c r="BE403" s="1970"/>
      <c r="BF403" s="1957"/>
      <c r="BG403" s="1957"/>
      <c r="BH403" s="1958"/>
      <c r="BI403" s="1970"/>
      <c r="BJ403" s="1957"/>
      <c r="BK403" s="1957"/>
      <c r="BL403" s="1958"/>
      <c r="BM403" s="1970"/>
      <c r="BN403" s="1957"/>
      <c r="BO403" s="1957"/>
      <c r="BP403" s="1958"/>
      <c r="BQ403" s="1970"/>
      <c r="BR403" s="1957"/>
      <c r="BS403" s="1957"/>
      <c r="BT403" s="1958"/>
      <c r="BU403" s="1970"/>
      <c r="BV403" s="1957"/>
      <c r="BW403" s="1957"/>
      <c r="BX403" s="1958"/>
      <c r="BY403" s="1970"/>
      <c r="BZ403" s="1957"/>
      <c r="CA403" s="1957"/>
      <c r="CB403" s="1958"/>
      <c r="CC403" s="1970"/>
      <c r="CD403" s="1957"/>
      <c r="CE403" s="1957"/>
      <c r="CF403" s="1958"/>
      <c r="CG403" s="1007"/>
      <c r="CH403" s="1955"/>
      <c r="CI403" s="1955"/>
      <c r="CJ403" s="1956"/>
      <c r="CK403" s="1956"/>
      <c r="CL403" s="1956"/>
      <c r="CM403" s="1956"/>
      <c r="CN403" s="1956"/>
      <c r="CO403" s="1957"/>
      <c r="CP403" s="1957"/>
      <c r="CQ403" s="1957"/>
      <c r="CR403" s="1957"/>
      <c r="CS403" s="1957"/>
      <c r="CT403" s="1957"/>
      <c r="CU403" s="1957"/>
      <c r="CV403" s="1957"/>
      <c r="CW403" s="1957"/>
      <c r="CX403" s="1957"/>
      <c r="CY403" s="1957"/>
      <c r="CZ403" s="1957"/>
      <c r="DA403" s="1957"/>
      <c r="DB403" s="1957"/>
      <c r="DC403" s="1957"/>
      <c r="DD403" s="1957"/>
      <c r="DE403" s="1957"/>
      <c r="DF403" s="1958"/>
      <c r="DG403" s="1180"/>
      <c r="DH403" s="1180"/>
    </row>
    <row r="404" spans="1:116" s="632" customFormat="1" ht="11.25" customHeight="1">
      <c r="A404" s="542"/>
      <c r="B404"/>
      <c r="C404"/>
      <c r="D404"/>
      <c r="E404"/>
      <c r="F404"/>
      <c r="G404"/>
      <c r="H404" s="1052"/>
      <c r="I404" s="1901" t="s">
        <v>695</v>
      </c>
      <c r="J404" s="634"/>
      <c r="K404" s="634"/>
      <c r="L404" s="631"/>
      <c r="M404" s="465"/>
      <c r="N404" s="465"/>
      <c r="O404" s="465"/>
      <c r="P404" s="465"/>
      <c r="Q404" s="465"/>
      <c r="R404" s="465"/>
      <c r="S404" s="465"/>
      <c r="T404" s="465"/>
      <c r="U404" s="538"/>
      <c r="V404" s="538"/>
      <c r="W404" s="538"/>
      <c r="X404" s="538"/>
      <c r="Y404" s="538"/>
      <c r="Z404" s="538"/>
      <c r="AA404" s="538"/>
      <c r="AB404" s="538"/>
      <c r="AC404" s="1583"/>
      <c r="AD404" s="538"/>
      <c r="AE404" s="538"/>
      <c r="AF404" s="539"/>
      <c r="AG404" s="1871">
        <f t="shared" ref="AG404:BL404" si="769">+AG361/AG374</f>
        <v>4.1909640998311515E-2</v>
      </c>
      <c r="AH404" s="1871">
        <f t="shared" si="769"/>
        <v>4.2437051814309595E-2</v>
      </c>
      <c r="AI404" s="1871">
        <f t="shared" si="769"/>
        <v>4.5644885558390032E-2</v>
      </c>
      <c r="AJ404" s="1872">
        <f t="shared" si="769"/>
        <v>4.5496423808946543E-2</v>
      </c>
      <c r="AK404" s="1873">
        <f t="shared" si="769"/>
        <v>4.3326379506675568E-2</v>
      </c>
      <c r="AL404" s="1871">
        <f t="shared" si="769"/>
        <v>4.2716438674527957E-2</v>
      </c>
      <c r="AM404" s="1871">
        <f t="shared" si="769"/>
        <v>4.4767211506863899E-2</v>
      </c>
      <c r="AN404" s="1872">
        <f t="shared" si="769"/>
        <v>4.1788521161407119E-2</v>
      </c>
      <c r="AO404" s="1873">
        <f t="shared" si="769"/>
        <v>3.9708019733744569E-2</v>
      </c>
      <c r="AP404" s="1871">
        <f t="shared" si="769"/>
        <v>3.9236669802579657E-2</v>
      </c>
      <c r="AQ404" s="1871">
        <f t="shared" si="769"/>
        <v>4.5153521681093739E-2</v>
      </c>
      <c r="AR404" s="1872">
        <f t="shared" si="769"/>
        <v>4.2900170344869037E-2</v>
      </c>
      <c r="AS404" s="1873">
        <f t="shared" si="769"/>
        <v>4.0586360044124678E-2</v>
      </c>
      <c r="AT404" s="1871">
        <f t="shared" si="769"/>
        <v>4.2518886775180335E-2</v>
      </c>
      <c r="AU404" s="1871">
        <f t="shared" si="769"/>
        <v>4.5385232951110716E-2</v>
      </c>
      <c r="AV404" s="1872">
        <f t="shared" si="769"/>
        <v>4.3291672076359242E-2</v>
      </c>
      <c r="AW404" s="1873">
        <f t="shared" si="769"/>
        <v>4.2128110986121667E-2</v>
      </c>
      <c r="AX404" s="1871">
        <f t="shared" si="769"/>
        <v>4.1827997349113528E-2</v>
      </c>
      <c r="AY404" s="1871">
        <f t="shared" si="769"/>
        <v>4.5057413879181225E-2</v>
      </c>
      <c r="AZ404" s="1872">
        <f t="shared" si="769"/>
        <v>4.2822664624808576E-2</v>
      </c>
      <c r="BA404" s="1873">
        <f t="shared" si="769"/>
        <v>4.2169774919614149E-2</v>
      </c>
      <c r="BB404" s="1871">
        <f t="shared" si="769"/>
        <v>4.2577335640138408E-2</v>
      </c>
      <c r="BC404" s="1871">
        <f t="shared" si="769"/>
        <v>4.6022215119066651E-2</v>
      </c>
      <c r="BD404" s="1872">
        <f t="shared" si="769"/>
        <v>4.5178167877320416E-2</v>
      </c>
      <c r="BE404" s="1873">
        <f t="shared" si="769"/>
        <v>4.2958277454924754E-2</v>
      </c>
      <c r="BF404" s="1871">
        <f t="shared" si="769"/>
        <v>4.4262791649611138E-2</v>
      </c>
      <c r="BG404" s="1871">
        <f t="shared" si="769"/>
        <v>4.8984295199182834E-2</v>
      </c>
      <c r="BH404" s="1872">
        <f t="shared" si="769"/>
        <v>4.7507594167679225E-2</v>
      </c>
      <c r="BI404" s="1873">
        <f t="shared" si="769"/>
        <v>4.7075494373429477E-2</v>
      </c>
      <c r="BJ404" s="1871">
        <f t="shared" si="769"/>
        <v>4.8953741227636648E-2</v>
      </c>
      <c r="BK404" s="1871">
        <f t="shared" si="769"/>
        <v>5.3233163028332552E-2</v>
      </c>
      <c r="BL404" s="1872">
        <f t="shared" si="769"/>
        <v>4.6717224775662071E-2</v>
      </c>
      <c r="BM404" s="1873">
        <f t="shared" ref="BM404:CF404" si="770">+BM361/BM374</f>
        <v>4.6768892508143325E-2</v>
      </c>
      <c r="BN404" s="1871">
        <f t="shared" si="770"/>
        <v>5.1535012557246261E-2</v>
      </c>
      <c r="BO404" s="1871">
        <f t="shared" si="770"/>
        <v>5.580604789119583E-2</v>
      </c>
      <c r="BP404" s="1872">
        <f t="shared" si="770"/>
        <v>5.142321043249836E-2</v>
      </c>
      <c r="BQ404" s="1873">
        <f t="shared" si="770"/>
        <v>5.1310199637023594E-2</v>
      </c>
      <c r="BR404" s="1871">
        <f t="shared" si="770"/>
        <v>5.5957286096256692E-2</v>
      </c>
      <c r="BS404" s="1871">
        <f t="shared" si="770"/>
        <v>5.769298957910407E-2</v>
      </c>
      <c r="BT404" s="1872">
        <f t="shared" si="770"/>
        <v>5.1220640865584678E-2</v>
      </c>
      <c r="BU404" s="1873">
        <f t="shared" si="770"/>
        <v>5.1027082207410077E-2</v>
      </c>
      <c r="BV404" s="1871">
        <f t="shared" si="770"/>
        <v>5.7836972343522565E-2</v>
      </c>
      <c r="BW404" s="1871">
        <f>+BW361/BW374</f>
        <v>6.0289328277356433E-2</v>
      </c>
      <c r="BX404" s="1872">
        <f t="shared" si="770"/>
        <v>5.156206987824246E-2</v>
      </c>
      <c r="BY404" s="1873">
        <f t="shared" si="770"/>
        <v>5.0939478899792147E-2</v>
      </c>
      <c r="BZ404" s="1871">
        <f t="shared" si="770"/>
        <v>6.1007645333461549E-2</v>
      </c>
      <c r="CA404" s="1871">
        <f t="shared" si="770"/>
        <v>6.1443847072879337E-2</v>
      </c>
      <c r="CB404" s="1872">
        <f t="shared" si="770"/>
        <v>4.859026696329255E-2</v>
      </c>
      <c r="CC404" s="1873">
        <f t="shared" si="770"/>
        <v>4.881153050704435E-2</v>
      </c>
      <c r="CD404" s="1871">
        <f t="shared" si="770"/>
        <v>5.9388575897262916E-2</v>
      </c>
      <c r="CE404" s="1871">
        <f t="shared" si="770"/>
        <v>6.0183998857013053E-2</v>
      </c>
      <c r="CF404" s="1872">
        <f t="shared" si="770"/>
        <v>4.7565368224573489E-2</v>
      </c>
      <c r="CG404" s="582"/>
      <c r="CH404" s="635"/>
      <c r="CI404" s="465"/>
      <c r="CJ404" s="538"/>
      <c r="CK404" s="538"/>
      <c r="CL404" s="538"/>
      <c r="CM404" s="538"/>
      <c r="CN404" s="538"/>
      <c r="CO404" s="1871">
        <f t="shared" ref="CO404:DF404" si="771">+CO361/CO374</f>
        <v>4.1721367378380635E-2</v>
      </c>
      <c r="CP404" s="1871">
        <f t="shared" si="771"/>
        <v>4.3141710549296018E-2</v>
      </c>
      <c r="CQ404" s="1871">
        <f t="shared" si="771"/>
        <v>4.307924555955555E-2</v>
      </c>
      <c r="CR404" s="1871">
        <f t="shared" si="771"/>
        <v>4.4079924277403267E-2</v>
      </c>
      <c r="CS404" s="1871">
        <f t="shared" si="771"/>
        <v>4.6005411863930278E-2</v>
      </c>
      <c r="CT404" s="1871">
        <f t="shared" si="771"/>
        <v>4.9169172644423456E-2</v>
      </c>
      <c r="CU404" s="1871">
        <f t="shared" si="771"/>
        <v>5.1521471172962234E-2</v>
      </c>
      <c r="CV404" s="1871">
        <f t="shared" si="771"/>
        <v>5.424149978389281E-2</v>
      </c>
      <c r="CW404" s="1871">
        <f t="shared" si="771"/>
        <v>5.5443550163761068E-2</v>
      </c>
      <c r="CX404" s="1871">
        <f t="shared" si="771"/>
        <v>5.5811624356733071E-2</v>
      </c>
      <c r="CY404" s="1871">
        <f t="shared" si="771"/>
        <v>5.4185305103996641E-2</v>
      </c>
      <c r="CZ404" s="1871">
        <f t="shared" si="771"/>
        <v>5.3895878284566191E-2</v>
      </c>
      <c r="DA404" s="1871">
        <f t="shared" si="771"/>
        <v>5.3802545707094078E-2</v>
      </c>
      <c r="DB404" s="1871">
        <f t="shared" si="771"/>
        <v>5.3689339123291033E-2</v>
      </c>
      <c r="DC404" s="1871">
        <f t="shared" si="771"/>
        <v>5.3612733705618885E-2</v>
      </c>
      <c r="DD404" s="1871">
        <f t="shared" si="771"/>
        <v>5.3558753097985613E-2</v>
      </c>
      <c r="DE404" s="1871">
        <f t="shared" si="771"/>
        <v>5.3527050545001169E-2</v>
      </c>
      <c r="DF404" s="1872">
        <f t="shared" si="771"/>
        <v>5.3416731686233405E-2</v>
      </c>
      <c r="DG404" s="1474"/>
      <c r="DH404" s="1474"/>
      <c r="DI404" s="465"/>
    </row>
    <row r="405" spans="1:116" s="1469" customFormat="1" ht="11.25" customHeight="1">
      <c r="A405" s="91"/>
      <c r="B405"/>
      <c r="C405"/>
      <c r="D405"/>
      <c r="E405"/>
      <c r="F405"/>
      <c r="G405"/>
      <c r="H405" s="1052"/>
      <c r="I405" s="1332" t="s">
        <v>623</v>
      </c>
      <c r="J405" s="85"/>
      <c r="K405" s="85"/>
      <c r="L405" s="60"/>
      <c r="M405" s="352"/>
      <c r="N405" s="352"/>
      <c r="O405" s="352"/>
      <c r="P405" s="353"/>
      <c r="Q405" s="352"/>
      <c r="R405" s="352"/>
      <c r="S405" s="352"/>
      <c r="T405" s="353"/>
      <c r="U405" s="352"/>
      <c r="V405" s="352"/>
      <c r="W405" s="352"/>
      <c r="X405" s="353"/>
      <c r="Y405" s="352"/>
      <c r="Z405" s="352"/>
      <c r="AA405" s="352"/>
      <c r="AB405" s="352"/>
      <c r="AC405" s="383"/>
      <c r="AD405" s="352"/>
      <c r="AE405" s="352"/>
      <c r="AF405" s="353"/>
      <c r="AG405" s="354"/>
      <c r="AH405" s="354"/>
      <c r="AI405" s="354"/>
      <c r="AJ405" s="355"/>
      <c r="AK405" s="1511">
        <f t="shared" ref="AK405:CF405" si="772">+(AK404-AG404)*10000</f>
        <v>14.16738508364053</v>
      </c>
      <c r="AL405" s="354">
        <f t="shared" si="772"/>
        <v>2.7938686021836134</v>
      </c>
      <c r="AM405" s="354">
        <f t="shared" si="772"/>
        <v>-8.7767405152613254</v>
      </c>
      <c r="AN405" s="355">
        <f t="shared" si="772"/>
        <v>-37.079026475394237</v>
      </c>
      <c r="AO405" s="1511">
        <f t="shared" si="772"/>
        <v>-36.183597729309987</v>
      </c>
      <c r="AP405" s="354">
        <f t="shared" si="772"/>
        <v>-34.797688719482991</v>
      </c>
      <c r="AQ405" s="354">
        <f t="shared" si="772"/>
        <v>3.8631017422983973</v>
      </c>
      <c r="AR405" s="355">
        <f t="shared" si="772"/>
        <v>11.116491834619186</v>
      </c>
      <c r="AS405" s="1511">
        <f t="shared" si="772"/>
        <v>8.7834031038010885</v>
      </c>
      <c r="AT405" s="354">
        <f t="shared" si="772"/>
        <v>32.822169726006784</v>
      </c>
      <c r="AU405" s="354">
        <f t="shared" si="772"/>
        <v>2.3171127001697656</v>
      </c>
      <c r="AV405" s="355">
        <f t="shared" si="772"/>
        <v>3.915017314902042</v>
      </c>
      <c r="AW405" s="1511">
        <f t="shared" si="772"/>
        <v>15.417509419969889</v>
      </c>
      <c r="AX405" s="354">
        <f t="shared" si="772"/>
        <v>-6.9088942606680694</v>
      </c>
      <c r="AY405" s="354">
        <f t="shared" si="772"/>
        <v>-3.2781907192949018</v>
      </c>
      <c r="AZ405" s="355">
        <f t="shared" si="772"/>
        <v>-4.6900745155066534</v>
      </c>
      <c r="BA405" s="1511">
        <f t="shared" si="772"/>
        <v>0.41663933492482041</v>
      </c>
      <c r="BB405" s="354">
        <f t="shared" si="772"/>
        <v>7.4933829102487994</v>
      </c>
      <c r="BC405" s="354">
        <f t="shared" si="772"/>
        <v>9.6480123988542523</v>
      </c>
      <c r="BD405" s="355">
        <f t="shared" si="772"/>
        <v>23.555032525118396</v>
      </c>
      <c r="BE405" s="1511">
        <f t="shared" si="772"/>
        <v>7.8850253531060481</v>
      </c>
      <c r="BF405" s="354">
        <f t="shared" si="772"/>
        <v>16.854560094727301</v>
      </c>
      <c r="BG405" s="354">
        <f t="shared" si="772"/>
        <v>29.620800801161835</v>
      </c>
      <c r="BH405" s="355">
        <f t="shared" si="772"/>
        <v>23.294262903588088</v>
      </c>
      <c r="BI405" s="1511">
        <f t="shared" si="772"/>
        <v>41.172169185047238</v>
      </c>
      <c r="BJ405" s="354">
        <f t="shared" si="772"/>
        <v>46.909495780255092</v>
      </c>
      <c r="BK405" s="354">
        <f t="shared" si="772"/>
        <v>42.488678291497173</v>
      </c>
      <c r="BL405" s="355">
        <f t="shared" si="772"/>
        <v>-7.9036939201715395</v>
      </c>
      <c r="BM405" s="1511">
        <f t="shared" si="772"/>
        <v>-3.0660186528615183</v>
      </c>
      <c r="BN405" s="354">
        <f t="shared" si="772"/>
        <v>25.812713296096135</v>
      </c>
      <c r="BO405" s="354">
        <f t="shared" si="772"/>
        <v>25.728848628632782</v>
      </c>
      <c r="BP405" s="355">
        <f t="shared" si="772"/>
        <v>47.059856568362896</v>
      </c>
      <c r="BQ405" s="1511">
        <f t="shared" si="772"/>
        <v>45.413071288802691</v>
      </c>
      <c r="BR405" s="354">
        <f t="shared" si="772"/>
        <v>44.222735390104312</v>
      </c>
      <c r="BS405" s="354">
        <f>+(BS404-BO404)*10000</f>
        <v>18.869416879082404</v>
      </c>
      <c r="BT405" s="1952">
        <f t="shared" si="772"/>
        <v>-2.0256956691368231</v>
      </c>
      <c r="BU405" s="1953">
        <f t="shared" si="772"/>
        <v>-2.8311742961351776</v>
      </c>
      <c r="BV405" s="1954">
        <f t="shared" si="772"/>
        <v>18.796862472658731</v>
      </c>
      <c r="BW405" s="1954">
        <f t="shared" si="772"/>
        <v>25.963386982523623</v>
      </c>
      <c r="BX405" s="1952">
        <f t="shared" si="772"/>
        <v>3.4142901265778178</v>
      </c>
      <c r="BY405" s="1511">
        <f t="shared" si="772"/>
        <v>-0.87603307617929727</v>
      </c>
      <c r="BZ405" s="354">
        <f t="shared" si="772"/>
        <v>31.706729899389842</v>
      </c>
      <c r="CA405" s="354">
        <f t="shared" si="772"/>
        <v>11.545187955229046</v>
      </c>
      <c r="CB405" s="355">
        <f t="shared" si="772"/>
        <v>-29.718029149499099</v>
      </c>
      <c r="CC405" s="1511">
        <f t="shared" si="772"/>
        <v>-21.279483927477973</v>
      </c>
      <c r="CD405" s="354">
        <f t="shared" si="772"/>
        <v>-16.190694361986335</v>
      </c>
      <c r="CE405" s="354">
        <f t="shared" si="772"/>
        <v>-12.598482158662842</v>
      </c>
      <c r="CF405" s="355">
        <f t="shared" si="772"/>
        <v>-10.248987387190613</v>
      </c>
      <c r="CG405" s="351"/>
      <c r="CH405" s="383"/>
      <c r="CI405" s="352"/>
      <c r="CJ405" s="352"/>
      <c r="CK405" s="352"/>
      <c r="CL405" s="352"/>
      <c r="CM405" s="352"/>
      <c r="CN405" s="354"/>
      <c r="CO405" s="354"/>
      <c r="CP405" s="354">
        <f t="shared" ref="CP405:DF405" si="773">+(CP404-CO404)*10000</f>
        <v>14.203431709153836</v>
      </c>
      <c r="CQ405" s="354">
        <f t="shared" si="773"/>
        <v>-0.62464989740468324</v>
      </c>
      <c r="CR405" s="354">
        <f t="shared" si="773"/>
        <v>10.006787178477166</v>
      </c>
      <c r="CS405" s="354">
        <f t="shared" si="773"/>
        <v>19.254875865270112</v>
      </c>
      <c r="CT405" s="354">
        <f t="shared" si="773"/>
        <v>31.637607804931786</v>
      </c>
      <c r="CU405" s="354">
        <f t="shared" si="773"/>
        <v>23.522985285387779</v>
      </c>
      <c r="CV405" s="354">
        <f t="shared" si="773"/>
        <v>27.200286109305765</v>
      </c>
      <c r="CW405" s="354">
        <f t="shared" si="773"/>
        <v>12.020503798682579</v>
      </c>
      <c r="CX405" s="354">
        <f t="shared" si="773"/>
        <v>3.6807419297200243</v>
      </c>
      <c r="CY405" s="354">
        <f t="shared" si="773"/>
        <v>-16.2631925273643</v>
      </c>
      <c r="CZ405" s="354">
        <f t="shared" si="773"/>
        <v>-2.8942681943044946</v>
      </c>
      <c r="DA405" s="354">
        <f t="shared" si="773"/>
        <v>-0.93332577472113321</v>
      </c>
      <c r="DB405" s="354">
        <f t="shared" si="773"/>
        <v>-1.132065838030452</v>
      </c>
      <c r="DC405" s="354">
        <f t="shared" si="773"/>
        <v>-0.76605417672147291</v>
      </c>
      <c r="DD405" s="354">
        <f t="shared" si="773"/>
        <v>-0.53980607633272171</v>
      </c>
      <c r="DE405" s="354">
        <f t="shared" si="773"/>
        <v>-0.31702552984444465</v>
      </c>
      <c r="DF405" s="355">
        <f t="shared" si="773"/>
        <v>-1.1031885876776337</v>
      </c>
      <c r="DG405" s="1729"/>
      <c r="DH405" s="1729"/>
      <c r="DI405" s="347"/>
    </row>
    <row r="406" spans="1:116" s="632" customFormat="1" ht="11.25" customHeight="1">
      <c r="A406" s="542"/>
      <c r="B406"/>
      <c r="C406"/>
      <c r="D406"/>
      <c r="E406"/>
      <c r="F406"/>
      <c r="G406"/>
      <c r="H406" s="1052"/>
      <c r="I406" s="1733"/>
      <c r="J406" s="634"/>
      <c r="K406" s="634"/>
      <c r="L406" s="631"/>
      <c r="M406" s="465"/>
      <c r="N406" s="465"/>
      <c r="O406" s="465"/>
      <c r="P406" s="465"/>
      <c r="Q406" s="465"/>
      <c r="R406" s="465"/>
      <c r="S406" s="465"/>
      <c r="T406" s="465"/>
      <c r="U406" s="354"/>
      <c r="V406" s="354"/>
      <c r="W406" s="354"/>
      <c r="X406" s="354"/>
      <c r="Y406" s="354"/>
      <c r="Z406" s="354"/>
      <c r="AA406" s="354"/>
      <c r="AB406" s="354"/>
      <c r="AC406" s="1511"/>
      <c r="AD406" s="354"/>
      <c r="AE406" s="354"/>
      <c r="AF406" s="355"/>
      <c r="AG406" s="1373"/>
      <c r="AH406" s="1373"/>
      <c r="AI406" s="1373"/>
      <c r="AJ406" s="1374"/>
      <c r="AK406" s="1726"/>
      <c r="AL406" s="1373"/>
      <c r="AM406" s="1373"/>
      <c r="AN406" s="1374"/>
      <c r="AO406" s="1726"/>
      <c r="AP406" s="1373"/>
      <c r="AQ406" s="1373"/>
      <c r="AR406" s="1374"/>
      <c r="AS406" s="1726"/>
      <c r="AT406" s="1373"/>
      <c r="AU406" s="1373"/>
      <c r="AV406" s="1374"/>
      <c r="AW406" s="1726"/>
      <c r="AX406" s="1373"/>
      <c r="AY406" s="1373"/>
      <c r="AZ406" s="1374"/>
      <c r="BA406" s="1726"/>
      <c r="BB406" s="1373"/>
      <c r="BC406" s="1373"/>
      <c r="BD406" s="1374"/>
      <c r="BE406" s="1726"/>
      <c r="BF406" s="1373"/>
      <c r="BG406" s="1373"/>
      <c r="BH406" s="1374"/>
      <c r="BI406" s="1726"/>
      <c r="BJ406" s="1373"/>
      <c r="BK406" s="1373"/>
      <c r="BL406" s="1374"/>
      <c r="BM406" s="1726"/>
      <c r="BN406" s="1373"/>
      <c r="BO406" s="1373"/>
      <c r="BP406" s="1374"/>
      <c r="BQ406" s="1726"/>
      <c r="BR406" s="1373"/>
      <c r="BS406" s="1373"/>
      <c r="BT406" s="1374"/>
      <c r="BU406" s="1726"/>
      <c r="BV406" s="1373"/>
      <c r="BW406" s="1373"/>
      <c r="BX406" s="1374"/>
      <c r="BY406" s="1726"/>
      <c r="BZ406" s="1373"/>
      <c r="CA406" s="1373"/>
      <c r="CB406" s="1374"/>
      <c r="CC406" s="1726"/>
      <c r="CD406" s="1373"/>
      <c r="CE406" s="1373"/>
      <c r="CF406" s="1374"/>
      <c r="CG406" s="582"/>
      <c r="CH406" s="635"/>
      <c r="CI406" s="465"/>
      <c r="CJ406" s="354"/>
      <c r="CK406" s="354"/>
      <c r="CL406" s="354"/>
      <c r="CM406" s="354"/>
      <c r="CN406" s="354"/>
      <c r="CO406" s="354"/>
      <c r="CP406" s="354"/>
      <c r="CQ406" s="1373"/>
      <c r="CR406" s="1373"/>
      <c r="CS406" s="1373"/>
      <c r="CT406" s="1373"/>
      <c r="CU406" s="1373"/>
      <c r="CV406" s="1373"/>
      <c r="CW406" s="1373"/>
      <c r="CX406" s="1373"/>
      <c r="CY406" s="1373"/>
      <c r="CZ406" s="1373"/>
      <c r="DA406" s="1373"/>
      <c r="DB406" s="1373"/>
      <c r="DC406" s="1373"/>
      <c r="DD406" s="1373"/>
      <c r="DE406" s="1373"/>
      <c r="DF406" s="1374"/>
      <c r="DG406" s="1474"/>
      <c r="DH406" s="1474"/>
      <c r="DI406" s="465"/>
    </row>
    <row r="407" spans="1:116" s="632" customFormat="1" ht="11.25" customHeight="1">
      <c r="A407" s="542"/>
      <c r="B407"/>
      <c r="C407"/>
      <c r="D407"/>
      <c r="E407"/>
      <c r="F407"/>
      <c r="G407"/>
      <c r="H407" s="1052"/>
      <c r="I407" s="1901" t="s">
        <v>696</v>
      </c>
      <c r="J407" s="634"/>
      <c r="K407" s="634"/>
      <c r="L407" s="631"/>
      <c r="M407" s="465"/>
      <c r="N407" s="465"/>
      <c r="O407" s="465"/>
      <c r="P407" s="465"/>
      <c r="Q407" s="465"/>
      <c r="R407" s="465"/>
      <c r="S407" s="465"/>
      <c r="T407" s="465"/>
      <c r="U407" s="538"/>
      <c r="V407" s="538"/>
      <c r="W407" s="538"/>
      <c r="X407" s="538"/>
      <c r="Y407" s="538"/>
      <c r="Z407" s="538"/>
      <c r="AA407" s="538"/>
      <c r="AB407" s="538"/>
      <c r="AC407" s="1583"/>
      <c r="AD407" s="538"/>
      <c r="AE407" s="538"/>
      <c r="AF407" s="539"/>
      <c r="AG407" s="1871"/>
      <c r="AH407" s="1871"/>
      <c r="AI407" s="1871"/>
      <c r="AJ407" s="1872"/>
      <c r="AK407" s="1873"/>
      <c r="AL407" s="1871"/>
      <c r="AM407" s="1871"/>
      <c r="AN407" s="1872"/>
      <c r="AO407" s="1873">
        <f t="shared" ref="AO407:CF407" si="774">+AO364/AO375</f>
        <v>3.8968081494530307E-2</v>
      </c>
      <c r="AP407" s="1871">
        <f t="shared" si="774"/>
        <v>3.8738025647730205E-2</v>
      </c>
      <c r="AQ407" s="1871">
        <f t="shared" si="774"/>
        <v>4.4982757001228016E-2</v>
      </c>
      <c r="AR407" s="1872">
        <f t="shared" si="774"/>
        <v>4.2742299770365311E-2</v>
      </c>
      <c r="AS407" s="1873">
        <f t="shared" si="774"/>
        <v>4.0341637740990234E-2</v>
      </c>
      <c r="AT407" s="1871">
        <f t="shared" si="774"/>
        <v>4.2282725170843902E-2</v>
      </c>
      <c r="AU407" s="1871">
        <f t="shared" si="774"/>
        <v>4.5454483199488478E-2</v>
      </c>
      <c r="AV407" s="1872">
        <f t="shared" si="774"/>
        <v>4.2979430264436978E-2</v>
      </c>
      <c r="AW407" s="1873">
        <f t="shared" si="774"/>
        <v>4.1945848754033711E-2</v>
      </c>
      <c r="AX407" s="1871">
        <f t="shared" si="774"/>
        <v>4.1995831205078313E-2</v>
      </c>
      <c r="AY407" s="1871">
        <f t="shared" si="774"/>
        <v>4.5345451569537037E-2</v>
      </c>
      <c r="AZ407" s="1872">
        <f t="shared" si="774"/>
        <v>4.2998231700668174E-2</v>
      </c>
      <c r="BA407" s="1873">
        <f t="shared" si="774"/>
        <v>4.214759024435346E-2</v>
      </c>
      <c r="BB407" s="1871">
        <f t="shared" si="774"/>
        <v>4.2049536744797653E-2</v>
      </c>
      <c r="BC407" s="1871">
        <f t="shared" si="774"/>
        <v>4.5805292262329579E-2</v>
      </c>
      <c r="BD407" s="1872">
        <f t="shared" si="774"/>
        <v>4.5187914739285476E-2</v>
      </c>
      <c r="BE407" s="1873">
        <f t="shared" si="774"/>
        <v>4.3002540910409302E-2</v>
      </c>
      <c r="BF407" s="1871">
        <f t="shared" si="774"/>
        <v>4.4290212807145825E-2</v>
      </c>
      <c r="BG407" s="1871">
        <f t="shared" si="774"/>
        <v>4.8901483755186576E-2</v>
      </c>
      <c r="BH407" s="1872">
        <f t="shared" si="774"/>
        <v>4.7510786822085822E-2</v>
      </c>
      <c r="BI407" s="1873">
        <f t="shared" si="774"/>
        <v>4.7072756155523011E-2</v>
      </c>
      <c r="BJ407" s="1871">
        <f t="shared" si="774"/>
        <v>4.8955939204439268E-2</v>
      </c>
      <c r="BK407" s="1871">
        <f t="shared" si="774"/>
        <v>5.324627004713841E-2</v>
      </c>
      <c r="BL407" s="1872">
        <f t="shared" si="774"/>
        <v>4.6729976116769115E-2</v>
      </c>
      <c r="BM407" s="1873">
        <f t="shared" si="774"/>
        <v>4.6778451126128731E-2</v>
      </c>
      <c r="BN407" s="1871">
        <f t="shared" si="774"/>
        <v>5.1547854286054157E-2</v>
      </c>
      <c r="BO407" s="1871">
        <f t="shared" si="774"/>
        <v>5.5802783167367066E-2</v>
      </c>
      <c r="BP407" s="1872">
        <f t="shared" si="774"/>
        <v>5.1216762175860096E-2</v>
      </c>
      <c r="BQ407" s="1873">
        <f t="shared" si="774"/>
        <v>5.0895918183609314E-2</v>
      </c>
      <c r="BR407" s="1871">
        <f t="shared" si="774"/>
        <v>5.5503855917409452E-2</v>
      </c>
      <c r="BS407" s="1871">
        <f t="shared" si="774"/>
        <v>5.7550874645082295E-2</v>
      </c>
      <c r="BT407" s="1872">
        <f t="shared" si="774"/>
        <v>5.1374290259498544E-2</v>
      </c>
      <c r="BU407" s="1873">
        <f t="shared" si="774"/>
        <v>5.1038557626517225E-2</v>
      </c>
      <c r="BV407" s="1871">
        <f t="shared" si="774"/>
        <v>5.7838729461444895E-2</v>
      </c>
      <c r="BW407" s="1871">
        <f>+BW364/BW375</f>
        <v>6.0280739503223359E-2</v>
      </c>
      <c r="BX407" s="1872">
        <f t="shared" si="774"/>
        <v>5.1594897192459487E-2</v>
      </c>
      <c r="BY407" s="1873">
        <f t="shared" si="774"/>
        <v>5.1007308336578995E-2</v>
      </c>
      <c r="BZ407" s="1871">
        <f t="shared" si="774"/>
        <v>6.0954458504456799E-2</v>
      </c>
      <c r="CA407" s="1871">
        <f t="shared" si="774"/>
        <v>6.1449423578899341E-2</v>
      </c>
      <c r="CB407" s="1872">
        <f t="shared" si="774"/>
        <v>4.8423906563516236E-2</v>
      </c>
      <c r="CC407" s="1873">
        <f t="shared" si="774"/>
        <v>4.8665063779583878E-2</v>
      </c>
      <c r="CD407" s="1871">
        <f t="shared" si="774"/>
        <v>5.9315338926969323E-2</v>
      </c>
      <c r="CE407" s="1871">
        <f t="shared" si="774"/>
        <v>6.0190991931541142E-2</v>
      </c>
      <c r="CF407" s="1872">
        <f t="shared" si="774"/>
        <v>4.7514117431047539E-2</v>
      </c>
      <c r="CG407" s="582"/>
      <c r="CH407" s="635"/>
      <c r="CI407" s="465"/>
      <c r="CJ407" s="538"/>
      <c r="CK407" s="538"/>
      <c r="CL407" s="538"/>
      <c r="CM407" s="538"/>
      <c r="CN407" s="538"/>
      <c r="CO407" s="1871">
        <f t="shared" ref="CO407:DF407" si="775">+CO364/CO375</f>
        <v>4.1713645448969293E-2</v>
      </c>
      <c r="CP407" s="1871">
        <f t="shared" si="775"/>
        <v>4.3157077015462564E-2</v>
      </c>
      <c r="CQ407" s="1871">
        <f t="shared" si="775"/>
        <v>4.3164131600800411E-2</v>
      </c>
      <c r="CR407" s="1871">
        <f t="shared" si="775"/>
        <v>4.4076911053131301E-2</v>
      </c>
      <c r="CS407" s="1871">
        <f t="shared" si="775"/>
        <v>4.6019284168291569E-2</v>
      </c>
      <c r="CT407" s="1871">
        <f t="shared" si="775"/>
        <v>4.9170197880709705E-2</v>
      </c>
      <c r="CU407" s="1871">
        <f t="shared" si="775"/>
        <v>5.1501735935860486E-2</v>
      </c>
      <c r="CV407" s="1871">
        <f t="shared" si="775"/>
        <v>5.4035756688838782E-2</v>
      </c>
      <c r="CW407" s="1871">
        <f t="shared" si="775"/>
        <v>5.5440500289194485E-2</v>
      </c>
      <c r="CX407" s="1871">
        <f t="shared" si="775"/>
        <v>5.5802435831116125E-2</v>
      </c>
      <c r="CY407" s="1871">
        <f t="shared" si="775"/>
        <v>5.4125397734094222E-2</v>
      </c>
      <c r="CZ407" s="1871">
        <f t="shared" si="775"/>
        <v>5.3895764938748494E-2</v>
      </c>
      <c r="DA407" s="1871">
        <f t="shared" si="775"/>
        <v>5.3802545707094085E-2</v>
      </c>
      <c r="DB407" s="1871">
        <f t="shared" si="775"/>
        <v>5.3689339123291033E-2</v>
      </c>
      <c r="DC407" s="1871">
        <f t="shared" si="775"/>
        <v>5.3612733705618885E-2</v>
      </c>
      <c r="DD407" s="1871">
        <f t="shared" si="775"/>
        <v>5.3558753097985613E-2</v>
      </c>
      <c r="DE407" s="1871">
        <f t="shared" si="775"/>
        <v>5.3527050545001169E-2</v>
      </c>
      <c r="DF407" s="1872">
        <f t="shared" si="775"/>
        <v>5.3416731686233405E-2</v>
      </c>
      <c r="DG407" s="1474"/>
      <c r="DH407" s="1474"/>
      <c r="DI407" s="465"/>
    </row>
    <row r="408" spans="1:116" s="1469" customFormat="1" ht="11.25" customHeight="1">
      <c r="A408" s="91"/>
      <c r="B408"/>
      <c r="C408"/>
      <c r="D408"/>
      <c r="E408"/>
      <c r="F408"/>
      <c r="G408"/>
      <c r="H408" s="1052"/>
      <c r="I408" s="1332" t="s">
        <v>623</v>
      </c>
      <c r="J408" s="85"/>
      <c r="K408" s="85"/>
      <c r="L408" s="60"/>
      <c r="M408" s="352"/>
      <c r="N408" s="352"/>
      <c r="O408" s="352"/>
      <c r="P408" s="353"/>
      <c r="Q408" s="352"/>
      <c r="R408" s="352"/>
      <c r="S408" s="352"/>
      <c r="T408" s="353"/>
      <c r="U408" s="352"/>
      <c r="V408" s="352"/>
      <c r="W408" s="352"/>
      <c r="X408" s="353"/>
      <c r="Y408" s="352"/>
      <c r="Z408" s="352"/>
      <c r="AA408" s="352"/>
      <c r="AB408" s="352"/>
      <c r="AC408" s="383"/>
      <c r="AD408" s="352"/>
      <c r="AE408" s="352"/>
      <c r="AF408" s="353"/>
      <c r="AG408" s="354"/>
      <c r="AH408" s="354"/>
      <c r="AI408" s="354"/>
      <c r="AJ408" s="355"/>
      <c r="AK408" s="1511"/>
      <c r="AL408" s="354"/>
      <c r="AM408" s="354"/>
      <c r="AN408" s="355"/>
      <c r="AO408" s="1511"/>
      <c r="AP408" s="354"/>
      <c r="AQ408" s="354"/>
      <c r="AR408" s="355"/>
      <c r="AS408" s="1511">
        <f t="shared" ref="AS408:CF408" si="776">+(AS407-AO407)*10000</f>
        <v>13.735562464599269</v>
      </c>
      <c r="AT408" s="354">
        <f t="shared" si="776"/>
        <v>35.446995231136967</v>
      </c>
      <c r="AU408" s="354">
        <f t="shared" si="776"/>
        <v>4.7172619826046231</v>
      </c>
      <c r="AV408" s="355">
        <f t="shared" si="776"/>
        <v>2.371304940716676</v>
      </c>
      <c r="AW408" s="1511">
        <f t="shared" si="776"/>
        <v>16.042110130434772</v>
      </c>
      <c r="AX408" s="354">
        <f t="shared" si="776"/>
        <v>-2.868939657655889</v>
      </c>
      <c r="AY408" s="354">
        <f t="shared" si="776"/>
        <v>-1.0903162995144071</v>
      </c>
      <c r="AZ408" s="355">
        <f t="shared" si="776"/>
        <v>0.18801436231195845</v>
      </c>
      <c r="BA408" s="1511">
        <f t="shared" si="776"/>
        <v>2.0174149031974844</v>
      </c>
      <c r="BB408" s="354">
        <f t="shared" si="776"/>
        <v>0.53705539719339779</v>
      </c>
      <c r="BC408" s="354">
        <f t="shared" si="776"/>
        <v>4.5984069279254163</v>
      </c>
      <c r="BD408" s="355">
        <f t="shared" si="776"/>
        <v>21.896830386173015</v>
      </c>
      <c r="BE408" s="1511">
        <f t="shared" si="776"/>
        <v>8.5495066605584249</v>
      </c>
      <c r="BF408" s="354">
        <f t="shared" si="776"/>
        <v>22.406760623481723</v>
      </c>
      <c r="BG408" s="354">
        <f t="shared" si="776"/>
        <v>30.961914928569964</v>
      </c>
      <c r="BH408" s="355">
        <f t="shared" si="776"/>
        <v>23.228720828003464</v>
      </c>
      <c r="BI408" s="1511">
        <f t="shared" si="776"/>
        <v>40.702152451137088</v>
      </c>
      <c r="BJ408" s="354">
        <f t="shared" si="776"/>
        <v>46.65726397293443</v>
      </c>
      <c r="BK408" s="354">
        <f t="shared" si="776"/>
        <v>43.447862919518343</v>
      </c>
      <c r="BL408" s="355">
        <f t="shared" si="776"/>
        <v>-7.8081070531670766</v>
      </c>
      <c r="BM408" s="1511">
        <f t="shared" si="776"/>
        <v>-2.9430502939428034</v>
      </c>
      <c r="BN408" s="354">
        <f t="shared" si="776"/>
        <v>25.919150816148885</v>
      </c>
      <c r="BO408" s="354">
        <f t="shared" si="776"/>
        <v>25.565131202286569</v>
      </c>
      <c r="BP408" s="355">
        <f t="shared" si="776"/>
        <v>44.867860590909814</v>
      </c>
      <c r="BQ408" s="1511">
        <f t="shared" si="776"/>
        <v>41.174670574805823</v>
      </c>
      <c r="BR408" s="354">
        <f t="shared" si="776"/>
        <v>39.56001631355295</v>
      </c>
      <c r="BS408" s="354">
        <f t="shared" si="776"/>
        <v>17.480914777152286</v>
      </c>
      <c r="BT408" s="355">
        <f t="shared" si="776"/>
        <v>1.5752808363844739</v>
      </c>
      <c r="BU408" s="1511">
        <f t="shared" si="776"/>
        <v>1.4263944290791168</v>
      </c>
      <c r="BV408" s="354">
        <f t="shared" si="776"/>
        <v>23.348735440354428</v>
      </c>
      <c r="BW408" s="354">
        <f t="shared" si="776"/>
        <v>27.298648581410635</v>
      </c>
      <c r="BX408" s="355">
        <f t="shared" si="776"/>
        <v>2.206069329609428</v>
      </c>
      <c r="BY408" s="1511">
        <f t="shared" si="776"/>
        <v>-0.31249289938230229</v>
      </c>
      <c r="BZ408" s="354">
        <f t="shared" si="776"/>
        <v>31.157290430119041</v>
      </c>
      <c r="CA408" s="354">
        <f t="shared" si="776"/>
        <v>11.686840756759825</v>
      </c>
      <c r="CB408" s="355">
        <f t="shared" si="776"/>
        <v>-31.709906289432503</v>
      </c>
      <c r="CC408" s="1511">
        <f t="shared" si="776"/>
        <v>-23.422445569951169</v>
      </c>
      <c r="CD408" s="354">
        <f t="shared" si="776"/>
        <v>-16.39119577487476</v>
      </c>
      <c r="CE408" s="354">
        <f t="shared" si="776"/>
        <v>-12.584316473581991</v>
      </c>
      <c r="CF408" s="355">
        <f t="shared" si="776"/>
        <v>-9.0978913246869695</v>
      </c>
      <c r="CG408" s="351"/>
      <c r="CH408" s="383"/>
      <c r="CI408" s="352"/>
      <c r="CJ408" s="352"/>
      <c r="CK408" s="352"/>
      <c r="CL408" s="352"/>
      <c r="CM408" s="352"/>
      <c r="CN408" s="354"/>
      <c r="CO408" s="354"/>
      <c r="CP408" s="354">
        <f>+(CP407-CO407)*10000</f>
        <v>14.43431566493271</v>
      </c>
      <c r="CQ408" s="354">
        <f>+(CQ407-CP407)*10000</f>
        <v>7.0545853378470302E-2</v>
      </c>
      <c r="CR408" s="354">
        <f>+(CR407-CQ407)*10000</f>
        <v>9.1277945233089053</v>
      </c>
      <c r="CS408" s="354">
        <f t="shared" ref="CS408:DF408" si="777">+(CS407-CR407)*10000</f>
        <v>19.423731151602674</v>
      </c>
      <c r="CT408" s="354">
        <f t="shared" si="777"/>
        <v>31.509137124181365</v>
      </c>
      <c r="CU408" s="354">
        <f t="shared" si="777"/>
        <v>23.315380551507808</v>
      </c>
      <c r="CV408" s="354">
        <f>+(CV407-CU407)*10000</f>
        <v>25.340207529782958</v>
      </c>
      <c r="CW408" s="354">
        <f t="shared" si="777"/>
        <v>14.047436003557026</v>
      </c>
      <c r="CX408" s="354">
        <f t="shared" si="777"/>
        <v>3.6193554192164026</v>
      </c>
      <c r="CY408" s="354">
        <f t="shared" si="777"/>
        <v>-16.77038097021903</v>
      </c>
      <c r="CZ408" s="354">
        <f t="shared" si="777"/>
        <v>-2.296327953457272</v>
      </c>
      <c r="DA408" s="354">
        <f t="shared" si="777"/>
        <v>-0.93219231654409485</v>
      </c>
      <c r="DB408" s="354">
        <f t="shared" si="777"/>
        <v>-1.1320658380305215</v>
      </c>
      <c r="DC408" s="354">
        <f t="shared" si="777"/>
        <v>-0.76605417672147291</v>
      </c>
      <c r="DD408" s="354">
        <f t="shared" si="777"/>
        <v>-0.53980607633272171</v>
      </c>
      <c r="DE408" s="354">
        <f t="shared" si="777"/>
        <v>-0.31702552984444465</v>
      </c>
      <c r="DF408" s="355">
        <f t="shared" si="777"/>
        <v>-1.1031885876776337</v>
      </c>
      <c r="DG408" s="1729"/>
      <c r="DH408" s="1729"/>
      <c r="DI408" s="347"/>
    </row>
    <row r="409" spans="1:116" s="632" customFormat="1" ht="11.25" customHeight="1">
      <c r="A409" s="542"/>
      <c r="B409"/>
      <c r="C409"/>
      <c r="D409"/>
      <c r="E409"/>
      <c r="F409"/>
      <c r="G409"/>
      <c r="H409" s="1052"/>
      <c r="I409" s="1733"/>
      <c r="J409" s="634"/>
      <c r="K409" s="634"/>
      <c r="L409" s="631"/>
      <c r="M409" s="465"/>
      <c r="N409" s="465"/>
      <c r="O409" s="465"/>
      <c r="P409" s="465"/>
      <c r="Q409" s="465"/>
      <c r="R409" s="465"/>
      <c r="S409" s="465"/>
      <c r="T409" s="465"/>
      <c r="U409" s="354"/>
      <c r="V409" s="354"/>
      <c r="W409" s="354"/>
      <c r="X409" s="354"/>
      <c r="Y409" s="354"/>
      <c r="Z409" s="354"/>
      <c r="AA409" s="354"/>
      <c r="AB409" s="354"/>
      <c r="AC409" s="1511"/>
      <c r="AD409" s="354"/>
      <c r="AE409" s="354"/>
      <c r="AF409" s="355"/>
      <c r="AG409" s="354"/>
      <c r="AH409" s="354"/>
      <c r="AI409" s="354"/>
      <c r="AJ409" s="354"/>
      <c r="AK409" s="1726"/>
      <c r="AL409" s="1373"/>
      <c r="AM409" s="1373"/>
      <c r="AN409" s="1374"/>
      <c r="AO409" s="1726"/>
      <c r="AP409" s="1373"/>
      <c r="AQ409" s="1373"/>
      <c r="AR409" s="1374"/>
      <c r="AS409" s="1726"/>
      <c r="AT409" s="1373"/>
      <c r="AU409" s="1373"/>
      <c r="AV409" s="1374"/>
      <c r="AW409" s="1726"/>
      <c r="AX409" s="1373"/>
      <c r="AY409" s="1373"/>
      <c r="AZ409" s="1374"/>
      <c r="BA409" s="1726"/>
      <c r="BB409" s="1373"/>
      <c r="BC409" s="1373"/>
      <c r="BD409" s="1374"/>
      <c r="BE409" s="1726"/>
      <c r="BF409" s="1373"/>
      <c r="BG409" s="1373"/>
      <c r="BH409" s="1374"/>
      <c r="BI409" s="1726"/>
      <c r="BJ409" s="1373"/>
      <c r="BK409" s="1373"/>
      <c r="BL409" s="1374"/>
      <c r="BM409" s="1726"/>
      <c r="BN409" s="1373"/>
      <c r="BO409" s="1373"/>
      <c r="BP409" s="1374"/>
      <c r="BQ409" s="1726"/>
      <c r="BR409" s="1373"/>
      <c r="BS409" s="1373"/>
      <c r="BT409" s="1374"/>
      <c r="BU409" s="1726"/>
      <c r="BV409" s="1373"/>
      <c r="BW409" s="1373"/>
      <c r="BX409" s="1374"/>
      <c r="BY409" s="1726"/>
      <c r="BZ409" s="1373"/>
      <c r="CA409" s="1373"/>
      <c r="CB409" s="1374"/>
      <c r="CC409" s="1726"/>
      <c r="CD409" s="1373"/>
      <c r="CE409" s="1373"/>
      <c r="CF409" s="1374"/>
      <c r="CG409" s="582"/>
      <c r="CH409" s="635"/>
      <c r="CI409" s="465"/>
      <c r="CJ409" s="354"/>
      <c r="CK409" s="354"/>
      <c r="CL409" s="354"/>
      <c r="CM409" s="354"/>
      <c r="CN409" s="354"/>
      <c r="CO409" s="354"/>
      <c r="CP409" s="354"/>
      <c r="CQ409" s="1373"/>
      <c r="CR409" s="1373"/>
      <c r="CS409" s="1373"/>
      <c r="CT409" s="1373"/>
      <c r="CU409" s="1373"/>
      <c r="CV409" s="1373"/>
      <c r="CW409" s="1373"/>
      <c r="CX409" s="1373"/>
      <c r="CY409" s="1373"/>
      <c r="CZ409" s="1373"/>
      <c r="DA409" s="1373"/>
      <c r="DB409" s="1373"/>
      <c r="DC409" s="1373"/>
      <c r="DD409" s="1373"/>
      <c r="DE409" s="1373"/>
      <c r="DF409" s="1374"/>
      <c r="DG409" s="1474"/>
      <c r="DH409" s="1474"/>
      <c r="DI409" s="465"/>
    </row>
    <row r="410" spans="1:116" s="100" customFormat="1" ht="11.25" customHeight="1">
      <c r="A410" s="8"/>
      <c r="B410"/>
      <c r="C410"/>
      <c r="D410"/>
      <c r="E410"/>
      <c r="F410"/>
      <c r="G410"/>
      <c r="H410" s="1052"/>
      <c r="I410" s="288" t="s">
        <v>367</v>
      </c>
      <c r="J410" s="125"/>
      <c r="K410" s="125"/>
      <c r="L410" s="101"/>
      <c r="M410" s="477"/>
      <c r="N410" s="477"/>
      <c r="O410" s="477"/>
      <c r="P410" s="478"/>
      <c r="Q410" s="477"/>
      <c r="R410" s="477"/>
      <c r="S410" s="477"/>
      <c r="T410" s="478"/>
      <c r="U410" s="477"/>
      <c r="V410" s="477"/>
      <c r="W410" s="477"/>
      <c r="X410" s="478"/>
      <c r="Y410" s="477"/>
      <c r="Z410" s="477"/>
      <c r="AA410" s="477"/>
      <c r="AB410" s="477"/>
      <c r="AC410" s="481"/>
      <c r="AD410" s="477"/>
      <c r="AE410" s="477"/>
      <c r="AF410" s="478"/>
      <c r="AG410" s="477"/>
      <c r="AH410" s="477"/>
      <c r="AI410" s="477"/>
      <c r="AJ410" s="478"/>
      <c r="AK410" s="477"/>
      <c r="AL410" s="477"/>
      <c r="AM410" s="477"/>
      <c r="AN410" s="478"/>
      <c r="AO410" s="477"/>
      <c r="AP410" s="477"/>
      <c r="AQ410" s="477"/>
      <c r="AR410" s="478"/>
      <c r="AS410" s="477"/>
      <c r="AT410" s="477"/>
      <c r="AU410" s="477"/>
      <c r="AV410" s="478"/>
      <c r="AW410" s="477"/>
      <c r="AX410" s="477"/>
      <c r="AY410" s="477"/>
      <c r="AZ410" s="478"/>
      <c r="BA410" s="477"/>
      <c r="BB410" s="477"/>
      <c r="BC410" s="477"/>
      <c r="BD410" s="479"/>
      <c r="BE410" s="477"/>
      <c r="BF410" s="477"/>
      <c r="BG410" s="477"/>
      <c r="BH410" s="479"/>
      <c r="BI410" s="1998" t="s">
        <v>215</v>
      </c>
      <c r="BJ410" s="1354" t="s">
        <v>215</v>
      </c>
      <c r="BK410" s="1354" t="s">
        <v>215</v>
      </c>
      <c r="BL410" s="1999" t="s">
        <v>215</v>
      </c>
      <c r="BM410" s="1982" t="s">
        <v>215</v>
      </c>
      <c r="BN410" s="1982" t="s">
        <v>215</v>
      </c>
      <c r="BO410" s="1982" t="s">
        <v>215</v>
      </c>
      <c r="BP410" s="1983" t="s">
        <v>215</v>
      </c>
      <c r="BQ410" s="1982" t="s">
        <v>215</v>
      </c>
      <c r="BR410" s="1982" t="s">
        <v>215</v>
      </c>
      <c r="BS410" s="1982" t="s">
        <v>215</v>
      </c>
      <c r="BT410" s="1984" t="s">
        <v>701</v>
      </c>
      <c r="BU410" s="1985" t="s">
        <v>697</v>
      </c>
      <c r="BV410" s="1982" t="s">
        <v>701</v>
      </c>
      <c r="BW410" s="2040" t="s">
        <v>707</v>
      </c>
      <c r="BX410" s="1984" t="s">
        <v>707</v>
      </c>
      <c r="BY410" s="1982" t="s">
        <v>707</v>
      </c>
      <c r="BZ410" s="1982" t="s">
        <v>707</v>
      </c>
      <c r="CA410" s="2040" t="s">
        <v>750</v>
      </c>
      <c r="CB410" s="477"/>
      <c r="CC410" s="481"/>
      <c r="CD410" s="477"/>
      <c r="CE410" s="477"/>
      <c r="CF410" s="478"/>
      <c r="CG410" s="480"/>
      <c r="CH410" s="481"/>
      <c r="CI410" s="477"/>
      <c r="CJ410" s="477"/>
      <c r="CK410" s="477"/>
      <c r="CL410" s="477"/>
      <c r="CM410" s="477"/>
      <c r="CN410" s="477"/>
      <c r="CO410" s="477"/>
      <c r="CP410" s="477"/>
      <c r="CQ410" s="477"/>
      <c r="CR410" s="477"/>
      <c r="CS410" s="477"/>
      <c r="CT410" s="477"/>
      <c r="CU410" s="477"/>
      <c r="CV410" s="1354" t="s">
        <v>215</v>
      </c>
      <c r="CW410" s="477"/>
      <c r="CX410" s="477"/>
      <c r="CY410" s="477"/>
      <c r="CZ410" s="477"/>
      <c r="DA410" s="477"/>
      <c r="DB410" s="477"/>
      <c r="DC410" s="477"/>
      <c r="DD410" s="477"/>
      <c r="DE410" s="477"/>
      <c r="DF410" s="478"/>
      <c r="DI410" s="102"/>
    </row>
    <row r="411" spans="1:116" s="631" customFormat="1" ht="11.25" customHeight="1">
      <c r="A411" s="542"/>
      <c r="B411"/>
      <c r="C411"/>
      <c r="D411"/>
      <c r="E411"/>
      <c r="F411"/>
      <c r="G411"/>
      <c r="H411" s="1052"/>
      <c r="I411" s="1898"/>
      <c r="J411" s="634"/>
      <c r="K411" s="634"/>
      <c r="M411" s="465"/>
      <c r="N411" s="465"/>
      <c r="O411" s="465"/>
      <c r="P411" s="465"/>
      <c r="Q411" s="465"/>
      <c r="R411" s="465"/>
      <c r="S411" s="465"/>
      <c r="T411" s="465"/>
      <c r="U411" s="354"/>
      <c r="V411" s="354"/>
      <c r="W411" s="354"/>
      <c r="X411" s="354"/>
      <c r="Y411" s="354"/>
      <c r="Z411" s="354"/>
      <c r="AA411" s="354"/>
      <c r="AB411" s="354"/>
      <c r="AC411" s="1699"/>
      <c r="AD411" s="1697"/>
      <c r="AE411" s="1697"/>
      <c r="AF411" s="1698"/>
      <c r="AG411" s="1699"/>
      <c r="AH411" s="1697"/>
      <c r="AI411" s="1697"/>
      <c r="AJ411" s="1698"/>
      <c r="AK411" s="1699"/>
      <c r="AL411" s="1697"/>
      <c r="AM411" s="1697"/>
      <c r="AN411" s="1698"/>
      <c r="AO411" s="1699"/>
      <c r="AP411" s="1697"/>
      <c r="AQ411" s="1697"/>
      <c r="AR411" s="1698"/>
      <c r="AS411" s="1699"/>
      <c r="AT411" s="1697"/>
      <c r="AU411" s="1697"/>
      <c r="AV411" s="1698"/>
      <c r="AW411" s="1699"/>
      <c r="AX411" s="1697"/>
      <c r="AY411" s="1697"/>
      <c r="AZ411" s="1698"/>
      <c r="BA411" s="1699"/>
      <c r="BB411" s="1697"/>
      <c r="BC411" s="1697"/>
      <c r="BD411" s="1698"/>
      <c r="BE411" s="1699"/>
      <c r="BF411" s="1697"/>
      <c r="BG411" s="1697"/>
      <c r="BH411" s="1698"/>
      <c r="BI411" s="1699"/>
      <c r="BJ411" s="1697"/>
      <c r="BK411" s="1697"/>
      <c r="BL411" s="1698"/>
      <c r="BM411" s="1875"/>
      <c r="BN411" s="1875"/>
      <c r="BO411" s="1875"/>
      <c r="BP411" s="478"/>
      <c r="BQ411" s="1875"/>
      <c r="BR411" s="1875"/>
      <c r="BS411" s="1875"/>
      <c r="BT411" s="478"/>
      <c r="BU411" s="1875"/>
      <c r="BV411" s="1875"/>
      <c r="BW411" s="1875"/>
      <c r="BX411" s="478"/>
      <c r="BY411" s="1875"/>
      <c r="BZ411" s="1875"/>
      <c r="CA411" s="1875"/>
      <c r="CB411" s="478"/>
      <c r="CC411" s="1875"/>
      <c r="CD411" s="1875"/>
      <c r="CE411" s="1875"/>
      <c r="CF411" s="478"/>
      <c r="CG411" s="478"/>
      <c r="CH411" s="465"/>
      <c r="CI411" s="465"/>
      <c r="CJ411" s="354"/>
      <c r="CK411" s="354"/>
      <c r="CL411" s="354"/>
      <c r="CM411" s="354"/>
      <c r="CN411" s="354"/>
      <c r="CO411" s="354"/>
      <c r="CP411" s="354"/>
      <c r="CQ411" s="1373"/>
      <c r="CR411" s="1373"/>
      <c r="CS411" s="1373"/>
      <c r="CT411" s="1373"/>
      <c r="CU411" s="1373"/>
      <c r="CV411" s="1373"/>
      <c r="CW411" s="1373"/>
      <c r="CX411" s="1373"/>
      <c r="CY411" s="477"/>
      <c r="CZ411" s="1373"/>
      <c r="DA411" s="1373"/>
      <c r="DB411" s="1373"/>
      <c r="DC411" s="1373"/>
      <c r="DD411" s="1373"/>
      <c r="DE411" s="1373"/>
      <c r="DF411" s="478"/>
      <c r="DG411" s="1474"/>
      <c r="DH411" s="1474"/>
      <c r="DI411" s="465"/>
    </row>
    <row r="412" spans="1:116" customFormat="1" ht="11.25" customHeight="1">
      <c r="A412" s="10"/>
      <c r="H412" s="1054"/>
      <c r="I412" s="1346" t="s">
        <v>490</v>
      </c>
      <c r="J412" s="1347"/>
      <c r="K412" s="1347"/>
      <c r="L412" s="1347"/>
      <c r="M412" s="1348"/>
      <c r="N412" s="1349"/>
      <c r="O412" s="1349"/>
      <c r="P412" s="1349"/>
      <c r="Q412" s="1349"/>
      <c r="R412" s="1349"/>
      <c r="S412" s="1349"/>
      <c r="T412" s="1349"/>
      <c r="U412" s="1349"/>
      <c r="V412" s="1349"/>
      <c r="W412" s="1349"/>
      <c r="X412" s="1349"/>
      <c r="Y412" s="1349"/>
      <c r="Z412" s="1349"/>
      <c r="AA412" s="1349"/>
      <c r="AB412" s="1349"/>
      <c r="AC412" s="1349"/>
      <c r="AD412" s="1349"/>
      <c r="AE412" s="1349"/>
      <c r="AF412" s="1349"/>
      <c r="AG412" s="1349"/>
      <c r="AH412" s="1349"/>
      <c r="AI412" s="1349"/>
      <c r="AJ412" s="1349"/>
      <c r="AK412" s="1349"/>
      <c r="AL412" s="1349"/>
      <c r="AM412" s="1349"/>
      <c r="AN412" s="1349"/>
      <c r="AO412" s="1349"/>
      <c r="AP412" s="1349"/>
      <c r="AQ412" s="1349"/>
      <c r="AR412" s="1349"/>
      <c r="AS412" s="1349"/>
      <c r="AT412" s="1349"/>
      <c r="AU412" s="1349"/>
      <c r="AV412" s="1349"/>
      <c r="AW412" s="1349"/>
      <c r="AX412" s="1349"/>
      <c r="AY412" s="1349"/>
      <c r="AZ412" s="1349"/>
      <c r="BA412" s="1349"/>
      <c r="BB412" s="1349"/>
      <c r="BC412" s="1349"/>
      <c r="BD412" s="1349"/>
      <c r="BE412" s="1349"/>
      <c r="BF412" s="1349"/>
      <c r="BG412" s="1349"/>
      <c r="BH412" s="1349"/>
      <c r="BI412" s="1349"/>
      <c r="BJ412" s="1349"/>
      <c r="BK412" s="1349"/>
      <c r="BL412" s="1349"/>
      <c r="BM412" s="1349"/>
      <c r="BN412" s="1349"/>
      <c r="BO412" s="1349"/>
      <c r="BP412" s="1349"/>
      <c r="BQ412" s="1349"/>
      <c r="BR412" s="1349"/>
      <c r="BS412" s="1349"/>
      <c r="BT412" s="1349"/>
      <c r="BU412" s="1349"/>
      <c r="BV412" s="1349"/>
      <c r="BW412" s="1349"/>
      <c r="BX412" s="1349"/>
      <c r="BY412" s="1349"/>
      <c r="BZ412" s="1349"/>
      <c r="CA412" s="1349"/>
      <c r="CB412" s="1349"/>
      <c r="CC412" s="1349"/>
      <c r="CD412" s="1349"/>
      <c r="CE412" s="1349"/>
      <c r="CF412" s="1350"/>
      <c r="CG412" s="337"/>
      <c r="CH412" s="1352"/>
      <c r="CI412" s="1348"/>
      <c r="CJ412" s="1351"/>
      <c r="CK412" s="1349"/>
      <c r="CL412" s="1349"/>
      <c r="CM412" s="1349"/>
      <c r="CN412" s="1349"/>
      <c r="CO412" s="1349"/>
      <c r="CP412" s="1349"/>
      <c r="CQ412" s="1349"/>
      <c r="CR412" s="1349"/>
      <c r="CS412" s="1349"/>
      <c r="CT412" s="1349"/>
      <c r="CU412" s="1349"/>
      <c r="CV412" s="1349"/>
      <c r="CW412" s="1349"/>
      <c r="CX412" s="1353"/>
      <c r="CY412" s="1349"/>
      <c r="CZ412" s="1349"/>
      <c r="DA412" s="1349"/>
      <c r="DB412" s="1349"/>
      <c r="DC412" s="1349"/>
      <c r="DD412" s="1349"/>
      <c r="DE412" s="1349"/>
      <c r="DF412" s="1350"/>
      <c r="DG412" s="124"/>
      <c r="DH412" s="124"/>
      <c r="DI412" s="1548"/>
    </row>
    <row r="413" spans="1:116" s="612" customFormat="1" ht="11.25" customHeight="1">
      <c r="A413" s="547"/>
      <c r="B413"/>
      <c r="C413"/>
      <c r="D413"/>
      <c r="E413"/>
      <c r="F413"/>
      <c r="G413"/>
      <c r="H413" s="1044"/>
      <c r="I413" s="636" t="s">
        <v>209</v>
      </c>
      <c r="J413" s="637"/>
      <c r="K413" s="637"/>
      <c r="L413" s="611"/>
      <c r="M413" s="517">
        <f t="shared" ref="M413:AR413" si="778">+M335+M346</f>
        <v>16.189</v>
      </c>
      <c r="N413" s="517">
        <f t="shared" si="778"/>
        <v>13.701000000000001</v>
      </c>
      <c r="O413" s="517">
        <f t="shared" si="778"/>
        <v>9.6</v>
      </c>
      <c r="P413" s="601">
        <f t="shared" si="778"/>
        <v>7.3849999999999998</v>
      </c>
      <c r="Q413" s="517">
        <f t="shared" si="778"/>
        <v>10.227</v>
      </c>
      <c r="R413" s="517">
        <f t="shared" si="778"/>
        <v>12.776999999999999</v>
      </c>
      <c r="S413" s="517">
        <f t="shared" si="778"/>
        <v>11.648999999999999</v>
      </c>
      <c r="T413" s="601">
        <f t="shared" si="778"/>
        <v>10.010999999999999</v>
      </c>
      <c r="U413" s="517">
        <f t="shared" si="778"/>
        <v>11.097999999999999</v>
      </c>
      <c r="V413" s="517">
        <f t="shared" si="778"/>
        <v>10.774000000000001</v>
      </c>
      <c r="W413" s="517">
        <f t="shared" si="778"/>
        <v>10.283999999999999</v>
      </c>
      <c r="X413" s="601">
        <f t="shared" si="778"/>
        <v>10.091999999999999</v>
      </c>
      <c r="Y413" s="517">
        <f t="shared" si="778"/>
        <v>15.404999999999999</v>
      </c>
      <c r="Z413" s="517">
        <f t="shared" si="778"/>
        <v>16.366</v>
      </c>
      <c r="AA413" s="517">
        <f t="shared" si="778"/>
        <v>14.649000000000001</v>
      </c>
      <c r="AB413" s="601">
        <f t="shared" si="778"/>
        <v>14.536000000000001</v>
      </c>
      <c r="AC413" s="517">
        <f t="shared" si="778"/>
        <v>21.003999999999998</v>
      </c>
      <c r="AD413" s="517">
        <f t="shared" si="778"/>
        <v>20.294</v>
      </c>
      <c r="AE413" s="517">
        <f t="shared" si="778"/>
        <v>27.184999999999999</v>
      </c>
      <c r="AF413" s="601">
        <f t="shared" si="778"/>
        <v>21.008000000000003</v>
      </c>
      <c r="AG413" s="517">
        <f t="shared" si="778"/>
        <v>31.298999999999999</v>
      </c>
      <c r="AH413" s="517">
        <f t="shared" si="778"/>
        <v>39.353999999999999</v>
      </c>
      <c r="AI413" s="517">
        <f t="shared" si="778"/>
        <v>41.225000000000001</v>
      </c>
      <c r="AJ413" s="601">
        <f t="shared" si="778"/>
        <v>33.777000000000001</v>
      </c>
      <c r="AK413" s="517">
        <f t="shared" si="778"/>
        <v>43.260999999999996</v>
      </c>
      <c r="AL413" s="517">
        <f t="shared" si="778"/>
        <v>52.750999999999998</v>
      </c>
      <c r="AM413" s="517">
        <f t="shared" si="778"/>
        <v>62.257000000000005</v>
      </c>
      <c r="AN413" s="601">
        <f t="shared" si="778"/>
        <v>50.369</v>
      </c>
      <c r="AO413" s="517">
        <f t="shared" si="778"/>
        <v>69.831000000000003</v>
      </c>
      <c r="AP413" s="517">
        <f t="shared" si="778"/>
        <v>82.787999999999997</v>
      </c>
      <c r="AQ413" s="517">
        <f t="shared" si="778"/>
        <v>92.584000000000003</v>
      </c>
      <c r="AR413" s="601">
        <f t="shared" si="778"/>
        <v>63.540000000000006</v>
      </c>
      <c r="AS413" s="517">
        <f t="shared" ref="AS413:BX413" si="779">+AS335+AS346</f>
        <v>78.88300000000001</v>
      </c>
      <c r="AT413" s="517">
        <f t="shared" si="779"/>
        <v>101.16</v>
      </c>
      <c r="AU413" s="517">
        <f t="shared" si="779"/>
        <v>123.577</v>
      </c>
      <c r="AV413" s="601">
        <f t="shared" si="779"/>
        <v>98.031999999999996</v>
      </c>
      <c r="AW413" s="517">
        <f t="shared" si="779"/>
        <v>124.89699999999999</v>
      </c>
      <c r="AX413" s="517">
        <f t="shared" si="779"/>
        <v>142.64099999999999</v>
      </c>
      <c r="AY413" s="517">
        <f t="shared" si="779"/>
        <v>180.5</v>
      </c>
      <c r="AZ413" s="601">
        <f t="shared" si="779"/>
        <v>139.816</v>
      </c>
      <c r="BA413" s="517">
        <f t="shared" si="779"/>
        <v>196.72200000000001</v>
      </c>
      <c r="BB413" s="517">
        <f t="shared" si="779"/>
        <v>246.09700000000001</v>
      </c>
      <c r="BC413" s="517">
        <f t="shared" si="779"/>
        <v>287.96100000000001</v>
      </c>
      <c r="BD413" s="601">
        <f t="shared" si="779"/>
        <v>223.90299999999999</v>
      </c>
      <c r="BE413" s="517">
        <f t="shared" si="779"/>
        <v>288.29300000000001</v>
      </c>
      <c r="BF413" s="517">
        <f t="shared" si="779"/>
        <v>324.40200000000004</v>
      </c>
      <c r="BG413" s="517">
        <f t="shared" si="779"/>
        <v>383.64499999999998</v>
      </c>
      <c r="BH413" s="601">
        <f t="shared" si="779"/>
        <v>312.79000000000002</v>
      </c>
      <c r="BI413" s="517">
        <f t="shared" si="779"/>
        <v>430.88200000000001</v>
      </c>
      <c r="BJ413" s="517">
        <f t="shared" si="779"/>
        <v>495.26499999999999</v>
      </c>
      <c r="BK413" s="517">
        <f t="shared" si="779"/>
        <v>573.05499999999995</v>
      </c>
      <c r="BL413" s="601">
        <f t="shared" si="779"/>
        <v>426.90199999999999</v>
      </c>
      <c r="BM413" s="517">
        <f t="shared" si="779"/>
        <v>574.322</v>
      </c>
      <c r="BN413" s="517">
        <f t="shared" si="779"/>
        <v>697.68099999999993</v>
      </c>
      <c r="BO413" s="517">
        <f t="shared" si="779"/>
        <v>771.40699999999993</v>
      </c>
      <c r="BP413" s="601">
        <f t="shared" si="779"/>
        <v>548.12</v>
      </c>
      <c r="BQ413" s="517">
        <f t="shared" si="779"/>
        <v>706.798</v>
      </c>
      <c r="BR413" s="517">
        <f t="shared" si="779"/>
        <v>837.12100000000009</v>
      </c>
      <c r="BS413" s="517">
        <f t="shared" si="779"/>
        <v>852.58699999999999</v>
      </c>
      <c r="BT413" s="601">
        <f t="shared" si="779"/>
        <v>615.41599999999994</v>
      </c>
      <c r="BU413" s="517">
        <f t="shared" si="779"/>
        <v>849.75400000000002</v>
      </c>
      <c r="BV413" s="517">
        <f t="shared" si="779"/>
        <v>1033.0840000000001</v>
      </c>
      <c r="BW413" s="517">
        <f t="shared" si="779"/>
        <v>1112.9409999999998</v>
      </c>
      <c r="BX413" s="601">
        <f t="shared" si="779"/>
        <v>779.20600000000002</v>
      </c>
      <c r="BY413" s="517">
        <f t="shared" ref="BY413:CF413" si="780">+BY335+BY346</f>
        <v>1053.7850000000001</v>
      </c>
      <c r="BZ413" s="517">
        <f t="shared" si="780"/>
        <v>1268.7759999999998</v>
      </c>
      <c r="CA413" s="517">
        <f t="shared" si="780"/>
        <v>1337.1410000000001</v>
      </c>
      <c r="CB413" s="601">
        <f t="shared" si="780"/>
        <v>873.65300000000002</v>
      </c>
      <c r="CC413" s="517">
        <f t="shared" si="780"/>
        <v>1214.5028296427843</v>
      </c>
      <c r="CD413" s="517">
        <f t="shared" si="780"/>
        <v>1489.8294108728401</v>
      </c>
      <c r="CE413" s="517">
        <f t="shared" si="780"/>
        <v>1493.3808311780513</v>
      </c>
      <c r="CF413" s="601">
        <f t="shared" si="780"/>
        <v>1046.6750347569532</v>
      </c>
      <c r="CG413" s="337"/>
      <c r="CH413" s="1203">
        <f t="shared" ref="CH413:DF413" si="781">+CH335+CH346</f>
        <v>46.875</v>
      </c>
      <c r="CI413" s="517">
        <f t="shared" si="781"/>
        <v>44.664000000000001</v>
      </c>
      <c r="CJ413" s="517">
        <f t="shared" si="781"/>
        <v>42.248000000000005</v>
      </c>
      <c r="CK413" s="517">
        <f t="shared" si="781"/>
        <v>60.956000000000003</v>
      </c>
      <c r="CL413" s="517">
        <f t="shared" si="781"/>
        <v>89.491</v>
      </c>
      <c r="CM413" s="517">
        <f t="shared" si="781"/>
        <v>145.655</v>
      </c>
      <c r="CN413" s="517">
        <f t="shared" si="781"/>
        <v>208.63799999999998</v>
      </c>
      <c r="CO413" s="517">
        <f t="shared" si="781"/>
        <v>308.74299999999999</v>
      </c>
      <c r="CP413" s="517">
        <f t="shared" si="781"/>
        <v>401.65199999999999</v>
      </c>
      <c r="CQ413" s="517">
        <f t="shared" si="781"/>
        <v>587.85400000000004</v>
      </c>
      <c r="CR413" s="517">
        <f t="shared" si="781"/>
        <v>954.68299999999999</v>
      </c>
      <c r="CS413" s="517">
        <f t="shared" si="781"/>
        <v>1309.1299999999999</v>
      </c>
      <c r="CT413" s="517">
        <f t="shared" si="781"/>
        <v>1926.104</v>
      </c>
      <c r="CU413" s="517">
        <f t="shared" si="781"/>
        <v>2591.5300000000002</v>
      </c>
      <c r="CV413" s="517">
        <f t="shared" si="781"/>
        <v>3011.922</v>
      </c>
      <c r="CW413" s="517">
        <f t="shared" si="781"/>
        <v>3774.9849999999997</v>
      </c>
      <c r="CX413" s="517">
        <f t="shared" si="781"/>
        <v>4533.3550000000005</v>
      </c>
      <c r="CY413" s="1402">
        <f t="shared" si="781"/>
        <v>5244.3881064506286</v>
      </c>
      <c r="CZ413" s="517">
        <f t="shared" si="781"/>
        <v>5978.2845010785704</v>
      </c>
      <c r="DA413" s="517">
        <f t="shared" si="781"/>
        <v>6716.11206878135</v>
      </c>
      <c r="DB413" s="517">
        <f t="shared" si="781"/>
        <v>7423.2799966893581</v>
      </c>
      <c r="DC413" s="517">
        <f t="shared" si="781"/>
        <v>8118.9466124099181</v>
      </c>
      <c r="DD413" s="517">
        <f t="shared" si="781"/>
        <v>8809.3621642904945</v>
      </c>
      <c r="DE413" s="517">
        <f t="shared" si="781"/>
        <v>9489.0984170209358</v>
      </c>
      <c r="DF413" s="601">
        <f t="shared" si="781"/>
        <v>10208.980325034065</v>
      </c>
      <c r="DG413" s="93"/>
      <c r="DH413" s="93"/>
      <c r="DI413" s="24"/>
    </row>
    <row r="414" spans="1:116" s="612" customFormat="1" ht="11.25" customHeight="1">
      <c r="A414" s="547"/>
      <c r="B414"/>
      <c r="C414"/>
      <c r="D414"/>
      <c r="E414"/>
      <c r="F414"/>
      <c r="G414"/>
      <c r="H414" s="1044"/>
      <c r="I414" s="1252" t="s">
        <v>210</v>
      </c>
      <c r="J414" s="1253"/>
      <c r="K414" s="1253"/>
      <c r="L414" s="1254"/>
      <c r="M414" s="561"/>
      <c r="N414" s="561"/>
      <c r="O414" s="561"/>
      <c r="P414" s="562"/>
      <c r="Q414" s="561"/>
      <c r="R414" s="561"/>
      <c r="S414" s="561"/>
      <c r="T414" s="562"/>
      <c r="U414" s="511"/>
      <c r="V414" s="511"/>
      <c r="W414" s="511"/>
      <c r="X414" s="648"/>
      <c r="Y414" s="511"/>
      <c r="Z414" s="511"/>
      <c r="AA414" s="511"/>
      <c r="AB414" s="648"/>
      <c r="AC414" s="512">
        <f>'Bookings and Drivers'!AC102/1000</f>
        <v>2.556</v>
      </c>
      <c r="AD414" s="512">
        <f>'Bookings and Drivers'!AD102/1000</f>
        <v>2.7360000000000002</v>
      </c>
      <c r="AE414" s="512">
        <f>'Bookings and Drivers'!AE102/1000</f>
        <v>3.4990000000000001</v>
      </c>
      <c r="AF414" s="513">
        <f>'Bookings and Drivers'!AF102/1000</f>
        <v>2.968</v>
      </c>
      <c r="AG414" s="512">
        <f>'Bookings and Drivers'!AG102/1000</f>
        <v>4.1529999999999996</v>
      </c>
      <c r="AH414" s="512">
        <f>'Bookings and Drivers'!AH102/1000</f>
        <v>4.9950000000000001</v>
      </c>
      <c r="AI414" s="512">
        <f>'Bookings and Drivers'!AI102/1000</f>
        <v>5.2380000000000004</v>
      </c>
      <c r="AJ414" s="513">
        <f>'Bookings and Drivers'!AJ102/1000</f>
        <v>4.2649999999999997</v>
      </c>
      <c r="AK414" s="512">
        <f>'Bookings and Drivers'!AK102/1000</f>
        <v>5.9550000000000001</v>
      </c>
      <c r="AL414" s="512">
        <f>'Bookings and Drivers'!AL102/1000</f>
        <v>7.242</v>
      </c>
      <c r="AM414" s="512">
        <f>'Bookings and Drivers'!AM102/1000</f>
        <v>7.9640000000000004</v>
      </c>
      <c r="AN414" s="513">
        <f>'Bookings and Drivers'!AN102/1000</f>
        <v>6.6159999999999997</v>
      </c>
      <c r="AO414" s="512">
        <f>'Bookings and Drivers'!AO102/1000</f>
        <v>9.375</v>
      </c>
      <c r="AP414" s="512">
        <f>'Bookings and Drivers'!AP102/1000</f>
        <v>10.879</v>
      </c>
      <c r="AQ414" s="512">
        <f>'Bookings and Drivers'!AQ102/1000</f>
        <v>11.433999999999999</v>
      </c>
      <c r="AR414" s="513">
        <f>'Bookings and Drivers'!AR102/1000</f>
        <v>9.1259999999999994</v>
      </c>
      <c r="AS414" s="512">
        <f>'Bookings and Drivers'!AS102/1000</f>
        <v>12.785</v>
      </c>
      <c r="AT414" s="512">
        <f>'Bookings and Drivers'!AT102/1000</f>
        <v>15.664999999999999</v>
      </c>
      <c r="AU414" s="512">
        <f>'Bookings and Drivers'!AU102/1000</f>
        <v>17.869</v>
      </c>
      <c r="AV414" s="513">
        <f>'Bookings and Drivers'!AV102/1000</f>
        <v>14.593</v>
      </c>
      <c r="AW414" s="512">
        <f>'Bookings and Drivers'!AW102/1000</f>
        <v>20.042000000000002</v>
      </c>
      <c r="AX414" s="512">
        <f>'Bookings and Drivers'!AX102/1000</f>
        <v>23.2</v>
      </c>
      <c r="AY414" s="512">
        <f>'Bookings and Drivers'!AY102/1000</f>
        <v>27.5</v>
      </c>
      <c r="AZ414" s="513">
        <f>'Bookings and Drivers'!AZ102/1000</f>
        <v>22</v>
      </c>
      <c r="BA414" s="512">
        <f>'Bookings and Drivers'!BA102/1000</f>
        <v>31.2</v>
      </c>
      <c r="BB414" s="512">
        <f>'Bookings and Drivers'!BB102/1000</f>
        <v>36.1</v>
      </c>
      <c r="BC414" s="512">
        <f>'Bookings and Drivers'!BC102/1000</f>
        <v>40.6</v>
      </c>
      <c r="BD414" s="513">
        <f>'Bookings and Drivers'!BD102/1000</f>
        <v>33.6</v>
      </c>
      <c r="BE414" s="512">
        <f>'Bookings and Drivers'!BE102/1000</f>
        <v>45.9</v>
      </c>
      <c r="BF414" s="512">
        <f>'Bookings and Drivers'!BF102/1000</f>
        <v>50.2</v>
      </c>
      <c r="BG414" s="512">
        <f>'Bookings and Drivers'!BG102/1000</f>
        <v>55.2</v>
      </c>
      <c r="BH414" s="513">
        <f>'Bookings and Drivers'!BH102/1000</f>
        <v>46.2</v>
      </c>
      <c r="BI414" s="512">
        <f>'Bookings and Drivers'!BI102/1000</f>
        <v>63.2</v>
      </c>
      <c r="BJ414" s="512">
        <f>'Bookings and Drivers'!BJ102/1000</f>
        <v>69.400000000000006</v>
      </c>
      <c r="BK414" s="512">
        <f>'Bookings and Drivers'!BK102/1000</f>
        <v>74.8</v>
      </c>
      <c r="BL414" s="513">
        <f>'Bookings and Drivers'!BL102/1000</f>
        <v>63.1</v>
      </c>
      <c r="BM414" s="512">
        <f>'Bookings and Drivers'!BM102/1000</f>
        <v>83.4</v>
      </c>
      <c r="BN414" s="512">
        <f>'Bookings and Drivers'!BN102/1000</f>
        <v>89.6</v>
      </c>
      <c r="BO414" s="512">
        <f>'Bookings and Drivers'!BO102/1000</f>
        <v>94.8</v>
      </c>
      <c r="BP414" s="513">
        <f>'Bookings and Drivers'!BP102/1000</f>
        <v>78.2</v>
      </c>
      <c r="BQ414" s="512">
        <f>'Bookings and Drivers'!BQ102/1000</f>
        <v>104.6</v>
      </c>
      <c r="BR414" s="512">
        <f>'Bookings and Drivers'!BR102/1000</f>
        <v>113.1</v>
      </c>
      <c r="BS414" s="512">
        <f>'Bookings and Drivers'!BS102/1000</f>
        <v>115.6</v>
      </c>
      <c r="BT414" s="513">
        <f>'Bookings and Drivers'!BT102/1000</f>
        <v>99.1</v>
      </c>
      <c r="BU414" s="512">
        <f>'Bookings and Drivers'!BU102/1000</f>
        <v>136.5</v>
      </c>
      <c r="BV414" s="512">
        <f>'Bookings and Drivers'!BV102/1000</f>
        <v>140.69999999999999</v>
      </c>
      <c r="BW414" s="512">
        <f>'Bookings and Drivers'!BW102/1000</f>
        <v>149.6</v>
      </c>
      <c r="BX414" s="513">
        <f>'Bookings and Drivers'!BX102/1000</f>
        <v>129.69999999999999</v>
      </c>
      <c r="BY414" s="512">
        <f>'Bookings and Drivers'!BY102/1000</f>
        <v>173.9</v>
      </c>
      <c r="BZ414" s="512">
        <f>'Bookings and Drivers'!BZ102/1000</f>
        <v>170.2</v>
      </c>
      <c r="CA414" s="512">
        <f>'Bookings and Drivers'!CA102/1000</f>
        <v>177.5</v>
      </c>
      <c r="CB414" s="513">
        <f>'Bookings and Drivers'!CB102/1000</f>
        <v>151.5</v>
      </c>
      <c r="CC414" s="512">
        <f>'Bookings and Drivers'!CC102/1000</f>
        <v>200.25719366501625</v>
      </c>
      <c r="CD414" s="512">
        <f>'Bookings and Drivers'!CD102/1000</f>
        <v>201.63248673995</v>
      </c>
      <c r="CE414" s="512">
        <f>'Bookings and Drivers'!CE102/1000</f>
        <v>208.49900124583999</v>
      </c>
      <c r="CF414" s="513">
        <f>'Bookings and Drivers'!CF102/1000</f>
        <v>180.06537883575001</v>
      </c>
      <c r="CG414" s="337"/>
      <c r="CH414" s="567"/>
      <c r="CI414" s="561"/>
      <c r="CJ414" s="511"/>
      <c r="CK414" s="511"/>
      <c r="CL414" s="512">
        <f>'Bookings and Drivers'!CL102/1000</f>
        <v>11.759</v>
      </c>
      <c r="CM414" s="512">
        <f>'Bookings and Drivers'!CM102/1000</f>
        <v>18.651</v>
      </c>
      <c r="CN414" s="512">
        <f>'Bookings and Drivers'!CN102/1000</f>
        <v>27.777000000000001</v>
      </c>
      <c r="CO414" s="512">
        <f>'Bookings and Drivers'!CO102/1000</f>
        <v>40.814</v>
      </c>
      <c r="CP414" s="512">
        <f>'Bookings and Drivers'!CP102/1000</f>
        <v>60.911999999999999</v>
      </c>
      <c r="CQ414" s="512">
        <f>'Bookings and Drivers'!CQ102/1000</f>
        <v>92.742000000000004</v>
      </c>
      <c r="CR414" s="512">
        <f>'Bookings and Drivers'!CR102/1000</f>
        <v>141.5</v>
      </c>
      <c r="CS414" s="512">
        <f>'Bookings and Drivers'!CS102/1000</f>
        <v>197.5</v>
      </c>
      <c r="CT414" s="512">
        <f>'Bookings and Drivers'!CT102/1000</f>
        <v>270.5</v>
      </c>
      <c r="CU414" s="512">
        <f>'Bookings and Drivers'!CU102/1000</f>
        <v>346</v>
      </c>
      <c r="CV414" s="512">
        <f>'Bookings and Drivers'!CV102/1000</f>
        <v>432.4</v>
      </c>
      <c r="CW414" s="512">
        <f>'Bookings and Drivers'!CW102/1000</f>
        <v>556.5</v>
      </c>
      <c r="CX414" s="512">
        <f>'Bookings and Drivers'!CX102/1000</f>
        <v>673.1</v>
      </c>
      <c r="CY414" s="512">
        <f>'Bookings and Drivers'!CY102/1000</f>
        <v>790.45406048655627</v>
      </c>
      <c r="CZ414" s="512">
        <f>'Bookings and Drivers'!CZ102/1000</f>
        <v>911.9919076507698</v>
      </c>
      <c r="DA414" s="512">
        <f>'Bookings and Drivers'!DA102/1000</f>
        <v>1032.3658992588914</v>
      </c>
      <c r="DB414" s="512">
        <f>'Bookings and Drivers'!DB102/1000</f>
        <v>1149.3241670952232</v>
      </c>
      <c r="DC414" s="512">
        <f>'Bookings and Drivers'!DC102/1000</f>
        <v>1264.2012581736624</v>
      </c>
      <c r="DD414" s="512">
        <f>'Bookings and Drivers'!DD102/1000</f>
        <v>1378.1562994027181</v>
      </c>
      <c r="DE414" s="512">
        <f>'Bookings and Drivers'!DE102/1000</f>
        <v>1490.1692343656396</v>
      </c>
      <c r="DF414" s="513">
        <f>'Bookings and Drivers'!DF102/1000</f>
        <v>1611.3447584483351</v>
      </c>
      <c r="DG414" s="93"/>
      <c r="DH414" s="93"/>
      <c r="DI414" s="24"/>
      <c r="DJ414" s="517"/>
      <c r="DK414" s="517"/>
      <c r="DL414" s="517"/>
    </row>
    <row r="415" spans="1:116" s="1180" customFormat="1" ht="11.25" customHeight="1">
      <c r="A415" s="8"/>
      <c r="B415"/>
      <c r="C415"/>
      <c r="D415"/>
      <c r="E415"/>
      <c r="F415"/>
      <c r="G415"/>
      <c r="H415" s="1052"/>
      <c r="I415" s="1034" t="s">
        <v>491</v>
      </c>
      <c r="J415" s="98"/>
      <c r="K415" s="98"/>
      <c r="L415" s="1179"/>
      <c r="M415" s="1181"/>
      <c r="N415" s="1181"/>
      <c r="O415" s="1181"/>
      <c r="P415" s="1182"/>
      <c r="Q415" s="1181"/>
      <c r="R415" s="1181"/>
      <c r="S415" s="1181"/>
      <c r="T415" s="1182"/>
      <c r="U415" s="1183"/>
      <c r="V415" s="1183"/>
      <c r="W415" s="1183"/>
      <c r="X415" s="1184"/>
      <c r="Y415" s="1183"/>
      <c r="Z415" s="1183"/>
      <c r="AA415" s="1183"/>
      <c r="AB415" s="1184"/>
      <c r="AC415" s="1183">
        <f t="shared" ref="AC415:BH415" si="782">+AC413/AC414</f>
        <v>8.2175273865414695</v>
      </c>
      <c r="AD415" s="1183">
        <f t="shared" si="782"/>
        <v>7.4173976608187129</v>
      </c>
      <c r="AE415" s="1183">
        <f t="shared" si="782"/>
        <v>7.7693626750500133</v>
      </c>
      <c r="AF415" s="1184">
        <f t="shared" si="782"/>
        <v>7.078167115902966</v>
      </c>
      <c r="AG415" s="1183">
        <f t="shared" si="782"/>
        <v>7.5364796532627025</v>
      </c>
      <c r="AH415" s="1183">
        <f t="shared" si="782"/>
        <v>7.8786786786786784</v>
      </c>
      <c r="AI415" s="1183">
        <f t="shared" si="782"/>
        <v>7.8703703703703702</v>
      </c>
      <c r="AJ415" s="1184">
        <f t="shared" si="782"/>
        <v>7.919577960140681</v>
      </c>
      <c r="AK415" s="1183">
        <f t="shared" si="782"/>
        <v>7.2646515533165399</v>
      </c>
      <c r="AL415" s="1183">
        <f t="shared" si="782"/>
        <v>7.284037558685446</v>
      </c>
      <c r="AM415" s="1183">
        <f t="shared" si="782"/>
        <v>7.8173028628829737</v>
      </c>
      <c r="AN415" s="1184">
        <f t="shared" si="782"/>
        <v>7.6132103990326483</v>
      </c>
      <c r="AO415" s="1183">
        <f t="shared" si="782"/>
        <v>7.4486400000000001</v>
      </c>
      <c r="AP415" s="1183">
        <f t="shared" si="782"/>
        <v>7.6098906149462264</v>
      </c>
      <c r="AQ415" s="1183">
        <f t="shared" si="782"/>
        <v>8.0972538044428912</v>
      </c>
      <c r="AR415" s="1184">
        <f t="shared" si="782"/>
        <v>6.9625246548323485</v>
      </c>
      <c r="AS415" s="1183">
        <f t="shared" si="782"/>
        <v>6.1699648025029337</v>
      </c>
      <c r="AT415" s="1183">
        <f t="shared" si="782"/>
        <v>6.4577082668368977</v>
      </c>
      <c r="AU415" s="1183">
        <f t="shared" si="782"/>
        <v>6.9157199619452685</v>
      </c>
      <c r="AV415" s="1184">
        <f t="shared" si="782"/>
        <v>6.7177413828547934</v>
      </c>
      <c r="AW415" s="1183">
        <f t="shared" si="782"/>
        <v>6.2317632970761387</v>
      </c>
      <c r="AX415" s="1183">
        <f t="shared" si="782"/>
        <v>6.148318965517241</v>
      </c>
      <c r="AY415" s="1183">
        <f t="shared" si="782"/>
        <v>6.5636363636363635</v>
      </c>
      <c r="AZ415" s="1184">
        <f t="shared" si="782"/>
        <v>6.3552727272727276</v>
      </c>
      <c r="BA415" s="1183">
        <f t="shared" si="782"/>
        <v>6.305192307692308</v>
      </c>
      <c r="BB415" s="1183">
        <f t="shared" si="782"/>
        <v>6.8170914127423821</v>
      </c>
      <c r="BC415" s="1183">
        <f t="shared" si="782"/>
        <v>7.0926354679802959</v>
      </c>
      <c r="BD415" s="1184">
        <f t="shared" si="782"/>
        <v>6.6637797619047614</v>
      </c>
      <c r="BE415" s="1183">
        <f t="shared" si="782"/>
        <v>6.2808932461873646</v>
      </c>
      <c r="BF415" s="1183">
        <f t="shared" si="782"/>
        <v>6.4621912350597617</v>
      </c>
      <c r="BG415" s="1183">
        <f t="shared" si="782"/>
        <v>6.9500905797101442</v>
      </c>
      <c r="BH415" s="1184">
        <f t="shared" si="782"/>
        <v>6.7703463203463201</v>
      </c>
      <c r="BI415" s="1183">
        <f t="shared" ref="BI415:CF415" si="783">+BI413/BI414</f>
        <v>6.8177531645569616</v>
      </c>
      <c r="BJ415" s="1183">
        <f t="shared" si="783"/>
        <v>7.1363832853025926</v>
      </c>
      <c r="BK415" s="1183">
        <f t="shared" si="783"/>
        <v>7.661163101604278</v>
      </c>
      <c r="BL415" s="1184">
        <f t="shared" si="783"/>
        <v>6.7654833597464341</v>
      </c>
      <c r="BM415" s="1183">
        <f t="shared" si="783"/>
        <v>6.8863549160671456</v>
      </c>
      <c r="BN415" s="1183">
        <f t="shared" si="783"/>
        <v>7.7866183035714283</v>
      </c>
      <c r="BO415" s="1183">
        <f t="shared" si="783"/>
        <v>8.1372046413502108</v>
      </c>
      <c r="BP415" s="1184">
        <f t="shared" si="783"/>
        <v>7.0092071611253193</v>
      </c>
      <c r="BQ415" s="1183">
        <f t="shared" si="783"/>
        <v>6.7571510516252395</v>
      </c>
      <c r="BR415" s="1183">
        <f t="shared" si="783"/>
        <v>7.4016003536693207</v>
      </c>
      <c r="BS415" s="1183">
        <f>+BS413/BS414</f>
        <v>7.375320069204153</v>
      </c>
      <c r="BT415" s="1184">
        <f>+BT413/BT414</f>
        <v>6.2100504540867805</v>
      </c>
      <c r="BU415" s="1183">
        <f>+BU413/BU414</f>
        <v>6.2253040293040298</v>
      </c>
      <c r="BV415" s="1183">
        <f>+BV413/BV414</f>
        <v>7.3424591329068951</v>
      </c>
      <c r="BW415" s="1183">
        <f>+BW413/BW414</f>
        <v>7.4394451871657745</v>
      </c>
      <c r="BX415" s="1184">
        <f t="shared" si="783"/>
        <v>6.0077563608326914</v>
      </c>
      <c r="BY415" s="1183">
        <f t="shared" si="783"/>
        <v>6.0597182288671654</v>
      </c>
      <c r="BZ415" s="1183">
        <f t="shared" si="783"/>
        <v>7.4546180963572262</v>
      </c>
      <c r="CA415" s="1183">
        <f t="shared" si="783"/>
        <v>7.5331887323943665</v>
      </c>
      <c r="CB415" s="1184">
        <f t="shared" si="783"/>
        <v>5.7666864686468644</v>
      </c>
      <c r="CC415" s="1183">
        <f t="shared" si="783"/>
        <v>6.0647151166732378</v>
      </c>
      <c r="CD415" s="1183">
        <f t="shared" si="783"/>
        <v>7.3888361690162903</v>
      </c>
      <c r="CE415" s="1183">
        <f t="shared" si="783"/>
        <v>7.1625323011366104</v>
      </c>
      <c r="CF415" s="1184">
        <f t="shared" si="783"/>
        <v>5.8127500218223371</v>
      </c>
      <c r="CG415" s="337"/>
      <c r="CH415" s="1204"/>
      <c r="CI415" s="1181"/>
      <c r="CJ415" s="1183"/>
      <c r="CK415" s="1183"/>
      <c r="CL415" s="1183">
        <f>+CL413/CL414</f>
        <v>7.6104260566374693</v>
      </c>
      <c r="CM415" s="1183">
        <f t="shared" ref="CM415:CX415" si="784">+CM413/CM414</f>
        <v>7.8095008310546357</v>
      </c>
      <c r="CN415" s="1183">
        <f t="shared" si="784"/>
        <v>7.5111783129927625</v>
      </c>
      <c r="CO415" s="1183">
        <f t="shared" si="784"/>
        <v>7.5646346841769976</v>
      </c>
      <c r="CP415" s="1183">
        <f t="shared" si="784"/>
        <v>6.5939716312056733</v>
      </c>
      <c r="CQ415" s="1183">
        <f t="shared" si="784"/>
        <v>6.3385952427163534</v>
      </c>
      <c r="CR415" s="1183">
        <f t="shared" si="784"/>
        <v>6.7468763250883388</v>
      </c>
      <c r="CS415" s="1183">
        <f t="shared" si="784"/>
        <v>6.6285063291139235</v>
      </c>
      <c r="CT415" s="1183">
        <f t="shared" si="784"/>
        <v>7.1205323475046214</v>
      </c>
      <c r="CU415" s="1183">
        <f>+CU413/CU414</f>
        <v>7.4899710982658965</v>
      </c>
      <c r="CV415" s="1183">
        <f>+CV413/CV414</f>
        <v>6.9655920444033308</v>
      </c>
      <c r="CW415" s="1183">
        <f>+CW413/CW414</f>
        <v>6.783441150044923</v>
      </c>
      <c r="CX415" s="1183">
        <f t="shared" si="784"/>
        <v>6.7350393700787405</v>
      </c>
      <c r="CY415" s="1183">
        <f t="shared" ref="CY415:DF415" si="785">+CY413/CY414</f>
        <v>6.634652623863424</v>
      </c>
      <c r="CZ415" s="1183">
        <f t="shared" si="785"/>
        <v>6.5551946798280607</v>
      </c>
      <c r="DA415" s="1183">
        <f t="shared" si="785"/>
        <v>6.5055539645417113</v>
      </c>
      <c r="DB415" s="1183">
        <f t="shared" si="785"/>
        <v>6.4588218095603036</v>
      </c>
      <c r="DC415" s="1183">
        <f t="shared" si="785"/>
        <v>6.4221946940149497</v>
      </c>
      <c r="DD415" s="1183">
        <f t="shared" si="785"/>
        <v>6.3921357600066129</v>
      </c>
      <c r="DE415" s="1183">
        <f t="shared" si="785"/>
        <v>6.3677991721929592</v>
      </c>
      <c r="DF415" s="1184">
        <f t="shared" si="785"/>
        <v>6.3356896601475476</v>
      </c>
      <c r="DG415" s="93"/>
      <c r="DH415" s="93"/>
      <c r="DI415" s="24"/>
    </row>
    <row r="416" spans="1:116" s="308" customFormat="1" ht="11.25" customHeight="1">
      <c r="A416" s="82"/>
      <c r="B416"/>
      <c r="C416"/>
      <c r="D416"/>
      <c r="E416"/>
      <c r="F416"/>
      <c r="G416"/>
      <c r="H416" s="1044"/>
      <c r="I416" s="164" t="s">
        <v>376</v>
      </c>
      <c r="J416" s="312"/>
      <c r="K416" s="312"/>
      <c r="L416" s="307"/>
      <c r="M416" s="292"/>
      <c r="N416" s="292"/>
      <c r="O416" s="292"/>
      <c r="P416" s="1007"/>
      <c r="Q416" s="292"/>
      <c r="R416" s="292"/>
      <c r="S416" s="292"/>
      <c r="T416" s="1007"/>
      <c r="U416" s="997"/>
      <c r="V416" s="997"/>
      <c r="W416" s="997"/>
      <c r="X416" s="998"/>
      <c r="Y416" s="997"/>
      <c r="Z416" s="997"/>
      <c r="AA416" s="997"/>
      <c r="AB416" s="998"/>
      <c r="AC416" s="997"/>
      <c r="AD416" s="997"/>
      <c r="AE416" s="997"/>
      <c r="AF416" s="998"/>
      <c r="AG416" s="997">
        <f t="shared" ref="AG416:BL416" si="786">+AG415/AC415-1</f>
        <v>-8.2877452211984837E-2</v>
      </c>
      <c r="AH416" s="997">
        <f t="shared" si="786"/>
        <v>6.2189064002407868E-2</v>
      </c>
      <c r="AI416" s="997">
        <f t="shared" si="786"/>
        <v>1.3000769760012076E-2</v>
      </c>
      <c r="AJ416" s="998">
        <f t="shared" si="786"/>
        <v>0.1188741139421905</v>
      </c>
      <c r="AK416" s="997">
        <f>+AK415/AG415-1</f>
        <v>-3.6068312057139673E-2</v>
      </c>
      <c r="AL416" s="997">
        <f t="shared" si="786"/>
        <v>-7.5474726695283767E-2</v>
      </c>
      <c r="AM416" s="997">
        <f t="shared" si="786"/>
        <v>-6.742695068986837E-3</v>
      </c>
      <c r="AN416" s="998">
        <f t="shared" si="786"/>
        <v>-3.8684834299249737E-2</v>
      </c>
      <c r="AO416" s="997">
        <f t="shared" si="786"/>
        <v>2.5326534291856495E-2</v>
      </c>
      <c r="AP416" s="997">
        <f t="shared" si="786"/>
        <v>4.4735224610729096E-2</v>
      </c>
      <c r="AQ416" s="997">
        <f t="shared" si="786"/>
        <v>3.5811704685146717E-2</v>
      </c>
      <c r="AR416" s="998">
        <f t="shared" si="786"/>
        <v>-8.5467983951025062E-2</v>
      </c>
      <c r="AS416" s="997">
        <f t="shared" si="786"/>
        <v>-0.17166559230907474</v>
      </c>
      <c r="AT416" s="997">
        <f t="shared" si="786"/>
        <v>-0.15140590139973653</v>
      </c>
      <c r="AU416" s="997">
        <f t="shared" si="786"/>
        <v>-0.14591784709148248</v>
      </c>
      <c r="AV416" s="998">
        <f t="shared" si="786"/>
        <v>-3.5157257476662984E-2</v>
      </c>
      <c r="AW416" s="997">
        <f t="shared" si="786"/>
        <v>1.0016020601630649E-2</v>
      </c>
      <c r="AX416" s="997">
        <f t="shared" si="786"/>
        <v>-4.7910077156706476E-2</v>
      </c>
      <c r="AY416" s="997">
        <f t="shared" si="786"/>
        <v>-5.0910621055550997E-2</v>
      </c>
      <c r="AZ416" s="998">
        <f t="shared" si="786"/>
        <v>-5.3956923156816994E-2</v>
      </c>
      <c r="BA416" s="997">
        <f t="shared" si="786"/>
        <v>1.1783023057153175E-2</v>
      </c>
      <c r="BB416" s="997">
        <f t="shared" si="786"/>
        <v>0.10877321931017914</v>
      </c>
      <c r="BC416" s="997">
        <f t="shared" si="786"/>
        <v>8.0595431409740348E-2</v>
      </c>
      <c r="BD416" s="998">
        <f t="shared" si="786"/>
        <v>4.85434768689188E-2</v>
      </c>
      <c r="BE416" s="997">
        <f t="shared" si="786"/>
        <v>-3.8538176663222012E-3</v>
      </c>
      <c r="BF416" s="997">
        <f t="shared" si="786"/>
        <v>-5.2060351870776955E-2</v>
      </c>
      <c r="BG416" s="997">
        <f t="shared" si="786"/>
        <v>-2.0097591214672028E-2</v>
      </c>
      <c r="BH416" s="998">
        <f t="shared" si="786"/>
        <v>1.5991908833898449E-2</v>
      </c>
      <c r="BI416" s="997">
        <f t="shared" si="786"/>
        <v>8.5475090457154623E-2</v>
      </c>
      <c r="BJ416" s="997">
        <f t="shared" si="786"/>
        <v>0.10432870611830425</v>
      </c>
      <c r="BK416" s="997">
        <f t="shared" si="786"/>
        <v>0.10231125965034393</v>
      </c>
      <c r="BL416" s="998">
        <f t="shared" si="786"/>
        <v>-7.1827353724462917E-4</v>
      </c>
      <c r="BM416" s="997">
        <f t="shared" ref="BM416:CF416" si="787">+BM415/BI415-1</f>
        <v>1.0062222825375944E-2</v>
      </c>
      <c r="BN416" s="997">
        <f t="shared" si="787"/>
        <v>9.1115484170811945E-2</v>
      </c>
      <c r="BO416" s="997">
        <f t="shared" si="787"/>
        <v>6.213698017292546E-2</v>
      </c>
      <c r="BP416" s="998">
        <f t="shared" si="787"/>
        <v>3.6024595497345269E-2</v>
      </c>
      <c r="BQ416" s="997">
        <f t="shared" si="787"/>
        <v>-1.8762301103657841E-2</v>
      </c>
      <c r="BR416" s="997">
        <f t="shared" si="787"/>
        <v>-4.9446105471166346E-2</v>
      </c>
      <c r="BS416" s="997">
        <f t="shared" si="787"/>
        <v>-9.3629766698314021E-2</v>
      </c>
      <c r="BT416" s="998">
        <f t="shared" si="787"/>
        <v>-0.11401527857114091</v>
      </c>
      <c r="BU416" s="997">
        <f t="shared" si="787"/>
        <v>-7.8708766203071545E-2</v>
      </c>
      <c r="BV416" s="997">
        <f t="shared" si="787"/>
        <v>-7.9903288392363381E-3</v>
      </c>
      <c r="BW416" s="997">
        <f t="shared" si="787"/>
        <v>8.6945539122265103E-3</v>
      </c>
      <c r="BX416" s="998">
        <f t="shared" si="787"/>
        <v>-3.2575273703446483E-2</v>
      </c>
      <c r="BY416" s="997">
        <f t="shared" si="787"/>
        <v>-2.6598829496103593E-2</v>
      </c>
      <c r="BZ416" s="997">
        <f t="shared" si="787"/>
        <v>1.5275394989624935E-2</v>
      </c>
      <c r="CA416" s="997">
        <f t="shared" si="787"/>
        <v>1.260087854270564E-2</v>
      </c>
      <c r="CB416" s="998">
        <f t="shared" si="787"/>
        <v>-4.0126442836043053E-2</v>
      </c>
      <c r="CC416" s="997">
        <f t="shared" si="787"/>
        <v>8.2460728656785776E-4</v>
      </c>
      <c r="CD416" s="997">
        <f t="shared" si="787"/>
        <v>-8.8243188974470588E-3</v>
      </c>
      <c r="CE416" s="997">
        <f t="shared" si="787"/>
        <v>-4.9203125585298602E-2</v>
      </c>
      <c r="CF416" s="998">
        <f t="shared" si="787"/>
        <v>7.9878719652815011E-3</v>
      </c>
      <c r="CG416" s="1007"/>
      <c r="CH416" s="1010"/>
      <c r="CI416" s="292"/>
      <c r="CJ416" s="1201"/>
      <c r="CK416" s="1201"/>
      <c r="CL416" s="1201"/>
      <c r="CM416" s="997">
        <f t="shared" ref="CM416:CT416" si="788">+CM415/CL415-1</f>
        <v>2.6158164199433065E-2</v>
      </c>
      <c r="CN416" s="997">
        <f t="shared" si="788"/>
        <v>-3.81999470280594E-2</v>
      </c>
      <c r="CO416" s="997">
        <f t="shared" si="788"/>
        <v>7.1169088199871666E-3</v>
      </c>
      <c r="CP416" s="997">
        <f t="shared" si="788"/>
        <v>-0.12831591920779295</v>
      </c>
      <c r="CQ416" s="997">
        <f t="shared" si="788"/>
        <v>-3.8728766632959544E-2</v>
      </c>
      <c r="CR416" s="997">
        <f t="shared" si="788"/>
        <v>6.4411918846078553E-2</v>
      </c>
      <c r="CS416" s="997">
        <f t="shared" si="788"/>
        <v>-1.7544414669979247E-2</v>
      </c>
      <c r="CT416" s="997">
        <f t="shared" si="788"/>
        <v>7.4228792123137488E-2</v>
      </c>
      <c r="CU416" s="997">
        <f t="shared" ref="CU416:DF416" si="789">+CU415/CT415-1</f>
        <v>5.1883585767396267E-2</v>
      </c>
      <c r="CV416" s="997">
        <f t="shared" si="789"/>
        <v>-7.0010824739226485E-2</v>
      </c>
      <c r="CW416" s="997">
        <f t="shared" si="789"/>
        <v>-2.6150095095615167E-2</v>
      </c>
      <c r="CX416" s="997">
        <f t="shared" si="789"/>
        <v>-7.1352841272694922E-3</v>
      </c>
      <c r="CY416" s="1201">
        <f t="shared" si="789"/>
        <v>-1.4905146161624083E-2</v>
      </c>
      <c r="CZ416" s="1201">
        <f t="shared" si="789"/>
        <v>-1.197620260472565E-2</v>
      </c>
      <c r="DA416" s="1201">
        <f t="shared" si="789"/>
        <v>-7.5727293712734012E-3</v>
      </c>
      <c r="DB416" s="1201">
        <f t="shared" si="789"/>
        <v>-7.183424384167636E-3</v>
      </c>
      <c r="DC416" s="1201">
        <f t="shared" si="789"/>
        <v>-5.6708663941059667E-3</v>
      </c>
      <c r="DD416" s="1201">
        <f t="shared" si="789"/>
        <v>-4.6804769149010328E-3</v>
      </c>
      <c r="DE416" s="1201">
        <f t="shared" si="789"/>
        <v>-3.8072701718757651E-3</v>
      </c>
      <c r="DF416" s="1202">
        <f t="shared" si="789"/>
        <v>-5.0424818963556994E-3</v>
      </c>
      <c r="DG416" s="93"/>
      <c r="DH416" s="93"/>
      <c r="DI416" s="24"/>
    </row>
    <row r="417" spans="1:117" s="78" customFormat="1" ht="11.25" customHeight="1">
      <c r="A417" s="24"/>
      <c r="B417"/>
      <c r="C417"/>
      <c r="D417"/>
      <c r="E417"/>
      <c r="F417"/>
      <c r="G417"/>
      <c r="H417" s="1044"/>
      <c r="I417" s="201"/>
      <c r="J417" s="95"/>
      <c r="K417" s="95"/>
      <c r="L417" s="75"/>
      <c r="M417" s="439"/>
      <c r="N417" s="439"/>
      <c r="O417" s="439"/>
      <c r="P417" s="370"/>
      <c r="Q417" s="439"/>
      <c r="R417" s="439"/>
      <c r="S417" s="439"/>
      <c r="T417" s="370"/>
      <c r="U417" s="470"/>
      <c r="V417" s="470"/>
      <c r="W417" s="470"/>
      <c r="X417" s="471"/>
      <c r="Y417" s="470"/>
      <c r="Z417" s="470"/>
      <c r="AA417" s="470"/>
      <c r="AB417" s="471"/>
      <c r="AC417" s="470"/>
      <c r="AD417" s="470"/>
      <c r="AE417" s="470"/>
      <c r="AF417" s="471"/>
      <c r="AG417" s="393"/>
      <c r="AH417" s="393"/>
      <c r="AI417" s="393"/>
      <c r="AJ417" s="472"/>
      <c r="AK417" s="393"/>
      <c r="AL417" s="393"/>
      <c r="AM417" s="393"/>
      <c r="AN417" s="472"/>
      <c r="AO417" s="393"/>
      <c r="AP417" s="393"/>
      <c r="AQ417" s="393"/>
      <c r="AR417" s="472"/>
      <c r="AS417" s="393"/>
      <c r="AT417" s="393"/>
      <c r="AU417" s="393"/>
      <c r="AV417" s="472"/>
      <c r="AW417" s="393"/>
      <c r="AX417" s="393"/>
      <c r="AY417" s="393"/>
      <c r="AZ417" s="472"/>
      <c r="BA417" s="393"/>
      <c r="BB417" s="393"/>
      <c r="BC417" s="393"/>
      <c r="BD417" s="472"/>
      <c r="BE417" s="393"/>
      <c r="BF417" s="393"/>
      <c r="BG417" s="393"/>
      <c r="BH417" s="472"/>
      <c r="BI417" s="393"/>
      <c r="BJ417" s="393"/>
      <c r="BK417" s="393"/>
      <c r="BL417" s="472"/>
      <c r="BM417" s="393"/>
      <c r="BN417" s="393"/>
      <c r="BO417" s="393"/>
      <c r="BP417" s="472"/>
      <c r="BQ417" s="393"/>
      <c r="BT417" s="472"/>
      <c r="BU417" s="393"/>
      <c r="BV417" s="393"/>
      <c r="BW417" s="393"/>
      <c r="BX417" s="472"/>
      <c r="BY417" s="393"/>
      <c r="BZ417" s="393"/>
      <c r="CA417" s="393"/>
      <c r="CB417" s="472"/>
      <c r="CC417" s="393"/>
      <c r="CD417" s="393"/>
      <c r="CE417" s="393"/>
      <c r="CF417" s="472"/>
      <c r="CG417" s="370"/>
      <c r="CH417" s="440"/>
      <c r="CI417" s="439"/>
      <c r="CJ417" s="470"/>
      <c r="CK417" s="470"/>
      <c r="CL417" s="470"/>
      <c r="CM417" s="470"/>
      <c r="CN417" s="470"/>
      <c r="CO417" s="439"/>
      <c r="CP417" s="317"/>
      <c r="CQ417" s="317"/>
      <c r="CR417" s="517"/>
      <c r="CS417" s="517"/>
      <c r="CT417" s="517"/>
      <c r="CU417" s="517"/>
      <c r="CV417" s="517"/>
      <c r="CW417" s="517"/>
      <c r="CX417" s="517"/>
      <c r="CY417" s="517"/>
      <c r="CZ417" s="393"/>
      <c r="DA417" s="393"/>
      <c r="DB417" s="393"/>
      <c r="DC417" s="393"/>
      <c r="DD417" s="393"/>
      <c r="DE417" s="393"/>
      <c r="DF417" s="472"/>
      <c r="DG417" s="93"/>
      <c r="DH417" s="93"/>
      <c r="DI417" s="24"/>
    </row>
    <row r="418" spans="1:117" s="102" customFormat="1" ht="11.25" customHeight="1">
      <c r="A418" s="8"/>
      <c r="B418"/>
      <c r="C418"/>
      <c r="D418"/>
      <c r="E418"/>
      <c r="F418"/>
      <c r="G418"/>
      <c r="H418" s="1052"/>
      <c r="I418" s="287" t="s">
        <v>211</v>
      </c>
      <c r="J418" s="99"/>
      <c r="K418" s="99"/>
      <c r="L418" s="101"/>
      <c r="M418" s="432"/>
      <c r="N418" s="432"/>
      <c r="O418" s="432"/>
      <c r="P418" s="433"/>
      <c r="Q418" s="432"/>
      <c r="R418" s="432"/>
      <c r="S418" s="432"/>
      <c r="T418" s="433"/>
      <c r="U418" s="473"/>
      <c r="V418" s="473"/>
      <c r="W418" s="473"/>
      <c r="X418" s="474"/>
      <c r="Y418" s="473"/>
      <c r="Z418" s="473"/>
      <c r="AA418" s="473"/>
      <c r="AB418" s="474"/>
      <c r="AC418" s="473"/>
      <c r="AD418" s="473"/>
      <c r="AE418" s="473"/>
      <c r="AF418" s="474"/>
      <c r="AG418" s="475"/>
      <c r="AH418" s="475"/>
      <c r="AI418" s="475"/>
      <c r="AJ418" s="476"/>
      <c r="AK418" s="475"/>
      <c r="AL418" s="475"/>
      <c r="AM418" s="475"/>
      <c r="AN418" s="476"/>
      <c r="AO418" s="475"/>
      <c r="AP418" s="475"/>
      <c r="AQ418" s="475"/>
      <c r="AR418" s="476"/>
      <c r="AS418" s="475"/>
      <c r="AT418" s="475"/>
      <c r="AU418" s="475"/>
      <c r="AV418" s="476"/>
      <c r="AW418" s="475"/>
      <c r="AX418" s="475"/>
      <c r="AY418" s="475"/>
      <c r="AZ418" s="476"/>
      <c r="BA418" s="475"/>
      <c r="BB418" s="475"/>
      <c r="BC418" s="475"/>
      <c r="BD418" s="476"/>
      <c r="BE418" s="475"/>
      <c r="BF418" s="475"/>
      <c r="BG418" s="475"/>
      <c r="BH418" s="476"/>
      <c r="BI418" s="475"/>
      <c r="BJ418" s="475"/>
      <c r="BK418" s="475"/>
      <c r="BL418" s="476"/>
      <c r="BM418" s="475"/>
      <c r="BN418" s="475"/>
      <c r="BO418" s="475"/>
      <c r="BP418" s="476"/>
      <c r="BQ418" s="475"/>
      <c r="BR418" s="1833"/>
      <c r="BS418" s="1834"/>
      <c r="BT418" s="1835"/>
      <c r="BU418" s="475"/>
      <c r="BV418" s="475"/>
      <c r="BW418" s="475"/>
      <c r="BX418" s="1835"/>
      <c r="BY418" s="1834"/>
      <c r="BZ418" s="1834"/>
      <c r="CA418" s="1834"/>
      <c r="CB418" s="1835"/>
      <c r="CC418" s="1834"/>
      <c r="CD418" s="1834"/>
      <c r="CE418" s="1834"/>
      <c r="CF418" s="1835"/>
      <c r="CG418" s="433"/>
      <c r="CH418" s="438"/>
      <c r="CI418" s="432"/>
      <c r="CJ418" s="473"/>
      <c r="CK418" s="473"/>
      <c r="CL418" s="473"/>
      <c r="CM418" s="473"/>
      <c r="CN418" s="473"/>
      <c r="CO418" s="432"/>
      <c r="CP418" s="388"/>
      <c r="CQ418" s="517"/>
      <c r="CR418" s="517"/>
      <c r="CS418" s="517"/>
      <c r="CT418" s="517"/>
      <c r="CU418" s="517"/>
      <c r="CV418" s="517"/>
      <c r="CW418" s="517"/>
      <c r="CX418" s="517"/>
      <c r="CY418" s="1201"/>
      <c r="CZ418" s="475"/>
      <c r="DA418" s="475"/>
      <c r="DB418" s="475"/>
      <c r="DC418" s="475"/>
      <c r="DD418" s="475"/>
      <c r="DE418" s="475"/>
      <c r="DF418" s="476"/>
      <c r="DG418" s="93"/>
      <c r="DH418" s="93"/>
      <c r="DI418" s="24"/>
    </row>
    <row r="419" spans="1:117" s="308" customFormat="1" ht="11.25" customHeight="1">
      <c r="A419" s="82"/>
      <c r="B419"/>
      <c r="C419"/>
      <c r="D419"/>
      <c r="E419"/>
      <c r="F419"/>
      <c r="G419"/>
      <c r="H419" s="1044"/>
      <c r="I419" s="164" t="s">
        <v>492</v>
      </c>
      <c r="J419" s="312"/>
      <c r="K419" s="312"/>
      <c r="L419" s="307"/>
      <c r="M419" s="292"/>
      <c r="N419" s="292"/>
      <c r="O419" s="292"/>
      <c r="P419" s="1007"/>
      <c r="Q419" s="292"/>
      <c r="R419" s="292"/>
      <c r="S419" s="292"/>
      <c r="T419" s="1007"/>
      <c r="U419" s="997"/>
      <c r="V419" s="997"/>
      <c r="W419" s="997"/>
      <c r="X419" s="998"/>
      <c r="Y419" s="997"/>
      <c r="Z419" s="997"/>
      <c r="AA419" s="997"/>
      <c r="AB419" s="998"/>
      <c r="AC419" s="997">
        <f t="shared" ref="AC419:BH419" si="790">+AC413/Y413-1</f>
        <v>0.36345342421291771</v>
      </c>
      <c r="AD419" s="997">
        <f t="shared" si="790"/>
        <v>0.24000977636563614</v>
      </c>
      <c r="AE419" s="997">
        <f t="shared" si="790"/>
        <v>0.85575807222335976</v>
      </c>
      <c r="AF419" s="998">
        <f t="shared" si="790"/>
        <v>0.44523940561364883</v>
      </c>
      <c r="AG419" s="997">
        <f t="shared" si="790"/>
        <v>0.490144734336317</v>
      </c>
      <c r="AH419" s="997">
        <f t="shared" si="790"/>
        <v>0.93919385039913261</v>
      </c>
      <c r="AI419" s="997">
        <f t="shared" si="790"/>
        <v>0.51646128379621126</v>
      </c>
      <c r="AJ419" s="998">
        <f t="shared" si="790"/>
        <v>0.6078160700685451</v>
      </c>
      <c r="AK419" s="997">
        <f>+AK413/AG413-1</f>
        <v>0.38218473433656008</v>
      </c>
      <c r="AL419" s="997">
        <f t="shared" si="790"/>
        <v>0.34042282868323426</v>
      </c>
      <c r="AM419" s="997">
        <f t="shared" si="790"/>
        <v>0.51017586416009708</v>
      </c>
      <c r="AN419" s="998">
        <f t="shared" si="790"/>
        <v>0.49122183734493885</v>
      </c>
      <c r="AO419" s="997">
        <f t="shared" si="790"/>
        <v>0.61417905272647433</v>
      </c>
      <c r="AP419" s="997">
        <f t="shared" si="790"/>
        <v>0.5694110064264184</v>
      </c>
      <c r="AQ419" s="997">
        <f t="shared" si="790"/>
        <v>0.48712594567679135</v>
      </c>
      <c r="AR419" s="998">
        <f t="shared" si="790"/>
        <v>0.26149020230697473</v>
      </c>
      <c r="AS419" s="997">
        <f t="shared" si="790"/>
        <v>0.1296272429150378</v>
      </c>
      <c r="AT419" s="997">
        <f t="shared" si="790"/>
        <v>0.22191621974199149</v>
      </c>
      <c r="AU419" s="997">
        <f t="shared" si="790"/>
        <v>0.33475546530718048</v>
      </c>
      <c r="AV419" s="998">
        <f t="shared" si="790"/>
        <v>0.54283915643688996</v>
      </c>
      <c r="AW419" s="997">
        <f t="shared" si="790"/>
        <v>0.58331959991379612</v>
      </c>
      <c r="AX419" s="997">
        <f t="shared" si="790"/>
        <v>0.41005338078291809</v>
      </c>
      <c r="AY419" s="997">
        <f t="shared" si="790"/>
        <v>0.4606277867240669</v>
      </c>
      <c r="AZ419" s="998">
        <f t="shared" si="790"/>
        <v>0.42622817039334104</v>
      </c>
      <c r="BA419" s="997">
        <f t="shared" si="790"/>
        <v>0.57507386086134993</v>
      </c>
      <c r="BB419" s="997">
        <f t="shared" si="790"/>
        <v>0.7252893628059256</v>
      </c>
      <c r="BC419" s="997">
        <f t="shared" si="790"/>
        <v>0.5953518005540166</v>
      </c>
      <c r="BD419" s="998">
        <f t="shared" si="790"/>
        <v>0.60141185558162147</v>
      </c>
      <c r="BE419" s="997">
        <f t="shared" si="790"/>
        <v>0.46548428747166049</v>
      </c>
      <c r="BF419" s="997">
        <f t="shared" si="790"/>
        <v>0.31818754393592785</v>
      </c>
      <c r="BG419" s="997">
        <f t="shared" si="790"/>
        <v>0.33228110751108653</v>
      </c>
      <c r="BH419" s="998">
        <f t="shared" si="790"/>
        <v>0.39698887464661059</v>
      </c>
      <c r="BI419" s="997">
        <f t="shared" ref="BI419:CF419" si="791">+BI413/BE413-1</f>
        <v>0.49459751017194309</v>
      </c>
      <c r="BJ419" s="997">
        <f t="shared" si="791"/>
        <v>0.52670143833885086</v>
      </c>
      <c r="BK419" s="997">
        <f t="shared" si="791"/>
        <v>0.49371163445372668</v>
      </c>
      <c r="BL419" s="998">
        <f t="shared" si="791"/>
        <v>0.36481984718181515</v>
      </c>
      <c r="BM419" s="997">
        <f t="shared" si="791"/>
        <v>0.33289856619677782</v>
      </c>
      <c r="BN419" s="997">
        <f>+BN413/BJ413-1</f>
        <v>0.4087024118401259</v>
      </c>
      <c r="BO419" s="997">
        <f>+BO413/BK413-1</f>
        <v>0.34613082513894833</v>
      </c>
      <c r="BP419" s="998">
        <f>+BP413/BL413-1</f>
        <v>0.28394807239132169</v>
      </c>
      <c r="BQ419" s="997">
        <f t="shared" si="791"/>
        <v>0.23066502763258234</v>
      </c>
      <c r="BR419" s="997">
        <f>+BR413/BN413-1</f>
        <v>0.19986211463405223</v>
      </c>
      <c r="BS419" s="997">
        <f>+BS413/BO413-1</f>
        <v>0.10523627605142294</v>
      </c>
      <c r="BT419" s="998">
        <f>+BT413/BP413-1</f>
        <v>0.12277603444501195</v>
      </c>
      <c r="BU419" s="997">
        <f t="shared" si="791"/>
        <v>0.20225863683824796</v>
      </c>
      <c r="BV419" s="997">
        <f t="shared" si="791"/>
        <v>0.2340916068286425</v>
      </c>
      <c r="BW419" s="997">
        <f t="shared" si="791"/>
        <v>0.30536942270994016</v>
      </c>
      <c r="BX419" s="998">
        <f t="shared" si="791"/>
        <v>0.26614517659599368</v>
      </c>
      <c r="BY419" s="997">
        <f t="shared" si="791"/>
        <v>0.24010596007785789</v>
      </c>
      <c r="BZ419" s="997">
        <f t="shared" si="791"/>
        <v>0.2281440812170159</v>
      </c>
      <c r="CA419" s="997">
        <f t="shared" si="791"/>
        <v>0.20144823490194019</v>
      </c>
      <c r="CB419" s="998">
        <f t="shared" si="791"/>
        <v>0.1212092822693871</v>
      </c>
      <c r="CC419" s="997">
        <f t="shared" si="791"/>
        <v>0.1525148200465789</v>
      </c>
      <c r="CD419" s="997">
        <f t="shared" si="791"/>
        <v>0.17422571901804584</v>
      </c>
      <c r="CE419" s="997">
        <f t="shared" si="791"/>
        <v>0.11684618987679762</v>
      </c>
      <c r="CF419" s="998">
        <f t="shared" si="791"/>
        <v>0.19804434341432264</v>
      </c>
      <c r="CG419" s="1007"/>
      <c r="CH419" s="1010"/>
      <c r="CI419" s="292"/>
      <c r="CJ419" s="1201"/>
      <c r="CK419" s="1201"/>
      <c r="CL419" s="1201"/>
      <c r="CM419" s="1201"/>
      <c r="CN419" s="1201"/>
      <c r="CO419" s="1201">
        <f t="shared" ref="CO419:CX419" si="792">+CO413/CN413-1</f>
        <v>0.47980233706228037</v>
      </c>
      <c r="CP419" s="1201">
        <f t="shared" si="792"/>
        <v>0.3009266606854244</v>
      </c>
      <c r="CQ419" s="1201">
        <f t="shared" si="792"/>
        <v>0.46359037176461237</v>
      </c>
      <c r="CR419" s="1201">
        <f t="shared" si="792"/>
        <v>0.62401378573591382</v>
      </c>
      <c r="CS419" s="1201">
        <f t="shared" si="792"/>
        <v>0.37127193005426928</v>
      </c>
      <c r="CT419" s="1201">
        <f t="shared" si="792"/>
        <v>0.47128551022434761</v>
      </c>
      <c r="CU419" s="1201">
        <f t="shared" si="792"/>
        <v>0.34547771044554199</v>
      </c>
      <c r="CV419" s="1201">
        <f>+CV413/CU413-1</f>
        <v>0.16221768607733655</v>
      </c>
      <c r="CW419" s="1201">
        <f>+CW413/CV413-1</f>
        <v>0.25334753024812717</v>
      </c>
      <c r="CX419" s="1201">
        <f t="shared" si="792"/>
        <v>0.20089351348415985</v>
      </c>
      <c r="CY419" s="1201">
        <f t="shared" ref="CY419:DF419" si="793">+CY413/CX413-1</f>
        <v>0.15684478856181094</v>
      </c>
      <c r="CZ419" s="1201">
        <f t="shared" si="793"/>
        <v>0.13993937514373611</v>
      </c>
      <c r="DA419" s="1201">
        <f t="shared" si="793"/>
        <v>0.12341794164691633</v>
      </c>
      <c r="DB419" s="1201">
        <f t="shared" si="793"/>
        <v>0.10529424176751778</v>
      </c>
      <c r="DC419" s="1201">
        <f t="shared" si="793"/>
        <v>9.3714182414083025E-2</v>
      </c>
      <c r="DD419" s="1201">
        <f t="shared" si="793"/>
        <v>8.5037577513475293E-2</v>
      </c>
      <c r="DE419" s="1201">
        <f t="shared" si="793"/>
        <v>7.7160666124706623E-2</v>
      </c>
      <c r="DF419" s="1202">
        <f t="shared" si="793"/>
        <v>7.5864099662181994E-2</v>
      </c>
      <c r="DG419" s="1478"/>
      <c r="DH419" s="1478"/>
      <c r="DI419" s="1201"/>
    </row>
    <row r="420" spans="1:117" s="308" customFormat="1" ht="11.25" customHeight="1">
      <c r="A420" s="82"/>
      <c r="B420"/>
      <c r="C420"/>
      <c r="D420"/>
      <c r="E420"/>
      <c r="F420"/>
      <c r="G420"/>
      <c r="H420" s="1044"/>
      <c r="I420" s="164" t="s">
        <v>518</v>
      </c>
      <c r="J420" s="312"/>
      <c r="K420" s="312"/>
      <c r="L420" s="307"/>
      <c r="M420" s="292"/>
      <c r="N420" s="292"/>
      <c r="O420" s="292"/>
      <c r="P420" s="1007"/>
      <c r="Q420" s="292"/>
      <c r="R420" s="292"/>
      <c r="S420" s="292"/>
      <c r="T420" s="1007"/>
      <c r="U420" s="997"/>
      <c r="V420" s="997"/>
      <c r="W420" s="997"/>
      <c r="X420" s="998"/>
      <c r="Y420" s="997"/>
      <c r="Z420" s="997"/>
      <c r="AA420" s="997"/>
      <c r="AB420" s="998"/>
      <c r="AC420" s="997"/>
      <c r="AD420" s="997"/>
      <c r="AE420" s="997"/>
      <c r="AF420" s="998"/>
      <c r="AG420" s="997"/>
      <c r="AH420" s="997"/>
      <c r="AI420" s="997"/>
      <c r="AJ420" s="998"/>
      <c r="AK420" s="1909">
        <f>+AG413*AK421</f>
        <v>2.6045112950500005</v>
      </c>
      <c r="AL420" s="1910">
        <f t="shared" ref="AL420:CF420" si="794">+AH413*AL421</f>
        <v>2.8666457217786969</v>
      </c>
      <c r="AM420" s="1910">
        <f t="shared" si="794"/>
        <v>2.6886894514135768</v>
      </c>
      <c r="AN420" s="1911">
        <f t="shared" si="794"/>
        <v>4.4003195682630203</v>
      </c>
      <c r="AO420" s="1909">
        <f t="shared" si="794"/>
        <v>6.2971963808084555</v>
      </c>
      <c r="AP420" s="1910">
        <f t="shared" si="794"/>
        <v>7.5268653592989274</v>
      </c>
      <c r="AQ420" s="1910">
        <f t="shared" si="794"/>
        <v>5.2947501495728542</v>
      </c>
      <c r="AR420" s="1911">
        <f t="shared" si="794"/>
        <v>-2.9797026475682604</v>
      </c>
      <c r="AS420" s="1909">
        <f>+AO413*AS421</f>
        <v>-7.1514864195663916</v>
      </c>
      <c r="AT420" s="1910">
        <f t="shared" si="794"/>
        <v>-8.908430106732828</v>
      </c>
      <c r="AU420" s="1910">
        <f t="shared" si="794"/>
        <v>-6.2513335490461834</v>
      </c>
      <c r="AV420" s="1911">
        <f t="shared" si="794"/>
        <v>4.6056762108599276</v>
      </c>
      <c r="AW420" s="1909">
        <f t="shared" si="794"/>
        <v>4.2161146405269916</v>
      </c>
      <c r="AX420" s="1910">
        <f t="shared" si="794"/>
        <v>-5.0947106856921724</v>
      </c>
      <c r="AY420" s="1910">
        <f t="shared" si="794"/>
        <v>-9.4953190023177534</v>
      </c>
      <c r="AZ420" s="1911">
        <f t="shared" si="794"/>
        <v>-4.367193106065006</v>
      </c>
      <c r="BA420" s="1909">
        <f t="shared" si="794"/>
        <v>0.85837824328005308</v>
      </c>
      <c r="BB420" s="1910">
        <f t="shared" si="794"/>
        <v>21.741810862624387</v>
      </c>
      <c r="BC420" s="1910">
        <f t="shared" si="794"/>
        <v>16.592584573977323</v>
      </c>
      <c r="BD420" s="1911">
        <f t="shared" si="794"/>
        <v>-1.4874049686008792</v>
      </c>
      <c r="BE420" s="1909">
        <f t="shared" si="794"/>
        <v>-6.1402373086632087</v>
      </c>
      <c r="BF420" s="1910">
        <f t="shared" si="794"/>
        <v>-22.394618140381368</v>
      </c>
      <c r="BG420" s="1910">
        <f t="shared" si="794"/>
        <v>-25.833236874502418</v>
      </c>
      <c r="BH420" s="1911">
        <f t="shared" si="794"/>
        <v>-4.0362520525212142</v>
      </c>
      <c r="BI420" s="1909">
        <f t="shared" si="794"/>
        <v>-0.53651507243751306</v>
      </c>
      <c r="BJ420" s="1910">
        <f t="shared" si="794"/>
        <v>0.37528529502802094</v>
      </c>
      <c r="BK420" s="1910">
        <f t="shared" si="794"/>
        <v>2.6314362239095179</v>
      </c>
      <c r="BL420" s="1911">
        <f t="shared" si="794"/>
        <v>-2.1016111404765447</v>
      </c>
      <c r="BM420" s="1909">
        <f t="shared" si="794"/>
        <v>-4.6801499517033749</v>
      </c>
      <c r="BN420" s="1910">
        <f t="shared" si="794"/>
        <v>4.9989758530043149</v>
      </c>
      <c r="BO420" s="1910">
        <f>+BK413*BO421</f>
        <v>-1.9793966958271456</v>
      </c>
      <c r="BP420" s="1911">
        <f t="shared" si="794"/>
        <v>-29.536446882386283</v>
      </c>
      <c r="BQ420" s="1909">
        <f t="shared" si="794"/>
        <v>-77.073957027313369</v>
      </c>
      <c r="BR420" s="1910">
        <f t="shared" si="794"/>
        <v>-109.47506112905083</v>
      </c>
      <c r="BS420" s="1910">
        <f>+BO413*BS421</f>
        <v>-114.26769403738244</v>
      </c>
      <c r="BT420" s="1911">
        <f t="shared" si="794"/>
        <v>-64.141020607835245</v>
      </c>
      <c r="BU420" s="1909">
        <f t="shared" si="794"/>
        <v>-36.09672544464609</v>
      </c>
      <c r="BV420" s="1910">
        <f t="shared" si="794"/>
        <v>-13.889545219290744</v>
      </c>
      <c r="BW420" s="1910">
        <f t="shared" si="794"/>
        <v>-9.5032481570798222</v>
      </c>
      <c r="BX420" s="1911">
        <f t="shared" si="794"/>
        <v>-14.282242902273028</v>
      </c>
      <c r="BY420" s="1909">
        <f t="shared" si="794"/>
        <v>-24.984376275893563</v>
      </c>
      <c r="BZ420" s="1910">
        <f t="shared" si="794"/>
        <v>-27.864275651868311</v>
      </c>
      <c r="CA420" s="1910">
        <f t="shared" si="794"/>
        <v>21.880820964064739</v>
      </c>
      <c r="CB420" s="1911">
        <f t="shared" si="794"/>
        <v>41.008119783937374</v>
      </c>
      <c r="CC420" s="1909">
        <f t="shared" si="794"/>
        <v>65.031533689429907</v>
      </c>
      <c r="CD420" s="1910">
        <f t="shared" si="794"/>
        <v>44.39051893650371</v>
      </c>
      <c r="CE420" s="1910">
        <f t="shared" si="794"/>
        <v>-6.0942542284250019</v>
      </c>
      <c r="CF420" s="1911">
        <f t="shared" si="794"/>
        <v>32.169565253753049</v>
      </c>
      <c r="CG420" s="1007"/>
      <c r="CH420" s="1010"/>
      <c r="CI420" s="292"/>
      <c r="CJ420" s="997"/>
      <c r="CK420" s="997"/>
      <c r="CL420" s="997"/>
      <c r="CM420" s="997"/>
      <c r="CN420" s="997"/>
      <c r="CO420" s="1910">
        <f t="shared" ref="CO420:CX420" si="795">+CN413*CO421</f>
        <v>0.68438314996284466</v>
      </c>
      <c r="CP420" s="1910">
        <f t="shared" si="795"/>
        <v>-18.063048705531308</v>
      </c>
      <c r="CQ420" s="1910">
        <f t="shared" si="795"/>
        <v>-9.3656299600464994</v>
      </c>
      <c r="CR420" s="1910">
        <f t="shared" si="795"/>
        <v>0.72838636607742202</v>
      </c>
      <c r="CS420" s="1910">
        <f t="shared" si="795"/>
        <v>-52.365603387585807</v>
      </c>
      <c r="CT420" s="1910">
        <f t="shared" si="795"/>
        <v>-0.27630945223429548</v>
      </c>
      <c r="CU420" s="1910">
        <f t="shared" si="795"/>
        <v>-37.737308161567071</v>
      </c>
      <c r="CV420" s="1910">
        <f>+CU413*CV421</f>
        <v>-360.13900463071025</v>
      </c>
      <c r="CW420" s="1910">
        <f t="shared" si="795"/>
        <v>-76.541461074269293</v>
      </c>
      <c r="CX420" s="1910">
        <f t="shared" si="795"/>
        <v>89.874887414883574</v>
      </c>
      <c r="CY420" s="1910">
        <f t="shared" ref="CY420:DF420" si="796">+CX413*CY421</f>
        <v>138.99316630028653</v>
      </c>
      <c r="CZ420" s="1910">
        <f t="shared" si="796"/>
        <v>0.9443258696691621</v>
      </c>
      <c r="DA420" s="1910">
        <f t="shared" si="796"/>
        <v>0</v>
      </c>
      <c r="DB420" s="1910">
        <f t="shared" si="796"/>
        <v>0</v>
      </c>
      <c r="DC420" s="1910">
        <f t="shared" si="796"/>
        <v>0</v>
      </c>
      <c r="DD420" s="1910">
        <f t="shared" si="796"/>
        <v>0</v>
      </c>
      <c r="DE420" s="1910">
        <f t="shared" si="796"/>
        <v>0</v>
      </c>
      <c r="DF420" s="1911">
        <f t="shared" si="796"/>
        <v>0</v>
      </c>
      <c r="DG420" s="1480"/>
      <c r="DH420" s="1480"/>
      <c r="DI420" s="1910"/>
      <c r="DJ420" s="1183"/>
      <c r="DK420" s="1183"/>
      <c r="DL420" s="1183"/>
      <c r="DM420" s="1183"/>
    </row>
    <row r="421" spans="1:117" s="308" customFormat="1" ht="11.25" customHeight="1">
      <c r="A421" s="82"/>
      <c r="B421"/>
      <c r="C421"/>
      <c r="D421"/>
      <c r="E421"/>
      <c r="F421"/>
      <c r="G421"/>
      <c r="H421" s="1044"/>
      <c r="I421" s="164" t="s">
        <v>519</v>
      </c>
      <c r="J421" s="312"/>
      <c r="K421" s="312"/>
      <c r="L421" s="307"/>
      <c r="M421" s="292"/>
      <c r="N421" s="292"/>
      <c r="O421" s="292"/>
      <c r="P421" s="1007"/>
      <c r="Q421" s="292"/>
      <c r="R421" s="292"/>
      <c r="S421" s="292"/>
      <c r="T421" s="1007"/>
      <c r="U421" s="997"/>
      <c r="V421" s="997"/>
      <c r="W421" s="997"/>
      <c r="X421" s="998"/>
      <c r="Y421" s="997"/>
      <c r="Z421" s="997"/>
      <c r="AA421" s="997"/>
      <c r="AB421" s="998"/>
      <c r="AC421" s="997"/>
      <c r="AD421" s="997"/>
      <c r="AE421" s="997"/>
      <c r="AF421" s="998"/>
      <c r="AG421" s="997"/>
      <c r="AH421" s="997"/>
      <c r="AI421" s="997"/>
      <c r="AJ421" s="998"/>
      <c r="AK421" s="1278">
        <f>FX!AK57</f>
        <v>8.3213882074507195E-2</v>
      </c>
      <c r="AL421" s="1186">
        <f>FX!AL57</f>
        <v>7.2842550230693123E-2</v>
      </c>
      <c r="AM421" s="1186">
        <f>FX!AM57</f>
        <v>6.5219877535805382E-2</v>
      </c>
      <c r="AN421" s="1187">
        <f>FX!AN57</f>
        <v>0.13027561856479319</v>
      </c>
      <c r="AO421" s="1278">
        <f>FX!AO57</f>
        <v>0.14556289454262397</v>
      </c>
      <c r="AP421" s="1186">
        <f>FX!AP57</f>
        <v>0.14268668573674295</v>
      </c>
      <c r="AQ421" s="1186">
        <f>FX!AQ57</f>
        <v>8.5046663822106003E-2</v>
      </c>
      <c r="AR421" s="1187">
        <f>FX!AR57</f>
        <v>-5.9157470816737681E-2</v>
      </c>
      <c r="AS421" s="1278">
        <f>FX!AS57</f>
        <v>-0.10241134194793704</v>
      </c>
      <c r="AT421" s="1186">
        <f>FX!AT57</f>
        <v>-0.10760533056400479</v>
      </c>
      <c r="AU421" s="1186">
        <f>FX!AU57</f>
        <v>-6.7520668247712162E-2</v>
      </c>
      <c r="AV421" s="1187">
        <f>FX!AV57</f>
        <v>7.2484674391877987E-2</v>
      </c>
      <c r="AW421" s="1278">
        <f>FX!AW57</f>
        <v>5.3447696468529225E-2</v>
      </c>
      <c r="AX421" s="1186">
        <f>FX!AX57</f>
        <v>-5.0362897248835241E-2</v>
      </c>
      <c r="AY421" s="1186">
        <f>FX!AY57</f>
        <v>-7.6837267471436863E-2</v>
      </c>
      <c r="AZ421" s="1187">
        <f>FX!AZ57</f>
        <v>-4.4548648462389893E-2</v>
      </c>
      <c r="BA421" s="1278">
        <f>FX!BA57</f>
        <v>6.8726890420110417E-3</v>
      </c>
      <c r="BB421" s="1186">
        <f>FX!BB57</f>
        <v>0.15242329247989281</v>
      </c>
      <c r="BC421" s="1186">
        <f>FX!BC57</f>
        <v>9.1925676310123675E-2</v>
      </c>
      <c r="BD421" s="1187">
        <f>FX!BD57</f>
        <v>-1.0638302973914854E-2</v>
      </c>
      <c r="BE421" s="1278">
        <f>FX!BE57</f>
        <v>-3.121276374103155E-2</v>
      </c>
      <c r="BF421" s="1186">
        <f>FX!BF57</f>
        <v>-9.0999151311805374E-2</v>
      </c>
      <c r="BG421" s="1186">
        <f>FX!BG57</f>
        <v>-8.9710887496926378E-2</v>
      </c>
      <c r="BH421" s="1187">
        <f>FX!BH57</f>
        <v>-1.8026788620613455E-2</v>
      </c>
      <c r="BI421" s="1278">
        <f>FX!BI57</f>
        <v>-1.8610062416968608E-3</v>
      </c>
      <c r="BJ421" s="1186">
        <f>FX!BJ57</f>
        <v>1.1568525934735942E-3</v>
      </c>
      <c r="BK421" s="1186">
        <f>FX!BK57</f>
        <v>6.8590395389214456E-3</v>
      </c>
      <c r="BL421" s="1187">
        <f>FX!BL57</f>
        <v>-6.718920491309008E-3</v>
      </c>
      <c r="BM421" s="1278">
        <f>FX!BM57</f>
        <v>-1.0861790354907782E-2</v>
      </c>
      <c r="BN421" s="1186">
        <f>FX!BN57</f>
        <v>1.0093537506192272E-2</v>
      </c>
      <c r="BO421" s="1186">
        <f>FX!BO57</f>
        <v>-3.4541129487172186E-3</v>
      </c>
      <c r="BP421" s="1187">
        <f>FX!BP57</f>
        <v>-6.9187885937255583E-2</v>
      </c>
      <c r="BQ421" s="1278">
        <f>FX!BQ57</f>
        <v>-0.13419990358599074</v>
      </c>
      <c r="BR421" s="1186">
        <f>FX!BR57</f>
        <v>-0.15691277407447077</v>
      </c>
      <c r="BS421" s="1186">
        <f>FX!BS57</f>
        <v>-0.1481289306907799</v>
      </c>
      <c r="BT421" s="1187">
        <f>FX!BT57</f>
        <v>-0.11702003321870257</v>
      </c>
      <c r="BU421" s="1278">
        <f>FX!BU57</f>
        <v>-5.1070780399274041E-2</v>
      </c>
      <c r="BV421" s="1186">
        <f>FX!BV57</f>
        <v>-1.6592040122384629E-2</v>
      </c>
      <c r="BW421" s="1186">
        <f>FX!BW57</f>
        <v>-1.1146367651723312E-2</v>
      </c>
      <c r="BX421" s="1187">
        <f>FX!BX57</f>
        <v>-2.3207461135675754E-2</v>
      </c>
      <c r="BY421" s="1278">
        <f>FX!BY57</f>
        <v>-2.9401893107762436E-2</v>
      </c>
      <c r="BZ421" s="1186">
        <f>FX!BZ57</f>
        <v>-2.6971936117361522E-2</v>
      </c>
      <c r="CA421" s="1186">
        <f>FX!CA57</f>
        <v>1.9660360220411274E-2</v>
      </c>
      <c r="CB421" s="1187">
        <f>FX!CB57</f>
        <v>5.2628085235402924E-2</v>
      </c>
      <c r="CC421" s="1278">
        <f>FX!CC57</f>
        <v>6.171233571310078E-2</v>
      </c>
      <c r="CD421" s="1186">
        <f>FX!CD57</f>
        <v>3.4986884159618183E-2</v>
      </c>
      <c r="CE421" s="1186">
        <f>FX!CE57</f>
        <v>-4.557675090678546E-3</v>
      </c>
      <c r="CF421" s="1187">
        <f>FX!CF57</f>
        <v>3.6821902121040105E-2</v>
      </c>
      <c r="CG421" s="1007"/>
      <c r="CH421" s="1010"/>
      <c r="CI421" s="292"/>
      <c r="CJ421" s="1201"/>
      <c r="CK421" s="1201"/>
      <c r="CL421" s="1201"/>
      <c r="CM421" s="1201"/>
      <c r="CN421" s="1201"/>
      <c r="CO421" s="1186">
        <f>FX!CO57</f>
        <v>3.2802420937837057E-3</v>
      </c>
      <c r="CP421" s="1186">
        <f>FX!CP57</f>
        <v>-5.8505127907454768E-2</v>
      </c>
      <c r="CQ421" s="1186">
        <f>FX!CQ57</f>
        <v>-2.3317772499692517E-2</v>
      </c>
      <c r="CR421" s="1186">
        <f>FX!CR57</f>
        <v>1.2390599810113089E-3</v>
      </c>
      <c r="CS421" s="1186">
        <f>FX!CS57</f>
        <v>-5.4851299737803866E-2</v>
      </c>
      <c r="CT421" s="1186">
        <f>FX!CT57</f>
        <v>-2.1106341786858104E-4</v>
      </c>
      <c r="CU421" s="1186">
        <f>FX!CU57</f>
        <v>-1.9592559987190242E-2</v>
      </c>
      <c r="CV421" s="1186">
        <f>FX!CV57</f>
        <v>-0.13896771583995177</v>
      </c>
      <c r="CW421" s="1186">
        <f>FX!CW57</f>
        <v>-2.5412829772573559E-2</v>
      </c>
      <c r="CX421" s="1186">
        <f>FX!CX57</f>
        <v>2.380801179736703E-2</v>
      </c>
      <c r="CY421" s="1186">
        <f>FX!CY57</f>
        <v>3.0660110734828074E-2</v>
      </c>
      <c r="CZ421" s="1186">
        <f>FX!CZ57</f>
        <v>1.800640704885353E-4</v>
      </c>
      <c r="DA421" s="1186">
        <f>FX!DA57</f>
        <v>0</v>
      </c>
      <c r="DB421" s="1186">
        <f>FX!DB57</f>
        <v>0</v>
      </c>
      <c r="DC421" s="1186">
        <f>FX!DC57</f>
        <v>0</v>
      </c>
      <c r="DD421" s="1186">
        <f>FX!DD57</f>
        <v>0</v>
      </c>
      <c r="DE421" s="1186">
        <f>FX!DE57</f>
        <v>0</v>
      </c>
      <c r="DF421" s="1187">
        <f>FX!DF57</f>
        <v>0</v>
      </c>
      <c r="DG421" s="1478"/>
      <c r="DH421" s="1478"/>
      <c r="DI421" s="1186"/>
      <c r="DJ421" s="1444"/>
      <c r="DK421" s="1444"/>
      <c r="DL421" s="1444"/>
    </row>
    <row r="422" spans="1:117" s="308" customFormat="1" ht="11.25" customHeight="1">
      <c r="A422" s="82"/>
      <c r="B422"/>
      <c r="C422"/>
      <c r="D422"/>
      <c r="E422"/>
      <c r="F422"/>
      <c r="G422"/>
      <c r="H422" s="1044"/>
      <c r="I422" s="164" t="s">
        <v>493</v>
      </c>
      <c r="J422" s="312"/>
      <c r="K422" s="312"/>
      <c r="L422" s="307"/>
      <c r="M422" s="292"/>
      <c r="N422" s="292"/>
      <c r="O422" s="292"/>
      <c r="P422" s="1007"/>
      <c r="Q422" s="292"/>
      <c r="R422" s="292"/>
      <c r="S422" s="292"/>
      <c r="T422" s="1007"/>
      <c r="U422" s="997"/>
      <c r="V422" s="997"/>
      <c r="W422" s="997"/>
      <c r="X422" s="998"/>
      <c r="Y422" s="997"/>
      <c r="Z422" s="997"/>
      <c r="AA422" s="997"/>
      <c r="AB422" s="998"/>
      <c r="AC422" s="997"/>
      <c r="AD422" s="997"/>
      <c r="AE422" s="997"/>
      <c r="AF422" s="998"/>
      <c r="AG422" s="997"/>
      <c r="AH422" s="997"/>
      <c r="AI422" s="997"/>
      <c r="AJ422" s="998"/>
      <c r="AK422" s="997">
        <f t="shared" ref="AK422:CF422" si="797">+AK423/AG413-1</f>
        <v>0.29897085226205289</v>
      </c>
      <c r="AL422" s="997">
        <f t="shared" si="797"/>
        <v>0.26758027845254118</v>
      </c>
      <c r="AM422" s="997">
        <f t="shared" si="797"/>
        <v>0.44495598662429159</v>
      </c>
      <c r="AN422" s="998">
        <f t="shared" si="797"/>
        <v>0.36094621878014554</v>
      </c>
      <c r="AO422" s="997">
        <f t="shared" si="797"/>
        <v>0.46861615818385038</v>
      </c>
      <c r="AP422" s="997">
        <f t="shared" si="797"/>
        <v>0.42672432068967558</v>
      </c>
      <c r="AQ422" s="997">
        <f t="shared" si="797"/>
        <v>0.40207928185468544</v>
      </c>
      <c r="AR422" s="998">
        <f t="shared" si="797"/>
        <v>0.32064767312371223</v>
      </c>
      <c r="AS422" s="997">
        <f t="shared" si="797"/>
        <v>0.23203858486297491</v>
      </c>
      <c r="AT422" s="997">
        <f t="shared" si="797"/>
        <v>0.32952155030599628</v>
      </c>
      <c r="AU422" s="997">
        <f t="shared" si="797"/>
        <v>0.40227613355489278</v>
      </c>
      <c r="AV422" s="998">
        <f t="shared" si="797"/>
        <v>0.47035448204501207</v>
      </c>
      <c r="AW422" s="997">
        <f t="shared" si="797"/>
        <v>0.5298719034452668</v>
      </c>
      <c r="AX422" s="997">
        <f t="shared" si="797"/>
        <v>0.46041627803175333</v>
      </c>
      <c r="AY422" s="997">
        <f t="shared" si="797"/>
        <v>0.53746505419550372</v>
      </c>
      <c r="AZ422" s="998">
        <f t="shared" si="797"/>
        <v>0.47077681885573086</v>
      </c>
      <c r="BA422" s="997">
        <f t="shared" si="797"/>
        <v>0.56820117181933893</v>
      </c>
      <c r="BB422" s="997">
        <f t="shared" si="797"/>
        <v>0.57286607032603265</v>
      </c>
      <c r="BC422" s="997">
        <f t="shared" si="797"/>
        <v>0.5034261242438931</v>
      </c>
      <c r="BD422" s="998">
        <f t="shared" si="797"/>
        <v>0.61205015855553646</v>
      </c>
      <c r="BE422" s="997">
        <f t="shared" si="797"/>
        <v>0.49669705121269203</v>
      </c>
      <c r="BF422" s="997">
        <f t="shared" si="797"/>
        <v>0.40918669524773299</v>
      </c>
      <c r="BG422" s="997">
        <f t="shared" si="797"/>
        <v>0.42199199500801288</v>
      </c>
      <c r="BH422" s="998">
        <f t="shared" si="797"/>
        <v>0.41501566326722394</v>
      </c>
      <c r="BI422" s="997">
        <f t="shared" si="797"/>
        <v>0.49645851641363992</v>
      </c>
      <c r="BJ422" s="997">
        <f t="shared" si="797"/>
        <v>0.52554458574537732</v>
      </c>
      <c r="BK422" s="997">
        <f t="shared" si="797"/>
        <v>0.48685259491480526</v>
      </c>
      <c r="BL422" s="998">
        <f t="shared" si="797"/>
        <v>0.3715387676731241</v>
      </c>
      <c r="BM422" s="997">
        <f t="shared" si="797"/>
        <v>0.34376035655168558</v>
      </c>
      <c r="BN422" s="997">
        <f t="shared" si="797"/>
        <v>0.39860887433393355</v>
      </c>
      <c r="BO422" s="997">
        <f t="shared" si="797"/>
        <v>0.34958493808766544</v>
      </c>
      <c r="BP422" s="998">
        <f t="shared" si="797"/>
        <v>0.35313595832857714</v>
      </c>
      <c r="BQ422" s="997">
        <f t="shared" si="797"/>
        <v>0.364864931218573</v>
      </c>
      <c r="BR422" s="997">
        <f t="shared" si="797"/>
        <v>0.35677488870852292</v>
      </c>
      <c r="BS422" s="997">
        <f t="shared" si="797"/>
        <v>0.25336520674220275</v>
      </c>
      <c r="BT422" s="998">
        <f t="shared" si="797"/>
        <v>0.23979606766371453</v>
      </c>
      <c r="BU422" s="997">
        <f t="shared" si="797"/>
        <v>0.253329417237522</v>
      </c>
      <c r="BV422" s="997">
        <f t="shared" si="797"/>
        <v>0.25068364695102696</v>
      </c>
      <c r="BW422" s="997">
        <f t="shared" si="797"/>
        <v>0.31651579036166333</v>
      </c>
      <c r="BX422" s="998">
        <f t="shared" si="797"/>
        <v>0.28935263773166953</v>
      </c>
      <c r="BY422" s="997">
        <f t="shared" si="797"/>
        <v>0.26950785318562032</v>
      </c>
      <c r="BZ422" s="997">
        <f t="shared" si="797"/>
        <v>0.25511601733437761</v>
      </c>
      <c r="CA422" s="997">
        <f t="shared" si="797"/>
        <v>0.18178787468152913</v>
      </c>
      <c r="CB422" s="998">
        <f t="shared" si="797"/>
        <v>6.8581197033984242E-2</v>
      </c>
      <c r="CC422" s="997">
        <f t="shared" si="797"/>
        <v>9.0802484333478262E-2</v>
      </c>
      <c r="CD422" s="997">
        <f t="shared" si="797"/>
        <v>0.1392388348584277</v>
      </c>
      <c r="CE422" s="997">
        <f t="shared" si="797"/>
        <v>0.12140386496747624</v>
      </c>
      <c r="CF422" s="998">
        <f t="shared" si="797"/>
        <v>0.16122244129328256</v>
      </c>
      <c r="CG422" s="1007"/>
      <c r="CH422" s="1010"/>
      <c r="CI422" s="292"/>
      <c r="CJ422" s="1201"/>
      <c r="CK422" s="1201"/>
      <c r="CL422" s="1201"/>
      <c r="CM422" s="1201"/>
      <c r="CN422" s="1201"/>
      <c r="CO422" s="1201">
        <f t="shared" ref="CO422:DF422" si="798">+CO423/CN413-1</f>
        <v>0.47652209496849651</v>
      </c>
      <c r="CP422" s="1201">
        <f t="shared" si="798"/>
        <v>0.35943178859287905</v>
      </c>
      <c r="CQ422" s="1201">
        <f t="shared" si="798"/>
        <v>0.48690814426430484</v>
      </c>
      <c r="CR422" s="1201">
        <f t="shared" si="798"/>
        <v>0.62277472575490256</v>
      </c>
      <c r="CS422" s="1201">
        <f t="shared" si="798"/>
        <v>0.42612322979207318</v>
      </c>
      <c r="CT422" s="1201">
        <f t="shared" si="798"/>
        <v>0.47149657364221609</v>
      </c>
      <c r="CU422" s="1201">
        <f t="shared" si="798"/>
        <v>0.36507027043273221</v>
      </c>
      <c r="CV422" s="1201">
        <f t="shared" si="798"/>
        <v>0.30118540191728815</v>
      </c>
      <c r="CW422" s="1201">
        <f t="shared" si="798"/>
        <v>0.2787603600207007</v>
      </c>
      <c r="CX422" s="1201">
        <f t="shared" si="798"/>
        <v>0.17708550168679293</v>
      </c>
      <c r="CY422" s="1201">
        <f t="shared" si="798"/>
        <v>0.12618467782698284</v>
      </c>
      <c r="CZ422" s="1201">
        <f t="shared" si="798"/>
        <v>0.13975931107324735</v>
      </c>
      <c r="DA422" s="1201">
        <f t="shared" si="798"/>
        <v>0.12341794164691633</v>
      </c>
      <c r="DB422" s="1201">
        <f t="shared" si="798"/>
        <v>0.10529424176751778</v>
      </c>
      <c r="DC422" s="1201">
        <f t="shared" si="798"/>
        <v>9.3714182414083025E-2</v>
      </c>
      <c r="DD422" s="1201">
        <f t="shared" si="798"/>
        <v>8.5037577513475293E-2</v>
      </c>
      <c r="DE422" s="1201">
        <f t="shared" si="798"/>
        <v>7.7160666124706623E-2</v>
      </c>
      <c r="DF422" s="1202">
        <f t="shared" si="798"/>
        <v>7.5864099662181994E-2</v>
      </c>
      <c r="DG422" s="1478"/>
      <c r="DH422" s="1478"/>
      <c r="DI422" s="1201"/>
    </row>
    <row r="423" spans="1:117" s="612" customFormat="1" ht="11.25" customHeight="1">
      <c r="A423" s="547"/>
      <c r="B423"/>
      <c r="C423"/>
      <c r="D423"/>
      <c r="E423"/>
      <c r="F423"/>
      <c r="G423"/>
      <c r="H423" s="1044"/>
      <c r="I423" s="1257" t="s">
        <v>213</v>
      </c>
      <c r="J423" s="1258"/>
      <c r="K423" s="1258"/>
      <c r="L423" s="611"/>
      <c r="M423" s="551"/>
      <c r="N423" s="551"/>
      <c r="O423" s="551"/>
      <c r="P423" s="552"/>
      <c r="Q423" s="551"/>
      <c r="R423" s="551"/>
      <c r="S423" s="551"/>
      <c r="T423" s="552"/>
      <c r="U423" s="516"/>
      <c r="V423" s="516"/>
      <c r="W423" s="516"/>
      <c r="X423" s="602"/>
      <c r="Y423" s="516"/>
      <c r="Z423" s="516"/>
      <c r="AA423" s="516"/>
      <c r="AB423" s="602"/>
      <c r="AC423" s="516"/>
      <c r="AD423" s="516"/>
      <c r="AE423" s="516"/>
      <c r="AF423" s="602"/>
      <c r="AG423" s="516"/>
      <c r="AH423" s="516"/>
      <c r="AI423" s="516"/>
      <c r="AJ423" s="602"/>
      <c r="AK423" s="517">
        <f t="shared" ref="AK423:CF423" si="799">+AK413-AK420</f>
        <v>40.656488704949993</v>
      </c>
      <c r="AL423" s="517">
        <f t="shared" si="799"/>
        <v>49.884354278221302</v>
      </c>
      <c r="AM423" s="517">
        <f t="shared" si="799"/>
        <v>59.568310548586425</v>
      </c>
      <c r="AN423" s="601">
        <f t="shared" si="799"/>
        <v>45.968680431736978</v>
      </c>
      <c r="AO423" s="517">
        <f t="shared" si="799"/>
        <v>63.533803619191545</v>
      </c>
      <c r="AP423" s="517">
        <f t="shared" si="799"/>
        <v>75.261134640701073</v>
      </c>
      <c r="AQ423" s="517">
        <f t="shared" si="799"/>
        <v>87.289249850427154</v>
      </c>
      <c r="AR423" s="601">
        <f t="shared" si="799"/>
        <v>66.519702647568266</v>
      </c>
      <c r="AS423" s="517">
        <f t="shared" si="799"/>
        <v>86.034486419566406</v>
      </c>
      <c r="AT423" s="517">
        <f t="shared" si="799"/>
        <v>110.06843010673282</v>
      </c>
      <c r="AU423" s="517">
        <f t="shared" si="799"/>
        <v>129.82833354904619</v>
      </c>
      <c r="AV423" s="601">
        <f t="shared" si="799"/>
        <v>93.426323789140071</v>
      </c>
      <c r="AW423" s="517">
        <f t="shared" si="799"/>
        <v>120.680885359473</v>
      </c>
      <c r="AX423" s="517">
        <f t="shared" si="799"/>
        <v>147.73571068569217</v>
      </c>
      <c r="AY423" s="517">
        <f t="shared" si="799"/>
        <v>189.99531900231776</v>
      </c>
      <c r="AZ423" s="601">
        <f t="shared" si="799"/>
        <v>144.183193106065</v>
      </c>
      <c r="BA423" s="517">
        <f t="shared" si="799"/>
        <v>195.86362175671997</v>
      </c>
      <c r="BB423" s="517">
        <f t="shared" si="799"/>
        <v>224.35518913737562</v>
      </c>
      <c r="BC423" s="517">
        <f t="shared" si="799"/>
        <v>271.36841542602269</v>
      </c>
      <c r="BD423" s="601">
        <f t="shared" si="799"/>
        <v>225.39040496860088</v>
      </c>
      <c r="BE423" s="517">
        <f t="shared" si="799"/>
        <v>294.43323730866319</v>
      </c>
      <c r="BF423" s="517">
        <f t="shared" si="799"/>
        <v>346.79661814038138</v>
      </c>
      <c r="BG423" s="517">
        <f t="shared" si="799"/>
        <v>409.47823687450239</v>
      </c>
      <c r="BH423" s="601">
        <f t="shared" si="799"/>
        <v>316.82625205252123</v>
      </c>
      <c r="BI423" s="517">
        <f t="shared" si="799"/>
        <v>431.41851507243751</v>
      </c>
      <c r="BJ423" s="517">
        <f t="shared" si="799"/>
        <v>494.88971470497199</v>
      </c>
      <c r="BK423" s="517">
        <f t="shared" si="799"/>
        <v>570.42356377609042</v>
      </c>
      <c r="BL423" s="601">
        <f t="shared" si="799"/>
        <v>429.00361114047655</v>
      </c>
      <c r="BM423" s="517">
        <f t="shared" si="799"/>
        <v>579.00214995170336</v>
      </c>
      <c r="BN423" s="517">
        <f t="shared" si="799"/>
        <v>692.68202414699556</v>
      </c>
      <c r="BO423" s="517">
        <f t="shared" si="799"/>
        <v>773.3863966958271</v>
      </c>
      <c r="BP423" s="601">
        <f t="shared" si="799"/>
        <v>577.65644688238626</v>
      </c>
      <c r="BQ423" s="517">
        <f t="shared" si="799"/>
        <v>783.87195702731333</v>
      </c>
      <c r="BR423" s="517">
        <f t="shared" ref="BR423:BW423" si="800">+BR413-BR420</f>
        <v>946.5960611290509</v>
      </c>
      <c r="BS423" s="517">
        <f t="shared" si="800"/>
        <v>966.85469403738239</v>
      </c>
      <c r="BT423" s="601">
        <f t="shared" si="800"/>
        <v>679.55702060783517</v>
      </c>
      <c r="BU423" s="517">
        <f t="shared" si="800"/>
        <v>885.85072544464606</v>
      </c>
      <c r="BV423" s="517">
        <f t="shared" si="800"/>
        <v>1046.9735452192908</v>
      </c>
      <c r="BW423" s="517">
        <f t="shared" si="800"/>
        <v>1122.4442481570795</v>
      </c>
      <c r="BX423" s="601">
        <f t="shared" si="799"/>
        <v>793.4882429022731</v>
      </c>
      <c r="BY423" s="517">
        <f t="shared" si="799"/>
        <v>1078.7693762758936</v>
      </c>
      <c r="BZ423" s="517">
        <f t="shared" si="799"/>
        <v>1296.6402756518683</v>
      </c>
      <c r="CA423" s="517">
        <f t="shared" si="799"/>
        <v>1315.2601790359354</v>
      </c>
      <c r="CB423" s="601">
        <f t="shared" si="799"/>
        <v>832.64488021606269</v>
      </c>
      <c r="CC423" s="517">
        <f t="shared" si="799"/>
        <v>1149.4712959533545</v>
      </c>
      <c r="CD423" s="517">
        <f t="shared" si="799"/>
        <v>1445.4388919363364</v>
      </c>
      <c r="CE423" s="517">
        <f t="shared" si="799"/>
        <v>1499.4750854064762</v>
      </c>
      <c r="CF423" s="601">
        <f t="shared" si="799"/>
        <v>1014.5054695032002</v>
      </c>
      <c r="CG423" s="552"/>
      <c r="CH423" s="553"/>
      <c r="CI423" s="551"/>
      <c r="CJ423" s="516"/>
      <c r="CK423" s="516"/>
      <c r="CL423" s="516"/>
      <c r="CM423" s="516"/>
      <c r="CN423" s="516"/>
      <c r="CO423" s="517">
        <f>+CO413-CO420</f>
        <v>308.05861685003714</v>
      </c>
      <c r="CP423" s="517">
        <f t="shared" ref="CP423:CY423" si="801">+CP413-CP420</f>
        <v>419.71504870553127</v>
      </c>
      <c r="CQ423" s="517">
        <f>+CQ413-CQ420</f>
        <v>597.21962996004652</v>
      </c>
      <c r="CR423" s="517">
        <f t="shared" si="801"/>
        <v>953.95461363392258</v>
      </c>
      <c r="CS423" s="517">
        <f t="shared" si="801"/>
        <v>1361.4956033875858</v>
      </c>
      <c r="CT423" s="517">
        <f t="shared" si="801"/>
        <v>1926.3803094522343</v>
      </c>
      <c r="CU423" s="517">
        <f t="shared" si="801"/>
        <v>2629.2673081615671</v>
      </c>
      <c r="CV423" s="517">
        <f>+CV413-CV420</f>
        <v>3372.0610046307102</v>
      </c>
      <c r="CW423" s="517">
        <f t="shared" si="801"/>
        <v>3851.5264610742688</v>
      </c>
      <c r="CX423" s="517">
        <f t="shared" si="801"/>
        <v>4443.4801125851172</v>
      </c>
      <c r="CY423" s="517">
        <f t="shared" si="801"/>
        <v>5105.3949401503423</v>
      </c>
      <c r="CZ423" s="517">
        <f>+CZ413-CZ420</f>
        <v>5977.3401752089012</v>
      </c>
      <c r="DA423" s="517">
        <f t="shared" ref="DA423:DF423" si="802">+DA413-DA420</f>
        <v>6716.11206878135</v>
      </c>
      <c r="DB423" s="517">
        <f t="shared" si="802"/>
        <v>7423.2799966893581</v>
      </c>
      <c r="DC423" s="517">
        <f t="shared" si="802"/>
        <v>8118.9466124099181</v>
      </c>
      <c r="DD423" s="517">
        <f t="shared" si="802"/>
        <v>8809.3621642904945</v>
      </c>
      <c r="DE423" s="517">
        <f t="shared" si="802"/>
        <v>9489.0984170209358</v>
      </c>
      <c r="DF423" s="601">
        <f t="shared" si="802"/>
        <v>10208.980325034065</v>
      </c>
      <c r="DG423" s="308"/>
      <c r="DH423" s="308"/>
      <c r="DI423" s="517"/>
    </row>
    <row r="424" spans="1:117" s="102" customFormat="1" ht="11.25" customHeight="1">
      <c r="A424" s="8"/>
      <c r="B424"/>
      <c r="C424"/>
      <c r="D424"/>
      <c r="E424"/>
      <c r="F424"/>
      <c r="G424"/>
      <c r="H424" s="1052"/>
      <c r="I424" s="1034" t="s">
        <v>494</v>
      </c>
      <c r="J424" s="98"/>
      <c r="K424" s="98"/>
      <c r="L424" s="101"/>
      <c r="M424" s="432"/>
      <c r="N424" s="432"/>
      <c r="O424" s="432"/>
      <c r="P424" s="433"/>
      <c r="Q424" s="432"/>
      <c r="R424" s="432"/>
      <c r="S424" s="432"/>
      <c r="T424" s="433"/>
      <c r="U424" s="473"/>
      <c r="V424" s="473"/>
      <c r="W424" s="473"/>
      <c r="X424" s="474"/>
      <c r="Y424" s="473"/>
      <c r="Z424" s="473"/>
      <c r="AA424" s="473"/>
      <c r="AB424" s="474"/>
      <c r="AC424" s="473"/>
      <c r="AD424" s="473"/>
      <c r="AE424" s="473"/>
      <c r="AF424" s="474"/>
      <c r="AG424" s="475"/>
      <c r="AH424" s="475"/>
      <c r="AI424" s="475"/>
      <c r="AJ424" s="476"/>
      <c r="AK424" s="1255">
        <f t="shared" ref="AK424:CF424" si="803">+AK423/AK414</f>
        <v>6.8272860965491171</v>
      </c>
      <c r="AL424" s="1255">
        <f t="shared" si="803"/>
        <v>6.888201364018407</v>
      </c>
      <c r="AM424" s="1255">
        <f t="shared" si="803"/>
        <v>7.4796974571303894</v>
      </c>
      <c r="AN424" s="1256">
        <f t="shared" si="803"/>
        <v>6.9481076831525064</v>
      </c>
      <c r="AO424" s="1255">
        <f t="shared" si="803"/>
        <v>6.7769390527137645</v>
      </c>
      <c r="AP424" s="1255">
        <f t="shared" si="803"/>
        <v>6.9180195459785896</v>
      </c>
      <c r="AQ424" s="1255">
        <f t="shared" si="803"/>
        <v>7.6341831249280361</v>
      </c>
      <c r="AR424" s="1256">
        <f t="shared" si="803"/>
        <v>7.2890316291440138</v>
      </c>
      <c r="AS424" s="1255">
        <f t="shared" si="803"/>
        <v>6.7293301853395704</v>
      </c>
      <c r="AT424" s="1255">
        <f t="shared" si="803"/>
        <v>7.0263919634045848</v>
      </c>
      <c r="AU424" s="1255">
        <f t="shared" si="803"/>
        <v>7.2655623453492746</v>
      </c>
      <c r="AV424" s="1256">
        <f t="shared" si="803"/>
        <v>6.4021327889495012</v>
      </c>
      <c r="AW424" s="1255">
        <f t="shared" si="803"/>
        <v>6.0213993293819472</v>
      </c>
      <c r="AX424" s="1255">
        <f t="shared" si="803"/>
        <v>6.3679185640384555</v>
      </c>
      <c r="AY424" s="1255">
        <f t="shared" si="803"/>
        <v>6.9089206909933729</v>
      </c>
      <c r="AZ424" s="1256">
        <f t="shared" si="803"/>
        <v>6.5537815048211367</v>
      </c>
      <c r="BA424" s="1255">
        <f t="shared" si="803"/>
        <v>6.2776801845102552</v>
      </c>
      <c r="BB424" s="1255">
        <f t="shared" si="803"/>
        <v>6.2148251838608202</v>
      </c>
      <c r="BC424" s="1255">
        <f t="shared" si="803"/>
        <v>6.6839511188675536</v>
      </c>
      <c r="BD424" s="1256">
        <f t="shared" si="803"/>
        <v>6.708047766922645</v>
      </c>
      <c r="BE424" s="1255">
        <f t="shared" si="803"/>
        <v>6.4146674794915732</v>
      </c>
      <c r="BF424" s="1255">
        <f t="shared" si="803"/>
        <v>6.9082991661430553</v>
      </c>
      <c r="BG424" s="1255">
        <f t="shared" si="803"/>
        <v>7.4180840013496807</v>
      </c>
      <c r="BH424" s="1256">
        <f t="shared" si="803"/>
        <v>6.8577110833879047</v>
      </c>
      <c r="BI424" s="1255">
        <f t="shared" si="803"/>
        <v>6.8262423270955299</v>
      </c>
      <c r="BJ424" s="1255">
        <f t="shared" si="803"/>
        <v>7.1309757162099707</v>
      </c>
      <c r="BK424" s="1255">
        <f t="shared" si="803"/>
        <v>7.6259834729423854</v>
      </c>
      <c r="BL424" s="1256">
        <f t="shared" si="803"/>
        <v>6.7987894000075517</v>
      </c>
      <c r="BM424" s="1255">
        <f t="shared" si="803"/>
        <v>6.9424718219628696</v>
      </c>
      <c r="BN424" s="1255">
        <f t="shared" si="803"/>
        <v>7.7308261623548615</v>
      </c>
      <c r="BO424" s="1255">
        <f t="shared" si="803"/>
        <v>8.1580843533315104</v>
      </c>
      <c r="BP424" s="1256">
        <f t="shared" si="803"/>
        <v>7.3869110854525095</v>
      </c>
      <c r="BQ424" s="1255">
        <f t="shared" si="803"/>
        <v>7.493995765079478</v>
      </c>
      <c r="BR424" s="1255">
        <f t="shared" ref="BR424:BW424" si="804">+BR423/BR414</f>
        <v>8.3695496121047821</v>
      </c>
      <c r="BS424" s="1255">
        <f t="shared" si="804"/>
        <v>8.3637949311192248</v>
      </c>
      <c r="BT424" s="1256">
        <f t="shared" si="804"/>
        <v>6.8572857780810814</v>
      </c>
      <c r="BU424" s="1255">
        <f t="shared" si="804"/>
        <v>6.4897489043563814</v>
      </c>
      <c r="BV424" s="1255">
        <f t="shared" si="804"/>
        <v>7.4411765829373913</v>
      </c>
      <c r="BW424" s="1255">
        <f t="shared" si="804"/>
        <v>7.5029695732425106</v>
      </c>
      <c r="BX424" s="1256">
        <f t="shared" si="803"/>
        <v>6.1178738851370333</v>
      </c>
      <c r="BY424" s="1255">
        <f t="shared" si="803"/>
        <v>6.2033891677739712</v>
      </c>
      <c r="BZ424" s="1255">
        <f t="shared" si="803"/>
        <v>7.6183329944293083</v>
      </c>
      <c r="CA424" s="1255">
        <f t="shared" si="803"/>
        <v>7.4099165016109039</v>
      </c>
      <c r="CB424" s="1256">
        <f t="shared" si="803"/>
        <v>5.4960058100070146</v>
      </c>
      <c r="CC424" s="1255">
        <f t="shared" si="803"/>
        <v>5.7399750536610075</v>
      </c>
      <c r="CD424" s="1255">
        <f t="shared" si="803"/>
        <v>7.1686805797349109</v>
      </c>
      <c r="CE424" s="1255">
        <f t="shared" si="803"/>
        <v>7.1917614782166446</v>
      </c>
      <c r="CF424" s="1256">
        <f t="shared" si="803"/>
        <v>5.6340951051373418</v>
      </c>
      <c r="CG424" s="433"/>
      <c r="CH424" s="438"/>
      <c r="CI424" s="432"/>
      <c r="CJ424" s="473"/>
      <c r="CK424" s="473"/>
      <c r="CL424" s="473"/>
      <c r="CM424" s="473"/>
      <c r="CN424" s="473"/>
      <c r="CO424" s="1255">
        <f t="shared" ref="CO424:CX424" si="805">+CO423/CO414</f>
        <v>7.5478663412073583</v>
      </c>
      <c r="CP424" s="1255">
        <f t="shared" si="805"/>
        <v>6.8905149840020243</v>
      </c>
      <c r="CQ424" s="1255">
        <f t="shared" si="805"/>
        <v>6.439581095512783</v>
      </c>
      <c r="CR424" s="1255">
        <f t="shared" si="805"/>
        <v>6.7417287182609371</v>
      </c>
      <c r="CS424" s="1255">
        <f t="shared" si="805"/>
        <v>6.8936486247472697</v>
      </c>
      <c r="CT424" s="1255">
        <f t="shared" si="805"/>
        <v>7.1215538242226781</v>
      </c>
      <c r="CU424" s="1255">
        <f t="shared" si="805"/>
        <v>7.5990384628947023</v>
      </c>
      <c r="CV424" s="1255">
        <f>+CV423/CV414</f>
        <v>7.7984759589054358</v>
      </c>
      <c r="CW424" s="1255">
        <f>+CW423/CW414</f>
        <v>6.9209819606006624</v>
      </c>
      <c r="CX424" s="1255">
        <f t="shared" si="805"/>
        <v>6.6015155438792412</v>
      </c>
      <c r="CY424" s="1183">
        <f t="shared" ref="CY424:DF424" si="806">+CY423/CY414</f>
        <v>6.4588129726448189</v>
      </c>
      <c r="CZ424" s="1255">
        <f t="shared" si="806"/>
        <v>6.554159225607747</v>
      </c>
      <c r="DA424" s="1255">
        <f t="shared" si="806"/>
        <v>6.5055539645417113</v>
      </c>
      <c r="DB424" s="1255">
        <f t="shared" si="806"/>
        <v>6.4588218095603036</v>
      </c>
      <c r="DC424" s="1255">
        <f t="shared" si="806"/>
        <v>6.4221946940149497</v>
      </c>
      <c r="DD424" s="1255">
        <f t="shared" si="806"/>
        <v>6.3921357600066129</v>
      </c>
      <c r="DE424" s="1255">
        <f t="shared" si="806"/>
        <v>6.3677991721929592</v>
      </c>
      <c r="DF424" s="1256">
        <f t="shared" si="806"/>
        <v>6.3356896601475476</v>
      </c>
      <c r="DG424" s="1996">
        <f>+(CV424/CQ424)^(1/5)-1</f>
        <v>3.9035591225240029E-2</v>
      </c>
      <c r="DH424" s="1997">
        <f>+(DA424/CV424)^(1/5)-1</f>
        <v>-3.5605090706939069E-2</v>
      </c>
      <c r="DI424" s="1710"/>
    </row>
    <row r="425" spans="1:117" s="308" customFormat="1" ht="11.25" customHeight="1">
      <c r="A425" s="82"/>
      <c r="B425"/>
      <c r="C425"/>
      <c r="D425"/>
      <c r="E425"/>
      <c r="F425"/>
      <c r="G425"/>
      <c r="H425" s="1044"/>
      <c r="I425" s="164" t="s">
        <v>376</v>
      </c>
      <c r="J425" s="312"/>
      <c r="K425" s="312"/>
      <c r="L425" s="307"/>
      <c r="M425" s="292"/>
      <c r="N425" s="292"/>
      <c r="O425" s="292"/>
      <c r="P425" s="1007"/>
      <c r="Q425" s="292"/>
      <c r="R425" s="292"/>
      <c r="S425" s="292"/>
      <c r="T425" s="1007"/>
      <c r="U425" s="997"/>
      <c r="V425" s="997"/>
      <c r="W425" s="997"/>
      <c r="X425" s="998"/>
      <c r="Y425" s="997"/>
      <c r="Z425" s="997"/>
      <c r="AA425" s="997"/>
      <c r="AB425" s="998"/>
      <c r="AC425" s="997"/>
      <c r="AD425" s="997"/>
      <c r="AE425" s="997"/>
      <c r="AF425" s="998"/>
      <c r="AG425" s="997"/>
      <c r="AH425" s="997"/>
      <c r="AI425" s="997"/>
      <c r="AJ425" s="998"/>
      <c r="AK425" s="997"/>
      <c r="AL425" s="997"/>
      <c r="AM425" s="997"/>
      <c r="AN425" s="998"/>
      <c r="AO425" s="997">
        <f t="shared" ref="AO425:AZ425" si="807">+AO424/AK424-1</f>
        <v>-7.3743861211266193E-3</v>
      </c>
      <c r="AP425" s="997">
        <f t="shared" si="807"/>
        <v>4.3288777990642124E-3</v>
      </c>
      <c r="AQ425" s="997">
        <f t="shared" si="807"/>
        <v>2.0653999534483214E-2</v>
      </c>
      <c r="AR425" s="998">
        <f t="shared" si="807"/>
        <v>4.9067164980497679E-2</v>
      </c>
      <c r="AS425" s="997">
        <f t="shared" si="807"/>
        <v>-7.0251284545830295E-3</v>
      </c>
      <c r="AT425" s="997">
        <f t="shared" si="807"/>
        <v>1.5665237241052843E-2</v>
      </c>
      <c r="AU425" s="997">
        <f t="shared" si="807"/>
        <v>-4.8285556364910498E-2</v>
      </c>
      <c r="AV425" s="998">
        <f t="shared" si="807"/>
        <v>-0.1216758117290081</v>
      </c>
      <c r="AW425" s="997">
        <f t="shared" si="807"/>
        <v>-0.10520079063736709</v>
      </c>
      <c r="AX425" s="997">
        <f t="shared" si="807"/>
        <v>-9.3714299286980163E-2</v>
      </c>
      <c r="AY425" s="997">
        <f t="shared" si="807"/>
        <v>-4.9086586475194149E-2</v>
      </c>
      <c r="AZ425" s="998">
        <f t="shared" si="807"/>
        <v>2.3687218130400423E-2</v>
      </c>
      <c r="BA425" s="997">
        <f t="shared" ref="BA425:CF425" si="808">+BA424/AW424-1</f>
        <v>4.2561677296133249E-2</v>
      </c>
      <c r="BB425" s="997">
        <f t="shared" si="808"/>
        <v>-2.4041353330458648E-2</v>
      </c>
      <c r="BC425" s="997">
        <f t="shared" si="808"/>
        <v>-3.2562187668342291E-2</v>
      </c>
      <c r="BD425" s="998">
        <f t="shared" si="808"/>
        <v>2.3538511619288105E-2</v>
      </c>
      <c r="BE425" s="997">
        <f t="shared" si="808"/>
        <v>2.1821324271874332E-2</v>
      </c>
      <c r="BF425" s="997">
        <f t="shared" si="808"/>
        <v>0.11158382766471164</v>
      </c>
      <c r="BG425" s="997">
        <f t="shared" si="808"/>
        <v>0.10983516627011314</v>
      </c>
      <c r="BH425" s="998">
        <f t="shared" si="808"/>
        <v>2.231100935256447E-2</v>
      </c>
      <c r="BI425" s="997">
        <f t="shared" si="808"/>
        <v>6.416152496131855E-2</v>
      </c>
      <c r="BJ425" s="997">
        <f t="shared" si="808"/>
        <v>3.2233194410316246E-2</v>
      </c>
      <c r="BK425" s="997">
        <f t="shared" si="808"/>
        <v>2.8026033616615598E-2</v>
      </c>
      <c r="BL425" s="998">
        <f t="shared" si="808"/>
        <v>-8.592033502706875E-3</v>
      </c>
      <c r="BM425" s="997">
        <f t="shared" si="808"/>
        <v>1.7026863286992766E-2</v>
      </c>
      <c r="BN425" s="997">
        <f t="shared" si="808"/>
        <v>8.4118985958867354E-2</v>
      </c>
      <c r="BO425" s="997">
        <f t="shared" si="808"/>
        <v>6.9774722470493433E-2</v>
      </c>
      <c r="BP425" s="998">
        <f t="shared" si="808"/>
        <v>8.6503883389049241E-2</v>
      </c>
      <c r="BQ425" s="997">
        <f t="shared" ref="BQ425:BX425" si="809">+BQ424/BM424-1</f>
        <v>7.944201391957173E-2</v>
      </c>
      <c r="BR425" s="997">
        <f t="shared" si="809"/>
        <v>8.2620335309073978E-2</v>
      </c>
      <c r="BS425" s="997">
        <f t="shared" si="809"/>
        <v>2.5215549248851277E-2</v>
      </c>
      <c r="BT425" s="998">
        <f t="shared" si="809"/>
        <v>-7.169780456873931E-2</v>
      </c>
      <c r="BU425" s="997">
        <f t="shared" si="809"/>
        <v>-0.13400686258760464</v>
      </c>
      <c r="BV425" s="997">
        <f t="shared" si="809"/>
        <v>-0.11092269861507187</v>
      </c>
      <c r="BW425" s="997">
        <f t="shared" si="809"/>
        <v>-0.10292281972072703</v>
      </c>
      <c r="BX425" s="998">
        <f t="shared" si="809"/>
        <v>-0.10782865362087368</v>
      </c>
      <c r="BY425" s="997">
        <f t="shared" si="808"/>
        <v>-4.4124933152681067E-2</v>
      </c>
      <c r="BZ425" s="997">
        <f t="shared" si="808"/>
        <v>2.3807580631554526E-2</v>
      </c>
      <c r="CA425" s="997">
        <f t="shared" si="808"/>
        <v>-1.2402165665639564E-2</v>
      </c>
      <c r="CB425" s="998">
        <f t="shared" si="808"/>
        <v>-0.10164774344904459</v>
      </c>
      <c r="CC425" s="997">
        <f t="shared" si="808"/>
        <v>-7.4703376102914332E-2</v>
      </c>
      <c r="CD425" s="997">
        <f t="shared" si="808"/>
        <v>-5.9022415405469042E-2</v>
      </c>
      <c r="CE425" s="997">
        <f t="shared" si="808"/>
        <v>-2.9440955690503756E-2</v>
      </c>
      <c r="CF425" s="998">
        <f t="shared" si="808"/>
        <v>2.5125391039233724E-2</v>
      </c>
      <c r="CG425" s="1007"/>
      <c r="CH425" s="1010"/>
      <c r="CI425" s="292"/>
      <c r="CJ425" s="1201"/>
      <c r="CK425" s="1201"/>
      <c r="CL425" s="1201"/>
      <c r="CM425" s="1201"/>
      <c r="CN425" s="1201"/>
      <c r="CO425" s="292"/>
      <c r="CP425" s="997">
        <f t="shared" ref="CP425:DF425" si="810">+CP424/CO424-1</f>
        <v>-8.7091017181444186E-2</v>
      </c>
      <c r="CQ425" s="997">
        <f t="shared" si="810"/>
        <v>-6.5442697612035139E-2</v>
      </c>
      <c r="CR425" s="997">
        <f t="shared" si="810"/>
        <v>4.6920384768303736E-2</v>
      </c>
      <c r="CS425" s="997">
        <f t="shared" si="810"/>
        <v>2.253426574030426E-2</v>
      </c>
      <c r="CT425" s="997">
        <f t="shared" si="810"/>
        <v>3.3060170583290249E-2</v>
      </c>
      <c r="CU425" s="997">
        <f t="shared" si="810"/>
        <v>6.7047817155849732E-2</v>
      </c>
      <c r="CV425" s="1201">
        <f t="shared" si="810"/>
        <v>2.6245096269029933E-2</v>
      </c>
      <c r="CW425" s="1201">
        <f>+CW424/CV424-1</f>
        <v>-0.11252121605923815</v>
      </c>
      <c r="CX425" s="1201">
        <f t="shared" si="810"/>
        <v>-4.615911709350784E-2</v>
      </c>
      <c r="CY425" s="1201">
        <f t="shared" si="810"/>
        <v>-2.1616637919868675E-2</v>
      </c>
      <c r="CZ425" s="1201">
        <f t="shared" si="810"/>
        <v>1.4762194441416909E-2</v>
      </c>
      <c r="DA425" s="1201">
        <f t="shared" si="810"/>
        <v>-7.415941449229746E-3</v>
      </c>
      <c r="DB425" s="1201">
        <f>+DB424/DA424-1</f>
        <v>-7.183424384167636E-3</v>
      </c>
      <c r="DC425" s="1201">
        <f t="shared" si="810"/>
        <v>-5.6708663941059667E-3</v>
      </c>
      <c r="DD425" s="1201">
        <f t="shared" si="810"/>
        <v>-4.6804769149010328E-3</v>
      </c>
      <c r="DE425" s="1201">
        <f t="shared" si="810"/>
        <v>-3.8072701718757651E-3</v>
      </c>
      <c r="DF425" s="1202">
        <f t="shared" si="810"/>
        <v>-5.0424818963556994E-3</v>
      </c>
      <c r="DG425" s="1843"/>
      <c r="DH425" s="1844"/>
      <c r="DI425" s="1712"/>
    </row>
    <row r="426" spans="1:117" s="308" customFormat="1" ht="11.25" customHeight="1">
      <c r="A426" s="82"/>
      <c r="B426"/>
      <c r="C426"/>
      <c r="D426"/>
      <c r="E426"/>
      <c r="F426"/>
      <c r="G426"/>
      <c r="H426" s="1044"/>
      <c r="I426" s="164" t="s">
        <v>214</v>
      </c>
      <c r="J426" s="312"/>
      <c r="K426" s="312"/>
      <c r="L426" s="307"/>
      <c r="M426" s="336"/>
      <c r="N426" s="336"/>
      <c r="O426" s="336"/>
      <c r="P426" s="337"/>
      <c r="Q426" s="336"/>
      <c r="R426" s="336"/>
      <c r="S426" s="336"/>
      <c r="T426" s="337"/>
      <c r="U426" s="393"/>
      <c r="V426" s="393"/>
      <c r="W426" s="393"/>
      <c r="X426" s="472"/>
      <c r="Y426" s="393"/>
      <c r="Z426" s="393"/>
      <c r="AA426" s="393"/>
      <c r="AB426" s="472"/>
      <c r="AC426" s="393"/>
      <c r="AD426" s="393"/>
      <c r="AE426" s="393"/>
      <c r="AF426" s="472"/>
      <c r="AG426" s="393"/>
      <c r="AH426" s="393"/>
      <c r="AI426" s="393"/>
      <c r="AJ426" s="472"/>
      <c r="AK426" s="393"/>
      <c r="AL426" s="393"/>
      <c r="AM426" s="393"/>
      <c r="AN426" s="472"/>
      <c r="AO426" s="391"/>
      <c r="AP426" s="391"/>
      <c r="AQ426" s="391"/>
      <c r="AR426" s="392"/>
      <c r="AS426" s="391">
        <f t="shared" ref="AS426:BD426" si="811">+AS425+AO425</f>
        <v>-1.4399514575709649E-2</v>
      </c>
      <c r="AT426" s="391">
        <f t="shared" si="811"/>
        <v>1.9994115040117055E-2</v>
      </c>
      <c r="AU426" s="391">
        <f t="shared" si="811"/>
        <v>-2.7631556830427284E-2</v>
      </c>
      <c r="AV426" s="392">
        <f t="shared" si="811"/>
        <v>-7.2608646748510419E-2</v>
      </c>
      <c r="AW426" s="391">
        <f t="shared" si="811"/>
        <v>-0.11222591909195012</v>
      </c>
      <c r="AX426" s="391">
        <f t="shared" si="811"/>
        <v>-7.804906204592732E-2</v>
      </c>
      <c r="AY426" s="391">
        <f t="shared" si="811"/>
        <v>-9.7372142840104647E-2</v>
      </c>
      <c r="AZ426" s="392">
        <f t="shared" si="811"/>
        <v>-9.7988593598607676E-2</v>
      </c>
      <c r="BA426" s="391">
        <f t="shared" si="811"/>
        <v>-6.2639113341233843E-2</v>
      </c>
      <c r="BB426" s="391">
        <f t="shared" si="811"/>
        <v>-0.11775565261743881</v>
      </c>
      <c r="BC426" s="391">
        <f t="shared" si="811"/>
        <v>-8.164877414353644E-2</v>
      </c>
      <c r="BD426" s="392">
        <f t="shared" si="811"/>
        <v>4.7225729749688528E-2</v>
      </c>
      <c r="BE426" s="391">
        <f t="shared" ref="BE426:CF426" si="812">+BE425+BA425</f>
        <v>6.4383001568007581E-2</v>
      </c>
      <c r="BF426" s="391">
        <f t="shared" si="812"/>
        <v>8.7542474334252995E-2</v>
      </c>
      <c r="BG426" s="391">
        <f t="shared" si="812"/>
        <v>7.7272978601770848E-2</v>
      </c>
      <c r="BH426" s="392">
        <f t="shared" si="812"/>
        <v>4.5849520971852575E-2</v>
      </c>
      <c r="BI426" s="391">
        <f t="shared" si="812"/>
        <v>8.5982849233192882E-2</v>
      </c>
      <c r="BJ426" s="391">
        <f t="shared" si="812"/>
        <v>0.14381702207502789</v>
      </c>
      <c r="BK426" s="391">
        <f t="shared" si="812"/>
        <v>0.13786119988672874</v>
      </c>
      <c r="BL426" s="392">
        <f t="shared" si="812"/>
        <v>1.3718975849857595E-2</v>
      </c>
      <c r="BM426" s="391">
        <f t="shared" si="812"/>
        <v>8.1188388248311316E-2</v>
      </c>
      <c r="BN426" s="391">
        <f t="shared" si="812"/>
        <v>0.1163521803691836</v>
      </c>
      <c r="BO426" s="391">
        <f t="shared" si="812"/>
        <v>9.7800756087109031E-2</v>
      </c>
      <c r="BP426" s="392">
        <f t="shared" si="812"/>
        <v>7.7911849886342366E-2</v>
      </c>
      <c r="BQ426" s="391">
        <f t="shared" si="812"/>
        <v>9.6468877206564496E-2</v>
      </c>
      <c r="BR426" s="391">
        <f t="shared" si="812"/>
        <v>0.16673932126794133</v>
      </c>
      <c r="BS426" s="391">
        <f t="shared" si="812"/>
        <v>9.499027171934471E-2</v>
      </c>
      <c r="BT426" s="392">
        <f t="shared" si="812"/>
        <v>1.4806078820309931E-2</v>
      </c>
      <c r="BU426" s="391">
        <f t="shared" si="812"/>
        <v>-5.4564848668032906E-2</v>
      </c>
      <c r="BV426" s="391">
        <f t="shared" si="812"/>
        <v>-2.8302363305997891E-2</v>
      </c>
      <c r="BW426" s="391">
        <f t="shared" si="812"/>
        <v>-7.7707270471875756E-2</v>
      </c>
      <c r="BX426" s="392">
        <f t="shared" si="812"/>
        <v>-0.17952645818961299</v>
      </c>
      <c r="BY426" s="391">
        <f t="shared" si="812"/>
        <v>-0.1781317957402857</v>
      </c>
      <c r="BZ426" s="391">
        <f t="shared" si="812"/>
        <v>-8.7115117983517343E-2</v>
      </c>
      <c r="CA426" s="391">
        <f t="shared" si="812"/>
        <v>-0.1153249853863666</v>
      </c>
      <c r="CB426" s="392">
        <f t="shared" si="812"/>
        <v>-0.20947639706991827</v>
      </c>
      <c r="CC426" s="391">
        <f t="shared" si="812"/>
        <v>-0.1188283092555954</v>
      </c>
      <c r="CD426" s="391">
        <f t="shared" si="812"/>
        <v>-3.5214834773914516E-2</v>
      </c>
      <c r="CE426" s="391">
        <f t="shared" si="812"/>
        <v>-4.184312135614332E-2</v>
      </c>
      <c r="CF426" s="392">
        <f t="shared" si="812"/>
        <v>-7.6522352409810868E-2</v>
      </c>
      <c r="CG426" s="337"/>
      <c r="CH426" s="367"/>
      <c r="CI426" s="336"/>
      <c r="CJ426" s="393"/>
      <c r="CK426" s="393"/>
      <c r="CL426" s="393"/>
      <c r="CM426" s="393"/>
      <c r="CN426" s="393"/>
      <c r="CO426" s="517"/>
      <c r="CP426" s="393"/>
      <c r="CQ426" s="997">
        <f t="shared" ref="CQ426:DF426" si="813">+CQ425+CP425</f>
        <v>-0.15253371479347932</v>
      </c>
      <c r="CR426" s="997">
        <f t="shared" si="813"/>
        <v>-1.8522312843731403E-2</v>
      </c>
      <c r="CS426" s="997">
        <f t="shared" si="813"/>
        <v>6.9454650508607996E-2</v>
      </c>
      <c r="CT426" s="997">
        <f t="shared" si="813"/>
        <v>5.5594436323594509E-2</v>
      </c>
      <c r="CU426" s="997">
        <f t="shared" si="813"/>
        <v>0.10010798773913998</v>
      </c>
      <c r="CV426" s="997">
        <f t="shared" si="813"/>
        <v>9.3292913424879664E-2</v>
      </c>
      <c r="CW426" s="997">
        <f t="shared" si="813"/>
        <v>-8.6276119790208217E-2</v>
      </c>
      <c r="CX426" s="997">
        <f t="shared" si="813"/>
        <v>-0.15868033315274599</v>
      </c>
      <c r="CY426" s="1201">
        <f t="shared" si="813"/>
        <v>-6.7775755013376515E-2</v>
      </c>
      <c r="CZ426" s="1201">
        <f t="shared" si="813"/>
        <v>-6.854443478451766E-3</v>
      </c>
      <c r="DA426" s="1201">
        <f t="shared" si="813"/>
        <v>7.3462529921871633E-3</v>
      </c>
      <c r="DB426" s="1201">
        <f t="shared" si="813"/>
        <v>-1.4599365833397382E-2</v>
      </c>
      <c r="DC426" s="1201">
        <f t="shared" si="813"/>
        <v>-1.2854290778273603E-2</v>
      </c>
      <c r="DD426" s="1201">
        <f t="shared" si="813"/>
        <v>-1.0351343309007E-2</v>
      </c>
      <c r="DE426" s="1201">
        <f t="shared" si="813"/>
        <v>-8.4877470867767979E-3</v>
      </c>
      <c r="DF426" s="1202">
        <f t="shared" si="813"/>
        <v>-8.8497520682314645E-3</v>
      </c>
      <c r="DG426" s="1478"/>
      <c r="DH426" s="1478"/>
      <c r="DI426" s="1201"/>
    </row>
    <row r="427" spans="1:117" s="308" customFormat="1" ht="11.25" customHeight="1">
      <c r="A427" s="82"/>
      <c r="B427"/>
      <c r="C427"/>
      <c r="D427"/>
      <c r="E427"/>
      <c r="F427"/>
      <c r="G427"/>
      <c r="H427" s="1044"/>
      <c r="I427" s="1195"/>
      <c r="J427" s="1196"/>
      <c r="K427" s="1196"/>
      <c r="L427" s="1197"/>
      <c r="M427" s="518"/>
      <c r="N427" s="518"/>
      <c r="O427" s="518"/>
      <c r="P427" s="519"/>
      <c r="Q427" s="518"/>
      <c r="R427" s="518"/>
      <c r="S427" s="518"/>
      <c r="T427" s="519"/>
      <c r="U427" s="520"/>
      <c r="V427" s="520"/>
      <c r="W427" s="520"/>
      <c r="X427" s="521"/>
      <c r="Y427" s="520"/>
      <c r="Z427" s="520"/>
      <c r="AA427" s="520"/>
      <c r="AB427" s="521"/>
      <c r="AC427" s="520"/>
      <c r="AD427" s="520"/>
      <c r="AE427" s="520"/>
      <c r="AF427" s="521"/>
      <c r="AG427" s="520"/>
      <c r="AH427" s="520"/>
      <c r="AI427" s="520"/>
      <c r="AJ427" s="521"/>
      <c r="AK427" s="520"/>
      <c r="AL427" s="520"/>
      <c r="AM427" s="520"/>
      <c r="AN427" s="521"/>
      <c r="AO427" s="520"/>
      <c r="AP427" s="520"/>
      <c r="AQ427" s="520"/>
      <c r="AR427" s="521"/>
      <c r="AS427" s="520"/>
      <c r="AT427" s="520"/>
      <c r="AU427" s="520"/>
      <c r="AV427" s="521"/>
      <c r="AW427" s="520"/>
      <c r="AX427" s="520"/>
      <c r="AY427" s="520"/>
      <c r="AZ427" s="521"/>
      <c r="BA427" s="522"/>
      <c r="BB427" s="522"/>
      <c r="BC427" s="522"/>
      <c r="BD427" s="523"/>
      <c r="BE427" s="522"/>
      <c r="BF427" s="522"/>
      <c r="BG427" s="522"/>
      <c r="BH427" s="523"/>
      <c r="BI427" s="522"/>
      <c r="BJ427" s="522"/>
      <c r="BK427" s="522"/>
      <c r="BL427" s="523"/>
      <c r="BM427" s="522"/>
      <c r="BN427" s="522"/>
      <c r="BO427" s="1198"/>
      <c r="BP427" s="523"/>
      <c r="BQ427" s="522"/>
      <c r="BR427" s="522"/>
      <c r="BS427" s="522"/>
      <c r="BT427" s="523"/>
      <c r="BU427" s="522"/>
      <c r="BV427" s="522"/>
      <c r="BW427" s="522"/>
      <c r="BX427" s="523"/>
      <c r="BY427" s="522"/>
      <c r="BZ427" s="522"/>
      <c r="CA427" s="522"/>
      <c r="CB427" s="523"/>
      <c r="CC427" s="522"/>
      <c r="CD427" s="522"/>
      <c r="CE427" s="522"/>
      <c r="CF427" s="523"/>
      <c r="CG427" s="337"/>
      <c r="CH427" s="524"/>
      <c r="CI427" s="518"/>
      <c r="CJ427" s="520"/>
      <c r="CK427" s="520"/>
      <c r="CL427" s="520"/>
      <c r="CM427" s="520"/>
      <c r="CN427" s="520"/>
      <c r="CO427" s="518"/>
      <c r="CP427" s="520"/>
      <c r="CQ427" s="1854"/>
      <c r="CR427" s="1854"/>
      <c r="CS427" s="1854"/>
      <c r="CT427" s="1854"/>
      <c r="CU427" s="1854"/>
      <c r="CV427" s="1854"/>
      <c r="CW427" s="1854"/>
      <c r="CX427" s="1854"/>
      <c r="CY427" s="1854"/>
      <c r="CZ427" s="1854"/>
      <c r="DA427" s="522"/>
      <c r="DB427" s="522"/>
      <c r="DC427" s="522"/>
      <c r="DD427" s="522"/>
      <c r="DE427" s="522"/>
      <c r="DF427" s="601"/>
      <c r="DG427" s="1480"/>
    </row>
    <row r="428" spans="1:117" s="308" customFormat="1" ht="11.25" customHeight="1">
      <c r="A428" s="82"/>
      <c r="B428"/>
      <c r="C428"/>
      <c r="D428"/>
      <c r="E428"/>
      <c r="F428"/>
      <c r="G428"/>
      <c r="H428" s="1044"/>
      <c r="I428" s="1400" t="s">
        <v>1</v>
      </c>
      <c r="J428" s="1399"/>
      <c r="K428" s="1399"/>
      <c r="L428" s="307"/>
      <c r="M428" s="336"/>
      <c r="N428" s="336"/>
      <c r="O428" s="336"/>
      <c r="P428" s="337"/>
      <c r="Q428" s="336"/>
      <c r="R428" s="336"/>
      <c r="S428" s="336"/>
      <c r="T428" s="337"/>
      <c r="U428" s="393"/>
      <c r="V428" s="393"/>
      <c r="W428" s="393"/>
      <c r="X428" s="472"/>
      <c r="Y428" s="393"/>
      <c r="Z428" s="393"/>
      <c r="AA428" s="393"/>
      <c r="AB428" s="472"/>
      <c r="AC428" s="393"/>
      <c r="AD428" s="393"/>
      <c r="AE428" s="393"/>
      <c r="AF428" s="472"/>
      <c r="AG428" s="393"/>
      <c r="AH428" s="393"/>
      <c r="AI428" s="393"/>
      <c r="AJ428" s="472"/>
      <c r="AK428" s="1401">
        <f t="shared" ref="AK428:CF428" si="814">+AK39</f>
        <v>103.83900000000003</v>
      </c>
      <c r="AL428" s="1402">
        <f t="shared" si="814"/>
        <v>154.89299999999994</v>
      </c>
      <c r="AM428" s="1402">
        <f t="shared" si="814"/>
        <v>202.33099999999999</v>
      </c>
      <c r="AN428" s="1403">
        <f t="shared" si="814"/>
        <v>160.15200000000002</v>
      </c>
      <c r="AO428" s="1401">
        <f t="shared" si="814"/>
        <v>181.10300000000001</v>
      </c>
      <c r="AP428" s="1402">
        <f t="shared" si="814"/>
        <v>253.72500000000002</v>
      </c>
      <c r="AQ428" s="1402">
        <f t="shared" si="814"/>
        <v>316.07800000000003</v>
      </c>
      <c r="AR428" s="1403">
        <f t="shared" si="814"/>
        <v>205.065</v>
      </c>
      <c r="AS428" s="1401">
        <f t="shared" si="814"/>
        <v>208.32999999999998</v>
      </c>
      <c r="AT428" s="1402">
        <f t="shared" si="814"/>
        <v>305.238</v>
      </c>
      <c r="AU428" s="1402">
        <f t="shared" si="814"/>
        <v>434.00599999999997</v>
      </c>
      <c r="AV428" s="1403">
        <f t="shared" si="814"/>
        <v>313.18900000000008</v>
      </c>
      <c r="AW428" s="1401">
        <f t="shared" si="814"/>
        <v>319.11599999999987</v>
      </c>
      <c r="AX428" s="1402">
        <f t="shared" si="814"/>
        <v>446.18399999999991</v>
      </c>
      <c r="AY428" s="1402">
        <f t="shared" si="814"/>
        <v>668.20799999999986</v>
      </c>
      <c r="AZ428" s="1403">
        <f t="shared" si="814"/>
        <v>480.16600000000005</v>
      </c>
      <c r="BA428" s="1401">
        <f t="shared" si="814"/>
        <v>505.80800000000005</v>
      </c>
      <c r="BB428" s="1402">
        <f t="shared" si="814"/>
        <v>749.22700000000009</v>
      </c>
      <c r="BC428" s="1402">
        <f t="shared" si="814"/>
        <v>1100.1480000000001</v>
      </c>
      <c r="BD428" s="1403">
        <f t="shared" si="814"/>
        <v>724.697</v>
      </c>
      <c r="BE428" s="1401">
        <f t="shared" si="814"/>
        <v>743.28800000000001</v>
      </c>
      <c r="BF428" s="1402">
        <f t="shared" si="814"/>
        <v>1004.1420000000001</v>
      </c>
      <c r="BG428" s="1402">
        <f t="shared" si="814"/>
        <v>1396.501</v>
      </c>
      <c r="BH428" s="1403">
        <f t="shared" si="814"/>
        <v>939.75000000000011</v>
      </c>
      <c r="BI428" s="1401">
        <f t="shared" si="814"/>
        <v>1009.665</v>
      </c>
      <c r="BJ428" s="1402">
        <f t="shared" si="814"/>
        <v>1383.855</v>
      </c>
      <c r="BK428" s="1402">
        <f t="shared" si="814"/>
        <v>1989.0649999999998</v>
      </c>
      <c r="BL428" s="1403">
        <f t="shared" si="814"/>
        <v>1333.3009999999999</v>
      </c>
      <c r="BM428" s="1401">
        <f t="shared" si="814"/>
        <v>1406.4710000000002</v>
      </c>
      <c r="BN428" s="1402">
        <f t="shared" si="814"/>
        <v>1882.9959999999999</v>
      </c>
      <c r="BO428" s="1402">
        <f t="shared" si="814"/>
        <v>2619.9780000000001</v>
      </c>
      <c r="BP428" s="1403">
        <f t="shared" si="814"/>
        <v>1674.6849999999999</v>
      </c>
      <c r="BQ428" s="1401">
        <f t="shared" si="814"/>
        <v>1672.2359999999999</v>
      </c>
      <c r="BR428" s="1402">
        <f t="shared" si="814"/>
        <v>2092.9059999999999</v>
      </c>
      <c r="BS428" s="1402">
        <f t="shared" si="814"/>
        <v>2947.2819999999997</v>
      </c>
      <c r="BT428" s="1403">
        <f t="shared" si="814"/>
        <v>1879.3829999999998</v>
      </c>
      <c r="BU428" s="1401">
        <f t="shared" si="814"/>
        <v>2019.4499999999996</v>
      </c>
      <c r="BV428" s="1402">
        <f t="shared" si="814"/>
        <v>2429.8180000000002</v>
      </c>
      <c r="BW428" s="1402">
        <f t="shared" si="814"/>
        <v>3589.0630000000001</v>
      </c>
      <c r="BX428" s="1403">
        <f t="shared" si="814"/>
        <v>2276.3609999999999</v>
      </c>
      <c r="BY428" s="1401">
        <f t="shared" si="814"/>
        <v>2334.2350000000001</v>
      </c>
      <c r="BZ428" s="1402">
        <f t="shared" si="814"/>
        <v>2951.8139999999999</v>
      </c>
      <c r="CA428" s="1402">
        <f t="shared" si="814"/>
        <v>4374.5529999999999</v>
      </c>
      <c r="CB428" s="1403">
        <f t="shared" si="814"/>
        <v>2769.9429999999998</v>
      </c>
      <c r="CC428" s="1401">
        <f t="shared" si="814"/>
        <v>2797.4827631473131</v>
      </c>
      <c r="CD428" s="1402">
        <f t="shared" si="814"/>
        <v>3562.1867348861169</v>
      </c>
      <c r="CE428" s="1402">
        <f t="shared" si="814"/>
        <v>5004.4109582604151</v>
      </c>
      <c r="CF428" s="1403">
        <f t="shared" si="814"/>
        <v>3377.7905329599316</v>
      </c>
      <c r="CG428" s="337"/>
      <c r="CH428" s="367"/>
      <c r="CI428" s="336"/>
      <c r="CJ428" s="393"/>
      <c r="CK428" s="393"/>
      <c r="CL428" s="393"/>
      <c r="CM428" s="393"/>
      <c r="CN428" s="1402">
        <f t="shared" ref="CN428:DF428" si="815">+CN39</f>
        <v>621.21499999999969</v>
      </c>
      <c r="CO428" s="1402">
        <f t="shared" si="815"/>
        <v>955.97100000000012</v>
      </c>
      <c r="CP428" s="1402">
        <f t="shared" si="815"/>
        <v>1260.7629999999999</v>
      </c>
      <c r="CQ428" s="1402">
        <f t="shared" si="815"/>
        <v>1913.6739999999998</v>
      </c>
      <c r="CR428" s="1402">
        <f t="shared" si="815"/>
        <v>3079.8800000000006</v>
      </c>
      <c r="CS428" s="1402">
        <f t="shared" si="815"/>
        <v>4083.6810000000009</v>
      </c>
      <c r="CT428" s="1402">
        <f t="shared" si="815"/>
        <v>5715.8860000000004</v>
      </c>
      <c r="CU428" s="1402">
        <f t="shared" si="815"/>
        <v>7584.1299999999992</v>
      </c>
      <c r="CV428" s="1402">
        <f t="shared" si="815"/>
        <v>8591.8069999999989</v>
      </c>
      <c r="CW428" s="1402">
        <f t="shared" si="815"/>
        <v>10314.691999999999</v>
      </c>
      <c r="CX428" s="1402">
        <f t="shared" si="815"/>
        <v>12430.544999999998</v>
      </c>
      <c r="CY428" s="1402">
        <f t="shared" si="815"/>
        <v>14741.870989253777</v>
      </c>
      <c r="CZ428" s="1402">
        <f t="shared" si="815"/>
        <v>16789.461770853006</v>
      </c>
      <c r="DA428" s="1402">
        <f t="shared" si="815"/>
        <v>18821.738388716545</v>
      </c>
      <c r="DB428" s="1402">
        <f t="shared" si="815"/>
        <v>20777.076286445132</v>
      </c>
      <c r="DC428" s="1402">
        <f t="shared" si="815"/>
        <v>22684.602711614214</v>
      </c>
      <c r="DD428" s="1402">
        <f t="shared" si="815"/>
        <v>24564.090972988914</v>
      </c>
      <c r="DE428" s="1402">
        <f t="shared" si="815"/>
        <v>26399.064626385334</v>
      </c>
      <c r="DF428" s="1403">
        <f t="shared" si="815"/>
        <v>28376.886990626772</v>
      </c>
      <c r="DJ428" s="517"/>
      <c r="DK428" s="517"/>
      <c r="DL428" s="517"/>
    </row>
    <row r="429" spans="1:117" s="308" customFormat="1" ht="11.25" customHeight="1">
      <c r="A429" s="82"/>
      <c r="B429"/>
      <c r="C429"/>
      <c r="D429"/>
      <c r="E429"/>
      <c r="F429"/>
      <c r="G429"/>
      <c r="H429" s="1044"/>
      <c r="I429" s="164" t="s">
        <v>376</v>
      </c>
      <c r="J429" s="1399"/>
      <c r="K429" s="1399"/>
      <c r="L429" s="307"/>
      <c r="M429" s="336"/>
      <c r="N429" s="336"/>
      <c r="O429" s="336"/>
      <c r="P429" s="337"/>
      <c r="Q429" s="336"/>
      <c r="R429" s="336"/>
      <c r="S429" s="336"/>
      <c r="T429" s="337"/>
      <c r="U429" s="393"/>
      <c r="V429" s="393"/>
      <c r="W429" s="393"/>
      <c r="X429" s="472"/>
      <c r="Y429" s="393"/>
      <c r="Z429" s="393"/>
      <c r="AA429" s="393"/>
      <c r="AB429" s="472"/>
      <c r="AC429" s="393"/>
      <c r="AD429" s="393"/>
      <c r="AE429" s="393"/>
      <c r="AF429" s="472"/>
      <c r="AG429" s="393"/>
      <c r="AH429" s="393"/>
      <c r="AI429" s="393"/>
      <c r="AJ429" s="472"/>
      <c r="AK429" s="393"/>
      <c r="AL429" s="393"/>
      <c r="AM429" s="393"/>
      <c r="AN429" s="472"/>
      <c r="AO429" s="997">
        <f t="shared" ref="AO429:CF429" si="816">+AO428/AK428-1</f>
        <v>0.74407496220109937</v>
      </c>
      <c r="AP429" s="997">
        <f t="shared" si="816"/>
        <v>0.63806627801127314</v>
      </c>
      <c r="AQ429" s="997">
        <f t="shared" si="816"/>
        <v>0.56218275993298139</v>
      </c>
      <c r="AR429" s="998">
        <f t="shared" si="816"/>
        <v>0.28043983215944834</v>
      </c>
      <c r="AS429" s="997">
        <f t="shared" si="816"/>
        <v>0.15033986184657344</v>
      </c>
      <c r="AT429" s="997">
        <f t="shared" si="816"/>
        <v>0.20302689920189176</v>
      </c>
      <c r="AU429" s="997">
        <f t="shared" si="816"/>
        <v>0.37309777966198188</v>
      </c>
      <c r="AV429" s="998">
        <f t="shared" si="816"/>
        <v>0.52726696413332408</v>
      </c>
      <c r="AW429" s="997">
        <f t="shared" si="816"/>
        <v>0.53178130850093552</v>
      </c>
      <c r="AX429" s="997">
        <f t="shared" si="816"/>
        <v>0.46175771037682045</v>
      </c>
      <c r="AY429" s="997">
        <f t="shared" si="816"/>
        <v>0.53962848439883304</v>
      </c>
      <c r="AZ429" s="998">
        <f t="shared" si="816"/>
        <v>0.53315090887610972</v>
      </c>
      <c r="BA429" s="997">
        <f t="shared" si="816"/>
        <v>0.5850286416224828</v>
      </c>
      <c r="BB429" s="997">
        <f t="shared" si="816"/>
        <v>0.67918840657665958</v>
      </c>
      <c r="BC429" s="997">
        <f t="shared" si="816"/>
        <v>0.64641548739314758</v>
      </c>
      <c r="BD429" s="998">
        <f t="shared" si="816"/>
        <v>0.50926346305236092</v>
      </c>
      <c r="BE429" s="997">
        <f t="shared" si="816"/>
        <v>0.46950621579729845</v>
      </c>
      <c r="BF429" s="997">
        <f t="shared" si="816"/>
        <v>0.34023733794964661</v>
      </c>
      <c r="BG429" s="997">
        <f t="shared" si="816"/>
        <v>0.26937557492264652</v>
      </c>
      <c r="BH429" s="998">
        <f t="shared" si="816"/>
        <v>0.29674884813929148</v>
      </c>
      <c r="BI429" s="997">
        <f t="shared" si="816"/>
        <v>0.35837656466941481</v>
      </c>
      <c r="BJ429" s="997">
        <f t="shared" si="816"/>
        <v>0.37814671630108077</v>
      </c>
      <c r="BK429" s="997">
        <f t="shared" si="816"/>
        <v>0.42432049815932804</v>
      </c>
      <c r="BL429" s="998">
        <f t="shared" si="816"/>
        <v>0.41878265496142575</v>
      </c>
      <c r="BM429" s="997">
        <f t="shared" si="816"/>
        <v>0.39300758172265082</v>
      </c>
      <c r="BN429" s="997">
        <f t="shared" si="816"/>
        <v>0.36068880048849028</v>
      </c>
      <c r="BO429" s="997">
        <f t="shared" si="816"/>
        <v>0.31719074037298944</v>
      </c>
      <c r="BP429" s="998">
        <f t="shared" si="816"/>
        <v>0.25604420907207004</v>
      </c>
      <c r="BQ429" s="997">
        <f t="shared" si="816"/>
        <v>0.18895874852734229</v>
      </c>
      <c r="BR429" s="997">
        <f t="shared" si="816"/>
        <v>0.11147660430505435</v>
      </c>
      <c r="BS429" s="997">
        <f t="shared" si="816"/>
        <v>0.12492623983865503</v>
      </c>
      <c r="BT429" s="998">
        <f t="shared" si="816"/>
        <v>0.12223074787198773</v>
      </c>
      <c r="BU429" s="997">
        <f t="shared" si="816"/>
        <v>0.20763456832647997</v>
      </c>
      <c r="BV429" s="997">
        <f t="shared" si="816"/>
        <v>0.16097808501671862</v>
      </c>
      <c r="BW429" s="997">
        <f t="shared" si="816"/>
        <v>0.21775350984398534</v>
      </c>
      <c r="BX429" s="998">
        <f t="shared" si="816"/>
        <v>0.21122783381567256</v>
      </c>
      <c r="BY429" s="997">
        <f t="shared" si="816"/>
        <v>0.15587660006437432</v>
      </c>
      <c r="BZ429" s="997">
        <f t="shared" si="816"/>
        <v>0.21482925881691539</v>
      </c>
      <c r="CA429" s="997">
        <f t="shared" si="816"/>
        <v>0.21885656507004736</v>
      </c>
      <c r="CB429" s="998">
        <f t="shared" si="816"/>
        <v>0.21682940447494925</v>
      </c>
      <c r="CC429" s="997">
        <f t="shared" si="816"/>
        <v>0.19845806576771952</v>
      </c>
      <c r="CD429" s="997">
        <f t="shared" si="816"/>
        <v>0.20677886035031912</v>
      </c>
      <c r="CE429" s="997">
        <f t="shared" si="816"/>
        <v>0.1439822441882439</v>
      </c>
      <c r="CF429" s="998">
        <f t="shared" si="816"/>
        <v>0.21944405822066804</v>
      </c>
      <c r="CG429" s="337"/>
      <c r="CH429" s="367"/>
      <c r="CI429" s="336"/>
      <c r="CJ429" s="393"/>
      <c r="CK429" s="393"/>
      <c r="CL429" s="393"/>
      <c r="CM429" s="393"/>
      <c r="CN429" s="393"/>
      <c r="CO429" s="997">
        <f t="shared" ref="CO429:CX429" si="817">+CO428/CN428-1</f>
        <v>0.53887301497871198</v>
      </c>
      <c r="CP429" s="997">
        <f t="shared" si="817"/>
        <v>0.31882975529592406</v>
      </c>
      <c r="CQ429" s="997">
        <f t="shared" si="817"/>
        <v>0.51786973443858986</v>
      </c>
      <c r="CR429" s="997">
        <f t="shared" si="817"/>
        <v>0.60940682686810876</v>
      </c>
      <c r="CS429" s="997">
        <f t="shared" si="817"/>
        <v>0.32592211384859149</v>
      </c>
      <c r="CT429" s="997">
        <f>+CT428/CS428-1</f>
        <v>0.39968964275123331</v>
      </c>
      <c r="CU429" s="997">
        <f>+CU428/CT428-1</f>
        <v>0.32685116533114877</v>
      </c>
      <c r="CV429" s="997">
        <f>+CV428/CU428-1</f>
        <v>0.13286652523097575</v>
      </c>
      <c r="CW429" s="997">
        <f>+CW428/CV428-1</f>
        <v>0.20052650158459095</v>
      </c>
      <c r="CX429" s="997">
        <f t="shared" si="817"/>
        <v>0.20513002230216859</v>
      </c>
      <c r="CY429" s="997">
        <f t="shared" ref="CY429:DF429" si="818">+CY428/CX428-1</f>
        <v>0.18593923188836681</v>
      </c>
      <c r="CZ429" s="997">
        <f t="shared" si="818"/>
        <v>0.13889626242773656</v>
      </c>
      <c r="DA429" s="997">
        <f t="shared" si="818"/>
        <v>0.12104477472837338</v>
      </c>
      <c r="DB429" s="997">
        <f t="shared" si="818"/>
        <v>0.10388721048746441</v>
      </c>
      <c r="DC429" s="997">
        <f t="shared" si="818"/>
        <v>9.1809184260132959E-2</v>
      </c>
      <c r="DD429" s="997">
        <f t="shared" si="818"/>
        <v>8.285303848025638E-2</v>
      </c>
      <c r="DE429" s="997">
        <f t="shared" si="818"/>
        <v>7.4701467903460772E-2</v>
      </c>
      <c r="DF429" s="998">
        <f t="shared" si="818"/>
        <v>7.4920168279926314E-2</v>
      </c>
    </row>
    <row r="430" spans="1:117" s="308" customFormat="1" ht="11.25" customHeight="1">
      <c r="A430" s="82"/>
      <c r="B430"/>
      <c r="C430"/>
      <c r="D430"/>
      <c r="E430"/>
      <c r="F430"/>
      <c r="G430"/>
      <c r="H430" s="1044"/>
      <c r="I430" s="164" t="s">
        <v>519</v>
      </c>
      <c r="J430" s="1399"/>
      <c r="K430" s="1399"/>
      <c r="L430" s="307"/>
      <c r="M430" s="336"/>
      <c r="N430" s="336"/>
      <c r="O430" s="336"/>
      <c r="P430" s="337"/>
      <c r="Q430" s="336"/>
      <c r="R430" s="336"/>
      <c r="S430" s="336"/>
      <c r="T430" s="337"/>
      <c r="U430" s="393"/>
      <c r="V430" s="393"/>
      <c r="W430" s="393"/>
      <c r="X430" s="472"/>
      <c r="Y430" s="393"/>
      <c r="Z430" s="393"/>
      <c r="AA430" s="393"/>
      <c r="AB430" s="472"/>
      <c r="AC430" s="393"/>
      <c r="AD430" s="393"/>
      <c r="AE430" s="393"/>
      <c r="AF430" s="472"/>
      <c r="AG430" s="393"/>
      <c r="AH430" s="393"/>
      <c r="AI430" s="393"/>
      <c r="AJ430" s="472"/>
      <c r="AK430" s="1278">
        <f>FX!AK57</f>
        <v>8.3213882074507195E-2</v>
      </c>
      <c r="AL430" s="1186">
        <f>FX!AL57</f>
        <v>7.2842550230693123E-2</v>
      </c>
      <c r="AM430" s="1186">
        <f>FX!AM57</f>
        <v>6.5219877535805382E-2</v>
      </c>
      <c r="AN430" s="1187">
        <f>FX!AN57</f>
        <v>0.13027561856479319</v>
      </c>
      <c r="AO430" s="1278">
        <f>FX!AO57</f>
        <v>0.14556289454262397</v>
      </c>
      <c r="AP430" s="1186">
        <f>FX!AP57</f>
        <v>0.14268668573674295</v>
      </c>
      <c r="AQ430" s="1186">
        <f>FX!AQ57</f>
        <v>8.5046663822106003E-2</v>
      </c>
      <c r="AR430" s="1187">
        <f>FX!AR57</f>
        <v>-5.9157470816737681E-2</v>
      </c>
      <c r="AS430" s="1278">
        <f>FX!AS57</f>
        <v>-0.10241134194793704</v>
      </c>
      <c r="AT430" s="1186">
        <f>FX!AT57</f>
        <v>-0.10760533056400479</v>
      </c>
      <c r="AU430" s="1186">
        <f>FX!AU57</f>
        <v>-6.7520668247712162E-2</v>
      </c>
      <c r="AV430" s="1187">
        <f>FX!AV57</f>
        <v>7.2484674391877987E-2</v>
      </c>
      <c r="AW430" s="1278">
        <f>FX!AW57</f>
        <v>5.3447696468529225E-2</v>
      </c>
      <c r="AX430" s="1186">
        <f>FX!AX57</f>
        <v>-5.0362897248835241E-2</v>
      </c>
      <c r="AY430" s="1186">
        <f>FX!AY57</f>
        <v>-7.6837267471436863E-2</v>
      </c>
      <c r="AZ430" s="1187">
        <f>FX!AZ57</f>
        <v>-4.4548648462389893E-2</v>
      </c>
      <c r="BA430" s="1278">
        <f>FX!BA57</f>
        <v>6.8726890420110417E-3</v>
      </c>
      <c r="BB430" s="1186">
        <f>FX!BB57</f>
        <v>0.15242329247989281</v>
      </c>
      <c r="BC430" s="1186">
        <f>FX!BC57</f>
        <v>9.1925676310123675E-2</v>
      </c>
      <c r="BD430" s="1187">
        <f>FX!BD57</f>
        <v>-1.0638302973914854E-2</v>
      </c>
      <c r="BE430" s="1278">
        <f>FX!BE57</f>
        <v>-3.121276374103155E-2</v>
      </c>
      <c r="BF430" s="1186">
        <f>FX!BF57</f>
        <v>-9.0999151311805374E-2</v>
      </c>
      <c r="BG430" s="1186">
        <f>FX!BG57</f>
        <v>-8.9710887496926378E-2</v>
      </c>
      <c r="BH430" s="1187">
        <f>FX!BH57</f>
        <v>-1.8026788620613455E-2</v>
      </c>
      <c r="BI430" s="1278">
        <f>FX!BI57</f>
        <v>-1.8610062416968608E-3</v>
      </c>
      <c r="BJ430" s="1186">
        <f>FX!BJ57</f>
        <v>1.1568525934735942E-3</v>
      </c>
      <c r="BK430" s="1186">
        <f>FX!BK57</f>
        <v>6.8590395389214456E-3</v>
      </c>
      <c r="BL430" s="1187">
        <f>FX!BL57</f>
        <v>-6.718920491309008E-3</v>
      </c>
      <c r="BM430" s="1278">
        <f>FX!BM57</f>
        <v>-1.0861790354907782E-2</v>
      </c>
      <c r="BN430" s="1186">
        <f>FX!BN57</f>
        <v>1.0093537506192272E-2</v>
      </c>
      <c r="BO430" s="1186">
        <f>FX!BO57</f>
        <v>-3.4541129487172186E-3</v>
      </c>
      <c r="BP430" s="1187">
        <f>FX!BP57</f>
        <v>-6.9187885937255583E-2</v>
      </c>
      <c r="BQ430" s="1278">
        <f>FX!BQ57</f>
        <v>-0.13419990358599074</v>
      </c>
      <c r="BR430" s="1186">
        <f>FX!BR57</f>
        <v>-0.15691277407447077</v>
      </c>
      <c r="BS430" s="1186">
        <f>FX!BS57</f>
        <v>-0.1481289306907799</v>
      </c>
      <c r="BT430" s="1187">
        <f>FX!BT57</f>
        <v>-0.11702003321870257</v>
      </c>
      <c r="BU430" s="1278">
        <f>FX!BU57</f>
        <v>-5.1070780399274041E-2</v>
      </c>
      <c r="BV430" s="1186">
        <f>FX!BV57</f>
        <v>-1.6592040122384629E-2</v>
      </c>
      <c r="BW430" s="1186">
        <f>FX!BW57</f>
        <v>-1.1146367651723312E-2</v>
      </c>
      <c r="BX430" s="1187">
        <f>FX!BX57</f>
        <v>-2.3207461135675754E-2</v>
      </c>
      <c r="BY430" s="1278">
        <f>FX!BY57</f>
        <v>-2.9401893107762436E-2</v>
      </c>
      <c r="BZ430" s="1186">
        <f>FX!BZ57</f>
        <v>-2.6971936117361522E-2</v>
      </c>
      <c r="CA430" s="1186">
        <f>FX!CA57</f>
        <v>1.9660360220411274E-2</v>
      </c>
      <c r="CB430" s="1187">
        <f>FX!CB57</f>
        <v>5.2628085235402924E-2</v>
      </c>
      <c r="CC430" s="1278">
        <f>FX!CC57</f>
        <v>6.171233571310078E-2</v>
      </c>
      <c r="CD430" s="1186">
        <f>FX!CD57</f>
        <v>3.4986884159618183E-2</v>
      </c>
      <c r="CE430" s="1186">
        <f>FX!CE57</f>
        <v>-4.557675090678546E-3</v>
      </c>
      <c r="CF430" s="1187">
        <f>FX!CF57</f>
        <v>3.6821902121040105E-2</v>
      </c>
      <c r="CG430" s="337"/>
      <c r="CH430" s="367"/>
      <c r="CI430" s="336"/>
      <c r="CJ430" s="393"/>
      <c r="CK430" s="393"/>
      <c r="CL430" s="393"/>
      <c r="CM430" s="393"/>
      <c r="CN430" s="393"/>
      <c r="CO430" s="1186">
        <f>FX!CO57</f>
        <v>3.2802420937837057E-3</v>
      </c>
      <c r="CP430" s="1186">
        <f>FX!CP57</f>
        <v>-5.8505127907454768E-2</v>
      </c>
      <c r="CQ430" s="1186">
        <f>FX!CQ57</f>
        <v>-2.3317772499692517E-2</v>
      </c>
      <c r="CR430" s="1186">
        <f>FX!CR57</f>
        <v>1.2390599810113089E-3</v>
      </c>
      <c r="CS430" s="1186">
        <f>FX!CS57</f>
        <v>-5.4851299737803866E-2</v>
      </c>
      <c r="CT430" s="1186">
        <f>FX!CT57</f>
        <v>-2.1106341786858104E-4</v>
      </c>
      <c r="CU430" s="1186">
        <f>FX!CU57</f>
        <v>-1.9592559987190242E-2</v>
      </c>
      <c r="CV430" s="1186">
        <f>FX!CV57</f>
        <v>-0.13896771583995177</v>
      </c>
      <c r="CW430" s="1186">
        <f>FX!CW57</f>
        <v>-2.5412829772573559E-2</v>
      </c>
      <c r="CX430" s="1186">
        <f>FX!CX57</f>
        <v>2.380801179736703E-2</v>
      </c>
      <c r="CY430" s="1186">
        <f>FX!CY57</f>
        <v>3.0660110734828074E-2</v>
      </c>
      <c r="CZ430" s="1186">
        <f>FX!CZ57</f>
        <v>1.800640704885353E-4</v>
      </c>
      <c r="DA430" s="1186">
        <f>FX!DA57</f>
        <v>0</v>
      </c>
      <c r="DB430" s="1186">
        <f>FX!DB57</f>
        <v>0</v>
      </c>
      <c r="DC430" s="1186">
        <f>FX!DC57</f>
        <v>0</v>
      </c>
      <c r="DD430" s="1186">
        <f>FX!DD57</f>
        <v>0</v>
      </c>
      <c r="DE430" s="1186">
        <f>FX!DE57</f>
        <v>0</v>
      </c>
      <c r="DF430" s="1187">
        <f>FX!DF57</f>
        <v>0</v>
      </c>
    </row>
    <row r="431" spans="1:117" s="308" customFormat="1" ht="11.25" customHeight="1">
      <c r="A431" s="82"/>
      <c r="B431"/>
      <c r="C431"/>
      <c r="D431"/>
      <c r="E431"/>
      <c r="F431"/>
      <c r="G431"/>
      <c r="H431" s="1044"/>
      <c r="I431" s="164" t="s">
        <v>493</v>
      </c>
      <c r="J431" s="1399"/>
      <c r="K431" s="1399"/>
      <c r="L431" s="307"/>
      <c r="M431" s="336"/>
      <c r="N431" s="336"/>
      <c r="O431" s="336"/>
      <c r="P431" s="337"/>
      <c r="Q431" s="336"/>
      <c r="R431" s="336"/>
      <c r="S431" s="336"/>
      <c r="T431" s="337"/>
      <c r="U431" s="393"/>
      <c r="V431" s="393"/>
      <c r="W431" s="393"/>
      <c r="X431" s="472"/>
      <c r="Y431" s="393"/>
      <c r="Z431" s="393"/>
      <c r="AA431" s="393"/>
      <c r="AB431" s="472"/>
      <c r="AC431" s="393"/>
      <c r="AD431" s="393"/>
      <c r="AE431" s="393"/>
      <c r="AF431" s="472"/>
      <c r="AG431" s="393"/>
      <c r="AH431" s="393"/>
      <c r="AI431" s="393"/>
      <c r="AJ431" s="472"/>
      <c r="AK431" s="393"/>
      <c r="AL431" s="393"/>
      <c r="AM431" s="393"/>
      <c r="AN431" s="472"/>
      <c r="AO431" s="997">
        <f t="shared" ref="AO431:CF431" si="819">+AO429-AO430</f>
        <v>0.59851206765847542</v>
      </c>
      <c r="AP431" s="997">
        <f t="shared" si="819"/>
        <v>0.49537959227453021</v>
      </c>
      <c r="AQ431" s="997">
        <f t="shared" si="819"/>
        <v>0.47713609611087537</v>
      </c>
      <c r="AR431" s="998">
        <f t="shared" si="819"/>
        <v>0.33959730297618601</v>
      </c>
      <c r="AS431" s="997">
        <f t="shared" si="819"/>
        <v>0.25275120379451049</v>
      </c>
      <c r="AT431" s="997">
        <f t="shared" si="819"/>
        <v>0.31063222976589655</v>
      </c>
      <c r="AU431" s="997">
        <f t="shared" si="819"/>
        <v>0.44061844790969407</v>
      </c>
      <c r="AV431" s="998">
        <f t="shared" si="819"/>
        <v>0.45478228974144608</v>
      </c>
      <c r="AW431" s="997">
        <f t="shared" si="819"/>
        <v>0.47833361203240632</v>
      </c>
      <c r="AX431" s="997">
        <f t="shared" si="819"/>
        <v>0.5121206076256557</v>
      </c>
      <c r="AY431" s="997">
        <f t="shared" si="819"/>
        <v>0.61646575187026986</v>
      </c>
      <c r="AZ431" s="998">
        <f t="shared" si="819"/>
        <v>0.57769955733849965</v>
      </c>
      <c r="BA431" s="997">
        <f t="shared" si="819"/>
        <v>0.57815595258047181</v>
      </c>
      <c r="BB431" s="997">
        <f t="shared" si="819"/>
        <v>0.52676511409676674</v>
      </c>
      <c r="BC431" s="997">
        <f t="shared" si="819"/>
        <v>0.55448981108302386</v>
      </c>
      <c r="BD431" s="998">
        <f t="shared" si="819"/>
        <v>0.5199017660262758</v>
      </c>
      <c r="BE431" s="997">
        <f t="shared" si="819"/>
        <v>0.50071897953833</v>
      </c>
      <c r="BF431" s="997">
        <f t="shared" si="819"/>
        <v>0.43123648926145197</v>
      </c>
      <c r="BG431" s="997">
        <f t="shared" si="819"/>
        <v>0.35908646241957287</v>
      </c>
      <c r="BH431" s="998">
        <f t="shared" si="819"/>
        <v>0.31477563675990494</v>
      </c>
      <c r="BI431" s="997">
        <f t="shared" si="819"/>
        <v>0.36023757091111169</v>
      </c>
      <c r="BJ431" s="997">
        <f t="shared" si="819"/>
        <v>0.37698986370760718</v>
      </c>
      <c r="BK431" s="997">
        <f t="shared" si="819"/>
        <v>0.41746145862040662</v>
      </c>
      <c r="BL431" s="998">
        <f t="shared" si="819"/>
        <v>0.42550157545273476</v>
      </c>
      <c r="BM431" s="997">
        <f t="shared" si="819"/>
        <v>0.40386937207755863</v>
      </c>
      <c r="BN431" s="997">
        <f t="shared" si="819"/>
        <v>0.35059526298229798</v>
      </c>
      <c r="BO431" s="997">
        <f t="shared" si="819"/>
        <v>0.32064485332170667</v>
      </c>
      <c r="BP431" s="998">
        <f t="shared" si="819"/>
        <v>0.32523209500932559</v>
      </c>
      <c r="BQ431" s="997">
        <f t="shared" si="819"/>
        <v>0.32315865211333306</v>
      </c>
      <c r="BR431" s="997">
        <f t="shared" ref="BR431:BW431" si="820">+BR429-BR430</f>
        <v>0.26838937837952515</v>
      </c>
      <c r="BS431" s="997">
        <f t="shared" si="820"/>
        <v>0.27305517052943495</v>
      </c>
      <c r="BT431" s="998">
        <f t="shared" si="820"/>
        <v>0.23925078109069031</v>
      </c>
      <c r="BU431" s="997">
        <f t="shared" si="820"/>
        <v>0.25870534872575401</v>
      </c>
      <c r="BV431" s="997">
        <f t="shared" si="820"/>
        <v>0.17757012513910325</v>
      </c>
      <c r="BW431" s="997">
        <f t="shared" si="820"/>
        <v>0.22889987749570864</v>
      </c>
      <c r="BX431" s="998">
        <f t="shared" si="819"/>
        <v>0.23443529495134832</v>
      </c>
      <c r="BY431" s="997">
        <f t="shared" si="819"/>
        <v>0.18527849317213674</v>
      </c>
      <c r="BZ431" s="997">
        <f t="shared" si="819"/>
        <v>0.2418011949342769</v>
      </c>
      <c r="CA431" s="997">
        <f t="shared" si="819"/>
        <v>0.19919620484963607</v>
      </c>
      <c r="CB431" s="998">
        <f t="shared" si="819"/>
        <v>0.16420131923954634</v>
      </c>
      <c r="CC431" s="997">
        <f t="shared" si="819"/>
        <v>0.13674573005461874</v>
      </c>
      <c r="CD431" s="997">
        <f t="shared" si="819"/>
        <v>0.17179197619070094</v>
      </c>
      <c r="CE431" s="997">
        <f t="shared" si="819"/>
        <v>0.14853991927892246</v>
      </c>
      <c r="CF431" s="998">
        <f t="shared" si="819"/>
        <v>0.18262215609962792</v>
      </c>
      <c r="CG431" s="337"/>
      <c r="CH431" s="367"/>
      <c r="CI431" s="336"/>
      <c r="CJ431" s="393"/>
      <c r="CK431" s="393"/>
      <c r="CL431" s="393"/>
      <c r="CM431" s="393"/>
      <c r="CN431" s="393"/>
      <c r="CO431" s="997">
        <f t="shared" ref="CO431:CX431" si="821">+CO429-CO430</f>
        <v>0.53559277288492824</v>
      </c>
      <c r="CP431" s="997">
        <f t="shared" si="821"/>
        <v>0.37733488320337882</v>
      </c>
      <c r="CQ431" s="997">
        <f t="shared" si="821"/>
        <v>0.54118750693828233</v>
      </c>
      <c r="CR431" s="997">
        <f t="shared" si="821"/>
        <v>0.60816776688709751</v>
      </c>
      <c r="CS431" s="997">
        <f t="shared" si="821"/>
        <v>0.38077341358639538</v>
      </c>
      <c r="CT431" s="997">
        <f t="shared" si="821"/>
        <v>0.39990070616910189</v>
      </c>
      <c r="CU431" s="997">
        <f t="shared" si="821"/>
        <v>0.346443725318339</v>
      </c>
      <c r="CV431" s="997">
        <f>+CV429-CV430</f>
        <v>0.27183424107092752</v>
      </c>
      <c r="CW431" s="997">
        <f>+CW429-CW430</f>
        <v>0.22593933135716451</v>
      </c>
      <c r="CX431" s="997">
        <f t="shared" si="821"/>
        <v>0.18132201050480157</v>
      </c>
      <c r="CY431" s="997">
        <f t="shared" ref="CY431:DF431" si="822">+CY429-CY430</f>
        <v>0.15527912115353873</v>
      </c>
      <c r="CZ431" s="997">
        <f t="shared" si="822"/>
        <v>0.13871619835724802</v>
      </c>
      <c r="DA431" s="997">
        <f t="shared" si="822"/>
        <v>0.12104477472837338</v>
      </c>
      <c r="DB431" s="997">
        <f t="shared" si="822"/>
        <v>0.10388721048746441</v>
      </c>
      <c r="DC431" s="997">
        <f t="shared" si="822"/>
        <v>9.1809184260132959E-2</v>
      </c>
      <c r="DD431" s="997">
        <f t="shared" si="822"/>
        <v>8.285303848025638E-2</v>
      </c>
      <c r="DE431" s="997">
        <f t="shared" si="822"/>
        <v>7.4701467903460772E-2</v>
      </c>
      <c r="DF431" s="998">
        <f t="shared" si="822"/>
        <v>7.4920168279926314E-2</v>
      </c>
    </row>
    <row r="432" spans="1:117" s="308" customFormat="1" ht="11.25" customHeight="1">
      <c r="A432" s="82"/>
      <c r="B432"/>
      <c r="C432"/>
      <c r="D432"/>
      <c r="E432"/>
      <c r="F432"/>
      <c r="G432"/>
      <c r="H432" s="1044"/>
      <c r="I432" s="1400" t="s">
        <v>565</v>
      </c>
      <c r="J432" s="1399"/>
      <c r="K432" s="1399"/>
      <c r="L432" s="307"/>
      <c r="M432" s="336"/>
      <c r="N432" s="336"/>
      <c r="O432" s="336"/>
      <c r="P432" s="337"/>
      <c r="Q432" s="336"/>
      <c r="R432" s="336"/>
      <c r="S432" s="336"/>
      <c r="T432" s="337"/>
      <c r="U432" s="393"/>
      <c r="V432" s="393"/>
      <c r="W432" s="393"/>
      <c r="X432" s="472"/>
      <c r="Y432" s="393"/>
      <c r="Z432" s="393"/>
      <c r="AA432" s="393"/>
      <c r="AB432" s="472"/>
      <c r="AC432" s="393"/>
      <c r="AD432" s="393"/>
      <c r="AE432" s="393"/>
      <c r="AF432" s="472"/>
      <c r="AG432" s="393"/>
      <c r="AH432" s="393"/>
      <c r="AI432" s="393"/>
      <c r="AJ432" s="472"/>
      <c r="AK432" s="393"/>
      <c r="AL432" s="393"/>
      <c r="AM432" s="393"/>
      <c r="AN432" s="472"/>
      <c r="AO432" s="517">
        <f t="shared" ref="AO432:CF432" si="823">+AK428*(1+AO431)</f>
        <v>165.98789459358846</v>
      </c>
      <c r="AP432" s="517">
        <f t="shared" si="823"/>
        <v>231.62383118617871</v>
      </c>
      <c r="AQ432" s="517">
        <f t="shared" si="823"/>
        <v>298.87042346220954</v>
      </c>
      <c r="AR432" s="601">
        <f t="shared" si="823"/>
        <v>214.53918726624218</v>
      </c>
      <c r="AS432" s="517">
        <f t="shared" si="823"/>
        <v>226.87700126079724</v>
      </c>
      <c r="AT432" s="517">
        <f t="shared" si="823"/>
        <v>332.54016249735213</v>
      </c>
      <c r="AU432" s="517">
        <f t="shared" si="823"/>
        <v>455.34779777840026</v>
      </c>
      <c r="AV432" s="601">
        <f t="shared" si="823"/>
        <v>298.32493024582965</v>
      </c>
      <c r="AW432" s="517">
        <f t="shared" si="823"/>
        <v>307.98124139471116</v>
      </c>
      <c r="AX432" s="517">
        <f t="shared" si="823"/>
        <v>461.55667003043988</v>
      </c>
      <c r="AY432" s="517">
        <f t="shared" si="823"/>
        <v>701.55583510620829</v>
      </c>
      <c r="AZ432" s="601">
        <f t="shared" si="823"/>
        <v>494.11814666328752</v>
      </c>
      <c r="BA432" s="517">
        <f t="shared" si="823"/>
        <v>503.61481496366963</v>
      </c>
      <c r="BB432" s="517">
        <f t="shared" si="823"/>
        <v>681.21816566815164</v>
      </c>
      <c r="BC432" s="517">
        <f t="shared" si="823"/>
        <v>1038.722527684165</v>
      </c>
      <c r="BD432" s="601">
        <f t="shared" si="823"/>
        <v>729.80515138577277</v>
      </c>
      <c r="BE432" s="517">
        <f t="shared" si="823"/>
        <v>759.07566560232374</v>
      </c>
      <c r="BF432" s="517">
        <f t="shared" si="823"/>
        <v>1072.32102113989</v>
      </c>
      <c r="BG432" s="517">
        <f t="shared" si="823"/>
        <v>1495.1962534579684</v>
      </c>
      <c r="BH432" s="601">
        <f t="shared" si="823"/>
        <v>952.81395963299281</v>
      </c>
      <c r="BI432" s="517">
        <f t="shared" si="823"/>
        <v>1011.0482636073783</v>
      </c>
      <c r="BJ432" s="517">
        <f t="shared" si="823"/>
        <v>1382.6933557230843</v>
      </c>
      <c r="BK432" s="517">
        <f t="shared" si="823"/>
        <v>1979.4863444248565</v>
      </c>
      <c r="BL432" s="601">
        <f t="shared" si="823"/>
        <v>1339.6151055317075</v>
      </c>
      <c r="BM432" s="517">
        <f t="shared" si="823"/>
        <v>1417.4377695586882</v>
      </c>
      <c r="BN432" s="517">
        <f t="shared" si="823"/>
        <v>1869.0280076543679</v>
      </c>
      <c r="BO432" s="517">
        <f t="shared" si="823"/>
        <v>2626.8484551723404</v>
      </c>
      <c r="BP432" s="601">
        <f t="shared" si="823"/>
        <v>1766.9332775080286</v>
      </c>
      <c r="BQ432" s="517">
        <f t="shared" si="823"/>
        <v>1860.9842725964918</v>
      </c>
      <c r="BR432" s="517">
        <f t="shared" si="823"/>
        <v>2388.3721259311319</v>
      </c>
      <c r="BS432" s="517">
        <f t="shared" si="823"/>
        <v>3335.3765395733676</v>
      </c>
      <c r="BT432" s="601">
        <f t="shared" si="823"/>
        <v>2075.3546943308625</v>
      </c>
      <c r="BU432" s="517">
        <f t="shared" si="823"/>
        <v>2104.8523975317598</v>
      </c>
      <c r="BV432" s="517">
        <f t="shared" si="823"/>
        <v>2464.5435803243799</v>
      </c>
      <c r="BW432" s="517">
        <f t="shared" si="823"/>
        <v>3621.9144887453072</v>
      </c>
      <c r="BX432" s="601">
        <f t="shared" si="823"/>
        <v>2319.9767079315498</v>
      </c>
      <c r="BY432" s="517">
        <f t="shared" si="823"/>
        <v>2393.6106530364709</v>
      </c>
      <c r="BZ432" s="517">
        <f t="shared" si="823"/>
        <v>3017.3508958728148</v>
      </c>
      <c r="CA432" s="517">
        <f t="shared" si="823"/>
        <v>4303.9907285662493</v>
      </c>
      <c r="CB432" s="601">
        <f t="shared" si="823"/>
        <v>2650.1424792654529</v>
      </c>
      <c r="CC432" s="517">
        <f t="shared" si="823"/>
        <v>2653.431669194043</v>
      </c>
      <c r="CD432" s="517">
        <f t="shared" si="823"/>
        <v>3458.9119604073776</v>
      </c>
      <c r="CE432" s="517">
        <f t="shared" si="823"/>
        <v>5024.3487495013678</v>
      </c>
      <c r="CF432" s="601">
        <f t="shared" si="823"/>
        <v>3275.7959629330717</v>
      </c>
      <c r="CG432" s="337"/>
      <c r="CH432" s="367"/>
      <c r="CI432" s="336"/>
      <c r="CJ432" s="393"/>
      <c r="CK432" s="393"/>
      <c r="CL432" s="393"/>
      <c r="CM432" s="393"/>
      <c r="CN432" s="393"/>
      <c r="CO432" s="517">
        <f t="shared" ref="CO432:CT432" si="824">+CN428*(1+CO431)</f>
        <v>953.93326440771034</v>
      </c>
      <c r="CP432" s="517">
        <f t="shared" si="824"/>
        <v>1316.6922056308174</v>
      </c>
      <c r="CQ432" s="517">
        <f t="shared" si="824"/>
        <v>1943.0721848100295</v>
      </c>
      <c r="CR432" s="517">
        <f t="shared" si="824"/>
        <v>3077.5088431298991</v>
      </c>
      <c r="CS432" s="517">
        <f t="shared" si="824"/>
        <v>4252.6164210364686</v>
      </c>
      <c r="CT432" s="517">
        <f t="shared" si="824"/>
        <v>5716.7479156693462</v>
      </c>
      <c r="CU432" s="517">
        <f t="shared" ref="CU432:DF432" si="825">+CT428*(1+CU431)</f>
        <v>7696.1188393349403</v>
      </c>
      <c r="CV432" s="517">
        <f t="shared" si="825"/>
        <v>9645.7562227332528</v>
      </c>
      <c r="CW432" s="517">
        <f t="shared" si="825"/>
        <v>10533.034128729803</v>
      </c>
      <c r="CX432" s="517">
        <f t="shared" si="825"/>
        <v>12184.972691177793</v>
      </c>
      <c r="CY432" s="517">
        <f t="shared" si="825"/>
        <v>14360.749103059512</v>
      </c>
      <c r="CZ432" s="517">
        <f t="shared" si="825"/>
        <v>16786.807289556065</v>
      </c>
      <c r="DA432" s="517">
        <f t="shared" si="825"/>
        <v>18821.738388716545</v>
      </c>
      <c r="DB432" s="517">
        <f t="shared" si="825"/>
        <v>20777.076286445132</v>
      </c>
      <c r="DC432" s="517">
        <f t="shared" si="825"/>
        <v>22684.60271161421</v>
      </c>
      <c r="DD432" s="517">
        <f t="shared" si="825"/>
        <v>24564.090972988914</v>
      </c>
      <c r="DE432" s="517">
        <f t="shared" si="825"/>
        <v>26399.064626385334</v>
      </c>
      <c r="DF432" s="601">
        <f t="shared" si="825"/>
        <v>28376.886990626772</v>
      </c>
    </row>
    <row r="433" spans="1:116" s="308" customFormat="1" ht="11.25" customHeight="1">
      <c r="A433" s="82"/>
      <c r="B433"/>
      <c r="C433"/>
      <c r="D433"/>
      <c r="E433"/>
      <c r="F433"/>
      <c r="G433"/>
      <c r="H433" s="1044"/>
      <c r="I433" s="1034" t="s">
        <v>545</v>
      </c>
      <c r="J433" s="312"/>
      <c r="K433" s="312"/>
      <c r="L433" s="307"/>
      <c r="M433" s="336"/>
      <c r="N433" s="336"/>
      <c r="O433" s="336"/>
      <c r="P433" s="337"/>
      <c r="Q433" s="336"/>
      <c r="R433" s="336"/>
      <c r="S433" s="336"/>
      <c r="T433" s="337"/>
      <c r="U433" s="393"/>
      <c r="V433" s="393"/>
      <c r="W433" s="393"/>
      <c r="X433" s="472"/>
      <c r="Y433" s="393"/>
      <c r="Z433" s="393"/>
      <c r="AA433" s="393"/>
      <c r="AB433" s="472"/>
      <c r="AC433" s="393"/>
      <c r="AD433" s="393"/>
      <c r="AE433" s="393"/>
      <c r="AF433" s="472"/>
      <c r="AG433" s="393"/>
      <c r="AH433" s="393"/>
      <c r="AI433" s="393"/>
      <c r="AJ433" s="472"/>
      <c r="AK433" s="393"/>
      <c r="AL433" s="393"/>
      <c r="AM433" s="393"/>
      <c r="AN433" s="472"/>
      <c r="AO433" s="1404">
        <f t="shared" ref="AO433:CF433" si="826">+AO432/AO414</f>
        <v>17.705375423316102</v>
      </c>
      <c r="AP433" s="1183">
        <f t="shared" si="826"/>
        <v>21.290911957549287</v>
      </c>
      <c r="AQ433" s="1183">
        <f t="shared" si="826"/>
        <v>26.138746148522788</v>
      </c>
      <c r="AR433" s="1184">
        <f t="shared" si="826"/>
        <v>23.508567528626145</v>
      </c>
      <c r="AS433" s="1404">
        <f t="shared" si="826"/>
        <v>17.745561303151916</v>
      </c>
      <c r="AT433" s="1183">
        <f t="shared" si="826"/>
        <v>21.228226140909808</v>
      </c>
      <c r="AU433" s="1183">
        <f t="shared" si="826"/>
        <v>25.482556258234947</v>
      </c>
      <c r="AV433" s="1184">
        <f t="shared" si="826"/>
        <v>20.44301584635302</v>
      </c>
      <c r="AW433" s="1404">
        <f t="shared" si="826"/>
        <v>15.366791806940981</v>
      </c>
      <c r="AX433" s="1183">
        <f t="shared" si="826"/>
        <v>19.894684053036201</v>
      </c>
      <c r="AY433" s="1183">
        <f t="shared" si="826"/>
        <v>25.511121276589392</v>
      </c>
      <c r="AZ433" s="1184">
        <f t="shared" si="826"/>
        <v>22.459915757422159</v>
      </c>
      <c r="BA433" s="1404">
        <f t="shared" si="826"/>
        <v>16.141500479604797</v>
      </c>
      <c r="BB433" s="1183">
        <f t="shared" si="826"/>
        <v>18.870309298286749</v>
      </c>
      <c r="BC433" s="1183">
        <f t="shared" si="826"/>
        <v>25.584298711432634</v>
      </c>
      <c r="BD433" s="1184">
        <f t="shared" si="826"/>
        <v>21.720391410290855</v>
      </c>
      <c r="BE433" s="1404">
        <f t="shared" si="826"/>
        <v>16.537596200486355</v>
      </c>
      <c r="BF433" s="1183">
        <f t="shared" si="826"/>
        <v>21.360976516730876</v>
      </c>
      <c r="BG433" s="1183">
        <f t="shared" si="826"/>
        <v>27.086888649600876</v>
      </c>
      <c r="BH433" s="1184">
        <f t="shared" si="826"/>
        <v>20.623678779934909</v>
      </c>
      <c r="BI433" s="1404">
        <f t="shared" si="826"/>
        <v>15.997599107711682</v>
      </c>
      <c r="BJ433" s="1183">
        <f t="shared" si="826"/>
        <v>19.923535385058852</v>
      </c>
      <c r="BK433" s="1183">
        <f t="shared" si="826"/>
        <v>26.46372118215049</v>
      </c>
      <c r="BL433" s="1184">
        <f t="shared" si="826"/>
        <v>21.230033368172862</v>
      </c>
      <c r="BM433" s="1404">
        <f t="shared" si="826"/>
        <v>16.995656709336789</v>
      </c>
      <c r="BN433" s="1183">
        <f t="shared" si="826"/>
        <v>20.859687585428215</v>
      </c>
      <c r="BO433" s="1183">
        <f t="shared" si="826"/>
        <v>27.709371890003592</v>
      </c>
      <c r="BP433" s="1184">
        <f t="shared" si="826"/>
        <v>22.595054699591159</v>
      </c>
      <c r="BQ433" s="1404">
        <f t="shared" si="826"/>
        <v>17.791436640501836</v>
      </c>
      <c r="BR433" s="1183">
        <f t="shared" ref="BR433:BW433" si="827">+BR432/BR414</f>
        <v>21.117348593555544</v>
      </c>
      <c r="BS433" s="1183">
        <f t="shared" si="827"/>
        <v>28.852738231603528</v>
      </c>
      <c r="BT433" s="1184">
        <f t="shared" si="827"/>
        <v>20.942025169837159</v>
      </c>
      <c r="BU433" s="1404">
        <f t="shared" si="827"/>
        <v>15.420164084481756</v>
      </c>
      <c r="BV433" s="1183">
        <f t="shared" si="827"/>
        <v>17.516301210549965</v>
      </c>
      <c r="BW433" s="1183">
        <f t="shared" si="827"/>
        <v>24.210658347227991</v>
      </c>
      <c r="BX433" s="1184">
        <f t="shared" si="826"/>
        <v>17.887252952440633</v>
      </c>
      <c r="BY433" s="1404">
        <f t="shared" si="826"/>
        <v>13.76429357697798</v>
      </c>
      <c r="BZ433" s="1183">
        <f t="shared" si="826"/>
        <v>17.728266133212781</v>
      </c>
      <c r="CA433" s="1183">
        <f t="shared" si="826"/>
        <v>24.24783509051408</v>
      </c>
      <c r="CB433" s="1184">
        <f t="shared" si="826"/>
        <v>17.492689632115201</v>
      </c>
      <c r="CC433" s="1404">
        <f t="shared" si="826"/>
        <v>13.250119112488003</v>
      </c>
      <c r="CD433" s="1183">
        <f t="shared" si="826"/>
        <v>17.154537030872486</v>
      </c>
      <c r="CE433" s="1183">
        <f t="shared" si="826"/>
        <v>24.09771135343323</v>
      </c>
      <c r="CF433" s="1184">
        <f t="shared" si="826"/>
        <v>18.192258745758949</v>
      </c>
      <c r="CG433" s="337"/>
      <c r="CH433" s="367"/>
      <c r="CI433" s="336"/>
      <c r="CJ433" s="393"/>
      <c r="CK433" s="393"/>
      <c r="CL433" s="393"/>
      <c r="CM433" s="393"/>
      <c r="CN433" s="393"/>
      <c r="CO433" s="1183">
        <f t="shared" ref="CO433:CX433" si="828">+CO432/CO414</f>
        <v>23.37269722173054</v>
      </c>
      <c r="CP433" s="1183">
        <f t="shared" si="828"/>
        <v>21.616302298903623</v>
      </c>
      <c r="CQ433" s="1183">
        <f t="shared" si="828"/>
        <v>20.951372461344693</v>
      </c>
      <c r="CR433" s="1183">
        <f t="shared" si="828"/>
        <v>21.749179103391512</v>
      </c>
      <c r="CS433" s="1183">
        <f t="shared" si="828"/>
        <v>21.532235043222627</v>
      </c>
      <c r="CT433" s="1183">
        <f t="shared" si="828"/>
        <v>21.134003385099245</v>
      </c>
      <c r="CU433" s="1183">
        <f t="shared" si="828"/>
        <v>22.243118032759941</v>
      </c>
      <c r="CV433" s="1183">
        <f t="shared" si="828"/>
        <v>22.307484326395127</v>
      </c>
      <c r="CW433" s="1183">
        <f t="shared" si="828"/>
        <v>18.92728504713352</v>
      </c>
      <c r="CX433" s="1183">
        <f t="shared" si="828"/>
        <v>18.102767332012764</v>
      </c>
      <c r="CY433" s="1183">
        <f t="shared" ref="CY433:DF433" si="829">+CY432/CY414</f>
        <v>18.167721340086345</v>
      </c>
      <c r="CZ433" s="1183">
        <f t="shared" si="829"/>
        <v>18.4067502668941</v>
      </c>
      <c r="DA433" s="1183">
        <f t="shared" si="829"/>
        <v>18.231654495976844</v>
      </c>
      <c r="DB433" s="1183">
        <f t="shared" si="829"/>
        <v>18.077646743439374</v>
      </c>
      <c r="DC433" s="1183">
        <f t="shared" si="829"/>
        <v>17.943822286955868</v>
      </c>
      <c r="DD433" s="1183">
        <f t="shared" si="829"/>
        <v>17.823878890685179</v>
      </c>
      <c r="DE433" s="1183">
        <f t="shared" si="829"/>
        <v>17.715480911551186</v>
      </c>
      <c r="DF433" s="1184">
        <f t="shared" si="829"/>
        <v>17.610686255592288</v>
      </c>
    </row>
    <row r="434" spans="1:116" s="308" customFormat="1" ht="11.25" customHeight="1">
      <c r="A434" s="82"/>
      <c r="B434"/>
      <c r="C434"/>
      <c r="D434"/>
      <c r="E434"/>
      <c r="F434"/>
      <c r="G434"/>
      <c r="H434" s="1044"/>
      <c r="I434" s="164" t="s">
        <v>376</v>
      </c>
      <c r="J434" s="312"/>
      <c r="K434" s="312"/>
      <c r="L434" s="307"/>
      <c r="M434" s="336"/>
      <c r="N434" s="336"/>
      <c r="O434" s="336"/>
      <c r="P434" s="337"/>
      <c r="Q434" s="336"/>
      <c r="R434" s="336"/>
      <c r="S434" s="336"/>
      <c r="T434" s="337"/>
      <c r="U434" s="393"/>
      <c r="V434" s="393"/>
      <c r="W434" s="393"/>
      <c r="X434" s="472"/>
      <c r="Y434" s="393"/>
      <c r="Z434" s="393"/>
      <c r="AA434" s="393"/>
      <c r="AB434" s="472"/>
      <c r="AC434" s="393"/>
      <c r="AD434" s="393"/>
      <c r="AE434" s="393"/>
      <c r="AF434" s="472"/>
      <c r="AG434" s="393"/>
      <c r="AH434" s="393"/>
      <c r="AI434" s="393"/>
      <c r="AJ434" s="472"/>
      <c r="AK434" s="393"/>
      <c r="AL434" s="393"/>
      <c r="AM434" s="393"/>
      <c r="AN434" s="472"/>
      <c r="AO434" s="1405"/>
      <c r="AP434" s="391"/>
      <c r="AQ434" s="391"/>
      <c r="AR434" s="392"/>
      <c r="AS434" s="1405">
        <f t="shared" ref="AS434:CF434" si="830">+AS433/AO433-1</f>
        <v>2.2696993921345054E-3</v>
      </c>
      <c r="AT434" s="391">
        <f t="shared" si="830"/>
        <v>-2.9442523065458248E-3</v>
      </c>
      <c r="AU434" s="391">
        <f t="shared" si="830"/>
        <v>-2.5104107387527663E-2</v>
      </c>
      <c r="AV434" s="392">
        <f t="shared" si="830"/>
        <v>-0.13040146655215101</v>
      </c>
      <c r="AW434" s="1405">
        <f t="shared" si="830"/>
        <v>-0.1340487040997923</v>
      </c>
      <c r="AX434" s="391">
        <f t="shared" si="830"/>
        <v>-6.2819289705213777E-2</v>
      </c>
      <c r="AY434" s="391">
        <f t="shared" si="830"/>
        <v>1.1209636138922452E-3</v>
      </c>
      <c r="AZ434" s="392">
        <f t="shared" si="830"/>
        <v>9.86596070867376E-2</v>
      </c>
      <c r="BA434" s="1405">
        <f t="shared" si="830"/>
        <v>5.0414470528187261E-2</v>
      </c>
      <c r="BB434" s="391">
        <f t="shared" si="830"/>
        <v>-5.1489872974037953E-2</v>
      </c>
      <c r="BC434" s="391">
        <f t="shared" si="830"/>
        <v>2.8684523133992723E-3</v>
      </c>
      <c r="BD434" s="392">
        <f t="shared" si="830"/>
        <v>-3.2926407877862163E-2</v>
      </c>
      <c r="BE434" s="1405">
        <f t="shared" si="830"/>
        <v>2.4538965344766739E-2</v>
      </c>
      <c r="BF434" s="391">
        <f t="shared" si="830"/>
        <v>0.13198868015747123</v>
      </c>
      <c r="BG434" s="391">
        <f t="shared" si="830"/>
        <v>5.8730941000809667E-2</v>
      </c>
      <c r="BH434" s="392">
        <f t="shared" si="830"/>
        <v>-5.0492305117316505E-2</v>
      </c>
      <c r="BI434" s="1405">
        <f t="shared" si="830"/>
        <v>-3.265269548417149E-2</v>
      </c>
      <c r="BJ434" s="391">
        <f t="shared" si="830"/>
        <v>-6.7292856698108139E-2</v>
      </c>
      <c r="BK434" s="391">
        <f t="shared" si="830"/>
        <v>-2.3006240233485409E-2</v>
      </c>
      <c r="BL434" s="392">
        <f t="shared" si="830"/>
        <v>2.9400893735209044E-2</v>
      </c>
      <c r="BM434" s="1405">
        <f t="shared" si="830"/>
        <v>6.238796177508843E-2</v>
      </c>
      <c r="BN434" s="391">
        <f t="shared" si="830"/>
        <v>4.6987253129352036E-2</v>
      </c>
      <c r="BO434" s="391">
        <f t="shared" si="830"/>
        <v>4.7070126656763689E-2</v>
      </c>
      <c r="BP434" s="392">
        <f t="shared" si="830"/>
        <v>6.4296711538130547E-2</v>
      </c>
      <c r="BQ434" s="1405">
        <f>+BQ433/BM433-1</f>
        <v>4.6822546770309614E-2</v>
      </c>
      <c r="BR434" s="391">
        <f t="shared" si="830"/>
        <v>1.2352102929255704E-2</v>
      </c>
      <c r="BS434" s="391">
        <f t="shared" si="830"/>
        <v>4.1262802568701185E-2</v>
      </c>
      <c r="BT434" s="392">
        <f t="shared" si="830"/>
        <v>-7.3158908076638163E-2</v>
      </c>
      <c r="BU434" s="1405">
        <f>+BU433/BQ433-1</f>
        <v>-0.13328167949191505</v>
      </c>
      <c r="BV434" s="391">
        <f>+BV433/BR433-1</f>
        <v>-0.17052554524314301</v>
      </c>
      <c r="BW434" s="391">
        <f>+BW433/BS433-1</f>
        <v>-0.1608887117442076</v>
      </c>
      <c r="BX434" s="392">
        <f t="shared" si="830"/>
        <v>-0.1458680424945874</v>
      </c>
      <c r="BY434" s="1405">
        <f t="shared" si="830"/>
        <v>-0.10738345574222385</v>
      </c>
      <c r="BZ434" s="391">
        <f t="shared" si="830"/>
        <v>1.2101009232197368E-2</v>
      </c>
      <c r="CA434" s="391">
        <f t="shared" si="830"/>
        <v>1.5355527616349729E-3</v>
      </c>
      <c r="CB434" s="392">
        <f t="shared" si="830"/>
        <v>-2.2058351909849616E-2</v>
      </c>
      <c r="CC434" s="1405">
        <f t="shared" si="830"/>
        <v>-3.7355674057256483E-2</v>
      </c>
      <c r="CD434" s="391">
        <f t="shared" si="830"/>
        <v>-3.2362392240121496E-2</v>
      </c>
      <c r="CE434" s="391">
        <f t="shared" si="830"/>
        <v>-6.1912222893489854E-3</v>
      </c>
      <c r="CF434" s="392">
        <f t="shared" si="830"/>
        <v>3.9992084028027008E-2</v>
      </c>
      <c r="CG434" s="337"/>
      <c r="CH434" s="367"/>
      <c r="CI434" s="336"/>
      <c r="CJ434" s="393"/>
      <c r="CK434" s="393"/>
      <c r="CL434" s="393"/>
      <c r="CM434" s="393"/>
      <c r="CN434" s="393"/>
      <c r="CO434" s="997"/>
      <c r="CP434" s="997">
        <f t="shared" ref="CP434:CX434" si="831">+CP433/CO433-1</f>
        <v>-7.5147292850477054E-2</v>
      </c>
      <c r="CQ434" s="997">
        <f t="shared" si="831"/>
        <v>-3.0760572662450913E-2</v>
      </c>
      <c r="CR434" s="997">
        <f t="shared" si="831"/>
        <v>3.8078968025544446E-2</v>
      </c>
      <c r="CS434" s="997">
        <f t="shared" si="831"/>
        <v>-9.9748160212196346E-3</v>
      </c>
      <c r="CT434" s="997">
        <f t="shared" si="831"/>
        <v>-1.8494673559154129E-2</v>
      </c>
      <c r="CU434" s="997">
        <f t="shared" si="831"/>
        <v>5.2480101732296003E-2</v>
      </c>
      <c r="CV434" s="1201">
        <f t="shared" si="831"/>
        <v>2.8937621758058363E-3</v>
      </c>
      <c r="CW434" s="1201">
        <f t="shared" si="831"/>
        <v>-0.15152758732467275</v>
      </c>
      <c r="CX434" s="1201">
        <f t="shared" si="831"/>
        <v>-4.3562386949185128E-2</v>
      </c>
      <c r="CY434" s="1201">
        <f t="shared" ref="CY434:DF434" si="832">+CY433/CX433-1</f>
        <v>3.5880706459014977E-3</v>
      </c>
      <c r="CZ434" s="1201">
        <f t="shared" si="832"/>
        <v>1.3156791781055555E-2</v>
      </c>
      <c r="DA434" s="1201">
        <f t="shared" si="832"/>
        <v>-9.5125846973748152E-3</v>
      </c>
      <c r="DB434" s="1201">
        <f t="shared" si="832"/>
        <v>-8.4472724387935072E-3</v>
      </c>
      <c r="DC434" s="1201">
        <f t="shared" si="832"/>
        <v>-7.4027586877186691E-3</v>
      </c>
      <c r="DD434" s="1201">
        <f t="shared" si="832"/>
        <v>-6.6843838705358261E-3</v>
      </c>
      <c r="DE434" s="1201">
        <f t="shared" si="832"/>
        <v>-6.0816155562324337E-3</v>
      </c>
      <c r="DF434" s="1202">
        <f t="shared" si="832"/>
        <v>-5.9154282337640085E-3</v>
      </c>
    </row>
    <row r="435" spans="1:116" s="308" customFormat="1" ht="11.25" customHeight="1">
      <c r="A435" s="82"/>
      <c r="B435"/>
      <c r="C435"/>
      <c r="D435"/>
      <c r="E435"/>
      <c r="F435"/>
      <c r="G435"/>
      <c r="H435" s="1044"/>
      <c r="I435" s="164" t="s">
        <v>214</v>
      </c>
      <c r="J435" s="312"/>
      <c r="K435" s="312"/>
      <c r="L435" s="307"/>
      <c r="M435" s="336"/>
      <c r="N435" s="336"/>
      <c r="O435" s="336"/>
      <c r="P435" s="337"/>
      <c r="Q435" s="336"/>
      <c r="R435" s="336"/>
      <c r="S435" s="336"/>
      <c r="T435" s="337"/>
      <c r="U435" s="393"/>
      <c r="V435" s="393"/>
      <c r="W435" s="393"/>
      <c r="X435" s="472"/>
      <c r="Y435" s="393"/>
      <c r="Z435" s="393"/>
      <c r="AA435" s="393"/>
      <c r="AB435" s="472"/>
      <c r="AC435" s="393"/>
      <c r="AD435" s="393"/>
      <c r="AE435" s="393"/>
      <c r="AF435" s="472"/>
      <c r="AG435" s="393"/>
      <c r="AH435" s="393"/>
      <c r="AI435" s="393"/>
      <c r="AJ435" s="472"/>
      <c r="AK435" s="393"/>
      <c r="AL435" s="393"/>
      <c r="AM435" s="393"/>
      <c r="AN435" s="472"/>
      <c r="AO435" s="1405"/>
      <c r="AP435" s="391"/>
      <c r="AQ435" s="391"/>
      <c r="AR435" s="392"/>
      <c r="AS435" s="1405"/>
      <c r="AT435" s="391"/>
      <c r="AU435" s="391"/>
      <c r="AV435" s="392"/>
      <c r="AW435" s="1405">
        <f t="shared" ref="AW435:CF435" si="833">+AW434+AS434</f>
        <v>-0.1317790047076578</v>
      </c>
      <c r="AX435" s="391">
        <f t="shared" si="833"/>
        <v>-6.5763542011759601E-2</v>
      </c>
      <c r="AY435" s="391">
        <f t="shared" si="833"/>
        <v>-2.3983143773635418E-2</v>
      </c>
      <c r="AZ435" s="392">
        <f t="shared" si="833"/>
        <v>-3.1741859465413413E-2</v>
      </c>
      <c r="BA435" s="1405">
        <f t="shared" si="833"/>
        <v>-8.3634233571605043E-2</v>
      </c>
      <c r="BB435" s="391">
        <f t="shared" si="833"/>
        <v>-0.11430916267925173</v>
      </c>
      <c r="BC435" s="391">
        <f t="shared" si="833"/>
        <v>3.9894159272915175E-3</v>
      </c>
      <c r="BD435" s="392">
        <f t="shared" si="833"/>
        <v>6.5733199208875437E-2</v>
      </c>
      <c r="BE435" s="1405">
        <f t="shared" si="833"/>
        <v>7.4953435872954E-2</v>
      </c>
      <c r="BF435" s="391">
        <f t="shared" si="833"/>
        <v>8.0498807183433274E-2</v>
      </c>
      <c r="BG435" s="391">
        <f t="shared" si="833"/>
        <v>6.1599393314208939E-2</v>
      </c>
      <c r="BH435" s="392">
        <f t="shared" si="833"/>
        <v>-8.3418712995178668E-2</v>
      </c>
      <c r="BI435" s="1405">
        <f t="shared" si="833"/>
        <v>-8.1137301394047512E-3</v>
      </c>
      <c r="BJ435" s="391">
        <f t="shared" si="833"/>
        <v>6.4695823459363089E-2</v>
      </c>
      <c r="BK435" s="391">
        <f t="shared" si="833"/>
        <v>3.5724700767324258E-2</v>
      </c>
      <c r="BL435" s="392">
        <f t="shared" si="833"/>
        <v>-2.1091411382107461E-2</v>
      </c>
      <c r="BM435" s="1405">
        <f t="shared" si="833"/>
        <v>2.973526629091694E-2</v>
      </c>
      <c r="BN435" s="391">
        <f t="shared" si="833"/>
        <v>-2.0305603568756103E-2</v>
      </c>
      <c r="BO435" s="391">
        <f t="shared" si="833"/>
        <v>2.406388642327828E-2</v>
      </c>
      <c r="BP435" s="392">
        <f t="shared" si="833"/>
        <v>9.369760527333959E-2</v>
      </c>
      <c r="BQ435" s="1405">
        <f t="shared" si="833"/>
        <v>0.10921050854539804</v>
      </c>
      <c r="BR435" s="391">
        <f t="shared" si="833"/>
        <v>5.933935605860774E-2</v>
      </c>
      <c r="BS435" s="391">
        <f t="shared" si="833"/>
        <v>8.8332929225464873E-2</v>
      </c>
      <c r="BT435" s="392">
        <f t="shared" si="833"/>
        <v>-8.8621965385076162E-3</v>
      </c>
      <c r="BU435" s="1405">
        <f t="shared" si="833"/>
        <v>-8.6459132721605436E-2</v>
      </c>
      <c r="BV435" s="391">
        <f t="shared" si="833"/>
        <v>-0.1581734423138873</v>
      </c>
      <c r="BW435" s="391">
        <f t="shared" si="833"/>
        <v>-0.11962590917550642</v>
      </c>
      <c r="BX435" s="392">
        <f t="shared" si="833"/>
        <v>-0.21902695057122556</v>
      </c>
      <c r="BY435" s="1405">
        <f t="shared" si="833"/>
        <v>-0.2406651352341389</v>
      </c>
      <c r="BZ435" s="391">
        <f t="shared" si="833"/>
        <v>-0.15842453601094564</v>
      </c>
      <c r="CA435" s="391">
        <f t="shared" si="833"/>
        <v>-0.15935315898257263</v>
      </c>
      <c r="CB435" s="392">
        <f t="shared" si="833"/>
        <v>-0.16792639440443702</v>
      </c>
      <c r="CC435" s="1405">
        <f t="shared" si="833"/>
        <v>-0.14473912979948034</v>
      </c>
      <c r="CD435" s="391">
        <f t="shared" si="833"/>
        <v>-2.0261383007924127E-2</v>
      </c>
      <c r="CE435" s="391">
        <f t="shared" si="833"/>
        <v>-4.6556695277140125E-3</v>
      </c>
      <c r="CF435" s="392">
        <f t="shared" si="833"/>
        <v>1.7933732118177392E-2</v>
      </c>
      <c r="CG435" s="337"/>
      <c r="CH435" s="367"/>
      <c r="CI435" s="336"/>
      <c r="CJ435" s="393"/>
      <c r="CK435" s="393"/>
      <c r="CL435" s="393"/>
      <c r="CM435" s="393"/>
      <c r="CN435" s="393"/>
      <c r="CO435" s="997"/>
      <c r="CP435" s="997"/>
      <c r="CQ435" s="997">
        <f>+CQ434+CP434</f>
        <v>-0.10590786551292797</v>
      </c>
      <c r="CR435" s="997">
        <f>+CR434+CQ434</f>
        <v>7.3183953630935328E-3</v>
      </c>
      <c r="CS435" s="997">
        <f t="shared" ref="CS435:DF435" si="834">+CS434+CR434</f>
        <v>2.8104152004324812E-2</v>
      </c>
      <c r="CT435" s="997">
        <f t="shared" si="834"/>
        <v>-2.8469489580373764E-2</v>
      </c>
      <c r="CU435" s="997">
        <f t="shared" si="834"/>
        <v>3.3985428173141874E-2</v>
      </c>
      <c r="CV435" s="997">
        <f>+CV434+CU434</f>
        <v>5.5373863908101839E-2</v>
      </c>
      <c r="CW435" s="997">
        <f>+CW434+CV434</f>
        <v>-0.14863382514886692</v>
      </c>
      <c r="CX435" s="997">
        <f>+CX434+CW434</f>
        <v>-0.19508997427385788</v>
      </c>
      <c r="CY435" s="997">
        <f t="shared" si="834"/>
        <v>-3.997431630328363E-2</v>
      </c>
      <c r="CZ435" s="997">
        <f t="shared" si="834"/>
        <v>1.6744862426957052E-2</v>
      </c>
      <c r="DA435" s="997">
        <f t="shared" si="834"/>
        <v>3.6442070836807394E-3</v>
      </c>
      <c r="DB435" s="997">
        <f t="shared" si="834"/>
        <v>-1.7959857136168322E-2</v>
      </c>
      <c r="DC435" s="997">
        <f t="shared" si="834"/>
        <v>-1.5850031126512176E-2</v>
      </c>
      <c r="DD435" s="997">
        <f t="shared" si="834"/>
        <v>-1.4087142558254495E-2</v>
      </c>
      <c r="DE435" s="997">
        <f t="shared" si="834"/>
        <v>-1.276599942676826E-2</v>
      </c>
      <c r="DF435" s="998">
        <f t="shared" si="834"/>
        <v>-1.1997043789996442E-2</v>
      </c>
    </row>
    <row r="436" spans="1:116" s="308" customFormat="1" ht="11.25" customHeight="1">
      <c r="A436" s="82"/>
      <c r="B436"/>
      <c r="C436"/>
      <c r="D436"/>
      <c r="E436"/>
      <c r="F436"/>
      <c r="G436"/>
      <c r="H436" s="1044"/>
      <c r="I436" s="311"/>
      <c r="J436" s="312"/>
      <c r="K436" s="312"/>
      <c r="L436" s="307"/>
      <c r="M436" s="336"/>
      <c r="N436" s="336"/>
      <c r="O436" s="336"/>
      <c r="P436" s="337"/>
      <c r="Q436" s="336"/>
      <c r="R436" s="336"/>
      <c r="S436" s="336"/>
      <c r="T436" s="337"/>
      <c r="U436" s="393"/>
      <c r="V436" s="393"/>
      <c r="W436" s="393"/>
      <c r="X436" s="472"/>
      <c r="Y436" s="393"/>
      <c r="Z436" s="393"/>
      <c r="AA436" s="393"/>
      <c r="AB436" s="472"/>
      <c r="AC436" s="393"/>
      <c r="AD436" s="393"/>
      <c r="AE436" s="393"/>
      <c r="AF436" s="472"/>
      <c r="AG436" s="393"/>
      <c r="AH436" s="393"/>
      <c r="AI436" s="393"/>
      <c r="AJ436" s="472"/>
      <c r="AK436" s="393"/>
      <c r="AL436" s="393"/>
      <c r="AM436" s="393"/>
      <c r="AN436" s="472"/>
      <c r="AO436" s="393"/>
      <c r="AP436" s="393"/>
      <c r="AQ436" s="393"/>
      <c r="AR436" s="472"/>
      <c r="AS436" s="393"/>
      <c r="AT436" s="393"/>
      <c r="AU436" s="393"/>
      <c r="AV436" s="472"/>
      <c r="AW436" s="393"/>
      <c r="AX436" s="393"/>
      <c r="AY436" s="393"/>
      <c r="AZ436" s="472"/>
      <c r="BA436" s="391"/>
      <c r="BB436" s="391"/>
      <c r="BC436" s="391"/>
      <c r="BD436" s="392"/>
      <c r="BE436" s="391"/>
      <c r="BF436" s="391"/>
      <c r="BG436" s="391"/>
      <c r="BH436" s="392"/>
      <c r="BI436" s="391"/>
      <c r="BJ436" s="391"/>
      <c r="BK436" s="391"/>
      <c r="BL436" s="392"/>
      <c r="BM436" s="391"/>
      <c r="BN436" s="391"/>
      <c r="BO436" s="1398"/>
      <c r="BP436" s="392"/>
      <c r="BQ436" s="391"/>
      <c r="BR436" s="391"/>
      <c r="BS436" s="391"/>
      <c r="BT436" s="392"/>
      <c r="BU436" s="391"/>
      <c r="BV436" s="391"/>
      <c r="BW436" s="391"/>
      <c r="BX436" s="392"/>
      <c r="BY436" s="391"/>
      <c r="BZ436" s="391"/>
      <c r="CA436" s="391"/>
      <c r="CB436" s="391"/>
      <c r="CC436" s="1405"/>
      <c r="CD436" s="391"/>
      <c r="CE436" s="391"/>
      <c r="CF436" s="392"/>
      <c r="CG436" s="337"/>
      <c r="CH436" s="367"/>
      <c r="CI436" s="336"/>
      <c r="CJ436" s="393"/>
      <c r="CK436" s="393"/>
      <c r="CL436" s="393"/>
      <c r="CM436" s="393"/>
      <c r="CN436" s="393"/>
      <c r="CO436" s="336"/>
      <c r="CP436" s="393"/>
      <c r="CQ436" s="393"/>
      <c r="CR436" s="336"/>
      <c r="CS436" s="375"/>
      <c r="CT436" s="393"/>
      <c r="CU436" s="393"/>
      <c r="CV436" s="393"/>
      <c r="CW436" s="393"/>
      <c r="CX436" s="393"/>
      <c r="CY436" s="393"/>
      <c r="CZ436" s="391"/>
      <c r="DA436" s="391"/>
      <c r="DB436" s="391"/>
      <c r="DC436" s="391"/>
      <c r="DD436" s="391"/>
      <c r="DE436" s="391"/>
      <c r="DF436" s="392"/>
    </row>
    <row r="437" spans="1:116" s="308" customFormat="1" ht="11.25" customHeight="1">
      <c r="A437" s="82"/>
      <c r="B437"/>
      <c r="C437"/>
      <c r="D437"/>
      <c r="E437"/>
      <c r="F437"/>
      <c r="G437"/>
      <c r="H437" s="1044"/>
      <c r="I437" s="1400" t="s">
        <v>629</v>
      </c>
      <c r="J437" s="312"/>
      <c r="K437" s="312"/>
      <c r="L437" s="307"/>
      <c r="M437" s="336"/>
      <c r="N437" s="336"/>
      <c r="O437" s="336"/>
      <c r="P437" s="337"/>
      <c r="Q437" s="336"/>
      <c r="R437" s="336"/>
      <c r="S437" s="336"/>
      <c r="T437" s="337"/>
      <c r="U437" s="393"/>
      <c r="V437" s="393"/>
      <c r="W437" s="393"/>
      <c r="X437" s="472"/>
      <c r="Y437" s="393"/>
      <c r="Z437" s="393"/>
      <c r="AA437" s="393"/>
      <c r="AB437" s="472"/>
      <c r="AC437" s="393"/>
      <c r="AD437" s="393"/>
      <c r="AE437" s="393"/>
      <c r="AF437" s="472"/>
      <c r="AG437" s="393"/>
      <c r="AH437" s="393"/>
      <c r="AI437" s="393"/>
      <c r="AJ437" s="472"/>
      <c r="AK437" s="1203">
        <f t="shared" ref="AK437:BI437" si="835">+AK39</f>
        <v>103.83900000000003</v>
      </c>
      <c r="AL437" s="517">
        <f t="shared" si="835"/>
        <v>154.89299999999994</v>
      </c>
      <c r="AM437" s="517">
        <f t="shared" si="835"/>
        <v>202.33099999999999</v>
      </c>
      <c r="AN437" s="601">
        <f t="shared" si="835"/>
        <v>160.15200000000002</v>
      </c>
      <c r="AO437" s="1203">
        <f t="shared" si="835"/>
        <v>181.10300000000001</v>
      </c>
      <c r="AP437" s="517">
        <f t="shared" si="835"/>
        <v>253.72500000000002</v>
      </c>
      <c r="AQ437" s="517">
        <f t="shared" si="835"/>
        <v>316.07800000000003</v>
      </c>
      <c r="AR437" s="601">
        <f t="shared" si="835"/>
        <v>205.065</v>
      </c>
      <c r="AS437" s="1203">
        <f t="shared" si="835"/>
        <v>208.32999999999998</v>
      </c>
      <c r="AT437" s="517">
        <f t="shared" si="835"/>
        <v>305.238</v>
      </c>
      <c r="AU437" s="517">
        <f t="shared" si="835"/>
        <v>434.00599999999997</v>
      </c>
      <c r="AV437" s="601">
        <f t="shared" si="835"/>
        <v>313.18900000000008</v>
      </c>
      <c r="AW437" s="1203">
        <f t="shared" si="835"/>
        <v>319.11599999999987</v>
      </c>
      <c r="AX437" s="517">
        <f t="shared" si="835"/>
        <v>446.18399999999991</v>
      </c>
      <c r="AY437" s="517">
        <f t="shared" si="835"/>
        <v>668.20799999999986</v>
      </c>
      <c r="AZ437" s="601">
        <f t="shared" si="835"/>
        <v>480.16600000000005</v>
      </c>
      <c r="BA437" s="1203">
        <f t="shared" si="835"/>
        <v>505.80800000000005</v>
      </c>
      <c r="BB437" s="517">
        <f t="shared" si="835"/>
        <v>749.22700000000009</v>
      </c>
      <c r="BC437" s="517">
        <f t="shared" si="835"/>
        <v>1100.1480000000001</v>
      </c>
      <c r="BD437" s="601">
        <f t="shared" si="835"/>
        <v>724.697</v>
      </c>
      <c r="BE437" s="1203">
        <f t="shared" si="835"/>
        <v>743.28800000000001</v>
      </c>
      <c r="BF437" s="517">
        <f t="shared" si="835"/>
        <v>1004.1420000000001</v>
      </c>
      <c r="BG437" s="517">
        <f t="shared" si="835"/>
        <v>1396.501</v>
      </c>
      <c r="BH437" s="601">
        <f t="shared" si="835"/>
        <v>939.75000000000011</v>
      </c>
      <c r="BI437" s="1203">
        <f t="shared" si="835"/>
        <v>1009.665</v>
      </c>
      <c r="BJ437" s="517">
        <f>+BJ39-BJ312</f>
        <v>1355.739024</v>
      </c>
      <c r="BK437" s="517">
        <f>+BK39-BK312</f>
        <v>1926.2224549999999</v>
      </c>
      <c r="BL437" s="601">
        <f>+BL39-BL312</f>
        <v>1282.5545</v>
      </c>
      <c r="BM437" s="1203">
        <f>+BM39-BM312</f>
        <v>1340.8427750000003</v>
      </c>
      <c r="BN437" s="517">
        <f>+BN39-BN312</f>
        <v>1816.0552104999999</v>
      </c>
      <c r="BO437" s="517">
        <f t="shared" ref="BO437:CF437" si="836">+BO39-BO324-BO312</f>
        <v>2506.5090732500003</v>
      </c>
      <c r="BP437" s="601">
        <f t="shared" si="836"/>
        <v>1557.3265249999999</v>
      </c>
      <c r="BQ437" s="1203">
        <f t="shared" si="836"/>
        <v>1538.132388</v>
      </c>
      <c r="BR437" s="517">
        <f t="shared" si="836"/>
        <v>1955.7323157599999</v>
      </c>
      <c r="BS437" s="517">
        <f t="shared" si="836"/>
        <v>2801.5408020399996</v>
      </c>
      <c r="BT437" s="601">
        <f t="shared" si="836"/>
        <v>1741.3215079999998</v>
      </c>
      <c r="BU437" s="1203">
        <f t="shared" si="836"/>
        <v>1869.0011351599996</v>
      </c>
      <c r="BV437" s="517">
        <f t="shared" si="836"/>
        <v>2274.9961578632001</v>
      </c>
      <c r="BW437" s="517">
        <f t="shared" si="836"/>
        <v>3428.2559181828001</v>
      </c>
      <c r="BX437" s="601">
        <f t="shared" si="836"/>
        <v>2123.1242035599998</v>
      </c>
      <c r="BY437" s="1203">
        <f t="shared" si="836"/>
        <v>2171.2376919180001</v>
      </c>
      <c r="BZ437" s="517">
        <f t="shared" si="836"/>
        <v>2784.0290657563596</v>
      </c>
      <c r="CA437" s="517">
        <f t="shared" si="836"/>
        <v>4200.5115640919394</v>
      </c>
      <c r="CB437" s="601">
        <f t="shared" si="836"/>
        <v>2603.2133637379998</v>
      </c>
      <c r="CC437" s="1203">
        <f t="shared" si="836"/>
        <v>2622.3147896612127</v>
      </c>
      <c r="CD437" s="517">
        <f t="shared" si="836"/>
        <v>3381.8349539302949</v>
      </c>
      <c r="CE437" s="517">
        <f t="shared" si="836"/>
        <v>4817.5122505569525</v>
      </c>
      <c r="CF437" s="601">
        <f t="shared" si="836"/>
        <v>3198.0596148848317</v>
      </c>
      <c r="CG437" s="337"/>
      <c r="CH437" s="367"/>
      <c r="CI437" s="336"/>
      <c r="CJ437" s="393"/>
      <c r="CK437" s="393"/>
      <c r="CL437" s="393"/>
      <c r="CM437" s="393"/>
      <c r="CN437" s="517">
        <f t="shared" ref="CN437:CS437" si="837">+CN39</f>
        <v>621.21499999999969</v>
      </c>
      <c r="CO437" s="517">
        <f t="shared" si="837"/>
        <v>955.97100000000012</v>
      </c>
      <c r="CP437" s="517">
        <f t="shared" si="837"/>
        <v>1260.7629999999999</v>
      </c>
      <c r="CQ437" s="517">
        <f t="shared" si="837"/>
        <v>1913.6739999999998</v>
      </c>
      <c r="CR437" s="517">
        <f t="shared" si="837"/>
        <v>3079.8800000000006</v>
      </c>
      <c r="CS437" s="517">
        <f t="shared" si="837"/>
        <v>4083.6810000000009</v>
      </c>
      <c r="CT437" s="517">
        <f>+CT39-CT312</f>
        <v>5574.1809790000007</v>
      </c>
      <c r="CU437" s="517">
        <f t="shared" ref="CU437:DF437" si="838">+CU39-CU324-CU312</f>
        <v>7220.7335837499995</v>
      </c>
      <c r="CV437" s="517">
        <f t="shared" si="838"/>
        <v>8036.7270137999994</v>
      </c>
      <c r="CW437" s="517">
        <f t="shared" si="838"/>
        <v>9695.3774147659988</v>
      </c>
      <c r="CX437" s="517">
        <f t="shared" si="838"/>
        <v>11758.991685504297</v>
      </c>
      <c r="CY437" s="517">
        <f t="shared" si="838"/>
        <v>14019.721609033291</v>
      </c>
      <c r="CZ437" s="517">
        <f t="shared" si="838"/>
        <v>16019.972777621497</v>
      </c>
      <c r="DA437" s="517">
        <f t="shared" si="838"/>
        <v>18001.64423030346</v>
      </c>
      <c r="DB437" s="517">
        <f t="shared" si="838"/>
        <v>19902.876247349792</v>
      </c>
      <c r="DC437" s="517">
        <f t="shared" si="838"/>
        <v>21752.543403981581</v>
      </c>
      <c r="DD437" s="517">
        <f t="shared" si="838"/>
        <v>23570.147492065516</v>
      </c>
      <c r="DE437" s="517">
        <f t="shared" si="838"/>
        <v>25338.920266873909</v>
      </c>
      <c r="DF437" s="601">
        <f t="shared" si="838"/>
        <v>27245.911412234567</v>
      </c>
      <c r="DJ437" s="517"/>
      <c r="DK437" s="517"/>
      <c r="DL437" s="517"/>
    </row>
    <row r="438" spans="1:116" s="308" customFormat="1" ht="11.25" customHeight="1">
      <c r="A438" s="82"/>
      <c r="B438"/>
      <c r="C438"/>
      <c r="D438"/>
      <c r="E438"/>
      <c r="F438"/>
      <c r="G438"/>
      <c r="H438" s="1044"/>
      <c r="I438" s="164" t="s">
        <v>376</v>
      </c>
      <c r="J438" s="312"/>
      <c r="K438" s="312"/>
      <c r="L438" s="307"/>
      <c r="M438" s="336"/>
      <c r="N438" s="336"/>
      <c r="O438" s="336"/>
      <c r="P438" s="337"/>
      <c r="Q438" s="336"/>
      <c r="R438" s="336"/>
      <c r="S438" s="336"/>
      <c r="T438" s="337"/>
      <c r="U438" s="393"/>
      <c r="V438" s="393"/>
      <c r="W438" s="393"/>
      <c r="X438" s="472"/>
      <c r="Y438" s="393"/>
      <c r="Z438" s="393"/>
      <c r="AA438" s="393"/>
      <c r="AB438" s="472"/>
      <c r="AC438" s="393"/>
      <c r="AD438" s="393"/>
      <c r="AE438" s="393"/>
      <c r="AF438" s="472"/>
      <c r="AG438" s="393"/>
      <c r="AH438" s="393"/>
      <c r="AI438" s="393"/>
      <c r="AJ438" s="472"/>
      <c r="AN438" s="998"/>
      <c r="AO438" s="997">
        <f t="shared" ref="AO438:CF438" si="839">+AO437/AK437-1</f>
        <v>0.74407496220109937</v>
      </c>
      <c r="AP438" s="997">
        <f t="shared" si="839"/>
        <v>0.63806627801127314</v>
      </c>
      <c r="AQ438" s="997">
        <f t="shared" si="839"/>
        <v>0.56218275993298139</v>
      </c>
      <c r="AR438" s="998">
        <f t="shared" si="839"/>
        <v>0.28043983215944834</v>
      </c>
      <c r="AS438" s="997">
        <f t="shared" si="839"/>
        <v>0.15033986184657344</v>
      </c>
      <c r="AT438" s="997">
        <f t="shared" si="839"/>
        <v>0.20302689920189176</v>
      </c>
      <c r="AU438" s="997">
        <f t="shared" si="839"/>
        <v>0.37309777966198188</v>
      </c>
      <c r="AV438" s="998">
        <f t="shared" si="839"/>
        <v>0.52726696413332408</v>
      </c>
      <c r="AW438" s="997">
        <f t="shared" si="839"/>
        <v>0.53178130850093552</v>
      </c>
      <c r="AX438" s="997">
        <f t="shared" si="839"/>
        <v>0.46175771037682045</v>
      </c>
      <c r="AY438" s="997">
        <f t="shared" si="839"/>
        <v>0.53962848439883304</v>
      </c>
      <c r="AZ438" s="998">
        <f t="shared" si="839"/>
        <v>0.53315090887610972</v>
      </c>
      <c r="BA438" s="997">
        <f t="shared" si="839"/>
        <v>0.5850286416224828</v>
      </c>
      <c r="BB438" s="997">
        <f t="shared" si="839"/>
        <v>0.67918840657665958</v>
      </c>
      <c r="BC438" s="997">
        <f t="shared" si="839"/>
        <v>0.64641548739314758</v>
      </c>
      <c r="BD438" s="998">
        <f t="shared" si="839"/>
        <v>0.50926346305236092</v>
      </c>
      <c r="BE438" s="997">
        <f t="shared" si="839"/>
        <v>0.46950621579729845</v>
      </c>
      <c r="BF438" s="997">
        <f t="shared" si="839"/>
        <v>0.34023733794964661</v>
      </c>
      <c r="BG438" s="997">
        <f t="shared" si="839"/>
        <v>0.26937557492264652</v>
      </c>
      <c r="BH438" s="998">
        <f t="shared" si="839"/>
        <v>0.29674884813929148</v>
      </c>
      <c r="BI438" s="997">
        <f t="shared" si="839"/>
        <v>0.35837656466941481</v>
      </c>
      <c r="BJ438" s="997">
        <f t="shared" si="839"/>
        <v>0.35014671630108074</v>
      </c>
      <c r="BK438" s="997">
        <f t="shared" si="839"/>
        <v>0.37932049815932811</v>
      </c>
      <c r="BL438" s="998">
        <f t="shared" si="839"/>
        <v>0.3647826549614257</v>
      </c>
      <c r="BM438" s="997">
        <f t="shared" si="839"/>
        <v>0.32800758172265088</v>
      </c>
      <c r="BN438" s="997">
        <f t="shared" si="839"/>
        <v>0.33953156053727351</v>
      </c>
      <c r="BO438" s="997">
        <f t="shared" si="839"/>
        <v>0.30125628363625334</v>
      </c>
      <c r="BP438" s="998">
        <f t="shared" si="839"/>
        <v>0.21423808890772289</v>
      </c>
      <c r="BQ438" s="997">
        <f>+BQ437/BM437-1</f>
        <v>0.14713851368591646</v>
      </c>
      <c r="BR438" s="997">
        <f t="shared" si="839"/>
        <v>7.6912367230038026E-2</v>
      </c>
      <c r="BS438" s="997">
        <f t="shared" si="839"/>
        <v>0.11770622813164366</v>
      </c>
      <c r="BT438" s="998">
        <f t="shared" si="839"/>
        <v>0.11814797991705683</v>
      </c>
      <c r="BU438" s="997">
        <f>+BU437/BQ437-1</f>
        <v>0.21511070811675781</v>
      </c>
      <c r="BV438" s="997">
        <f>+BV437/BR437-1</f>
        <v>0.16324516373250897</v>
      </c>
      <c r="BW438" s="997">
        <f>+BW437/BS437-1</f>
        <v>0.22370372606618649</v>
      </c>
      <c r="BX438" s="998">
        <f t="shared" si="839"/>
        <v>0.219260311094716</v>
      </c>
      <c r="BY438" s="997">
        <f t="shared" si="839"/>
        <v>0.16171020502463573</v>
      </c>
      <c r="BZ438" s="997">
        <f t="shared" si="839"/>
        <v>0.22375110662660225</v>
      </c>
      <c r="CA438" s="997">
        <f t="shared" si="839"/>
        <v>0.22526195953261419</v>
      </c>
      <c r="CB438" s="998">
        <f t="shared" si="839"/>
        <v>0.22612391652499597</v>
      </c>
      <c r="CC438" s="997">
        <f t="shared" si="839"/>
        <v>0.20775113633217468</v>
      </c>
      <c r="CD438" s="997">
        <f t="shared" si="839"/>
        <v>0.2147268846891599</v>
      </c>
      <c r="CE438" s="997">
        <f t="shared" si="839"/>
        <v>0.14688703436491912</v>
      </c>
      <c r="CF438" s="998">
        <f t="shared" si="839"/>
        <v>0.22850460873967005</v>
      </c>
      <c r="CG438" s="337"/>
      <c r="CH438" s="367"/>
      <c r="CI438" s="336"/>
      <c r="CJ438" s="393"/>
      <c r="CK438" s="393"/>
      <c r="CL438" s="393"/>
      <c r="CM438" s="393"/>
      <c r="CN438" s="393"/>
      <c r="CO438" s="997">
        <f t="shared" ref="CO438:CX438" si="840">+CO437/CN437-1</f>
        <v>0.53887301497871198</v>
      </c>
      <c r="CP438" s="997">
        <f t="shared" si="840"/>
        <v>0.31882975529592406</v>
      </c>
      <c r="CQ438" s="997">
        <f t="shared" si="840"/>
        <v>0.51786973443858986</v>
      </c>
      <c r="CR438" s="997">
        <f t="shared" si="840"/>
        <v>0.60940682686810876</v>
      </c>
      <c r="CS438" s="997">
        <f t="shared" si="840"/>
        <v>0.32592211384859149</v>
      </c>
      <c r="CT438" s="997">
        <f t="shared" si="840"/>
        <v>0.3649893267862987</v>
      </c>
      <c r="CU438" s="997">
        <f t="shared" si="840"/>
        <v>0.29538915420097966</v>
      </c>
      <c r="CV438" s="997">
        <f t="shared" si="840"/>
        <v>0.11300699860833574</v>
      </c>
      <c r="CW438" s="997">
        <f t="shared" si="840"/>
        <v>0.20638381745677092</v>
      </c>
      <c r="CX438" s="997">
        <f t="shared" si="840"/>
        <v>0.21284517172022888</v>
      </c>
      <c r="CY438" s="997">
        <f t="shared" ref="CY438:DF438" si="841">+CY437/CX437-1</f>
        <v>0.19225542325332801</v>
      </c>
      <c r="CZ438" s="997">
        <f t="shared" si="841"/>
        <v>0.14267410041147954</v>
      </c>
      <c r="DA438" s="997">
        <f t="shared" si="841"/>
        <v>0.12370005119173388</v>
      </c>
      <c r="DB438" s="997">
        <f t="shared" si="841"/>
        <v>0.10561435348476955</v>
      </c>
      <c r="DC438" s="997">
        <f t="shared" si="841"/>
        <v>9.2934666007285616E-2</v>
      </c>
      <c r="DD438" s="997">
        <f t="shared" si="841"/>
        <v>8.3558232907662733E-2</v>
      </c>
      <c r="DE438" s="997">
        <f t="shared" si="841"/>
        <v>7.5042923486321911E-2</v>
      </c>
      <c r="DF438" s="998">
        <f t="shared" si="841"/>
        <v>7.5259368800086879E-2</v>
      </c>
    </row>
    <row r="439" spans="1:116" s="308" customFormat="1" ht="11.25" customHeight="1">
      <c r="A439" s="82"/>
      <c r="B439"/>
      <c r="C439"/>
      <c r="D439"/>
      <c r="E439"/>
      <c r="F439"/>
      <c r="G439"/>
      <c r="H439" s="1044"/>
      <c r="I439" s="164" t="s">
        <v>519</v>
      </c>
      <c r="J439" s="312"/>
      <c r="K439" s="312"/>
      <c r="L439" s="307"/>
      <c r="M439" s="336"/>
      <c r="N439" s="336"/>
      <c r="O439" s="336"/>
      <c r="P439" s="337"/>
      <c r="Q439" s="336"/>
      <c r="R439" s="336"/>
      <c r="S439" s="336"/>
      <c r="T439" s="337"/>
      <c r="U439" s="393"/>
      <c r="V439" s="393"/>
      <c r="W439" s="393"/>
      <c r="X439" s="472"/>
      <c r="Y439" s="393"/>
      <c r="Z439" s="393"/>
      <c r="AA439" s="393"/>
      <c r="AB439" s="472"/>
      <c r="AC439" s="393"/>
      <c r="AD439" s="393"/>
      <c r="AE439" s="393"/>
      <c r="AF439" s="472"/>
      <c r="AG439" s="393"/>
      <c r="AH439" s="393"/>
      <c r="AI439" s="393"/>
      <c r="AJ439" s="472"/>
      <c r="AK439" s="1278">
        <f>FX!AK57</f>
        <v>8.3213882074507195E-2</v>
      </c>
      <c r="AL439" s="1186">
        <f>FX!AL57</f>
        <v>7.2842550230693123E-2</v>
      </c>
      <c r="AM439" s="1186">
        <f>FX!AM57</f>
        <v>6.5219877535805382E-2</v>
      </c>
      <c r="AN439" s="1187">
        <f>FX!AN57</f>
        <v>0.13027561856479319</v>
      </c>
      <c r="AO439" s="1278">
        <f>FX!AO57</f>
        <v>0.14556289454262397</v>
      </c>
      <c r="AP439" s="1186">
        <f>FX!AP57</f>
        <v>0.14268668573674295</v>
      </c>
      <c r="AQ439" s="1186">
        <f>FX!AQ57</f>
        <v>8.5046663822106003E-2</v>
      </c>
      <c r="AR439" s="1187">
        <f>FX!AR57</f>
        <v>-5.9157470816737681E-2</v>
      </c>
      <c r="AS439" s="1278">
        <f>FX!AS57</f>
        <v>-0.10241134194793704</v>
      </c>
      <c r="AT439" s="1186">
        <f>FX!AT57</f>
        <v>-0.10760533056400479</v>
      </c>
      <c r="AU439" s="1186">
        <f>FX!AU57</f>
        <v>-6.7520668247712162E-2</v>
      </c>
      <c r="AV439" s="1187">
        <f>FX!AV57</f>
        <v>7.2484674391877987E-2</v>
      </c>
      <c r="AW439" s="1278">
        <f>FX!AW57</f>
        <v>5.3447696468529225E-2</v>
      </c>
      <c r="AX439" s="1186">
        <f>FX!AX57</f>
        <v>-5.0362897248835241E-2</v>
      </c>
      <c r="AY439" s="1186">
        <f>FX!AY57</f>
        <v>-7.6837267471436863E-2</v>
      </c>
      <c r="AZ439" s="1187">
        <f>FX!AZ57</f>
        <v>-4.4548648462389893E-2</v>
      </c>
      <c r="BA439" s="1278">
        <f>FX!BA57</f>
        <v>6.8726890420110417E-3</v>
      </c>
      <c r="BB439" s="1186">
        <f>FX!BB57</f>
        <v>0.15242329247989281</v>
      </c>
      <c r="BC439" s="1186">
        <f>FX!BC57</f>
        <v>9.1925676310123675E-2</v>
      </c>
      <c r="BD439" s="1187">
        <f>FX!BD57</f>
        <v>-1.0638302973914854E-2</v>
      </c>
      <c r="BE439" s="1278">
        <f>FX!BE57</f>
        <v>-3.121276374103155E-2</v>
      </c>
      <c r="BF439" s="1186">
        <f>FX!BF57</f>
        <v>-9.0999151311805374E-2</v>
      </c>
      <c r="BG439" s="1186">
        <f>FX!BG57</f>
        <v>-8.9710887496926378E-2</v>
      </c>
      <c r="BH439" s="1187">
        <f>FX!BH57</f>
        <v>-1.8026788620613455E-2</v>
      </c>
      <c r="BI439" s="1278">
        <f>FX!BI57</f>
        <v>-1.8610062416968608E-3</v>
      </c>
      <c r="BJ439" s="1186">
        <f>FX!BJ57</f>
        <v>1.1568525934735942E-3</v>
      </c>
      <c r="BK439" s="1186">
        <f>FX!BK57</f>
        <v>6.8590395389214456E-3</v>
      </c>
      <c r="BL439" s="1187">
        <f>FX!BL57</f>
        <v>-6.718920491309008E-3</v>
      </c>
      <c r="BM439" s="1278">
        <f>FX!BM57</f>
        <v>-1.0861790354907782E-2</v>
      </c>
      <c r="BN439" s="1186">
        <f>FX!BN57</f>
        <v>1.0093537506192272E-2</v>
      </c>
      <c r="BO439" s="1186">
        <f>FX!BO57</f>
        <v>-3.4541129487172186E-3</v>
      </c>
      <c r="BP439" s="1187">
        <f>FX!BP57</f>
        <v>-6.9187885937255583E-2</v>
      </c>
      <c r="BQ439" s="1278">
        <f>FX!BQ57</f>
        <v>-0.13419990358599074</v>
      </c>
      <c r="BR439" s="1186">
        <f>FX!BR57</f>
        <v>-0.15691277407447077</v>
      </c>
      <c r="BS439" s="1186">
        <f>FX!BS57</f>
        <v>-0.1481289306907799</v>
      </c>
      <c r="BT439" s="1187">
        <f>FX!BT57</f>
        <v>-0.11702003321870257</v>
      </c>
      <c r="BU439" s="1278">
        <f>FX!BU57</f>
        <v>-5.1070780399274041E-2</v>
      </c>
      <c r="BV439" s="1186">
        <f>FX!BV57</f>
        <v>-1.6592040122384629E-2</v>
      </c>
      <c r="BW439" s="1186">
        <f>FX!BW57</f>
        <v>-1.1146367651723312E-2</v>
      </c>
      <c r="BX439" s="1187">
        <f>FX!BX57</f>
        <v>-2.3207461135675754E-2</v>
      </c>
      <c r="BY439" s="1278">
        <f>FX!BY57</f>
        <v>-2.9401893107762436E-2</v>
      </c>
      <c r="BZ439" s="1186">
        <f>FX!BZ57</f>
        <v>-2.6971936117361522E-2</v>
      </c>
      <c r="CA439" s="1186">
        <f>FX!CA57</f>
        <v>1.9660360220411274E-2</v>
      </c>
      <c r="CB439" s="1187">
        <f>FX!CB57</f>
        <v>5.2628085235402924E-2</v>
      </c>
      <c r="CC439" s="1278">
        <f>FX!CC57</f>
        <v>6.171233571310078E-2</v>
      </c>
      <c r="CD439" s="1186">
        <f>FX!CD57</f>
        <v>3.4986884159618183E-2</v>
      </c>
      <c r="CE439" s="1186">
        <f>FX!CE57</f>
        <v>-4.557675090678546E-3</v>
      </c>
      <c r="CF439" s="1187">
        <f>FX!CF57</f>
        <v>3.6821902121040105E-2</v>
      </c>
      <c r="CG439" s="337"/>
      <c r="CH439" s="367"/>
      <c r="CI439" s="336"/>
      <c r="CJ439" s="393"/>
      <c r="CK439" s="393"/>
      <c r="CL439" s="393"/>
      <c r="CM439" s="393"/>
      <c r="CN439" s="1186"/>
      <c r="CO439" s="1186">
        <f>FX!CO57</f>
        <v>3.2802420937837057E-3</v>
      </c>
      <c r="CP439" s="1186">
        <f>FX!CP57</f>
        <v>-5.8505127907454768E-2</v>
      </c>
      <c r="CQ439" s="1186">
        <f>FX!CQ57</f>
        <v>-2.3317772499692517E-2</v>
      </c>
      <c r="CR439" s="1186">
        <f>FX!CR57</f>
        <v>1.2390599810113089E-3</v>
      </c>
      <c r="CS439" s="1186">
        <f>FX!CS57</f>
        <v>-5.4851299737803866E-2</v>
      </c>
      <c r="CT439" s="1186">
        <f>FX!CT57</f>
        <v>-2.1106341786858104E-4</v>
      </c>
      <c r="CU439" s="1186">
        <f>FX!CU57</f>
        <v>-1.9592559987190242E-2</v>
      </c>
      <c r="CV439" s="1186">
        <f>FX!CV57</f>
        <v>-0.13896771583995177</v>
      </c>
      <c r="CW439" s="1186">
        <f>FX!CW57</f>
        <v>-2.5412829772573559E-2</v>
      </c>
      <c r="CX439" s="1186">
        <f>FX!CX57</f>
        <v>2.380801179736703E-2</v>
      </c>
      <c r="CY439" s="1186">
        <f>FX!CY57</f>
        <v>3.0660110734828074E-2</v>
      </c>
      <c r="CZ439" s="1186">
        <f>FX!CZ57</f>
        <v>1.800640704885353E-4</v>
      </c>
      <c r="DA439" s="1186">
        <f>FX!DA57</f>
        <v>0</v>
      </c>
      <c r="DB439" s="1186">
        <f>FX!DB57</f>
        <v>0</v>
      </c>
      <c r="DC439" s="1186">
        <f>FX!DC57</f>
        <v>0</v>
      </c>
      <c r="DD439" s="1186">
        <f>FX!DD57</f>
        <v>0</v>
      </c>
      <c r="DE439" s="1186">
        <f>FX!DE57</f>
        <v>0</v>
      </c>
      <c r="DF439" s="1187">
        <f>FX!DF57</f>
        <v>0</v>
      </c>
    </row>
    <row r="440" spans="1:116" s="308" customFormat="1" ht="11.25" customHeight="1">
      <c r="A440" s="82"/>
      <c r="B440"/>
      <c r="C440"/>
      <c r="D440"/>
      <c r="E440"/>
      <c r="F440"/>
      <c r="G440"/>
      <c r="H440" s="1044"/>
      <c r="I440" s="164" t="s">
        <v>493</v>
      </c>
      <c r="J440" s="312"/>
      <c r="K440" s="312"/>
      <c r="L440" s="307"/>
      <c r="M440" s="336"/>
      <c r="N440" s="336"/>
      <c r="O440" s="336"/>
      <c r="P440" s="337"/>
      <c r="Q440" s="336"/>
      <c r="R440" s="336"/>
      <c r="S440" s="336"/>
      <c r="T440" s="337"/>
      <c r="U440" s="393"/>
      <c r="V440" s="393"/>
      <c r="W440" s="393"/>
      <c r="X440" s="472"/>
      <c r="Y440" s="393"/>
      <c r="Z440" s="393"/>
      <c r="AA440" s="393"/>
      <c r="AB440" s="472"/>
      <c r="AC440" s="393"/>
      <c r="AD440" s="393"/>
      <c r="AE440" s="393"/>
      <c r="AF440" s="472"/>
      <c r="AG440" s="393"/>
      <c r="AH440" s="393"/>
      <c r="AI440" s="393"/>
      <c r="AJ440" s="472"/>
      <c r="AK440" s="393"/>
      <c r="AL440" s="393"/>
      <c r="AM440" s="393"/>
      <c r="AN440" s="472"/>
      <c r="AO440" s="997">
        <f t="shared" ref="AO440:AZ440" si="842">+AO438-AO439</f>
        <v>0.59851206765847542</v>
      </c>
      <c r="AP440" s="997">
        <f t="shared" si="842"/>
        <v>0.49537959227453021</v>
      </c>
      <c r="AQ440" s="997">
        <f t="shared" si="842"/>
        <v>0.47713609611087537</v>
      </c>
      <c r="AR440" s="998">
        <f t="shared" si="842"/>
        <v>0.33959730297618601</v>
      </c>
      <c r="AS440" s="997">
        <f t="shared" si="842"/>
        <v>0.25275120379451049</v>
      </c>
      <c r="AT440" s="997">
        <f t="shared" si="842"/>
        <v>0.31063222976589655</v>
      </c>
      <c r="AU440" s="997">
        <f t="shared" si="842"/>
        <v>0.44061844790969407</v>
      </c>
      <c r="AV440" s="998">
        <f t="shared" si="842"/>
        <v>0.45478228974144608</v>
      </c>
      <c r="AW440" s="997">
        <f t="shared" si="842"/>
        <v>0.47833361203240632</v>
      </c>
      <c r="AX440" s="997">
        <f t="shared" si="842"/>
        <v>0.5121206076256557</v>
      </c>
      <c r="AY440" s="997">
        <f t="shared" si="842"/>
        <v>0.61646575187026986</v>
      </c>
      <c r="AZ440" s="998">
        <f t="shared" si="842"/>
        <v>0.57769955733849965</v>
      </c>
      <c r="BA440" s="997">
        <f t="shared" ref="BA440:CF440" si="843">+BA438-BA439</f>
        <v>0.57815595258047181</v>
      </c>
      <c r="BB440" s="997">
        <f t="shared" si="843"/>
        <v>0.52676511409676674</v>
      </c>
      <c r="BC440" s="997">
        <f t="shared" si="843"/>
        <v>0.55448981108302386</v>
      </c>
      <c r="BD440" s="998">
        <f t="shared" si="843"/>
        <v>0.5199017660262758</v>
      </c>
      <c r="BE440" s="997">
        <f t="shared" si="843"/>
        <v>0.50071897953833</v>
      </c>
      <c r="BF440" s="997">
        <f t="shared" si="843"/>
        <v>0.43123648926145197</v>
      </c>
      <c r="BG440" s="997">
        <f t="shared" si="843"/>
        <v>0.35908646241957287</v>
      </c>
      <c r="BH440" s="998">
        <f t="shared" si="843"/>
        <v>0.31477563675990494</v>
      </c>
      <c r="BI440" s="997">
        <f t="shared" si="843"/>
        <v>0.36023757091111169</v>
      </c>
      <c r="BJ440" s="997">
        <f t="shared" si="843"/>
        <v>0.34898986370760715</v>
      </c>
      <c r="BK440" s="997">
        <f t="shared" si="843"/>
        <v>0.37246145862040669</v>
      </c>
      <c r="BL440" s="998">
        <f t="shared" si="843"/>
        <v>0.37150157545273471</v>
      </c>
      <c r="BM440" s="997">
        <f t="shared" si="843"/>
        <v>0.33886937207755868</v>
      </c>
      <c r="BN440" s="997">
        <f t="shared" si="843"/>
        <v>0.32943802303108122</v>
      </c>
      <c r="BO440" s="997">
        <f t="shared" si="843"/>
        <v>0.30471039658497057</v>
      </c>
      <c r="BP440" s="998">
        <f t="shared" si="843"/>
        <v>0.28342597484497845</v>
      </c>
      <c r="BQ440" s="997">
        <f t="shared" si="843"/>
        <v>0.28133841727190723</v>
      </c>
      <c r="BR440" s="997">
        <f t="shared" ref="BR440:BW440" si="844">+BR438-BR439</f>
        <v>0.23382514130450879</v>
      </c>
      <c r="BS440" s="997">
        <f t="shared" si="844"/>
        <v>0.26583515882242359</v>
      </c>
      <c r="BT440" s="998">
        <f t="shared" si="844"/>
        <v>0.23516801313575941</v>
      </c>
      <c r="BU440" s="997">
        <f t="shared" si="844"/>
        <v>0.26618148851603185</v>
      </c>
      <c r="BV440" s="997">
        <f t="shared" si="844"/>
        <v>0.1798372038548936</v>
      </c>
      <c r="BW440" s="997">
        <f t="shared" si="844"/>
        <v>0.2348500937179098</v>
      </c>
      <c r="BX440" s="998">
        <f t="shared" si="843"/>
        <v>0.24246777223039176</v>
      </c>
      <c r="BY440" s="997">
        <f t="shared" si="843"/>
        <v>0.19111209813239816</v>
      </c>
      <c r="BZ440" s="997">
        <f t="shared" si="843"/>
        <v>0.25072304274396379</v>
      </c>
      <c r="CA440" s="997">
        <f t="shared" si="843"/>
        <v>0.2056015993122029</v>
      </c>
      <c r="CB440" s="998">
        <f t="shared" si="843"/>
        <v>0.17349583128959306</v>
      </c>
      <c r="CC440" s="997">
        <f t="shared" si="843"/>
        <v>0.1460388006190739</v>
      </c>
      <c r="CD440" s="997">
        <f t="shared" si="843"/>
        <v>0.17974000052954173</v>
      </c>
      <c r="CE440" s="997">
        <f t="shared" si="843"/>
        <v>0.15144470945559768</v>
      </c>
      <c r="CF440" s="998">
        <f t="shared" si="843"/>
        <v>0.19168270661862993</v>
      </c>
      <c r="CG440" s="337"/>
      <c r="CH440" s="367"/>
      <c r="CI440" s="336"/>
      <c r="CJ440" s="393"/>
      <c r="CK440" s="393"/>
      <c r="CL440" s="393"/>
      <c r="CM440" s="393"/>
      <c r="CN440" s="997"/>
      <c r="CO440" s="997">
        <f t="shared" ref="CO440:CX440" si="845">+CO438-CO439</f>
        <v>0.53559277288492824</v>
      </c>
      <c r="CP440" s="997">
        <f t="shared" si="845"/>
        <v>0.37733488320337882</v>
      </c>
      <c r="CQ440" s="997">
        <f t="shared" si="845"/>
        <v>0.54118750693828233</v>
      </c>
      <c r="CR440" s="997">
        <f t="shared" si="845"/>
        <v>0.60816776688709751</v>
      </c>
      <c r="CS440" s="997">
        <f t="shared" si="845"/>
        <v>0.38077341358639538</v>
      </c>
      <c r="CT440" s="997">
        <f t="shared" si="845"/>
        <v>0.36520039020416728</v>
      </c>
      <c r="CU440" s="997">
        <f>+CU438-CU439</f>
        <v>0.31498171418816989</v>
      </c>
      <c r="CV440" s="997">
        <f t="shared" si="845"/>
        <v>0.25197471444828751</v>
      </c>
      <c r="CW440" s="997">
        <f>+CW438-CW439</f>
        <v>0.23179664722934448</v>
      </c>
      <c r="CX440" s="997">
        <f t="shared" si="845"/>
        <v>0.18903715992286185</v>
      </c>
      <c r="CY440" s="997">
        <f t="shared" ref="CY440:DF440" si="846">+CY438-CY439</f>
        <v>0.16159531251849993</v>
      </c>
      <c r="CZ440" s="997">
        <f t="shared" si="846"/>
        <v>0.142494036340991</v>
      </c>
      <c r="DA440" s="997">
        <f t="shared" si="846"/>
        <v>0.12370005119173388</v>
      </c>
      <c r="DB440" s="997">
        <f t="shared" si="846"/>
        <v>0.10561435348476955</v>
      </c>
      <c r="DC440" s="997">
        <f t="shared" si="846"/>
        <v>9.2934666007285616E-2</v>
      </c>
      <c r="DD440" s="997">
        <f t="shared" si="846"/>
        <v>8.3558232907662733E-2</v>
      </c>
      <c r="DE440" s="997">
        <f t="shared" si="846"/>
        <v>7.5042923486321911E-2</v>
      </c>
      <c r="DF440" s="998">
        <f t="shared" si="846"/>
        <v>7.5259368800086879E-2</v>
      </c>
    </row>
    <row r="441" spans="1:116" s="308" customFormat="1" ht="11.25" customHeight="1">
      <c r="A441" s="82"/>
      <c r="B441"/>
      <c r="C441"/>
      <c r="D441"/>
      <c r="E441"/>
      <c r="F441"/>
      <c r="G441"/>
      <c r="H441" s="1044"/>
      <c r="I441" s="1400" t="s">
        <v>565</v>
      </c>
      <c r="J441" s="312"/>
      <c r="K441" s="312"/>
      <c r="L441" s="307"/>
      <c r="M441" s="336"/>
      <c r="N441" s="336"/>
      <c r="O441" s="336"/>
      <c r="P441" s="337"/>
      <c r="Q441" s="336"/>
      <c r="R441" s="336"/>
      <c r="S441" s="336"/>
      <c r="T441" s="337"/>
      <c r="U441" s="393"/>
      <c r="V441" s="393"/>
      <c r="W441" s="393"/>
      <c r="X441" s="472"/>
      <c r="Y441" s="393"/>
      <c r="Z441" s="393"/>
      <c r="AA441" s="393"/>
      <c r="AB441" s="472"/>
      <c r="AC441" s="393"/>
      <c r="AD441" s="393"/>
      <c r="AE441" s="393"/>
      <c r="AF441" s="472"/>
      <c r="AG441" s="393"/>
      <c r="AH441" s="393"/>
      <c r="AI441" s="393"/>
      <c r="AJ441" s="472"/>
      <c r="AK441" s="393"/>
      <c r="AL441" s="393"/>
      <c r="AM441" s="393"/>
      <c r="AN441" s="472"/>
      <c r="AO441" s="517">
        <f t="shared" ref="AO441:CF441" si="847">+AK437*(1+AO440)</f>
        <v>165.98789459358846</v>
      </c>
      <c r="AP441" s="517">
        <f t="shared" si="847"/>
        <v>231.62383118617871</v>
      </c>
      <c r="AQ441" s="517">
        <f t="shared" si="847"/>
        <v>298.87042346220954</v>
      </c>
      <c r="AR441" s="601">
        <f t="shared" si="847"/>
        <v>214.53918726624218</v>
      </c>
      <c r="AS441" s="517">
        <f t="shared" si="847"/>
        <v>226.87700126079724</v>
      </c>
      <c r="AT441" s="517">
        <f t="shared" si="847"/>
        <v>332.54016249735213</v>
      </c>
      <c r="AU441" s="517">
        <f t="shared" si="847"/>
        <v>455.34779777840026</v>
      </c>
      <c r="AV441" s="601">
        <f t="shared" si="847"/>
        <v>298.32493024582965</v>
      </c>
      <c r="AW441" s="517">
        <f t="shared" si="847"/>
        <v>307.98124139471116</v>
      </c>
      <c r="AX441" s="517">
        <f t="shared" si="847"/>
        <v>461.55667003043988</v>
      </c>
      <c r="AY441" s="517">
        <f t="shared" si="847"/>
        <v>701.55583510620829</v>
      </c>
      <c r="AZ441" s="601">
        <f t="shared" si="847"/>
        <v>494.11814666328752</v>
      </c>
      <c r="BA441" s="517">
        <f t="shared" si="847"/>
        <v>503.61481496366963</v>
      </c>
      <c r="BB441" s="517">
        <f t="shared" si="847"/>
        <v>681.21816566815164</v>
      </c>
      <c r="BC441" s="517">
        <f t="shared" si="847"/>
        <v>1038.722527684165</v>
      </c>
      <c r="BD441" s="601">
        <f t="shared" si="847"/>
        <v>729.80515138577277</v>
      </c>
      <c r="BE441" s="517">
        <f t="shared" si="847"/>
        <v>759.07566560232374</v>
      </c>
      <c r="BF441" s="517">
        <f t="shared" si="847"/>
        <v>1072.32102113989</v>
      </c>
      <c r="BG441" s="517">
        <f t="shared" si="847"/>
        <v>1495.1962534579684</v>
      </c>
      <c r="BH441" s="601">
        <f t="shared" si="847"/>
        <v>952.81395963299281</v>
      </c>
      <c r="BI441" s="517">
        <f t="shared" si="847"/>
        <v>1011.0482636073783</v>
      </c>
      <c r="BJ441" s="517">
        <f t="shared" si="847"/>
        <v>1354.5773797230843</v>
      </c>
      <c r="BK441" s="517">
        <f t="shared" si="847"/>
        <v>1916.6437994248565</v>
      </c>
      <c r="BL441" s="601">
        <f t="shared" si="847"/>
        <v>1288.8686055317075</v>
      </c>
      <c r="BM441" s="517">
        <f t="shared" si="847"/>
        <v>1351.8095445586882</v>
      </c>
      <c r="BN441" s="517">
        <f t="shared" si="847"/>
        <v>1802.3710078126473</v>
      </c>
      <c r="BO441" s="517">
        <f t="shared" si="847"/>
        <v>2513.1624631739255</v>
      </c>
      <c r="BP441" s="601">
        <f t="shared" si="847"/>
        <v>1646.0637594543136</v>
      </c>
      <c r="BQ441" s="517">
        <f>+BM437*(1+BQ440)</f>
        <v>1718.0733591289722</v>
      </c>
      <c r="BR441" s="517">
        <f>+BN437*(1+BR440)</f>
        <v>2240.6945767119519</v>
      </c>
      <c r="BS441" s="517">
        <f>+BO437*(1+BS440)</f>
        <v>3172.8273108272601</v>
      </c>
      <c r="BT441" s="601">
        <f t="shared" si="847"/>
        <v>1923.5599096878666</v>
      </c>
      <c r="BU441" s="517">
        <f>+BQ437*(1+BU440)</f>
        <v>1947.5547565725587</v>
      </c>
      <c r="BV441" s="517">
        <f>+BR437*(1+BV440)</f>
        <v>2307.4457469149343</v>
      </c>
      <c r="BW441" s="517">
        <f>+BS437*(1+BW440)</f>
        <v>3459.4829219536418</v>
      </c>
      <c r="BX441" s="601">
        <f t="shared" si="847"/>
        <v>2163.5358547816263</v>
      </c>
      <c r="BY441" s="517">
        <f t="shared" si="847"/>
        <v>2226.1898635122611</v>
      </c>
      <c r="BZ441" s="517">
        <f t="shared" si="847"/>
        <v>2845.3901167934887</v>
      </c>
      <c r="CA441" s="517">
        <f t="shared" si="847"/>
        <v>4133.1108178127088</v>
      </c>
      <c r="CB441" s="601">
        <f t="shared" si="847"/>
        <v>2491.4774021876974</v>
      </c>
      <c r="CC441" s="517">
        <f t="shared" si="847"/>
        <v>2488.322640304631</v>
      </c>
      <c r="CD441" s="517">
        <f t="shared" si="847"/>
        <v>3284.4304515096674</v>
      </c>
      <c r="CE441" s="517">
        <f t="shared" si="847"/>
        <v>4836.6568174807217</v>
      </c>
      <c r="CF441" s="601">
        <f t="shared" si="847"/>
        <v>3102.2043472050877</v>
      </c>
      <c r="CG441" s="337"/>
      <c r="CH441" s="367"/>
      <c r="CI441" s="336"/>
      <c r="CJ441" s="393"/>
      <c r="CK441" s="393"/>
      <c r="CL441" s="393"/>
      <c r="CM441" s="393"/>
      <c r="CN441" s="393"/>
      <c r="CO441" s="517">
        <f>+CN437*(1+CO440)</f>
        <v>953.93326440771034</v>
      </c>
      <c r="CP441" s="517">
        <f t="shared" ref="CP441:CX441" si="848">+CO437*(1+CP440)</f>
        <v>1316.6922056308174</v>
      </c>
      <c r="CQ441" s="517">
        <f t="shared" si="848"/>
        <v>1943.0721848100295</v>
      </c>
      <c r="CR441" s="517">
        <f t="shared" si="848"/>
        <v>3077.5088431298991</v>
      </c>
      <c r="CS441" s="517">
        <f t="shared" si="848"/>
        <v>4252.6164210364686</v>
      </c>
      <c r="CT441" s="517">
        <f t="shared" si="848"/>
        <v>5575.0428946693455</v>
      </c>
      <c r="CU441" s="517">
        <f>+CT437*(1+CU440)</f>
        <v>7329.9460589605123</v>
      </c>
      <c r="CV441" s="517">
        <f t="shared" si="848"/>
        <v>9040.1758666225651</v>
      </c>
      <c r="CW441" s="517">
        <f>+CV437*(1+CW440)</f>
        <v>9899.6133902963411</v>
      </c>
      <c r="CX441" s="517">
        <f t="shared" si="848"/>
        <v>11528.164025633623</v>
      </c>
      <c r="CY441" s="517">
        <f t="shared" ref="CY441:DF441" si="849">+CX437*(1+CY440)</f>
        <v>13659.189621825806</v>
      </c>
      <c r="CZ441" s="517">
        <f t="shared" si="849"/>
        <v>16017.448329481458</v>
      </c>
      <c r="DA441" s="517">
        <f t="shared" si="849"/>
        <v>18001.64423030346</v>
      </c>
      <c r="DB441" s="517">
        <f t="shared" si="849"/>
        <v>19902.876247349792</v>
      </c>
      <c r="DC441" s="517">
        <f t="shared" si="849"/>
        <v>21752.543403981585</v>
      </c>
      <c r="DD441" s="517">
        <f t="shared" si="849"/>
        <v>23570.147492065516</v>
      </c>
      <c r="DE441" s="517">
        <f t="shared" si="849"/>
        <v>25338.920266873913</v>
      </c>
      <c r="DF441" s="601">
        <f t="shared" si="849"/>
        <v>27245.911412234567</v>
      </c>
    </row>
    <row r="442" spans="1:116" s="308" customFormat="1" ht="11.25" customHeight="1">
      <c r="A442" s="82"/>
      <c r="B442"/>
      <c r="C442"/>
      <c r="D442"/>
      <c r="E442"/>
      <c r="F442"/>
      <c r="G442"/>
      <c r="H442" s="1044"/>
      <c r="I442" s="1034" t="s">
        <v>545</v>
      </c>
      <c r="J442" s="312"/>
      <c r="K442" s="312"/>
      <c r="L442" s="307"/>
      <c r="M442" s="336"/>
      <c r="N442" s="336"/>
      <c r="O442" s="336"/>
      <c r="P442" s="337"/>
      <c r="Q442" s="336"/>
      <c r="R442" s="336"/>
      <c r="S442" s="336"/>
      <c r="T442" s="337"/>
      <c r="U442" s="393"/>
      <c r="V442" s="393"/>
      <c r="W442" s="393"/>
      <c r="X442" s="472"/>
      <c r="Y442" s="393"/>
      <c r="Z442" s="393"/>
      <c r="AA442" s="393"/>
      <c r="AB442" s="472"/>
      <c r="AC442" s="393"/>
      <c r="AD442" s="393"/>
      <c r="AE442" s="393"/>
      <c r="AF442" s="472"/>
      <c r="AG442" s="393"/>
      <c r="AH442" s="393"/>
      <c r="AI442" s="393"/>
      <c r="AJ442" s="472"/>
      <c r="AK442" s="393"/>
      <c r="AL442" s="393"/>
      <c r="AM442" s="393"/>
      <c r="AN442" s="472"/>
      <c r="AO442" s="1404">
        <f t="shared" ref="AO442:CF442" si="850">+AO441/AO414</f>
        <v>17.705375423316102</v>
      </c>
      <c r="AP442" s="1183">
        <f t="shared" si="850"/>
        <v>21.290911957549287</v>
      </c>
      <c r="AQ442" s="1183">
        <f t="shared" si="850"/>
        <v>26.138746148522788</v>
      </c>
      <c r="AR442" s="1184">
        <f t="shared" si="850"/>
        <v>23.508567528626145</v>
      </c>
      <c r="AS442" s="1404">
        <f t="shared" si="850"/>
        <v>17.745561303151916</v>
      </c>
      <c r="AT442" s="1183">
        <f t="shared" si="850"/>
        <v>21.228226140909808</v>
      </c>
      <c r="AU442" s="1183">
        <f t="shared" si="850"/>
        <v>25.482556258234947</v>
      </c>
      <c r="AV442" s="1184">
        <f t="shared" si="850"/>
        <v>20.44301584635302</v>
      </c>
      <c r="AW442" s="1404">
        <f t="shared" si="850"/>
        <v>15.366791806940981</v>
      </c>
      <c r="AX442" s="1183">
        <f t="shared" si="850"/>
        <v>19.894684053036201</v>
      </c>
      <c r="AY442" s="1183">
        <f t="shared" si="850"/>
        <v>25.511121276589392</v>
      </c>
      <c r="AZ442" s="1184">
        <f t="shared" si="850"/>
        <v>22.459915757422159</v>
      </c>
      <c r="BA442" s="1404">
        <f t="shared" si="850"/>
        <v>16.141500479604797</v>
      </c>
      <c r="BB442" s="1183">
        <f t="shared" si="850"/>
        <v>18.870309298286749</v>
      </c>
      <c r="BC442" s="1183">
        <f t="shared" si="850"/>
        <v>25.584298711432634</v>
      </c>
      <c r="BD442" s="1184">
        <f t="shared" si="850"/>
        <v>21.720391410290855</v>
      </c>
      <c r="BE442" s="1404">
        <f t="shared" si="850"/>
        <v>16.537596200486355</v>
      </c>
      <c r="BF442" s="1183">
        <f t="shared" si="850"/>
        <v>21.360976516730876</v>
      </c>
      <c r="BG442" s="1183">
        <f t="shared" si="850"/>
        <v>27.086888649600876</v>
      </c>
      <c r="BH442" s="1184">
        <f t="shared" si="850"/>
        <v>20.623678779934909</v>
      </c>
      <c r="BI442" s="1404">
        <f t="shared" si="850"/>
        <v>15.997599107711682</v>
      </c>
      <c r="BJ442" s="1183">
        <f t="shared" si="850"/>
        <v>19.518406047883058</v>
      </c>
      <c r="BK442" s="1183">
        <f t="shared" si="850"/>
        <v>25.623580206214662</v>
      </c>
      <c r="BL442" s="1184">
        <f t="shared" si="850"/>
        <v>20.425809913339265</v>
      </c>
      <c r="BM442" s="1404">
        <f t="shared" si="850"/>
        <v>16.208747536674917</v>
      </c>
      <c r="BN442" s="1183">
        <f t="shared" si="850"/>
        <v>20.115747855051868</v>
      </c>
      <c r="BO442" s="1183">
        <f t="shared" si="850"/>
        <v>26.510152565125797</v>
      </c>
      <c r="BP442" s="1184">
        <f t="shared" si="850"/>
        <v>21.049408688674088</v>
      </c>
      <c r="BQ442" s="1404">
        <f t="shared" ref="BQ442:BV442" si="851">+BQ441/BQ414</f>
        <v>16.425175517485396</v>
      </c>
      <c r="BR442" s="1183">
        <f t="shared" si="851"/>
        <v>19.811623136268363</v>
      </c>
      <c r="BS442" s="1183">
        <f t="shared" si="851"/>
        <v>27.446603034837892</v>
      </c>
      <c r="BT442" s="1184">
        <f t="shared" si="851"/>
        <v>19.410291722380087</v>
      </c>
      <c r="BU442" s="1404">
        <f t="shared" si="851"/>
        <v>14.26780041445098</v>
      </c>
      <c r="BV442" s="1183">
        <f t="shared" si="851"/>
        <v>16.39975655234495</v>
      </c>
      <c r="BW442" s="1183">
        <f>+BW441/BW414</f>
        <v>23.124885841936109</v>
      </c>
      <c r="BX442" s="1184">
        <f t="shared" si="850"/>
        <v>16.681078294384168</v>
      </c>
      <c r="BY442" s="1404">
        <f t="shared" si="850"/>
        <v>12.80155183158287</v>
      </c>
      <c r="BZ442" s="1183">
        <f t="shared" si="850"/>
        <v>16.717920780220265</v>
      </c>
      <c r="CA442" s="1183">
        <f t="shared" si="850"/>
        <v>23.285131367958922</v>
      </c>
      <c r="CB442" s="1184">
        <f t="shared" si="850"/>
        <v>16.445395393978199</v>
      </c>
      <c r="CC442" s="1404">
        <f t="shared" si="850"/>
        <v>12.425634229484992</v>
      </c>
      <c r="CD442" s="1183">
        <f t="shared" si="850"/>
        <v>16.289192801285399</v>
      </c>
      <c r="CE442" s="1183">
        <f t="shared" si="850"/>
        <v>23.197505928471315</v>
      </c>
      <c r="CF442" s="1184">
        <f t="shared" si="850"/>
        <v>17.22821103791874</v>
      </c>
      <c r="CG442" s="337"/>
      <c r="CH442" s="367"/>
      <c r="CI442" s="336"/>
      <c r="CJ442" s="393"/>
      <c r="CK442" s="393"/>
      <c r="CL442" s="393"/>
      <c r="CM442" s="393"/>
      <c r="CN442" s="393"/>
      <c r="CO442" s="1183">
        <f t="shared" ref="CO442:CX442" si="852">+CO441/CO414</f>
        <v>23.37269722173054</v>
      </c>
      <c r="CP442" s="1183">
        <f t="shared" si="852"/>
        <v>21.616302298903623</v>
      </c>
      <c r="CQ442" s="1183">
        <f t="shared" si="852"/>
        <v>20.951372461344693</v>
      </c>
      <c r="CR442" s="1183">
        <f t="shared" si="852"/>
        <v>21.749179103391512</v>
      </c>
      <c r="CS442" s="1183">
        <f t="shared" si="852"/>
        <v>21.532235043222627</v>
      </c>
      <c r="CT442" s="1183">
        <f t="shared" si="852"/>
        <v>20.61014009119906</v>
      </c>
      <c r="CU442" s="1183">
        <f>+CU441/CU414</f>
        <v>21.184815199307838</v>
      </c>
      <c r="CV442" s="1183">
        <f>+CV441/CV414</f>
        <v>20.906974714668284</v>
      </c>
      <c r="CW442" s="1183">
        <f>+CW441/CW414</f>
        <v>17.7890626959503</v>
      </c>
      <c r="CX442" s="1183">
        <f t="shared" si="852"/>
        <v>17.126970770514966</v>
      </c>
      <c r="CY442" s="1183">
        <f t="shared" ref="CY442:DF442" si="853">+CY441/CY414</f>
        <v>17.280181486344731</v>
      </c>
      <c r="CZ442" s="1183">
        <f t="shared" si="853"/>
        <v>17.563147430486893</v>
      </c>
      <c r="DA442" s="1183">
        <f t="shared" si="853"/>
        <v>17.437271265184535</v>
      </c>
      <c r="DB442" s="1183">
        <f t="shared" si="853"/>
        <v>17.317025794082003</v>
      </c>
      <c r="DC442" s="1183">
        <f t="shared" si="853"/>
        <v>17.206550984933013</v>
      </c>
      <c r="DD442" s="1183">
        <f t="shared" si="853"/>
        <v>17.102666440867868</v>
      </c>
      <c r="DE442" s="1183">
        <f t="shared" si="853"/>
        <v>17.00405543378475</v>
      </c>
      <c r="DF442" s="1184">
        <f t="shared" si="853"/>
        <v>16.908803202656248</v>
      </c>
      <c r="DG442" s="1996">
        <f>+(CV442/CQ442)^(1/5)-1</f>
        <v>-4.2417677146533439E-4</v>
      </c>
      <c r="DH442" s="1997">
        <f>+(DA442/CV442)^(1/5)-1</f>
        <v>-3.5643824472978758E-2</v>
      </c>
    </row>
    <row r="443" spans="1:116" s="308" customFormat="1" ht="11.25" customHeight="1">
      <c r="A443" s="82"/>
      <c r="B443"/>
      <c r="C443"/>
      <c r="D443"/>
      <c r="E443"/>
      <c r="F443"/>
      <c r="G443"/>
      <c r="H443" s="1044"/>
      <c r="I443" s="164" t="s">
        <v>376</v>
      </c>
      <c r="J443" s="312"/>
      <c r="K443" s="312"/>
      <c r="L443" s="307"/>
      <c r="M443" s="336"/>
      <c r="N443" s="336"/>
      <c r="O443" s="336"/>
      <c r="P443" s="337"/>
      <c r="Q443" s="336"/>
      <c r="R443" s="336"/>
      <c r="S443" s="336"/>
      <c r="T443" s="337"/>
      <c r="U443" s="393"/>
      <c r="V443" s="393"/>
      <c r="W443" s="393"/>
      <c r="X443" s="472"/>
      <c r="Y443" s="393"/>
      <c r="Z443" s="393"/>
      <c r="AA443" s="393"/>
      <c r="AB443" s="472"/>
      <c r="AC443" s="393"/>
      <c r="AD443" s="393"/>
      <c r="AE443" s="393"/>
      <c r="AF443" s="472"/>
      <c r="AG443" s="393"/>
      <c r="AH443" s="393"/>
      <c r="AI443" s="393"/>
      <c r="AJ443" s="472"/>
      <c r="AK443" s="393"/>
      <c r="AL443" s="393"/>
      <c r="AM443" s="393"/>
      <c r="AN443" s="472"/>
      <c r="AO443" s="393"/>
      <c r="AP443" s="393"/>
      <c r="AQ443" s="393"/>
      <c r="AR443" s="472"/>
      <c r="AS443" s="1405">
        <f t="shared" ref="AS443:CF443" si="854">+AS442/AO442-1</f>
        <v>2.2696993921345054E-3</v>
      </c>
      <c r="AT443" s="391">
        <f t="shared" si="854"/>
        <v>-2.9442523065458248E-3</v>
      </c>
      <c r="AU443" s="391">
        <f t="shared" si="854"/>
        <v>-2.5104107387527663E-2</v>
      </c>
      <c r="AV443" s="392">
        <f t="shared" si="854"/>
        <v>-0.13040146655215101</v>
      </c>
      <c r="AW443" s="1405">
        <f t="shared" si="854"/>
        <v>-0.1340487040997923</v>
      </c>
      <c r="AX443" s="391">
        <f t="shared" si="854"/>
        <v>-6.2819289705213777E-2</v>
      </c>
      <c r="AY443" s="391">
        <f t="shared" si="854"/>
        <v>1.1209636138922452E-3</v>
      </c>
      <c r="AZ443" s="392">
        <f t="shared" si="854"/>
        <v>9.86596070867376E-2</v>
      </c>
      <c r="BA443" s="1405">
        <f t="shared" si="854"/>
        <v>5.0414470528187261E-2</v>
      </c>
      <c r="BB443" s="391">
        <f t="shared" si="854"/>
        <v>-5.1489872974037953E-2</v>
      </c>
      <c r="BC443" s="391">
        <f t="shared" si="854"/>
        <v>2.8684523133992723E-3</v>
      </c>
      <c r="BD443" s="392">
        <f t="shared" si="854"/>
        <v>-3.2926407877862163E-2</v>
      </c>
      <c r="BE443" s="1405">
        <f t="shared" si="854"/>
        <v>2.4538965344766739E-2</v>
      </c>
      <c r="BF443" s="391">
        <f t="shared" si="854"/>
        <v>0.13198868015747123</v>
      </c>
      <c r="BG443" s="391">
        <f t="shared" si="854"/>
        <v>5.8730941000809667E-2</v>
      </c>
      <c r="BH443" s="392">
        <f t="shared" si="854"/>
        <v>-5.0492305117316505E-2</v>
      </c>
      <c r="BI443" s="1405">
        <f t="shared" si="854"/>
        <v>-3.265269548417149E-2</v>
      </c>
      <c r="BJ443" s="391">
        <f t="shared" si="854"/>
        <v>-8.6258718902885057E-2</v>
      </c>
      <c r="BK443" s="391">
        <f t="shared" si="854"/>
        <v>-5.4022758476093058E-2</v>
      </c>
      <c r="BL443" s="392">
        <f t="shared" si="854"/>
        <v>-9.5942566167270815E-3</v>
      </c>
      <c r="BM443" s="1405">
        <f t="shared" si="854"/>
        <v>1.3198757359874635E-2</v>
      </c>
      <c r="BN443" s="391">
        <f t="shared" si="854"/>
        <v>3.0604026051276767E-2</v>
      </c>
      <c r="BO443" s="391">
        <f t="shared" si="854"/>
        <v>3.4599862773903478E-2</v>
      </c>
      <c r="BP443" s="392">
        <f t="shared" si="854"/>
        <v>3.0529941186203668E-2</v>
      </c>
      <c r="BQ443" s="1405">
        <f>+BQ442/BM442-1</f>
        <v>1.3352541911136218E-2</v>
      </c>
      <c r="BR443" s="391">
        <f>+BR442/BN442-1</f>
        <v>-1.5118737865225662E-2</v>
      </c>
      <c r="BS443" s="391">
        <f>+BS442/BO442-1</f>
        <v>3.5324220311881538E-2</v>
      </c>
      <c r="BT443" s="392">
        <f t="shared" si="854"/>
        <v>-7.7869976802528829E-2</v>
      </c>
      <c r="BU443" s="1405">
        <f>+BU442/BQ442-1</f>
        <v>-0.13134563467755866</v>
      </c>
      <c r="BV443" s="391">
        <f>+BV442/BR442-1</f>
        <v>-0.17221539903398642</v>
      </c>
      <c r="BW443" s="391">
        <f>+BW442/BS442-1</f>
        <v>-0.15745909202010322</v>
      </c>
      <c r="BX443" s="392">
        <f t="shared" si="854"/>
        <v>-0.14060651261872248</v>
      </c>
      <c r="BY443" s="1405">
        <f t="shared" si="854"/>
        <v>-0.10276626671782119</v>
      </c>
      <c r="BZ443" s="391">
        <f t="shared" si="854"/>
        <v>1.94005457861397E-2</v>
      </c>
      <c r="CA443" s="391">
        <f t="shared" si="854"/>
        <v>6.9295704687204474E-3</v>
      </c>
      <c r="CB443" s="392">
        <f t="shared" si="854"/>
        <v>-1.4128756921266472E-2</v>
      </c>
      <c r="CC443" s="1405">
        <f t="shared" si="854"/>
        <v>-2.9365002543710994E-2</v>
      </c>
      <c r="CD443" s="391">
        <f t="shared" si="854"/>
        <v>-2.5644814601712529E-2</v>
      </c>
      <c r="CE443" s="391">
        <f t="shared" si="854"/>
        <v>-3.7631498874934888E-3</v>
      </c>
      <c r="CF443" s="392">
        <f t="shared" si="854"/>
        <v>4.760090135790751E-2</v>
      </c>
      <c r="CG443" s="337"/>
      <c r="CH443" s="367"/>
      <c r="CI443" s="336"/>
      <c r="CJ443" s="393"/>
      <c r="CK443" s="393"/>
      <c r="CL443" s="393"/>
      <c r="CM443" s="393"/>
      <c r="CN443" s="393"/>
      <c r="CO443" s="336"/>
      <c r="CP443" s="997">
        <f t="shared" ref="CP443:CX443" si="855">+CP442/CO442-1</f>
        <v>-7.5147292850477054E-2</v>
      </c>
      <c r="CQ443" s="997">
        <f t="shared" si="855"/>
        <v>-3.0760572662450913E-2</v>
      </c>
      <c r="CR443" s="997">
        <f t="shared" si="855"/>
        <v>3.8078968025544446E-2</v>
      </c>
      <c r="CS443" s="997">
        <f t="shared" si="855"/>
        <v>-9.9748160212196346E-3</v>
      </c>
      <c r="CT443" s="997">
        <f t="shared" si="855"/>
        <v>-4.2823931197695231E-2</v>
      </c>
      <c r="CU443" s="997">
        <f t="shared" si="855"/>
        <v>2.7883124790315073E-2</v>
      </c>
      <c r="CV443" s="1201">
        <f t="shared" si="855"/>
        <v>-1.3115077097704986E-2</v>
      </c>
      <c r="CW443" s="1201">
        <f t="shared" si="855"/>
        <v>-0.14913262493834001</v>
      </c>
      <c r="CX443" s="1201">
        <f t="shared" si="855"/>
        <v>-3.7219045025124298E-2</v>
      </c>
      <c r="CY443" s="1201">
        <f t="shared" ref="CY443:DF443" si="856">+CY442/CX442-1</f>
        <v>8.9455816724768322E-3</v>
      </c>
      <c r="CZ443" s="1201">
        <f t="shared" si="856"/>
        <v>1.6375172006484418E-2</v>
      </c>
      <c r="DA443" s="1201">
        <f t="shared" si="856"/>
        <v>-7.1670619289944115E-3</v>
      </c>
      <c r="DB443" s="1201">
        <f t="shared" si="856"/>
        <v>-6.8958880821344826E-3</v>
      </c>
      <c r="DC443" s="1201">
        <f t="shared" si="856"/>
        <v>-6.3795486859379302E-3</v>
      </c>
      <c r="DD443" s="1201">
        <f t="shared" si="856"/>
        <v>-6.0374995637483275E-3</v>
      </c>
      <c r="DE443" s="1201">
        <f>+DE442/DD442-1</f>
        <v>-5.7658264823244876E-3</v>
      </c>
      <c r="DF443" s="1202">
        <f t="shared" si="856"/>
        <v>-5.6017360975693098E-3</v>
      </c>
      <c r="DI443" s="1712"/>
    </row>
    <row r="444" spans="1:116" s="308" customFormat="1" ht="11.25" customHeight="1">
      <c r="A444" s="82"/>
      <c r="B444"/>
      <c r="C444"/>
      <c r="D444"/>
      <c r="E444"/>
      <c r="F444"/>
      <c r="G444"/>
      <c r="H444" s="1044"/>
      <c r="I444" s="164" t="s">
        <v>214</v>
      </c>
      <c r="J444" s="312"/>
      <c r="K444" s="312"/>
      <c r="L444" s="307"/>
      <c r="M444" s="336"/>
      <c r="N444" s="336"/>
      <c r="O444" s="336"/>
      <c r="P444" s="337"/>
      <c r="Q444" s="336"/>
      <c r="R444" s="336"/>
      <c r="S444" s="336"/>
      <c r="T444" s="337"/>
      <c r="U444" s="393"/>
      <c r="V444" s="393"/>
      <c r="W444" s="393"/>
      <c r="X444" s="472"/>
      <c r="Y444" s="393"/>
      <c r="Z444" s="393"/>
      <c r="AA444" s="393"/>
      <c r="AB444" s="472"/>
      <c r="AC444" s="393"/>
      <c r="AD444" s="393"/>
      <c r="AE444" s="393"/>
      <c r="AF444" s="472"/>
      <c r="AG444" s="393"/>
      <c r="AH444" s="393"/>
      <c r="AI444" s="393"/>
      <c r="AJ444" s="472"/>
      <c r="AK444" s="393"/>
      <c r="AL444" s="393"/>
      <c r="AM444" s="393"/>
      <c r="AN444" s="472"/>
      <c r="AO444" s="393"/>
      <c r="AP444" s="393"/>
      <c r="AQ444" s="393"/>
      <c r="AR444" s="472"/>
      <c r="AS444" s="393"/>
      <c r="AT444" s="393"/>
      <c r="AU444" s="393"/>
      <c r="AV444" s="472"/>
      <c r="AW444" s="1405">
        <f t="shared" ref="AW444:CF444" si="857">+AW443+AS443</f>
        <v>-0.1317790047076578</v>
      </c>
      <c r="AX444" s="391">
        <f t="shared" si="857"/>
        <v>-6.5763542011759601E-2</v>
      </c>
      <c r="AY444" s="391">
        <f t="shared" si="857"/>
        <v>-2.3983143773635418E-2</v>
      </c>
      <c r="AZ444" s="392">
        <f t="shared" si="857"/>
        <v>-3.1741859465413413E-2</v>
      </c>
      <c r="BA444" s="1405">
        <f t="shared" si="857"/>
        <v>-8.3634233571605043E-2</v>
      </c>
      <c r="BB444" s="391">
        <f t="shared" si="857"/>
        <v>-0.11430916267925173</v>
      </c>
      <c r="BC444" s="391">
        <f t="shared" si="857"/>
        <v>3.9894159272915175E-3</v>
      </c>
      <c r="BD444" s="392">
        <f t="shared" si="857"/>
        <v>6.5733199208875437E-2</v>
      </c>
      <c r="BE444" s="1405">
        <f t="shared" si="857"/>
        <v>7.4953435872954E-2</v>
      </c>
      <c r="BF444" s="391">
        <f t="shared" si="857"/>
        <v>8.0498807183433274E-2</v>
      </c>
      <c r="BG444" s="391">
        <f t="shared" si="857"/>
        <v>6.1599393314208939E-2</v>
      </c>
      <c r="BH444" s="392">
        <f t="shared" si="857"/>
        <v>-8.3418712995178668E-2</v>
      </c>
      <c r="BI444" s="1405">
        <f t="shared" si="857"/>
        <v>-8.1137301394047512E-3</v>
      </c>
      <c r="BJ444" s="391">
        <f t="shared" si="857"/>
        <v>4.5729961254586171E-2</v>
      </c>
      <c r="BK444" s="391">
        <f t="shared" si="857"/>
        <v>4.7081825247166087E-3</v>
      </c>
      <c r="BL444" s="392">
        <f t="shared" si="857"/>
        <v>-6.0086561734043586E-2</v>
      </c>
      <c r="BM444" s="1405">
        <f t="shared" si="857"/>
        <v>-1.9453938124296855E-2</v>
      </c>
      <c r="BN444" s="391">
        <f t="shared" si="857"/>
        <v>-5.5654692851608289E-2</v>
      </c>
      <c r="BO444" s="391">
        <f t="shared" si="857"/>
        <v>-1.942289570218958E-2</v>
      </c>
      <c r="BP444" s="392">
        <f t="shared" si="857"/>
        <v>2.0935684569476587E-2</v>
      </c>
      <c r="BQ444" s="1405">
        <f>+BQ443+BM443</f>
        <v>2.6551299271010853E-2</v>
      </c>
      <c r="BR444" s="391">
        <f t="shared" si="857"/>
        <v>1.5485288186051105E-2</v>
      </c>
      <c r="BS444" s="391">
        <f t="shared" si="857"/>
        <v>6.9924083085785016E-2</v>
      </c>
      <c r="BT444" s="392">
        <f t="shared" si="857"/>
        <v>-4.734003561632516E-2</v>
      </c>
      <c r="BU444" s="1405">
        <f>+BU443+BQ443</f>
        <v>-0.11799309276642245</v>
      </c>
      <c r="BV444" s="391">
        <f>+BV443+BR443</f>
        <v>-0.18733413689921208</v>
      </c>
      <c r="BW444" s="391">
        <f>+BW443+BS443</f>
        <v>-0.12213487170822168</v>
      </c>
      <c r="BX444" s="392">
        <f t="shared" si="857"/>
        <v>-0.21847648942125131</v>
      </c>
      <c r="BY444" s="1405">
        <f t="shared" si="857"/>
        <v>-0.23411190139537985</v>
      </c>
      <c r="BZ444" s="391">
        <f t="shared" si="857"/>
        <v>-0.15281485324784672</v>
      </c>
      <c r="CA444" s="391">
        <f t="shared" si="857"/>
        <v>-0.15052952155138277</v>
      </c>
      <c r="CB444" s="392">
        <f t="shared" si="857"/>
        <v>-0.15473526953998895</v>
      </c>
      <c r="CC444" s="1405">
        <f t="shared" si="857"/>
        <v>-0.13213126926153218</v>
      </c>
      <c r="CD444" s="391">
        <f t="shared" si="857"/>
        <v>-6.2442688155728288E-3</v>
      </c>
      <c r="CE444" s="391">
        <f t="shared" si="857"/>
        <v>3.1664205812269586E-3</v>
      </c>
      <c r="CF444" s="392">
        <f t="shared" si="857"/>
        <v>3.3472144436641038E-2</v>
      </c>
      <c r="CG444" s="337"/>
      <c r="CH444" s="367"/>
      <c r="CI444" s="336"/>
      <c r="CJ444" s="393"/>
      <c r="CK444" s="393"/>
      <c r="CL444" s="393"/>
      <c r="CM444" s="393"/>
      <c r="CN444" s="393"/>
      <c r="CO444" s="336"/>
      <c r="CP444" s="997"/>
      <c r="CQ444" s="997">
        <f t="shared" ref="CQ444:DF444" si="858">+CQ443+CP443</f>
        <v>-0.10590786551292797</v>
      </c>
      <c r="CR444" s="997">
        <f t="shared" si="858"/>
        <v>7.3183953630935328E-3</v>
      </c>
      <c r="CS444" s="997">
        <f>+CS443+CR443</f>
        <v>2.8104152004324812E-2</v>
      </c>
      <c r="CT444" s="997">
        <f>+CT443+CS443</f>
        <v>-5.2798747218914865E-2</v>
      </c>
      <c r="CU444" s="997">
        <f>+CU443+CT443</f>
        <v>-1.4940806407380158E-2</v>
      </c>
      <c r="CV444" s="997">
        <f>+CV443+CU443</f>
        <v>1.4768047692610087E-2</v>
      </c>
      <c r="CW444" s="997">
        <f>+CW443+CV443</f>
        <v>-0.16224770203604499</v>
      </c>
      <c r="CX444" s="997">
        <f t="shared" si="858"/>
        <v>-0.18635166996346431</v>
      </c>
      <c r="CY444" s="997">
        <f t="shared" si="858"/>
        <v>-2.8273463352647465E-2</v>
      </c>
      <c r="CZ444" s="997">
        <f t="shared" si="858"/>
        <v>2.532075367896125E-2</v>
      </c>
      <c r="DA444" s="997">
        <f t="shared" si="858"/>
        <v>9.208110077490006E-3</v>
      </c>
      <c r="DB444" s="997">
        <f t="shared" si="858"/>
        <v>-1.4062950011128894E-2</v>
      </c>
      <c r="DC444" s="997">
        <f t="shared" si="858"/>
        <v>-1.3275436768072413E-2</v>
      </c>
      <c r="DD444" s="997">
        <f t="shared" si="858"/>
        <v>-1.2417048249686258E-2</v>
      </c>
      <c r="DE444" s="997">
        <f t="shared" si="858"/>
        <v>-1.1803326046072815E-2</v>
      </c>
      <c r="DF444" s="998">
        <f t="shared" si="858"/>
        <v>-1.1367562579893797E-2</v>
      </c>
    </row>
    <row r="445" spans="1:116" s="308" customFormat="1" ht="11.25" customHeight="1">
      <c r="A445" s="82"/>
      <c r="B445"/>
      <c r="C445"/>
      <c r="D445"/>
      <c r="E445"/>
      <c r="F445"/>
      <c r="G445"/>
      <c r="H445" s="1044"/>
      <c r="I445" s="311"/>
      <c r="J445" s="312"/>
      <c r="K445" s="312"/>
      <c r="L445" s="307"/>
      <c r="M445" s="336"/>
      <c r="N445" s="336"/>
      <c r="O445" s="336"/>
      <c r="P445" s="337"/>
      <c r="Q445" s="336"/>
      <c r="R445" s="336"/>
      <c r="S445" s="336"/>
      <c r="T445" s="337"/>
      <c r="U445" s="393"/>
      <c r="V445" s="393"/>
      <c r="W445" s="393"/>
      <c r="X445" s="472"/>
      <c r="Y445" s="393"/>
      <c r="Z445" s="393"/>
      <c r="AA445" s="393"/>
      <c r="AB445" s="472"/>
      <c r="AC445" s="393"/>
      <c r="AD445" s="393"/>
      <c r="AE445" s="393"/>
      <c r="AF445" s="472"/>
      <c r="AG445" s="393"/>
      <c r="AH445" s="393"/>
      <c r="AI445" s="393"/>
      <c r="AJ445" s="472"/>
      <c r="AK445" s="393"/>
      <c r="AL445" s="393"/>
      <c r="AM445" s="393"/>
      <c r="AN445" s="472"/>
      <c r="AO445" s="393"/>
      <c r="AP445" s="393"/>
      <c r="AQ445" s="393"/>
      <c r="AR445" s="472"/>
      <c r="AS445" s="393"/>
      <c r="AT445" s="393"/>
      <c r="AU445" s="393"/>
      <c r="AV445" s="472"/>
      <c r="AW445" s="393"/>
      <c r="AX445" s="393"/>
      <c r="AY445" s="393"/>
      <c r="AZ445" s="472"/>
      <c r="BA445" s="391"/>
      <c r="BB445" s="391"/>
      <c r="BC445" s="391"/>
      <c r="BD445" s="392"/>
      <c r="BE445" s="391"/>
      <c r="BF445" s="391"/>
      <c r="BG445" s="391"/>
      <c r="BH445" s="392"/>
      <c r="BI445" s="391"/>
      <c r="BJ445" s="391"/>
      <c r="BK445" s="391"/>
      <c r="BL445" s="392"/>
      <c r="BM445" s="391"/>
      <c r="BN445" s="391"/>
      <c r="BO445" s="1398"/>
      <c r="BP445" s="392"/>
      <c r="BQ445" s="391"/>
      <c r="BR445" s="391"/>
      <c r="BS445" s="391"/>
      <c r="BT445" s="392"/>
      <c r="BU445" s="391"/>
      <c r="BV445" s="391"/>
      <c r="BW445" s="391"/>
      <c r="BX445" s="392"/>
      <c r="BY445" s="391"/>
      <c r="BZ445" s="391"/>
      <c r="CA445" s="391"/>
      <c r="CB445" s="391"/>
      <c r="CC445" s="1405"/>
      <c r="CD445" s="391"/>
      <c r="CE445" s="391"/>
      <c r="CF445" s="392"/>
      <c r="CG445" s="337"/>
      <c r="CH445" s="367"/>
      <c r="CI445" s="336"/>
      <c r="CJ445" s="393"/>
      <c r="CK445" s="393"/>
      <c r="CL445" s="393"/>
      <c r="CM445" s="393"/>
      <c r="CN445" s="393"/>
      <c r="CO445" s="336"/>
      <c r="CP445" s="393"/>
      <c r="CQ445" s="393"/>
      <c r="CR445" s="336"/>
      <c r="CS445" s="336"/>
      <c r="CT445" s="336"/>
      <c r="CU445" s="336"/>
      <c r="CV445" s="336"/>
      <c r="CW445" s="336"/>
      <c r="CX445" s="336"/>
      <c r="CY445" s="336"/>
      <c r="CZ445" s="391"/>
      <c r="DA445" s="391"/>
      <c r="DB445" s="391"/>
      <c r="DC445" s="391"/>
      <c r="DD445" s="391"/>
      <c r="DE445" s="391"/>
      <c r="DF445" s="392"/>
    </row>
    <row r="446" spans="1:116" s="1188" customFormat="1" ht="11.25" customHeight="1">
      <c r="A446" s="39"/>
      <c r="B446"/>
      <c r="C446"/>
      <c r="D446"/>
      <c r="E446"/>
      <c r="F446"/>
      <c r="G446"/>
      <c r="H446" s="39"/>
      <c r="I446" s="1194" t="s">
        <v>4</v>
      </c>
      <c r="J446" s="1189"/>
      <c r="K446" s="1189"/>
      <c r="L446" s="815"/>
      <c r="M446" s="1141"/>
      <c r="N446" s="1141"/>
      <c r="O446" s="1141"/>
      <c r="P446" s="1190"/>
      <c r="Q446" s="1141"/>
      <c r="R446" s="1141"/>
      <c r="S446" s="1141"/>
      <c r="T446" s="1190"/>
      <c r="U446" s="1191"/>
      <c r="V446" s="1191"/>
      <c r="W446" s="1191"/>
      <c r="X446" s="1192"/>
      <c r="Y446" s="1191"/>
      <c r="Z446" s="1191"/>
      <c r="AA446" s="1191"/>
      <c r="AB446" s="1192"/>
      <c r="AC446" s="1191"/>
      <c r="AD446" s="1191"/>
      <c r="AE446" s="1191"/>
      <c r="AF446" s="1192"/>
      <c r="AG446" s="1191"/>
      <c r="AH446" s="1191"/>
      <c r="AI446" s="1191"/>
      <c r="AJ446" s="1192"/>
      <c r="AK446" s="1191"/>
      <c r="AL446" s="1191"/>
      <c r="AM446" s="1191"/>
      <c r="AN446" s="1192"/>
      <c r="AO446" s="1193">
        <f>'Bookings and Drivers'!AO11</f>
        <v>1758.6119999999999</v>
      </c>
      <c r="AP446" s="1191">
        <f>'Bookings and Drivers'!AP11</f>
        <v>2109.9650000000001</v>
      </c>
      <c r="AQ446" s="1191">
        <f>'Bookings and Drivers'!AQ11</f>
        <v>2050.4270000000001</v>
      </c>
      <c r="AR446" s="1192">
        <f>'Bookings and Drivers'!AR11</f>
        <v>1481.1129999999998</v>
      </c>
      <c r="AS446" s="1193">
        <f>'Bookings and Drivers'!AS11</f>
        <v>1943.5839999999998</v>
      </c>
      <c r="AT446" s="1191">
        <f>'Bookings and Drivers'!AT11</f>
        <v>2379.1779999999999</v>
      </c>
      <c r="AU446" s="1191">
        <f>'Bookings and Drivers'!AU11</f>
        <v>2722.846</v>
      </c>
      <c r="AV446" s="1192">
        <f>'Bookings and Drivers'!AV11</f>
        <v>2264.4540000000002</v>
      </c>
      <c r="AW446" s="1193">
        <f>'Bookings and Drivers'!AW11</f>
        <v>2964.6950000000002</v>
      </c>
      <c r="AX446" s="1191">
        <f>'Bookings and Drivers'!AX11</f>
        <v>3410.1800000000003</v>
      </c>
      <c r="AY446" s="1191">
        <f>'Bookings and Drivers'!AY11</f>
        <v>4006</v>
      </c>
      <c r="AZ446" s="1192">
        <f>'Bookings and Drivers'!AZ11</f>
        <v>3265</v>
      </c>
      <c r="BA446" s="1193">
        <f>'Bookings and Drivers'!BA11</f>
        <v>4665</v>
      </c>
      <c r="BB446" s="1191">
        <f>'Bookings and Drivers'!BB11</f>
        <v>5780</v>
      </c>
      <c r="BC446" s="1191">
        <f>'Bookings and Drivers'!BC11</f>
        <v>6257</v>
      </c>
      <c r="BD446" s="1192">
        <f>'Bookings and Drivers'!BD11</f>
        <v>4956</v>
      </c>
      <c r="BE446" s="1193">
        <f>'Bookings and Drivers'!BE11</f>
        <v>6711</v>
      </c>
      <c r="BF446" s="1191">
        <f>'Bookings and Drivers'!BF11</f>
        <v>7329</v>
      </c>
      <c r="BG446" s="1191">
        <f>'Bookings and Drivers'!BG11</f>
        <v>7832</v>
      </c>
      <c r="BH446" s="1192">
        <f>'Bookings and Drivers'!BH11</f>
        <v>6584</v>
      </c>
      <c r="BI446" s="1193">
        <f>'Bookings and Drivers'!BI11</f>
        <v>9153</v>
      </c>
      <c r="BJ446" s="1191">
        <f>'Bookings and Drivers'!BJ11</f>
        <v>10117</v>
      </c>
      <c r="BK446" s="1191">
        <f>'Bookings and Drivers'!BK11</f>
        <v>10765</v>
      </c>
      <c r="BL446" s="1192">
        <f>'Bookings and Drivers'!BL11</f>
        <v>9138</v>
      </c>
      <c r="BM446" s="1193">
        <f>'Bookings and Drivers'!BM11</f>
        <v>12280</v>
      </c>
      <c r="BN446" s="1191">
        <f>'Bookings and Drivers'!BN11</f>
        <v>13538</v>
      </c>
      <c r="BO446" s="1191">
        <f>'Bookings and Drivers'!BO11</f>
        <v>13823</v>
      </c>
      <c r="BP446" s="1192">
        <f>'Bookings and Drivers'!BP11</f>
        <v>10659</v>
      </c>
      <c r="BQ446" s="1191">
        <f>'Bookings and Drivers'!BQ11</f>
        <v>13775</v>
      </c>
      <c r="BR446" s="1191">
        <f>'Bookings and Drivers'!BR11</f>
        <v>14960</v>
      </c>
      <c r="BS446" s="1191">
        <f>'Bookings and Drivers'!BS11</f>
        <v>14778</v>
      </c>
      <c r="BT446" s="1192">
        <f>'Bookings and Drivers'!BT11</f>
        <v>12015</v>
      </c>
      <c r="BU446" s="1191">
        <f>'Bookings and Drivers'!BU11</f>
        <v>16653</v>
      </c>
      <c r="BV446" s="1191">
        <f>'Bookings and Drivers'!BV11</f>
        <v>17862</v>
      </c>
      <c r="BW446" s="1191">
        <f>'Bookings and Drivers'!BW11</f>
        <v>18460</v>
      </c>
      <c r="BX446" s="1192">
        <f>'Bookings and Drivers'!BX11</f>
        <v>15112</v>
      </c>
      <c r="BY446" s="1191">
        <f>'Bookings and Drivers'!BY11</f>
        <v>20687</v>
      </c>
      <c r="BZ446" s="1191">
        <f>'Bookings and Drivers'!BZ11</f>
        <v>20797</v>
      </c>
      <c r="CA446" s="1191">
        <f>'Bookings and Drivers'!CA11</f>
        <v>21762</v>
      </c>
      <c r="CB446" s="1191">
        <f>'Bookings and Drivers'!CB11</f>
        <v>17980</v>
      </c>
      <c r="CC446" s="1406">
        <f>'Bookings and Drivers'!CC11</f>
        <v>24881.474049815144</v>
      </c>
      <c r="CD446" s="1191">
        <f>'Bookings and Drivers'!CD11</f>
        <v>25086.12790194053</v>
      </c>
      <c r="CE446" s="1191">
        <f>'Bookings and Drivers'!CE11</f>
        <v>24813.585995275425</v>
      </c>
      <c r="CF446" s="1192">
        <f>'Bookings and Drivers'!CF11</f>
        <v>22004.981225315398</v>
      </c>
      <c r="CG446" s="1190"/>
      <c r="CH446" s="1205"/>
      <c r="CI446" s="1141"/>
      <c r="CJ446" s="1191"/>
      <c r="CK446" s="1191"/>
      <c r="CL446" s="1191"/>
      <c r="CM446" s="1191"/>
      <c r="CN446" s="1191"/>
      <c r="CO446" s="1141"/>
      <c r="CP446" s="1191">
        <f>'Bookings and Drivers'!CP11</f>
        <v>9310.0619999999999</v>
      </c>
      <c r="CQ446" s="1191">
        <f>'Bookings and Drivers'!CQ11</f>
        <v>13645.875</v>
      </c>
      <c r="CR446" s="1191">
        <f>'Bookings and Drivers'!CR11</f>
        <v>21658</v>
      </c>
      <c r="CS446" s="1191">
        <f>'Bookings and Drivers'!CS11</f>
        <v>28456</v>
      </c>
      <c r="CT446" s="1191">
        <f>'Bookings and Drivers'!CT11</f>
        <v>39173</v>
      </c>
      <c r="CU446" s="1191">
        <f>'Bookings and Drivers'!CU11</f>
        <v>50300</v>
      </c>
      <c r="CV446" s="1191">
        <f>'Bookings and Drivers'!CV11</f>
        <v>55528</v>
      </c>
      <c r="CW446" s="1191">
        <f>'Bookings and Drivers'!CW11</f>
        <v>68087</v>
      </c>
      <c r="CX446" s="1191">
        <f>'Bookings and Drivers'!CX11</f>
        <v>81226</v>
      </c>
      <c r="CY446" s="1191">
        <f>'Bookings and Drivers'!CY11</f>
        <v>96786.16917234649</v>
      </c>
      <c r="CZ446" s="1191">
        <f>'Bookings and Drivers'!CZ11</f>
        <v>110922.85145653768</v>
      </c>
      <c r="DA446" s="1191">
        <f>'Bookings and Drivers'!DA11</f>
        <v>124828.89016710233</v>
      </c>
      <c r="DB446" s="1191">
        <f>'Bookings and Drivers'!DB11</f>
        <v>138263.57556092652</v>
      </c>
      <c r="DC446" s="1191">
        <f>'Bookings and Drivers'!DC11</f>
        <v>151436.90782473588</v>
      </c>
      <c r="DD446" s="1191">
        <f>'Bookings and Drivers'!DD11</f>
        <v>164480.34456989294</v>
      </c>
      <c r="DE446" s="1191">
        <f>'Bookings and Drivers'!DE11</f>
        <v>177276.69132531929</v>
      </c>
      <c r="DF446" s="1192">
        <f>'Bookings and Drivers'!DF11</f>
        <v>191119.5238413497</v>
      </c>
    </row>
    <row r="447" spans="1:116" s="78" customFormat="1" ht="11.25" customHeight="1">
      <c r="A447" s="43"/>
      <c r="B447"/>
      <c r="C447"/>
      <c r="D447"/>
      <c r="E447"/>
      <c r="F447"/>
      <c r="G447"/>
      <c r="H447" s="43"/>
      <c r="I447" s="1863" t="s">
        <v>666</v>
      </c>
      <c r="J447" s="1864"/>
      <c r="K447" s="1864"/>
      <c r="L447" s="75"/>
      <c r="M447" s="1372"/>
      <c r="N447" s="1372"/>
      <c r="O447" s="1372"/>
      <c r="P447" s="999"/>
      <c r="Q447" s="1372"/>
      <c r="R447" s="1372"/>
      <c r="S447" s="1372"/>
      <c r="T447" s="999"/>
      <c r="U447" s="1833"/>
      <c r="V447" s="1833"/>
      <c r="W447" s="1833"/>
      <c r="X447" s="1865"/>
      <c r="Y447" s="1833"/>
      <c r="Z447" s="1833"/>
      <c r="AA447" s="1833"/>
      <c r="AB447" s="1865"/>
      <c r="AC447" s="1833"/>
      <c r="AD447" s="1833"/>
      <c r="AE447" s="1833"/>
      <c r="AF447" s="1865"/>
      <c r="AG447" s="1833"/>
      <c r="AH447" s="1833"/>
      <c r="AI447" s="1833"/>
      <c r="AJ447" s="1865"/>
      <c r="AK447" s="1833"/>
      <c r="AL447" s="1833"/>
      <c r="AM447" s="1833"/>
      <c r="AN447" s="1865"/>
      <c r="AO447" s="1833">
        <f t="shared" ref="AO447:CF447" si="859">+AO437/AO446</f>
        <v>0.10298064610044741</v>
      </c>
      <c r="AP447" s="1833">
        <f t="shared" si="859"/>
        <v>0.12025080984755672</v>
      </c>
      <c r="AQ447" s="1833">
        <f t="shared" si="859"/>
        <v>0.1541522814516196</v>
      </c>
      <c r="AR447" s="1865">
        <f t="shared" si="859"/>
        <v>0.13845331179997747</v>
      </c>
      <c r="AS447" s="1833">
        <f t="shared" si="859"/>
        <v>0.10718857533299307</v>
      </c>
      <c r="AT447" s="1833">
        <f t="shared" si="859"/>
        <v>0.12829557099132557</v>
      </c>
      <c r="AU447" s="1833">
        <f t="shared" si="859"/>
        <v>0.1593942514560133</v>
      </c>
      <c r="AV447" s="1865">
        <f t="shared" si="859"/>
        <v>0.13830662932433163</v>
      </c>
      <c r="AW447" s="1833">
        <f t="shared" si="859"/>
        <v>0.1076387284358087</v>
      </c>
      <c r="AX447" s="1833">
        <f t="shared" si="859"/>
        <v>0.13083884135148288</v>
      </c>
      <c r="AY447" s="1833">
        <f t="shared" si="859"/>
        <v>0.1668017973040439</v>
      </c>
      <c r="AZ447" s="1865">
        <f t="shared" si="859"/>
        <v>0.14706462480857582</v>
      </c>
      <c r="BA447" s="1833">
        <f t="shared" si="859"/>
        <v>0.1084261521972133</v>
      </c>
      <c r="BB447" s="1833">
        <f t="shared" si="859"/>
        <v>0.12962404844290659</v>
      </c>
      <c r="BC447" s="1833">
        <f t="shared" si="859"/>
        <v>0.17582675403548029</v>
      </c>
      <c r="BD447" s="1865">
        <f t="shared" si="859"/>
        <v>0.14622619047619048</v>
      </c>
      <c r="BE447" s="1833">
        <f t="shared" si="859"/>
        <v>0.11075666815675757</v>
      </c>
      <c r="BF447" s="1833">
        <f t="shared" si="859"/>
        <v>0.13700941465411381</v>
      </c>
      <c r="BG447" s="1833">
        <f t="shared" si="859"/>
        <v>0.17830707354443309</v>
      </c>
      <c r="BH447" s="1865">
        <f t="shared" si="859"/>
        <v>0.14273238153098422</v>
      </c>
      <c r="BI447" s="1833">
        <f t="shared" si="859"/>
        <v>0.11030973451327433</v>
      </c>
      <c r="BJ447" s="1833">
        <f t="shared" si="859"/>
        <v>0.13400603182761689</v>
      </c>
      <c r="BK447" s="1833">
        <f t="shared" si="859"/>
        <v>0.1789338091035764</v>
      </c>
      <c r="BL447" s="1865">
        <f t="shared" si="859"/>
        <v>0.14035396147953599</v>
      </c>
      <c r="BM447" s="1833">
        <f t="shared" si="859"/>
        <v>0.10918915105863194</v>
      </c>
      <c r="BN447" s="1833">
        <f t="shared" si="859"/>
        <v>0.13414501481016397</v>
      </c>
      <c r="BO447" s="1833">
        <f t="shared" si="859"/>
        <v>0.1813288774687116</v>
      </c>
      <c r="BP447" s="1865">
        <f t="shared" si="859"/>
        <v>0.14610437423773337</v>
      </c>
      <c r="BQ447" s="1833">
        <f t="shared" si="859"/>
        <v>0.1116611533938294</v>
      </c>
      <c r="BR447" s="1833">
        <f t="shared" si="859"/>
        <v>0.13073076977005346</v>
      </c>
      <c r="BS447" s="1833">
        <f t="shared" si="859"/>
        <v>0.1895750982568683</v>
      </c>
      <c r="BT447" s="1865">
        <f>+BT437/BT446</f>
        <v>0.14492896446109027</v>
      </c>
      <c r="BU447" s="1833">
        <f>+BU437/BU446</f>
        <v>0.11223209843031283</v>
      </c>
      <c r="BV447" s="1833">
        <f>+BV437/BV446</f>
        <v>0.12736514152184528</v>
      </c>
      <c r="BW447" s="1833">
        <f>+BW437/BW446</f>
        <v>0.18571267162420368</v>
      </c>
      <c r="BX447" s="1865">
        <f t="shared" si="859"/>
        <v>0.14049260214134462</v>
      </c>
      <c r="BY447" s="1833">
        <f t="shared" si="859"/>
        <v>0.10495662454285301</v>
      </c>
      <c r="BZ447" s="1833">
        <f t="shared" si="859"/>
        <v>0.13386685895832859</v>
      </c>
      <c r="CA447" s="1833">
        <f t="shared" si="859"/>
        <v>0.19302047440915079</v>
      </c>
      <c r="CB447" s="1833">
        <f t="shared" si="859"/>
        <v>0.14478383558053393</v>
      </c>
      <c r="CC447" s="1866">
        <f t="shared" si="859"/>
        <v>0.1053922602982075</v>
      </c>
      <c r="CD447" s="1833">
        <f t="shared" si="859"/>
        <v>0.13480896562233879</v>
      </c>
      <c r="CE447" s="1833">
        <f t="shared" si="859"/>
        <v>0.19414816751896399</v>
      </c>
      <c r="CF447" s="1865">
        <f t="shared" si="859"/>
        <v>0.14533343983068969</v>
      </c>
      <c r="CG447" s="999"/>
      <c r="CH447" s="1867"/>
      <c r="CI447" s="1372"/>
      <c r="CJ447" s="1833"/>
      <c r="CK447" s="1833"/>
      <c r="CL447" s="1833"/>
      <c r="CM447" s="1833"/>
      <c r="CN447" s="1833"/>
      <c r="CO447" s="1372"/>
      <c r="CP447" s="1833"/>
      <c r="CQ447" s="1833">
        <f t="shared" ref="CQ447:CV447" si="860">+CQ437/CQ446</f>
        <v>0.14023827713503162</v>
      </c>
      <c r="CR447" s="1833">
        <f t="shared" si="860"/>
        <v>0.142205189768215</v>
      </c>
      <c r="CS447" s="1833">
        <f t="shared" si="860"/>
        <v>0.14350860978352548</v>
      </c>
      <c r="CT447" s="1833">
        <f t="shared" si="860"/>
        <v>0.14229650470987673</v>
      </c>
      <c r="CU447" s="1833">
        <f t="shared" si="860"/>
        <v>0.14355335156560636</v>
      </c>
      <c r="CV447" s="1833">
        <f t="shared" si="860"/>
        <v>0.14473287375378185</v>
      </c>
      <c r="CW447" s="1833">
        <f>+CW437/CW446</f>
        <v>0.14239689536572325</v>
      </c>
      <c r="CX447" s="1833">
        <f t="shared" ref="CX447:DF447" si="861">+CX437/CX446</f>
        <v>0.14476881399434044</v>
      </c>
      <c r="CY447" s="1833">
        <f t="shared" si="861"/>
        <v>0.14485253139907278</v>
      </c>
      <c r="CZ447" s="1833">
        <f t="shared" si="861"/>
        <v>0.14442445868693268</v>
      </c>
      <c r="DA447" s="1833">
        <f t="shared" si="861"/>
        <v>0.14421056060184095</v>
      </c>
      <c r="DB447" s="1833">
        <f t="shared" si="861"/>
        <v>0.14394880333887713</v>
      </c>
      <c r="DC447" s="1833">
        <f t="shared" si="861"/>
        <v>0.14364096386038658</v>
      </c>
      <c r="DD447" s="1833">
        <f t="shared" si="861"/>
        <v>0.14330069379232002</v>
      </c>
      <c r="DE447" s="1833">
        <f t="shared" si="861"/>
        <v>0.14293430274132668</v>
      </c>
      <c r="DF447" s="1865">
        <f t="shared" si="861"/>
        <v>0.14255954004391347</v>
      </c>
    </row>
    <row r="448" spans="1:116" s="1188" customFormat="1" ht="11.25" customHeight="1">
      <c r="A448" s="39"/>
      <c r="B448"/>
      <c r="C448"/>
      <c r="D448"/>
      <c r="E448"/>
      <c r="F448"/>
      <c r="G448"/>
      <c r="H448" s="39"/>
      <c r="I448" s="1400" t="s">
        <v>663</v>
      </c>
      <c r="J448" s="1189"/>
      <c r="K448" s="1189"/>
      <c r="L448" s="815"/>
      <c r="M448" s="1141"/>
      <c r="N448" s="1141"/>
      <c r="O448" s="1141"/>
      <c r="P448" s="1190"/>
      <c r="Q448" s="1141"/>
      <c r="R448" s="1141"/>
      <c r="S448" s="1141"/>
      <c r="T448" s="1190"/>
      <c r="U448" s="1191"/>
      <c r="V448" s="1191"/>
      <c r="W448" s="1191"/>
      <c r="X448" s="1192"/>
      <c r="Y448" s="1191"/>
      <c r="Z448" s="1191"/>
      <c r="AA448" s="1191"/>
      <c r="AB448" s="1192"/>
      <c r="AC448" s="1191"/>
      <c r="AD448" s="1191"/>
      <c r="AE448" s="1191"/>
      <c r="AF448" s="1192"/>
      <c r="AG448" s="1191"/>
      <c r="AH448" s="1191"/>
      <c r="AI448" s="1191"/>
      <c r="AJ448" s="1192"/>
      <c r="AK448" s="1191"/>
      <c r="AL448" s="1191"/>
      <c r="AM448" s="1191"/>
      <c r="AN448" s="1192"/>
      <c r="AO448" s="1193"/>
      <c r="AP448" s="1191"/>
      <c r="AQ448" s="1191"/>
      <c r="AR448" s="1192"/>
      <c r="AS448" s="484">
        <f t="shared" ref="AS448:BW448" si="862">+(AS447-AO447)*10000</f>
        <v>42.079292325456628</v>
      </c>
      <c r="AT448" s="484">
        <f t="shared" si="862"/>
        <v>80.44761143768855</v>
      </c>
      <c r="AU448" s="484">
        <f t="shared" si="862"/>
        <v>52.419700043936921</v>
      </c>
      <c r="AV448" s="485">
        <f t="shared" si="862"/>
        <v>-1.4668247564583736</v>
      </c>
      <c r="AW448" s="484">
        <f t="shared" si="862"/>
        <v>4.5015310281562577</v>
      </c>
      <c r="AX448" s="484">
        <f t="shared" si="862"/>
        <v>25.432703601573071</v>
      </c>
      <c r="AY448" s="484">
        <f t="shared" si="862"/>
        <v>74.075458480306054</v>
      </c>
      <c r="AZ448" s="485">
        <f t="shared" si="862"/>
        <v>87.579954842441907</v>
      </c>
      <c r="BA448" s="484">
        <f t="shared" si="862"/>
        <v>7.8742376140460149</v>
      </c>
      <c r="BB448" s="484">
        <f t="shared" si="862"/>
        <v>-12.147929085762899</v>
      </c>
      <c r="BC448" s="484">
        <f t="shared" si="862"/>
        <v>90.249567314363844</v>
      </c>
      <c r="BD448" s="485">
        <f t="shared" si="862"/>
        <v>-8.384343323853404</v>
      </c>
      <c r="BE448" s="484">
        <f t="shared" si="862"/>
        <v>23.305159595442689</v>
      </c>
      <c r="BF448" s="484">
        <f t="shared" si="862"/>
        <v>73.853662112072229</v>
      </c>
      <c r="BG448" s="484">
        <f t="shared" si="862"/>
        <v>24.803195089528053</v>
      </c>
      <c r="BH448" s="485">
        <f t="shared" si="862"/>
        <v>-34.938089452062613</v>
      </c>
      <c r="BI448" s="484">
        <f t="shared" si="862"/>
        <v>-4.4693364348323552</v>
      </c>
      <c r="BJ448" s="484">
        <f t="shared" si="862"/>
        <v>-30.033828264969252</v>
      </c>
      <c r="BK448" s="484">
        <f t="shared" si="862"/>
        <v>6.2673555914330432</v>
      </c>
      <c r="BL448" s="485">
        <f t="shared" si="862"/>
        <v>-23.784200514482269</v>
      </c>
      <c r="BM448" s="484">
        <f t="shared" si="862"/>
        <v>-11.205834546423876</v>
      </c>
      <c r="BN448" s="484">
        <f t="shared" si="862"/>
        <v>1.3898298254708119</v>
      </c>
      <c r="BO448" s="484">
        <f t="shared" si="862"/>
        <v>23.950683651352001</v>
      </c>
      <c r="BP448" s="485">
        <f t="shared" si="862"/>
        <v>57.504127581973762</v>
      </c>
      <c r="BQ448" s="484">
        <f t="shared" si="862"/>
        <v>24.72002335197454</v>
      </c>
      <c r="BR448" s="484">
        <f t="shared" si="862"/>
        <v>-34.142450401105087</v>
      </c>
      <c r="BS448" s="484">
        <f>+(BS447-BO447)*10000</f>
        <v>82.462207881567053</v>
      </c>
      <c r="BT448" s="485">
        <f t="shared" si="862"/>
        <v>-11.754097766430993</v>
      </c>
      <c r="BU448" s="484">
        <f t="shared" si="862"/>
        <v>5.7094503648343062</v>
      </c>
      <c r="BV448" s="484">
        <f t="shared" si="862"/>
        <v>-33.656282482081856</v>
      </c>
      <c r="BW448" s="484">
        <f t="shared" si="862"/>
        <v>-38.624266326646172</v>
      </c>
      <c r="BX448" s="485">
        <f t="shared" ref="BX448:CF448" si="863">+(BX447-BT447)*10000</f>
        <v>-44.363623197456462</v>
      </c>
      <c r="BY448" s="484">
        <f t="shared" si="863"/>
        <v>-72.754738874598189</v>
      </c>
      <c r="BZ448" s="484">
        <f t="shared" si="863"/>
        <v>65.017174364833124</v>
      </c>
      <c r="CA448" s="484">
        <f t="shared" si="863"/>
        <v>73.078027849471098</v>
      </c>
      <c r="CB448" s="484">
        <f t="shared" si="863"/>
        <v>42.912334391893012</v>
      </c>
      <c r="CC448" s="1519">
        <f t="shared" si="863"/>
        <v>4.3563575535449095</v>
      </c>
      <c r="CD448" s="484">
        <f t="shared" si="863"/>
        <v>9.42106664010206</v>
      </c>
      <c r="CE448" s="484">
        <f t="shared" si="863"/>
        <v>11.276931098131993</v>
      </c>
      <c r="CF448" s="485">
        <f t="shared" si="863"/>
        <v>5.4960425015576631</v>
      </c>
      <c r="CG448" s="1190"/>
      <c r="CH448" s="1205"/>
      <c r="CI448" s="1141"/>
      <c r="CJ448" s="1191"/>
      <c r="CK448" s="1191"/>
      <c r="CL448" s="1191"/>
      <c r="CM448" s="1191"/>
      <c r="CN448" s="1191"/>
      <c r="CO448" s="1141"/>
      <c r="CP448" s="1191"/>
      <c r="CQ448" s="1191"/>
      <c r="CR448" s="1191"/>
      <c r="CS448" s="484">
        <f>+(CS447-CR447)*10000</f>
        <v>13.034200153104747</v>
      </c>
      <c r="CT448" s="484">
        <f>+(CT447-CS447)*10000</f>
        <v>-12.121050736487449</v>
      </c>
      <c r="CU448" s="484">
        <f>+(CU447-CT447)*10000</f>
        <v>12.56846855729632</v>
      </c>
      <c r="CV448" s="484">
        <f>+(CV447-CU447)*10000</f>
        <v>11.795221881754914</v>
      </c>
      <c r="CW448" s="484">
        <f>+(CW447-CV447)*10000</f>
        <v>-23.359783880586015</v>
      </c>
      <c r="CX448" s="484">
        <f t="shared" ref="CX448:DF448" si="864">+(CX447-CW447)*10000</f>
        <v>23.719186286171869</v>
      </c>
      <c r="CY448" s="484">
        <f t="shared" si="864"/>
        <v>0.83717404732341905</v>
      </c>
      <c r="CZ448" s="484">
        <f t="shared" si="864"/>
        <v>-4.2807271214009841</v>
      </c>
      <c r="DA448" s="484">
        <f t="shared" si="864"/>
        <v>-2.1389808509172936</v>
      </c>
      <c r="DB448" s="484">
        <f t="shared" si="864"/>
        <v>-2.6175726296381874</v>
      </c>
      <c r="DC448" s="484">
        <f t="shared" si="864"/>
        <v>-3.0783947849055693</v>
      </c>
      <c r="DD448" s="484">
        <f t="shared" si="864"/>
        <v>-3.4027006806655602</v>
      </c>
      <c r="DE448" s="484">
        <f t="shared" si="864"/>
        <v>-3.6639105099334213</v>
      </c>
      <c r="DF448" s="485">
        <f t="shared" si="864"/>
        <v>-3.7476269741321122</v>
      </c>
    </row>
    <row r="449" spans="1:113" s="68" customFormat="1" ht="11.25" customHeight="1">
      <c r="A449" s="24"/>
      <c r="B449"/>
      <c r="C449"/>
      <c r="D449"/>
      <c r="E449"/>
      <c r="F449"/>
      <c r="G449"/>
      <c r="H449" s="1044"/>
      <c r="I449" s="664"/>
      <c r="J449" s="665"/>
      <c r="K449" s="665"/>
      <c r="L449" s="665"/>
      <c r="M449" s="666"/>
      <c r="N449" s="666"/>
      <c r="O449" s="666"/>
      <c r="P449" s="667"/>
      <c r="Q449" s="666"/>
      <c r="R449" s="666"/>
      <c r="S449" s="666"/>
      <c r="T449" s="667"/>
      <c r="U449" s="668"/>
      <c r="V449" s="668"/>
      <c r="W449" s="668"/>
      <c r="X449" s="669"/>
      <c r="Y449" s="668"/>
      <c r="Z449" s="668"/>
      <c r="AA449" s="668"/>
      <c r="AB449" s="669"/>
      <c r="AC449" s="668"/>
      <c r="AD449" s="668"/>
      <c r="AE449" s="668"/>
      <c r="AF449" s="669"/>
      <c r="AG449" s="668"/>
      <c r="AH449" s="668"/>
      <c r="AI449" s="668"/>
      <c r="AJ449" s="669"/>
      <c r="AK449" s="668"/>
      <c r="AL449" s="668"/>
      <c r="AM449" s="668"/>
      <c r="AN449" s="669"/>
      <c r="AO449" s="668"/>
      <c r="AP449" s="668"/>
      <c r="AQ449" s="668"/>
      <c r="AR449" s="669"/>
      <c r="AS449" s="668"/>
      <c r="AT449" s="668"/>
      <c r="AU449" s="668"/>
      <c r="AV449" s="669"/>
      <c r="AW449" s="668"/>
      <c r="AX449" s="668"/>
      <c r="AY449" s="668"/>
      <c r="AZ449" s="669"/>
      <c r="BA449" s="670"/>
      <c r="BB449" s="670"/>
      <c r="BC449" s="670"/>
      <c r="BD449" s="671"/>
      <c r="BE449" s="666"/>
      <c r="BF449" s="666"/>
      <c r="BG449" s="666"/>
      <c r="BH449" s="672"/>
      <c r="BI449" s="673"/>
      <c r="BJ449" s="673"/>
      <c r="BK449" s="673"/>
      <c r="BL449" s="674"/>
      <c r="BM449" s="673"/>
      <c r="BN449" s="673"/>
      <c r="BO449" s="673"/>
      <c r="BP449" s="663"/>
      <c r="BQ449" s="662"/>
      <c r="BR449" s="662"/>
      <c r="BS449" s="662"/>
      <c r="BT449" s="663"/>
      <c r="BU449" s="662"/>
      <c r="BV449" s="662"/>
      <c r="BW449" s="662"/>
      <c r="BX449" s="663"/>
      <c r="BY449" s="662"/>
      <c r="BZ449" s="662"/>
      <c r="CA449" s="662"/>
      <c r="CB449" s="662"/>
      <c r="CC449" s="1407"/>
      <c r="CD449" s="662"/>
      <c r="CE449" s="662"/>
      <c r="CF449" s="663"/>
      <c r="CG449" s="405"/>
      <c r="CH449" s="675"/>
      <c r="CI449" s="666"/>
      <c r="CJ449" s="668"/>
      <c r="CK449" s="668"/>
      <c r="CL449" s="668"/>
      <c r="CM449" s="668"/>
      <c r="CN449" s="668"/>
      <c r="CO449" s="668"/>
      <c r="CP449" s="668"/>
      <c r="CQ449" s="662"/>
      <c r="CR449" s="662"/>
      <c r="CS449" s="662"/>
      <c r="CT449" s="668"/>
      <c r="CU449" s="662"/>
      <c r="CV449" s="676"/>
      <c r="CW449" s="662"/>
      <c r="CX449" s="662"/>
      <c r="CY449" s="662"/>
      <c r="CZ449" s="662"/>
      <c r="DA449" s="662"/>
      <c r="DB449" s="662"/>
      <c r="DC449" s="662"/>
      <c r="DD449" s="662"/>
      <c r="DE449" s="662"/>
      <c r="DF449" s="663"/>
      <c r="DG449" s="1180"/>
      <c r="DH449" s="1180"/>
    </row>
    <row r="450" spans="1:113" ht="11.25" customHeight="1">
      <c r="I450" s="70"/>
      <c r="J450" s="70"/>
      <c r="K450" s="70"/>
      <c r="M450" s="315"/>
      <c r="N450" s="315"/>
      <c r="O450" s="315"/>
      <c r="P450" s="315"/>
      <c r="Q450" s="315"/>
      <c r="R450" s="315"/>
      <c r="S450" s="315"/>
      <c r="T450" s="315"/>
      <c r="U450" s="328"/>
      <c r="V450" s="328"/>
      <c r="W450" s="328"/>
      <c r="X450" s="328"/>
      <c r="Y450" s="328"/>
      <c r="Z450" s="328"/>
      <c r="AA450" s="328"/>
      <c r="AB450" s="328"/>
      <c r="AC450" s="328"/>
      <c r="AD450" s="328"/>
      <c r="AE450" s="328"/>
      <c r="AF450" s="328"/>
      <c r="AG450" s="328"/>
      <c r="AH450" s="328"/>
      <c r="AI450" s="328"/>
      <c r="AJ450" s="328"/>
      <c r="AK450" s="328"/>
      <c r="AL450" s="328"/>
      <c r="AM450" s="328"/>
      <c r="AN450" s="328"/>
      <c r="AO450" s="328"/>
      <c r="AP450" s="328"/>
      <c r="AQ450" s="328"/>
      <c r="AR450" s="328"/>
      <c r="AS450" s="328"/>
      <c r="AT450" s="328"/>
      <c r="AU450" s="328"/>
      <c r="AV450" s="328"/>
      <c r="AW450" s="328"/>
      <c r="AX450" s="328"/>
      <c r="AY450" s="328"/>
      <c r="AZ450" s="515"/>
      <c r="BA450" s="328"/>
      <c r="BB450" s="328"/>
      <c r="BC450" s="328"/>
      <c r="BD450" s="515"/>
      <c r="BE450" s="328"/>
      <c r="BF450" s="328"/>
      <c r="BG450" s="328"/>
      <c r="BH450" s="515"/>
      <c r="BI450" s="328"/>
      <c r="BJ450" s="328"/>
      <c r="BK450" s="328"/>
      <c r="BL450" s="328"/>
      <c r="BM450" s="328"/>
      <c r="BN450" s="328"/>
      <c r="BO450" s="328"/>
      <c r="BP450" s="328"/>
      <c r="BQ450" s="328"/>
      <c r="BR450" s="328"/>
      <c r="BS450" s="328"/>
      <c r="BT450" s="328"/>
      <c r="BU450" s="328"/>
      <c r="BV450" s="328"/>
      <c r="BW450" s="328"/>
      <c r="BX450" s="328"/>
      <c r="BY450" s="328"/>
      <c r="BZ450" s="328"/>
      <c r="CA450" s="328"/>
      <c r="CB450" s="328"/>
      <c r="CC450" s="328"/>
      <c r="CD450" s="328"/>
      <c r="CE450" s="328"/>
      <c r="CF450" s="328"/>
      <c r="CG450" s="315"/>
      <c r="CH450" s="315"/>
      <c r="CI450" s="315"/>
      <c r="CJ450" s="328"/>
      <c r="CK450" s="328"/>
      <c r="CL450" s="328"/>
      <c r="CM450" s="328">
        <f>+CM459+CM473</f>
        <v>0.18566441261203576</v>
      </c>
      <c r="CN450" s="328">
        <f t="shared" ref="CN450:DF450" si="865">+CN459+CN473</f>
        <v>0.16180871356937621</v>
      </c>
      <c r="CO450" s="328">
        <f t="shared" si="865"/>
        <v>0.14771996221642703</v>
      </c>
      <c r="CP450" s="328">
        <f t="shared" si="865"/>
        <v>0.12581190913756196</v>
      </c>
      <c r="CQ450" s="328">
        <f t="shared" si="865"/>
        <v>0.11646131995313729</v>
      </c>
      <c r="CR450" s="328">
        <f t="shared" si="865"/>
        <v>0.10402483213631697</v>
      </c>
      <c r="CS450" s="328">
        <f t="shared" si="865"/>
        <v>0.1074883175252915</v>
      </c>
      <c r="CT450" s="328">
        <f t="shared" si="865"/>
        <v>0.11022893038804482</v>
      </c>
      <c r="CU450" s="328">
        <f t="shared" si="865"/>
        <v>0.11356134454446326</v>
      </c>
      <c r="CV450" s="328">
        <f t="shared" si="865"/>
        <v>0.12016657264298419</v>
      </c>
      <c r="CW450" s="328">
        <f t="shared" si="865"/>
        <v>0.12049327309046166</v>
      </c>
      <c r="CX450" s="328">
        <f t="shared" si="865"/>
        <v>0.12775103585562825</v>
      </c>
      <c r="CY450" s="328">
        <f t="shared" si="865"/>
        <v>0.13102351630235462</v>
      </c>
      <c r="CZ450" s="328">
        <f t="shared" si="865"/>
        <v>0.13132548638655581</v>
      </c>
      <c r="DA450" s="328">
        <f t="shared" si="865"/>
        <v>0.13112133984169688</v>
      </c>
      <c r="DB450" s="328">
        <f t="shared" si="865"/>
        <v>0.13096062413296464</v>
      </c>
      <c r="DC450" s="328">
        <f t="shared" si="865"/>
        <v>0.130662469088171</v>
      </c>
      <c r="DD450" s="328">
        <f t="shared" si="865"/>
        <v>0.13035587299189885</v>
      </c>
      <c r="DE450" s="328">
        <f t="shared" si="865"/>
        <v>0.13012282420248014</v>
      </c>
      <c r="DF450" s="328">
        <f t="shared" si="865"/>
        <v>0.12908985291979697</v>
      </c>
    </row>
    <row r="451" spans="1:113" customFormat="1" ht="11.25" customHeight="1">
      <c r="A451" s="10"/>
      <c r="H451" s="1054"/>
      <c r="I451" s="659" t="s">
        <v>368</v>
      </c>
      <c r="J451" s="660"/>
      <c r="K451" s="660"/>
      <c r="L451" s="660"/>
      <c r="M451" s="660"/>
      <c r="N451" s="660"/>
      <c r="O451" s="660"/>
      <c r="P451" s="660"/>
      <c r="Q451" s="660"/>
      <c r="R451" s="660"/>
      <c r="S451" s="660"/>
      <c r="T451" s="660"/>
      <c r="U451" s="659"/>
      <c r="V451" s="660"/>
      <c r="W451" s="660"/>
      <c r="X451" s="661"/>
      <c r="Y451" s="659"/>
      <c r="Z451" s="660"/>
      <c r="AA451" s="660"/>
      <c r="AB451" s="661"/>
      <c r="AC451" s="659"/>
      <c r="AD451" s="660"/>
      <c r="AE451" s="660"/>
      <c r="AF451" s="661"/>
      <c r="AG451" s="659"/>
      <c r="AH451" s="660"/>
      <c r="AI451" s="660"/>
      <c r="AJ451" s="661"/>
      <c r="AK451" s="659"/>
      <c r="AL451" s="660"/>
      <c r="AM451" s="660"/>
      <c r="AN451" s="661"/>
      <c r="AO451" s="659"/>
      <c r="AP451" s="660"/>
      <c r="AQ451" s="660"/>
      <c r="AR451" s="661"/>
      <c r="AS451" s="659"/>
      <c r="AT451" s="660"/>
      <c r="AU451" s="660"/>
      <c r="AV451" s="661"/>
      <c r="AW451" s="659"/>
      <c r="AX451" s="660"/>
      <c r="AY451" s="660"/>
      <c r="AZ451" s="661"/>
      <c r="BA451" s="659"/>
      <c r="BB451" s="660"/>
      <c r="BC451" s="660"/>
      <c r="BD451" s="661"/>
      <c r="BE451" s="659"/>
      <c r="BF451" s="660"/>
      <c r="BG451" s="660"/>
      <c r="BH451" s="661"/>
      <c r="BI451" s="659"/>
      <c r="BJ451" s="660"/>
      <c r="BK451" s="660"/>
      <c r="BL451" s="661"/>
      <c r="BM451" s="659"/>
      <c r="BN451" s="660"/>
      <c r="BO451" s="660"/>
      <c r="BP451" s="661"/>
      <c r="BQ451" s="659"/>
      <c r="BR451" s="660"/>
      <c r="BS451" s="660"/>
      <c r="BT451" s="661"/>
      <c r="BU451" s="659"/>
      <c r="BV451" s="660"/>
      <c r="BW451" s="660"/>
      <c r="BX451" s="661"/>
      <c r="BY451" s="659"/>
      <c r="BZ451" s="660"/>
      <c r="CA451" s="660"/>
      <c r="CB451" s="661"/>
      <c r="CC451" s="659"/>
      <c r="CD451" s="660"/>
      <c r="CE451" s="660"/>
      <c r="CF451" s="661"/>
      <c r="CH451" s="661"/>
      <c r="CI451" s="661"/>
      <c r="CJ451" s="661"/>
      <c r="CK451" s="661"/>
      <c r="CL451" s="661"/>
      <c r="CM451" s="661"/>
      <c r="CN451" s="661"/>
      <c r="CO451" s="661"/>
      <c r="CP451" s="661"/>
      <c r="CQ451" s="661"/>
      <c r="CR451" s="661"/>
      <c r="CS451" s="661"/>
      <c r="CT451" s="661"/>
      <c r="CU451" s="661"/>
      <c r="CV451" s="661"/>
      <c r="CW451" s="661"/>
      <c r="CX451" s="661"/>
      <c r="CY451" s="660"/>
      <c r="CZ451" s="660"/>
      <c r="DA451" s="660"/>
      <c r="DB451" s="660"/>
      <c r="DC451" s="660"/>
      <c r="DD451" s="660"/>
      <c r="DE451" s="660"/>
      <c r="DF451" s="661"/>
      <c r="DG451" s="124"/>
      <c r="DH451" s="124"/>
      <c r="DI451" s="1548"/>
    </row>
    <row r="452" spans="1:113" s="584" customFormat="1" ht="11.25" customHeight="1">
      <c r="A452" s="542"/>
      <c r="B452"/>
      <c r="C452"/>
      <c r="D452"/>
      <c r="E452"/>
      <c r="F452"/>
      <c r="G452"/>
      <c r="H452" s="1052"/>
      <c r="I452" s="617" t="s">
        <v>216</v>
      </c>
      <c r="J452" s="634"/>
      <c r="K452" s="634"/>
      <c r="L452" s="542"/>
      <c r="M452" s="581"/>
      <c r="N452" s="581"/>
      <c r="O452" s="581"/>
      <c r="P452" s="582"/>
      <c r="Q452" s="581"/>
      <c r="R452" s="581"/>
      <c r="S452" s="581"/>
      <c r="T452" s="582"/>
      <c r="U452" s="600"/>
      <c r="V452" s="600"/>
      <c r="W452" s="600"/>
      <c r="X452" s="599"/>
      <c r="Y452" s="600"/>
      <c r="Z452" s="600"/>
      <c r="AA452" s="600"/>
      <c r="AB452" s="599"/>
      <c r="AC452" s="600"/>
      <c r="AD452" s="600"/>
      <c r="AE452" s="600"/>
      <c r="AF452" s="599"/>
      <c r="AG452" s="514">
        <f t="shared" ref="AG452:CA452" si="866">+AG63</f>
        <v>9.5820000000000007</v>
      </c>
      <c r="AH452" s="514">
        <f t="shared" si="866"/>
        <v>10.708</v>
      </c>
      <c r="AI452" s="514">
        <f t="shared" si="866"/>
        <v>11.204000000000001</v>
      </c>
      <c r="AJ452" s="515">
        <f t="shared" si="866"/>
        <v>10.624000000000001</v>
      </c>
      <c r="AK452" s="514">
        <f t="shared" si="866"/>
        <v>11.41</v>
      </c>
      <c r="AL452" s="514">
        <f t="shared" si="866"/>
        <v>11.525</v>
      </c>
      <c r="AM452" s="514">
        <f t="shared" si="866"/>
        <v>13.093</v>
      </c>
      <c r="AN452" s="515">
        <f t="shared" si="866"/>
        <v>11.131</v>
      </c>
      <c r="AO452" s="514">
        <f t="shared" si="866"/>
        <v>16.332999999999998</v>
      </c>
      <c r="AP452" s="514">
        <f t="shared" si="866"/>
        <v>19.93</v>
      </c>
      <c r="AQ452" s="514">
        <f t="shared" si="866"/>
        <v>21.452000000000002</v>
      </c>
      <c r="AR452" s="515">
        <f t="shared" si="866"/>
        <v>20.233000000000001</v>
      </c>
      <c r="AS452" s="514">
        <f t="shared" si="866"/>
        <v>18.419</v>
      </c>
      <c r="AT452" s="514">
        <f t="shared" si="866"/>
        <v>20.690999999999999</v>
      </c>
      <c r="AU452" s="514">
        <f t="shared" si="866"/>
        <v>24.472999999999999</v>
      </c>
      <c r="AV452" s="515">
        <f t="shared" si="866"/>
        <v>17.655000000000001</v>
      </c>
      <c r="AW452" s="514">
        <f t="shared" si="866"/>
        <v>24.113</v>
      </c>
      <c r="AX452" s="514">
        <f t="shared" si="866"/>
        <v>28.49</v>
      </c>
      <c r="AY452" s="514">
        <f t="shared" si="866"/>
        <v>33.06</v>
      </c>
      <c r="AZ452" s="515">
        <f t="shared" si="866"/>
        <v>30.640999999999998</v>
      </c>
      <c r="BA452" s="514">
        <f t="shared" si="866"/>
        <v>34.777999999999999</v>
      </c>
      <c r="BB452" s="514">
        <f t="shared" si="866"/>
        <v>41.03</v>
      </c>
      <c r="BC452" s="514">
        <f t="shared" si="866"/>
        <v>47.124000000000002</v>
      </c>
      <c r="BD452" s="515">
        <f t="shared" si="866"/>
        <v>39.759</v>
      </c>
      <c r="BE452" s="514">
        <f t="shared" si="866"/>
        <v>45.536999999999999</v>
      </c>
      <c r="BF452" s="514">
        <f t="shared" si="866"/>
        <v>47.445</v>
      </c>
      <c r="BG452" s="514">
        <f t="shared" si="866"/>
        <v>52.960999999999999</v>
      </c>
      <c r="BH452" s="515">
        <f t="shared" si="866"/>
        <v>49.991</v>
      </c>
      <c r="BI452" s="514">
        <f t="shared" si="866"/>
        <v>52.262999999999998</v>
      </c>
      <c r="BJ452" s="514">
        <f t="shared" si="866"/>
        <v>59.854999999999997</v>
      </c>
      <c r="BK452" s="514">
        <f t="shared" si="866"/>
        <v>65.274000000000001</v>
      </c>
      <c r="BL452" s="514">
        <f t="shared" si="866"/>
        <v>58.424999999999997</v>
      </c>
      <c r="BM452" s="1516">
        <f t="shared" si="866"/>
        <v>64.311000000000007</v>
      </c>
      <c r="BN452" s="1517">
        <f t="shared" si="866"/>
        <v>75.052999999999997</v>
      </c>
      <c r="BO452" s="1517">
        <f t="shared" si="866"/>
        <v>86.091999999999999</v>
      </c>
      <c r="BP452" s="1518">
        <f t="shared" si="866"/>
        <v>85.453999999999994</v>
      </c>
      <c r="BQ452" s="1516">
        <f t="shared" si="866"/>
        <v>81.944000000000003</v>
      </c>
      <c r="BR452" s="1517">
        <f t="shared" si="866"/>
        <v>94.522999999999996</v>
      </c>
      <c r="BS452" s="1517">
        <f t="shared" si="866"/>
        <v>93.069000000000003</v>
      </c>
      <c r="BT452" s="1518">
        <f t="shared" si="866"/>
        <v>83.685000000000002</v>
      </c>
      <c r="BU452" s="1516">
        <f t="shared" si="866"/>
        <v>92.322999999999993</v>
      </c>
      <c r="BV452" s="1517">
        <f t="shared" si="866"/>
        <v>105.52200000000001</v>
      </c>
      <c r="BW452" s="1517">
        <f t="shared" si="866"/>
        <v>124.86499999999999</v>
      </c>
      <c r="BX452" s="1518">
        <f t="shared" si="866"/>
        <v>112.515</v>
      </c>
      <c r="BY452" s="1517">
        <f t="shared" si="866"/>
        <v>114.036</v>
      </c>
      <c r="BZ452" s="1517">
        <f t="shared" si="866"/>
        <v>131.73400000000001</v>
      </c>
      <c r="CA452" s="1517">
        <f t="shared" si="866"/>
        <v>165.53899999999999</v>
      </c>
      <c r="CB452" s="1518">
        <f t="shared" ref="CB452" si="867">+CB63</f>
        <v>150.649</v>
      </c>
      <c r="CC452" s="1516">
        <f>+BY452+CC455</f>
        <v>154.036</v>
      </c>
      <c r="CD452" s="1517">
        <f>+BZ452+CD455</f>
        <v>161.73400000000001</v>
      </c>
      <c r="CE452" s="1517">
        <f>+CA452+CE455</f>
        <v>185.53899999999999</v>
      </c>
      <c r="CF452" s="1518">
        <f>+CB452+CF455</f>
        <v>170.649</v>
      </c>
      <c r="CG452" s="582"/>
      <c r="CH452" s="583"/>
      <c r="CI452" s="581"/>
      <c r="CJ452" s="600"/>
      <c r="CK452" s="600"/>
      <c r="CL452" s="600"/>
      <c r="CM452" s="514">
        <f>+SUM(AG452:AJ452)</f>
        <v>42.118000000000002</v>
      </c>
      <c r="CN452" s="514">
        <f>+SUM(AK452:AN452)</f>
        <v>47.159000000000006</v>
      </c>
      <c r="CO452" s="514">
        <f>+SUM(AO452:AR452)</f>
        <v>77.948000000000008</v>
      </c>
      <c r="CP452" s="514">
        <f>+SUM(AS452:AV452)</f>
        <v>81.238</v>
      </c>
      <c r="CQ452" s="514">
        <f>+SUM(AW452:AZ452)</f>
        <v>116.304</v>
      </c>
      <c r="CR452" s="514">
        <f>+SUM(BA452:BD452)</f>
        <v>162.69099999999997</v>
      </c>
      <c r="CS452" s="514">
        <f>+SUM(BE452:BH452)</f>
        <v>195.93399999999997</v>
      </c>
      <c r="CT452" s="514">
        <f>+SUM(BI452:BL452)</f>
        <v>235.81700000000001</v>
      </c>
      <c r="CU452" s="514">
        <f>SUM(BM452:BP452)</f>
        <v>310.91000000000003</v>
      </c>
      <c r="CV452" s="514">
        <f>SUM(BQ452:BT452)</f>
        <v>353.221</v>
      </c>
      <c r="CW452" s="514">
        <f>SUM(BU452:BX452)</f>
        <v>435.22499999999997</v>
      </c>
      <c r="CX452" s="514">
        <f>SUM(BY452:CB452)</f>
        <v>561.95799999999997</v>
      </c>
      <c r="CY452" s="1517">
        <f>SUM(CC452:CF452)</f>
        <v>671.95799999999997</v>
      </c>
      <c r="CZ452" s="1517">
        <f t="shared" ref="CZ452:DF452" si="868">+CY452+CZ455</f>
        <v>771.95799999999997</v>
      </c>
      <c r="DA452" s="1517">
        <f t="shared" si="868"/>
        <v>866.95799999999997</v>
      </c>
      <c r="DB452" s="1517">
        <f t="shared" si="868"/>
        <v>936.95799999999997</v>
      </c>
      <c r="DC452" s="1517">
        <f t="shared" si="868"/>
        <v>1001.958</v>
      </c>
      <c r="DD452" s="1517">
        <f t="shared" si="868"/>
        <v>1066.9580000000001</v>
      </c>
      <c r="DE452" s="1517">
        <f t="shared" si="868"/>
        <v>1131.9580000000001</v>
      </c>
      <c r="DF452" s="1518">
        <f t="shared" si="868"/>
        <v>1196.9580000000001</v>
      </c>
      <c r="DG452" s="632"/>
      <c r="DH452" s="632"/>
    </row>
    <row r="453" spans="1:113" s="308" customFormat="1" ht="11.25" customHeight="1">
      <c r="A453" s="82"/>
      <c r="B453"/>
      <c r="C453"/>
      <c r="D453"/>
      <c r="E453"/>
      <c r="F453"/>
      <c r="G453"/>
      <c r="H453" s="1044"/>
      <c r="I453" s="586" t="s">
        <v>506</v>
      </c>
      <c r="J453" s="83"/>
      <c r="K453" s="83"/>
      <c r="L453" s="307"/>
      <c r="M453" s="336"/>
      <c r="N453" s="336"/>
      <c r="O453" s="336"/>
      <c r="P453" s="337"/>
      <c r="Q453" s="336"/>
      <c r="R453" s="336"/>
      <c r="S453" s="336"/>
      <c r="T453" s="337"/>
      <c r="U453" s="393"/>
      <c r="V453" s="393"/>
      <c r="W453" s="393"/>
      <c r="X453" s="472"/>
      <c r="Y453" s="393"/>
      <c r="Z453" s="393"/>
      <c r="AA453" s="393"/>
      <c r="AB453" s="472"/>
      <c r="AC453" s="393"/>
      <c r="AD453" s="393"/>
      <c r="AE453" s="393"/>
      <c r="AF453" s="472"/>
      <c r="AG453" s="391">
        <f t="shared" ref="AG453:BL453" si="869">+AG452/AG39</f>
        <v>0.13265772313826477</v>
      </c>
      <c r="AH453" s="391">
        <f t="shared" si="869"/>
        <v>0.10120600355374088</v>
      </c>
      <c r="AI453" s="391">
        <f t="shared" si="869"/>
        <v>9.1595814257684746E-2</v>
      </c>
      <c r="AJ453" s="392">
        <f t="shared" si="869"/>
        <v>0.10675562969140955</v>
      </c>
      <c r="AK453" s="391">
        <f t="shared" si="869"/>
        <v>0.10988164369841771</v>
      </c>
      <c r="AL453" s="391">
        <f t="shared" si="869"/>
        <v>7.440620299174272E-2</v>
      </c>
      <c r="AM453" s="391">
        <f t="shared" si="869"/>
        <v>6.4710795676391653E-2</v>
      </c>
      <c r="AN453" s="392">
        <f t="shared" si="869"/>
        <v>6.9502722413706974E-2</v>
      </c>
      <c r="AO453" s="391">
        <f t="shared" si="869"/>
        <v>9.018624760495407E-2</v>
      </c>
      <c r="AP453" s="391">
        <f t="shared" si="869"/>
        <v>7.8549610799093506E-2</v>
      </c>
      <c r="AQ453" s="391">
        <f t="shared" si="869"/>
        <v>6.7869323394858225E-2</v>
      </c>
      <c r="AR453" s="392">
        <f t="shared" si="869"/>
        <v>9.8666276546460888E-2</v>
      </c>
      <c r="AS453" s="391">
        <f t="shared" si="869"/>
        <v>8.8412614601833639E-2</v>
      </c>
      <c r="AT453" s="391">
        <f t="shared" si="869"/>
        <v>6.7786448607316252E-2</v>
      </c>
      <c r="AU453" s="391">
        <f t="shared" si="869"/>
        <v>5.6388621355465136E-2</v>
      </c>
      <c r="AV453" s="392">
        <f t="shared" si="869"/>
        <v>5.6371711650153727E-2</v>
      </c>
      <c r="AW453" s="391">
        <f t="shared" si="869"/>
        <v>7.5561864651098695E-2</v>
      </c>
      <c r="AX453" s="391">
        <f t="shared" si="869"/>
        <v>6.3852580997973946E-2</v>
      </c>
      <c r="AY453" s="391">
        <f t="shared" si="869"/>
        <v>4.9475612384167818E-2</v>
      </c>
      <c r="AZ453" s="392">
        <f t="shared" si="869"/>
        <v>6.3813347883856827E-2</v>
      </c>
      <c r="BA453" s="391">
        <f t="shared" si="869"/>
        <v>6.8757315028627461E-2</v>
      </c>
      <c r="BB453" s="391">
        <f t="shared" si="869"/>
        <v>5.4763109177859308E-2</v>
      </c>
      <c r="BC453" s="391">
        <f t="shared" si="869"/>
        <v>4.2834236848133159E-2</v>
      </c>
      <c r="BD453" s="392">
        <f t="shared" si="869"/>
        <v>5.4862928920638557E-2</v>
      </c>
      <c r="BE453" s="391">
        <f t="shared" si="869"/>
        <v>6.1264274413148065E-2</v>
      </c>
      <c r="BF453" s="391">
        <f t="shared" si="869"/>
        <v>4.7249293426626912E-2</v>
      </c>
      <c r="BG453" s="391">
        <f t="shared" si="869"/>
        <v>3.7924068797659291E-2</v>
      </c>
      <c r="BH453" s="392">
        <f t="shared" si="869"/>
        <v>5.3196062782654957E-2</v>
      </c>
      <c r="BI453" s="391">
        <f t="shared" si="869"/>
        <v>5.176271337522842E-2</v>
      </c>
      <c r="BJ453" s="391">
        <f t="shared" si="869"/>
        <v>4.3252363867601736E-2</v>
      </c>
      <c r="BK453" s="391">
        <f t="shared" si="869"/>
        <v>3.2816423797110708E-2</v>
      </c>
      <c r="BL453" s="391">
        <f t="shared" si="869"/>
        <v>4.3819812630456291E-2</v>
      </c>
      <c r="BM453" s="1405">
        <f t="shared" ref="BM453:CF453" si="870">+BM452/BM39</f>
        <v>4.5725080716203889E-2</v>
      </c>
      <c r="BN453" s="391">
        <f t="shared" si="870"/>
        <v>3.9858289661794291E-2</v>
      </c>
      <c r="BO453" s="391">
        <f t="shared" si="870"/>
        <v>3.2859817906867921E-2</v>
      </c>
      <c r="BP453" s="392">
        <f t="shared" si="870"/>
        <v>5.1026909538211658E-2</v>
      </c>
      <c r="BQ453" s="1405">
        <f t="shared" si="870"/>
        <v>4.9002652735618664E-2</v>
      </c>
      <c r="BR453" s="391">
        <f t="shared" si="870"/>
        <v>4.5163519049589422E-2</v>
      </c>
      <c r="BS453" s="391">
        <f t="shared" si="870"/>
        <v>3.1577908052232533E-2</v>
      </c>
      <c r="BT453" s="392">
        <f t="shared" si="870"/>
        <v>4.4527911553951485E-2</v>
      </c>
      <c r="BU453" s="1405">
        <f t="shared" si="870"/>
        <v>4.5716903117185376E-2</v>
      </c>
      <c r="BV453" s="391">
        <f t="shared" si="870"/>
        <v>4.3427943985928162E-2</v>
      </c>
      <c r="BW453" s="391">
        <f t="shared" si="870"/>
        <v>3.4790417443215677E-2</v>
      </c>
      <c r="BX453" s="392">
        <f t="shared" si="870"/>
        <v>4.94275732188348E-2</v>
      </c>
      <c r="BY453" s="391">
        <f t="shared" si="870"/>
        <v>4.8853692965789647E-2</v>
      </c>
      <c r="BZ453" s="391">
        <f t="shared" si="870"/>
        <v>4.4628150689711488E-2</v>
      </c>
      <c r="CA453" s="391">
        <f t="shared" si="870"/>
        <v>3.78413520192806E-2</v>
      </c>
      <c r="CB453" s="392">
        <f t="shared" ref="CB453" si="871">+CB452/CB39</f>
        <v>5.4387039733308599E-2</v>
      </c>
      <c r="CC453" s="1405">
        <f t="shared" si="870"/>
        <v>5.5062358928246451E-2</v>
      </c>
      <c r="CD453" s="391">
        <f t="shared" si="870"/>
        <v>4.5403010015186818E-2</v>
      </c>
      <c r="CE453" s="391">
        <f t="shared" si="870"/>
        <v>3.7075092662752711E-2</v>
      </c>
      <c r="CF453" s="392">
        <f t="shared" si="870"/>
        <v>5.0520894749048161E-2</v>
      </c>
      <c r="CG453" s="337"/>
      <c r="CH453" s="367"/>
      <c r="CI453" s="336"/>
      <c r="CJ453" s="393"/>
      <c r="CK453" s="393"/>
      <c r="CL453" s="393"/>
      <c r="CM453" s="391">
        <f t="shared" ref="CM453:DF453" si="872">+CM452/CM39</f>
        <v>0.10532870518565937</v>
      </c>
      <c r="CN453" s="391">
        <f t="shared" si="872"/>
        <v>7.5914136007662447E-2</v>
      </c>
      <c r="CO453" s="391">
        <f t="shared" si="872"/>
        <v>8.1538038287772327E-2</v>
      </c>
      <c r="CP453" s="391">
        <f t="shared" si="872"/>
        <v>6.4435583848828054E-2</v>
      </c>
      <c r="CQ453" s="391">
        <f t="shared" si="872"/>
        <v>6.077524176009081E-2</v>
      </c>
      <c r="CR453" s="391">
        <f t="shared" si="872"/>
        <v>5.2823811317324033E-2</v>
      </c>
      <c r="CS453" s="391">
        <f t="shared" si="872"/>
        <v>4.7979751601557499E-2</v>
      </c>
      <c r="CT453" s="391">
        <f t="shared" si="872"/>
        <v>4.1256421139259945E-2</v>
      </c>
      <c r="CU453" s="391">
        <f t="shared" si="872"/>
        <v>4.0994814171170596E-2</v>
      </c>
      <c r="CV453" s="391">
        <f t="shared" si="872"/>
        <v>4.1111375057656677E-2</v>
      </c>
      <c r="CW453" s="391">
        <f t="shared" si="872"/>
        <v>4.2194667567388343E-2</v>
      </c>
      <c r="CX453" s="391">
        <f t="shared" si="872"/>
        <v>4.5207832802182046E-2</v>
      </c>
      <c r="CY453" s="391">
        <f t="shared" si="872"/>
        <v>4.5581595476573492E-2</v>
      </c>
      <c r="CZ453" s="391">
        <f t="shared" si="872"/>
        <v>4.5978722280433162E-2</v>
      </c>
      <c r="DA453" s="391">
        <f t="shared" si="872"/>
        <v>4.6061526416695552E-2</v>
      </c>
      <c r="DB453" s="391">
        <f t="shared" si="872"/>
        <v>4.5095757799727916E-2</v>
      </c>
      <c r="DC453" s="391">
        <f t="shared" si="872"/>
        <v>4.4169078592106482E-2</v>
      </c>
      <c r="DD453" s="391">
        <f t="shared" si="872"/>
        <v>4.3435680203808273E-2</v>
      </c>
      <c r="DE453" s="391">
        <f t="shared" si="872"/>
        <v>4.2878716197718263E-2</v>
      </c>
      <c r="DF453" s="392">
        <f t="shared" si="872"/>
        <v>4.2180736752250862E-2</v>
      </c>
    </row>
    <row r="454" spans="1:113" s="61" customFormat="1" ht="11.25" customHeight="1">
      <c r="A454" s="48"/>
      <c r="B454"/>
      <c r="C454"/>
      <c r="D454"/>
      <c r="E454"/>
      <c r="F454"/>
      <c r="G454"/>
      <c r="H454" s="1044"/>
      <c r="I454" s="1332" t="s">
        <v>623</v>
      </c>
      <c r="J454" s="85"/>
      <c r="K454" s="85"/>
      <c r="L454" s="60"/>
      <c r="M454" s="350"/>
      <c r="N454" s="350"/>
      <c r="O454" s="350"/>
      <c r="P454" s="351"/>
      <c r="Q454" s="350"/>
      <c r="R454" s="350"/>
      <c r="S454" s="350"/>
      <c r="T454" s="351"/>
      <c r="U454" s="482"/>
      <c r="V454" s="482"/>
      <c r="W454" s="482"/>
      <c r="X454" s="483"/>
      <c r="Y454" s="482"/>
      <c r="Z454" s="482"/>
      <c r="AA454" s="482"/>
      <c r="AB454" s="483"/>
      <c r="AC454" s="482"/>
      <c r="AD454" s="482"/>
      <c r="AE454" s="482"/>
      <c r="AF454" s="483"/>
      <c r="AG454" s="482"/>
      <c r="AH454" s="482"/>
      <c r="AI454" s="482"/>
      <c r="AJ454" s="483"/>
      <c r="AK454" s="484">
        <f t="shared" ref="AK454:CF454" si="873">+(AK453-AG453)*10000</f>
        <v>-227.76079439847052</v>
      </c>
      <c r="AL454" s="484">
        <f t="shared" si="873"/>
        <v>-267.99800561998154</v>
      </c>
      <c r="AM454" s="484">
        <f t="shared" si="873"/>
        <v>-268.85018581293093</v>
      </c>
      <c r="AN454" s="485">
        <f t="shared" si="873"/>
        <v>-372.5290727770257</v>
      </c>
      <c r="AO454" s="484">
        <f t="shared" si="873"/>
        <v>-196.95396093463643</v>
      </c>
      <c r="AP454" s="484">
        <f t="shared" si="873"/>
        <v>41.434078073507848</v>
      </c>
      <c r="AQ454" s="484">
        <f t="shared" si="873"/>
        <v>31.585277184665721</v>
      </c>
      <c r="AR454" s="485">
        <f t="shared" si="873"/>
        <v>291.63554132753916</v>
      </c>
      <c r="AS454" s="484">
        <f t="shared" si="873"/>
        <v>-17.736330031204311</v>
      </c>
      <c r="AT454" s="484">
        <f t="shared" si="873"/>
        <v>-107.63162191777253</v>
      </c>
      <c r="AU454" s="484">
        <f t="shared" si="873"/>
        <v>-114.80702039393088</v>
      </c>
      <c r="AV454" s="485">
        <f t="shared" si="873"/>
        <v>-422.94564896307162</v>
      </c>
      <c r="AW454" s="484">
        <f t="shared" si="873"/>
        <v>-128.50749950734945</v>
      </c>
      <c r="AX454" s="484">
        <f t="shared" si="873"/>
        <v>-39.338676093423061</v>
      </c>
      <c r="AY454" s="484">
        <f t="shared" si="873"/>
        <v>-69.130089712973188</v>
      </c>
      <c r="AZ454" s="485">
        <f t="shared" si="873"/>
        <v>74.416362337031003</v>
      </c>
      <c r="BA454" s="484">
        <f t="shared" si="873"/>
        <v>-68.045496224712338</v>
      </c>
      <c r="BB454" s="484">
        <f t="shared" si="873"/>
        <v>-90.894718201146375</v>
      </c>
      <c r="BC454" s="484">
        <f t="shared" si="873"/>
        <v>-66.413755360346585</v>
      </c>
      <c r="BD454" s="485">
        <f t="shared" si="873"/>
        <v>-89.504189632182701</v>
      </c>
      <c r="BE454" s="484">
        <f t="shared" si="873"/>
        <v>-74.930406154793957</v>
      </c>
      <c r="BF454" s="484">
        <f t="shared" si="873"/>
        <v>-75.138157512323957</v>
      </c>
      <c r="BG454" s="484">
        <f t="shared" si="873"/>
        <v>-49.101680504738674</v>
      </c>
      <c r="BH454" s="485">
        <f t="shared" si="873"/>
        <v>-16.668661379835996</v>
      </c>
      <c r="BI454" s="484">
        <f t="shared" si="873"/>
        <v>-95.015610379196445</v>
      </c>
      <c r="BJ454" s="484">
        <f t="shared" si="873"/>
        <v>-39.969295590251768</v>
      </c>
      <c r="BK454" s="484">
        <f t="shared" si="873"/>
        <v>-51.076450005485832</v>
      </c>
      <c r="BL454" s="484">
        <f t="shared" si="873"/>
        <v>-93.762501521986664</v>
      </c>
      <c r="BM454" s="1519">
        <f t="shared" si="873"/>
        <v>-60.376326590245306</v>
      </c>
      <c r="BN454" s="484">
        <f t="shared" si="873"/>
        <v>-33.940742058074441</v>
      </c>
      <c r="BO454" s="484">
        <f t="shared" ref="BO454:BT454" si="874">+(BO453-BK453)*10000</f>
        <v>0.43394109757212418</v>
      </c>
      <c r="BP454" s="485">
        <f t="shared" si="874"/>
        <v>72.07096907755367</v>
      </c>
      <c r="BQ454" s="1519">
        <f>+(BQ453-BM453)*10000</f>
        <v>32.775720194147745</v>
      </c>
      <c r="BR454" s="484">
        <f>+(BR453-BN453)*10000</f>
        <v>53.052293877951307</v>
      </c>
      <c r="BS454" s="484">
        <f t="shared" si="874"/>
        <v>-12.81909854635388</v>
      </c>
      <c r="BT454" s="485">
        <f t="shared" si="874"/>
        <v>-64.989979842601727</v>
      </c>
      <c r="BU454" s="1519">
        <f>+(BU453-BQ453)*10000</f>
        <v>-32.857496184332881</v>
      </c>
      <c r="BV454" s="484">
        <f t="shared" si="873"/>
        <v>-17.355750636612598</v>
      </c>
      <c r="BW454" s="484">
        <f t="shared" si="873"/>
        <v>32.125093909831442</v>
      </c>
      <c r="BX454" s="485">
        <f t="shared" si="873"/>
        <v>48.996616648833147</v>
      </c>
      <c r="BY454" s="484">
        <f t="shared" si="873"/>
        <v>31.367898486042712</v>
      </c>
      <c r="BZ454" s="484">
        <f t="shared" si="873"/>
        <v>12.002067037833255</v>
      </c>
      <c r="CA454" s="484">
        <f t="shared" si="873"/>
        <v>30.509345760649232</v>
      </c>
      <c r="CB454" s="485">
        <f t="shared" si="873"/>
        <v>49.594665144737995</v>
      </c>
      <c r="CC454" s="1519">
        <f t="shared" si="873"/>
        <v>62.086659624568036</v>
      </c>
      <c r="CD454" s="484">
        <f t="shared" si="873"/>
        <v>7.7485932547532999</v>
      </c>
      <c r="CE454" s="484">
        <f t="shared" si="873"/>
        <v>-7.6625935652788888</v>
      </c>
      <c r="CF454" s="485">
        <f t="shared" si="873"/>
        <v>-38.661449842604391</v>
      </c>
      <c r="CG454" s="351"/>
      <c r="CH454" s="356"/>
      <c r="CI454" s="350"/>
      <c r="CJ454" s="482"/>
      <c r="CK454" s="482"/>
      <c r="CL454" s="482"/>
      <c r="CM454" s="482"/>
      <c r="CN454" s="484">
        <f t="shared" ref="CN454:CX454" si="875">+(CN453-CM453)*10000</f>
        <v>-294.14569177996924</v>
      </c>
      <c r="CO454" s="484">
        <f t="shared" si="875"/>
        <v>56.239022801098798</v>
      </c>
      <c r="CP454" s="484">
        <f t="shared" si="875"/>
        <v>-171.02454438944272</v>
      </c>
      <c r="CQ454" s="484">
        <f t="shared" si="875"/>
        <v>-36.603420887372437</v>
      </c>
      <c r="CR454" s="484">
        <f t="shared" si="875"/>
        <v>-79.514304427667767</v>
      </c>
      <c r="CS454" s="484">
        <f t="shared" si="875"/>
        <v>-48.440597157665344</v>
      </c>
      <c r="CT454" s="484">
        <f t="shared" si="875"/>
        <v>-67.233304622975538</v>
      </c>
      <c r="CU454" s="484">
        <f t="shared" si="875"/>
        <v>-2.6160696808934931</v>
      </c>
      <c r="CV454" s="484">
        <f t="shared" si="875"/>
        <v>1.1656088648608065</v>
      </c>
      <c r="CW454" s="484">
        <f t="shared" si="875"/>
        <v>10.832925097316663</v>
      </c>
      <c r="CX454" s="484">
        <f t="shared" si="875"/>
        <v>30.131652347937035</v>
      </c>
      <c r="CY454" s="484">
        <f t="shared" ref="CY454:DF454" si="876">+(CY453-CX453)*10000</f>
        <v>3.7376267439144515</v>
      </c>
      <c r="CZ454" s="484">
        <f t="shared" si="876"/>
        <v>3.9712680385967092</v>
      </c>
      <c r="DA454" s="484">
        <f t="shared" si="876"/>
        <v>0.82804136262389083</v>
      </c>
      <c r="DB454" s="484">
        <f t="shared" si="876"/>
        <v>-9.6576861696763547</v>
      </c>
      <c r="DC454" s="484">
        <f t="shared" si="876"/>
        <v>-9.2667920762143368</v>
      </c>
      <c r="DD454" s="484">
        <f t="shared" si="876"/>
        <v>-7.3339838829820927</v>
      </c>
      <c r="DE454" s="484">
        <f t="shared" si="876"/>
        <v>-5.5696400609001051</v>
      </c>
      <c r="DF454" s="485">
        <f t="shared" si="876"/>
        <v>-6.9797944546740043</v>
      </c>
    </row>
    <row r="455" spans="1:113" s="612" customFormat="1" ht="11.25" customHeight="1">
      <c r="A455" s="547"/>
      <c r="B455"/>
      <c r="C455"/>
      <c r="D455"/>
      <c r="E455"/>
      <c r="F455"/>
      <c r="G455"/>
      <c r="H455" s="1044"/>
      <c r="I455" s="1333" t="s">
        <v>637</v>
      </c>
      <c r="J455" s="21"/>
      <c r="K455" s="21"/>
      <c r="L455" s="611"/>
      <c r="M455" s="551"/>
      <c r="N455" s="551"/>
      <c r="O455" s="551"/>
      <c r="P455" s="552"/>
      <c r="Q455" s="551"/>
      <c r="R455" s="551"/>
      <c r="S455" s="551"/>
      <c r="T455" s="552"/>
      <c r="U455" s="516"/>
      <c r="V455" s="516"/>
      <c r="W455" s="516"/>
      <c r="X455" s="602"/>
      <c r="Y455" s="516"/>
      <c r="Z455" s="516"/>
      <c r="AA455" s="516"/>
      <c r="AB455" s="602"/>
      <c r="AC455" s="516"/>
      <c r="AD455" s="516"/>
      <c r="AE455" s="516"/>
      <c r="AF455" s="602"/>
      <c r="AG455" s="516"/>
      <c r="AH455" s="516"/>
      <c r="AI455" s="516"/>
      <c r="AJ455" s="602"/>
      <c r="AK455" s="517">
        <f t="shared" ref="AK455:BP455" si="877">+AK452-AG452</f>
        <v>1.8279999999999994</v>
      </c>
      <c r="AL455" s="517">
        <f t="shared" si="877"/>
        <v>0.81700000000000017</v>
      </c>
      <c r="AM455" s="517">
        <f t="shared" si="877"/>
        <v>1.8889999999999993</v>
      </c>
      <c r="AN455" s="601">
        <f t="shared" si="877"/>
        <v>0.50699999999999967</v>
      </c>
      <c r="AO455" s="517">
        <f t="shared" si="877"/>
        <v>4.9229999999999983</v>
      </c>
      <c r="AP455" s="517">
        <f t="shared" si="877"/>
        <v>8.4049999999999994</v>
      </c>
      <c r="AQ455" s="517">
        <f t="shared" si="877"/>
        <v>8.3590000000000018</v>
      </c>
      <c r="AR455" s="601">
        <f t="shared" si="877"/>
        <v>9.1020000000000003</v>
      </c>
      <c r="AS455" s="517">
        <f t="shared" si="877"/>
        <v>2.0860000000000021</v>
      </c>
      <c r="AT455" s="517">
        <f t="shared" si="877"/>
        <v>0.76099999999999923</v>
      </c>
      <c r="AU455" s="517">
        <f t="shared" si="877"/>
        <v>3.0209999999999972</v>
      </c>
      <c r="AV455" s="601">
        <f t="shared" si="877"/>
        <v>-2.5779999999999994</v>
      </c>
      <c r="AW455" s="517">
        <f t="shared" si="877"/>
        <v>5.6939999999999991</v>
      </c>
      <c r="AX455" s="517">
        <f t="shared" si="877"/>
        <v>7.7989999999999995</v>
      </c>
      <c r="AY455" s="517">
        <f t="shared" si="877"/>
        <v>8.5870000000000033</v>
      </c>
      <c r="AZ455" s="601">
        <f t="shared" si="877"/>
        <v>12.985999999999997</v>
      </c>
      <c r="BA455" s="517">
        <f t="shared" si="877"/>
        <v>10.664999999999999</v>
      </c>
      <c r="BB455" s="517">
        <f t="shared" si="877"/>
        <v>12.540000000000003</v>
      </c>
      <c r="BC455" s="517">
        <f t="shared" si="877"/>
        <v>14.064</v>
      </c>
      <c r="BD455" s="601">
        <f t="shared" si="877"/>
        <v>9.1180000000000021</v>
      </c>
      <c r="BE455" s="517">
        <f t="shared" si="877"/>
        <v>10.759</v>
      </c>
      <c r="BF455" s="517">
        <f t="shared" si="877"/>
        <v>6.4149999999999991</v>
      </c>
      <c r="BG455" s="517">
        <f t="shared" si="877"/>
        <v>5.8369999999999962</v>
      </c>
      <c r="BH455" s="601">
        <f t="shared" si="877"/>
        <v>10.231999999999999</v>
      </c>
      <c r="BI455" s="517">
        <f t="shared" si="877"/>
        <v>6.7259999999999991</v>
      </c>
      <c r="BJ455" s="517">
        <f t="shared" si="877"/>
        <v>12.409999999999997</v>
      </c>
      <c r="BK455" s="517">
        <f t="shared" si="877"/>
        <v>12.313000000000002</v>
      </c>
      <c r="BL455" s="517">
        <f t="shared" si="877"/>
        <v>8.4339999999999975</v>
      </c>
      <c r="BM455" s="1203">
        <f t="shared" si="877"/>
        <v>12.048000000000009</v>
      </c>
      <c r="BN455" s="517">
        <f t="shared" si="877"/>
        <v>15.198</v>
      </c>
      <c r="BO455" s="517">
        <f t="shared" si="877"/>
        <v>20.817999999999998</v>
      </c>
      <c r="BP455" s="601">
        <f t="shared" si="877"/>
        <v>27.028999999999996</v>
      </c>
      <c r="BQ455" s="1203">
        <f t="shared" ref="BQ455:CB455" si="878">+BQ452-BM452</f>
        <v>17.632999999999996</v>
      </c>
      <c r="BR455" s="517">
        <f t="shared" si="878"/>
        <v>19.47</v>
      </c>
      <c r="BS455" s="517">
        <f t="shared" si="878"/>
        <v>6.9770000000000039</v>
      </c>
      <c r="BT455" s="601">
        <f t="shared" si="878"/>
        <v>-1.7689999999999912</v>
      </c>
      <c r="BU455" s="1203">
        <f t="shared" si="878"/>
        <v>10.378999999999991</v>
      </c>
      <c r="BV455" s="517">
        <f t="shared" si="878"/>
        <v>10.999000000000009</v>
      </c>
      <c r="BW455" s="517">
        <f t="shared" si="878"/>
        <v>31.795999999999992</v>
      </c>
      <c r="BX455" s="601">
        <f t="shared" si="878"/>
        <v>28.83</v>
      </c>
      <c r="BY455" s="517">
        <f t="shared" si="878"/>
        <v>21.713000000000008</v>
      </c>
      <c r="BZ455" s="517">
        <f t="shared" si="878"/>
        <v>26.212000000000003</v>
      </c>
      <c r="CA455" s="517">
        <f t="shared" si="878"/>
        <v>40.673999999999992</v>
      </c>
      <c r="CB455" s="601">
        <f t="shared" si="878"/>
        <v>38.134</v>
      </c>
      <c r="CC455" s="1524">
        <v>40</v>
      </c>
      <c r="CD455" s="1382">
        <v>30</v>
      </c>
      <c r="CE455" s="1382">
        <v>20</v>
      </c>
      <c r="CF455" s="1525">
        <v>20</v>
      </c>
      <c r="CG455" s="552"/>
      <c r="CH455" s="553"/>
      <c r="CI455" s="551"/>
      <c r="CJ455" s="516"/>
      <c r="CK455" s="516"/>
      <c r="CL455" s="516"/>
      <c r="CM455" s="516"/>
      <c r="CN455" s="517">
        <f>+CN452-CM452</f>
        <v>5.0410000000000039</v>
      </c>
      <c r="CO455" s="517">
        <f t="shared" ref="CO455:CX455" si="879">+CO452-CN452</f>
        <v>30.789000000000001</v>
      </c>
      <c r="CP455" s="517">
        <f t="shared" si="879"/>
        <v>3.289999999999992</v>
      </c>
      <c r="CQ455" s="517">
        <f t="shared" si="879"/>
        <v>35.066000000000003</v>
      </c>
      <c r="CR455" s="517">
        <f t="shared" si="879"/>
        <v>46.386999999999972</v>
      </c>
      <c r="CS455" s="517">
        <f t="shared" si="879"/>
        <v>33.242999999999995</v>
      </c>
      <c r="CT455" s="517">
        <f t="shared" si="879"/>
        <v>39.883000000000038</v>
      </c>
      <c r="CU455" s="517">
        <f>+CU452-CT452</f>
        <v>75.093000000000018</v>
      </c>
      <c r="CV455" s="517">
        <f>+CV452-CU452</f>
        <v>42.310999999999979</v>
      </c>
      <c r="CW455" s="517">
        <f>+CW452-CV452</f>
        <v>82.003999999999962</v>
      </c>
      <c r="CX455" s="517">
        <f t="shared" si="879"/>
        <v>126.733</v>
      </c>
      <c r="CY455" s="517">
        <f>+CY452-CX452</f>
        <v>110</v>
      </c>
      <c r="CZ455" s="1382">
        <f>+CY455-10</f>
        <v>100</v>
      </c>
      <c r="DA455" s="1382">
        <f>+CZ455-5</f>
        <v>95</v>
      </c>
      <c r="DB455" s="1382">
        <f>+DA455-25</f>
        <v>70</v>
      </c>
      <c r="DC455" s="1382">
        <f>+DB455-5</f>
        <v>65</v>
      </c>
      <c r="DD455" s="1382">
        <f>+DC455</f>
        <v>65</v>
      </c>
      <c r="DE455" s="1382">
        <f>+DD455</f>
        <v>65</v>
      </c>
      <c r="DF455" s="1525">
        <f>+DE455</f>
        <v>65</v>
      </c>
    </row>
    <row r="456" spans="1:113" s="612" customFormat="1" ht="11.25" customHeight="1">
      <c r="A456" s="547"/>
      <c r="B456"/>
      <c r="C456"/>
      <c r="D456"/>
      <c r="E456"/>
      <c r="F456"/>
      <c r="G456"/>
      <c r="H456" s="1044"/>
      <c r="I456" s="586" t="s">
        <v>387</v>
      </c>
      <c r="J456" s="21"/>
      <c r="K456" s="21"/>
      <c r="L456" s="611"/>
      <c r="M456" s="551"/>
      <c r="N456" s="551"/>
      <c r="O456" s="551"/>
      <c r="P456" s="552"/>
      <c r="Q456" s="551"/>
      <c r="R456" s="551"/>
      <c r="S456" s="551"/>
      <c r="T456" s="552"/>
      <c r="U456" s="516"/>
      <c r="V456" s="516"/>
      <c r="W456" s="516"/>
      <c r="X456" s="602"/>
      <c r="Y456" s="516"/>
      <c r="Z456" s="516"/>
      <c r="AA456" s="516"/>
      <c r="AB456" s="602"/>
      <c r="AC456" s="516"/>
      <c r="AD456" s="516"/>
      <c r="AE456" s="516"/>
      <c r="AF456" s="602"/>
      <c r="AG456" s="516"/>
      <c r="AH456" s="516"/>
      <c r="AI456" s="516"/>
      <c r="AJ456" s="602"/>
      <c r="AK456" s="517">
        <f t="shared" ref="AK456:CF456" si="880">+AK452-AJ452</f>
        <v>0.78599999999999959</v>
      </c>
      <c r="AL456" s="517">
        <f t="shared" si="880"/>
        <v>0.11500000000000021</v>
      </c>
      <c r="AM456" s="517">
        <f t="shared" si="880"/>
        <v>1.5679999999999996</v>
      </c>
      <c r="AN456" s="601">
        <f t="shared" si="880"/>
        <v>-1.9619999999999997</v>
      </c>
      <c r="AO456" s="517">
        <f t="shared" si="880"/>
        <v>5.2019999999999982</v>
      </c>
      <c r="AP456" s="517">
        <f t="shared" si="880"/>
        <v>3.5970000000000013</v>
      </c>
      <c r="AQ456" s="517">
        <f t="shared" si="880"/>
        <v>1.522000000000002</v>
      </c>
      <c r="AR456" s="601">
        <f t="shared" si="880"/>
        <v>-1.2190000000000012</v>
      </c>
      <c r="AS456" s="517">
        <f t="shared" si="880"/>
        <v>-1.8140000000000001</v>
      </c>
      <c r="AT456" s="517">
        <f t="shared" si="880"/>
        <v>2.2719999999999985</v>
      </c>
      <c r="AU456" s="517">
        <f t="shared" si="880"/>
        <v>3.782</v>
      </c>
      <c r="AV456" s="601">
        <f t="shared" si="880"/>
        <v>-6.8179999999999978</v>
      </c>
      <c r="AW456" s="517">
        <f t="shared" si="880"/>
        <v>6.4579999999999984</v>
      </c>
      <c r="AX456" s="517">
        <f t="shared" si="880"/>
        <v>4.3769999999999989</v>
      </c>
      <c r="AY456" s="517">
        <f t="shared" si="880"/>
        <v>4.5700000000000038</v>
      </c>
      <c r="AZ456" s="601">
        <f t="shared" si="880"/>
        <v>-2.419000000000004</v>
      </c>
      <c r="BA456" s="517">
        <f t="shared" si="880"/>
        <v>4.1370000000000005</v>
      </c>
      <c r="BB456" s="517">
        <f t="shared" si="880"/>
        <v>6.2520000000000024</v>
      </c>
      <c r="BC456" s="517">
        <f t="shared" si="880"/>
        <v>6.0940000000000012</v>
      </c>
      <c r="BD456" s="601">
        <f t="shared" si="880"/>
        <v>-7.365000000000002</v>
      </c>
      <c r="BE456" s="517">
        <f t="shared" si="880"/>
        <v>5.7779999999999987</v>
      </c>
      <c r="BF456" s="517">
        <f t="shared" si="880"/>
        <v>1.9080000000000013</v>
      </c>
      <c r="BG456" s="517">
        <f t="shared" si="880"/>
        <v>5.5159999999999982</v>
      </c>
      <c r="BH456" s="601">
        <f t="shared" si="880"/>
        <v>-2.9699999999999989</v>
      </c>
      <c r="BI456" s="517">
        <f t="shared" si="880"/>
        <v>2.2719999999999985</v>
      </c>
      <c r="BJ456" s="517">
        <f t="shared" si="880"/>
        <v>7.5919999999999987</v>
      </c>
      <c r="BK456" s="517">
        <f t="shared" si="880"/>
        <v>5.419000000000004</v>
      </c>
      <c r="BL456" s="517">
        <f t="shared" si="880"/>
        <v>-6.8490000000000038</v>
      </c>
      <c r="BM456" s="1203">
        <f t="shared" si="880"/>
        <v>5.8860000000000099</v>
      </c>
      <c r="BN456" s="517">
        <f t="shared" si="880"/>
        <v>10.74199999999999</v>
      </c>
      <c r="BO456" s="517">
        <f t="shared" si="880"/>
        <v>11.039000000000001</v>
      </c>
      <c r="BP456" s="601">
        <f t="shared" si="880"/>
        <v>-0.63800000000000523</v>
      </c>
      <c r="BQ456" s="1203">
        <f>+BQ452-BP452</f>
        <v>-3.5099999999999909</v>
      </c>
      <c r="BR456" s="517">
        <f t="shared" si="880"/>
        <v>12.578999999999994</v>
      </c>
      <c r="BS456" s="517">
        <f t="shared" si="880"/>
        <v>-1.4539999999999935</v>
      </c>
      <c r="BT456" s="601">
        <f t="shared" si="880"/>
        <v>-9.3840000000000003</v>
      </c>
      <c r="BU456" s="1203">
        <f>+BU452-BT452</f>
        <v>8.637999999999991</v>
      </c>
      <c r="BV456" s="517">
        <f t="shared" si="880"/>
        <v>13.199000000000012</v>
      </c>
      <c r="BW456" s="517">
        <f t="shared" si="880"/>
        <v>19.342999999999989</v>
      </c>
      <c r="BX456" s="601">
        <f t="shared" si="880"/>
        <v>-12.349999999999994</v>
      </c>
      <c r="BY456" s="1203">
        <f t="shared" si="880"/>
        <v>1.5210000000000008</v>
      </c>
      <c r="BZ456" s="517">
        <f t="shared" si="880"/>
        <v>17.698000000000008</v>
      </c>
      <c r="CA456" s="517">
        <f t="shared" si="880"/>
        <v>33.804999999999978</v>
      </c>
      <c r="CB456" s="601">
        <f t="shared" si="880"/>
        <v>-14.889999999999986</v>
      </c>
      <c r="CC456" s="1203">
        <f t="shared" si="880"/>
        <v>3.3870000000000005</v>
      </c>
      <c r="CD456" s="517">
        <f t="shared" si="880"/>
        <v>7.6980000000000075</v>
      </c>
      <c r="CE456" s="517">
        <f t="shared" si="880"/>
        <v>23.804999999999978</v>
      </c>
      <c r="CF456" s="601">
        <f t="shared" si="880"/>
        <v>-14.889999999999986</v>
      </c>
      <c r="CG456" s="552"/>
      <c r="CH456" s="553"/>
      <c r="CI456" s="551"/>
      <c r="CJ456" s="516"/>
      <c r="CK456" s="516"/>
      <c r="CL456" s="516"/>
      <c r="CM456" s="516"/>
      <c r="CN456" s="516"/>
      <c r="CO456" s="516"/>
      <c r="CP456" s="516"/>
      <c r="CQ456" s="516"/>
      <c r="CR456" s="516"/>
      <c r="CS456" s="516"/>
      <c r="CT456" s="516"/>
      <c r="CU456" s="516"/>
      <c r="CV456" s="516"/>
      <c r="CW456" s="516"/>
      <c r="CX456" s="516"/>
      <c r="CY456" s="516"/>
      <c r="CZ456" s="517"/>
      <c r="DA456" s="517"/>
      <c r="DB456" s="517"/>
      <c r="DC456" s="517"/>
      <c r="DD456" s="517"/>
      <c r="DE456" s="517"/>
      <c r="DF456" s="601"/>
    </row>
    <row r="457" spans="1:113" s="612" customFormat="1" ht="11.25" customHeight="1">
      <c r="A457" s="547"/>
      <c r="B457"/>
      <c r="C457"/>
      <c r="D457"/>
      <c r="E457"/>
      <c r="F457"/>
      <c r="G457"/>
      <c r="H457" s="1044"/>
      <c r="I457" s="586"/>
      <c r="J457" s="21"/>
      <c r="K457" s="21"/>
      <c r="L457" s="611"/>
      <c r="M457" s="551"/>
      <c r="N457" s="551"/>
      <c r="O457" s="551"/>
      <c r="P457" s="552"/>
      <c r="Q457" s="551"/>
      <c r="R457" s="551"/>
      <c r="S457" s="551"/>
      <c r="T457" s="552"/>
      <c r="U457" s="516"/>
      <c r="V457" s="516"/>
      <c r="W457" s="516"/>
      <c r="X457" s="602"/>
      <c r="Y457" s="516"/>
      <c r="Z457" s="516"/>
      <c r="AA457" s="516"/>
      <c r="AB457" s="602"/>
      <c r="AC457" s="516"/>
      <c r="AD457" s="516"/>
      <c r="AE457" s="516"/>
      <c r="AF457" s="602"/>
      <c r="AG457" s="516"/>
      <c r="AH457" s="516"/>
      <c r="AI457" s="516"/>
      <c r="AJ457" s="602"/>
      <c r="AK457" s="516"/>
      <c r="AL457" s="516"/>
      <c r="AM457" s="516"/>
      <c r="AN457" s="602"/>
      <c r="AO457" s="516"/>
      <c r="AP457" s="516"/>
      <c r="AQ457" s="516"/>
      <c r="AR457" s="602"/>
      <c r="AS457" s="516"/>
      <c r="AT457" s="516"/>
      <c r="AU457" s="516"/>
      <c r="AV457" s="602"/>
      <c r="AW457" s="516"/>
      <c r="AX457" s="516"/>
      <c r="AY457" s="516"/>
      <c r="AZ457" s="602"/>
      <c r="BA457" s="516"/>
      <c r="BB457" s="516"/>
      <c r="BC457" s="516"/>
      <c r="BD457" s="602"/>
      <c r="BE457" s="516"/>
      <c r="BF457" s="516"/>
      <c r="BG457" s="516"/>
      <c r="BH457" s="602"/>
      <c r="BI457" s="516"/>
      <c r="BJ457" s="516"/>
      <c r="BK457" s="516"/>
      <c r="BL457" s="516"/>
      <c r="BM457" s="603"/>
      <c r="BN457" s="516"/>
      <c r="BO457" s="516"/>
      <c r="BP457" s="602"/>
      <c r="BQ457" s="603"/>
      <c r="BR457" s="516"/>
      <c r="BS457" s="516"/>
      <c r="BT457" s="602"/>
      <c r="BU457" s="603"/>
      <c r="BV457" s="516"/>
      <c r="BW457" s="516"/>
      <c r="BX457" s="602"/>
      <c r="BY457" s="603"/>
      <c r="BZ457" s="516"/>
      <c r="CA457" s="516"/>
      <c r="CB457" s="602"/>
      <c r="CC457" s="603"/>
      <c r="CD457" s="516"/>
      <c r="CE457" s="516"/>
      <c r="CF457" s="602"/>
      <c r="CG457" s="552"/>
      <c r="CH457" s="553"/>
      <c r="CI457" s="551"/>
      <c r="CJ457" s="516"/>
      <c r="CK457" s="516"/>
      <c r="CL457" s="516"/>
      <c r="CM457" s="516"/>
      <c r="CN457" s="516"/>
      <c r="CO457" s="516"/>
      <c r="CP457" s="516"/>
      <c r="CQ457" s="516"/>
      <c r="CR457" s="516"/>
      <c r="CS457" s="516"/>
      <c r="CT457" s="516"/>
      <c r="CU457" s="516"/>
      <c r="CV457" s="516"/>
      <c r="CW457" s="516"/>
      <c r="CX457" s="516"/>
      <c r="CY457" s="516"/>
      <c r="CZ457" s="516"/>
      <c r="DA457" s="516"/>
      <c r="DB457" s="516"/>
      <c r="DC457" s="516"/>
      <c r="DD457" s="516"/>
      <c r="DE457" s="516"/>
      <c r="DF457" s="602"/>
    </row>
    <row r="458" spans="1:113" s="632" customFormat="1" ht="11.25" customHeight="1">
      <c r="A458" s="542"/>
      <c r="B458"/>
      <c r="C458"/>
      <c r="D458"/>
      <c r="E458"/>
      <c r="F458"/>
      <c r="G458"/>
      <c r="H458" s="1052"/>
      <c r="I458" s="617" t="s">
        <v>217</v>
      </c>
      <c r="J458" s="634"/>
      <c r="K458" s="634"/>
      <c r="L458" s="631"/>
      <c r="M458" s="581"/>
      <c r="N458" s="581"/>
      <c r="O458" s="581"/>
      <c r="P458" s="582"/>
      <c r="Q458" s="581"/>
      <c r="R458" s="581"/>
      <c r="S458" s="581"/>
      <c r="T458" s="582"/>
      <c r="U458" s="600"/>
      <c r="V458" s="600"/>
      <c r="W458" s="600"/>
      <c r="X458" s="599"/>
      <c r="Y458" s="600"/>
      <c r="Z458" s="600"/>
      <c r="AA458" s="600"/>
      <c r="AB458" s="599"/>
      <c r="AC458" s="600"/>
      <c r="AD458" s="600"/>
      <c r="AE458" s="600"/>
      <c r="AF458" s="599"/>
      <c r="AG458" s="514">
        <f t="shared" ref="AG458:BZ458" si="881">+AG64</f>
        <v>13.437000000000001</v>
      </c>
      <c r="AH458" s="514">
        <f t="shared" si="881"/>
        <v>15.04</v>
      </c>
      <c r="AI458" s="514">
        <f t="shared" si="881"/>
        <v>18.115000000000002</v>
      </c>
      <c r="AJ458" s="515">
        <f t="shared" si="881"/>
        <v>17.901</v>
      </c>
      <c r="AK458" s="514">
        <f t="shared" si="881"/>
        <v>18.323999999999998</v>
      </c>
      <c r="AL458" s="514">
        <f t="shared" si="881"/>
        <v>19.968999999999998</v>
      </c>
      <c r="AM458" s="514">
        <f t="shared" si="881"/>
        <v>23.055</v>
      </c>
      <c r="AN458" s="515">
        <f t="shared" si="881"/>
        <v>25.391000000000002</v>
      </c>
      <c r="AO458" s="514">
        <f t="shared" si="881"/>
        <v>26.944000000000003</v>
      </c>
      <c r="AP458" s="514">
        <f t="shared" si="881"/>
        <v>30.567</v>
      </c>
      <c r="AQ458" s="514">
        <f t="shared" si="881"/>
        <v>35.204000000000001</v>
      </c>
      <c r="AR458" s="515">
        <f t="shared" si="881"/>
        <v>30.545999999999999</v>
      </c>
      <c r="AS458" s="514">
        <f t="shared" si="881"/>
        <v>28.916999999999998</v>
      </c>
      <c r="AT458" s="514">
        <f t="shared" si="881"/>
        <v>33.599999999999994</v>
      </c>
      <c r="AU458" s="514">
        <f t="shared" si="881"/>
        <v>40.089000000000006</v>
      </c>
      <c r="AV458" s="515">
        <f t="shared" si="881"/>
        <v>36.875</v>
      </c>
      <c r="AW458" s="514">
        <f t="shared" si="881"/>
        <v>37.868000000000002</v>
      </c>
      <c r="AX458" s="514">
        <f t="shared" si="881"/>
        <v>47.385000000000005</v>
      </c>
      <c r="AY458" s="514">
        <f t="shared" si="881"/>
        <v>60.831000000000003</v>
      </c>
      <c r="AZ458" s="515">
        <f t="shared" si="881"/>
        <v>55.786999999999999</v>
      </c>
      <c r="BA458" s="514">
        <f t="shared" si="881"/>
        <v>61.228000000000002</v>
      </c>
      <c r="BB458" s="514">
        <f t="shared" si="881"/>
        <v>72.653000000000006</v>
      </c>
      <c r="BC458" s="514">
        <f t="shared" si="881"/>
        <v>81.164999999999992</v>
      </c>
      <c r="BD458" s="515">
        <f t="shared" si="881"/>
        <v>71.524000000000001</v>
      </c>
      <c r="BE458" s="514">
        <f t="shared" si="881"/>
        <v>84.153000000000006</v>
      </c>
      <c r="BF458" s="514">
        <f t="shared" si="881"/>
        <v>90.418000000000006</v>
      </c>
      <c r="BG458" s="514">
        <f t="shared" si="881"/>
        <v>117.655</v>
      </c>
      <c r="BH458" s="515">
        <f t="shared" si="881"/>
        <v>103.03700000000001</v>
      </c>
      <c r="BI458" s="514">
        <f t="shared" si="881"/>
        <v>112.50899999999999</v>
      </c>
      <c r="BJ458" s="514">
        <f t="shared" si="881"/>
        <v>131.26100000000002</v>
      </c>
      <c r="BK458" s="514">
        <f t="shared" si="881"/>
        <v>151.892</v>
      </c>
      <c r="BL458" s="514">
        <f t="shared" si="881"/>
        <v>162.50399999999999</v>
      </c>
      <c r="BM458" s="1514">
        <f t="shared" si="881"/>
        <v>155.72800000000001</v>
      </c>
      <c r="BN458" s="514">
        <f t="shared" si="881"/>
        <v>186.684</v>
      </c>
      <c r="BO458" s="514">
        <f t="shared" si="881"/>
        <v>213.33500000000001</v>
      </c>
      <c r="BP458" s="515">
        <f t="shared" si="881"/>
        <v>208.01900000000001</v>
      </c>
      <c r="BQ458" s="1514">
        <f t="shared" si="881"/>
        <v>204.97599999999997</v>
      </c>
      <c r="BR458" s="514">
        <f t="shared" si="881"/>
        <v>228.99200000000002</v>
      </c>
      <c r="BS458" s="514">
        <f t="shared" si="881"/>
        <v>247.05500000000001</v>
      </c>
      <c r="BT458" s="515">
        <f t="shared" si="881"/>
        <v>237.80799999999999</v>
      </c>
      <c r="BU458" s="1514">
        <f t="shared" si="881"/>
        <v>242.351</v>
      </c>
      <c r="BV458" s="514">
        <f t="shared" si="881"/>
        <v>277.678</v>
      </c>
      <c r="BW458" s="514">
        <f t="shared" si="881"/>
        <v>293.536</v>
      </c>
      <c r="BX458" s="514">
        <f t="shared" si="881"/>
        <v>286.89299999999997</v>
      </c>
      <c r="BY458" s="1514">
        <f t="shared" si="881"/>
        <v>292.08199999999999</v>
      </c>
      <c r="BZ458" s="514">
        <f t="shared" si="881"/>
        <v>318.82900000000001</v>
      </c>
      <c r="CA458" s="514">
        <f>+CA64</f>
        <v>417.017</v>
      </c>
      <c r="CB458" s="514">
        <f t="shared" ref="CB458" si="882">+CB64</f>
        <v>370.74299999999994</v>
      </c>
      <c r="CC458" s="1514">
        <f>+BY458+CC462</f>
        <v>385.10706243975392</v>
      </c>
      <c r="CD458" s="514">
        <f>+BZ458+CD462</f>
        <v>404.98383328972693</v>
      </c>
      <c r="CE458" s="514">
        <f>+CA458+CE462</f>
        <v>470.11637200671049</v>
      </c>
      <c r="CF458" s="515">
        <f>+CB458+CF462</f>
        <v>434.39446245806073</v>
      </c>
      <c r="CG458" s="582"/>
      <c r="CH458" s="583"/>
      <c r="CI458" s="581"/>
      <c r="CJ458" s="600"/>
      <c r="CK458" s="600"/>
      <c r="CL458" s="600"/>
      <c r="CM458" s="514">
        <f>+SUM(AG458:AJ458)</f>
        <v>64.492999999999995</v>
      </c>
      <c r="CN458" s="514">
        <f>+SUM(AK458:AN458)</f>
        <v>86.73899999999999</v>
      </c>
      <c r="CO458" s="514">
        <f>+SUM(AO458:AR458)</f>
        <v>123.261</v>
      </c>
      <c r="CP458" s="514">
        <f>+SUM(AS458:AV458)</f>
        <v>139.48099999999999</v>
      </c>
      <c r="CQ458" s="514">
        <f>+SUM(AW458:AZ458)</f>
        <v>201.87100000000001</v>
      </c>
      <c r="CR458" s="514">
        <f>+SUM(BA458:BD458)</f>
        <v>286.57</v>
      </c>
      <c r="CS458" s="514">
        <f>+SUM(BE458:BH458)</f>
        <v>395.26300000000003</v>
      </c>
      <c r="CT458" s="514">
        <f>+SUM(BI458:BL458)</f>
        <v>558.16600000000005</v>
      </c>
      <c r="CU458" s="514">
        <f>SUM(BM458:BP458)</f>
        <v>763.76600000000008</v>
      </c>
      <c r="CV458" s="514">
        <f>SUM(BQ458:BT458)</f>
        <v>918.8309999999999</v>
      </c>
      <c r="CW458" s="514">
        <f>SUM(BU458:BX458)</f>
        <v>1100.4580000000001</v>
      </c>
      <c r="CX458" s="514">
        <f>SUM(BY458:CB458)</f>
        <v>1398.671</v>
      </c>
      <c r="CY458" s="514">
        <f>SUM(CC458:CF458)</f>
        <v>1694.601730194252</v>
      </c>
      <c r="CZ458" s="514">
        <f>+CY458+CZ462</f>
        <v>1927.9541895323068</v>
      </c>
      <c r="DA458" s="514">
        <f t="shared" ref="DA458:DF458" si="883">+CZ458+DA462</f>
        <v>2151.0015119849659</v>
      </c>
      <c r="DB458" s="514">
        <f t="shared" si="883"/>
        <v>2364.0488344376249</v>
      </c>
      <c r="DC458" s="514">
        <f t="shared" si="883"/>
        <v>2567.096156890284</v>
      </c>
      <c r="DD458" s="514">
        <f t="shared" si="883"/>
        <v>2765.143479342943</v>
      </c>
      <c r="DE458" s="514">
        <f>+DD458+DE462</f>
        <v>2958.1908017956021</v>
      </c>
      <c r="DF458" s="515">
        <f t="shared" si="883"/>
        <v>3146.2381242482611</v>
      </c>
    </row>
    <row r="459" spans="1:113" s="308" customFormat="1" ht="11.25" customHeight="1">
      <c r="A459" s="82"/>
      <c r="B459"/>
      <c r="C459"/>
      <c r="D459"/>
      <c r="E459"/>
      <c r="F459"/>
      <c r="G459"/>
      <c r="H459" s="1044"/>
      <c r="I459" s="586" t="s">
        <v>506</v>
      </c>
      <c r="J459" s="83"/>
      <c r="K459" s="83"/>
      <c r="L459" s="307"/>
      <c r="M459" s="336"/>
      <c r="N459" s="336"/>
      <c r="O459" s="336"/>
      <c r="P459" s="337"/>
      <c r="Q459" s="336"/>
      <c r="R459" s="336"/>
      <c r="S459" s="336"/>
      <c r="T459" s="337"/>
      <c r="U459" s="393"/>
      <c r="V459" s="393"/>
      <c r="W459" s="393"/>
      <c r="X459" s="472"/>
      <c r="Y459" s="393"/>
      <c r="Z459" s="393"/>
      <c r="AA459" s="393"/>
      <c r="AB459" s="472"/>
      <c r="AC459" s="393"/>
      <c r="AD459" s="393"/>
      <c r="AE459" s="393"/>
      <c r="AF459" s="472"/>
      <c r="AG459" s="391">
        <f t="shared" ref="AG459:BB459" si="884">+AG458/AG39</f>
        <v>0.18602815965444203</v>
      </c>
      <c r="AH459" s="391">
        <f t="shared" si="884"/>
        <v>0.14214963517447354</v>
      </c>
      <c r="AI459" s="391">
        <f t="shared" si="884"/>
        <v>0.148095160235448</v>
      </c>
      <c r="AJ459" s="392">
        <f t="shared" si="884"/>
        <v>0.17987881467487973</v>
      </c>
      <c r="AK459" s="391">
        <f t="shared" si="884"/>
        <v>0.17646548984485591</v>
      </c>
      <c r="AL459" s="391">
        <f t="shared" si="884"/>
        <v>0.12892125531818743</v>
      </c>
      <c r="AM459" s="391">
        <f t="shared" si="884"/>
        <v>0.11394694831736116</v>
      </c>
      <c r="AN459" s="392">
        <f t="shared" si="884"/>
        <v>0.15854313402267844</v>
      </c>
      <c r="AO459" s="391">
        <f t="shared" si="884"/>
        <v>0.1487772151758944</v>
      </c>
      <c r="AP459" s="391">
        <f t="shared" si="884"/>
        <v>0.12047295300029559</v>
      </c>
      <c r="AQ459" s="391">
        <f t="shared" si="884"/>
        <v>0.11137757135896835</v>
      </c>
      <c r="AR459" s="392">
        <f t="shared" si="884"/>
        <v>0.14895764757515909</v>
      </c>
      <c r="AS459" s="391">
        <f t="shared" si="884"/>
        <v>0.13880382086113377</v>
      </c>
      <c r="AT459" s="391">
        <f t="shared" si="884"/>
        <v>0.11007803746584631</v>
      </c>
      <c r="AU459" s="391">
        <f t="shared" si="884"/>
        <v>9.2369690741602672E-2</v>
      </c>
      <c r="AV459" s="392">
        <f t="shared" si="884"/>
        <v>0.1177404059529549</v>
      </c>
      <c r="AW459" s="391">
        <f t="shared" si="884"/>
        <v>0.11866531292696078</v>
      </c>
      <c r="AX459" s="391">
        <f t="shared" si="884"/>
        <v>0.10620058092625467</v>
      </c>
      <c r="AY459" s="391">
        <f t="shared" si="884"/>
        <v>9.1036024710868496E-2</v>
      </c>
      <c r="AZ459" s="392">
        <f t="shared" si="884"/>
        <v>0.1161827368035221</v>
      </c>
      <c r="BA459" s="391">
        <f t="shared" si="884"/>
        <v>0.12104988454116976</v>
      </c>
      <c r="BB459" s="391">
        <f t="shared" si="884"/>
        <v>9.6970611043115107E-2</v>
      </c>
      <c r="BC459" s="391">
        <f>+BC452/BC39</f>
        <v>4.2834236848133159E-2</v>
      </c>
      <c r="BD459" s="392">
        <f>+BD458/BD39</f>
        <v>9.8695040823958149E-2</v>
      </c>
      <c r="BE459" s="391">
        <f>+BE458/BE39</f>
        <v>0.11321721862858004</v>
      </c>
      <c r="BF459" s="391">
        <f>+BF458/BF39</f>
        <v>9.0045033471361627E-2</v>
      </c>
      <c r="BG459" s="391">
        <f>+BG452/BG39</f>
        <v>3.7924068797659291E-2</v>
      </c>
      <c r="BH459" s="392">
        <f t="shared" ref="BH459:CF459" si="885">+BH458/BH39</f>
        <v>0.10964299015695662</v>
      </c>
      <c r="BI459" s="391">
        <f t="shared" si="885"/>
        <v>0.11143200962695547</v>
      </c>
      <c r="BJ459" s="391">
        <f t="shared" si="885"/>
        <v>9.4851700503304187E-2</v>
      </c>
      <c r="BK459" s="391">
        <f t="shared" si="885"/>
        <v>7.6363517532106795E-2</v>
      </c>
      <c r="BL459" s="391">
        <f t="shared" si="885"/>
        <v>0.12188095561317362</v>
      </c>
      <c r="BM459" s="1405">
        <f t="shared" si="885"/>
        <v>0.11072251045346827</v>
      </c>
      <c r="BN459" s="391">
        <f t="shared" si="885"/>
        <v>9.914200561233269E-2</v>
      </c>
      <c r="BO459" s="391">
        <f t="shared" si="885"/>
        <v>8.142625625100669E-2</v>
      </c>
      <c r="BP459" s="392">
        <f t="shared" si="885"/>
        <v>0.1242138073727298</v>
      </c>
      <c r="BQ459" s="1405">
        <f t="shared" si="885"/>
        <v>0.1225760000382721</v>
      </c>
      <c r="BR459" s="391">
        <f t="shared" si="885"/>
        <v>0.10941341847173262</v>
      </c>
      <c r="BS459" s="391">
        <f t="shared" si="885"/>
        <v>8.3824690002517591E-2</v>
      </c>
      <c r="BT459" s="392">
        <f t="shared" si="885"/>
        <v>0.12653514477889818</v>
      </c>
      <c r="BU459" s="1405">
        <f t="shared" si="885"/>
        <v>0.12000841813365028</v>
      </c>
      <c r="BV459" s="391">
        <f t="shared" si="885"/>
        <v>0.11427934108645173</v>
      </c>
      <c r="BW459" s="391">
        <f t="shared" si="885"/>
        <v>8.178624894575548E-2</v>
      </c>
      <c r="BX459" s="391">
        <f t="shared" si="885"/>
        <v>0.12603141593095296</v>
      </c>
      <c r="BY459" s="1405">
        <f t="shared" si="885"/>
        <v>0.1251296463295255</v>
      </c>
      <c r="BZ459" s="391">
        <f t="shared" si="885"/>
        <v>0.10801120937836869</v>
      </c>
      <c r="CA459" s="391">
        <f>+CA458/CA39</f>
        <v>9.5327911217443245E-2</v>
      </c>
      <c r="CB459" s="391">
        <f t="shared" ref="CB459" si="886">+CB458/CB39</f>
        <v>0.13384499247818457</v>
      </c>
      <c r="CC459" s="1405">
        <f t="shared" si="885"/>
        <v>0.13766199653237129</v>
      </c>
      <c r="CD459" s="391">
        <f t="shared" si="885"/>
        <v>0.11368966969741812</v>
      </c>
      <c r="CE459" s="391">
        <f t="shared" si="885"/>
        <v>9.3940400963818491E-2</v>
      </c>
      <c r="CF459" s="392">
        <f t="shared" si="885"/>
        <v>0.12860313812218671</v>
      </c>
      <c r="CG459" s="337"/>
      <c r="CH459" s="367"/>
      <c r="CI459" s="336"/>
      <c r="CJ459" s="393"/>
      <c r="CK459" s="393"/>
      <c r="CL459" s="393"/>
      <c r="CM459" s="391">
        <f t="shared" ref="CM459:DF459" si="887">+CM458/CM39</f>
        <v>0.16128411091549288</v>
      </c>
      <c r="CN459" s="391">
        <f t="shared" si="887"/>
        <v>0.13962798708981597</v>
      </c>
      <c r="CO459" s="391">
        <f t="shared" si="887"/>
        <v>0.12893801171792865</v>
      </c>
      <c r="CP459" s="391">
        <f t="shared" si="887"/>
        <v>0.11063221239836513</v>
      </c>
      <c r="CQ459" s="391">
        <f t="shared" si="887"/>
        <v>0.10548870915317866</v>
      </c>
      <c r="CR459" s="391">
        <f t="shared" si="887"/>
        <v>9.3045832954530672E-2</v>
      </c>
      <c r="CS459" s="391">
        <f t="shared" si="887"/>
        <v>9.6790860990366281E-2</v>
      </c>
      <c r="CT459" s="391">
        <f t="shared" si="887"/>
        <v>9.7651702640675478E-2</v>
      </c>
      <c r="CU459" s="391">
        <f t="shared" si="887"/>
        <v>0.10070581596043318</v>
      </c>
      <c r="CV459" s="391">
        <f t="shared" si="887"/>
        <v>0.1069426955237705</v>
      </c>
      <c r="CW459" s="391">
        <f t="shared" si="887"/>
        <v>0.10668840135992429</v>
      </c>
      <c r="CX459" s="391">
        <f t="shared" si="887"/>
        <v>0.11251887990430028</v>
      </c>
      <c r="CY459" s="391">
        <f t="shared" si="887"/>
        <v>0.11495160495092839</v>
      </c>
      <c r="CZ459" s="391">
        <f t="shared" si="887"/>
        <v>0.11483120875734631</v>
      </c>
      <c r="DA459" s="391">
        <f t="shared" si="887"/>
        <v>0.11428282911818979</v>
      </c>
      <c r="DB459" s="391">
        <f t="shared" si="887"/>
        <v>0.11378159284037087</v>
      </c>
      <c r="DC459" s="391">
        <f t="shared" si="887"/>
        <v>0.11316469543352262</v>
      </c>
      <c r="DD459" s="391">
        <f t="shared" si="887"/>
        <v>0.11256852461520116</v>
      </c>
      <c r="DE459" s="391">
        <f t="shared" si="887"/>
        <v>0.11205665214512751</v>
      </c>
      <c r="DF459" s="392">
        <f t="shared" si="887"/>
        <v>0.11087326546028468</v>
      </c>
    </row>
    <row r="460" spans="1:113" s="61" customFormat="1" ht="11.25" customHeight="1">
      <c r="A460" s="48"/>
      <c r="B460"/>
      <c r="C460"/>
      <c r="D460"/>
      <c r="E460"/>
      <c r="F460"/>
      <c r="G460"/>
      <c r="H460" s="1044"/>
      <c r="I460" s="1332" t="s">
        <v>623</v>
      </c>
      <c r="J460" s="85"/>
      <c r="K460" s="85"/>
      <c r="L460" s="60"/>
      <c r="M460" s="350"/>
      <c r="N460" s="350"/>
      <c r="O460" s="350"/>
      <c r="P460" s="351"/>
      <c r="Q460" s="350"/>
      <c r="R460" s="350"/>
      <c r="S460" s="350"/>
      <c r="T460" s="351"/>
      <c r="U460" s="482"/>
      <c r="V460" s="482"/>
      <c r="W460" s="482"/>
      <c r="X460" s="483"/>
      <c r="Y460" s="482"/>
      <c r="Z460" s="482"/>
      <c r="AA460" s="482"/>
      <c r="AB460" s="483"/>
      <c r="AC460" s="482"/>
      <c r="AD460" s="482"/>
      <c r="AE460" s="482"/>
      <c r="AF460" s="483"/>
      <c r="AG460" s="482"/>
      <c r="AH460" s="482"/>
      <c r="AI460" s="482"/>
      <c r="AJ460" s="483"/>
      <c r="AK460" s="484">
        <f t="shared" ref="AK460:CF460" si="888">+(AK459-AG459)*10000</f>
        <v>-95.626698095861158</v>
      </c>
      <c r="AL460" s="484">
        <f t="shared" si="888"/>
        <v>-132.28379856286111</v>
      </c>
      <c r="AM460" s="484">
        <f t="shared" si="888"/>
        <v>-341.48211918086838</v>
      </c>
      <c r="AN460" s="485">
        <f t="shared" si="888"/>
        <v>-213.35680652201287</v>
      </c>
      <c r="AO460" s="484">
        <f t="shared" si="888"/>
        <v>-276.88274668961509</v>
      </c>
      <c r="AP460" s="484">
        <f t="shared" si="888"/>
        <v>-84.48302317891843</v>
      </c>
      <c r="AQ460" s="484">
        <f t="shared" si="888"/>
        <v>-25.693769583928077</v>
      </c>
      <c r="AR460" s="485">
        <f t="shared" si="888"/>
        <v>-95.854864475193594</v>
      </c>
      <c r="AS460" s="484">
        <f t="shared" si="888"/>
        <v>-99.733943147606311</v>
      </c>
      <c r="AT460" s="484">
        <f t="shared" si="888"/>
        <v>-103.94915534449281</v>
      </c>
      <c r="AU460" s="484">
        <f t="shared" si="888"/>
        <v>-190.07880617365677</v>
      </c>
      <c r="AV460" s="485">
        <f t="shared" si="888"/>
        <v>-312.17241622204182</v>
      </c>
      <c r="AW460" s="484">
        <f t="shared" si="888"/>
        <v>-201.38507934172989</v>
      </c>
      <c r="AX460" s="484">
        <f t="shared" si="888"/>
        <v>-38.774565395916369</v>
      </c>
      <c r="AY460" s="484">
        <f t="shared" si="888"/>
        <v>-13.336660307341763</v>
      </c>
      <c r="AZ460" s="485">
        <f t="shared" si="888"/>
        <v>-15.576691494327971</v>
      </c>
      <c r="BA460" s="484">
        <f t="shared" si="888"/>
        <v>23.845716142089774</v>
      </c>
      <c r="BB460" s="484">
        <f t="shared" si="888"/>
        <v>-92.299698831395659</v>
      </c>
      <c r="BC460" s="484">
        <f t="shared" si="888"/>
        <v>-482.01787862735335</v>
      </c>
      <c r="BD460" s="485">
        <f t="shared" si="888"/>
        <v>-174.87695979563955</v>
      </c>
      <c r="BE460" s="484">
        <f t="shared" si="888"/>
        <v>-78.326659125897152</v>
      </c>
      <c r="BF460" s="484">
        <f t="shared" si="888"/>
        <v>-69.255775717534803</v>
      </c>
      <c r="BG460" s="484">
        <f t="shared" si="888"/>
        <v>-49.101680504738674</v>
      </c>
      <c r="BH460" s="485">
        <f t="shared" si="888"/>
        <v>109.47949332998475</v>
      </c>
      <c r="BI460" s="484">
        <f t="shared" si="888"/>
        <v>-17.852090016245715</v>
      </c>
      <c r="BJ460" s="484">
        <f t="shared" si="888"/>
        <v>48.066670319425604</v>
      </c>
      <c r="BK460" s="484">
        <f t="shared" si="888"/>
        <v>384.39448734447507</v>
      </c>
      <c r="BL460" s="484">
        <f t="shared" si="888"/>
        <v>122.37965456216997</v>
      </c>
      <c r="BM460" s="1519">
        <f t="shared" si="888"/>
        <v>-7.0949917348719911</v>
      </c>
      <c r="BN460" s="484">
        <f t="shared" si="888"/>
        <v>42.903051090285025</v>
      </c>
      <c r="BO460" s="484">
        <f>+(BO459-BK459)*10000</f>
        <v>50.627387188998952</v>
      </c>
      <c r="BP460" s="485">
        <f>+(BP459-BL459)*10000</f>
        <v>23.328517595561788</v>
      </c>
      <c r="BQ460" s="1519">
        <f>+(BQ459-BM459)*10000</f>
        <v>118.53489584803825</v>
      </c>
      <c r="BR460" s="484">
        <f t="shared" si="888"/>
        <v>102.71412859399933</v>
      </c>
      <c r="BS460" s="484">
        <f t="shared" si="888"/>
        <v>23.984337515109004</v>
      </c>
      <c r="BT460" s="485">
        <f t="shared" si="888"/>
        <v>23.213374061683833</v>
      </c>
      <c r="BU460" s="1519">
        <f>+(BU459-BQ459)*10000</f>
        <v>-25.675819046218212</v>
      </c>
      <c r="BV460" s="484">
        <f>+(BV459-BR459)*10000</f>
        <v>48.659226147191035</v>
      </c>
      <c r="BW460" s="484">
        <f>+(BW459-BS459)*10000</f>
        <v>-20.38441056762111</v>
      </c>
      <c r="BX460" s="484">
        <f t="shared" si="888"/>
        <v>-5.0372884794522292</v>
      </c>
      <c r="BY460" s="1519">
        <f t="shared" si="888"/>
        <v>51.212281958752243</v>
      </c>
      <c r="BZ460" s="484">
        <f t="shared" si="888"/>
        <v>-62.681317080830325</v>
      </c>
      <c r="CA460" s="484">
        <f t="shared" si="888"/>
        <v>135.41662271687767</v>
      </c>
      <c r="CB460" s="484">
        <f t="shared" si="888"/>
        <v>78.135765472316095</v>
      </c>
      <c r="CC460" s="1519">
        <f t="shared" si="888"/>
        <v>125.32350202845794</v>
      </c>
      <c r="CD460" s="484">
        <f t="shared" si="888"/>
        <v>56.784603190494224</v>
      </c>
      <c r="CE460" s="484">
        <f t="shared" si="888"/>
        <v>-13.875102536247546</v>
      </c>
      <c r="CF460" s="485">
        <f t="shared" si="888"/>
        <v>-52.418543559978602</v>
      </c>
      <c r="CG460" s="351"/>
      <c r="CH460" s="356"/>
      <c r="CI460" s="350"/>
      <c r="CJ460" s="482"/>
      <c r="CK460" s="482"/>
      <c r="CL460" s="482"/>
      <c r="CM460" s="482"/>
      <c r="CN460" s="484">
        <f>+(CN459-CM459)*10000</f>
        <v>-216.56123825676914</v>
      </c>
      <c r="CO460" s="484">
        <f t="shared" ref="CO460:CY460" si="889">+(CO459-CN459)*10000</f>
        <v>-106.89975371887317</v>
      </c>
      <c r="CP460" s="484">
        <f t="shared" si="889"/>
        <v>-183.05799319563525</v>
      </c>
      <c r="CQ460" s="484">
        <f t="shared" si="889"/>
        <v>-51.435032451864622</v>
      </c>
      <c r="CR460" s="484">
        <f t="shared" si="889"/>
        <v>-124.42876198647993</v>
      </c>
      <c r="CS460" s="484">
        <f t="shared" si="889"/>
        <v>37.450280358356096</v>
      </c>
      <c r="CT460" s="484">
        <f t="shared" si="889"/>
        <v>8.6084165030919646</v>
      </c>
      <c r="CU460" s="484">
        <f t="shared" si="889"/>
        <v>30.541133197577036</v>
      </c>
      <c r="CV460" s="484">
        <f>+(CV459-CU459)*10000</f>
        <v>62.368795633373217</v>
      </c>
      <c r="CW460" s="484">
        <f t="shared" si="889"/>
        <v>-2.5429416384621648</v>
      </c>
      <c r="CX460" s="484">
        <f t="shared" si="889"/>
        <v>58.30478544375989</v>
      </c>
      <c r="CY460" s="484">
        <f t="shared" si="889"/>
        <v>24.327250466281146</v>
      </c>
      <c r="CZ460" s="484">
        <f t="shared" ref="CZ460:DF460" si="890">+(CZ459-CY459)*10000</f>
        <v>-1.2039619358207576</v>
      </c>
      <c r="DA460" s="484">
        <f t="shared" si="890"/>
        <v>-5.4837963915652104</v>
      </c>
      <c r="DB460" s="484">
        <f t="shared" si="890"/>
        <v>-5.0123627781892282</v>
      </c>
      <c r="DC460" s="484">
        <f t="shared" si="890"/>
        <v>-6.1689740684825463</v>
      </c>
      <c r="DD460" s="484">
        <f t="shared" si="890"/>
        <v>-5.9617081832145926</v>
      </c>
      <c r="DE460" s="484">
        <f t="shared" si="890"/>
        <v>-5.1187247007364327</v>
      </c>
      <c r="DF460" s="2160">
        <f t="shared" si="890"/>
        <v>-11.833866848428299</v>
      </c>
    </row>
    <row r="461" spans="1:113" s="612" customFormat="1" ht="11.25" customHeight="1">
      <c r="A461" s="547"/>
      <c r="B461"/>
      <c r="C461"/>
      <c r="D461"/>
      <c r="E461"/>
      <c r="F461"/>
      <c r="G461"/>
      <c r="H461" s="1044"/>
      <c r="I461" s="586" t="s">
        <v>387</v>
      </c>
      <c r="J461" s="21"/>
      <c r="K461" s="21"/>
      <c r="L461" s="611"/>
      <c r="M461" s="551"/>
      <c r="N461" s="551"/>
      <c r="O461" s="551"/>
      <c r="P461" s="552"/>
      <c r="Q461" s="551"/>
      <c r="R461" s="551"/>
      <c r="S461" s="551"/>
      <c r="T461" s="552"/>
      <c r="U461" s="516"/>
      <c r="V461" s="516"/>
      <c r="W461" s="516"/>
      <c r="X461" s="602"/>
      <c r="Y461" s="516"/>
      <c r="Z461" s="516"/>
      <c r="AA461" s="516"/>
      <c r="AB461" s="602"/>
      <c r="AC461" s="516"/>
      <c r="AD461" s="516"/>
      <c r="AE461" s="516"/>
      <c r="AF461" s="602"/>
      <c r="AG461" s="516"/>
      <c r="AH461" s="516"/>
      <c r="AI461" s="516"/>
      <c r="AJ461" s="602"/>
      <c r="AK461" s="517">
        <f t="shared" ref="AK461:CF461" si="891">+AK458-AJ458</f>
        <v>0.42299999999999827</v>
      </c>
      <c r="AL461" s="517">
        <f t="shared" si="891"/>
        <v>1.6449999999999996</v>
      </c>
      <c r="AM461" s="517">
        <f t="shared" si="891"/>
        <v>3.0860000000000021</v>
      </c>
      <c r="AN461" s="601">
        <f t="shared" si="891"/>
        <v>2.3360000000000021</v>
      </c>
      <c r="AO461" s="517">
        <f t="shared" si="891"/>
        <v>1.5530000000000008</v>
      </c>
      <c r="AP461" s="517">
        <f t="shared" si="891"/>
        <v>3.6229999999999976</v>
      </c>
      <c r="AQ461" s="517">
        <f t="shared" si="891"/>
        <v>4.6370000000000005</v>
      </c>
      <c r="AR461" s="601">
        <f t="shared" si="891"/>
        <v>-4.6580000000000013</v>
      </c>
      <c r="AS461" s="517">
        <f t="shared" si="891"/>
        <v>-1.6290000000000013</v>
      </c>
      <c r="AT461" s="517">
        <f t="shared" si="891"/>
        <v>4.6829999999999963</v>
      </c>
      <c r="AU461" s="517">
        <f t="shared" si="891"/>
        <v>6.4890000000000114</v>
      </c>
      <c r="AV461" s="601">
        <f t="shared" si="891"/>
        <v>-3.2140000000000057</v>
      </c>
      <c r="AW461" s="517">
        <f t="shared" si="891"/>
        <v>0.9930000000000021</v>
      </c>
      <c r="AX461" s="517">
        <f t="shared" si="891"/>
        <v>9.517000000000003</v>
      </c>
      <c r="AY461" s="517">
        <f t="shared" si="891"/>
        <v>13.445999999999998</v>
      </c>
      <c r="AZ461" s="601">
        <f t="shared" si="891"/>
        <v>-5.044000000000004</v>
      </c>
      <c r="BA461" s="517">
        <f t="shared" si="891"/>
        <v>5.4410000000000025</v>
      </c>
      <c r="BB461" s="517">
        <f t="shared" si="891"/>
        <v>11.425000000000004</v>
      </c>
      <c r="BC461" s="517">
        <f t="shared" si="891"/>
        <v>8.5119999999999862</v>
      </c>
      <c r="BD461" s="601">
        <f t="shared" si="891"/>
        <v>-9.6409999999999911</v>
      </c>
      <c r="BE461" s="517">
        <f t="shared" si="891"/>
        <v>12.629000000000005</v>
      </c>
      <c r="BF461" s="517">
        <f t="shared" si="891"/>
        <v>6.2650000000000006</v>
      </c>
      <c r="BG461" s="517">
        <f t="shared" si="891"/>
        <v>27.236999999999995</v>
      </c>
      <c r="BH461" s="601">
        <f t="shared" si="891"/>
        <v>-14.617999999999995</v>
      </c>
      <c r="BI461" s="517">
        <f t="shared" si="891"/>
        <v>9.47199999999998</v>
      </c>
      <c r="BJ461" s="517">
        <f t="shared" si="891"/>
        <v>18.752000000000038</v>
      </c>
      <c r="BK461" s="517">
        <f t="shared" si="891"/>
        <v>20.630999999999972</v>
      </c>
      <c r="BL461" s="517">
        <f t="shared" si="891"/>
        <v>10.611999999999995</v>
      </c>
      <c r="BM461" s="1203">
        <f>+BM458-BL458</f>
        <v>-6.775999999999982</v>
      </c>
      <c r="BN461" s="517">
        <f>+BN458-BM458</f>
        <v>30.955999999999989</v>
      </c>
      <c r="BO461" s="517">
        <f t="shared" si="891"/>
        <v>26.65100000000001</v>
      </c>
      <c r="BP461" s="601">
        <f t="shared" si="891"/>
        <v>-5.3160000000000025</v>
      </c>
      <c r="BQ461" s="1203">
        <f>+BQ458-BP458</f>
        <v>-3.0430000000000348</v>
      </c>
      <c r="BR461" s="517">
        <f>+BR458-BQ458</f>
        <v>24.016000000000048</v>
      </c>
      <c r="BS461" s="517">
        <f>+BS458-BR458</f>
        <v>18.062999999999988</v>
      </c>
      <c r="BT461" s="601">
        <f>+BT458-BS458</f>
        <v>-9.2470000000000141</v>
      </c>
      <c r="BU461" s="1203">
        <f>+BU458-BT458</f>
        <v>4.5430000000000064</v>
      </c>
      <c r="BV461" s="517">
        <f t="shared" si="891"/>
        <v>35.326999999999998</v>
      </c>
      <c r="BW461" s="517">
        <f t="shared" si="891"/>
        <v>15.858000000000004</v>
      </c>
      <c r="BX461" s="517">
        <f t="shared" si="891"/>
        <v>-6.6430000000000291</v>
      </c>
      <c r="BY461" s="1203">
        <f t="shared" si="891"/>
        <v>5.1890000000000214</v>
      </c>
      <c r="BZ461" s="517">
        <f t="shared" si="891"/>
        <v>26.747000000000014</v>
      </c>
      <c r="CA461" s="517">
        <f t="shared" si="891"/>
        <v>98.187999999999988</v>
      </c>
      <c r="CB461" s="517">
        <f t="shared" si="891"/>
        <v>-46.274000000000058</v>
      </c>
      <c r="CC461" s="1203">
        <f t="shared" si="891"/>
        <v>14.36406243975398</v>
      </c>
      <c r="CD461" s="517">
        <f t="shared" si="891"/>
        <v>19.876770849973013</v>
      </c>
      <c r="CE461" s="517">
        <f t="shared" si="891"/>
        <v>65.132538716983561</v>
      </c>
      <c r="CF461" s="601">
        <f t="shared" si="891"/>
        <v>-35.721909548649762</v>
      </c>
      <c r="CG461" s="552"/>
      <c r="CH461" s="553"/>
      <c r="CI461" s="551"/>
      <c r="CJ461" s="516"/>
      <c r="CK461" s="516"/>
      <c r="CL461" s="516"/>
      <c r="CM461" s="516"/>
      <c r="CN461" s="517"/>
      <c r="CO461" s="517"/>
      <c r="CP461" s="517"/>
      <c r="CQ461" s="517"/>
      <c r="CR461" s="517"/>
      <c r="CS461" s="517"/>
      <c r="CT461" s="517"/>
      <c r="CU461" s="517"/>
      <c r="CV461" s="517"/>
      <c r="CW461" s="517"/>
      <c r="CX461" s="517"/>
      <c r="CY461" s="517"/>
      <c r="CZ461" s="517"/>
      <c r="DA461" s="517"/>
      <c r="DB461" s="517"/>
      <c r="DC461" s="517"/>
      <c r="DD461" s="517"/>
      <c r="DE461" s="517"/>
      <c r="DF461" s="2161"/>
    </row>
    <row r="462" spans="1:113" s="612" customFormat="1" ht="11.25" customHeight="1">
      <c r="A462" s="547"/>
      <c r="B462"/>
      <c r="C462"/>
      <c r="D462"/>
      <c r="E462"/>
      <c r="F462"/>
      <c r="G462"/>
      <c r="H462" s="1044"/>
      <c r="I462" s="586" t="s">
        <v>385</v>
      </c>
      <c r="J462" s="21"/>
      <c r="K462" s="21"/>
      <c r="L462" s="611"/>
      <c r="M462" s="551"/>
      <c r="N462" s="551"/>
      <c r="O462" s="551"/>
      <c r="P462" s="552"/>
      <c r="Q462" s="551"/>
      <c r="R462" s="551"/>
      <c r="S462" s="551"/>
      <c r="T462" s="552"/>
      <c r="U462" s="516"/>
      <c r="V462" s="516"/>
      <c r="W462" s="516"/>
      <c r="X462" s="602"/>
      <c r="Y462" s="516"/>
      <c r="Z462" s="516"/>
      <c r="AA462" s="516"/>
      <c r="AB462" s="602"/>
      <c r="AC462" s="516"/>
      <c r="AD462" s="516"/>
      <c r="AE462" s="516"/>
      <c r="AF462" s="602"/>
      <c r="AG462" s="516"/>
      <c r="AH462" s="516"/>
      <c r="AI462" s="516"/>
      <c r="AJ462" s="602"/>
      <c r="AK462" s="517">
        <f t="shared" ref="AK462:BN462" si="892">+AK458-AG458</f>
        <v>4.8869999999999969</v>
      </c>
      <c r="AL462" s="517">
        <f t="shared" si="892"/>
        <v>4.9289999999999985</v>
      </c>
      <c r="AM462" s="517">
        <f t="shared" si="892"/>
        <v>4.9399999999999977</v>
      </c>
      <c r="AN462" s="601">
        <f t="shared" si="892"/>
        <v>7.490000000000002</v>
      </c>
      <c r="AO462" s="517">
        <f t="shared" si="892"/>
        <v>8.6200000000000045</v>
      </c>
      <c r="AP462" s="517">
        <f t="shared" si="892"/>
        <v>10.598000000000003</v>
      </c>
      <c r="AQ462" s="517">
        <f t="shared" si="892"/>
        <v>12.149000000000001</v>
      </c>
      <c r="AR462" s="601">
        <f t="shared" si="892"/>
        <v>5.1549999999999976</v>
      </c>
      <c r="AS462" s="517">
        <f t="shared" si="892"/>
        <v>1.9729999999999954</v>
      </c>
      <c r="AT462" s="517">
        <f t="shared" si="892"/>
        <v>3.0329999999999941</v>
      </c>
      <c r="AU462" s="517">
        <f t="shared" si="892"/>
        <v>4.8850000000000051</v>
      </c>
      <c r="AV462" s="601">
        <f t="shared" si="892"/>
        <v>6.3290000000000006</v>
      </c>
      <c r="AW462" s="517">
        <f t="shared" si="892"/>
        <v>8.9510000000000041</v>
      </c>
      <c r="AX462" s="517">
        <f t="shared" si="892"/>
        <v>13.785000000000011</v>
      </c>
      <c r="AY462" s="517">
        <f t="shared" si="892"/>
        <v>20.741999999999997</v>
      </c>
      <c r="AZ462" s="601">
        <f t="shared" si="892"/>
        <v>18.911999999999999</v>
      </c>
      <c r="BA462" s="517">
        <f t="shared" si="892"/>
        <v>23.36</v>
      </c>
      <c r="BB462" s="517">
        <f t="shared" si="892"/>
        <v>25.268000000000001</v>
      </c>
      <c r="BC462" s="517">
        <f t="shared" si="892"/>
        <v>20.333999999999989</v>
      </c>
      <c r="BD462" s="601">
        <f t="shared" si="892"/>
        <v>15.737000000000002</v>
      </c>
      <c r="BE462" s="517">
        <f t="shared" si="892"/>
        <v>22.925000000000004</v>
      </c>
      <c r="BF462" s="517">
        <f t="shared" si="892"/>
        <v>17.765000000000001</v>
      </c>
      <c r="BG462" s="517">
        <f t="shared" si="892"/>
        <v>36.490000000000009</v>
      </c>
      <c r="BH462" s="601">
        <f t="shared" si="892"/>
        <v>31.513000000000005</v>
      </c>
      <c r="BI462" s="517">
        <f t="shared" si="892"/>
        <v>28.35599999999998</v>
      </c>
      <c r="BJ462" s="517">
        <f t="shared" si="892"/>
        <v>40.843000000000018</v>
      </c>
      <c r="BK462" s="517">
        <f t="shared" si="892"/>
        <v>34.236999999999995</v>
      </c>
      <c r="BL462" s="517">
        <f t="shared" si="892"/>
        <v>59.466999999999985</v>
      </c>
      <c r="BM462" s="1203">
        <f t="shared" si="892"/>
        <v>43.219000000000023</v>
      </c>
      <c r="BN462" s="517">
        <f t="shared" si="892"/>
        <v>55.422999999999973</v>
      </c>
      <c r="BO462" s="517">
        <f t="shared" ref="BO462:CB462" si="893">+BO458-BK458</f>
        <v>61.443000000000012</v>
      </c>
      <c r="BP462" s="601">
        <f t="shared" si="893"/>
        <v>45.515000000000015</v>
      </c>
      <c r="BQ462" s="1203">
        <f t="shared" si="893"/>
        <v>49.247999999999962</v>
      </c>
      <c r="BR462" s="517">
        <f t="shared" si="893"/>
        <v>42.308000000000021</v>
      </c>
      <c r="BS462" s="517">
        <f t="shared" si="893"/>
        <v>33.72</v>
      </c>
      <c r="BT462" s="601">
        <f t="shared" si="893"/>
        <v>29.788999999999987</v>
      </c>
      <c r="BU462" s="1203">
        <f t="shared" si="893"/>
        <v>37.375000000000028</v>
      </c>
      <c r="BV462" s="517">
        <f t="shared" si="893"/>
        <v>48.685999999999979</v>
      </c>
      <c r="BW462" s="517">
        <f t="shared" si="893"/>
        <v>46.480999999999995</v>
      </c>
      <c r="BX462" s="517">
        <f t="shared" si="893"/>
        <v>49.08499999999998</v>
      </c>
      <c r="BY462" s="1203">
        <f t="shared" si="893"/>
        <v>49.730999999999995</v>
      </c>
      <c r="BZ462" s="517">
        <f t="shared" si="893"/>
        <v>41.15100000000001</v>
      </c>
      <c r="CA462" s="517">
        <f t="shared" si="893"/>
        <v>123.48099999999999</v>
      </c>
      <c r="CB462" s="517">
        <f t="shared" si="893"/>
        <v>83.849999999999966</v>
      </c>
      <c r="CC462" s="1203">
        <f>+CC463+CC464</f>
        <v>93.025062439753896</v>
      </c>
      <c r="CD462" s="517">
        <f>+CD463+CD464</f>
        <v>86.154833289726909</v>
      </c>
      <c r="CE462" s="517">
        <f>+CE463+CE464</f>
        <v>53.099372006710503</v>
      </c>
      <c r="CF462" s="601">
        <f>+CF463+CF464</f>
        <v>63.65146245806077</v>
      </c>
      <c r="CG462" s="552"/>
      <c r="CH462" s="553"/>
      <c r="CI462" s="551"/>
      <c r="CJ462" s="516"/>
      <c r="CK462" s="516"/>
      <c r="CL462" s="516"/>
      <c r="CM462" s="516"/>
      <c r="CN462" s="517">
        <f>+CN458-CM458</f>
        <v>22.245999999999995</v>
      </c>
      <c r="CO462" s="517">
        <f t="shared" ref="CO462:CX462" si="894">+CO458-CN458</f>
        <v>36.522000000000006</v>
      </c>
      <c r="CP462" s="517">
        <f t="shared" si="894"/>
        <v>16.22</v>
      </c>
      <c r="CQ462" s="517">
        <f t="shared" si="894"/>
        <v>62.390000000000015</v>
      </c>
      <c r="CR462" s="517">
        <f t="shared" si="894"/>
        <v>84.698999999999984</v>
      </c>
      <c r="CS462" s="517">
        <f t="shared" si="894"/>
        <v>108.69300000000004</v>
      </c>
      <c r="CT462" s="517">
        <f>+CT458-CS458</f>
        <v>162.90300000000002</v>
      </c>
      <c r="CU462" s="517">
        <f>+CU458-CT458</f>
        <v>205.60000000000002</v>
      </c>
      <c r="CV462" s="517">
        <f>+CV458-CU458</f>
        <v>155.06499999999983</v>
      </c>
      <c r="CW462" s="517">
        <f>+CW458-CV458</f>
        <v>181.62700000000018</v>
      </c>
      <c r="CX462" s="517">
        <f t="shared" si="894"/>
        <v>298.21299999999997</v>
      </c>
      <c r="CY462" s="517">
        <f>+CY458-CX458</f>
        <v>295.93073019425196</v>
      </c>
      <c r="CZ462" s="517">
        <f t="shared" ref="CZ462:DF462" si="895">+CZ463+CZ464</f>
        <v>233.35245933805493</v>
      </c>
      <c r="DA462" s="517">
        <f t="shared" si="895"/>
        <v>223.04732245265924</v>
      </c>
      <c r="DB462" s="517">
        <f t="shared" si="895"/>
        <v>213.04732245265924</v>
      </c>
      <c r="DC462" s="517">
        <f t="shared" si="895"/>
        <v>203.04732245265924</v>
      </c>
      <c r="DD462" s="517">
        <f t="shared" si="895"/>
        <v>198.04732245265924</v>
      </c>
      <c r="DE462" s="517">
        <f t="shared" si="895"/>
        <v>193.04732245265924</v>
      </c>
      <c r="DF462" s="2161">
        <f t="shared" si="895"/>
        <v>188.04732245265924</v>
      </c>
    </row>
    <row r="463" spans="1:113" s="612" customFormat="1" ht="11.25" customHeight="1">
      <c r="A463" s="547"/>
      <c r="B463"/>
      <c r="C463"/>
      <c r="D463"/>
      <c r="E463"/>
      <c r="F463"/>
      <c r="G463"/>
      <c r="H463" s="1044"/>
      <c r="I463" s="1584" t="s">
        <v>212</v>
      </c>
      <c r="J463" s="21"/>
      <c r="K463" s="21"/>
      <c r="L463" s="611"/>
      <c r="M463" s="551"/>
      <c r="N463" s="551"/>
      <c r="O463" s="551"/>
      <c r="P463" s="552"/>
      <c r="Q463" s="551"/>
      <c r="R463" s="551"/>
      <c r="S463" s="551"/>
      <c r="T463" s="552"/>
      <c r="U463" s="516"/>
      <c r="V463" s="516"/>
      <c r="W463" s="516"/>
      <c r="X463" s="602"/>
      <c r="Y463" s="516"/>
      <c r="Z463" s="516"/>
      <c r="AA463" s="516"/>
      <c r="AB463" s="602"/>
      <c r="AC463" s="516"/>
      <c r="AD463" s="516"/>
      <c r="AE463" s="516"/>
      <c r="AF463" s="602"/>
      <c r="AG463" s="516"/>
      <c r="AH463" s="516"/>
      <c r="AI463" s="516"/>
      <c r="AJ463" s="602"/>
      <c r="AK463" s="517"/>
      <c r="AL463" s="517"/>
      <c r="AM463" s="517"/>
      <c r="AN463" s="601"/>
      <c r="AO463" s="517">
        <f t="shared" ref="AO463:CF463" si="896">+(AO421*AK458)</f>
        <v>2.6672944795990414</v>
      </c>
      <c r="AP463" s="517">
        <f t="shared" si="896"/>
        <v>2.8493104274770196</v>
      </c>
      <c r="AQ463" s="517">
        <f t="shared" si="896"/>
        <v>1.9607508344186539</v>
      </c>
      <c r="AR463" s="517">
        <f t="shared" si="896"/>
        <v>-1.5020673415077865</v>
      </c>
      <c r="AS463" s="517">
        <f t="shared" si="896"/>
        <v>-2.759371197445216</v>
      </c>
      <c r="AT463" s="517">
        <f t="shared" si="896"/>
        <v>-3.2891721393499345</v>
      </c>
      <c r="AU463" s="517">
        <f t="shared" si="896"/>
        <v>-2.376997604992459</v>
      </c>
      <c r="AV463" s="517">
        <f t="shared" si="896"/>
        <v>2.2141168639743047</v>
      </c>
      <c r="AW463" s="517">
        <f t="shared" si="896"/>
        <v>1.5455470387804595</v>
      </c>
      <c r="AX463" s="517">
        <f t="shared" si="896"/>
        <v>-1.6921933475608637</v>
      </c>
      <c r="AY463" s="517">
        <f t="shared" si="896"/>
        <v>-3.0803292156624327</v>
      </c>
      <c r="AZ463" s="517">
        <f t="shared" si="896"/>
        <v>-1.6427314120506273</v>
      </c>
      <c r="BA463" s="517">
        <f t="shared" si="896"/>
        <v>0.26025498864287416</v>
      </c>
      <c r="BB463" s="517">
        <f t="shared" si="896"/>
        <v>7.2225777141597218</v>
      </c>
      <c r="BC463" s="517">
        <f t="shared" si="896"/>
        <v>5.5919308156211338</v>
      </c>
      <c r="BD463" s="517">
        <f t="shared" si="896"/>
        <v>-0.5934790080057879</v>
      </c>
      <c r="BE463" s="517">
        <f t="shared" si="896"/>
        <v>-1.9110950983358799</v>
      </c>
      <c r="BF463" s="517">
        <f t="shared" si="896"/>
        <v>-6.6113613402565967</v>
      </c>
      <c r="BG463" s="517">
        <f t="shared" si="896"/>
        <v>-7.2813841836880284</v>
      </c>
      <c r="BH463" s="517">
        <f t="shared" si="896"/>
        <v>-1.2893480293007569</v>
      </c>
      <c r="BI463" s="517">
        <f t="shared" si="896"/>
        <v>-0.15660925825751593</v>
      </c>
      <c r="BJ463" s="517">
        <f t="shared" si="896"/>
        <v>0.10460029779669544</v>
      </c>
      <c r="BK463" s="517">
        <f t="shared" si="896"/>
        <v>0.80700029695180264</v>
      </c>
      <c r="BL463" s="517">
        <f t="shared" si="896"/>
        <v>-0.69229741066300632</v>
      </c>
      <c r="BM463" s="1203">
        <f t="shared" si="896"/>
        <v>-1.2220491710403194</v>
      </c>
      <c r="BN463" s="517">
        <f t="shared" si="896"/>
        <v>1.3248878266003041</v>
      </c>
      <c r="BO463" s="517">
        <f t="shared" si="896"/>
        <v>-0.5246521240065557</v>
      </c>
      <c r="BP463" s="601">
        <f t="shared" si="896"/>
        <v>-11.243308216347781</v>
      </c>
      <c r="BQ463" s="1203">
        <f t="shared" si="896"/>
        <v>-20.898682585639168</v>
      </c>
      <c r="BR463" s="517">
        <f t="shared" si="896"/>
        <v>-29.293104315318502</v>
      </c>
      <c r="BS463" s="517">
        <f t="shared" si="896"/>
        <v>-31.601085428917532</v>
      </c>
      <c r="BT463" s="601">
        <f t="shared" si="896"/>
        <v>-24.342390290121291</v>
      </c>
      <c r="BU463" s="1203">
        <f t="shared" si="896"/>
        <v>-10.468284283121594</v>
      </c>
      <c r="BV463" s="517">
        <f t="shared" si="896"/>
        <v>-3.7994444517051011</v>
      </c>
      <c r="BW463" s="517">
        <f t="shared" si="896"/>
        <v>-2.7537658601965029</v>
      </c>
      <c r="BX463" s="517">
        <f t="shared" si="896"/>
        <v>-5.5189199177527799</v>
      </c>
      <c r="BY463" s="1203">
        <f t="shared" si="896"/>
        <v>-7.1255781965593341</v>
      </c>
      <c r="BZ463" s="517">
        <f t="shared" si="896"/>
        <v>-7.4895132771967123</v>
      </c>
      <c r="CA463" s="517">
        <f t="shared" si="896"/>
        <v>5.7710234976586436</v>
      </c>
      <c r="CB463" s="517">
        <f t="shared" si="896"/>
        <v>15.09862925744045</v>
      </c>
      <c r="CC463" s="1203">
        <f t="shared" si="896"/>
        <v>18.025062439753903</v>
      </c>
      <c r="CD463" s="517">
        <f t="shared" si="896"/>
        <v>11.154833289726906</v>
      </c>
      <c r="CE463" s="517">
        <f t="shared" si="896"/>
        <v>-1.9006279932894952</v>
      </c>
      <c r="CF463" s="601">
        <f t="shared" si="896"/>
        <v>13.65146245806077</v>
      </c>
      <c r="CG463" s="552"/>
      <c r="CH463" s="553"/>
      <c r="CI463" s="551"/>
      <c r="CJ463" s="516"/>
      <c r="CK463" s="516"/>
      <c r="CL463" s="516"/>
      <c r="CM463" s="516"/>
      <c r="CN463" s="517"/>
      <c r="CO463" s="517">
        <f t="shared" ref="CO463:DF463" si="897">+(CO421*CN458)</f>
        <v>0.28452491897270482</v>
      </c>
      <c r="CP463" s="517">
        <f t="shared" si="897"/>
        <v>-7.211400571000782</v>
      </c>
      <c r="CQ463" s="517">
        <f t="shared" si="897"/>
        <v>-3.2523862260296119</v>
      </c>
      <c r="CR463" s="517">
        <f t="shared" si="897"/>
        <v>0.25013027742673394</v>
      </c>
      <c r="CS463" s="517">
        <f t="shared" si="897"/>
        <v>-15.718736965862453</v>
      </c>
      <c r="CT463" s="517">
        <f t="shared" si="897"/>
        <v>-8.3425559736988952E-2</v>
      </c>
      <c r="CU463" s="517">
        <f t="shared" si="897"/>
        <v>-10.93590083781003</v>
      </c>
      <c r="CV463" s="517">
        <f t="shared" si="897"/>
        <v>-106.13881645621662</v>
      </c>
      <c r="CW463" s="517">
        <f t="shared" si="897"/>
        <v>-23.350095792763533</v>
      </c>
      <c r="CX463" s="517">
        <f t="shared" si="897"/>
        <v>26.19971704650693</v>
      </c>
      <c r="CY463" s="517">
        <f t="shared" si="897"/>
        <v>42.88340774159272</v>
      </c>
      <c r="CZ463" s="517">
        <f t="shared" si="897"/>
        <v>0.30513688539569167</v>
      </c>
      <c r="DA463" s="517">
        <f t="shared" si="897"/>
        <v>0</v>
      </c>
      <c r="DB463" s="517">
        <f t="shared" si="897"/>
        <v>0</v>
      </c>
      <c r="DC463" s="517">
        <f t="shared" si="897"/>
        <v>0</v>
      </c>
      <c r="DD463" s="517">
        <f t="shared" si="897"/>
        <v>0</v>
      </c>
      <c r="DE463" s="517">
        <f t="shared" si="897"/>
        <v>0</v>
      </c>
      <c r="DF463" s="2161">
        <f t="shared" si="897"/>
        <v>0</v>
      </c>
      <c r="DG463" s="1480"/>
      <c r="DH463" s="1480"/>
      <c r="DI463" s="517"/>
    </row>
    <row r="464" spans="1:113" s="612" customFormat="1" ht="11.25" customHeight="1">
      <c r="A464" s="547"/>
      <c r="B464"/>
      <c r="C464"/>
      <c r="D464"/>
      <c r="E464"/>
      <c r="F464"/>
      <c r="G464"/>
      <c r="H464" s="1044"/>
      <c r="I464" s="1333" t="s">
        <v>638</v>
      </c>
      <c r="J464" s="21"/>
      <c r="K464" s="21"/>
      <c r="L464" s="611"/>
      <c r="M464" s="551"/>
      <c r="N464" s="551"/>
      <c r="O464" s="551"/>
      <c r="P464" s="552"/>
      <c r="Q464" s="551"/>
      <c r="R464" s="551"/>
      <c r="S464" s="551"/>
      <c r="T464" s="552"/>
      <c r="U464" s="516"/>
      <c r="V464" s="516"/>
      <c r="W464" s="516"/>
      <c r="X464" s="602"/>
      <c r="Y464" s="516"/>
      <c r="Z464" s="516"/>
      <c r="AA464" s="516"/>
      <c r="AB464" s="602"/>
      <c r="AC464" s="516"/>
      <c r="AD464" s="516"/>
      <c r="AE464" s="516"/>
      <c r="AF464" s="602"/>
      <c r="AG464" s="516"/>
      <c r="AH464" s="516"/>
      <c r="AI464" s="516"/>
      <c r="AJ464" s="602"/>
      <c r="AK464" s="517"/>
      <c r="AL464" s="517"/>
      <c r="AM464" s="517"/>
      <c r="AN464" s="601"/>
      <c r="AO464" s="517">
        <f t="shared" ref="AO464:BN464" si="898">+AO462-AO463</f>
        <v>5.9527055204009631</v>
      </c>
      <c r="AP464" s="517">
        <f t="shared" si="898"/>
        <v>7.7486895725229825</v>
      </c>
      <c r="AQ464" s="517">
        <f t="shared" si="898"/>
        <v>10.188249165581347</v>
      </c>
      <c r="AR464" s="517">
        <f t="shared" si="898"/>
        <v>6.6570673415077843</v>
      </c>
      <c r="AS464" s="517">
        <f t="shared" si="898"/>
        <v>4.732371197445211</v>
      </c>
      <c r="AT464" s="517">
        <f t="shared" si="898"/>
        <v>6.3221721393499291</v>
      </c>
      <c r="AU464" s="517">
        <f t="shared" si="898"/>
        <v>7.2619976049924642</v>
      </c>
      <c r="AV464" s="517">
        <f t="shared" si="898"/>
        <v>4.1148831360256963</v>
      </c>
      <c r="AW464" s="517">
        <f t="shared" si="898"/>
        <v>7.4054529612195443</v>
      </c>
      <c r="AX464" s="517">
        <f t="shared" si="898"/>
        <v>15.477193347560874</v>
      </c>
      <c r="AY464" s="517">
        <f t="shared" si="898"/>
        <v>23.822329215662428</v>
      </c>
      <c r="AZ464" s="517">
        <f t="shared" si="898"/>
        <v>20.554731412050625</v>
      </c>
      <c r="BA464" s="517">
        <f t="shared" si="898"/>
        <v>23.099745011357125</v>
      </c>
      <c r="BB464" s="517">
        <f t="shared" si="898"/>
        <v>18.045422285840278</v>
      </c>
      <c r="BC464" s="517">
        <f t="shared" si="898"/>
        <v>14.742069184378856</v>
      </c>
      <c r="BD464" s="517">
        <f t="shared" si="898"/>
        <v>16.330479008005788</v>
      </c>
      <c r="BE464" s="517">
        <f t="shared" si="898"/>
        <v>24.836095098335885</v>
      </c>
      <c r="BF464" s="517">
        <f t="shared" si="898"/>
        <v>24.376361340256597</v>
      </c>
      <c r="BG464" s="517">
        <f t="shared" si="898"/>
        <v>43.771384183688035</v>
      </c>
      <c r="BH464" s="517">
        <f t="shared" si="898"/>
        <v>32.802348029300759</v>
      </c>
      <c r="BI464" s="517">
        <f t="shared" si="898"/>
        <v>28.512609258257495</v>
      </c>
      <c r="BJ464" s="517">
        <f t="shared" si="898"/>
        <v>40.738399702203324</v>
      </c>
      <c r="BK464" s="517">
        <f t="shared" si="898"/>
        <v>33.429999703048189</v>
      </c>
      <c r="BL464" s="517">
        <f t="shared" si="898"/>
        <v>60.159297410662994</v>
      </c>
      <c r="BM464" s="1203">
        <f t="shared" si="898"/>
        <v>44.441049171040341</v>
      </c>
      <c r="BN464" s="517">
        <f t="shared" si="898"/>
        <v>54.09811217339967</v>
      </c>
      <c r="BO464" s="517">
        <f t="shared" ref="BO464:BX464" si="899">+BO462-BO463</f>
        <v>61.96765212400657</v>
      </c>
      <c r="BP464" s="601">
        <f t="shared" si="899"/>
        <v>56.7583082163478</v>
      </c>
      <c r="BQ464" s="1203">
        <f t="shared" si="899"/>
        <v>70.146682585639127</v>
      </c>
      <c r="BR464" s="517">
        <f t="shared" si="899"/>
        <v>71.601104315318523</v>
      </c>
      <c r="BS464" s="517">
        <f t="shared" si="899"/>
        <v>65.321085428917527</v>
      </c>
      <c r="BT464" s="601">
        <f t="shared" si="899"/>
        <v>54.131390290121274</v>
      </c>
      <c r="BU464" s="1203">
        <f t="shared" si="899"/>
        <v>47.843284283121619</v>
      </c>
      <c r="BV464" s="517">
        <f t="shared" si="899"/>
        <v>52.485444451705078</v>
      </c>
      <c r="BW464" s="517">
        <f t="shared" si="899"/>
        <v>49.234765860196497</v>
      </c>
      <c r="BX464" s="517">
        <f t="shared" si="899"/>
        <v>54.603919917752762</v>
      </c>
      <c r="BY464" s="1203">
        <f>+BY462-BY463</f>
        <v>56.856578196559326</v>
      </c>
      <c r="BZ464" s="517">
        <f>+BZ462-BZ463</f>
        <v>48.640513277196725</v>
      </c>
      <c r="CA464" s="517">
        <f>+CA462-CA463</f>
        <v>117.70997650234135</v>
      </c>
      <c r="CB464" s="517">
        <f t="shared" ref="CB464" si="900">+CB462-CB463</f>
        <v>68.751370742559516</v>
      </c>
      <c r="CC464" s="1524">
        <v>75</v>
      </c>
      <c r="CD464" s="1382">
        <v>75</v>
      </c>
      <c r="CE464" s="1382">
        <v>55</v>
      </c>
      <c r="CF464" s="1525">
        <v>50</v>
      </c>
      <c r="CG464" s="552"/>
      <c r="CH464" s="553"/>
      <c r="CI464" s="551"/>
      <c r="CJ464" s="516"/>
      <c r="CK464" s="516"/>
      <c r="CL464" s="516"/>
      <c r="CM464" s="516"/>
      <c r="CN464" s="517"/>
      <c r="CO464" s="517">
        <f t="shared" ref="CO464:CU464" si="901">+CO462-CO463</f>
        <v>36.237475081027299</v>
      </c>
      <c r="CP464" s="517">
        <f t="shared" si="901"/>
        <v>23.431400571000779</v>
      </c>
      <c r="CQ464" s="517">
        <f t="shared" si="901"/>
        <v>65.642386226029629</v>
      </c>
      <c r="CR464" s="517">
        <f t="shared" si="901"/>
        <v>84.448869722573249</v>
      </c>
      <c r="CS464" s="517">
        <f>+CS462-CS463</f>
        <v>124.41173696586249</v>
      </c>
      <c r="CT464" s="517">
        <f t="shared" si="901"/>
        <v>162.986425559737</v>
      </c>
      <c r="CU464" s="517">
        <f t="shared" si="901"/>
        <v>216.53590083781006</v>
      </c>
      <c r="CV464" s="517">
        <f>+CV462-CV463</f>
        <v>261.20381645621643</v>
      </c>
      <c r="CW464" s="517">
        <f>+CW462-CW463</f>
        <v>204.97709579276372</v>
      </c>
      <c r="CX464" s="517">
        <f>+CX462-CX463</f>
        <v>272.01328295349305</v>
      </c>
      <c r="CY464" s="517">
        <f>+CY462-CY463</f>
        <v>253.04732245265924</v>
      </c>
      <c r="CZ464" s="1382">
        <f>+CY464-20</f>
        <v>233.04732245265924</v>
      </c>
      <c r="DA464" s="1382">
        <f>+CZ464-10</f>
        <v>223.04732245265924</v>
      </c>
      <c r="DB464" s="1382">
        <f>+DA464-10</f>
        <v>213.04732245265924</v>
      </c>
      <c r="DC464" s="1382">
        <f>+DB464-10</f>
        <v>203.04732245265924</v>
      </c>
      <c r="DD464" s="1382">
        <f>+DC464-5</f>
        <v>198.04732245265924</v>
      </c>
      <c r="DE464" s="1382">
        <f>+DD464-5</f>
        <v>193.04732245265924</v>
      </c>
      <c r="DF464" s="2162">
        <f>+DE464-5</f>
        <v>188.04732245265924</v>
      </c>
      <c r="DG464" s="1480"/>
      <c r="DH464" s="1480"/>
      <c r="DI464" s="517"/>
    </row>
    <row r="465" spans="1:110" s="612" customFormat="1" ht="11.25" customHeight="1">
      <c r="A465" s="547"/>
      <c r="B465"/>
      <c r="C465"/>
      <c r="D465"/>
      <c r="E465"/>
      <c r="F465"/>
      <c r="G465"/>
      <c r="H465" s="1044"/>
      <c r="I465" s="586"/>
      <c r="J465" s="21"/>
      <c r="K465" s="21"/>
      <c r="L465" s="611"/>
      <c r="M465" s="551"/>
      <c r="N465" s="551"/>
      <c r="O465" s="551"/>
      <c r="P465" s="552"/>
      <c r="Q465" s="551"/>
      <c r="R465" s="551"/>
      <c r="S465" s="551"/>
      <c r="T465" s="552"/>
      <c r="U465" s="516"/>
      <c r="V465" s="516"/>
      <c r="W465" s="516"/>
      <c r="X465" s="602"/>
      <c r="Y465" s="516"/>
      <c r="Z465" s="516"/>
      <c r="AA465" s="516"/>
      <c r="AB465" s="602"/>
      <c r="AC465" s="516"/>
      <c r="AD465" s="516"/>
      <c r="AE465" s="516"/>
      <c r="AF465" s="602"/>
      <c r="AG465" s="516"/>
      <c r="AH465" s="516"/>
      <c r="AI465" s="516"/>
      <c r="AJ465" s="602"/>
      <c r="AK465" s="517"/>
      <c r="AL465" s="517"/>
      <c r="AM465" s="517"/>
      <c r="AN465" s="601"/>
      <c r="AO465" s="517"/>
      <c r="AP465" s="517"/>
      <c r="AQ465" s="517"/>
      <c r="AR465" s="601"/>
      <c r="AS465" s="517"/>
      <c r="AT465" s="517"/>
      <c r="AU465" s="517"/>
      <c r="AV465" s="601"/>
      <c r="AW465" s="517"/>
      <c r="AX465" s="517"/>
      <c r="AY465" s="517"/>
      <c r="AZ465" s="601"/>
      <c r="BA465" s="517"/>
      <c r="BB465" s="517"/>
      <c r="BC465" s="517"/>
      <c r="BD465" s="601"/>
      <c r="BE465" s="517"/>
      <c r="BF465" s="517"/>
      <c r="BG465" s="517"/>
      <c r="BH465" s="601"/>
      <c r="BI465" s="517"/>
      <c r="BJ465" s="517"/>
      <c r="BK465" s="517"/>
      <c r="BL465" s="517"/>
      <c r="BM465" s="1203"/>
      <c r="BN465" s="517"/>
      <c r="BO465" s="517"/>
      <c r="BP465" s="601"/>
      <c r="BQ465" s="1203"/>
      <c r="BR465" s="517"/>
      <c r="BS465" s="517"/>
      <c r="BT465" s="601"/>
      <c r="BU465" s="1203"/>
      <c r="BV465" s="517"/>
      <c r="BW465" s="517"/>
      <c r="BX465" s="517"/>
      <c r="BY465" s="1203"/>
      <c r="BZ465" s="517"/>
      <c r="CA465" s="517"/>
      <c r="CB465" s="517"/>
      <c r="CC465" s="1203"/>
      <c r="CD465" s="517"/>
      <c r="CE465" s="517"/>
      <c r="CF465" s="601"/>
      <c r="CG465" s="552"/>
      <c r="CH465" s="553"/>
      <c r="CI465" s="551"/>
      <c r="CJ465" s="516"/>
      <c r="CK465" s="516"/>
      <c r="CL465" s="516"/>
      <c r="CM465" s="516"/>
      <c r="CN465" s="517"/>
      <c r="CP465" s="517"/>
      <c r="CQ465" s="517"/>
      <c r="CR465" s="517"/>
      <c r="CS465" s="517"/>
      <c r="CT465" s="517"/>
      <c r="CU465" s="517"/>
      <c r="CV465" s="517"/>
      <c r="CW465" s="517"/>
      <c r="CX465" s="517"/>
      <c r="CY465" s="517"/>
      <c r="CZ465" s="517"/>
      <c r="DA465" s="517"/>
      <c r="DB465" s="517"/>
      <c r="DC465" s="517"/>
      <c r="DD465" s="517"/>
      <c r="DE465" s="517"/>
      <c r="DF465" s="2161"/>
    </row>
    <row r="466" spans="1:110" s="632" customFormat="1" ht="11.25" customHeight="1">
      <c r="A466" s="542"/>
      <c r="B466"/>
      <c r="C466"/>
      <c r="D466"/>
      <c r="E466"/>
      <c r="F466"/>
      <c r="G466"/>
      <c r="H466" s="1052"/>
      <c r="I466" s="617" t="s">
        <v>218</v>
      </c>
      <c r="J466" s="634"/>
      <c r="K466" s="634"/>
      <c r="L466" s="631"/>
      <c r="M466" s="581"/>
      <c r="N466" s="581"/>
      <c r="O466" s="581"/>
      <c r="P466" s="582"/>
      <c r="Q466" s="581"/>
      <c r="R466" s="581"/>
      <c r="S466" s="581"/>
      <c r="T466" s="582"/>
      <c r="U466" s="600"/>
      <c r="V466" s="600"/>
      <c r="W466" s="600"/>
      <c r="X466" s="599"/>
      <c r="Y466" s="600"/>
      <c r="Z466" s="600"/>
      <c r="AA466" s="600"/>
      <c r="AB466" s="599"/>
      <c r="AC466" s="600"/>
      <c r="AD466" s="600"/>
      <c r="AE466" s="600"/>
      <c r="AF466" s="599"/>
      <c r="AG466" s="514">
        <f t="shared" ref="AG466:BY466" si="902">+AG65</f>
        <v>5.7370000000000001</v>
      </c>
      <c r="AH466" s="514">
        <f t="shared" si="902"/>
        <v>7.2560000000000002</v>
      </c>
      <c r="AI466" s="514">
        <f t="shared" si="902"/>
        <v>6.6429999999999998</v>
      </c>
      <c r="AJ466" s="515">
        <f t="shared" si="902"/>
        <v>8.9499999999999993</v>
      </c>
      <c r="AK466" s="514">
        <f t="shared" si="902"/>
        <v>9.0180000000000007</v>
      </c>
      <c r="AL466" s="514">
        <f t="shared" si="902"/>
        <v>9.7769999999999992</v>
      </c>
      <c r="AM466" s="514">
        <f t="shared" si="902"/>
        <v>9.2409999999999997</v>
      </c>
      <c r="AN466" s="515">
        <f t="shared" si="902"/>
        <v>8.9429999999999996</v>
      </c>
      <c r="AO466" s="514">
        <f t="shared" si="902"/>
        <v>11.789</v>
      </c>
      <c r="AP466" s="514">
        <f t="shared" si="902"/>
        <v>14.209</v>
      </c>
      <c r="AQ466" s="514">
        <f t="shared" si="902"/>
        <v>13.523999999999999</v>
      </c>
      <c r="AR466" s="515">
        <f t="shared" si="902"/>
        <v>15.749000000000001</v>
      </c>
      <c r="AS466" s="514">
        <f t="shared" si="902"/>
        <v>14.788</v>
      </c>
      <c r="AT466" s="514">
        <f t="shared" si="902"/>
        <v>14.728</v>
      </c>
      <c r="AU466" s="514">
        <f t="shared" si="902"/>
        <v>19.367000000000001</v>
      </c>
      <c r="AV466" s="515">
        <f t="shared" si="902"/>
        <v>19.672999999999998</v>
      </c>
      <c r="AW466" s="514">
        <f t="shared" si="902"/>
        <v>18.033000000000001</v>
      </c>
      <c r="AX466" s="514">
        <f t="shared" si="902"/>
        <v>22.462</v>
      </c>
      <c r="AY466" s="514">
        <f t="shared" si="902"/>
        <v>15.73</v>
      </c>
      <c r="AZ466" s="515">
        <f t="shared" si="902"/>
        <v>24.960999999999999</v>
      </c>
      <c r="BA466" s="514">
        <f t="shared" si="902"/>
        <v>25.879000000000001</v>
      </c>
      <c r="BB466" s="514">
        <f t="shared" si="902"/>
        <v>29.736000000000001</v>
      </c>
      <c r="BC466" s="514">
        <f t="shared" si="902"/>
        <v>31.716999999999999</v>
      </c>
      <c r="BD466" s="515">
        <f t="shared" si="902"/>
        <v>36.32</v>
      </c>
      <c r="BE466" s="514">
        <f t="shared" si="902"/>
        <v>40.673999999999999</v>
      </c>
      <c r="BF466" s="514">
        <f t="shared" si="902"/>
        <v>39.807000000000002</v>
      </c>
      <c r="BG466" s="514">
        <f t="shared" si="902"/>
        <v>42.286999999999999</v>
      </c>
      <c r="BH466" s="515">
        <f t="shared" si="902"/>
        <v>50.402999999999999</v>
      </c>
      <c r="BI466" s="514">
        <f t="shared" si="902"/>
        <v>50.161000000000001</v>
      </c>
      <c r="BJ466" s="514">
        <f t="shared" si="902"/>
        <v>64.921000000000006</v>
      </c>
      <c r="BK466" s="514">
        <f t="shared" si="902"/>
        <v>63.113</v>
      </c>
      <c r="BL466" s="514">
        <f t="shared" si="902"/>
        <v>74.799000000000007</v>
      </c>
      <c r="BM466" s="1514">
        <f t="shared" si="902"/>
        <v>72.980999999999995</v>
      </c>
      <c r="BN466" s="514">
        <f t="shared" si="902"/>
        <v>91.066999999999993</v>
      </c>
      <c r="BO466" s="514">
        <f t="shared" si="902"/>
        <v>97.902000000000001</v>
      </c>
      <c r="BP466" s="515">
        <f t="shared" si="902"/>
        <v>90.918999999999997</v>
      </c>
      <c r="BQ466" s="1514">
        <f t="shared" si="902"/>
        <v>100.178</v>
      </c>
      <c r="BR466" s="514">
        <f t="shared" si="902"/>
        <v>98.944999999999993</v>
      </c>
      <c r="BS466" s="514">
        <f t="shared" si="902"/>
        <v>109.706</v>
      </c>
      <c r="BT466" s="515">
        <f t="shared" si="902"/>
        <v>106.59099999999999</v>
      </c>
      <c r="BU466" s="1514">
        <f t="shared" si="902"/>
        <v>113.045</v>
      </c>
      <c r="BV466" s="514">
        <f t="shared" si="902"/>
        <v>112.642</v>
      </c>
      <c r="BW466" s="514">
        <f t="shared" si="902"/>
        <v>114.586</v>
      </c>
      <c r="BX466" s="514">
        <f t="shared" si="902"/>
        <v>115.636</v>
      </c>
      <c r="BY466" s="1514">
        <f t="shared" si="902"/>
        <v>135.547</v>
      </c>
      <c r="BZ466" s="514">
        <f>+BZ65</f>
        <v>141.63399999999999</v>
      </c>
      <c r="CA466" s="514">
        <f>+CA65</f>
        <v>142.82300000000001</v>
      </c>
      <c r="CB466" s="514">
        <f t="shared" ref="CB466" si="903">+CB65</f>
        <v>165.53700000000001</v>
      </c>
      <c r="CC466" s="1514">
        <f>+BY466+CC469</f>
        <v>165.547</v>
      </c>
      <c r="CD466" s="514">
        <f>+BZ466+CD469</f>
        <v>166.63399999999999</v>
      </c>
      <c r="CE466" s="514">
        <f>+CA466+CE469</f>
        <v>167.82300000000001</v>
      </c>
      <c r="CF466" s="515">
        <f>+CB466+CF469</f>
        <v>188.53700000000001</v>
      </c>
      <c r="CG466" s="582"/>
      <c r="CH466" s="583"/>
      <c r="CI466" s="581"/>
      <c r="CJ466" s="600"/>
      <c r="CK466" s="600"/>
      <c r="CL466" s="600"/>
      <c r="CM466" s="514">
        <f>+SUM(AG466:AJ466)</f>
        <v>28.585999999999999</v>
      </c>
      <c r="CN466" s="514">
        <f>+SUM(AK466:AN466)</f>
        <v>36.978999999999999</v>
      </c>
      <c r="CO466" s="514">
        <f>+SUM(AO466:AR466)</f>
        <v>55.271000000000001</v>
      </c>
      <c r="CP466" s="514">
        <f>+SUM(AS466:AV466)</f>
        <v>68.555999999999997</v>
      </c>
      <c r="CQ466" s="514">
        <f>+SUM(AW466:AZ466)</f>
        <v>81.186000000000007</v>
      </c>
      <c r="CR466" s="514">
        <f>+SUM(BA466:BD466)</f>
        <v>123.65199999999999</v>
      </c>
      <c r="CS466" s="514">
        <f>+SUM(BE466:BH466)</f>
        <v>173.17099999999999</v>
      </c>
      <c r="CT466" s="514">
        <f>+SUM(BI466:BL466)</f>
        <v>252.994</v>
      </c>
      <c r="CU466" s="514">
        <f>SUM(BM466:BP466)</f>
        <v>352.86899999999997</v>
      </c>
      <c r="CV466" s="514">
        <f>SUM(BQ466:BT466)</f>
        <v>415.42</v>
      </c>
      <c r="CW466" s="514">
        <f>SUM(BU466:BX466)</f>
        <v>455.90899999999999</v>
      </c>
      <c r="CX466" s="514">
        <f>SUM(BY466:CB466)</f>
        <v>585.54100000000005</v>
      </c>
      <c r="CY466" s="514">
        <f>SUM(CC466:CF466)</f>
        <v>688.54100000000005</v>
      </c>
      <c r="CZ466" s="514">
        <f t="shared" ref="CZ466:DF466" si="904">+CY466+CZ469</f>
        <v>733.54100000000005</v>
      </c>
      <c r="DA466" s="514">
        <f t="shared" si="904"/>
        <v>768.54100000000005</v>
      </c>
      <c r="DB466" s="514">
        <f t="shared" si="904"/>
        <v>793.54100000000005</v>
      </c>
      <c r="DC466" s="514">
        <f t="shared" si="904"/>
        <v>803.54100000000005</v>
      </c>
      <c r="DD466" s="514">
        <f t="shared" si="904"/>
        <v>813.54100000000005</v>
      </c>
      <c r="DE466" s="514">
        <f t="shared" si="904"/>
        <v>823.54100000000005</v>
      </c>
      <c r="DF466" s="2163">
        <f t="shared" si="904"/>
        <v>833.54100000000005</v>
      </c>
    </row>
    <row r="467" spans="1:110" s="308" customFormat="1" ht="11.25" customHeight="1">
      <c r="A467" s="82"/>
      <c r="B467"/>
      <c r="C467"/>
      <c r="D467"/>
      <c r="E467"/>
      <c r="F467"/>
      <c r="G467"/>
      <c r="H467" s="1044"/>
      <c r="I467" s="586" t="s">
        <v>506</v>
      </c>
      <c r="J467" s="83"/>
      <c r="K467" s="83"/>
      <c r="L467" s="307"/>
      <c r="M467" s="336"/>
      <c r="N467" s="336"/>
      <c r="O467" s="336"/>
      <c r="P467" s="337"/>
      <c r="Q467" s="336"/>
      <c r="R467" s="336"/>
      <c r="S467" s="336"/>
      <c r="T467" s="337"/>
      <c r="U467" s="393"/>
      <c r="V467" s="393"/>
      <c r="W467" s="393"/>
      <c r="X467" s="472"/>
      <c r="Y467" s="393"/>
      <c r="Z467" s="393"/>
      <c r="AA467" s="393"/>
      <c r="AB467" s="472"/>
      <c r="AC467" s="393"/>
      <c r="AD467" s="393"/>
      <c r="AE467" s="393"/>
      <c r="AF467" s="472"/>
      <c r="AG467" s="391">
        <f t="shared" ref="AG467:BL467" si="905">+AG466/AG39</f>
        <v>7.9425731334191702E-2</v>
      </c>
      <c r="AH467" s="391">
        <f t="shared" si="905"/>
        <v>6.8579637820876338E-2</v>
      </c>
      <c r="AI467" s="391">
        <f t="shared" si="905"/>
        <v>5.4308371484630469E-2</v>
      </c>
      <c r="AJ467" s="392">
        <f t="shared" si="905"/>
        <v>8.9934383070229232E-2</v>
      </c>
      <c r="AK467" s="391">
        <f t="shared" si="905"/>
        <v>8.684598272325425E-2</v>
      </c>
      <c r="AL467" s="391">
        <f t="shared" si="905"/>
        <v>6.3120993201758652E-2</v>
      </c>
      <c r="AM467" s="391">
        <f t="shared" si="905"/>
        <v>4.5672684857980241E-2</v>
      </c>
      <c r="AN467" s="392">
        <f t="shared" si="905"/>
        <v>5.5840701333732944E-2</v>
      </c>
      <c r="AO467" s="391">
        <f t="shared" si="905"/>
        <v>6.5095553359138164E-2</v>
      </c>
      <c r="AP467" s="391">
        <f t="shared" si="905"/>
        <v>5.6001576510000976E-2</v>
      </c>
      <c r="AQ467" s="391">
        <f t="shared" si="905"/>
        <v>4.2786907029277579E-2</v>
      </c>
      <c r="AR467" s="392">
        <f t="shared" si="905"/>
        <v>7.6800039012020579E-2</v>
      </c>
      <c r="AS467" s="391">
        <f t="shared" si="905"/>
        <v>7.098353573657179E-2</v>
      </c>
      <c r="AT467" s="391">
        <f t="shared" si="905"/>
        <v>4.825087308919597E-2</v>
      </c>
      <c r="AU467" s="391">
        <f t="shared" si="905"/>
        <v>4.4623807044142254E-2</v>
      </c>
      <c r="AV467" s="392">
        <f t="shared" si="905"/>
        <v>6.2815105255931702E-2</v>
      </c>
      <c r="AW467" s="391">
        <f t="shared" si="905"/>
        <v>5.650923175271691E-2</v>
      </c>
      <c r="AX467" s="391">
        <f t="shared" si="905"/>
        <v>5.0342459613074438E-2</v>
      </c>
      <c r="AY467" s="391">
        <f t="shared" si="905"/>
        <v>2.3540574192467023E-2</v>
      </c>
      <c r="AZ467" s="392">
        <f t="shared" si="905"/>
        <v>5.1984105496848995E-2</v>
      </c>
      <c r="BA467" s="391">
        <f t="shared" si="905"/>
        <v>5.1163682662195932E-2</v>
      </c>
      <c r="BB467" s="391">
        <f t="shared" si="905"/>
        <v>3.9688906032484143E-2</v>
      </c>
      <c r="BC467" s="391">
        <f t="shared" si="905"/>
        <v>2.8829757450815705E-2</v>
      </c>
      <c r="BD467" s="392">
        <f t="shared" si="905"/>
        <v>5.0117497381664336E-2</v>
      </c>
      <c r="BE467" s="391">
        <f t="shared" si="905"/>
        <v>5.4721722939156829E-2</v>
      </c>
      <c r="BF467" s="391">
        <f t="shared" si="905"/>
        <v>3.9642799524370061E-2</v>
      </c>
      <c r="BG467" s="391">
        <f t="shared" si="905"/>
        <v>3.0280680071120607E-2</v>
      </c>
      <c r="BH467" s="392">
        <f t="shared" si="905"/>
        <v>5.3634477254588982E-2</v>
      </c>
      <c r="BI467" s="391">
        <f t="shared" si="905"/>
        <v>4.9680834732312204E-2</v>
      </c>
      <c r="BJ467" s="391">
        <f t="shared" si="905"/>
        <v>4.6913152028211051E-2</v>
      </c>
      <c r="BK467" s="391">
        <f t="shared" si="905"/>
        <v>3.1729983685802127E-2</v>
      </c>
      <c r="BL467" s="391">
        <f t="shared" si="905"/>
        <v>5.6100610439803175E-2</v>
      </c>
      <c r="BM467" s="1405">
        <f t="shared" ref="BM467:CF467" si="906">+BM466/BM39</f>
        <v>5.188944528539869E-2</v>
      </c>
      <c r="BN467" s="391">
        <f t="shared" si="906"/>
        <v>4.836282180100223E-2</v>
      </c>
      <c r="BO467" s="391">
        <f t="shared" si="906"/>
        <v>3.7367489345330379E-2</v>
      </c>
      <c r="BP467" s="392">
        <f t="shared" si="906"/>
        <v>5.4290209800649074E-2</v>
      </c>
      <c r="BQ467" s="1405">
        <f t="shared" si="906"/>
        <v>5.9906616051801302E-2</v>
      </c>
      <c r="BR467" s="391">
        <f t="shared" si="906"/>
        <v>4.727637074957021E-2</v>
      </c>
      <c r="BS467" s="391">
        <f t="shared" si="906"/>
        <v>3.7222769996220248E-2</v>
      </c>
      <c r="BT467" s="392">
        <f t="shared" si="906"/>
        <v>5.67159541189848E-2</v>
      </c>
      <c r="BU467" s="1405">
        <f t="shared" si="906"/>
        <v>5.5978112852509358E-2</v>
      </c>
      <c r="BV467" s="391">
        <f t="shared" si="906"/>
        <v>4.6358204606270915E-2</v>
      </c>
      <c r="BW467" s="391">
        <f t="shared" si="906"/>
        <v>3.1926438739024642E-2</v>
      </c>
      <c r="BX467" s="391">
        <f t="shared" si="906"/>
        <v>5.0798621132588373E-2</v>
      </c>
      <c r="BY467" s="1405">
        <f t="shared" si="906"/>
        <v>5.8069131856903863E-2</v>
      </c>
      <c r="BZ467" s="391">
        <f>+BZ466/BZ39</f>
        <v>4.7982020547365112E-2</v>
      </c>
      <c r="CA467" s="391">
        <f>+CA466/CA39</f>
        <v>3.2648592896234202E-2</v>
      </c>
      <c r="CB467" s="391">
        <f t="shared" ref="CB467" si="907">+CB466/CB39</f>
        <v>5.9761879576583354E-2</v>
      </c>
      <c r="CC467" s="1405">
        <f t="shared" si="906"/>
        <v>5.9177129589799884E-2</v>
      </c>
      <c r="CD467" s="391">
        <f t="shared" si="906"/>
        <v>4.6778569570224193E-2</v>
      </c>
      <c r="CE467" s="391">
        <f t="shared" si="906"/>
        <v>3.35350156891066E-2</v>
      </c>
      <c r="CF467" s="392">
        <f t="shared" si="906"/>
        <v>5.5816664224819915E-2</v>
      </c>
      <c r="CG467" s="337"/>
      <c r="CH467" s="367"/>
      <c r="CI467" s="336"/>
      <c r="CJ467" s="393"/>
      <c r="CK467" s="393"/>
      <c r="CL467" s="393"/>
      <c r="CM467" s="391">
        <f t="shared" ref="CM467:DF467" si="908">+CM466/CM39</f>
        <v>7.1487876120358479E-2</v>
      </c>
      <c r="CN467" s="391">
        <f t="shared" si="908"/>
        <v>5.9526894875365242E-2</v>
      </c>
      <c r="CO467" s="391">
        <f t="shared" si="908"/>
        <v>5.7816607407546877E-2</v>
      </c>
      <c r="CP467" s="391">
        <f t="shared" si="908"/>
        <v>5.4376595759869223E-2</v>
      </c>
      <c r="CQ467" s="391">
        <f t="shared" si="908"/>
        <v>4.2424153748235077E-2</v>
      </c>
      <c r="CR467" s="391">
        <f t="shared" si="908"/>
        <v>4.0148317466914281E-2</v>
      </c>
      <c r="CS467" s="391">
        <f t="shared" si="908"/>
        <v>4.2405613954664911E-2</v>
      </c>
      <c r="CT467" s="391">
        <f t="shared" si="908"/>
        <v>4.4261554551647805E-2</v>
      </c>
      <c r="CU467" s="391">
        <f t="shared" si="908"/>
        <v>4.6527287902501671E-2</v>
      </c>
      <c r="CV467" s="391">
        <f t="shared" si="908"/>
        <v>4.8350713650807106E-2</v>
      </c>
      <c r="CW467" s="391">
        <f t="shared" si="908"/>
        <v>4.4199962538871741E-2</v>
      </c>
      <c r="CX467" s="391">
        <f t="shared" si="908"/>
        <v>4.7105014301464666E-2</v>
      </c>
      <c r="CY467" s="391">
        <f t="shared" si="908"/>
        <v>4.6706486612311172E-2</v>
      </c>
      <c r="CZ467" s="391">
        <f t="shared" si="908"/>
        <v>4.3690560782207358E-2</v>
      </c>
      <c r="DA467" s="391">
        <f t="shared" si="908"/>
        <v>4.0832625771737067E-2</v>
      </c>
      <c r="DB467" s="391">
        <f t="shared" si="908"/>
        <v>3.8193102295037661E-2</v>
      </c>
      <c r="DC467" s="391">
        <f t="shared" si="908"/>
        <v>3.5422308700544171E-2</v>
      </c>
      <c r="DD467" s="391">
        <f t="shared" si="908"/>
        <v>3.3119116880595476E-2</v>
      </c>
      <c r="DE467" s="391">
        <f t="shared" si="908"/>
        <v>3.1195840142642303E-2</v>
      </c>
      <c r="DF467" s="2138">
        <f t="shared" si="908"/>
        <v>2.9373940851064061E-2</v>
      </c>
    </row>
    <row r="468" spans="1:110" s="61" customFormat="1" ht="11.25" customHeight="1">
      <c r="A468" s="48"/>
      <c r="B468"/>
      <c r="C468"/>
      <c r="D468"/>
      <c r="E468"/>
      <c r="F468"/>
      <c r="G468"/>
      <c r="H468" s="1044"/>
      <c r="I468" s="1332" t="s">
        <v>623</v>
      </c>
      <c r="J468" s="85"/>
      <c r="K468" s="85"/>
      <c r="L468" s="60"/>
      <c r="M468" s="350"/>
      <c r="N468" s="350"/>
      <c r="O468" s="350"/>
      <c r="P468" s="351"/>
      <c r="Q468" s="350"/>
      <c r="R468" s="350"/>
      <c r="S468" s="350"/>
      <c r="T468" s="351"/>
      <c r="U468" s="482"/>
      <c r="V468" s="482"/>
      <c r="W468" s="482"/>
      <c r="X468" s="483"/>
      <c r="Y468" s="482"/>
      <c r="Z468" s="482"/>
      <c r="AA468" s="482"/>
      <c r="AB468" s="483"/>
      <c r="AC468" s="482"/>
      <c r="AD468" s="482"/>
      <c r="AE468" s="482"/>
      <c r="AF468" s="483"/>
      <c r="AG468" s="482"/>
      <c r="AH468" s="482"/>
      <c r="AI468" s="482"/>
      <c r="AJ468" s="483"/>
      <c r="AK468" s="484">
        <f t="shared" ref="AK468:CE468" si="909">+(AK467-AG467)*10000</f>
        <v>74.202513890625482</v>
      </c>
      <c r="AL468" s="484">
        <f t="shared" si="909"/>
        <v>-54.586446191176861</v>
      </c>
      <c r="AM468" s="484">
        <f t="shared" si="909"/>
        <v>-86.35686626650228</v>
      </c>
      <c r="AN468" s="485">
        <f t="shared" si="909"/>
        <v>-340.93681736496291</v>
      </c>
      <c r="AO468" s="484">
        <f t="shared" si="909"/>
        <v>-217.50429364116087</v>
      </c>
      <c r="AP468" s="484">
        <f t="shared" si="909"/>
        <v>-71.194166917576752</v>
      </c>
      <c r="AQ468" s="484">
        <f t="shared" si="909"/>
        <v>-28.857778287026612</v>
      </c>
      <c r="AR468" s="485">
        <f t="shared" si="909"/>
        <v>209.59337678287636</v>
      </c>
      <c r="AS468" s="484">
        <f t="shared" si="909"/>
        <v>58.879823774336259</v>
      </c>
      <c r="AT468" s="484">
        <f t="shared" si="909"/>
        <v>-77.507034208050072</v>
      </c>
      <c r="AU468" s="484">
        <f t="shared" si="909"/>
        <v>18.369000148646744</v>
      </c>
      <c r="AV468" s="485">
        <f t="shared" si="909"/>
        <v>-139.84933756088876</v>
      </c>
      <c r="AW468" s="484">
        <f t="shared" si="909"/>
        <v>-144.74303983854881</v>
      </c>
      <c r="AX468" s="484">
        <f t="shared" si="909"/>
        <v>20.915865238784679</v>
      </c>
      <c r="AY468" s="484">
        <f t="shared" si="909"/>
        <v>-210.83232851675231</v>
      </c>
      <c r="AZ468" s="485">
        <f t="shared" si="909"/>
        <v>-108.30999759082707</v>
      </c>
      <c r="BA468" s="484">
        <f t="shared" si="909"/>
        <v>-53.455490905209778</v>
      </c>
      <c r="BB468" s="484">
        <f t="shared" si="909"/>
        <v>-106.53553580590294</v>
      </c>
      <c r="BC468" s="484">
        <f t="shared" si="909"/>
        <v>52.891832583486824</v>
      </c>
      <c r="BD468" s="485">
        <f t="shared" si="909"/>
        <v>-18.666081151846591</v>
      </c>
      <c r="BE468" s="484">
        <f t="shared" si="909"/>
        <v>35.580402769608973</v>
      </c>
      <c r="BF468" s="484">
        <f t="shared" si="909"/>
        <v>-0.46106508114082678</v>
      </c>
      <c r="BG468" s="484">
        <f t="shared" si="909"/>
        <v>14.509226203049016</v>
      </c>
      <c r="BH468" s="485">
        <f t="shared" si="909"/>
        <v>35.169798729246459</v>
      </c>
      <c r="BI468" s="484">
        <f t="shared" si="909"/>
        <v>-50.408882068446253</v>
      </c>
      <c r="BJ468" s="484">
        <f t="shared" si="909"/>
        <v>72.703525038409907</v>
      </c>
      <c r="BK468" s="484">
        <f t="shared" si="909"/>
        <v>14.4930361468152</v>
      </c>
      <c r="BL468" s="484">
        <f t="shared" si="909"/>
        <v>24.661331852141934</v>
      </c>
      <c r="BM468" s="1519">
        <f t="shared" si="909"/>
        <v>22.08610553086486</v>
      </c>
      <c r="BN468" s="484">
        <f t="shared" si="909"/>
        <v>14.496697727911789</v>
      </c>
      <c r="BO468" s="484">
        <f t="shared" si="909"/>
        <v>56.375056595282523</v>
      </c>
      <c r="BP468" s="485">
        <f>+(BP467-BL467)*10000</f>
        <v>-18.104006391541013</v>
      </c>
      <c r="BQ468" s="1519">
        <f>+(BQ467-BM467)*10000</f>
        <v>80.171707664026115</v>
      </c>
      <c r="BR468" s="484">
        <f t="shared" si="909"/>
        <v>-10.864510514320205</v>
      </c>
      <c r="BS468" s="484">
        <f t="shared" si="909"/>
        <v>-1.4471934911013118</v>
      </c>
      <c r="BT468" s="485">
        <f>+(BT467-BP467)*10000</f>
        <v>24.257443183357264</v>
      </c>
      <c r="BU468" s="1519">
        <f t="shared" si="909"/>
        <v>-39.285031992919443</v>
      </c>
      <c r="BV468" s="484">
        <f t="shared" si="909"/>
        <v>-9.1816614329929411</v>
      </c>
      <c r="BW468" s="484">
        <f t="shared" si="909"/>
        <v>-52.963312571956067</v>
      </c>
      <c r="BX468" s="484">
        <f>+(BX467-BT467)*10000</f>
        <v>-59.17332986396427</v>
      </c>
      <c r="BY468" s="1519">
        <f>+(BY467-BU467)*10000</f>
        <v>20.91019004394505</v>
      </c>
      <c r="BZ468" s="484">
        <f>+(BZ467-BV467)*10000</f>
        <v>16.238159410941964</v>
      </c>
      <c r="CA468" s="484">
        <f>+(CA467-BW467)*10000</f>
        <v>7.2215415720956049</v>
      </c>
      <c r="CB468" s="484">
        <f>+(CB467-BX467)*10000</f>
        <v>89.63258443994981</v>
      </c>
      <c r="CC468" s="1519">
        <f t="shared" si="909"/>
        <v>11.079977328960211</v>
      </c>
      <c r="CD468" s="484">
        <f>+(CD467-BZ467)*10000</f>
        <v>-12.034509771409185</v>
      </c>
      <c r="CE468" s="484">
        <f t="shared" si="909"/>
        <v>8.8642279287239756</v>
      </c>
      <c r="CF468" s="485">
        <f>+(CF467-CB467)*10000</f>
        <v>-39.4521535176344</v>
      </c>
      <c r="CG468" s="351"/>
      <c r="CH468" s="356"/>
      <c r="CI468" s="350"/>
      <c r="CJ468" s="482"/>
      <c r="CK468" s="482"/>
      <c r="CL468" s="482"/>
      <c r="CM468" s="482"/>
      <c r="CN468" s="484">
        <f>+(CN467-CM467)*10000</f>
        <v>-119.60981244993236</v>
      </c>
      <c r="CO468" s="484">
        <f t="shared" ref="CO468:CT468" si="910">+(CO467-CN467)*10000</f>
        <v>-17.102874678183653</v>
      </c>
      <c r="CP468" s="484">
        <f t="shared" si="910"/>
        <v>-34.400116476776546</v>
      </c>
      <c r="CQ468" s="484">
        <f t="shared" si="910"/>
        <v>-119.52442011634146</v>
      </c>
      <c r="CR468" s="484">
        <f t="shared" si="910"/>
        <v>-22.758362813207963</v>
      </c>
      <c r="CS468" s="484">
        <f t="shared" si="910"/>
        <v>22.572964877506305</v>
      </c>
      <c r="CT468" s="484">
        <f t="shared" si="910"/>
        <v>18.559405969828941</v>
      </c>
      <c r="CU468" s="484">
        <f t="shared" ref="CU468:DF468" si="911">+(CU467-CT467)*10000</f>
        <v>22.657333508538656</v>
      </c>
      <c r="CV468" s="484">
        <f t="shared" si="911"/>
        <v>18.23425748305435</v>
      </c>
      <c r="CW468" s="484">
        <f t="shared" si="911"/>
        <v>-41.507511119353651</v>
      </c>
      <c r="CX468" s="484">
        <f t="shared" si="911"/>
        <v>29.050517625929253</v>
      </c>
      <c r="CY468" s="484">
        <f t="shared" si="911"/>
        <v>-3.985276891534939</v>
      </c>
      <c r="CZ468" s="484">
        <f>+(CZ467-CY467)*10000</f>
        <v>-30.159258301038147</v>
      </c>
      <c r="DA468" s="484">
        <f t="shared" si="911"/>
        <v>-28.579350104702904</v>
      </c>
      <c r="DB468" s="484">
        <f t="shared" si="911"/>
        <v>-26.395234766994069</v>
      </c>
      <c r="DC468" s="484">
        <f t="shared" si="911"/>
        <v>-27.707935944934896</v>
      </c>
      <c r="DD468" s="484">
        <f t="shared" si="911"/>
        <v>-23.031918199486952</v>
      </c>
      <c r="DE468" s="484">
        <f t="shared" si="911"/>
        <v>-19.232767379531722</v>
      </c>
      <c r="DF468" s="2160">
        <f t="shared" si="911"/>
        <v>-18.218992915782426</v>
      </c>
    </row>
    <row r="469" spans="1:110" s="612" customFormat="1" ht="11.25" customHeight="1">
      <c r="A469" s="547"/>
      <c r="B469"/>
      <c r="C469"/>
      <c r="D469"/>
      <c r="E469"/>
      <c r="F469"/>
      <c r="G469"/>
      <c r="H469" s="1044"/>
      <c r="I469" s="1333" t="s">
        <v>637</v>
      </c>
      <c r="J469" s="21"/>
      <c r="K469" s="21"/>
      <c r="L469" s="611"/>
      <c r="M469" s="551"/>
      <c r="N469" s="551"/>
      <c r="O469" s="551"/>
      <c r="P469" s="552"/>
      <c r="Q469" s="551"/>
      <c r="R469" s="551"/>
      <c r="S469" s="551"/>
      <c r="T469" s="552"/>
      <c r="U469" s="516"/>
      <c r="V469" s="516"/>
      <c r="W469" s="516"/>
      <c r="X469" s="602"/>
      <c r="Y469" s="516"/>
      <c r="Z469" s="516"/>
      <c r="AA469" s="516"/>
      <c r="AB469" s="602"/>
      <c r="AC469" s="516"/>
      <c r="AD469" s="516"/>
      <c r="AE469" s="516"/>
      <c r="AF469" s="602"/>
      <c r="AG469" s="516"/>
      <c r="AH469" s="516"/>
      <c r="AI469" s="516"/>
      <c r="AJ469" s="602"/>
      <c r="AK469" s="517">
        <f t="shared" ref="AK469:CB469" si="912">+AK466-AG466</f>
        <v>3.2810000000000006</v>
      </c>
      <c r="AL469" s="517">
        <f t="shared" si="912"/>
        <v>2.520999999999999</v>
      </c>
      <c r="AM469" s="517">
        <f t="shared" si="912"/>
        <v>2.5979999999999999</v>
      </c>
      <c r="AN469" s="601">
        <f t="shared" si="912"/>
        <v>-6.9999999999996732E-3</v>
      </c>
      <c r="AO469" s="517">
        <f t="shared" si="912"/>
        <v>2.770999999999999</v>
      </c>
      <c r="AP469" s="517">
        <f t="shared" si="912"/>
        <v>4.4320000000000004</v>
      </c>
      <c r="AQ469" s="517">
        <f t="shared" si="912"/>
        <v>4.2829999999999995</v>
      </c>
      <c r="AR469" s="601">
        <f t="shared" si="912"/>
        <v>6.8060000000000009</v>
      </c>
      <c r="AS469" s="517">
        <f t="shared" si="912"/>
        <v>2.9990000000000006</v>
      </c>
      <c r="AT469" s="517">
        <f t="shared" si="912"/>
        <v>0.51900000000000013</v>
      </c>
      <c r="AU469" s="517">
        <f t="shared" si="912"/>
        <v>5.8430000000000017</v>
      </c>
      <c r="AV469" s="601">
        <f t="shared" si="912"/>
        <v>3.9239999999999977</v>
      </c>
      <c r="AW469" s="517">
        <f t="shared" si="912"/>
        <v>3.245000000000001</v>
      </c>
      <c r="AX469" s="517">
        <f t="shared" si="912"/>
        <v>7.734</v>
      </c>
      <c r="AY469" s="517">
        <f t="shared" si="912"/>
        <v>-3.6370000000000005</v>
      </c>
      <c r="AZ469" s="601">
        <f t="shared" si="912"/>
        <v>5.2880000000000003</v>
      </c>
      <c r="BA469" s="517">
        <f t="shared" si="912"/>
        <v>7.8460000000000001</v>
      </c>
      <c r="BB469" s="517">
        <f t="shared" si="912"/>
        <v>7.2740000000000009</v>
      </c>
      <c r="BC469" s="517">
        <f t="shared" si="912"/>
        <v>15.986999999999998</v>
      </c>
      <c r="BD469" s="601">
        <f t="shared" si="912"/>
        <v>11.359000000000002</v>
      </c>
      <c r="BE469" s="517">
        <f t="shared" si="912"/>
        <v>14.794999999999998</v>
      </c>
      <c r="BF469" s="517">
        <f t="shared" si="912"/>
        <v>10.071000000000002</v>
      </c>
      <c r="BG469" s="517">
        <f t="shared" si="912"/>
        <v>10.57</v>
      </c>
      <c r="BH469" s="601">
        <f t="shared" si="912"/>
        <v>14.082999999999998</v>
      </c>
      <c r="BI469" s="517">
        <f t="shared" si="912"/>
        <v>9.4870000000000019</v>
      </c>
      <c r="BJ469" s="517">
        <f t="shared" si="912"/>
        <v>25.114000000000004</v>
      </c>
      <c r="BK469" s="517">
        <f t="shared" si="912"/>
        <v>20.826000000000001</v>
      </c>
      <c r="BL469" s="517">
        <f t="shared" si="912"/>
        <v>24.396000000000008</v>
      </c>
      <c r="BM469" s="1203">
        <f t="shared" si="912"/>
        <v>22.819999999999993</v>
      </c>
      <c r="BN469" s="517">
        <f t="shared" si="912"/>
        <v>26.145999999999987</v>
      </c>
      <c r="BO469" s="517">
        <f t="shared" si="912"/>
        <v>34.789000000000001</v>
      </c>
      <c r="BP469" s="601">
        <f t="shared" si="912"/>
        <v>16.11999999999999</v>
      </c>
      <c r="BQ469" s="1203">
        <f>+BQ466-BM466</f>
        <v>27.197000000000003</v>
      </c>
      <c r="BR469" s="517">
        <f t="shared" si="912"/>
        <v>7.8780000000000001</v>
      </c>
      <c r="BS469" s="517">
        <f t="shared" si="912"/>
        <v>11.804000000000002</v>
      </c>
      <c r="BT469" s="601">
        <f t="shared" si="912"/>
        <v>15.671999999999997</v>
      </c>
      <c r="BU469" s="1203">
        <f t="shared" si="912"/>
        <v>12.867000000000004</v>
      </c>
      <c r="BV469" s="517">
        <f t="shared" si="912"/>
        <v>13.697000000000003</v>
      </c>
      <c r="BW469" s="517">
        <f t="shared" si="912"/>
        <v>4.8799999999999955</v>
      </c>
      <c r="BX469" s="517">
        <f t="shared" si="912"/>
        <v>9.0450000000000017</v>
      </c>
      <c r="BY469" s="1203">
        <f t="shared" si="912"/>
        <v>22.501999999999995</v>
      </c>
      <c r="BZ469" s="517">
        <f t="shared" si="912"/>
        <v>28.99199999999999</v>
      </c>
      <c r="CA469" s="517">
        <f t="shared" si="912"/>
        <v>28.237000000000009</v>
      </c>
      <c r="CB469" s="517">
        <f t="shared" si="912"/>
        <v>49.90100000000001</v>
      </c>
      <c r="CC469" s="1524">
        <v>30</v>
      </c>
      <c r="CD469" s="1382">
        <v>25</v>
      </c>
      <c r="CE469" s="1382">
        <v>25</v>
      </c>
      <c r="CF469" s="1525">
        <v>23</v>
      </c>
      <c r="CG469" s="552"/>
      <c r="CH469" s="553"/>
      <c r="CI469" s="551"/>
      <c r="CJ469" s="516"/>
      <c r="CK469" s="516"/>
      <c r="CL469" s="516"/>
      <c r="CM469" s="516"/>
      <c r="CN469" s="517">
        <f t="shared" ref="CN469:CT469" si="913">+CN466-CM466</f>
        <v>8.3930000000000007</v>
      </c>
      <c r="CO469" s="517">
        <f t="shared" si="913"/>
        <v>18.292000000000002</v>
      </c>
      <c r="CP469" s="517">
        <f t="shared" si="913"/>
        <v>13.284999999999997</v>
      </c>
      <c r="CQ469" s="517">
        <f t="shared" si="913"/>
        <v>12.63000000000001</v>
      </c>
      <c r="CR469" s="517">
        <f t="shared" si="913"/>
        <v>42.46599999999998</v>
      </c>
      <c r="CS469" s="517">
        <f t="shared" si="913"/>
        <v>49.519000000000005</v>
      </c>
      <c r="CT469" s="517">
        <f t="shared" si="913"/>
        <v>79.823000000000008</v>
      </c>
      <c r="CU469" s="517">
        <f>+CU466-CT466</f>
        <v>99.874999999999972</v>
      </c>
      <c r="CV469" s="517">
        <f>+CV466-CU466</f>
        <v>62.551000000000045</v>
      </c>
      <c r="CW469" s="517">
        <f>+CW466-CV466</f>
        <v>40.488999999999976</v>
      </c>
      <c r="CX469" s="517">
        <f>+CX466-CW466</f>
        <v>129.63200000000006</v>
      </c>
      <c r="CY469" s="517">
        <f>+CY466-CX466</f>
        <v>103</v>
      </c>
      <c r="CZ469" s="1382">
        <v>45</v>
      </c>
      <c r="DA469" s="1382">
        <f>+CZ469-10</f>
        <v>35</v>
      </c>
      <c r="DB469" s="1382">
        <f>+DA469-10</f>
        <v>25</v>
      </c>
      <c r="DC469" s="1382">
        <v>10</v>
      </c>
      <c r="DD469" s="1382">
        <v>10</v>
      </c>
      <c r="DE469" s="1382">
        <v>10</v>
      </c>
      <c r="DF469" s="2162">
        <v>10</v>
      </c>
    </row>
    <row r="470" spans="1:110" s="612" customFormat="1" ht="11.25" customHeight="1">
      <c r="A470" s="547"/>
      <c r="B470"/>
      <c r="C470"/>
      <c r="D470"/>
      <c r="E470"/>
      <c r="F470"/>
      <c r="G470"/>
      <c r="H470" s="1044"/>
      <c r="I470" s="586" t="s">
        <v>387</v>
      </c>
      <c r="J470" s="21"/>
      <c r="K470" s="21"/>
      <c r="L470" s="611"/>
      <c r="M470" s="551"/>
      <c r="N470" s="551"/>
      <c r="O470" s="551"/>
      <c r="P470" s="552"/>
      <c r="Q470" s="551"/>
      <c r="R470" s="551"/>
      <c r="S470" s="551"/>
      <c r="T470" s="552"/>
      <c r="U470" s="516"/>
      <c r="V470" s="516"/>
      <c r="W470" s="516"/>
      <c r="X470" s="602"/>
      <c r="Y470" s="516"/>
      <c r="Z470" s="516"/>
      <c r="AA470" s="516"/>
      <c r="AB470" s="602"/>
      <c r="AC470" s="516"/>
      <c r="AD470" s="516"/>
      <c r="AE470" s="516"/>
      <c r="AF470" s="602"/>
      <c r="AG470" s="516"/>
      <c r="AH470" s="516"/>
      <c r="AI470" s="516"/>
      <c r="AJ470" s="602"/>
      <c r="AK470" s="517">
        <f t="shared" ref="AK470:BN470" si="914">+AK466-AJ466</f>
        <v>6.8000000000001393E-2</v>
      </c>
      <c r="AL470" s="517">
        <f t="shared" si="914"/>
        <v>0.75899999999999856</v>
      </c>
      <c r="AM470" s="517">
        <f t="shared" si="914"/>
        <v>-0.53599999999999959</v>
      </c>
      <c r="AN470" s="601">
        <f t="shared" si="914"/>
        <v>-0.29800000000000004</v>
      </c>
      <c r="AO470" s="517">
        <f t="shared" si="914"/>
        <v>2.8460000000000001</v>
      </c>
      <c r="AP470" s="517">
        <f t="shared" si="914"/>
        <v>2.42</v>
      </c>
      <c r="AQ470" s="517">
        <f t="shared" si="914"/>
        <v>-0.6850000000000005</v>
      </c>
      <c r="AR470" s="601">
        <f t="shared" si="914"/>
        <v>2.2250000000000014</v>
      </c>
      <c r="AS470" s="517">
        <f t="shared" si="914"/>
        <v>-0.9610000000000003</v>
      </c>
      <c r="AT470" s="517">
        <f t="shared" si="914"/>
        <v>-6.0000000000000497E-2</v>
      </c>
      <c r="AU470" s="517">
        <f t="shared" si="914"/>
        <v>4.6390000000000011</v>
      </c>
      <c r="AV470" s="601">
        <f t="shared" si="914"/>
        <v>0.30599999999999739</v>
      </c>
      <c r="AW470" s="517">
        <f t="shared" si="914"/>
        <v>-1.639999999999997</v>
      </c>
      <c r="AX470" s="517">
        <f t="shared" si="914"/>
        <v>4.4289999999999985</v>
      </c>
      <c r="AY470" s="517">
        <f t="shared" si="914"/>
        <v>-6.7319999999999993</v>
      </c>
      <c r="AZ470" s="601">
        <f t="shared" si="914"/>
        <v>9.2309999999999981</v>
      </c>
      <c r="BA470" s="517">
        <f t="shared" si="914"/>
        <v>0.91800000000000281</v>
      </c>
      <c r="BB470" s="517">
        <f t="shared" si="914"/>
        <v>3.8569999999999993</v>
      </c>
      <c r="BC470" s="517">
        <f t="shared" si="914"/>
        <v>1.9809999999999981</v>
      </c>
      <c r="BD470" s="601">
        <f t="shared" si="914"/>
        <v>4.6030000000000015</v>
      </c>
      <c r="BE470" s="517">
        <f t="shared" si="914"/>
        <v>4.3539999999999992</v>
      </c>
      <c r="BF470" s="517">
        <f t="shared" si="914"/>
        <v>-0.86699999999999733</v>
      </c>
      <c r="BG470" s="517">
        <f t="shared" si="914"/>
        <v>2.4799999999999969</v>
      </c>
      <c r="BH470" s="601">
        <f t="shared" si="914"/>
        <v>8.1159999999999997</v>
      </c>
      <c r="BI470" s="517">
        <f>+BI466-BH466</f>
        <v>-0.24199999999999733</v>
      </c>
      <c r="BJ470" s="517">
        <f>+BJ466-BI466</f>
        <v>14.760000000000005</v>
      </c>
      <c r="BK470" s="517">
        <f t="shared" si="914"/>
        <v>-1.8080000000000069</v>
      </c>
      <c r="BL470" s="517">
        <f t="shared" si="914"/>
        <v>11.686000000000007</v>
      </c>
      <c r="BM470" s="1203">
        <f>+BM466-BL466</f>
        <v>-1.8180000000000121</v>
      </c>
      <c r="BN470" s="517">
        <f t="shared" si="914"/>
        <v>18.085999999999999</v>
      </c>
      <c r="BO470" s="517">
        <f t="shared" ref="BO470:CF470" si="915">+BO466-BN466</f>
        <v>6.835000000000008</v>
      </c>
      <c r="BP470" s="601">
        <f t="shared" si="915"/>
        <v>-6.9830000000000041</v>
      </c>
      <c r="BQ470" s="1203">
        <f t="shared" si="915"/>
        <v>9.2590000000000003</v>
      </c>
      <c r="BR470" s="517">
        <f t="shared" si="915"/>
        <v>-1.2330000000000041</v>
      </c>
      <c r="BS470" s="517">
        <f t="shared" si="915"/>
        <v>10.76100000000001</v>
      </c>
      <c r="BT470" s="601">
        <f t="shared" si="915"/>
        <v>-3.1150000000000091</v>
      </c>
      <c r="BU470" s="1203">
        <f t="shared" si="915"/>
        <v>6.4540000000000077</v>
      </c>
      <c r="BV470" s="517">
        <f t="shared" si="915"/>
        <v>-0.4030000000000058</v>
      </c>
      <c r="BW470" s="517">
        <f t="shared" si="915"/>
        <v>1.9440000000000026</v>
      </c>
      <c r="BX470" s="517">
        <f t="shared" si="915"/>
        <v>1.0499999999999972</v>
      </c>
      <c r="BY470" s="1203">
        <f t="shared" si="915"/>
        <v>19.911000000000001</v>
      </c>
      <c r="BZ470" s="517">
        <f t="shared" si="915"/>
        <v>6.0869999999999891</v>
      </c>
      <c r="CA470" s="517">
        <f t="shared" si="915"/>
        <v>1.1890000000000214</v>
      </c>
      <c r="CB470" s="517">
        <f t="shared" si="915"/>
        <v>22.713999999999999</v>
      </c>
      <c r="CC470" s="1203">
        <f t="shared" si="915"/>
        <v>9.9999999999909051E-3</v>
      </c>
      <c r="CD470" s="517">
        <f t="shared" si="915"/>
        <v>1.0869999999999891</v>
      </c>
      <c r="CE470" s="517">
        <f t="shared" si="915"/>
        <v>1.1890000000000214</v>
      </c>
      <c r="CF470" s="601">
        <f t="shared" si="915"/>
        <v>20.713999999999999</v>
      </c>
      <c r="CG470" s="552"/>
      <c r="CH470" s="553"/>
      <c r="CI470" s="551"/>
      <c r="CJ470" s="516"/>
      <c r="CK470" s="516"/>
      <c r="CL470" s="516"/>
      <c r="CM470" s="516"/>
      <c r="CN470" s="516"/>
      <c r="CO470" s="516"/>
      <c r="CP470" s="516"/>
      <c r="CQ470" s="516"/>
      <c r="CR470" s="516"/>
      <c r="CS470" s="516"/>
      <c r="CT470" s="517"/>
      <c r="CU470" s="517"/>
      <c r="CV470" s="486"/>
      <c r="CW470" s="486"/>
      <c r="CX470" s="486"/>
      <c r="CY470" s="486"/>
      <c r="CZ470" s="517"/>
      <c r="DA470" s="517"/>
      <c r="DB470" s="517"/>
      <c r="DC470" s="517"/>
      <c r="DD470" s="517"/>
      <c r="DE470" s="517"/>
      <c r="DF470" s="2161"/>
    </row>
    <row r="471" spans="1:110" s="78" customFormat="1" ht="11.25" customHeight="1">
      <c r="A471" s="24"/>
      <c r="B471"/>
      <c r="C471"/>
      <c r="D471"/>
      <c r="E471"/>
      <c r="F471"/>
      <c r="G471"/>
      <c r="H471" s="1044"/>
      <c r="I471" s="194"/>
      <c r="J471" s="74"/>
      <c r="K471" s="74"/>
      <c r="L471" s="75"/>
      <c r="M471" s="439"/>
      <c r="N471" s="439"/>
      <c r="O471" s="439"/>
      <c r="P471" s="370"/>
      <c r="Q471" s="439"/>
      <c r="R471" s="439"/>
      <c r="S471" s="439"/>
      <c r="T471" s="370"/>
      <c r="U471" s="470"/>
      <c r="V471" s="470"/>
      <c r="W471" s="470"/>
      <c r="X471" s="471"/>
      <c r="Y471" s="470"/>
      <c r="Z471" s="470"/>
      <c r="AA471" s="470"/>
      <c r="AB471" s="471"/>
      <c r="AC471" s="470"/>
      <c r="AD471" s="470"/>
      <c r="AE471" s="470"/>
      <c r="AF471" s="471"/>
      <c r="AG471" s="470"/>
      <c r="AH471" s="470"/>
      <c r="AI471" s="470"/>
      <c r="AJ471" s="471"/>
      <c r="AK471" s="486"/>
      <c r="AL471" s="486"/>
      <c r="AM471" s="486"/>
      <c r="AN471" s="487"/>
      <c r="AO471" s="486"/>
      <c r="AP471" s="486"/>
      <c r="AQ471" s="486"/>
      <c r="AR471" s="487"/>
      <c r="AS471" s="486"/>
      <c r="AT471" s="486"/>
      <c r="AU471" s="486"/>
      <c r="AV471" s="487"/>
      <c r="AW471" s="486"/>
      <c r="AX471" s="486"/>
      <c r="AY471" s="486"/>
      <c r="AZ471" s="487"/>
      <c r="BA471" s="486"/>
      <c r="BB471" s="486"/>
      <c r="BC471" s="486"/>
      <c r="BD471" s="487"/>
      <c r="BE471" s="486"/>
      <c r="BF471" s="486"/>
      <c r="BG471" s="486"/>
      <c r="BH471" s="487"/>
      <c r="BI471" s="470"/>
      <c r="BJ471" s="470"/>
      <c r="BK471" s="470"/>
      <c r="BL471" s="470"/>
      <c r="BM471" s="390"/>
      <c r="BN471" s="317"/>
      <c r="BO471" s="317"/>
      <c r="BP471" s="515"/>
      <c r="BQ471" s="1526"/>
      <c r="BR471" s="317"/>
      <c r="BS471" s="317"/>
      <c r="BT471" s="1838"/>
      <c r="BU471" s="390"/>
      <c r="BV471" s="317"/>
      <c r="BW471" s="317"/>
      <c r="BX471" s="1839"/>
      <c r="BY471" s="390"/>
      <c r="BZ471" s="317"/>
      <c r="CA471" s="317"/>
      <c r="CB471" s="1839"/>
      <c r="CC471" s="390"/>
      <c r="CD471" s="317"/>
      <c r="CE471" s="1839"/>
      <c r="CF471" s="1838"/>
      <c r="CG471" s="370"/>
      <c r="CH471" s="440"/>
      <c r="CI471" s="439"/>
      <c r="CJ471" s="470"/>
      <c r="CK471" s="470"/>
      <c r="CL471" s="470"/>
      <c r="CM471" s="470"/>
      <c r="CN471" s="486"/>
      <c r="CO471" s="486"/>
      <c r="CP471" s="486"/>
      <c r="CQ471" s="486"/>
      <c r="CR471" s="486"/>
      <c r="CS471" s="486"/>
      <c r="CT471" s="486"/>
      <c r="CU471" s="486"/>
      <c r="CV471" s="486"/>
      <c r="CW471" s="486"/>
      <c r="CX471" s="486"/>
      <c r="CY471" s="486"/>
      <c r="CZ471" s="486"/>
      <c r="DA471" s="486"/>
      <c r="DB471" s="486"/>
      <c r="DC471" s="486"/>
      <c r="DD471" s="486"/>
      <c r="DE471" s="486"/>
      <c r="DF471" s="2164"/>
    </row>
    <row r="472" spans="1:110" s="632" customFormat="1" ht="11.25" customHeight="1">
      <c r="A472" s="542"/>
      <c r="B472"/>
      <c r="C472"/>
      <c r="D472"/>
      <c r="E472"/>
      <c r="F472"/>
      <c r="G472"/>
      <c r="H472" s="1052"/>
      <c r="I472" s="617" t="s">
        <v>219</v>
      </c>
      <c r="J472" s="634"/>
      <c r="K472" s="634"/>
      <c r="L472" s="631"/>
      <c r="M472" s="581"/>
      <c r="N472" s="581"/>
      <c r="O472" s="581"/>
      <c r="P472" s="582"/>
      <c r="Q472" s="581"/>
      <c r="R472" s="581"/>
      <c r="S472" s="581"/>
      <c r="T472" s="582"/>
      <c r="U472" s="600"/>
      <c r="V472" s="600"/>
      <c r="W472" s="600"/>
      <c r="X472" s="599"/>
      <c r="Y472" s="600"/>
      <c r="Z472" s="600"/>
      <c r="AA472" s="600"/>
      <c r="AB472" s="599"/>
      <c r="AC472" s="600"/>
      <c r="AD472" s="600"/>
      <c r="AE472" s="600"/>
      <c r="AF472" s="599"/>
      <c r="AG472" s="514">
        <f t="shared" ref="AG472:BY472" si="916">+AG66</f>
        <v>2.3069999999999999</v>
      </c>
      <c r="AH472" s="514">
        <f t="shared" si="916"/>
        <v>2.3319999999999999</v>
      </c>
      <c r="AI472" s="514">
        <f t="shared" si="916"/>
        <v>2.5510000000000002</v>
      </c>
      <c r="AJ472" s="515">
        <f t="shared" si="916"/>
        <v>2.5590000000000002</v>
      </c>
      <c r="AK472" s="514">
        <f t="shared" si="916"/>
        <v>2.911</v>
      </c>
      <c r="AL472" s="514">
        <f t="shared" si="916"/>
        <v>3.1520000000000001</v>
      </c>
      <c r="AM472" s="514">
        <f t="shared" si="916"/>
        <v>3.343</v>
      </c>
      <c r="AN472" s="515">
        <f t="shared" si="916"/>
        <v>4.3730000000000002</v>
      </c>
      <c r="AO472" s="514">
        <f t="shared" si="916"/>
        <v>4.149</v>
      </c>
      <c r="AP472" s="514">
        <f t="shared" si="916"/>
        <v>5.1360000000000001</v>
      </c>
      <c r="AQ472" s="514">
        <f t="shared" si="916"/>
        <v>4.4020000000000001</v>
      </c>
      <c r="AR472" s="515">
        <f t="shared" si="916"/>
        <v>4.2679999999999998</v>
      </c>
      <c r="AS472" s="514">
        <f t="shared" si="916"/>
        <v>4.5270000000000001</v>
      </c>
      <c r="AT472" s="514">
        <f t="shared" si="916"/>
        <v>4.6970000000000001</v>
      </c>
      <c r="AU472" s="514">
        <f t="shared" si="916"/>
        <v>4.7770000000000001</v>
      </c>
      <c r="AV472" s="515">
        <f t="shared" si="916"/>
        <v>5.1369999999999996</v>
      </c>
      <c r="AW472" s="514">
        <f t="shared" si="916"/>
        <v>4.6079999999999997</v>
      </c>
      <c r="AX472" s="514">
        <f t="shared" si="916"/>
        <v>4.8949999999999996</v>
      </c>
      <c r="AY472" s="514">
        <f t="shared" si="916"/>
        <v>5.3470000000000004</v>
      </c>
      <c r="AZ472" s="515">
        <f t="shared" si="916"/>
        <v>6.1479999999999997</v>
      </c>
      <c r="BA472" s="514">
        <f t="shared" si="916"/>
        <v>6.67</v>
      </c>
      <c r="BB472" s="514">
        <f t="shared" si="916"/>
        <v>8.2390000000000008</v>
      </c>
      <c r="BC472" s="514">
        <f t="shared" si="916"/>
        <v>8.548</v>
      </c>
      <c r="BD472" s="515">
        <f t="shared" si="916"/>
        <v>10.356999999999999</v>
      </c>
      <c r="BE472" s="514">
        <f t="shared" si="916"/>
        <v>10.734999999999999</v>
      </c>
      <c r="BF472" s="514">
        <f t="shared" si="916"/>
        <v>10.44</v>
      </c>
      <c r="BG472" s="514">
        <f t="shared" si="916"/>
        <v>10.798999999999999</v>
      </c>
      <c r="BH472" s="515">
        <f t="shared" si="916"/>
        <v>11.711</v>
      </c>
      <c r="BI472" s="514">
        <f t="shared" si="916"/>
        <v>13.222</v>
      </c>
      <c r="BJ472" s="514">
        <f t="shared" si="916"/>
        <v>16.959</v>
      </c>
      <c r="BK472" s="514">
        <f t="shared" si="916"/>
        <v>18.536000000000001</v>
      </c>
      <c r="BL472" s="514">
        <f t="shared" si="916"/>
        <v>23.172999999999998</v>
      </c>
      <c r="BM472" s="1514">
        <f t="shared" si="916"/>
        <v>23.224</v>
      </c>
      <c r="BN472" s="514">
        <f t="shared" si="916"/>
        <v>24.042000000000002</v>
      </c>
      <c r="BO472" s="514">
        <f t="shared" si="916"/>
        <v>24.802</v>
      </c>
      <c r="BP472" s="515">
        <f t="shared" si="916"/>
        <v>25.43</v>
      </c>
      <c r="BQ472" s="1514">
        <f t="shared" si="916"/>
        <v>25.361000000000001</v>
      </c>
      <c r="BR472" s="514">
        <f t="shared" si="916"/>
        <v>27.155999999999999</v>
      </c>
      <c r="BS472" s="514">
        <f t="shared" si="916"/>
        <v>28.83</v>
      </c>
      <c r="BT472" s="515">
        <f t="shared" si="916"/>
        <v>32.270000000000003</v>
      </c>
      <c r="BU472" s="1514">
        <f t="shared" si="916"/>
        <v>32.787999999999997</v>
      </c>
      <c r="BV472" s="514">
        <f t="shared" si="916"/>
        <v>35.796999999999997</v>
      </c>
      <c r="BW472" s="514">
        <f t="shared" si="916"/>
        <v>36.389000000000003</v>
      </c>
      <c r="BX472" s="514">
        <f t="shared" si="916"/>
        <v>37.418999999999997</v>
      </c>
      <c r="BY472" s="1514">
        <f t="shared" si="916"/>
        <v>39.945</v>
      </c>
      <c r="BZ472" s="514">
        <f>+BZ66</f>
        <v>44.831000000000003</v>
      </c>
      <c r="CA472" s="514">
        <f>+CA66</f>
        <v>47.901000000000003</v>
      </c>
      <c r="CB472" s="514">
        <f t="shared" ref="CB472" si="917">+CB66</f>
        <v>56.667000000000002</v>
      </c>
      <c r="CC472" s="1514">
        <f>+CC39*CC473</f>
        <v>49.970519509452046</v>
      </c>
      <c r="CD472" s="514">
        <f>+CD39*CD473</f>
        <v>56.772743139529744</v>
      </c>
      <c r="CE472" s="514">
        <f>+CE39*CE473</f>
        <v>58.551201697556394</v>
      </c>
      <c r="CF472" s="515">
        <f>+CF39*CF473</f>
        <v>71.635579346910561</v>
      </c>
      <c r="CG472" s="582"/>
      <c r="CH472" s="583"/>
      <c r="CI472" s="581"/>
      <c r="CJ472" s="600"/>
      <c r="CK472" s="600"/>
      <c r="CL472" s="600"/>
      <c r="CM472" s="514">
        <f>+SUM(AG472:AJ472)</f>
        <v>9.7489999999999988</v>
      </c>
      <c r="CN472" s="514">
        <f>+SUM(AK472:AN472)</f>
        <v>13.779</v>
      </c>
      <c r="CO472" s="514">
        <f>+SUM(AO472:AR472)</f>
        <v>17.955000000000002</v>
      </c>
      <c r="CP472" s="514">
        <f>+SUM(AS472:AV472)</f>
        <v>19.138000000000002</v>
      </c>
      <c r="CQ472" s="514">
        <f>+SUM(AW472:AZ472)</f>
        <v>20.998000000000001</v>
      </c>
      <c r="CR472" s="514">
        <f>+SUM(BA472:BD472)</f>
        <v>33.814</v>
      </c>
      <c r="CS472" s="514">
        <f>+SUM(BE472:BH472)</f>
        <v>43.684999999999995</v>
      </c>
      <c r="CT472" s="514">
        <f>+SUM(BI472:BL472)</f>
        <v>71.89</v>
      </c>
      <c r="CU472" s="514">
        <f>SUM(BM472:BP472)</f>
        <v>97.498000000000019</v>
      </c>
      <c r="CV472" s="514">
        <f>SUM(BQ472:BT472)</f>
        <v>113.61699999999999</v>
      </c>
      <c r="CW472" s="514">
        <f>SUM(BU472:BX472)</f>
        <v>142.39299999999997</v>
      </c>
      <c r="CX472" s="514">
        <f>SUM(BY472:CB472)</f>
        <v>189.34400000000002</v>
      </c>
      <c r="CY472" s="514">
        <f>SUM(CC472:CF472)</f>
        <v>236.93004369344874</v>
      </c>
      <c r="CZ472" s="514">
        <f t="shared" ref="CZ472:DF472" si="918">+CY472+CZ475</f>
        <v>276.93004369344874</v>
      </c>
      <c r="DA472" s="514">
        <f t="shared" si="918"/>
        <v>316.93004369344874</v>
      </c>
      <c r="DB472" s="514">
        <f t="shared" si="918"/>
        <v>356.93004369344874</v>
      </c>
      <c r="DC472" s="514">
        <f t="shared" si="918"/>
        <v>396.93004369344874</v>
      </c>
      <c r="DD472" s="514">
        <f t="shared" si="918"/>
        <v>436.93004369344874</v>
      </c>
      <c r="DE472" s="514">
        <f t="shared" si="918"/>
        <v>476.93004369344874</v>
      </c>
      <c r="DF472" s="2163">
        <f t="shared" si="918"/>
        <v>516.93004369344874</v>
      </c>
    </row>
    <row r="473" spans="1:110" s="308" customFormat="1" ht="11.25" customHeight="1">
      <c r="A473" s="82"/>
      <c r="B473"/>
      <c r="C473"/>
      <c r="D473"/>
      <c r="E473"/>
      <c r="F473"/>
      <c r="G473"/>
      <c r="H473" s="1044"/>
      <c r="I473" s="1333" t="s">
        <v>507</v>
      </c>
      <c r="J473" s="83"/>
      <c r="K473" s="83"/>
      <c r="L473" s="307"/>
      <c r="M473" s="336"/>
      <c r="N473" s="336"/>
      <c r="O473" s="336"/>
      <c r="P473" s="337"/>
      <c r="Q473" s="336"/>
      <c r="R473" s="336"/>
      <c r="S473" s="336"/>
      <c r="T473" s="337"/>
      <c r="U473" s="393"/>
      <c r="V473" s="393"/>
      <c r="W473" s="393"/>
      <c r="X473" s="472"/>
      <c r="Y473" s="393"/>
      <c r="Z473" s="393"/>
      <c r="AA473" s="393"/>
      <c r="AB473" s="472"/>
      <c r="AC473" s="393"/>
      <c r="AD473" s="393"/>
      <c r="AE473" s="393"/>
      <c r="AF473" s="472"/>
      <c r="AG473" s="391">
        <f t="shared" ref="AG473:BY473" si="919">+AG472/AG39</f>
        <v>3.1939195082443826E-2</v>
      </c>
      <c r="AH473" s="391">
        <f t="shared" si="919"/>
        <v>2.2040754602850553E-2</v>
      </c>
      <c r="AI473" s="391">
        <f t="shared" si="919"/>
        <v>2.0855134074558534E-2</v>
      </c>
      <c r="AJ473" s="392">
        <f t="shared" si="919"/>
        <v>2.5714199583990686E-2</v>
      </c>
      <c r="AK473" s="391">
        <f t="shared" si="919"/>
        <v>2.8033783068018753E-2</v>
      </c>
      <c r="AL473" s="391">
        <f t="shared" si="919"/>
        <v>2.0349531612145165E-2</v>
      </c>
      <c r="AM473" s="391">
        <f t="shared" si="919"/>
        <v>1.6522431065926626E-2</v>
      </c>
      <c r="AN473" s="392">
        <f t="shared" si="919"/>
        <v>2.7305309955542232E-2</v>
      </c>
      <c r="AO473" s="391">
        <f t="shared" si="919"/>
        <v>2.2909614970486408E-2</v>
      </c>
      <c r="AP473" s="391">
        <f t="shared" si="919"/>
        <v>2.0242388412651493E-2</v>
      </c>
      <c r="AQ473" s="391">
        <f t="shared" si="919"/>
        <v>1.3926942083915995E-2</v>
      </c>
      <c r="AR473" s="392">
        <f t="shared" si="919"/>
        <v>2.0812912978811597E-2</v>
      </c>
      <c r="AS473" s="391">
        <f t="shared" si="919"/>
        <v>2.1729947679162868E-2</v>
      </c>
      <c r="AT473" s="391">
        <f t="shared" si="919"/>
        <v>1.5387992320746434E-2</v>
      </c>
      <c r="AU473" s="391">
        <f t="shared" si="919"/>
        <v>1.1006760275203569E-2</v>
      </c>
      <c r="AV473" s="392">
        <f t="shared" si="919"/>
        <v>1.6402236349297064E-2</v>
      </c>
      <c r="AW473" s="391">
        <f t="shared" si="919"/>
        <v>1.44398901966683E-2</v>
      </c>
      <c r="AX473" s="391">
        <f t="shared" si="919"/>
        <v>1.0970810248686642E-2</v>
      </c>
      <c r="AY473" s="391">
        <f t="shared" si="919"/>
        <v>8.001999377439362E-3</v>
      </c>
      <c r="AZ473" s="392">
        <f t="shared" si="919"/>
        <v>1.2803905316078187E-2</v>
      </c>
      <c r="BA473" s="391">
        <f t="shared" si="919"/>
        <v>1.3186821877075885E-2</v>
      </c>
      <c r="BB473" s="391">
        <f t="shared" si="919"/>
        <v>1.0996667231693465E-2</v>
      </c>
      <c r="BC473" s="391">
        <f t="shared" si="919"/>
        <v>7.7698636910670188E-3</v>
      </c>
      <c r="BD473" s="392">
        <f t="shared" si="919"/>
        <v>1.4291490098620525E-2</v>
      </c>
      <c r="BE473" s="391">
        <f t="shared" si="919"/>
        <v>1.4442584839254769E-2</v>
      </c>
      <c r="BF473" s="391">
        <f t="shared" si="919"/>
        <v>1.0396935891537252E-2</v>
      </c>
      <c r="BG473" s="391">
        <f t="shared" si="919"/>
        <v>7.7328981504488714E-3</v>
      </c>
      <c r="BH473" s="392">
        <f t="shared" si="919"/>
        <v>1.2461824953445064E-2</v>
      </c>
      <c r="BI473" s="391">
        <f t="shared" si="919"/>
        <v>1.3095432643500568E-2</v>
      </c>
      <c r="BJ473" s="391">
        <f t="shared" si="919"/>
        <v>1.2254896647408869E-2</v>
      </c>
      <c r="BK473" s="391">
        <f t="shared" si="919"/>
        <v>9.3189513665968698E-3</v>
      </c>
      <c r="BL473" s="391">
        <f t="shared" si="919"/>
        <v>1.7380171469158125E-2</v>
      </c>
      <c r="BM473" s="1405">
        <f t="shared" si="919"/>
        <v>1.6512249452708228E-2</v>
      </c>
      <c r="BN473" s="391">
        <f t="shared" si="919"/>
        <v>1.2767950648859584E-2</v>
      </c>
      <c r="BO473" s="391">
        <f t="shared" si="919"/>
        <v>9.466491703365448E-3</v>
      </c>
      <c r="BP473" s="392">
        <f t="shared" si="919"/>
        <v>1.5184945228505659E-2</v>
      </c>
      <c r="BQ473" s="1405">
        <f t="shared" si="919"/>
        <v>1.5165921556526712E-2</v>
      </c>
      <c r="BR473" s="391">
        <f t="shared" si="919"/>
        <v>1.297526023624568E-2</v>
      </c>
      <c r="BS473" s="391">
        <f t="shared" si="919"/>
        <v>9.7818939619622423E-3</v>
      </c>
      <c r="BT473" s="392">
        <f t="shared" si="919"/>
        <v>1.7170528838453901E-2</v>
      </c>
      <c r="BU473" s="1405">
        <f t="shared" si="919"/>
        <v>1.6236103889672931E-2</v>
      </c>
      <c r="BV473" s="391">
        <f t="shared" si="919"/>
        <v>1.473237913292271E-2</v>
      </c>
      <c r="BW473" s="391">
        <f t="shared" si="919"/>
        <v>1.0138857969336288E-2</v>
      </c>
      <c r="BX473" s="391">
        <f t="shared" si="919"/>
        <v>1.6438078143141618E-2</v>
      </c>
      <c r="BY473" s="1405">
        <f t="shared" si="919"/>
        <v>1.7112672888548067E-2</v>
      </c>
      <c r="BZ473" s="391">
        <f>+BZ472/BZ39</f>
        <v>1.5187610059441416E-2</v>
      </c>
      <c r="CA473" s="391">
        <f>+CA472/CA39</f>
        <v>1.0949918768843355E-2</v>
      </c>
      <c r="CB473" s="391">
        <f t="shared" ref="CB473" si="920">+CB472/CB39</f>
        <v>2.0457821695247885E-2</v>
      </c>
      <c r="CC473" s="1527">
        <f>+BY473+0.00075</f>
        <v>1.7862672888548068E-2</v>
      </c>
      <c r="CD473" s="785">
        <f>+BZ473+0.00075</f>
        <v>1.5937610059441415E-2</v>
      </c>
      <c r="CE473" s="785">
        <f>+CA473+0.00075</f>
        <v>1.1699918768843355E-2</v>
      </c>
      <c r="CF473" s="489">
        <f>+CB473+0.00075</f>
        <v>2.1207821695247885E-2</v>
      </c>
      <c r="CG473" s="337"/>
      <c r="CH473" s="367"/>
      <c r="CI473" s="336"/>
      <c r="CJ473" s="393"/>
      <c r="CK473" s="393"/>
      <c r="CL473" s="393"/>
      <c r="CM473" s="391">
        <f t="shared" ref="CM473:DF473" si="921">+CM472/CM39</f>
        <v>2.4380301696542879E-2</v>
      </c>
      <c r="CN473" s="391">
        <f t="shared" si="921"/>
        <v>2.2180726479560226E-2</v>
      </c>
      <c r="CO473" s="391">
        <f t="shared" si="921"/>
        <v>1.8781950498498384E-2</v>
      </c>
      <c r="CP473" s="391">
        <f t="shared" si="921"/>
        <v>1.5179696739196821E-2</v>
      </c>
      <c r="CQ473" s="391">
        <f t="shared" si="921"/>
        <v>1.0972610799958616E-2</v>
      </c>
      <c r="CR473" s="391">
        <f t="shared" si="921"/>
        <v>1.0978999181786301E-2</v>
      </c>
      <c r="CS473" s="391">
        <f t="shared" si="921"/>
        <v>1.0697456534925227E-2</v>
      </c>
      <c r="CT473" s="391">
        <f t="shared" si="921"/>
        <v>1.2577227747369349E-2</v>
      </c>
      <c r="CU473" s="391">
        <f t="shared" si="921"/>
        <v>1.2855528584030078E-2</v>
      </c>
      <c r="CV473" s="391">
        <f t="shared" si="921"/>
        <v>1.3223877119213689E-2</v>
      </c>
      <c r="CW473" s="391">
        <f t="shared" si="921"/>
        <v>1.3804871730537372E-2</v>
      </c>
      <c r="CX473" s="391">
        <f t="shared" si="921"/>
        <v>1.5232155951327963E-2</v>
      </c>
      <c r="CY473" s="391">
        <f t="shared" si="921"/>
        <v>1.6071911351426226E-2</v>
      </c>
      <c r="CZ473" s="391">
        <f t="shared" si="921"/>
        <v>1.6494277629209492E-2</v>
      </c>
      <c r="DA473" s="391">
        <f t="shared" si="921"/>
        <v>1.6838510723507095E-2</v>
      </c>
      <c r="DB473" s="391">
        <f t="shared" si="921"/>
        <v>1.7179031292593763E-2</v>
      </c>
      <c r="DC473" s="391">
        <f t="shared" si="921"/>
        <v>1.7497773654648396E-2</v>
      </c>
      <c r="DD473" s="391">
        <f t="shared" si="921"/>
        <v>1.7787348376697692E-2</v>
      </c>
      <c r="DE473" s="391">
        <f t="shared" si="921"/>
        <v>1.8066172057352621E-2</v>
      </c>
      <c r="DF473" s="2138">
        <f t="shared" si="921"/>
        <v>1.8216587459512278E-2</v>
      </c>
    </row>
    <row r="474" spans="1:110" s="61" customFormat="1" ht="11.25" customHeight="1">
      <c r="A474" s="48"/>
      <c r="B474"/>
      <c r="C474"/>
      <c r="D474"/>
      <c r="E474"/>
      <c r="F474"/>
      <c r="G474"/>
      <c r="H474" s="1044"/>
      <c r="I474" s="1332" t="s">
        <v>384</v>
      </c>
      <c r="J474" s="85"/>
      <c r="K474" s="85"/>
      <c r="L474" s="60"/>
      <c r="M474" s="350"/>
      <c r="N474" s="350"/>
      <c r="O474" s="350"/>
      <c r="P474" s="351"/>
      <c r="Q474" s="350"/>
      <c r="R474" s="350"/>
      <c r="S474" s="350"/>
      <c r="T474" s="351"/>
      <c r="U474" s="482"/>
      <c r="V474" s="482"/>
      <c r="W474" s="482"/>
      <c r="X474" s="483"/>
      <c r="Y474" s="482"/>
      <c r="Z474" s="482"/>
      <c r="AA474" s="482"/>
      <c r="AB474" s="483"/>
      <c r="AC474" s="482"/>
      <c r="AD474" s="482"/>
      <c r="AE474" s="482"/>
      <c r="AF474" s="483"/>
      <c r="AG474" s="482"/>
      <c r="AH474" s="482"/>
      <c r="AI474" s="482"/>
      <c r="AJ474" s="483"/>
      <c r="AK474" s="484">
        <f>+(AK473-AG473)*10000</f>
        <v>-39.054120144250724</v>
      </c>
      <c r="AL474" s="484">
        <f t="shared" ref="AL474:CF474" si="922">+(AL473-AH473)*10000</f>
        <v>-16.912229907053884</v>
      </c>
      <c r="AM474" s="484">
        <f t="shared" si="922"/>
        <v>-43.327030086319077</v>
      </c>
      <c r="AN474" s="485">
        <f t="shared" si="922"/>
        <v>15.911103715515463</v>
      </c>
      <c r="AO474" s="484">
        <f t="shared" si="922"/>
        <v>-51.241680975323455</v>
      </c>
      <c r="AP474" s="484">
        <f t="shared" si="922"/>
        <v>-1.071431994936721</v>
      </c>
      <c r="AQ474" s="484">
        <f t="shared" si="922"/>
        <v>-25.954889820106306</v>
      </c>
      <c r="AR474" s="485">
        <f t="shared" si="922"/>
        <v>-64.923969767306346</v>
      </c>
      <c r="AS474" s="484">
        <f t="shared" si="922"/>
        <v>-11.796672913235405</v>
      </c>
      <c r="AT474" s="484">
        <f t="shared" si="922"/>
        <v>-48.543960919050583</v>
      </c>
      <c r="AU474" s="484">
        <f t="shared" si="922"/>
        <v>-29.201818087124259</v>
      </c>
      <c r="AV474" s="485">
        <f t="shared" si="922"/>
        <v>-44.106766295145327</v>
      </c>
      <c r="AW474" s="484">
        <f t="shared" si="922"/>
        <v>-72.900574824945679</v>
      </c>
      <c r="AX474" s="484">
        <f t="shared" si="922"/>
        <v>-44.171820720597928</v>
      </c>
      <c r="AY474" s="484">
        <f t="shared" si="922"/>
        <v>-30.047608977642071</v>
      </c>
      <c r="AZ474" s="485">
        <f t="shared" si="922"/>
        <v>-35.983310332188772</v>
      </c>
      <c r="BA474" s="484">
        <f t="shared" si="922"/>
        <v>-12.530683195924146</v>
      </c>
      <c r="BB474" s="484">
        <f t="shared" si="922"/>
        <v>0.25856983006822959</v>
      </c>
      <c r="BC474" s="484">
        <f t="shared" si="922"/>
        <v>-2.3213568637234316</v>
      </c>
      <c r="BD474" s="485">
        <f t="shared" si="922"/>
        <v>14.875847825423383</v>
      </c>
      <c r="BE474" s="484">
        <f t="shared" si="922"/>
        <v>12.557629621788839</v>
      </c>
      <c r="BF474" s="484">
        <f t="shared" si="922"/>
        <v>-5.9973134015621312</v>
      </c>
      <c r="BG474" s="484">
        <f t="shared" si="922"/>
        <v>-0.36965540618147386</v>
      </c>
      <c r="BH474" s="485">
        <f t="shared" si="922"/>
        <v>-18.296651451754613</v>
      </c>
      <c r="BI474" s="484">
        <f t="shared" si="922"/>
        <v>-13.471521957542018</v>
      </c>
      <c r="BJ474" s="484">
        <f t="shared" si="922"/>
        <v>18.579607558716177</v>
      </c>
      <c r="BK474" s="484">
        <f t="shared" si="922"/>
        <v>15.860532161479984</v>
      </c>
      <c r="BL474" s="484">
        <f t="shared" si="922"/>
        <v>49.183465157130613</v>
      </c>
      <c r="BM474" s="1519">
        <f t="shared" si="922"/>
        <v>34.168168092076606</v>
      </c>
      <c r="BN474" s="484">
        <f t="shared" si="922"/>
        <v>5.1305400145071518</v>
      </c>
      <c r="BO474" s="484">
        <f>+(BO473-BK473)*10000</f>
        <v>1.4754033676857812</v>
      </c>
      <c r="BP474" s="485">
        <f t="shared" si="922"/>
        <v>-21.952262406524664</v>
      </c>
      <c r="BQ474" s="1519">
        <f t="shared" si="922"/>
        <v>-13.463278961815158</v>
      </c>
      <c r="BR474" s="484">
        <f>+(BR473-BN473)*10000</f>
        <v>2.0730958738609564</v>
      </c>
      <c r="BS474" s="484">
        <f>+(BS473-BO473)*10000</f>
        <v>3.1540225859679438</v>
      </c>
      <c r="BT474" s="485">
        <f t="shared" si="922"/>
        <v>19.855836099482421</v>
      </c>
      <c r="BU474" s="1519">
        <f>+(BU473-BQ473)*10000</f>
        <v>10.701823331462183</v>
      </c>
      <c r="BV474" s="484">
        <f t="shared" si="922"/>
        <v>17.571188966770297</v>
      </c>
      <c r="BW474" s="484">
        <f t="shared" si="922"/>
        <v>3.5696400737404534</v>
      </c>
      <c r="BX474" s="484">
        <f t="shared" si="922"/>
        <v>-7.3245069531228255</v>
      </c>
      <c r="BY474" s="1519">
        <f t="shared" si="922"/>
        <v>8.7656899887513653</v>
      </c>
      <c r="BZ474" s="484">
        <f t="shared" si="922"/>
        <v>4.5523092651870645</v>
      </c>
      <c r="CA474" s="484">
        <f t="shared" si="922"/>
        <v>8.1106079950706711</v>
      </c>
      <c r="CB474" s="484">
        <f t="shared" si="922"/>
        <v>40.197435521062658</v>
      </c>
      <c r="CC474" s="1519">
        <f t="shared" si="922"/>
        <v>7.5000000000000071</v>
      </c>
      <c r="CD474" s="484">
        <f t="shared" si="922"/>
        <v>7.4999999999999893</v>
      </c>
      <c r="CE474" s="484">
        <f t="shared" si="922"/>
        <v>7.5000000000000071</v>
      </c>
      <c r="CF474" s="485">
        <f t="shared" si="922"/>
        <v>7.5000000000000071</v>
      </c>
      <c r="CG474" s="351"/>
      <c r="CH474" s="356"/>
      <c r="CI474" s="350"/>
      <c r="CJ474" s="482"/>
      <c r="CK474" s="482"/>
      <c r="CL474" s="482"/>
      <c r="CM474" s="482"/>
      <c r="CN474" s="484">
        <f t="shared" ref="CN474:DF474" si="923">+(CN473-CM473)*10000</f>
        <v>-21.995752169826527</v>
      </c>
      <c r="CO474" s="484">
        <f t="shared" si="923"/>
        <v>-33.987759810618428</v>
      </c>
      <c r="CP474" s="484">
        <f t="shared" si="923"/>
        <v>-36.02253759301562</v>
      </c>
      <c r="CQ474" s="484">
        <f t="shared" si="923"/>
        <v>-42.070859392382054</v>
      </c>
      <c r="CR474" s="484">
        <f t="shared" si="923"/>
        <v>6.3883818276853216E-2</v>
      </c>
      <c r="CS474" s="484">
        <f t="shared" si="923"/>
        <v>-2.8154264686107435</v>
      </c>
      <c r="CT474" s="484">
        <f t="shared" si="923"/>
        <v>18.797712124441219</v>
      </c>
      <c r="CU474" s="484">
        <f t="shared" si="923"/>
        <v>2.7830083666072896</v>
      </c>
      <c r="CV474" s="484">
        <f t="shared" si="923"/>
        <v>3.6834853518361195</v>
      </c>
      <c r="CW474" s="484">
        <f t="shared" si="923"/>
        <v>5.8099461132368226</v>
      </c>
      <c r="CX474" s="484">
        <f t="shared" si="923"/>
        <v>14.272842207905915</v>
      </c>
      <c r="CY474" s="484">
        <f t="shared" si="923"/>
        <v>8.3975540009826286</v>
      </c>
      <c r="CZ474" s="484">
        <f>+(CZ473-CY473)*10000</f>
        <v>4.2236627778326552</v>
      </c>
      <c r="DA474" s="484">
        <f>+(DA473-CZ473)*10000</f>
        <v>3.4423309429760378</v>
      </c>
      <c r="DB474" s="484">
        <f t="shared" si="923"/>
        <v>3.405205690866671</v>
      </c>
      <c r="DC474" s="484">
        <f t="shared" si="923"/>
        <v>3.1874236205463315</v>
      </c>
      <c r="DD474" s="484">
        <f t="shared" si="923"/>
        <v>2.8957472204929613</v>
      </c>
      <c r="DE474" s="484">
        <f t="shared" si="923"/>
        <v>2.7882368065492922</v>
      </c>
      <c r="DF474" s="2160">
        <f t="shared" si="923"/>
        <v>1.5041540215965723</v>
      </c>
    </row>
    <row r="475" spans="1:110" s="612" customFormat="1" ht="11.25" customHeight="1">
      <c r="A475" s="547"/>
      <c r="B475"/>
      <c r="C475"/>
      <c r="D475"/>
      <c r="E475"/>
      <c r="F475"/>
      <c r="G475"/>
      <c r="H475" s="1044"/>
      <c r="I475" s="586" t="s">
        <v>385</v>
      </c>
      <c r="J475" s="21"/>
      <c r="K475" s="21"/>
      <c r="L475" s="611"/>
      <c r="M475" s="551"/>
      <c r="N475" s="551"/>
      <c r="O475" s="551"/>
      <c r="P475" s="552"/>
      <c r="Q475" s="551"/>
      <c r="R475" s="551"/>
      <c r="S475" s="551"/>
      <c r="T475" s="552"/>
      <c r="U475" s="516"/>
      <c r="V475" s="516"/>
      <c r="W475" s="516"/>
      <c r="X475" s="602"/>
      <c r="Y475" s="516"/>
      <c r="Z475" s="516"/>
      <c r="AA475" s="516"/>
      <c r="AB475" s="602"/>
      <c r="AC475" s="516"/>
      <c r="AD475" s="516"/>
      <c r="AE475" s="516"/>
      <c r="AF475" s="602"/>
      <c r="AG475" s="516"/>
      <c r="AH475" s="516"/>
      <c r="AI475" s="516"/>
      <c r="AJ475" s="602"/>
      <c r="AK475" s="517">
        <f t="shared" ref="AK475:CF475" si="924">+AK472-AG472</f>
        <v>0.60400000000000009</v>
      </c>
      <c r="AL475" s="517">
        <f t="shared" si="924"/>
        <v>0.82000000000000028</v>
      </c>
      <c r="AM475" s="517">
        <f t="shared" si="924"/>
        <v>0.79199999999999982</v>
      </c>
      <c r="AN475" s="601">
        <f t="shared" si="924"/>
        <v>1.8140000000000001</v>
      </c>
      <c r="AO475" s="517">
        <f t="shared" si="924"/>
        <v>1.238</v>
      </c>
      <c r="AP475" s="517">
        <f t="shared" si="924"/>
        <v>1.984</v>
      </c>
      <c r="AQ475" s="517">
        <f t="shared" si="924"/>
        <v>1.0590000000000002</v>
      </c>
      <c r="AR475" s="601">
        <f t="shared" si="924"/>
        <v>-0.10500000000000043</v>
      </c>
      <c r="AS475" s="517">
        <f t="shared" si="924"/>
        <v>0.37800000000000011</v>
      </c>
      <c r="AT475" s="517">
        <f t="shared" si="924"/>
        <v>-0.43900000000000006</v>
      </c>
      <c r="AU475" s="517">
        <f t="shared" si="924"/>
        <v>0.375</v>
      </c>
      <c r="AV475" s="601">
        <f t="shared" si="924"/>
        <v>0.86899999999999977</v>
      </c>
      <c r="AW475" s="517">
        <f t="shared" si="924"/>
        <v>8.0999999999999517E-2</v>
      </c>
      <c r="AX475" s="517">
        <f t="shared" si="924"/>
        <v>0.19799999999999951</v>
      </c>
      <c r="AY475" s="517">
        <f t="shared" si="924"/>
        <v>0.57000000000000028</v>
      </c>
      <c r="AZ475" s="601">
        <f t="shared" si="924"/>
        <v>1.0110000000000001</v>
      </c>
      <c r="BA475" s="517">
        <f t="shared" si="924"/>
        <v>2.0620000000000003</v>
      </c>
      <c r="BB475" s="517">
        <f t="shared" si="924"/>
        <v>3.3440000000000012</v>
      </c>
      <c r="BC475" s="517">
        <f t="shared" si="924"/>
        <v>3.2009999999999996</v>
      </c>
      <c r="BD475" s="601">
        <f t="shared" si="924"/>
        <v>4.2089999999999996</v>
      </c>
      <c r="BE475" s="517">
        <f t="shared" si="924"/>
        <v>4.0649999999999995</v>
      </c>
      <c r="BF475" s="517">
        <f t="shared" si="924"/>
        <v>2.2009999999999987</v>
      </c>
      <c r="BG475" s="517">
        <f t="shared" si="924"/>
        <v>2.2509999999999994</v>
      </c>
      <c r="BH475" s="601">
        <f t="shared" si="924"/>
        <v>1.354000000000001</v>
      </c>
      <c r="BI475" s="517">
        <f t="shared" si="924"/>
        <v>2.4870000000000001</v>
      </c>
      <c r="BJ475" s="517">
        <f t="shared" si="924"/>
        <v>6.5190000000000001</v>
      </c>
      <c r="BK475" s="517">
        <f t="shared" si="924"/>
        <v>7.7370000000000019</v>
      </c>
      <c r="BL475" s="517">
        <f t="shared" si="924"/>
        <v>11.461999999999998</v>
      </c>
      <c r="BM475" s="1203">
        <f t="shared" si="924"/>
        <v>10.002000000000001</v>
      </c>
      <c r="BN475" s="517">
        <f t="shared" si="924"/>
        <v>7.083000000000002</v>
      </c>
      <c r="BO475" s="517">
        <f t="shared" si="924"/>
        <v>6.2659999999999982</v>
      </c>
      <c r="BP475" s="601">
        <f t="shared" si="924"/>
        <v>2.2570000000000014</v>
      </c>
      <c r="BQ475" s="1203">
        <f t="shared" si="924"/>
        <v>2.1370000000000005</v>
      </c>
      <c r="BR475" s="517">
        <f t="shared" si="924"/>
        <v>3.1139999999999972</v>
      </c>
      <c r="BS475" s="517">
        <f t="shared" si="924"/>
        <v>4.0279999999999987</v>
      </c>
      <c r="BT475" s="601">
        <f t="shared" si="924"/>
        <v>6.8400000000000034</v>
      </c>
      <c r="BU475" s="517">
        <f t="shared" si="924"/>
        <v>7.426999999999996</v>
      </c>
      <c r="BV475" s="517">
        <f t="shared" si="924"/>
        <v>8.6409999999999982</v>
      </c>
      <c r="BW475" s="517">
        <f t="shared" si="924"/>
        <v>7.5590000000000046</v>
      </c>
      <c r="BX475" s="517">
        <f t="shared" si="924"/>
        <v>5.1489999999999938</v>
      </c>
      <c r="BY475" s="1203">
        <f t="shared" si="924"/>
        <v>7.1570000000000036</v>
      </c>
      <c r="BZ475" s="517">
        <f t="shared" si="924"/>
        <v>9.034000000000006</v>
      </c>
      <c r="CA475" s="517">
        <f t="shared" si="924"/>
        <v>11.512</v>
      </c>
      <c r="CB475" s="517">
        <f t="shared" si="924"/>
        <v>19.248000000000005</v>
      </c>
      <c r="CC475" s="1203">
        <f t="shared" si="924"/>
        <v>10.025519509452046</v>
      </c>
      <c r="CD475" s="517">
        <f t="shared" si="924"/>
        <v>11.941743139529741</v>
      </c>
      <c r="CE475" s="517">
        <f t="shared" si="924"/>
        <v>10.65020169755639</v>
      </c>
      <c r="CF475" s="601">
        <f t="shared" si="924"/>
        <v>14.968579346910559</v>
      </c>
      <c r="CG475" s="552"/>
      <c r="CH475" s="553"/>
      <c r="CI475" s="551"/>
      <c r="CJ475" s="516"/>
      <c r="CK475" s="516"/>
      <c r="CL475" s="516"/>
      <c r="CM475" s="516"/>
      <c r="CN475" s="517">
        <f t="shared" ref="CN475:CX475" si="925">+CN472-CM472</f>
        <v>4.0300000000000011</v>
      </c>
      <c r="CO475" s="517">
        <f t="shared" si="925"/>
        <v>4.1760000000000019</v>
      </c>
      <c r="CP475" s="517">
        <f t="shared" si="925"/>
        <v>1.1829999999999998</v>
      </c>
      <c r="CQ475" s="517">
        <f t="shared" si="925"/>
        <v>1.8599999999999994</v>
      </c>
      <c r="CR475" s="517">
        <f t="shared" si="925"/>
        <v>12.815999999999999</v>
      </c>
      <c r="CS475" s="517">
        <f t="shared" si="925"/>
        <v>9.8709999999999951</v>
      </c>
      <c r="CT475" s="517">
        <f>+CT472-CS472</f>
        <v>28.205000000000005</v>
      </c>
      <c r="CU475" s="517">
        <f>+CU472-CT472</f>
        <v>25.608000000000018</v>
      </c>
      <c r="CV475" s="517">
        <f>+CV472-CU472</f>
        <v>16.118999999999971</v>
      </c>
      <c r="CW475" s="517">
        <f>+CW472-CV472</f>
        <v>28.775999999999982</v>
      </c>
      <c r="CX475" s="517">
        <f t="shared" si="925"/>
        <v>46.95100000000005</v>
      </c>
      <c r="CY475" s="517">
        <f>+CY472-CX472</f>
        <v>47.586043693448715</v>
      </c>
      <c r="CZ475" s="1382">
        <v>40</v>
      </c>
      <c r="DA475" s="1382">
        <v>40</v>
      </c>
      <c r="DB475" s="1382">
        <v>40</v>
      </c>
      <c r="DC475" s="1382">
        <v>40</v>
      </c>
      <c r="DD475" s="1382">
        <v>40</v>
      </c>
      <c r="DE475" s="1382">
        <v>40</v>
      </c>
      <c r="DF475" s="2162">
        <v>40</v>
      </c>
    </row>
    <row r="476" spans="1:110" s="612" customFormat="1" ht="11.25" customHeight="1">
      <c r="A476" s="547"/>
      <c r="B476"/>
      <c r="C476"/>
      <c r="D476"/>
      <c r="E476"/>
      <c r="F476"/>
      <c r="G476"/>
      <c r="H476" s="1044"/>
      <c r="I476" s="9" t="s">
        <v>387</v>
      </c>
      <c r="J476" s="21"/>
      <c r="K476" s="21"/>
      <c r="L476" s="611"/>
      <c r="M476" s="551"/>
      <c r="N476" s="551"/>
      <c r="O476" s="551"/>
      <c r="P476" s="552"/>
      <c r="Q476" s="551"/>
      <c r="R476" s="551"/>
      <c r="S476" s="551"/>
      <c r="T476" s="552"/>
      <c r="U476" s="516"/>
      <c r="V476" s="516"/>
      <c r="W476" s="516"/>
      <c r="X476" s="602"/>
      <c r="Y476" s="516"/>
      <c r="Z476" s="516"/>
      <c r="AA476" s="516"/>
      <c r="AB476" s="602"/>
      <c r="AC476" s="516"/>
      <c r="AD476" s="516"/>
      <c r="AE476" s="516"/>
      <c r="AF476" s="602"/>
      <c r="AG476" s="516"/>
      <c r="AH476" s="516"/>
      <c r="AI476" s="516"/>
      <c r="AJ476" s="602"/>
      <c r="AK476" s="517">
        <f t="shared" ref="AK476:CF476" si="926">+AK472-AJ472</f>
        <v>0.35199999999999987</v>
      </c>
      <c r="AL476" s="517">
        <f t="shared" si="926"/>
        <v>0.2410000000000001</v>
      </c>
      <c r="AM476" s="517">
        <f t="shared" si="926"/>
        <v>0.19099999999999984</v>
      </c>
      <c r="AN476" s="601">
        <f t="shared" si="926"/>
        <v>1.0300000000000002</v>
      </c>
      <c r="AO476" s="517">
        <f t="shared" si="926"/>
        <v>-0.2240000000000002</v>
      </c>
      <c r="AP476" s="517">
        <f t="shared" si="926"/>
        <v>0.9870000000000001</v>
      </c>
      <c r="AQ476" s="517">
        <f t="shared" si="926"/>
        <v>-0.73399999999999999</v>
      </c>
      <c r="AR476" s="601">
        <f t="shared" si="926"/>
        <v>-0.13400000000000034</v>
      </c>
      <c r="AS476" s="517">
        <f t="shared" si="926"/>
        <v>0.25900000000000034</v>
      </c>
      <c r="AT476" s="517">
        <f t="shared" si="926"/>
        <v>0.16999999999999993</v>
      </c>
      <c r="AU476" s="517">
        <f t="shared" si="926"/>
        <v>8.0000000000000071E-2</v>
      </c>
      <c r="AV476" s="601">
        <f t="shared" si="926"/>
        <v>0.35999999999999943</v>
      </c>
      <c r="AW476" s="517">
        <f t="shared" si="926"/>
        <v>-0.52899999999999991</v>
      </c>
      <c r="AX476" s="517">
        <f t="shared" si="926"/>
        <v>0.28699999999999992</v>
      </c>
      <c r="AY476" s="517">
        <f t="shared" si="926"/>
        <v>0.45200000000000085</v>
      </c>
      <c r="AZ476" s="601">
        <f t="shared" si="926"/>
        <v>0.80099999999999927</v>
      </c>
      <c r="BA476" s="517">
        <f t="shared" si="926"/>
        <v>0.52200000000000024</v>
      </c>
      <c r="BB476" s="517">
        <f t="shared" si="926"/>
        <v>1.5690000000000008</v>
      </c>
      <c r="BC476" s="517">
        <f t="shared" si="926"/>
        <v>0.30899999999999928</v>
      </c>
      <c r="BD476" s="601">
        <f t="shared" si="926"/>
        <v>1.8089999999999993</v>
      </c>
      <c r="BE476" s="517">
        <f t="shared" si="926"/>
        <v>0.37800000000000011</v>
      </c>
      <c r="BF476" s="517">
        <f t="shared" si="926"/>
        <v>-0.29499999999999993</v>
      </c>
      <c r="BG476" s="517">
        <f t="shared" si="926"/>
        <v>0.35899999999999999</v>
      </c>
      <c r="BH476" s="601">
        <f t="shared" si="926"/>
        <v>0.91200000000000081</v>
      </c>
      <c r="BI476" s="517">
        <f t="shared" si="926"/>
        <v>1.5109999999999992</v>
      </c>
      <c r="BJ476" s="517">
        <f t="shared" si="926"/>
        <v>3.7370000000000001</v>
      </c>
      <c r="BK476" s="517">
        <f t="shared" si="926"/>
        <v>1.5770000000000017</v>
      </c>
      <c r="BL476" s="517">
        <f t="shared" si="926"/>
        <v>4.6369999999999969</v>
      </c>
      <c r="BM476" s="1203">
        <f t="shared" si="926"/>
        <v>5.1000000000001933E-2</v>
      </c>
      <c r="BN476" s="517">
        <f t="shared" si="926"/>
        <v>0.81800000000000139</v>
      </c>
      <c r="BO476" s="517">
        <f t="shared" si="926"/>
        <v>0.75999999999999801</v>
      </c>
      <c r="BP476" s="601">
        <f t="shared" si="926"/>
        <v>0.62800000000000011</v>
      </c>
      <c r="BQ476" s="1203">
        <f t="shared" si="926"/>
        <v>-6.8999999999999062E-2</v>
      </c>
      <c r="BR476" s="517">
        <f t="shared" si="926"/>
        <v>1.7949999999999982</v>
      </c>
      <c r="BS476" s="517">
        <f t="shared" si="926"/>
        <v>1.6739999999999995</v>
      </c>
      <c r="BT476" s="601">
        <f t="shared" si="926"/>
        <v>3.4400000000000048</v>
      </c>
      <c r="BU476" s="1203">
        <f t="shared" si="926"/>
        <v>0.51799999999999358</v>
      </c>
      <c r="BV476" s="517">
        <f t="shared" si="926"/>
        <v>3.0090000000000003</v>
      </c>
      <c r="BW476" s="517">
        <f t="shared" si="926"/>
        <v>0.59200000000000585</v>
      </c>
      <c r="BX476" s="517">
        <f t="shared" si="926"/>
        <v>1.029999999999994</v>
      </c>
      <c r="BY476" s="1203">
        <f t="shared" si="926"/>
        <v>2.5260000000000034</v>
      </c>
      <c r="BZ476" s="517">
        <f t="shared" si="926"/>
        <v>4.8860000000000028</v>
      </c>
      <c r="CA476" s="517">
        <f t="shared" si="926"/>
        <v>3.0700000000000003</v>
      </c>
      <c r="CB476" s="517">
        <f t="shared" si="926"/>
        <v>8.7659999999999982</v>
      </c>
      <c r="CC476" s="1203">
        <f t="shared" si="926"/>
        <v>-6.6964804905479554</v>
      </c>
      <c r="CD476" s="517">
        <f t="shared" si="926"/>
        <v>6.8022236300776981</v>
      </c>
      <c r="CE476" s="517">
        <f t="shared" si="926"/>
        <v>1.7784585580266494</v>
      </c>
      <c r="CF476" s="601">
        <f t="shared" si="926"/>
        <v>13.084377649354167</v>
      </c>
      <c r="CG476" s="552"/>
      <c r="CH476" s="553"/>
      <c r="CI476" s="551"/>
      <c r="CJ476" s="516"/>
      <c r="CK476" s="516"/>
      <c r="CL476" s="516"/>
      <c r="CM476" s="516"/>
      <c r="CN476" s="516"/>
      <c r="CO476" s="516"/>
      <c r="CP476" s="516"/>
      <c r="CQ476" s="516"/>
      <c r="CR476" s="516"/>
      <c r="CS476" s="517"/>
      <c r="CT476" s="517"/>
      <c r="CU476" s="517"/>
      <c r="CV476" s="517"/>
      <c r="CW476" s="516"/>
      <c r="CX476" s="516"/>
      <c r="CY476" s="516"/>
      <c r="CZ476" s="517"/>
      <c r="DA476" s="517"/>
      <c r="DB476" s="517"/>
      <c r="DC476" s="517"/>
      <c r="DD476" s="517"/>
      <c r="DE476" s="517"/>
      <c r="DF476" s="2161"/>
    </row>
    <row r="477" spans="1:110" s="78" customFormat="1" ht="11.25" customHeight="1">
      <c r="A477" s="24"/>
      <c r="B477"/>
      <c r="C477"/>
      <c r="D477"/>
      <c r="E477"/>
      <c r="F477"/>
      <c r="G477"/>
      <c r="H477" s="1044"/>
      <c r="I477" s="194"/>
      <c r="J477" s="74"/>
      <c r="K477" s="74"/>
      <c r="L477" s="75"/>
      <c r="M477" s="439"/>
      <c r="N477" s="439"/>
      <c r="O477" s="439"/>
      <c r="P477" s="370"/>
      <c r="Q477" s="439"/>
      <c r="R477" s="439"/>
      <c r="S477" s="439"/>
      <c r="T477" s="370"/>
      <c r="U477" s="470"/>
      <c r="V477" s="470"/>
      <c r="W477" s="470"/>
      <c r="X477" s="471"/>
      <c r="Y477" s="470"/>
      <c r="Z477" s="470"/>
      <c r="AA477" s="470"/>
      <c r="AB477" s="471"/>
      <c r="AC477" s="470"/>
      <c r="AD477" s="470"/>
      <c r="AE477" s="470"/>
      <c r="AF477" s="471"/>
      <c r="AG477" s="470"/>
      <c r="AH477" s="470"/>
      <c r="AI477" s="470"/>
      <c r="AJ477" s="471"/>
      <c r="AK477" s="470"/>
      <c r="AL477" s="470"/>
      <c r="AM477" s="470"/>
      <c r="AN477" s="471"/>
      <c r="AO477" s="470"/>
      <c r="AP477" s="470"/>
      <c r="AQ477" s="470"/>
      <c r="AR477" s="471"/>
      <c r="AS477" s="470"/>
      <c r="AT477" s="470"/>
      <c r="AU477" s="470"/>
      <c r="AV477" s="471"/>
      <c r="AW477" s="470"/>
      <c r="AX477" s="470"/>
      <c r="AY477" s="470"/>
      <c r="AZ477" s="471"/>
      <c r="BA477" s="470"/>
      <c r="BB477" s="470"/>
      <c r="BC477" s="393"/>
      <c r="BD477" s="472"/>
      <c r="BE477" s="470"/>
      <c r="BF477" s="470"/>
      <c r="BG477" s="470"/>
      <c r="BH477" s="471"/>
      <c r="BI477" s="470"/>
      <c r="BJ477" s="470"/>
      <c r="BK477" s="470"/>
      <c r="BL477" s="470"/>
      <c r="BM477" s="1520"/>
      <c r="BN477" s="470"/>
      <c r="BO477" s="470"/>
      <c r="BP477" s="471"/>
      <c r="BQ477" s="1520"/>
      <c r="BR477" s="470"/>
      <c r="BS477" s="470"/>
      <c r="BT477" s="471"/>
      <c r="BU477" s="1520"/>
      <c r="BV477" s="1446"/>
      <c r="BW477" s="1446"/>
      <c r="BX477" s="470"/>
      <c r="BY477" s="1520"/>
      <c r="BZ477" s="470"/>
      <c r="CA477" s="470"/>
      <c r="CB477" s="470"/>
      <c r="CC477" s="1520"/>
      <c r="CD477" s="470"/>
      <c r="CE477" s="470"/>
      <c r="CF477" s="471"/>
      <c r="CG477" s="370"/>
      <c r="CH477" s="440"/>
      <c r="CI477" s="439"/>
      <c r="CJ477" s="470"/>
      <c r="CK477" s="470"/>
      <c r="CL477" s="470"/>
      <c r="CM477" s="470"/>
      <c r="CN477" s="470"/>
      <c r="CO477" s="470"/>
      <c r="CP477" s="470"/>
      <c r="CQ477" s="470"/>
      <c r="CR477" s="470"/>
      <c r="CS477" s="470"/>
      <c r="CT477" s="470"/>
      <c r="CU477" s="470"/>
      <c r="CV477" s="470"/>
      <c r="CW477" s="470"/>
      <c r="CX477" s="470"/>
      <c r="CY477" s="470"/>
      <c r="CZ477" s="470"/>
      <c r="DA477" s="470"/>
      <c r="DB477" s="470"/>
      <c r="DC477" s="470"/>
      <c r="DD477" s="470"/>
      <c r="DE477" s="470"/>
      <c r="DF477" s="2165"/>
    </row>
    <row r="478" spans="1:110" s="632" customFormat="1" ht="11.25" customHeight="1">
      <c r="A478" s="542"/>
      <c r="B478"/>
      <c r="C478"/>
      <c r="D478"/>
      <c r="E478"/>
      <c r="F478"/>
      <c r="G478"/>
      <c r="H478" s="1052"/>
      <c r="I478" s="617" t="s">
        <v>33</v>
      </c>
      <c r="J478" s="634"/>
      <c r="K478" s="634"/>
      <c r="L478" s="631"/>
      <c r="M478" s="581"/>
      <c r="N478" s="581"/>
      <c r="O478" s="581"/>
      <c r="P478" s="582"/>
      <c r="Q478" s="581"/>
      <c r="R478" s="581"/>
      <c r="S478" s="581"/>
      <c r="T478" s="582"/>
      <c r="U478" s="581"/>
      <c r="V478" s="581"/>
      <c r="W478" s="581"/>
      <c r="X478" s="582"/>
      <c r="Y478" s="581"/>
      <c r="Z478" s="581"/>
      <c r="AA478" s="581"/>
      <c r="AB478" s="582"/>
      <c r="AC478" s="581"/>
      <c r="AD478" s="581"/>
      <c r="AE478" s="581"/>
      <c r="AF478" s="582"/>
      <c r="AG478" s="638">
        <f t="shared" ref="AG478:BY478" si="927">+AG67</f>
        <v>3.0169999999999999</v>
      </c>
      <c r="AH478" s="638">
        <f t="shared" si="927"/>
        <v>3.7170000000000001</v>
      </c>
      <c r="AI478" s="638">
        <f t="shared" si="927"/>
        <v>3.5430000000000001</v>
      </c>
      <c r="AJ478" s="639">
        <f t="shared" si="927"/>
        <v>4.6509999999999998</v>
      </c>
      <c r="AK478" s="638">
        <f t="shared" si="927"/>
        <v>3.1659999999999999</v>
      </c>
      <c r="AL478" s="638">
        <f t="shared" si="927"/>
        <v>3.4660000000000002</v>
      </c>
      <c r="AM478" s="638">
        <f t="shared" si="927"/>
        <v>4.1269999999999998</v>
      </c>
      <c r="AN478" s="639">
        <f t="shared" si="927"/>
        <v>5.4939999999999998</v>
      </c>
      <c r="AO478" s="638">
        <f t="shared" si="927"/>
        <v>9.9390000000000001</v>
      </c>
      <c r="AP478" s="638">
        <f t="shared" si="927"/>
        <v>9.077</v>
      </c>
      <c r="AQ478" s="638">
        <f t="shared" si="927"/>
        <v>10.055</v>
      </c>
      <c r="AR478" s="639">
        <f t="shared" si="927"/>
        <v>11.452</v>
      </c>
      <c r="AS478" s="638">
        <f t="shared" si="927"/>
        <v>10.593</v>
      </c>
      <c r="AT478" s="638">
        <f t="shared" si="927"/>
        <v>11.263999999999999</v>
      </c>
      <c r="AU478" s="638">
        <f t="shared" si="927"/>
        <v>10.87</v>
      </c>
      <c r="AV478" s="639">
        <f t="shared" si="927"/>
        <v>7.944</v>
      </c>
      <c r="AW478" s="638">
        <f t="shared" si="927"/>
        <v>11.909000000000001</v>
      </c>
      <c r="AX478" s="638">
        <f t="shared" si="927"/>
        <v>15.465</v>
      </c>
      <c r="AY478" s="638">
        <f t="shared" si="927"/>
        <v>21.175999999999998</v>
      </c>
      <c r="AZ478" s="639">
        <f t="shared" si="927"/>
        <v>19.649999999999999</v>
      </c>
      <c r="BA478" s="638">
        <f t="shared" si="927"/>
        <v>13.993</v>
      </c>
      <c r="BB478" s="638">
        <f t="shared" si="927"/>
        <v>13.113</v>
      </c>
      <c r="BC478" s="638">
        <f t="shared" si="927"/>
        <v>13.298</v>
      </c>
      <c r="BD478" s="639">
        <f t="shared" si="927"/>
        <v>25.32</v>
      </c>
      <c r="BE478" s="638">
        <f t="shared" si="927"/>
        <v>16.523</v>
      </c>
      <c r="BF478" s="638">
        <f t="shared" si="927"/>
        <v>17.611999999999998</v>
      </c>
      <c r="BG478" s="638">
        <f t="shared" si="927"/>
        <v>17.555</v>
      </c>
      <c r="BH478" s="640">
        <f t="shared" si="927"/>
        <v>19.875</v>
      </c>
      <c r="BI478" s="641">
        <f t="shared" si="927"/>
        <v>21.709</v>
      </c>
      <c r="BJ478" s="641">
        <f t="shared" si="927"/>
        <v>34.735999999999997</v>
      </c>
      <c r="BK478" s="641">
        <f t="shared" si="927"/>
        <v>34.551000000000002</v>
      </c>
      <c r="BL478" s="641">
        <f t="shared" si="927"/>
        <v>49.53</v>
      </c>
      <c r="BM478" s="1521">
        <f t="shared" si="927"/>
        <v>38.802999999999997</v>
      </c>
      <c r="BN478" s="641">
        <f t="shared" si="927"/>
        <v>35.167999999999999</v>
      </c>
      <c r="BO478" s="641">
        <f t="shared" si="927"/>
        <v>46.136000000000003</v>
      </c>
      <c r="BP478" s="640">
        <f t="shared" si="927"/>
        <v>66.317999999999998</v>
      </c>
      <c r="BQ478" s="1521">
        <f t="shared" si="927"/>
        <v>54.008000000000003</v>
      </c>
      <c r="BR478" s="641">
        <f t="shared" si="927"/>
        <v>60.164000000000001</v>
      </c>
      <c r="BS478" s="641">
        <f t="shared" si="927"/>
        <v>58.274000000000001</v>
      </c>
      <c r="BT478" s="640">
        <f t="shared" si="927"/>
        <v>74.948999999999998</v>
      </c>
      <c r="BU478" s="1521">
        <f t="shared" si="927"/>
        <v>66</v>
      </c>
      <c r="BV478" s="641">
        <f t="shared" si="927"/>
        <v>54.975999999999999</v>
      </c>
      <c r="BW478" s="641">
        <f t="shared" si="927"/>
        <v>54.073999999999998</v>
      </c>
      <c r="BX478" s="641">
        <f t="shared" si="927"/>
        <v>74.524000000000001</v>
      </c>
      <c r="BY478" s="1521">
        <f t="shared" si="927"/>
        <v>58.948</v>
      </c>
      <c r="BZ478" s="641">
        <f>+BZ67</f>
        <v>66.879000000000005</v>
      </c>
      <c r="CA478" s="641">
        <f>+CA67</f>
        <v>66.421000000000006</v>
      </c>
      <c r="CB478" s="641">
        <f t="shared" ref="CB478" si="928">+CB67</f>
        <v>68.662000000000006</v>
      </c>
      <c r="CC478" s="1521">
        <f>+BY478*(1+CC483)</f>
        <v>63.663840000000008</v>
      </c>
      <c r="CD478" s="641">
        <f>+BZ478*(1+CD483)</f>
        <v>72.229320000000016</v>
      </c>
      <c r="CE478" s="641">
        <f>+CA478*(1+CE483)</f>
        <v>71.734680000000012</v>
      </c>
      <c r="CF478" s="640">
        <f>+CB478*(1+CF483)</f>
        <v>74.154960000000017</v>
      </c>
      <c r="CG478" s="582"/>
      <c r="CH478" s="583"/>
      <c r="CI478" s="581"/>
      <c r="CJ478" s="581"/>
      <c r="CK478" s="581"/>
      <c r="CL478" s="581"/>
      <c r="CM478" s="514">
        <f>+SUM(AG478:AJ478)</f>
        <v>14.928000000000001</v>
      </c>
      <c r="CN478" s="514">
        <f>+SUM(AK478:AN478)</f>
        <v>16.253</v>
      </c>
      <c r="CO478" s="514">
        <f>+SUM(AO478:AR478)</f>
        <v>40.522999999999996</v>
      </c>
      <c r="CP478" s="514">
        <f>+SUM(AS478:AV478)</f>
        <v>40.670999999999999</v>
      </c>
      <c r="CQ478" s="514">
        <f>+SUM(AW478:AZ478)</f>
        <v>68.199999999999989</v>
      </c>
      <c r="CR478" s="514">
        <f>+SUM(BA478:BD478)</f>
        <v>65.724000000000004</v>
      </c>
      <c r="CS478" s="514">
        <f>+SUM(BE478:BH478)</f>
        <v>71.564999999999998</v>
      </c>
      <c r="CT478" s="514">
        <f>+SUM(BI478:BL478)</f>
        <v>140.52600000000001</v>
      </c>
      <c r="CU478" s="514">
        <f>SUM(BM478:BP478)</f>
        <v>186.42500000000001</v>
      </c>
      <c r="CV478" s="514">
        <f>SUM(BQ478:BT478)</f>
        <v>247.39499999999998</v>
      </c>
      <c r="CW478" s="514">
        <f>SUM(BU478:BX478)</f>
        <v>249.57400000000001</v>
      </c>
      <c r="CX478" s="514">
        <f>SUM(BY478:CB478)</f>
        <v>260.90999999999997</v>
      </c>
      <c r="CY478" s="514">
        <f>SUM(CC478:CF478)</f>
        <v>281.78280000000007</v>
      </c>
      <c r="CZ478" s="641">
        <f>+CY478*(1+CZ483)</f>
        <v>301.50759600000015</v>
      </c>
      <c r="DA478" s="641">
        <f t="shared" ref="DA478:DF478" si="929">+CZ478*(1+DA483)</f>
        <v>321.10558974000026</v>
      </c>
      <c r="DB478" s="641">
        <f t="shared" si="929"/>
        <v>340.37192512440038</v>
      </c>
      <c r="DC478" s="641">
        <f t="shared" si="929"/>
        <v>359.09238100624253</v>
      </c>
      <c r="DD478" s="641">
        <f t="shared" si="929"/>
        <v>377.04700005655474</v>
      </c>
      <c r="DE478" s="641">
        <f t="shared" si="929"/>
        <v>394.01411505909982</v>
      </c>
      <c r="DF478" s="2166">
        <f t="shared" si="929"/>
        <v>409.77467966146389</v>
      </c>
    </row>
    <row r="479" spans="1:110" s="308" customFormat="1" ht="11.25" customHeight="1">
      <c r="A479" s="82"/>
      <c r="B479"/>
      <c r="C479"/>
      <c r="D479"/>
      <c r="E479"/>
      <c r="F479"/>
      <c r="G479"/>
      <c r="H479" s="1044"/>
      <c r="I479" s="9" t="s">
        <v>506</v>
      </c>
      <c r="J479" s="83"/>
      <c r="K479" s="83"/>
      <c r="L479" s="307"/>
      <c r="M479" s="336"/>
      <c r="N479" s="336"/>
      <c r="O479" s="336"/>
      <c r="P479" s="337"/>
      <c r="Q479" s="336"/>
      <c r="R479" s="336"/>
      <c r="S479" s="336"/>
      <c r="T479" s="337"/>
      <c r="U479" s="393"/>
      <c r="V479" s="393"/>
      <c r="W479" s="393"/>
      <c r="X479" s="472"/>
      <c r="Y479" s="393"/>
      <c r="Z479" s="393"/>
      <c r="AA479" s="393"/>
      <c r="AB479" s="472"/>
      <c r="AC479" s="393"/>
      <c r="AD479" s="393"/>
      <c r="AE479" s="393"/>
      <c r="AF479" s="472"/>
      <c r="AG479" s="391">
        <f t="shared" ref="AG479:BL479" si="930">+AG478/AG39</f>
        <v>4.1768769641843534E-2</v>
      </c>
      <c r="AH479" s="391">
        <f t="shared" si="930"/>
        <v>3.5130996937733923E-2</v>
      </c>
      <c r="AI479" s="391">
        <f t="shared" si="930"/>
        <v>2.8965009810333547E-2</v>
      </c>
      <c r="AJ479" s="392">
        <f t="shared" si="930"/>
        <v>4.6735733593255439E-2</v>
      </c>
      <c r="AK479" s="391">
        <f t="shared" si="930"/>
        <v>3.0489507795722216E-2</v>
      </c>
      <c r="AL479" s="391">
        <f t="shared" si="930"/>
        <v>2.2376737489750997E-2</v>
      </c>
      <c r="AM479" s="391">
        <f t="shared" si="930"/>
        <v>2.0397269820245045E-2</v>
      </c>
      <c r="AN479" s="392">
        <f t="shared" si="930"/>
        <v>3.4304910335181571E-2</v>
      </c>
      <c r="AO479" s="391">
        <f t="shared" si="930"/>
        <v>5.4880371943037937E-2</v>
      </c>
      <c r="AP479" s="391">
        <f t="shared" si="930"/>
        <v>3.5774953197359342E-2</v>
      </c>
      <c r="AQ479" s="391">
        <f t="shared" si="930"/>
        <v>3.1811767981321064E-2</v>
      </c>
      <c r="AR479" s="392">
        <f t="shared" si="930"/>
        <v>5.5845707458610686E-2</v>
      </c>
      <c r="AS479" s="391">
        <f t="shared" si="930"/>
        <v>5.0847213555416888E-2</v>
      </c>
      <c r="AT479" s="391">
        <f t="shared" si="930"/>
        <v>3.6902351607598007E-2</v>
      </c>
      <c r="AU479" s="391">
        <f t="shared" si="930"/>
        <v>2.5045736694884402E-2</v>
      </c>
      <c r="AV479" s="392">
        <f t="shared" si="930"/>
        <v>2.5364875522448101E-2</v>
      </c>
      <c r="AW479" s="391">
        <f t="shared" si="930"/>
        <v>3.731871795835999E-2</v>
      </c>
      <c r="AX479" s="391">
        <f t="shared" si="930"/>
        <v>3.4660588456780168E-2</v>
      </c>
      <c r="AY479" s="391">
        <f t="shared" si="930"/>
        <v>3.1690731029858969E-2</v>
      </c>
      <c r="AZ479" s="392">
        <f t="shared" si="930"/>
        <v>4.0923347342377417E-2</v>
      </c>
      <c r="BA479" s="391">
        <f t="shared" si="930"/>
        <v>2.7664647455160851E-2</v>
      </c>
      <c r="BB479" s="391">
        <f t="shared" si="930"/>
        <v>1.7502038767956838E-2</v>
      </c>
      <c r="BC479" s="391">
        <f t="shared" si="930"/>
        <v>1.2087464595672582E-2</v>
      </c>
      <c r="BD479" s="392">
        <f t="shared" si="930"/>
        <v>3.4938739914750577E-2</v>
      </c>
      <c r="BE479" s="391">
        <f t="shared" si="930"/>
        <v>2.2229606828039736E-2</v>
      </c>
      <c r="BF479" s="391">
        <f t="shared" si="930"/>
        <v>1.753935200399943E-2</v>
      </c>
      <c r="BG479" s="391">
        <f t="shared" si="930"/>
        <v>1.2570703493946657E-2</v>
      </c>
      <c r="BH479" s="392">
        <f t="shared" si="930"/>
        <v>2.1149241819632878E-2</v>
      </c>
      <c r="BI479" s="391">
        <f t="shared" si="930"/>
        <v>2.1501190989090441E-2</v>
      </c>
      <c r="BJ479" s="391">
        <f t="shared" si="930"/>
        <v>2.5100895686325515E-2</v>
      </c>
      <c r="BK479" s="391">
        <f t="shared" si="930"/>
        <v>1.7370473061463554E-2</v>
      </c>
      <c r="BL479" s="391">
        <f t="shared" si="930"/>
        <v>3.7148400848720585E-2</v>
      </c>
      <c r="BM479" s="1405">
        <f t="shared" ref="BM479:CF479" si="931">+BM478/BM39</f>
        <v>2.7588908694171434E-2</v>
      </c>
      <c r="BN479" s="391">
        <f t="shared" si="931"/>
        <v>1.8676619599829209E-2</v>
      </c>
      <c r="BO479" s="391">
        <f t="shared" si="931"/>
        <v>1.760930816976326E-2</v>
      </c>
      <c r="BP479" s="392">
        <f t="shared" si="931"/>
        <v>3.9600283038302729E-2</v>
      </c>
      <c r="BQ479" s="1405">
        <f t="shared" si="931"/>
        <v>3.2296876756630052E-2</v>
      </c>
      <c r="BR479" s="391">
        <f t="shared" si="931"/>
        <v>2.8746632672465942E-2</v>
      </c>
      <c r="BS479" s="391">
        <f t="shared" si="931"/>
        <v>1.9772115460956911E-2</v>
      </c>
      <c r="BT479" s="392">
        <f t="shared" si="931"/>
        <v>3.9879577499636852E-2</v>
      </c>
      <c r="BU479" s="1405">
        <f t="shared" si="931"/>
        <v>3.2682165936269783E-2</v>
      </c>
      <c r="BV479" s="391">
        <f t="shared" si="931"/>
        <v>2.2625562902242057E-2</v>
      </c>
      <c r="BW479" s="391">
        <f t="shared" si="931"/>
        <v>1.5066327896724019E-2</v>
      </c>
      <c r="BX479" s="391">
        <f t="shared" si="931"/>
        <v>3.2738216829404476E-2</v>
      </c>
      <c r="BY479" s="1405">
        <f t="shared" si="931"/>
        <v>2.5253669831872112E-2</v>
      </c>
      <c r="BZ479" s="391">
        <f>+BZ478/BZ39</f>
        <v>2.2656915374749224E-2</v>
      </c>
      <c r="CA479" s="391">
        <f>+CA478/CA39</f>
        <v>1.5183494176433571E-2</v>
      </c>
      <c r="CB479" s="391">
        <f t="shared" ref="CB479" si="932">+CB478/CB39</f>
        <v>2.4788235714597741E-2</v>
      </c>
      <c r="CC479" s="1405">
        <f t="shared" si="931"/>
        <v>2.2757545046810185E-2</v>
      </c>
      <c r="CD479" s="391">
        <f t="shared" si="931"/>
        <v>2.0276679853031113E-2</v>
      </c>
      <c r="CE479" s="391">
        <f t="shared" si="931"/>
        <v>1.4334290408662947E-2</v>
      </c>
      <c r="CF479" s="392">
        <f t="shared" si="931"/>
        <v>2.1953688150999288E-2</v>
      </c>
      <c r="CG479" s="337"/>
      <c r="CH479" s="367"/>
      <c r="CI479" s="336"/>
      <c r="CJ479" s="393"/>
      <c r="CK479" s="393"/>
      <c r="CL479" s="393"/>
      <c r="CM479" s="391">
        <f t="shared" ref="CM479:DF479" si="933">+CM478/CM39</f>
        <v>3.7331946222791276E-2</v>
      </c>
      <c r="CN479" s="391">
        <f t="shared" si="933"/>
        <v>2.6163244609354264E-2</v>
      </c>
      <c r="CO479" s="391">
        <f t="shared" si="933"/>
        <v>4.2389361183550536E-2</v>
      </c>
      <c r="CP479" s="391">
        <f t="shared" si="933"/>
        <v>3.2259036789626598E-2</v>
      </c>
      <c r="CQ479" s="391">
        <f t="shared" si="933"/>
        <v>3.5638253955480398E-2</v>
      </c>
      <c r="CR479" s="391">
        <f t="shared" si="933"/>
        <v>2.133979245944647E-2</v>
      </c>
      <c r="CS479" s="391">
        <f t="shared" si="933"/>
        <v>1.7524630351881055E-2</v>
      </c>
      <c r="CT479" s="391">
        <f t="shared" si="933"/>
        <v>2.4585164924562877E-2</v>
      </c>
      <c r="CU479" s="391">
        <f t="shared" si="933"/>
        <v>2.4580934134831554E-2</v>
      </c>
      <c r="CV479" s="391">
        <f t="shared" si="933"/>
        <v>2.8794292050554674E-2</v>
      </c>
      <c r="CW479" s="391">
        <f t="shared" si="933"/>
        <v>2.4195972114339433E-2</v>
      </c>
      <c r="CX479" s="391">
        <f t="shared" si="933"/>
        <v>2.0989425644651945E-2</v>
      </c>
      <c r="CY479" s="391">
        <f t="shared" si="933"/>
        <v>1.9114452989407397E-2</v>
      </c>
      <c r="CZ479" s="391">
        <f t="shared" si="933"/>
        <v>1.7958145419731449E-2</v>
      </c>
      <c r="DA479" s="391">
        <f t="shared" si="933"/>
        <v>1.7060357715549805E-2</v>
      </c>
      <c r="DB479" s="391">
        <f t="shared" si="933"/>
        <v>1.638208958911401E-2</v>
      </c>
      <c r="DC479" s="391">
        <f t="shared" si="933"/>
        <v>1.5829784879696926E-2</v>
      </c>
      <c r="DD479" s="391">
        <f t="shared" si="933"/>
        <v>1.5349519771407864E-2</v>
      </c>
      <c r="DE479" s="391">
        <f t="shared" si="933"/>
        <v>1.4925305901379955E-2</v>
      </c>
      <c r="DF479" s="2138">
        <f t="shared" si="933"/>
        <v>1.4440438085996446E-2</v>
      </c>
    </row>
    <row r="480" spans="1:110" s="61" customFormat="1" ht="11.25" customHeight="1">
      <c r="A480" s="48"/>
      <c r="B480"/>
      <c r="C480"/>
      <c r="D480"/>
      <c r="E480"/>
      <c r="F480"/>
      <c r="G480"/>
      <c r="H480" s="1044"/>
      <c r="I480" s="1332" t="s">
        <v>623</v>
      </c>
      <c r="J480" s="85"/>
      <c r="K480" s="85"/>
      <c r="L480" s="60"/>
      <c r="M480" s="350"/>
      <c r="N480" s="350"/>
      <c r="O480" s="350"/>
      <c r="P480" s="351"/>
      <c r="Q480" s="350"/>
      <c r="R480" s="350"/>
      <c r="S480" s="350"/>
      <c r="T480" s="351"/>
      <c r="U480" s="482"/>
      <c r="V480" s="482"/>
      <c r="W480" s="482"/>
      <c r="X480" s="483"/>
      <c r="Y480" s="482"/>
      <c r="Z480" s="482"/>
      <c r="AA480" s="482"/>
      <c r="AB480" s="483"/>
      <c r="AC480" s="482"/>
      <c r="AD480" s="482"/>
      <c r="AE480" s="482"/>
      <c r="AF480" s="483"/>
      <c r="AG480" s="482"/>
      <c r="AH480" s="482"/>
      <c r="AI480" s="482"/>
      <c r="AJ480" s="483"/>
      <c r="AK480" s="484">
        <f t="shared" ref="AK480:CF480" si="934">+(AK479-AG479)*10000</f>
        <v>-112.79261846121318</v>
      </c>
      <c r="AL480" s="484">
        <f t="shared" si="934"/>
        <v>-127.54259447982926</v>
      </c>
      <c r="AM480" s="484">
        <f t="shared" si="934"/>
        <v>-85.677399900885021</v>
      </c>
      <c r="AN480" s="485">
        <f t="shared" si="934"/>
        <v>-124.30823258073869</v>
      </c>
      <c r="AO480" s="484">
        <f t="shared" si="934"/>
        <v>243.90864147315719</v>
      </c>
      <c r="AP480" s="484">
        <f t="shared" si="934"/>
        <v>133.98215707608344</v>
      </c>
      <c r="AQ480" s="484">
        <f t="shared" si="934"/>
        <v>114.1449816107602</v>
      </c>
      <c r="AR480" s="485">
        <f t="shared" si="934"/>
        <v>215.40797123429115</v>
      </c>
      <c r="AS480" s="484">
        <f t="shared" si="934"/>
        <v>-40.33158387621048</v>
      </c>
      <c r="AT480" s="484">
        <f t="shared" si="934"/>
        <v>11.273984102386642</v>
      </c>
      <c r="AU480" s="484">
        <f t="shared" si="934"/>
        <v>-67.660312864366617</v>
      </c>
      <c r="AV480" s="485">
        <f t="shared" si="934"/>
        <v>-304.80831936162588</v>
      </c>
      <c r="AW480" s="484">
        <f t="shared" si="934"/>
        <v>-135.28495597056897</v>
      </c>
      <c r="AX480" s="484">
        <f t="shared" si="934"/>
        <v>-22.417631508178381</v>
      </c>
      <c r="AY480" s="484">
        <f t="shared" si="934"/>
        <v>66.449943349745666</v>
      </c>
      <c r="AZ480" s="485">
        <f t="shared" si="934"/>
        <v>155.58471819929315</v>
      </c>
      <c r="BA480" s="484">
        <f t="shared" si="934"/>
        <v>-96.540705031991394</v>
      </c>
      <c r="BB480" s="484">
        <f t="shared" si="934"/>
        <v>-171.58549688823331</v>
      </c>
      <c r="BC480" s="484">
        <f t="shared" si="934"/>
        <v>-196.03266434186389</v>
      </c>
      <c r="BD480" s="485">
        <f t="shared" si="934"/>
        <v>-59.846074276268396</v>
      </c>
      <c r="BE480" s="484">
        <f t="shared" si="934"/>
        <v>-54.350406271211142</v>
      </c>
      <c r="BF480" s="484">
        <f t="shared" si="934"/>
        <v>0.37313236042592346</v>
      </c>
      <c r="BG480" s="484">
        <f t="shared" si="934"/>
        <v>4.8323889827407536</v>
      </c>
      <c r="BH480" s="485">
        <f t="shared" si="934"/>
        <v>-137.89498095117699</v>
      </c>
      <c r="BI480" s="484">
        <f t="shared" si="934"/>
        <v>-7.2841583894929505</v>
      </c>
      <c r="BJ480" s="484">
        <f t="shared" si="934"/>
        <v>75.61543682326085</v>
      </c>
      <c r="BK480" s="484">
        <f>+(BK479-BG479)*10000</f>
        <v>47.99769567516897</v>
      </c>
      <c r="BL480" s="484">
        <f t="shared" si="934"/>
        <v>159.99159029087707</v>
      </c>
      <c r="BM480" s="1519">
        <f t="shared" si="934"/>
        <v>60.877177050809934</v>
      </c>
      <c r="BN480" s="484">
        <f t="shared" si="934"/>
        <v>-64.24276086496306</v>
      </c>
      <c r="BO480" s="484">
        <f t="shared" si="934"/>
        <v>2.3883510829970573</v>
      </c>
      <c r="BP480" s="485">
        <f t="shared" si="934"/>
        <v>24.518821895821439</v>
      </c>
      <c r="BQ480" s="1519">
        <f>+(BQ479-BM479)*10000</f>
        <v>47.079680624586182</v>
      </c>
      <c r="BR480" s="484">
        <f t="shared" si="934"/>
        <v>100.70013072636732</v>
      </c>
      <c r="BS480" s="484">
        <f t="shared" si="934"/>
        <v>21.628072911936517</v>
      </c>
      <c r="BT480" s="485">
        <f t="shared" si="934"/>
        <v>2.7929446133412306</v>
      </c>
      <c r="BU480" s="1519">
        <f t="shared" si="934"/>
        <v>3.8528917963973064</v>
      </c>
      <c r="BV480" s="484">
        <f t="shared" si="934"/>
        <v>-61.210697702238846</v>
      </c>
      <c r="BW480" s="484">
        <f t="shared" si="934"/>
        <v>-47.057875642328924</v>
      </c>
      <c r="BX480" s="484">
        <f t="shared" si="934"/>
        <v>-71.413606702323762</v>
      </c>
      <c r="BY480" s="1519">
        <f t="shared" si="934"/>
        <v>-74.284961043976708</v>
      </c>
      <c r="BZ480" s="484">
        <f t="shared" si="934"/>
        <v>0.31352472507167189</v>
      </c>
      <c r="CA480" s="484">
        <f t="shared" si="934"/>
        <v>1.1716627970955253</v>
      </c>
      <c r="CB480" s="484">
        <f t="shared" si="934"/>
        <v>-79.499811148067351</v>
      </c>
      <c r="CC480" s="1519">
        <f t="shared" si="934"/>
        <v>-24.961247850619277</v>
      </c>
      <c r="CD480" s="484">
        <f t="shared" si="934"/>
        <v>-23.802355217181109</v>
      </c>
      <c r="CE480" s="484">
        <f t="shared" si="934"/>
        <v>-8.4920376777062465</v>
      </c>
      <c r="CF480" s="485">
        <f t="shared" si="934"/>
        <v>-28.345475635984524</v>
      </c>
      <c r="CG480" s="351"/>
      <c r="CH480" s="356"/>
      <c r="CI480" s="350"/>
      <c r="CJ480" s="482"/>
      <c r="CK480" s="482"/>
      <c r="CL480" s="482"/>
      <c r="CM480" s="482"/>
      <c r="CN480" s="484">
        <f>+(CN479-CM479)*10000</f>
        <v>-111.68701613437013</v>
      </c>
      <c r="CO480" s="484">
        <f>+(CO479-CN479)*10000</f>
        <v>162.26116574196271</v>
      </c>
      <c r="CP480" s="484">
        <f>+(CP479-CO479)*10000</f>
        <v>-101.30324393923938</v>
      </c>
      <c r="CQ480" s="484">
        <f>+(CQ479-CP479)*10000</f>
        <v>33.792171658537995</v>
      </c>
      <c r="CR480" s="484">
        <f t="shared" ref="CR480:CX480" si="935">+(CR479-CQ479)*10000</f>
        <v>-142.98461496033929</v>
      </c>
      <c r="CS480" s="484">
        <f t="shared" si="935"/>
        <v>-38.151621075654155</v>
      </c>
      <c r="CT480" s="484">
        <f t="shared" si="935"/>
        <v>70.605345726818229</v>
      </c>
      <c r="CU480" s="484">
        <f t="shared" si="935"/>
        <v>-4.2307897313229037E-2</v>
      </c>
      <c r="CV480" s="484">
        <f t="shared" si="935"/>
        <v>42.133579157231196</v>
      </c>
      <c r="CW480" s="484">
        <f t="shared" si="935"/>
        <v>-45.983199362152405</v>
      </c>
      <c r="CX480" s="484">
        <f t="shared" si="935"/>
        <v>-32.065464696874876</v>
      </c>
      <c r="CY480" s="484">
        <f t="shared" ref="CY480:DF480" si="936">+(CY479-CX479)*10000</f>
        <v>-18.749726552445487</v>
      </c>
      <c r="CZ480" s="484">
        <f t="shared" si="936"/>
        <v>-11.563075696759476</v>
      </c>
      <c r="DA480" s="484">
        <f t="shared" si="936"/>
        <v>-8.9778770418164413</v>
      </c>
      <c r="DB480" s="484">
        <f t="shared" si="936"/>
        <v>-6.7826812643579508</v>
      </c>
      <c r="DC480" s="484">
        <f t="shared" si="936"/>
        <v>-5.5230470941708409</v>
      </c>
      <c r="DD480" s="484">
        <f t="shared" si="936"/>
        <v>-4.8026510828906233</v>
      </c>
      <c r="DE480" s="484">
        <f t="shared" si="936"/>
        <v>-4.2421387002790878</v>
      </c>
      <c r="DF480" s="2160">
        <f t="shared" si="936"/>
        <v>-4.8486781538350892</v>
      </c>
    </row>
    <row r="481" spans="1:112" s="612" customFormat="1" ht="11.25" customHeight="1">
      <c r="A481" s="547"/>
      <c r="B481"/>
      <c r="C481"/>
      <c r="D481"/>
      <c r="E481"/>
      <c r="F481"/>
      <c r="G481"/>
      <c r="H481" s="1044"/>
      <c r="I481" s="586" t="s">
        <v>385</v>
      </c>
      <c r="J481" s="21"/>
      <c r="K481" s="21"/>
      <c r="L481" s="611"/>
      <c r="M481" s="551"/>
      <c r="N481" s="551"/>
      <c r="O481" s="551"/>
      <c r="P481" s="552"/>
      <c r="Q481" s="551"/>
      <c r="R481" s="551"/>
      <c r="S481" s="551"/>
      <c r="T481" s="552"/>
      <c r="U481" s="516"/>
      <c r="V481" s="516"/>
      <c r="W481" s="516"/>
      <c r="X481" s="602"/>
      <c r="Y481" s="516"/>
      <c r="Z481" s="516"/>
      <c r="AA481" s="516"/>
      <c r="AB481" s="602"/>
      <c r="AC481" s="516"/>
      <c r="AD481" s="516"/>
      <c r="AE481" s="516"/>
      <c r="AF481" s="602"/>
      <c r="AG481" s="516"/>
      <c r="AH481" s="516"/>
      <c r="AI481" s="516"/>
      <c r="AJ481" s="602"/>
      <c r="AK481" s="517">
        <f t="shared" ref="AK481:CF481" si="937">+AK478-AG478</f>
        <v>0.14900000000000002</v>
      </c>
      <c r="AL481" s="517">
        <f t="shared" si="937"/>
        <v>-0.25099999999999989</v>
      </c>
      <c r="AM481" s="517">
        <f t="shared" si="937"/>
        <v>0.58399999999999963</v>
      </c>
      <c r="AN481" s="601">
        <f t="shared" si="937"/>
        <v>0.84299999999999997</v>
      </c>
      <c r="AO481" s="517">
        <f t="shared" si="937"/>
        <v>6.7729999999999997</v>
      </c>
      <c r="AP481" s="517">
        <f t="shared" si="937"/>
        <v>5.6109999999999998</v>
      </c>
      <c r="AQ481" s="517">
        <f t="shared" si="937"/>
        <v>5.9279999999999999</v>
      </c>
      <c r="AR481" s="601">
        <f t="shared" si="937"/>
        <v>5.9580000000000002</v>
      </c>
      <c r="AS481" s="517">
        <f t="shared" si="937"/>
        <v>0.65399999999999991</v>
      </c>
      <c r="AT481" s="517">
        <f t="shared" si="937"/>
        <v>2.1869999999999994</v>
      </c>
      <c r="AU481" s="517">
        <f t="shared" si="937"/>
        <v>0.8149999999999995</v>
      </c>
      <c r="AV481" s="601">
        <f t="shared" si="937"/>
        <v>-3.508</v>
      </c>
      <c r="AW481" s="517">
        <f t="shared" si="937"/>
        <v>1.3160000000000007</v>
      </c>
      <c r="AX481" s="517">
        <f t="shared" si="937"/>
        <v>4.2010000000000005</v>
      </c>
      <c r="AY481" s="517">
        <f t="shared" si="937"/>
        <v>10.305999999999999</v>
      </c>
      <c r="AZ481" s="601">
        <f t="shared" si="937"/>
        <v>11.706</v>
      </c>
      <c r="BA481" s="517">
        <f t="shared" si="937"/>
        <v>2.0839999999999996</v>
      </c>
      <c r="BB481" s="517">
        <f t="shared" si="937"/>
        <v>-2.3520000000000003</v>
      </c>
      <c r="BC481" s="517">
        <f t="shared" si="937"/>
        <v>-7.8779999999999983</v>
      </c>
      <c r="BD481" s="601">
        <f t="shared" si="937"/>
        <v>5.6700000000000017</v>
      </c>
      <c r="BE481" s="517">
        <f t="shared" si="937"/>
        <v>2.5299999999999994</v>
      </c>
      <c r="BF481" s="517">
        <f>+BF478-BB478</f>
        <v>4.4989999999999988</v>
      </c>
      <c r="BG481" s="517">
        <f t="shared" si="937"/>
        <v>4.2569999999999997</v>
      </c>
      <c r="BH481" s="601">
        <f t="shared" si="937"/>
        <v>-5.4450000000000003</v>
      </c>
      <c r="BI481" s="517">
        <f t="shared" si="937"/>
        <v>5.1859999999999999</v>
      </c>
      <c r="BJ481" s="517">
        <f t="shared" si="937"/>
        <v>17.123999999999999</v>
      </c>
      <c r="BK481" s="517">
        <f t="shared" si="937"/>
        <v>16.996000000000002</v>
      </c>
      <c r="BL481" s="517">
        <f t="shared" si="937"/>
        <v>29.655000000000001</v>
      </c>
      <c r="BM481" s="1203">
        <f t="shared" si="937"/>
        <v>17.093999999999998</v>
      </c>
      <c r="BN481" s="517">
        <f t="shared" si="937"/>
        <v>0.43200000000000216</v>
      </c>
      <c r="BO481" s="517">
        <f t="shared" si="937"/>
        <v>11.585000000000001</v>
      </c>
      <c r="BP481" s="601">
        <f t="shared" si="937"/>
        <v>16.787999999999997</v>
      </c>
      <c r="BQ481" s="1203">
        <f t="shared" si="937"/>
        <v>15.205000000000005</v>
      </c>
      <c r="BR481" s="517">
        <f t="shared" si="937"/>
        <v>24.996000000000002</v>
      </c>
      <c r="BS481" s="517">
        <f t="shared" si="937"/>
        <v>12.137999999999998</v>
      </c>
      <c r="BT481" s="601">
        <f t="shared" si="937"/>
        <v>8.6310000000000002</v>
      </c>
      <c r="BU481" s="1203">
        <f t="shared" si="937"/>
        <v>11.991999999999997</v>
      </c>
      <c r="BV481" s="517">
        <f t="shared" si="937"/>
        <v>-5.1880000000000024</v>
      </c>
      <c r="BW481" s="517">
        <f t="shared" si="937"/>
        <v>-4.2000000000000028</v>
      </c>
      <c r="BX481" s="517">
        <f t="shared" si="937"/>
        <v>-0.42499999999999716</v>
      </c>
      <c r="BY481" s="1203">
        <f t="shared" si="937"/>
        <v>-7.0519999999999996</v>
      </c>
      <c r="BZ481" s="517">
        <f t="shared" si="937"/>
        <v>11.903000000000006</v>
      </c>
      <c r="CA481" s="517">
        <f t="shared" si="937"/>
        <v>12.347000000000008</v>
      </c>
      <c r="CB481" s="517">
        <f t="shared" si="937"/>
        <v>-5.8619999999999948</v>
      </c>
      <c r="CC481" s="1203">
        <f t="shared" si="937"/>
        <v>4.7158400000000071</v>
      </c>
      <c r="CD481" s="517">
        <f t="shared" si="937"/>
        <v>5.3503200000000106</v>
      </c>
      <c r="CE481" s="517">
        <f t="shared" si="937"/>
        <v>5.3136800000000051</v>
      </c>
      <c r="CF481" s="601">
        <f t="shared" si="937"/>
        <v>5.4929600000000107</v>
      </c>
      <c r="CG481" s="552"/>
      <c r="CH481" s="553"/>
      <c r="CI481" s="551"/>
      <c r="CJ481" s="516"/>
      <c r="CK481" s="516"/>
      <c r="CL481" s="516"/>
      <c r="CM481" s="516"/>
      <c r="CN481" s="517">
        <f t="shared" ref="CN481:CX481" si="938">+CN478-CM478</f>
        <v>1.3249999999999993</v>
      </c>
      <c r="CO481" s="517">
        <f t="shared" si="938"/>
        <v>24.269999999999996</v>
      </c>
      <c r="CP481" s="517">
        <f t="shared" si="938"/>
        <v>0.14800000000000324</v>
      </c>
      <c r="CQ481" s="517">
        <f t="shared" si="938"/>
        <v>27.528999999999989</v>
      </c>
      <c r="CR481" s="517">
        <f t="shared" si="938"/>
        <v>-2.4759999999999849</v>
      </c>
      <c r="CS481" s="517">
        <f t="shared" si="938"/>
        <v>5.840999999999994</v>
      </c>
      <c r="CT481" s="517">
        <f t="shared" si="938"/>
        <v>68.961000000000013</v>
      </c>
      <c r="CU481" s="517">
        <f t="shared" si="938"/>
        <v>45.899000000000001</v>
      </c>
      <c r="CV481" s="517">
        <f t="shared" si="938"/>
        <v>60.96999999999997</v>
      </c>
      <c r="CW481" s="517">
        <f t="shared" si="938"/>
        <v>2.1790000000000305</v>
      </c>
      <c r="CX481" s="517">
        <f t="shared" si="938"/>
        <v>11.335999999999956</v>
      </c>
      <c r="CY481" s="517">
        <f t="shared" ref="CY481:DF481" si="939">+CY478-CX478</f>
        <v>20.872800000000097</v>
      </c>
      <c r="CZ481" s="517">
        <f>+CZ478-CY478</f>
        <v>19.724796000000083</v>
      </c>
      <c r="DA481" s="517">
        <f t="shared" si="939"/>
        <v>19.597993740000106</v>
      </c>
      <c r="DB481" s="517">
        <f t="shared" si="939"/>
        <v>19.266335384400122</v>
      </c>
      <c r="DC481" s="517">
        <f t="shared" si="939"/>
        <v>18.720455881842156</v>
      </c>
      <c r="DD481" s="517">
        <f t="shared" si="939"/>
        <v>17.954619050312203</v>
      </c>
      <c r="DE481" s="517">
        <f t="shared" si="939"/>
        <v>16.967115002545086</v>
      </c>
      <c r="DF481" s="2161">
        <f t="shared" si="939"/>
        <v>15.76056460236407</v>
      </c>
    </row>
    <row r="482" spans="1:112" s="612" customFormat="1" ht="11.25" customHeight="1">
      <c r="A482" s="547"/>
      <c r="B482"/>
      <c r="C482"/>
      <c r="D482"/>
      <c r="E482"/>
      <c r="F482"/>
      <c r="G482"/>
      <c r="H482" s="1044"/>
      <c r="I482" s="9" t="s">
        <v>387</v>
      </c>
      <c r="J482" s="21"/>
      <c r="K482" s="21"/>
      <c r="L482" s="611"/>
      <c r="M482" s="551"/>
      <c r="N482" s="551"/>
      <c r="O482" s="551"/>
      <c r="P482" s="552"/>
      <c r="Q482" s="551"/>
      <c r="R482" s="551"/>
      <c r="S482" s="551"/>
      <c r="T482" s="552"/>
      <c r="U482" s="516"/>
      <c r="V482" s="516"/>
      <c r="W482" s="516"/>
      <c r="X482" s="602"/>
      <c r="Y482" s="516"/>
      <c r="Z482" s="516"/>
      <c r="AA482" s="516"/>
      <c r="AB482" s="602"/>
      <c r="AC482" s="516"/>
      <c r="AD482" s="516"/>
      <c r="AE482" s="516"/>
      <c r="AF482" s="602"/>
      <c r="AG482" s="516"/>
      <c r="AH482" s="516"/>
      <c r="AI482" s="516"/>
      <c r="AJ482" s="602"/>
      <c r="AK482" s="517">
        <f t="shared" ref="AK482:CF482" si="940">+AK478-AJ478</f>
        <v>-1.4849999999999999</v>
      </c>
      <c r="AL482" s="517">
        <f t="shared" si="940"/>
        <v>0.30000000000000027</v>
      </c>
      <c r="AM482" s="517">
        <f t="shared" si="940"/>
        <v>0.66099999999999959</v>
      </c>
      <c r="AN482" s="601">
        <f t="shared" si="940"/>
        <v>1.367</v>
      </c>
      <c r="AO482" s="517">
        <f t="shared" si="940"/>
        <v>4.4450000000000003</v>
      </c>
      <c r="AP482" s="517">
        <f t="shared" si="940"/>
        <v>-0.8620000000000001</v>
      </c>
      <c r="AQ482" s="517">
        <f t="shared" si="940"/>
        <v>0.97799999999999976</v>
      </c>
      <c r="AR482" s="601">
        <f t="shared" si="940"/>
        <v>1.3970000000000002</v>
      </c>
      <c r="AS482" s="517">
        <f t="shared" si="940"/>
        <v>-0.85899999999999999</v>
      </c>
      <c r="AT482" s="517">
        <f t="shared" si="940"/>
        <v>0.67099999999999937</v>
      </c>
      <c r="AU482" s="517">
        <f t="shared" si="940"/>
        <v>-0.39400000000000013</v>
      </c>
      <c r="AV482" s="601">
        <f t="shared" si="940"/>
        <v>-2.9259999999999993</v>
      </c>
      <c r="AW482" s="517">
        <f t="shared" si="940"/>
        <v>3.9650000000000007</v>
      </c>
      <c r="AX482" s="517">
        <f t="shared" si="940"/>
        <v>3.5559999999999992</v>
      </c>
      <c r="AY482" s="517">
        <f t="shared" si="940"/>
        <v>5.7109999999999985</v>
      </c>
      <c r="AZ482" s="601">
        <f t="shared" si="940"/>
        <v>-1.5259999999999998</v>
      </c>
      <c r="BA482" s="517">
        <f t="shared" si="940"/>
        <v>-5.6569999999999983</v>
      </c>
      <c r="BB482" s="517">
        <f t="shared" si="940"/>
        <v>-0.88000000000000078</v>
      </c>
      <c r="BC482" s="517">
        <f t="shared" si="940"/>
        <v>0.1850000000000005</v>
      </c>
      <c r="BD482" s="601">
        <f t="shared" si="940"/>
        <v>12.022</v>
      </c>
      <c r="BE482" s="517">
        <f t="shared" si="940"/>
        <v>-8.7970000000000006</v>
      </c>
      <c r="BF482" s="517">
        <f t="shared" si="940"/>
        <v>1.0889999999999986</v>
      </c>
      <c r="BG482" s="517">
        <f t="shared" si="940"/>
        <v>-5.6999999999998607E-2</v>
      </c>
      <c r="BH482" s="601">
        <f t="shared" si="940"/>
        <v>2.3200000000000003</v>
      </c>
      <c r="BI482" s="517">
        <f t="shared" si="940"/>
        <v>1.8339999999999996</v>
      </c>
      <c r="BJ482" s="517">
        <f t="shared" si="940"/>
        <v>13.026999999999997</v>
      </c>
      <c r="BK482" s="517">
        <f t="shared" si="940"/>
        <v>-0.18499999999999517</v>
      </c>
      <c r="BL482" s="517">
        <f t="shared" si="940"/>
        <v>14.978999999999999</v>
      </c>
      <c r="BM482" s="1203">
        <f t="shared" si="940"/>
        <v>-10.727000000000004</v>
      </c>
      <c r="BN482" s="517">
        <f t="shared" si="940"/>
        <v>-3.634999999999998</v>
      </c>
      <c r="BO482" s="517">
        <f t="shared" si="940"/>
        <v>10.968000000000004</v>
      </c>
      <c r="BP482" s="601">
        <f t="shared" si="940"/>
        <v>20.181999999999995</v>
      </c>
      <c r="BQ482" s="1203">
        <f t="shared" si="940"/>
        <v>-12.309999999999995</v>
      </c>
      <c r="BR482" s="517">
        <f t="shared" si="940"/>
        <v>6.1559999999999988</v>
      </c>
      <c r="BS482" s="517">
        <f t="shared" si="940"/>
        <v>-1.8900000000000006</v>
      </c>
      <c r="BT482" s="601">
        <f t="shared" si="940"/>
        <v>16.674999999999997</v>
      </c>
      <c r="BU482" s="1203">
        <f t="shared" si="940"/>
        <v>-8.9489999999999981</v>
      </c>
      <c r="BV482" s="517">
        <f t="shared" si="940"/>
        <v>-11.024000000000001</v>
      </c>
      <c r="BW482" s="517">
        <f t="shared" si="940"/>
        <v>-0.90200000000000102</v>
      </c>
      <c r="BX482" s="517">
        <f t="shared" si="940"/>
        <v>20.450000000000003</v>
      </c>
      <c r="BY482" s="1203">
        <f t="shared" si="940"/>
        <v>-15.576000000000001</v>
      </c>
      <c r="BZ482" s="517">
        <f t="shared" si="940"/>
        <v>7.9310000000000045</v>
      </c>
      <c r="CA482" s="517">
        <f t="shared" si="940"/>
        <v>-0.45799999999999841</v>
      </c>
      <c r="CB482" s="517">
        <f t="shared" si="940"/>
        <v>2.2409999999999997</v>
      </c>
      <c r="CC482" s="1203">
        <f t="shared" si="940"/>
        <v>-4.9981599999999986</v>
      </c>
      <c r="CD482" s="517">
        <f t="shared" si="940"/>
        <v>8.565480000000008</v>
      </c>
      <c r="CE482" s="517">
        <f t="shared" si="940"/>
        <v>-0.49464000000000397</v>
      </c>
      <c r="CF482" s="601">
        <f t="shared" si="940"/>
        <v>2.4202800000000053</v>
      </c>
      <c r="CG482" s="552"/>
      <c r="CH482" s="553"/>
      <c r="CI482" s="551"/>
      <c r="CJ482" s="516"/>
      <c r="CK482" s="516"/>
      <c r="CL482" s="516"/>
      <c r="CM482" s="516"/>
      <c r="CN482" s="516"/>
      <c r="CO482" s="516"/>
      <c r="CP482" s="516"/>
      <c r="CQ482" s="516"/>
      <c r="CR482" s="516"/>
      <c r="CS482" s="517"/>
      <c r="CT482" s="517"/>
      <c r="CU482" s="517"/>
      <c r="CV482" s="517"/>
      <c r="CW482" s="516"/>
      <c r="CX482" s="516"/>
      <c r="CY482" s="516"/>
      <c r="CZ482" s="517"/>
      <c r="DA482" s="517"/>
      <c r="DB482" s="517"/>
      <c r="DC482" s="517"/>
      <c r="DD482" s="517"/>
      <c r="DE482" s="517"/>
      <c r="DF482" s="2161"/>
    </row>
    <row r="483" spans="1:112" s="308" customFormat="1" ht="11.25" customHeight="1">
      <c r="A483" s="82"/>
      <c r="B483"/>
      <c r="C483"/>
      <c r="D483"/>
      <c r="E483"/>
      <c r="F483"/>
      <c r="G483"/>
      <c r="H483" s="82"/>
      <c r="I483" s="1333" t="s">
        <v>508</v>
      </c>
      <c r="J483" s="83"/>
      <c r="K483" s="83"/>
      <c r="L483" s="307"/>
      <c r="M483" s="336"/>
      <c r="N483" s="336"/>
      <c r="O483" s="336"/>
      <c r="P483" s="337"/>
      <c r="Q483" s="336"/>
      <c r="R483" s="336"/>
      <c r="S483" s="336"/>
      <c r="T483" s="337"/>
      <c r="U483" s="336"/>
      <c r="V483" s="336"/>
      <c r="W483" s="336"/>
      <c r="X483" s="337"/>
      <c r="Y483" s="336"/>
      <c r="Z483" s="336"/>
      <c r="AA483" s="336"/>
      <c r="AB483" s="337"/>
      <c r="AC483" s="336"/>
      <c r="AD483" s="336"/>
      <c r="AE483" s="336"/>
      <c r="AF483" s="337"/>
      <c r="AG483" s="336"/>
      <c r="AH483" s="336"/>
      <c r="AI483" s="336"/>
      <c r="AJ483" s="337"/>
      <c r="AK483" s="1157">
        <f t="shared" ref="AK483:BN483" si="941">+AK478/AG478-1</f>
        <v>4.9386808087504175E-2</v>
      </c>
      <c r="AL483" s="1157">
        <f t="shared" si="941"/>
        <v>-6.7527576002152201E-2</v>
      </c>
      <c r="AM483" s="1157">
        <f t="shared" si="941"/>
        <v>0.16483206322325694</v>
      </c>
      <c r="AN483" s="1158">
        <f t="shared" si="941"/>
        <v>0.18125134379703289</v>
      </c>
      <c r="AO483" s="1157">
        <f t="shared" si="941"/>
        <v>2.1392924826279218</v>
      </c>
      <c r="AP483" s="1157">
        <f t="shared" si="941"/>
        <v>1.6188690132717829</v>
      </c>
      <c r="AQ483" s="1157">
        <f t="shared" si="941"/>
        <v>1.436394475405864</v>
      </c>
      <c r="AR483" s="1158">
        <f t="shared" si="941"/>
        <v>1.0844557699308339</v>
      </c>
      <c r="AS483" s="1157">
        <f t="shared" si="941"/>
        <v>6.5801388469664879E-2</v>
      </c>
      <c r="AT483" s="1157">
        <f t="shared" si="941"/>
        <v>0.24093863611325328</v>
      </c>
      <c r="AU483" s="1157">
        <f t="shared" si="941"/>
        <v>8.1054201889607214E-2</v>
      </c>
      <c r="AV483" s="1158">
        <f t="shared" si="941"/>
        <v>-0.30632203981837236</v>
      </c>
      <c r="AW483" s="1157">
        <f t="shared" si="941"/>
        <v>0.12423298404606831</v>
      </c>
      <c r="AX483" s="1157">
        <f t="shared" si="941"/>
        <v>0.37295809659090917</v>
      </c>
      <c r="AY483" s="1157">
        <f t="shared" si="941"/>
        <v>0.94811407543698256</v>
      </c>
      <c r="AZ483" s="1158">
        <f t="shared" si="941"/>
        <v>1.4735649546827791</v>
      </c>
      <c r="BA483" s="1157">
        <f t="shared" si="941"/>
        <v>0.17499370224200184</v>
      </c>
      <c r="BB483" s="1157">
        <f t="shared" si="941"/>
        <v>-0.15208535402521828</v>
      </c>
      <c r="BC483" s="1157">
        <f t="shared" si="941"/>
        <v>-0.37202493388741964</v>
      </c>
      <c r="BD483" s="1158">
        <f t="shared" si="941"/>
        <v>0.28854961832061088</v>
      </c>
      <c r="BE483" s="1157">
        <f t="shared" si="941"/>
        <v>0.18080468805831473</v>
      </c>
      <c r="BF483" s="1157">
        <f t="shared" si="941"/>
        <v>0.34309463890795389</v>
      </c>
      <c r="BG483" s="1157">
        <f t="shared" si="941"/>
        <v>0.32012332681606259</v>
      </c>
      <c r="BH483" s="500">
        <f t="shared" si="941"/>
        <v>-0.21504739336492895</v>
      </c>
      <c r="BI483" s="374">
        <f t="shared" si="941"/>
        <v>0.31386552078920293</v>
      </c>
      <c r="BJ483" s="374">
        <f t="shared" si="941"/>
        <v>0.97229161935044295</v>
      </c>
      <c r="BK483" s="374">
        <f t="shared" si="941"/>
        <v>0.96815722016519534</v>
      </c>
      <c r="BL483" s="374">
        <f t="shared" si="941"/>
        <v>1.4920754716981133</v>
      </c>
      <c r="BM483" s="1522">
        <f>+BM478/BI478-1</f>
        <v>0.78741535768575233</v>
      </c>
      <c r="BN483" s="374">
        <f t="shared" si="941"/>
        <v>1.2436665131275948E-2</v>
      </c>
      <c r="BO483" s="374">
        <f t="shared" ref="BO483:CB483" si="942">+BO478/BK478-1</f>
        <v>0.33530143845330085</v>
      </c>
      <c r="BP483" s="500">
        <f t="shared" si="942"/>
        <v>0.33894609327680181</v>
      </c>
      <c r="BQ483" s="1522">
        <f t="shared" si="942"/>
        <v>0.3918511455299849</v>
      </c>
      <c r="BR483" s="374">
        <f t="shared" si="942"/>
        <v>0.71075978161965425</v>
      </c>
      <c r="BS483" s="374">
        <f t="shared" si="942"/>
        <v>0.26309172880180332</v>
      </c>
      <c r="BT483" s="500">
        <f t="shared" si="942"/>
        <v>0.13014566181127307</v>
      </c>
      <c r="BU483" s="1522">
        <f t="shared" si="942"/>
        <v>0.22204117908457999</v>
      </c>
      <c r="BV483" s="374">
        <f t="shared" si="942"/>
        <v>-8.6230968685592768E-2</v>
      </c>
      <c r="BW483" s="374">
        <f t="shared" si="942"/>
        <v>-7.207330885128882E-2</v>
      </c>
      <c r="BX483" s="374">
        <f t="shared" si="942"/>
        <v>-5.6705226220495897E-3</v>
      </c>
      <c r="BY483" s="1522">
        <f t="shared" si="942"/>
        <v>-0.10684848484848486</v>
      </c>
      <c r="BZ483" s="374">
        <f t="shared" si="942"/>
        <v>0.21651266006984882</v>
      </c>
      <c r="CA483" s="374">
        <f t="shared" si="942"/>
        <v>0.22833524429485541</v>
      </c>
      <c r="CB483" s="374">
        <f t="shared" si="942"/>
        <v>-7.8659223874188111E-2</v>
      </c>
      <c r="CC483" s="1527">
        <v>0.08</v>
      </c>
      <c r="CD483" s="785">
        <v>0.08</v>
      </c>
      <c r="CE483" s="785">
        <v>0.08</v>
      </c>
      <c r="CF483" s="489">
        <v>0.08</v>
      </c>
      <c r="CG483" s="337"/>
      <c r="CH483" s="367"/>
      <c r="CI483" s="336"/>
      <c r="CJ483" s="336"/>
      <c r="CK483" s="336"/>
      <c r="CL483" s="336"/>
      <c r="CM483" s="336"/>
      <c r="CN483" s="1157">
        <f t="shared" ref="CN483:CX483" si="943">+CN478/CM478-1</f>
        <v>8.87593783494105E-2</v>
      </c>
      <c r="CO483" s="1157">
        <f t="shared" si="943"/>
        <v>1.4932627822555835</v>
      </c>
      <c r="CP483" s="1157">
        <f t="shared" si="943"/>
        <v>3.6522468721467138E-3</v>
      </c>
      <c r="CQ483" s="1157">
        <f t="shared" si="943"/>
        <v>0.67687049740601379</v>
      </c>
      <c r="CR483" s="1157">
        <f t="shared" si="943"/>
        <v>-3.6304985337243134E-2</v>
      </c>
      <c r="CS483" s="374">
        <f t="shared" si="943"/>
        <v>8.887164506116485E-2</v>
      </c>
      <c r="CT483" s="374">
        <f>+CT478/CS478-1</f>
        <v>0.96361349821840303</v>
      </c>
      <c r="CU483" s="374">
        <f t="shared" si="943"/>
        <v>0.32662283136216774</v>
      </c>
      <c r="CV483" s="374">
        <f>+CV478/CU478-1</f>
        <v>0.32704841088909742</v>
      </c>
      <c r="CW483" s="374">
        <f>+CW478/CV478-1</f>
        <v>8.8077770367227526E-3</v>
      </c>
      <c r="CX483" s="374">
        <f t="shared" si="943"/>
        <v>4.5421398062297946E-2</v>
      </c>
      <c r="CY483" s="374">
        <f>+CY478/CX478-1</f>
        <v>8.0000000000000293E-2</v>
      </c>
      <c r="CZ483" s="785">
        <f>+CY483-1%</f>
        <v>7.0000000000000298E-2</v>
      </c>
      <c r="DA483" s="785">
        <f t="shared" ref="DA483:DF483" si="944">+CZ483-0.5%</f>
        <v>6.5000000000000294E-2</v>
      </c>
      <c r="DB483" s="785">
        <f t="shared" si="944"/>
        <v>6.0000000000000296E-2</v>
      </c>
      <c r="DC483" s="785">
        <f t="shared" si="944"/>
        <v>5.5000000000000299E-2</v>
      </c>
      <c r="DD483" s="785">
        <f t="shared" si="944"/>
        <v>5.0000000000000301E-2</v>
      </c>
      <c r="DE483" s="785">
        <f t="shared" si="944"/>
        <v>4.5000000000000304E-2</v>
      </c>
      <c r="DF483" s="2167">
        <f t="shared" si="944"/>
        <v>4.0000000000000306E-2</v>
      </c>
    </row>
    <row r="484" spans="1:112" s="26" customFormat="1" ht="11.25" customHeight="1">
      <c r="A484" s="24"/>
      <c r="B484"/>
      <c r="C484"/>
      <c r="D484"/>
      <c r="E484"/>
      <c r="F484"/>
      <c r="G484"/>
      <c r="H484" s="1044"/>
      <c r="I484" s="172"/>
      <c r="J484" s="131"/>
      <c r="K484" s="131"/>
      <c r="L484" s="24"/>
      <c r="M484" s="315"/>
      <c r="N484" s="315"/>
      <c r="O484" s="315"/>
      <c r="P484" s="316"/>
      <c r="Q484" s="315"/>
      <c r="R484" s="315"/>
      <c r="S484" s="315"/>
      <c r="T484" s="316"/>
      <c r="U484" s="393"/>
      <c r="V484" s="393"/>
      <c r="W484" s="393"/>
      <c r="X484" s="472"/>
      <c r="Y484" s="393"/>
      <c r="Z484" s="393"/>
      <c r="AA484" s="393"/>
      <c r="AB484" s="472"/>
      <c r="AC484" s="393"/>
      <c r="AD484" s="393"/>
      <c r="AE484" s="393"/>
      <c r="AF484" s="472"/>
      <c r="AG484" s="393"/>
      <c r="AH484" s="393"/>
      <c r="AI484" s="393"/>
      <c r="AJ484" s="472"/>
      <c r="AK484" s="393"/>
      <c r="AL484" s="393"/>
      <c r="AM484" s="393"/>
      <c r="AN484" s="472"/>
      <c r="AO484" s="393"/>
      <c r="AP484" s="393"/>
      <c r="AQ484" s="393"/>
      <c r="AR484" s="472"/>
      <c r="AS484" s="393"/>
      <c r="AT484" s="393"/>
      <c r="AU484" s="393"/>
      <c r="AV484" s="472"/>
      <c r="AW484" s="393"/>
      <c r="AX484" s="393"/>
      <c r="AY484" s="393"/>
      <c r="AZ484" s="472"/>
      <c r="BA484" s="393"/>
      <c r="BB484" s="393"/>
      <c r="BC484" s="393"/>
      <c r="BD484" s="472"/>
      <c r="BE484" s="393"/>
      <c r="BF484" s="393"/>
      <c r="BG484" s="393"/>
      <c r="BH484" s="472"/>
      <c r="BI484" s="321"/>
      <c r="BJ484" s="321"/>
      <c r="BK484" s="321"/>
      <c r="BL484" s="321"/>
      <c r="BM484" s="1509"/>
      <c r="BN484" s="321"/>
      <c r="BO484" s="321"/>
      <c r="BP484" s="472"/>
      <c r="BQ484" s="993"/>
      <c r="BR484" s="393"/>
      <c r="BS484" s="393"/>
      <c r="BT484" s="472"/>
      <c r="BU484" s="993"/>
      <c r="BV484" s="393"/>
      <c r="BW484" s="393"/>
      <c r="BX484" s="393"/>
      <c r="BY484" s="993"/>
      <c r="BZ484" s="393"/>
      <c r="CA484" s="393"/>
      <c r="CB484" s="472"/>
      <c r="CC484" s="993"/>
      <c r="CD484" s="393"/>
      <c r="CE484" s="393"/>
      <c r="CF484" s="472"/>
      <c r="CG484" s="316"/>
      <c r="CH484" s="320"/>
      <c r="CI484" s="315"/>
      <c r="CJ484" s="393"/>
      <c r="CK484" s="393"/>
      <c r="CL484" s="393"/>
      <c r="CM484" s="393"/>
      <c r="CN484" s="393"/>
      <c r="CO484" s="393"/>
      <c r="CP484" s="393"/>
      <c r="CQ484" s="393"/>
      <c r="CR484" s="393"/>
      <c r="CS484" s="393"/>
      <c r="CT484" s="393"/>
      <c r="CU484" s="393"/>
      <c r="CV484" s="393"/>
      <c r="CW484" s="393"/>
      <c r="CX484" s="393"/>
      <c r="CY484" s="393"/>
      <c r="CZ484" s="393"/>
      <c r="DA484" s="393"/>
      <c r="DB484" s="393"/>
      <c r="DC484" s="393"/>
      <c r="DD484" s="393"/>
      <c r="DE484" s="393"/>
      <c r="DF484" s="2168"/>
      <c r="DG484" s="94"/>
      <c r="DH484" s="94"/>
    </row>
    <row r="485" spans="1:112" s="26" customFormat="1" ht="11.25" customHeight="1">
      <c r="A485" s="24"/>
      <c r="B485"/>
      <c r="C485"/>
      <c r="D485"/>
      <c r="E485"/>
      <c r="F485"/>
      <c r="G485"/>
      <c r="H485" s="1044"/>
      <c r="I485" s="205"/>
      <c r="J485" s="136"/>
      <c r="K485" s="136"/>
      <c r="L485" s="24"/>
      <c r="M485" s="315"/>
      <c r="N485" s="315"/>
      <c r="O485" s="315"/>
      <c r="P485" s="316"/>
      <c r="Q485" s="315"/>
      <c r="R485" s="315"/>
      <c r="S485" s="315"/>
      <c r="T485" s="316"/>
      <c r="U485" s="317"/>
      <c r="V485" s="317"/>
      <c r="W485" s="317"/>
      <c r="X485" s="318"/>
      <c r="Y485" s="317"/>
      <c r="Z485" s="317"/>
      <c r="AA485" s="317"/>
      <c r="AB485" s="318"/>
      <c r="AC485" s="317"/>
      <c r="AD485" s="317"/>
      <c r="AE485" s="317"/>
      <c r="AF485" s="318"/>
      <c r="AG485" s="317"/>
      <c r="AH485" s="317"/>
      <c r="AI485" s="317"/>
      <c r="AJ485" s="318"/>
      <c r="AK485" s="317"/>
      <c r="AL485" s="317"/>
      <c r="AM485" s="317"/>
      <c r="AN485" s="318"/>
      <c r="AO485" s="317"/>
      <c r="AP485" s="317"/>
      <c r="AQ485" s="317"/>
      <c r="AR485" s="318"/>
      <c r="AS485" s="317"/>
      <c r="AT485" s="317"/>
      <c r="AU485" s="317"/>
      <c r="AV485" s="318"/>
      <c r="AW485" s="319"/>
      <c r="AX485" s="319"/>
      <c r="AY485" s="319"/>
      <c r="AZ485" s="318"/>
      <c r="BA485" s="317"/>
      <c r="BB485" s="317"/>
      <c r="BC485" s="317"/>
      <c r="BD485" s="318"/>
      <c r="BE485" s="494"/>
      <c r="BF485" s="494"/>
      <c r="BG485" s="494"/>
      <c r="BH485" s="497"/>
      <c r="BI485" s="494"/>
      <c r="BJ485" s="494"/>
      <c r="BK485" s="494"/>
      <c r="BL485" s="497"/>
      <c r="BM485" s="494"/>
      <c r="BN485" s="494"/>
      <c r="BO485" s="494"/>
      <c r="BP485" s="317"/>
      <c r="BQ485" s="390"/>
      <c r="BR485" s="317"/>
      <c r="BS485" s="317"/>
      <c r="BT485" s="318"/>
      <c r="BU485" s="317"/>
      <c r="BV485" s="317"/>
      <c r="BW485" s="317"/>
      <c r="BX485" s="317"/>
      <c r="BY485" s="390"/>
      <c r="BZ485" s="317"/>
      <c r="CA485" s="317"/>
      <c r="CB485" s="318"/>
      <c r="CC485" s="317"/>
      <c r="CD485" s="317"/>
      <c r="CE485" s="317"/>
      <c r="CF485" s="318"/>
      <c r="CG485" s="316"/>
      <c r="CH485" s="320"/>
      <c r="CI485" s="315"/>
      <c r="CJ485" s="317"/>
      <c r="CK485" s="317"/>
      <c r="CL485" s="317"/>
      <c r="CM485" s="317"/>
      <c r="CN485" s="317"/>
      <c r="CO485" s="317"/>
      <c r="CP485" s="319"/>
      <c r="CQ485" s="317"/>
      <c r="CR485" s="317"/>
      <c r="CS485" s="330"/>
      <c r="CT485" s="399"/>
      <c r="CU485" s="321"/>
      <c r="CV485" s="321"/>
      <c r="CW485" s="321"/>
      <c r="CX485" s="321"/>
      <c r="CY485" s="321"/>
      <c r="CZ485" s="317"/>
      <c r="DA485" s="317"/>
      <c r="DB485" s="317"/>
      <c r="DC485" s="317"/>
      <c r="DD485" s="317"/>
      <c r="DE485" s="317"/>
      <c r="DF485" s="2169"/>
      <c r="DG485" s="94"/>
      <c r="DH485" s="94"/>
    </row>
    <row r="486" spans="1:112" s="584" customFormat="1" ht="11.25" customHeight="1">
      <c r="A486" s="542"/>
      <c r="B486"/>
      <c r="C486"/>
      <c r="D486"/>
      <c r="E486"/>
      <c r="F486"/>
      <c r="G486"/>
      <c r="H486" s="1052"/>
      <c r="I486" s="617" t="s">
        <v>369</v>
      </c>
      <c r="J486" s="580"/>
      <c r="K486" s="580"/>
      <c r="L486" s="542"/>
      <c r="M486" s="581"/>
      <c r="N486" s="581"/>
      <c r="O486" s="581"/>
      <c r="P486" s="582"/>
      <c r="Q486" s="581"/>
      <c r="R486" s="581"/>
      <c r="S486" s="581"/>
      <c r="T486" s="582"/>
      <c r="U486" s="600"/>
      <c r="V486" s="600"/>
      <c r="W486" s="600"/>
      <c r="X486" s="599"/>
      <c r="Y486" s="600"/>
      <c r="Z486" s="600"/>
      <c r="AA486" s="600"/>
      <c r="AB486" s="599"/>
      <c r="AC486" s="600"/>
      <c r="AD486" s="600"/>
      <c r="AE486" s="600"/>
      <c r="AF486" s="599"/>
      <c r="AG486" s="600"/>
      <c r="AH486" s="600"/>
      <c r="AI486" s="600"/>
      <c r="AJ486" s="599"/>
      <c r="AK486" s="600"/>
      <c r="AL486" s="600"/>
      <c r="AM486" s="600"/>
      <c r="AN486" s="599"/>
      <c r="AO486" s="600"/>
      <c r="AP486" s="600"/>
      <c r="AQ486" s="600"/>
      <c r="AR486" s="599"/>
      <c r="AS486" s="514">
        <f t="shared" ref="AS486:CF486" si="945">+AS452+AS458+AS466+AS472</f>
        <v>66.650999999999996</v>
      </c>
      <c r="AT486" s="514">
        <f t="shared" si="945"/>
        <v>73.715999999999994</v>
      </c>
      <c r="AU486" s="514">
        <f t="shared" si="945"/>
        <v>88.706000000000017</v>
      </c>
      <c r="AV486" s="515">
        <f t="shared" si="945"/>
        <v>79.34</v>
      </c>
      <c r="AW486" s="514">
        <f t="shared" si="945"/>
        <v>84.622000000000014</v>
      </c>
      <c r="AX486" s="514">
        <f t="shared" si="945"/>
        <v>103.232</v>
      </c>
      <c r="AY486" s="514">
        <f t="shared" si="945"/>
        <v>114.968</v>
      </c>
      <c r="AZ486" s="515">
        <f t="shared" si="945"/>
        <v>117.53699999999999</v>
      </c>
      <c r="BA486" s="514">
        <f t="shared" si="945"/>
        <v>128.55500000000001</v>
      </c>
      <c r="BB486" s="514">
        <f t="shared" si="945"/>
        <v>151.65800000000002</v>
      </c>
      <c r="BC486" s="514">
        <f t="shared" si="945"/>
        <v>168.55399999999997</v>
      </c>
      <c r="BD486" s="515">
        <f t="shared" si="945"/>
        <v>157.96</v>
      </c>
      <c r="BE486" s="514">
        <f t="shared" si="945"/>
        <v>181.09899999999999</v>
      </c>
      <c r="BF486" s="514">
        <f t="shared" si="945"/>
        <v>188.11</v>
      </c>
      <c r="BG486" s="514">
        <f t="shared" si="945"/>
        <v>223.702</v>
      </c>
      <c r="BH486" s="515">
        <f t="shared" si="945"/>
        <v>215.14200000000002</v>
      </c>
      <c r="BI486" s="514">
        <f t="shared" si="945"/>
        <v>228.155</v>
      </c>
      <c r="BJ486" s="514">
        <f t="shared" si="945"/>
        <v>272.99600000000004</v>
      </c>
      <c r="BK486" s="514">
        <f t="shared" si="945"/>
        <v>298.815</v>
      </c>
      <c r="BL486" s="515">
        <f t="shared" si="945"/>
        <v>318.90099999999995</v>
      </c>
      <c r="BM486" s="514">
        <f t="shared" si="945"/>
        <v>316.24399999999997</v>
      </c>
      <c r="BN486" s="514">
        <f t="shared" si="945"/>
        <v>376.846</v>
      </c>
      <c r="BO486" s="514">
        <f t="shared" si="945"/>
        <v>422.13100000000003</v>
      </c>
      <c r="BP486" s="514">
        <f t="shared" si="945"/>
        <v>409.822</v>
      </c>
      <c r="BQ486" s="1514">
        <f t="shared" si="945"/>
        <v>412.45899999999995</v>
      </c>
      <c r="BR486" s="514">
        <f t="shared" si="945"/>
        <v>449.61599999999999</v>
      </c>
      <c r="BS486" s="514">
        <f t="shared" si="945"/>
        <v>478.66</v>
      </c>
      <c r="BT486" s="515">
        <f t="shared" si="945"/>
        <v>460.35399999999998</v>
      </c>
      <c r="BU486" s="514">
        <f t="shared" si="945"/>
        <v>480.50700000000001</v>
      </c>
      <c r="BV486" s="514">
        <f t="shared" si="945"/>
        <v>531.63900000000001</v>
      </c>
      <c r="BW486" s="514">
        <f t="shared" si="945"/>
        <v>569.37599999999998</v>
      </c>
      <c r="BX486" s="514">
        <f t="shared" si="945"/>
        <v>552.46299999999997</v>
      </c>
      <c r="BY486" s="1514">
        <f t="shared" si="945"/>
        <v>581.61</v>
      </c>
      <c r="BZ486" s="514">
        <f t="shared" si="945"/>
        <v>637.02800000000002</v>
      </c>
      <c r="CA486" s="514">
        <f t="shared" si="945"/>
        <v>773.28</v>
      </c>
      <c r="CB486" s="515">
        <f t="shared" si="945"/>
        <v>743.596</v>
      </c>
      <c r="CC486" s="514">
        <f t="shared" si="945"/>
        <v>754.66058194920606</v>
      </c>
      <c r="CD486" s="514">
        <f t="shared" si="945"/>
        <v>790.12457642925676</v>
      </c>
      <c r="CE486" s="514">
        <f t="shared" si="945"/>
        <v>882.0295737042668</v>
      </c>
      <c r="CF486" s="515">
        <f t="shared" si="945"/>
        <v>865.21604180497138</v>
      </c>
      <c r="CG486" s="582"/>
      <c r="CH486" s="583"/>
      <c r="CI486" s="581"/>
      <c r="CJ486" s="600"/>
      <c r="CK486" s="600"/>
      <c r="CL486" s="600"/>
      <c r="CM486" s="600"/>
      <c r="CN486" s="600"/>
      <c r="CO486" s="600"/>
      <c r="CP486" s="642"/>
      <c r="CQ486" s="600"/>
      <c r="CR486" s="514">
        <f t="shared" ref="CR486:DF486" si="946">+CR452+CR458+CR466+CR472</f>
        <v>606.72699999999998</v>
      </c>
      <c r="CS486" s="514">
        <f t="shared" si="946"/>
        <v>808.05299999999988</v>
      </c>
      <c r="CT486" s="514">
        <f t="shared" si="946"/>
        <v>1118.8670000000002</v>
      </c>
      <c r="CU486" s="514">
        <f t="shared" si="946"/>
        <v>1525.0430000000001</v>
      </c>
      <c r="CV486" s="514">
        <f t="shared" si="946"/>
        <v>1801.0889999999999</v>
      </c>
      <c r="CW486" s="514">
        <f t="shared" si="946"/>
        <v>2133.9850000000001</v>
      </c>
      <c r="CX486" s="514">
        <f t="shared" si="946"/>
        <v>2735.5140000000001</v>
      </c>
      <c r="CY486" s="514">
        <f t="shared" si="946"/>
        <v>3292.0307738877009</v>
      </c>
      <c r="CZ486" s="514">
        <f>+CZ452+CZ458+CZ466+CZ472</f>
        <v>3710.3832332257557</v>
      </c>
      <c r="DA486" s="514">
        <f t="shared" si="946"/>
        <v>4103.4305556784147</v>
      </c>
      <c r="DB486" s="514">
        <f t="shared" si="946"/>
        <v>4451.4778781310742</v>
      </c>
      <c r="DC486" s="514">
        <f t="shared" si="946"/>
        <v>4769.5252005837328</v>
      </c>
      <c r="DD486" s="514">
        <f t="shared" si="946"/>
        <v>5082.5725230363923</v>
      </c>
      <c r="DE486" s="514">
        <f t="shared" si="946"/>
        <v>5390.6198454890509</v>
      </c>
      <c r="DF486" s="2163">
        <f t="shared" si="946"/>
        <v>5693.6671679417104</v>
      </c>
      <c r="DG486" s="632"/>
      <c r="DH486" s="632"/>
    </row>
    <row r="487" spans="1:112" s="51" customFormat="1" ht="11.25" customHeight="1">
      <c r="A487" s="82"/>
      <c r="B487"/>
      <c r="C487"/>
      <c r="D487"/>
      <c r="E487"/>
      <c r="F487"/>
      <c r="G487"/>
      <c r="H487" s="1044"/>
      <c r="I487" s="310" t="s">
        <v>376</v>
      </c>
      <c r="J487" s="83"/>
      <c r="K487" s="83"/>
      <c r="L487" s="82"/>
      <c r="M487" s="336"/>
      <c r="N487" s="336"/>
      <c r="O487" s="336"/>
      <c r="P487" s="337"/>
      <c r="Q487" s="336"/>
      <c r="R487" s="336"/>
      <c r="S487" s="336"/>
      <c r="T487" s="337"/>
      <c r="U487" s="393"/>
      <c r="V487" s="393"/>
      <c r="W487" s="393"/>
      <c r="X487" s="472"/>
      <c r="Y487" s="393"/>
      <c r="Z487" s="393"/>
      <c r="AA487" s="393"/>
      <c r="AB487" s="472"/>
      <c r="AC487" s="393"/>
      <c r="AD487" s="393"/>
      <c r="AE487" s="393"/>
      <c r="AF487" s="472"/>
      <c r="AG487" s="393"/>
      <c r="AH487" s="393"/>
      <c r="AI487" s="393"/>
      <c r="AJ487" s="472"/>
      <c r="AK487" s="393"/>
      <c r="AL487" s="393"/>
      <c r="AM487" s="393"/>
      <c r="AN487" s="472"/>
      <c r="AO487" s="393"/>
      <c r="AP487" s="393"/>
      <c r="AQ487" s="393"/>
      <c r="AR487" s="472"/>
      <c r="AS487" s="375"/>
      <c r="AT487" s="375"/>
      <c r="AU487" s="375"/>
      <c r="AV487" s="382"/>
      <c r="AW487" s="374">
        <f t="shared" ref="AW487:CE487" si="947">+AW486/AS486-1</f>
        <v>0.26962836266522672</v>
      </c>
      <c r="AX487" s="374">
        <f t="shared" si="947"/>
        <v>0.40040154104943304</v>
      </c>
      <c r="AY487" s="374">
        <f t="shared" si="947"/>
        <v>0.29605663652965952</v>
      </c>
      <c r="AZ487" s="500">
        <f t="shared" si="947"/>
        <v>0.48143433324930651</v>
      </c>
      <c r="BA487" s="374">
        <f t="shared" si="947"/>
        <v>0.5191675923518706</v>
      </c>
      <c r="BB487" s="374">
        <f t="shared" si="947"/>
        <v>0.46909872907625561</v>
      </c>
      <c r="BC487" s="374">
        <f t="shared" si="947"/>
        <v>0.46609491336719766</v>
      </c>
      <c r="BD487" s="500">
        <f t="shared" si="947"/>
        <v>0.3439172345729431</v>
      </c>
      <c r="BE487" s="374">
        <f t="shared" si="947"/>
        <v>0.40872778188324044</v>
      </c>
      <c r="BF487" s="374">
        <f t="shared" si="947"/>
        <v>0.24035659180524593</v>
      </c>
      <c r="BG487" s="374">
        <f t="shared" si="947"/>
        <v>0.32718297993521395</v>
      </c>
      <c r="BH487" s="500">
        <f t="shared" si="947"/>
        <v>0.36200303874398587</v>
      </c>
      <c r="BI487" s="374">
        <f t="shared" si="947"/>
        <v>0.25983578042948885</v>
      </c>
      <c r="BJ487" s="374">
        <f t="shared" si="947"/>
        <v>0.4512572431024402</v>
      </c>
      <c r="BK487" s="374">
        <f t="shared" si="947"/>
        <v>0.33577259032105222</v>
      </c>
      <c r="BL487" s="500">
        <f t="shared" si="947"/>
        <v>0.48228146991289433</v>
      </c>
      <c r="BM487" s="374">
        <f t="shared" si="947"/>
        <v>0.3860927877977689</v>
      </c>
      <c r="BN487" s="374">
        <f t="shared" si="947"/>
        <v>0.38040850415390692</v>
      </c>
      <c r="BO487" s="374">
        <f t="shared" si="947"/>
        <v>0.41268343289326181</v>
      </c>
      <c r="BP487" s="374">
        <f t="shared" si="947"/>
        <v>0.28510729035029692</v>
      </c>
      <c r="BQ487" s="1522">
        <f t="shared" si="947"/>
        <v>0.30424292634800976</v>
      </c>
      <c r="BR487" s="374">
        <f t="shared" si="947"/>
        <v>0.19310275284864376</v>
      </c>
      <c r="BS487" s="374">
        <f t="shared" si="947"/>
        <v>0.13391340602798651</v>
      </c>
      <c r="BT487" s="500">
        <f>+BT486/BP486-1</f>
        <v>0.12330231173533868</v>
      </c>
      <c r="BU487" s="374">
        <f t="shared" si="947"/>
        <v>0.16498124662087643</v>
      </c>
      <c r="BV487" s="374">
        <f>+BV486/BR486-1</f>
        <v>0.18242900608519275</v>
      </c>
      <c r="BW487" s="374">
        <f t="shared" si="947"/>
        <v>0.18952074541428132</v>
      </c>
      <c r="BX487" s="374">
        <f>+BX486/BT486-1</f>
        <v>0.20008297962003141</v>
      </c>
      <c r="BY487" s="1522">
        <f t="shared" si="947"/>
        <v>0.21040900548795327</v>
      </c>
      <c r="BZ487" s="374">
        <f t="shared" si="947"/>
        <v>0.1982341400837786</v>
      </c>
      <c r="CA487" s="374">
        <f t="shared" si="947"/>
        <v>0.35811836115326257</v>
      </c>
      <c r="CB487" s="500">
        <f>+CB486/BX486-1</f>
        <v>0.34596525016154933</v>
      </c>
      <c r="CC487" s="374">
        <f t="shared" si="947"/>
        <v>0.29753715023676697</v>
      </c>
      <c r="CD487" s="374">
        <f t="shared" si="947"/>
        <v>0.24032943046342825</v>
      </c>
      <c r="CE487" s="374">
        <f t="shared" si="947"/>
        <v>0.1406341476622528</v>
      </c>
      <c r="CF487" s="500">
        <f>+CF486/CB486-1</f>
        <v>0.16355661112347475</v>
      </c>
      <c r="CG487" s="337"/>
      <c r="CH487" s="367"/>
      <c r="CI487" s="336"/>
      <c r="CJ487" s="393"/>
      <c r="CK487" s="393"/>
      <c r="CL487" s="393"/>
      <c r="CM487" s="393"/>
      <c r="CN487" s="393"/>
      <c r="CO487" s="393"/>
      <c r="CP487" s="501"/>
      <c r="CQ487" s="393"/>
      <c r="CR487" s="393"/>
      <c r="CS487" s="375"/>
      <c r="CT487" s="375"/>
      <c r="CU487" s="374">
        <f t="shared" ref="CU487:DF487" si="948">+CU486/CT486-1</f>
        <v>0.36302438091390643</v>
      </c>
      <c r="CV487" s="374">
        <f t="shared" si="948"/>
        <v>0.181008666640875</v>
      </c>
      <c r="CW487" s="374">
        <f t="shared" si="948"/>
        <v>0.1848303998303249</v>
      </c>
      <c r="CX487" s="374">
        <f t="shared" si="948"/>
        <v>0.28188061303148793</v>
      </c>
      <c r="CY487" s="374">
        <f t="shared" si="948"/>
        <v>0.20344139122947302</v>
      </c>
      <c r="CZ487" s="374">
        <f t="shared" si="948"/>
        <v>0.12708036105142617</v>
      </c>
      <c r="DA487" s="374">
        <f t="shared" si="948"/>
        <v>0.10593173204670547</v>
      </c>
      <c r="DB487" s="374">
        <f t="shared" si="948"/>
        <v>8.4818621329176391E-2</v>
      </c>
      <c r="DC487" s="374">
        <f t="shared" si="948"/>
        <v>7.1447580143021883E-2</v>
      </c>
      <c r="DD487" s="374">
        <f t="shared" si="948"/>
        <v>6.5634902697305542E-2</v>
      </c>
      <c r="DE487" s="374">
        <f t="shared" si="948"/>
        <v>6.0608544404719522E-2</v>
      </c>
      <c r="DF487" s="500">
        <f t="shared" si="948"/>
        <v>5.6217528065210187E-2</v>
      </c>
      <c r="DG487" s="308"/>
      <c r="DH487" s="308"/>
    </row>
    <row r="488" spans="1:112" s="51" customFormat="1" ht="11.25" customHeight="1">
      <c r="A488" s="82"/>
      <c r="B488"/>
      <c r="C488"/>
      <c r="D488"/>
      <c r="E488"/>
      <c r="F488"/>
      <c r="G488"/>
      <c r="H488" s="1044"/>
      <c r="I488" s="310" t="s">
        <v>375</v>
      </c>
      <c r="J488" s="83"/>
      <c r="K488" s="83"/>
      <c r="L488" s="82"/>
      <c r="M488" s="336"/>
      <c r="N488" s="336"/>
      <c r="O488" s="336"/>
      <c r="P488" s="337"/>
      <c r="Q488" s="336"/>
      <c r="R488" s="336"/>
      <c r="S488" s="336"/>
      <c r="T488" s="337"/>
      <c r="U488" s="393"/>
      <c r="V488" s="393"/>
      <c r="W488" s="393"/>
      <c r="X488" s="472"/>
      <c r="Y488" s="393"/>
      <c r="Z488" s="393"/>
      <c r="AA488" s="393"/>
      <c r="AB488" s="472"/>
      <c r="AC488" s="393"/>
      <c r="AD488" s="393"/>
      <c r="AE488" s="393"/>
      <c r="AF488" s="472"/>
      <c r="AG488" s="393"/>
      <c r="AH488" s="393"/>
      <c r="AI488" s="393"/>
      <c r="AJ488" s="472"/>
      <c r="AK488" s="393"/>
      <c r="AL488" s="393"/>
      <c r="AM488" s="393"/>
      <c r="AN488" s="472"/>
      <c r="AO488" s="393"/>
      <c r="AP488" s="393"/>
      <c r="AQ488" s="393"/>
      <c r="AR488" s="472"/>
      <c r="AS488" s="375"/>
      <c r="AT488" s="374">
        <f t="shared" ref="AT488:CE488" si="949">+AT486/AS486-1</f>
        <v>0.1059999099788449</v>
      </c>
      <c r="AU488" s="374">
        <f t="shared" si="949"/>
        <v>0.20334798415540756</v>
      </c>
      <c r="AV488" s="500">
        <f t="shared" si="949"/>
        <v>-0.10558474060379242</v>
      </c>
      <c r="AW488" s="374">
        <f t="shared" si="949"/>
        <v>6.6574237459037233E-2</v>
      </c>
      <c r="AX488" s="374">
        <f t="shared" si="949"/>
        <v>0.21991916995580318</v>
      </c>
      <c r="AY488" s="374">
        <f t="shared" si="949"/>
        <v>0.11368567885926839</v>
      </c>
      <c r="AZ488" s="500">
        <f t="shared" si="949"/>
        <v>2.2345348270823129E-2</v>
      </c>
      <c r="BA488" s="374">
        <f t="shared" si="949"/>
        <v>9.3740694419629733E-2</v>
      </c>
      <c r="BB488" s="374">
        <f t="shared" si="949"/>
        <v>0.17971296332309139</v>
      </c>
      <c r="BC488" s="374">
        <f t="shared" si="949"/>
        <v>0.11140856400585508</v>
      </c>
      <c r="BD488" s="500">
        <f t="shared" si="949"/>
        <v>-6.2852260996475673E-2</v>
      </c>
      <c r="BE488" s="374">
        <f t="shared" si="949"/>
        <v>0.14648645226639645</v>
      </c>
      <c r="BF488" s="374">
        <f t="shared" si="949"/>
        <v>3.871363177046816E-2</v>
      </c>
      <c r="BG488" s="374">
        <f t="shared" si="949"/>
        <v>0.18920844186911911</v>
      </c>
      <c r="BH488" s="500">
        <f t="shared" si="949"/>
        <v>-3.8265192085899846E-2</v>
      </c>
      <c r="BI488" s="374">
        <f t="shared" si="949"/>
        <v>6.048563274488461E-2</v>
      </c>
      <c r="BJ488" s="374">
        <f t="shared" si="949"/>
        <v>0.1965374416515091</v>
      </c>
      <c r="BK488" s="374">
        <f t="shared" si="949"/>
        <v>9.45764773110227E-2</v>
      </c>
      <c r="BL488" s="500">
        <f t="shared" si="949"/>
        <v>6.7218847782072322E-2</v>
      </c>
      <c r="BM488" s="374">
        <f t="shared" si="949"/>
        <v>-8.3317393172175347E-3</v>
      </c>
      <c r="BN488" s="374">
        <f t="shared" si="949"/>
        <v>0.19163051314807555</v>
      </c>
      <c r="BO488" s="374">
        <f t="shared" si="949"/>
        <v>0.12016845077299476</v>
      </c>
      <c r="BP488" s="374">
        <f t="shared" si="949"/>
        <v>-2.9159194657582654E-2</v>
      </c>
      <c r="BQ488" s="1522">
        <f>+BQ486/BP486-1</f>
        <v>6.4345008320683128E-3</v>
      </c>
      <c r="BR488" s="374">
        <f t="shared" si="949"/>
        <v>9.0086529812660299E-2</v>
      </c>
      <c r="BS488" s="374">
        <f t="shared" si="949"/>
        <v>6.4597345290203334E-2</v>
      </c>
      <c r="BT488" s="500">
        <f>+BT486/BS486-1</f>
        <v>-3.8244265240463093E-2</v>
      </c>
      <c r="BU488" s="374">
        <f>+BU486/BT486-1</f>
        <v>4.3777180170043062E-2</v>
      </c>
      <c r="BV488" s="374">
        <f>+BV486/BU486-1</f>
        <v>0.10641260168946554</v>
      </c>
      <c r="BW488" s="374">
        <f t="shared" si="949"/>
        <v>7.0982377139374497E-2</v>
      </c>
      <c r="BX488" s="374">
        <f>+BX486/BW486-1</f>
        <v>-2.9704448378575887E-2</v>
      </c>
      <c r="BY488" s="1522">
        <f>+BY486/BX486-1</f>
        <v>5.2758284265190802E-2</v>
      </c>
      <c r="BZ488" s="374">
        <f t="shared" si="949"/>
        <v>9.5283781227970543E-2</v>
      </c>
      <c r="CA488" s="374">
        <f t="shared" si="949"/>
        <v>0.21388698769912784</v>
      </c>
      <c r="CB488" s="500">
        <f>+CB486/CA486-1</f>
        <v>-3.8387130146906645E-2</v>
      </c>
      <c r="CC488" s="374">
        <f>+CC486/CB486-1</f>
        <v>1.4879829839329561E-2</v>
      </c>
      <c r="CD488" s="374">
        <f t="shared" si="949"/>
        <v>4.6993304444828743E-2</v>
      </c>
      <c r="CE488" s="374">
        <f t="shared" si="949"/>
        <v>0.11631709734982354</v>
      </c>
      <c r="CF488" s="500">
        <f>+CF486/CE486-1</f>
        <v>-1.9062322172127999E-2</v>
      </c>
      <c r="CG488" s="337"/>
      <c r="CH488" s="367"/>
      <c r="CI488" s="336"/>
      <c r="CJ488" s="393"/>
      <c r="CK488" s="393"/>
      <c r="CL488" s="393"/>
      <c r="CM488" s="393"/>
      <c r="CN488" s="393"/>
      <c r="CO488" s="393"/>
      <c r="CP488" s="501"/>
      <c r="CQ488" s="393"/>
      <c r="CR488" s="393"/>
      <c r="CS488" s="375"/>
      <c r="CT488" s="375"/>
      <c r="CU488" s="375"/>
      <c r="CV488" s="375"/>
      <c r="CW488" s="375"/>
      <c r="CX488" s="375"/>
      <c r="CY488" s="375"/>
      <c r="CZ488" s="374"/>
      <c r="DA488" s="374"/>
      <c r="DB488" s="374"/>
      <c r="DC488" s="374"/>
      <c r="DD488" s="374"/>
      <c r="DE488" s="374"/>
      <c r="DF488" s="500"/>
      <c r="DG488" s="308"/>
      <c r="DH488" s="308"/>
    </row>
    <row r="489" spans="1:112" s="51" customFormat="1" ht="11.25" customHeight="1">
      <c r="A489" s="82"/>
      <c r="B489"/>
      <c r="C489"/>
      <c r="D489"/>
      <c r="E489"/>
      <c r="F489"/>
      <c r="G489"/>
      <c r="H489" s="1044"/>
      <c r="I489" s="310" t="s">
        <v>731</v>
      </c>
      <c r="J489" s="83"/>
      <c r="K489" s="83"/>
      <c r="L489" s="82"/>
      <c r="M489" s="336"/>
      <c r="N489" s="336"/>
      <c r="O489" s="336"/>
      <c r="P489" s="337"/>
      <c r="Q489" s="336"/>
      <c r="R489" s="336"/>
      <c r="S489" s="336"/>
      <c r="T489" s="337"/>
      <c r="U489" s="393"/>
      <c r="V489" s="393"/>
      <c r="W489" s="393"/>
      <c r="X489" s="472"/>
      <c r="Y489" s="393"/>
      <c r="Z489" s="393"/>
      <c r="AA489" s="393"/>
      <c r="AB489" s="472"/>
      <c r="AC489" s="393"/>
      <c r="AD489" s="393"/>
      <c r="AE489" s="393"/>
      <c r="AF489" s="472"/>
      <c r="AG489" s="393"/>
      <c r="AH489" s="393"/>
      <c r="AI489" s="393"/>
      <c r="AJ489" s="472"/>
      <c r="AK489" s="393"/>
      <c r="AL489" s="393"/>
      <c r="AM489" s="393"/>
      <c r="AN489" s="472"/>
      <c r="AO489" s="393"/>
      <c r="AP489" s="393"/>
      <c r="AQ489" s="393"/>
      <c r="AR489" s="472"/>
      <c r="AS489" s="374">
        <f>+AS486/Model!AS39</f>
        <v>0.31992991887870209</v>
      </c>
      <c r="AT489" s="374">
        <f>+AT486/Model!AT39</f>
        <v>0.24150335148310498</v>
      </c>
      <c r="AU489" s="374">
        <f>+AU486/Model!AU39</f>
        <v>0.20438887941641365</v>
      </c>
      <c r="AV489" s="500">
        <f>+AV486/Model!AV39</f>
        <v>0.25332945920833738</v>
      </c>
      <c r="AW489" s="374">
        <f>+AW486/Model!AW39</f>
        <v>0.2651762995274447</v>
      </c>
      <c r="AX489" s="374">
        <f>+AX486/Model!AX39</f>
        <v>0.23136643178598967</v>
      </c>
      <c r="AY489" s="374">
        <f>+AY486/Model!AY39</f>
        <v>0.1720542106649427</v>
      </c>
      <c r="AZ489" s="500">
        <f>+AZ486/Model!AZ39</f>
        <v>0.24478409550030611</v>
      </c>
      <c r="BA489" s="374">
        <f>+BA486/Model!BA39</f>
        <v>0.25415770410906902</v>
      </c>
      <c r="BB489" s="374">
        <f>+BB486/Model!BB39</f>
        <v>0.20241929348515203</v>
      </c>
      <c r="BC489" s="374">
        <f>+BC486/Model!BC39</f>
        <v>0.15321029534208119</v>
      </c>
      <c r="BD489" s="500">
        <f>+BD486/Model!BD39</f>
        <v>0.21796695722488157</v>
      </c>
      <c r="BE489" s="374">
        <f>+BE486/Model!BE39</f>
        <v>0.24364580082013967</v>
      </c>
      <c r="BF489" s="374">
        <f>+BF486/Model!BF39</f>
        <v>0.18733406231389585</v>
      </c>
      <c r="BG489" s="374">
        <f>+BG486/Model!BG39</f>
        <v>0.16018749718045314</v>
      </c>
      <c r="BH489" s="500">
        <f>+BH486/Model!BH39</f>
        <v>0.22893535514764565</v>
      </c>
      <c r="BI489" s="374">
        <f>+BI486/Model!BI39</f>
        <v>0.22597099037799667</v>
      </c>
      <c r="BJ489" s="374">
        <f>+BJ486/Model!BJ39</f>
        <v>0.19727211304652587</v>
      </c>
      <c r="BK489" s="374">
        <f>+BK486/Model!BK39</f>
        <v>0.1502288763816165</v>
      </c>
      <c r="BL489" s="500">
        <f>+BL486/Model!BL39</f>
        <v>0.23918155015259118</v>
      </c>
      <c r="BM489" s="374">
        <f>+BM486/Model!BM39</f>
        <v>0.22484928590777906</v>
      </c>
      <c r="BN489" s="374">
        <f>+BN486/Model!BN39</f>
        <v>0.20013106772398881</v>
      </c>
      <c r="BO489" s="374">
        <f>+BO486/Model!BO39</f>
        <v>0.16112005520657044</v>
      </c>
      <c r="BP489" s="374">
        <f>+BP486/Model!BP39</f>
        <v>0.2447158719400962</v>
      </c>
      <c r="BQ489" s="1522">
        <f>+BQ486/Model!BQ39</f>
        <v>0.24665119038221878</v>
      </c>
      <c r="BR489" s="374">
        <f>+BR486/Model!BR39</f>
        <v>0.21482856850713791</v>
      </c>
      <c r="BS489" s="374">
        <f>+BS486/Model!BS39</f>
        <v>0.16240726201293262</v>
      </c>
      <c r="BT489" s="500">
        <f>+BT486/Model!BT39</f>
        <v>0.24494953929028837</v>
      </c>
      <c r="BU489" s="374">
        <f>+BU486/Model!BU39</f>
        <v>0.23793953799301795</v>
      </c>
      <c r="BV489" s="374">
        <f>+BV486/Model!BV39</f>
        <v>0.21879786881157354</v>
      </c>
      <c r="BW489" s="374">
        <f>+BW486/Model!BW39</f>
        <v>0.15864196309733208</v>
      </c>
      <c r="BX489" s="374">
        <f>+BX486/Model!BX39</f>
        <v>0.24269568842551775</v>
      </c>
      <c r="BY489" s="1522">
        <f>+BY486/Model!BY39</f>
        <v>0.24916514404076709</v>
      </c>
      <c r="BZ489" s="374">
        <f>+BZ486/Model!BZ39</f>
        <v>0.21580899067488671</v>
      </c>
      <c r="CA489" s="374">
        <f>+CA486/Model!CA39</f>
        <v>0.1767677749018014</v>
      </c>
      <c r="CB489" s="500">
        <f>+CB486/Model!CB39</f>
        <v>0.26845173348332441</v>
      </c>
      <c r="CC489" s="374">
        <f>+CC486/Model!CC39</f>
        <v>0.26976415793896574</v>
      </c>
      <c r="CD489" s="374">
        <f>+CD486/Model!CD39</f>
        <v>0.22180885934227057</v>
      </c>
      <c r="CE489" s="374">
        <f>+CE486/Model!CE39</f>
        <v>0.17625042808452113</v>
      </c>
      <c r="CF489" s="500">
        <f>+CF486/Model!CF39</f>
        <v>0.25614851879130268</v>
      </c>
      <c r="CG489" s="337"/>
      <c r="CH489" s="367"/>
      <c r="CI489" s="336"/>
      <c r="CJ489" s="393"/>
      <c r="CK489" s="393"/>
      <c r="CL489" s="393"/>
      <c r="CM489" s="393"/>
      <c r="CN489" s="393"/>
      <c r="CO489" s="393"/>
      <c r="CP489" s="501"/>
      <c r="CQ489" s="393"/>
      <c r="CR489" s="374">
        <f>+CR486/Model!CR39</f>
        <v>0.1969969609205553</v>
      </c>
      <c r="CS489" s="374">
        <f>+CS486/Model!CS39</f>
        <v>0.19787368308151387</v>
      </c>
      <c r="CT489" s="374">
        <f>+CT486/Model!CT39</f>
        <v>0.19574690607895262</v>
      </c>
      <c r="CU489" s="374">
        <f>+CU486/Model!CU39</f>
        <v>0.20108344661813554</v>
      </c>
      <c r="CV489" s="374">
        <f>+CV486/Model!CV39</f>
        <v>0.20962866135144798</v>
      </c>
      <c r="CW489" s="374">
        <f>+CW486/Model!CW39</f>
        <v>0.20688790319672176</v>
      </c>
      <c r="CX489" s="374">
        <f>+CX486/Model!CX39</f>
        <v>0.22006388295927495</v>
      </c>
      <c r="CY489" s="374">
        <f>+CY486/Model!CY39</f>
        <v>0.22331159839123929</v>
      </c>
      <c r="CZ489" s="374">
        <f>+CZ486/Model!CZ39</f>
        <v>0.22099476944919633</v>
      </c>
      <c r="DA489" s="374">
        <f>+DA486/Model!DA39</f>
        <v>0.21801549203012952</v>
      </c>
      <c r="DB489" s="374">
        <f>+DB486/Model!DB31</f>
        <v>0.22366002897314</v>
      </c>
      <c r="DC489" s="374">
        <f>+DC486/Model!DC31</f>
        <v>0.21926287478229878</v>
      </c>
      <c r="DD489" s="374">
        <f>+DD486/Model!DD31</f>
        <v>0.21563600841901193</v>
      </c>
      <c r="DE489" s="374">
        <f>+DE486/Model!DE31</f>
        <v>0.21274070831409178</v>
      </c>
      <c r="DF489" s="500">
        <f>+DF486/Model!DF31</f>
        <v>0.20897326875198652</v>
      </c>
      <c r="DG489" s="308"/>
      <c r="DH489" s="308"/>
    </row>
    <row r="490" spans="1:112" s="61" customFormat="1" ht="11.25" customHeight="1">
      <c r="A490" s="48"/>
      <c r="B490"/>
      <c r="C490"/>
      <c r="D490"/>
      <c r="E490"/>
      <c r="F490"/>
      <c r="G490"/>
      <c r="H490" s="1044"/>
      <c r="I490" s="1332" t="s">
        <v>623</v>
      </c>
      <c r="J490" s="85"/>
      <c r="K490" s="85"/>
      <c r="L490" s="60"/>
      <c r="M490" s="350"/>
      <c r="N490" s="350"/>
      <c r="O490" s="350"/>
      <c r="P490" s="351"/>
      <c r="Q490" s="350"/>
      <c r="R490" s="350"/>
      <c r="S490" s="350"/>
      <c r="T490" s="351"/>
      <c r="U490" s="482"/>
      <c r="V490" s="482"/>
      <c r="W490" s="482"/>
      <c r="X490" s="483"/>
      <c r="Y490" s="482"/>
      <c r="Z490" s="482"/>
      <c r="AA490" s="482"/>
      <c r="AB490" s="483"/>
      <c r="AC490" s="482"/>
      <c r="AD490" s="482"/>
      <c r="AE490" s="482"/>
      <c r="AF490" s="483"/>
      <c r="AG490" s="482"/>
      <c r="AH490" s="482"/>
      <c r="AI490" s="482"/>
      <c r="AJ490" s="483"/>
      <c r="AK490" s="484">
        <f t="shared" ref="AK490:CE490" si="950">+(AK489-AG489)*10000</f>
        <v>0</v>
      </c>
      <c r="AL490" s="484">
        <f t="shared" si="950"/>
        <v>0</v>
      </c>
      <c r="AM490" s="484">
        <f t="shared" si="950"/>
        <v>0</v>
      </c>
      <c r="AN490" s="485">
        <f t="shared" si="950"/>
        <v>0</v>
      </c>
      <c r="AO490" s="484">
        <f t="shared" si="950"/>
        <v>0</v>
      </c>
      <c r="AP490" s="484">
        <f t="shared" si="950"/>
        <v>0</v>
      </c>
      <c r="AQ490" s="484">
        <f t="shared" si="950"/>
        <v>0</v>
      </c>
      <c r="AR490" s="485">
        <f t="shared" si="950"/>
        <v>0</v>
      </c>
      <c r="AS490" s="484">
        <f t="shared" si="950"/>
        <v>3199.2991887870207</v>
      </c>
      <c r="AT490" s="484">
        <f t="shared" si="950"/>
        <v>2415.0335148310496</v>
      </c>
      <c r="AU490" s="484">
        <f t="shared" si="950"/>
        <v>2043.8887941641365</v>
      </c>
      <c r="AV490" s="485">
        <f t="shared" si="950"/>
        <v>2533.294592083374</v>
      </c>
      <c r="AW490" s="484">
        <f t="shared" si="950"/>
        <v>-547.53619351257385</v>
      </c>
      <c r="AX490" s="484">
        <f t="shared" si="950"/>
        <v>-101.36919697115304</v>
      </c>
      <c r="AY490" s="484">
        <f t="shared" si="950"/>
        <v>-323.34668751470952</v>
      </c>
      <c r="AZ490" s="485">
        <f t="shared" si="950"/>
        <v>-85.453637080312731</v>
      </c>
      <c r="BA490" s="484">
        <f t="shared" si="950"/>
        <v>-110.18595418375688</v>
      </c>
      <c r="BB490" s="484">
        <f t="shared" si="950"/>
        <v>-289.47138300837645</v>
      </c>
      <c r="BC490" s="484">
        <f t="shared" si="950"/>
        <v>-188.43915322861506</v>
      </c>
      <c r="BD490" s="485">
        <f t="shared" si="950"/>
        <v>-268.17138275424537</v>
      </c>
      <c r="BE490" s="484">
        <f t="shared" si="950"/>
        <v>-105.11903288929342</v>
      </c>
      <c r="BF490" s="484">
        <f t="shared" si="950"/>
        <v>-150.8523117125618</v>
      </c>
      <c r="BG490" s="484">
        <f t="shared" si="950"/>
        <v>69.772018383719441</v>
      </c>
      <c r="BH490" s="485">
        <f t="shared" si="950"/>
        <v>109.68397922764078</v>
      </c>
      <c r="BI490" s="484">
        <f t="shared" si="950"/>
        <v>-176.74810442143001</v>
      </c>
      <c r="BJ490" s="484">
        <f t="shared" si="950"/>
        <v>99.380507326300162</v>
      </c>
      <c r="BK490" s="484">
        <f t="shared" si="950"/>
        <v>-99.586207988366368</v>
      </c>
      <c r="BL490" s="484">
        <f t="shared" si="950"/>
        <v>102.4619500494553</v>
      </c>
      <c r="BM490" s="1519">
        <f t="shared" si="950"/>
        <v>-11.21704470217616</v>
      </c>
      <c r="BN490" s="484">
        <f t="shared" si="950"/>
        <v>28.589546774629436</v>
      </c>
      <c r="BO490" s="484">
        <f t="shared" si="950"/>
        <v>108.9117882495394</v>
      </c>
      <c r="BP490" s="485">
        <f t="shared" si="950"/>
        <v>55.343217875050144</v>
      </c>
      <c r="BQ490" s="484">
        <f t="shared" si="950"/>
        <v>218.01904474439721</v>
      </c>
      <c r="BR490" s="484">
        <f>+(BR489-BN489)*10000</f>
        <v>146.97500783149104</v>
      </c>
      <c r="BS490" s="484">
        <f>+(BS489-BO489)*10000</f>
        <v>12.872068063621844</v>
      </c>
      <c r="BT490" s="485">
        <f>+(BT489-BP489)*10000</f>
        <v>2.3366735019217377</v>
      </c>
      <c r="BU490" s="484">
        <f t="shared" si="950"/>
        <v>-87.116523892008246</v>
      </c>
      <c r="BV490" s="484">
        <f>+(BV489-BR489)*10000</f>
        <v>39.693003044356246</v>
      </c>
      <c r="BW490" s="484">
        <f t="shared" si="950"/>
        <v>-37.652989156005404</v>
      </c>
      <c r="BX490" s="485">
        <f>+(BX489-BT489)*10000</f>
        <v>-22.53850864770618</v>
      </c>
      <c r="BY490" s="484">
        <f t="shared" si="950"/>
        <v>112.25606047749137</v>
      </c>
      <c r="BZ490" s="484">
        <f t="shared" si="950"/>
        <v>-29.88878136686829</v>
      </c>
      <c r="CA490" s="484">
        <f t="shared" si="950"/>
        <v>181.25811804469316</v>
      </c>
      <c r="CB490" s="485">
        <f>+(CB489-BX489)*10000</f>
        <v>257.56045057806654</v>
      </c>
      <c r="CC490" s="484">
        <f t="shared" si="950"/>
        <v>205.99013898198655</v>
      </c>
      <c r="CD490" s="484">
        <f t="shared" si="950"/>
        <v>59.99868667383862</v>
      </c>
      <c r="CE490" s="484">
        <f t="shared" si="950"/>
        <v>-5.173468172802731</v>
      </c>
      <c r="CF490" s="485">
        <f>+(CF489-CB489)*10000</f>
        <v>-123.03214692021724</v>
      </c>
      <c r="CG490" s="351"/>
      <c r="CH490" s="356"/>
      <c r="CI490" s="350"/>
      <c r="CJ490" s="482"/>
      <c r="CK490" s="482"/>
      <c r="CL490" s="482"/>
      <c r="CM490" s="482"/>
      <c r="CN490" s="484"/>
      <c r="CO490" s="484"/>
      <c r="CP490" s="484"/>
      <c r="CQ490" s="484"/>
      <c r="CR490" s="484"/>
      <c r="CS490" s="484">
        <f t="shared" ref="CS490:CX490" si="951">+(CS489-CR489)*10000</f>
        <v>8.7672216095857625</v>
      </c>
      <c r="CT490" s="484">
        <f t="shared" si="951"/>
        <v>-21.267770025612531</v>
      </c>
      <c r="CU490" s="484">
        <f t="shared" si="951"/>
        <v>53.365405391829213</v>
      </c>
      <c r="CV490" s="484">
        <f t="shared" si="951"/>
        <v>85.452147333124344</v>
      </c>
      <c r="CW490" s="484">
        <f t="shared" si="951"/>
        <v>-27.40758154726214</v>
      </c>
      <c r="CX490" s="484">
        <f t="shared" si="951"/>
        <v>131.75979762553192</v>
      </c>
      <c r="CY490" s="484">
        <f t="shared" ref="CY490:DF490" si="952">+(CY489-CX489)*10000</f>
        <v>32.477154319643375</v>
      </c>
      <c r="CZ490" s="484">
        <f t="shared" si="952"/>
        <v>-23.168289420429645</v>
      </c>
      <c r="DA490" s="484">
        <f t="shared" si="952"/>
        <v>-29.792774190668116</v>
      </c>
      <c r="DB490" s="484">
        <f t="shared" si="952"/>
        <v>56.445369430104805</v>
      </c>
      <c r="DC490" s="484">
        <f t="shared" si="952"/>
        <v>-43.971541908412185</v>
      </c>
      <c r="DD490" s="484">
        <f t="shared" si="952"/>
        <v>-36.268663632868517</v>
      </c>
      <c r="DE490" s="484">
        <f t="shared" si="952"/>
        <v>-28.953001049201454</v>
      </c>
      <c r="DF490" s="485">
        <f t="shared" si="952"/>
        <v>-37.674395621052625</v>
      </c>
    </row>
    <row r="491" spans="1:112" s="61" customFormat="1" ht="11.25" customHeight="1">
      <c r="A491" s="48"/>
      <c r="B491"/>
      <c r="C491"/>
      <c r="D491"/>
      <c r="E491"/>
      <c r="F491"/>
      <c r="G491"/>
      <c r="H491" s="1044"/>
      <c r="I491" s="1332"/>
      <c r="J491" s="85"/>
      <c r="K491" s="85"/>
      <c r="L491" s="60"/>
      <c r="M491" s="350"/>
      <c r="N491" s="350"/>
      <c r="O491" s="350"/>
      <c r="P491" s="351"/>
      <c r="Q491" s="350"/>
      <c r="R491" s="350"/>
      <c r="S491" s="350"/>
      <c r="T491" s="351"/>
      <c r="U491" s="482"/>
      <c r="V491" s="482"/>
      <c r="W491" s="482"/>
      <c r="X491" s="483"/>
      <c r="Y491" s="482"/>
      <c r="Z491" s="482"/>
      <c r="AA491" s="482"/>
      <c r="AB491" s="483"/>
      <c r="AC491" s="482"/>
      <c r="AD491" s="482"/>
      <c r="AE491" s="482"/>
      <c r="AF491" s="483"/>
      <c r="AG491" s="482"/>
      <c r="AH491" s="482"/>
      <c r="AI491" s="482"/>
      <c r="AJ491" s="483"/>
      <c r="AK491" s="484"/>
      <c r="AL491" s="484"/>
      <c r="AM491" s="484"/>
      <c r="AN491" s="485"/>
      <c r="AO491" s="484"/>
      <c r="AP491" s="484"/>
      <c r="AQ491" s="484"/>
      <c r="AR491" s="485"/>
      <c r="AS491" s="484"/>
      <c r="AT491" s="484"/>
      <c r="AU491" s="484"/>
      <c r="AV491" s="485"/>
      <c r="AW491" s="484"/>
      <c r="AX491" s="484"/>
      <c r="AY491" s="484"/>
      <c r="AZ491" s="485"/>
      <c r="BA491" s="484"/>
      <c r="BB491" s="484"/>
      <c r="BC491" s="484"/>
      <c r="BD491" s="485"/>
      <c r="BE491" s="484"/>
      <c r="BF491" s="484"/>
      <c r="BG491" s="484"/>
      <c r="BH491" s="485"/>
      <c r="BI491" s="484"/>
      <c r="BJ491" s="484"/>
      <c r="BK491" s="484"/>
      <c r="BL491" s="484"/>
      <c r="BM491" s="1519"/>
      <c r="BN491" s="484"/>
      <c r="BO491" s="484"/>
      <c r="BP491" s="485"/>
      <c r="BQ491" s="484"/>
      <c r="BR491" s="484"/>
      <c r="BS491" s="484"/>
      <c r="BT491" s="485"/>
      <c r="BU491" s="484"/>
      <c r="BV491" s="484"/>
      <c r="BW491" s="484"/>
      <c r="BX491" s="485"/>
      <c r="BY491" s="484"/>
      <c r="BZ491" s="484"/>
      <c r="CA491" s="484"/>
      <c r="CB491" s="485"/>
      <c r="CC491" s="484"/>
      <c r="CD491" s="484"/>
      <c r="CE491" s="484"/>
      <c r="CF491" s="485"/>
      <c r="CG491" s="351"/>
      <c r="CH491" s="356"/>
      <c r="CI491" s="350"/>
      <c r="CJ491" s="482"/>
      <c r="CK491" s="482"/>
      <c r="CL491" s="482"/>
      <c r="CM491" s="482"/>
      <c r="CN491" s="484"/>
      <c r="CO491" s="484"/>
      <c r="CP491" s="484"/>
      <c r="CQ491" s="484"/>
      <c r="CR491" s="484"/>
      <c r="CS491" s="484"/>
      <c r="CT491" s="484"/>
      <c r="CU491" s="484"/>
      <c r="CV491" s="484"/>
      <c r="CW491" s="484"/>
      <c r="CX491" s="484"/>
      <c r="CY491" s="484"/>
      <c r="CZ491" s="484"/>
      <c r="DA491" s="484"/>
      <c r="DB491" s="484"/>
      <c r="DC491" s="484"/>
      <c r="DD491" s="484"/>
      <c r="DE491" s="484"/>
      <c r="DF491" s="485"/>
    </row>
    <row r="492" spans="1:112" s="61" customFormat="1" ht="11.25" customHeight="1">
      <c r="A492" s="48"/>
      <c r="B492"/>
      <c r="C492"/>
      <c r="D492"/>
      <c r="E492"/>
      <c r="F492"/>
      <c r="G492"/>
      <c r="H492" s="1044"/>
      <c r="I492" s="2041" t="s">
        <v>730</v>
      </c>
      <c r="J492" s="85"/>
      <c r="K492" s="85"/>
      <c r="L492" s="60"/>
      <c r="M492" s="350"/>
      <c r="N492" s="350"/>
      <c r="O492" s="350"/>
      <c r="P492" s="351"/>
      <c r="Q492" s="350"/>
      <c r="R492" s="350"/>
      <c r="S492" s="350"/>
      <c r="T492" s="351"/>
      <c r="U492" s="482"/>
      <c r="V492" s="482"/>
      <c r="W492" s="482"/>
      <c r="X492" s="483"/>
      <c r="Y492" s="482"/>
      <c r="Z492" s="482"/>
      <c r="AA492" s="482"/>
      <c r="AB492" s="483"/>
      <c r="AC492" s="482"/>
      <c r="AD492" s="482"/>
      <c r="AE492" s="482"/>
      <c r="AF492" s="483"/>
      <c r="AG492" s="482"/>
      <c r="AH492" s="482"/>
      <c r="AI492" s="482"/>
      <c r="AJ492" s="483"/>
      <c r="AK492" s="484"/>
      <c r="AL492" s="484"/>
      <c r="AM492" s="484"/>
      <c r="AN492" s="485"/>
      <c r="AO492" s="484"/>
      <c r="AP492" s="484"/>
      <c r="AQ492" s="484"/>
      <c r="AR492" s="485"/>
      <c r="AS492" s="484"/>
      <c r="AT492" s="484"/>
      <c r="AU492" s="484"/>
      <c r="AV492" s="485"/>
      <c r="AW492" s="484"/>
      <c r="AX492" s="484"/>
      <c r="AY492" s="484"/>
      <c r="AZ492" s="485"/>
      <c r="BA492" s="484"/>
      <c r="BB492" s="484"/>
      <c r="BC492" s="484"/>
      <c r="BD492" s="485"/>
      <c r="BE492" s="484"/>
      <c r="BF492" s="484"/>
      <c r="BG492" s="484"/>
      <c r="BH492" s="485"/>
      <c r="BI492" s="484"/>
      <c r="BJ492" s="484"/>
      <c r="BK492" s="484"/>
      <c r="BL492" s="484"/>
      <c r="BM492" s="1519"/>
      <c r="BN492" s="484"/>
      <c r="BO492" s="788">
        <f>+BO490*0.6/10000</f>
        <v>6.5347072949723641E-3</v>
      </c>
      <c r="BP492" s="789">
        <f>+BP490*0.6/10000</f>
        <v>3.3205930725030085E-3</v>
      </c>
      <c r="BQ492" s="788">
        <f>+BQ490*0.6/10000</f>
        <v>1.3081142684663831E-2</v>
      </c>
      <c r="BR492" s="788">
        <f>+BR490*0.6/10000</f>
        <v>8.8185004698894624E-3</v>
      </c>
      <c r="BS492" s="484"/>
      <c r="BT492" s="485"/>
      <c r="BU492" s="484"/>
      <c r="BV492" s="484"/>
      <c r="BW492" s="484"/>
      <c r="BX492" s="485"/>
      <c r="BY492" s="484"/>
      <c r="BZ492" s="484"/>
      <c r="CA492" s="484"/>
      <c r="CB492" s="485"/>
      <c r="CC492" s="484"/>
      <c r="CD492" s="484"/>
      <c r="CE492" s="484"/>
      <c r="CF492" s="485"/>
      <c r="CG492" s="351"/>
      <c r="CH492" s="356"/>
      <c r="CI492" s="350"/>
      <c r="CJ492" s="482"/>
      <c r="CK492" s="482"/>
      <c r="CL492" s="482"/>
      <c r="CM492" s="482"/>
      <c r="CN492" s="484"/>
      <c r="CO492" s="484"/>
      <c r="CP492" s="484"/>
      <c r="CQ492" s="484"/>
      <c r="CR492" s="484"/>
      <c r="CS492" s="484"/>
      <c r="CT492" s="484"/>
      <c r="CU492" s="484"/>
      <c r="CV492" s="484"/>
      <c r="CW492" s="484"/>
      <c r="CX492" s="484"/>
      <c r="CY492" s="484"/>
      <c r="CZ492" s="484"/>
      <c r="DA492" s="484"/>
      <c r="DB492" s="484"/>
      <c r="DC492" s="484"/>
      <c r="DD492" s="484"/>
      <c r="DE492" s="484"/>
      <c r="DF492" s="485"/>
    </row>
    <row r="493" spans="1:112" s="61" customFormat="1" ht="11.25" customHeight="1">
      <c r="A493" s="48"/>
      <c r="B493"/>
      <c r="C493"/>
      <c r="D493"/>
      <c r="E493"/>
      <c r="F493"/>
      <c r="G493"/>
      <c r="H493" s="1044"/>
      <c r="I493" s="2041" t="s">
        <v>732</v>
      </c>
      <c r="J493" s="85"/>
      <c r="K493" s="85"/>
      <c r="L493" s="60"/>
      <c r="M493" s="350"/>
      <c r="N493" s="350"/>
      <c r="O493" s="350"/>
      <c r="P493" s="351"/>
      <c r="Q493" s="350"/>
      <c r="R493" s="350"/>
      <c r="S493" s="350"/>
      <c r="T493" s="351"/>
      <c r="U493" s="482"/>
      <c r="V493" s="482"/>
      <c r="W493" s="482"/>
      <c r="X493" s="483"/>
      <c r="Y493" s="482"/>
      <c r="Z493" s="482"/>
      <c r="AA493" s="482"/>
      <c r="AB493" s="483"/>
      <c r="AC493" s="482"/>
      <c r="AD493" s="482"/>
      <c r="AE493" s="482"/>
      <c r="AF493" s="483"/>
      <c r="AG493" s="482"/>
      <c r="AH493" s="482"/>
      <c r="AI493" s="482"/>
      <c r="AJ493" s="483"/>
      <c r="AK493" s="484"/>
      <c r="AL493" s="484"/>
      <c r="AM493" s="484"/>
      <c r="AN493" s="485"/>
      <c r="AO493" s="484"/>
      <c r="AP493" s="484"/>
      <c r="AQ493" s="484"/>
      <c r="AR493" s="485"/>
      <c r="AS493" s="484"/>
      <c r="AT493" s="484"/>
      <c r="AU493" s="484"/>
      <c r="AV493" s="485"/>
      <c r="AW493" s="484"/>
      <c r="AX493" s="484"/>
      <c r="AY493" s="484"/>
      <c r="AZ493" s="485"/>
      <c r="BA493" s="484"/>
      <c r="BB493" s="484"/>
      <c r="BC493" s="484"/>
      <c r="BD493" s="485"/>
      <c r="BE493" s="484"/>
      <c r="BF493" s="484"/>
      <c r="BG493" s="484"/>
      <c r="BH493" s="485"/>
      <c r="BI493" s="484"/>
      <c r="BJ493" s="484"/>
      <c r="BK493" s="484"/>
      <c r="BL493" s="484"/>
      <c r="BM493" s="1519"/>
      <c r="BN493" s="484"/>
      <c r="BO493" s="2042">
        <f>+BO492*BO39</f>
        <v>17.120789349267106</v>
      </c>
      <c r="BP493" s="389">
        <f>+BP492*BP39</f>
        <v>5.5609474096247009</v>
      </c>
      <c r="BQ493" s="2042">
        <f>+BQ492*BQ39</f>
        <v>21.874757718431503</v>
      </c>
      <c r="BR493" s="2042">
        <f>+BR492*BR39</f>
        <v>18.456292544434476</v>
      </c>
      <c r="BS493" s="2042">
        <f>+SUM(BO493:BR493)</f>
        <v>63.012787021757788</v>
      </c>
      <c r="BT493" s="472"/>
      <c r="BU493" s="484"/>
      <c r="BV493" s="484"/>
      <c r="BW493" s="484"/>
      <c r="BX493" s="485"/>
      <c r="BY493" s="484"/>
      <c r="BZ493" s="484"/>
      <c r="CA493" s="484"/>
      <c r="CB493" s="485"/>
      <c r="CC493" s="484"/>
      <c r="CD493" s="484"/>
      <c r="CE493" s="484"/>
      <c r="CF493" s="485"/>
      <c r="CG493" s="351"/>
      <c r="CH493" s="356"/>
      <c r="CI493" s="350"/>
      <c r="CJ493" s="482"/>
      <c r="CK493" s="482"/>
      <c r="CL493" s="482"/>
      <c r="CM493" s="482"/>
      <c r="CN493" s="484"/>
      <c r="CO493" s="484"/>
      <c r="CP493" s="484"/>
      <c r="CQ493" s="484"/>
      <c r="CR493" s="484"/>
      <c r="CS493" s="484"/>
      <c r="CT493" s="484"/>
      <c r="CU493" s="484"/>
      <c r="CV493" s="484"/>
      <c r="CW493" s="484"/>
      <c r="CX493" s="484"/>
      <c r="CY493" s="484"/>
      <c r="CZ493" s="484"/>
      <c r="DA493" s="484"/>
      <c r="DB493" s="484"/>
      <c r="DC493" s="484"/>
      <c r="DD493" s="484"/>
      <c r="DE493" s="484"/>
      <c r="DF493" s="485"/>
    </row>
    <row r="494" spans="1:112" s="26" customFormat="1" ht="11.25" customHeight="1">
      <c r="A494" s="24"/>
      <c r="B494"/>
      <c r="C494"/>
      <c r="D494"/>
      <c r="E494"/>
      <c r="F494"/>
      <c r="G494"/>
      <c r="H494" s="1044"/>
      <c r="I494" s="172"/>
      <c r="J494" s="131"/>
      <c r="K494" s="131"/>
      <c r="L494" s="24"/>
      <c r="M494" s="315"/>
      <c r="N494" s="315"/>
      <c r="O494" s="315"/>
      <c r="P494" s="316"/>
      <c r="Q494" s="315"/>
      <c r="R494" s="315"/>
      <c r="S494" s="315"/>
      <c r="T494" s="316"/>
      <c r="U494" s="393"/>
      <c r="V494" s="393"/>
      <c r="W494" s="393"/>
      <c r="X494" s="472"/>
      <c r="Y494" s="393"/>
      <c r="Z494" s="393"/>
      <c r="AA494" s="393"/>
      <c r="AB494" s="472"/>
      <c r="AC494" s="393"/>
      <c r="AD494" s="393"/>
      <c r="AE494" s="393"/>
      <c r="AF494" s="472"/>
      <c r="AG494" s="393"/>
      <c r="AH494" s="393"/>
      <c r="AI494" s="393"/>
      <c r="AJ494" s="472"/>
      <c r="AK494" s="393"/>
      <c r="AL494" s="393"/>
      <c r="AM494" s="393"/>
      <c r="AN494" s="472"/>
      <c r="AO494" s="393"/>
      <c r="AP494" s="393"/>
      <c r="AQ494" s="393"/>
      <c r="AR494" s="472"/>
      <c r="AS494" s="393"/>
      <c r="AT494" s="393"/>
      <c r="AU494" s="393"/>
      <c r="AV494" s="472"/>
      <c r="AW494" s="393"/>
      <c r="AX494" s="393"/>
      <c r="AY494" s="393"/>
      <c r="AZ494" s="472"/>
      <c r="BA494" s="393"/>
      <c r="BB494" s="393"/>
      <c r="BC494" s="393"/>
      <c r="BD494" s="472"/>
      <c r="BE494" s="393"/>
      <c r="BF494" s="393"/>
      <c r="BG494" s="393"/>
      <c r="BH494" s="472"/>
      <c r="BI494" s="321"/>
      <c r="BJ494" s="321"/>
      <c r="BK494" s="321"/>
      <c r="BL494" s="321"/>
      <c r="BM494" s="1509"/>
      <c r="BN494" s="321"/>
      <c r="BO494" s="321"/>
      <c r="BP494" s="472"/>
      <c r="BQ494" s="393"/>
      <c r="BR494" s="393"/>
      <c r="BS494" s="393"/>
      <c r="BT494" s="472"/>
      <c r="BU494" s="393"/>
      <c r="BV494" s="393"/>
      <c r="BW494" s="393"/>
      <c r="BX494" s="472"/>
      <c r="BY494" s="393"/>
      <c r="BZ494" s="393"/>
      <c r="CA494" s="393"/>
      <c r="CB494" s="472"/>
      <c r="CC494" s="393"/>
      <c r="CD494" s="393"/>
      <c r="CE494" s="393"/>
      <c r="CF494" s="472"/>
      <c r="CG494" s="316"/>
      <c r="CH494" s="320"/>
      <c r="CI494" s="315"/>
      <c r="CJ494" s="393"/>
      <c r="CK494" s="393"/>
      <c r="CL494" s="393"/>
      <c r="CM494" s="393"/>
      <c r="CN494" s="393"/>
      <c r="CO494" s="393"/>
      <c r="CP494" s="393"/>
      <c r="CQ494" s="393"/>
      <c r="CR494" s="393"/>
      <c r="CS494" s="393"/>
      <c r="CT494" s="393"/>
      <c r="CU494" s="393"/>
      <c r="CV494" s="393"/>
      <c r="CW494" s="393"/>
      <c r="CX494" s="393"/>
      <c r="CY494" s="393"/>
      <c r="CZ494" s="393"/>
      <c r="DA494" s="393"/>
      <c r="DB494" s="393"/>
      <c r="DC494" s="393"/>
      <c r="DD494" s="393"/>
      <c r="DE494" s="393"/>
      <c r="DF494" s="472"/>
      <c r="DG494" s="94"/>
      <c r="DH494" s="94"/>
    </row>
    <row r="495" spans="1:112" s="3" customFormat="1" ht="11.25" customHeight="1">
      <c r="A495" s="8"/>
      <c r="B495"/>
      <c r="C495"/>
      <c r="D495"/>
      <c r="E495"/>
      <c r="F495"/>
      <c r="G495"/>
      <c r="H495" s="1052"/>
      <c r="I495" s="617" t="s">
        <v>220</v>
      </c>
      <c r="J495" s="136"/>
      <c r="K495" s="136"/>
      <c r="L495" s="8"/>
      <c r="M495" s="361"/>
      <c r="N495" s="361"/>
      <c r="O495" s="361"/>
      <c r="P495" s="362"/>
      <c r="Q495" s="361"/>
      <c r="R495" s="361"/>
      <c r="S495" s="361"/>
      <c r="T495" s="362"/>
      <c r="U495" s="388"/>
      <c r="V495" s="388"/>
      <c r="W495" s="388"/>
      <c r="X495" s="387"/>
      <c r="Y495" s="388"/>
      <c r="Z495" s="388"/>
      <c r="AA495" s="388"/>
      <c r="AB495" s="387"/>
      <c r="AC495" s="388"/>
      <c r="AD495" s="388"/>
      <c r="AE495" s="388"/>
      <c r="AF495" s="387"/>
      <c r="AG495" s="388"/>
      <c r="AH495" s="388"/>
      <c r="AI495" s="388"/>
      <c r="AJ495" s="387"/>
      <c r="AK495" s="388"/>
      <c r="AL495" s="388"/>
      <c r="AM495" s="388"/>
      <c r="AN495" s="387"/>
      <c r="AO495" s="388"/>
      <c r="AP495" s="388"/>
      <c r="AQ495" s="388"/>
      <c r="AR495" s="387"/>
      <c r="AS495" s="388"/>
      <c r="AT495" s="388"/>
      <c r="AU495" s="388"/>
      <c r="AV495" s="387"/>
      <c r="AW495" s="490"/>
      <c r="AX495" s="490"/>
      <c r="AY495" s="490"/>
      <c r="AZ495" s="387"/>
      <c r="BA495" s="388"/>
      <c r="BB495" s="388"/>
      <c r="BC495" s="388"/>
      <c r="BD495" s="387"/>
      <c r="BE495" s="491">
        <v>5700</v>
      </c>
      <c r="BF495" s="491">
        <v>6400</v>
      </c>
      <c r="BG495" s="491">
        <v>6600</v>
      </c>
      <c r="BH495" s="492">
        <v>7000</v>
      </c>
      <c r="BI495" s="491">
        <v>7900</v>
      </c>
      <c r="BJ495" s="491">
        <v>9500</v>
      </c>
      <c r="BK495" s="491">
        <v>9400</v>
      </c>
      <c r="BL495" s="492">
        <v>9500</v>
      </c>
      <c r="BM495" s="491">
        <v>10200</v>
      </c>
      <c r="BN495" s="491">
        <v>11700</v>
      </c>
      <c r="BO495" s="491">
        <v>12600</v>
      </c>
      <c r="BP495" s="492">
        <v>12700</v>
      </c>
      <c r="BQ495" s="491">
        <v>13200</v>
      </c>
      <c r="BR495" s="491">
        <v>16200</v>
      </c>
      <c r="BS495" s="491">
        <v>15500</v>
      </c>
      <c r="BT495" s="492">
        <v>15500</v>
      </c>
      <c r="BU495" s="491">
        <v>16000</v>
      </c>
      <c r="BV495" s="491">
        <v>17600</v>
      </c>
      <c r="BW495" s="491">
        <v>18000</v>
      </c>
      <c r="BX495" s="492">
        <v>18500</v>
      </c>
      <c r="BY495" s="491">
        <v>20500</v>
      </c>
      <c r="BZ495" s="491">
        <v>22500</v>
      </c>
      <c r="CA495" s="491">
        <v>23000</v>
      </c>
      <c r="CB495" s="492">
        <v>22900</v>
      </c>
      <c r="CC495" s="1344"/>
      <c r="CD495" s="1344"/>
      <c r="CE495" s="1344"/>
      <c r="CF495" s="1345"/>
      <c r="CG495" s="362"/>
      <c r="CH495" s="366"/>
      <c r="CI495" s="361"/>
      <c r="CJ495" s="388"/>
      <c r="CK495" s="388"/>
      <c r="CL495" s="388"/>
      <c r="CM495" s="388"/>
      <c r="CN495" s="388"/>
      <c r="CO495" s="388"/>
      <c r="CP495" s="490"/>
      <c r="CQ495" s="388"/>
      <c r="CR495" s="388"/>
      <c r="CS495" s="493">
        <f>+BH495</f>
        <v>7000</v>
      </c>
      <c r="CT495" s="493">
        <f>+BL495</f>
        <v>9500</v>
      </c>
      <c r="CU495" s="493">
        <f>+BP495</f>
        <v>12700</v>
      </c>
      <c r="CV495" s="493">
        <f>+BT495</f>
        <v>15500</v>
      </c>
      <c r="CW495" s="493">
        <f>+BX495</f>
        <v>18500</v>
      </c>
      <c r="CX495" s="414">
        <f>+CB495</f>
        <v>22900</v>
      </c>
      <c r="CY495" s="429"/>
      <c r="CZ495" s="1344"/>
      <c r="DA495" s="1344"/>
      <c r="DB495" s="1344"/>
      <c r="DC495" s="1344"/>
      <c r="DD495" s="1344"/>
      <c r="DE495" s="1344"/>
      <c r="DF495" s="1345"/>
      <c r="DG495" s="1470"/>
      <c r="DH495" s="1470"/>
    </row>
    <row r="496" spans="1:112" s="3" customFormat="1" ht="11.25" customHeight="1">
      <c r="A496" s="24"/>
      <c r="B496"/>
      <c r="C496"/>
      <c r="D496"/>
      <c r="E496"/>
      <c r="F496"/>
      <c r="G496"/>
      <c r="H496" s="1044"/>
      <c r="I496" s="172" t="s">
        <v>221</v>
      </c>
      <c r="J496" s="131"/>
      <c r="K496" s="131"/>
      <c r="L496" s="8"/>
      <c r="M496" s="315"/>
      <c r="N496" s="315"/>
      <c r="O496" s="315"/>
      <c r="P496" s="316"/>
      <c r="Q496" s="315"/>
      <c r="R496" s="315"/>
      <c r="S496" s="315"/>
      <c r="T496" s="316"/>
      <c r="U496" s="317"/>
      <c r="V496" s="317"/>
      <c r="W496" s="317"/>
      <c r="X496" s="318"/>
      <c r="Y496" s="317"/>
      <c r="Z496" s="317"/>
      <c r="AA496" s="317"/>
      <c r="AB496" s="318"/>
      <c r="AC496" s="317"/>
      <c r="AD496" s="317"/>
      <c r="AE496" s="317"/>
      <c r="AF496" s="318"/>
      <c r="AG496" s="317"/>
      <c r="AH496" s="317"/>
      <c r="AI496" s="317"/>
      <c r="AJ496" s="318"/>
      <c r="AK496" s="317"/>
      <c r="AL496" s="317"/>
      <c r="AM496" s="317"/>
      <c r="AN496" s="318"/>
      <c r="AO496" s="317"/>
      <c r="AP496" s="317"/>
      <c r="AQ496" s="317"/>
      <c r="AR496" s="318"/>
      <c r="AS496" s="317"/>
      <c r="AT496" s="317"/>
      <c r="AU496" s="317"/>
      <c r="AV496" s="318"/>
      <c r="AW496" s="319"/>
      <c r="AX496" s="319"/>
      <c r="AY496" s="319"/>
      <c r="AZ496" s="318"/>
      <c r="BA496" s="317"/>
      <c r="BB496" s="317"/>
      <c r="BC496" s="317"/>
      <c r="BD496" s="318"/>
      <c r="BE496" s="494"/>
      <c r="BF496" s="495">
        <f t="shared" ref="BF496:BK496" si="953">+BF495-BE495</f>
        <v>700</v>
      </c>
      <c r="BG496" s="495">
        <f t="shared" si="953"/>
        <v>200</v>
      </c>
      <c r="BH496" s="496">
        <f t="shared" si="953"/>
        <v>400</v>
      </c>
      <c r="BI496" s="495">
        <f t="shared" si="953"/>
        <v>900</v>
      </c>
      <c r="BJ496" s="495">
        <f t="shared" si="953"/>
        <v>1600</v>
      </c>
      <c r="BK496" s="495">
        <f t="shared" si="953"/>
        <v>-100</v>
      </c>
      <c r="BL496" s="496">
        <f t="shared" ref="BL496:BQ496" si="954">+BL495-BK495</f>
        <v>100</v>
      </c>
      <c r="BM496" s="495">
        <f t="shared" si="954"/>
        <v>700</v>
      </c>
      <c r="BN496" s="495">
        <f t="shared" si="954"/>
        <v>1500</v>
      </c>
      <c r="BO496" s="495">
        <f t="shared" si="954"/>
        <v>900</v>
      </c>
      <c r="BP496" s="496">
        <f t="shared" si="954"/>
        <v>100</v>
      </c>
      <c r="BQ496" s="495">
        <f t="shared" si="954"/>
        <v>500</v>
      </c>
      <c r="BR496" s="495">
        <f t="shared" ref="BR496:CB496" si="955">+BR495-BQ495</f>
        <v>3000</v>
      </c>
      <c r="BS496" s="495">
        <f t="shared" si="955"/>
        <v>-700</v>
      </c>
      <c r="BT496" s="496">
        <f t="shared" si="955"/>
        <v>0</v>
      </c>
      <c r="BU496" s="495">
        <f t="shared" si="955"/>
        <v>500</v>
      </c>
      <c r="BV496" s="495">
        <f t="shared" si="955"/>
        <v>1600</v>
      </c>
      <c r="BW496" s="495">
        <f t="shared" si="955"/>
        <v>400</v>
      </c>
      <c r="BX496" s="496">
        <f t="shared" si="955"/>
        <v>500</v>
      </c>
      <c r="BY496" s="495">
        <f t="shared" si="955"/>
        <v>2000</v>
      </c>
      <c r="BZ496" s="495">
        <f t="shared" si="955"/>
        <v>2000</v>
      </c>
      <c r="CA496" s="495">
        <f t="shared" si="955"/>
        <v>500</v>
      </c>
      <c r="CB496" s="496">
        <f t="shared" si="955"/>
        <v>-100</v>
      </c>
      <c r="CC496" s="495"/>
      <c r="CD496" s="495"/>
      <c r="CE496" s="495"/>
      <c r="CF496" s="496"/>
      <c r="CG496" s="316"/>
      <c r="CH496" s="320"/>
      <c r="CI496" s="315"/>
      <c r="CJ496" s="317"/>
      <c r="CK496" s="317"/>
      <c r="CL496" s="317"/>
      <c r="CM496" s="317"/>
      <c r="CN496" s="317"/>
      <c r="CO496" s="317"/>
      <c r="CP496" s="319"/>
      <c r="CQ496" s="317"/>
      <c r="CR496" s="317"/>
      <c r="CS496" s="330"/>
      <c r="CT496" s="1585">
        <f>+CT495-CS495</f>
        <v>2500</v>
      </c>
      <c r="CU496" s="1585">
        <f>+CU495-CT495</f>
        <v>3200</v>
      </c>
      <c r="CV496" s="1585">
        <f>+CV495-CU495</f>
        <v>2800</v>
      </c>
      <c r="CW496" s="1585">
        <f>+CW495-CV495</f>
        <v>3000</v>
      </c>
      <c r="CX496" s="1585">
        <f>+CX495-CW495</f>
        <v>4400</v>
      </c>
      <c r="CY496" s="321"/>
      <c r="CZ496" s="495"/>
      <c r="DA496" s="495"/>
      <c r="DB496" s="495"/>
      <c r="DC496" s="495"/>
      <c r="DD496" s="495"/>
      <c r="DE496" s="495"/>
      <c r="DF496" s="496"/>
      <c r="DG496" s="1470"/>
      <c r="DH496" s="1470"/>
    </row>
    <row r="497" spans="1:112" s="3" customFormat="1" ht="11.25" customHeight="1">
      <c r="A497" s="8"/>
      <c r="B497"/>
      <c r="C497"/>
      <c r="D497"/>
      <c r="E497"/>
      <c r="F497"/>
      <c r="G497"/>
      <c r="H497" s="1052"/>
      <c r="I497" s="617" t="s">
        <v>605</v>
      </c>
      <c r="J497" s="136"/>
      <c r="K497" s="136"/>
      <c r="L497" s="8"/>
      <c r="M497" s="361"/>
      <c r="N497" s="361"/>
      <c r="O497" s="361"/>
      <c r="P497" s="362"/>
      <c r="Q497" s="361"/>
      <c r="R497" s="361"/>
      <c r="S497" s="361"/>
      <c r="T497" s="362"/>
      <c r="U497" s="388"/>
      <c r="V497" s="388"/>
      <c r="W497" s="388"/>
      <c r="X497" s="387"/>
      <c r="Y497" s="388"/>
      <c r="Z497" s="388"/>
      <c r="AA497" s="388"/>
      <c r="AB497" s="387"/>
      <c r="AC497" s="388"/>
      <c r="AD497" s="388"/>
      <c r="AE497" s="388"/>
      <c r="AF497" s="387"/>
      <c r="AG497" s="388"/>
      <c r="AH497" s="388"/>
      <c r="AI497" s="388"/>
      <c r="AJ497" s="387"/>
      <c r="AK497" s="388"/>
      <c r="AL497" s="388"/>
      <c r="AM497" s="388"/>
      <c r="AN497" s="387"/>
      <c r="AO497" s="388"/>
      <c r="AP497" s="388"/>
      <c r="AQ497" s="388"/>
      <c r="AR497" s="387"/>
      <c r="AS497" s="388"/>
      <c r="AT497" s="388"/>
      <c r="AU497" s="388"/>
      <c r="AV497" s="387"/>
      <c r="AW497" s="490"/>
      <c r="AX497" s="490"/>
      <c r="AY497" s="490"/>
      <c r="AZ497" s="387"/>
      <c r="BA497" s="388"/>
      <c r="BB497" s="388"/>
      <c r="BC497" s="388"/>
      <c r="BD497" s="387"/>
      <c r="BE497" s="1344"/>
      <c r="BF497" s="1344"/>
      <c r="BG497" s="1344"/>
      <c r="BH497" s="1345"/>
      <c r="BI497" s="1344"/>
      <c r="BJ497" s="1344"/>
      <c r="BK497" s="1344"/>
      <c r="BL497" s="1345"/>
      <c r="BM497" s="1344"/>
      <c r="BN497" s="1344"/>
      <c r="BO497" s="1344"/>
      <c r="BP497" s="1345"/>
      <c r="BQ497" s="491">
        <v>8600</v>
      </c>
      <c r="BR497" s="1344"/>
      <c r="BS497" s="1344"/>
      <c r="BT497" s="1345"/>
      <c r="BU497" s="1344"/>
      <c r="BV497" s="1344"/>
      <c r="BW497" s="1344"/>
      <c r="BX497" s="1345"/>
      <c r="BY497" s="1344"/>
      <c r="BZ497" s="1344"/>
      <c r="CA497" s="1344"/>
      <c r="CB497" s="1345"/>
      <c r="CC497" s="1344"/>
      <c r="CD497" s="1344"/>
      <c r="CE497" s="1344"/>
      <c r="CF497" s="1345"/>
      <c r="CG497" s="362"/>
      <c r="CH497" s="366"/>
      <c r="CI497" s="361"/>
      <c r="CJ497" s="388"/>
      <c r="CK497" s="388"/>
      <c r="CL497" s="388"/>
      <c r="CM497" s="388"/>
      <c r="CN497" s="388"/>
      <c r="CO497" s="388"/>
      <c r="CP497" s="490"/>
      <c r="CQ497" s="388"/>
      <c r="CR497" s="388"/>
      <c r="CS497" s="493"/>
      <c r="CT497" s="493"/>
      <c r="CU497" s="493"/>
      <c r="CV497" s="429"/>
      <c r="CW497" s="429"/>
      <c r="CX497" s="429"/>
      <c r="CY497" s="429"/>
      <c r="CZ497" s="1344"/>
      <c r="DA497" s="1344"/>
      <c r="DB497" s="1344"/>
      <c r="DC497" s="1344"/>
      <c r="DD497" s="1344"/>
      <c r="DE497" s="1344"/>
      <c r="DF497" s="1345"/>
      <c r="DG497" s="1470"/>
      <c r="DH497" s="1470"/>
    </row>
    <row r="498" spans="1:112" s="26" customFormat="1" ht="11.25" customHeight="1">
      <c r="A498" s="24"/>
      <c r="B498"/>
      <c r="C498"/>
      <c r="D498"/>
      <c r="E498"/>
      <c r="F498"/>
      <c r="G498"/>
      <c r="H498" s="1044"/>
      <c r="I498" s="586" t="s">
        <v>266</v>
      </c>
      <c r="J498" s="131"/>
      <c r="K498" s="131"/>
      <c r="L498" s="24"/>
      <c r="M498" s="315"/>
      <c r="N498" s="315"/>
      <c r="O498" s="315"/>
      <c r="P498" s="316"/>
      <c r="Q498" s="315"/>
      <c r="R498" s="315"/>
      <c r="S498" s="315"/>
      <c r="T498" s="316"/>
      <c r="U498" s="317"/>
      <c r="V498" s="317"/>
      <c r="W498" s="317"/>
      <c r="X498" s="318"/>
      <c r="Y498" s="317"/>
      <c r="Z498" s="317"/>
      <c r="AA498" s="317"/>
      <c r="AB498" s="318"/>
      <c r="AC498" s="317"/>
      <c r="AD498" s="317"/>
      <c r="AE498" s="317"/>
      <c r="AF498" s="318"/>
      <c r="AG498" s="317"/>
      <c r="AH498" s="317"/>
      <c r="AI498" s="317"/>
      <c r="AJ498" s="318"/>
      <c r="AK498" s="317"/>
      <c r="AL498" s="317"/>
      <c r="AM498" s="317"/>
      <c r="AN498" s="318"/>
      <c r="AO498" s="317"/>
      <c r="AP498" s="317"/>
      <c r="AQ498" s="317"/>
      <c r="AR498" s="318"/>
      <c r="AS498" s="317"/>
      <c r="AT498" s="317"/>
      <c r="AU498" s="317"/>
      <c r="AV498" s="318"/>
      <c r="AW498" s="319"/>
      <c r="AX498" s="319"/>
      <c r="AY498" s="319"/>
      <c r="AZ498" s="318"/>
      <c r="BA498" s="317"/>
      <c r="BB498" s="317"/>
      <c r="BC498" s="317"/>
      <c r="BD498" s="318"/>
      <c r="BE498" s="494"/>
      <c r="BF498" s="495"/>
      <c r="BG498" s="495"/>
      <c r="BH498" s="496"/>
      <c r="BI498" s="495"/>
      <c r="BJ498" s="495"/>
      <c r="BK498" s="495"/>
      <c r="BL498" s="496"/>
      <c r="BM498" s="495"/>
      <c r="BN498" s="495"/>
      <c r="BO498" s="495"/>
      <c r="BP498" s="495"/>
      <c r="BQ498" s="1522">
        <f>+BQ497/BQ495</f>
        <v>0.65151515151515149</v>
      </c>
      <c r="BR498" s="374"/>
      <c r="BS498" s="374"/>
      <c r="BT498" s="500"/>
      <c r="BU498" s="1522"/>
      <c r="BV498" s="374"/>
      <c r="BW498" s="374"/>
      <c r="BX498" s="500"/>
      <c r="BY498" s="1522"/>
      <c r="BZ498" s="374"/>
      <c r="CA498" s="374"/>
      <c r="CB498" s="500"/>
      <c r="CC498" s="1522"/>
      <c r="CD498" s="374"/>
      <c r="CE498" s="374"/>
      <c r="CF498" s="500"/>
      <c r="CG498" s="316"/>
      <c r="CH498" s="320"/>
      <c r="CI498" s="315"/>
      <c r="CJ498" s="317"/>
      <c r="CK498" s="317"/>
      <c r="CL498" s="317"/>
      <c r="CM498" s="317"/>
      <c r="CN498" s="317"/>
      <c r="CO498" s="317"/>
      <c r="CP498" s="319"/>
      <c r="CQ498" s="317"/>
      <c r="CR498" s="317"/>
      <c r="CS498" s="330"/>
      <c r="CT498" s="1585"/>
      <c r="CU498" s="1585"/>
      <c r="CV498" s="321"/>
      <c r="CW498" s="321"/>
      <c r="CX498" s="321"/>
      <c r="CY498" s="321"/>
      <c r="CZ498" s="374"/>
      <c r="DA498" s="374"/>
      <c r="DB498" s="374"/>
      <c r="DC498" s="374"/>
      <c r="DD498" s="374"/>
      <c r="DE498" s="374"/>
      <c r="DF498" s="500"/>
      <c r="DG498" s="94"/>
      <c r="DH498" s="94"/>
    </row>
    <row r="499" spans="1:112" s="26" customFormat="1" ht="11.25" customHeight="1">
      <c r="A499" s="24"/>
      <c r="B499"/>
      <c r="C499"/>
      <c r="D499"/>
      <c r="E499"/>
      <c r="F499"/>
      <c r="G499"/>
      <c r="H499" s="1044"/>
      <c r="I499" s="172"/>
      <c r="J499" s="131"/>
      <c r="K499" s="131"/>
      <c r="L499" s="24"/>
      <c r="M499" s="315"/>
      <c r="N499" s="315"/>
      <c r="O499" s="315"/>
      <c r="P499" s="316"/>
      <c r="Q499" s="315"/>
      <c r="R499" s="315"/>
      <c r="S499" s="315"/>
      <c r="T499" s="316"/>
      <c r="U499" s="393"/>
      <c r="V499" s="393"/>
      <c r="W499" s="393"/>
      <c r="X499" s="472"/>
      <c r="Y499" s="393"/>
      <c r="Z499" s="393"/>
      <c r="AA499" s="393"/>
      <c r="AB499" s="472"/>
      <c r="AC499" s="393"/>
      <c r="AD499" s="393"/>
      <c r="AE499" s="393"/>
      <c r="AF499" s="472"/>
      <c r="AG499" s="393"/>
      <c r="AH499" s="393"/>
      <c r="AI499" s="393"/>
      <c r="AJ499" s="472"/>
      <c r="AK499" s="393"/>
      <c r="AL499" s="393"/>
      <c r="AM499" s="393"/>
      <c r="AN499" s="472"/>
      <c r="AO499" s="393"/>
      <c r="AP499" s="393"/>
      <c r="AQ499" s="393"/>
      <c r="AR499" s="472"/>
      <c r="AS499" s="393"/>
      <c r="AT499" s="393"/>
      <c r="AU499" s="393"/>
      <c r="AV499" s="472"/>
      <c r="AW499" s="393"/>
      <c r="AX499" s="393"/>
      <c r="AY499" s="393"/>
      <c r="AZ499" s="472"/>
      <c r="BA499" s="393"/>
      <c r="BB499" s="393"/>
      <c r="BC499" s="393"/>
      <c r="BD499" s="472"/>
      <c r="BE499" s="393"/>
      <c r="BF499" s="393"/>
      <c r="BG499" s="393"/>
      <c r="BH499" s="472"/>
      <c r="BI499" s="321"/>
      <c r="BJ499" s="321"/>
      <c r="BK499" s="321"/>
      <c r="BL499" s="321"/>
      <c r="BM499" s="1509"/>
      <c r="BN499" s="321"/>
      <c r="BO499" s="321"/>
      <c r="BP499" s="472"/>
      <c r="BQ499" s="393"/>
      <c r="BR499" s="393"/>
      <c r="BS499" s="393"/>
      <c r="BT499" s="472"/>
      <c r="BU499" s="393"/>
      <c r="BV499" s="393"/>
      <c r="BW499" s="393"/>
      <c r="BX499" s="472"/>
      <c r="BY499" s="393"/>
      <c r="BZ499" s="393"/>
      <c r="CA499" s="393"/>
      <c r="CB499" s="472"/>
      <c r="CC499" s="393"/>
      <c r="CD499" s="393"/>
      <c r="CE499" s="393"/>
      <c r="CF499" s="472"/>
      <c r="CG499" s="316"/>
      <c r="CH499" s="320"/>
      <c r="CI499" s="315"/>
      <c r="CJ499" s="393"/>
      <c r="CK499" s="393"/>
      <c r="CL499" s="393"/>
      <c r="CM499" s="393"/>
      <c r="CN499" s="393"/>
      <c r="CO499" s="393"/>
      <c r="CP499" s="393"/>
      <c r="CQ499" s="393"/>
      <c r="CR499" s="393"/>
      <c r="CS499" s="393"/>
      <c r="CT499" s="393"/>
      <c r="CU499" s="393"/>
      <c r="CV499" s="393"/>
      <c r="CW499" s="393"/>
      <c r="CX499" s="393"/>
      <c r="CY499" s="393"/>
      <c r="CZ499" s="393"/>
      <c r="DA499" s="393"/>
      <c r="DB499" s="393"/>
      <c r="DC499" s="393"/>
      <c r="DD499" s="393"/>
      <c r="DE499" s="393"/>
      <c r="DF499" s="472"/>
      <c r="DG499" s="94"/>
      <c r="DH499" s="94"/>
    </row>
    <row r="500" spans="1:112" s="26" customFormat="1" ht="11.25" customHeight="1">
      <c r="A500" s="24"/>
      <c r="B500"/>
      <c r="C500"/>
      <c r="D500"/>
      <c r="E500"/>
      <c r="F500"/>
      <c r="G500"/>
      <c r="H500" s="1044"/>
      <c r="I500" s="617" t="s">
        <v>659</v>
      </c>
      <c r="J500" s="131"/>
      <c r="K500" s="131"/>
      <c r="L500" s="24"/>
      <c r="M500" s="315"/>
      <c r="N500" s="315"/>
      <c r="O500" s="315"/>
      <c r="P500" s="316"/>
      <c r="Q500" s="315"/>
      <c r="R500" s="315"/>
      <c r="S500" s="315"/>
      <c r="T500" s="316"/>
      <c r="U500" s="393"/>
      <c r="V500" s="393"/>
      <c r="W500" s="393"/>
      <c r="X500" s="472"/>
      <c r="Y500" s="393"/>
      <c r="Z500" s="393"/>
      <c r="AA500" s="393"/>
      <c r="AB500" s="472"/>
      <c r="AC500" s="393"/>
      <c r="AD500" s="393"/>
      <c r="AE500" s="393"/>
      <c r="AF500" s="472"/>
      <c r="AG500" s="393"/>
      <c r="AH500" s="393"/>
      <c r="AI500" s="393"/>
      <c r="AJ500" s="472"/>
      <c r="AK500" s="393"/>
      <c r="AL500" s="393"/>
      <c r="AM500" s="393"/>
      <c r="AN500" s="472"/>
      <c r="AO500" s="393"/>
      <c r="AP500" s="393"/>
      <c r="AQ500" s="393"/>
      <c r="AR500" s="472"/>
      <c r="AS500" s="393"/>
      <c r="AT500" s="393"/>
      <c r="AU500" s="393"/>
      <c r="AV500" s="472"/>
      <c r="AW500" s="1858"/>
      <c r="AX500" s="1856"/>
      <c r="AY500" s="1856"/>
      <c r="AZ500" s="1857"/>
      <c r="BA500" s="1858"/>
      <c r="BB500" s="1856"/>
      <c r="BC500" s="1856"/>
      <c r="BD500" s="1857"/>
      <c r="BE500" s="1858">
        <f t="shared" ref="BE500:BQ500" si="956">+(BE458*1000000)/BE495</f>
        <v>14763.684210526315</v>
      </c>
      <c r="BF500" s="1856">
        <f t="shared" si="956"/>
        <v>14127.8125</v>
      </c>
      <c r="BG500" s="1856">
        <f t="shared" si="956"/>
        <v>17826.515151515152</v>
      </c>
      <c r="BH500" s="1857">
        <f t="shared" si="956"/>
        <v>14719.571428571429</v>
      </c>
      <c r="BI500" s="1858">
        <f t="shared" si="956"/>
        <v>14241.645569620252</v>
      </c>
      <c r="BJ500" s="1856">
        <f t="shared" si="956"/>
        <v>13816.947368421055</v>
      </c>
      <c r="BK500" s="1856">
        <f t="shared" si="956"/>
        <v>16158.723404255319</v>
      </c>
      <c r="BL500" s="1857">
        <f t="shared" si="956"/>
        <v>17105.684210526317</v>
      </c>
      <c r="BM500" s="1856">
        <f t="shared" si="956"/>
        <v>15267.450980392157</v>
      </c>
      <c r="BN500" s="1856">
        <f t="shared" si="956"/>
        <v>15955.897435897436</v>
      </c>
      <c r="BO500" s="1856">
        <f t="shared" si="956"/>
        <v>16931.349206349205</v>
      </c>
      <c r="BP500" s="1857">
        <f t="shared" si="956"/>
        <v>16379.448818897637</v>
      </c>
      <c r="BQ500" s="1856">
        <f t="shared" si="956"/>
        <v>15528.484848484846</v>
      </c>
      <c r="BR500" s="1856">
        <f t="shared" ref="BR500:BW500" si="957">+(BR458*1000000)/BR495</f>
        <v>14135.308641975311</v>
      </c>
      <c r="BS500" s="1856">
        <f t="shared" si="957"/>
        <v>15939.032258064517</v>
      </c>
      <c r="BT500" s="1857">
        <f t="shared" si="957"/>
        <v>15342.451612903225</v>
      </c>
      <c r="BU500" s="1856">
        <f t="shared" si="957"/>
        <v>15146.9375</v>
      </c>
      <c r="BV500" s="1856">
        <f t="shared" si="957"/>
        <v>15777.15909090909</v>
      </c>
      <c r="BW500" s="1856">
        <f t="shared" si="957"/>
        <v>16307.555555555555</v>
      </c>
      <c r="BX500" s="1857">
        <f>+(BX458*1000000)/BX495</f>
        <v>15507.72972972973</v>
      </c>
      <c r="BY500" s="1856">
        <f>+(BY458*1000000)/BY495</f>
        <v>14247.90243902439</v>
      </c>
      <c r="BZ500" s="1856">
        <f>+(BZ458*1000000)/BZ495</f>
        <v>14170.177777777777</v>
      </c>
      <c r="CA500" s="1856">
        <f>+(CA458*1000000)/CA495</f>
        <v>18131.17391304348</v>
      </c>
      <c r="CB500" s="1857">
        <f>+(CB458*1000000)/CB495</f>
        <v>16189.650655021831</v>
      </c>
      <c r="CC500" s="393"/>
      <c r="CD500" s="393"/>
      <c r="CE500" s="393"/>
      <c r="CF500" s="472"/>
      <c r="CG500" s="316"/>
      <c r="CH500" s="320"/>
      <c r="CI500" s="315"/>
      <c r="CJ500" s="393"/>
      <c r="CK500" s="393"/>
      <c r="CL500" s="393"/>
      <c r="CM500" s="393"/>
      <c r="CN500" s="393"/>
      <c r="CO500" s="393"/>
      <c r="CP500" s="393"/>
      <c r="CQ500" s="393"/>
      <c r="CR500" s="393"/>
      <c r="CS500" s="393"/>
      <c r="CT500" s="393"/>
      <c r="CU500" s="393"/>
      <c r="CV500" s="393"/>
      <c r="CW500" s="393"/>
      <c r="CX500" s="393"/>
      <c r="CY500" s="393"/>
      <c r="CZ500" s="393"/>
      <c r="DA500" s="393"/>
      <c r="DB500" s="393"/>
      <c r="DC500" s="393"/>
      <c r="DD500" s="393"/>
      <c r="DE500" s="393"/>
      <c r="DF500" s="472"/>
      <c r="DG500" s="94"/>
      <c r="DH500" s="94"/>
    </row>
    <row r="501" spans="1:112" s="26" customFormat="1" ht="11.25" customHeight="1">
      <c r="A501" s="24"/>
      <c r="B501"/>
      <c r="C501"/>
      <c r="D501"/>
      <c r="E501"/>
      <c r="F501"/>
      <c r="G501"/>
      <c r="H501" s="1044"/>
      <c r="I501" s="310" t="s">
        <v>376</v>
      </c>
      <c r="J501" s="131"/>
      <c r="K501" s="131"/>
      <c r="L501" s="24"/>
      <c r="M501" s="315"/>
      <c r="N501" s="315"/>
      <c r="O501" s="315"/>
      <c r="P501" s="316"/>
      <c r="Q501" s="315"/>
      <c r="R501" s="315"/>
      <c r="S501" s="315"/>
      <c r="T501" s="316"/>
      <c r="U501" s="393"/>
      <c r="V501" s="393"/>
      <c r="W501" s="393"/>
      <c r="X501" s="472"/>
      <c r="Y501" s="393"/>
      <c r="Z501" s="393"/>
      <c r="AA501" s="393"/>
      <c r="AB501" s="472"/>
      <c r="AC501" s="393"/>
      <c r="AD501" s="393"/>
      <c r="AE501" s="393"/>
      <c r="AF501" s="472"/>
      <c r="AG501" s="393"/>
      <c r="AH501" s="393"/>
      <c r="AI501" s="393"/>
      <c r="AJ501" s="472"/>
      <c r="AK501" s="393"/>
      <c r="AL501" s="393"/>
      <c r="AM501" s="393"/>
      <c r="AN501" s="472"/>
      <c r="AO501" s="393"/>
      <c r="AP501" s="393"/>
      <c r="AQ501" s="393"/>
      <c r="AR501" s="472"/>
      <c r="AS501" s="393"/>
      <c r="AT501" s="393"/>
      <c r="AU501" s="393"/>
      <c r="AV501" s="472"/>
      <c r="AW501" s="393"/>
      <c r="AX501" s="393"/>
      <c r="AY501" s="393"/>
      <c r="AZ501" s="472"/>
      <c r="BA501" s="393"/>
      <c r="BB501" s="393"/>
      <c r="BC501" s="393"/>
      <c r="BD501" s="472"/>
      <c r="BE501" s="393"/>
      <c r="BF501" s="393"/>
      <c r="BG501" s="393"/>
      <c r="BH501" s="472"/>
      <c r="BI501" s="374">
        <f t="shared" ref="BI501:CB501" si="958">+BI500/BE500-1</f>
        <v>-3.5359645564205233E-2</v>
      </c>
      <c r="BJ501" s="374">
        <f t="shared" si="958"/>
        <v>-2.2003769626681047E-2</v>
      </c>
      <c r="BK501" s="374">
        <f t="shared" si="958"/>
        <v>-9.3556801937145884E-2</v>
      </c>
      <c r="BL501" s="500">
        <f t="shared" si="958"/>
        <v>0.16210477278729196</v>
      </c>
      <c r="BM501" s="374">
        <f t="shared" si="958"/>
        <v>7.2028573226124548E-2</v>
      </c>
      <c r="BN501" s="374">
        <f t="shared" si="958"/>
        <v>0.15480626873957704</v>
      </c>
      <c r="BO501" s="374">
        <f t="shared" si="958"/>
        <v>4.7814779841482968E-2</v>
      </c>
      <c r="BP501" s="374">
        <f>+BP500/BL500-1</f>
        <v>-4.2455793214151383E-2</v>
      </c>
      <c r="BQ501" s="1522">
        <f t="shared" si="958"/>
        <v>1.7097409936205565E-2</v>
      </c>
      <c r="BR501" s="374">
        <f t="shared" si="958"/>
        <v>-0.11410130964029519</v>
      </c>
      <c r="BS501" s="374">
        <f t="shared" si="958"/>
        <v>-5.860826188101842E-2</v>
      </c>
      <c r="BT501" s="500">
        <f t="shared" si="958"/>
        <v>-6.3310873122787048E-2</v>
      </c>
      <c r="BU501" s="1522">
        <f t="shared" si="958"/>
        <v>-2.4570803411130937E-2</v>
      </c>
      <c r="BV501" s="374">
        <f t="shared" si="958"/>
        <v>0.11615243009680354</v>
      </c>
      <c r="BW501" s="374">
        <f t="shared" si="958"/>
        <v>2.3120807557471368E-2</v>
      </c>
      <c r="BX501" s="500">
        <f t="shared" si="958"/>
        <v>1.0772601471821019E-2</v>
      </c>
      <c r="BY501" s="1522">
        <f t="shared" si="958"/>
        <v>-5.9354246426091772E-2</v>
      </c>
      <c r="BZ501" s="374">
        <f t="shared" si="958"/>
        <v>-0.1018549222880859</v>
      </c>
      <c r="CA501" s="374">
        <f t="shared" si="958"/>
        <v>0.1118265917460981</v>
      </c>
      <c r="CB501" s="500">
        <f t="shared" si="958"/>
        <v>4.3972969427291231E-2</v>
      </c>
      <c r="CC501" s="393"/>
      <c r="CD501" s="393"/>
      <c r="CE501" s="393"/>
      <c r="CF501" s="472"/>
      <c r="CG501" s="316"/>
      <c r="CH501" s="320"/>
      <c r="CI501" s="315"/>
      <c r="CJ501" s="393"/>
      <c r="CK501" s="393"/>
      <c r="CL501" s="393"/>
      <c r="CM501" s="393"/>
      <c r="CN501" s="393"/>
      <c r="CO501" s="393"/>
      <c r="CP501" s="393"/>
      <c r="CQ501" s="393"/>
      <c r="CR501" s="393"/>
      <c r="CS501" s="393"/>
      <c r="CT501" s="393"/>
      <c r="CU501" s="393"/>
      <c r="CV501" s="393"/>
      <c r="CW501" s="393"/>
      <c r="CX501" s="393"/>
      <c r="CY501" s="393"/>
      <c r="CZ501" s="393"/>
      <c r="DA501" s="393"/>
      <c r="DB501" s="393"/>
      <c r="DC501" s="393"/>
      <c r="DD501" s="393"/>
      <c r="DE501" s="393"/>
      <c r="DF501" s="472"/>
      <c r="DG501" s="94"/>
      <c r="DH501" s="94"/>
    </row>
    <row r="502" spans="1:112" s="26" customFormat="1" ht="11.25" customHeight="1">
      <c r="A502" s="24"/>
      <c r="B502"/>
      <c r="C502"/>
      <c r="D502"/>
      <c r="E502"/>
      <c r="F502"/>
      <c r="G502"/>
      <c r="H502" s="1044"/>
      <c r="I502" s="310" t="s">
        <v>661</v>
      </c>
      <c r="J502" s="131"/>
      <c r="K502" s="131"/>
      <c r="L502" s="24"/>
      <c r="M502" s="315"/>
      <c r="N502" s="315"/>
      <c r="O502" s="315"/>
      <c r="P502" s="316"/>
      <c r="Q502" s="315"/>
      <c r="R502" s="315"/>
      <c r="S502" s="315"/>
      <c r="T502" s="316"/>
      <c r="U502" s="393"/>
      <c r="V502" s="393"/>
      <c r="W502" s="393"/>
      <c r="X502" s="472"/>
      <c r="Y502" s="393"/>
      <c r="Z502" s="393"/>
      <c r="AA502" s="393"/>
      <c r="AB502" s="472"/>
      <c r="AC502" s="393"/>
      <c r="AD502" s="393"/>
      <c r="AE502" s="393"/>
      <c r="AF502" s="472"/>
      <c r="AG502" s="393"/>
      <c r="AH502" s="393"/>
      <c r="AI502" s="393"/>
      <c r="AJ502" s="472"/>
      <c r="AK502" s="393"/>
      <c r="AL502" s="393"/>
      <c r="AM502" s="393"/>
      <c r="AN502" s="472"/>
      <c r="AO502" s="393"/>
      <c r="AP502" s="393"/>
      <c r="AQ502" s="393"/>
      <c r="AR502" s="472"/>
      <c r="AS502" s="393"/>
      <c r="AT502" s="393"/>
      <c r="AU502" s="393"/>
      <c r="AV502" s="472"/>
      <c r="AW502" s="393"/>
      <c r="AX502" s="393"/>
      <c r="AY502" s="393"/>
      <c r="AZ502" s="472"/>
      <c r="BA502" s="393"/>
      <c r="BB502" s="393"/>
      <c r="BC502" s="393"/>
      <c r="BD502" s="472"/>
      <c r="BE502" s="393"/>
      <c r="BF502" s="393"/>
      <c r="BG502" s="393"/>
      <c r="BH502" s="472"/>
      <c r="BI502" s="517">
        <f t="shared" ref="BI502:CB502" si="959">+BI500-BE500</f>
        <v>-522.03864090606294</v>
      </c>
      <c r="BJ502" s="517">
        <f t="shared" si="959"/>
        <v>-310.86513157894478</v>
      </c>
      <c r="BK502" s="517">
        <f t="shared" si="959"/>
        <v>-1667.7917472598328</v>
      </c>
      <c r="BL502" s="601">
        <f t="shared" si="959"/>
        <v>2386.1127819548874</v>
      </c>
      <c r="BM502" s="517">
        <f t="shared" si="959"/>
        <v>1025.8054107719054</v>
      </c>
      <c r="BN502" s="517">
        <f t="shared" si="959"/>
        <v>2138.9500674763804</v>
      </c>
      <c r="BO502" s="517">
        <f t="shared" si="959"/>
        <v>772.6258020938858</v>
      </c>
      <c r="BP502" s="601">
        <f t="shared" si="959"/>
        <v>-726.23539162867928</v>
      </c>
      <c r="BQ502" s="517">
        <f t="shared" si="959"/>
        <v>261.03386809268886</v>
      </c>
      <c r="BR502" s="517">
        <f t="shared" si="959"/>
        <v>-1820.5887939221248</v>
      </c>
      <c r="BS502" s="517">
        <f t="shared" si="959"/>
        <v>-992.3169482846879</v>
      </c>
      <c r="BT502" s="601">
        <f t="shared" si="959"/>
        <v>-1036.9972059944121</v>
      </c>
      <c r="BU502" s="517">
        <f t="shared" si="959"/>
        <v>-381.54734848484622</v>
      </c>
      <c r="BV502" s="517">
        <f t="shared" si="959"/>
        <v>1641.8504489337793</v>
      </c>
      <c r="BW502" s="517">
        <f t="shared" si="959"/>
        <v>368.52329749103774</v>
      </c>
      <c r="BX502" s="601">
        <f t="shared" si="959"/>
        <v>165.27811682650463</v>
      </c>
      <c r="BY502" s="517">
        <f t="shared" si="959"/>
        <v>-899.03506097560967</v>
      </c>
      <c r="BZ502" s="517">
        <f t="shared" si="959"/>
        <v>-1606.9813131313131</v>
      </c>
      <c r="CA502" s="517">
        <f t="shared" si="959"/>
        <v>1823.6183574879251</v>
      </c>
      <c r="CB502" s="601">
        <f t="shared" si="959"/>
        <v>681.92092529210095</v>
      </c>
      <c r="CC502" s="393"/>
      <c r="CD502" s="393"/>
      <c r="CE502" s="393"/>
      <c r="CF502" s="472"/>
      <c r="CG502" s="316"/>
      <c r="CH502" s="320"/>
      <c r="CI502" s="315"/>
      <c r="CJ502" s="393"/>
      <c r="CK502" s="393"/>
      <c r="CL502" s="393"/>
      <c r="CM502" s="393"/>
      <c r="CN502" s="393"/>
      <c r="CO502" s="393"/>
      <c r="CP502" s="393"/>
      <c r="CQ502" s="393"/>
      <c r="CR502" s="393"/>
      <c r="CS502" s="393"/>
      <c r="CT502" s="393"/>
      <c r="CU502" s="393"/>
      <c r="CV502" s="393"/>
      <c r="CW502" s="393"/>
      <c r="CX502" s="393"/>
      <c r="CY502" s="393"/>
      <c r="CZ502" s="393"/>
      <c r="DA502" s="393"/>
      <c r="DB502" s="393"/>
      <c r="DC502" s="393"/>
      <c r="DD502" s="393"/>
      <c r="DE502" s="393"/>
      <c r="DF502" s="472"/>
      <c r="DG502" s="94"/>
      <c r="DH502" s="94"/>
    </row>
    <row r="503" spans="1:112" s="26" customFormat="1" ht="11.25" customHeight="1">
      <c r="A503" s="24"/>
      <c r="B503"/>
      <c r="C503"/>
      <c r="D503"/>
      <c r="E503"/>
      <c r="F503"/>
      <c r="G503"/>
      <c r="H503" s="1044"/>
      <c r="I503" s="172"/>
      <c r="J503" s="131"/>
      <c r="K503" s="131"/>
      <c r="L503" s="24"/>
      <c r="M503" s="315"/>
      <c r="N503" s="315"/>
      <c r="O503" s="315"/>
      <c r="P503" s="316"/>
      <c r="Q503" s="315"/>
      <c r="R503" s="315"/>
      <c r="S503" s="315"/>
      <c r="T503" s="316"/>
      <c r="U503" s="393"/>
      <c r="V503" s="393"/>
      <c r="W503" s="393"/>
      <c r="X503" s="472"/>
      <c r="Y503" s="393"/>
      <c r="Z503" s="393"/>
      <c r="AA503" s="393"/>
      <c r="AB503" s="472"/>
      <c r="AC503" s="393"/>
      <c r="AD503" s="393"/>
      <c r="AE503" s="393"/>
      <c r="AF503" s="472"/>
      <c r="AG503" s="393"/>
      <c r="AH503" s="393"/>
      <c r="AI503" s="393"/>
      <c r="AJ503" s="472"/>
      <c r="AK503" s="393"/>
      <c r="AL503" s="393"/>
      <c r="AM503" s="393"/>
      <c r="AN503" s="472"/>
      <c r="AO503" s="393"/>
      <c r="AP503" s="393"/>
      <c r="AQ503" s="393"/>
      <c r="AR503" s="472"/>
      <c r="AS503" s="393"/>
      <c r="AT503" s="393"/>
      <c r="AU503" s="393"/>
      <c r="AV503" s="472"/>
      <c r="AW503" s="393"/>
      <c r="AX503" s="393"/>
      <c r="AY503" s="393"/>
      <c r="AZ503" s="472"/>
      <c r="BA503" s="393"/>
      <c r="BB503" s="393"/>
      <c r="BC503" s="393"/>
      <c r="BD503" s="472"/>
      <c r="BE503" s="393"/>
      <c r="BF503" s="393"/>
      <c r="BG503" s="393"/>
      <c r="BH503" s="472"/>
      <c r="BI503" s="321"/>
      <c r="BJ503" s="321"/>
      <c r="BK503" s="321"/>
      <c r="BL503" s="321"/>
      <c r="BM503" s="1509"/>
      <c r="BN503" s="321"/>
      <c r="BO503" s="321"/>
      <c r="BP503" s="472"/>
      <c r="BQ503" s="393"/>
      <c r="BR503" s="393"/>
      <c r="BS503" s="393"/>
      <c r="BT503" s="472"/>
      <c r="BU503" s="393"/>
      <c r="BV503" s="393"/>
      <c r="BW503" s="393"/>
      <c r="BX503" s="472"/>
      <c r="BY503" s="393"/>
      <c r="BZ503" s="393"/>
      <c r="CA503" s="393"/>
      <c r="CB503" s="472"/>
      <c r="CC503" s="393"/>
      <c r="CD503" s="393"/>
      <c r="CE503" s="393"/>
      <c r="CF503" s="472"/>
      <c r="CG503" s="316"/>
      <c r="CH503" s="320"/>
      <c r="CI503" s="315"/>
      <c r="CJ503" s="393"/>
      <c r="CK503" s="393"/>
      <c r="CL503" s="393"/>
      <c r="CM503" s="393"/>
      <c r="CN503" s="393"/>
      <c r="CO503" s="393"/>
      <c r="CP503" s="393"/>
      <c r="CQ503" s="393"/>
      <c r="CR503" s="393"/>
      <c r="CS503" s="393"/>
      <c r="CT503" s="393"/>
      <c r="CU503" s="393"/>
      <c r="CV503" s="393"/>
      <c r="CW503" s="393"/>
      <c r="CX503" s="393"/>
      <c r="CY503" s="393"/>
      <c r="CZ503" s="393"/>
      <c r="DA503" s="393"/>
      <c r="DB503" s="393"/>
      <c r="DC503" s="393"/>
      <c r="DD503" s="393"/>
      <c r="DE503" s="393"/>
      <c r="DF503" s="472"/>
      <c r="DG503" s="94"/>
      <c r="DH503" s="94"/>
    </row>
    <row r="504" spans="1:112" s="26" customFormat="1" ht="11.25" customHeight="1">
      <c r="A504" s="24"/>
      <c r="B504"/>
      <c r="C504"/>
      <c r="D504"/>
      <c r="E504"/>
      <c r="F504"/>
      <c r="G504"/>
      <c r="H504" s="1044"/>
      <c r="I504" s="617" t="s">
        <v>660</v>
      </c>
      <c r="J504" s="131"/>
      <c r="K504" s="131"/>
      <c r="L504" s="24"/>
      <c r="M504" s="315"/>
      <c r="N504" s="315"/>
      <c r="O504" s="315"/>
      <c r="P504" s="316"/>
      <c r="Q504" s="315"/>
      <c r="R504" s="315"/>
      <c r="S504" s="315"/>
      <c r="T504" s="316"/>
      <c r="U504" s="393"/>
      <c r="V504" s="393"/>
      <c r="W504" s="393"/>
      <c r="X504" s="472"/>
      <c r="Y504" s="393"/>
      <c r="Z504" s="393"/>
      <c r="AA504" s="393"/>
      <c r="AB504" s="472"/>
      <c r="AC504" s="393"/>
      <c r="AD504" s="393"/>
      <c r="AE504" s="393"/>
      <c r="AF504" s="472"/>
      <c r="AG504" s="393"/>
      <c r="AH504" s="393"/>
      <c r="AI504" s="393"/>
      <c r="AJ504" s="472"/>
      <c r="AK504" s="393"/>
      <c r="AL504" s="393"/>
      <c r="AM504" s="393"/>
      <c r="AN504" s="472"/>
      <c r="AO504" s="393"/>
      <c r="AP504" s="393"/>
      <c r="AQ504" s="393"/>
      <c r="AR504" s="472"/>
      <c r="AS504" s="393"/>
      <c r="AT504" s="393"/>
      <c r="AU504" s="393"/>
      <c r="AV504" s="472"/>
      <c r="AW504" s="393"/>
      <c r="AX504" s="393"/>
      <c r="AY504" s="393"/>
      <c r="AZ504" s="472"/>
      <c r="BA504" s="393"/>
      <c r="BB504" s="393"/>
      <c r="BC504" s="393"/>
      <c r="BD504" s="472"/>
      <c r="BE504" s="1856">
        <f>+(BE466*1000000)/BE495</f>
        <v>7135.7894736842109</v>
      </c>
      <c r="BF504" s="1856">
        <f>+(BF466*1000000)/BF495</f>
        <v>6219.84375</v>
      </c>
      <c r="BG504" s="1856">
        <f>+(BG466*1000000)/BG495</f>
        <v>6407.121212121212</v>
      </c>
      <c r="BH504" s="1857">
        <f>+(BH466*1000000)/BH495</f>
        <v>7200.4285714285716</v>
      </c>
      <c r="BI504" s="1858">
        <f>+(BI466*1000000)/BI495</f>
        <v>6349.493670886076</v>
      </c>
      <c r="BJ504" s="1856">
        <f t="shared" ref="BJ504:BR504" si="960">+(BJ466*1000000)/BJ495</f>
        <v>6833.7894736842109</v>
      </c>
      <c r="BK504" s="1856">
        <f t="shared" si="960"/>
        <v>6714.1489361702124</v>
      </c>
      <c r="BL504" s="1856">
        <f t="shared" si="960"/>
        <v>7873.5789473684208</v>
      </c>
      <c r="BM504" s="1858">
        <f t="shared" si="960"/>
        <v>7155</v>
      </c>
      <c r="BN504" s="1856">
        <f t="shared" si="960"/>
        <v>7783.5042735042734</v>
      </c>
      <c r="BO504" s="1856">
        <f t="shared" si="960"/>
        <v>7770</v>
      </c>
      <c r="BP504" s="1857">
        <f t="shared" si="960"/>
        <v>7158.9763779527557</v>
      </c>
      <c r="BQ504" s="1856">
        <f t="shared" si="960"/>
        <v>7589.242424242424</v>
      </c>
      <c r="BR504" s="1856">
        <f t="shared" si="960"/>
        <v>6107.7160493827159</v>
      </c>
      <c r="BS504" s="1856">
        <f t="shared" ref="BS504:BY504" si="961">+(BS466*1000000)/BS495</f>
        <v>7077.8064516129034</v>
      </c>
      <c r="BT504" s="1857">
        <f t="shared" si="961"/>
        <v>6876.8387096774195</v>
      </c>
      <c r="BU504" s="1856">
        <f t="shared" si="961"/>
        <v>7065.3125</v>
      </c>
      <c r="BV504" s="1856">
        <f t="shared" si="961"/>
        <v>6400.113636363636</v>
      </c>
      <c r="BW504" s="1856">
        <f t="shared" si="961"/>
        <v>6365.8888888888887</v>
      </c>
      <c r="BX504" s="1857">
        <f t="shared" si="961"/>
        <v>6250.594594594595</v>
      </c>
      <c r="BY504" s="1856">
        <f t="shared" si="961"/>
        <v>6612.0487804878048</v>
      </c>
      <c r="BZ504" s="1856">
        <f>+(BZ466*1000000)/BZ495</f>
        <v>6294.8444444444449</v>
      </c>
      <c r="CA504" s="1856">
        <f>+(CA466*1000000)/CA495</f>
        <v>6209.695652173913</v>
      </c>
      <c r="CB504" s="1857">
        <f t="shared" ref="CB504" si="962">+(CB466*1000000)/CB495</f>
        <v>7228.6899563318775</v>
      </c>
      <c r="CC504" s="393"/>
      <c r="CD504" s="393"/>
      <c r="CE504" s="393"/>
      <c r="CF504" s="472"/>
      <c r="CG504" s="316"/>
      <c r="CH504" s="320"/>
      <c r="CI504" s="315"/>
      <c r="CJ504" s="393"/>
      <c r="CK504" s="393"/>
      <c r="CL504" s="393"/>
      <c r="CM504" s="393"/>
      <c r="CN504" s="393"/>
      <c r="CO504" s="393"/>
      <c r="CP504" s="393"/>
      <c r="CQ504" s="393"/>
      <c r="CR504" s="393"/>
      <c r="CS504" s="393"/>
      <c r="CT504" s="393"/>
      <c r="CU504" s="393"/>
      <c r="CV504" s="393"/>
      <c r="CW504" s="393"/>
      <c r="CX504" s="393"/>
      <c r="CY504" s="393"/>
      <c r="CZ504" s="393"/>
      <c r="DA504" s="393"/>
      <c r="DB504" s="393"/>
      <c r="DC504" s="393"/>
      <c r="DD504" s="393"/>
      <c r="DE504" s="393"/>
      <c r="DF504" s="472"/>
      <c r="DG504" s="94"/>
      <c r="DH504" s="94"/>
    </row>
    <row r="505" spans="1:112" s="26" customFormat="1" ht="11.25" customHeight="1">
      <c r="A505" s="24"/>
      <c r="B505"/>
      <c r="C505"/>
      <c r="D505"/>
      <c r="E505"/>
      <c r="F505"/>
      <c r="G505"/>
      <c r="H505" s="1044"/>
      <c r="I505" s="310" t="s">
        <v>376</v>
      </c>
      <c r="J505" s="131"/>
      <c r="K505" s="131"/>
      <c r="L505" s="24"/>
      <c r="M505" s="315"/>
      <c r="N505" s="315"/>
      <c r="O505" s="315"/>
      <c r="P505" s="316"/>
      <c r="Q505" s="315"/>
      <c r="R505" s="315"/>
      <c r="S505" s="315"/>
      <c r="T505" s="316"/>
      <c r="U505" s="393"/>
      <c r="V505" s="393"/>
      <c r="W505" s="393"/>
      <c r="X505" s="472"/>
      <c r="Y505" s="393"/>
      <c r="Z505" s="393"/>
      <c r="AA505" s="393"/>
      <c r="AB505" s="472"/>
      <c r="AC505" s="393"/>
      <c r="AD505" s="393"/>
      <c r="AE505" s="393"/>
      <c r="AF505" s="472"/>
      <c r="AG505" s="393"/>
      <c r="AH505" s="393"/>
      <c r="AI505" s="393"/>
      <c r="AJ505" s="472"/>
      <c r="AK505" s="393"/>
      <c r="AL505" s="393"/>
      <c r="AM505" s="393"/>
      <c r="AN505" s="472"/>
      <c r="AO505" s="393"/>
      <c r="AP505" s="393"/>
      <c r="AQ505" s="393"/>
      <c r="AR505" s="472"/>
      <c r="AS505" s="393"/>
      <c r="AT505" s="393"/>
      <c r="AU505" s="393"/>
      <c r="AV505" s="472"/>
      <c r="AW505" s="393"/>
      <c r="AX505" s="393"/>
      <c r="AY505" s="393"/>
      <c r="AZ505" s="472"/>
      <c r="BA505" s="393"/>
      <c r="BB505" s="393"/>
      <c r="BC505" s="393"/>
      <c r="BD505" s="472"/>
      <c r="BE505" s="393"/>
      <c r="BF505" s="393"/>
      <c r="BG505" s="393"/>
      <c r="BH505" s="472"/>
      <c r="BI505" s="374">
        <f t="shared" ref="BI505:CB505" si="963">+BI504/BE504-1</f>
        <v>-0.1101904429352748</v>
      </c>
      <c r="BJ505" s="374">
        <f t="shared" si="963"/>
        <v>9.870757986230938E-2</v>
      </c>
      <c r="BK505" s="374">
        <f t="shared" si="963"/>
        <v>4.7919762071639171E-2</v>
      </c>
      <c r="BL505" s="500">
        <f t="shared" si="963"/>
        <v>9.3487543034719067E-2</v>
      </c>
      <c r="BM505" s="374">
        <f t="shared" si="963"/>
        <v>0.12686150595083823</v>
      </c>
      <c r="BN505" s="374">
        <f t="shared" si="963"/>
        <v>0.13897337684710021</v>
      </c>
      <c r="BO505" s="374">
        <f t="shared" si="963"/>
        <v>0.1572576172896234</v>
      </c>
      <c r="BP505" s="374">
        <f t="shared" si="963"/>
        <v>-9.0759561083020079E-2</v>
      </c>
      <c r="BQ505" s="1522">
        <f t="shared" si="963"/>
        <v>6.0690765093280863E-2</v>
      </c>
      <c r="BR505" s="374">
        <f t="shared" si="963"/>
        <v>-0.21529996839933485</v>
      </c>
      <c r="BS505" s="374">
        <f t="shared" si="963"/>
        <v>-8.9085398762818069E-2</v>
      </c>
      <c r="BT505" s="500">
        <f t="shared" si="963"/>
        <v>-3.9410336531382595E-2</v>
      </c>
      <c r="BU505" s="1522">
        <f t="shared" si="963"/>
        <v>-6.9035866158238313E-2</v>
      </c>
      <c r="BV505" s="374">
        <f t="shared" si="963"/>
        <v>4.787347424418531E-2</v>
      </c>
      <c r="BW505" s="374">
        <f t="shared" si="963"/>
        <v>-0.10058449147924664</v>
      </c>
      <c r="BX505" s="500">
        <f t="shared" si="963"/>
        <v>-9.1065697702280457E-2</v>
      </c>
      <c r="BY505" s="1522">
        <f t="shared" si="963"/>
        <v>-6.4153385927684714E-2</v>
      </c>
      <c r="BZ505" s="374">
        <f t="shared" si="963"/>
        <v>-1.6448019191578345E-2</v>
      </c>
      <c r="CA505" s="374">
        <f t="shared" si="963"/>
        <v>-2.453596653054968E-2</v>
      </c>
      <c r="CB505" s="500">
        <f t="shared" si="963"/>
        <v>0.15648037109671487</v>
      </c>
      <c r="CC505" s="393"/>
      <c r="CD505" s="393"/>
      <c r="CE505" s="393"/>
      <c r="CF505" s="472"/>
      <c r="CG505" s="316"/>
      <c r="CH505" s="320"/>
      <c r="CI505" s="315"/>
      <c r="CJ505" s="393"/>
      <c r="CK505" s="393"/>
      <c r="CL505" s="393"/>
      <c r="CM505" s="393"/>
      <c r="CN505" s="393"/>
      <c r="CO505" s="393"/>
      <c r="CP505" s="393"/>
      <c r="CQ505" s="393"/>
      <c r="CR505" s="393"/>
      <c r="CS505" s="393"/>
      <c r="CT505" s="393"/>
      <c r="CU505" s="393"/>
      <c r="CV505" s="393"/>
      <c r="CW505" s="393"/>
      <c r="CX505" s="393"/>
      <c r="CY505" s="393"/>
      <c r="CZ505" s="393"/>
      <c r="DA505" s="393"/>
      <c r="DB505" s="393"/>
      <c r="DC505" s="393"/>
      <c r="DD505" s="393"/>
      <c r="DE505" s="393"/>
      <c r="DF505" s="472"/>
      <c r="DG505" s="94"/>
      <c r="DH505" s="94"/>
    </row>
    <row r="506" spans="1:112" s="26" customFormat="1" ht="11.25" customHeight="1">
      <c r="A506" s="24"/>
      <c r="B506"/>
      <c r="C506"/>
      <c r="D506"/>
      <c r="E506"/>
      <c r="F506"/>
      <c r="G506"/>
      <c r="H506" s="1044"/>
      <c r="I506" s="310" t="s">
        <v>661</v>
      </c>
      <c r="J506" s="131"/>
      <c r="K506" s="131"/>
      <c r="L506" s="24"/>
      <c r="M506" s="315"/>
      <c r="N506" s="315"/>
      <c r="O506" s="315"/>
      <c r="P506" s="316"/>
      <c r="Q506" s="315"/>
      <c r="R506" s="315"/>
      <c r="S506" s="315"/>
      <c r="T506" s="316"/>
      <c r="U506" s="393"/>
      <c r="V506" s="393"/>
      <c r="W506" s="393"/>
      <c r="X506" s="472"/>
      <c r="Y506" s="393"/>
      <c r="Z506" s="393"/>
      <c r="AA506" s="393"/>
      <c r="AB506" s="472"/>
      <c r="AC506" s="393"/>
      <c r="AD506" s="393"/>
      <c r="AE506" s="393"/>
      <c r="AF506" s="472"/>
      <c r="AG506" s="393"/>
      <c r="AH506" s="393"/>
      <c r="AI506" s="393"/>
      <c r="AJ506" s="472"/>
      <c r="AK506" s="393"/>
      <c r="AL506" s="393"/>
      <c r="AM506" s="393"/>
      <c r="AN506" s="472"/>
      <c r="AO506" s="393"/>
      <c r="AP506" s="393"/>
      <c r="AQ506" s="393"/>
      <c r="AR506" s="472"/>
      <c r="AS506" s="393"/>
      <c r="AT506" s="393"/>
      <c r="AU506" s="393"/>
      <c r="AV506" s="472"/>
      <c r="AW506" s="393"/>
      <c r="AX506" s="393"/>
      <c r="AY506" s="393"/>
      <c r="AZ506" s="472"/>
      <c r="BA506" s="393"/>
      <c r="BB506" s="393"/>
      <c r="BC506" s="393"/>
      <c r="BD506" s="472"/>
      <c r="BE506" s="393"/>
      <c r="BF506" s="393"/>
      <c r="BG506" s="393"/>
      <c r="BH506" s="472"/>
      <c r="BI506" s="517">
        <f t="shared" ref="BI506:CB506" si="964">+BI504-BE504</f>
        <v>-786.2958027981349</v>
      </c>
      <c r="BJ506" s="517">
        <f t="shared" si="964"/>
        <v>613.94572368421086</v>
      </c>
      <c r="BK506" s="517">
        <f t="shared" si="964"/>
        <v>307.02772404900043</v>
      </c>
      <c r="BL506" s="601">
        <f t="shared" si="964"/>
        <v>673.15037593984925</v>
      </c>
      <c r="BM506" s="517">
        <f t="shared" si="964"/>
        <v>805.50632911392404</v>
      </c>
      <c r="BN506" s="517">
        <f t="shared" si="964"/>
        <v>949.71479982006258</v>
      </c>
      <c r="BO506" s="517">
        <f t="shared" si="964"/>
        <v>1055.8510638297876</v>
      </c>
      <c r="BP506" s="601">
        <f t="shared" si="964"/>
        <v>-714.60256941566513</v>
      </c>
      <c r="BQ506" s="517">
        <f t="shared" si="964"/>
        <v>434.24242424242402</v>
      </c>
      <c r="BR506" s="517">
        <f t="shared" si="964"/>
        <v>-1675.7882241215575</v>
      </c>
      <c r="BS506" s="517">
        <f t="shared" si="964"/>
        <v>-692.1935483870966</v>
      </c>
      <c r="BT506" s="601">
        <f t="shared" si="964"/>
        <v>-282.13766827533618</v>
      </c>
      <c r="BU506" s="517">
        <f t="shared" si="964"/>
        <v>-523.92992424242402</v>
      </c>
      <c r="BV506" s="517">
        <f t="shared" si="964"/>
        <v>292.3975869809201</v>
      </c>
      <c r="BW506" s="517">
        <f t="shared" si="964"/>
        <v>-711.91756272401472</v>
      </c>
      <c r="BX506" s="601">
        <f t="shared" si="964"/>
        <v>-626.24411508282446</v>
      </c>
      <c r="BY506" s="517">
        <f t="shared" si="964"/>
        <v>-453.26371951219517</v>
      </c>
      <c r="BZ506" s="517">
        <f t="shared" si="964"/>
        <v>-105.26919191919114</v>
      </c>
      <c r="CA506" s="517">
        <f t="shared" si="964"/>
        <v>-156.19323671497568</v>
      </c>
      <c r="CB506" s="601">
        <f t="shared" si="964"/>
        <v>978.09536173728247</v>
      </c>
      <c r="CC506" s="393"/>
      <c r="CD506" s="393"/>
      <c r="CE506" s="393"/>
      <c r="CF506" s="472"/>
      <c r="CG506" s="316"/>
      <c r="CH506" s="320"/>
      <c r="CI506" s="315"/>
      <c r="CJ506" s="393"/>
      <c r="CK506" s="393"/>
      <c r="CL506" s="393"/>
      <c r="CM506" s="393"/>
      <c r="CN506" s="393"/>
      <c r="CO506" s="393"/>
      <c r="CP506" s="393"/>
      <c r="CQ506" s="393"/>
      <c r="CR506" s="393"/>
      <c r="CS506" s="393"/>
      <c r="CT506" s="393"/>
      <c r="CU506" s="393"/>
      <c r="CV506" s="393"/>
      <c r="CW506" s="393"/>
      <c r="CX506" s="393"/>
      <c r="CY506" s="393"/>
      <c r="CZ506" s="393"/>
      <c r="DA506" s="393"/>
      <c r="DB506" s="393"/>
      <c r="DC506" s="393"/>
      <c r="DD506" s="393"/>
      <c r="DE506" s="393"/>
      <c r="DF506" s="472"/>
      <c r="DG506" s="94"/>
      <c r="DH506" s="94"/>
    </row>
    <row r="507" spans="1:112" s="26" customFormat="1" ht="11.25" customHeight="1">
      <c r="A507" s="24"/>
      <c r="B507"/>
      <c r="C507"/>
      <c r="D507"/>
      <c r="E507"/>
      <c r="F507"/>
      <c r="G507"/>
      <c r="H507" s="1044"/>
      <c r="I507" s="172"/>
      <c r="J507" s="131"/>
      <c r="K507" s="131"/>
      <c r="L507" s="24"/>
      <c r="M507" s="315"/>
      <c r="N507" s="315"/>
      <c r="O507" s="315"/>
      <c r="P507" s="316"/>
      <c r="Q507" s="315"/>
      <c r="R507" s="315"/>
      <c r="S507" s="315"/>
      <c r="T507" s="316"/>
      <c r="U507" s="393"/>
      <c r="V507" s="393"/>
      <c r="W507" s="393"/>
      <c r="X507" s="472"/>
      <c r="Y507" s="393"/>
      <c r="Z507" s="393"/>
      <c r="AA507" s="393"/>
      <c r="AB507" s="472"/>
      <c r="AC507" s="393"/>
      <c r="AD507" s="393"/>
      <c r="AE507" s="393"/>
      <c r="AF507" s="472"/>
      <c r="AG507" s="393"/>
      <c r="AH507" s="393"/>
      <c r="AI507" s="393"/>
      <c r="AJ507" s="472"/>
      <c r="AK507" s="393"/>
      <c r="AL507" s="393"/>
      <c r="AM507" s="393"/>
      <c r="AN507" s="472"/>
      <c r="AO507" s="393"/>
      <c r="AP507" s="393"/>
      <c r="AQ507" s="393"/>
      <c r="AR507" s="472"/>
      <c r="AS507" s="393"/>
      <c r="AT507" s="393"/>
      <c r="AU507" s="393"/>
      <c r="AV507" s="472"/>
      <c r="AW507" s="393"/>
      <c r="AX507" s="393"/>
      <c r="AY507" s="393"/>
      <c r="AZ507" s="472"/>
      <c r="BA507" s="393"/>
      <c r="BB507" s="393"/>
      <c r="BC507" s="393"/>
      <c r="BD507" s="472"/>
      <c r="BE507" s="393"/>
      <c r="BF507" s="393"/>
      <c r="BG507" s="393"/>
      <c r="BH507" s="472"/>
      <c r="BI507" s="321"/>
      <c r="BJ507" s="321"/>
      <c r="BK507" s="321"/>
      <c r="BL507" s="321"/>
      <c r="BM507" s="1509"/>
      <c r="BN507" s="321"/>
      <c r="BO507" s="321"/>
      <c r="BP507" s="472"/>
      <c r="BQ507" s="393"/>
      <c r="BR507" s="393"/>
      <c r="BS507" s="393"/>
      <c r="BT507" s="472"/>
      <c r="BU507" s="393"/>
      <c r="BV507" s="393"/>
      <c r="BW507" s="393"/>
      <c r="BX507" s="472"/>
      <c r="BY507" s="393"/>
      <c r="BZ507" s="393"/>
      <c r="CA507" s="393"/>
      <c r="CB507" s="472"/>
      <c r="CC507" s="393"/>
      <c r="CD507" s="393"/>
      <c r="CE507" s="393"/>
      <c r="CF507" s="472"/>
      <c r="CG507" s="316"/>
      <c r="CH507" s="320"/>
      <c r="CI507" s="315"/>
      <c r="CJ507" s="393"/>
      <c r="CK507" s="393"/>
      <c r="CL507" s="393"/>
      <c r="CM507" s="393"/>
      <c r="CN507" s="393"/>
      <c r="CO507" s="393"/>
      <c r="CP507" s="393"/>
      <c r="CQ507" s="393"/>
      <c r="CR507" s="393"/>
      <c r="CS507" s="393"/>
      <c r="CT507" s="393"/>
      <c r="CU507" s="393"/>
      <c r="CV507" s="393"/>
      <c r="CW507" s="393"/>
      <c r="CX507" s="393"/>
      <c r="CY507" s="393"/>
      <c r="CZ507" s="393"/>
      <c r="DA507" s="393"/>
      <c r="DB507" s="393"/>
      <c r="DC507" s="393"/>
      <c r="DD507" s="393"/>
      <c r="DE507" s="393"/>
      <c r="DF507" s="472"/>
      <c r="DG507" s="94"/>
      <c r="DH507" s="94"/>
    </row>
    <row r="508" spans="1:112" s="26" customFormat="1" ht="11.25" customHeight="1">
      <c r="A508" s="24"/>
      <c r="B508"/>
      <c r="C508"/>
      <c r="D508"/>
      <c r="E508"/>
      <c r="F508"/>
      <c r="G508"/>
      <c r="H508" s="1044"/>
      <c r="I508" s="172"/>
      <c r="J508" s="131"/>
      <c r="K508" s="131"/>
      <c r="L508" s="24"/>
      <c r="M508" s="315"/>
      <c r="N508" s="315"/>
      <c r="O508" s="315"/>
      <c r="P508" s="316"/>
      <c r="Q508" s="315"/>
      <c r="R508" s="315"/>
      <c r="S508" s="315"/>
      <c r="T508" s="316"/>
      <c r="U508" s="393"/>
      <c r="V508" s="393"/>
      <c r="W508" s="393"/>
      <c r="X508" s="472"/>
      <c r="Y508" s="393"/>
      <c r="Z508" s="393"/>
      <c r="AA508" s="393"/>
      <c r="AB508" s="472"/>
      <c r="AC508" s="393"/>
      <c r="AD508" s="393"/>
      <c r="AE508" s="393"/>
      <c r="AF508" s="472"/>
      <c r="AG508" s="393"/>
      <c r="AH508" s="393"/>
      <c r="AI508" s="393"/>
      <c r="AJ508" s="472"/>
      <c r="AK508" s="393"/>
      <c r="AL508" s="393"/>
      <c r="AM508" s="393"/>
      <c r="AN508" s="472"/>
      <c r="AO508" s="393"/>
      <c r="AP508" s="393"/>
      <c r="AQ508" s="393"/>
      <c r="AR508" s="472"/>
      <c r="AS508" s="393"/>
      <c r="AT508" s="393"/>
      <c r="AU508" s="393"/>
      <c r="AV508" s="472"/>
      <c r="AW508" s="393"/>
      <c r="AX508" s="393"/>
      <c r="AY508" s="393"/>
      <c r="AZ508" s="472"/>
      <c r="BA508" s="393"/>
      <c r="BB508" s="393"/>
      <c r="BC508" s="393"/>
      <c r="BD508" s="472"/>
      <c r="BE508" s="393"/>
      <c r="BF508" s="393"/>
      <c r="BG508" s="393"/>
      <c r="BH508" s="472"/>
      <c r="BI508" s="321"/>
      <c r="BJ508" s="321"/>
      <c r="BK508" s="321"/>
      <c r="BL508" s="321"/>
      <c r="BM508" s="321"/>
      <c r="BN508" s="321"/>
      <c r="BO508" s="321"/>
      <c r="BP508" s="472"/>
      <c r="BQ508" s="393"/>
      <c r="BR508" s="393"/>
      <c r="BS508" s="393"/>
      <c r="BT508" s="472"/>
      <c r="BU508" s="393"/>
      <c r="BV508" s="393"/>
      <c r="BW508" s="393"/>
      <c r="BX508" s="472"/>
      <c r="BY508" s="393"/>
      <c r="BZ508" s="393"/>
      <c r="CA508" s="393"/>
      <c r="CB508" s="472"/>
      <c r="CC508" s="393"/>
      <c r="CD508" s="393"/>
      <c r="CE508" s="393"/>
      <c r="CF508" s="472"/>
      <c r="CG508" s="316"/>
      <c r="CH508" s="320"/>
      <c r="CI508" s="315"/>
      <c r="CJ508" s="393"/>
      <c r="CK508" s="393"/>
      <c r="CL508" s="393"/>
      <c r="CM508" s="393"/>
      <c r="CN508" s="393"/>
      <c r="CO508" s="393"/>
      <c r="CP508" s="393"/>
      <c r="CQ508" s="393"/>
      <c r="CR508" s="393"/>
      <c r="CS508" s="393"/>
      <c r="CT508" s="393"/>
      <c r="CU508" s="393"/>
      <c r="CV508" s="393"/>
      <c r="CW508" s="393"/>
      <c r="CX508" s="393"/>
      <c r="CY508" s="393"/>
      <c r="CZ508" s="393"/>
      <c r="DA508" s="393"/>
      <c r="DB508" s="393"/>
      <c r="DC508" s="393"/>
      <c r="DD508" s="393"/>
      <c r="DE508" s="393"/>
      <c r="DF508" s="472"/>
      <c r="DG508" s="94"/>
      <c r="DH508" s="94"/>
    </row>
    <row r="509" spans="1:112" s="26" customFormat="1" ht="11.25" customHeight="1">
      <c r="A509" s="24"/>
      <c r="B509"/>
      <c r="C509"/>
      <c r="D509"/>
      <c r="E509"/>
      <c r="F509"/>
      <c r="G509"/>
      <c r="H509" s="1044"/>
      <c r="I509" s="197" t="s">
        <v>511</v>
      </c>
      <c r="J509" s="87"/>
      <c r="K509" s="87"/>
      <c r="L509" s="87"/>
      <c r="M509" s="1355"/>
      <c r="N509" s="1355"/>
      <c r="O509" s="1355"/>
      <c r="P509" s="1356"/>
      <c r="Q509" s="1355"/>
      <c r="R509" s="1355"/>
      <c r="S509" s="1355"/>
      <c r="T509" s="1356"/>
      <c r="U509" s="1357"/>
      <c r="V509" s="1357"/>
      <c r="W509" s="1357"/>
      <c r="X509" s="1358"/>
      <c r="Y509" s="1357"/>
      <c r="Z509" s="1357"/>
      <c r="AA509" s="1357"/>
      <c r="AB509" s="1358"/>
      <c r="AC509" s="1357"/>
      <c r="AD509" s="1357"/>
      <c r="AE509" s="1357"/>
      <c r="AF509" s="1358"/>
      <c r="AG509" s="1357"/>
      <c r="AH509" s="1357"/>
      <c r="AI509" s="1357"/>
      <c r="AJ509" s="1358"/>
      <c r="AK509" s="1357"/>
      <c r="AL509" s="1357"/>
      <c r="AM509" s="1357"/>
      <c r="AN509" s="1358"/>
      <c r="AO509" s="1359"/>
      <c r="AP509" s="1357"/>
      <c r="AQ509" s="1357"/>
      <c r="AR509" s="1358"/>
      <c r="AS509" s="1357"/>
      <c r="AT509" s="1360">
        <f>+AT510-AS510</f>
        <v>5.7000000000000384E-2</v>
      </c>
      <c r="AU509" s="1360">
        <f>+AU510-AT510</f>
        <v>0.15800000000000036</v>
      </c>
      <c r="AV509" s="1361">
        <f>+AV510-AU510</f>
        <v>0.22499999999999787</v>
      </c>
      <c r="AW509" s="1357"/>
      <c r="AX509" s="1357"/>
      <c r="AY509" s="1357"/>
      <c r="AZ509" s="1358"/>
      <c r="BA509" s="1357"/>
      <c r="BB509" s="1357"/>
      <c r="BC509" s="1357"/>
      <c r="BD509" s="1358"/>
      <c r="BE509" s="1357"/>
      <c r="BF509" s="1357"/>
      <c r="BG509" s="1357"/>
      <c r="BH509" s="1358"/>
      <c r="BI509" s="1357"/>
      <c r="BJ509" s="1357"/>
      <c r="BK509" s="1357"/>
      <c r="BL509" s="1358"/>
      <c r="BM509" s="1357"/>
      <c r="BN509" s="1357"/>
      <c r="BO509" s="1357"/>
      <c r="BP509" s="1358"/>
      <c r="BQ509" s="1357"/>
      <c r="BR509" s="1357"/>
      <c r="BS509" s="1357"/>
      <c r="BT509" s="1358"/>
      <c r="BU509" s="1357"/>
      <c r="BV509" s="1357"/>
      <c r="BW509" s="1357"/>
      <c r="BX509" s="1358"/>
      <c r="BY509" s="1357"/>
      <c r="BZ509" s="1357"/>
      <c r="CA509" s="1357"/>
      <c r="CB509" s="1358"/>
      <c r="CC509" s="1357"/>
      <c r="CD509" s="1357"/>
      <c r="CE509" s="1357"/>
      <c r="CF509" s="1358"/>
      <c r="CG509" s="316"/>
      <c r="CH509" s="1362"/>
      <c r="CI509" s="1355"/>
      <c r="CJ509" s="1355"/>
      <c r="CK509" s="1357"/>
      <c r="CL509" s="1357"/>
      <c r="CM509" s="1357"/>
      <c r="CN509" s="1357"/>
      <c r="CO509" s="1357"/>
      <c r="CP509" s="1357"/>
      <c r="CQ509" s="1357"/>
      <c r="CR509" s="1357"/>
      <c r="CS509" s="1357"/>
      <c r="CT509" s="1357"/>
      <c r="CU509" s="1357"/>
      <c r="CV509" s="1357"/>
      <c r="CW509" s="1357"/>
      <c r="CX509" s="1363"/>
      <c r="CY509" s="1357"/>
      <c r="CZ509" s="1357"/>
      <c r="DA509" s="1357"/>
      <c r="DB509" s="1357"/>
      <c r="DC509" s="1357"/>
      <c r="DD509" s="1357"/>
      <c r="DE509" s="1357"/>
      <c r="DF509" s="1358"/>
      <c r="DG509" s="94"/>
      <c r="DH509" s="94"/>
    </row>
    <row r="510" spans="1:112" s="584" customFormat="1" ht="11.25" customHeight="1">
      <c r="A510" s="542"/>
      <c r="B510"/>
      <c r="C510"/>
      <c r="D510"/>
      <c r="E510"/>
      <c r="F510"/>
      <c r="G510"/>
      <c r="H510" s="1052"/>
      <c r="I510" s="190" t="s">
        <v>127</v>
      </c>
      <c r="J510" s="634"/>
      <c r="K510" s="634"/>
      <c r="L510" s="542"/>
      <c r="M510" s="581"/>
      <c r="N510" s="581"/>
      <c r="O510" s="581"/>
      <c r="P510" s="582"/>
      <c r="Q510" s="581"/>
      <c r="R510" s="581"/>
      <c r="S510" s="581"/>
      <c r="T510" s="582"/>
      <c r="U510" s="581"/>
      <c r="V510" s="581"/>
      <c r="W510" s="581"/>
      <c r="X510" s="582"/>
      <c r="Y510" s="581"/>
      <c r="Z510" s="581"/>
      <c r="AA510" s="581"/>
      <c r="AB510" s="582"/>
      <c r="AC510" s="581"/>
      <c r="AD510" s="581"/>
      <c r="AE510" s="581"/>
      <c r="AF510" s="582"/>
      <c r="AG510" s="638">
        <f t="shared" ref="AG510:BZ510" si="965">+AG69</f>
        <v>2.387</v>
      </c>
      <c r="AH510" s="638">
        <f t="shared" si="965"/>
        <v>2.5859999999999999</v>
      </c>
      <c r="AI510" s="638">
        <f t="shared" si="965"/>
        <v>2.6850000000000001</v>
      </c>
      <c r="AJ510" s="639">
        <f t="shared" si="965"/>
        <v>2.5859999999999994</v>
      </c>
      <c r="AK510" s="638">
        <f t="shared" si="965"/>
        <v>2.5920000000000005</v>
      </c>
      <c r="AL510" s="638">
        <f t="shared" si="965"/>
        <v>2.7030000000000003</v>
      </c>
      <c r="AM510" s="638">
        <f t="shared" si="965"/>
        <v>3.0140000000000002</v>
      </c>
      <c r="AN510" s="639">
        <f t="shared" si="965"/>
        <v>3.5860000000000003</v>
      </c>
      <c r="AO510" s="638">
        <f t="shared" si="965"/>
        <v>3.6079999999999997</v>
      </c>
      <c r="AP510" s="638">
        <f t="shared" si="965"/>
        <v>3.6079999999999997</v>
      </c>
      <c r="AQ510" s="638">
        <f t="shared" si="965"/>
        <v>3.5830000000000002</v>
      </c>
      <c r="AR510" s="639">
        <f t="shared" si="965"/>
        <v>3.5890000000000004</v>
      </c>
      <c r="AS510" s="638">
        <f t="shared" si="965"/>
        <v>3.4560000000000004</v>
      </c>
      <c r="AT510" s="638">
        <f t="shared" si="965"/>
        <v>3.5130000000000008</v>
      </c>
      <c r="AU510" s="638">
        <f t="shared" si="965"/>
        <v>3.6710000000000012</v>
      </c>
      <c r="AV510" s="639">
        <f t="shared" si="965"/>
        <v>3.895999999999999</v>
      </c>
      <c r="AW510" s="638">
        <f t="shared" si="965"/>
        <v>3.9820000000000002</v>
      </c>
      <c r="AX510" s="638">
        <f t="shared" si="965"/>
        <v>3.9129999999999994</v>
      </c>
      <c r="AY510" s="638">
        <f t="shared" si="965"/>
        <v>4.2170000000000005</v>
      </c>
      <c r="AZ510" s="639">
        <f t="shared" si="965"/>
        <v>4.18</v>
      </c>
      <c r="BA510" s="638">
        <f t="shared" si="965"/>
        <v>4.2519999999999989</v>
      </c>
      <c r="BB510" s="638">
        <f t="shared" si="965"/>
        <v>5.1899999999999995</v>
      </c>
      <c r="BC510" s="638">
        <f t="shared" si="965"/>
        <v>5.7469999999999999</v>
      </c>
      <c r="BD510" s="639">
        <f t="shared" si="965"/>
        <v>6.0250000000000004</v>
      </c>
      <c r="BE510" s="638">
        <f t="shared" si="965"/>
        <v>7.6850000000000005</v>
      </c>
      <c r="BF510" s="638">
        <f t="shared" si="965"/>
        <v>7.4649999999999999</v>
      </c>
      <c r="BG510" s="638">
        <f t="shared" si="965"/>
        <v>8.1710000000000012</v>
      </c>
      <c r="BH510" s="640">
        <f t="shared" si="965"/>
        <v>9.4969999999999999</v>
      </c>
      <c r="BI510" s="641">
        <f t="shared" si="965"/>
        <v>9.8019999999999978</v>
      </c>
      <c r="BJ510" s="641">
        <f t="shared" si="965"/>
        <v>4.8230000000000004</v>
      </c>
      <c r="BK510" s="641">
        <f t="shared" si="965"/>
        <v>12.896999999999998</v>
      </c>
      <c r="BL510" s="640">
        <f t="shared" si="965"/>
        <v>14.399000000000001</v>
      </c>
      <c r="BM510" s="641">
        <f t="shared" si="965"/>
        <v>15.551999999999996</v>
      </c>
      <c r="BN510" s="641">
        <f t="shared" si="965"/>
        <v>17.337</v>
      </c>
      <c r="BO510" s="641">
        <f t="shared" si="965"/>
        <v>21.814999999999998</v>
      </c>
      <c r="BP510" s="640">
        <f t="shared" si="965"/>
        <v>23.537000000000006</v>
      </c>
      <c r="BQ510" s="641">
        <f t="shared" si="965"/>
        <v>21.673999999999992</v>
      </c>
      <c r="BR510" s="641">
        <f t="shared" si="965"/>
        <v>25.021000000000008</v>
      </c>
      <c r="BS510" s="641">
        <f t="shared" si="965"/>
        <v>26.825000000000003</v>
      </c>
      <c r="BT510" s="640">
        <f t="shared" si="965"/>
        <v>27.996999999999993</v>
      </c>
      <c r="BU510" s="641">
        <f t="shared" si="965"/>
        <v>30.485999999999997</v>
      </c>
      <c r="BV510" s="641">
        <f t="shared" si="965"/>
        <v>34.671000000000006</v>
      </c>
      <c r="BW510" s="641">
        <f t="shared" si="965"/>
        <v>36.796000000000006</v>
      </c>
      <c r="BX510" s="640">
        <f t="shared" si="965"/>
        <v>38.106000000000002</v>
      </c>
      <c r="BY510" s="641">
        <f t="shared" si="965"/>
        <v>40.412000000000006</v>
      </c>
      <c r="BZ510" s="641">
        <f t="shared" si="965"/>
        <v>44.710999999999999</v>
      </c>
      <c r="CA510" s="641">
        <f>+CA69</f>
        <v>50.613</v>
      </c>
      <c r="CB510" s="640">
        <f t="shared" ref="CB510" si="966">+CB69</f>
        <v>51.494999999999997</v>
      </c>
      <c r="CC510" s="514">
        <f>+CC39*CC518</f>
        <v>54.865422558556318</v>
      </c>
      <c r="CD510" s="514">
        <f>+CD39*CD518</f>
        <v>60.770257247692818</v>
      </c>
      <c r="CE510" s="514">
        <f>+CE39*CE518</f>
        <v>65.303793061066244</v>
      </c>
      <c r="CF510" s="515">
        <f>+CF39*CF518</f>
        <v>70.194950400720117</v>
      </c>
      <c r="CG510" s="582"/>
      <c r="CH510" s="583"/>
      <c r="CI510" s="581"/>
      <c r="CJ510" s="581"/>
      <c r="CK510" s="581"/>
      <c r="CL510" s="581"/>
      <c r="CM510" s="638">
        <f>+Model!CM69</f>
        <v>10.244</v>
      </c>
      <c r="CN510" s="638">
        <f>+Model!CN69</f>
        <v>11.895000000000001</v>
      </c>
      <c r="CO510" s="638">
        <f>+Model!CO69</f>
        <v>14.388</v>
      </c>
      <c r="CP510" s="638">
        <f>+Model!CP69</f>
        <v>14.536000000000001</v>
      </c>
      <c r="CQ510" s="514">
        <f>+SUM(AW510:AZ510)</f>
        <v>16.292000000000002</v>
      </c>
      <c r="CR510" s="514">
        <f>+SUM(BA510:BD510)</f>
        <v>21.213999999999999</v>
      </c>
      <c r="CS510" s="514">
        <f>+SUM(BE510:BH510)</f>
        <v>32.817999999999998</v>
      </c>
      <c r="CT510" s="514">
        <f>+SUM(BI510:BL510)</f>
        <v>41.920999999999999</v>
      </c>
      <c r="CU510" s="514">
        <f>SUM(BM510:BP510)</f>
        <v>78.241</v>
      </c>
      <c r="CV510" s="514">
        <f>SUM(BQ510:BT510)</f>
        <v>101.517</v>
      </c>
      <c r="CW510" s="514">
        <f>SUM(BU510:BX510)</f>
        <v>140.05900000000003</v>
      </c>
      <c r="CX510" s="514">
        <f>SUM(BY510:CB510)</f>
        <v>187.23099999999999</v>
      </c>
      <c r="CY510" s="514">
        <f>SUM(CC510:CF510)</f>
        <v>251.1344232680355</v>
      </c>
      <c r="CZ510" s="514">
        <f t="shared" ref="CZ510:DF510" si="967">+CZ39*CZ518</f>
        <v>319.59497956861679</v>
      </c>
      <c r="DA510" s="514">
        <f t="shared" si="967"/>
        <v>395.92375865225227</v>
      </c>
      <c r="DB510" s="514">
        <f t="shared" si="967"/>
        <v>499.38640236368224</v>
      </c>
      <c r="DC510" s="514">
        <f t="shared" si="967"/>
        <v>613.28846873013708</v>
      </c>
      <c r="DD510" s="514">
        <f t="shared" si="967"/>
        <v>737.79355474829936</v>
      </c>
      <c r="DE510" s="514">
        <f>+DE39*DE518</f>
        <v>872.10501017686568</v>
      </c>
      <c r="DF510" s="515">
        <f t="shared" si="967"/>
        <v>1022.5739252689636</v>
      </c>
      <c r="DG510" s="632"/>
      <c r="DH510" s="632"/>
    </row>
    <row r="511" spans="1:112" s="51" customFormat="1" ht="11.25" customHeight="1">
      <c r="A511" s="82"/>
      <c r="B511"/>
      <c r="C511"/>
      <c r="D511"/>
      <c r="E511"/>
      <c r="F511"/>
      <c r="G511"/>
      <c r="H511" s="1044"/>
      <c r="I511" s="187" t="s">
        <v>376</v>
      </c>
      <c r="J511" s="83"/>
      <c r="K511" s="83"/>
      <c r="L511" s="82"/>
      <c r="M511" s="336"/>
      <c r="N511" s="336"/>
      <c r="O511" s="336"/>
      <c r="P511" s="337"/>
      <c r="Q511" s="336"/>
      <c r="R511" s="336"/>
      <c r="S511" s="336"/>
      <c r="T511" s="337"/>
      <c r="U511" s="393"/>
      <c r="V511" s="393"/>
      <c r="W511" s="393"/>
      <c r="X511" s="472"/>
      <c r="Y511" s="393"/>
      <c r="Z511" s="393"/>
      <c r="AA511" s="393"/>
      <c r="AB511" s="472"/>
      <c r="AC511" s="393"/>
      <c r="AD511" s="393"/>
      <c r="AE511" s="393"/>
      <c r="AF511" s="472"/>
      <c r="AG511" s="393"/>
      <c r="AH511" s="393"/>
      <c r="AI511" s="393"/>
      <c r="AJ511" s="472"/>
      <c r="AK511" s="1364">
        <f t="shared" ref="AK511:CF511" si="968">+AK510/AG510-1</f>
        <v>8.5881860075408767E-2</v>
      </c>
      <c r="AL511" s="1364">
        <f t="shared" si="968"/>
        <v>4.524361948955935E-2</v>
      </c>
      <c r="AM511" s="1364">
        <f t="shared" si="968"/>
        <v>0.1225325884543762</v>
      </c>
      <c r="AN511" s="1365">
        <f t="shared" si="968"/>
        <v>0.38669760247486518</v>
      </c>
      <c r="AO511" s="1364">
        <f t="shared" si="968"/>
        <v>0.39197530864197483</v>
      </c>
      <c r="AP511" s="1364">
        <f t="shared" si="968"/>
        <v>0.33481317055123916</v>
      </c>
      <c r="AQ511" s="1364">
        <f t="shared" si="968"/>
        <v>0.1887856668878567</v>
      </c>
      <c r="AR511" s="1365">
        <f t="shared" si="968"/>
        <v>8.3658672615727347E-4</v>
      </c>
      <c r="AS511" s="1364">
        <f t="shared" si="968"/>
        <v>-4.2128603104212625E-2</v>
      </c>
      <c r="AT511" s="1364">
        <f t="shared" si="968"/>
        <v>-2.6330376940132738E-2</v>
      </c>
      <c r="AU511" s="1364">
        <f t="shared" si="968"/>
        <v>2.4560424225509525E-2</v>
      </c>
      <c r="AV511" s="1365">
        <f t="shared" si="968"/>
        <v>8.553914739481705E-2</v>
      </c>
      <c r="AW511" s="1364">
        <f t="shared" si="968"/>
        <v>0.15219907407407396</v>
      </c>
      <c r="AX511" s="1364">
        <f t="shared" si="968"/>
        <v>0.11386279533162491</v>
      </c>
      <c r="AY511" s="1364">
        <f t="shared" si="968"/>
        <v>0.14873331517297728</v>
      </c>
      <c r="AZ511" s="1365">
        <f t="shared" si="968"/>
        <v>7.2895277207392306E-2</v>
      </c>
      <c r="BA511" s="1364">
        <f t="shared" si="968"/>
        <v>6.7805123053741534E-2</v>
      </c>
      <c r="BB511" s="1364">
        <f t="shared" si="968"/>
        <v>0.32634807053411707</v>
      </c>
      <c r="BC511" s="1364">
        <f t="shared" si="968"/>
        <v>0.36281716860327218</v>
      </c>
      <c r="BD511" s="1365">
        <f t="shared" si="968"/>
        <v>0.44138755980861255</v>
      </c>
      <c r="BE511" s="1364">
        <f t="shared" si="968"/>
        <v>0.80738476011288873</v>
      </c>
      <c r="BF511" s="1364">
        <f t="shared" si="968"/>
        <v>0.43834296724470145</v>
      </c>
      <c r="BG511" s="1364">
        <f t="shared" si="968"/>
        <v>0.42178527927614429</v>
      </c>
      <c r="BH511" s="1365">
        <f t="shared" si="968"/>
        <v>0.57626556016597497</v>
      </c>
      <c r="BI511" s="1364">
        <f t="shared" si="968"/>
        <v>0.27547169811320726</v>
      </c>
      <c r="BJ511" s="1364">
        <f t="shared" si="968"/>
        <v>-0.35391828533154712</v>
      </c>
      <c r="BK511" s="1364">
        <f t="shared" si="968"/>
        <v>0.57838697833802422</v>
      </c>
      <c r="BL511" s="1365">
        <f t="shared" si="968"/>
        <v>0.51616299884173955</v>
      </c>
      <c r="BM511" s="1364">
        <f t="shared" si="968"/>
        <v>0.58661497653540096</v>
      </c>
      <c r="BN511" s="1364">
        <f t="shared" si="968"/>
        <v>2.5946506323864811</v>
      </c>
      <c r="BO511" s="1364">
        <f t="shared" si="968"/>
        <v>0.69147863844304869</v>
      </c>
      <c r="BP511" s="1364">
        <f t="shared" si="968"/>
        <v>0.63462740468088086</v>
      </c>
      <c r="BQ511" s="1528">
        <f>+BQ510/BM510-1</f>
        <v>0.3936471193415636</v>
      </c>
      <c r="BR511" s="1364">
        <f t="shared" si="968"/>
        <v>0.44321393551364174</v>
      </c>
      <c r="BS511" s="1364">
        <f>+BS510/BO510-1</f>
        <v>0.22965849186339704</v>
      </c>
      <c r="BT511" s="1365">
        <f>+BT510/BP510-1</f>
        <v>0.18948888983302825</v>
      </c>
      <c r="BU511" s="1364">
        <f t="shared" si="968"/>
        <v>0.40657008397157912</v>
      </c>
      <c r="BV511" s="1364">
        <f t="shared" si="968"/>
        <v>0.38567603213300816</v>
      </c>
      <c r="BW511" s="1364">
        <f t="shared" si="968"/>
        <v>0.37170549860205049</v>
      </c>
      <c r="BX511" s="1365">
        <f t="shared" si="968"/>
        <v>0.3610744008286606</v>
      </c>
      <c r="BY511" s="1364">
        <f t="shared" si="968"/>
        <v>0.32559207505084342</v>
      </c>
      <c r="BZ511" s="1364">
        <f t="shared" si="968"/>
        <v>0.28957918721698217</v>
      </c>
      <c r="CA511" s="1364">
        <f t="shared" si="968"/>
        <v>0.37550277204043891</v>
      </c>
      <c r="CB511" s="1365">
        <f t="shared" si="968"/>
        <v>0.3513619902377576</v>
      </c>
      <c r="CC511" s="1364">
        <f t="shared" si="968"/>
        <v>0.35765175092933554</v>
      </c>
      <c r="CD511" s="1364">
        <f t="shared" si="968"/>
        <v>0.35917911135275027</v>
      </c>
      <c r="CE511" s="1364">
        <f t="shared" si="968"/>
        <v>0.2902573066418952</v>
      </c>
      <c r="CF511" s="1365">
        <f t="shared" si="968"/>
        <v>0.36314108944014212</v>
      </c>
      <c r="CG511" s="337"/>
      <c r="CH511" s="367"/>
      <c r="CI511" s="336"/>
      <c r="CJ511" s="393"/>
      <c r="CK511" s="393"/>
      <c r="CL511" s="393"/>
      <c r="CM511" s="393"/>
      <c r="CN511" s="391">
        <f t="shared" ref="CN511:CX511" si="969">+CN510/CM510-1</f>
        <v>0.16116751269035556</v>
      </c>
      <c r="CO511" s="391">
        <f t="shared" si="969"/>
        <v>0.2095838587641865</v>
      </c>
      <c r="CP511" s="391">
        <f t="shared" si="969"/>
        <v>1.0286349735891154E-2</v>
      </c>
      <c r="CQ511" s="391">
        <f t="shared" si="969"/>
        <v>0.1208035222894881</v>
      </c>
      <c r="CR511" s="391">
        <f t="shared" si="969"/>
        <v>0.3021114657500612</v>
      </c>
      <c r="CS511" s="391">
        <f t="shared" si="969"/>
        <v>0.54699726595644393</v>
      </c>
      <c r="CT511" s="391">
        <f t="shared" si="969"/>
        <v>0.27737826802364562</v>
      </c>
      <c r="CU511" s="391">
        <f t="shared" si="969"/>
        <v>0.86639154600319657</v>
      </c>
      <c r="CV511" s="391">
        <f t="shared" si="969"/>
        <v>0.29749108523664058</v>
      </c>
      <c r="CW511" s="391">
        <f t="shared" si="969"/>
        <v>0.37966054946462191</v>
      </c>
      <c r="CX511" s="391">
        <f t="shared" si="969"/>
        <v>0.33680091961244885</v>
      </c>
      <c r="CY511" s="391">
        <f t="shared" ref="CY511:DF511" si="970">+CY510/CX510-1</f>
        <v>0.34130792052617087</v>
      </c>
      <c r="CZ511" s="391">
        <f t="shared" si="970"/>
        <v>0.27260522635526319</v>
      </c>
      <c r="DA511" s="391">
        <f t="shared" si="970"/>
        <v>0.23882971874796843</v>
      </c>
      <c r="DB511" s="391">
        <f t="shared" si="970"/>
        <v>0.26131961381560642</v>
      </c>
      <c r="DC511" s="391">
        <f t="shared" si="970"/>
        <v>0.22808403638412389</v>
      </c>
      <c r="DD511" s="391">
        <f t="shared" si="970"/>
        <v>0.20301227296179247</v>
      </c>
      <c r="DE511" s="391">
        <f t="shared" si="970"/>
        <v>0.18204476653958723</v>
      </c>
      <c r="DF511" s="392">
        <f t="shared" si="970"/>
        <v>0.17253531780717823</v>
      </c>
      <c r="DG511" s="308"/>
      <c r="DH511" s="308"/>
    </row>
    <row r="512" spans="1:112" s="51" customFormat="1" ht="11.25" customHeight="1">
      <c r="A512" s="82"/>
      <c r="B512"/>
      <c r="C512"/>
      <c r="D512"/>
      <c r="E512"/>
      <c r="F512"/>
      <c r="G512"/>
      <c r="H512" s="1044"/>
      <c r="I512" s="187" t="s">
        <v>375</v>
      </c>
      <c r="J512" s="83"/>
      <c r="K512" s="83"/>
      <c r="L512" s="82"/>
      <c r="M512" s="336"/>
      <c r="N512" s="336"/>
      <c r="O512" s="336"/>
      <c r="P512" s="337"/>
      <c r="Q512" s="336"/>
      <c r="R512" s="336"/>
      <c r="S512" s="336"/>
      <c r="T512" s="337"/>
      <c r="U512" s="393"/>
      <c r="V512" s="393"/>
      <c r="W512" s="393"/>
      <c r="X512" s="472"/>
      <c r="Y512" s="393"/>
      <c r="Z512" s="393"/>
      <c r="AA512" s="393"/>
      <c r="AB512" s="472"/>
      <c r="AC512" s="393"/>
      <c r="AD512" s="393"/>
      <c r="AE512" s="393"/>
      <c r="AF512" s="472"/>
      <c r="AG512" s="393"/>
      <c r="AH512" s="786">
        <f t="shared" ref="AH512:BM512" si="971">+AH510/AG510-1</f>
        <v>8.336824465856707E-2</v>
      </c>
      <c r="AI512" s="786">
        <f t="shared" si="971"/>
        <v>3.828306264501169E-2</v>
      </c>
      <c r="AJ512" s="469">
        <f t="shared" si="971"/>
        <v>-3.6871508379888507E-2</v>
      </c>
      <c r="AK512" s="1366">
        <f t="shared" si="971"/>
        <v>2.3201856148495903E-3</v>
      </c>
      <c r="AL512" s="1366">
        <f t="shared" si="971"/>
        <v>4.2824074074073959E-2</v>
      </c>
      <c r="AM512" s="1366">
        <f t="shared" si="971"/>
        <v>0.11505734369219378</v>
      </c>
      <c r="AN512" s="1367">
        <f t="shared" si="971"/>
        <v>0.18978102189781021</v>
      </c>
      <c r="AO512" s="1366">
        <f t="shared" si="971"/>
        <v>6.1349693251531168E-3</v>
      </c>
      <c r="AP512" s="1366">
        <f t="shared" si="971"/>
        <v>0</v>
      </c>
      <c r="AQ512" s="1366">
        <f t="shared" si="971"/>
        <v>-6.929046563192709E-3</v>
      </c>
      <c r="AR512" s="1367">
        <f t="shared" si="971"/>
        <v>1.6745743790120837E-3</v>
      </c>
      <c r="AS512" s="1366">
        <f t="shared" si="971"/>
        <v>-3.7057676232933989E-2</v>
      </c>
      <c r="AT512" s="1366">
        <f t="shared" si="971"/>
        <v>1.649305555555558E-2</v>
      </c>
      <c r="AU512" s="1366">
        <f t="shared" si="971"/>
        <v>4.4975804155992227E-2</v>
      </c>
      <c r="AV512" s="1367">
        <f t="shared" si="971"/>
        <v>6.1291201307545062E-2</v>
      </c>
      <c r="AW512" s="1366">
        <f t="shared" si="971"/>
        <v>2.2073921971252908E-2</v>
      </c>
      <c r="AX512" s="1366">
        <f t="shared" si="971"/>
        <v>-1.7327975891512026E-2</v>
      </c>
      <c r="AY512" s="1366">
        <f t="shared" si="971"/>
        <v>7.7689752108357046E-2</v>
      </c>
      <c r="AZ512" s="1367">
        <f t="shared" si="971"/>
        <v>-8.7740099596871346E-3</v>
      </c>
      <c r="BA512" s="1366">
        <f t="shared" si="971"/>
        <v>1.7224880382775032E-2</v>
      </c>
      <c r="BB512" s="1366">
        <f t="shared" si="971"/>
        <v>0.2206020696142994</v>
      </c>
      <c r="BC512" s="1366">
        <f t="shared" si="971"/>
        <v>0.10732177263969178</v>
      </c>
      <c r="BD512" s="1367">
        <f t="shared" si="971"/>
        <v>4.8373064207412719E-2</v>
      </c>
      <c r="BE512" s="1366">
        <f t="shared" si="971"/>
        <v>0.27551867219917003</v>
      </c>
      <c r="BF512" s="1366">
        <f t="shared" si="971"/>
        <v>-2.8627195836044339E-2</v>
      </c>
      <c r="BG512" s="1366">
        <f t="shared" si="971"/>
        <v>9.4574681848627051E-2</v>
      </c>
      <c r="BH512" s="1367">
        <f t="shared" si="971"/>
        <v>0.16228123852649601</v>
      </c>
      <c r="BI512" s="1366">
        <f t="shared" si="971"/>
        <v>3.2115404864693886E-2</v>
      </c>
      <c r="BJ512" s="1366">
        <f t="shared" si="971"/>
        <v>-0.50795755968169742</v>
      </c>
      <c r="BK512" s="1366">
        <f t="shared" si="971"/>
        <v>1.6740617872693337</v>
      </c>
      <c r="BL512" s="1367">
        <f t="shared" si="971"/>
        <v>0.11646119252539378</v>
      </c>
      <c r="BM512" s="1366">
        <f t="shared" si="971"/>
        <v>8.0075005208694705E-2</v>
      </c>
      <c r="BN512" s="1366">
        <f t="shared" ref="BN512:CF512" si="972">+BN510/BM510-1</f>
        <v>0.11477623456790154</v>
      </c>
      <c r="BO512" s="1366">
        <f t="shared" si="972"/>
        <v>0.25829151525638805</v>
      </c>
      <c r="BP512" s="1366">
        <f t="shared" si="972"/>
        <v>7.8936511574605017E-2</v>
      </c>
      <c r="BQ512" s="1529">
        <f t="shared" si="972"/>
        <v>-7.915197348855052E-2</v>
      </c>
      <c r="BR512" s="1366">
        <f t="shared" si="972"/>
        <v>0.15442465627018631</v>
      </c>
      <c r="BS512" s="1366">
        <f t="shared" si="972"/>
        <v>7.2099436473362255E-2</v>
      </c>
      <c r="BT512" s="1367">
        <f t="shared" si="972"/>
        <v>4.3690587138862647E-2</v>
      </c>
      <c r="BU512" s="1366">
        <f t="shared" si="972"/>
        <v>8.8902382398114321E-2</v>
      </c>
      <c r="BV512" s="1366">
        <f t="shared" si="972"/>
        <v>0.13727612674670375</v>
      </c>
      <c r="BW512" s="1366">
        <f t="shared" si="972"/>
        <v>6.129041562112425E-2</v>
      </c>
      <c r="BX512" s="1367">
        <f t="shared" si="972"/>
        <v>3.5601695836503744E-2</v>
      </c>
      <c r="BY512" s="1366">
        <f t="shared" si="972"/>
        <v>6.0515404398257644E-2</v>
      </c>
      <c r="BZ512" s="1366">
        <f t="shared" si="972"/>
        <v>0.1063792932792238</v>
      </c>
      <c r="CA512" s="1366">
        <f t="shared" si="972"/>
        <v>0.13200331014739097</v>
      </c>
      <c r="CB512" s="1367">
        <f t="shared" si="972"/>
        <v>1.7426352913283205E-2</v>
      </c>
      <c r="CC512" s="1366">
        <f t="shared" si="972"/>
        <v>6.5451452734368809E-2</v>
      </c>
      <c r="CD512" s="1366">
        <f t="shared" si="972"/>
        <v>0.10762397177993921</v>
      </c>
      <c r="CE512" s="1366">
        <f t="shared" si="972"/>
        <v>7.4601227947665771E-2</v>
      </c>
      <c r="CF512" s="1367">
        <f t="shared" si="972"/>
        <v>7.4898518300156036E-2</v>
      </c>
      <c r="CG512" s="337"/>
      <c r="CH512" s="367"/>
      <c r="CI512" s="336"/>
      <c r="CJ512" s="393"/>
      <c r="CK512" s="393"/>
      <c r="CL512" s="393"/>
      <c r="CM512" s="393"/>
      <c r="CN512" s="391"/>
      <c r="CO512" s="391"/>
      <c r="CP512" s="391"/>
      <c r="CQ512" s="391"/>
      <c r="CR512" s="391"/>
      <c r="CS512" s="391"/>
      <c r="CT512" s="391"/>
      <c r="CU512" s="391"/>
      <c r="CV512" s="391"/>
      <c r="CW512" s="391"/>
      <c r="CX512" s="391"/>
      <c r="CY512" s="391"/>
      <c r="CZ512" s="1366"/>
      <c r="DA512" s="1366"/>
      <c r="DB512" s="1366"/>
      <c r="DC512" s="1366"/>
      <c r="DD512" s="1366"/>
      <c r="DE512" s="1366"/>
      <c r="DF512" s="1367"/>
      <c r="DG512" s="308"/>
      <c r="DH512" s="308"/>
    </row>
    <row r="513" spans="1:112" s="51" customFormat="1" ht="11.25" customHeight="1">
      <c r="A513" s="82"/>
      <c r="B513"/>
      <c r="C513"/>
      <c r="D513"/>
      <c r="E513"/>
      <c r="F513"/>
      <c r="G513"/>
      <c r="H513" s="1044"/>
      <c r="I513" s="185" t="s">
        <v>385</v>
      </c>
      <c r="J513" s="83"/>
      <c r="K513" s="83"/>
      <c r="L513" s="82"/>
      <c r="M513" s="336"/>
      <c r="N513" s="336"/>
      <c r="O513" s="336"/>
      <c r="P513" s="337"/>
      <c r="Q513" s="336"/>
      <c r="R513" s="336"/>
      <c r="S513" s="336"/>
      <c r="T513" s="337"/>
      <c r="U513" s="393"/>
      <c r="V513" s="393"/>
      <c r="W513" s="393"/>
      <c r="X513" s="472"/>
      <c r="Y513" s="393"/>
      <c r="Z513" s="393"/>
      <c r="AA513" s="393"/>
      <c r="AB513" s="472"/>
      <c r="AC513" s="393"/>
      <c r="AD513" s="393"/>
      <c r="AE513" s="393"/>
      <c r="AF513" s="472"/>
      <c r="AG513" s="393"/>
      <c r="AH513" s="393"/>
      <c r="AI513" s="393"/>
      <c r="AJ513" s="472"/>
      <c r="AK513" s="517">
        <f t="shared" ref="AK513:CF513" si="973">+AK510-AG510</f>
        <v>0.20500000000000052</v>
      </c>
      <c r="AL513" s="517">
        <f t="shared" si="973"/>
        <v>0.11700000000000044</v>
      </c>
      <c r="AM513" s="517">
        <f t="shared" si="973"/>
        <v>0.32900000000000018</v>
      </c>
      <c r="AN513" s="601">
        <f t="shared" si="973"/>
        <v>1.0000000000000009</v>
      </c>
      <c r="AO513" s="517">
        <f t="shared" si="973"/>
        <v>1.0159999999999991</v>
      </c>
      <c r="AP513" s="517">
        <f t="shared" si="973"/>
        <v>0.90499999999999936</v>
      </c>
      <c r="AQ513" s="517">
        <f t="shared" si="973"/>
        <v>0.56899999999999995</v>
      </c>
      <c r="AR513" s="601">
        <f t="shared" si="973"/>
        <v>3.0000000000001137E-3</v>
      </c>
      <c r="AS513" s="517">
        <f t="shared" si="973"/>
        <v>-0.15199999999999925</v>
      </c>
      <c r="AT513" s="517">
        <f t="shared" si="973"/>
        <v>-9.4999999999998863E-2</v>
      </c>
      <c r="AU513" s="517">
        <f t="shared" si="973"/>
        <v>8.8000000000000966E-2</v>
      </c>
      <c r="AV513" s="601">
        <f t="shared" si="973"/>
        <v>0.30699999999999861</v>
      </c>
      <c r="AW513" s="517">
        <f t="shared" si="973"/>
        <v>0.5259999999999998</v>
      </c>
      <c r="AX513" s="517">
        <f t="shared" si="973"/>
        <v>0.39999999999999858</v>
      </c>
      <c r="AY513" s="517">
        <f t="shared" si="973"/>
        <v>0.54599999999999937</v>
      </c>
      <c r="AZ513" s="601">
        <f t="shared" si="973"/>
        <v>0.2840000000000007</v>
      </c>
      <c r="BA513" s="517">
        <f t="shared" si="973"/>
        <v>0.26999999999999869</v>
      </c>
      <c r="BB513" s="517">
        <f t="shared" si="973"/>
        <v>1.2770000000000001</v>
      </c>
      <c r="BC513" s="517">
        <f t="shared" si="973"/>
        <v>1.5299999999999994</v>
      </c>
      <c r="BD513" s="601">
        <f t="shared" si="973"/>
        <v>1.8450000000000006</v>
      </c>
      <c r="BE513" s="517">
        <f t="shared" si="973"/>
        <v>3.4330000000000016</v>
      </c>
      <c r="BF513" s="517">
        <f t="shared" si="973"/>
        <v>2.2750000000000004</v>
      </c>
      <c r="BG513" s="517">
        <f t="shared" si="973"/>
        <v>2.4240000000000013</v>
      </c>
      <c r="BH513" s="601">
        <f t="shared" si="973"/>
        <v>3.4719999999999995</v>
      </c>
      <c r="BI513" s="517">
        <f t="shared" si="973"/>
        <v>2.1169999999999973</v>
      </c>
      <c r="BJ513" s="517">
        <f t="shared" si="973"/>
        <v>-2.6419999999999995</v>
      </c>
      <c r="BK513" s="517">
        <f t="shared" si="973"/>
        <v>4.7259999999999973</v>
      </c>
      <c r="BL513" s="601">
        <f t="shared" si="973"/>
        <v>4.902000000000001</v>
      </c>
      <c r="BM513" s="517">
        <f t="shared" si="973"/>
        <v>5.7499999999999982</v>
      </c>
      <c r="BN513" s="517">
        <f t="shared" si="973"/>
        <v>12.513999999999999</v>
      </c>
      <c r="BO513" s="517">
        <f t="shared" si="973"/>
        <v>8.9179999999999993</v>
      </c>
      <c r="BP513" s="517">
        <f t="shared" si="973"/>
        <v>9.1380000000000052</v>
      </c>
      <c r="BQ513" s="1203">
        <f t="shared" si="973"/>
        <v>6.1219999999999963</v>
      </c>
      <c r="BR513" s="517">
        <f t="shared" si="973"/>
        <v>7.6840000000000082</v>
      </c>
      <c r="BS513" s="517">
        <f t="shared" si="973"/>
        <v>5.0100000000000051</v>
      </c>
      <c r="BT513" s="601">
        <f t="shared" si="973"/>
        <v>4.4599999999999866</v>
      </c>
      <c r="BU513" s="517">
        <f t="shared" si="973"/>
        <v>8.8120000000000047</v>
      </c>
      <c r="BV513" s="517">
        <f t="shared" si="973"/>
        <v>9.6499999999999986</v>
      </c>
      <c r="BW513" s="517">
        <f t="shared" si="973"/>
        <v>9.9710000000000036</v>
      </c>
      <c r="BX513" s="601">
        <f t="shared" si="973"/>
        <v>10.109000000000009</v>
      </c>
      <c r="BY513" s="517">
        <f t="shared" si="973"/>
        <v>9.926000000000009</v>
      </c>
      <c r="BZ513" s="517">
        <f t="shared" si="973"/>
        <v>10.039999999999992</v>
      </c>
      <c r="CA513" s="517">
        <f t="shared" si="973"/>
        <v>13.816999999999993</v>
      </c>
      <c r="CB513" s="601">
        <f t="shared" si="973"/>
        <v>13.388999999999996</v>
      </c>
      <c r="CC513" s="517">
        <f t="shared" si="973"/>
        <v>14.453422558556312</v>
      </c>
      <c r="CD513" s="517">
        <f t="shared" si="973"/>
        <v>16.05925724769282</v>
      </c>
      <c r="CE513" s="517">
        <f t="shared" si="973"/>
        <v>14.690793061066245</v>
      </c>
      <c r="CF513" s="601">
        <f t="shared" si="973"/>
        <v>18.69995040072012</v>
      </c>
      <c r="CG513" s="337"/>
      <c r="CH513" s="367"/>
      <c r="CI513" s="336"/>
      <c r="CJ513" s="393"/>
      <c r="CK513" s="393"/>
      <c r="CL513" s="393"/>
      <c r="CM513" s="393"/>
      <c r="CN513" s="517">
        <f t="shared" ref="CN513:CX513" si="974">+CN510-CM510</f>
        <v>1.6510000000000016</v>
      </c>
      <c r="CO513" s="517">
        <f t="shared" si="974"/>
        <v>2.4929999999999986</v>
      </c>
      <c r="CP513" s="517">
        <f t="shared" si="974"/>
        <v>0.14800000000000146</v>
      </c>
      <c r="CQ513" s="517">
        <f t="shared" si="974"/>
        <v>1.7560000000000002</v>
      </c>
      <c r="CR513" s="517">
        <f t="shared" si="974"/>
        <v>4.921999999999997</v>
      </c>
      <c r="CS513" s="517">
        <f t="shared" si="974"/>
        <v>11.603999999999999</v>
      </c>
      <c r="CT513" s="517">
        <f t="shared" si="974"/>
        <v>9.1030000000000015</v>
      </c>
      <c r="CU513" s="517">
        <f t="shared" si="974"/>
        <v>36.32</v>
      </c>
      <c r="CV513" s="517">
        <f>+CV510-CU510</f>
        <v>23.275999999999996</v>
      </c>
      <c r="CW513" s="517">
        <f>+CW510-CV510</f>
        <v>38.54200000000003</v>
      </c>
      <c r="CX513" s="517">
        <f t="shared" si="974"/>
        <v>47.171999999999969</v>
      </c>
      <c r="CY513" s="517">
        <f t="shared" ref="CY513:DF513" si="975">+CY510-CX510</f>
        <v>63.90342326803551</v>
      </c>
      <c r="CZ513" s="517">
        <f t="shared" si="975"/>
        <v>68.460556300581288</v>
      </c>
      <c r="DA513" s="517">
        <f t="shared" si="975"/>
        <v>76.328779083635482</v>
      </c>
      <c r="DB513" s="517">
        <f t="shared" si="975"/>
        <v>103.46264371142996</v>
      </c>
      <c r="DC513" s="517">
        <f t="shared" si="975"/>
        <v>113.90206636645485</v>
      </c>
      <c r="DD513" s="517">
        <f t="shared" si="975"/>
        <v>124.50508601816227</v>
      </c>
      <c r="DE513" s="517">
        <f t="shared" si="975"/>
        <v>134.31145542856632</v>
      </c>
      <c r="DF513" s="601">
        <f t="shared" si="975"/>
        <v>150.46891509209797</v>
      </c>
      <c r="DG513" s="308"/>
      <c r="DH513" s="308"/>
    </row>
    <row r="514" spans="1:112" s="51" customFormat="1" ht="11.25" customHeight="1">
      <c r="A514" s="82"/>
      <c r="B514"/>
      <c r="C514"/>
      <c r="D514"/>
      <c r="E514"/>
      <c r="F514"/>
      <c r="G514"/>
      <c r="H514" s="1044"/>
      <c r="I514" s="185" t="s">
        <v>387</v>
      </c>
      <c r="J514" s="83"/>
      <c r="K514" s="83"/>
      <c r="L514" s="82"/>
      <c r="M514" s="336"/>
      <c r="N514" s="336"/>
      <c r="O514" s="336"/>
      <c r="P514" s="337"/>
      <c r="Q514" s="336"/>
      <c r="R514" s="336"/>
      <c r="S514" s="336"/>
      <c r="T514" s="337"/>
      <c r="U514" s="393"/>
      <c r="V514" s="393"/>
      <c r="W514" s="393"/>
      <c r="X514" s="472"/>
      <c r="Y514" s="393"/>
      <c r="Z514" s="393"/>
      <c r="AA514" s="393"/>
      <c r="AB514" s="472"/>
      <c r="AC514" s="393"/>
      <c r="AD514" s="393"/>
      <c r="AE514" s="393"/>
      <c r="AF514" s="472"/>
      <c r="AG514" s="393"/>
      <c r="AH514" s="517">
        <f t="shared" ref="AH514:BM514" si="976">+(AH510-AG510)</f>
        <v>0.19899999999999984</v>
      </c>
      <c r="AI514" s="517">
        <f t="shared" si="976"/>
        <v>9.9000000000000199E-2</v>
      </c>
      <c r="AJ514" s="601">
        <f t="shared" si="976"/>
        <v>-9.9000000000000643E-2</v>
      </c>
      <c r="AK514" s="517">
        <f t="shared" si="976"/>
        <v>6.0000000000011156E-3</v>
      </c>
      <c r="AL514" s="517">
        <f t="shared" si="976"/>
        <v>0.11099999999999977</v>
      </c>
      <c r="AM514" s="517">
        <f t="shared" si="976"/>
        <v>0.31099999999999994</v>
      </c>
      <c r="AN514" s="601">
        <f t="shared" si="976"/>
        <v>0.57200000000000006</v>
      </c>
      <c r="AO514" s="517">
        <f t="shared" si="976"/>
        <v>2.1999999999999353E-2</v>
      </c>
      <c r="AP514" s="517">
        <f t="shared" si="976"/>
        <v>0</v>
      </c>
      <c r="AQ514" s="517">
        <f t="shared" si="976"/>
        <v>-2.4999999999999467E-2</v>
      </c>
      <c r="AR514" s="601">
        <f t="shared" si="976"/>
        <v>6.0000000000002274E-3</v>
      </c>
      <c r="AS514" s="517">
        <f t="shared" si="976"/>
        <v>-0.13300000000000001</v>
      </c>
      <c r="AT514" s="517">
        <f t="shared" si="976"/>
        <v>5.7000000000000384E-2</v>
      </c>
      <c r="AU514" s="517">
        <f t="shared" si="976"/>
        <v>0.15800000000000036</v>
      </c>
      <c r="AV514" s="601">
        <f t="shared" si="976"/>
        <v>0.22499999999999787</v>
      </c>
      <c r="AW514" s="517">
        <f t="shared" si="976"/>
        <v>8.6000000000001187E-2</v>
      </c>
      <c r="AX514" s="517">
        <f t="shared" si="976"/>
        <v>-6.9000000000000838E-2</v>
      </c>
      <c r="AY514" s="517">
        <f t="shared" si="976"/>
        <v>0.30400000000000116</v>
      </c>
      <c r="AZ514" s="601">
        <f t="shared" si="976"/>
        <v>-3.700000000000081E-2</v>
      </c>
      <c r="BA514" s="517">
        <f t="shared" si="976"/>
        <v>7.1999999999999176E-2</v>
      </c>
      <c r="BB514" s="517">
        <f t="shared" si="976"/>
        <v>0.93800000000000061</v>
      </c>
      <c r="BC514" s="517">
        <f t="shared" si="976"/>
        <v>0.55700000000000038</v>
      </c>
      <c r="BD514" s="601">
        <f t="shared" si="976"/>
        <v>0.27800000000000047</v>
      </c>
      <c r="BE514" s="517">
        <f t="shared" si="976"/>
        <v>1.6600000000000001</v>
      </c>
      <c r="BF514" s="517">
        <f t="shared" si="976"/>
        <v>-0.22000000000000064</v>
      </c>
      <c r="BG514" s="517">
        <f t="shared" si="976"/>
        <v>0.70600000000000129</v>
      </c>
      <c r="BH514" s="601">
        <f t="shared" si="976"/>
        <v>1.3259999999999987</v>
      </c>
      <c r="BI514" s="517">
        <f t="shared" si="976"/>
        <v>0.30499999999999794</v>
      </c>
      <c r="BJ514" s="517">
        <f t="shared" si="976"/>
        <v>-4.9789999999999974</v>
      </c>
      <c r="BK514" s="517">
        <f t="shared" si="976"/>
        <v>8.0739999999999981</v>
      </c>
      <c r="BL514" s="601">
        <f t="shared" si="976"/>
        <v>1.5020000000000024</v>
      </c>
      <c r="BM514" s="517">
        <f t="shared" si="976"/>
        <v>1.1529999999999951</v>
      </c>
      <c r="BN514" s="517">
        <f t="shared" ref="BN514:CF514" si="977">+(BN510-BM510)</f>
        <v>1.7850000000000037</v>
      </c>
      <c r="BO514" s="517">
        <f t="shared" si="977"/>
        <v>4.477999999999998</v>
      </c>
      <c r="BP514" s="517">
        <f t="shared" si="977"/>
        <v>1.7220000000000084</v>
      </c>
      <c r="BQ514" s="1203">
        <f t="shared" si="977"/>
        <v>-1.8630000000000138</v>
      </c>
      <c r="BR514" s="517">
        <f>+(BR510-BQ510)</f>
        <v>3.3470000000000155</v>
      </c>
      <c r="BS514" s="517">
        <f>+(BS510-BR510)</f>
        <v>1.8039999999999949</v>
      </c>
      <c r="BT514" s="601">
        <f t="shared" si="977"/>
        <v>1.1719999999999899</v>
      </c>
      <c r="BU514" s="517">
        <f t="shared" si="977"/>
        <v>2.4890000000000043</v>
      </c>
      <c r="BV514" s="517">
        <f t="shared" si="977"/>
        <v>4.1850000000000094</v>
      </c>
      <c r="BW514" s="517">
        <f t="shared" si="977"/>
        <v>2.125</v>
      </c>
      <c r="BX514" s="601">
        <f t="shared" si="977"/>
        <v>1.3099999999999952</v>
      </c>
      <c r="BY514" s="517">
        <f t="shared" si="977"/>
        <v>2.3060000000000045</v>
      </c>
      <c r="BZ514" s="517">
        <f t="shared" si="977"/>
        <v>4.2989999999999924</v>
      </c>
      <c r="CA514" s="517">
        <f t="shared" si="977"/>
        <v>5.902000000000001</v>
      </c>
      <c r="CB514" s="601">
        <f t="shared" si="977"/>
        <v>0.8819999999999979</v>
      </c>
      <c r="CC514" s="517">
        <f t="shared" si="977"/>
        <v>3.3704225585563208</v>
      </c>
      <c r="CD514" s="517">
        <f t="shared" si="977"/>
        <v>5.9048346891365</v>
      </c>
      <c r="CE514" s="517">
        <f t="shared" si="977"/>
        <v>4.533535813373426</v>
      </c>
      <c r="CF514" s="601">
        <f t="shared" si="977"/>
        <v>4.8911573396538728</v>
      </c>
      <c r="CG514" s="337"/>
      <c r="CH514" s="367"/>
      <c r="CI514" s="336"/>
      <c r="CJ514" s="393"/>
      <c r="CK514" s="393"/>
      <c r="CL514" s="393"/>
      <c r="CM514" s="393"/>
      <c r="CN514" s="391"/>
      <c r="CO514" s="391"/>
      <c r="CP514" s="391"/>
      <c r="CQ514" s="391"/>
      <c r="CR514" s="391"/>
      <c r="CS514" s="391"/>
      <c r="CT514" s="391"/>
      <c r="CU514" s="391"/>
      <c r="CV514" s="391"/>
      <c r="CW514" s="391"/>
      <c r="CX514" s="391"/>
      <c r="CY514" s="391"/>
      <c r="CZ514" s="517"/>
      <c r="DA514" s="517"/>
      <c r="DB514" s="517"/>
      <c r="DC514" s="517"/>
      <c r="DD514" s="517"/>
      <c r="DE514" s="517"/>
      <c r="DF514" s="601"/>
      <c r="DG514" s="308"/>
      <c r="DH514" s="308"/>
    </row>
    <row r="515" spans="1:112" s="51" customFormat="1" ht="11.25" customHeight="1">
      <c r="A515" s="82"/>
      <c r="B515"/>
      <c r="C515"/>
      <c r="D515"/>
      <c r="E515"/>
      <c r="F515"/>
      <c r="G515"/>
      <c r="H515" s="1044"/>
      <c r="I515" s="166" t="s">
        <v>512</v>
      </c>
      <c r="J515" s="83"/>
      <c r="K515" s="83"/>
      <c r="L515" s="82"/>
      <c r="M515" s="336"/>
      <c r="N515" s="336"/>
      <c r="O515" s="336"/>
      <c r="P515" s="337"/>
      <c r="Q515" s="336"/>
      <c r="R515" s="336"/>
      <c r="S515" s="336"/>
      <c r="T515" s="337"/>
      <c r="U515" s="393"/>
      <c r="V515" s="393"/>
      <c r="W515" s="393"/>
      <c r="X515" s="472"/>
      <c r="Y515" s="393"/>
      <c r="Z515" s="393"/>
      <c r="AA515" s="393"/>
      <c r="AB515" s="472"/>
      <c r="AC515" s="393"/>
      <c r="AD515" s="393"/>
      <c r="AE515" s="393"/>
      <c r="AF515" s="472"/>
      <c r="AG515" s="393"/>
      <c r="AH515" s="393"/>
      <c r="AI515" s="393"/>
      <c r="AJ515" s="472"/>
      <c r="AK515" s="393"/>
      <c r="AL515" s="393"/>
      <c r="AM515" s="393"/>
      <c r="AN515" s="472"/>
      <c r="AO515" s="393"/>
      <c r="AP515" s="393"/>
      <c r="AQ515" s="393"/>
      <c r="AR515" s="472"/>
      <c r="AS515" s="393"/>
      <c r="AT515" s="393"/>
      <c r="AU515" s="393"/>
      <c r="AV515" s="472"/>
      <c r="AW515" s="391"/>
      <c r="AX515" s="391"/>
      <c r="AY515" s="391"/>
      <c r="AZ515" s="392"/>
      <c r="BA515" s="1203">
        <f>+BA595</f>
        <v>142.42499999999998</v>
      </c>
      <c r="BB515" s="517">
        <f t="shared" ref="BB515:CF515" si="978">+AVERAGE(BB595,BA595)</f>
        <v>147.32399999999998</v>
      </c>
      <c r="BC515" s="517">
        <f t="shared" si="978"/>
        <v>158.06950000000001</v>
      </c>
      <c r="BD515" s="601">
        <f t="shared" si="978"/>
        <v>172.44749999999999</v>
      </c>
      <c r="BE515" s="1203">
        <f t="shared" si="978"/>
        <v>185.81649999999999</v>
      </c>
      <c r="BF515" s="517">
        <f t="shared" si="978"/>
        <v>198.017</v>
      </c>
      <c r="BG515" s="517">
        <f t="shared" si="978"/>
        <v>210.64350000000002</v>
      </c>
      <c r="BH515" s="601">
        <f t="shared" si="978"/>
        <v>224.01100000000002</v>
      </c>
      <c r="BI515" s="1203">
        <f t="shared" si="978"/>
        <v>239.6405</v>
      </c>
      <c r="BJ515" s="517">
        <f t="shared" si="978"/>
        <v>257.88099999999997</v>
      </c>
      <c r="BK515" s="517">
        <f t="shared" si="978"/>
        <v>278.83449999999999</v>
      </c>
      <c r="BL515" s="601">
        <f t="shared" si="978"/>
        <v>302.81649999999996</v>
      </c>
      <c r="BM515" s="1203">
        <f t="shared" si="978"/>
        <v>331.42549999999994</v>
      </c>
      <c r="BN515" s="517">
        <f t="shared" si="978"/>
        <v>362.41849999999994</v>
      </c>
      <c r="BO515" s="517">
        <f t="shared" si="978"/>
        <v>392.91549999999995</v>
      </c>
      <c r="BP515" s="517">
        <f t="shared" si="978"/>
        <v>427.67449999999991</v>
      </c>
      <c r="BQ515" s="1203">
        <f t="shared" si="978"/>
        <v>463.69549999999992</v>
      </c>
      <c r="BR515" s="517">
        <f>+AVERAGE(BR595,BQ595)</f>
        <v>505.87099999999987</v>
      </c>
      <c r="BS515" s="517">
        <f>+AVERAGE(BS595,BR595)</f>
        <v>553.55799999999977</v>
      </c>
      <c r="BT515" s="601">
        <f>+AVERAGE(BT595,BS595)</f>
        <v>598.3399999999998</v>
      </c>
      <c r="BU515" s="517">
        <f t="shared" si="978"/>
        <v>648.60699999999974</v>
      </c>
      <c r="BV515" s="517">
        <f t="shared" si="978"/>
        <v>705.45649999999978</v>
      </c>
      <c r="BW515" s="517">
        <f t="shared" si="978"/>
        <v>762.86649999999975</v>
      </c>
      <c r="BX515" s="601">
        <f t="shared" si="978"/>
        <v>815.96149999999966</v>
      </c>
      <c r="BY515" s="517">
        <f t="shared" si="978"/>
        <v>877.1474999999997</v>
      </c>
      <c r="BZ515" s="517">
        <f t="shared" si="978"/>
        <v>950.7819999999997</v>
      </c>
      <c r="CA515" s="517">
        <f t="shared" si="978"/>
        <v>1027.3484999999996</v>
      </c>
      <c r="CB515" s="601">
        <f t="shared" si="978"/>
        <v>1097.6164999999996</v>
      </c>
      <c r="CC515" s="1203">
        <f t="shared" si="978"/>
        <v>1178.9477082391204</v>
      </c>
      <c r="CD515" s="517">
        <f t="shared" si="978"/>
        <v>1278.961153085585</v>
      </c>
      <c r="CE515" s="517">
        <f t="shared" si="978"/>
        <v>1368.4087562584677</v>
      </c>
      <c r="CF515" s="601">
        <f t="shared" si="978"/>
        <v>1450.4309694425569</v>
      </c>
      <c r="CG515" s="337"/>
      <c r="CH515" s="367"/>
      <c r="CI515" s="336"/>
      <c r="CJ515" s="393"/>
      <c r="CK515" s="393"/>
      <c r="CL515" s="393"/>
      <c r="CM515" s="393"/>
      <c r="CN515" s="391"/>
      <c r="CO515" s="391"/>
      <c r="CP515" s="391"/>
      <c r="CQ515" s="391"/>
      <c r="CR515" s="517">
        <f t="shared" ref="CR515:CX515" si="979">+AVERAGE(CR595,CQ595)</f>
        <v>155.55149999999998</v>
      </c>
      <c r="CS515" s="517">
        <f t="shared" si="979"/>
        <v>204.536</v>
      </c>
      <c r="CT515" s="517">
        <f t="shared" si="979"/>
        <v>274.33749999999998</v>
      </c>
      <c r="CU515" s="517">
        <f t="shared" si="979"/>
        <v>382.3119999999999</v>
      </c>
      <c r="CV515" s="517">
        <f>+AVERAGE(CV595,CU595)</f>
        <v>535.02149999999983</v>
      </c>
      <c r="CW515" s="517">
        <f>+AVERAGE(CW595,CV595)</f>
        <v>731.92349999999976</v>
      </c>
      <c r="CX515" s="517">
        <f t="shared" si="979"/>
        <v>985.77049999999974</v>
      </c>
      <c r="CY515" s="517">
        <f t="shared" ref="CY515:DF515" si="980">+AVERAGE(CY595,CX595)</f>
        <v>1311.7086580305538</v>
      </c>
      <c r="CZ515" s="517">
        <f t="shared" si="980"/>
        <v>1707.7226979808706</v>
      </c>
      <c r="DA515" s="517">
        <f t="shared" si="980"/>
        <v>2166.285861453795</v>
      </c>
      <c r="DB515" s="517">
        <f t="shared" si="980"/>
        <v>2686.0589243149734</v>
      </c>
      <c r="DC515" s="517">
        <f t="shared" si="980"/>
        <v>3267.3714492337472</v>
      </c>
      <c r="DD515" s="517">
        <f t="shared" si="980"/>
        <v>3911.1242829341304</v>
      </c>
      <c r="DE515" s="517">
        <f>+AVERAGE(DE595,DD595)</f>
        <v>4618.2025805558496</v>
      </c>
      <c r="DF515" s="601">
        <f t="shared" si="980"/>
        <v>5391.8754516269673</v>
      </c>
      <c r="DG515" s="308"/>
      <c r="DH515" s="308"/>
    </row>
    <row r="516" spans="1:112" s="51" customFormat="1" ht="11.25" customHeight="1">
      <c r="A516" s="82"/>
      <c r="B516"/>
      <c r="C516"/>
      <c r="D516"/>
      <c r="E516"/>
      <c r="F516"/>
      <c r="G516"/>
      <c r="H516" s="1044"/>
      <c r="I516" s="166" t="s">
        <v>513</v>
      </c>
      <c r="J516" s="83"/>
      <c r="K516" s="83"/>
      <c r="L516" s="82"/>
      <c r="M516" s="336"/>
      <c r="N516" s="336"/>
      <c r="O516" s="336"/>
      <c r="P516" s="337"/>
      <c r="Q516" s="336"/>
      <c r="R516" s="336"/>
      <c r="S516" s="336"/>
      <c r="T516" s="337"/>
      <c r="U516" s="393"/>
      <c r="V516" s="393"/>
      <c r="W516" s="393"/>
      <c r="X516" s="472"/>
      <c r="Y516" s="393"/>
      <c r="Z516" s="393"/>
      <c r="AA516" s="393"/>
      <c r="AB516" s="472"/>
      <c r="AC516" s="393"/>
      <c r="AD516" s="393"/>
      <c r="AE516" s="393"/>
      <c r="AF516" s="472"/>
      <c r="AG516" s="393"/>
      <c r="AH516" s="393"/>
      <c r="AI516" s="393"/>
      <c r="AJ516" s="472"/>
      <c r="AK516" s="391"/>
      <c r="AL516" s="391"/>
      <c r="AM516" s="391"/>
      <c r="AN516" s="392"/>
      <c r="AO516" s="391"/>
      <c r="AP516" s="391"/>
      <c r="AQ516" s="391"/>
      <c r="AR516" s="392"/>
      <c r="AS516" s="391"/>
      <c r="AT516" s="391"/>
      <c r="AU516" s="391"/>
      <c r="AV516" s="392"/>
      <c r="AW516" s="391"/>
      <c r="AX516" s="391"/>
      <c r="AY516" s="391"/>
      <c r="AZ516" s="392"/>
      <c r="BA516" s="1366">
        <f t="shared" ref="BA516:CF516" si="981">+BA510/BA515</f>
        <v>2.9854309285588902E-2</v>
      </c>
      <c r="BB516" s="1366">
        <f t="shared" si="981"/>
        <v>3.522847601205506E-2</v>
      </c>
      <c r="BC516" s="1366">
        <f t="shared" si="981"/>
        <v>3.6357425056699741E-2</v>
      </c>
      <c r="BD516" s="1367">
        <f t="shared" si="981"/>
        <v>3.4938169587845583E-2</v>
      </c>
      <c r="BE516" s="1366">
        <f t="shared" si="981"/>
        <v>4.1358006420312517E-2</v>
      </c>
      <c r="BF516" s="1366">
        <f t="shared" si="981"/>
        <v>3.7698783437785648E-2</v>
      </c>
      <c r="BG516" s="1366">
        <f t="shared" si="981"/>
        <v>3.8790658149907307E-2</v>
      </c>
      <c r="BH516" s="1367">
        <f t="shared" si="981"/>
        <v>4.2395239519487878E-2</v>
      </c>
      <c r="BI516" s="1366">
        <f t="shared" si="981"/>
        <v>4.0902935856000959E-2</v>
      </c>
      <c r="BJ516" s="1366">
        <f t="shared" si="981"/>
        <v>1.8702424761808743E-2</v>
      </c>
      <c r="BK516" s="1366">
        <f t="shared" si="981"/>
        <v>4.6253243411414291E-2</v>
      </c>
      <c r="BL516" s="1367">
        <f t="shared" si="981"/>
        <v>4.7550249078237163E-2</v>
      </c>
      <c r="BM516" s="1366">
        <f t="shared" si="981"/>
        <v>4.6924572792377169E-2</v>
      </c>
      <c r="BN516" s="1366">
        <f t="shared" si="981"/>
        <v>4.7836961965241849E-2</v>
      </c>
      <c r="BO516" s="1366">
        <f t="shared" si="981"/>
        <v>5.5520843540150494E-2</v>
      </c>
      <c r="BP516" s="1366">
        <f t="shared" si="981"/>
        <v>5.5034845425668381E-2</v>
      </c>
      <c r="BQ516" s="1529">
        <f>+BQ510/BQ515</f>
        <v>4.674188125612605E-2</v>
      </c>
      <c r="BR516" s="1366">
        <f t="shared" si="981"/>
        <v>4.9461226281008429E-2</v>
      </c>
      <c r="BS516" s="1366">
        <f>+BS510/BS515</f>
        <v>4.8459240043500433E-2</v>
      </c>
      <c r="BT516" s="1367">
        <f>+BT510/BT515</f>
        <v>4.6791122104489088E-2</v>
      </c>
      <c r="BU516" s="1366">
        <f t="shared" si="981"/>
        <v>4.7002267937287151E-2</v>
      </c>
      <c r="BV516" s="1366">
        <f t="shared" si="981"/>
        <v>4.9146899915161343E-2</v>
      </c>
      <c r="BW516" s="1366">
        <f t="shared" si="981"/>
        <v>4.8233865296221576E-2</v>
      </c>
      <c r="BX516" s="1367">
        <f t="shared" si="981"/>
        <v>4.6700732816438051E-2</v>
      </c>
      <c r="BY516" s="1366">
        <f>+BY510/BY515</f>
        <v>4.607206883676921E-2</v>
      </c>
      <c r="BZ516" s="1366">
        <f t="shared" si="981"/>
        <v>4.7025501113820006E-2</v>
      </c>
      <c r="CA516" s="1366">
        <f>+CA510/CA515</f>
        <v>4.926565814813573E-2</v>
      </c>
      <c r="CB516" s="1367">
        <f t="shared" ref="CB516" si="982">+CB510/CB515</f>
        <v>4.6915293274108046E-2</v>
      </c>
      <c r="CC516" s="1366">
        <f t="shared" si="981"/>
        <v>4.6537621791982162E-2</v>
      </c>
      <c r="CD516" s="1366">
        <f t="shared" si="981"/>
        <v>4.7515326873752373E-2</v>
      </c>
      <c r="CE516" s="1366">
        <f t="shared" si="981"/>
        <v>4.7722431446303559E-2</v>
      </c>
      <c r="CF516" s="1367">
        <f t="shared" si="981"/>
        <v>4.8395926369179838E-2</v>
      </c>
      <c r="CG516" s="337"/>
      <c r="CH516" s="367"/>
      <c r="CI516" s="336"/>
      <c r="CJ516" s="393"/>
      <c r="CK516" s="393"/>
      <c r="CL516" s="393"/>
      <c r="CM516" s="393"/>
      <c r="CN516" s="391"/>
      <c r="CO516" s="391"/>
      <c r="CP516" s="391"/>
      <c r="CQ516" s="391"/>
      <c r="CR516" s="1366">
        <f t="shared" ref="CR516:CX516" si="983">+CR510/CR515</f>
        <v>0.13637926988810781</v>
      </c>
      <c r="CS516" s="1366">
        <f t="shared" si="983"/>
        <v>0.16045097195603708</v>
      </c>
      <c r="CT516" s="1366">
        <f t="shared" si="983"/>
        <v>0.15280812867362284</v>
      </c>
      <c r="CU516" s="1366">
        <f t="shared" si="983"/>
        <v>0.2046522212224571</v>
      </c>
      <c r="CV516" s="1366">
        <f t="shared" si="983"/>
        <v>0.18974377665196637</v>
      </c>
      <c r="CW516" s="1366">
        <f>+CW510/CW515</f>
        <v>0.1913574301139396</v>
      </c>
      <c r="CX516" s="1366">
        <f t="shared" si="983"/>
        <v>0.18993366102962103</v>
      </c>
      <c r="CY516" s="1366">
        <f t="shared" ref="CY516:DF516" si="984">+CY510/CY515</f>
        <v>0.19145594696698709</v>
      </c>
      <c r="CZ516" s="1366">
        <f t="shared" si="984"/>
        <v>0.18714688277346817</v>
      </c>
      <c r="DA516" s="1366">
        <f t="shared" si="984"/>
        <v>0.18276616475101201</v>
      </c>
      <c r="DB516" s="1366">
        <f t="shared" si="984"/>
        <v>0.18591788804150711</v>
      </c>
      <c r="DC516" s="1366">
        <f t="shared" si="984"/>
        <v>0.18770087155960288</v>
      </c>
      <c r="DD516" s="1366">
        <f t="shared" si="984"/>
        <v>0.18863976222069981</v>
      </c>
      <c r="DE516" s="1366">
        <f t="shared" si="984"/>
        <v>0.18884078707346325</v>
      </c>
      <c r="DF516" s="1367">
        <f t="shared" si="984"/>
        <v>0.18965088018871204</v>
      </c>
      <c r="DG516" s="308"/>
      <c r="DH516" s="308"/>
    </row>
    <row r="517" spans="1:112" s="51" customFormat="1" ht="11.25" customHeight="1">
      <c r="A517" s="82"/>
      <c r="B517"/>
      <c r="C517"/>
      <c r="D517"/>
      <c r="E517"/>
      <c r="F517"/>
      <c r="G517"/>
      <c r="H517" s="1044"/>
      <c r="I517" s="166" t="s">
        <v>514</v>
      </c>
      <c r="J517" s="83"/>
      <c r="K517" s="83"/>
      <c r="L517" s="82"/>
      <c r="M517" s="336"/>
      <c r="N517" s="336"/>
      <c r="O517" s="336"/>
      <c r="P517" s="337"/>
      <c r="Q517" s="336"/>
      <c r="R517" s="336"/>
      <c r="S517" s="336"/>
      <c r="T517" s="337"/>
      <c r="U517" s="393"/>
      <c r="V517" s="393"/>
      <c r="W517" s="393"/>
      <c r="X517" s="472"/>
      <c r="Y517" s="393"/>
      <c r="Z517" s="393"/>
      <c r="AA517" s="393"/>
      <c r="AB517" s="472"/>
      <c r="AC517" s="393"/>
      <c r="AD517" s="393"/>
      <c r="AE517" s="393"/>
      <c r="AF517" s="472"/>
      <c r="AG517" s="393"/>
      <c r="AH517" s="393"/>
      <c r="AI517" s="393"/>
      <c r="AJ517" s="472"/>
      <c r="AK517" s="391"/>
      <c r="AL517" s="391"/>
      <c r="AM517" s="391"/>
      <c r="AN517" s="392"/>
      <c r="AO517" s="391"/>
      <c r="AP517" s="391"/>
      <c r="AQ517" s="391"/>
      <c r="AR517" s="392"/>
      <c r="AS517" s="391"/>
      <c r="AT517" s="391"/>
      <c r="AU517" s="391"/>
      <c r="AV517" s="392"/>
      <c r="AW517" s="391"/>
      <c r="AX517" s="391"/>
      <c r="AY517" s="391"/>
      <c r="AZ517" s="392"/>
      <c r="BA517" s="1203">
        <f t="shared" ref="BA517:CF517" si="985">1/BA516/4</f>
        <v>8.3740004703668873</v>
      </c>
      <c r="BB517" s="517">
        <f t="shared" si="985"/>
        <v>7.0965317919075153</v>
      </c>
      <c r="BC517" s="517">
        <f t="shared" si="985"/>
        <v>6.876174525839569</v>
      </c>
      <c r="BD517" s="601">
        <f t="shared" si="985"/>
        <v>7.1554979253112023</v>
      </c>
      <c r="BE517" s="1203">
        <f t="shared" si="985"/>
        <v>6.0447787898503575</v>
      </c>
      <c r="BF517" s="517">
        <f t="shared" si="985"/>
        <v>6.6315137307434693</v>
      </c>
      <c r="BG517" s="517">
        <f t="shared" si="985"/>
        <v>6.4448506914698322</v>
      </c>
      <c r="BH517" s="601">
        <f t="shared" si="985"/>
        <v>5.8968884911024544</v>
      </c>
      <c r="BI517" s="1203">
        <f t="shared" si="985"/>
        <v>6.1120307080187732</v>
      </c>
      <c r="BJ517" s="517">
        <f t="shared" si="985"/>
        <v>13.367250673854446</v>
      </c>
      <c r="BK517" s="517">
        <f t="shared" si="985"/>
        <v>5.4050263627200135</v>
      </c>
      <c r="BL517" s="601">
        <f t="shared" si="985"/>
        <v>5.257596013612055</v>
      </c>
      <c r="BM517" s="1203">
        <f t="shared" si="985"/>
        <v>5.3276990097736627</v>
      </c>
      <c r="BN517" s="517">
        <f t="shared" si="985"/>
        <v>5.2260843859952697</v>
      </c>
      <c r="BO517" s="517">
        <f t="shared" ref="BO517:BT517" si="986">1/BO516/4</f>
        <v>4.5028134311253725</v>
      </c>
      <c r="BP517" s="517">
        <f t="shared" si="986"/>
        <v>4.5425765815524466</v>
      </c>
      <c r="BQ517" s="1203">
        <f t="shared" si="986"/>
        <v>5.3485224231798476</v>
      </c>
      <c r="BR517" s="517">
        <f t="shared" si="986"/>
        <v>5.0544642500299721</v>
      </c>
      <c r="BS517" s="517">
        <f t="shared" si="986"/>
        <v>5.1589748369058688</v>
      </c>
      <c r="BT517" s="601">
        <f t="shared" si="986"/>
        <v>5.3428938814873019</v>
      </c>
      <c r="BU517" s="517">
        <f t="shared" si="985"/>
        <v>5.3188922784228811</v>
      </c>
      <c r="BV517" s="517">
        <f>1/BV516/4</f>
        <v>5.0867908338380756</v>
      </c>
      <c r="BW517" s="517">
        <f t="shared" si="985"/>
        <v>5.1830803619958665</v>
      </c>
      <c r="BX517" s="601">
        <f t="shared" si="985"/>
        <v>5.3532350548470031</v>
      </c>
      <c r="BY517" s="517">
        <f>1/BY516/4</f>
        <v>5.4262811788577618</v>
      </c>
      <c r="BZ517" s="517">
        <f t="shared" si="985"/>
        <v>5.3162644539375083</v>
      </c>
      <c r="CA517" s="517">
        <f>1/CA516/4</f>
        <v>5.0745287771916283</v>
      </c>
      <c r="CB517" s="601">
        <f t="shared" ref="CB517" si="987">1/CB516/4</f>
        <v>5.328752791533157</v>
      </c>
      <c r="CC517" s="1203">
        <f t="shared" si="985"/>
        <v>5.3719977595217774</v>
      </c>
      <c r="CD517" s="517">
        <f t="shared" si="985"/>
        <v>5.2614601739823206</v>
      </c>
      <c r="CE517" s="517">
        <f t="shared" si="985"/>
        <v>5.2386266253280827</v>
      </c>
      <c r="CF517" s="601">
        <f t="shared" si="985"/>
        <v>5.1657240341453292</v>
      </c>
      <c r="CG517" s="337"/>
      <c r="CH517" s="367"/>
      <c r="CI517" s="336"/>
      <c r="CJ517" s="393"/>
      <c r="CK517" s="393"/>
      <c r="CL517" s="393"/>
      <c r="CM517" s="393"/>
      <c r="CN517" s="391"/>
      <c r="CO517" s="391"/>
      <c r="CP517" s="391"/>
      <c r="CQ517" s="391"/>
      <c r="CR517" s="517">
        <f t="shared" ref="CR517:CX517" si="988">1/CR516</f>
        <v>7.3324926935042889</v>
      </c>
      <c r="CS517" s="517">
        <f t="shared" si="988"/>
        <v>6.2324334206837708</v>
      </c>
      <c r="CT517" s="517">
        <f t="shared" si="988"/>
        <v>6.5441544810476842</v>
      </c>
      <c r="CU517" s="517">
        <f t="shared" si="988"/>
        <v>4.8863383647959493</v>
      </c>
      <c r="CV517" s="517">
        <f t="shared" si="988"/>
        <v>5.2702650787552807</v>
      </c>
      <c r="CW517" s="517">
        <f>1/CW516</f>
        <v>5.2258226890096289</v>
      </c>
      <c r="CX517" s="517">
        <f t="shared" si="988"/>
        <v>5.2649961811879429</v>
      </c>
      <c r="CY517" s="517">
        <f t="shared" ref="CY517:DE517" si="989">1/CY516</f>
        <v>5.2231336547223099</v>
      </c>
      <c r="CZ517" s="517">
        <f t="shared" si="989"/>
        <v>5.3433965085619377</v>
      </c>
      <c r="DA517" s="517">
        <f>1/DA516</f>
        <v>5.4714722572546775</v>
      </c>
      <c r="DB517" s="517">
        <f t="shared" si="989"/>
        <v>5.3787185866523233</v>
      </c>
      <c r="DC517" s="517">
        <f t="shared" si="989"/>
        <v>5.3276257680159897</v>
      </c>
      <c r="DD517" s="517">
        <f t="shared" si="989"/>
        <v>5.3011093113552921</v>
      </c>
      <c r="DE517" s="517">
        <f t="shared" si="989"/>
        <v>5.2954661728399692</v>
      </c>
      <c r="DF517" s="601">
        <f>1/DF516</f>
        <v>5.27284660637984</v>
      </c>
      <c r="DG517" s="308"/>
      <c r="DH517" s="308"/>
    </row>
    <row r="518" spans="1:112" s="51" customFormat="1" ht="11.25" customHeight="1">
      <c r="A518" s="82"/>
      <c r="B518"/>
      <c r="C518"/>
      <c r="D518"/>
      <c r="E518"/>
      <c r="F518"/>
      <c r="G518"/>
      <c r="H518" s="82"/>
      <c r="I518" s="1333" t="s">
        <v>507</v>
      </c>
      <c r="J518" s="83"/>
      <c r="K518" s="83"/>
      <c r="L518" s="82"/>
      <c r="M518" s="336"/>
      <c r="N518" s="336"/>
      <c r="O518" s="336"/>
      <c r="P518" s="337"/>
      <c r="Q518" s="336"/>
      <c r="R518" s="336"/>
      <c r="S518" s="336"/>
      <c r="T518" s="337"/>
      <c r="U518" s="393"/>
      <c r="V518" s="393"/>
      <c r="W518" s="393"/>
      <c r="X518" s="472"/>
      <c r="Y518" s="393"/>
      <c r="Z518" s="393"/>
      <c r="AA518" s="393"/>
      <c r="AB518" s="472"/>
      <c r="AC518" s="393"/>
      <c r="AD518" s="393"/>
      <c r="AE518" s="393"/>
      <c r="AF518" s="472"/>
      <c r="AG518" s="391">
        <f>+Model!AG69/Model!AG39</f>
        <v>3.3046752779277599E-2</v>
      </c>
      <c r="AH518" s="391">
        <f>+Model!AH69/Model!AH39</f>
        <v>2.4441419984121582E-2</v>
      </c>
      <c r="AI518" s="391">
        <f>+Model!AI69/Model!AI39</f>
        <v>2.1950621321124915E-2</v>
      </c>
      <c r="AJ518" s="392">
        <f>+Model!AJ69/Model!AJ39</f>
        <v>2.5985510013364552E-2</v>
      </c>
      <c r="AK518" s="391">
        <f>+Model!AK69/Model!AK39</f>
        <v>2.4961719585126975E-2</v>
      </c>
      <c r="AL518" s="391">
        <f>+Model!AL69/Model!AL39</f>
        <v>1.7450756328562307E-2</v>
      </c>
      <c r="AM518" s="391">
        <f>+Model!AM69/Model!AM39</f>
        <v>1.4896382660096576E-2</v>
      </c>
      <c r="AN518" s="392">
        <f>+Model!AN69/Model!AN39</f>
        <v>2.239122833308357E-2</v>
      </c>
      <c r="AO518" s="391">
        <f>+Model!AO69/Model!AO39</f>
        <v>1.9922364621237636E-2</v>
      </c>
      <c r="AP518" s="391">
        <f>+Model!AP69/Model!AP39</f>
        <v>1.4220120208887573E-2</v>
      </c>
      <c r="AQ518" s="391">
        <f>+Model!AQ69/Model!AQ39</f>
        <v>1.1335809515372787E-2</v>
      </c>
      <c r="AR518" s="392">
        <f>+Model!AR69/Model!AR39</f>
        <v>1.7501767732182479E-2</v>
      </c>
      <c r="AS518" s="391">
        <f>+Model!AS69/Model!AS39</f>
        <v>1.6589065425046803E-2</v>
      </c>
      <c r="AT518" s="391">
        <f>+Model!AT69/Model!AT39</f>
        <v>1.1509051952902328E-2</v>
      </c>
      <c r="AU518" s="391">
        <f>+Model!AU69/Model!AU39</f>
        <v>8.4584084091003375E-3</v>
      </c>
      <c r="AV518" s="392">
        <f>+Model!AV69/Model!AV39</f>
        <v>1.2439772788954907E-2</v>
      </c>
      <c r="AW518" s="391">
        <f>+Model!AW69/Model!AW39</f>
        <v>1.2478221085749388E-2</v>
      </c>
      <c r="AX518" s="391">
        <f>+Model!AX69/Model!AX39</f>
        <v>8.7699245154465432E-3</v>
      </c>
      <c r="AY518" s="391">
        <f>+Model!AY69/Model!AY39</f>
        <v>6.3109091779805114E-3</v>
      </c>
      <c r="AZ518" s="392">
        <f>+Model!AZ69/Model!AZ39</f>
        <v>8.7053227425515321E-3</v>
      </c>
      <c r="BA518" s="391">
        <f>+Model!BA69/Model!BA39</f>
        <v>8.4063518172903529E-3</v>
      </c>
      <c r="BB518" s="391">
        <f>+Model!BB69/Model!BB39</f>
        <v>6.9271395718520541E-3</v>
      </c>
      <c r="BC518" s="391">
        <f>+Model!BC69/Model!BC39</f>
        <v>5.2238426102669813E-3</v>
      </c>
      <c r="BD518" s="392">
        <f>+Model!BD69/Model!BD39</f>
        <v>8.3138194307413992E-3</v>
      </c>
      <c r="BE518" s="391">
        <f>+Model!BE69/Model!BE39</f>
        <v>1.0339195574259238E-2</v>
      </c>
      <c r="BF518" s="391">
        <f>+Model!BF69/Model!BF39</f>
        <v>7.4342075124832936E-3</v>
      </c>
      <c r="BG518" s="391">
        <f>+Model!BG69/Model!BG39</f>
        <v>5.8510520221611018E-3</v>
      </c>
      <c r="BH518" s="392">
        <f>+Model!BH69/Model!BH39</f>
        <v>1.0105879223197658E-2</v>
      </c>
      <c r="BI518" s="391">
        <f>+Model!BI69/Model!BI31</f>
        <v>9.7081705318100547E-3</v>
      </c>
      <c r="BJ518" s="391">
        <f>+Model!BJ69/Model!BJ31</f>
        <v>3.5574693319442288E-3</v>
      </c>
      <c r="BK518" s="391">
        <f>+Model!BK69/Model!BK31</f>
        <v>6.6954883463862429E-3</v>
      </c>
      <c r="BL518" s="392">
        <f>+Model!BL69/Model!BL31</f>
        <v>1.1226813363486699E-2</v>
      </c>
      <c r="BM518" s="391">
        <f>+Model!BM69/Model!BM31</f>
        <v>1.1598675318215436E-2</v>
      </c>
      <c r="BN518" s="391">
        <f>+Model!BN69/Model!BN31</f>
        <v>9.5465159317632987E-3</v>
      </c>
      <c r="BO518" s="391">
        <f>+Model!BO69/Model!BO31</f>
        <v>8.7033397296719696E-3</v>
      </c>
      <c r="BP518" s="391">
        <f>+Model!BP69/Model!BP31</f>
        <v>1.5113721895926743E-2</v>
      </c>
      <c r="BQ518" s="1405">
        <f>+Model!BQ69/Model!BQ31</f>
        <v>1.4091114763003088E-2</v>
      </c>
      <c r="BR518" s="391">
        <f>+Model!BR69/Model!BR31</f>
        <v>1.2793673141447692E-2</v>
      </c>
      <c r="BS518" s="391">
        <f>+Model!BS69/Model!BS31</f>
        <v>9.5750881016856259E-3</v>
      </c>
      <c r="BT518" s="392">
        <f>+Model!BT69/Model!BT31</f>
        <v>1.6078018833039071E-2</v>
      </c>
      <c r="BU518" s="391">
        <f>+Model!BU69/Model!BU31</f>
        <v>1.6311386561779793E-2</v>
      </c>
      <c r="BV518" s="391">
        <f>+Model!BV69/Model!BV31</f>
        <v>1.5240025738137902E-2</v>
      </c>
      <c r="BW518" s="391">
        <f>+Model!BW69/Model!BW31</f>
        <v>1.0733154372998004E-2</v>
      </c>
      <c r="BX518" s="392">
        <f>+Model!BX69/Model!BX31</f>
        <v>1.7948078560879689E-2</v>
      </c>
      <c r="BY518" s="391">
        <f>+Model!BY69/Model!BY31</f>
        <v>1.8612425599659414E-2</v>
      </c>
      <c r="BZ518" s="391">
        <f>+Model!BZ69/Model!BZ31</f>
        <v>1.6059817963090483E-2</v>
      </c>
      <c r="CA518" s="391">
        <f>+Model!CA69/Model!CA31</f>
        <v>1.2049246675729947E-2</v>
      </c>
      <c r="CB518" s="392">
        <f>+Model!CB69/Model!CB31</f>
        <v>1.978132131515237E-2</v>
      </c>
      <c r="CC518" s="785">
        <f>+BY518+0.001</f>
        <v>1.9612425599659415E-2</v>
      </c>
      <c r="CD518" s="785">
        <f t="shared" ref="CD518:CF518" si="990">+BZ518+0.001</f>
        <v>1.7059817963090484E-2</v>
      </c>
      <c r="CE518" s="785">
        <f t="shared" si="990"/>
        <v>1.3049246675729948E-2</v>
      </c>
      <c r="CF518" s="489">
        <f t="shared" si="990"/>
        <v>2.0781321315152371E-2</v>
      </c>
      <c r="CG518" s="337"/>
      <c r="CH518" s="367"/>
      <c r="CI518" s="336"/>
      <c r="CJ518" s="393"/>
      <c r="CK518" s="393"/>
      <c r="CL518" s="393"/>
      <c r="CM518" s="391">
        <f>+Model!CM69/Model!CM39</f>
        <v>2.5618197823303445E-2</v>
      </c>
      <c r="CN518" s="391">
        <f>+Model!CN69/Model!CN39</f>
        <v>1.9147960046038824E-2</v>
      </c>
      <c r="CO518" s="391">
        <f>+Model!CO69/Model!CO39</f>
        <v>1.5050665762873557E-2</v>
      </c>
      <c r="CP518" s="391">
        <f>+Model!CP69/Model!CP39</f>
        <v>1.1529526167884052E-2</v>
      </c>
      <c r="CQ518" s="391">
        <f>+Model!CQ69/Model!CQ39</f>
        <v>8.5134667660218006E-3</v>
      </c>
      <c r="CR518" s="391">
        <f>+Model!CR69/Model!CR39</f>
        <v>6.8879306985986447E-3</v>
      </c>
      <c r="CS518" s="391">
        <f>+Model!CS69/Model!CS39</f>
        <v>8.0363769843922652E-3</v>
      </c>
      <c r="CT518" s="391">
        <f>+Model!CT69/Model!CT39</f>
        <v>7.3341210793917153E-3</v>
      </c>
      <c r="CU518" s="391">
        <f>+Model!CU69/Model!CU39</f>
        <v>1.0316410715533622E-2</v>
      </c>
      <c r="CV518" s="391">
        <f>+Model!CV69/Model!CV39</f>
        <v>1.1815558706102222E-2</v>
      </c>
      <c r="CW518" s="391">
        <f>+Model!CW69/Model!CW39</f>
        <v>1.3578592555163067E-2</v>
      </c>
      <c r="CX518" s="391">
        <f>+Model!CX69/Model!CX39</f>
        <v>1.5062171449441679E-2</v>
      </c>
      <c r="CY518" s="391">
        <f>+Model!CY69/Model!CY39</f>
        <v>1.7035451161599654E-2</v>
      </c>
      <c r="CZ518" s="1335">
        <f>+CY518+0.002</f>
        <v>1.9035451161599652E-2</v>
      </c>
      <c r="DA518" s="1335">
        <f>+CZ518+0.002</f>
        <v>2.1035451161599654E-2</v>
      </c>
      <c r="DB518" s="1335">
        <f>+DA518+0.003</f>
        <v>2.4035451161599653E-2</v>
      </c>
      <c r="DC518" s="1335">
        <f>+DB518+0.003</f>
        <v>2.7035451161599652E-2</v>
      </c>
      <c r="DD518" s="1335">
        <f t="shared" ref="DD518:DF518" si="991">+DC518+0.003</f>
        <v>3.0035451161599652E-2</v>
      </c>
      <c r="DE518" s="1335">
        <f t="shared" si="991"/>
        <v>3.3035451161599651E-2</v>
      </c>
      <c r="DF518" s="1335">
        <f t="shared" si="991"/>
        <v>3.6035451161599653E-2</v>
      </c>
      <c r="DG518" s="308"/>
      <c r="DH518" s="308"/>
    </row>
    <row r="519" spans="1:112" s="61" customFormat="1" ht="11.25" customHeight="1">
      <c r="A519" s="48"/>
      <c r="B519"/>
      <c r="C519"/>
      <c r="D519"/>
      <c r="E519"/>
      <c r="F519"/>
      <c r="G519"/>
      <c r="H519" s="1044"/>
      <c r="I519" s="1332" t="s">
        <v>384</v>
      </c>
      <c r="J519" s="85"/>
      <c r="K519" s="85"/>
      <c r="L519" s="60"/>
      <c r="M519" s="350"/>
      <c r="N519" s="350"/>
      <c r="O519" s="350"/>
      <c r="P519" s="351"/>
      <c r="Q519" s="350"/>
      <c r="R519" s="350"/>
      <c r="S519" s="350"/>
      <c r="T519" s="351"/>
      <c r="U519" s="482"/>
      <c r="V519" s="482"/>
      <c r="W519" s="482"/>
      <c r="X519" s="483"/>
      <c r="Y519" s="482"/>
      <c r="Z519" s="482"/>
      <c r="AA519" s="482"/>
      <c r="AB519" s="483"/>
      <c r="AC519" s="482"/>
      <c r="AD519" s="482"/>
      <c r="AE519" s="482"/>
      <c r="AF519" s="483"/>
      <c r="AG519" s="482"/>
      <c r="AH519" s="482"/>
      <c r="AI519" s="482"/>
      <c r="AJ519" s="483"/>
      <c r="AK519" s="484">
        <f t="shared" ref="AK519:CF519" si="992">+(AK518-AG518)*10000</f>
        <v>-80.850331941506241</v>
      </c>
      <c r="AL519" s="484">
        <f t="shared" si="992"/>
        <v>-69.90663655559274</v>
      </c>
      <c r="AM519" s="484">
        <f t="shared" si="992"/>
        <v>-70.542386610283387</v>
      </c>
      <c r="AN519" s="485">
        <f t="shared" si="992"/>
        <v>-35.942816802809823</v>
      </c>
      <c r="AO519" s="484">
        <f t="shared" si="992"/>
        <v>-50.39354963889339</v>
      </c>
      <c r="AP519" s="484">
        <f t="shared" si="992"/>
        <v>-32.306361196747339</v>
      </c>
      <c r="AQ519" s="484">
        <f t="shared" si="992"/>
        <v>-35.605731447237893</v>
      </c>
      <c r="AR519" s="485">
        <f t="shared" si="992"/>
        <v>-48.894606009010907</v>
      </c>
      <c r="AS519" s="484">
        <f t="shared" si="992"/>
        <v>-33.33299196190832</v>
      </c>
      <c r="AT519" s="484">
        <f t="shared" si="992"/>
        <v>-27.110682559852457</v>
      </c>
      <c r="AU519" s="484">
        <f t="shared" si="992"/>
        <v>-28.77401106272449</v>
      </c>
      <c r="AV519" s="485">
        <f t="shared" si="992"/>
        <v>-50.619949432275725</v>
      </c>
      <c r="AW519" s="484">
        <f t="shared" si="992"/>
        <v>-41.108443392974152</v>
      </c>
      <c r="AX519" s="484">
        <f t="shared" si="992"/>
        <v>-27.391274374557842</v>
      </c>
      <c r="AY519" s="484">
        <f t="shared" si="992"/>
        <v>-21.47499231119826</v>
      </c>
      <c r="AZ519" s="485">
        <f t="shared" si="992"/>
        <v>-37.344500464033743</v>
      </c>
      <c r="BA519" s="484">
        <f t="shared" si="992"/>
        <v>-40.718692684590351</v>
      </c>
      <c r="BB519" s="484">
        <f t="shared" si="992"/>
        <v>-18.427849435944889</v>
      </c>
      <c r="BC519" s="484">
        <f t="shared" si="992"/>
        <v>-10.870665677135301</v>
      </c>
      <c r="BD519" s="485">
        <f t="shared" si="992"/>
        <v>-3.9150331181013289</v>
      </c>
      <c r="BE519" s="484">
        <f t="shared" si="992"/>
        <v>19.328437569688852</v>
      </c>
      <c r="BF519" s="484">
        <f t="shared" si="992"/>
        <v>5.0706794063123954</v>
      </c>
      <c r="BG519" s="484">
        <f t="shared" si="992"/>
        <v>6.2720941189412045</v>
      </c>
      <c r="BH519" s="485">
        <f t="shared" si="992"/>
        <v>17.920597924562589</v>
      </c>
      <c r="BI519" s="484">
        <f t="shared" si="992"/>
        <v>-6.3102504244918336</v>
      </c>
      <c r="BJ519" s="484">
        <f t="shared" si="992"/>
        <v>-38.767381805390649</v>
      </c>
      <c r="BK519" s="484">
        <f t="shared" si="992"/>
        <v>8.444363242251411</v>
      </c>
      <c r="BL519" s="485">
        <f t="shared" si="992"/>
        <v>11.209341402890413</v>
      </c>
      <c r="BM519" s="484">
        <f t="shared" si="992"/>
        <v>18.905047864053813</v>
      </c>
      <c r="BN519" s="484">
        <f t="shared" si="992"/>
        <v>59.890465998190699</v>
      </c>
      <c r="BO519" s="484">
        <f t="shared" si="992"/>
        <v>20.078513832857265</v>
      </c>
      <c r="BP519" s="484">
        <f t="shared" si="992"/>
        <v>38.86908532440043</v>
      </c>
      <c r="BQ519" s="1519">
        <f t="shared" si="992"/>
        <v>24.924394447876519</v>
      </c>
      <c r="BR519" s="484">
        <f t="shared" si="992"/>
        <v>32.471572096843936</v>
      </c>
      <c r="BS519" s="484">
        <f>+(BS518-BO518)*10000</f>
        <v>8.7174837201365634</v>
      </c>
      <c r="BT519" s="485">
        <f>+(BT518-BP518)*10000</f>
        <v>9.6429693711232858</v>
      </c>
      <c r="BU519" s="484">
        <f t="shared" si="992"/>
        <v>22.202717987767056</v>
      </c>
      <c r="BV519" s="484">
        <f t="shared" si="992"/>
        <v>24.4635259669021</v>
      </c>
      <c r="BW519" s="484">
        <f t="shared" si="992"/>
        <v>11.580662713123781</v>
      </c>
      <c r="BX519" s="485">
        <f t="shared" si="992"/>
        <v>18.700597278406178</v>
      </c>
      <c r="BY519" s="484">
        <f t="shared" si="992"/>
        <v>23.01039037879621</v>
      </c>
      <c r="BZ519" s="484">
        <f t="shared" si="992"/>
        <v>8.1979222495258064</v>
      </c>
      <c r="CA519" s="484">
        <f t="shared" si="992"/>
        <v>13.160923027319432</v>
      </c>
      <c r="CB519" s="485">
        <f t="shared" si="992"/>
        <v>18.332427542726812</v>
      </c>
      <c r="CC519" s="484">
        <f t="shared" si="992"/>
        <v>10.000000000000009</v>
      </c>
      <c r="CD519" s="484">
        <f t="shared" si="992"/>
        <v>10.000000000000009</v>
      </c>
      <c r="CE519" s="484">
        <f t="shared" si="992"/>
        <v>10.000000000000009</v>
      </c>
      <c r="CF519" s="485">
        <f t="shared" si="992"/>
        <v>10.000000000000009</v>
      </c>
      <c r="CG519" s="351"/>
      <c r="CH519" s="356"/>
      <c r="CI519" s="350"/>
      <c r="CJ519" s="482"/>
      <c r="CK519" s="482"/>
      <c r="CL519" s="482"/>
      <c r="CM519" s="482"/>
      <c r="CN519" s="484">
        <f t="shared" ref="CN519:CX519" si="993">+(CN518-CM518)*10000</f>
        <v>-64.702377772646216</v>
      </c>
      <c r="CO519" s="484">
        <f t="shared" si="993"/>
        <v>-40.972942831652666</v>
      </c>
      <c r="CP519" s="484">
        <f t="shared" si="993"/>
        <v>-35.211395949895049</v>
      </c>
      <c r="CQ519" s="484">
        <f t="shared" si="993"/>
        <v>-30.160594018622515</v>
      </c>
      <c r="CR519" s="484">
        <f t="shared" si="993"/>
        <v>-16.255360674231561</v>
      </c>
      <c r="CS519" s="484">
        <f t="shared" si="993"/>
        <v>11.484462857936206</v>
      </c>
      <c r="CT519" s="484">
        <f t="shared" si="993"/>
        <v>-7.0225590500054995</v>
      </c>
      <c r="CU519" s="484">
        <f t="shared" si="993"/>
        <v>29.822896361419065</v>
      </c>
      <c r="CV519" s="484">
        <f t="shared" si="993"/>
        <v>14.991479905686004</v>
      </c>
      <c r="CW519" s="484">
        <f>+(CW518-CV518)*10000</f>
        <v>17.630338490608448</v>
      </c>
      <c r="CX519" s="484">
        <f t="shared" si="993"/>
        <v>14.835788942786122</v>
      </c>
      <c r="CY519" s="484">
        <f t="shared" ref="CY519:DF519" si="994">+(CY518-CX518)*10000</f>
        <v>19.732797121579747</v>
      </c>
      <c r="CZ519" s="484">
        <f t="shared" si="994"/>
        <v>19.999999999999982</v>
      </c>
      <c r="DA519" s="484">
        <f t="shared" si="994"/>
        <v>20.000000000000018</v>
      </c>
      <c r="DB519" s="484">
        <f t="shared" si="994"/>
        <v>29.999999999999993</v>
      </c>
      <c r="DC519" s="484">
        <f t="shared" si="994"/>
        <v>29.999999999999993</v>
      </c>
      <c r="DD519" s="484">
        <f t="shared" si="994"/>
        <v>29.999999999999993</v>
      </c>
      <c r="DE519" s="484">
        <f t="shared" si="994"/>
        <v>29.999999999999993</v>
      </c>
      <c r="DF519" s="485">
        <f t="shared" si="994"/>
        <v>30.000000000000028</v>
      </c>
    </row>
    <row r="520" spans="1:112" s="26" customFormat="1" ht="11.25" customHeight="1">
      <c r="A520" s="24"/>
      <c r="B520"/>
      <c r="C520"/>
      <c r="D520"/>
      <c r="E520"/>
      <c r="F520"/>
      <c r="G520"/>
      <c r="H520" s="1044"/>
      <c r="I520" s="160"/>
      <c r="J520" s="24"/>
      <c r="K520" s="24"/>
      <c r="L520" s="24"/>
      <c r="M520" s="315"/>
      <c r="N520" s="315"/>
      <c r="O520" s="315"/>
      <c r="P520" s="316"/>
      <c r="Q520" s="315"/>
      <c r="R520" s="315"/>
      <c r="S520" s="315"/>
      <c r="T520" s="316"/>
      <c r="U520" s="317"/>
      <c r="V520" s="317"/>
      <c r="W520" s="317"/>
      <c r="X520" s="318"/>
      <c r="Y520" s="317"/>
      <c r="Z520" s="317"/>
      <c r="AA520" s="317"/>
      <c r="AB520" s="318"/>
      <c r="AC520" s="317"/>
      <c r="AD520" s="317"/>
      <c r="AE520" s="317"/>
      <c r="AF520" s="318"/>
      <c r="AG520" s="317"/>
      <c r="AH520" s="317"/>
      <c r="AI520" s="317"/>
      <c r="AJ520" s="318"/>
      <c r="AK520" s="317"/>
      <c r="AL520" s="317"/>
      <c r="AM520" s="317"/>
      <c r="AN520" s="318"/>
      <c r="AO520" s="317"/>
      <c r="AP520" s="317"/>
      <c r="AQ520" s="317"/>
      <c r="AR520" s="318"/>
      <c r="AS520" s="317"/>
      <c r="AT520" s="317"/>
      <c r="AU520" s="317"/>
      <c r="AV520" s="318"/>
      <c r="AW520" s="319"/>
      <c r="AX520" s="319"/>
      <c r="AY520" s="319"/>
      <c r="AZ520" s="318"/>
      <c r="BA520" s="315"/>
      <c r="BB520" s="317"/>
      <c r="BC520" s="317"/>
      <c r="BD520" s="318"/>
      <c r="BE520" s="317"/>
      <c r="BF520" s="317"/>
      <c r="BG520" s="317"/>
      <c r="BH520" s="318"/>
      <c r="BI520" s="321"/>
      <c r="BJ520" s="321"/>
      <c r="BK520" s="321"/>
      <c r="BL520" s="322"/>
      <c r="BM520" s="321"/>
      <c r="BN520" s="321"/>
      <c r="BO520" s="321"/>
      <c r="BP520" s="317"/>
      <c r="BQ520" s="390"/>
      <c r="BR520" s="317"/>
      <c r="BS520" s="317"/>
      <c r="BT520" s="318"/>
      <c r="BU520" s="317"/>
      <c r="BV520" s="317"/>
      <c r="BW520" s="317"/>
      <c r="BX520" s="318"/>
      <c r="BY520" s="317"/>
      <c r="BZ520" s="317"/>
      <c r="CA520" s="317"/>
      <c r="CB520" s="318"/>
      <c r="CC520" s="317"/>
      <c r="CD520" s="317"/>
      <c r="CE520" s="317"/>
      <c r="CF520" s="318"/>
      <c r="CG520" s="316"/>
      <c r="CH520" s="320"/>
      <c r="CI520" s="315"/>
      <c r="CJ520" s="317"/>
      <c r="CK520" s="317"/>
      <c r="CL520" s="317"/>
      <c r="CM520" s="317"/>
      <c r="CN520" s="317"/>
      <c r="CO520" s="317"/>
      <c r="CP520" s="319"/>
      <c r="CQ520" s="317"/>
      <c r="CR520" s="317"/>
      <c r="CS520" s="321"/>
      <c r="CT520" s="321"/>
      <c r="CU520" s="321"/>
      <c r="CV520" s="321"/>
      <c r="CW520" s="321"/>
      <c r="CX520" s="321"/>
      <c r="CY520" s="321"/>
      <c r="CZ520" s="317"/>
      <c r="DA520" s="317"/>
      <c r="DB520" s="317"/>
      <c r="DC520" s="317"/>
      <c r="DD520" s="317"/>
      <c r="DE520" s="317"/>
      <c r="DF520" s="318"/>
      <c r="DG520" s="94"/>
      <c r="DH520" s="94"/>
    </row>
    <row r="521" spans="1:112" s="584" customFormat="1" ht="11.25" customHeight="1">
      <c r="A521" s="542"/>
      <c r="B521"/>
      <c r="C521"/>
      <c r="D521"/>
      <c r="E521"/>
      <c r="F521"/>
      <c r="G521"/>
      <c r="H521" s="1052"/>
      <c r="I521" s="617" t="s">
        <v>122</v>
      </c>
      <c r="J521" s="542"/>
      <c r="K521" s="542"/>
      <c r="L521" s="542"/>
      <c r="M521" s="581"/>
      <c r="N521" s="581"/>
      <c r="O521" s="581"/>
      <c r="P521" s="582"/>
      <c r="Q521" s="581"/>
      <c r="R521" s="581"/>
      <c r="S521" s="581"/>
      <c r="T521" s="582"/>
      <c r="U521" s="581"/>
      <c r="V521" s="581"/>
      <c r="W521" s="581"/>
      <c r="X521" s="582"/>
      <c r="Y521" s="581"/>
      <c r="Z521" s="581"/>
      <c r="AA521" s="581"/>
      <c r="AB521" s="582"/>
      <c r="AC521" s="581"/>
      <c r="AD521" s="581"/>
      <c r="AE521" s="581"/>
      <c r="AF521" s="582"/>
      <c r="AG521" s="638"/>
      <c r="AH521" s="638"/>
      <c r="AI521" s="638"/>
      <c r="AJ521" s="639"/>
      <c r="AK521" s="581"/>
      <c r="AL521" s="581"/>
      <c r="AM521" s="581"/>
      <c r="AN521" s="582"/>
      <c r="AO521" s="581"/>
      <c r="AP521" s="581"/>
      <c r="AQ521" s="581"/>
      <c r="AR521" s="582"/>
      <c r="AS521" s="581"/>
      <c r="AT521" s="581"/>
      <c r="AU521" s="581"/>
      <c r="AV521" s="582"/>
      <c r="AW521" s="581"/>
      <c r="AX521" s="581"/>
      <c r="AY521" s="581"/>
      <c r="AZ521" s="582"/>
      <c r="BA521" s="638">
        <f t="shared" ref="BA521:BN521" si="995">-BA672</f>
        <v>8.2789999999999999</v>
      </c>
      <c r="BB521" s="638">
        <f t="shared" si="995"/>
        <v>9.7980000000000018</v>
      </c>
      <c r="BC521" s="638">
        <f t="shared" si="995"/>
        <v>11.692999999999998</v>
      </c>
      <c r="BD521" s="639">
        <f t="shared" si="995"/>
        <v>17.062999999999999</v>
      </c>
      <c r="BE521" s="638">
        <f t="shared" si="995"/>
        <v>13.696999999999999</v>
      </c>
      <c r="BF521" s="638">
        <f t="shared" si="995"/>
        <v>14.725999999999999</v>
      </c>
      <c r="BG521" s="638">
        <f t="shared" si="995"/>
        <v>10.527000000000005</v>
      </c>
      <c r="BH521" s="639">
        <f t="shared" si="995"/>
        <v>16.208000000000002</v>
      </c>
      <c r="BI521" s="638">
        <f t="shared" si="995"/>
        <v>15.051</v>
      </c>
      <c r="BJ521" s="638">
        <f t="shared" si="995"/>
        <v>21.43</v>
      </c>
      <c r="BK521" s="638">
        <f t="shared" si="995"/>
        <v>20.476999999999997</v>
      </c>
      <c r="BL521" s="639">
        <f t="shared" si="995"/>
        <v>27.486999999999995</v>
      </c>
      <c r="BM521" s="638">
        <f t="shared" si="995"/>
        <v>29.731000000000002</v>
      </c>
      <c r="BN521" s="638">
        <f t="shared" si="995"/>
        <v>32.254999999999995</v>
      </c>
      <c r="BO521" s="638">
        <f t="shared" ref="BO521:BT521" si="996">-BO672</f>
        <v>28.738999999999997</v>
      </c>
      <c r="BP521" s="638">
        <f t="shared" si="996"/>
        <v>40.778999999999989</v>
      </c>
      <c r="BQ521" s="1512">
        <f t="shared" si="996"/>
        <v>31.263000000000002</v>
      </c>
      <c r="BR521" s="638">
        <f t="shared" si="996"/>
        <v>53.087999999999994</v>
      </c>
      <c r="BS521" s="638">
        <f t="shared" si="996"/>
        <v>42.286000000000001</v>
      </c>
      <c r="BT521" s="639">
        <f t="shared" si="996"/>
        <v>47.277999999999992</v>
      </c>
      <c r="BU521" s="638">
        <f t="shared" ref="BU521:BZ521" si="997">-BU672</f>
        <v>53.256</v>
      </c>
      <c r="BV521" s="638">
        <f t="shared" si="997"/>
        <v>60.442999999999998</v>
      </c>
      <c r="BW521" s="638">
        <f t="shared" si="997"/>
        <v>54.376999999999995</v>
      </c>
      <c r="BX521" s="639">
        <f t="shared" si="997"/>
        <v>51.813000000000002</v>
      </c>
      <c r="BY521" s="638">
        <f t="shared" si="997"/>
        <v>70.558999999999997</v>
      </c>
      <c r="BZ521" s="638">
        <f t="shared" si="997"/>
        <v>76.710000000000008</v>
      </c>
      <c r="CA521" s="638">
        <f>-CA672</f>
        <v>76.423000000000002</v>
      </c>
      <c r="CB521" s="639">
        <f t="shared" ref="CB521" si="998">-CB672</f>
        <v>64.113</v>
      </c>
      <c r="CC521" s="638">
        <f>CC39*CC522</f>
        <v>98.549416478241099</v>
      </c>
      <c r="CD521" s="638">
        <f>CD39*CD522</f>
        <v>101.47747321468827</v>
      </c>
      <c r="CE521" s="638">
        <f>CE39*CE522</f>
        <v>77.417733131077327</v>
      </c>
      <c r="CF521" s="515">
        <f>CF39*CF522</f>
        <v>86.62669323710152</v>
      </c>
      <c r="CG521" s="582"/>
      <c r="CH521" s="583"/>
      <c r="CI521" s="581"/>
      <c r="CJ521" s="581"/>
      <c r="CK521" s="581"/>
      <c r="CL521" s="581"/>
      <c r="CM521" s="581"/>
      <c r="CN521" s="581"/>
      <c r="CO521" s="581"/>
      <c r="CP521" s="581"/>
      <c r="CQ521" s="638">
        <f t="shared" ref="CQ521:CX521" si="999">-CQ672</f>
        <v>22.593</v>
      </c>
      <c r="CR521" s="638">
        <f t="shared" si="999"/>
        <v>46.832999999999998</v>
      </c>
      <c r="CS521" s="638">
        <f t="shared" si="999"/>
        <v>55.158000000000001</v>
      </c>
      <c r="CT521" s="638">
        <f t="shared" si="999"/>
        <v>84.444999999999993</v>
      </c>
      <c r="CU521" s="638">
        <f t="shared" si="999"/>
        <v>131.50399999999999</v>
      </c>
      <c r="CV521" s="638">
        <f>-CV672</f>
        <v>173.91499999999999</v>
      </c>
      <c r="CW521" s="638">
        <f>-CW672</f>
        <v>219.88900000000001</v>
      </c>
      <c r="CX521" s="638">
        <f t="shared" si="999"/>
        <v>287.80500000000001</v>
      </c>
      <c r="CY521" s="638">
        <f>-CY672</f>
        <v>364.07131606110823</v>
      </c>
      <c r="CZ521" s="638">
        <f t="shared" ref="CZ521:DF521" si="1000">CZ39*CZ522</f>
        <v>427.95676383952571</v>
      </c>
      <c r="DA521" s="638">
        <f t="shared" si="1000"/>
        <v>489.1695631063231</v>
      </c>
      <c r="DB521" s="638">
        <f t="shared" si="1000"/>
        <v>550.37656261603331</v>
      </c>
      <c r="DC521" s="638">
        <f t="shared" si="1000"/>
        <v>612.24848722151444</v>
      </c>
      <c r="DD521" s="638">
        <f t="shared" si="1000"/>
        <v>675.2571801792518</v>
      </c>
      <c r="DE521" s="638">
        <f t="shared" si="1000"/>
        <v>738.89941506418631</v>
      </c>
      <c r="DF521" s="639">
        <f t="shared" si="1000"/>
        <v>808.4463270780476</v>
      </c>
      <c r="DG521" s="632"/>
      <c r="DH521" s="632"/>
    </row>
    <row r="522" spans="1:112" s="51" customFormat="1" ht="11.25" customHeight="1">
      <c r="A522" s="82"/>
      <c r="B522"/>
      <c r="C522"/>
      <c r="D522"/>
      <c r="E522"/>
      <c r="F522"/>
      <c r="G522"/>
      <c r="H522" s="1044"/>
      <c r="I522" s="1333" t="s">
        <v>507</v>
      </c>
      <c r="J522" s="82"/>
      <c r="K522" s="82"/>
      <c r="L522" s="82"/>
      <c r="M522" s="323"/>
      <c r="N522" s="323"/>
      <c r="O522" s="323"/>
      <c r="P522" s="324"/>
      <c r="Q522" s="323"/>
      <c r="R522" s="323"/>
      <c r="S522" s="323"/>
      <c r="T522" s="324"/>
      <c r="U522" s="323"/>
      <c r="V522" s="323"/>
      <c r="W522" s="323"/>
      <c r="X522" s="324"/>
      <c r="Y522" s="323"/>
      <c r="Z522" s="323"/>
      <c r="AA522" s="323"/>
      <c r="AB522" s="324"/>
      <c r="AC522" s="323"/>
      <c r="AD522" s="323"/>
      <c r="AE522" s="323"/>
      <c r="AF522" s="324"/>
      <c r="AG522" s="323"/>
      <c r="AH522" s="323"/>
      <c r="AI522" s="323"/>
      <c r="AJ522" s="324"/>
      <c r="AK522" s="323"/>
      <c r="AL522" s="323"/>
      <c r="AM522" s="323"/>
      <c r="AN522" s="324"/>
      <c r="AO522" s="323"/>
      <c r="AP522" s="323"/>
      <c r="AQ522" s="323"/>
      <c r="AR522" s="324"/>
      <c r="AS522" s="323"/>
      <c r="AT522" s="323"/>
      <c r="AU522" s="323"/>
      <c r="AV522" s="324"/>
      <c r="AW522" s="323"/>
      <c r="AX522" s="323"/>
      <c r="AY522" s="323"/>
      <c r="AZ522" s="324"/>
      <c r="BA522" s="445">
        <f t="shared" ref="BA522:BZ522" si="1001">BA521/BA39</f>
        <v>1.6367870812640368E-2</v>
      </c>
      <c r="BB522" s="445">
        <f t="shared" si="1001"/>
        <v>1.3077478521195847E-2</v>
      </c>
      <c r="BC522" s="445">
        <f t="shared" si="1001"/>
        <v>1.0628569974221647E-2</v>
      </c>
      <c r="BD522" s="446">
        <f t="shared" si="1001"/>
        <v>2.3545012605268131E-2</v>
      </c>
      <c r="BE522" s="445">
        <f t="shared" si="1001"/>
        <v>1.8427581233653709E-2</v>
      </c>
      <c r="BF522" s="445">
        <f t="shared" si="1001"/>
        <v>1.4665256507545743E-2</v>
      </c>
      <c r="BG522" s="445">
        <f t="shared" si="1001"/>
        <v>7.5381256440203081E-3</v>
      </c>
      <c r="BH522" s="446">
        <f t="shared" si="1001"/>
        <v>1.7247140196860869E-2</v>
      </c>
      <c r="BI522" s="445">
        <f t="shared" si="1001"/>
        <v>1.4906924573992364E-2</v>
      </c>
      <c r="BJ522" s="445">
        <f t="shared" si="1001"/>
        <v>1.548572646700702E-2</v>
      </c>
      <c r="BK522" s="445">
        <f t="shared" si="1001"/>
        <v>1.0294786746536689E-2</v>
      </c>
      <c r="BL522" s="446">
        <f t="shared" si="1001"/>
        <v>2.0615749931935847E-2</v>
      </c>
      <c r="BM522" s="445">
        <f t="shared" si="1001"/>
        <v>2.1138722376785584E-2</v>
      </c>
      <c r="BN522" s="445">
        <f t="shared" si="1001"/>
        <v>1.7129616844645448E-2</v>
      </c>
      <c r="BO522" s="445">
        <f t="shared" si="1001"/>
        <v>1.0969176077051028E-2</v>
      </c>
      <c r="BP522" s="445">
        <f t="shared" si="1001"/>
        <v>2.4350250942714594E-2</v>
      </c>
      <c r="BQ522" s="1513">
        <f t="shared" si="1001"/>
        <v>1.8695327692981135E-2</v>
      </c>
      <c r="BR522" s="445">
        <f t="shared" si="1001"/>
        <v>2.5365687708860309E-2</v>
      </c>
      <c r="BS522" s="445">
        <f t="shared" si="1001"/>
        <v>1.4347456402203794E-2</v>
      </c>
      <c r="BT522" s="446">
        <f t="shared" si="1001"/>
        <v>2.5156128367661085E-2</v>
      </c>
      <c r="BU522" s="445">
        <f t="shared" si="1001"/>
        <v>2.6371536804575508E-2</v>
      </c>
      <c r="BV522" s="445">
        <f t="shared" si="1001"/>
        <v>2.4875525656654116E-2</v>
      </c>
      <c r="BW522" s="445">
        <f t="shared" si="1001"/>
        <v>1.5150751045607166E-2</v>
      </c>
      <c r="BX522" s="446">
        <f t="shared" si="1001"/>
        <v>2.2761328277896172E-2</v>
      </c>
      <c r="BY522" s="445">
        <f t="shared" si="1001"/>
        <v>3.0227890508025112E-2</v>
      </c>
      <c r="BZ522" s="445">
        <f t="shared" si="1001"/>
        <v>2.598740977581921E-2</v>
      </c>
      <c r="CA522" s="445">
        <f>CA521/CA39</f>
        <v>1.7469899210273598E-2</v>
      </c>
      <c r="CB522" s="446">
        <f t="shared" ref="CB522" si="1002">CB521/CB39</f>
        <v>2.3145963653403701E-2</v>
      </c>
      <c r="CC522" s="1335">
        <f>+BY522+0.005</f>
        <v>3.5227890508025113E-2</v>
      </c>
      <c r="CD522" s="1335">
        <f>+BZ522+0.0025</f>
        <v>2.8487409775819209E-2</v>
      </c>
      <c r="CE522" s="1335">
        <f>+CA522-0.002</f>
        <v>1.5469899210273598E-2</v>
      </c>
      <c r="CF522" s="1334">
        <f>+CB522+0.0025</f>
        <v>2.56459636534037E-2</v>
      </c>
      <c r="CG522" s="337"/>
      <c r="CH522" s="325"/>
      <c r="CI522" s="323"/>
      <c r="CJ522" s="323"/>
      <c r="CK522" s="323"/>
      <c r="CL522" s="323"/>
      <c r="CM522" s="323"/>
      <c r="CN522" s="323"/>
      <c r="CO522" s="323"/>
      <c r="CP522" s="323"/>
      <c r="CQ522" s="445">
        <f t="shared" ref="CQ522:CY522" si="1003">CQ521/CQ21</f>
        <v>7.3125781652559167E-3</v>
      </c>
      <c r="CR522" s="445">
        <f t="shared" si="1003"/>
        <v>1.0752340085544848E-2</v>
      </c>
      <c r="CS522" s="445">
        <f t="shared" si="1003"/>
        <v>1.0484406256201343E-2</v>
      </c>
      <c r="CT522" s="445">
        <f t="shared" si="1003"/>
        <v>1.2430619200724947E-2</v>
      </c>
      <c r="CU522" s="445">
        <f t="shared" si="1003"/>
        <v>1.557740485012327E-2</v>
      </c>
      <c r="CV522" s="445">
        <f t="shared" si="1003"/>
        <v>1.8854644959928932E-2</v>
      </c>
      <c r="CW522" s="445">
        <f t="shared" si="1003"/>
        <v>2.046810734351261E-2</v>
      </c>
      <c r="CX522" s="445">
        <f t="shared" si="1003"/>
        <v>2.2695618559993538E-2</v>
      </c>
      <c r="CY522" s="445">
        <f t="shared" si="1003"/>
        <v>2.3839605901629982E-2</v>
      </c>
      <c r="CZ522" s="1335">
        <f>+CY522+0.00165</f>
        <v>2.5489605901629981E-2</v>
      </c>
      <c r="DA522" s="1335">
        <f t="shared" ref="DA522:DF522" si="1004">+CZ522+0.0005</f>
        <v>2.5989605901629981E-2</v>
      </c>
      <c r="DB522" s="1335">
        <f t="shared" si="1004"/>
        <v>2.6489605901629982E-2</v>
      </c>
      <c r="DC522" s="1335">
        <f t="shared" si="1004"/>
        <v>2.6989605901629982E-2</v>
      </c>
      <c r="DD522" s="1335">
        <f t="shared" si="1004"/>
        <v>2.7489605901629983E-2</v>
      </c>
      <c r="DE522" s="1335">
        <f t="shared" si="1004"/>
        <v>2.7989605901629983E-2</v>
      </c>
      <c r="DF522" s="1335">
        <f t="shared" si="1004"/>
        <v>2.8489605901629984E-2</v>
      </c>
      <c r="DG522" s="308"/>
      <c r="DH522" s="308"/>
    </row>
    <row r="523" spans="1:112" s="61" customFormat="1" ht="11.25" customHeight="1">
      <c r="A523" s="48"/>
      <c r="B523"/>
      <c r="C523"/>
      <c r="D523"/>
      <c r="E523"/>
      <c r="F523"/>
      <c r="G523"/>
      <c r="H523" s="1044"/>
      <c r="I523" s="1332" t="s">
        <v>384</v>
      </c>
      <c r="J523" s="85"/>
      <c r="K523" s="85"/>
      <c r="L523" s="60"/>
      <c r="M523" s="350"/>
      <c r="N523" s="350"/>
      <c r="O523" s="350"/>
      <c r="P523" s="351"/>
      <c r="Q523" s="350"/>
      <c r="R523" s="350"/>
      <c r="S523" s="350"/>
      <c r="T523" s="351"/>
      <c r="U523" s="482"/>
      <c r="V523" s="482"/>
      <c r="W523" s="482"/>
      <c r="X523" s="483"/>
      <c r="Y523" s="482"/>
      <c r="Z523" s="482"/>
      <c r="AA523" s="482"/>
      <c r="AB523" s="483"/>
      <c r="AC523" s="482"/>
      <c r="AD523" s="482"/>
      <c r="AE523" s="482"/>
      <c r="AF523" s="483"/>
      <c r="AG523" s="482"/>
      <c r="AH523" s="482"/>
      <c r="AI523" s="482"/>
      <c r="AJ523" s="483"/>
      <c r="AK523" s="484"/>
      <c r="AL523" s="484"/>
      <c r="AM523" s="484"/>
      <c r="AN523" s="485"/>
      <c r="AO523" s="484"/>
      <c r="AP523" s="484"/>
      <c r="AQ523" s="484"/>
      <c r="AR523" s="485"/>
      <c r="AS523" s="484"/>
      <c r="AT523" s="484"/>
      <c r="AU523" s="484"/>
      <c r="AV523" s="485"/>
      <c r="AW523" s="484"/>
      <c r="AX523" s="484"/>
      <c r="AY523" s="484"/>
      <c r="AZ523" s="485"/>
      <c r="BA523" s="484"/>
      <c r="BB523" s="484"/>
      <c r="BC523" s="484"/>
      <c r="BD523" s="485"/>
      <c r="BE523" s="484">
        <f t="shared" ref="BE523:CF523" si="1005">+(BE522-BA522)*10000</f>
        <v>20.597104210133416</v>
      </c>
      <c r="BF523" s="484">
        <f t="shared" si="1005"/>
        <v>15.877779863498962</v>
      </c>
      <c r="BG523" s="484">
        <f t="shared" si="1005"/>
        <v>-30.904443302013387</v>
      </c>
      <c r="BH523" s="485">
        <f t="shared" si="1005"/>
        <v>-62.978724084072624</v>
      </c>
      <c r="BI523" s="484">
        <f t="shared" si="1005"/>
        <v>-35.206566596613449</v>
      </c>
      <c r="BJ523" s="484">
        <f t="shared" si="1005"/>
        <v>8.2046995946127677</v>
      </c>
      <c r="BK523" s="484">
        <f t="shared" si="1005"/>
        <v>27.566611025163805</v>
      </c>
      <c r="BL523" s="485">
        <f t="shared" si="1005"/>
        <v>33.686097350749783</v>
      </c>
      <c r="BM523" s="484">
        <f t="shared" si="1005"/>
        <v>62.317978027932199</v>
      </c>
      <c r="BN523" s="484">
        <f t="shared" si="1005"/>
        <v>16.438903776384276</v>
      </c>
      <c r="BO523" s="484">
        <f t="shared" si="1005"/>
        <v>6.7438933051433905</v>
      </c>
      <c r="BP523" s="484">
        <f t="shared" si="1005"/>
        <v>37.345010107787473</v>
      </c>
      <c r="BQ523" s="1519">
        <f t="shared" si="1005"/>
        <v>-24.433946838044488</v>
      </c>
      <c r="BR523" s="484">
        <f>+(BR522-BN522)*10000</f>
        <v>82.360708642148609</v>
      </c>
      <c r="BS523" s="484">
        <f>+(BS522-BO522)*10000</f>
        <v>33.782803251527667</v>
      </c>
      <c r="BT523" s="485">
        <f>+(BT522-BP522)*10000</f>
        <v>8.0587742494649124</v>
      </c>
      <c r="BU523" s="484">
        <f t="shared" si="1005"/>
        <v>76.762091115943718</v>
      </c>
      <c r="BV523" s="484">
        <f t="shared" si="1005"/>
        <v>-4.9016205220619309</v>
      </c>
      <c r="BW523" s="484">
        <f t="shared" si="1005"/>
        <v>8.0329464340337182</v>
      </c>
      <c r="BX523" s="485">
        <f t="shared" si="1005"/>
        <v>-23.948000897649134</v>
      </c>
      <c r="BY523" s="484">
        <f t="shared" si="1005"/>
        <v>38.563537034496036</v>
      </c>
      <c r="BZ523" s="484">
        <f t="shared" si="1005"/>
        <v>11.118841191650949</v>
      </c>
      <c r="CA523" s="484">
        <f t="shared" si="1005"/>
        <v>23.191481646664315</v>
      </c>
      <c r="CB523" s="485">
        <f t="shared" si="1005"/>
        <v>3.8463537550752909</v>
      </c>
      <c r="CC523" s="484">
        <f t="shared" si="1005"/>
        <v>50.000000000000007</v>
      </c>
      <c r="CD523" s="484">
        <f t="shared" si="1005"/>
        <v>24.999999999999986</v>
      </c>
      <c r="CE523" s="484">
        <f t="shared" si="1005"/>
        <v>-20</v>
      </c>
      <c r="CF523" s="485">
        <f t="shared" si="1005"/>
        <v>24.999999999999986</v>
      </c>
      <c r="CG523" s="351"/>
      <c r="CH523" s="356"/>
      <c r="CI523" s="350"/>
      <c r="CJ523" s="482"/>
      <c r="CK523" s="482"/>
      <c r="CL523" s="482"/>
      <c r="CM523" s="482"/>
      <c r="CN523" s="484"/>
      <c r="CO523" s="484"/>
      <c r="CP523" s="484"/>
      <c r="CQ523" s="484">
        <f t="shared" ref="CQ523:CX523" si="1006">+(CQ522-CP522)*10000</f>
        <v>73.125781652559169</v>
      </c>
      <c r="CR523" s="484">
        <f t="shared" si="1006"/>
        <v>34.397619202889317</v>
      </c>
      <c r="CS523" s="484">
        <f t="shared" si="1006"/>
        <v>-2.6793382934350505</v>
      </c>
      <c r="CT523" s="484">
        <f t="shared" si="1006"/>
        <v>19.462129445236044</v>
      </c>
      <c r="CU523" s="484">
        <f t="shared" si="1006"/>
        <v>31.467856493983223</v>
      </c>
      <c r="CV523" s="484">
        <f t="shared" si="1006"/>
        <v>32.772401098056619</v>
      </c>
      <c r="CW523" s="484">
        <f>+(CW522-CV522)*10000</f>
        <v>16.134623835836784</v>
      </c>
      <c r="CX523" s="484">
        <f t="shared" si="1006"/>
        <v>22.275112164809283</v>
      </c>
      <c r="CY523" s="484">
        <f t="shared" ref="CY523:DF523" si="1007">+(CY522-CX522)*10000</f>
        <v>11.439873416364438</v>
      </c>
      <c r="CZ523" s="484">
        <f t="shared" si="1007"/>
        <v>16.499999999999986</v>
      </c>
      <c r="DA523" s="484">
        <f t="shared" si="1007"/>
        <v>5.0000000000000044</v>
      </c>
      <c r="DB523" s="484">
        <f t="shared" si="1007"/>
        <v>5.0000000000000044</v>
      </c>
      <c r="DC523" s="484">
        <f t="shared" si="1007"/>
        <v>5.0000000000000044</v>
      </c>
      <c r="DD523" s="484">
        <f t="shared" si="1007"/>
        <v>5.0000000000000044</v>
      </c>
      <c r="DE523" s="484">
        <f t="shared" si="1007"/>
        <v>5.0000000000000044</v>
      </c>
      <c r="DF523" s="485">
        <f t="shared" si="1007"/>
        <v>5.0000000000000044</v>
      </c>
    </row>
    <row r="524" spans="1:112" s="51" customFormat="1" ht="11.25" customHeight="1">
      <c r="A524" s="82"/>
      <c r="B524"/>
      <c r="C524"/>
      <c r="D524"/>
      <c r="E524"/>
      <c r="F524"/>
      <c r="G524"/>
      <c r="H524" s="1044"/>
      <c r="I524" s="185" t="s">
        <v>385</v>
      </c>
      <c r="J524" s="83"/>
      <c r="K524" s="83"/>
      <c r="L524" s="82"/>
      <c r="M524" s="336"/>
      <c r="N524" s="336"/>
      <c r="O524" s="336"/>
      <c r="P524" s="337"/>
      <c r="Q524" s="336"/>
      <c r="R524" s="336"/>
      <c r="S524" s="336"/>
      <c r="T524" s="337"/>
      <c r="U524" s="393"/>
      <c r="V524" s="393"/>
      <c r="W524" s="393"/>
      <c r="X524" s="472"/>
      <c r="Y524" s="393"/>
      <c r="Z524" s="393"/>
      <c r="AA524" s="393"/>
      <c r="AB524" s="472"/>
      <c r="AC524" s="393"/>
      <c r="AD524" s="393"/>
      <c r="AE524" s="393"/>
      <c r="AF524" s="472"/>
      <c r="AG524" s="393"/>
      <c r="AH524" s="393"/>
      <c r="AI524" s="393"/>
      <c r="AJ524" s="472"/>
      <c r="AK524" s="517">
        <f t="shared" ref="AK524:CF524" si="1008">+AK521-AG521</f>
        <v>0</v>
      </c>
      <c r="AL524" s="517">
        <f t="shared" si="1008"/>
        <v>0</v>
      </c>
      <c r="AM524" s="517">
        <f t="shared" si="1008"/>
        <v>0</v>
      </c>
      <c r="AN524" s="601">
        <f t="shared" si="1008"/>
        <v>0</v>
      </c>
      <c r="AO524" s="517">
        <f t="shared" si="1008"/>
        <v>0</v>
      </c>
      <c r="AP524" s="517">
        <f t="shared" si="1008"/>
        <v>0</v>
      </c>
      <c r="AQ524" s="517">
        <f t="shared" si="1008"/>
        <v>0</v>
      </c>
      <c r="AR524" s="601">
        <f t="shared" si="1008"/>
        <v>0</v>
      </c>
      <c r="AS524" s="517">
        <f t="shared" si="1008"/>
        <v>0</v>
      </c>
      <c r="AT524" s="517">
        <f t="shared" si="1008"/>
        <v>0</v>
      </c>
      <c r="AU524" s="517">
        <f t="shared" si="1008"/>
        <v>0</v>
      </c>
      <c r="AV524" s="601">
        <f t="shared" si="1008"/>
        <v>0</v>
      </c>
      <c r="AW524" s="517">
        <f t="shared" si="1008"/>
        <v>0</v>
      </c>
      <c r="AX524" s="517">
        <f t="shared" si="1008"/>
        <v>0</v>
      </c>
      <c r="AY524" s="517">
        <f t="shared" si="1008"/>
        <v>0</v>
      </c>
      <c r="AZ524" s="601">
        <f t="shared" si="1008"/>
        <v>0</v>
      </c>
      <c r="BA524" s="517">
        <f t="shared" si="1008"/>
        <v>8.2789999999999999</v>
      </c>
      <c r="BB524" s="517">
        <f t="shared" si="1008"/>
        <v>9.7980000000000018</v>
      </c>
      <c r="BC524" s="517">
        <f t="shared" si="1008"/>
        <v>11.692999999999998</v>
      </c>
      <c r="BD524" s="601">
        <f t="shared" si="1008"/>
        <v>17.062999999999999</v>
      </c>
      <c r="BE524" s="517">
        <f t="shared" si="1008"/>
        <v>5.4179999999999993</v>
      </c>
      <c r="BF524" s="517">
        <f t="shared" si="1008"/>
        <v>4.9279999999999973</v>
      </c>
      <c r="BG524" s="517">
        <f t="shared" si="1008"/>
        <v>-1.1659999999999933</v>
      </c>
      <c r="BH524" s="601">
        <f t="shared" si="1008"/>
        <v>-0.85499999999999687</v>
      </c>
      <c r="BI524" s="517">
        <f t="shared" si="1008"/>
        <v>1.354000000000001</v>
      </c>
      <c r="BJ524" s="517">
        <f>+BJ521-BF521</f>
        <v>6.7040000000000006</v>
      </c>
      <c r="BK524" s="517">
        <f>+BK521-BG521</f>
        <v>9.9499999999999922</v>
      </c>
      <c r="BL524" s="601">
        <f>+BL521-BH521</f>
        <v>11.278999999999993</v>
      </c>
      <c r="BM524" s="517">
        <f t="shared" si="1008"/>
        <v>14.680000000000001</v>
      </c>
      <c r="BN524" s="517">
        <f t="shared" si="1008"/>
        <v>10.824999999999996</v>
      </c>
      <c r="BO524" s="517">
        <f t="shared" si="1008"/>
        <v>8.2620000000000005</v>
      </c>
      <c r="BP524" s="517">
        <f t="shared" si="1008"/>
        <v>13.291999999999994</v>
      </c>
      <c r="BQ524" s="1203">
        <f t="shared" si="1008"/>
        <v>1.532</v>
      </c>
      <c r="BR524" s="517">
        <f t="shared" ref="BR524:BY524" si="1009">+BR521-BN521</f>
        <v>20.832999999999998</v>
      </c>
      <c r="BS524" s="517">
        <f t="shared" si="1009"/>
        <v>13.547000000000004</v>
      </c>
      <c r="BT524" s="601">
        <f t="shared" si="1009"/>
        <v>6.4990000000000023</v>
      </c>
      <c r="BU524" s="517">
        <f t="shared" si="1009"/>
        <v>21.992999999999999</v>
      </c>
      <c r="BV524" s="517">
        <f t="shared" si="1009"/>
        <v>7.355000000000004</v>
      </c>
      <c r="BW524" s="517">
        <f t="shared" si="1009"/>
        <v>12.090999999999994</v>
      </c>
      <c r="BX524" s="601">
        <f t="shared" si="1009"/>
        <v>4.5350000000000108</v>
      </c>
      <c r="BY524" s="517">
        <f t="shared" si="1009"/>
        <v>17.302999999999997</v>
      </c>
      <c r="BZ524" s="517">
        <f t="shared" si="1008"/>
        <v>16.26700000000001</v>
      </c>
      <c r="CA524" s="517">
        <f t="shared" si="1008"/>
        <v>22.046000000000006</v>
      </c>
      <c r="CB524" s="601">
        <f t="shared" si="1008"/>
        <v>12.299999999999997</v>
      </c>
      <c r="CC524" s="517">
        <f t="shared" si="1008"/>
        <v>27.990416478241102</v>
      </c>
      <c r="CD524" s="517">
        <f t="shared" si="1008"/>
        <v>24.767473214688266</v>
      </c>
      <c r="CE524" s="517">
        <f t="shared" si="1008"/>
        <v>0.99473313107732508</v>
      </c>
      <c r="CF524" s="601">
        <f t="shared" si="1008"/>
        <v>22.513693237101521</v>
      </c>
      <c r="CG524" s="337"/>
      <c r="CH524" s="367"/>
      <c r="CI524" s="336"/>
      <c r="CJ524" s="393"/>
      <c r="CK524" s="393"/>
      <c r="CL524" s="393"/>
      <c r="CM524" s="393"/>
      <c r="CN524" s="517">
        <f t="shared" ref="CN524:CX524" si="1010">+CN521-CM521</f>
        <v>0</v>
      </c>
      <c r="CO524" s="517">
        <f t="shared" si="1010"/>
        <v>0</v>
      </c>
      <c r="CP524" s="517">
        <f t="shared" si="1010"/>
        <v>0</v>
      </c>
      <c r="CQ524" s="517">
        <f t="shared" si="1010"/>
        <v>22.593</v>
      </c>
      <c r="CR524" s="517">
        <f t="shared" si="1010"/>
        <v>24.24</v>
      </c>
      <c r="CS524" s="517">
        <f t="shared" si="1010"/>
        <v>8.3250000000000028</v>
      </c>
      <c r="CT524" s="517">
        <f t="shared" si="1010"/>
        <v>29.286999999999992</v>
      </c>
      <c r="CU524" s="517">
        <f>+CU521-CT521</f>
        <v>47.058999999999997</v>
      </c>
      <c r="CV524" s="517">
        <f>+CV521-CU521</f>
        <v>42.411000000000001</v>
      </c>
      <c r="CW524" s="517">
        <f>+CW521-CV521</f>
        <v>45.974000000000018</v>
      </c>
      <c r="CX524" s="517">
        <f t="shared" si="1010"/>
        <v>67.915999999999997</v>
      </c>
      <c r="CY524" s="517">
        <f t="shared" ref="CY524:DF524" si="1011">+CY521-CX521</f>
        <v>76.266316061108228</v>
      </c>
      <c r="CZ524" s="517">
        <f t="shared" si="1011"/>
        <v>63.885447778417472</v>
      </c>
      <c r="DA524" s="517">
        <f t="shared" si="1011"/>
        <v>61.21279926679739</v>
      </c>
      <c r="DB524" s="517">
        <f t="shared" si="1011"/>
        <v>61.206999509710215</v>
      </c>
      <c r="DC524" s="517">
        <f t="shared" si="1011"/>
        <v>61.871924605481126</v>
      </c>
      <c r="DD524" s="517">
        <f t="shared" si="1011"/>
        <v>63.008692957737367</v>
      </c>
      <c r="DE524" s="517">
        <f t="shared" si="1011"/>
        <v>63.64223488493451</v>
      </c>
      <c r="DF524" s="601">
        <f t="shared" si="1011"/>
        <v>69.546912013861288</v>
      </c>
      <c r="DG524" s="308"/>
      <c r="DH524" s="308"/>
    </row>
    <row r="525" spans="1:112" s="51" customFormat="1" ht="11.25" customHeight="1">
      <c r="A525" s="82"/>
      <c r="B525"/>
      <c r="C525"/>
      <c r="D525"/>
      <c r="E525"/>
      <c r="F525"/>
      <c r="G525"/>
      <c r="H525" s="1044"/>
      <c r="I525" s="259"/>
      <c r="J525" s="82" t="s">
        <v>495</v>
      </c>
      <c r="K525" s="82"/>
      <c r="L525" s="82"/>
      <c r="M525" s="323"/>
      <c r="N525" s="323"/>
      <c r="O525" s="323"/>
      <c r="P525" s="324"/>
      <c r="Q525" s="323"/>
      <c r="R525" s="323"/>
      <c r="S525" s="323"/>
      <c r="T525" s="324"/>
      <c r="U525" s="323"/>
      <c r="V525" s="323"/>
      <c r="W525" s="323"/>
      <c r="X525" s="324"/>
      <c r="Y525" s="323"/>
      <c r="Z525" s="323"/>
      <c r="AA525" s="323"/>
      <c r="AB525" s="324"/>
      <c r="AC525" s="323"/>
      <c r="AD525" s="323"/>
      <c r="AE525" s="323"/>
      <c r="AF525" s="324"/>
      <c r="AG525" s="323"/>
      <c r="AH525" s="323"/>
      <c r="AI525" s="323"/>
      <c r="AJ525" s="324"/>
      <c r="AK525" s="323"/>
      <c r="AL525" s="323"/>
      <c r="AM525" s="323"/>
      <c r="AN525" s="324"/>
      <c r="AO525" s="323"/>
      <c r="AP525" s="323"/>
      <c r="AQ525" s="323"/>
      <c r="AR525" s="324"/>
      <c r="AS525" s="323"/>
      <c r="AT525" s="323"/>
      <c r="AU525" s="323"/>
      <c r="AV525" s="324"/>
      <c r="AW525" s="323"/>
      <c r="AX525" s="323"/>
      <c r="AY525" s="323"/>
      <c r="AZ525" s="324"/>
      <c r="BA525" s="445"/>
      <c r="BB525" s="445"/>
      <c r="BC525" s="445"/>
      <c r="BD525" s="446"/>
      <c r="BE525" s="445"/>
      <c r="BF525" s="445"/>
      <c r="BG525" s="445"/>
      <c r="BH525" s="446"/>
      <c r="BI525" s="445"/>
      <c r="BJ525" s="445"/>
      <c r="BK525" s="445"/>
      <c r="BL525" s="446"/>
      <c r="BM525" s="445"/>
      <c r="BN525" s="445"/>
      <c r="BO525" s="445"/>
      <c r="BP525" s="323"/>
      <c r="BQ525" s="325" t="s">
        <v>495</v>
      </c>
      <c r="BR525" s="323"/>
      <c r="BS525" s="323"/>
      <c r="BT525" s="324"/>
      <c r="BU525" s="323"/>
      <c r="BV525" s="323"/>
      <c r="BW525" s="323"/>
      <c r="BX525" s="324"/>
      <c r="BY525" s="323"/>
      <c r="BZ525" s="323"/>
      <c r="CA525" s="323"/>
      <c r="CB525" s="324"/>
      <c r="CC525" s="323"/>
      <c r="CD525" s="323"/>
      <c r="CE525" s="323"/>
      <c r="CF525" s="324"/>
      <c r="CG525" s="337"/>
      <c r="CH525" s="325"/>
      <c r="CI525" s="323"/>
      <c r="CJ525" s="323"/>
      <c r="CK525" s="323"/>
      <c r="CL525" s="323"/>
      <c r="CM525" s="323"/>
      <c r="CN525" s="323"/>
      <c r="CO525" s="323"/>
      <c r="CP525" s="323"/>
      <c r="CQ525" s="445"/>
      <c r="CR525" s="445"/>
      <c r="CS525" s="445"/>
      <c r="CT525" s="445"/>
      <c r="CU525" s="445"/>
      <c r="CV525" s="445"/>
      <c r="CW525" s="445"/>
      <c r="CX525" s="445"/>
      <c r="CY525" s="445"/>
      <c r="CZ525" s="323"/>
      <c r="DA525" s="323"/>
      <c r="DB525" s="581"/>
      <c r="DC525" s="323"/>
      <c r="DD525" s="323"/>
      <c r="DE525" s="323"/>
      <c r="DF525" s="324"/>
      <c r="DG525" s="308"/>
      <c r="DH525" s="308"/>
    </row>
    <row r="526" spans="1:112" s="584" customFormat="1" ht="11.25" customHeight="1">
      <c r="A526" s="542"/>
      <c r="B526"/>
      <c r="C526"/>
      <c r="D526"/>
      <c r="E526"/>
      <c r="F526"/>
      <c r="G526"/>
      <c r="H526" s="1052"/>
      <c r="I526" s="617" t="s">
        <v>728</v>
      </c>
      <c r="J526" s="542"/>
      <c r="K526" s="542"/>
      <c r="L526" s="542"/>
      <c r="M526" s="581"/>
      <c r="N526" s="581"/>
      <c r="O526" s="581"/>
      <c r="P526" s="582"/>
      <c r="Q526" s="581"/>
      <c r="R526" s="581"/>
      <c r="S526" s="581"/>
      <c r="T526" s="582"/>
      <c r="U526" s="581"/>
      <c r="V526" s="581"/>
      <c r="W526" s="581"/>
      <c r="X526" s="582"/>
      <c r="Y526" s="581"/>
      <c r="Z526" s="581"/>
      <c r="AA526" s="581"/>
      <c r="AB526" s="582"/>
      <c r="AC526" s="581"/>
      <c r="AD526" s="581"/>
      <c r="AE526" s="581"/>
      <c r="AF526" s="582"/>
      <c r="AG526" s="638"/>
      <c r="AH526" s="638"/>
      <c r="AI526" s="638"/>
      <c r="AJ526" s="639"/>
      <c r="AK526" s="581"/>
      <c r="AL526" s="581"/>
      <c r="AM526" s="581"/>
      <c r="AN526" s="582"/>
      <c r="AO526" s="581"/>
      <c r="AP526" s="581"/>
      <c r="AQ526" s="581"/>
      <c r="AR526" s="582"/>
      <c r="AS526" s="581"/>
      <c r="AT526" s="581"/>
      <c r="AU526" s="581"/>
      <c r="AV526" s="582"/>
      <c r="AW526" s="581"/>
      <c r="AX526" s="581"/>
      <c r="AY526" s="581"/>
      <c r="AZ526" s="582"/>
      <c r="BA526" s="638"/>
      <c r="BB526" s="638"/>
      <c r="BC526" s="638"/>
      <c r="BD526" s="639"/>
      <c r="BE526" s="638"/>
      <c r="BF526" s="638"/>
      <c r="BG526" s="638"/>
      <c r="BH526" s="639"/>
      <c r="BI526" s="638"/>
      <c r="BJ526" s="638"/>
      <c r="BK526" s="638"/>
      <c r="BL526" s="639"/>
      <c r="BM526" s="638"/>
      <c r="BN526" s="638"/>
      <c r="BO526" s="638"/>
      <c r="BP526" s="638"/>
      <c r="BQ526" s="1512"/>
      <c r="BR526" s="638"/>
      <c r="BS526" s="638"/>
      <c r="BT526" s="639"/>
      <c r="BU526" s="638"/>
      <c r="BV526" s="638"/>
      <c r="BW526" s="638"/>
      <c r="BX526" s="639"/>
      <c r="BY526" s="581">
        <v>0</v>
      </c>
      <c r="BZ526" s="581">
        <v>5</v>
      </c>
      <c r="CA526" s="581">
        <v>25</v>
      </c>
      <c r="CB526" s="599">
        <v>10</v>
      </c>
      <c r="CC526" s="638">
        <f>+CY526/4</f>
        <v>21.416666666666668</v>
      </c>
      <c r="CD526" s="638">
        <f>+CZ526/4</f>
        <v>21.416666666666668</v>
      </c>
      <c r="CE526" s="638">
        <f>+DA526/4</f>
        <v>21.416666666666668</v>
      </c>
      <c r="CF526" s="639">
        <f>+DA526/4</f>
        <v>21.416666666666668</v>
      </c>
      <c r="CG526" s="582"/>
      <c r="CH526" s="583"/>
      <c r="CI526" s="581"/>
      <c r="CJ526" s="581"/>
      <c r="CK526" s="581"/>
      <c r="CL526" s="581"/>
      <c r="CM526" s="581"/>
      <c r="CN526" s="581"/>
      <c r="CO526" s="581"/>
      <c r="CP526" s="581"/>
      <c r="CQ526" s="638"/>
      <c r="CR526" s="638"/>
      <c r="CS526" s="638"/>
      <c r="CT526" s="638"/>
      <c r="CU526" s="638"/>
      <c r="CV526" s="638"/>
      <c r="CW526" s="638">
        <f>+SUM(BU526:BX526)</f>
        <v>0</v>
      </c>
      <c r="CX526" s="638">
        <f>+SUM(BY526:CB526)</f>
        <v>40</v>
      </c>
      <c r="CY526" s="638">
        <f>+(DA527-CX526)/3</f>
        <v>85.666666666666671</v>
      </c>
      <c r="CZ526" s="638">
        <f>+(DA527-CX526)/3</f>
        <v>85.666666666666671</v>
      </c>
      <c r="DA526" s="638">
        <f>+(DA527-CX526)/3</f>
        <v>85.666666666666671</v>
      </c>
      <c r="DC526" s="638"/>
      <c r="DD526" s="638"/>
      <c r="DE526" s="638"/>
      <c r="DF526" s="639"/>
      <c r="DG526" s="632"/>
      <c r="DH526" s="632"/>
    </row>
    <row r="527" spans="1:112" s="51" customFormat="1" ht="11.25" customHeight="1">
      <c r="A527" s="82"/>
      <c r="B527"/>
      <c r="C527"/>
      <c r="D527"/>
      <c r="E527"/>
      <c r="F527"/>
      <c r="G527"/>
      <c r="H527" s="1044"/>
      <c r="I527" s="259"/>
      <c r="J527" s="82"/>
      <c r="K527" s="82"/>
      <c r="L527" s="82"/>
      <c r="M527" s="323"/>
      <c r="N527" s="323"/>
      <c r="O527" s="323"/>
      <c r="P527" s="324"/>
      <c r="Q527" s="323"/>
      <c r="R527" s="323"/>
      <c r="S527" s="323"/>
      <c r="T527" s="324"/>
      <c r="U527" s="323"/>
      <c r="V527" s="323"/>
      <c r="W527" s="323"/>
      <c r="X527" s="324"/>
      <c r="Y527" s="323"/>
      <c r="Z527" s="323"/>
      <c r="AA527" s="323"/>
      <c r="AB527" s="324"/>
      <c r="AC527" s="323"/>
      <c r="AD527" s="323"/>
      <c r="AE527" s="323"/>
      <c r="AF527" s="324"/>
      <c r="AG527" s="323"/>
      <c r="AH527" s="323"/>
      <c r="AI527" s="323"/>
      <c r="AJ527" s="324"/>
      <c r="AK527" s="323"/>
      <c r="AL527" s="323"/>
      <c r="AM527" s="323"/>
      <c r="AN527" s="324"/>
      <c r="AO527" s="323"/>
      <c r="AP527" s="323"/>
      <c r="AQ527" s="323"/>
      <c r="AR527" s="324"/>
      <c r="AS527" s="323"/>
      <c r="AT527" s="323"/>
      <c r="AU527" s="323"/>
      <c r="AV527" s="324"/>
      <c r="AW527" s="323"/>
      <c r="AX527" s="323"/>
      <c r="AY527" s="323"/>
      <c r="AZ527" s="324"/>
      <c r="BA527" s="445"/>
      <c r="BB527" s="445"/>
      <c r="BC527" s="445"/>
      <c r="BD527" s="446"/>
      <c r="BE527" s="445"/>
      <c r="BF527" s="445"/>
      <c r="BG527" s="445"/>
      <c r="BH527" s="446"/>
      <c r="BI527" s="445"/>
      <c r="BJ527" s="445"/>
      <c r="BK527" s="445"/>
      <c r="BL527" s="446"/>
      <c r="BM527" s="445"/>
      <c r="BN527" s="445"/>
      <c r="BO527" s="445"/>
      <c r="BP527" s="323"/>
      <c r="BQ527" s="325"/>
      <c r="BR527" s="323"/>
      <c r="BS527" s="323"/>
      <c r="BT527" s="324"/>
      <c r="BU527" s="323"/>
      <c r="BV527" s="323"/>
      <c r="BW527" s="323"/>
      <c r="BX527" s="324"/>
      <c r="BY527" s="323"/>
      <c r="BZ527" s="323"/>
      <c r="CA527" s="323"/>
      <c r="CB527" s="324"/>
      <c r="CC527" s="323"/>
      <c r="CD527" s="323"/>
      <c r="CE527" s="323"/>
      <c r="CF527" s="324"/>
      <c r="CG527" s="337"/>
      <c r="CH527" s="325"/>
      <c r="CI527" s="323"/>
      <c r="CJ527" s="323"/>
      <c r="CK527" s="323"/>
      <c r="CL527" s="323"/>
      <c r="CM527" s="323"/>
      <c r="CN527" s="323"/>
      <c r="CO527" s="323"/>
      <c r="CP527" s="323"/>
      <c r="CQ527" s="445"/>
      <c r="CR527" s="445"/>
      <c r="CS527" s="445"/>
      <c r="CT527" s="445"/>
      <c r="CU527" s="445"/>
      <c r="CV527" s="445"/>
      <c r="CW527" s="445"/>
      <c r="CX527" s="445"/>
      <c r="CY527" s="445"/>
      <c r="CZ527" s="323"/>
      <c r="DA527" s="581">
        <f>270*1.1</f>
        <v>297</v>
      </c>
      <c r="DB527" s="323"/>
      <c r="DC527" s="323"/>
      <c r="DD527" s="323"/>
      <c r="DE527" s="323"/>
      <c r="DF527" s="324"/>
      <c r="DG527" s="308"/>
      <c r="DH527" s="308"/>
    </row>
    <row r="528" spans="1:112" s="51" customFormat="1" ht="11.25" customHeight="1">
      <c r="A528" s="82"/>
      <c r="B528"/>
      <c r="C528"/>
      <c r="D528"/>
      <c r="E528"/>
      <c r="F528"/>
      <c r="G528"/>
      <c r="H528" s="1044"/>
      <c r="I528" s="259"/>
      <c r="J528" s="82"/>
      <c r="K528" s="82"/>
      <c r="L528" s="82"/>
      <c r="M528" s="323"/>
      <c r="N528" s="323"/>
      <c r="O528" s="323"/>
      <c r="P528" s="324"/>
      <c r="Q528" s="323"/>
      <c r="R528" s="323"/>
      <c r="S528" s="323"/>
      <c r="T528" s="324"/>
      <c r="U528" s="323"/>
      <c r="V528" s="323"/>
      <c r="W528" s="323"/>
      <c r="X528" s="324"/>
      <c r="Y528" s="323"/>
      <c r="Z528" s="323"/>
      <c r="AA528" s="323"/>
      <c r="AB528" s="324"/>
      <c r="AC528" s="323"/>
      <c r="AD528" s="323"/>
      <c r="AE528" s="323"/>
      <c r="AF528" s="324"/>
      <c r="AG528" s="323"/>
      <c r="AH528" s="323"/>
      <c r="AI528" s="323"/>
      <c r="AJ528" s="324"/>
      <c r="AK528" s="323"/>
      <c r="AL528" s="323"/>
      <c r="AM528" s="323"/>
      <c r="AN528" s="324"/>
      <c r="AO528" s="323"/>
      <c r="AP528" s="323"/>
      <c r="AQ528" s="323"/>
      <c r="AR528" s="324"/>
      <c r="AS528" s="323"/>
      <c r="AT528" s="323"/>
      <c r="AU528" s="323"/>
      <c r="AV528" s="324"/>
      <c r="AW528" s="323"/>
      <c r="AX528" s="323"/>
      <c r="AY528" s="323"/>
      <c r="AZ528" s="324"/>
      <c r="BA528" s="445"/>
      <c r="BB528" s="445"/>
      <c r="BC528" s="445"/>
      <c r="BD528" s="446"/>
      <c r="BE528" s="445"/>
      <c r="BF528" s="445"/>
      <c r="BG528" s="445"/>
      <c r="BH528" s="446"/>
      <c r="BI528" s="445"/>
      <c r="BJ528" s="445"/>
      <c r="BK528" s="445"/>
      <c r="BL528" s="446"/>
      <c r="BM528" s="445"/>
      <c r="BN528" s="445"/>
      <c r="BO528" s="445"/>
      <c r="BP528" s="323"/>
      <c r="BQ528" s="325"/>
      <c r="BR528" s="323"/>
      <c r="BS528" s="323"/>
      <c r="BT528" s="324"/>
      <c r="BU528" s="323"/>
      <c r="BV528" s="323"/>
      <c r="BW528" s="323"/>
      <c r="BX528" s="324"/>
      <c r="BY528" s="323"/>
      <c r="BZ528" s="323"/>
      <c r="CA528" s="323"/>
      <c r="CB528" s="324"/>
      <c r="CC528" s="323"/>
      <c r="CD528" s="323"/>
      <c r="CE528" s="323"/>
      <c r="CF528" s="324"/>
      <c r="CG528" s="337"/>
      <c r="CH528" s="325"/>
      <c r="CI528" s="323"/>
      <c r="CJ528" s="323"/>
      <c r="CK528" s="323"/>
      <c r="CL528" s="323"/>
      <c r="CM528" s="323"/>
      <c r="CN528" s="323"/>
      <c r="CO528" s="323"/>
      <c r="CP528" s="323"/>
      <c r="CQ528" s="445"/>
      <c r="CR528" s="445"/>
      <c r="CS528" s="445"/>
      <c r="CT528" s="445"/>
      <c r="CU528" s="445"/>
      <c r="CV528" s="445"/>
      <c r="CW528" s="445"/>
      <c r="CX528" s="445"/>
      <c r="CY528" s="445"/>
      <c r="CZ528" s="323"/>
      <c r="DA528" s="323"/>
      <c r="DB528" s="323"/>
      <c r="DC528" s="323"/>
      <c r="DD528" s="323"/>
      <c r="DE528" s="323"/>
      <c r="DF528" s="324"/>
      <c r="DG528" s="308"/>
      <c r="DH528" s="308"/>
    </row>
    <row r="529" spans="1:113" s="584" customFormat="1" ht="11.25" customHeight="1">
      <c r="A529" s="542"/>
      <c r="B529"/>
      <c r="C529"/>
      <c r="D529"/>
      <c r="E529"/>
      <c r="F529"/>
      <c r="G529"/>
      <c r="H529" s="1052"/>
      <c r="I529" s="617" t="s">
        <v>729</v>
      </c>
      <c r="J529" s="542"/>
      <c r="K529" s="542"/>
      <c r="L529" s="542"/>
      <c r="M529" s="581"/>
      <c r="N529" s="581"/>
      <c r="O529" s="581"/>
      <c r="P529" s="582"/>
      <c r="Q529" s="581"/>
      <c r="R529" s="581"/>
      <c r="S529" s="581"/>
      <c r="T529" s="582"/>
      <c r="U529" s="581"/>
      <c r="V529" s="581"/>
      <c r="W529" s="581"/>
      <c r="X529" s="582"/>
      <c r="Y529" s="581"/>
      <c r="Z529" s="581"/>
      <c r="AA529" s="581"/>
      <c r="AB529" s="582"/>
      <c r="AC529" s="581"/>
      <c r="AD529" s="581"/>
      <c r="AE529" s="581"/>
      <c r="AF529" s="582"/>
      <c r="AG529" s="638"/>
      <c r="AH529" s="638"/>
      <c r="AI529" s="638"/>
      <c r="AJ529" s="639"/>
      <c r="AK529" s="581"/>
      <c r="AL529" s="581"/>
      <c r="AM529" s="581"/>
      <c r="AN529" s="582"/>
      <c r="AO529" s="581"/>
      <c r="AP529" s="581"/>
      <c r="AQ529" s="581"/>
      <c r="AR529" s="582"/>
      <c r="AS529" s="581"/>
      <c r="AT529" s="581"/>
      <c r="AU529" s="581"/>
      <c r="AV529" s="582"/>
      <c r="AW529" s="581"/>
      <c r="AX529" s="581"/>
      <c r="AY529" s="581"/>
      <c r="AZ529" s="582"/>
      <c r="BA529" s="638"/>
      <c r="BB529" s="638"/>
      <c r="BC529" s="638"/>
      <c r="BD529" s="639"/>
      <c r="BE529" s="1512">
        <f t="shared" ref="BE529:BY529" si="1012">+BE521-BE526</f>
        <v>13.696999999999999</v>
      </c>
      <c r="BF529" s="638">
        <f t="shared" si="1012"/>
        <v>14.725999999999999</v>
      </c>
      <c r="BG529" s="638">
        <f t="shared" si="1012"/>
        <v>10.527000000000005</v>
      </c>
      <c r="BH529" s="639">
        <f t="shared" si="1012"/>
        <v>16.208000000000002</v>
      </c>
      <c r="BI529" s="1512">
        <f t="shared" si="1012"/>
        <v>15.051</v>
      </c>
      <c r="BJ529" s="638">
        <f t="shared" si="1012"/>
        <v>21.43</v>
      </c>
      <c r="BK529" s="638">
        <f t="shared" si="1012"/>
        <v>20.476999999999997</v>
      </c>
      <c r="BL529" s="639">
        <f t="shared" si="1012"/>
        <v>27.486999999999995</v>
      </c>
      <c r="BM529" s="1512">
        <f t="shared" si="1012"/>
        <v>29.731000000000002</v>
      </c>
      <c r="BN529" s="638">
        <f t="shared" si="1012"/>
        <v>32.254999999999995</v>
      </c>
      <c r="BO529" s="638">
        <f t="shared" si="1012"/>
        <v>28.738999999999997</v>
      </c>
      <c r="BP529" s="639">
        <f t="shared" si="1012"/>
        <v>40.778999999999989</v>
      </c>
      <c r="BQ529" s="1512">
        <f t="shared" si="1012"/>
        <v>31.263000000000002</v>
      </c>
      <c r="BR529" s="638">
        <f t="shared" si="1012"/>
        <v>53.087999999999994</v>
      </c>
      <c r="BS529" s="638">
        <f t="shared" si="1012"/>
        <v>42.286000000000001</v>
      </c>
      <c r="BT529" s="639">
        <f t="shared" si="1012"/>
        <v>47.277999999999992</v>
      </c>
      <c r="BU529" s="1512">
        <f t="shared" si="1012"/>
        <v>53.256</v>
      </c>
      <c r="BV529" s="638">
        <f t="shared" si="1012"/>
        <v>60.442999999999998</v>
      </c>
      <c r="BW529" s="638">
        <f t="shared" si="1012"/>
        <v>54.376999999999995</v>
      </c>
      <c r="BX529" s="639">
        <f t="shared" si="1012"/>
        <v>51.813000000000002</v>
      </c>
      <c r="BY529" s="638">
        <f t="shared" si="1012"/>
        <v>70.558999999999997</v>
      </c>
      <c r="BZ529" s="638">
        <f t="shared" ref="BZ529:CF529" si="1013">+BZ521-BZ526</f>
        <v>71.710000000000008</v>
      </c>
      <c r="CA529" s="638">
        <f t="shared" si="1013"/>
        <v>51.423000000000002</v>
      </c>
      <c r="CB529" s="639">
        <f t="shared" si="1013"/>
        <v>54.113</v>
      </c>
      <c r="CC529" s="638">
        <f>+CC521-CC526</f>
        <v>77.132749811574428</v>
      </c>
      <c r="CD529" s="638">
        <f t="shared" si="1013"/>
        <v>80.060806548021603</v>
      </c>
      <c r="CE529" s="638">
        <f t="shared" si="1013"/>
        <v>56.001066464410655</v>
      </c>
      <c r="CF529" s="639">
        <f t="shared" si="1013"/>
        <v>65.210026570434849</v>
      </c>
      <c r="CG529" s="582"/>
      <c r="CH529" s="583"/>
      <c r="CI529" s="581"/>
      <c r="CJ529" s="581"/>
      <c r="CK529" s="581"/>
      <c r="CL529" s="581"/>
      <c r="CM529" s="581"/>
      <c r="CN529" s="581"/>
      <c r="CO529" s="581"/>
      <c r="CP529" s="581"/>
      <c r="CQ529" s="638">
        <f>+CQ521-CQ526</f>
        <v>22.593</v>
      </c>
      <c r="CR529" s="638">
        <f>+CR521-CR526</f>
        <v>46.832999999999998</v>
      </c>
      <c r="CS529" s="638">
        <f t="shared" ref="CS529:CY529" si="1014">+CS521-CS526</f>
        <v>55.158000000000001</v>
      </c>
      <c r="CT529" s="638">
        <f t="shared" si="1014"/>
        <v>84.444999999999993</v>
      </c>
      <c r="CU529" s="638">
        <f t="shared" si="1014"/>
        <v>131.50399999999999</v>
      </c>
      <c r="CV529" s="638">
        <f t="shared" si="1014"/>
        <v>173.91499999999999</v>
      </c>
      <c r="CW529" s="638">
        <f t="shared" si="1014"/>
        <v>219.88900000000001</v>
      </c>
      <c r="CX529" s="638">
        <f t="shared" si="1014"/>
        <v>247.80500000000001</v>
      </c>
      <c r="CY529" s="638">
        <f t="shared" si="1014"/>
        <v>278.40464939444155</v>
      </c>
      <c r="CZ529" s="638">
        <f t="shared" ref="CZ529:DF529" si="1015">+CZ521-CZ526</f>
        <v>342.29009717285902</v>
      </c>
      <c r="DA529" s="638">
        <f t="shared" si="1015"/>
        <v>403.50289643965641</v>
      </c>
      <c r="DB529" s="638">
        <f t="shared" si="1015"/>
        <v>550.37656261603331</v>
      </c>
      <c r="DC529" s="638">
        <f t="shared" si="1015"/>
        <v>612.24848722151444</v>
      </c>
      <c r="DD529" s="638">
        <f t="shared" si="1015"/>
        <v>675.2571801792518</v>
      </c>
      <c r="DE529" s="638">
        <f t="shared" si="1015"/>
        <v>738.89941506418631</v>
      </c>
      <c r="DF529" s="639">
        <f t="shared" si="1015"/>
        <v>808.4463270780476</v>
      </c>
      <c r="DG529" s="632"/>
      <c r="DH529" s="632"/>
    </row>
    <row r="530" spans="1:113" s="51" customFormat="1" ht="11.25" customHeight="1">
      <c r="A530" s="82"/>
      <c r="B530"/>
      <c r="C530"/>
      <c r="D530"/>
      <c r="E530"/>
      <c r="F530"/>
      <c r="G530"/>
      <c r="H530" s="1044"/>
      <c r="I530" s="233" t="s">
        <v>506</v>
      </c>
      <c r="J530" s="82"/>
      <c r="K530" s="82"/>
      <c r="L530" s="82"/>
      <c r="M530" s="323"/>
      <c r="N530" s="323"/>
      <c r="O530" s="323"/>
      <c r="P530" s="324"/>
      <c r="Q530" s="323"/>
      <c r="R530" s="323"/>
      <c r="S530" s="323"/>
      <c r="T530" s="324"/>
      <c r="U530" s="323"/>
      <c r="V530" s="323"/>
      <c r="W530" s="323"/>
      <c r="X530" s="324"/>
      <c r="Y530" s="323"/>
      <c r="Z530" s="323"/>
      <c r="AA530" s="323"/>
      <c r="AB530" s="324"/>
      <c r="AC530" s="323"/>
      <c r="AD530" s="323"/>
      <c r="AE530" s="323"/>
      <c r="AF530" s="324"/>
      <c r="AG530" s="323"/>
      <c r="AH530" s="323"/>
      <c r="AI530" s="323"/>
      <c r="AJ530" s="324"/>
      <c r="AK530" s="323"/>
      <c r="AL530" s="323"/>
      <c r="AM530" s="323"/>
      <c r="AN530" s="324"/>
      <c r="AO530" s="323"/>
      <c r="AP530" s="323"/>
      <c r="AQ530" s="323"/>
      <c r="AR530" s="324"/>
      <c r="AS530" s="323"/>
      <c r="AT530" s="323"/>
      <c r="AU530" s="323"/>
      <c r="AV530" s="324"/>
      <c r="AW530" s="323"/>
      <c r="AX530" s="323"/>
      <c r="AY530" s="323"/>
      <c r="AZ530" s="324"/>
      <c r="BA530" s="445"/>
      <c r="BB530" s="445"/>
      <c r="BC530" s="445"/>
      <c r="BD530" s="446"/>
      <c r="BE530" s="1529">
        <f t="shared" ref="BE530:CF530" si="1016">+BE529/BE39</f>
        <v>1.8427581233653709E-2</v>
      </c>
      <c r="BF530" s="1366">
        <f t="shared" si="1016"/>
        <v>1.4665256507545743E-2</v>
      </c>
      <c r="BG530" s="1366">
        <f t="shared" si="1016"/>
        <v>7.5381256440203081E-3</v>
      </c>
      <c r="BH530" s="1367">
        <f t="shared" si="1016"/>
        <v>1.7247140196860869E-2</v>
      </c>
      <c r="BI530" s="1529">
        <f t="shared" si="1016"/>
        <v>1.4906924573992364E-2</v>
      </c>
      <c r="BJ530" s="1366">
        <f t="shared" si="1016"/>
        <v>1.548572646700702E-2</v>
      </c>
      <c r="BK530" s="1366">
        <f t="shared" si="1016"/>
        <v>1.0294786746536689E-2</v>
      </c>
      <c r="BL530" s="1367">
        <f t="shared" si="1016"/>
        <v>2.0615749931935847E-2</v>
      </c>
      <c r="BM530" s="1529">
        <f t="shared" si="1016"/>
        <v>2.1138722376785584E-2</v>
      </c>
      <c r="BN530" s="1366">
        <f t="shared" si="1016"/>
        <v>1.7129616844645448E-2</v>
      </c>
      <c r="BO530" s="1366">
        <f t="shared" si="1016"/>
        <v>1.0969176077051028E-2</v>
      </c>
      <c r="BP530" s="1367">
        <f t="shared" si="1016"/>
        <v>2.4350250942714594E-2</v>
      </c>
      <c r="BQ530" s="1529">
        <f t="shared" si="1016"/>
        <v>1.8695327692981135E-2</v>
      </c>
      <c r="BR530" s="1366">
        <f t="shared" si="1016"/>
        <v>2.5365687708860309E-2</v>
      </c>
      <c r="BS530" s="1366">
        <f t="shared" si="1016"/>
        <v>1.4347456402203794E-2</v>
      </c>
      <c r="BT530" s="1367">
        <f t="shared" si="1016"/>
        <v>2.5156128367661085E-2</v>
      </c>
      <c r="BU530" s="1529">
        <f t="shared" si="1016"/>
        <v>2.6371536804575508E-2</v>
      </c>
      <c r="BV530" s="1366">
        <f t="shared" si="1016"/>
        <v>2.4875525656654116E-2</v>
      </c>
      <c r="BW530" s="1366">
        <f t="shared" si="1016"/>
        <v>1.5150751045607166E-2</v>
      </c>
      <c r="BX530" s="1367">
        <f t="shared" si="1016"/>
        <v>2.2761328277896172E-2</v>
      </c>
      <c r="BY530" s="1366">
        <f t="shared" si="1016"/>
        <v>3.0227890508025112E-2</v>
      </c>
      <c r="BZ530" s="1366">
        <f t="shared" si="1016"/>
        <v>2.429353611033758E-2</v>
      </c>
      <c r="CA530" s="1366">
        <f t="shared" si="1016"/>
        <v>1.1755029599595661E-2</v>
      </c>
      <c r="CB530" s="1367">
        <f t="shared" si="1016"/>
        <v>1.9535781061198732E-2</v>
      </c>
      <c r="CC530" s="1366">
        <f t="shared" si="1016"/>
        <v>2.757219841626337E-2</v>
      </c>
      <c r="CD530" s="1366">
        <f t="shared" si="1016"/>
        <v>2.2475185190026583E-2</v>
      </c>
      <c r="CE530" s="1366">
        <f t="shared" si="1016"/>
        <v>1.1190341267232218E-2</v>
      </c>
      <c r="CF530" s="1367">
        <f t="shared" si="1016"/>
        <v>1.930552706987778E-2</v>
      </c>
      <c r="CG530" s="337"/>
      <c r="CH530" s="325"/>
      <c r="CI530" s="323"/>
      <c r="CJ530" s="323"/>
      <c r="CK530" s="323"/>
      <c r="CL530" s="323"/>
      <c r="CM530" s="323"/>
      <c r="CN530" s="323"/>
      <c r="CO530" s="323"/>
      <c r="CP530" s="323"/>
      <c r="CQ530" s="1366">
        <f t="shared" ref="CQ530:DF530" si="1017">+CQ529/CQ39</f>
        <v>1.1806086094078721E-2</v>
      </c>
      <c r="CR530" s="1366">
        <f t="shared" si="1017"/>
        <v>1.5206111926438689E-2</v>
      </c>
      <c r="CS530" s="1366">
        <f t="shared" si="1017"/>
        <v>1.3506931613904217E-2</v>
      </c>
      <c r="CT530" s="1366">
        <f t="shared" si="1017"/>
        <v>1.4773737614780978E-2</v>
      </c>
      <c r="CU530" s="1366">
        <f t="shared" si="1017"/>
        <v>1.7339365227125592E-2</v>
      </c>
      <c r="CV530" s="1366">
        <f t="shared" si="1017"/>
        <v>2.0241958414568672E-2</v>
      </c>
      <c r="CW530" s="1366">
        <f t="shared" si="1017"/>
        <v>2.1318038386410377E-2</v>
      </c>
      <c r="CX530" s="1366">
        <f t="shared" si="1017"/>
        <v>1.9935167766175984E-2</v>
      </c>
      <c r="CY530" s="1366">
        <f t="shared" si="1017"/>
        <v>1.8885299538802584E-2</v>
      </c>
      <c r="CZ530" s="1366">
        <f t="shared" si="1017"/>
        <v>2.0387198937317014E-2</v>
      </c>
      <c r="DA530" s="1366">
        <f t="shared" si="1017"/>
        <v>2.1438131170793056E-2</v>
      </c>
      <c r="DB530" s="1366">
        <f t="shared" si="1017"/>
        <v>2.6489605901629982E-2</v>
      </c>
      <c r="DC530" s="1366">
        <f t="shared" si="1017"/>
        <v>2.6989605901629979E-2</v>
      </c>
      <c r="DD530" s="1366">
        <f t="shared" si="1017"/>
        <v>2.7489605901629983E-2</v>
      </c>
      <c r="DE530" s="1366">
        <f t="shared" si="1017"/>
        <v>2.7989605901629983E-2</v>
      </c>
      <c r="DF530" s="1367">
        <f t="shared" si="1017"/>
        <v>2.8489605901629984E-2</v>
      </c>
      <c r="DG530" s="308"/>
      <c r="DH530" s="308"/>
    </row>
    <row r="531" spans="1:113" s="61" customFormat="1" ht="11.25" customHeight="1">
      <c r="A531" s="48"/>
      <c r="B531"/>
      <c r="C531"/>
      <c r="D531"/>
      <c r="E531"/>
      <c r="F531"/>
      <c r="G531"/>
      <c r="H531" s="1044"/>
      <c r="I531" s="1332" t="s">
        <v>384</v>
      </c>
      <c r="J531" s="85"/>
      <c r="K531" s="85"/>
      <c r="L531" s="60"/>
      <c r="M531" s="350"/>
      <c r="N531" s="350"/>
      <c r="O531" s="350"/>
      <c r="P531" s="351"/>
      <c r="Q531" s="350"/>
      <c r="R531" s="350"/>
      <c r="S531" s="350"/>
      <c r="T531" s="351"/>
      <c r="U531" s="482"/>
      <c r="V531" s="482"/>
      <c r="W531" s="482"/>
      <c r="X531" s="483"/>
      <c r="Y531" s="482"/>
      <c r="Z531" s="482"/>
      <c r="AA531" s="482"/>
      <c r="AB531" s="483"/>
      <c r="AC531" s="482"/>
      <c r="AD531" s="482"/>
      <c r="AE531" s="482"/>
      <c r="AF531" s="483"/>
      <c r="AG531" s="482"/>
      <c r="AH531" s="482"/>
      <c r="AI531" s="482"/>
      <c r="AJ531" s="483"/>
      <c r="AK531" s="484"/>
      <c r="AL531" s="484"/>
      <c r="AM531" s="484"/>
      <c r="AN531" s="485"/>
      <c r="AO531" s="484"/>
      <c r="AP531" s="484"/>
      <c r="AQ531" s="484"/>
      <c r="AR531" s="485"/>
      <c r="AS531" s="484"/>
      <c r="AT531" s="484"/>
      <c r="AU531" s="484"/>
      <c r="AV531" s="485"/>
      <c r="AW531" s="484"/>
      <c r="AX531" s="484"/>
      <c r="AY531" s="484"/>
      <c r="AZ531" s="485"/>
      <c r="BA531" s="484"/>
      <c r="BB531" s="484"/>
      <c r="BC531" s="484"/>
      <c r="BD531" s="485"/>
      <c r="BE531" s="1519"/>
      <c r="BF531" s="484"/>
      <c r="BG531" s="484"/>
      <c r="BH531" s="485"/>
      <c r="BI531" s="1519">
        <f t="shared" ref="BI531:CF531" si="1018">+(BI530-BE530)*10000</f>
        <v>-35.206566596613449</v>
      </c>
      <c r="BJ531" s="484">
        <f t="shared" si="1018"/>
        <v>8.2046995946127677</v>
      </c>
      <c r="BK531" s="484">
        <f t="shared" si="1018"/>
        <v>27.566611025163805</v>
      </c>
      <c r="BL531" s="485">
        <f t="shared" si="1018"/>
        <v>33.686097350749783</v>
      </c>
      <c r="BM531" s="1519">
        <f t="shared" si="1018"/>
        <v>62.317978027932199</v>
      </c>
      <c r="BN531" s="484">
        <f t="shared" si="1018"/>
        <v>16.438903776384276</v>
      </c>
      <c r="BO531" s="484">
        <f t="shared" si="1018"/>
        <v>6.7438933051433905</v>
      </c>
      <c r="BP531" s="485">
        <f t="shared" si="1018"/>
        <v>37.345010107787473</v>
      </c>
      <c r="BQ531" s="1519">
        <f t="shared" si="1018"/>
        <v>-24.433946838044488</v>
      </c>
      <c r="BR531" s="484">
        <f t="shared" si="1018"/>
        <v>82.360708642148609</v>
      </c>
      <c r="BS531" s="484">
        <f t="shared" si="1018"/>
        <v>33.782803251527667</v>
      </c>
      <c r="BT531" s="485">
        <f t="shared" si="1018"/>
        <v>8.0587742494649124</v>
      </c>
      <c r="BU531" s="1519">
        <f t="shared" si="1018"/>
        <v>76.762091115943718</v>
      </c>
      <c r="BV531" s="484">
        <f t="shared" si="1018"/>
        <v>-4.9016205220619309</v>
      </c>
      <c r="BW531" s="484">
        <f t="shared" si="1018"/>
        <v>8.0329464340337182</v>
      </c>
      <c r="BX531" s="485">
        <f t="shared" si="1018"/>
        <v>-23.948000897649134</v>
      </c>
      <c r="BY531" s="484">
        <f t="shared" si="1018"/>
        <v>38.563537034496036</v>
      </c>
      <c r="BZ531" s="484">
        <f t="shared" si="1018"/>
        <v>-5.8198954631653521</v>
      </c>
      <c r="CA531" s="484">
        <f t="shared" si="1018"/>
        <v>-33.957214460115047</v>
      </c>
      <c r="CB531" s="485">
        <f t="shared" si="1018"/>
        <v>-32.2554721669744</v>
      </c>
      <c r="CC531" s="484">
        <f t="shared" si="1018"/>
        <v>-26.556920917617418</v>
      </c>
      <c r="CD531" s="484">
        <f t="shared" si="1018"/>
        <v>-18.183509203109974</v>
      </c>
      <c r="CE531" s="484">
        <f t="shared" si="1018"/>
        <v>-5.6468833236344302</v>
      </c>
      <c r="CF531" s="485">
        <f t="shared" si="1018"/>
        <v>-2.3025399132095212</v>
      </c>
      <c r="CG531" s="351"/>
      <c r="CH531" s="356"/>
      <c r="CI531" s="350"/>
      <c r="CJ531" s="482"/>
      <c r="CK531" s="482"/>
      <c r="CL531" s="482"/>
      <c r="CM531" s="482"/>
      <c r="CN531" s="484"/>
      <c r="CO531" s="484"/>
      <c r="CP531" s="484"/>
      <c r="CQ531" s="484">
        <f t="shared" ref="CQ531:DF531" si="1019">+(CQ530-CP530)*10000</f>
        <v>118.06086094078721</v>
      </c>
      <c r="CR531" s="484">
        <f t="shared" si="1019"/>
        <v>34.000258323599681</v>
      </c>
      <c r="CS531" s="484">
        <f t="shared" si="1019"/>
        <v>-16.99180312534472</v>
      </c>
      <c r="CT531" s="484">
        <f t="shared" si="1019"/>
        <v>12.668060008767609</v>
      </c>
      <c r="CU531" s="484">
        <f t="shared" si="1019"/>
        <v>25.656276123446133</v>
      </c>
      <c r="CV531" s="484">
        <f t="shared" si="1019"/>
        <v>29.025931874430803</v>
      </c>
      <c r="CW531" s="484">
        <f t="shared" si="1019"/>
        <v>10.760799718417049</v>
      </c>
      <c r="CX531" s="484">
        <f t="shared" si="1019"/>
        <v>-13.828706202343929</v>
      </c>
      <c r="CY531" s="484">
        <f t="shared" si="1019"/>
        <v>-10.498682273734003</v>
      </c>
      <c r="CZ531" s="484">
        <f t="shared" si="1019"/>
        <v>15.018993985144308</v>
      </c>
      <c r="DA531" s="484">
        <f t="shared" si="1019"/>
        <v>10.509322334760416</v>
      </c>
      <c r="DB531" s="484">
        <f t="shared" si="1019"/>
        <v>50.514747308369259</v>
      </c>
      <c r="DC531" s="484">
        <f t="shared" si="1019"/>
        <v>4.9999999999999698</v>
      </c>
      <c r="DD531" s="484">
        <f t="shared" si="1019"/>
        <v>5.0000000000000391</v>
      </c>
      <c r="DE531" s="484">
        <f t="shared" si="1019"/>
        <v>5.0000000000000044</v>
      </c>
      <c r="DF531" s="485">
        <f t="shared" si="1019"/>
        <v>5.0000000000000044</v>
      </c>
    </row>
    <row r="532" spans="1:113" s="51" customFormat="1" ht="11.25" customHeight="1">
      <c r="A532" s="82"/>
      <c r="B532"/>
      <c r="C532"/>
      <c r="D532"/>
      <c r="E532"/>
      <c r="F532"/>
      <c r="G532"/>
      <c r="H532" s="1044"/>
      <c r="I532" s="185" t="s">
        <v>385</v>
      </c>
      <c r="J532" s="83"/>
      <c r="K532" s="83"/>
      <c r="L532" s="82"/>
      <c r="M532" s="336"/>
      <c r="N532" s="336"/>
      <c r="O532" s="336"/>
      <c r="P532" s="337"/>
      <c r="Q532" s="336"/>
      <c r="R532" s="336"/>
      <c r="S532" s="336"/>
      <c r="T532" s="337"/>
      <c r="U532" s="393"/>
      <c r="V532" s="393"/>
      <c r="W532" s="393"/>
      <c r="X532" s="472"/>
      <c r="Y532" s="393"/>
      <c r="Z532" s="393"/>
      <c r="AA532" s="393"/>
      <c r="AB532" s="472"/>
      <c r="AC532" s="393"/>
      <c r="AD532" s="393"/>
      <c r="AE532" s="393"/>
      <c r="AF532" s="472"/>
      <c r="AG532" s="393"/>
      <c r="AH532" s="393"/>
      <c r="AI532" s="393"/>
      <c r="AJ532" s="472"/>
      <c r="AK532" s="517"/>
      <c r="AL532" s="517"/>
      <c r="AM532" s="517"/>
      <c r="AN532" s="601"/>
      <c r="AO532" s="517"/>
      <c r="AP532" s="517"/>
      <c r="AQ532" s="517"/>
      <c r="AR532" s="601"/>
      <c r="AS532" s="517"/>
      <c r="AT532" s="517"/>
      <c r="AU532" s="517"/>
      <c r="AV532" s="601"/>
      <c r="AW532" s="517"/>
      <c r="AX532" s="517"/>
      <c r="AY532" s="517"/>
      <c r="AZ532" s="601"/>
      <c r="BA532" s="517"/>
      <c r="BB532" s="517"/>
      <c r="BC532" s="517"/>
      <c r="BD532" s="601"/>
      <c r="BE532" s="1203"/>
      <c r="BF532" s="517"/>
      <c r="BG532" s="517"/>
      <c r="BH532" s="601"/>
      <c r="BI532" s="1203">
        <f t="shared" ref="BI532:BY532" si="1020">+BI529-BE529</f>
        <v>1.354000000000001</v>
      </c>
      <c r="BJ532" s="517">
        <f t="shared" si="1020"/>
        <v>6.7040000000000006</v>
      </c>
      <c r="BK532" s="517">
        <f t="shared" si="1020"/>
        <v>9.9499999999999922</v>
      </c>
      <c r="BL532" s="601">
        <f t="shared" si="1020"/>
        <v>11.278999999999993</v>
      </c>
      <c r="BM532" s="1203">
        <f t="shared" si="1020"/>
        <v>14.680000000000001</v>
      </c>
      <c r="BN532" s="517">
        <f t="shared" si="1020"/>
        <v>10.824999999999996</v>
      </c>
      <c r="BO532" s="517">
        <f t="shared" si="1020"/>
        <v>8.2620000000000005</v>
      </c>
      <c r="BP532" s="601">
        <f t="shared" si="1020"/>
        <v>13.291999999999994</v>
      </c>
      <c r="BQ532" s="1203">
        <f t="shared" si="1020"/>
        <v>1.532</v>
      </c>
      <c r="BR532" s="517">
        <f t="shared" si="1020"/>
        <v>20.832999999999998</v>
      </c>
      <c r="BS532" s="517">
        <f t="shared" si="1020"/>
        <v>13.547000000000004</v>
      </c>
      <c r="BT532" s="601">
        <f t="shared" si="1020"/>
        <v>6.4990000000000023</v>
      </c>
      <c r="BU532" s="1203">
        <f t="shared" si="1020"/>
        <v>21.992999999999999</v>
      </c>
      <c r="BV532" s="517">
        <f t="shared" si="1020"/>
        <v>7.355000000000004</v>
      </c>
      <c r="BW532" s="517">
        <f t="shared" si="1020"/>
        <v>12.090999999999994</v>
      </c>
      <c r="BX532" s="601">
        <f t="shared" si="1020"/>
        <v>4.5350000000000108</v>
      </c>
      <c r="BY532" s="517">
        <f t="shared" si="1020"/>
        <v>17.302999999999997</v>
      </c>
      <c r="BZ532" s="517">
        <f t="shared" ref="BZ532:CF532" si="1021">+BZ529-BV529</f>
        <v>11.26700000000001</v>
      </c>
      <c r="CA532" s="517">
        <f t="shared" si="1021"/>
        <v>-2.9539999999999935</v>
      </c>
      <c r="CB532" s="601">
        <f t="shared" si="1021"/>
        <v>2.2999999999999972</v>
      </c>
      <c r="CC532" s="517">
        <f t="shared" si="1021"/>
        <v>6.5737498115744302</v>
      </c>
      <c r="CD532" s="517">
        <f t="shared" si="1021"/>
        <v>8.3508065480215947</v>
      </c>
      <c r="CE532" s="517">
        <f t="shared" si="1021"/>
        <v>4.5780664644106537</v>
      </c>
      <c r="CF532" s="601">
        <f t="shared" si="1021"/>
        <v>11.097026570434849</v>
      </c>
      <c r="CG532" s="337"/>
      <c r="CH532" s="367"/>
      <c r="CI532" s="336"/>
      <c r="CJ532" s="393"/>
      <c r="CK532" s="393"/>
      <c r="CL532" s="393"/>
      <c r="CM532" s="393"/>
      <c r="CN532" s="517"/>
      <c r="CO532" s="517"/>
      <c r="CP532" s="517"/>
      <c r="CQ532" s="517"/>
      <c r="CR532" s="517">
        <f>+CR529-CQ529</f>
        <v>24.24</v>
      </c>
      <c r="CS532" s="517">
        <f>+CS529-CR529</f>
        <v>8.3250000000000028</v>
      </c>
      <c r="CT532" s="517">
        <f t="shared" ref="CT532:DF532" si="1022">+CT529-CS529</f>
        <v>29.286999999999992</v>
      </c>
      <c r="CU532" s="517">
        <f t="shared" si="1022"/>
        <v>47.058999999999997</v>
      </c>
      <c r="CV532" s="517">
        <f t="shared" si="1022"/>
        <v>42.411000000000001</v>
      </c>
      <c r="CW532" s="517">
        <f t="shared" si="1022"/>
        <v>45.974000000000018</v>
      </c>
      <c r="CX532" s="517">
        <f t="shared" si="1022"/>
        <v>27.915999999999997</v>
      </c>
      <c r="CY532" s="517">
        <f t="shared" si="1022"/>
        <v>30.599649394441542</v>
      </c>
      <c r="CZ532" s="517">
        <f t="shared" si="1022"/>
        <v>63.885447778417472</v>
      </c>
      <c r="DA532" s="517">
        <f t="shared" si="1022"/>
        <v>61.21279926679739</v>
      </c>
      <c r="DB532" s="517">
        <f t="shared" si="1022"/>
        <v>146.8736661763769</v>
      </c>
      <c r="DC532" s="517">
        <f t="shared" si="1022"/>
        <v>61.871924605481126</v>
      </c>
      <c r="DD532" s="517">
        <f t="shared" si="1022"/>
        <v>63.008692957737367</v>
      </c>
      <c r="DE532" s="517">
        <f t="shared" si="1022"/>
        <v>63.64223488493451</v>
      </c>
      <c r="DF532" s="601">
        <f t="shared" si="1022"/>
        <v>69.546912013861288</v>
      </c>
      <c r="DG532" s="308"/>
      <c r="DH532" s="308"/>
    </row>
    <row r="533" spans="1:113" s="51" customFormat="1" ht="11.25" customHeight="1">
      <c r="A533" s="82"/>
      <c r="B533"/>
      <c r="C533"/>
      <c r="D533"/>
      <c r="E533"/>
      <c r="F533"/>
      <c r="G533"/>
      <c r="H533" s="1044"/>
      <c r="I533" s="259"/>
      <c r="J533" s="82"/>
      <c r="K533" s="82"/>
      <c r="L533" s="82"/>
      <c r="M533" s="323"/>
      <c r="N533" s="323"/>
      <c r="O533" s="323"/>
      <c r="P533" s="324"/>
      <c r="Q533" s="323"/>
      <c r="R533" s="323"/>
      <c r="S533" s="323"/>
      <c r="T533" s="324"/>
      <c r="U533" s="323"/>
      <c r="V533" s="323"/>
      <c r="W533" s="323"/>
      <c r="X533" s="324"/>
      <c r="Y533" s="323"/>
      <c r="Z533" s="323"/>
      <c r="AA533" s="323"/>
      <c r="AB533" s="324"/>
      <c r="AC533" s="323"/>
      <c r="AD533" s="323"/>
      <c r="AE533" s="323"/>
      <c r="AF533" s="324"/>
      <c r="AG533" s="323"/>
      <c r="AH533" s="323"/>
      <c r="AI533" s="323"/>
      <c r="AJ533" s="324"/>
      <c r="AK533" s="323"/>
      <c r="AL533" s="323"/>
      <c r="AM533" s="323"/>
      <c r="AN533" s="324"/>
      <c r="AO533" s="323"/>
      <c r="AP533" s="323"/>
      <c r="AQ533" s="323"/>
      <c r="AR533" s="324"/>
      <c r="AS533" s="323"/>
      <c r="AT533" s="323"/>
      <c r="AU533" s="323"/>
      <c r="AV533" s="324"/>
      <c r="AW533" s="323"/>
      <c r="AX533" s="323"/>
      <c r="AY533" s="323"/>
      <c r="AZ533" s="324"/>
      <c r="BA533" s="445"/>
      <c r="BB533" s="445"/>
      <c r="BC533" s="445"/>
      <c r="BD533" s="446"/>
      <c r="BE533" s="445"/>
      <c r="BF533" s="445"/>
      <c r="BG533" s="445"/>
      <c r="BH533" s="446"/>
      <c r="BI533" s="445"/>
      <c r="BJ533" s="445"/>
      <c r="BK533" s="445"/>
      <c r="BL533" s="446"/>
      <c r="BM533" s="445"/>
      <c r="BN533" s="445"/>
      <c r="BO533" s="445"/>
      <c r="BP533" s="323"/>
      <c r="BQ533" s="325"/>
      <c r="BR533" s="323"/>
      <c r="BS533" s="323"/>
      <c r="BT533" s="324"/>
      <c r="BU533" s="323"/>
      <c r="BV533" s="323"/>
      <c r="BW533" s="323"/>
      <c r="BX533" s="324"/>
      <c r="BY533" s="323"/>
      <c r="BZ533" s="323"/>
      <c r="CA533" s="323"/>
      <c r="CB533" s="324"/>
      <c r="CC533" s="323"/>
      <c r="CD533" s="323"/>
      <c r="CE533" s="323"/>
      <c r="CF533" s="324"/>
      <c r="CG533" s="337"/>
      <c r="CH533" s="325"/>
      <c r="CI533" s="323"/>
      <c r="CJ533" s="323"/>
      <c r="CK533" s="323"/>
      <c r="CL533" s="323"/>
      <c r="CM533" s="323"/>
      <c r="CN533" s="323"/>
      <c r="CO533" s="323"/>
      <c r="CP533" s="323"/>
      <c r="CQ533" s="445"/>
      <c r="CR533" s="445"/>
      <c r="CS533" s="445"/>
      <c r="CT533" s="445"/>
      <c r="CU533" s="445"/>
      <c r="CV533" s="445"/>
      <c r="CW533" s="445"/>
      <c r="CX533" s="445"/>
      <c r="CY533" s="445"/>
      <c r="CZ533" s="323"/>
      <c r="DA533" s="323"/>
      <c r="DB533" s="323"/>
      <c r="DC533" s="323"/>
      <c r="DD533" s="323"/>
      <c r="DE533" s="323"/>
      <c r="DF533" s="324"/>
      <c r="DG533" s="308"/>
      <c r="DH533" s="308"/>
    </row>
    <row r="534" spans="1:113" s="68" customFormat="1" ht="11.25" customHeight="1">
      <c r="A534" s="24"/>
      <c r="B534"/>
      <c r="C534"/>
      <c r="D534"/>
      <c r="E534"/>
      <c r="F534"/>
      <c r="G534"/>
      <c r="H534" s="1044"/>
      <c r="I534" s="664"/>
      <c r="J534" s="665"/>
      <c r="K534" s="665"/>
      <c r="L534" s="665"/>
      <c r="M534" s="666"/>
      <c r="N534" s="666"/>
      <c r="O534" s="666"/>
      <c r="P534" s="667"/>
      <c r="Q534" s="666"/>
      <c r="R534" s="666"/>
      <c r="S534" s="666"/>
      <c r="T534" s="667"/>
      <c r="U534" s="668"/>
      <c r="V534" s="668"/>
      <c r="W534" s="668"/>
      <c r="X534" s="669"/>
      <c r="Y534" s="668"/>
      <c r="Z534" s="668"/>
      <c r="AA534" s="668"/>
      <c r="AB534" s="669"/>
      <c r="AC534" s="668"/>
      <c r="AD534" s="668"/>
      <c r="AE534" s="668"/>
      <c r="AF534" s="669"/>
      <c r="AG534" s="668"/>
      <c r="AH534" s="668"/>
      <c r="AI534" s="668"/>
      <c r="AJ534" s="669"/>
      <c r="AK534" s="668"/>
      <c r="AL534" s="668"/>
      <c r="AM534" s="668"/>
      <c r="AN534" s="669"/>
      <c r="AO534" s="668"/>
      <c r="AP534" s="668"/>
      <c r="AQ534" s="668"/>
      <c r="AR534" s="669"/>
      <c r="AS534" s="668"/>
      <c r="AT534" s="668"/>
      <c r="AU534" s="668"/>
      <c r="AV534" s="669"/>
      <c r="AW534" s="668"/>
      <c r="AX534" s="668"/>
      <c r="AY534" s="668"/>
      <c r="AZ534" s="669"/>
      <c r="BA534" s="670"/>
      <c r="BB534" s="670"/>
      <c r="BC534" s="670"/>
      <c r="BD534" s="671"/>
      <c r="BE534" s="666"/>
      <c r="BF534" s="666"/>
      <c r="BG534" s="666"/>
      <c r="BH534" s="672"/>
      <c r="BI534" s="673"/>
      <c r="BJ534" s="673"/>
      <c r="BK534" s="673"/>
      <c r="BL534" s="674"/>
      <c r="BM534" s="673"/>
      <c r="BN534" s="673"/>
      <c r="BO534" s="673"/>
      <c r="BP534" s="662"/>
      <c r="BQ534" s="1407"/>
      <c r="BR534" s="662"/>
      <c r="BS534" s="662"/>
      <c r="BT534" s="663"/>
      <c r="BU534" s="662"/>
      <c r="BV534" s="662"/>
      <c r="BW534" s="662"/>
      <c r="BX534" s="663"/>
      <c r="BY534" s="662"/>
      <c r="BZ534" s="662"/>
      <c r="CA534" s="662"/>
      <c r="CB534" s="663"/>
      <c r="CC534" s="662"/>
      <c r="CD534" s="662"/>
      <c r="CE534" s="662"/>
      <c r="CF534" s="663"/>
      <c r="CG534" s="405"/>
      <c r="CH534" s="675"/>
      <c r="CI534" s="666"/>
      <c r="CJ534" s="668"/>
      <c r="CK534" s="668"/>
      <c r="CL534" s="668"/>
      <c r="CM534" s="668"/>
      <c r="CN534" s="668"/>
      <c r="CO534" s="668"/>
      <c r="CP534" s="668"/>
      <c r="CQ534" s="662"/>
      <c r="CR534" s="662"/>
      <c r="CS534" s="662"/>
      <c r="CT534" s="668"/>
      <c r="CU534" s="662"/>
      <c r="CV534" s="676"/>
      <c r="CW534" s="662"/>
      <c r="CX534" s="662"/>
      <c r="CY534" s="662"/>
      <c r="CZ534" s="662"/>
      <c r="DA534" s="662"/>
      <c r="DB534" s="662"/>
      <c r="DC534" s="662"/>
      <c r="DD534" s="662"/>
      <c r="DE534" s="662"/>
      <c r="DF534" s="663"/>
      <c r="DG534" s="1180"/>
      <c r="DH534" s="1180"/>
    </row>
    <row r="535" spans="1:113" ht="11.25" customHeight="1">
      <c r="I535" s="70"/>
      <c r="J535" s="70"/>
      <c r="K535" s="70"/>
      <c r="M535" s="315"/>
      <c r="N535" s="315"/>
      <c r="O535" s="315"/>
      <c r="P535" s="315"/>
      <c r="Q535" s="315"/>
      <c r="R535" s="315"/>
      <c r="S535" s="315"/>
      <c r="T535" s="315"/>
      <c r="U535" s="328"/>
      <c r="V535" s="328"/>
      <c r="W535" s="328"/>
      <c r="X535" s="328"/>
      <c r="Y535" s="328"/>
      <c r="Z535" s="328"/>
      <c r="AA535" s="328"/>
      <c r="AB535" s="328"/>
      <c r="AC535" s="328"/>
      <c r="AD535" s="328"/>
      <c r="AE535" s="328"/>
      <c r="AF535" s="328"/>
      <c r="AG535" s="328"/>
      <c r="AH535" s="328"/>
      <c r="AI535" s="328"/>
      <c r="AJ535" s="328"/>
      <c r="AK535" s="328"/>
      <c r="AL535" s="328"/>
      <c r="AM535" s="328"/>
      <c r="AN535" s="328"/>
      <c r="AO535" s="328"/>
      <c r="AP535" s="328"/>
      <c r="AQ535" s="328"/>
      <c r="AR535" s="328"/>
      <c r="AS535" s="328"/>
      <c r="AT535" s="328"/>
      <c r="AU535" s="328"/>
      <c r="AV535" s="328"/>
      <c r="AW535" s="328"/>
      <c r="AX535" s="328"/>
      <c r="AY535" s="328"/>
      <c r="AZ535" s="328"/>
      <c r="BA535" s="328"/>
      <c r="BB535" s="328"/>
      <c r="BC535" s="328"/>
      <c r="BD535" s="328"/>
      <c r="BE535" s="328"/>
      <c r="BF535" s="328"/>
      <c r="BG535" s="328"/>
      <c r="BH535" s="328"/>
      <c r="BI535" s="328"/>
      <c r="BJ535" s="328"/>
      <c r="BK535" s="328"/>
      <c r="BL535" s="328"/>
      <c r="BM535" s="328"/>
      <c r="BN535" s="328"/>
      <c r="BO535" s="328"/>
      <c r="BP535" s="328"/>
      <c r="BQ535" s="328"/>
      <c r="BR535" s="328"/>
      <c r="BS535" s="328"/>
      <c r="BT535" s="328"/>
      <c r="BU535" s="328"/>
      <c r="BV535" s="328"/>
      <c r="BW535" s="328"/>
      <c r="BX535" s="328"/>
      <c r="BY535" s="328"/>
      <c r="BZ535" s="328"/>
      <c r="CA535" s="328"/>
      <c r="CB535" s="328"/>
      <c r="CC535" s="328"/>
      <c r="CD535" s="328"/>
      <c r="CE535" s="328"/>
      <c r="CF535" s="328"/>
      <c r="CG535" s="315"/>
      <c r="CH535" s="315"/>
      <c r="CI535" s="315"/>
      <c r="CJ535" s="328"/>
      <c r="CK535" s="328"/>
      <c r="CL535" s="328"/>
      <c r="CM535" s="328"/>
      <c r="CN535" s="328"/>
      <c r="CO535" s="328"/>
      <c r="CP535" s="328"/>
      <c r="CQ535" s="328"/>
      <c r="CR535" s="328"/>
      <c r="CS535" s="328"/>
      <c r="CT535" s="328"/>
      <c r="CU535" s="328"/>
      <c r="CV535" s="328"/>
      <c r="CW535" s="328"/>
      <c r="CX535" s="328"/>
      <c r="CY535" s="328"/>
      <c r="CZ535" s="328"/>
      <c r="DA535" s="328"/>
      <c r="DB535" s="328"/>
      <c r="DC535" s="328"/>
      <c r="DD535" s="328"/>
      <c r="DE535" s="328"/>
      <c r="DF535" s="328"/>
    </row>
    <row r="536" spans="1:113" customFormat="1" ht="11.25" customHeight="1">
      <c r="A536" s="10"/>
      <c r="H536" s="1045" t="s">
        <v>400</v>
      </c>
      <c r="I536" s="659" t="s">
        <v>400</v>
      </c>
      <c r="J536" s="660"/>
      <c r="K536" s="660"/>
      <c r="L536" s="660"/>
      <c r="M536" s="660"/>
      <c r="N536" s="660"/>
      <c r="O536" s="660"/>
      <c r="P536" s="660"/>
      <c r="Q536" s="660"/>
      <c r="R536" s="660"/>
      <c r="S536" s="660"/>
      <c r="T536" s="660"/>
      <c r="U536" s="659"/>
      <c r="V536" s="660"/>
      <c r="W536" s="660"/>
      <c r="X536" s="661"/>
      <c r="Y536" s="659"/>
      <c r="Z536" s="660"/>
      <c r="AA536" s="660"/>
      <c r="AB536" s="661"/>
      <c r="AC536" s="659"/>
      <c r="AD536" s="660"/>
      <c r="AE536" s="660"/>
      <c r="AF536" s="661"/>
      <c r="AG536" s="659"/>
      <c r="AH536" s="660"/>
      <c r="AI536" s="660"/>
      <c r="AJ536" s="661"/>
      <c r="AK536" s="659"/>
      <c r="AL536" s="660"/>
      <c r="AM536" s="660"/>
      <c r="AN536" s="661"/>
      <c r="AO536" s="659"/>
      <c r="AP536" s="660"/>
      <c r="AQ536" s="660"/>
      <c r="AR536" s="661"/>
      <c r="AS536" s="659"/>
      <c r="AT536" s="660"/>
      <c r="AU536" s="660"/>
      <c r="AV536" s="661"/>
      <c r="AW536" s="659"/>
      <c r="AX536" s="660"/>
      <c r="AY536" s="660"/>
      <c r="AZ536" s="661"/>
      <c r="BA536" s="659"/>
      <c r="BB536" s="660"/>
      <c r="BC536" s="660"/>
      <c r="BD536" s="661"/>
      <c r="BE536" s="659"/>
      <c r="BF536" s="660"/>
      <c r="BG536" s="660"/>
      <c r="BH536" s="661"/>
      <c r="BI536" s="659"/>
      <c r="BJ536" s="660"/>
      <c r="BK536" s="660"/>
      <c r="BL536" s="661"/>
      <c r="BM536" s="659"/>
      <c r="BN536" s="660"/>
      <c r="BO536" s="660"/>
      <c r="BP536" s="661"/>
      <c r="BQ536" s="659"/>
      <c r="BR536" s="660"/>
      <c r="BS536" s="660"/>
      <c r="BT536" s="661"/>
      <c r="BU536" s="659"/>
      <c r="BV536" s="660"/>
      <c r="BW536" s="660"/>
      <c r="BX536" s="661"/>
      <c r="BY536" s="659"/>
      <c r="BZ536" s="660"/>
      <c r="CA536" s="660"/>
      <c r="CB536" s="661"/>
      <c r="CC536" s="659"/>
      <c r="CD536" s="660"/>
      <c r="CE536" s="660"/>
      <c r="CF536" s="661"/>
      <c r="CH536" s="661"/>
      <c r="CI536" s="661"/>
      <c r="CJ536" s="661"/>
      <c r="CK536" s="661"/>
      <c r="CL536" s="661"/>
      <c r="CM536" s="661"/>
      <c r="CN536" s="661"/>
      <c r="CO536" s="661"/>
      <c r="CP536" s="661"/>
      <c r="CQ536" s="661"/>
      <c r="CR536" s="661"/>
      <c r="CS536" s="661"/>
      <c r="CT536" s="661"/>
      <c r="CU536" s="661"/>
      <c r="CV536" s="661"/>
      <c r="CW536" s="661"/>
      <c r="CX536" s="661"/>
      <c r="CY536" s="660"/>
      <c r="CZ536" s="660"/>
      <c r="DA536" s="660"/>
      <c r="DB536" s="660"/>
      <c r="DC536" s="660"/>
      <c r="DD536" s="660"/>
      <c r="DE536" s="660"/>
      <c r="DF536" s="661"/>
      <c r="DG536" s="124"/>
      <c r="DH536" s="124"/>
      <c r="DI536" s="1548"/>
    </row>
    <row r="537" spans="1:113" s="78" customFormat="1" ht="11.25" customHeight="1">
      <c r="A537" s="24"/>
      <c r="B537"/>
      <c r="C537"/>
      <c r="D537"/>
      <c r="E537"/>
      <c r="F537"/>
      <c r="G537"/>
      <c r="H537" s="1044"/>
      <c r="I537" s="201" t="s">
        <v>399</v>
      </c>
      <c r="J537" s="95"/>
      <c r="K537" s="95"/>
      <c r="L537" s="75"/>
      <c r="M537" s="995"/>
      <c r="N537" s="995"/>
      <c r="O537" s="995"/>
      <c r="P537" s="996"/>
      <c r="Q537" s="995"/>
      <c r="R537" s="995"/>
      <c r="S537" s="995"/>
      <c r="T537" s="996"/>
      <c r="U537" s="995"/>
      <c r="V537" s="995"/>
      <c r="W537" s="995"/>
      <c r="X537" s="996"/>
      <c r="Y537" s="995"/>
      <c r="Z537" s="995"/>
      <c r="AA537" s="995"/>
      <c r="AB537" s="996"/>
      <c r="AC537" s="995"/>
      <c r="AD537" s="995"/>
      <c r="AE537" s="995"/>
      <c r="AF537" s="996"/>
      <c r="AG537" s="995"/>
      <c r="AH537" s="995"/>
      <c r="AI537" s="995"/>
      <c r="AJ537" s="996"/>
      <c r="AK537" s="995"/>
      <c r="AL537" s="995"/>
      <c r="AM537" s="995"/>
      <c r="AN537" s="996"/>
      <c r="AO537" s="995"/>
      <c r="AP537" s="995"/>
      <c r="AQ537" s="995"/>
      <c r="AR537" s="996"/>
      <c r="AS537" s="995"/>
      <c r="AT537" s="995"/>
      <c r="AU537" s="995"/>
      <c r="AV537" s="996"/>
      <c r="AW537" s="995"/>
      <c r="AX537" s="995"/>
      <c r="AY537" s="995"/>
      <c r="AZ537" s="996"/>
      <c r="BA537" s="995"/>
      <c r="BB537" s="995"/>
      <c r="BC537" s="995"/>
      <c r="BD537" s="996"/>
      <c r="BE537" s="995"/>
      <c r="BF537" s="995"/>
      <c r="BG537" s="995"/>
      <c r="BH537" s="996"/>
      <c r="BI537" s="995">
        <f t="shared" ref="BI537:CF537" si="1023">+BI87</f>
        <v>368.23599999999988</v>
      </c>
      <c r="BJ537" s="995">
        <f t="shared" si="1023"/>
        <v>621.25599999999986</v>
      </c>
      <c r="BK537" s="995">
        <f t="shared" si="1023"/>
        <v>1113.9169999999997</v>
      </c>
      <c r="BL537" s="996">
        <f t="shared" si="1023"/>
        <v>578.09499999999991</v>
      </c>
      <c r="BM537" s="995">
        <f t="shared" si="1023"/>
        <v>513.33199999999999</v>
      </c>
      <c r="BN537" s="995">
        <f t="shared" si="1023"/>
        <v>809.42499999999995</v>
      </c>
      <c r="BO537" s="995">
        <f t="shared" si="1023"/>
        <v>1429.9110000000003</v>
      </c>
      <c r="BP537" s="996">
        <f t="shared" si="1023"/>
        <v>711.71399999999994</v>
      </c>
      <c r="BQ537" s="995">
        <f t="shared" si="1023"/>
        <v>531.7349999999999</v>
      </c>
      <c r="BR537" s="995">
        <f t="shared" si="1023"/>
        <v>804.72500000000014</v>
      </c>
      <c r="BS537" s="995">
        <f t="shared" si="1023"/>
        <v>1596.597</v>
      </c>
      <c r="BT537" s="996">
        <f t="shared" si="1023"/>
        <v>789.59599999999966</v>
      </c>
      <c r="BU537" s="995">
        <f t="shared" si="1023"/>
        <v>676.26099999999951</v>
      </c>
      <c r="BV537" s="995">
        <f t="shared" si="1023"/>
        <v>867.09200000000021</v>
      </c>
      <c r="BW537" s="995">
        <f t="shared" si="1023"/>
        <v>1902.3150000000005</v>
      </c>
      <c r="BX537" s="996">
        <f t="shared" si="1023"/>
        <v>943.14099999999974</v>
      </c>
      <c r="BY537" s="995">
        <f t="shared" si="1023"/>
        <v>693.71299999999997</v>
      </c>
      <c r="BZ537" s="995">
        <f t="shared" si="1023"/>
        <v>1041.0160000000005</v>
      </c>
      <c r="CA537" s="995">
        <f t="shared" si="1023"/>
        <v>2254.0970000000002</v>
      </c>
      <c r="CB537" s="996">
        <f t="shared" si="1023"/>
        <v>1139.3159999999998</v>
      </c>
      <c r="CC537" s="995">
        <f t="shared" si="1023"/>
        <v>828.3193515553229</v>
      </c>
      <c r="CD537" s="995">
        <f t="shared" si="1023"/>
        <v>1282.2327475840202</v>
      </c>
      <c r="CE537" s="995">
        <f t="shared" si="1023"/>
        <v>2629.0005533780973</v>
      </c>
      <c r="CF537" s="996">
        <f t="shared" si="1023"/>
        <v>1465.8994563980068</v>
      </c>
      <c r="CG537" s="999"/>
      <c r="CH537" s="1000"/>
      <c r="CI537" s="995"/>
      <c r="CJ537" s="995"/>
      <c r="CK537" s="995"/>
      <c r="CL537" s="995"/>
      <c r="CM537" s="995"/>
      <c r="CN537" s="995"/>
      <c r="CO537" s="995"/>
      <c r="CP537" s="995"/>
      <c r="CQ537" s="995">
        <f t="shared" ref="CQ537:DF537" si="1024">+CQ87</f>
        <v>901.38099999999974</v>
      </c>
      <c r="CR537" s="995">
        <f t="shared" si="1024"/>
        <v>1510.9750000000004</v>
      </c>
      <c r="CS537" s="995">
        <f t="shared" si="1024"/>
        <v>1972.9040000000009</v>
      </c>
      <c r="CT537" s="995">
        <f t="shared" si="1024"/>
        <v>2681.5039999999995</v>
      </c>
      <c r="CU537" s="995">
        <f t="shared" si="1024"/>
        <v>3464.3819999999987</v>
      </c>
      <c r="CV537" s="995">
        <f t="shared" si="1024"/>
        <v>3722.6529999999993</v>
      </c>
      <c r="CW537" s="995">
        <f t="shared" si="1024"/>
        <v>4388.8089999999993</v>
      </c>
      <c r="CX537" s="995">
        <f t="shared" si="1024"/>
        <v>5128.1419999999989</v>
      </c>
      <c r="CY537" s="995">
        <f t="shared" si="1024"/>
        <v>6205.4521089154487</v>
      </c>
      <c r="CZ537" s="995">
        <f t="shared" si="1024"/>
        <v>7100.7940365486802</v>
      </c>
      <c r="DA537" s="995">
        <f t="shared" si="1024"/>
        <v>8002.1957642567831</v>
      </c>
      <c r="DB537" s="995">
        <f t="shared" si="1024"/>
        <v>8902.3184116247012</v>
      </c>
      <c r="DC537" s="995">
        <f t="shared" si="1024"/>
        <v>9796.130898620564</v>
      </c>
      <c r="DD537" s="995">
        <f t="shared" si="1024"/>
        <v>10672.156285662028</v>
      </c>
      <c r="DE537" s="995">
        <f t="shared" si="1024"/>
        <v>11519.346363875349</v>
      </c>
      <c r="DF537" s="996">
        <f t="shared" si="1024"/>
        <v>12474.239497650997</v>
      </c>
    </row>
    <row r="538" spans="1:113" s="1028" customFormat="1" ht="11.25" customHeight="1">
      <c r="A538" s="1024"/>
      <c r="B538"/>
      <c r="C538"/>
      <c r="D538"/>
      <c r="E538"/>
      <c r="F538"/>
      <c r="G538"/>
      <c r="H538" s="1044"/>
      <c r="I538" s="201" t="s">
        <v>412</v>
      </c>
      <c r="J538" s="1025"/>
      <c r="K538" s="1025"/>
      <c r="L538" s="1026"/>
      <c r="M538" s="995"/>
      <c r="N538" s="995"/>
      <c r="O538" s="995"/>
      <c r="P538" s="996"/>
      <c r="Q538" s="995"/>
      <c r="R538" s="995"/>
      <c r="S538" s="995"/>
      <c r="T538" s="996"/>
      <c r="U538" s="995"/>
      <c r="V538" s="995"/>
      <c r="W538" s="995"/>
      <c r="X538" s="996"/>
      <c r="Y538" s="995"/>
      <c r="Z538" s="995"/>
      <c r="AA538" s="995"/>
      <c r="AB538" s="996"/>
      <c r="AC538" s="995"/>
      <c r="AD538" s="995"/>
      <c r="AE538" s="995"/>
      <c r="AF538" s="996"/>
      <c r="AG538" s="995"/>
      <c r="AH538" s="995"/>
      <c r="AI538" s="995"/>
      <c r="AJ538" s="996"/>
      <c r="AK538" s="995"/>
      <c r="AL538" s="995"/>
      <c r="AM538" s="995"/>
      <c r="AN538" s="996"/>
      <c r="AO538" s="995"/>
      <c r="AP538" s="995"/>
      <c r="AQ538" s="995"/>
      <c r="AR538" s="996"/>
      <c r="AS538" s="995"/>
      <c r="AT538" s="995"/>
      <c r="AU538" s="995"/>
      <c r="AV538" s="996"/>
      <c r="AW538" s="995"/>
      <c r="AX538" s="995"/>
      <c r="AY538" s="995"/>
      <c r="AZ538" s="996"/>
      <c r="BA538" s="995"/>
      <c r="BB538" s="995"/>
      <c r="BC538" s="995"/>
      <c r="BD538" s="996"/>
      <c r="BE538" s="995"/>
      <c r="BF538" s="995"/>
      <c r="BG538" s="995"/>
      <c r="BH538" s="996"/>
      <c r="BI538" s="995">
        <f t="shared" ref="BI538:CF538" si="1025">-BI67</f>
        <v>-21.709</v>
      </c>
      <c r="BJ538" s="995">
        <f t="shared" si="1025"/>
        <v>-34.735999999999997</v>
      </c>
      <c r="BK538" s="995">
        <f t="shared" si="1025"/>
        <v>-34.551000000000002</v>
      </c>
      <c r="BL538" s="996">
        <f t="shared" si="1025"/>
        <v>-49.53</v>
      </c>
      <c r="BM538" s="995">
        <f t="shared" si="1025"/>
        <v>-38.802999999999997</v>
      </c>
      <c r="BN538" s="995">
        <f t="shared" si="1025"/>
        <v>-35.167999999999999</v>
      </c>
      <c r="BO538" s="995">
        <f t="shared" si="1025"/>
        <v>-46.136000000000003</v>
      </c>
      <c r="BP538" s="996">
        <f t="shared" si="1025"/>
        <v>-66.317999999999998</v>
      </c>
      <c r="BQ538" s="995">
        <f t="shared" si="1025"/>
        <v>-54.008000000000003</v>
      </c>
      <c r="BR538" s="995">
        <f t="shared" si="1025"/>
        <v>-60.164000000000001</v>
      </c>
      <c r="BS538" s="995">
        <f t="shared" si="1025"/>
        <v>-58.274000000000001</v>
      </c>
      <c r="BT538" s="996">
        <f t="shared" si="1025"/>
        <v>-74.948999999999998</v>
      </c>
      <c r="BU538" s="995">
        <f t="shared" si="1025"/>
        <v>-66</v>
      </c>
      <c r="BV538" s="995">
        <f t="shared" si="1025"/>
        <v>-54.975999999999999</v>
      </c>
      <c r="BW538" s="995">
        <f t="shared" si="1025"/>
        <v>-54.073999999999998</v>
      </c>
      <c r="BX538" s="996">
        <f t="shared" si="1025"/>
        <v>-74.524000000000001</v>
      </c>
      <c r="BY538" s="995">
        <f t="shared" si="1025"/>
        <v>-58.948</v>
      </c>
      <c r="BZ538" s="995">
        <f t="shared" si="1025"/>
        <v>-66.879000000000005</v>
      </c>
      <c r="CA538" s="995">
        <f t="shared" si="1025"/>
        <v>-66.421000000000006</v>
      </c>
      <c r="CB538" s="996">
        <f t="shared" si="1025"/>
        <v>-68.662000000000006</v>
      </c>
      <c r="CC538" s="995">
        <f t="shared" si="1025"/>
        <v>-63.663840000000008</v>
      </c>
      <c r="CD538" s="995">
        <f t="shared" si="1025"/>
        <v>-72.229320000000016</v>
      </c>
      <c r="CE538" s="995">
        <f t="shared" si="1025"/>
        <v>-71.734680000000012</v>
      </c>
      <c r="CF538" s="996">
        <f t="shared" si="1025"/>
        <v>-74.154960000000017</v>
      </c>
      <c r="CG538" s="1027"/>
      <c r="CH538" s="1000"/>
      <c r="CI538" s="995"/>
      <c r="CJ538" s="995"/>
      <c r="CK538" s="995"/>
      <c r="CL538" s="995"/>
      <c r="CM538" s="995"/>
      <c r="CN538" s="995"/>
      <c r="CO538" s="995"/>
      <c r="CP538" s="995"/>
      <c r="CQ538" s="995">
        <f t="shared" ref="CQ538:DF538" si="1026">-CQ67</f>
        <v>-68.199999999999989</v>
      </c>
      <c r="CR538" s="995">
        <f t="shared" si="1026"/>
        <v>-65.724000000000004</v>
      </c>
      <c r="CS538" s="995">
        <f t="shared" si="1026"/>
        <v>-71.564999999999998</v>
      </c>
      <c r="CT538" s="995">
        <f t="shared" si="1026"/>
        <v>-140.52600000000001</v>
      </c>
      <c r="CU538" s="995">
        <f t="shared" si="1026"/>
        <v>-186.42500000000001</v>
      </c>
      <c r="CV538" s="995">
        <f t="shared" si="1026"/>
        <v>-247.39499999999998</v>
      </c>
      <c r="CW538" s="995">
        <f t="shared" si="1026"/>
        <v>-249.57400000000001</v>
      </c>
      <c r="CX538" s="995">
        <f t="shared" si="1026"/>
        <v>-260.90999999999997</v>
      </c>
      <c r="CY538" s="995">
        <f t="shared" si="1026"/>
        <v>-281.78280000000007</v>
      </c>
      <c r="CZ538" s="995">
        <f t="shared" si="1026"/>
        <v>-301.50759600000015</v>
      </c>
      <c r="DA538" s="995">
        <f t="shared" si="1026"/>
        <v>-321.10558974000026</v>
      </c>
      <c r="DB538" s="995">
        <f t="shared" si="1026"/>
        <v>-340.37192512440038</v>
      </c>
      <c r="DC538" s="995">
        <f t="shared" si="1026"/>
        <v>-359.09238100624253</v>
      </c>
      <c r="DD538" s="995">
        <f t="shared" si="1026"/>
        <v>-377.04700005655474</v>
      </c>
      <c r="DE538" s="995">
        <f t="shared" si="1026"/>
        <v>-394.01411505909982</v>
      </c>
      <c r="DF538" s="996">
        <f t="shared" si="1026"/>
        <v>-409.77467966146389</v>
      </c>
    </row>
    <row r="539" spans="1:113" s="1028" customFormat="1" ht="11.25" customHeight="1">
      <c r="A539" s="1024"/>
      <c r="B539"/>
      <c r="C539"/>
      <c r="D539"/>
      <c r="E539"/>
      <c r="F539"/>
      <c r="G539"/>
      <c r="H539" s="1044"/>
      <c r="I539" s="201" t="s">
        <v>413</v>
      </c>
      <c r="J539" s="1025"/>
      <c r="K539" s="1025"/>
      <c r="L539" s="1026"/>
      <c r="M539" s="995"/>
      <c r="N539" s="995"/>
      <c r="O539" s="995"/>
      <c r="P539" s="996"/>
      <c r="Q539" s="995"/>
      <c r="R539" s="995"/>
      <c r="S539" s="995"/>
      <c r="T539" s="996"/>
      <c r="U539" s="995"/>
      <c r="V539" s="995"/>
      <c r="W539" s="995"/>
      <c r="X539" s="996"/>
      <c r="Y539" s="995"/>
      <c r="Z539" s="995"/>
      <c r="AA539" s="995"/>
      <c r="AB539" s="996"/>
      <c r="AC539" s="995"/>
      <c r="AD539" s="995"/>
      <c r="AE539" s="995"/>
      <c r="AF539" s="996"/>
      <c r="AG539" s="995"/>
      <c r="AH539" s="995"/>
      <c r="AI539" s="995"/>
      <c r="AJ539" s="996"/>
      <c r="AK539" s="995"/>
      <c r="AL539" s="995"/>
      <c r="AM539" s="995"/>
      <c r="AN539" s="996"/>
      <c r="AO539" s="995"/>
      <c r="AP539" s="995"/>
      <c r="AQ539" s="995"/>
      <c r="AR539" s="996"/>
      <c r="AS539" s="995"/>
      <c r="AT539" s="995"/>
      <c r="AU539" s="995"/>
      <c r="AV539" s="996"/>
      <c r="AW539" s="995"/>
      <c r="AX539" s="995"/>
      <c r="AY539" s="995"/>
      <c r="AZ539" s="996"/>
      <c r="BA539" s="995">
        <f t="shared" ref="BA539:BT539" si="1027">+BA703*-1</f>
        <v>-3.601</v>
      </c>
      <c r="BB539" s="995">
        <f t="shared" si="1027"/>
        <v>-0.1160000000000001</v>
      </c>
      <c r="BC539" s="995">
        <f t="shared" si="1027"/>
        <v>-3.726</v>
      </c>
      <c r="BD539" s="996">
        <f t="shared" si="1027"/>
        <v>-0.13000000000000034</v>
      </c>
      <c r="BE539" s="995">
        <f t="shared" si="1027"/>
        <v>-3.9119999999999999</v>
      </c>
      <c r="BF539" s="995">
        <f t="shared" si="1027"/>
        <v>-4.3490000000000002</v>
      </c>
      <c r="BG539" s="995">
        <f t="shared" si="1027"/>
        <v>-13.462999999999999</v>
      </c>
      <c r="BH539" s="996">
        <f t="shared" si="1027"/>
        <v>7.7909999999999995</v>
      </c>
      <c r="BI539" s="995">
        <f t="shared" si="1027"/>
        <v>-9.0719999999999992</v>
      </c>
      <c r="BJ539" s="995">
        <f t="shared" si="1027"/>
        <v>-0.46799999999999997</v>
      </c>
      <c r="BK539" s="995">
        <f t="shared" si="1027"/>
        <v>-9.0740000000000016</v>
      </c>
      <c r="BL539" s="996">
        <f t="shared" si="1027"/>
        <v>-2.34</v>
      </c>
      <c r="BM539" s="995">
        <f t="shared" si="1027"/>
        <v>-5.8209999999999997</v>
      </c>
      <c r="BN539" s="995">
        <f t="shared" si="1027"/>
        <v>-2.2590000000000003</v>
      </c>
      <c r="BO539" s="995">
        <f t="shared" si="1027"/>
        <v>-6.4510000000000005</v>
      </c>
      <c r="BP539" s="996">
        <f t="shared" si="1027"/>
        <v>-2.4189999999999987</v>
      </c>
      <c r="BQ539" s="995">
        <f t="shared" si="1027"/>
        <v>-10.840999999999999</v>
      </c>
      <c r="BR539" s="995">
        <f t="shared" si="1027"/>
        <v>-2.6960000000000015</v>
      </c>
      <c r="BS539" s="995">
        <f t="shared" si="1027"/>
        <v>-36.862999999999992</v>
      </c>
      <c r="BT539" s="996">
        <f t="shared" si="1027"/>
        <v>-3.8990000000000062</v>
      </c>
      <c r="BU539" s="995">
        <f>+BU703*-1</f>
        <v>-40.119</v>
      </c>
      <c r="BV539" s="995">
        <f>+BV703*-1</f>
        <v>-3.607999999999997</v>
      </c>
      <c r="BW539" s="995">
        <f>+BW703*-1</f>
        <v>-43.700000000000017</v>
      </c>
      <c r="BX539" s="996">
        <f>+BX703*-1</f>
        <v>-38.484999999999985</v>
      </c>
      <c r="BY539" s="995">
        <f t="shared" ref="BY539:CF539" si="1028">BY104</f>
        <v>-55.716999999999999</v>
      </c>
      <c r="BZ539" s="995">
        <f t="shared" si="1028"/>
        <v>-60.942</v>
      </c>
      <c r="CA539" s="995">
        <f t="shared" si="1028"/>
        <v>-66.337999999999994</v>
      </c>
      <c r="CB539" s="996">
        <f t="shared" si="1028"/>
        <v>-70.978999999999999</v>
      </c>
      <c r="CC539" s="995">
        <f t="shared" si="1028"/>
        <v>-66.860399999999998</v>
      </c>
      <c r="CD539" s="995">
        <f t="shared" si="1028"/>
        <v>-63.989100000000001</v>
      </c>
      <c r="CE539" s="995">
        <f t="shared" si="1028"/>
        <v>-68.328139999999991</v>
      </c>
      <c r="CF539" s="996">
        <f t="shared" si="1028"/>
        <v>-68.271695999999991</v>
      </c>
      <c r="CG539" s="1027"/>
      <c r="CH539" s="1000"/>
      <c r="CI539" s="995"/>
      <c r="CJ539" s="995"/>
      <c r="CK539" s="995"/>
      <c r="CL539" s="995"/>
      <c r="CM539" s="995"/>
      <c r="CN539" s="995"/>
      <c r="CO539" s="995"/>
      <c r="CP539" s="517"/>
      <c r="CQ539" s="517">
        <f>-CQ703</f>
        <v>-4.9009999999999998</v>
      </c>
      <c r="CR539" s="517">
        <f>+SUM(BA539:BD539)</f>
        <v>-7.5730000000000004</v>
      </c>
      <c r="CS539" s="517">
        <f>+SUM(BE539:BH539)</f>
        <v>-13.932999999999996</v>
      </c>
      <c r="CT539" s="517">
        <f>+SUM(BI539:BL539)</f>
        <v>-20.954000000000001</v>
      </c>
      <c r="CU539" s="517">
        <f>SUM(BM539:BP539)</f>
        <v>-16.95</v>
      </c>
      <c r="CV539" s="995">
        <f t="shared" ref="CV539:DF539" si="1029">CV104</f>
        <v>-160.22899999999998</v>
      </c>
      <c r="CW539" s="995">
        <f t="shared" si="1029"/>
        <v>-207.89999999999998</v>
      </c>
      <c r="CX539" s="995">
        <f t="shared" si="1029"/>
        <v>-253.976</v>
      </c>
      <c r="CY539" s="995">
        <f t="shared" si="1029"/>
        <v>-267.44933600000002</v>
      </c>
      <c r="CZ539" s="995">
        <f t="shared" si="1029"/>
        <v>-240.70440240000002</v>
      </c>
      <c r="DA539" s="995">
        <f t="shared" si="1029"/>
        <v>-228.66918228</v>
      </c>
      <c r="DB539" s="995">
        <f t="shared" si="1029"/>
        <v>-182.93534582400002</v>
      </c>
      <c r="DC539" s="995">
        <f t="shared" si="1029"/>
        <v>-146.34827665920002</v>
      </c>
      <c r="DD539" s="995">
        <f t="shared" si="1029"/>
        <v>-131.71344899328002</v>
      </c>
      <c r="DE539" s="995">
        <f t="shared" si="1029"/>
        <v>-111.95643164428802</v>
      </c>
      <c r="DF539" s="996">
        <f t="shared" si="1029"/>
        <v>-83.967323733216006</v>
      </c>
    </row>
    <row r="540" spans="1:113" s="1028" customFormat="1" ht="11.25" customHeight="1">
      <c r="A540" s="1024"/>
      <c r="B540"/>
      <c r="C540"/>
      <c r="D540"/>
      <c r="E540"/>
      <c r="F540"/>
      <c r="G540"/>
      <c r="H540" s="1044"/>
      <c r="I540" s="201" t="s">
        <v>414</v>
      </c>
      <c r="J540" s="1025"/>
      <c r="K540" s="1025"/>
      <c r="L540" s="1026"/>
      <c r="M540" s="995"/>
      <c r="N540" s="995"/>
      <c r="O540" s="995"/>
      <c r="P540" s="996"/>
      <c r="Q540" s="995"/>
      <c r="R540" s="995"/>
      <c r="S540" s="995"/>
      <c r="T540" s="996"/>
      <c r="U540" s="995"/>
      <c r="V540" s="995"/>
      <c r="W540" s="995"/>
      <c r="X540" s="996"/>
      <c r="Y540" s="995"/>
      <c r="Z540" s="995"/>
      <c r="AA540" s="995"/>
      <c r="AB540" s="996"/>
      <c r="AC540" s="995"/>
      <c r="AD540" s="995"/>
      <c r="AE540" s="995"/>
      <c r="AF540" s="996"/>
      <c r="AG540" s="995"/>
      <c r="AH540" s="995"/>
      <c r="AI540" s="995"/>
      <c r="AJ540" s="996"/>
      <c r="AK540" s="995"/>
      <c r="AL540" s="995"/>
      <c r="AM540" s="995"/>
      <c r="AN540" s="996"/>
      <c r="AO540" s="995"/>
      <c r="AP540" s="995"/>
      <c r="AQ540" s="995"/>
      <c r="AR540" s="996"/>
      <c r="AS540" s="995"/>
      <c r="AT540" s="995"/>
      <c r="AU540" s="995"/>
      <c r="AV540" s="996"/>
      <c r="AW540" s="995">
        <f>+AW702*-1</f>
        <v>0</v>
      </c>
      <c r="AX540" s="995">
        <f>+AX702*-1</f>
        <v>0</v>
      </c>
      <c r="AY540" s="995">
        <f>+AY702*-1</f>
        <v>0</v>
      </c>
      <c r="AZ540" s="996">
        <f>+AZ702*-1</f>
        <v>0</v>
      </c>
      <c r="BA540" s="995">
        <f>+BA702*-1</f>
        <v>-28.956</v>
      </c>
      <c r="BB540" s="995">
        <f t="shared" ref="BB540:BI540" si="1030">+BB702*-1</f>
        <v>-26.504999999999999</v>
      </c>
      <c r="BC540" s="995">
        <f t="shared" si="1030"/>
        <v>-43.915000000000006</v>
      </c>
      <c r="BD540" s="996">
        <f t="shared" si="1030"/>
        <v>-133.386</v>
      </c>
      <c r="BE540" s="995">
        <f t="shared" si="1030"/>
        <v>-173.52799999999999</v>
      </c>
      <c r="BF540" s="995">
        <f t="shared" si="1030"/>
        <v>-189.06100000000001</v>
      </c>
      <c r="BG540" s="995">
        <f t="shared" si="1030"/>
        <v>-205.256</v>
      </c>
      <c r="BH540" s="996">
        <f t="shared" si="1030"/>
        <v>267.30600000000004</v>
      </c>
      <c r="BI540" s="995">
        <f t="shared" si="1030"/>
        <v>-228.893</v>
      </c>
      <c r="BJ540" s="995">
        <f t="shared" ref="BJ540:CB540" si="1031">+BJ702*-1</f>
        <v>-18.144000000000005</v>
      </c>
      <c r="BK540" s="995">
        <f t="shared" si="1031"/>
        <v>-18.265999999999991</v>
      </c>
      <c r="BL540" s="996">
        <f t="shared" si="1031"/>
        <v>-125.86600000000001</v>
      </c>
      <c r="BM540" s="995">
        <f t="shared" si="1031"/>
        <v>-367.16</v>
      </c>
      <c r="BN540" s="995">
        <f t="shared" si="1031"/>
        <v>-18.345999999999947</v>
      </c>
      <c r="BO540" s="995">
        <f t="shared" si="1031"/>
        <v>-26.67900000000003</v>
      </c>
      <c r="BP540" s="996">
        <f t="shared" si="1031"/>
        <v>-79.34499999999997</v>
      </c>
      <c r="BQ540" s="995">
        <f t="shared" si="1031"/>
        <v>-379.60300000000001</v>
      </c>
      <c r="BR540" s="995">
        <f t="shared" si="1031"/>
        <v>-92.747000000000014</v>
      </c>
      <c r="BS540" s="995">
        <f t="shared" si="1031"/>
        <v>-27.07099999999997</v>
      </c>
      <c r="BT540" s="996">
        <f t="shared" si="1031"/>
        <v>-34.684000000000026</v>
      </c>
      <c r="BU540" s="995">
        <f t="shared" si="1031"/>
        <v>-449.31400000000002</v>
      </c>
      <c r="BV540" s="995">
        <f t="shared" si="1031"/>
        <v>-47.088999999999999</v>
      </c>
      <c r="BW540" s="995">
        <f t="shared" si="1031"/>
        <v>-116.20899999999989</v>
      </c>
      <c r="BX540" s="996">
        <f>+BX702*-1</f>
        <v>-23.938000000000102</v>
      </c>
      <c r="BY540" s="995">
        <f t="shared" si="1031"/>
        <v>-536.19200000000001</v>
      </c>
      <c r="BZ540" s="995">
        <f t="shared" si="1031"/>
        <v>-577.24699999999996</v>
      </c>
      <c r="CA540" s="995">
        <f t="shared" si="1031"/>
        <v>-601.24800000000005</v>
      </c>
      <c r="CB540" s="996">
        <f t="shared" si="1031"/>
        <v>1012.266</v>
      </c>
      <c r="CC540" s="995">
        <f t="shared" ref="CC540:CF540" si="1032">CC128</f>
        <v>-114.03059201941795</v>
      </c>
      <c r="CD540" s="995">
        <f t="shared" si="1032"/>
        <v>-200.30784726222055</v>
      </c>
      <c r="CE540" s="995">
        <f t="shared" si="1032"/>
        <v>-460.15987716023591</v>
      </c>
      <c r="CF540" s="996">
        <f t="shared" si="1032"/>
        <v>-229.54959932449805</v>
      </c>
      <c r="CG540" s="1027"/>
      <c r="CH540" s="1000"/>
      <c r="CI540" s="995"/>
      <c r="CJ540" s="995"/>
      <c r="CK540" s="995"/>
      <c r="CL540" s="995"/>
      <c r="CM540" s="995"/>
      <c r="CN540" s="995"/>
      <c r="CO540" s="995"/>
      <c r="CP540" s="517"/>
      <c r="CQ540" s="517">
        <f>-CQ702</f>
        <v>-169.32</v>
      </c>
      <c r="CR540" s="517">
        <f>+SUM(BA540:BD540)</f>
        <v>-232.762</v>
      </c>
      <c r="CS540" s="517">
        <f>+SUM(BE540:BH540)</f>
        <v>-300.53899999999999</v>
      </c>
      <c r="CT540" s="517">
        <f>+SUM(BI540:BL540)</f>
        <v>-391.16899999999998</v>
      </c>
      <c r="CU540" s="517">
        <f>SUM(BM540:BP540)</f>
        <v>-491.53</v>
      </c>
      <c r="CV540" s="995">
        <f>+SUM(BQ540:BT540)</f>
        <v>-534.10500000000002</v>
      </c>
      <c r="CW540" s="995">
        <f>+SUM(BU540:BX540)</f>
        <v>-636.54999999999995</v>
      </c>
      <c r="CX540" s="995">
        <f t="shared" ref="CX540:DF540" si="1033">CX128</f>
        <v>-2057.5569999999998</v>
      </c>
      <c r="CY540" s="995">
        <f t="shared" si="1033"/>
        <v>-1004.0479157663724</v>
      </c>
      <c r="CZ540" s="995">
        <f t="shared" si="1033"/>
        <v>-1226.0736054606123</v>
      </c>
      <c r="DA540" s="995">
        <f t="shared" si="1033"/>
        <v>-1400.7837944996081</v>
      </c>
      <c r="DB540" s="995">
        <f t="shared" si="1033"/>
        <v>-1576.0430876592416</v>
      </c>
      <c r="DC540" s="995">
        <f t="shared" si="1033"/>
        <v>-1750.0463964442229</v>
      </c>
      <c r="DD540" s="995">
        <f t="shared" si="1033"/>
        <v>-1918.9914797888985</v>
      </c>
      <c r="DE540" s="995">
        <f t="shared" si="1033"/>
        <v>-2087.3543221458422</v>
      </c>
      <c r="DF540" s="996">
        <f t="shared" si="1033"/>
        <v>-2275.4090906906922</v>
      </c>
    </row>
    <row r="541" spans="1:113" s="1028" customFormat="1" ht="11.25" customHeight="1">
      <c r="A541" s="1024"/>
      <c r="B541"/>
      <c r="C541"/>
      <c r="D541"/>
      <c r="E541"/>
      <c r="F541"/>
      <c r="G541"/>
      <c r="H541" s="1044"/>
      <c r="I541" s="201" t="s">
        <v>415</v>
      </c>
      <c r="J541" s="1025"/>
      <c r="K541" s="1025"/>
      <c r="L541" s="1026"/>
      <c r="M541" s="995"/>
      <c r="N541" s="995"/>
      <c r="O541" s="995"/>
      <c r="P541" s="996"/>
      <c r="Q541" s="995"/>
      <c r="R541" s="995"/>
      <c r="S541" s="995"/>
      <c r="T541" s="996"/>
      <c r="U541" s="995"/>
      <c r="V541" s="995"/>
      <c r="W541" s="995"/>
      <c r="X541" s="996"/>
      <c r="Y541" s="995"/>
      <c r="Z541" s="995"/>
      <c r="AA541" s="995"/>
      <c r="AB541" s="996"/>
      <c r="AC541" s="995"/>
      <c r="AD541" s="995"/>
      <c r="AE541" s="995"/>
      <c r="AF541" s="996"/>
      <c r="AG541" s="995"/>
      <c r="AH541" s="995"/>
      <c r="AI541" s="995"/>
      <c r="AJ541" s="996"/>
      <c r="AK541" s="995"/>
      <c r="AL541" s="995"/>
      <c r="AM541" s="995"/>
      <c r="AN541" s="996"/>
      <c r="AO541" s="995"/>
      <c r="AP541" s="995"/>
      <c r="AQ541" s="995"/>
      <c r="AR541" s="996"/>
      <c r="AS541" s="995"/>
      <c r="AT541" s="995"/>
      <c r="AU541" s="995"/>
      <c r="AV541" s="996"/>
      <c r="AW541" s="995"/>
      <c r="AX541" s="995"/>
      <c r="AY541" s="995"/>
      <c r="AZ541" s="996"/>
      <c r="BA541" s="995"/>
      <c r="BB541" s="995"/>
      <c r="BC541" s="995"/>
      <c r="BD541" s="996"/>
      <c r="BE541" s="995"/>
      <c r="BF541" s="995"/>
      <c r="BG541" s="995"/>
      <c r="BH541" s="996"/>
      <c r="BI541" s="995">
        <f t="shared" ref="BI541:CF541" si="1034">BI672</f>
        <v>-15.051</v>
      </c>
      <c r="BJ541" s="995">
        <f t="shared" si="1034"/>
        <v>-21.43</v>
      </c>
      <c r="BK541" s="995">
        <f t="shared" si="1034"/>
        <v>-20.476999999999997</v>
      </c>
      <c r="BL541" s="996">
        <f t="shared" si="1034"/>
        <v>-27.486999999999995</v>
      </c>
      <c r="BM541" s="995">
        <f t="shared" si="1034"/>
        <v>-29.731000000000002</v>
      </c>
      <c r="BN541" s="995">
        <f t="shared" si="1034"/>
        <v>-32.254999999999995</v>
      </c>
      <c r="BO541" s="995">
        <f>BO672</f>
        <v>-28.738999999999997</v>
      </c>
      <c r="BP541" s="996">
        <f t="shared" si="1034"/>
        <v>-40.778999999999989</v>
      </c>
      <c r="BQ541" s="995">
        <f>BQ672</f>
        <v>-31.263000000000002</v>
      </c>
      <c r="BR541" s="995">
        <f t="shared" si="1034"/>
        <v>-53.087999999999994</v>
      </c>
      <c r="BS541" s="995">
        <f>BS672</f>
        <v>-42.286000000000001</v>
      </c>
      <c r="BT541" s="996">
        <f>BT672</f>
        <v>-47.277999999999992</v>
      </c>
      <c r="BU541" s="995">
        <f t="shared" si="1034"/>
        <v>-53.256</v>
      </c>
      <c r="BV541" s="995">
        <f t="shared" si="1034"/>
        <v>-60.442999999999998</v>
      </c>
      <c r="BW541" s="995">
        <f t="shared" si="1034"/>
        <v>-54.376999999999995</v>
      </c>
      <c r="BX541" s="996">
        <f t="shared" si="1034"/>
        <v>-51.813000000000002</v>
      </c>
      <c r="BY541" s="995">
        <f t="shared" si="1034"/>
        <v>-70.558999999999997</v>
      </c>
      <c r="BZ541" s="995">
        <f t="shared" si="1034"/>
        <v>-76.710000000000008</v>
      </c>
      <c r="CA541" s="995">
        <f t="shared" si="1034"/>
        <v>-76.423000000000002</v>
      </c>
      <c r="CB541" s="996">
        <f t="shared" si="1034"/>
        <v>-64.113</v>
      </c>
      <c r="CC541" s="995">
        <f t="shared" si="1034"/>
        <v>-98.549416478241099</v>
      </c>
      <c r="CD541" s="995">
        <f t="shared" si="1034"/>
        <v>-101.47747321468827</v>
      </c>
      <c r="CE541" s="995">
        <f t="shared" si="1034"/>
        <v>-77.417733131077327</v>
      </c>
      <c r="CF541" s="996">
        <f t="shared" si="1034"/>
        <v>-86.62669323710152</v>
      </c>
      <c r="CG541" s="1027"/>
      <c r="CH541" s="1000"/>
      <c r="CI541" s="995"/>
      <c r="CJ541" s="995"/>
      <c r="CK541" s="995"/>
      <c r="CL541" s="995"/>
      <c r="CM541" s="995"/>
      <c r="CN541" s="995"/>
      <c r="CO541" s="995"/>
      <c r="CP541" s="995"/>
      <c r="CQ541" s="995">
        <f>CQ672</f>
        <v>-22.593</v>
      </c>
      <c r="CR541" s="995">
        <f t="shared" ref="CR541:CY541" si="1035">CR672</f>
        <v>-46.832999999999998</v>
      </c>
      <c r="CS541" s="995">
        <f t="shared" si="1035"/>
        <v>-55.158000000000001</v>
      </c>
      <c r="CT541" s="995">
        <f t="shared" si="1035"/>
        <v>-84.444999999999993</v>
      </c>
      <c r="CU541" s="995">
        <f t="shared" si="1035"/>
        <v>-131.50399999999999</v>
      </c>
      <c r="CV541" s="995">
        <f t="shared" si="1035"/>
        <v>-173.91499999999999</v>
      </c>
      <c r="CW541" s="995">
        <f t="shared" si="1035"/>
        <v>-219.88900000000001</v>
      </c>
      <c r="CX541" s="995">
        <f t="shared" si="1035"/>
        <v>-287.80500000000001</v>
      </c>
      <c r="CY541" s="995">
        <f t="shared" si="1035"/>
        <v>-364.07131606110823</v>
      </c>
      <c r="CZ541" s="995">
        <f t="shared" ref="CZ541:DF541" si="1036">CZ672</f>
        <v>-427.95676383952571</v>
      </c>
      <c r="DA541" s="995">
        <f t="shared" si="1036"/>
        <v>-489.1695631063231</v>
      </c>
      <c r="DB541" s="995">
        <f t="shared" si="1036"/>
        <v>-550.37656261603331</v>
      </c>
      <c r="DC541" s="995">
        <f t="shared" si="1036"/>
        <v>-612.24848722151444</v>
      </c>
      <c r="DD541" s="995">
        <f t="shared" si="1036"/>
        <v>-675.2571801792518</v>
      </c>
      <c r="DE541" s="995">
        <f t="shared" si="1036"/>
        <v>-738.89941506418631</v>
      </c>
      <c r="DF541" s="996">
        <f t="shared" si="1036"/>
        <v>-808.4463270780476</v>
      </c>
    </row>
    <row r="542" spans="1:113" s="1028" customFormat="1" ht="11.25" customHeight="1">
      <c r="A542" s="1024"/>
      <c r="B542"/>
      <c r="C542"/>
      <c r="D542"/>
      <c r="E542"/>
      <c r="F542"/>
      <c r="G542"/>
      <c r="H542" s="1044"/>
      <c r="I542" s="994" t="s">
        <v>416</v>
      </c>
      <c r="J542" s="1029"/>
      <c r="K542" s="1029"/>
      <c r="L542" s="1030"/>
      <c r="M542" s="1001"/>
      <c r="N542" s="1001"/>
      <c r="O542" s="1001"/>
      <c r="P542" s="1002"/>
      <c r="Q542" s="1001"/>
      <c r="R542" s="1001"/>
      <c r="S542" s="1001"/>
      <c r="T542" s="1002"/>
      <c r="U542" s="1001"/>
      <c r="V542" s="1001"/>
      <c r="W542" s="1001"/>
      <c r="X542" s="1002"/>
      <c r="Y542" s="1001"/>
      <c r="Z542" s="1001"/>
      <c r="AA542" s="1001"/>
      <c r="AB542" s="1002"/>
      <c r="AC542" s="1001"/>
      <c r="AD542" s="1001"/>
      <c r="AE542" s="1001"/>
      <c r="AF542" s="1002"/>
      <c r="AG542" s="1001"/>
      <c r="AH542" s="1001"/>
      <c r="AI542" s="1001"/>
      <c r="AJ542" s="1002"/>
      <c r="AK542" s="1001"/>
      <c r="AL542" s="1001"/>
      <c r="AM542" s="1001"/>
      <c r="AN542" s="1002"/>
      <c r="AO542" s="1001"/>
      <c r="AP542" s="1001"/>
      <c r="AQ542" s="1001"/>
      <c r="AR542" s="1002"/>
      <c r="AS542" s="1001"/>
      <c r="AT542" s="1001"/>
      <c r="AU542" s="1001"/>
      <c r="AV542" s="1002"/>
      <c r="AW542" s="1001"/>
      <c r="AX542" s="1001"/>
      <c r="AY542" s="1001"/>
      <c r="AZ542" s="1002"/>
      <c r="BA542" s="1001"/>
      <c r="BB542" s="1001"/>
      <c r="BC542" s="1001"/>
      <c r="BD542" s="1002"/>
      <c r="BE542" s="1001"/>
      <c r="BF542" s="1001"/>
      <c r="BG542" s="1001"/>
      <c r="BH542" s="1002"/>
      <c r="BI542" s="1001">
        <f>+BI543-SUM(BI537:BI541)</f>
        <v>52.846000000000188</v>
      </c>
      <c r="BJ542" s="1001">
        <f t="shared" ref="BJ542:CE542" si="1037">+BJ543-(SUM(BJ537:BJ541))</f>
        <v>-9.2619999999999436</v>
      </c>
      <c r="BK542" s="1001">
        <f t="shared" si="1037"/>
        <v>-116.11299999999972</v>
      </c>
      <c r="BL542" s="1002">
        <f t="shared" si="1037"/>
        <v>104.58400000000029</v>
      </c>
      <c r="BM542" s="1001">
        <f t="shared" si="1037"/>
        <v>36.653000000000077</v>
      </c>
      <c r="BN542" s="1001">
        <f t="shared" si="1037"/>
        <v>-98.839000000000055</v>
      </c>
      <c r="BO542" s="1001">
        <f t="shared" si="1037"/>
        <v>-104.64900000000034</v>
      </c>
      <c r="BP542" s="1002">
        <f>+BP543-(SUM(BP537:BP541))</f>
        <v>125.33000000000015</v>
      </c>
      <c r="BQ542" s="1001">
        <f>+BQ543-(SUM(BQ537:BQ541))</f>
        <v>67.692000000000093</v>
      </c>
      <c r="BR542" s="1001">
        <f t="shared" si="1037"/>
        <v>-6.9060000000000628</v>
      </c>
      <c r="BS542" s="1001">
        <f>+BS543-(SUM(BS537:BS541))</f>
        <v>-222.86300000000006</v>
      </c>
      <c r="BT542" s="1002">
        <f>+BT543-(SUM(BT537:BT541))</f>
        <v>130.05900000000076</v>
      </c>
      <c r="BU542" s="1001">
        <f t="shared" si="1037"/>
        <v>157.49900000000045</v>
      </c>
      <c r="BV542" s="1001">
        <f t="shared" si="1037"/>
        <v>149.61199999999974</v>
      </c>
      <c r="BW542" s="1001">
        <f t="shared" si="1037"/>
        <v>-234.55200000000059</v>
      </c>
      <c r="BX542" s="1002">
        <f>+BX543-(SUM(BX537:BX541))</f>
        <v>225.79100000000051</v>
      </c>
      <c r="BY542" s="1001">
        <f t="shared" si="1037"/>
        <v>278.81400000000008</v>
      </c>
      <c r="BZ542" s="1001">
        <f t="shared" si="1037"/>
        <v>818.38899999999967</v>
      </c>
      <c r="CA542" s="1001">
        <f t="shared" si="1037"/>
        <v>300.0799999999997</v>
      </c>
      <c r="CB542" s="1002">
        <f>+CB543-(SUM(CB537:CB541))</f>
        <v>-906.99200000000019</v>
      </c>
      <c r="CC542" s="1001">
        <f t="shared" si="1037"/>
        <v>-529.54658399564903</v>
      </c>
      <c r="CD542" s="1001">
        <f>+CD543-(SUM(CD537:CD541))</f>
        <v>273.5731403886449</v>
      </c>
      <c r="CE542" s="1001">
        <f t="shared" si="1037"/>
        <v>-146.31314375964939</v>
      </c>
      <c r="CF542" s="1002">
        <f>+CF543-(SUM(CF537:CF541))</f>
        <v>389.68043496202199</v>
      </c>
      <c r="CG542" s="1027"/>
      <c r="CH542" s="1000"/>
      <c r="CI542" s="995"/>
      <c r="CJ542" s="995"/>
      <c r="CK542" s="995"/>
      <c r="CL542" s="995"/>
      <c r="CM542" s="995"/>
      <c r="CN542" s="995"/>
      <c r="CO542" s="995"/>
      <c r="CP542" s="1001"/>
      <c r="CQ542" s="1001">
        <f>+CQ543-(SUM(CQ537:CQ541))</f>
        <v>95.316900000000146</v>
      </c>
      <c r="CR542" s="1001">
        <f t="shared" ref="CR542:CY542" si="1038">+CR543-(SUM(CR537:CR541))</f>
        <v>164.83799999999997</v>
      </c>
      <c r="CS542" s="1001">
        <f>+CS543-(SUM(CS537:CS541))</f>
        <v>237.63399999999888</v>
      </c>
      <c r="CT542" s="1001">
        <f t="shared" si="1038"/>
        <v>200.94500000000085</v>
      </c>
      <c r="CU542" s="1001">
        <f t="shared" si="1038"/>
        <v>221.50300000000107</v>
      </c>
      <c r="CV542" s="1001">
        <f t="shared" si="1038"/>
        <v>421.74200000000064</v>
      </c>
      <c r="CW542" s="1001">
        <f>+CW543-(SUM(CW537:CW541))</f>
        <v>820.11600000000044</v>
      </c>
      <c r="CX542" s="1001">
        <f t="shared" si="1038"/>
        <v>2421.0370000000007</v>
      </c>
      <c r="CY542" s="1001">
        <f t="shared" si="1038"/>
        <v>715.53647971758346</v>
      </c>
      <c r="CZ542" s="1001">
        <f t="shared" ref="CZ542:DF542" si="1039">+CZ543-(SUM(CZ537:CZ541))</f>
        <v>-11.314530771625869</v>
      </c>
      <c r="DA542" s="1001">
        <f t="shared" si="1039"/>
        <v>45.30556457430157</v>
      </c>
      <c r="DB542" s="1001">
        <f t="shared" si="1039"/>
        <v>95.032133297363544</v>
      </c>
      <c r="DC542" s="1001">
        <f t="shared" si="1039"/>
        <v>169.87036821011498</v>
      </c>
      <c r="DD542" s="1001">
        <f t="shared" si="1039"/>
        <v>268.80145147209532</v>
      </c>
      <c r="DE542" s="1001">
        <f t="shared" si="1039"/>
        <v>401.81020631743559</v>
      </c>
      <c r="DF542" s="1002">
        <f t="shared" si="1039"/>
        <v>541.90016820632081</v>
      </c>
    </row>
    <row r="543" spans="1:113" s="584" customFormat="1" ht="11.25" customHeight="1">
      <c r="A543" s="542"/>
      <c r="B543"/>
      <c r="C543"/>
      <c r="D543"/>
      <c r="E543"/>
      <c r="F543"/>
      <c r="G543"/>
      <c r="H543" s="1052"/>
      <c r="I543" s="617" t="s">
        <v>471</v>
      </c>
      <c r="J543" s="580"/>
      <c r="K543" s="580"/>
      <c r="L543" s="542"/>
      <c r="M543" s="543"/>
      <c r="N543" s="543"/>
      <c r="O543" s="543"/>
      <c r="P543" s="1003"/>
      <c r="Q543" s="543"/>
      <c r="R543" s="543"/>
      <c r="S543" s="543"/>
      <c r="T543" s="1003"/>
      <c r="U543" s="1004"/>
      <c r="V543" s="1004"/>
      <c r="W543" s="1004"/>
      <c r="X543" s="1005"/>
      <c r="Y543" s="1004"/>
      <c r="Z543" s="1004"/>
      <c r="AA543" s="1004"/>
      <c r="AB543" s="1005"/>
      <c r="AC543" s="1004"/>
      <c r="AD543" s="1004"/>
      <c r="AE543" s="1004"/>
      <c r="AF543" s="1005"/>
      <c r="AG543" s="1004"/>
      <c r="AH543" s="1004"/>
      <c r="AI543" s="1004"/>
      <c r="AJ543" s="1005"/>
      <c r="AK543" s="1004"/>
      <c r="AL543" s="1004"/>
      <c r="AM543" s="1004"/>
      <c r="AN543" s="1005"/>
      <c r="AO543" s="1004"/>
      <c r="AP543" s="1004"/>
      <c r="AQ543" s="1004"/>
      <c r="AR543" s="1005"/>
      <c r="AS543" s="1004"/>
      <c r="AT543" s="1004"/>
      <c r="AU543" s="1004"/>
      <c r="AV543" s="1005"/>
      <c r="AW543" s="1004"/>
      <c r="AX543" s="1004"/>
      <c r="AY543" s="1004"/>
      <c r="AZ543" s="1005"/>
      <c r="BA543" s="1004"/>
      <c r="BB543" s="1004"/>
      <c r="BC543" s="1004"/>
      <c r="BD543" s="1005"/>
      <c r="BE543" s="1004"/>
      <c r="BF543" s="1004"/>
      <c r="BG543" s="1004"/>
      <c r="BH543" s="1005"/>
      <c r="BI543" s="1004">
        <f t="shared" ref="BI543:CF543" si="1040">+BI666+BI672+BI538</f>
        <v>146.35700000000006</v>
      </c>
      <c r="BJ543" s="1004">
        <f t="shared" si="1040"/>
        <v>537.21600000000001</v>
      </c>
      <c r="BK543" s="1004">
        <f t="shared" si="1040"/>
        <v>915.43599999999981</v>
      </c>
      <c r="BL543" s="1005">
        <f t="shared" si="1040"/>
        <v>477.45600000000024</v>
      </c>
      <c r="BM543" s="1004">
        <f t="shared" si="1040"/>
        <v>108.47000000000003</v>
      </c>
      <c r="BN543" s="1004">
        <f t="shared" si="1040"/>
        <v>622.55799999999999</v>
      </c>
      <c r="BO543" s="1004">
        <f t="shared" si="1040"/>
        <v>1217.2569999999998</v>
      </c>
      <c r="BP543" s="1005">
        <f t="shared" si="1040"/>
        <v>648.18300000000022</v>
      </c>
      <c r="BQ543" s="1004">
        <f>+BQ666+BQ672+BQ538</f>
        <v>123.71199999999999</v>
      </c>
      <c r="BR543" s="1004">
        <f t="shared" si="1040"/>
        <v>589.12400000000014</v>
      </c>
      <c r="BS543" s="1004">
        <f>+BS666+BS672+BS538</f>
        <v>1209.2399999999998</v>
      </c>
      <c r="BT543" s="1005">
        <f>+BT666+BT672+BT538</f>
        <v>758.84500000000037</v>
      </c>
      <c r="BU543" s="1004">
        <f t="shared" si="1040"/>
        <v>225.07099999999991</v>
      </c>
      <c r="BV543" s="1004">
        <f t="shared" si="1040"/>
        <v>850.58800000000008</v>
      </c>
      <c r="BW543" s="1004">
        <f t="shared" si="1040"/>
        <v>1399.403</v>
      </c>
      <c r="BX543" s="1005">
        <f t="shared" si="1040"/>
        <v>980.17200000000014</v>
      </c>
      <c r="BY543" s="1004">
        <f t="shared" si="1040"/>
        <v>251.11100000000008</v>
      </c>
      <c r="BZ543" s="1004">
        <f t="shared" si="1040"/>
        <v>1077.6270000000002</v>
      </c>
      <c r="CA543" s="1004">
        <f t="shared" si="1040"/>
        <v>1743.7469999999998</v>
      </c>
      <c r="CB543" s="1005">
        <f t="shared" si="1040"/>
        <v>1040.8359999999996</v>
      </c>
      <c r="CC543" s="1004">
        <f t="shared" si="1040"/>
        <v>-44.331480937985276</v>
      </c>
      <c r="CD543" s="1004">
        <f t="shared" si="1040"/>
        <v>1117.8021474957563</v>
      </c>
      <c r="CE543" s="1004">
        <f t="shared" si="1040"/>
        <v>1805.0469793271345</v>
      </c>
      <c r="CF543" s="1005">
        <f t="shared" si="1040"/>
        <v>1396.976942798429</v>
      </c>
      <c r="CG543" s="1003"/>
      <c r="CH543" s="1006"/>
      <c r="CI543" s="543"/>
      <c r="CJ543" s="1004"/>
      <c r="CK543" s="1004"/>
      <c r="CL543" s="1004"/>
      <c r="CM543" s="1004"/>
      <c r="CN543" s="1004"/>
      <c r="CO543" s="1004"/>
      <c r="CP543" s="1004"/>
      <c r="CQ543" s="1004">
        <f>+CQ666-CQ672+CQ538</f>
        <v>731.68389999999999</v>
      </c>
      <c r="CR543" s="1004">
        <f t="shared" ref="CR543:CY543" si="1041">+CR666-CR672+CR538</f>
        <v>1322.9210000000003</v>
      </c>
      <c r="CS543" s="1004">
        <f t="shared" si="1041"/>
        <v>1769.3429999999998</v>
      </c>
      <c r="CT543" s="1004">
        <f t="shared" si="1041"/>
        <v>2245.3550000000005</v>
      </c>
      <c r="CU543" s="1004">
        <f t="shared" si="1041"/>
        <v>2859.4760000000001</v>
      </c>
      <c r="CV543" s="1004">
        <f t="shared" si="1041"/>
        <v>3028.7510000000002</v>
      </c>
      <c r="CW543" s="1004">
        <f t="shared" si="1041"/>
        <v>3895.0120000000002</v>
      </c>
      <c r="CX543" s="1004">
        <f t="shared" si="1041"/>
        <v>4688.9310000000005</v>
      </c>
      <c r="CY543" s="1004">
        <f t="shared" si="1041"/>
        <v>5003.6372208055518</v>
      </c>
      <c r="CZ543" s="1004">
        <f t="shared" ref="CZ543:DF543" si="1042">+CZ666+CZ672+CZ538</f>
        <v>4893.2371380769164</v>
      </c>
      <c r="DA543" s="1004">
        <f t="shared" si="1042"/>
        <v>5607.7731992051531</v>
      </c>
      <c r="DB543" s="1004">
        <f t="shared" si="1042"/>
        <v>6347.6236236983896</v>
      </c>
      <c r="DC543" s="1004">
        <f t="shared" si="1042"/>
        <v>7098.2657254994983</v>
      </c>
      <c r="DD543" s="1004">
        <f t="shared" si="1042"/>
        <v>7837.9486281161389</v>
      </c>
      <c r="DE543" s="1004">
        <f t="shared" si="1042"/>
        <v>8588.932286279367</v>
      </c>
      <c r="DF543" s="1005">
        <f t="shared" si="1042"/>
        <v>9438.5422446938974</v>
      </c>
      <c r="DG543" s="632"/>
      <c r="DH543" s="632"/>
    </row>
    <row r="544" spans="1:113" s="51" customFormat="1" ht="11.25" customHeight="1">
      <c r="A544" s="82"/>
      <c r="B544"/>
      <c r="C544"/>
      <c r="D544"/>
      <c r="E544"/>
      <c r="F544"/>
      <c r="G544"/>
      <c r="H544" s="1044"/>
      <c r="I544" s="310" t="s">
        <v>376</v>
      </c>
      <c r="J544" s="83"/>
      <c r="K544" s="83"/>
      <c r="L544" s="82"/>
      <c r="M544" s="292"/>
      <c r="N544" s="292"/>
      <c r="O544" s="292"/>
      <c r="P544" s="1007"/>
      <c r="Q544" s="292"/>
      <c r="R544" s="292"/>
      <c r="S544" s="292"/>
      <c r="T544" s="1007"/>
      <c r="U544" s="997"/>
      <c r="V544" s="997"/>
      <c r="W544" s="997"/>
      <c r="X544" s="998"/>
      <c r="Y544" s="997"/>
      <c r="Z544" s="997"/>
      <c r="AA544" s="997"/>
      <c r="AB544" s="998"/>
      <c r="AC544" s="997"/>
      <c r="AD544" s="997"/>
      <c r="AE544" s="997"/>
      <c r="AF544" s="998"/>
      <c r="AG544" s="997"/>
      <c r="AH544" s="997"/>
      <c r="AI544" s="997"/>
      <c r="AJ544" s="998"/>
      <c r="AK544" s="997"/>
      <c r="AL544" s="997"/>
      <c r="AM544" s="997"/>
      <c r="AN544" s="998"/>
      <c r="AO544" s="997"/>
      <c r="AP544" s="997"/>
      <c r="AQ544" s="997"/>
      <c r="AR544" s="998"/>
      <c r="AS544" s="1008"/>
      <c r="AT544" s="1008"/>
      <c r="AU544" s="1008"/>
      <c r="AV544" s="1009"/>
      <c r="AW544" s="1008"/>
      <c r="AX544" s="1008"/>
      <c r="AY544" s="1008"/>
      <c r="AZ544" s="1009"/>
      <c r="BA544" s="1008"/>
      <c r="BB544" s="1008"/>
      <c r="BC544" s="1008"/>
      <c r="BD544" s="1009"/>
      <c r="BE544" s="1008"/>
      <c r="BF544" s="1008"/>
      <c r="BG544" s="1008"/>
      <c r="BH544" s="1009"/>
      <c r="BI544" s="1008"/>
      <c r="BJ544" s="1008"/>
      <c r="BK544" s="1008"/>
      <c r="BL544" s="1009"/>
      <c r="BM544" s="1008">
        <f t="shared" ref="BM544:CE544" si="1043">+BM543/BI543-1</f>
        <v>-0.25886701695170045</v>
      </c>
      <c r="BN544" s="1008">
        <f t="shared" si="1043"/>
        <v>0.15885975101262795</v>
      </c>
      <c r="BO544" s="1008">
        <f t="shared" si="1043"/>
        <v>0.32970191253129677</v>
      </c>
      <c r="BP544" s="1009">
        <f>+BP543/BL543-1</f>
        <v>0.35757640494621468</v>
      </c>
      <c r="BQ544" s="1008">
        <f t="shared" si="1043"/>
        <v>0.14051811560800176</v>
      </c>
      <c r="BR544" s="1008">
        <f t="shared" si="1043"/>
        <v>-5.3704233179880156E-2</v>
      </c>
      <c r="BS544" s="1008">
        <f t="shared" si="1043"/>
        <v>-6.5861194472490725E-3</v>
      </c>
      <c r="BT544" s="1009">
        <f>+BT543/BP543-1</f>
        <v>0.1707264769362975</v>
      </c>
      <c r="BU544" s="1008">
        <f t="shared" si="1043"/>
        <v>0.81931421365752666</v>
      </c>
      <c r="BV544" s="1008">
        <f t="shared" si="1043"/>
        <v>0.44381827934356743</v>
      </c>
      <c r="BW544" s="1008">
        <f t="shared" si="1043"/>
        <v>0.15725827792663183</v>
      </c>
      <c r="BX544" s="1009">
        <f>+BX543/BT543-1</f>
        <v>0.29166298783018885</v>
      </c>
      <c r="BY544" s="1008">
        <f t="shared" si="1043"/>
        <v>0.1156968245575849</v>
      </c>
      <c r="BZ544" s="1008">
        <f t="shared" si="1043"/>
        <v>0.26692006000554924</v>
      </c>
      <c r="CA544" s="1008">
        <f t="shared" si="1043"/>
        <v>0.24606492911620159</v>
      </c>
      <c r="CB544" s="1009">
        <f>+CB543/BX543-1</f>
        <v>6.189117828299473E-2</v>
      </c>
      <c r="CC544" s="1008">
        <f t="shared" si="1043"/>
        <v>-1.1765413738863899</v>
      </c>
      <c r="CD544" s="1008">
        <f t="shared" si="1043"/>
        <v>3.7281125561772432E-2</v>
      </c>
      <c r="CE544" s="1008">
        <f t="shared" si="1043"/>
        <v>3.5154170488685965E-2</v>
      </c>
      <c r="CF544" s="1009">
        <f>+CF543/CB543-1</f>
        <v>0.34216816366692693</v>
      </c>
      <c r="CG544" s="1007"/>
      <c r="CH544" s="1010"/>
      <c r="CI544" s="292"/>
      <c r="CJ544" s="997"/>
      <c r="CK544" s="997"/>
      <c r="CL544" s="997"/>
      <c r="CM544" s="997"/>
      <c r="CN544" s="997"/>
      <c r="CO544" s="997"/>
      <c r="CP544" s="1008"/>
      <c r="CQ544" s="1008"/>
      <c r="CR544" s="1008">
        <f t="shared" ref="CR544:CX544" si="1044">+CR543/CQ543-1</f>
        <v>0.80804989695686924</v>
      </c>
      <c r="CS544" s="1008">
        <f t="shared" si="1044"/>
        <v>0.33745174503995279</v>
      </c>
      <c r="CT544" s="1008">
        <f t="shared" si="1044"/>
        <v>0.26903319480733856</v>
      </c>
      <c r="CU544" s="1008">
        <f t="shared" si="1044"/>
        <v>0.27350730730775297</v>
      </c>
      <c r="CV544" s="1008">
        <f t="shared" si="1044"/>
        <v>5.9197908987520753E-2</v>
      </c>
      <c r="CW544" s="1008">
        <f t="shared" si="1044"/>
        <v>0.28601261708209091</v>
      </c>
      <c r="CX544" s="1008">
        <f t="shared" si="1044"/>
        <v>0.20382966727702012</v>
      </c>
      <c r="CY544" s="1008">
        <f t="shared" ref="CY544:DF544" si="1045">+CY543/CX543-1</f>
        <v>6.711683767697818E-2</v>
      </c>
      <c r="CZ544" s="1008">
        <f t="shared" si="1045"/>
        <v>-2.2063966242313215E-2</v>
      </c>
      <c r="DA544" s="1008">
        <f t="shared" si="1045"/>
        <v>0.14602522644325711</v>
      </c>
      <c r="DB544" s="1008">
        <f t="shared" si="1045"/>
        <v>0.13193301480133024</v>
      </c>
      <c r="DC544" s="1008">
        <f t="shared" si="1045"/>
        <v>0.11825560970544013</v>
      </c>
      <c r="DD544" s="1008">
        <f t="shared" si="1045"/>
        <v>0.10420614432049735</v>
      </c>
      <c r="DE544" s="1008">
        <f t="shared" si="1045"/>
        <v>9.5813802028417827E-2</v>
      </c>
      <c r="DF544" s="1009">
        <f t="shared" si="1045"/>
        <v>9.8919158993925782E-2</v>
      </c>
      <c r="DG544" s="308"/>
      <c r="DH544" s="308"/>
    </row>
    <row r="545" spans="1:113" s="78" customFormat="1" ht="11.25" customHeight="1">
      <c r="A545" s="24"/>
      <c r="B545"/>
      <c r="C545"/>
      <c r="D545"/>
      <c r="E545"/>
      <c r="F545"/>
      <c r="G545"/>
      <c r="H545" s="1044"/>
      <c r="I545" s="201"/>
      <c r="J545" s="95"/>
      <c r="K545" s="95"/>
      <c r="L545" s="75"/>
      <c r="M545" s="995"/>
      <c r="N545" s="995"/>
      <c r="O545" s="995"/>
      <c r="P545" s="996"/>
      <c r="Q545" s="995"/>
      <c r="R545" s="995"/>
      <c r="S545" s="995"/>
      <c r="T545" s="996"/>
      <c r="U545" s="995"/>
      <c r="V545" s="995"/>
      <c r="W545" s="995"/>
      <c r="X545" s="996"/>
      <c r="Y545" s="995"/>
      <c r="Z545" s="995"/>
      <c r="AA545" s="995"/>
      <c r="AB545" s="996"/>
      <c r="AC545" s="995"/>
      <c r="AD545" s="995"/>
      <c r="AE545" s="995"/>
      <c r="AF545" s="996"/>
      <c r="AG545" s="995"/>
      <c r="AH545" s="995"/>
      <c r="AI545" s="995"/>
      <c r="AJ545" s="996"/>
      <c r="AK545" s="995"/>
      <c r="AL545" s="995"/>
      <c r="AM545" s="995"/>
      <c r="AN545" s="996"/>
      <c r="AO545" s="995"/>
      <c r="AP545" s="995"/>
      <c r="AQ545" s="995"/>
      <c r="AR545" s="996"/>
      <c r="AS545" s="995"/>
      <c r="AT545" s="995"/>
      <c r="AU545" s="995"/>
      <c r="AV545" s="996"/>
      <c r="AW545" s="995"/>
      <c r="AX545" s="995"/>
      <c r="AY545" s="995"/>
      <c r="AZ545" s="996"/>
      <c r="BA545" s="995"/>
      <c r="BB545" s="995"/>
      <c r="BC545" s="995"/>
      <c r="BD545" s="996"/>
      <c r="BE545" s="995"/>
      <c r="BF545" s="995"/>
      <c r="BG545" s="995"/>
      <c r="BH545" s="996"/>
      <c r="BI545" s="995"/>
      <c r="BJ545" s="995"/>
      <c r="BK545" s="995"/>
      <c r="BL545" s="996"/>
      <c r="BM545" s="997"/>
      <c r="BN545" s="997"/>
      <c r="BO545" s="997"/>
      <c r="BP545" s="998"/>
      <c r="BQ545" s="997"/>
      <c r="BR545" s="995"/>
      <c r="BS545" s="995"/>
      <c r="BT545" s="998"/>
      <c r="BU545" s="995"/>
      <c r="BV545" s="995"/>
      <c r="BW545" s="995"/>
      <c r="BX545" s="996"/>
      <c r="BY545" s="995"/>
      <c r="BZ545" s="995"/>
      <c r="CA545" s="995"/>
      <c r="CB545" s="996"/>
      <c r="CC545" s="995"/>
      <c r="CD545" s="995"/>
      <c r="CE545" s="995"/>
      <c r="CF545" s="996"/>
      <c r="CG545" s="999"/>
      <c r="CH545" s="1000"/>
      <c r="CI545" s="995"/>
      <c r="CJ545" s="995"/>
      <c r="CK545" s="995"/>
      <c r="CL545" s="995"/>
      <c r="CM545" s="995"/>
      <c r="CN545" s="995"/>
      <c r="CO545" s="995"/>
      <c r="CP545" s="995"/>
      <c r="CQ545" s="995"/>
      <c r="CR545" s="995"/>
      <c r="CS545" s="995"/>
      <c r="CT545" s="995"/>
      <c r="CU545" s="995"/>
      <c r="CV545" s="995"/>
      <c r="CW545" s="995"/>
      <c r="CX545" s="995"/>
      <c r="CY545" s="995"/>
      <c r="CZ545" s="995"/>
      <c r="DA545" s="995"/>
      <c r="DB545" s="995"/>
      <c r="DC545" s="995"/>
      <c r="DD545" s="995"/>
      <c r="DE545" s="995"/>
      <c r="DF545" s="996"/>
    </row>
    <row r="546" spans="1:113" s="308" customFormat="1" ht="11.25" customHeight="1">
      <c r="A546" s="82"/>
      <c r="B546"/>
      <c r="C546"/>
      <c r="D546"/>
      <c r="E546"/>
      <c r="F546"/>
      <c r="G546"/>
      <c r="H546" s="1044"/>
      <c r="I546" s="1031" t="s">
        <v>341</v>
      </c>
      <c r="J546" s="312"/>
      <c r="K546" s="312"/>
      <c r="L546" s="307"/>
      <c r="M546" s="997"/>
      <c r="N546" s="997"/>
      <c r="O546" s="997"/>
      <c r="P546" s="998"/>
      <c r="Q546" s="997"/>
      <c r="R546" s="997"/>
      <c r="S546" s="997"/>
      <c r="T546" s="998"/>
      <c r="U546" s="997"/>
      <c r="V546" s="997"/>
      <c r="W546" s="997"/>
      <c r="X546" s="998"/>
      <c r="Y546" s="997"/>
      <c r="Z546" s="997"/>
      <c r="AA546" s="997"/>
      <c r="AB546" s="998"/>
      <c r="AC546" s="997"/>
      <c r="AD546" s="997"/>
      <c r="AE546" s="997"/>
      <c r="AF546" s="998"/>
      <c r="AG546" s="997"/>
      <c r="AH546" s="997"/>
      <c r="AI546" s="997"/>
      <c r="AJ546" s="998"/>
      <c r="AK546" s="997"/>
      <c r="AL546" s="997"/>
      <c r="AM546" s="997"/>
      <c r="AN546" s="998"/>
      <c r="AO546" s="997"/>
      <c r="AP546" s="997"/>
      <c r="AQ546" s="997"/>
      <c r="AR546" s="998"/>
      <c r="AS546" s="997"/>
      <c r="AT546" s="997"/>
      <c r="AU546" s="997"/>
      <c r="AV546" s="998"/>
      <c r="AW546" s="997"/>
      <c r="AX546" s="997"/>
      <c r="AY546" s="997"/>
      <c r="AZ546" s="998"/>
      <c r="BA546" s="997"/>
      <c r="BB546" s="997"/>
      <c r="BC546" s="997"/>
      <c r="BD546" s="998"/>
      <c r="BE546" s="997"/>
      <c r="BF546" s="997"/>
      <c r="BG546" s="997"/>
      <c r="BH546" s="998"/>
      <c r="BI546" s="997">
        <f t="shared" ref="BI546:CE546" si="1046">+BI543/BI537</f>
        <v>0.39745434992776402</v>
      </c>
      <c r="BJ546" s="997">
        <f t="shared" si="1046"/>
        <v>0.86472565254902989</v>
      </c>
      <c r="BK546" s="997">
        <f t="shared" si="1046"/>
        <v>0.82181706536483423</v>
      </c>
      <c r="BL546" s="998">
        <f t="shared" si="1046"/>
        <v>0.82591269601017192</v>
      </c>
      <c r="BM546" s="997">
        <f t="shared" si="1046"/>
        <v>0.21130574365128227</v>
      </c>
      <c r="BN546" s="997">
        <f t="shared" si="1046"/>
        <v>0.76913611514346603</v>
      </c>
      <c r="BO546" s="997">
        <f t="shared" si="1046"/>
        <v>0.85128165319379989</v>
      </c>
      <c r="BP546" s="998">
        <f>+BP543/BP537</f>
        <v>0.91073521105387878</v>
      </c>
      <c r="BQ546" s="997">
        <f>+BQ543/BQ537</f>
        <v>0.23265724468015084</v>
      </c>
      <c r="BR546" s="997">
        <f t="shared" si="1046"/>
        <v>0.73208114573301442</v>
      </c>
      <c r="BS546" s="997">
        <f>+BS543/BS537</f>
        <v>0.75738586506175309</v>
      </c>
      <c r="BT546" s="998">
        <f>+BT543/BT537</f>
        <v>0.96105476724806194</v>
      </c>
      <c r="BU546" s="997">
        <f t="shared" si="1046"/>
        <v>0.33281676749065831</v>
      </c>
      <c r="BV546" s="997">
        <f t="shared" si="1046"/>
        <v>0.9809662642487762</v>
      </c>
      <c r="BW546" s="997">
        <f t="shared" si="1046"/>
        <v>0.73563158572581289</v>
      </c>
      <c r="BX546" s="998">
        <f>+BX543/BX537</f>
        <v>1.0392634823425133</v>
      </c>
      <c r="BY546" s="997">
        <f t="shared" si="1046"/>
        <v>0.36198110746086648</v>
      </c>
      <c r="BZ546" s="997">
        <f t="shared" si="1046"/>
        <v>1.0351685276691229</v>
      </c>
      <c r="CA546" s="997">
        <f t="shared" si="1046"/>
        <v>0.77359004514889984</v>
      </c>
      <c r="CB546" s="998">
        <f>+CB543/CB537</f>
        <v>0.91356217239115378</v>
      </c>
      <c r="CC546" s="997">
        <f t="shared" si="1046"/>
        <v>-5.351979385094012E-2</v>
      </c>
      <c r="CD546" s="997">
        <f t="shared" si="1046"/>
        <v>0.87176228309713377</v>
      </c>
      <c r="CE546" s="997">
        <f t="shared" si="1046"/>
        <v>0.68659056652071249</v>
      </c>
      <c r="CF546" s="998">
        <f>+CF543/CF537</f>
        <v>0.95298278248295865</v>
      </c>
      <c r="CG546" s="1007"/>
      <c r="CH546" s="1032"/>
      <c r="CI546" s="997"/>
      <c r="CJ546" s="997"/>
      <c r="CK546" s="997"/>
      <c r="CL546" s="997"/>
      <c r="CM546" s="997"/>
      <c r="CN546" s="997"/>
      <c r="CO546" s="997"/>
      <c r="CP546" s="997"/>
      <c r="CQ546" s="997">
        <f t="shared" ref="CQ546:CX546" si="1047">+CQ543/CQ537</f>
        <v>0.81173654647701721</v>
      </c>
      <c r="CR546" s="997">
        <f t="shared" si="1047"/>
        <v>0.87554128956468502</v>
      </c>
      <c r="CS546" s="997">
        <f t="shared" si="1047"/>
        <v>0.89682163957293359</v>
      </c>
      <c r="CT546" s="997">
        <f t="shared" si="1047"/>
        <v>0.83734911452677341</v>
      </c>
      <c r="CU546" s="997">
        <f t="shared" si="1047"/>
        <v>0.82539281176267543</v>
      </c>
      <c r="CV546" s="997">
        <f t="shared" si="1047"/>
        <v>0.81360013947042631</v>
      </c>
      <c r="CW546" s="997">
        <f t="shared" si="1047"/>
        <v>0.88748724312222305</v>
      </c>
      <c r="CX546" s="997">
        <f t="shared" si="1047"/>
        <v>0.91435280068297675</v>
      </c>
      <c r="CY546" s="997">
        <f t="shared" ref="CY546:DF546" si="1048">+CY543/CY537</f>
        <v>0.80632919777380363</v>
      </c>
      <c r="CZ546" s="997">
        <f t="shared" si="1048"/>
        <v>0.68911126176745996</v>
      </c>
      <c r="DA546" s="997">
        <f t="shared" si="1048"/>
        <v>0.70077930663146981</v>
      </c>
      <c r="DB546" s="997">
        <f t="shared" si="1048"/>
        <v>0.7130303961504707</v>
      </c>
      <c r="DC546" s="997">
        <f t="shared" si="1048"/>
        <v>0.72459890531873516</v>
      </c>
      <c r="DD546" s="997">
        <f t="shared" si="1048"/>
        <v>0.73442970832861321</v>
      </c>
      <c r="DE546" s="997">
        <f t="shared" si="1048"/>
        <v>0.74560934405221502</v>
      </c>
      <c r="DF546" s="998">
        <f t="shared" si="1048"/>
        <v>0.75664269925803918</v>
      </c>
    </row>
    <row r="547" spans="1:113" s="308" customFormat="1" ht="11.25" customHeight="1">
      <c r="A547" s="82"/>
      <c r="B547"/>
      <c r="C547"/>
      <c r="D547"/>
      <c r="E547"/>
      <c r="F547"/>
      <c r="G547"/>
      <c r="H547" s="1044"/>
      <c r="I547" s="1031" t="s">
        <v>402</v>
      </c>
      <c r="J547" s="312"/>
      <c r="K547" s="312"/>
      <c r="L547" s="307"/>
      <c r="M547" s="997"/>
      <c r="N547" s="997"/>
      <c r="O547" s="997"/>
      <c r="P547" s="998"/>
      <c r="Q547" s="997"/>
      <c r="R547" s="997"/>
      <c r="S547" s="997"/>
      <c r="T547" s="998"/>
      <c r="U547" s="997"/>
      <c r="V547" s="997"/>
      <c r="W547" s="997"/>
      <c r="X547" s="998"/>
      <c r="Y547" s="997"/>
      <c r="Z547" s="997"/>
      <c r="AA547" s="997"/>
      <c r="AB547" s="998"/>
      <c r="AC547" s="997"/>
      <c r="AD547" s="997"/>
      <c r="AE547" s="997"/>
      <c r="AF547" s="998"/>
      <c r="AG547" s="997"/>
      <c r="AH547" s="997"/>
      <c r="AI547" s="997"/>
      <c r="AJ547" s="998"/>
      <c r="AK547" s="997"/>
      <c r="AL547" s="997"/>
      <c r="AM547" s="997"/>
      <c r="AN547" s="998"/>
      <c r="AO547" s="997"/>
      <c r="AP547" s="997"/>
      <c r="AQ547" s="997"/>
      <c r="AR547" s="998"/>
      <c r="AS547" s="997"/>
      <c r="AT547" s="997"/>
      <c r="AU547" s="997"/>
      <c r="AV547" s="998"/>
      <c r="AW547" s="997"/>
      <c r="AX547" s="997"/>
      <c r="AY547" s="997"/>
      <c r="AZ547" s="998"/>
      <c r="BA547" s="997"/>
      <c r="BB547" s="997"/>
      <c r="BC547" s="997"/>
      <c r="BD547" s="998"/>
      <c r="BE547" s="997"/>
      <c r="BF547" s="997"/>
      <c r="BG547" s="997"/>
      <c r="BH547" s="998"/>
      <c r="BI547" s="997">
        <f t="shared" ref="BI547:CE547" si="1049">+BI666/BI537</f>
        <v>0.49728163460389563</v>
      </c>
      <c r="BJ547" s="997">
        <f t="shared" si="1049"/>
        <v>0.95513282769100027</v>
      </c>
      <c r="BK547" s="997">
        <f t="shared" si="1049"/>
        <v>0.87121751441085837</v>
      </c>
      <c r="BL547" s="998">
        <f t="shared" si="1049"/>
        <v>0.95913820392842053</v>
      </c>
      <c r="BM547" s="997">
        <f t="shared" si="1049"/>
        <v>0.34481388263346141</v>
      </c>
      <c r="BN547" s="997">
        <f t="shared" si="1049"/>
        <v>0.8524335176205331</v>
      </c>
      <c r="BO547" s="997">
        <f t="shared" si="1049"/>
        <v>0.9036450520347068</v>
      </c>
      <c r="BP547" s="998">
        <f>+BP666/BP537</f>
        <v>1.0612127905310282</v>
      </c>
      <c r="BQ547" s="997">
        <f>+BQ666/BQ537</f>
        <v>0.39302095968856676</v>
      </c>
      <c r="BR547" s="997">
        <f t="shared" si="1049"/>
        <v>0.87281493677964517</v>
      </c>
      <c r="BS547" s="997">
        <f>+BS666/BS537</f>
        <v>0.82036982406956782</v>
      </c>
      <c r="BT547" s="998">
        <f>+BT666/BT537</f>
        <v>1.1158516507175831</v>
      </c>
      <c r="BU547" s="997">
        <f t="shared" si="1049"/>
        <v>0.50916288237825358</v>
      </c>
      <c r="BV547" s="997">
        <f t="shared" si="1049"/>
        <v>1.1140767069699637</v>
      </c>
      <c r="BW547" s="997">
        <f t="shared" si="1049"/>
        <v>0.79264159721181804</v>
      </c>
      <c r="BX547" s="998">
        <f>+BX666/BX537</f>
        <v>1.1732169421115195</v>
      </c>
      <c r="BY547" s="997">
        <f t="shared" si="1049"/>
        <v>0.54866782084233701</v>
      </c>
      <c r="BZ547" s="997">
        <f t="shared" si="1049"/>
        <v>1.1731001252622433</v>
      </c>
      <c r="CA547" s="997">
        <f t="shared" si="1049"/>
        <v>0.83696087612911052</v>
      </c>
      <c r="CB547" s="998">
        <f>+CB666/CB537</f>
        <v>1.0301013941698351</v>
      </c>
      <c r="CC547" s="997">
        <f t="shared" si="1049"/>
        <v>0.14231440484749147</v>
      </c>
      <c r="CD547" s="997">
        <f t="shared" si="1049"/>
        <v>1.0072344066581536</v>
      </c>
      <c r="CE547" s="997">
        <f t="shared" si="1049"/>
        <v>0.74332407041420767</v>
      </c>
      <c r="CF547" s="998">
        <f>+CF666/CF537</f>
        <v>1.0626640109842453</v>
      </c>
      <c r="CG547" s="1007"/>
      <c r="CH547" s="1032"/>
      <c r="CI547" s="997"/>
      <c r="CJ547" s="997"/>
      <c r="CK547" s="997"/>
      <c r="CL547" s="997"/>
      <c r="CM547" s="997"/>
      <c r="CN547" s="997"/>
      <c r="CO547" s="997"/>
      <c r="CP547" s="997"/>
      <c r="CQ547" s="997">
        <f t="shared" ref="CQ547:CY547" si="1050">+CQ666/CQ537</f>
        <v>0.86233335293288871</v>
      </c>
      <c r="CR547" s="997">
        <f t="shared" si="1050"/>
        <v>0.88804381276990008</v>
      </c>
      <c r="CS547" s="997">
        <f t="shared" si="1050"/>
        <v>0.90513780700936242</v>
      </c>
      <c r="CT547" s="997">
        <f t="shared" si="1050"/>
        <v>0.8582631239781856</v>
      </c>
      <c r="CU547" s="997">
        <f t="shared" si="1050"/>
        <v>0.84124585568219712</v>
      </c>
      <c r="CV547" s="997">
        <f t="shared" si="1050"/>
        <v>0.83333875061683182</v>
      </c>
      <c r="CW547" s="997">
        <f t="shared" si="1050"/>
        <v>0.89425103712647347</v>
      </c>
      <c r="CX547" s="997">
        <f t="shared" si="1050"/>
        <v>0.90910821112207907</v>
      </c>
      <c r="CY547" s="997">
        <f t="shared" si="1050"/>
        <v>0.79306851754989482</v>
      </c>
      <c r="CZ547" s="997">
        <f t="shared" ref="CZ547:DF547" si="1051">+CZ666/CZ537</f>
        <v>0.79184123197711276</v>
      </c>
      <c r="DA547" s="997">
        <f t="shared" si="1051"/>
        <v>0.80203590878378905</v>
      </c>
      <c r="DB547" s="997">
        <f t="shared" si="1051"/>
        <v>0.81308843120988716</v>
      </c>
      <c r="DC547" s="997">
        <f t="shared" si="1051"/>
        <v>0.82375446768106908</v>
      </c>
      <c r="DD547" s="997">
        <f t="shared" si="1051"/>
        <v>0.83303247913413159</v>
      </c>
      <c r="DE547" s="997">
        <f t="shared" si="1051"/>
        <v>0.84395811266604037</v>
      </c>
      <c r="DF547" s="998">
        <f t="shared" si="1051"/>
        <v>0.8543016392654772</v>
      </c>
    </row>
    <row r="548" spans="1:113" s="78" customFormat="1" ht="11.25" customHeight="1">
      <c r="A548" s="24"/>
      <c r="B548"/>
      <c r="C548"/>
      <c r="D548"/>
      <c r="E548"/>
      <c r="F548"/>
      <c r="G548"/>
      <c r="H548" s="1044"/>
      <c r="I548" s="201"/>
      <c r="J548" s="95"/>
      <c r="K548" s="95"/>
      <c r="L548" s="75"/>
      <c r="M548" s="995"/>
      <c r="N548" s="995"/>
      <c r="O548" s="995"/>
      <c r="P548" s="996"/>
      <c r="Q548" s="995"/>
      <c r="R548" s="995"/>
      <c r="S548" s="995"/>
      <c r="T548" s="996"/>
      <c r="U548" s="995"/>
      <c r="V548" s="995"/>
      <c r="W548" s="995"/>
      <c r="X548" s="996"/>
      <c r="Y548" s="995"/>
      <c r="Z548" s="995"/>
      <c r="AA548" s="995"/>
      <c r="AB548" s="996"/>
      <c r="AC548" s="995"/>
      <c r="AD548" s="995"/>
      <c r="AE548" s="995"/>
      <c r="AF548" s="996"/>
      <c r="AG548" s="995"/>
      <c r="AH548" s="995"/>
      <c r="AI548" s="995"/>
      <c r="AJ548" s="996"/>
      <c r="AK548" s="995"/>
      <c r="AL548" s="995"/>
      <c r="AM548" s="995"/>
      <c r="AN548" s="996"/>
      <c r="AO548" s="995"/>
      <c r="AP548" s="995"/>
      <c r="AQ548" s="995"/>
      <c r="AR548" s="996"/>
      <c r="AS548" s="995"/>
      <c r="AT548" s="995"/>
      <c r="AU548" s="995"/>
      <c r="AV548" s="996"/>
      <c r="AW548" s="995"/>
      <c r="AX548" s="995"/>
      <c r="AY548" s="995"/>
      <c r="AZ548" s="996"/>
      <c r="BA548" s="995"/>
      <c r="BB548" s="995"/>
      <c r="BC548" s="995"/>
      <c r="BD548" s="996"/>
      <c r="BE548" s="995"/>
      <c r="BF548" s="995"/>
      <c r="BG548" s="995"/>
      <c r="BH548" s="996"/>
      <c r="BI548" s="995"/>
      <c r="BJ548" s="995"/>
      <c r="BK548" s="995"/>
      <c r="BL548" s="996"/>
      <c r="BM548" s="997"/>
      <c r="BN548" s="997"/>
      <c r="BO548" s="997"/>
      <c r="BP548" s="998"/>
      <c r="BQ548" s="997"/>
      <c r="BR548" s="995"/>
      <c r="BS548" s="995"/>
      <c r="BT548" s="998"/>
      <c r="BU548" s="995"/>
      <c r="BV548" s="995"/>
      <c r="BW548" s="995"/>
      <c r="BX548" s="996"/>
      <c r="BY548" s="995"/>
      <c r="BZ548" s="995"/>
      <c r="CA548" s="995"/>
      <c r="CB548" s="996"/>
      <c r="CC548" s="995"/>
      <c r="CD548" s="995"/>
      <c r="CE548" s="995"/>
      <c r="CF548" s="996"/>
      <c r="CG548" s="999"/>
      <c r="CH548" s="1000"/>
      <c r="CI548" s="995"/>
      <c r="CJ548" s="995"/>
      <c r="CK548" s="995"/>
      <c r="CL548" s="995"/>
      <c r="CM548" s="995"/>
      <c r="CN548" s="995"/>
      <c r="CO548" s="995"/>
      <c r="CP548" s="995"/>
      <c r="CQ548" s="995"/>
      <c r="CR548" s="995"/>
      <c r="CS548" s="995"/>
      <c r="CT548" s="995"/>
      <c r="CU548" s="995"/>
      <c r="CV548" s="995"/>
      <c r="CW548" s="995"/>
      <c r="CX548" s="995"/>
      <c r="CY548" s="995"/>
      <c r="CZ548" s="995"/>
      <c r="DA548" s="995"/>
      <c r="DB548" s="995"/>
      <c r="DC548" s="995"/>
      <c r="DD548" s="995"/>
      <c r="DE548" s="995"/>
      <c r="DF548" s="996"/>
    </row>
    <row r="549" spans="1:113" s="1041" customFormat="1" ht="11.25" customHeight="1">
      <c r="A549" s="1033"/>
      <c r="B549"/>
      <c r="C549"/>
      <c r="D549"/>
      <c r="E549"/>
      <c r="F549"/>
      <c r="G549"/>
      <c r="H549" s="1044"/>
      <c r="I549" s="1034" t="s">
        <v>403</v>
      </c>
      <c r="J549" s="1035"/>
      <c r="K549" s="1035"/>
      <c r="L549" s="1036"/>
      <c r="M549" s="1037"/>
      <c r="N549" s="1037"/>
      <c r="O549" s="1037"/>
      <c r="P549" s="1038"/>
      <c r="Q549" s="1037"/>
      <c r="R549" s="1037"/>
      <c r="S549" s="1037"/>
      <c r="T549" s="1038"/>
      <c r="U549" s="1037"/>
      <c r="V549" s="1037"/>
      <c r="W549" s="1037"/>
      <c r="X549" s="1038"/>
      <c r="Y549" s="1037"/>
      <c r="Z549" s="1037"/>
      <c r="AA549" s="1037"/>
      <c r="AB549" s="1038"/>
      <c r="AC549" s="1037"/>
      <c r="AD549" s="1037"/>
      <c r="AE549" s="1037"/>
      <c r="AF549" s="1038"/>
      <c r="AG549" s="1037"/>
      <c r="AH549" s="1037"/>
      <c r="AI549" s="1037"/>
      <c r="AJ549" s="1038"/>
      <c r="AK549" s="1037"/>
      <c r="AL549" s="1037"/>
      <c r="AM549" s="1037"/>
      <c r="AN549" s="1038"/>
      <c r="AO549" s="1037"/>
      <c r="AP549" s="1037"/>
      <c r="AQ549" s="1037"/>
      <c r="AR549" s="1038"/>
      <c r="AS549" s="1037"/>
      <c r="AT549" s="1037"/>
      <c r="AU549" s="1037"/>
      <c r="AV549" s="1038"/>
      <c r="AW549" s="1037"/>
      <c r="AX549" s="1037"/>
      <c r="AY549" s="1037"/>
      <c r="AZ549" s="1038"/>
      <c r="BA549" s="1037"/>
      <c r="BB549" s="1037"/>
      <c r="BC549" s="1037"/>
      <c r="BD549" s="1038"/>
      <c r="BE549" s="1037"/>
      <c r="BF549" s="1037"/>
      <c r="BG549" s="1037"/>
      <c r="BH549" s="1038"/>
      <c r="BI549" s="1037">
        <f t="shared" ref="BI549:CF549" si="1052">1/BI153*BI543</f>
        <v>2.8381360533664304</v>
      </c>
      <c r="BJ549" s="1037">
        <f t="shared" si="1052"/>
        <v>10.253192098482678</v>
      </c>
      <c r="BK549" s="1037">
        <f t="shared" si="1052"/>
        <v>17.209708044291538</v>
      </c>
      <c r="BL549" s="1038">
        <f t="shared" si="1052"/>
        <v>8.9730501785378731</v>
      </c>
      <c r="BM549" s="1037">
        <f t="shared" si="1052"/>
        <v>2.0341303328645104</v>
      </c>
      <c r="BN549" s="1037">
        <f t="shared" si="1052"/>
        <v>11.674567753066047</v>
      </c>
      <c r="BO549" s="1037">
        <f t="shared" si="1052"/>
        <v>22.81130767212623</v>
      </c>
      <c r="BP549" s="1038">
        <f t="shared" si="1052"/>
        <v>12.193746825441622</v>
      </c>
      <c r="BQ549" s="1037">
        <f t="shared" si="1052"/>
        <v>2.3432965867333411</v>
      </c>
      <c r="BR549" s="1037">
        <f t="shared" si="1052"/>
        <v>11.228253411603264</v>
      </c>
      <c r="BS549" s="1037">
        <f t="shared" si="1052"/>
        <v>23.503663822426091</v>
      </c>
      <c r="BT549" s="1038">
        <f t="shared" si="1052"/>
        <v>14.954084146221311</v>
      </c>
      <c r="BU549" s="1037">
        <f t="shared" si="1052"/>
        <v>4.4561455610992295</v>
      </c>
      <c r="BV549" s="1037">
        <f t="shared" si="1052"/>
        <v>16.860354020892387</v>
      </c>
      <c r="BW549" s="1037">
        <f t="shared" si="1052"/>
        <v>27.811733608919454</v>
      </c>
      <c r="BX549" s="1038">
        <f t="shared" si="1052"/>
        <v>19.595601759296283</v>
      </c>
      <c r="BY549" s="1037">
        <f t="shared" si="1052"/>
        <v>5.0197101449275383</v>
      </c>
      <c r="BZ549" s="1037">
        <f t="shared" si="1052"/>
        <v>21.52842816046029</v>
      </c>
      <c r="CA549" s="1037">
        <f t="shared" si="1052"/>
        <v>34.894480909309209</v>
      </c>
      <c r="CB549" s="1038">
        <f t="shared" si="1052"/>
        <v>20.997720349411921</v>
      </c>
      <c r="CC549" s="1037">
        <f t="shared" si="1052"/>
        <v>-0.89606154303211516</v>
      </c>
      <c r="CD549" s="1037">
        <f t="shared" si="1052"/>
        <v>22.840913722095209</v>
      </c>
      <c r="CE549" s="1037">
        <f t="shared" si="1052"/>
        <v>37.220033859484644</v>
      </c>
      <c r="CF549" s="1038">
        <f t="shared" si="1052"/>
        <v>28.892095736848219</v>
      </c>
      <c r="CG549" s="1039"/>
      <c r="CH549" s="1040"/>
      <c r="CI549" s="1037"/>
      <c r="CJ549" s="1037"/>
      <c r="CK549" s="1037"/>
      <c r="CL549" s="1037"/>
      <c r="CM549" s="1037"/>
      <c r="CN549" s="1037"/>
      <c r="CO549" s="1037"/>
      <c r="CP549" s="1037"/>
      <c r="CQ549" s="1037">
        <f t="shared" ref="CQ549:DF549" si="1053">1/CQ153*CQ543</f>
        <v>14.254785793605953</v>
      </c>
      <c r="CR549" s="1037">
        <f t="shared" si="1053"/>
        <v>25.661875387957796</v>
      </c>
      <c r="CS549" s="1037">
        <f t="shared" si="1053"/>
        <v>34.328844997186707</v>
      </c>
      <c r="CT549" s="1037">
        <f t="shared" si="1053"/>
        <v>42.640339549546134</v>
      </c>
      <c r="CU549" s="1037">
        <f t="shared" si="1053"/>
        <v>53.62556495320969</v>
      </c>
      <c r="CV549" s="1037">
        <f t="shared" si="1053"/>
        <v>58.365309386622471</v>
      </c>
      <c r="CW549" s="1037">
        <f t="shared" si="1053"/>
        <v>77.399465458483604</v>
      </c>
      <c r="CX549" s="1037">
        <f t="shared" si="1053"/>
        <v>93.956197212732064</v>
      </c>
      <c r="CY549" s="1037">
        <f t="shared" si="1053"/>
        <v>102.5017960247787</v>
      </c>
      <c r="CZ549" s="1037">
        <f t="shared" si="1053"/>
        <v>102.19956204132146</v>
      </c>
      <c r="DA549" s="1037">
        <f t="shared" si="1053"/>
        <v>118.71438753365231</v>
      </c>
      <c r="DB549" s="1037">
        <f t="shared" si="1053"/>
        <v>136.13022189618152</v>
      </c>
      <c r="DC549" s="1037">
        <f t="shared" si="1053"/>
        <v>153.07567364969049</v>
      </c>
      <c r="DD549" s="1037">
        <f t="shared" si="1053"/>
        <v>168.72848705797662</v>
      </c>
      <c r="DE549" s="1037">
        <f t="shared" si="1053"/>
        <v>184.52066793462757</v>
      </c>
      <c r="DF549" s="1038">
        <f t="shared" si="1053"/>
        <v>202.31233049104497</v>
      </c>
    </row>
    <row r="550" spans="1:113" s="1041" customFormat="1" ht="11.25" customHeight="1">
      <c r="A550" s="1033"/>
      <c r="B550"/>
      <c r="C550"/>
      <c r="D550"/>
      <c r="E550"/>
      <c r="F550"/>
      <c r="G550"/>
      <c r="H550" s="1044"/>
      <c r="I550" s="1034"/>
      <c r="J550" s="1035"/>
      <c r="K550" s="1035"/>
      <c r="L550" s="1036"/>
      <c r="M550" s="1037"/>
      <c r="N550" s="1037"/>
      <c r="O550" s="1037"/>
      <c r="P550" s="1038"/>
      <c r="Q550" s="1037"/>
      <c r="R550" s="1037"/>
      <c r="S550" s="1037"/>
      <c r="T550" s="1038"/>
      <c r="U550" s="1037"/>
      <c r="V550" s="1037"/>
      <c r="W550" s="1037"/>
      <c r="X550" s="1038"/>
      <c r="Y550" s="1037"/>
      <c r="Z550" s="1037"/>
      <c r="AA550" s="1037"/>
      <c r="AB550" s="1038"/>
      <c r="AC550" s="1037"/>
      <c r="AD550" s="1037"/>
      <c r="AE550" s="1037"/>
      <c r="AF550" s="1038"/>
      <c r="AG550" s="1037"/>
      <c r="AH550" s="1037"/>
      <c r="AI550" s="1037"/>
      <c r="AJ550" s="1038"/>
      <c r="AK550" s="1037"/>
      <c r="AL550" s="1037"/>
      <c r="AM550" s="1037"/>
      <c r="AN550" s="1038"/>
      <c r="AO550" s="1037"/>
      <c r="AP550" s="1037"/>
      <c r="AQ550" s="1037"/>
      <c r="AR550" s="1038"/>
      <c r="AS550" s="1037"/>
      <c r="AT550" s="1037"/>
      <c r="AU550" s="1037"/>
      <c r="AV550" s="1038"/>
      <c r="AW550" s="1037"/>
      <c r="AX550" s="1037"/>
      <c r="AY550" s="1037"/>
      <c r="AZ550" s="1038"/>
      <c r="BA550" s="1037"/>
      <c r="BB550" s="1037"/>
      <c r="BC550" s="1037"/>
      <c r="BD550" s="1038"/>
      <c r="BE550" s="1037"/>
      <c r="BF550" s="1037"/>
      <c r="BG550" s="1037"/>
      <c r="BH550" s="1038"/>
      <c r="BI550" s="1037"/>
      <c r="BJ550" s="1037"/>
      <c r="BK550" s="1037"/>
      <c r="BL550" s="1038"/>
      <c r="BM550" s="1037"/>
      <c r="BN550" s="1037"/>
      <c r="BO550" s="1037"/>
      <c r="BP550" s="1038"/>
      <c r="BQ550" s="1037"/>
      <c r="BR550" s="1037"/>
      <c r="BS550" s="1037"/>
      <c r="BT550" s="1038"/>
      <c r="BU550" s="1037"/>
      <c r="BV550" s="1037"/>
      <c r="BW550" s="1037"/>
      <c r="BX550" s="1038"/>
      <c r="BY550" s="1037"/>
      <c r="BZ550" s="1037"/>
      <c r="CA550" s="1037"/>
      <c r="CB550" s="1038"/>
      <c r="CC550" s="1037"/>
      <c r="CD550" s="1037"/>
      <c r="CE550" s="1037"/>
      <c r="CF550" s="1038"/>
      <c r="CG550" s="1039"/>
      <c r="CH550" s="1040"/>
      <c r="CI550" s="1037"/>
      <c r="CJ550" s="1037"/>
      <c r="CK550" s="1037"/>
      <c r="CL550" s="1037"/>
      <c r="CM550" s="1037"/>
      <c r="CN550" s="1037"/>
      <c r="CO550" s="1037"/>
      <c r="CP550" s="1037"/>
      <c r="CQ550" s="1037"/>
      <c r="CR550" s="1037"/>
      <c r="CS550" s="1037"/>
      <c r="CT550" s="1037"/>
      <c r="CU550" s="1037"/>
      <c r="CV550" s="1037"/>
      <c r="CW550" s="1037"/>
      <c r="CX550" s="1037"/>
      <c r="CY550" s="1037"/>
      <c r="CZ550" s="1037"/>
      <c r="DA550" s="1037"/>
      <c r="DB550" s="1037"/>
      <c r="DC550" s="1037"/>
      <c r="DD550" s="1037"/>
      <c r="DE550" s="1037"/>
      <c r="DF550" s="1038"/>
    </row>
    <row r="551" spans="1:113" s="1041" customFormat="1" ht="11.25" customHeight="1">
      <c r="A551" s="1033"/>
      <c r="B551"/>
      <c r="C551"/>
      <c r="D551"/>
      <c r="E551"/>
      <c r="F551"/>
      <c r="G551"/>
      <c r="H551" s="1044"/>
      <c r="I551" s="1034" t="s">
        <v>522</v>
      </c>
      <c r="J551" s="1035"/>
      <c r="K551" s="1035"/>
      <c r="L551" s="1036"/>
      <c r="M551" s="1037"/>
      <c r="N551" s="1037"/>
      <c r="O551" s="1037"/>
      <c r="P551" s="1038"/>
      <c r="Q551" s="1037"/>
      <c r="R551" s="1037"/>
      <c r="S551" s="1037"/>
      <c r="T551" s="1038"/>
      <c r="U551" s="1037"/>
      <c r="V551" s="1037"/>
      <c r="W551" s="1037"/>
      <c r="X551" s="1038"/>
      <c r="Y551" s="1037"/>
      <c r="Z551" s="1037"/>
      <c r="AA551" s="1037"/>
      <c r="AB551" s="1038"/>
      <c r="AC551" s="1037"/>
      <c r="AD551" s="1037"/>
      <c r="AE551" s="1037"/>
      <c r="AF551" s="1038"/>
      <c r="AG551" s="1037"/>
      <c r="AH551" s="1037"/>
      <c r="AI551" s="1037"/>
      <c r="AJ551" s="1038"/>
      <c r="AK551" s="1037"/>
      <c r="AL551" s="1037"/>
      <c r="AM551" s="1037"/>
      <c r="AN551" s="1038"/>
      <c r="AO551" s="1037"/>
      <c r="AP551" s="1037"/>
      <c r="AQ551" s="1037"/>
      <c r="AR551" s="1038"/>
      <c r="AS551" s="1037"/>
      <c r="AT551" s="1037"/>
      <c r="AU551" s="1037"/>
      <c r="AV551" s="1038"/>
      <c r="AW551" s="1037"/>
      <c r="AX551" s="1037"/>
      <c r="AY551" s="1037"/>
      <c r="AZ551" s="1038"/>
      <c r="BA551" s="1037"/>
      <c r="BB551" s="1037"/>
      <c r="BC551" s="1037"/>
      <c r="BD551" s="1038"/>
      <c r="BE551" s="1037"/>
      <c r="BF551" s="1037"/>
      <c r="BG551" s="1037"/>
      <c r="BH551" s="1038"/>
      <c r="BI551" s="1037"/>
      <c r="BJ551" s="1037"/>
      <c r="BK551" s="1037"/>
      <c r="BL551" s="1038"/>
      <c r="BM551" s="1037"/>
      <c r="BN551" s="1037"/>
      <c r="BO551" s="1037"/>
      <c r="BP551" s="1038"/>
      <c r="BQ551" s="1037"/>
      <c r="BR551" s="1037"/>
      <c r="BS551" s="1037"/>
      <c r="BT551" s="1038"/>
      <c r="BU551" s="1037"/>
      <c r="BV551" s="1037"/>
      <c r="BW551" s="1037"/>
      <c r="BX551" s="1038"/>
      <c r="BY551" s="1037"/>
      <c r="BZ551" s="1037"/>
      <c r="CA551" s="1037"/>
      <c r="CB551" s="1038"/>
      <c r="CC551" s="1037"/>
      <c r="CD551" s="1037"/>
      <c r="CE551" s="1037"/>
      <c r="CF551" s="1038"/>
      <c r="CG551" s="1039"/>
      <c r="CH551" s="1040"/>
      <c r="CI551" s="1037"/>
      <c r="CJ551" s="1037"/>
      <c r="CK551" s="1037"/>
      <c r="CL551" s="1037"/>
      <c r="CM551" s="1037"/>
      <c r="CN551" s="1037"/>
      <c r="CO551" s="1037"/>
      <c r="CP551" s="1037"/>
      <c r="CQ551" s="995">
        <f t="shared" ref="CQ551:CX551" si="1054">+(CQ587+CQ589)-(CQ611+CQ616+CQ619)</f>
        <v>1185.7749999999999</v>
      </c>
      <c r="CR551" s="995">
        <f t="shared" si="1054"/>
        <v>2082.663</v>
      </c>
      <c r="CS551" s="995">
        <f t="shared" si="1054"/>
        <v>3726.1989999999996</v>
      </c>
      <c r="CT551" s="995">
        <f t="shared" si="1054"/>
        <v>4850.2029999999995</v>
      </c>
      <c r="CU551" s="995">
        <f t="shared" si="1054"/>
        <v>403.55299999999943</v>
      </c>
      <c r="CV551" s="995">
        <f>+(CV587+CV589)-(CV611+CV616+CV619)</f>
        <v>-3509.9319999999998</v>
      </c>
      <c r="CW551" s="995">
        <f t="shared" si="1054"/>
        <v>-2866.8389999999999</v>
      </c>
      <c r="CX551" s="995">
        <f t="shared" si="1054"/>
        <v>-2122.1840000000011</v>
      </c>
      <c r="CY551" s="995">
        <f t="shared" ref="CY551:DF551" si="1055">+(CY587+CY589)-(CY611+CY616+CY619)</f>
        <v>-64.906611316666385</v>
      </c>
      <c r="CZ551" s="995">
        <f t="shared" si="1055"/>
        <v>2629.8381227602513</v>
      </c>
      <c r="DA551" s="995">
        <f t="shared" si="1055"/>
        <v>6058.7169117054036</v>
      </c>
      <c r="DB551" s="995">
        <f t="shared" si="1055"/>
        <v>10246.712460528193</v>
      </c>
      <c r="DC551" s="995">
        <f t="shared" si="1055"/>
        <v>16704.070567033934</v>
      </c>
      <c r="DD551" s="995">
        <f t="shared" si="1055"/>
        <v>23919.066195206626</v>
      </c>
      <c r="DE551" s="995">
        <f t="shared" si="1055"/>
        <v>31902.012596545093</v>
      </c>
      <c r="DF551" s="996">
        <f t="shared" si="1055"/>
        <v>40750.329520900457</v>
      </c>
      <c r="DG551" s="1028"/>
      <c r="DH551" s="1028"/>
      <c r="DI551" s="1028"/>
    </row>
    <row r="552" spans="1:113" s="1041" customFormat="1" ht="11.25" customHeight="1">
      <c r="A552" s="1033"/>
      <c r="B552"/>
      <c r="C552"/>
      <c r="D552"/>
      <c r="E552"/>
      <c r="F552"/>
      <c r="G552"/>
      <c r="H552" s="1044"/>
      <c r="I552" s="1034" t="s">
        <v>521</v>
      </c>
      <c r="J552" s="1035"/>
      <c r="K552" s="1035"/>
      <c r="L552" s="1036"/>
      <c r="M552" s="1037"/>
      <c r="N552" s="1037"/>
      <c r="O552" s="1037"/>
      <c r="P552" s="1038"/>
      <c r="Q552" s="1037"/>
      <c r="R552" s="1037"/>
      <c r="S552" s="1037"/>
      <c r="T552" s="1038"/>
      <c r="U552" s="1037"/>
      <c r="V552" s="1037"/>
      <c r="W552" s="1037"/>
      <c r="X552" s="1038"/>
      <c r="Y552" s="1037"/>
      <c r="Z552" s="1037"/>
      <c r="AA552" s="1037"/>
      <c r="AB552" s="1038"/>
      <c r="AC552" s="1037"/>
      <c r="AD552" s="1037"/>
      <c r="AE552" s="1037"/>
      <c r="AF552" s="1038"/>
      <c r="AG552" s="1037"/>
      <c r="AH552" s="1037"/>
      <c r="AI552" s="1037"/>
      <c r="AJ552" s="1038"/>
      <c r="AK552" s="1037"/>
      <c r="AL552" s="1037"/>
      <c r="AM552" s="1037"/>
      <c r="AN552" s="1038"/>
      <c r="AO552" s="1037"/>
      <c r="AP552" s="1037"/>
      <c r="AQ552" s="1037"/>
      <c r="AR552" s="1038"/>
      <c r="AS552" s="1037"/>
      <c r="AT552" s="1037"/>
      <c r="AU552" s="1037"/>
      <c r="AV552" s="1038"/>
      <c r="AW552" s="1037"/>
      <c r="AX552" s="1037"/>
      <c r="AY552" s="1037"/>
      <c r="AZ552" s="1038"/>
      <c r="BA552" s="1037"/>
      <c r="BB552" s="1037"/>
      <c r="BC552" s="1037"/>
      <c r="BD552" s="1038"/>
      <c r="BE552" s="1037"/>
      <c r="BF552" s="1037"/>
      <c r="BG552" s="1037"/>
      <c r="BH552" s="1038"/>
      <c r="BI552" s="1037"/>
      <c r="BJ552" s="1037"/>
      <c r="BK552" s="1037"/>
      <c r="BL552" s="1038"/>
      <c r="BM552" s="1037"/>
      <c r="BN552" s="1037"/>
      <c r="BO552" s="1037"/>
      <c r="BP552" s="1038"/>
      <c r="BQ552" s="1037"/>
      <c r="BR552" s="1037"/>
      <c r="BS552" s="1037"/>
      <c r="BT552" s="1038"/>
      <c r="BU552" s="1037"/>
      <c r="BV552" s="1037"/>
      <c r="BW552" s="1037"/>
      <c r="BX552" s="1038"/>
      <c r="BY552" s="1037"/>
      <c r="BZ552" s="1037"/>
      <c r="CA552" s="1037"/>
      <c r="CB552" s="1038"/>
      <c r="CC552" s="1037"/>
      <c r="CD552" s="1037"/>
      <c r="CE552" s="1037"/>
      <c r="CF552" s="1038"/>
      <c r="CG552" s="1039"/>
      <c r="CH552" s="1040"/>
      <c r="CI552" s="1037"/>
      <c r="CJ552" s="1037"/>
      <c r="CK552" s="1037"/>
      <c r="CL552" s="1037"/>
      <c r="CM552" s="1037"/>
      <c r="CN552" s="1037"/>
      <c r="CO552" s="1037"/>
      <c r="CP552" s="1037"/>
      <c r="CQ552" s="1041">
        <f t="shared" ref="CQ552:DF552" si="1056">+CQ551/CQ153</f>
        <v>23.101463110522314</v>
      </c>
      <c r="CR552" s="1041">
        <f t="shared" si="1056"/>
        <v>40.399266759776538</v>
      </c>
      <c r="CS552" s="1041">
        <f t="shared" si="1056"/>
        <v>72.29582274305892</v>
      </c>
      <c r="CT552" s="1041">
        <f t="shared" si="1056"/>
        <v>92.107618975274406</v>
      </c>
      <c r="CU552" s="1041">
        <f t="shared" si="1056"/>
        <v>7.5680850664816202</v>
      </c>
      <c r="CV552" s="1041">
        <f t="shared" si="1056"/>
        <v>-67.637870232979395</v>
      </c>
      <c r="CW552" s="1041">
        <f t="shared" si="1056"/>
        <v>-56.968195773346444</v>
      </c>
      <c r="CX552" s="1041">
        <f t="shared" si="1056"/>
        <v>-42.524050455360651</v>
      </c>
      <c r="CY552" s="1037">
        <f t="shared" si="1056"/>
        <v>-1.3296416067449102</v>
      </c>
      <c r="CZ552" s="1037">
        <f t="shared" si="1056"/>
        <v>54.926482572086599</v>
      </c>
      <c r="DA552" s="1037">
        <f t="shared" si="1056"/>
        <v>128.26069134087592</v>
      </c>
      <c r="DB552" s="1037">
        <f t="shared" si="1056"/>
        <v>219.74951945013902</v>
      </c>
      <c r="DC552" s="1037">
        <f t="shared" si="1056"/>
        <v>360.22698411459567</v>
      </c>
      <c r="DD552" s="1037">
        <f t="shared" si="1056"/>
        <v>514.908688796398</v>
      </c>
      <c r="DE552" s="1037">
        <f t="shared" si="1056"/>
        <v>685.36815480279051</v>
      </c>
      <c r="DF552" s="1038">
        <f t="shared" si="1056"/>
        <v>873.47112720570044</v>
      </c>
    </row>
    <row r="553" spans="1:113" s="78" customFormat="1" ht="11.25" customHeight="1">
      <c r="A553" s="24"/>
      <c r="B553"/>
      <c r="C553"/>
      <c r="D553"/>
      <c r="E553"/>
      <c r="F553"/>
      <c r="G553"/>
      <c r="H553" s="1044"/>
      <c r="I553" s="201"/>
      <c r="J553" s="95"/>
      <c r="K553" s="95"/>
      <c r="L553" s="75"/>
      <c r="M553" s="995"/>
      <c r="N553" s="995"/>
      <c r="O553" s="995"/>
      <c r="P553" s="996"/>
      <c r="Q553" s="995"/>
      <c r="R553" s="995"/>
      <c r="S553" s="995"/>
      <c r="T553" s="996"/>
      <c r="U553" s="995"/>
      <c r="V553" s="995"/>
      <c r="W553" s="995"/>
      <c r="X553" s="996"/>
      <c r="Y553" s="995"/>
      <c r="Z553" s="995"/>
      <c r="AA553" s="995"/>
      <c r="AB553" s="996"/>
      <c r="AC553" s="995"/>
      <c r="AD553" s="995"/>
      <c r="AE553" s="995"/>
      <c r="AF553" s="996"/>
      <c r="AG553" s="995"/>
      <c r="AH553" s="995"/>
      <c r="AI553" s="995"/>
      <c r="AJ553" s="996"/>
      <c r="AK553" s="995"/>
      <c r="AL553" s="995"/>
      <c r="AM553" s="995"/>
      <c r="AN553" s="996"/>
      <c r="AO553" s="995"/>
      <c r="AP553" s="995"/>
      <c r="AQ553" s="995"/>
      <c r="AR553" s="996"/>
      <c r="AS553" s="995"/>
      <c r="AT553" s="995"/>
      <c r="AU553" s="995"/>
      <c r="AV553" s="996"/>
      <c r="AW553" s="995"/>
      <c r="AX553" s="995"/>
      <c r="AY553" s="995"/>
      <c r="AZ553" s="996"/>
      <c r="BA553" s="995"/>
      <c r="BB553" s="995"/>
      <c r="BC553" s="995"/>
      <c r="BD553" s="996"/>
      <c r="BE553" s="995"/>
      <c r="BF553" s="995"/>
      <c r="BG553" s="995"/>
      <c r="BH553" s="996"/>
      <c r="BI553" s="995"/>
      <c r="BJ553" s="995"/>
      <c r="BK553" s="995"/>
      <c r="BL553" s="996"/>
      <c r="BM553" s="997"/>
      <c r="BN553" s="997"/>
      <c r="BO553" s="997"/>
      <c r="BP553" s="998"/>
      <c r="BQ553" s="997"/>
      <c r="BR553" s="995"/>
      <c r="BS553" s="995"/>
      <c r="BT553" s="998"/>
      <c r="BU553" s="995"/>
      <c r="BV553" s="995"/>
      <c r="BW553" s="995"/>
      <c r="BX553" s="996"/>
      <c r="BY553" s="995"/>
      <c r="BZ553" s="995"/>
      <c r="CA553" s="995"/>
      <c r="CB553" s="996"/>
      <c r="CC553" s="995"/>
      <c r="CD553" s="995"/>
      <c r="CE553" s="995"/>
      <c r="CF553" s="996"/>
      <c r="CG553" s="999"/>
      <c r="CH553" s="1000"/>
      <c r="CI553" s="995"/>
      <c r="CJ553" s="995"/>
      <c r="CK553" s="995"/>
      <c r="CL553" s="995"/>
      <c r="CM553" s="995"/>
      <c r="CN553" s="995"/>
      <c r="CO553" s="995"/>
      <c r="CP553" s="995"/>
      <c r="CQ553" s="995" t="s">
        <v>495</v>
      </c>
      <c r="CR553" s="995"/>
      <c r="CS553" s="995"/>
      <c r="CT553" s="995"/>
      <c r="CU553" s="995"/>
      <c r="CV553" s="995"/>
      <c r="CW553" s="995"/>
      <c r="CX553" s="995"/>
      <c r="CY553" s="995"/>
      <c r="CZ553" s="995"/>
      <c r="DA553" s="995"/>
      <c r="DB553" s="995"/>
      <c r="DC553" s="995"/>
      <c r="DD553" s="995"/>
      <c r="DE553" s="995"/>
      <c r="DF553" s="996"/>
    </row>
    <row r="554" spans="1:113" s="78" customFormat="1" ht="11.25" customHeight="1">
      <c r="A554" s="24"/>
      <c r="B554"/>
      <c r="C554"/>
      <c r="D554"/>
      <c r="E554"/>
      <c r="F554"/>
      <c r="G554"/>
      <c r="H554" s="1044"/>
      <c r="I554" s="287" t="s">
        <v>404</v>
      </c>
      <c r="J554" s="1692"/>
      <c r="K554" s="1692"/>
      <c r="L554" s="75"/>
      <c r="M554" s="995"/>
      <c r="N554" s="995"/>
      <c r="O554" s="995"/>
      <c r="P554" s="996"/>
      <c r="Q554" s="995"/>
      <c r="R554" s="995"/>
      <c r="S554" s="995"/>
      <c r="T554" s="996"/>
      <c r="U554" s="995"/>
      <c r="V554" s="995"/>
      <c r="W554" s="995"/>
      <c r="X554" s="996"/>
      <c r="Y554" s="995"/>
      <c r="Z554" s="995"/>
      <c r="AA554" s="995"/>
      <c r="AB554" s="996"/>
      <c r="AC554" s="995"/>
      <c r="AD554" s="995"/>
      <c r="AE554" s="995"/>
      <c r="AF554" s="996"/>
      <c r="AG554" s="995"/>
      <c r="AH554" s="995"/>
      <c r="AI554" s="995"/>
      <c r="AJ554" s="996"/>
      <c r="AK554" s="995"/>
      <c r="AL554" s="995"/>
      <c r="AM554" s="995"/>
      <c r="AN554" s="996"/>
      <c r="AO554" s="995"/>
      <c r="AP554" s="995"/>
      <c r="AQ554" s="995"/>
      <c r="AR554" s="996"/>
      <c r="AS554" s="995"/>
      <c r="AT554" s="995"/>
      <c r="AU554" s="995"/>
      <c r="AV554" s="996"/>
      <c r="AW554" s="995"/>
      <c r="AX554" s="995"/>
      <c r="AY554" s="995"/>
      <c r="AZ554" s="996"/>
      <c r="BA554" s="995"/>
      <c r="BB554" s="995"/>
      <c r="BC554" s="995"/>
      <c r="BD554" s="996"/>
      <c r="BE554" s="995"/>
      <c r="BF554" s="995"/>
      <c r="BG554" s="995"/>
      <c r="BH554" s="996"/>
      <c r="BI554" s="995"/>
      <c r="BJ554" s="995"/>
      <c r="BK554" s="995"/>
      <c r="BL554" s="996"/>
      <c r="BM554" s="997"/>
      <c r="BN554" s="997"/>
      <c r="BO554" s="997"/>
      <c r="BP554" s="998"/>
      <c r="BQ554" s="997"/>
      <c r="BR554" s="995"/>
      <c r="BS554" s="995"/>
      <c r="BT554" s="998"/>
      <c r="BU554" s="995"/>
      <c r="BV554" s="995"/>
      <c r="BW554" s="995"/>
      <c r="BX554" s="996"/>
      <c r="BY554" s="995"/>
      <c r="BZ554" s="995"/>
      <c r="CA554" s="995"/>
      <c r="CB554" s="996"/>
      <c r="CC554" s="995"/>
      <c r="CD554" s="995"/>
      <c r="CE554" s="995"/>
      <c r="CF554" s="996"/>
      <c r="CG554" s="999"/>
      <c r="CH554" s="1000"/>
      <c r="CI554" s="995"/>
      <c r="CJ554" s="995"/>
      <c r="CK554" s="995"/>
      <c r="CL554" s="995"/>
      <c r="CM554" s="995"/>
      <c r="CN554" s="995"/>
      <c r="CO554" s="995"/>
      <c r="CP554" s="995"/>
      <c r="CQ554" s="995"/>
      <c r="CR554" s="995"/>
      <c r="CS554" s="995"/>
      <c r="CT554" s="995"/>
      <c r="CU554" s="995"/>
      <c r="CV554" s="995"/>
      <c r="CW554" s="995"/>
      <c r="CX554" s="995"/>
      <c r="CY554" s="995"/>
      <c r="CZ554" s="995"/>
      <c r="DA554" s="995"/>
      <c r="DB554" s="995"/>
      <c r="DC554" s="995"/>
      <c r="DD554" s="995"/>
      <c r="DE554" s="995"/>
      <c r="DF554" s="996"/>
    </row>
    <row r="555" spans="1:113" s="1043" customFormat="1" ht="11.25" customHeight="1">
      <c r="A555" s="1042"/>
      <c r="B555"/>
      <c r="C555"/>
      <c r="D555"/>
      <c r="E555"/>
      <c r="F555"/>
      <c r="G555"/>
      <c r="H555" s="1055"/>
      <c r="I555" s="1176" t="s">
        <v>405</v>
      </c>
      <c r="J555" s="1693"/>
      <c r="K555" s="1693"/>
      <c r="L555" s="1694"/>
      <c r="M555" s="317"/>
      <c r="N555" s="317"/>
      <c r="O555" s="317"/>
      <c r="P555" s="318"/>
      <c r="Q555" s="317"/>
      <c r="R555" s="317"/>
      <c r="S555" s="317"/>
      <c r="T555" s="318"/>
      <c r="U555" s="317"/>
      <c r="V555" s="317"/>
      <c r="W555" s="317"/>
      <c r="X555" s="318"/>
      <c r="Y555" s="317"/>
      <c r="Z555" s="317"/>
      <c r="AA555" s="317"/>
      <c r="AB555" s="318"/>
      <c r="AC555" s="317"/>
      <c r="AD555" s="317"/>
      <c r="AE555" s="317"/>
      <c r="AF555" s="318"/>
      <c r="AG555" s="317"/>
      <c r="AH555" s="317"/>
      <c r="AI555" s="317"/>
      <c r="AJ555" s="318"/>
      <c r="AK555" s="317"/>
      <c r="AL555" s="317"/>
      <c r="AM555" s="317"/>
      <c r="AN555" s="318"/>
      <c r="AO555" s="317"/>
      <c r="AP555" s="317"/>
      <c r="AQ555" s="317"/>
      <c r="AR555" s="318"/>
      <c r="AS555" s="317"/>
      <c r="AT555" s="317"/>
      <c r="AU555" s="317"/>
      <c r="AV555" s="318"/>
      <c r="AW555" s="317"/>
      <c r="AX555" s="317"/>
      <c r="AY555" s="317"/>
      <c r="AZ555" s="318"/>
      <c r="BA555" s="317"/>
      <c r="BB555" s="317"/>
      <c r="BC555" s="317"/>
      <c r="BD555" s="318"/>
      <c r="BE555" s="317"/>
      <c r="BF555" s="317"/>
      <c r="BG555" s="317"/>
      <c r="BH555" s="318"/>
      <c r="BI555" s="317">
        <v>0</v>
      </c>
      <c r="BJ555" s="317">
        <v>0</v>
      </c>
      <c r="BK555" s="317">
        <v>0</v>
      </c>
      <c r="BL555" s="318">
        <v>0</v>
      </c>
      <c r="BM555" s="317">
        <v>0</v>
      </c>
      <c r="BN555" s="317">
        <v>0</v>
      </c>
      <c r="BO555" s="317">
        <v>0</v>
      </c>
      <c r="BP555" s="318">
        <v>0</v>
      </c>
      <c r="BQ555" s="317">
        <v>0</v>
      </c>
      <c r="BR555" s="317">
        <v>0</v>
      </c>
      <c r="BS555" s="317">
        <v>0</v>
      </c>
      <c r="BT555" s="318">
        <v>0</v>
      </c>
      <c r="BU555" s="317">
        <v>0</v>
      </c>
      <c r="BV555" s="317">
        <v>0</v>
      </c>
      <c r="BW555" s="317">
        <v>0</v>
      </c>
      <c r="BX555" s="318">
        <v>0</v>
      </c>
      <c r="BY555" s="317">
        <v>0</v>
      </c>
      <c r="BZ555" s="317">
        <v>0</v>
      </c>
      <c r="CA555" s="317">
        <v>0</v>
      </c>
      <c r="CB555" s="318">
        <v>0</v>
      </c>
      <c r="CC555" s="317">
        <v>0</v>
      </c>
      <c r="CD555" s="317">
        <v>0</v>
      </c>
      <c r="CE555" s="317">
        <v>0</v>
      </c>
      <c r="CF555" s="318">
        <v>0</v>
      </c>
      <c r="CG555" s="398"/>
      <c r="CH555" s="390"/>
      <c r="CI555" s="317"/>
      <c r="CJ555" s="317"/>
      <c r="CK555" s="317"/>
      <c r="CL555" s="317"/>
      <c r="CM555" s="317"/>
      <c r="CN555" s="317"/>
      <c r="CO555" s="317"/>
      <c r="CP555" s="317"/>
      <c r="CQ555" s="317">
        <v>0</v>
      </c>
      <c r="CR555" s="317">
        <v>0</v>
      </c>
      <c r="CS555" s="317">
        <v>0</v>
      </c>
      <c r="CT555" s="317">
        <v>0</v>
      </c>
      <c r="CU555" s="317">
        <v>0</v>
      </c>
      <c r="CV555" s="317">
        <v>0</v>
      </c>
      <c r="CW555" s="317">
        <v>0</v>
      </c>
      <c r="CX555" s="317">
        <v>0</v>
      </c>
      <c r="CY555" s="317">
        <v>0</v>
      </c>
      <c r="CZ555" s="317">
        <v>0</v>
      </c>
      <c r="DA555" s="317">
        <v>0</v>
      </c>
      <c r="DB555" s="317">
        <v>0</v>
      </c>
      <c r="DC555" s="317">
        <v>0</v>
      </c>
      <c r="DD555" s="317">
        <v>0</v>
      </c>
      <c r="DE555" s="317">
        <v>0</v>
      </c>
      <c r="DF555" s="318">
        <v>0</v>
      </c>
      <c r="DG555" s="1028"/>
      <c r="DH555" s="1028"/>
    </row>
    <row r="556" spans="1:113" s="1028" customFormat="1" ht="11.25" customHeight="1">
      <c r="A556" s="1024"/>
      <c r="B556"/>
      <c r="C556"/>
      <c r="D556"/>
      <c r="E556"/>
      <c r="F556"/>
      <c r="G556"/>
      <c r="H556" s="1044"/>
      <c r="I556" s="1176" t="s">
        <v>406</v>
      </c>
      <c r="J556" s="1695"/>
      <c r="K556" s="1695"/>
      <c r="L556" s="1026"/>
      <c r="M556" s="995"/>
      <c r="N556" s="995"/>
      <c r="O556" s="995"/>
      <c r="P556" s="996"/>
      <c r="Q556" s="995"/>
      <c r="R556" s="995"/>
      <c r="S556" s="995"/>
      <c r="T556" s="996"/>
      <c r="U556" s="995"/>
      <c r="V556" s="995"/>
      <c r="W556" s="995"/>
      <c r="X556" s="996"/>
      <c r="Y556" s="995"/>
      <c r="Z556" s="995"/>
      <c r="AA556" s="995"/>
      <c r="AB556" s="996"/>
      <c r="AC556" s="995"/>
      <c r="AD556" s="995"/>
      <c r="AE556" s="995"/>
      <c r="AF556" s="996"/>
      <c r="AG556" s="995"/>
      <c r="AH556" s="995"/>
      <c r="AI556" s="995"/>
      <c r="AJ556" s="996"/>
      <c r="AK556" s="995"/>
      <c r="AL556" s="995"/>
      <c r="AM556" s="995"/>
      <c r="AN556" s="996"/>
      <c r="AO556" s="995"/>
      <c r="AP556" s="995"/>
      <c r="AQ556" s="995"/>
      <c r="AR556" s="996"/>
      <c r="AS556" s="995"/>
      <c r="AT556" s="995"/>
      <c r="AU556" s="995"/>
      <c r="AV556" s="996"/>
      <c r="AW556" s="995"/>
      <c r="AX556" s="995"/>
      <c r="AY556" s="995"/>
      <c r="AZ556" s="996"/>
      <c r="BA556" s="995"/>
      <c r="BB556" s="995"/>
      <c r="BC556" s="995"/>
      <c r="BD556" s="996"/>
      <c r="BE556" s="995"/>
      <c r="BF556" s="995"/>
      <c r="BG556" s="995"/>
      <c r="BH556" s="996"/>
      <c r="BI556" s="995">
        <f t="shared" ref="BI556:CF556" si="1057">+BI682+BI683+BI684</f>
        <v>0</v>
      </c>
      <c r="BJ556" s="995">
        <f t="shared" si="1057"/>
        <v>979.971</v>
      </c>
      <c r="BK556" s="995">
        <f t="shared" si="1057"/>
        <v>-0.88900000000000001</v>
      </c>
      <c r="BL556" s="996">
        <f t="shared" si="1057"/>
        <v>-414.66900000000004</v>
      </c>
      <c r="BM556" s="995">
        <f t="shared" si="1057"/>
        <v>-58.448999999999998</v>
      </c>
      <c r="BN556" s="995">
        <f t="shared" si="1057"/>
        <v>-59.381</v>
      </c>
      <c r="BO556" s="995">
        <f t="shared" si="1057"/>
        <v>2261.8810000000003</v>
      </c>
      <c r="BP556" s="996">
        <f t="shared" si="1057"/>
        <v>-4.4339999999999975</v>
      </c>
      <c r="BQ556" s="995">
        <f>+BQ682+BQ683+BQ684</f>
        <v>1464.258</v>
      </c>
      <c r="BR556" s="995">
        <f t="shared" si="1057"/>
        <v>-5.2080000000000002</v>
      </c>
      <c r="BS556" s="995">
        <f>+BS682+BS683+BS684</f>
        <v>-0.23499999999999943</v>
      </c>
      <c r="BT556" s="996">
        <f>+BT682+BT683+BT684</f>
        <v>788.58500000000004</v>
      </c>
      <c r="BU556" s="995">
        <f t="shared" si="1057"/>
        <v>2.5</v>
      </c>
      <c r="BV556" s="995">
        <f>+BV682+BV683+BV684</f>
        <v>992.20500000000004</v>
      </c>
      <c r="BW556" s="995">
        <f t="shared" si="1057"/>
        <v>0</v>
      </c>
      <c r="BX556" s="996">
        <f t="shared" si="1057"/>
        <v>0</v>
      </c>
      <c r="BY556" s="995">
        <f>+BY682+BY683+BY684</f>
        <v>1051.7180000000001</v>
      </c>
      <c r="BZ556" s="995">
        <f t="shared" si="1057"/>
        <v>-83.468999999999994</v>
      </c>
      <c r="CA556" s="995">
        <f t="shared" si="1057"/>
        <v>-1072.942</v>
      </c>
      <c r="CB556" s="996">
        <f t="shared" si="1057"/>
        <v>1863.9269999999999</v>
      </c>
      <c r="CC556" s="995">
        <f t="shared" si="1057"/>
        <v>-1414</v>
      </c>
      <c r="CD556" s="995">
        <f t="shared" si="1057"/>
        <v>0</v>
      </c>
      <c r="CE556" s="995">
        <f t="shared" si="1057"/>
        <v>0</v>
      </c>
      <c r="CF556" s="996">
        <f t="shared" si="1057"/>
        <v>0</v>
      </c>
      <c r="CG556" s="1027"/>
      <c r="CH556" s="1000"/>
      <c r="CI556" s="995"/>
      <c r="CJ556" s="995"/>
      <c r="CK556" s="995"/>
      <c r="CL556" s="995"/>
      <c r="CM556" s="995"/>
      <c r="CN556" s="995"/>
      <c r="CO556" s="995"/>
      <c r="CP556" s="995"/>
      <c r="CQ556" s="995">
        <f t="shared" ref="CQ556:CX556" si="1058">+CQ682+CQ683+CQ684</f>
        <v>266.26500000000004</v>
      </c>
      <c r="CR556" s="995">
        <f t="shared" si="1058"/>
        <v>-0.21299999999999999</v>
      </c>
      <c r="CS556" s="995">
        <f t="shared" si="1058"/>
        <v>979.08299999999997</v>
      </c>
      <c r="CT556" s="995">
        <f t="shared" si="1058"/>
        <v>564.41300000000001</v>
      </c>
      <c r="CU556" s="995">
        <f t="shared" si="1058"/>
        <v>2139.6170000000002</v>
      </c>
      <c r="CV556" s="995">
        <f t="shared" si="1058"/>
        <v>2247.4</v>
      </c>
      <c r="CW556" s="995">
        <f t="shared" si="1058"/>
        <v>994.70500000000004</v>
      </c>
      <c r="CX556" s="995">
        <f t="shared" si="1058"/>
        <v>1759.2339999999999</v>
      </c>
      <c r="CY556" s="995">
        <f t="shared" ref="CY556:DF556" si="1059">+CY682+CY683+CY684</f>
        <v>-1414</v>
      </c>
      <c r="CZ556" s="995">
        <f t="shared" si="1059"/>
        <v>0</v>
      </c>
      <c r="DA556" s="995">
        <f t="shared" si="1059"/>
        <v>-1000</v>
      </c>
      <c r="DB556" s="995">
        <f t="shared" si="1059"/>
        <v>-1000</v>
      </c>
      <c r="DC556" s="995">
        <f t="shared" si="1059"/>
        <v>-833.61099999999999</v>
      </c>
      <c r="DD556" s="995">
        <f t="shared" si="1059"/>
        <v>0</v>
      </c>
      <c r="DE556" s="995">
        <f t="shared" si="1059"/>
        <v>-1111.482</v>
      </c>
      <c r="DF556" s="996">
        <f t="shared" si="1059"/>
        <v>-500</v>
      </c>
    </row>
    <row r="557" spans="1:113" s="1028" customFormat="1" ht="11.25" customHeight="1">
      <c r="A557" s="1024"/>
      <c r="B557"/>
      <c r="C557"/>
      <c r="D557"/>
      <c r="E557"/>
      <c r="F557"/>
      <c r="G557"/>
      <c r="H557" s="1044"/>
      <c r="I557" s="1176" t="s">
        <v>407</v>
      </c>
      <c r="J557" s="1695"/>
      <c r="K557" s="1695"/>
      <c r="L557" s="1026"/>
      <c r="M557" s="995"/>
      <c r="N557" s="995"/>
      <c r="O557" s="995"/>
      <c r="P557" s="996"/>
      <c r="Q557" s="995"/>
      <c r="R557" s="995"/>
      <c r="S557" s="995"/>
      <c r="T557" s="996"/>
      <c r="U557" s="995"/>
      <c r="V557" s="995"/>
      <c r="W557" s="995"/>
      <c r="X557" s="996"/>
      <c r="Y557" s="995"/>
      <c r="Z557" s="995"/>
      <c r="AA557" s="995"/>
      <c r="AB557" s="996"/>
      <c r="AC557" s="995"/>
      <c r="AD557" s="995"/>
      <c r="AE557" s="995"/>
      <c r="AF557" s="996"/>
      <c r="AG557" s="995"/>
      <c r="AH557" s="995"/>
      <c r="AI557" s="995"/>
      <c r="AJ557" s="996"/>
      <c r="AK557" s="995"/>
      <c r="AL557" s="995"/>
      <c r="AM557" s="995"/>
      <c r="AN557" s="996"/>
      <c r="AO557" s="995"/>
      <c r="AP557" s="995"/>
      <c r="AQ557" s="995"/>
      <c r="AR557" s="996"/>
      <c r="AS557" s="995"/>
      <c r="AT557" s="995"/>
      <c r="AU557" s="995"/>
      <c r="AV557" s="996"/>
      <c r="AW557" s="995"/>
      <c r="AX557" s="995"/>
      <c r="AY557" s="995"/>
      <c r="AZ557" s="996"/>
      <c r="BA557" s="995"/>
      <c r="BB557" s="995"/>
      <c r="BC557" s="995"/>
      <c r="BD557" s="996"/>
      <c r="BE557" s="995"/>
      <c r="BF557" s="995"/>
      <c r="BG557" s="995"/>
      <c r="BH557" s="996"/>
      <c r="BI557" s="995">
        <f t="shared" ref="BI557:CF557" si="1060">-(BI669+BI670+BI673)</f>
        <v>-17.168999999999958</v>
      </c>
      <c r="BJ557" s="995">
        <f t="shared" si="1060"/>
        <v>921.9219999999998</v>
      </c>
      <c r="BK557" s="995">
        <f t="shared" si="1060"/>
        <v>1185.3969999999995</v>
      </c>
      <c r="BL557" s="996">
        <f t="shared" si="1060"/>
        <v>-93.715000000000515</v>
      </c>
      <c r="BM557" s="995">
        <f t="shared" si="1060"/>
        <v>-37.332999999999892</v>
      </c>
      <c r="BN557" s="995">
        <f t="shared" si="1060"/>
        <v>-1634.9949999999999</v>
      </c>
      <c r="BO557" s="995">
        <f t="shared" si="1060"/>
        <v>1793.0150000000003</v>
      </c>
      <c r="BP557" s="996">
        <f t="shared" si="1060"/>
        <v>2025.3929999999993</v>
      </c>
      <c r="BQ557" s="995">
        <f>-(BQ669+BQ670+BQ673)</f>
        <v>1114.68</v>
      </c>
      <c r="BR557" s="995">
        <f t="shared" si="1060"/>
        <v>1385.8379999999997</v>
      </c>
      <c r="BS557" s="995">
        <f>-(BS669+BS670+BS673)</f>
        <v>52.062000000000126</v>
      </c>
      <c r="BT557" s="996">
        <f>-(BT669+BT670+BT673)</f>
        <v>1173.2100000000009</v>
      </c>
      <c r="BU557" s="995">
        <f t="shared" si="1060"/>
        <v>-200.53500000000003</v>
      </c>
      <c r="BV557" s="995">
        <f t="shared" si="1060"/>
        <v>726.12399999999991</v>
      </c>
      <c r="BW557" s="995">
        <f t="shared" si="1060"/>
        <v>1508.883</v>
      </c>
      <c r="BX557" s="996">
        <f t="shared" si="1060"/>
        <v>1078.9340000000009</v>
      </c>
      <c r="BY557" s="995">
        <f t="shared" si="1060"/>
        <v>822.25499999999988</v>
      </c>
      <c r="BZ557" s="995">
        <f t="shared" si="1060"/>
        <v>567.90199999999982</v>
      </c>
      <c r="CA557" s="995">
        <f t="shared" si="1060"/>
        <v>2029.2090000000012</v>
      </c>
      <c r="CB557" s="996">
        <f t="shared" si="1060"/>
        <v>494.86399999999929</v>
      </c>
      <c r="CC557" s="995">
        <f t="shared" si="1060"/>
        <v>0</v>
      </c>
      <c r="CD557" s="995">
        <f t="shared" si="1060"/>
        <v>0</v>
      </c>
      <c r="CE557" s="995">
        <f t="shared" si="1060"/>
        <v>0</v>
      </c>
      <c r="CF557" s="996">
        <f t="shared" si="1060"/>
        <v>0</v>
      </c>
      <c r="CG557" s="1027"/>
      <c r="CH557" s="1000"/>
      <c r="CI557" s="995"/>
      <c r="CJ557" s="995"/>
      <c r="CK557" s="995"/>
      <c r="CL557" s="995"/>
      <c r="CM557" s="995"/>
      <c r="CN557" s="995"/>
      <c r="CO557" s="995"/>
      <c r="CP557" s="995"/>
      <c r="CQ557" s="995">
        <f>-(CQ669+CQ670+CQ673)</f>
        <v>853.7679999999998</v>
      </c>
      <c r="CR557" s="995">
        <f>-(CR669+CR670+CR673)</f>
        <v>844.02599999999984</v>
      </c>
      <c r="CS557" s="995">
        <f>-(CS669+CS670+CS673)</f>
        <v>1586.9439999999997</v>
      </c>
      <c r="CT557" s="995">
        <f t="shared" ref="CT557:CY557" si="1061">-(CT669+CT670+CT673)</f>
        <v>1996.4349999999999</v>
      </c>
      <c r="CU557" s="995">
        <f t="shared" si="1061"/>
        <v>2146.08</v>
      </c>
      <c r="CV557" s="995">
        <f>-(CV669+CV670+CV673)</f>
        <v>3725.7900000000004</v>
      </c>
      <c r="CW557" s="995">
        <f t="shared" si="1061"/>
        <v>3113.4059999999999</v>
      </c>
      <c r="CX557" s="995">
        <f t="shared" si="1061"/>
        <v>3914.2299999999996</v>
      </c>
      <c r="CY557" s="995">
        <f t="shared" si="1061"/>
        <v>0</v>
      </c>
      <c r="CZ557" s="995">
        <f t="shared" ref="CZ557:DF557" si="1062">-(CZ669+CZ670+CZ673)</f>
        <v>0</v>
      </c>
      <c r="DA557" s="995">
        <f t="shared" si="1062"/>
        <v>0</v>
      </c>
      <c r="DB557" s="995">
        <f t="shared" si="1062"/>
        <v>0</v>
      </c>
      <c r="DC557" s="995">
        <f t="shared" si="1062"/>
        <v>0</v>
      </c>
      <c r="DD557" s="995">
        <f t="shared" si="1062"/>
        <v>0</v>
      </c>
      <c r="DE557" s="995">
        <f t="shared" si="1062"/>
        <v>0</v>
      </c>
      <c r="DF557" s="996">
        <f t="shared" si="1062"/>
        <v>0</v>
      </c>
    </row>
    <row r="558" spans="1:113" s="1028" customFormat="1" ht="11.25" customHeight="1">
      <c r="A558" s="1024"/>
      <c r="B558"/>
      <c r="C558"/>
      <c r="D558"/>
      <c r="E558"/>
      <c r="F558"/>
      <c r="G558"/>
      <c r="H558" s="1044"/>
      <c r="I558" s="1177" t="s">
        <v>408</v>
      </c>
      <c r="J558" s="1696"/>
      <c r="K558" s="1696"/>
      <c r="L558" s="1030"/>
      <c r="M558" s="1001"/>
      <c r="N558" s="1001"/>
      <c r="O558" s="1001"/>
      <c r="P558" s="1002"/>
      <c r="Q558" s="1001"/>
      <c r="R558" s="1001"/>
      <c r="S558" s="1001"/>
      <c r="T558" s="1002"/>
      <c r="U558" s="1001"/>
      <c r="V558" s="1001"/>
      <c r="W558" s="1001"/>
      <c r="X558" s="1002"/>
      <c r="Y558" s="1001"/>
      <c r="Z558" s="1001"/>
      <c r="AA558" s="1001"/>
      <c r="AB558" s="1002"/>
      <c r="AC558" s="1001"/>
      <c r="AD558" s="1001"/>
      <c r="AE558" s="1001"/>
      <c r="AF558" s="1002"/>
      <c r="AG558" s="1001"/>
      <c r="AH558" s="1001"/>
      <c r="AI558" s="1001"/>
      <c r="AJ558" s="1002"/>
      <c r="AK558" s="1001"/>
      <c r="AL558" s="1001"/>
      <c r="AM558" s="1001"/>
      <c r="AN558" s="1002"/>
      <c r="AO558" s="1001"/>
      <c r="AP558" s="1001"/>
      <c r="AQ558" s="1001"/>
      <c r="AR558" s="1002"/>
      <c r="AS558" s="1001"/>
      <c r="AT558" s="1001"/>
      <c r="AU558" s="1001"/>
      <c r="AV558" s="1002"/>
      <c r="AW558" s="1001"/>
      <c r="AX558" s="1001"/>
      <c r="AY558" s="1001"/>
      <c r="AZ558" s="1002"/>
      <c r="BA558" s="1001"/>
      <c r="BB558" s="1001"/>
      <c r="BC558" s="1001"/>
      <c r="BD558" s="1002"/>
      <c r="BE558" s="1001"/>
      <c r="BF558" s="1001"/>
      <c r="BG558" s="1001"/>
      <c r="BH558" s="1002"/>
      <c r="BI558" s="1001">
        <f t="shared" ref="BI558:CF558" si="1063">BI685</f>
        <v>-76.38</v>
      </c>
      <c r="BJ558" s="1001">
        <f t="shared" si="1063"/>
        <v>-346.90500000000003</v>
      </c>
      <c r="BK558" s="1001">
        <f t="shared" si="1063"/>
        <v>-459.72300000000007</v>
      </c>
      <c r="BL558" s="1002">
        <f t="shared" si="1063"/>
        <v>-0.50699999999989132</v>
      </c>
      <c r="BM558" s="1001">
        <f t="shared" si="1063"/>
        <v>-96.66</v>
      </c>
      <c r="BN558" s="1001">
        <f t="shared" si="1063"/>
        <v>-0.66599999999999682</v>
      </c>
      <c r="BO558" s="1001">
        <f t="shared" si="1063"/>
        <v>-148.13</v>
      </c>
      <c r="BP558" s="1002">
        <f t="shared" si="1063"/>
        <v>-504.92200000000014</v>
      </c>
      <c r="BQ558" s="1001">
        <f>BQ685</f>
        <v>-308.61799999999999</v>
      </c>
      <c r="BR558" s="1001">
        <f t="shared" si="1063"/>
        <v>-677.96299999999997</v>
      </c>
      <c r="BS558" s="1001">
        <f>BS685</f>
        <v>-1280.8030000000001</v>
      </c>
      <c r="BT558" s="1002">
        <f>BT685</f>
        <v>-821.67099999999982</v>
      </c>
      <c r="BU558" s="1001">
        <f t="shared" si="1063"/>
        <v>-259.36099999999999</v>
      </c>
      <c r="BV558" s="1001">
        <f t="shared" si="1063"/>
        <v>-265.78300000000002</v>
      </c>
      <c r="BW558" s="1001">
        <f t="shared" si="1063"/>
        <v>-232.33299999999997</v>
      </c>
      <c r="BX558" s="1002">
        <f t="shared" si="1063"/>
        <v>-256.04899999999998</v>
      </c>
      <c r="BY558" s="1001">
        <f t="shared" si="1063"/>
        <v>-209.797</v>
      </c>
      <c r="BZ558" s="1001">
        <f t="shared" si="1063"/>
        <v>-345.45299999999997</v>
      </c>
      <c r="CA558" s="1001">
        <f t="shared" si="1063"/>
        <v>-567.85200000000009</v>
      </c>
      <c r="CB558" s="1002">
        <f t="shared" si="1063"/>
        <v>-704.81700000000001</v>
      </c>
      <c r="CC558" s="1001">
        <f t="shared" si="1063"/>
        <v>-625</v>
      </c>
      <c r="CD558" s="1001">
        <f t="shared" si="1063"/>
        <v>-625</v>
      </c>
      <c r="CE558" s="1001">
        <f t="shared" si="1063"/>
        <v>-625</v>
      </c>
      <c r="CF558" s="1002">
        <f t="shared" si="1063"/>
        <v>-625</v>
      </c>
      <c r="CG558" s="1027"/>
      <c r="CH558" s="1000"/>
      <c r="CI558" s="995"/>
      <c r="CJ558" s="995"/>
      <c r="CK558" s="995"/>
      <c r="CL558" s="995"/>
      <c r="CM558" s="995"/>
      <c r="CN558" s="995"/>
      <c r="CO558" s="995"/>
      <c r="CP558" s="1001"/>
      <c r="CQ558" s="1001">
        <f>CQ685</f>
        <v>-129.44499999999999</v>
      </c>
      <c r="CR558" s="1001">
        <f>CR685</f>
        <v>-163.17099999999999</v>
      </c>
      <c r="CS558" s="1001">
        <f>CS685</f>
        <v>-257.02100000000002</v>
      </c>
      <c r="CT558" s="1001">
        <f t="shared" ref="CT558:CY558" si="1064">CT685</f>
        <v>-883.51499999999987</v>
      </c>
      <c r="CU558" s="1001">
        <f t="shared" si="1064"/>
        <v>-750.37800000000004</v>
      </c>
      <c r="CV558" s="1001">
        <f>CV685</f>
        <v>-3089.0549999999998</v>
      </c>
      <c r="CW558" s="1001">
        <f t="shared" si="1064"/>
        <v>-1013.526</v>
      </c>
      <c r="CX558" s="1001">
        <f t="shared" si="1064"/>
        <v>-1827.9190000000001</v>
      </c>
      <c r="CY558" s="1001">
        <f t="shared" si="1064"/>
        <v>-2500</v>
      </c>
      <c r="CZ558" s="1001">
        <f t="shared" ref="CZ558:DF558" si="1065">CZ685</f>
        <v>-2500</v>
      </c>
      <c r="DA558" s="1001">
        <f t="shared" si="1065"/>
        <v>-2500</v>
      </c>
      <c r="DB558" s="1001">
        <f t="shared" si="1065"/>
        <v>-2500</v>
      </c>
      <c r="DC558" s="1001">
        <f t="shared" si="1065"/>
        <v>-1000</v>
      </c>
      <c r="DD558" s="1001">
        <f t="shared" si="1065"/>
        <v>-1000</v>
      </c>
      <c r="DE558" s="1001">
        <f t="shared" si="1065"/>
        <v>-1000</v>
      </c>
      <c r="DF558" s="1002">
        <f t="shared" si="1065"/>
        <v>-1000</v>
      </c>
    </row>
    <row r="559" spans="1:113" s="584" customFormat="1" ht="11.25" customHeight="1">
      <c r="A559" s="542"/>
      <c r="B559"/>
      <c r="C559"/>
      <c r="D559"/>
      <c r="E559"/>
      <c r="F559"/>
      <c r="G559"/>
      <c r="H559" s="1052"/>
      <c r="I559" s="617" t="s">
        <v>409</v>
      </c>
      <c r="J559" s="580"/>
      <c r="K559" s="580"/>
      <c r="L559" s="542"/>
      <c r="M559" s="543"/>
      <c r="N559" s="543"/>
      <c r="O559" s="543"/>
      <c r="P559" s="1003"/>
      <c r="Q559" s="543"/>
      <c r="R559" s="543"/>
      <c r="S559" s="543"/>
      <c r="T559" s="1003"/>
      <c r="U559" s="1004"/>
      <c r="V559" s="1004"/>
      <c r="W559" s="1004"/>
      <c r="X559" s="1005"/>
      <c r="Y559" s="1004"/>
      <c r="Z559" s="1004"/>
      <c r="AA559" s="1004"/>
      <c r="AB559" s="1005"/>
      <c r="AC559" s="1004"/>
      <c r="AD559" s="1004"/>
      <c r="AE559" s="1004"/>
      <c r="AF559" s="1005"/>
      <c r="AG559" s="1004"/>
      <c r="AH559" s="1004"/>
      <c r="AI559" s="1004"/>
      <c r="AJ559" s="1005"/>
      <c r="AK559" s="1004"/>
      <c r="AL559" s="1004"/>
      <c r="AM559" s="1004"/>
      <c r="AN559" s="1005"/>
      <c r="AO559" s="1004"/>
      <c r="AP559" s="1004"/>
      <c r="AQ559" s="1004"/>
      <c r="AR559" s="1005"/>
      <c r="AS559" s="1004"/>
      <c r="AT559" s="1004"/>
      <c r="AU559" s="1004"/>
      <c r="AV559" s="1005"/>
      <c r="AW559" s="1004"/>
      <c r="AX559" s="1004"/>
      <c r="AY559" s="1004"/>
      <c r="AZ559" s="1005"/>
      <c r="BA559" s="1004"/>
      <c r="BB559" s="1004"/>
      <c r="BC559" s="1004"/>
      <c r="BD559" s="1005"/>
      <c r="BE559" s="1004"/>
      <c r="BF559" s="1004"/>
      <c r="BG559" s="1004"/>
      <c r="BH559" s="1005"/>
      <c r="BI559" s="1004">
        <f t="shared" ref="BI559:CE559" si="1066">+BI543+SUM(BI555:BI558)</f>
        <v>52.808000000000106</v>
      </c>
      <c r="BJ559" s="1004">
        <f t="shared" si="1066"/>
        <v>2092.2039999999997</v>
      </c>
      <c r="BK559" s="1004">
        <f t="shared" si="1066"/>
        <v>1640.2209999999993</v>
      </c>
      <c r="BL559" s="1005">
        <f t="shared" si="1066"/>
        <v>-31.43500000000023</v>
      </c>
      <c r="BM559" s="1004">
        <f t="shared" si="1066"/>
        <v>-83.971999999999866</v>
      </c>
      <c r="BN559" s="1004">
        <f t="shared" si="1066"/>
        <v>-1072.4839999999999</v>
      </c>
      <c r="BO559" s="1004">
        <f t="shared" si="1066"/>
        <v>5124.0230000000001</v>
      </c>
      <c r="BP559" s="1005">
        <f>+BP543+SUM(BP555:BP558)</f>
        <v>2164.2199999999993</v>
      </c>
      <c r="BQ559" s="1004">
        <f>+BQ543+SUM(BQ555:BQ558)</f>
        <v>2394.0320000000002</v>
      </c>
      <c r="BR559" s="1004">
        <f t="shared" si="1066"/>
        <v>1291.7909999999997</v>
      </c>
      <c r="BS559" s="1004">
        <f>+BS543+SUM(BS555:BS558)</f>
        <v>-19.736000000000104</v>
      </c>
      <c r="BT559" s="1005">
        <f>+BT543+SUM(BT555:BT558)</f>
        <v>1898.9690000000014</v>
      </c>
      <c r="BU559" s="1004">
        <f t="shared" si="1066"/>
        <v>-232.3250000000001</v>
      </c>
      <c r="BV559" s="1004">
        <f t="shared" si="1066"/>
        <v>2303.134</v>
      </c>
      <c r="BW559" s="1004">
        <f t="shared" si="1066"/>
        <v>2675.9530000000004</v>
      </c>
      <c r="BX559" s="1005">
        <f>+BX543+SUM(BX555:BX558)</f>
        <v>1803.0570000000012</v>
      </c>
      <c r="BY559" s="1004">
        <f t="shared" si="1066"/>
        <v>1915.287</v>
      </c>
      <c r="BZ559" s="1004">
        <f t="shared" si="1066"/>
        <v>1216.607</v>
      </c>
      <c r="CA559" s="1004">
        <f t="shared" si="1066"/>
        <v>2132.1620000000012</v>
      </c>
      <c r="CB559" s="1005">
        <f>+CB543+SUM(CB555:CB558)</f>
        <v>2694.8099999999986</v>
      </c>
      <c r="CC559" s="1004">
        <f t="shared" si="1066"/>
        <v>-2083.3314809379854</v>
      </c>
      <c r="CD559" s="1004">
        <f t="shared" si="1066"/>
        <v>492.80214749575634</v>
      </c>
      <c r="CE559" s="1004">
        <f t="shared" si="1066"/>
        <v>1180.0469793271345</v>
      </c>
      <c r="CF559" s="1005">
        <f>+CF543+SUM(CF555:CF558)</f>
        <v>771.97694279842904</v>
      </c>
      <c r="CG559" s="1003"/>
      <c r="CH559" s="1006"/>
      <c r="CI559" s="543"/>
      <c r="CJ559" s="1004"/>
      <c r="CK559" s="1004"/>
      <c r="CL559" s="1004"/>
      <c r="CM559" s="1004"/>
      <c r="CN559" s="1004"/>
      <c r="CO559" s="1004"/>
      <c r="CP559" s="1004"/>
      <c r="CQ559" s="1004">
        <f t="shared" ref="CQ559:CY559" si="1067">+CQ543+SUM(CQ555:CQ558)</f>
        <v>1722.2719</v>
      </c>
      <c r="CR559" s="1004">
        <f t="shared" si="1067"/>
        <v>2003.5630000000001</v>
      </c>
      <c r="CS559" s="1004">
        <f t="shared" si="1067"/>
        <v>4078.3489999999993</v>
      </c>
      <c r="CT559" s="1004">
        <f t="shared" si="1067"/>
        <v>3922.6880000000006</v>
      </c>
      <c r="CU559" s="1004">
        <f t="shared" si="1067"/>
        <v>6394.7950000000001</v>
      </c>
      <c r="CV559" s="1004">
        <f>+CV543+SUM(CV555:CV558)</f>
        <v>5912.8860000000004</v>
      </c>
      <c r="CW559" s="1004">
        <f t="shared" si="1067"/>
        <v>6989.5969999999998</v>
      </c>
      <c r="CX559" s="1004">
        <f t="shared" si="1067"/>
        <v>8534.4760000000006</v>
      </c>
      <c r="CY559" s="1004">
        <f t="shared" si="1067"/>
        <v>1089.6372208055518</v>
      </c>
      <c r="CZ559" s="1004">
        <f t="shared" ref="CZ559:DF559" si="1068">+CZ543+SUM(CZ555:CZ558)</f>
        <v>2393.2371380769164</v>
      </c>
      <c r="DA559" s="1004">
        <f t="shared" si="1068"/>
        <v>2107.7731992051531</v>
      </c>
      <c r="DB559" s="1004">
        <f t="shared" si="1068"/>
        <v>2847.6236236983896</v>
      </c>
      <c r="DC559" s="1004">
        <f t="shared" si="1068"/>
        <v>5264.6547254994985</v>
      </c>
      <c r="DD559" s="1004">
        <f t="shared" si="1068"/>
        <v>6837.9486281161389</v>
      </c>
      <c r="DE559" s="1004">
        <f t="shared" si="1068"/>
        <v>6477.450286279367</v>
      </c>
      <c r="DF559" s="1005">
        <f t="shared" si="1068"/>
        <v>7938.5422446938974</v>
      </c>
      <c r="DG559" s="632"/>
      <c r="DH559" s="632"/>
    </row>
    <row r="560" spans="1:113" s="78" customFormat="1" ht="11.25" customHeight="1">
      <c r="A560" s="24"/>
      <c r="B560"/>
      <c r="C560"/>
      <c r="D560"/>
      <c r="E560"/>
      <c r="F560"/>
      <c r="G560"/>
      <c r="H560" s="1044"/>
      <c r="I560" s="287"/>
      <c r="J560" s="95"/>
      <c r="K560" s="95"/>
      <c r="L560" s="75"/>
      <c r="M560" s="995"/>
      <c r="N560" s="995"/>
      <c r="O560" s="995"/>
      <c r="P560" s="996"/>
      <c r="Q560" s="995"/>
      <c r="R560" s="995"/>
      <c r="S560" s="995"/>
      <c r="T560" s="996"/>
      <c r="U560" s="995"/>
      <c r="V560" s="995"/>
      <c r="W560" s="995"/>
      <c r="X560" s="996"/>
      <c r="Y560" s="995"/>
      <c r="Z560" s="995"/>
      <c r="AA560" s="995"/>
      <c r="AB560" s="996"/>
      <c r="AC560" s="995"/>
      <c r="AD560" s="995"/>
      <c r="AE560" s="995"/>
      <c r="AF560" s="996"/>
      <c r="AG560" s="995"/>
      <c r="AH560" s="995"/>
      <c r="AI560" s="995"/>
      <c r="AJ560" s="996"/>
      <c r="AK560" s="995"/>
      <c r="AL560" s="995"/>
      <c r="AM560" s="995"/>
      <c r="AN560" s="996"/>
      <c r="AO560" s="995"/>
      <c r="AP560" s="995"/>
      <c r="AQ560" s="995"/>
      <c r="AR560" s="996"/>
      <c r="AS560" s="995"/>
      <c r="AT560" s="995"/>
      <c r="AU560" s="995"/>
      <c r="AV560" s="996"/>
      <c r="AW560" s="995"/>
      <c r="AX560" s="995"/>
      <c r="AY560" s="995"/>
      <c r="AZ560" s="996"/>
      <c r="BA560" s="995"/>
      <c r="BB560" s="995"/>
      <c r="BC560" s="995"/>
      <c r="BD560" s="996"/>
      <c r="BE560" s="995"/>
      <c r="BF560" s="995"/>
      <c r="BG560" s="995"/>
      <c r="BH560" s="996"/>
      <c r="BI560" s="995"/>
      <c r="BJ560" s="995"/>
      <c r="BK560" s="995"/>
      <c r="BL560" s="996"/>
      <c r="BM560" s="997"/>
      <c r="BN560" s="997"/>
      <c r="BO560" s="997"/>
      <c r="BP560" s="998"/>
      <c r="BQ560" s="997"/>
      <c r="BR560" s="995"/>
      <c r="BS560" s="995"/>
      <c r="BT560" s="998"/>
      <c r="BU560" s="995"/>
      <c r="BV560" s="995"/>
      <c r="BW560" s="995"/>
      <c r="BX560" s="996"/>
      <c r="BY560" s="995"/>
      <c r="BZ560" s="995"/>
      <c r="CA560" s="995"/>
      <c r="CB560" s="996"/>
      <c r="CC560" s="995"/>
      <c r="CD560" s="995"/>
      <c r="CE560" s="995"/>
      <c r="CF560" s="996"/>
      <c r="CG560" s="999"/>
      <c r="CH560" s="1000"/>
      <c r="CI560" s="995"/>
      <c r="CJ560" s="995"/>
      <c r="CK560" s="995"/>
      <c r="CL560" s="995"/>
      <c r="CM560" s="995"/>
      <c r="CN560" s="995"/>
      <c r="CO560" s="995"/>
      <c r="CP560" s="995"/>
      <c r="CQ560" s="995"/>
      <c r="CR560" s="995"/>
      <c r="CS560" s="995"/>
      <c r="CT560" s="995"/>
      <c r="CU560" s="995"/>
      <c r="CV560" s="995"/>
      <c r="CW560" s="995"/>
      <c r="CX560" s="995"/>
      <c r="CY560" s="995"/>
      <c r="CZ560" s="995"/>
      <c r="DA560" s="995"/>
      <c r="DB560" s="995"/>
      <c r="DC560" s="995"/>
      <c r="DD560" s="995"/>
      <c r="DE560" s="995"/>
      <c r="DF560" s="996"/>
    </row>
    <row r="561" spans="1:113" s="584" customFormat="1" ht="11.25" customHeight="1">
      <c r="A561" s="542"/>
      <c r="B561"/>
      <c r="C561"/>
      <c r="D561"/>
      <c r="E561"/>
      <c r="F561"/>
      <c r="G561"/>
      <c r="H561" s="1052"/>
      <c r="I561" s="617" t="s">
        <v>410</v>
      </c>
      <c r="J561" s="580"/>
      <c r="K561" s="580"/>
      <c r="L561" s="542"/>
      <c r="M561" s="543"/>
      <c r="N561" s="543"/>
      <c r="O561" s="543"/>
      <c r="P561" s="1003"/>
      <c r="Q561" s="543"/>
      <c r="R561" s="543"/>
      <c r="S561" s="543"/>
      <c r="T561" s="1003"/>
      <c r="U561" s="1004"/>
      <c r="V561" s="1004"/>
      <c r="W561" s="1004"/>
      <c r="X561" s="1005"/>
      <c r="Y561" s="1004"/>
      <c r="Z561" s="1004"/>
      <c r="AA561" s="1004"/>
      <c r="AB561" s="1005"/>
      <c r="AC561" s="1004"/>
      <c r="AD561" s="1004"/>
      <c r="AE561" s="1004"/>
      <c r="AF561" s="1005"/>
      <c r="AG561" s="1004"/>
      <c r="AH561" s="1004"/>
      <c r="AI561" s="1004"/>
      <c r="AJ561" s="1005"/>
      <c r="AK561" s="1004"/>
      <c r="AL561" s="1004"/>
      <c r="AM561" s="1004"/>
      <c r="AN561" s="1005"/>
      <c r="AO561" s="1004"/>
      <c r="AP561" s="1004"/>
      <c r="AQ561" s="1004"/>
      <c r="AR561" s="1005"/>
      <c r="AS561" s="1004"/>
      <c r="AT561" s="1004"/>
      <c r="AU561" s="1004"/>
      <c r="AV561" s="1005"/>
      <c r="AW561" s="1004"/>
      <c r="AX561" s="1004"/>
      <c r="AY561" s="1004"/>
      <c r="AZ561" s="1005"/>
      <c r="BA561" s="1004"/>
      <c r="BB561" s="1004"/>
      <c r="BC561" s="1004"/>
      <c r="BD561" s="1005"/>
      <c r="BE561" s="1004"/>
      <c r="BF561" s="1004"/>
      <c r="BG561" s="1004"/>
      <c r="BH561" s="1005"/>
      <c r="BI561" s="1004">
        <f t="shared" ref="BI561:CF561" si="1069">+BI593-BI612</f>
        <v>4425.1130000000003</v>
      </c>
      <c r="BJ561" s="1004">
        <f t="shared" si="1069"/>
        <v>5154.7129999999997</v>
      </c>
      <c r="BK561" s="1004">
        <f t="shared" si="1069"/>
        <v>5663.2030000000004</v>
      </c>
      <c r="BL561" s="1005">
        <f t="shared" si="1069"/>
        <v>6099.1959999999999</v>
      </c>
      <c r="BM561" s="1004">
        <f t="shared" si="1069"/>
        <v>6424.9510000000009</v>
      </c>
      <c r="BN561" s="1004">
        <f t="shared" si="1069"/>
        <v>7001.5140000000001</v>
      </c>
      <c r="BO561" s="1004">
        <f t="shared" si="1069"/>
        <v>5714.7199999999993</v>
      </c>
      <c r="BP561" s="1005">
        <f t="shared" si="1069"/>
        <v>3887.3829999999998</v>
      </c>
      <c r="BQ561" s="1004">
        <f>+BQ593-BQ612</f>
        <v>4264.2469999999994</v>
      </c>
      <c r="BR561" s="1004">
        <f t="shared" si="1069"/>
        <v>2762.3370000000004</v>
      </c>
      <c r="BS561" s="1004">
        <f>+BS593-BS612</f>
        <v>2716.1500000000005</v>
      </c>
      <c r="BT561" s="1005">
        <f>+BT593-BT612</f>
        <v>2113.9270000000001</v>
      </c>
      <c r="BU561" s="1004">
        <f t="shared" si="1069"/>
        <v>2877.1889999999999</v>
      </c>
      <c r="BV561" s="1004">
        <f t="shared" si="1069"/>
        <v>3704.8160000000007</v>
      </c>
      <c r="BW561" s="1004">
        <f t="shared" si="1069"/>
        <v>2927.6060000000002</v>
      </c>
      <c r="BX561" s="1005">
        <f t="shared" si="1069"/>
        <v>2542.8490000000002</v>
      </c>
      <c r="BY561" s="1004">
        <f t="shared" si="1069"/>
        <v>3739.683</v>
      </c>
      <c r="BZ561" s="1004">
        <f t="shared" si="1069"/>
        <v>4515.6149999999998</v>
      </c>
      <c r="CA561" s="1004">
        <f t="shared" si="1069"/>
        <v>5500.3200000000015</v>
      </c>
      <c r="CB561" s="1005">
        <f t="shared" si="1069"/>
        <v>5536.9369999999981</v>
      </c>
      <c r="CC561" s="1004">
        <f t="shared" si="1069"/>
        <v>4016.7437030576634</v>
      </c>
      <c r="CD561" s="1004">
        <f t="shared" si="1069"/>
        <v>4274.634760164774</v>
      </c>
      <c r="CE561" s="1004">
        <f t="shared" si="1069"/>
        <v>5644.5520332515589</v>
      </c>
      <c r="CF561" s="1005">
        <f t="shared" si="1069"/>
        <v>6060.4463360879654</v>
      </c>
      <c r="CG561" s="1003"/>
      <c r="CH561" s="1006"/>
      <c r="CI561" s="543"/>
      <c r="CJ561" s="1004"/>
      <c r="CK561" s="1004"/>
      <c r="CL561" s="1004"/>
      <c r="CM561" s="1004"/>
      <c r="CN561" s="1004"/>
      <c r="CO561" s="1004"/>
      <c r="CP561" s="1004"/>
      <c r="CQ561" s="1004">
        <f t="shared" ref="CQ561:CY561" si="1070">+CQ593-CQ612</f>
        <v>1486.2959999999998</v>
      </c>
      <c r="CR561" s="1004">
        <f t="shared" si="1070"/>
        <v>1961.046</v>
      </c>
      <c r="CS561" s="1004">
        <f t="shared" si="1070"/>
        <v>4220.6490000000003</v>
      </c>
      <c r="CT561" s="1004">
        <f t="shared" si="1070"/>
        <v>6099.1959999999999</v>
      </c>
      <c r="CU561" s="1004">
        <f t="shared" si="1070"/>
        <v>3887.3829999999998</v>
      </c>
      <c r="CV561" s="1004">
        <f t="shared" si="1070"/>
        <v>2113.9270000000001</v>
      </c>
      <c r="CW561" s="1004">
        <f t="shared" si="1070"/>
        <v>2542.8489999999993</v>
      </c>
      <c r="CX561" s="1004">
        <f t="shared" si="1070"/>
        <v>5536.9369999999981</v>
      </c>
      <c r="CY561" s="1004">
        <f t="shared" si="1070"/>
        <v>6060.4463360879636</v>
      </c>
      <c r="CZ561" s="1004">
        <f t="shared" ref="CZ561:DF561" si="1071">+CZ593-CZ612</f>
        <v>8689.1108974365088</v>
      </c>
      <c r="DA561" s="1004">
        <f t="shared" si="1071"/>
        <v>11054.130936942362</v>
      </c>
      <c r="DB561" s="1004">
        <f t="shared" si="1071"/>
        <v>14184.912933437136</v>
      </c>
      <c r="DC561" s="1004">
        <f t="shared" si="1071"/>
        <v>19752.435423343708</v>
      </c>
      <c r="DD561" s="1004">
        <f t="shared" si="1071"/>
        <v>26912.505265759235</v>
      </c>
      <c r="DE561" s="1004">
        <f t="shared" si="1071"/>
        <v>33726.79867793552</v>
      </c>
      <c r="DF561" s="1005">
        <f t="shared" si="1071"/>
        <v>42009.824753080327</v>
      </c>
      <c r="DG561" s="632"/>
      <c r="DH561" s="632"/>
    </row>
    <row r="562" spans="1:113" s="51" customFormat="1" ht="11.25" customHeight="1">
      <c r="A562" s="82"/>
      <c r="B562"/>
      <c r="C562"/>
      <c r="D562"/>
      <c r="E562"/>
      <c r="F562"/>
      <c r="G562"/>
      <c r="H562" s="1044"/>
      <c r="I562" s="310" t="s">
        <v>411</v>
      </c>
      <c r="J562" s="83"/>
      <c r="K562" s="83"/>
      <c r="L562" s="82"/>
      <c r="M562" s="292"/>
      <c r="N562" s="292"/>
      <c r="O562" s="292"/>
      <c r="P562" s="1007"/>
      <c r="Q562" s="292"/>
      <c r="R562" s="292"/>
      <c r="S562" s="292"/>
      <c r="T562" s="1007"/>
      <c r="U562" s="997"/>
      <c r="V562" s="997"/>
      <c r="W562" s="997"/>
      <c r="X562" s="998"/>
      <c r="Y562" s="997"/>
      <c r="Z562" s="997"/>
      <c r="AA562" s="997"/>
      <c r="AB562" s="998"/>
      <c r="AC562" s="997"/>
      <c r="AD562" s="997"/>
      <c r="AE562" s="997"/>
      <c r="AF562" s="998"/>
      <c r="AG562" s="997"/>
      <c r="AH562" s="997"/>
      <c r="AI562" s="997"/>
      <c r="AJ562" s="998"/>
      <c r="AK562" s="997"/>
      <c r="AL562" s="997"/>
      <c r="AM562" s="997"/>
      <c r="AN562" s="998"/>
      <c r="AO562" s="997"/>
      <c r="AP562" s="997"/>
      <c r="AQ562" s="997"/>
      <c r="AR562" s="998"/>
      <c r="AS562" s="1008"/>
      <c r="AT562" s="1008"/>
      <c r="AU562" s="1008"/>
      <c r="AV562" s="1009"/>
      <c r="AW562" s="1008"/>
      <c r="AX562" s="1008"/>
      <c r="AY562" s="1008"/>
      <c r="AZ562" s="1009"/>
      <c r="BA562" s="1008"/>
      <c r="BB562" s="1008"/>
      <c r="BC562" s="1008"/>
      <c r="BD562" s="1009"/>
      <c r="BE562" s="1008"/>
      <c r="BF562" s="1008"/>
      <c r="BG562" s="1008"/>
      <c r="BH562" s="1009"/>
      <c r="BI562" s="1008">
        <f t="shared" ref="BI562:CF562" si="1072">1/BI21*BI561</f>
        <v>3.3986729769003667</v>
      </c>
      <c r="BJ562" s="1008">
        <f t="shared" si="1072"/>
        <v>3.0678469359697846</v>
      </c>
      <c r="BK562" s="1008">
        <f t="shared" si="1072"/>
        <v>2.4949096943790114</v>
      </c>
      <c r="BL562" s="1009">
        <f t="shared" si="1072"/>
        <v>3.9575538574041644</v>
      </c>
      <c r="BM562" s="1008">
        <f t="shared" si="1072"/>
        <v>3.9133531327163693</v>
      </c>
      <c r="BN562" s="1008">
        <f t="shared" si="1072"/>
        <v>3.2970410746029692</v>
      </c>
      <c r="BO562" s="1008">
        <f t="shared" si="1072"/>
        <v>2.0147103980719878</v>
      </c>
      <c r="BP562" s="1009">
        <f t="shared" si="1072"/>
        <v>2.11259678158271</v>
      </c>
      <c r="BQ562" s="1008">
        <f t="shared" si="1072"/>
        <v>2.3166517628677004</v>
      </c>
      <c r="BR562" s="1008">
        <f t="shared" si="1072"/>
        <v>1.2113403937998517</v>
      </c>
      <c r="BS562" s="1008">
        <f t="shared" si="1072"/>
        <v>0.87535825345378426</v>
      </c>
      <c r="BT562" s="1009">
        <f t="shared" si="1072"/>
        <v>1.056966142415356</v>
      </c>
      <c r="BU562" s="1008">
        <f t="shared" si="1072"/>
        <v>1.3393992604692757</v>
      </c>
      <c r="BV562" s="1008">
        <f t="shared" si="1072"/>
        <v>1.4495141050008962</v>
      </c>
      <c r="BW562" s="1008">
        <f t="shared" si="1072"/>
        <v>0.79327049178551068</v>
      </c>
      <c r="BX562" s="1009">
        <f t="shared" si="1072"/>
        <v>1.0827854147850928</v>
      </c>
      <c r="BY562" s="1008">
        <f t="shared" si="1072"/>
        <v>1.5457042312900202</v>
      </c>
      <c r="BZ562" s="1008">
        <f t="shared" si="1072"/>
        <v>1.4929844248213622</v>
      </c>
      <c r="CA562" s="1008">
        <f t="shared" si="1072"/>
        <v>1.2404790315985759</v>
      </c>
      <c r="CB562" s="1009">
        <f t="shared" si="1072"/>
        <v>1.975295503930836</v>
      </c>
      <c r="CC562" s="1008">
        <f t="shared" si="1072"/>
        <v>1.3734965487630193</v>
      </c>
      <c r="CD562" s="1008">
        <f t="shared" si="1072"/>
        <v>1.1607037239941558</v>
      </c>
      <c r="CE562" s="1008">
        <f t="shared" si="1072"/>
        <v>1.0953514232073389</v>
      </c>
      <c r="CF562" s="1009">
        <f t="shared" si="1072"/>
        <v>1.7260079700585593</v>
      </c>
      <c r="CG562" s="1007"/>
      <c r="CH562" s="1010"/>
      <c r="CI562" s="292"/>
      <c r="CJ562" s="997"/>
      <c r="CK562" s="997"/>
      <c r="CL562" s="997"/>
      <c r="CM562" s="997"/>
      <c r="CN562" s="997"/>
      <c r="CO562" s="997"/>
      <c r="CP562" s="1008"/>
      <c r="CQ562" s="1008">
        <f t="shared" ref="CQ562:DF562" si="1073">1/CQ21*CQ561</f>
        <v>0.48106296980069962</v>
      </c>
      <c r="CR562" s="1008">
        <f t="shared" si="1073"/>
        <v>0.45023452512966033</v>
      </c>
      <c r="CS562" s="1008">
        <f t="shared" si="1073"/>
        <v>0.80225894305141487</v>
      </c>
      <c r="CT562" s="1008">
        <f t="shared" si="1073"/>
        <v>0.89782441715418082</v>
      </c>
      <c r="CU562" s="1008">
        <f t="shared" si="1073"/>
        <v>0.46048286590892107</v>
      </c>
      <c r="CV562" s="1008">
        <f t="shared" si="1073"/>
        <v>0.22917714433032049</v>
      </c>
      <c r="CW562" s="1008">
        <f t="shared" si="1073"/>
        <v>0.23669808990146698</v>
      </c>
      <c r="CX562" s="1008">
        <f t="shared" si="1073"/>
        <v>0.43662969768667986</v>
      </c>
      <c r="CY562" s="1008">
        <f t="shared" si="1073"/>
        <v>0.39684162378797272</v>
      </c>
      <c r="CZ562" s="1008">
        <f t="shared" si="1073"/>
        <v>0.50111115962216091</v>
      </c>
      <c r="DA562" s="1008">
        <f t="shared" si="1073"/>
        <v>0.57029949919851364</v>
      </c>
      <c r="DB562" s="1008">
        <f t="shared" si="1073"/>
        <v>0.66467698572289113</v>
      </c>
      <c r="DC562" s="1008">
        <f t="shared" si="1073"/>
        <v>0.84952858581518931</v>
      </c>
      <c r="DD562" s="1008">
        <f t="shared" si="1073"/>
        <v>1.0708156715449952</v>
      </c>
      <c r="DE562" s="1008">
        <f t="shared" si="1073"/>
        <v>1.2505530888322074</v>
      </c>
      <c r="DF562" s="1009">
        <f t="shared" si="1073"/>
        <v>1.4511803770505602</v>
      </c>
      <c r="DG562" s="308"/>
      <c r="DH562" s="308"/>
    </row>
    <row r="563" spans="1:113" s="68" customFormat="1" ht="11.25" customHeight="1">
      <c r="A563" s="24"/>
      <c r="B563"/>
      <c r="C563"/>
      <c r="D563"/>
      <c r="E563"/>
      <c r="F563"/>
      <c r="G563"/>
      <c r="H563" s="1044"/>
      <c r="I563" s="664"/>
      <c r="J563" s="665"/>
      <c r="K563" s="665"/>
      <c r="L563" s="665"/>
      <c r="M563" s="1011"/>
      <c r="N563" s="1011"/>
      <c r="O563" s="1011"/>
      <c r="P563" s="1012"/>
      <c r="Q563" s="1011"/>
      <c r="R563" s="1011"/>
      <c r="S563" s="1011"/>
      <c r="T563" s="1012"/>
      <c r="U563" s="1013"/>
      <c r="V563" s="1013"/>
      <c r="W563" s="1013"/>
      <c r="X563" s="1014"/>
      <c r="Y563" s="1013"/>
      <c r="Z563" s="1013"/>
      <c r="AA563" s="1013"/>
      <c r="AB563" s="1014"/>
      <c r="AC563" s="1013"/>
      <c r="AD563" s="1013"/>
      <c r="AE563" s="1013"/>
      <c r="AF563" s="1014"/>
      <c r="AG563" s="1013"/>
      <c r="AH563" s="1013"/>
      <c r="AI563" s="1013"/>
      <c r="AJ563" s="1014"/>
      <c r="AK563" s="1013"/>
      <c r="AL563" s="1013"/>
      <c r="AM563" s="1013"/>
      <c r="AN563" s="1014"/>
      <c r="AO563" s="1013"/>
      <c r="AP563" s="1013"/>
      <c r="AQ563" s="1013"/>
      <c r="AR563" s="1014"/>
      <c r="AS563" s="1013"/>
      <c r="AT563" s="1013"/>
      <c r="AU563" s="1013"/>
      <c r="AV563" s="1014"/>
      <c r="AW563" s="1013"/>
      <c r="AX563" s="1013"/>
      <c r="AY563" s="1013"/>
      <c r="AZ563" s="1014"/>
      <c r="BA563" s="1015"/>
      <c r="BB563" s="1015"/>
      <c r="BC563" s="1015"/>
      <c r="BD563" s="1016"/>
      <c r="BE563" s="1011"/>
      <c r="BF563" s="1011"/>
      <c r="BG563" s="1011"/>
      <c r="BH563" s="1017"/>
      <c r="BI563" s="1018"/>
      <c r="BJ563" s="1018"/>
      <c r="BK563" s="1018"/>
      <c r="BL563" s="1019"/>
      <c r="BM563" s="1018"/>
      <c r="BN563" s="1018"/>
      <c r="BO563" s="1018"/>
      <c r="BP563" s="1020"/>
      <c r="BQ563" s="1021"/>
      <c r="BR563" s="1021"/>
      <c r="BS563" s="1021"/>
      <c r="BT563" s="1020"/>
      <c r="BU563" s="1021"/>
      <c r="BV563" s="1021"/>
      <c r="BW563" s="1021"/>
      <c r="BX563" s="1020"/>
      <c r="BY563" s="1021"/>
      <c r="BZ563" s="1021"/>
      <c r="CA563" s="1021"/>
      <c r="CB563" s="1020"/>
      <c r="CC563" s="1021"/>
      <c r="CD563" s="1021"/>
      <c r="CE563" s="1021"/>
      <c r="CF563" s="1020"/>
      <c r="CG563" s="1022"/>
      <c r="CH563" s="1023"/>
      <c r="CI563" s="1011"/>
      <c r="CJ563" s="1013"/>
      <c r="CK563" s="1013"/>
      <c r="CL563" s="1013"/>
      <c r="CM563" s="1013"/>
      <c r="CN563" s="1013"/>
      <c r="CO563" s="1013"/>
      <c r="CP563" s="1013"/>
      <c r="CQ563" s="1013"/>
      <c r="CR563" s="1013"/>
      <c r="CS563" s="1013"/>
      <c r="CT563" s="1013"/>
      <c r="CU563" s="1021"/>
      <c r="CV563" s="1013"/>
      <c r="CW563" s="1021"/>
      <c r="CX563" s="1021"/>
      <c r="CY563" s="1021"/>
      <c r="CZ563" s="1021"/>
      <c r="DA563" s="1021"/>
      <c r="DB563" s="1021"/>
      <c r="DC563" s="1021"/>
      <c r="DD563" s="1021"/>
      <c r="DE563" s="1021"/>
      <c r="DF563" s="1020"/>
      <c r="DG563" s="1180"/>
      <c r="DH563" s="1180"/>
    </row>
    <row r="564" spans="1:113" ht="11.25" customHeight="1">
      <c r="I564" s="70"/>
      <c r="J564" s="70"/>
      <c r="K564" s="70"/>
      <c r="M564" s="315"/>
      <c r="N564" s="315"/>
      <c r="O564" s="315"/>
      <c r="P564" s="315"/>
      <c r="Q564" s="315"/>
      <c r="R564" s="315"/>
      <c r="S564" s="315"/>
      <c r="T564" s="315"/>
      <c r="U564" s="328"/>
      <c r="V564" s="328"/>
      <c r="W564" s="328"/>
      <c r="X564" s="328"/>
      <c r="Y564" s="328"/>
      <c r="Z564" s="328"/>
      <c r="AA564" s="328"/>
      <c r="AB564" s="328"/>
      <c r="AC564" s="328"/>
      <c r="AD564" s="328"/>
      <c r="AE564" s="328"/>
      <c r="AF564" s="328"/>
      <c r="AG564" s="328"/>
      <c r="AH564" s="328"/>
      <c r="AI564" s="328"/>
      <c r="AJ564" s="328"/>
      <c r="AK564" s="328"/>
      <c r="AL564" s="328"/>
      <c r="AM564" s="328"/>
      <c r="AN564" s="328"/>
      <c r="AO564" s="328"/>
      <c r="AP564" s="328"/>
      <c r="AQ564" s="328"/>
      <c r="AR564" s="328"/>
      <c r="AS564" s="328"/>
      <c r="AT564" s="328"/>
      <c r="AU564" s="328"/>
      <c r="AV564" s="328"/>
      <c r="AW564" s="328"/>
      <c r="AX564" s="328"/>
      <c r="AY564" s="328"/>
      <c r="AZ564" s="328"/>
      <c r="BA564" s="328"/>
      <c r="BB564" s="328"/>
      <c r="BC564" s="328"/>
      <c r="BD564" s="328"/>
      <c r="BE564" s="328"/>
      <c r="BF564" s="328"/>
      <c r="BG564" s="328"/>
      <c r="BH564" s="328"/>
      <c r="BI564" s="328"/>
      <c r="BJ564" s="328"/>
      <c r="BK564" s="328"/>
      <c r="BL564" s="328"/>
      <c r="BM564" s="328"/>
      <c r="BN564" s="328"/>
      <c r="BO564" s="328"/>
      <c r="BP564" s="328"/>
      <c r="BQ564" s="328"/>
      <c r="BR564" s="328"/>
      <c r="BS564" s="328"/>
      <c r="BT564" s="328"/>
      <c r="BU564" s="328"/>
      <c r="BV564" s="328"/>
      <c r="BW564" s="328"/>
      <c r="BX564" s="328"/>
      <c r="BY564" s="328"/>
      <c r="BZ564" s="328"/>
      <c r="CA564" s="328"/>
      <c r="CB564" s="328"/>
      <c r="CC564" s="328"/>
      <c r="CD564" s="328"/>
      <c r="CE564" s="328"/>
      <c r="CF564" s="328"/>
      <c r="CG564" s="315"/>
      <c r="CH564" s="315"/>
      <c r="CI564" s="315"/>
      <c r="CJ564" s="328"/>
      <c r="CK564" s="328"/>
      <c r="CL564" s="328"/>
      <c r="CM564" s="328"/>
      <c r="CN564" s="328"/>
      <c r="CO564" s="328"/>
      <c r="CP564" s="328"/>
      <c r="CQ564" s="328"/>
      <c r="CR564" s="328"/>
      <c r="CS564" s="328"/>
      <c r="CT564" s="328"/>
      <c r="CU564" s="328"/>
      <c r="CV564" s="328"/>
      <c r="CW564" s="328"/>
      <c r="CX564" s="328"/>
      <c r="CY564" s="328"/>
      <c r="CZ564" s="328"/>
      <c r="DA564" s="328"/>
      <c r="DB564" s="328"/>
      <c r="DC564" s="328"/>
      <c r="DD564" s="328"/>
      <c r="DE564" s="328"/>
      <c r="DF564" s="328"/>
    </row>
    <row r="565" spans="1:113" customFormat="1" ht="11.25" customHeight="1">
      <c r="A565" s="10"/>
      <c r="H565" s="1045" t="s">
        <v>401</v>
      </c>
      <c r="I565" s="659" t="s">
        <v>401</v>
      </c>
      <c r="J565" s="660"/>
      <c r="K565" s="660"/>
      <c r="L565" s="660"/>
      <c r="M565" s="660"/>
      <c r="N565" s="660"/>
      <c r="O565" s="660"/>
      <c r="P565" s="660"/>
      <c r="Q565" s="660"/>
      <c r="R565" s="660"/>
      <c r="S565" s="660"/>
      <c r="T565" s="660"/>
      <c r="U565" s="659"/>
      <c r="V565" s="660"/>
      <c r="W565" s="660"/>
      <c r="X565" s="661"/>
      <c r="Y565" s="659"/>
      <c r="Z565" s="660"/>
      <c r="AA565" s="660"/>
      <c r="AB565" s="661"/>
      <c r="AC565" s="659"/>
      <c r="AD565" s="660"/>
      <c r="AE565" s="660"/>
      <c r="AF565" s="661"/>
      <c r="AG565" s="659"/>
      <c r="AH565" s="660"/>
      <c r="AI565" s="660"/>
      <c r="AJ565" s="661"/>
      <c r="AK565" s="659"/>
      <c r="AL565" s="660"/>
      <c r="AM565" s="660"/>
      <c r="AN565" s="661"/>
      <c r="AO565" s="659"/>
      <c r="AP565" s="660"/>
      <c r="AQ565" s="660"/>
      <c r="AR565" s="661"/>
      <c r="AS565" s="659"/>
      <c r="AT565" s="660"/>
      <c r="AU565" s="660"/>
      <c r="AV565" s="661"/>
      <c r="AW565" s="659"/>
      <c r="AX565" s="660"/>
      <c r="AY565" s="660"/>
      <c r="AZ565" s="661"/>
      <c r="BA565" s="659"/>
      <c r="BB565" s="660"/>
      <c r="BC565" s="660"/>
      <c r="BD565" s="661"/>
      <c r="BE565" s="659"/>
      <c r="BF565" s="660"/>
      <c r="BG565" s="660"/>
      <c r="BH565" s="661"/>
      <c r="BI565" s="659"/>
      <c r="BJ565" s="660"/>
      <c r="BK565" s="660"/>
      <c r="BL565" s="661"/>
      <c r="BM565" s="659"/>
      <c r="BN565" s="660"/>
      <c r="BO565" s="660"/>
      <c r="BP565" s="661"/>
      <c r="BQ565" s="659"/>
      <c r="BR565" s="660"/>
      <c r="BS565" s="660"/>
      <c r="BT565" s="661"/>
      <c r="BU565" s="659"/>
      <c r="BV565" s="660"/>
      <c r="BW565" s="660"/>
      <c r="BX565" s="661"/>
      <c r="BY565" s="659"/>
      <c r="BZ565" s="660"/>
      <c r="CA565" s="660"/>
      <c r="CB565" s="661"/>
      <c r="CC565" s="659"/>
      <c r="CD565" s="660"/>
      <c r="CE565" s="660"/>
      <c r="CF565" s="661"/>
      <c r="CH565" s="661"/>
      <c r="CI565" s="661"/>
      <c r="CJ565" s="661"/>
      <c r="CK565" s="661"/>
      <c r="CL565" s="661"/>
      <c r="CM565" s="661"/>
      <c r="CN565" s="661"/>
      <c r="CO565" s="661"/>
      <c r="CP565" s="661"/>
      <c r="CQ565" s="661"/>
      <c r="CR565" s="661"/>
      <c r="CS565" s="661"/>
      <c r="CT565" s="661"/>
      <c r="CU565" s="661"/>
      <c r="CV565" s="661"/>
      <c r="CW565" s="661"/>
      <c r="CX565" s="661"/>
      <c r="CY565" s="660"/>
      <c r="CZ565" s="660"/>
      <c r="DA565" s="660"/>
      <c r="DB565" s="660"/>
      <c r="DC565" s="660"/>
      <c r="DD565" s="660"/>
      <c r="DE565" s="660"/>
      <c r="DF565" s="661"/>
      <c r="DG565" s="124"/>
      <c r="DH565" s="124"/>
      <c r="DI565" s="1548"/>
    </row>
    <row r="566" spans="1:113" s="1134" customFormat="1" ht="11.25" customHeight="1">
      <c r="A566" s="1024"/>
      <c r="B566"/>
      <c r="C566"/>
      <c r="D566"/>
      <c r="E566"/>
      <c r="F566"/>
      <c r="G566"/>
      <c r="H566" s="1024"/>
      <c r="I566" s="579" t="s">
        <v>417</v>
      </c>
      <c r="J566" s="208"/>
      <c r="K566" s="208"/>
      <c r="L566" s="198"/>
      <c r="M566" s="1131"/>
      <c r="N566" s="1131"/>
      <c r="O566" s="1131"/>
      <c r="P566" s="1132"/>
      <c r="Q566" s="1131"/>
      <c r="R566" s="1131"/>
      <c r="S566" s="995"/>
      <c r="T566" s="996"/>
      <c r="U566" s="995"/>
      <c r="V566" s="1131"/>
      <c r="W566" s="995"/>
      <c r="X566" s="996"/>
      <c r="Y566" s="995"/>
      <c r="Z566" s="1131"/>
      <c r="AA566" s="995"/>
      <c r="AB566" s="996"/>
      <c r="AC566" s="995"/>
      <c r="AD566" s="995"/>
      <c r="AE566" s="995"/>
      <c r="AF566" s="996"/>
      <c r="AG566" s="995"/>
      <c r="AH566" s="1131"/>
      <c r="AI566" s="995"/>
      <c r="AJ566" s="996"/>
      <c r="AK566" s="995"/>
      <c r="AL566" s="1131"/>
      <c r="AM566" s="1131"/>
      <c r="AN566" s="996"/>
      <c r="AO566" s="995"/>
      <c r="AP566" s="1131"/>
      <c r="AQ566" s="995"/>
      <c r="AR566" s="996"/>
      <c r="AS566" s="1131"/>
      <c r="AT566" s="1131"/>
      <c r="AU566" s="995"/>
      <c r="AV566" s="996"/>
      <c r="AW566" s="1131"/>
      <c r="AX566" s="1131"/>
      <c r="AY566" s="995"/>
      <c r="AZ566" s="996"/>
      <c r="BA566" s="1131"/>
      <c r="BB566" s="1131"/>
      <c r="BC566" s="995"/>
      <c r="BD566" s="996"/>
      <c r="BE566" s="1131"/>
      <c r="BF566" s="1131"/>
      <c r="BG566" s="1131"/>
      <c r="BH566" s="1132"/>
      <c r="BI566" s="995">
        <f t="shared" ref="BI566:CF566" si="1074">+BI604</f>
        <v>6855.1270000000004</v>
      </c>
      <c r="BJ566" s="995">
        <f t="shared" si="1074"/>
        <v>9867.3709999999992</v>
      </c>
      <c r="BK566" s="995">
        <f t="shared" si="1074"/>
        <v>10445.655000000001</v>
      </c>
      <c r="BL566" s="996">
        <f t="shared" si="1074"/>
        <v>10444.459999999999</v>
      </c>
      <c r="BM566" s="995">
        <f t="shared" si="1074"/>
        <v>10813.684000000001</v>
      </c>
      <c r="BN566" s="995">
        <f t="shared" si="1074"/>
        <v>11600.323</v>
      </c>
      <c r="BO566" s="995">
        <f t="shared" si="1074"/>
        <v>15184.38</v>
      </c>
      <c r="BP566" s="996">
        <f t="shared" si="1074"/>
        <v>14940.563</v>
      </c>
      <c r="BQ566" s="995">
        <f>+BQ604</f>
        <v>16842.491999999998</v>
      </c>
      <c r="BR566" s="1131">
        <f t="shared" si="1074"/>
        <v>17027.346000000001</v>
      </c>
      <c r="BS566" s="1131">
        <f>+BS604</f>
        <v>16614.77</v>
      </c>
      <c r="BT566" s="996">
        <f>+BT604</f>
        <v>17420.575000000001</v>
      </c>
      <c r="BU566" s="995">
        <f>+BU604</f>
        <v>18334.545999999998</v>
      </c>
      <c r="BV566" s="1131">
        <f t="shared" si="1074"/>
        <v>19687.169999999998</v>
      </c>
      <c r="BW566" s="1131">
        <f>+BW604</f>
        <v>20033.784</v>
      </c>
      <c r="BX566" s="1132">
        <f t="shared" si="1074"/>
        <v>19838.972999999998</v>
      </c>
      <c r="BY566" s="1131">
        <f t="shared" si="1074"/>
        <v>21994.252</v>
      </c>
      <c r="BZ566" s="1131">
        <f t="shared" si="1074"/>
        <v>23458.323</v>
      </c>
      <c r="CA566" s="1131">
        <f t="shared" si="1074"/>
        <v>25789.111000000001</v>
      </c>
      <c r="CB566" s="1132">
        <f t="shared" si="1074"/>
        <v>25451.262999999999</v>
      </c>
      <c r="CC566" s="1131">
        <f t="shared" si="1074"/>
        <v>23754.340571380384</v>
      </c>
      <c r="CD566" s="1131">
        <f t="shared" si="1074"/>
        <v>24697.079372486529</v>
      </c>
      <c r="CE566" s="1131">
        <f t="shared" si="1074"/>
        <v>25756.879135734431</v>
      </c>
      <c r="CF566" s="1132">
        <f t="shared" si="1074"/>
        <v>26444.56898963936</v>
      </c>
      <c r="CG566" s="1132"/>
      <c r="CH566" s="1133"/>
      <c r="CI566" s="995"/>
      <c r="CJ566" s="995"/>
      <c r="CK566" s="995"/>
      <c r="CL566" s="995"/>
      <c r="CM566" s="995"/>
      <c r="CN566" s="995"/>
      <c r="CO566" s="995"/>
      <c r="CP566" s="1131"/>
      <c r="CQ566" s="1131">
        <f t="shared" ref="CQ566:CX566" si="1075">+CQ604</f>
        <v>2905.953</v>
      </c>
      <c r="CR566" s="1131">
        <f t="shared" si="1075"/>
        <v>3970.6710000000003</v>
      </c>
      <c r="CS566" s="1131">
        <f t="shared" si="1075"/>
        <v>6569.7420000000002</v>
      </c>
      <c r="CT566" s="1131">
        <f t="shared" si="1075"/>
        <v>10444.459999999999</v>
      </c>
      <c r="CU566" s="1131">
        <f t="shared" si="1075"/>
        <v>14940.563</v>
      </c>
      <c r="CV566" s="1131">
        <f t="shared" si="1075"/>
        <v>17420.575000000001</v>
      </c>
      <c r="CW566" s="1131">
        <f t="shared" si="1075"/>
        <v>19838.972999999998</v>
      </c>
      <c r="CX566" s="1131">
        <f t="shared" si="1075"/>
        <v>25451.262999999999</v>
      </c>
      <c r="CY566" s="1131">
        <f t="shared" ref="CY566:DF566" si="1076">+CY604</f>
        <v>26444.56898963936</v>
      </c>
      <c r="CZ566" s="1131">
        <f t="shared" si="1076"/>
        <v>29372.412643186719</v>
      </c>
      <c r="DA566" s="1131">
        <f t="shared" si="1076"/>
        <v>32028.379375238837</v>
      </c>
      <c r="DB566" s="1131">
        <f t="shared" si="1076"/>
        <v>35389.327249500551</v>
      </c>
      <c r="DC566" s="1131">
        <f t="shared" si="1076"/>
        <v>41100.79224425443</v>
      </c>
      <c r="DD566" s="1131">
        <f t="shared" si="1076"/>
        <v>48338.08890895189</v>
      </c>
      <c r="DE566" s="1131">
        <f t="shared" si="1076"/>
        <v>55154.976086792165</v>
      </c>
      <c r="DF566" s="1132">
        <f t="shared" si="1076"/>
        <v>63387.503079931623</v>
      </c>
      <c r="DG566" s="1481"/>
      <c r="DH566" s="1481"/>
      <c r="DI566" s="1713"/>
    </row>
    <row r="567" spans="1:113" s="1028" customFormat="1" ht="11.25" customHeight="1">
      <c r="A567" s="1024"/>
      <c r="B567"/>
      <c r="C567"/>
      <c r="D567"/>
      <c r="E567"/>
      <c r="F567"/>
      <c r="G567"/>
      <c r="H567" s="1024"/>
      <c r="I567" s="1176" t="s">
        <v>418</v>
      </c>
      <c r="J567" s="1025"/>
      <c r="K567" s="1025"/>
      <c r="L567" s="1026"/>
      <c r="M567" s="995"/>
      <c r="N567" s="995"/>
      <c r="O567" s="995"/>
      <c r="P567" s="996"/>
      <c r="Q567" s="995"/>
      <c r="R567" s="995"/>
      <c r="S567" s="995"/>
      <c r="T567" s="996"/>
      <c r="U567" s="995"/>
      <c r="V567" s="995"/>
      <c r="W567" s="995"/>
      <c r="X567" s="996"/>
      <c r="Y567" s="995"/>
      <c r="Z567" s="995"/>
      <c r="AA567" s="995"/>
      <c r="AB567" s="996"/>
      <c r="AC567" s="995"/>
      <c r="AD567" s="995"/>
      <c r="AE567" s="995"/>
      <c r="AF567" s="996"/>
      <c r="AG567" s="995"/>
      <c r="AH567" s="995"/>
      <c r="AI567" s="995"/>
      <c r="AJ567" s="996"/>
      <c r="AK567" s="995"/>
      <c r="AL567" s="995"/>
      <c r="AM567" s="995"/>
      <c r="AN567" s="996"/>
      <c r="AO567" s="995"/>
      <c r="AP567" s="995"/>
      <c r="AQ567" s="995"/>
      <c r="AR567" s="996"/>
      <c r="AS567" s="995"/>
      <c r="AT567" s="995"/>
      <c r="AU567" s="995"/>
      <c r="AV567" s="996"/>
      <c r="AW567" s="995"/>
      <c r="AX567" s="995"/>
      <c r="AY567" s="995"/>
      <c r="AZ567" s="996"/>
      <c r="BA567" s="995"/>
      <c r="BB567" s="995"/>
      <c r="BC567" s="995"/>
      <c r="BD567" s="996"/>
      <c r="BE567" s="995"/>
      <c r="BF567" s="995"/>
      <c r="BG567" s="995"/>
      <c r="BH567" s="996"/>
      <c r="BI567" s="995">
        <f t="shared" ref="BI567:CF567" si="1077">-BI587-BI589</f>
        <v>-5181.6170000000002</v>
      </c>
      <c r="BJ567" s="995">
        <f t="shared" si="1077"/>
        <v>-5945.0739999999996</v>
      </c>
      <c r="BK567" s="995">
        <f t="shared" si="1077"/>
        <v>-6583.62</v>
      </c>
      <c r="BL567" s="996">
        <f t="shared" si="1077"/>
        <v>-6752.7139999999999</v>
      </c>
      <c r="BM567" s="995">
        <f t="shared" si="1077"/>
        <v>-6710.5079999999998</v>
      </c>
      <c r="BN567" s="995">
        <f t="shared" si="1077"/>
        <v>-7164.7060000000001</v>
      </c>
      <c r="BO567" s="995">
        <f t="shared" si="1077"/>
        <v>-6237.0770000000002</v>
      </c>
      <c r="BP567" s="996">
        <f t="shared" si="1077"/>
        <v>-4290.8329999999996</v>
      </c>
      <c r="BQ567" s="995">
        <f>-BQ587-BQ589</f>
        <v>-4635.4549999999999</v>
      </c>
      <c r="BR567" s="995">
        <f t="shared" si="1077"/>
        <v>-3188.076</v>
      </c>
      <c r="BS567" s="995">
        <f>-BS587-BS589</f>
        <v>-3052.8419999999996</v>
      </c>
      <c r="BT567" s="996">
        <f>-BT587-BT589</f>
        <v>-2648.5110000000004</v>
      </c>
      <c r="BU567" s="995">
        <f>-BU587-BU589</f>
        <v>-3382.8019999999997</v>
      </c>
      <c r="BV567" s="995">
        <f t="shared" si="1077"/>
        <v>-4370.96</v>
      </c>
      <c r="BW567" s="995">
        <f>-BW587-BW589</f>
        <v>-4378.3159999999998</v>
      </c>
      <c r="BX567" s="996">
        <f t="shared" si="1077"/>
        <v>-4299.9549999999999</v>
      </c>
      <c r="BY567" s="995">
        <f t="shared" si="1077"/>
        <v>-5370.1779999999999</v>
      </c>
      <c r="BZ567" s="995">
        <f t="shared" si="1077"/>
        <v>-6356.0889999999999</v>
      </c>
      <c r="CA567" s="995">
        <f t="shared" si="1077"/>
        <v>-7253.3280000000004</v>
      </c>
      <c r="CB567" s="996">
        <f t="shared" si="1077"/>
        <v>-7401.476999999999</v>
      </c>
      <c r="CC567" s="995">
        <f t="shared" si="1077"/>
        <v>-5381.8093590620147</v>
      </c>
      <c r="CD567" s="995">
        <f t="shared" si="1077"/>
        <v>-5946.8408265577709</v>
      </c>
      <c r="CE567" s="995">
        <f t="shared" si="1077"/>
        <v>-7198.6224858849055</v>
      </c>
      <c r="CF567" s="996">
        <f t="shared" si="1077"/>
        <v>-8044.7543886833337</v>
      </c>
      <c r="CG567" s="1027"/>
      <c r="CH567" s="1000"/>
      <c r="CI567" s="995"/>
      <c r="CJ567" s="995"/>
      <c r="CK567" s="995"/>
      <c r="CL567" s="995"/>
      <c r="CM567" s="995"/>
      <c r="CN567" s="995"/>
      <c r="CO567" s="995"/>
      <c r="CP567" s="995"/>
      <c r="CQ567" s="995">
        <f t="shared" ref="CQ567:CX567" si="1078">-CQ587-CQ589</f>
        <v>-1662.2179999999998</v>
      </c>
      <c r="CR567" s="995">
        <f t="shared" si="1078"/>
        <v>-2657.663</v>
      </c>
      <c r="CS567" s="995">
        <f t="shared" si="1078"/>
        <v>-5183.1939999999995</v>
      </c>
      <c r="CT567" s="995">
        <f t="shared" si="1078"/>
        <v>-6752.7139999999999</v>
      </c>
      <c r="CU567" s="995">
        <f t="shared" si="1078"/>
        <v>-4290.8329999999996</v>
      </c>
      <c r="CV567" s="995">
        <f t="shared" si="1078"/>
        <v>-2648.5110000000004</v>
      </c>
      <c r="CW567" s="995">
        <f t="shared" si="1078"/>
        <v>-4299.9549999999999</v>
      </c>
      <c r="CX567" s="995">
        <f t="shared" si="1078"/>
        <v>-7401.476999999999</v>
      </c>
      <c r="CY567" s="995">
        <f t="shared" ref="CY567:DF567" si="1079">-CY587-CY589</f>
        <v>-8044.7543886833337</v>
      </c>
      <c r="CZ567" s="995">
        <f t="shared" si="1079"/>
        <v>-10739.499122760251</v>
      </c>
      <c r="DA567" s="995">
        <f t="shared" si="1079"/>
        <v>-13168.377911705404</v>
      </c>
      <c r="DB567" s="995">
        <f t="shared" si="1079"/>
        <v>-16356.373460528193</v>
      </c>
      <c r="DC567" s="995">
        <f t="shared" si="1079"/>
        <v>-21980.120567033933</v>
      </c>
      <c r="DD567" s="995">
        <f t="shared" si="1079"/>
        <v>-29195.116195206625</v>
      </c>
      <c r="DE567" s="995">
        <f t="shared" si="1079"/>
        <v>-36066.580596545093</v>
      </c>
      <c r="DF567" s="996">
        <f t="shared" si="1079"/>
        <v>-44414.897520900457</v>
      </c>
    </row>
    <row r="568" spans="1:113" s="1028" customFormat="1" ht="11.25" customHeight="1">
      <c r="A568" s="1024"/>
      <c r="B568"/>
      <c r="C568"/>
      <c r="D568"/>
      <c r="E568"/>
      <c r="F568"/>
      <c r="G568"/>
      <c r="H568" s="1044"/>
      <c r="I568" s="1176" t="s">
        <v>419</v>
      </c>
      <c r="J568" s="1025"/>
      <c r="K568" s="1025"/>
      <c r="L568" s="1026"/>
      <c r="M568" s="995"/>
      <c r="N568" s="995"/>
      <c r="O568" s="995"/>
      <c r="P568" s="996"/>
      <c r="Q568" s="995"/>
      <c r="R568" s="995"/>
      <c r="S568" s="995"/>
      <c r="T568" s="996"/>
      <c r="U568" s="995"/>
      <c r="V568" s="995"/>
      <c r="W568" s="995"/>
      <c r="X568" s="996"/>
      <c r="Y568" s="995"/>
      <c r="Z568" s="995"/>
      <c r="AA568" s="995"/>
      <c r="AB568" s="996"/>
      <c r="AC568" s="995"/>
      <c r="AD568" s="995"/>
      <c r="AE568" s="995"/>
      <c r="AF568" s="996"/>
      <c r="AG568" s="995"/>
      <c r="AH568" s="995"/>
      <c r="AI568" s="995"/>
      <c r="AJ568" s="996"/>
      <c r="AK568" s="995"/>
      <c r="AL568" s="995"/>
      <c r="AM568" s="995"/>
      <c r="AN568" s="996"/>
      <c r="AO568" s="995"/>
      <c r="AP568" s="995"/>
      <c r="AQ568" s="995"/>
      <c r="AR568" s="996"/>
      <c r="AS568" s="995"/>
      <c r="AT568" s="995"/>
      <c r="AU568" s="995"/>
      <c r="AV568" s="996"/>
      <c r="AW568" s="995"/>
      <c r="AX568" s="995"/>
      <c r="AY568" s="995"/>
      <c r="AZ568" s="996"/>
      <c r="BA568" s="995"/>
      <c r="BB568" s="995"/>
      <c r="BC568" s="995"/>
      <c r="BD568" s="996"/>
      <c r="BE568" s="995"/>
      <c r="BF568" s="995"/>
      <c r="BG568" s="995"/>
      <c r="BH568" s="996"/>
      <c r="BI568" s="995">
        <f>-BI607</f>
        <v>-250.54599999999999</v>
      </c>
      <c r="BJ568" s="995">
        <f t="shared" ref="BJ568:CF568" si="1080">-BJ607</f>
        <v>-316.25099999999998</v>
      </c>
      <c r="BK568" s="995">
        <f t="shared" si="1080"/>
        <v>-312.89600000000002</v>
      </c>
      <c r="BL568" s="996">
        <f t="shared" si="1080"/>
        <v>-247.345</v>
      </c>
      <c r="BM568" s="995">
        <f t="shared" si="1080"/>
        <v>-299.411</v>
      </c>
      <c r="BN568" s="995">
        <f t="shared" si="1080"/>
        <v>-340.90300000000002</v>
      </c>
      <c r="BO568" s="995">
        <f t="shared" si="1080"/>
        <v>-525.44100000000003</v>
      </c>
      <c r="BP568" s="996">
        <f t="shared" si="1080"/>
        <v>-281.48</v>
      </c>
      <c r="BQ568" s="995">
        <f>-BQ607</f>
        <v>-567.322</v>
      </c>
      <c r="BR568" s="995">
        <f t="shared" si="1080"/>
        <v>-367.221</v>
      </c>
      <c r="BS568" s="995">
        <f t="shared" ref="BS568:BU569" si="1081">-BS607</f>
        <v>-388.52800000000002</v>
      </c>
      <c r="BT568" s="996">
        <f t="shared" si="1081"/>
        <v>-322.84199999999998</v>
      </c>
      <c r="BU568" s="995">
        <f t="shared" si="1081"/>
        <v>-334.78300000000002</v>
      </c>
      <c r="BV568" s="995">
        <f t="shared" si="1080"/>
        <v>-431.87</v>
      </c>
      <c r="BW568" s="995">
        <f>-BW607</f>
        <v>-494.60700000000003</v>
      </c>
      <c r="BX568" s="996">
        <f t="shared" si="1080"/>
        <v>-419.108</v>
      </c>
      <c r="BY568" s="995">
        <f t="shared" si="1080"/>
        <v>-407.57499999999999</v>
      </c>
      <c r="BZ568" s="995">
        <f t="shared" si="1080"/>
        <v>-598.20000000000005</v>
      </c>
      <c r="CA568" s="995">
        <f t="shared" si="1080"/>
        <v>-805.74</v>
      </c>
      <c r="CB568" s="996">
        <f t="shared" si="1080"/>
        <v>-667.52300000000002</v>
      </c>
      <c r="CC568" s="995">
        <f t="shared" si="1080"/>
        <v>-473.4445042197637</v>
      </c>
      <c r="CD568" s="995">
        <f t="shared" si="1080"/>
        <v>-699.98027429135811</v>
      </c>
      <c r="CE568" s="995">
        <f t="shared" si="1080"/>
        <v>-899.903180330091</v>
      </c>
      <c r="CF568" s="996">
        <f t="shared" si="1080"/>
        <v>-803.55189246266514</v>
      </c>
      <c r="CG568" s="1027"/>
      <c r="CH568" s="1000"/>
      <c r="CI568" s="995"/>
      <c r="CJ568" s="995"/>
      <c r="CK568" s="995"/>
      <c r="CL568" s="995"/>
      <c r="CM568" s="995"/>
      <c r="CN568" s="995"/>
      <c r="CO568" s="995"/>
      <c r="CP568" s="995"/>
      <c r="CQ568" s="995">
        <f t="shared" ref="CQ568:CS569" si="1082">-CQ607</f>
        <v>-90.311000000000007</v>
      </c>
      <c r="CR568" s="995">
        <f t="shared" si="1082"/>
        <v>-146.86699999999999</v>
      </c>
      <c r="CS568" s="995">
        <f t="shared" si="1082"/>
        <v>-184.648</v>
      </c>
      <c r="CT568" s="995">
        <f t="shared" ref="CT568:CX569" si="1083">-CT607</f>
        <v>-247.345</v>
      </c>
      <c r="CU568" s="995">
        <f t="shared" si="1083"/>
        <v>-281.48</v>
      </c>
      <c r="CV568" s="995">
        <f t="shared" si="1083"/>
        <v>-322.84199999999998</v>
      </c>
      <c r="CW568" s="995">
        <f t="shared" si="1083"/>
        <v>-419.108</v>
      </c>
      <c r="CX568" s="995">
        <f t="shared" si="1083"/>
        <v>-667.52300000000002</v>
      </c>
      <c r="CY568" s="995">
        <f t="shared" ref="CY568:DF569" si="1084">-CY607</f>
        <v>-803.55189246266514</v>
      </c>
      <c r="CZ568" s="995">
        <f t="shared" si="1084"/>
        <v>-889.55420616827359</v>
      </c>
      <c r="DA568" s="995">
        <f t="shared" si="1084"/>
        <v>-964.54945620754461</v>
      </c>
      <c r="DB568" s="995">
        <f t="shared" si="1084"/>
        <v>-1040.7465853620909</v>
      </c>
      <c r="DC568" s="995">
        <f t="shared" si="1084"/>
        <v>-1099.8750482523258</v>
      </c>
      <c r="DD568" s="995">
        <f t="shared" si="1084"/>
        <v>-1153.2191345506351</v>
      </c>
      <c r="DE568" s="995">
        <f t="shared" si="1084"/>
        <v>-1225.1255919059142</v>
      </c>
      <c r="DF568" s="996">
        <f t="shared" si="1084"/>
        <v>-1308.4591797874364</v>
      </c>
    </row>
    <row r="569" spans="1:113" s="1028" customFormat="1" ht="11.25" customHeight="1">
      <c r="A569" s="1024"/>
      <c r="B569"/>
      <c r="C569"/>
      <c r="D569"/>
      <c r="E569"/>
      <c r="F569"/>
      <c r="G569"/>
      <c r="H569" s="1044"/>
      <c r="I569" s="1177" t="s">
        <v>420</v>
      </c>
      <c r="J569" s="1029"/>
      <c r="K569" s="1029"/>
      <c r="L569" s="1030"/>
      <c r="M569" s="1001"/>
      <c r="N569" s="1001"/>
      <c r="O569" s="1001"/>
      <c r="P569" s="1002"/>
      <c r="Q569" s="1001"/>
      <c r="R569" s="1001"/>
      <c r="S569" s="1001"/>
      <c r="T569" s="1002"/>
      <c r="U569" s="1001"/>
      <c r="V569" s="1001"/>
      <c r="W569" s="1001"/>
      <c r="X569" s="1002"/>
      <c r="Y569" s="1001"/>
      <c r="Z569" s="1001"/>
      <c r="AA569" s="1001"/>
      <c r="AB569" s="1002"/>
      <c r="AC569" s="1001"/>
      <c r="AD569" s="1001"/>
      <c r="AE569" s="1001"/>
      <c r="AF569" s="1002"/>
      <c r="AG569" s="1001"/>
      <c r="AH569" s="1001"/>
      <c r="AI569" s="1001"/>
      <c r="AJ569" s="1002"/>
      <c r="AK569" s="1001"/>
      <c r="AL569" s="1001"/>
      <c r="AM569" s="1001"/>
      <c r="AN569" s="1002"/>
      <c r="AO569" s="1001"/>
      <c r="AP569" s="1001"/>
      <c r="AQ569" s="1001"/>
      <c r="AR569" s="1002"/>
      <c r="AS569" s="1001"/>
      <c r="AT569" s="1001"/>
      <c r="AU569" s="1001"/>
      <c r="AV569" s="1002"/>
      <c r="AW569" s="1001"/>
      <c r="AX569" s="1001"/>
      <c r="AY569" s="1001"/>
      <c r="AZ569" s="1002"/>
      <c r="BA569" s="1001"/>
      <c r="BB569" s="1001"/>
      <c r="BC569" s="1001"/>
      <c r="BD569" s="1002"/>
      <c r="BE569" s="1001"/>
      <c r="BF569" s="1001"/>
      <c r="BG569" s="1001"/>
      <c r="BH569" s="1002"/>
      <c r="BI569" s="1001">
        <f>-BI608</f>
        <v>-425.03199999999998</v>
      </c>
      <c r="BJ569" s="1001">
        <f t="shared" ref="BJ569:CF569" si="1085">-BJ608</f>
        <v>-387.33600000000001</v>
      </c>
      <c r="BK569" s="1001">
        <f t="shared" si="1085"/>
        <v>-544.02099999999996</v>
      </c>
      <c r="BL569" s="1002">
        <f t="shared" si="1085"/>
        <v>-545.34199999999998</v>
      </c>
      <c r="BM569" s="1001">
        <f t="shared" si="1085"/>
        <v>-561.91499999999996</v>
      </c>
      <c r="BN569" s="1001">
        <f t="shared" si="1085"/>
        <v>-555.71600000000001</v>
      </c>
      <c r="BO569" s="1001">
        <f t="shared" si="1085"/>
        <v>-609.07100000000003</v>
      </c>
      <c r="BP569" s="1002">
        <f t="shared" si="1085"/>
        <v>-600.75800000000004</v>
      </c>
      <c r="BQ569" s="1001">
        <f>-BQ608</f>
        <v>-610.76400000000001</v>
      </c>
      <c r="BR569" s="1001">
        <f t="shared" si="1085"/>
        <v>-903.64099999999996</v>
      </c>
      <c r="BS569" s="1001">
        <f t="shared" si="1081"/>
        <v>-780.78399999999999</v>
      </c>
      <c r="BT569" s="1002">
        <f t="shared" si="1081"/>
        <v>-681.58699999999999</v>
      </c>
      <c r="BU569" s="1001">
        <f t="shared" si="1081"/>
        <v>-1117.2550000000001</v>
      </c>
      <c r="BV569" s="1001">
        <f t="shared" si="1085"/>
        <v>-1019.513</v>
      </c>
      <c r="BW569" s="1001">
        <f>-BW608</f>
        <v>-882.08100000000002</v>
      </c>
      <c r="BX569" s="1002">
        <f t="shared" si="1085"/>
        <v>-857.46699999999998</v>
      </c>
      <c r="BY569" s="1001">
        <f t="shared" si="1085"/>
        <v>-986.68100000000004</v>
      </c>
      <c r="BZ569" s="1001">
        <f t="shared" si="1085"/>
        <v>-1073.6320000000001</v>
      </c>
      <c r="CA569" s="1001">
        <f t="shared" si="1085"/>
        <v>-1091.3720000000001</v>
      </c>
      <c r="CB569" s="1002">
        <f t="shared" si="1085"/>
        <v>-1138.98</v>
      </c>
      <c r="CC569" s="1001">
        <f t="shared" si="1085"/>
        <v>-1168.8021335570013</v>
      </c>
      <c r="CD569" s="1001">
        <f t="shared" si="1085"/>
        <v>-1281.1427647684986</v>
      </c>
      <c r="CE569" s="1001">
        <f t="shared" si="1085"/>
        <v>-1243.0149667921785</v>
      </c>
      <c r="CF569" s="1002">
        <f t="shared" si="1085"/>
        <v>-1398.1909287274664</v>
      </c>
      <c r="CG569" s="1027"/>
      <c r="CH569" s="1000"/>
      <c r="CI569" s="995"/>
      <c r="CJ569" s="995"/>
      <c r="CK569" s="995"/>
      <c r="CL569" s="995"/>
      <c r="CM569" s="995"/>
      <c r="CN569" s="995"/>
      <c r="CO569" s="995"/>
      <c r="CP569" s="1001"/>
      <c r="CQ569" s="1001">
        <f t="shared" si="1082"/>
        <v>-243.767</v>
      </c>
      <c r="CR569" s="1001">
        <f t="shared" si="1082"/>
        <v>-222.13399999999999</v>
      </c>
      <c r="CS569" s="1001">
        <f t="shared" si="1082"/>
        <v>-387.911</v>
      </c>
      <c r="CT569" s="1001">
        <f t="shared" si="1083"/>
        <v>-545.34199999999998</v>
      </c>
      <c r="CU569" s="1001">
        <f t="shared" si="1083"/>
        <v>-600.75800000000004</v>
      </c>
      <c r="CV569" s="1001">
        <f t="shared" si="1083"/>
        <v>-681.58699999999999</v>
      </c>
      <c r="CW569" s="1001">
        <f t="shared" si="1083"/>
        <v>-857.46699999999998</v>
      </c>
      <c r="CX569" s="1001">
        <f t="shared" si="1083"/>
        <v>-1138.98</v>
      </c>
      <c r="CY569" s="1001">
        <f t="shared" si="1084"/>
        <v>-1398.1909287274664</v>
      </c>
      <c r="CZ569" s="1001">
        <f t="shared" si="1084"/>
        <v>-1539.8984719157588</v>
      </c>
      <c r="DA569" s="1001">
        <f t="shared" si="1084"/>
        <v>-1704.149264007287</v>
      </c>
      <c r="DB569" s="1001">
        <f t="shared" si="1084"/>
        <v>-1857.5360214502775</v>
      </c>
      <c r="DC569" s="1001">
        <f t="shared" si="1084"/>
        <v>-1983.3069826285544</v>
      </c>
      <c r="DD569" s="1001">
        <f t="shared" si="1084"/>
        <v>-2111.6548153094413</v>
      </c>
      <c r="DE569" s="1001">
        <f t="shared" si="1084"/>
        <v>-2220.6626111351547</v>
      </c>
      <c r="DF569" s="1002">
        <f t="shared" si="1084"/>
        <v>-2335.9586016368116</v>
      </c>
    </row>
    <row r="570" spans="1:113" s="584" customFormat="1" ht="11.25" customHeight="1">
      <c r="A570" s="542"/>
      <c r="B570"/>
      <c r="C570"/>
      <c r="D570"/>
      <c r="E570"/>
      <c r="F570"/>
      <c r="G570"/>
      <c r="H570" s="1052"/>
      <c r="I570" s="579" t="s">
        <v>421</v>
      </c>
      <c r="J570" s="580"/>
      <c r="K570" s="580"/>
      <c r="L570" s="542"/>
      <c r="M570" s="543"/>
      <c r="N570" s="543"/>
      <c r="O570" s="543"/>
      <c r="P570" s="1003"/>
      <c r="Q570" s="543"/>
      <c r="R570" s="543"/>
      <c r="S570" s="543"/>
      <c r="T570" s="1003"/>
      <c r="U570" s="1004"/>
      <c r="V570" s="1004"/>
      <c r="W570" s="1004"/>
      <c r="X570" s="1005"/>
      <c r="Y570" s="1004"/>
      <c r="Z570" s="1004"/>
      <c r="AA570" s="1004"/>
      <c r="AB570" s="1005"/>
      <c r="AC570" s="1004"/>
      <c r="AD570" s="1004"/>
      <c r="AE570" s="1004"/>
      <c r="AF570" s="1005"/>
      <c r="AG570" s="1004"/>
      <c r="AH570" s="1004"/>
      <c r="AI570" s="1004"/>
      <c r="AJ570" s="1005"/>
      <c r="AK570" s="1004"/>
      <c r="AL570" s="1004"/>
      <c r="AM570" s="1004"/>
      <c r="AN570" s="1005"/>
      <c r="AO570" s="1004"/>
      <c r="AP570" s="1004"/>
      <c r="AQ570" s="1004"/>
      <c r="AR570" s="1005"/>
      <c r="AS570" s="1004"/>
      <c r="AT570" s="1004"/>
      <c r="AU570" s="1004"/>
      <c r="AV570" s="1005"/>
      <c r="AW570" s="1004"/>
      <c r="AX570" s="1004"/>
      <c r="AY570" s="1004"/>
      <c r="AZ570" s="1005"/>
      <c r="BA570" s="1004"/>
      <c r="BB570" s="1004"/>
      <c r="BC570" s="1004"/>
      <c r="BD570" s="1005"/>
      <c r="BE570" s="1004"/>
      <c r="BF570" s="1004"/>
      <c r="BG570" s="1004"/>
      <c r="BH570" s="1005"/>
      <c r="BI570" s="1004">
        <f t="shared" ref="BI570:CF570" si="1086">SUM(BI566:BI569)</f>
        <v>997.93200000000024</v>
      </c>
      <c r="BJ570" s="1004">
        <f t="shared" si="1086"/>
        <v>3218.7099999999991</v>
      </c>
      <c r="BK570" s="1004">
        <f t="shared" si="1086"/>
        <v>3005.1180000000004</v>
      </c>
      <c r="BL570" s="1005">
        <f t="shared" si="1086"/>
        <v>2899.0589999999993</v>
      </c>
      <c r="BM570" s="1004">
        <f t="shared" si="1086"/>
        <v>3241.8500000000013</v>
      </c>
      <c r="BN570" s="1004">
        <f t="shared" si="1086"/>
        <v>3538.998</v>
      </c>
      <c r="BO570" s="1004">
        <f t="shared" si="1086"/>
        <v>7812.7909999999993</v>
      </c>
      <c r="BP570" s="1005">
        <f t="shared" si="1086"/>
        <v>9767.4920000000002</v>
      </c>
      <c r="BQ570" s="1004">
        <f>SUM(BQ566:BQ569)</f>
        <v>11028.950999999999</v>
      </c>
      <c r="BR570" s="1004">
        <f t="shared" si="1086"/>
        <v>12568.408000000001</v>
      </c>
      <c r="BS570" s="1004">
        <f>SUM(BS566:BS569)</f>
        <v>12392.616</v>
      </c>
      <c r="BT570" s="1005">
        <f>SUM(BT566:BT569)</f>
        <v>13767.635</v>
      </c>
      <c r="BU570" s="1004">
        <f>SUM(BU566:BU569)</f>
        <v>13499.705999999998</v>
      </c>
      <c r="BV570" s="1004">
        <f t="shared" si="1086"/>
        <v>13864.826999999997</v>
      </c>
      <c r="BW570" s="1004">
        <f>SUM(BW566:BW569)</f>
        <v>14278.78</v>
      </c>
      <c r="BX570" s="1005">
        <f t="shared" si="1086"/>
        <v>14262.442999999997</v>
      </c>
      <c r="BY570" s="1004">
        <f t="shared" si="1086"/>
        <v>15229.817999999999</v>
      </c>
      <c r="BZ570" s="1004">
        <f t="shared" si="1086"/>
        <v>15430.402</v>
      </c>
      <c r="CA570" s="1004">
        <f t="shared" si="1086"/>
        <v>16638.670999999998</v>
      </c>
      <c r="CB570" s="1005">
        <f t="shared" si="1086"/>
        <v>16243.282999999999</v>
      </c>
      <c r="CC570" s="1004">
        <f t="shared" si="1086"/>
        <v>16730.284574541605</v>
      </c>
      <c r="CD570" s="1004">
        <f t="shared" si="1086"/>
        <v>16769.1155068689</v>
      </c>
      <c r="CE570" s="1004">
        <f t="shared" si="1086"/>
        <v>16415.338502727256</v>
      </c>
      <c r="CF570" s="1005">
        <f t="shared" si="1086"/>
        <v>16198.071779765893</v>
      </c>
      <c r="CG570" s="1003"/>
      <c r="CH570" s="1006"/>
      <c r="CI570" s="543"/>
      <c r="CJ570" s="1004"/>
      <c r="CK570" s="1004"/>
      <c r="CL570" s="1004"/>
      <c r="CM570" s="1004"/>
      <c r="CN570" s="1004"/>
      <c r="CO570" s="1004"/>
      <c r="CP570" s="1004"/>
      <c r="CQ570" s="1004">
        <f t="shared" ref="CQ570:CX570" si="1087">SUM(CQ566:CQ569)</f>
        <v>909.65700000000015</v>
      </c>
      <c r="CR570" s="1004">
        <f t="shared" si="1087"/>
        <v>944.00700000000029</v>
      </c>
      <c r="CS570" s="1004">
        <f t="shared" si="1087"/>
        <v>813.98900000000071</v>
      </c>
      <c r="CT570" s="1004">
        <f t="shared" si="1087"/>
        <v>2899.0589999999993</v>
      </c>
      <c r="CU570" s="1004">
        <f t="shared" si="1087"/>
        <v>9767.4920000000002</v>
      </c>
      <c r="CV570" s="1004">
        <f t="shared" si="1087"/>
        <v>13767.635</v>
      </c>
      <c r="CW570" s="1004">
        <f t="shared" si="1087"/>
        <v>14262.442999999997</v>
      </c>
      <c r="CX570" s="1004">
        <f t="shared" si="1087"/>
        <v>16243.282999999999</v>
      </c>
      <c r="CY570" s="1004">
        <f t="shared" ref="CY570:DF570" si="1088">SUM(CY566:CY569)</f>
        <v>16198.071779765893</v>
      </c>
      <c r="CZ570" s="1004">
        <f t="shared" si="1088"/>
        <v>16203.460842342436</v>
      </c>
      <c r="DA570" s="1004">
        <f t="shared" si="1088"/>
        <v>16191.302743318603</v>
      </c>
      <c r="DB570" s="1004">
        <f t="shared" si="1088"/>
        <v>16134.671182159987</v>
      </c>
      <c r="DC570" s="1004">
        <f t="shared" si="1088"/>
        <v>16037.489646339618</v>
      </c>
      <c r="DD570" s="1004">
        <f t="shared" si="1088"/>
        <v>15878.098763885188</v>
      </c>
      <c r="DE570" s="1004">
        <f t="shared" si="1088"/>
        <v>15642.607287206003</v>
      </c>
      <c r="DF570" s="1005">
        <f t="shared" si="1088"/>
        <v>15328.187777606916</v>
      </c>
      <c r="DG570" s="632"/>
      <c r="DH570" s="632"/>
    </row>
    <row r="571" spans="1:113" s="584" customFormat="1" ht="11.25" customHeight="1">
      <c r="A571" s="542"/>
      <c r="B571"/>
      <c r="C571"/>
      <c r="D571"/>
      <c r="E571"/>
      <c r="F571"/>
      <c r="G571"/>
      <c r="H571" s="1052"/>
      <c r="I571" s="579"/>
      <c r="J571" s="580"/>
      <c r="K571" s="580"/>
      <c r="L571" s="542"/>
      <c r="M571" s="543"/>
      <c r="N571" s="543"/>
      <c r="O571" s="543"/>
      <c r="P571" s="1003"/>
      <c r="Q571" s="543"/>
      <c r="R571" s="543"/>
      <c r="S571" s="543"/>
      <c r="T571" s="1003"/>
      <c r="U571" s="1004"/>
      <c r="V571" s="1004"/>
      <c r="W571" s="1004"/>
      <c r="X571" s="1005"/>
      <c r="Y571" s="1004"/>
      <c r="Z571" s="1004"/>
      <c r="AA571" s="1004"/>
      <c r="AB571" s="1005"/>
      <c r="AC571" s="1004"/>
      <c r="AD571" s="1004"/>
      <c r="AE571" s="1004"/>
      <c r="AF571" s="1005"/>
      <c r="AG571" s="1004"/>
      <c r="AH571" s="1004"/>
      <c r="AI571" s="1004"/>
      <c r="AJ571" s="1005"/>
      <c r="AK571" s="1004"/>
      <c r="AL571" s="1004"/>
      <c r="AM571" s="1004"/>
      <c r="AN571" s="1005"/>
      <c r="AO571" s="1004"/>
      <c r="AP571" s="1004"/>
      <c r="AQ571" s="1004"/>
      <c r="AR571" s="1005"/>
      <c r="AS571" s="1004"/>
      <c r="AT571" s="1004"/>
      <c r="AU571" s="1004"/>
      <c r="AV571" s="1005"/>
      <c r="AW571" s="1004"/>
      <c r="AX571" s="1004"/>
      <c r="AY571" s="1004"/>
      <c r="AZ571" s="1005"/>
      <c r="BA571" s="1004"/>
      <c r="BB571" s="1004"/>
      <c r="BC571" s="1004"/>
      <c r="BD571" s="1005"/>
      <c r="BE571" s="1004"/>
      <c r="BF571" s="1004"/>
      <c r="BG571" s="1004"/>
      <c r="BH571" s="1005"/>
      <c r="BI571" s="1004"/>
      <c r="BJ571" s="1004"/>
      <c r="BK571" s="1004"/>
      <c r="BL571" s="1005"/>
      <c r="BM571" s="1004"/>
      <c r="BN571" s="1004"/>
      <c r="BO571" s="1004"/>
      <c r="BP571" s="1005"/>
      <c r="BQ571" s="1004"/>
      <c r="BR571" s="1004"/>
      <c r="BS571" s="1004"/>
      <c r="BT571" s="1005"/>
      <c r="BU571" s="1004"/>
      <c r="BV571" s="1004"/>
      <c r="BW571" s="1004"/>
      <c r="BX571" s="1005"/>
      <c r="BY571" s="1004"/>
      <c r="BZ571" s="1004"/>
      <c r="CA571" s="1004"/>
      <c r="CB571" s="1005"/>
      <c r="CC571" s="1004"/>
      <c r="CD571" s="1004"/>
      <c r="CE571" s="1004"/>
      <c r="CF571" s="1005"/>
      <c r="CG571" s="1003"/>
      <c r="CH571" s="1006"/>
      <c r="CI571" s="543"/>
      <c r="CJ571" s="1004"/>
      <c r="CK571" s="1004"/>
      <c r="CL571" s="1004"/>
      <c r="CM571" s="1004"/>
      <c r="CN571" s="1004"/>
      <c r="CO571" s="1004"/>
      <c r="CP571" s="1004"/>
      <c r="CQ571" s="1004"/>
      <c r="CR571" s="1004"/>
      <c r="CS571" s="1004"/>
      <c r="CT571" s="1004"/>
      <c r="CU571" s="1004"/>
      <c r="CV571" s="1004"/>
      <c r="CW571" s="1004"/>
      <c r="CX571" s="1004"/>
      <c r="CY571" s="1004"/>
      <c r="CZ571" s="1004"/>
      <c r="DA571" s="1004"/>
      <c r="DB571" s="1004"/>
      <c r="DC571" s="1004"/>
      <c r="DD571" s="1004"/>
      <c r="DE571" s="1004"/>
      <c r="DF571" s="1005"/>
      <c r="DG571" s="632"/>
      <c r="DH571" s="632"/>
    </row>
    <row r="572" spans="1:113" s="584" customFormat="1" ht="11.25" customHeight="1">
      <c r="A572" s="542"/>
      <c r="B572"/>
      <c r="C572"/>
      <c r="D572"/>
      <c r="E572"/>
      <c r="F572"/>
      <c r="G572"/>
      <c r="H572" s="1052"/>
      <c r="I572" s="579" t="s">
        <v>422</v>
      </c>
      <c r="J572" s="580"/>
      <c r="K572" s="580"/>
      <c r="L572" s="542"/>
      <c r="M572" s="543"/>
      <c r="N572" s="543"/>
      <c r="O572" s="543"/>
      <c r="P572" s="1003"/>
      <c r="Q572" s="543"/>
      <c r="R572" s="543"/>
      <c r="S572" s="543"/>
      <c r="T572" s="1003"/>
      <c r="U572" s="1004"/>
      <c r="V572" s="1004"/>
      <c r="W572" s="1004"/>
      <c r="X572" s="1005"/>
      <c r="Y572" s="1004"/>
      <c r="Z572" s="1004"/>
      <c r="AA572" s="1004"/>
      <c r="AB572" s="1005"/>
      <c r="AC572" s="1004"/>
      <c r="AD572" s="1004"/>
      <c r="AE572" s="1004"/>
      <c r="AF572" s="1005"/>
      <c r="AG572" s="1004"/>
      <c r="AH572" s="1004"/>
      <c r="AI572" s="1004"/>
      <c r="AJ572" s="1005"/>
      <c r="AK572" s="1004"/>
      <c r="AL572" s="1004"/>
      <c r="AM572" s="1004"/>
      <c r="AN572" s="1005"/>
      <c r="AO572" s="1004"/>
      <c r="AP572" s="1004"/>
      <c r="AQ572" s="1004"/>
      <c r="AR572" s="1005"/>
      <c r="AS572" s="1004"/>
      <c r="AT572" s="1004"/>
      <c r="AU572" s="1004"/>
      <c r="AV572" s="1005"/>
      <c r="AW572" s="1004"/>
      <c r="AX572" s="1004"/>
      <c r="AY572" s="1004"/>
      <c r="AZ572" s="1005"/>
      <c r="BA572" s="1004"/>
      <c r="BB572" s="1004"/>
      <c r="BC572" s="1004"/>
      <c r="BD572" s="1005"/>
      <c r="BE572" s="1004"/>
      <c r="BF572" s="1004"/>
      <c r="BG572" s="1004"/>
      <c r="BH572" s="1005"/>
      <c r="BI572" s="1004"/>
      <c r="BJ572" s="1004"/>
      <c r="BK572" s="1004"/>
      <c r="BL572" s="1005"/>
      <c r="BM572" s="1004"/>
      <c r="BN572" s="1004"/>
      <c r="BO572" s="1004"/>
      <c r="BP572" s="1005"/>
      <c r="BQ572" s="1004"/>
      <c r="BR572" s="1004"/>
      <c r="BS572" s="1004"/>
      <c r="BT572" s="1005"/>
      <c r="BU572" s="1004"/>
      <c r="BV572" s="1004"/>
      <c r="BW572" s="1004"/>
      <c r="BX572" s="1005"/>
      <c r="BY572" s="1004"/>
      <c r="BZ572" s="1004"/>
      <c r="CA572" s="1004"/>
      <c r="CB572" s="1005"/>
      <c r="CC572" s="1004"/>
      <c r="CD572" s="1004"/>
      <c r="CE572" s="1004"/>
      <c r="CF572" s="1005"/>
      <c r="CG572" s="1003"/>
      <c r="CH572" s="1006"/>
      <c r="CI572" s="543"/>
      <c r="CJ572" s="1004"/>
      <c r="CK572" s="1004"/>
      <c r="CL572" s="1004"/>
      <c r="CM572" s="1004"/>
      <c r="CN572" s="1004"/>
      <c r="CO572" s="1004"/>
      <c r="CP572" s="1004"/>
      <c r="CQ572" s="1004"/>
      <c r="CR572" s="1004"/>
      <c r="CS572" s="1004"/>
      <c r="CT572" s="1004"/>
      <c r="CU572" s="1004"/>
      <c r="CV572" s="1004"/>
      <c r="CW572" s="1004"/>
      <c r="CX572" s="1004"/>
      <c r="CY572" s="1004"/>
      <c r="CZ572" s="1004"/>
      <c r="DA572" s="1004"/>
      <c r="DB572" s="1004"/>
      <c r="DC572" s="1004"/>
      <c r="DD572" s="1004"/>
      <c r="DE572" s="1004"/>
      <c r="DF572" s="1005"/>
      <c r="DG572" s="632"/>
      <c r="DH572" s="632"/>
    </row>
    <row r="573" spans="1:113" s="584" customFormat="1" ht="11.25" customHeight="1">
      <c r="A573" s="542"/>
      <c r="B573"/>
      <c r="C573"/>
      <c r="D573"/>
      <c r="E573"/>
      <c r="F573"/>
      <c r="G573"/>
      <c r="H573" s="1052"/>
      <c r="I573" s="555" t="s">
        <v>423</v>
      </c>
      <c r="J573" s="580"/>
      <c r="K573" s="580"/>
      <c r="L573" s="542"/>
      <c r="M573" s="543"/>
      <c r="N573" s="543"/>
      <c r="O573" s="543"/>
      <c r="P573" s="1003"/>
      <c r="Q573" s="543"/>
      <c r="R573" s="543"/>
      <c r="S573" s="543"/>
      <c r="T573" s="1003"/>
      <c r="U573" s="1004"/>
      <c r="V573" s="1004"/>
      <c r="W573" s="1004"/>
      <c r="X573" s="1005"/>
      <c r="Y573" s="1004"/>
      <c r="Z573" s="1004"/>
      <c r="AA573" s="1004"/>
      <c r="AB573" s="1005"/>
      <c r="AC573" s="1004"/>
      <c r="AD573" s="1004"/>
      <c r="AE573" s="1004"/>
      <c r="AF573" s="1005"/>
      <c r="AG573" s="1004"/>
      <c r="AH573" s="1004"/>
      <c r="AI573" s="1004"/>
      <c r="AJ573" s="1005"/>
      <c r="AK573" s="1004"/>
      <c r="AL573" s="1004"/>
      <c r="AM573" s="1004"/>
      <c r="AN573" s="1005"/>
      <c r="AO573" s="1004"/>
      <c r="AP573" s="1004"/>
      <c r="AQ573" s="1004"/>
      <c r="AR573" s="1005"/>
      <c r="AS573" s="1004"/>
      <c r="AT573" s="1004"/>
      <c r="AU573" s="1004"/>
      <c r="AV573" s="1005"/>
      <c r="AW573" s="1004"/>
      <c r="AX573" s="1004"/>
      <c r="AY573" s="1004"/>
      <c r="AZ573" s="1005"/>
      <c r="BA573" s="1004"/>
      <c r="BB573" s="1004"/>
      <c r="BC573" s="1004"/>
      <c r="BD573" s="1005"/>
      <c r="BE573" s="1004"/>
      <c r="BF573" s="1004"/>
      <c r="BG573" s="1004"/>
      <c r="BH573" s="1005"/>
      <c r="BI573" s="1004">
        <f t="shared" ref="BI573:CF573" si="1089">BI79</f>
        <v>361.37599999999986</v>
      </c>
      <c r="BJ573" s="1004">
        <f t="shared" si="1089"/>
        <v>610.77099999999996</v>
      </c>
      <c r="BK573" s="1004">
        <f t="shared" si="1089"/>
        <v>1104.2979999999998</v>
      </c>
      <c r="BL573" s="1005">
        <f t="shared" si="1089"/>
        <v>566.7879999999999</v>
      </c>
      <c r="BM573" s="1004">
        <f t="shared" si="1089"/>
        <v>500.35300000000007</v>
      </c>
      <c r="BN573" s="1004">
        <f t="shared" si="1089"/>
        <v>791.13200000000006</v>
      </c>
      <c r="BO573" s="1004">
        <f t="shared" si="1089"/>
        <v>1404.6250000000002</v>
      </c>
      <c r="BP573" s="1005">
        <f t="shared" si="1089"/>
        <v>693.2059999999999</v>
      </c>
      <c r="BQ573" s="1004">
        <f t="shared" si="1089"/>
        <v>514.90099999999984</v>
      </c>
      <c r="BR573" s="1004">
        <f t="shared" si="1089"/>
        <v>781.14800000000014</v>
      </c>
      <c r="BS573" s="1004">
        <f t="shared" si="1089"/>
        <v>1575.5549999999998</v>
      </c>
      <c r="BT573" s="1005">
        <f t="shared" si="1089"/>
        <v>775.61599999999976</v>
      </c>
      <c r="BU573" s="1004">
        <f t="shared" si="1089"/>
        <v>658.70299999999952</v>
      </c>
      <c r="BV573" s="1004">
        <f t="shared" si="1089"/>
        <v>830.42400000000021</v>
      </c>
      <c r="BW573" s="1004">
        <f t="shared" si="1089"/>
        <v>1869.9500000000005</v>
      </c>
      <c r="BX573" s="1005">
        <f t="shared" si="1089"/>
        <v>906.58599999999979</v>
      </c>
      <c r="BY573" s="1004">
        <f t="shared" si="1089"/>
        <v>658.42799999999988</v>
      </c>
      <c r="BZ573" s="1004">
        <f t="shared" si="1089"/>
        <v>1001.2990000000004</v>
      </c>
      <c r="CA573" s="1004">
        <f t="shared" si="1089"/>
        <v>2213.5190000000002</v>
      </c>
      <c r="CB573" s="1005">
        <f t="shared" si="1089"/>
        <v>1101.1989999999998</v>
      </c>
      <c r="CC573" s="1004">
        <f t="shared" si="1089"/>
        <v>773.45392899676654</v>
      </c>
      <c r="CD573" s="1004">
        <f t="shared" si="1089"/>
        <v>1221.4624903363274</v>
      </c>
      <c r="CE573" s="1004">
        <f t="shared" si="1089"/>
        <v>2563.696760317031</v>
      </c>
      <c r="CF573" s="1005">
        <f t="shared" si="1089"/>
        <v>1395.7045059972868</v>
      </c>
      <c r="CG573" s="1003"/>
      <c r="CH573" s="1006"/>
      <c r="CI573" s="543"/>
      <c r="CJ573" s="1004"/>
      <c r="CK573" s="1004"/>
      <c r="CL573" s="1004"/>
      <c r="CM573" s="1004"/>
      <c r="CN573" s="1004"/>
      <c r="CO573" s="1004"/>
      <c r="CP573" s="1004"/>
      <c r="CQ573" s="1004">
        <f t="shared" ref="CQ573:DF573" si="1090">CQ79</f>
        <v>888.18099999999981</v>
      </c>
      <c r="CR573" s="1004">
        <f t="shared" si="1090"/>
        <v>1497.2560000000005</v>
      </c>
      <c r="CS573" s="1004">
        <f t="shared" si="1090"/>
        <v>1949.8060000000009</v>
      </c>
      <c r="CT573" s="1004">
        <f t="shared" si="1090"/>
        <v>2643.2330000000002</v>
      </c>
      <c r="CU573" s="1004">
        <f t="shared" si="1090"/>
        <v>3389.3159999999989</v>
      </c>
      <c r="CV573" s="1004">
        <f t="shared" si="1090"/>
        <v>3647.2199999999993</v>
      </c>
      <c r="CW573" s="1004">
        <f t="shared" si="1090"/>
        <v>4265.6629999999996</v>
      </c>
      <c r="CX573" s="1004">
        <f t="shared" si="1090"/>
        <v>4974.4449999999988</v>
      </c>
      <c r="CY573" s="1004">
        <f t="shared" si="1090"/>
        <v>5954.3176856474129</v>
      </c>
      <c r="CZ573" s="1004">
        <f t="shared" si="1090"/>
        <v>6781.1990569800637</v>
      </c>
      <c r="DA573" s="1004">
        <f t="shared" si="1090"/>
        <v>7606.2720056045309</v>
      </c>
      <c r="DB573" s="1004">
        <f t="shared" si="1090"/>
        <v>8402.9320092610196</v>
      </c>
      <c r="DC573" s="1004">
        <f t="shared" si="1090"/>
        <v>9182.8424298904265</v>
      </c>
      <c r="DD573" s="1004">
        <f t="shared" si="1090"/>
        <v>9934.3627309137282</v>
      </c>
      <c r="DE573" s="1004">
        <f t="shared" si="1090"/>
        <v>10647.241353698484</v>
      </c>
      <c r="DF573" s="1005">
        <f t="shared" si="1090"/>
        <v>11451.665572382033</v>
      </c>
      <c r="DG573" s="632"/>
      <c r="DH573" s="632"/>
    </row>
    <row r="574" spans="1:113" s="584" customFormat="1" ht="11.25" customHeight="1">
      <c r="A574" s="542"/>
      <c r="B574"/>
      <c r="C574"/>
      <c r="D574"/>
      <c r="E574"/>
      <c r="F574"/>
      <c r="G574"/>
      <c r="H574" s="1052"/>
      <c r="I574" s="555" t="s">
        <v>427</v>
      </c>
      <c r="J574" s="580"/>
      <c r="K574" s="580"/>
      <c r="L574" s="542"/>
      <c r="M574" s="543"/>
      <c r="N574" s="543"/>
      <c r="O574" s="543"/>
      <c r="P574" s="1003"/>
      <c r="Q574" s="543"/>
      <c r="R574" s="543"/>
      <c r="S574" s="543"/>
      <c r="T574" s="1003"/>
      <c r="U574" s="1004"/>
      <c r="V574" s="1004"/>
      <c r="W574" s="1004"/>
      <c r="X574" s="1005"/>
      <c r="Y574" s="1004"/>
      <c r="Z574" s="1004"/>
      <c r="AA574" s="1004"/>
      <c r="AB574" s="1005"/>
      <c r="AC574" s="1004"/>
      <c r="AD574" s="1004"/>
      <c r="AE574" s="1004"/>
      <c r="AF574" s="1005"/>
      <c r="AG574" s="1004"/>
      <c r="AH574" s="1004"/>
      <c r="AI574" s="1004"/>
      <c r="AJ574" s="1005"/>
      <c r="AK574" s="1004"/>
      <c r="AL574" s="1004"/>
      <c r="AM574" s="1004"/>
      <c r="AN574" s="1005"/>
      <c r="AO574" s="1004"/>
      <c r="AP574" s="1004"/>
      <c r="AQ574" s="1004"/>
      <c r="AR574" s="1005"/>
      <c r="AS574" s="1004"/>
      <c r="AT574" s="1004"/>
      <c r="AU574" s="1004"/>
      <c r="AV574" s="1005"/>
      <c r="AW574" s="1004"/>
      <c r="AX574" s="1004"/>
      <c r="AY574" s="1004"/>
      <c r="AZ574" s="1005"/>
      <c r="BA574" s="1004"/>
      <c r="BB574" s="1004"/>
      <c r="BC574" s="1004"/>
      <c r="BD574" s="1005"/>
      <c r="BE574" s="1004"/>
      <c r="BF574" s="1004"/>
      <c r="BG574" s="1004"/>
      <c r="BH574" s="1005"/>
      <c r="BI574" s="1004">
        <f t="shared" ref="BI574:CF574" si="1091">BI73</f>
        <v>309.83899999999994</v>
      </c>
      <c r="BJ574" s="1004">
        <f t="shared" si="1091"/>
        <v>554.83100000000002</v>
      </c>
      <c r="BK574" s="1004">
        <f t="shared" si="1091"/>
        <v>1046.8969999999995</v>
      </c>
      <c r="BL574" s="1005">
        <f t="shared" si="1091"/>
        <v>500.84699999999998</v>
      </c>
      <c r="BM574" s="1004">
        <f t="shared" si="1091"/>
        <v>438.72600000000011</v>
      </c>
      <c r="BN574" s="1004">
        <f t="shared" si="1091"/>
        <v>733.01400000000012</v>
      </c>
      <c r="BO574" s="1004">
        <f t="shared" si="1091"/>
        <v>1322.7050000000002</v>
      </c>
      <c r="BP574" s="1005">
        <f t="shared" si="1091"/>
        <v>578.86699999999996</v>
      </c>
      <c r="BQ574" s="1004">
        <f t="shared" si="1091"/>
        <v>433.96899999999982</v>
      </c>
      <c r="BR574" s="1004">
        <f t="shared" si="1091"/>
        <v>678.33100000000013</v>
      </c>
      <c r="BS574" s="1004">
        <f t="shared" si="1091"/>
        <v>1488.7069999999999</v>
      </c>
      <c r="BT574" s="1005">
        <f t="shared" si="1091"/>
        <v>657.89999999999964</v>
      </c>
      <c r="BU574" s="1004">
        <f t="shared" si="1091"/>
        <v>550.31799999999953</v>
      </c>
      <c r="BV574" s="1004">
        <f t="shared" si="1091"/>
        <v>732.40700000000015</v>
      </c>
      <c r="BW574" s="1004">
        <f t="shared" si="1091"/>
        <v>833.22700000000032</v>
      </c>
      <c r="BX574" s="1005">
        <f t="shared" si="1091"/>
        <v>790.36099999999965</v>
      </c>
      <c r="BY574" s="1004">
        <f t="shared" si="1091"/>
        <v>556.46199999999976</v>
      </c>
      <c r="BZ574" s="1004">
        <f t="shared" si="1091"/>
        <v>893.25900000000047</v>
      </c>
      <c r="CA574" s="1004">
        <f t="shared" si="1091"/>
        <v>2101.8010000000004</v>
      </c>
      <c r="CB574" s="1005">
        <f t="shared" si="1091"/>
        <v>986.4699999999998</v>
      </c>
      <c r="CC574" s="1004">
        <f t="shared" si="1091"/>
        <v>666.77208899676634</v>
      </c>
      <c r="CD574" s="1004">
        <f t="shared" si="1091"/>
        <v>1108.0721703363274</v>
      </c>
      <c r="CE574" s="1004">
        <f t="shared" si="1091"/>
        <v>2446.665080317031</v>
      </c>
      <c r="CF574" s="1005">
        <f t="shared" si="1091"/>
        <v>1275.4825459972867</v>
      </c>
      <c r="CG574" s="1003"/>
      <c r="CH574" s="1006"/>
      <c r="CI574" s="543"/>
      <c r="CJ574" s="1004"/>
      <c r="CK574" s="1004"/>
      <c r="CL574" s="1004"/>
      <c r="CM574" s="1004"/>
      <c r="CN574" s="1004"/>
      <c r="CO574" s="1004"/>
      <c r="CP574" s="1004"/>
      <c r="CQ574" s="1004">
        <f t="shared" ref="CQ574:DF574" si="1092">CQ73</f>
        <v>791.49799999999982</v>
      </c>
      <c r="CR574" s="1004">
        <f t="shared" si="1092"/>
        <v>1398.9220000000007</v>
      </c>
      <c r="CS574" s="1004">
        <f t="shared" si="1092"/>
        <v>1829.793000000001</v>
      </c>
      <c r="CT574" s="1004">
        <f t="shared" si="1092"/>
        <v>2412.4140000000002</v>
      </c>
      <c r="CU574" s="1004">
        <f t="shared" si="1092"/>
        <v>3073.311999999999</v>
      </c>
      <c r="CV574" s="1004">
        <f t="shared" si="1092"/>
        <v>3258.9069999999983</v>
      </c>
      <c r="CW574" s="1004">
        <f t="shared" si="1092"/>
        <v>2906.3130000000001</v>
      </c>
      <c r="CX574" s="1004">
        <f t="shared" si="1092"/>
        <v>4537.9919999999984</v>
      </c>
      <c r="CY574" s="1004">
        <f t="shared" si="1092"/>
        <v>5496.9918856474142</v>
      </c>
      <c r="CZ574" s="1004">
        <f t="shared" si="1092"/>
        <v>6304.1484609800646</v>
      </c>
      <c r="DA574" s="1004">
        <f t="shared" si="1092"/>
        <v>7109.6234158645311</v>
      </c>
      <c r="DB574" s="1004">
        <f t="shared" si="1092"/>
        <v>7887.0170841366198</v>
      </c>
      <c r="DC574" s="1004">
        <f t="shared" si="1092"/>
        <v>8648.2070488841837</v>
      </c>
      <c r="DD574" s="1004">
        <f t="shared" si="1092"/>
        <v>9381.7727308571739</v>
      </c>
      <c r="DE574" s="1004">
        <f t="shared" si="1092"/>
        <v>10077.684238639384</v>
      </c>
      <c r="DF574" s="1005">
        <f t="shared" si="1092"/>
        <v>10866.347892720569</v>
      </c>
      <c r="DG574" s="632"/>
      <c r="DH574" s="632"/>
    </row>
    <row r="575" spans="1:113" s="584" customFormat="1" ht="11.25" customHeight="1">
      <c r="A575" s="542"/>
      <c r="B575"/>
      <c r="C575"/>
      <c r="D575"/>
      <c r="E575"/>
      <c r="F575"/>
      <c r="G575"/>
      <c r="H575" s="1052"/>
      <c r="I575" s="555"/>
      <c r="J575" s="580"/>
      <c r="K575" s="580"/>
      <c r="L575" s="542"/>
      <c r="M575" s="543"/>
      <c r="N575" s="543"/>
      <c r="O575" s="543"/>
      <c r="P575" s="1003"/>
      <c r="Q575" s="543"/>
      <c r="R575" s="543"/>
      <c r="S575" s="543"/>
      <c r="T575" s="1003"/>
      <c r="U575" s="1004"/>
      <c r="V575" s="1004"/>
      <c r="W575" s="1004"/>
      <c r="X575" s="1005"/>
      <c r="Y575" s="1004"/>
      <c r="Z575" s="1004"/>
      <c r="AA575" s="1004"/>
      <c r="AB575" s="1005"/>
      <c r="AC575" s="1004"/>
      <c r="AD575" s="1004"/>
      <c r="AE575" s="1004"/>
      <c r="AF575" s="1005"/>
      <c r="AG575" s="1004"/>
      <c r="AH575" s="1004"/>
      <c r="AI575" s="1004"/>
      <c r="AJ575" s="1005"/>
      <c r="AK575" s="1004"/>
      <c r="AL575" s="1004"/>
      <c r="AM575" s="1004"/>
      <c r="AN575" s="1005"/>
      <c r="AO575" s="1004"/>
      <c r="AP575" s="1004"/>
      <c r="AQ575" s="1004"/>
      <c r="AR575" s="1005"/>
      <c r="AS575" s="1004"/>
      <c r="AT575" s="1004"/>
      <c r="AU575" s="1004"/>
      <c r="AV575" s="1005"/>
      <c r="AW575" s="1004"/>
      <c r="AX575" s="1004"/>
      <c r="AY575" s="1004"/>
      <c r="AZ575" s="1005"/>
      <c r="BA575" s="1004"/>
      <c r="BB575" s="1004"/>
      <c r="BC575" s="1004"/>
      <c r="BD575" s="1005"/>
      <c r="BE575" s="1004"/>
      <c r="BF575" s="1004"/>
      <c r="BG575" s="1004"/>
      <c r="BH575" s="1005"/>
      <c r="BI575" s="1004"/>
      <c r="BJ575" s="1004"/>
      <c r="BK575" s="1004"/>
      <c r="BL575" s="1005"/>
      <c r="BM575" s="1004"/>
      <c r="BN575" s="1004"/>
      <c r="BO575" s="1004"/>
      <c r="BP575" s="1005"/>
      <c r="BQ575" s="1004"/>
      <c r="BR575" s="1004"/>
      <c r="BS575" s="1004"/>
      <c r="BT575" s="1005"/>
      <c r="BU575" s="1004"/>
      <c r="BV575" s="1004"/>
      <c r="BW575" s="1004"/>
      <c r="BX575" s="1005"/>
      <c r="BY575" s="1004"/>
      <c r="BZ575" s="1004"/>
      <c r="CA575" s="1004"/>
      <c r="CB575" s="1005"/>
      <c r="CC575" s="1004"/>
      <c r="CD575" s="1004"/>
      <c r="CE575" s="1004"/>
      <c r="CF575" s="1005"/>
      <c r="CG575" s="1003"/>
      <c r="CH575" s="1006"/>
      <c r="CI575" s="543"/>
      <c r="CJ575" s="1004"/>
      <c r="CK575" s="1004"/>
      <c r="CL575" s="1004"/>
      <c r="CM575" s="1004"/>
      <c r="CN575" s="1004"/>
      <c r="CO575" s="1004"/>
      <c r="CP575" s="1004"/>
      <c r="CQ575" s="1004"/>
      <c r="CR575" s="1004"/>
      <c r="CS575" s="1004"/>
      <c r="CT575" s="1004"/>
      <c r="CU575" s="1004"/>
      <c r="CV575" s="1004"/>
      <c r="CW575" s="1004"/>
      <c r="CX575" s="1004"/>
      <c r="CY575" s="1004"/>
      <c r="CZ575" s="1004"/>
      <c r="DA575" s="1004"/>
      <c r="DB575" s="1004"/>
      <c r="DC575" s="1004"/>
      <c r="DD575" s="1004"/>
      <c r="DE575" s="1004"/>
      <c r="DF575" s="1005"/>
      <c r="DG575" s="632"/>
      <c r="DH575" s="632"/>
    </row>
    <row r="576" spans="1:113" s="584" customFormat="1" ht="11.25" customHeight="1">
      <c r="A576" s="542"/>
      <c r="B576"/>
      <c r="C576"/>
      <c r="D576"/>
      <c r="E576"/>
      <c r="F576"/>
      <c r="G576"/>
      <c r="H576" s="1052"/>
      <c r="I576" s="579" t="s">
        <v>424</v>
      </c>
      <c r="J576" s="580"/>
      <c r="K576" s="580"/>
      <c r="L576" s="542"/>
      <c r="M576" s="543"/>
      <c r="N576" s="543"/>
      <c r="O576" s="543"/>
      <c r="P576" s="1003"/>
      <c r="Q576" s="543"/>
      <c r="R576" s="543"/>
      <c r="S576" s="543"/>
      <c r="T576" s="1003"/>
      <c r="U576" s="1004"/>
      <c r="V576" s="1004"/>
      <c r="W576" s="1004"/>
      <c r="X576" s="1005"/>
      <c r="Y576" s="1004"/>
      <c r="Z576" s="1004"/>
      <c r="AA576" s="1004"/>
      <c r="AB576" s="1005"/>
      <c r="AC576" s="1004"/>
      <c r="AD576" s="1004"/>
      <c r="AE576" s="1004"/>
      <c r="AF576" s="1005"/>
      <c r="AG576" s="1004"/>
      <c r="AH576" s="1004"/>
      <c r="AI576" s="1004"/>
      <c r="AJ576" s="1005"/>
      <c r="AK576" s="1004"/>
      <c r="AL576" s="1004"/>
      <c r="AM576" s="1004"/>
      <c r="AN576" s="1005"/>
      <c r="AO576" s="1004"/>
      <c r="AP576" s="1004"/>
      <c r="AQ576" s="1004"/>
      <c r="AR576" s="1005"/>
      <c r="AS576" s="1004"/>
      <c r="AT576" s="1004"/>
      <c r="AU576" s="1004"/>
      <c r="AV576" s="1005"/>
      <c r="AW576" s="1004"/>
      <c r="AX576" s="1004"/>
      <c r="AY576" s="1004"/>
      <c r="AZ576" s="1005"/>
      <c r="BA576" s="1004"/>
      <c r="BB576" s="1004"/>
      <c r="BC576" s="1004"/>
      <c r="BD576" s="1005"/>
      <c r="BE576" s="1004"/>
      <c r="BF576" s="1004"/>
      <c r="BG576" s="1004"/>
      <c r="BH576" s="1005"/>
      <c r="BI576" s="1004"/>
      <c r="BJ576" s="1004"/>
      <c r="BK576" s="1004"/>
      <c r="BL576" s="1005"/>
      <c r="BM576" s="1004"/>
      <c r="BN576" s="1004"/>
      <c r="BO576" s="1004"/>
      <c r="BP576" s="1005"/>
      <c r="BQ576" s="1004"/>
      <c r="BR576" s="1004"/>
      <c r="BS576" s="1004"/>
      <c r="BT576" s="1005"/>
      <c r="BU576" s="1004"/>
      <c r="BV576" s="1004"/>
      <c r="BW576" s="1004"/>
      <c r="BX576" s="1005"/>
      <c r="BY576" s="1004"/>
      <c r="BZ576" s="1004"/>
      <c r="CA576" s="1004"/>
      <c r="CB576" s="1005"/>
      <c r="CC576" s="1004"/>
      <c r="CD576" s="1004"/>
      <c r="CE576" s="1004"/>
      <c r="CF576" s="1005"/>
      <c r="CG576" s="1003"/>
      <c r="CH576" s="1006"/>
      <c r="CI576" s="543"/>
      <c r="CJ576" s="1004"/>
      <c r="CK576" s="1004"/>
      <c r="CL576" s="1004"/>
      <c r="CM576" s="1004"/>
      <c r="CN576" s="1004"/>
      <c r="CO576" s="1004"/>
      <c r="CP576" s="1004"/>
      <c r="CQ576" s="1004"/>
      <c r="CR576" s="1004"/>
      <c r="CS576" s="1004"/>
      <c r="CT576" s="1004"/>
      <c r="CU576" s="1004"/>
      <c r="CV576" s="1004"/>
      <c r="CW576" s="1004"/>
      <c r="CX576" s="1004"/>
      <c r="CY576" s="1004"/>
      <c r="CZ576" s="1004"/>
      <c r="DA576" s="1004"/>
      <c r="DB576" s="1004"/>
      <c r="DC576" s="1004"/>
      <c r="DD576" s="1004"/>
      <c r="DE576" s="1004"/>
      <c r="DF576" s="1005"/>
      <c r="DG576" s="632"/>
      <c r="DH576" s="632"/>
    </row>
    <row r="577" spans="1:113" s="584" customFormat="1" ht="11.25" customHeight="1">
      <c r="A577" s="542"/>
      <c r="B577"/>
      <c r="C577"/>
      <c r="D577"/>
      <c r="E577"/>
      <c r="F577"/>
      <c r="G577"/>
      <c r="H577" s="1052"/>
      <c r="I577" s="579" t="s">
        <v>425</v>
      </c>
      <c r="J577" s="580"/>
      <c r="K577" s="580"/>
      <c r="L577" s="542"/>
      <c r="M577" s="543"/>
      <c r="N577" s="543"/>
      <c r="O577" s="543"/>
      <c r="P577" s="1003"/>
      <c r="Q577" s="543"/>
      <c r="R577" s="543"/>
      <c r="S577" s="543"/>
      <c r="T577" s="1003"/>
      <c r="U577" s="1004"/>
      <c r="V577" s="1004"/>
      <c r="W577" s="1004"/>
      <c r="X577" s="1005"/>
      <c r="Y577" s="1004"/>
      <c r="Z577" s="1004"/>
      <c r="AA577" s="1004"/>
      <c r="AB577" s="1005"/>
      <c r="AC577" s="1004"/>
      <c r="AD577" s="1004"/>
      <c r="AE577" s="1004"/>
      <c r="AF577" s="1005"/>
      <c r="AG577" s="1004"/>
      <c r="AH577" s="1004"/>
      <c r="AI577" s="1004"/>
      <c r="AJ577" s="1005"/>
      <c r="AK577" s="1004"/>
      <c r="AL577" s="1004"/>
      <c r="AM577" s="1004"/>
      <c r="AN577" s="1005"/>
      <c r="AO577" s="1004"/>
      <c r="AP577" s="1004"/>
      <c r="AQ577" s="1004"/>
      <c r="AR577" s="1005"/>
      <c r="AS577" s="1004"/>
      <c r="AT577" s="1004"/>
      <c r="AU577" s="1004"/>
      <c r="AV577" s="1005"/>
      <c r="AW577" s="1004"/>
      <c r="AX577" s="1004"/>
      <c r="AY577" s="1004"/>
      <c r="AZ577" s="1005"/>
      <c r="BA577" s="1004"/>
      <c r="BB577" s="1004"/>
      <c r="BC577" s="1004"/>
      <c r="BD577" s="1005"/>
      <c r="BE577" s="1004"/>
      <c r="BF577" s="1004"/>
      <c r="BG577" s="1004"/>
      <c r="BH577" s="1005"/>
      <c r="BI577" s="1004">
        <f>-BI574*0.4</f>
        <v>-123.93559999999998</v>
      </c>
      <c r="BJ577" s="1004">
        <f t="shared" ref="BJ577:CE577" si="1093">-BJ574*0.4</f>
        <v>-221.93240000000003</v>
      </c>
      <c r="BK577" s="1004">
        <f t="shared" si="1093"/>
        <v>-418.75879999999984</v>
      </c>
      <c r="BL577" s="1005">
        <f t="shared" si="1093"/>
        <v>-200.33879999999999</v>
      </c>
      <c r="BM577" s="1004">
        <f t="shared" si="1093"/>
        <v>-175.49040000000005</v>
      </c>
      <c r="BN577" s="1004">
        <f t="shared" si="1093"/>
        <v>-293.20560000000006</v>
      </c>
      <c r="BO577" s="1004">
        <f t="shared" si="1093"/>
        <v>-529.08200000000011</v>
      </c>
      <c r="BP577" s="1005">
        <f>-BP574*0.4</f>
        <v>-231.54679999999999</v>
      </c>
      <c r="BQ577" s="1004">
        <f>-BQ574*0.4</f>
        <v>-173.58759999999995</v>
      </c>
      <c r="BR577" s="1004">
        <f t="shared" si="1093"/>
        <v>-271.33240000000006</v>
      </c>
      <c r="BS577" s="1004">
        <f>-BS574*0.4</f>
        <v>-595.4828</v>
      </c>
      <c r="BT577" s="1005">
        <f>-BT574*0.4</f>
        <v>-263.15999999999985</v>
      </c>
      <c r="BU577" s="1004">
        <f>-BU574*0.4</f>
        <v>-220.12719999999982</v>
      </c>
      <c r="BV577" s="1004">
        <f t="shared" si="1093"/>
        <v>-292.96280000000007</v>
      </c>
      <c r="BW577" s="1004">
        <f>-BW574*0.4</f>
        <v>-333.29080000000016</v>
      </c>
      <c r="BX577" s="1005">
        <f>-BX574*0.4</f>
        <v>-316.14439999999991</v>
      </c>
      <c r="BY577" s="1004">
        <f t="shared" si="1093"/>
        <v>-222.58479999999992</v>
      </c>
      <c r="BZ577" s="1004">
        <f t="shared" si="1093"/>
        <v>-357.30360000000019</v>
      </c>
      <c r="CA577" s="1004">
        <f t="shared" si="1093"/>
        <v>-840.72040000000015</v>
      </c>
      <c r="CB577" s="1005">
        <f>-CB574*0.4</f>
        <v>-394.58799999999997</v>
      </c>
      <c r="CC577" s="1004">
        <f t="shared" si="1093"/>
        <v>-266.70883559870657</v>
      </c>
      <c r="CD577" s="1004">
        <f t="shared" si="1093"/>
        <v>-443.22886813453101</v>
      </c>
      <c r="CE577" s="1004">
        <f t="shared" si="1093"/>
        <v>-978.66603212681241</v>
      </c>
      <c r="CF577" s="1005">
        <f>-CF574*0.4</f>
        <v>-510.19301839891472</v>
      </c>
      <c r="CG577" s="1003"/>
      <c r="CH577" s="1006"/>
      <c r="CI577" s="543"/>
      <c r="CJ577" s="1004"/>
      <c r="CK577" s="1004"/>
      <c r="CL577" s="1004"/>
      <c r="CM577" s="1004"/>
      <c r="CN577" s="1004"/>
      <c r="CO577" s="1004"/>
      <c r="CP577" s="1004"/>
      <c r="CQ577" s="1004">
        <f t="shared" ref="CQ577:CY577" si="1094">-CQ574*0.4</f>
        <v>-316.59919999999994</v>
      </c>
      <c r="CR577" s="1004">
        <f t="shared" si="1094"/>
        <v>-559.56880000000035</v>
      </c>
      <c r="CS577" s="1004">
        <f t="shared" si="1094"/>
        <v>-731.91720000000043</v>
      </c>
      <c r="CT577" s="1004">
        <f t="shared" si="1094"/>
        <v>-964.96560000000011</v>
      </c>
      <c r="CU577" s="1004">
        <f t="shared" si="1094"/>
        <v>-1229.3247999999996</v>
      </c>
      <c r="CV577" s="1004">
        <f t="shared" si="1094"/>
        <v>-1303.5627999999995</v>
      </c>
      <c r="CW577" s="1004">
        <f t="shared" si="1094"/>
        <v>-1162.5252</v>
      </c>
      <c r="CX577" s="1004">
        <f t="shared" si="1094"/>
        <v>-1815.1967999999995</v>
      </c>
      <c r="CY577" s="1004">
        <f t="shared" si="1094"/>
        <v>-2198.7967542589658</v>
      </c>
      <c r="CZ577" s="1004">
        <f t="shared" ref="CZ577:DF577" si="1095">-CZ574*0.4</f>
        <v>-2521.6593843920259</v>
      </c>
      <c r="DA577" s="1004">
        <f t="shared" si="1095"/>
        <v>-2843.8493663458125</v>
      </c>
      <c r="DB577" s="1004">
        <f t="shared" si="1095"/>
        <v>-3154.806833654648</v>
      </c>
      <c r="DC577" s="1004">
        <f t="shared" si="1095"/>
        <v>-3459.2828195536736</v>
      </c>
      <c r="DD577" s="1004">
        <f t="shared" si="1095"/>
        <v>-3752.7090923428696</v>
      </c>
      <c r="DE577" s="1004">
        <f t="shared" si="1095"/>
        <v>-4031.0736954557538</v>
      </c>
      <c r="DF577" s="1005">
        <f t="shared" si="1095"/>
        <v>-4346.5391570882275</v>
      </c>
      <c r="DG577" s="632"/>
      <c r="DH577" s="632"/>
    </row>
    <row r="578" spans="1:113" s="584" customFormat="1" ht="11.25" customHeight="1">
      <c r="A578" s="542"/>
      <c r="B578"/>
      <c r="C578"/>
      <c r="D578"/>
      <c r="E578"/>
      <c r="F578"/>
      <c r="G578"/>
      <c r="H578" s="1052"/>
      <c r="I578" s="555"/>
      <c r="J578" s="580"/>
      <c r="K578" s="580"/>
      <c r="L578" s="542"/>
      <c r="M578" s="543"/>
      <c r="N578" s="543"/>
      <c r="O578" s="543"/>
      <c r="P578" s="1003"/>
      <c r="Q578" s="543"/>
      <c r="R578" s="543"/>
      <c r="S578" s="543"/>
      <c r="T578" s="1003"/>
      <c r="U578" s="1004"/>
      <c r="V578" s="1004"/>
      <c r="W578" s="1004"/>
      <c r="X578" s="1005"/>
      <c r="Y578" s="1004"/>
      <c r="Z578" s="1004"/>
      <c r="AA578" s="1004"/>
      <c r="AB578" s="1005"/>
      <c r="AC578" s="1004"/>
      <c r="AD578" s="1004"/>
      <c r="AE578" s="1004"/>
      <c r="AF578" s="1005"/>
      <c r="AG578" s="1004"/>
      <c r="AH578" s="1004"/>
      <c r="AI578" s="1004"/>
      <c r="AJ578" s="1005"/>
      <c r="AK578" s="1004"/>
      <c r="AL578" s="1004"/>
      <c r="AM578" s="1004"/>
      <c r="AN578" s="1005"/>
      <c r="AO578" s="1004"/>
      <c r="AP578" s="1004"/>
      <c r="AQ578" s="1004"/>
      <c r="AR578" s="1005"/>
      <c r="AS578" s="1004"/>
      <c r="AT578" s="1004"/>
      <c r="AU578" s="1004"/>
      <c r="AV578" s="1005"/>
      <c r="AW578" s="1004"/>
      <c r="AX578" s="1004"/>
      <c r="AY578" s="1004"/>
      <c r="AZ578" s="1005"/>
      <c r="BA578" s="1004"/>
      <c r="BB578" s="1004"/>
      <c r="BC578" s="1004"/>
      <c r="BD578" s="1005"/>
      <c r="BE578" s="1004"/>
      <c r="BF578" s="1004"/>
      <c r="BG578" s="1004"/>
      <c r="BH578" s="1005"/>
      <c r="BI578" s="1004"/>
      <c r="BJ578" s="1004"/>
      <c r="BK578" s="1004"/>
      <c r="BL578" s="1005"/>
      <c r="BM578" s="1004"/>
      <c r="BN578" s="1004"/>
      <c r="BO578" s="1004"/>
      <c r="BP578" s="1005"/>
      <c r="BQ578" s="1004"/>
      <c r="BR578" s="1004"/>
      <c r="BS578" s="1004"/>
      <c r="BT578" s="1005"/>
      <c r="BU578" s="1004"/>
      <c r="BV578" s="1004"/>
      <c r="BW578" s="1004"/>
      <c r="BX578" s="1005"/>
      <c r="BY578" s="1004"/>
      <c r="BZ578" s="1004"/>
      <c r="CA578" s="1004"/>
      <c r="CB578" s="1005"/>
      <c r="CC578" s="1004"/>
      <c r="CD578" s="1004"/>
      <c r="CE578" s="1004"/>
      <c r="CF578" s="1005"/>
      <c r="CG578" s="1003"/>
      <c r="CH578" s="1006"/>
      <c r="CI578" s="543"/>
      <c r="CJ578" s="1004"/>
      <c r="CK578" s="1004"/>
      <c r="CL578" s="1004"/>
      <c r="CM578" s="1004"/>
      <c r="CN578" s="1004"/>
      <c r="CO578" s="1004"/>
      <c r="CP578" s="1004"/>
      <c r="CQ578" s="1004"/>
      <c r="CR578" s="1004"/>
      <c r="CS578" s="1004"/>
      <c r="CT578" s="1004"/>
      <c r="CU578" s="1004"/>
      <c r="CV578" s="1004"/>
      <c r="CW578" s="1004"/>
      <c r="CX578" s="1004"/>
      <c r="CY578" s="1004"/>
      <c r="CZ578" s="1004"/>
      <c r="DA578" s="1004"/>
      <c r="DB578" s="1004"/>
      <c r="DC578" s="1004"/>
      <c r="DD578" s="1004"/>
      <c r="DE578" s="1004"/>
      <c r="DF578" s="1005"/>
      <c r="DG578" s="632"/>
      <c r="DH578" s="632"/>
    </row>
    <row r="579" spans="1:113" s="584" customFormat="1" ht="11.25" customHeight="1">
      <c r="A579" s="542"/>
      <c r="B579"/>
      <c r="C579"/>
      <c r="D579"/>
      <c r="E579"/>
      <c r="F579"/>
      <c r="G579"/>
      <c r="H579" s="1052"/>
      <c r="I579" s="579" t="s">
        <v>422</v>
      </c>
      <c r="J579" s="580"/>
      <c r="K579" s="580"/>
      <c r="L579" s="542"/>
      <c r="M579" s="543"/>
      <c r="N579" s="543"/>
      <c r="O579" s="543"/>
      <c r="P579" s="1003"/>
      <c r="Q579" s="543"/>
      <c r="R579" s="543"/>
      <c r="S579" s="543"/>
      <c r="T579" s="1003"/>
      <c r="U579" s="1004"/>
      <c r="V579" s="1004"/>
      <c r="W579" s="1004"/>
      <c r="X579" s="1005"/>
      <c r="Y579" s="1004"/>
      <c r="Z579" s="1004"/>
      <c r="AA579" s="1004"/>
      <c r="AB579" s="1005"/>
      <c r="AC579" s="1004"/>
      <c r="AD579" s="1004"/>
      <c r="AE579" s="1004"/>
      <c r="AF579" s="1005"/>
      <c r="AG579" s="1004"/>
      <c r="AH579" s="1004"/>
      <c r="AI579" s="1004"/>
      <c r="AJ579" s="1005"/>
      <c r="AK579" s="1004"/>
      <c r="AL579" s="1004"/>
      <c r="AM579" s="1004"/>
      <c r="AN579" s="1005"/>
      <c r="AO579" s="1004"/>
      <c r="AP579" s="1004"/>
      <c r="AQ579" s="1004"/>
      <c r="AR579" s="1005"/>
      <c r="AS579" s="1004"/>
      <c r="AT579" s="1004"/>
      <c r="AU579" s="1004"/>
      <c r="AV579" s="1005"/>
      <c r="AW579" s="1004"/>
      <c r="AX579" s="1004"/>
      <c r="AY579" s="1004"/>
      <c r="AZ579" s="1005"/>
      <c r="BA579" s="1004"/>
      <c r="BB579" s="1004"/>
      <c r="BC579" s="1004"/>
      <c r="BD579" s="1005"/>
      <c r="BE579" s="1004"/>
      <c r="BF579" s="1004"/>
      <c r="BG579" s="1004"/>
      <c r="BH579" s="1005"/>
      <c r="BI579" s="1004">
        <f>+BI574+BI577</f>
        <v>185.90339999999998</v>
      </c>
      <c r="BJ579" s="1004">
        <f t="shared" ref="BJ579:CE579" si="1096">+BJ574+BJ577</f>
        <v>332.89859999999999</v>
      </c>
      <c r="BK579" s="1004">
        <f t="shared" si="1096"/>
        <v>628.13819999999964</v>
      </c>
      <c r="BL579" s="1005">
        <f t="shared" si="1096"/>
        <v>300.50819999999999</v>
      </c>
      <c r="BM579" s="1004">
        <f t="shared" si="1096"/>
        <v>263.23560000000009</v>
      </c>
      <c r="BN579" s="1004">
        <f t="shared" si="1096"/>
        <v>439.80840000000006</v>
      </c>
      <c r="BO579" s="1004">
        <f t="shared" si="1096"/>
        <v>793.62300000000005</v>
      </c>
      <c r="BP579" s="1005">
        <f>+BP574+BP577</f>
        <v>347.3202</v>
      </c>
      <c r="BQ579" s="1004">
        <f>+BQ574+BQ577</f>
        <v>260.38139999999987</v>
      </c>
      <c r="BR579" s="1004">
        <f t="shared" si="1096"/>
        <v>406.99860000000007</v>
      </c>
      <c r="BS579" s="1004">
        <f>+BS574+BS577</f>
        <v>893.22419999999988</v>
      </c>
      <c r="BT579" s="1005">
        <f>+BT574+BT577</f>
        <v>394.73999999999978</v>
      </c>
      <c r="BU579" s="1004">
        <f>+BU574+BU577</f>
        <v>330.19079999999974</v>
      </c>
      <c r="BV579" s="1004">
        <f t="shared" si="1096"/>
        <v>439.44420000000008</v>
      </c>
      <c r="BW579" s="1004">
        <f>+BW574+BW577</f>
        <v>499.93620000000016</v>
      </c>
      <c r="BX579" s="1005">
        <f>+BX574+BX577</f>
        <v>474.21659999999974</v>
      </c>
      <c r="BY579" s="1004">
        <f t="shared" si="1096"/>
        <v>333.87719999999985</v>
      </c>
      <c r="BZ579" s="1004">
        <f t="shared" si="1096"/>
        <v>535.95540000000028</v>
      </c>
      <c r="CA579" s="1004">
        <f t="shared" si="1096"/>
        <v>1261.0806000000002</v>
      </c>
      <c r="CB579" s="1005">
        <f>+CB574+CB577</f>
        <v>591.88199999999983</v>
      </c>
      <c r="CC579" s="1004">
        <f t="shared" si="1096"/>
        <v>400.06325339805977</v>
      </c>
      <c r="CD579" s="1004">
        <f t="shared" si="1096"/>
        <v>664.8433022017964</v>
      </c>
      <c r="CE579" s="1004">
        <f t="shared" si="1096"/>
        <v>1467.9990481902187</v>
      </c>
      <c r="CF579" s="1005">
        <f>+CF574+CF577</f>
        <v>765.28952759837193</v>
      </c>
      <c r="CG579" s="1003"/>
      <c r="CH579" s="1006"/>
      <c r="CI579" s="543"/>
      <c r="CJ579" s="1004"/>
      <c r="CK579" s="1004"/>
      <c r="CL579" s="1004"/>
      <c r="CM579" s="1004"/>
      <c r="CN579" s="1004"/>
      <c r="CO579" s="1004"/>
      <c r="CP579" s="1004"/>
      <c r="CQ579" s="1004">
        <f t="shared" ref="CQ579:CY579" si="1097">+CQ574+CQ577</f>
        <v>474.89879999999988</v>
      </c>
      <c r="CR579" s="1004">
        <f t="shared" si="1097"/>
        <v>839.35320000000036</v>
      </c>
      <c r="CS579" s="1004">
        <f t="shared" si="1097"/>
        <v>1097.8758000000007</v>
      </c>
      <c r="CT579" s="1004">
        <f t="shared" si="1097"/>
        <v>1447.4484000000002</v>
      </c>
      <c r="CU579" s="1004">
        <f t="shared" si="1097"/>
        <v>1843.9871999999993</v>
      </c>
      <c r="CV579" s="1004">
        <f t="shared" si="1097"/>
        <v>1955.3441999999989</v>
      </c>
      <c r="CW579" s="1004">
        <f t="shared" si="1097"/>
        <v>1743.7878000000001</v>
      </c>
      <c r="CX579" s="1004">
        <f t="shared" si="1097"/>
        <v>2722.7951999999987</v>
      </c>
      <c r="CY579" s="1004">
        <f t="shared" si="1097"/>
        <v>3298.1951313884483</v>
      </c>
      <c r="CZ579" s="1004">
        <f t="shared" ref="CZ579:DF579" si="1098">+CZ574+CZ577</f>
        <v>3782.4890765880386</v>
      </c>
      <c r="DA579" s="1004">
        <f t="shared" si="1098"/>
        <v>4265.774049518719</v>
      </c>
      <c r="DB579" s="1004">
        <f t="shared" si="1098"/>
        <v>4732.2102504819723</v>
      </c>
      <c r="DC579" s="1004">
        <f t="shared" si="1098"/>
        <v>5188.9242293305106</v>
      </c>
      <c r="DD579" s="1004">
        <f t="shared" si="1098"/>
        <v>5629.0636385143043</v>
      </c>
      <c r="DE579" s="1004">
        <f t="shared" si="1098"/>
        <v>6046.6105431836295</v>
      </c>
      <c r="DF579" s="1005">
        <f t="shared" si="1098"/>
        <v>6519.8087356323413</v>
      </c>
      <c r="DG579" s="632"/>
      <c r="DH579" s="632"/>
    </row>
    <row r="580" spans="1:113" s="51" customFormat="1" ht="11.25" customHeight="1">
      <c r="A580" s="82"/>
      <c r="B580"/>
      <c r="C580"/>
      <c r="D580"/>
      <c r="E580"/>
      <c r="F580"/>
      <c r="G580"/>
      <c r="H580" s="1044"/>
      <c r="I580" s="579" t="s">
        <v>426</v>
      </c>
      <c r="J580" s="83"/>
      <c r="K580" s="83"/>
      <c r="L580" s="82"/>
      <c r="M580" s="292"/>
      <c r="N580" s="292"/>
      <c r="O580" s="292"/>
      <c r="P580" s="1007"/>
      <c r="Q580" s="292"/>
      <c r="R580" s="292"/>
      <c r="S580" s="292"/>
      <c r="T580" s="1007"/>
      <c r="U580" s="997"/>
      <c r="V580" s="997"/>
      <c r="W580" s="997"/>
      <c r="X580" s="998"/>
      <c r="Y580" s="997"/>
      <c r="Z580" s="997"/>
      <c r="AA580" s="997"/>
      <c r="AB580" s="998"/>
      <c r="AC580" s="997"/>
      <c r="AD580" s="997"/>
      <c r="AE580" s="997"/>
      <c r="AF580" s="998"/>
      <c r="AG580" s="997"/>
      <c r="AH580" s="997"/>
      <c r="AI580" s="997"/>
      <c r="AJ580" s="998"/>
      <c r="AK580" s="997"/>
      <c r="AL580" s="997"/>
      <c r="AM580" s="997"/>
      <c r="AN580" s="998"/>
      <c r="AO580" s="997"/>
      <c r="AP580" s="997"/>
      <c r="AQ580" s="997"/>
      <c r="AR580" s="998"/>
      <c r="AS580" s="1008"/>
      <c r="AT580" s="1008"/>
      <c r="AU580" s="1008"/>
      <c r="AV580" s="1009"/>
      <c r="AW580" s="1008"/>
      <c r="AX580" s="1008"/>
      <c r="AY580" s="1008"/>
      <c r="AZ580" s="1009"/>
      <c r="BA580" s="1008"/>
      <c r="BB580" s="1008"/>
      <c r="BC580" s="1008"/>
      <c r="BD580" s="1009"/>
      <c r="BE580" s="1008"/>
      <c r="BF580" s="1008"/>
      <c r="BG580" s="1008"/>
      <c r="BH580" s="1009"/>
      <c r="BI580" s="1008">
        <f t="shared" ref="BI580:CF580" si="1099">+BI579/BI570</f>
        <v>0.18628864491768971</v>
      </c>
      <c r="BJ580" s="1008">
        <f t="shared" si="1099"/>
        <v>0.1034260930621274</v>
      </c>
      <c r="BK580" s="1008">
        <f t="shared" si="1099"/>
        <v>0.20902280709110244</v>
      </c>
      <c r="BL580" s="1009">
        <f t="shared" si="1099"/>
        <v>0.10365715220007597</v>
      </c>
      <c r="BM580" s="1008">
        <f t="shared" si="1099"/>
        <v>8.1199191819485789E-2</v>
      </c>
      <c r="BN580" s="1008">
        <f t="shared" si="1099"/>
        <v>0.1242748371149122</v>
      </c>
      <c r="BO580" s="1008">
        <f t="shared" si="1099"/>
        <v>0.10157996034963691</v>
      </c>
      <c r="BP580" s="1009">
        <f t="shared" si="1099"/>
        <v>3.5558790322019203E-2</v>
      </c>
      <c r="BQ580" s="1008">
        <f>+BQ579/BQ570</f>
        <v>2.3608899885401602E-2</v>
      </c>
      <c r="BR580" s="1008">
        <f t="shared" si="1099"/>
        <v>3.2382669308634794E-2</v>
      </c>
      <c r="BS580" s="1008">
        <f>+BS579/BS570</f>
        <v>7.2077130446065618E-2</v>
      </c>
      <c r="BT580" s="1009">
        <f>+BT579/BT570</f>
        <v>2.8671591017629373E-2</v>
      </c>
      <c r="BU580" s="1008">
        <f>+BU579/BU570</f>
        <v>2.4459110442849628E-2</v>
      </c>
      <c r="BV580" s="1008">
        <f t="shared" si="1099"/>
        <v>3.1694892406519043E-2</v>
      </c>
      <c r="BW580" s="1008">
        <f>+BW579/BW570</f>
        <v>3.5012529081616228E-2</v>
      </c>
      <c r="BX580" s="1009">
        <f t="shared" si="1099"/>
        <v>3.3249324817634665E-2</v>
      </c>
      <c r="BY580" s="1008">
        <f t="shared" si="1099"/>
        <v>2.1922599469015314E-2</v>
      </c>
      <c r="BZ580" s="1008">
        <f t="shared" si="1099"/>
        <v>3.4733728907386879E-2</v>
      </c>
      <c r="CA580" s="1008">
        <f t="shared" si="1099"/>
        <v>7.5792147101171742E-2</v>
      </c>
      <c r="CB580" s="1009">
        <f t="shared" si="1099"/>
        <v>3.6438569715247823E-2</v>
      </c>
      <c r="CC580" s="1008">
        <f t="shared" si="1099"/>
        <v>2.3912519336750204E-2</v>
      </c>
      <c r="CD580" s="1008">
        <f t="shared" si="1099"/>
        <v>3.9646891449311439E-2</v>
      </c>
      <c r="CE580" s="1008">
        <f t="shared" si="1099"/>
        <v>8.9428496887001399E-2</v>
      </c>
      <c r="CF580" s="1009">
        <f t="shared" si="1099"/>
        <v>4.7245717762181227E-2</v>
      </c>
      <c r="CG580" s="1007"/>
      <c r="CH580" s="1010"/>
      <c r="CI580" s="292"/>
      <c r="CJ580" s="997"/>
      <c r="CK580" s="997"/>
      <c r="CL580" s="997"/>
      <c r="CM580" s="997"/>
      <c r="CN580" s="997"/>
      <c r="CO580" s="997"/>
      <c r="CP580" s="1008"/>
      <c r="CQ580" s="1008">
        <f t="shared" ref="CQ580:CX580" si="1100">+CQ579/CQ570</f>
        <v>0.52206359100188293</v>
      </c>
      <c r="CR580" s="1008">
        <f t="shared" si="1100"/>
        <v>0.88913874579319863</v>
      </c>
      <c r="CS580" s="1008">
        <f t="shared" si="1100"/>
        <v>1.3487599955281948</v>
      </c>
      <c r="CT580" s="1008">
        <f t="shared" si="1100"/>
        <v>0.49928214637922186</v>
      </c>
      <c r="CU580" s="1008">
        <f t="shared" si="1100"/>
        <v>0.18878819660154308</v>
      </c>
      <c r="CV580" s="1008">
        <f t="shared" si="1100"/>
        <v>0.14202469777852178</v>
      </c>
      <c r="CW580" s="1008">
        <f t="shared" si="1100"/>
        <v>0.12226431334379394</v>
      </c>
      <c r="CX580" s="1008">
        <f t="shared" si="1100"/>
        <v>0.16762591650961192</v>
      </c>
      <c r="CY580" s="1008">
        <f t="shared" ref="CY580:DF580" si="1101">+CY579/CY570</f>
        <v>0.20361652770970226</v>
      </c>
      <c r="CZ580" s="1008">
        <f t="shared" si="1101"/>
        <v>0.23343711034273262</v>
      </c>
      <c r="DA580" s="1008">
        <f t="shared" si="1101"/>
        <v>0.26346082938131743</v>
      </c>
      <c r="DB580" s="1008">
        <f t="shared" si="1101"/>
        <v>0.29329449587509099</v>
      </c>
      <c r="DC580" s="1008">
        <f t="shared" si="1101"/>
        <v>0.32354965420132481</v>
      </c>
      <c r="DD580" s="1008">
        <f t="shared" si="1101"/>
        <v>0.3545174848841246</v>
      </c>
      <c r="DE580" s="1008">
        <f t="shared" si="1101"/>
        <v>0.38654748739547512</v>
      </c>
      <c r="DF580" s="1009">
        <f t="shared" si="1101"/>
        <v>0.42534765558895271</v>
      </c>
      <c r="DG580" s="308"/>
      <c r="DH580" s="308"/>
    </row>
    <row r="581" spans="1:113" s="68" customFormat="1" ht="11.25" customHeight="1">
      <c r="A581" s="24"/>
      <c r="B581"/>
      <c r="C581"/>
      <c r="D581"/>
      <c r="E581"/>
      <c r="F581"/>
      <c r="G581"/>
      <c r="H581" s="1044"/>
      <c r="I581" s="664"/>
      <c r="J581" s="665"/>
      <c r="K581" s="665"/>
      <c r="L581" s="665"/>
      <c r="M581" s="1011"/>
      <c r="N581" s="1011"/>
      <c r="O581" s="1011"/>
      <c r="P581" s="1012"/>
      <c r="Q581" s="1011"/>
      <c r="R581" s="1011"/>
      <c r="S581" s="1011"/>
      <c r="T581" s="1012"/>
      <c r="U581" s="1013"/>
      <c r="V581" s="1013"/>
      <c r="W581" s="1013"/>
      <c r="X581" s="1014"/>
      <c r="Y581" s="1013"/>
      <c r="Z581" s="1013"/>
      <c r="AA581" s="1013"/>
      <c r="AB581" s="1014"/>
      <c r="AC581" s="1013"/>
      <c r="AD581" s="1013"/>
      <c r="AE581" s="1013"/>
      <c r="AF581" s="1014"/>
      <c r="AG581" s="1013"/>
      <c r="AH581" s="1013"/>
      <c r="AI581" s="1013"/>
      <c r="AJ581" s="1014"/>
      <c r="AK581" s="1013"/>
      <c r="AL581" s="1013"/>
      <c r="AM581" s="1013"/>
      <c r="AN581" s="1014"/>
      <c r="AO581" s="1013"/>
      <c r="AP581" s="1013"/>
      <c r="AQ581" s="1013"/>
      <c r="AR581" s="1014"/>
      <c r="AS581" s="1013"/>
      <c r="AT581" s="1013"/>
      <c r="AU581" s="1013"/>
      <c r="AV581" s="1014"/>
      <c r="AW581" s="1013"/>
      <c r="AX581" s="1013"/>
      <c r="AY581" s="1013"/>
      <c r="AZ581" s="1014"/>
      <c r="BA581" s="1015"/>
      <c r="BB581" s="1015"/>
      <c r="BC581" s="1015"/>
      <c r="BD581" s="1016"/>
      <c r="BE581" s="1011"/>
      <c r="BF581" s="1011"/>
      <c r="BG581" s="1011"/>
      <c r="BH581" s="1017"/>
      <c r="BI581" s="1018"/>
      <c r="BJ581" s="1018"/>
      <c r="BK581" s="1018"/>
      <c r="BL581" s="1019"/>
      <c r="BM581" s="1018"/>
      <c r="BN581" s="1018"/>
      <c r="BO581" s="1018"/>
      <c r="BP581" s="1020"/>
      <c r="BQ581" s="1021"/>
      <c r="BR581" s="1021"/>
      <c r="BS581" s="1021"/>
      <c r="BT581" s="1020"/>
      <c r="BU581" s="1021"/>
      <c r="BV581" s="1021"/>
      <c r="BW581" s="1021"/>
      <c r="BX581" s="1020"/>
      <c r="BY581" s="1021"/>
      <c r="BZ581" s="1021"/>
      <c r="CA581" s="1021"/>
      <c r="CB581" s="1020"/>
      <c r="CC581" s="1021"/>
      <c r="CD581" s="1021"/>
      <c r="CE581" s="1021"/>
      <c r="CF581" s="1020"/>
      <c r="CG581" s="1022"/>
      <c r="CH581" s="1023"/>
      <c r="CI581" s="1011"/>
      <c r="CJ581" s="1013"/>
      <c r="CK581" s="1013"/>
      <c r="CL581" s="1013"/>
      <c r="CM581" s="1013"/>
      <c r="CN581" s="1013"/>
      <c r="CO581" s="1013"/>
      <c r="CP581" s="1013"/>
      <c r="CQ581" s="1021"/>
      <c r="CR581" s="1021"/>
      <c r="CS581" s="1021"/>
      <c r="CT581" s="1013"/>
      <c r="CU581" s="1021"/>
      <c r="CV581" s="1013"/>
      <c r="CW581" s="1021"/>
      <c r="CX581" s="1021"/>
      <c r="CY581" s="1021"/>
      <c r="CZ581" s="1021"/>
      <c r="DA581" s="1021"/>
      <c r="DB581" s="1021"/>
      <c r="DC581" s="1021"/>
      <c r="DD581" s="1021"/>
      <c r="DE581" s="1021"/>
      <c r="DF581" s="1020"/>
      <c r="DG581" s="1180"/>
      <c r="DH581" s="1180"/>
    </row>
    <row r="582" spans="1:113" ht="11.25" customHeight="1">
      <c r="I582" s="70"/>
      <c r="J582" s="70"/>
      <c r="K582" s="70"/>
      <c r="M582" s="315"/>
      <c r="N582" s="315"/>
      <c r="O582" s="315"/>
      <c r="P582" s="315"/>
      <c r="Q582" s="315"/>
      <c r="R582" s="315"/>
      <c r="S582" s="315"/>
      <c r="T582" s="315"/>
      <c r="U582" s="328"/>
      <c r="V582" s="328"/>
      <c r="W582" s="328"/>
      <c r="X582" s="328"/>
      <c r="Y582" s="328"/>
      <c r="Z582" s="328"/>
      <c r="AA582" s="328"/>
      <c r="AB582" s="328"/>
      <c r="AC582" s="328"/>
      <c r="AD582" s="328"/>
      <c r="AE582" s="328"/>
      <c r="AF582" s="328"/>
      <c r="AG582" s="328"/>
      <c r="AH582" s="328"/>
      <c r="AI582" s="328"/>
      <c r="AJ582" s="328"/>
      <c r="AK582" s="328"/>
      <c r="AL582" s="328"/>
      <c r="AM582" s="328"/>
      <c r="AN582" s="328"/>
      <c r="AO582" s="328"/>
      <c r="AP582" s="328"/>
      <c r="AQ582" s="328"/>
      <c r="AR582" s="328"/>
      <c r="AS582" s="328"/>
      <c r="AT582" s="328"/>
      <c r="AU582" s="328"/>
      <c r="AV582" s="328"/>
      <c r="AW582" s="328"/>
      <c r="AX582" s="328"/>
      <c r="AY582" s="328"/>
      <c r="AZ582" s="328"/>
      <c r="BA582" s="328"/>
      <c r="BB582" s="328"/>
      <c r="BC582" s="328"/>
      <c r="BD582" s="328"/>
      <c r="BE582" s="328"/>
      <c r="BF582" s="328"/>
      <c r="BG582" s="328"/>
      <c r="BH582" s="328"/>
      <c r="BI582" s="328"/>
      <c r="BJ582" s="328"/>
      <c r="BK582" s="328"/>
      <c r="BL582" s="328"/>
      <c r="BM582" s="328"/>
      <c r="BN582" s="328"/>
      <c r="BO582" s="328"/>
      <c r="BP582" s="328"/>
      <c r="BQ582" s="328"/>
      <c r="BR582" s="328"/>
      <c r="BS582" s="328"/>
      <c r="BT582" s="328"/>
      <c r="BU582" s="328"/>
      <c r="BV582" s="328"/>
      <c r="BW582" s="328"/>
      <c r="BX582" s="328"/>
      <c r="BY582" s="328"/>
      <c r="BZ582" s="328"/>
      <c r="CA582" s="328"/>
      <c r="CB582" s="328"/>
      <c r="CC582" s="328"/>
      <c r="CD582" s="328"/>
      <c r="CE582" s="328"/>
      <c r="CF582" s="328"/>
      <c r="CG582" s="315"/>
      <c r="CH582" s="315"/>
      <c r="CI582" s="315"/>
      <c r="CJ582" s="328"/>
      <c r="CK582" s="328"/>
      <c r="CL582" s="328"/>
      <c r="CM582" s="328"/>
      <c r="CN582" s="328"/>
      <c r="CO582" s="328"/>
      <c r="CP582" s="328"/>
      <c r="CQ582" s="328"/>
      <c r="CR582" s="328"/>
      <c r="CS582" s="328"/>
      <c r="CT582" s="328"/>
      <c r="CU582" s="328"/>
      <c r="CV582" s="328"/>
      <c r="CW582" s="328"/>
      <c r="CX582" s="328"/>
      <c r="CY582" s="328"/>
      <c r="CZ582" s="328"/>
      <c r="DA582" s="328"/>
      <c r="DB582" s="328"/>
      <c r="DC582" s="328"/>
      <c r="DD582" s="328"/>
      <c r="DE582" s="328"/>
      <c r="DF582" s="328"/>
    </row>
    <row r="583" spans="1:113" ht="11.25" customHeight="1">
      <c r="I583" s="137" t="s">
        <v>761</v>
      </c>
      <c r="J583" s="138"/>
      <c r="K583" s="138"/>
      <c r="L583" s="138"/>
      <c r="M583" s="141">
        <v>2001</v>
      </c>
      <c r="N583" s="142"/>
      <c r="O583" s="142"/>
      <c r="P583" s="143"/>
      <c r="Q583" s="238">
        <v>2002</v>
      </c>
      <c r="R583" s="142"/>
      <c r="S583" s="142"/>
      <c r="T583" s="143"/>
      <c r="U583" s="238">
        <v>2003</v>
      </c>
      <c r="V583" s="142"/>
      <c r="W583" s="142"/>
      <c r="X583" s="143"/>
      <c r="Y583" s="238">
        <v>2004</v>
      </c>
      <c r="Z583" s="142"/>
      <c r="AA583" s="142"/>
      <c r="AB583" s="143"/>
      <c r="AC583" s="238">
        <v>2005</v>
      </c>
      <c r="AD583" s="142"/>
      <c r="AE583" s="142"/>
      <c r="AF583" s="143"/>
      <c r="AG583" s="238">
        <v>2006</v>
      </c>
      <c r="AH583" s="142"/>
      <c r="AI583" s="142"/>
      <c r="AJ583" s="143"/>
      <c r="AK583" s="238">
        <v>2007</v>
      </c>
      <c r="AL583" s="142"/>
      <c r="AM583" s="142"/>
      <c r="AN583" s="143"/>
      <c r="AO583" s="238">
        <v>2008</v>
      </c>
      <c r="AP583" s="142"/>
      <c r="AQ583" s="142"/>
      <c r="AR583" s="143"/>
      <c r="AS583" s="238">
        <v>2009</v>
      </c>
      <c r="AT583" s="142"/>
      <c r="AU583" s="142"/>
      <c r="AV583" s="143"/>
      <c r="AW583" s="238">
        <v>2010</v>
      </c>
      <c r="AX583" s="142"/>
      <c r="AY583" s="142"/>
      <c r="AZ583" s="143"/>
      <c r="BA583" s="238">
        <v>2011</v>
      </c>
      <c r="BB583" s="142"/>
      <c r="BC583" s="142"/>
      <c r="BD583" s="143"/>
      <c r="BE583" s="142">
        <v>2012</v>
      </c>
      <c r="BF583" s="144"/>
      <c r="BG583" s="144"/>
      <c r="BH583" s="145"/>
      <c r="BI583" s="142">
        <v>2013</v>
      </c>
      <c r="BJ583" s="144"/>
      <c r="BK583" s="144"/>
      <c r="BL583" s="145"/>
      <c r="BM583" s="142" t="s">
        <v>526</v>
      </c>
      <c r="BN583" s="144"/>
      <c r="BO583" s="144"/>
      <c r="BP583" s="145"/>
      <c r="BQ583" s="142" t="s">
        <v>667</v>
      </c>
      <c r="BR583" s="144"/>
      <c r="BS583" s="144"/>
      <c r="BT583" s="145"/>
      <c r="BU583" s="2065" t="s">
        <v>740</v>
      </c>
      <c r="BV583" s="144"/>
      <c r="BW583" s="144"/>
      <c r="BX583" s="145"/>
      <c r="BY583" s="2065" t="s">
        <v>749</v>
      </c>
      <c r="BZ583" s="144"/>
      <c r="CA583" s="144"/>
      <c r="CB583" s="145"/>
      <c r="CC583" s="239" t="s">
        <v>21</v>
      </c>
      <c r="CD583" s="146"/>
      <c r="CE583" s="146"/>
      <c r="CF583" s="147"/>
      <c r="CG583" s="234"/>
      <c r="CH583" s="153"/>
      <c r="CI583" s="154"/>
      <c r="CJ583" s="154"/>
      <c r="CK583" s="154"/>
      <c r="CL583" s="154"/>
      <c r="CM583" s="154"/>
      <c r="CN583" s="154"/>
      <c r="CO583" s="154"/>
      <c r="CP583" s="154"/>
      <c r="CQ583" s="154"/>
      <c r="CR583" s="154"/>
      <c r="CS583" s="154"/>
      <c r="CT583" s="154"/>
      <c r="CU583" s="154"/>
      <c r="CV583" s="154"/>
      <c r="CW583" s="154"/>
      <c r="CX583" s="154"/>
      <c r="CY583" s="154"/>
      <c r="CZ583" s="1736"/>
      <c r="DA583" s="1736"/>
      <c r="DB583" s="1736"/>
      <c r="DC583" s="1736"/>
      <c r="DD583" s="1736"/>
      <c r="DE583" s="1736"/>
      <c r="DF583" s="1737"/>
    </row>
    <row r="584" spans="1:113" ht="11.25" customHeight="1" thickBot="1">
      <c r="I584" s="139" t="s">
        <v>392</v>
      </c>
      <c r="J584" s="140"/>
      <c r="K584" s="140"/>
      <c r="L584" s="140"/>
      <c r="M584" s="148">
        <v>1</v>
      </c>
      <c r="N584" s="149">
        <v>2</v>
      </c>
      <c r="O584" s="149">
        <v>3</v>
      </c>
      <c r="P584" s="150">
        <v>4</v>
      </c>
      <c r="Q584" s="149">
        <v>1</v>
      </c>
      <c r="R584" s="149">
        <v>2</v>
      </c>
      <c r="S584" s="149">
        <v>3</v>
      </c>
      <c r="T584" s="150">
        <v>4</v>
      </c>
      <c r="U584" s="149">
        <v>1</v>
      </c>
      <c r="V584" s="149">
        <v>2</v>
      </c>
      <c r="W584" s="149">
        <v>3</v>
      </c>
      <c r="X584" s="150">
        <v>4</v>
      </c>
      <c r="Y584" s="149">
        <v>1</v>
      </c>
      <c r="Z584" s="149">
        <v>2</v>
      </c>
      <c r="AA584" s="149">
        <v>3</v>
      </c>
      <c r="AB584" s="150">
        <v>4</v>
      </c>
      <c r="AC584" s="149">
        <v>1</v>
      </c>
      <c r="AD584" s="149">
        <v>2</v>
      </c>
      <c r="AE584" s="149">
        <v>3</v>
      </c>
      <c r="AF584" s="150">
        <v>4</v>
      </c>
      <c r="AG584" s="149">
        <v>1</v>
      </c>
      <c r="AH584" s="149">
        <v>2</v>
      </c>
      <c r="AI584" s="149">
        <v>3</v>
      </c>
      <c r="AJ584" s="150">
        <v>4</v>
      </c>
      <c r="AK584" s="149">
        <v>1</v>
      </c>
      <c r="AL584" s="149">
        <v>2</v>
      </c>
      <c r="AM584" s="149">
        <v>3</v>
      </c>
      <c r="AN584" s="150">
        <v>4</v>
      </c>
      <c r="AO584" s="149">
        <v>1</v>
      </c>
      <c r="AP584" s="149">
        <v>2</v>
      </c>
      <c r="AQ584" s="149">
        <v>3</v>
      </c>
      <c r="AR584" s="150">
        <v>4</v>
      </c>
      <c r="AS584" s="149">
        <v>1</v>
      </c>
      <c r="AT584" s="149">
        <v>2</v>
      </c>
      <c r="AU584" s="149">
        <v>3</v>
      </c>
      <c r="AV584" s="150">
        <v>4</v>
      </c>
      <c r="AW584" s="149">
        <v>1</v>
      </c>
      <c r="AX584" s="149">
        <v>2</v>
      </c>
      <c r="AY584" s="149">
        <v>3</v>
      </c>
      <c r="AZ584" s="150">
        <v>4</v>
      </c>
      <c r="BA584" s="149">
        <v>1</v>
      </c>
      <c r="BB584" s="149">
        <v>2</v>
      </c>
      <c r="BC584" s="149">
        <v>3</v>
      </c>
      <c r="BD584" s="150">
        <v>4</v>
      </c>
      <c r="BE584" s="149">
        <v>1</v>
      </c>
      <c r="BF584" s="149">
        <v>2</v>
      </c>
      <c r="BG584" s="149">
        <v>3</v>
      </c>
      <c r="BH584" s="150">
        <v>4</v>
      </c>
      <c r="BI584" s="149">
        <v>1</v>
      </c>
      <c r="BJ584" s="149">
        <v>2</v>
      </c>
      <c r="BK584" s="149">
        <v>3</v>
      </c>
      <c r="BL584" s="150">
        <v>4</v>
      </c>
      <c r="BM584" s="149">
        <v>1</v>
      </c>
      <c r="BN584" s="149">
        <v>2</v>
      </c>
      <c r="BO584" s="149">
        <v>3</v>
      </c>
      <c r="BP584" s="149">
        <v>4</v>
      </c>
      <c r="BQ584" s="1932">
        <v>1</v>
      </c>
      <c r="BR584" s="149">
        <v>2</v>
      </c>
      <c r="BS584" s="149">
        <v>3</v>
      </c>
      <c r="BT584" s="149">
        <v>4</v>
      </c>
      <c r="BU584" s="1932">
        <v>1</v>
      </c>
      <c r="BV584" s="149">
        <v>2</v>
      </c>
      <c r="BW584" s="149">
        <v>3</v>
      </c>
      <c r="BX584" s="150">
        <v>4</v>
      </c>
      <c r="BY584" s="1932">
        <v>1</v>
      </c>
      <c r="BZ584" s="149">
        <v>2</v>
      </c>
      <c r="CA584" s="149">
        <v>3</v>
      </c>
      <c r="CB584" s="150">
        <v>4</v>
      </c>
      <c r="CC584" s="152">
        <v>1</v>
      </c>
      <c r="CD584" s="152">
        <v>2</v>
      </c>
      <c r="CE584" s="152">
        <v>3</v>
      </c>
      <c r="CF584" s="151">
        <v>4</v>
      </c>
      <c r="CG584" s="256"/>
      <c r="CH584" s="155">
        <v>37256</v>
      </c>
      <c r="CI584" s="156">
        <v>37621</v>
      </c>
      <c r="CJ584" s="156">
        <v>37986</v>
      </c>
      <c r="CK584" s="156">
        <v>38352</v>
      </c>
      <c r="CL584" s="156">
        <v>38717</v>
      </c>
      <c r="CM584" s="156">
        <v>39082</v>
      </c>
      <c r="CN584" s="156">
        <v>39447</v>
      </c>
      <c r="CO584" s="156">
        <v>39813</v>
      </c>
      <c r="CP584" s="156">
        <v>40178</v>
      </c>
      <c r="CQ584" s="156">
        <v>40543</v>
      </c>
      <c r="CR584" s="156">
        <v>40908</v>
      </c>
      <c r="CS584" s="156">
        <v>41274</v>
      </c>
      <c r="CT584" s="156">
        <v>41639</v>
      </c>
      <c r="CU584" s="1531">
        <v>42004</v>
      </c>
      <c r="CV584" s="1531">
        <v>42369</v>
      </c>
      <c r="CW584" s="1531">
        <v>42735</v>
      </c>
      <c r="CX584" s="1531">
        <v>43100</v>
      </c>
      <c r="CY584" s="1532">
        <v>43465</v>
      </c>
      <c r="CZ584" s="1734">
        <v>43830</v>
      </c>
      <c r="DA584" s="1734">
        <v>44196</v>
      </c>
      <c r="DB584" s="1734">
        <v>44561</v>
      </c>
      <c r="DC584" s="1734">
        <v>44926</v>
      </c>
      <c r="DD584" s="1734">
        <v>45291</v>
      </c>
      <c r="DE584" s="1734">
        <v>45657</v>
      </c>
      <c r="DF584" s="1735">
        <v>46022</v>
      </c>
    </row>
    <row r="585" spans="1:113" customFormat="1" ht="11.25" customHeight="1">
      <c r="A585" s="10"/>
      <c r="H585" s="1045" t="s">
        <v>394</v>
      </c>
      <c r="I585" s="659" t="s">
        <v>593</v>
      </c>
      <c r="J585" s="660"/>
      <c r="K585" s="660"/>
      <c r="L585" s="660"/>
      <c r="M585" s="660"/>
      <c r="N585" s="660"/>
      <c r="O585" s="660"/>
      <c r="P585" s="660"/>
      <c r="Q585" s="660"/>
      <c r="R585" s="660"/>
      <c r="S585" s="660"/>
      <c r="T585" s="660"/>
      <c r="U585" s="659"/>
      <c r="V585" s="660"/>
      <c r="W585" s="660"/>
      <c r="X585" s="661"/>
      <c r="Y585" s="659"/>
      <c r="Z585" s="660"/>
      <c r="AA585" s="660"/>
      <c r="AB585" s="661"/>
      <c r="AC585" s="659"/>
      <c r="AD585" s="660"/>
      <c r="AE585" s="660"/>
      <c r="AF585" s="661"/>
      <c r="AG585" s="659"/>
      <c r="AH585" s="660"/>
      <c r="AI585" s="660"/>
      <c r="AJ585" s="661"/>
      <c r="AK585" s="659"/>
      <c r="AL585" s="660"/>
      <c r="AM585" s="660"/>
      <c r="AN585" s="661"/>
      <c r="AO585" s="659"/>
      <c r="AP585" s="660"/>
      <c r="AQ585" s="660"/>
      <c r="AR585" s="661"/>
      <c r="AS585" s="659"/>
      <c r="AT585" s="660"/>
      <c r="AU585" s="660"/>
      <c r="AV585" s="661"/>
      <c r="AW585" s="659"/>
      <c r="AX585" s="660"/>
      <c r="AY585" s="660"/>
      <c r="AZ585" s="661"/>
      <c r="BA585" s="659"/>
      <c r="BB585" s="660"/>
      <c r="BC585" s="660"/>
      <c r="BD585" s="661"/>
      <c r="BE585" s="659"/>
      <c r="BF585" s="660"/>
      <c r="BG585" s="660"/>
      <c r="BH585" s="661"/>
      <c r="BI585" s="659"/>
      <c r="BJ585" s="660"/>
      <c r="BK585" s="660"/>
      <c r="BL585" s="661"/>
      <c r="BM585" s="659"/>
      <c r="BN585" s="660"/>
      <c r="BO585" s="660"/>
      <c r="BP585" s="661"/>
      <c r="BQ585" s="659"/>
      <c r="BR585" s="660"/>
      <c r="BS585" s="660"/>
      <c r="BT585" s="661"/>
      <c r="BU585" s="659"/>
      <c r="BV585" s="660"/>
      <c r="BW585" s="660"/>
      <c r="BX585" s="661"/>
      <c r="BY585" s="659"/>
      <c r="BZ585" s="660"/>
      <c r="CA585" s="660"/>
      <c r="CB585" s="661"/>
      <c r="CC585" s="659"/>
      <c r="CD585" s="660"/>
      <c r="CE585" s="660"/>
      <c r="CF585" s="661"/>
      <c r="CH585" s="661"/>
      <c r="CI585" s="661"/>
      <c r="CJ585" s="661"/>
      <c r="CK585" s="661"/>
      <c r="CL585" s="661"/>
      <c r="CM585" s="661"/>
      <c r="CN585" s="661"/>
      <c r="CO585" s="661"/>
      <c r="CP585" s="661"/>
      <c r="CQ585" s="661"/>
      <c r="CR585" s="661"/>
      <c r="CS585" s="661"/>
      <c r="CT585" s="661"/>
      <c r="CU585" s="661"/>
      <c r="CV585" s="661"/>
      <c r="CW585" s="661"/>
      <c r="CX585" s="661"/>
      <c r="CY585" s="660"/>
      <c r="CZ585" s="660"/>
      <c r="DA585" s="660"/>
      <c r="DB585" s="660"/>
      <c r="DC585" s="660"/>
      <c r="DD585" s="660"/>
      <c r="DE585" s="660"/>
      <c r="DF585" s="661"/>
      <c r="DG585" s="124"/>
      <c r="DH585" s="124"/>
      <c r="DI585" s="1548"/>
    </row>
    <row r="586" spans="1:113" s="26" customFormat="1" ht="11.25" customHeight="1">
      <c r="A586" s="24"/>
      <c r="B586"/>
      <c r="C586"/>
      <c r="D586"/>
      <c r="E586"/>
      <c r="F586"/>
      <c r="G586"/>
      <c r="H586" s="1044"/>
      <c r="I586" s="218" t="s">
        <v>49</v>
      </c>
      <c r="J586" s="108"/>
      <c r="K586" s="108"/>
      <c r="L586" s="24"/>
      <c r="M586" s="315"/>
      <c r="N586" s="315"/>
      <c r="O586" s="315"/>
      <c r="P586" s="316"/>
      <c r="Q586" s="315"/>
      <c r="R586" s="315"/>
      <c r="S586" s="315"/>
      <c r="T586" s="316"/>
      <c r="U586" s="317"/>
      <c r="V586" s="317"/>
      <c r="W586" s="317"/>
      <c r="X586" s="318"/>
      <c r="Y586" s="317"/>
      <c r="Z586" s="317"/>
      <c r="AA586" s="317"/>
      <c r="AB586" s="318"/>
      <c r="AC586" s="317"/>
      <c r="AD586" s="317"/>
      <c r="AE586" s="317"/>
      <c r="AF586" s="318"/>
      <c r="AG586" s="317"/>
      <c r="AH586" s="317"/>
      <c r="AI586" s="317"/>
      <c r="AJ586" s="318"/>
      <c r="AK586" s="317"/>
      <c r="AL586" s="317"/>
      <c r="AM586" s="317"/>
      <c r="AN586" s="318"/>
      <c r="AO586" s="317"/>
      <c r="AP586" s="317"/>
      <c r="AQ586" s="317"/>
      <c r="AR586" s="318"/>
      <c r="AS586" s="317"/>
      <c r="AT586" s="317"/>
      <c r="AU586" s="317"/>
      <c r="AV586" s="318"/>
      <c r="AW586" s="319"/>
      <c r="AX586" s="319"/>
      <c r="AY586" s="319"/>
      <c r="AZ586" s="318"/>
      <c r="BA586" s="317"/>
      <c r="BB586" s="317"/>
      <c r="BC586" s="317"/>
      <c r="BD586" s="318"/>
      <c r="BE586" s="317"/>
      <c r="BF586" s="317"/>
      <c r="BG586" s="317"/>
      <c r="BH586" s="318"/>
      <c r="BI586" s="447"/>
      <c r="BJ586" s="447"/>
      <c r="BK586" s="447"/>
      <c r="BL586" s="502"/>
      <c r="BM586" s="447"/>
      <c r="BN586" s="447"/>
      <c r="BO586" s="447"/>
      <c r="BP586" s="318"/>
      <c r="BQ586" s="317"/>
      <c r="BR586" s="317"/>
      <c r="BS586" s="317"/>
      <c r="BT586" s="318"/>
      <c r="BU586" s="317"/>
      <c r="BV586" s="317"/>
      <c r="BW586" s="317"/>
      <c r="BX586" s="318"/>
      <c r="BY586" s="317"/>
      <c r="BZ586" s="317"/>
      <c r="CA586" s="317"/>
      <c r="CB586" s="318"/>
      <c r="CC586" s="317"/>
      <c r="CD586" s="317"/>
      <c r="CE586" s="317"/>
      <c r="CF586" s="318"/>
      <c r="CG586" s="316"/>
      <c r="CH586" s="320"/>
      <c r="CI586" s="315"/>
      <c r="CJ586" s="317"/>
      <c r="CK586" s="317"/>
      <c r="CL586" s="317"/>
      <c r="CM586" s="317"/>
      <c r="CN586" s="317"/>
      <c r="CO586" s="317"/>
      <c r="CP586" s="319"/>
      <c r="CQ586" s="317"/>
      <c r="CR586" s="317"/>
      <c r="CS586" s="321"/>
      <c r="CT586" s="317"/>
      <c r="CU586" s="321"/>
      <c r="CV586" s="592"/>
      <c r="CW586" s="592"/>
      <c r="CX586" s="592"/>
      <c r="CY586" s="1801"/>
      <c r="CZ586" s="592"/>
      <c r="DA586" s="592"/>
      <c r="DB586" s="592"/>
      <c r="DC586" s="592"/>
      <c r="DD586" s="592"/>
      <c r="DE586" s="592"/>
      <c r="DF586" s="593"/>
      <c r="DG586" s="94"/>
      <c r="DH586" s="94"/>
    </row>
    <row r="587" spans="1:113" s="554" customFormat="1" ht="11.25" customHeight="1">
      <c r="A587" s="547"/>
      <c r="B587"/>
      <c r="C587"/>
      <c r="D587"/>
      <c r="E587"/>
      <c r="F587"/>
      <c r="G587"/>
      <c r="H587" s="1044"/>
      <c r="I587" s="643" t="s">
        <v>50</v>
      </c>
      <c r="J587" s="644"/>
      <c r="K587" s="644"/>
      <c r="L587" s="547"/>
      <c r="M587" s="551"/>
      <c r="N587" s="551"/>
      <c r="O587" s="551"/>
      <c r="P587" s="552"/>
      <c r="Q587" s="551"/>
      <c r="R587" s="551"/>
      <c r="S587" s="551"/>
      <c r="T587" s="552"/>
      <c r="U587" s="516"/>
      <c r="V587" s="516"/>
      <c r="W587" s="516"/>
      <c r="X587" s="602"/>
      <c r="Y587" s="516"/>
      <c r="Z587" s="516"/>
      <c r="AA587" s="516"/>
      <c r="AB587" s="602"/>
      <c r="AC587" s="516"/>
      <c r="AD587" s="516"/>
      <c r="AE587" s="516"/>
      <c r="AF587" s="602"/>
      <c r="AG587" s="516"/>
      <c r="AH587" s="516"/>
      <c r="AI587" s="516"/>
      <c r="AJ587" s="602"/>
      <c r="AK587" s="516"/>
      <c r="AL587" s="516"/>
      <c r="AM587" s="516"/>
      <c r="AN587" s="602"/>
      <c r="AO587" s="516"/>
      <c r="AP587" s="516"/>
      <c r="AQ587" s="516"/>
      <c r="AR587" s="602"/>
      <c r="AS587" s="516"/>
      <c r="AT587" s="516"/>
      <c r="AU587" s="516"/>
      <c r="AV587" s="602"/>
      <c r="AW587" s="645"/>
      <c r="AX587" s="645"/>
      <c r="AY587" s="645"/>
      <c r="AZ587" s="602"/>
      <c r="BA587" s="516">
        <v>551.07399999999996</v>
      </c>
      <c r="BB587" s="516">
        <v>611.24900000000002</v>
      </c>
      <c r="BC587" s="516">
        <v>421.166</v>
      </c>
      <c r="BD587" s="602">
        <v>632.83600000000001</v>
      </c>
      <c r="BE587" s="516">
        <v>1192.075</v>
      </c>
      <c r="BF587" s="516">
        <v>812.78599999999994</v>
      </c>
      <c r="BG587" s="516">
        <v>898.47</v>
      </c>
      <c r="BH587" s="602">
        <v>1536.3489999999999</v>
      </c>
      <c r="BI587" s="516">
        <v>1611.21</v>
      </c>
      <c r="BJ587" s="516">
        <v>1762.2139999999999</v>
      </c>
      <c r="BK587" s="516">
        <v>1096.0940000000001</v>
      </c>
      <c r="BL587" s="602">
        <v>1289.9939999999999</v>
      </c>
      <c r="BM587" s="516">
        <v>1288.1500000000001</v>
      </c>
      <c r="BN587" s="516">
        <v>3503.8989999999999</v>
      </c>
      <c r="BO587" s="516">
        <v>5043.7240000000002</v>
      </c>
      <c r="BP587" s="602">
        <v>3148.6509999999998</v>
      </c>
      <c r="BQ587" s="516">
        <v>3255.8139999999999</v>
      </c>
      <c r="BR587" s="516">
        <v>1888.9490000000001</v>
      </c>
      <c r="BS587" s="516">
        <v>1841.6579999999999</v>
      </c>
      <c r="BT587" s="602">
        <v>1477.2650000000001</v>
      </c>
      <c r="BU587" s="516">
        <v>1857.165</v>
      </c>
      <c r="BV587" s="516">
        <v>2693.7179999999998</v>
      </c>
      <c r="BW587" s="516">
        <v>2422.2689999999998</v>
      </c>
      <c r="BX587" s="602">
        <v>2081.0749999999998</v>
      </c>
      <c r="BY587" s="516">
        <v>2434.02</v>
      </c>
      <c r="BZ587" s="516">
        <v>2634.2640000000001</v>
      </c>
      <c r="CA587" s="516">
        <v>2846.3</v>
      </c>
      <c r="CB587" s="602">
        <v>2541.6039999999998</v>
      </c>
      <c r="CC587" s="517">
        <f>CC698</f>
        <v>521.93635906201484</v>
      </c>
      <c r="CD587" s="517">
        <f>CD698</f>
        <v>1086.9678265577709</v>
      </c>
      <c r="CE587" s="517">
        <f>CE698</f>
        <v>2338.7494858849054</v>
      </c>
      <c r="CF587" s="601">
        <f>CF698</f>
        <v>3184.8813886833345</v>
      </c>
      <c r="CG587" s="552"/>
      <c r="CH587" s="553"/>
      <c r="CI587" s="551"/>
      <c r="CJ587" s="516"/>
      <c r="CK587" s="516"/>
      <c r="CL587" s="516"/>
      <c r="CM587" s="516"/>
      <c r="CN587" s="516"/>
      <c r="CO587" s="516"/>
      <c r="CP587" s="645"/>
      <c r="CQ587" s="516">
        <v>358.96699999999998</v>
      </c>
      <c r="CR587" s="516">
        <v>632.83600000000001</v>
      </c>
      <c r="CS587" s="517">
        <f t="shared" ref="CS587:CS592" si="1102">+BH587</f>
        <v>1536.3489999999999</v>
      </c>
      <c r="CT587" s="517">
        <f t="shared" ref="CT587:CT592" si="1103">+BL587</f>
        <v>1289.9939999999999</v>
      </c>
      <c r="CU587" s="517">
        <f t="shared" ref="CU587:CU592" si="1104">BP587</f>
        <v>3148.6509999999998</v>
      </c>
      <c r="CV587" s="517">
        <f t="shared" ref="CV587:CV592" si="1105">BT587</f>
        <v>1477.2650000000001</v>
      </c>
      <c r="CW587" s="517">
        <f t="shared" ref="CW587:CW592" si="1106">BX587</f>
        <v>2081.0749999999998</v>
      </c>
      <c r="CX587" s="517">
        <f t="shared" ref="CX587:CX592" si="1107">CB587</f>
        <v>2541.6039999999998</v>
      </c>
      <c r="CY587" s="517">
        <f t="shared" ref="CY587:CY592" si="1108">CF587</f>
        <v>3184.8813886833345</v>
      </c>
      <c r="CZ587" s="517">
        <f t="shared" ref="CZ587:DF587" si="1109">CZ698</f>
        <v>5879.6261227602517</v>
      </c>
      <c r="DA587" s="517">
        <f t="shared" si="1109"/>
        <v>8308.5049117054041</v>
      </c>
      <c r="DB587" s="517">
        <f t="shared" si="1109"/>
        <v>11496.500460528194</v>
      </c>
      <c r="DC587" s="517">
        <f t="shared" si="1109"/>
        <v>17120.247567033934</v>
      </c>
      <c r="DD587" s="517">
        <f t="shared" si="1109"/>
        <v>24335.243195206625</v>
      </c>
      <c r="DE587" s="517">
        <f t="shared" si="1109"/>
        <v>31206.707596545093</v>
      </c>
      <c r="DF587" s="601">
        <f t="shared" si="1109"/>
        <v>39555.024520900457</v>
      </c>
      <c r="DG587" s="612"/>
      <c r="DH587" s="612"/>
    </row>
    <row r="588" spans="1:113" s="554" customFormat="1" ht="11.25" customHeight="1">
      <c r="A588" s="547"/>
      <c r="B588"/>
      <c r="C588"/>
      <c r="D588"/>
      <c r="E588"/>
      <c r="F588"/>
      <c r="G588"/>
      <c r="H588" s="1044"/>
      <c r="I588" s="643" t="s">
        <v>51</v>
      </c>
      <c r="J588" s="644"/>
      <c r="K588" s="644"/>
      <c r="L588" s="547"/>
      <c r="M588" s="551"/>
      <c r="N588" s="551"/>
      <c r="O588" s="551"/>
      <c r="P588" s="552"/>
      <c r="Q588" s="551"/>
      <c r="R588" s="551"/>
      <c r="S588" s="551"/>
      <c r="T588" s="552"/>
      <c r="U588" s="516"/>
      <c r="V588" s="516"/>
      <c r="W588" s="516"/>
      <c r="X588" s="602"/>
      <c r="Y588" s="516"/>
      <c r="Z588" s="516"/>
      <c r="AA588" s="516"/>
      <c r="AB588" s="602"/>
      <c r="AC588" s="516"/>
      <c r="AD588" s="516"/>
      <c r="AE588" s="516"/>
      <c r="AF588" s="602"/>
      <c r="AG588" s="516"/>
      <c r="AH588" s="516"/>
      <c r="AI588" s="516"/>
      <c r="AJ588" s="602"/>
      <c r="AK588" s="516"/>
      <c r="AL588" s="516"/>
      <c r="AM588" s="516"/>
      <c r="AN588" s="602"/>
      <c r="AO588" s="516"/>
      <c r="AP588" s="516"/>
      <c r="AQ588" s="516"/>
      <c r="AR588" s="602"/>
      <c r="AS588" s="516"/>
      <c r="AT588" s="516"/>
      <c r="AU588" s="516"/>
      <c r="AV588" s="602"/>
      <c r="AW588" s="645"/>
      <c r="AX588" s="645"/>
      <c r="AY588" s="645"/>
      <c r="AZ588" s="602"/>
      <c r="BA588" s="516">
        <v>1.0640000000000001</v>
      </c>
      <c r="BB588" s="516">
        <v>1.079</v>
      </c>
      <c r="BC588" s="516">
        <v>3.851</v>
      </c>
      <c r="BD588" s="602">
        <v>3.7709999999999999</v>
      </c>
      <c r="BE588" s="516">
        <v>4.4580000000000002</v>
      </c>
      <c r="BF588" s="516">
        <v>6.609</v>
      </c>
      <c r="BG588" s="516">
        <v>7.2140000000000004</v>
      </c>
      <c r="BH588" s="602">
        <v>6.641</v>
      </c>
      <c r="BI588" s="516">
        <v>7.0220000000000002</v>
      </c>
      <c r="BJ588" s="516">
        <v>7.7329999999999997</v>
      </c>
      <c r="BK588" s="516">
        <v>9.0340000000000007</v>
      </c>
      <c r="BL588" s="602">
        <v>10.476000000000001</v>
      </c>
      <c r="BM588" s="516">
        <v>15.616</v>
      </c>
      <c r="BN588" s="516">
        <v>15.63</v>
      </c>
      <c r="BO588" s="516">
        <v>0.90300000000000002</v>
      </c>
      <c r="BP588" s="602">
        <v>0.84299999999999997</v>
      </c>
      <c r="BQ588" s="516">
        <v>0.86299999999999999</v>
      </c>
      <c r="BR588" s="516">
        <v>1.052</v>
      </c>
      <c r="BS588" s="516">
        <v>0.82699999999999996</v>
      </c>
      <c r="BT588" s="602">
        <v>0.80600000000000005</v>
      </c>
      <c r="BU588" s="516">
        <v>0.83499999999999996</v>
      </c>
      <c r="BV588" s="516">
        <v>0.82299999999999995</v>
      </c>
      <c r="BW588" s="516">
        <v>0.85699999999999998</v>
      </c>
      <c r="BX588" s="602">
        <v>0</v>
      </c>
      <c r="BY588" s="516">
        <v>0</v>
      </c>
      <c r="BZ588" s="516">
        <v>0</v>
      </c>
      <c r="CA588" s="516">
        <v>0</v>
      </c>
      <c r="CB588" s="602">
        <v>0</v>
      </c>
      <c r="CC588" s="517">
        <f>+CB588</f>
        <v>0</v>
      </c>
      <c r="CD588" s="517">
        <f t="shared" ref="CD588:CF589" si="1110">CC588</f>
        <v>0</v>
      </c>
      <c r="CE588" s="517">
        <f t="shared" si="1110"/>
        <v>0</v>
      </c>
      <c r="CF588" s="601">
        <f t="shared" si="1110"/>
        <v>0</v>
      </c>
      <c r="CG588" s="552"/>
      <c r="CH588" s="553"/>
      <c r="CI588" s="551"/>
      <c r="CJ588" s="516"/>
      <c r="CK588" s="516"/>
      <c r="CL588" s="516"/>
      <c r="CM588" s="516"/>
      <c r="CN588" s="516"/>
      <c r="CO588" s="516"/>
      <c r="CP588" s="645"/>
      <c r="CQ588" s="516">
        <v>1.05</v>
      </c>
      <c r="CR588" s="516">
        <v>3.7709999999999999</v>
      </c>
      <c r="CS588" s="517">
        <f t="shared" si="1102"/>
        <v>6.641</v>
      </c>
      <c r="CT588" s="517">
        <f t="shared" si="1103"/>
        <v>10.476000000000001</v>
      </c>
      <c r="CU588" s="517">
        <f t="shared" si="1104"/>
        <v>0.84299999999999997</v>
      </c>
      <c r="CV588" s="517">
        <f t="shared" si="1105"/>
        <v>0.80600000000000005</v>
      </c>
      <c r="CW588" s="517">
        <f t="shared" si="1106"/>
        <v>0</v>
      </c>
      <c r="CX588" s="517">
        <f t="shared" si="1107"/>
        <v>0</v>
      </c>
      <c r="CY588" s="517">
        <f t="shared" si="1108"/>
        <v>0</v>
      </c>
      <c r="CZ588" s="517">
        <f t="shared" ref="CZ588:DF589" si="1111">CY588</f>
        <v>0</v>
      </c>
      <c r="DA588" s="517">
        <f t="shared" si="1111"/>
        <v>0</v>
      </c>
      <c r="DB588" s="517">
        <f t="shared" si="1111"/>
        <v>0</v>
      </c>
      <c r="DC588" s="517">
        <f t="shared" si="1111"/>
        <v>0</v>
      </c>
      <c r="DD588" s="517">
        <f t="shared" si="1111"/>
        <v>0</v>
      </c>
      <c r="DE588" s="517">
        <f t="shared" si="1111"/>
        <v>0</v>
      </c>
      <c r="DF588" s="601">
        <f t="shared" si="1111"/>
        <v>0</v>
      </c>
      <c r="DG588" s="612"/>
      <c r="DH588" s="612"/>
    </row>
    <row r="589" spans="1:113" s="554" customFormat="1" ht="11.25" customHeight="1">
      <c r="A589" s="547"/>
      <c r="B589"/>
      <c r="C589"/>
      <c r="D589"/>
      <c r="E589"/>
      <c r="F589"/>
      <c r="G589"/>
      <c r="H589" s="1044"/>
      <c r="I589" s="643" t="s">
        <v>52</v>
      </c>
      <c r="J589" s="644"/>
      <c r="K589" s="644"/>
      <c r="L589" s="547"/>
      <c r="M589" s="551"/>
      <c r="N589" s="551"/>
      <c r="O589" s="551"/>
      <c r="P589" s="552"/>
      <c r="Q589" s="551"/>
      <c r="R589" s="551"/>
      <c r="S589" s="551"/>
      <c r="T589" s="552"/>
      <c r="U589" s="516"/>
      <c r="V589" s="516"/>
      <c r="W589" s="516"/>
      <c r="X589" s="602"/>
      <c r="Y589" s="516"/>
      <c r="Z589" s="516"/>
      <c r="AA589" s="516"/>
      <c r="AB589" s="602"/>
      <c r="AC589" s="516"/>
      <c r="AD589" s="516"/>
      <c r="AE589" s="516"/>
      <c r="AF589" s="602"/>
      <c r="AG589" s="516"/>
      <c r="AH589" s="516"/>
      <c r="AI589" s="516"/>
      <c r="AJ589" s="602"/>
      <c r="AK589" s="516"/>
      <c r="AL589" s="516"/>
      <c r="AM589" s="516"/>
      <c r="AN589" s="602"/>
      <c r="AO589" s="516"/>
      <c r="AP589" s="516"/>
      <c r="AQ589" s="516"/>
      <c r="AR589" s="602"/>
      <c r="AS589" s="516"/>
      <c r="AT589" s="516"/>
      <c r="AU589" s="516"/>
      <c r="AV589" s="602"/>
      <c r="AW589" s="645"/>
      <c r="AX589" s="645"/>
      <c r="AY589" s="645"/>
      <c r="AZ589" s="602"/>
      <c r="BA589" s="516">
        <v>1194.5119999999999</v>
      </c>
      <c r="BB589" s="516">
        <v>1338.1690000000001</v>
      </c>
      <c r="BC589" s="516">
        <v>1983.4670000000001</v>
      </c>
      <c r="BD589" s="602">
        <v>2024.827</v>
      </c>
      <c r="BE589" s="516">
        <v>2426.6280000000002</v>
      </c>
      <c r="BF589" s="516">
        <v>3129.556</v>
      </c>
      <c r="BG589" s="516">
        <v>3769.527</v>
      </c>
      <c r="BH589" s="602">
        <v>3646.8449999999998</v>
      </c>
      <c r="BI589" s="516">
        <v>3570.4070000000002</v>
      </c>
      <c r="BJ589" s="516">
        <v>4182.8599999999997</v>
      </c>
      <c r="BK589" s="516">
        <v>5487.5259999999998</v>
      </c>
      <c r="BL589" s="602">
        <v>5462.72</v>
      </c>
      <c r="BM589" s="516">
        <v>5422.3580000000002</v>
      </c>
      <c r="BN589" s="516">
        <v>3660.8069999999998</v>
      </c>
      <c r="BO589" s="516">
        <v>1193.3530000000001</v>
      </c>
      <c r="BP589" s="602">
        <v>1142.182</v>
      </c>
      <c r="BQ589" s="516">
        <v>1379.6410000000001</v>
      </c>
      <c r="BR589" s="516">
        <v>1299.127</v>
      </c>
      <c r="BS589" s="516">
        <v>1211.184</v>
      </c>
      <c r="BT589" s="602">
        <v>1171.2460000000001</v>
      </c>
      <c r="BU589" s="516">
        <v>1525.6369999999999</v>
      </c>
      <c r="BV589" s="516">
        <v>1677.242</v>
      </c>
      <c r="BW589" s="516">
        <v>1956.047</v>
      </c>
      <c r="BX589" s="602">
        <v>2218.88</v>
      </c>
      <c r="BY589" s="516">
        <v>2936.1579999999999</v>
      </c>
      <c r="BZ589" s="516">
        <v>3721.8249999999998</v>
      </c>
      <c r="CA589" s="516">
        <v>4407.0280000000002</v>
      </c>
      <c r="CB589" s="602">
        <v>4859.8729999999996</v>
      </c>
      <c r="CC589" s="517">
        <f>CB589</f>
        <v>4859.8729999999996</v>
      </c>
      <c r="CD589" s="517">
        <f t="shared" si="1110"/>
        <v>4859.8729999999996</v>
      </c>
      <c r="CE589" s="517">
        <f t="shared" si="1110"/>
        <v>4859.8729999999996</v>
      </c>
      <c r="CF589" s="601">
        <f t="shared" si="1110"/>
        <v>4859.8729999999996</v>
      </c>
      <c r="CG589" s="552"/>
      <c r="CH589" s="553"/>
      <c r="CI589" s="551"/>
      <c r="CJ589" s="516"/>
      <c r="CK589" s="516"/>
      <c r="CL589" s="516"/>
      <c r="CM589" s="516"/>
      <c r="CN589" s="516"/>
      <c r="CO589" s="516"/>
      <c r="CP589" s="645"/>
      <c r="CQ589" s="516">
        <v>1303.251</v>
      </c>
      <c r="CR589" s="516">
        <v>2024.827</v>
      </c>
      <c r="CS589" s="517">
        <f t="shared" si="1102"/>
        <v>3646.8449999999998</v>
      </c>
      <c r="CT589" s="517">
        <f t="shared" si="1103"/>
        <v>5462.72</v>
      </c>
      <c r="CU589" s="517">
        <f t="shared" si="1104"/>
        <v>1142.182</v>
      </c>
      <c r="CV589" s="517">
        <f t="shared" si="1105"/>
        <v>1171.2460000000001</v>
      </c>
      <c r="CW589" s="517">
        <f t="shared" si="1106"/>
        <v>2218.88</v>
      </c>
      <c r="CX589" s="517">
        <f t="shared" si="1107"/>
        <v>4859.8729999999996</v>
      </c>
      <c r="CY589" s="517">
        <f t="shared" si="1108"/>
        <v>4859.8729999999996</v>
      </c>
      <c r="CZ589" s="517">
        <f t="shared" si="1111"/>
        <v>4859.8729999999996</v>
      </c>
      <c r="DA589" s="517">
        <f t="shared" si="1111"/>
        <v>4859.8729999999996</v>
      </c>
      <c r="DB589" s="517">
        <f t="shared" si="1111"/>
        <v>4859.8729999999996</v>
      </c>
      <c r="DC589" s="517">
        <f t="shared" si="1111"/>
        <v>4859.8729999999996</v>
      </c>
      <c r="DD589" s="517">
        <f t="shared" si="1111"/>
        <v>4859.8729999999996</v>
      </c>
      <c r="DE589" s="517">
        <f t="shared" si="1111"/>
        <v>4859.8729999999996</v>
      </c>
      <c r="DF589" s="601">
        <f t="shared" si="1111"/>
        <v>4859.8729999999996</v>
      </c>
      <c r="DG589" s="612"/>
      <c r="DH589" s="612"/>
    </row>
    <row r="590" spans="1:113" s="554" customFormat="1" ht="11.25" customHeight="1">
      <c r="A590" s="547"/>
      <c r="B590"/>
      <c r="C590"/>
      <c r="D590"/>
      <c r="E590"/>
      <c r="F590"/>
      <c r="G590"/>
      <c r="H590" s="1044"/>
      <c r="I590" s="643" t="s">
        <v>53</v>
      </c>
      <c r="J590" s="644"/>
      <c r="K590" s="644"/>
      <c r="L590" s="547"/>
      <c r="M590" s="551"/>
      <c r="N590" s="551"/>
      <c r="O590" s="551"/>
      <c r="P590" s="552"/>
      <c r="Q590" s="551"/>
      <c r="R590" s="551"/>
      <c r="S590" s="551"/>
      <c r="T590" s="552"/>
      <c r="U590" s="516"/>
      <c r="V590" s="516"/>
      <c r="W590" s="516"/>
      <c r="X590" s="602"/>
      <c r="Y590" s="516"/>
      <c r="Z590" s="516"/>
      <c r="AA590" s="516"/>
      <c r="AB590" s="602"/>
      <c r="AC590" s="516"/>
      <c r="AD590" s="516"/>
      <c r="AE590" s="516"/>
      <c r="AF590" s="602"/>
      <c r="AG590" s="516"/>
      <c r="AH590" s="516"/>
      <c r="AI590" s="516"/>
      <c r="AJ590" s="602"/>
      <c r="AK590" s="516"/>
      <c r="AL590" s="516"/>
      <c r="AM590" s="516"/>
      <c r="AN590" s="602"/>
      <c r="AO590" s="516"/>
      <c r="AP590" s="516"/>
      <c r="AQ590" s="516"/>
      <c r="AR590" s="602"/>
      <c r="AS590" s="516"/>
      <c r="AT590" s="516"/>
      <c r="AU590" s="516"/>
      <c r="AV590" s="602"/>
      <c r="AW590" s="645"/>
      <c r="AX590" s="645"/>
      <c r="AY590" s="645"/>
      <c r="AZ590" s="602"/>
      <c r="BA590" s="516">
        <v>221.97800000000001</v>
      </c>
      <c r="BB590" s="516">
        <v>321.358</v>
      </c>
      <c r="BC590" s="516">
        <v>345.339</v>
      </c>
      <c r="BD590" s="602">
        <v>264.45299999999997</v>
      </c>
      <c r="BE590" s="516">
        <v>324.56200000000001</v>
      </c>
      <c r="BF590" s="516">
        <v>429.52</v>
      </c>
      <c r="BG590" s="516">
        <v>493.77699999999999</v>
      </c>
      <c r="BH590" s="602">
        <v>367.512</v>
      </c>
      <c r="BI590" s="516">
        <v>471.80700000000002</v>
      </c>
      <c r="BJ590" s="516">
        <v>649.25</v>
      </c>
      <c r="BK590" s="516">
        <v>706.23400000000004</v>
      </c>
      <c r="BL590" s="602">
        <v>535.96199999999999</v>
      </c>
      <c r="BM590" s="516">
        <v>627.16</v>
      </c>
      <c r="BN590" s="516">
        <v>841.13300000000004</v>
      </c>
      <c r="BO590" s="516">
        <v>843.56</v>
      </c>
      <c r="BP590" s="602">
        <v>643.89400000000001</v>
      </c>
      <c r="BQ590" s="516">
        <v>706.77599999999995</v>
      </c>
      <c r="BR590" s="516">
        <v>889.86800000000005</v>
      </c>
      <c r="BS590" s="516">
        <v>890.53200000000004</v>
      </c>
      <c r="BT590" s="602">
        <v>645.16899999999998</v>
      </c>
      <c r="BU590" s="516">
        <v>857.14</v>
      </c>
      <c r="BV590" s="516">
        <v>982.99300000000005</v>
      </c>
      <c r="BW590" s="516">
        <v>1105.086</v>
      </c>
      <c r="BX590" s="602">
        <v>860.11500000000001</v>
      </c>
      <c r="BY590" s="516">
        <v>934.25400000000002</v>
      </c>
      <c r="BZ590" s="516">
        <v>1230.6020000000001</v>
      </c>
      <c r="CA590" s="516">
        <v>1437.7619999999999</v>
      </c>
      <c r="CB590" s="602">
        <v>1217.8009999999999</v>
      </c>
      <c r="CC590" s="517">
        <f>+CC635*Model!CC21</f>
        <v>1129.2838587392032</v>
      </c>
      <c r="CD590" s="517">
        <f>+CD635*Model!CD21</f>
        <v>1498.4202094724928</v>
      </c>
      <c r="CE590" s="517">
        <f>+CE635*Model!CE21</f>
        <v>1670.9539289181707</v>
      </c>
      <c r="CF590" s="601">
        <f>+CF635*Model!CF21</f>
        <v>1525.4593271918172</v>
      </c>
      <c r="CG590" s="552"/>
      <c r="CH590" s="553"/>
      <c r="CI590" s="551"/>
      <c r="CJ590" s="516"/>
      <c r="CK590" s="516"/>
      <c r="CL590" s="516"/>
      <c r="CM590" s="516"/>
      <c r="CN590" s="516"/>
      <c r="CO590" s="516"/>
      <c r="CP590" s="645"/>
      <c r="CQ590" s="516">
        <v>162.42599999999999</v>
      </c>
      <c r="CR590" s="516">
        <v>264.45299999999997</v>
      </c>
      <c r="CS590" s="517">
        <f t="shared" si="1102"/>
        <v>367.512</v>
      </c>
      <c r="CT590" s="517">
        <f t="shared" si="1103"/>
        <v>535.96199999999999</v>
      </c>
      <c r="CU590" s="517">
        <f t="shared" si="1104"/>
        <v>643.89400000000001</v>
      </c>
      <c r="CV590" s="517">
        <f t="shared" si="1105"/>
        <v>645.16899999999998</v>
      </c>
      <c r="CW590" s="517">
        <f t="shared" si="1106"/>
        <v>860.11500000000001</v>
      </c>
      <c r="CX590" s="517">
        <f t="shared" si="1107"/>
        <v>1217.8009999999999</v>
      </c>
      <c r="CY590" s="517">
        <f t="shared" si="1108"/>
        <v>1525.4593271918172</v>
      </c>
      <c r="CZ590" s="517">
        <f>+CZ635*Model!CZ21</f>
        <v>1749.3466596358353</v>
      </c>
      <c r="DA590" s="517">
        <f>+DA635*Model!DA21</f>
        <v>1975.0477622488293</v>
      </c>
      <c r="DB590" s="517">
        <f>+DB635*Model!DB21</f>
        <v>2196.3087651974711</v>
      </c>
      <c r="DC590" s="517">
        <f>+DC635*Model!DC21</f>
        <v>2392.8750180418765</v>
      </c>
      <c r="DD590" s="517">
        <f>+DD635*Model!DD21</f>
        <v>2586.5255412879783</v>
      </c>
      <c r="DE590" s="517">
        <f>+DE635*Model!DE21</f>
        <v>2775.5582680609259</v>
      </c>
      <c r="DF590" s="601">
        <f>+DF635*Model!DF21</f>
        <v>2979.2492225528645</v>
      </c>
      <c r="DG590" s="612"/>
      <c r="DH590" s="612"/>
    </row>
    <row r="591" spans="1:113" s="554" customFormat="1" ht="11.25" customHeight="1">
      <c r="A591" s="547"/>
      <c r="B591"/>
      <c r="C591"/>
      <c r="D591"/>
      <c r="E591"/>
      <c r="F591"/>
      <c r="G591"/>
      <c r="H591" s="1044"/>
      <c r="I591" s="643" t="s">
        <v>54</v>
      </c>
      <c r="J591" s="644"/>
      <c r="K591" s="644"/>
      <c r="L591" s="547"/>
      <c r="M591" s="551"/>
      <c r="N591" s="551"/>
      <c r="O591" s="551"/>
      <c r="P591" s="552"/>
      <c r="Q591" s="551"/>
      <c r="R591" s="551"/>
      <c r="S591" s="551"/>
      <c r="T591" s="552"/>
      <c r="U591" s="516"/>
      <c r="V591" s="516"/>
      <c r="W591" s="516"/>
      <c r="X591" s="602"/>
      <c r="Y591" s="516"/>
      <c r="Z591" s="516"/>
      <c r="AA591" s="516"/>
      <c r="AB591" s="602"/>
      <c r="AC591" s="516"/>
      <c r="AD591" s="516"/>
      <c r="AE591" s="516"/>
      <c r="AF591" s="602"/>
      <c r="AG591" s="516"/>
      <c r="AH591" s="516"/>
      <c r="AI591" s="516"/>
      <c r="AJ591" s="602"/>
      <c r="AK591" s="516"/>
      <c r="AL591" s="516"/>
      <c r="AM591" s="516"/>
      <c r="AN591" s="602"/>
      <c r="AO591" s="516"/>
      <c r="AP591" s="516"/>
      <c r="AQ591" s="516"/>
      <c r="AR591" s="602"/>
      <c r="AS591" s="516"/>
      <c r="AT591" s="516"/>
      <c r="AU591" s="516"/>
      <c r="AV591" s="602"/>
      <c r="AW591" s="645"/>
      <c r="AX591" s="645"/>
      <c r="AY591" s="645"/>
      <c r="AZ591" s="602"/>
      <c r="BA591" s="516">
        <v>56.682000000000002</v>
      </c>
      <c r="BB591" s="516">
        <v>52.720999999999997</v>
      </c>
      <c r="BC591" s="516">
        <v>95.906000000000006</v>
      </c>
      <c r="BD591" s="602">
        <v>104.202</v>
      </c>
      <c r="BE591" s="516">
        <v>201.74</v>
      </c>
      <c r="BF591" s="516">
        <v>164.745</v>
      </c>
      <c r="BG591" s="516">
        <v>152.72200000000001</v>
      </c>
      <c r="BH591" s="602">
        <v>84.29</v>
      </c>
      <c r="BI591" s="516">
        <v>319.25099999999998</v>
      </c>
      <c r="BJ591" s="516">
        <v>249.851</v>
      </c>
      <c r="BK591" s="516">
        <v>107.688</v>
      </c>
      <c r="BL591" s="602">
        <v>107.102</v>
      </c>
      <c r="BM591" s="516">
        <v>428.12299999999999</v>
      </c>
      <c r="BN591" s="516">
        <v>380.28399999999999</v>
      </c>
      <c r="BO591" s="516">
        <v>166.30799999999999</v>
      </c>
      <c r="BP591" s="602">
        <v>178.05</v>
      </c>
      <c r="BQ591" s="516">
        <v>487.28500000000003</v>
      </c>
      <c r="BR591" s="516">
        <v>508.41</v>
      </c>
      <c r="BS591" s="516">
        <v>264.25599999999997</v>
      </c>
      <c r="BT591" s="602">
        <v>258.75099999999998</v>
      </c>
      <c r="BU591" s="516">
        <v>623.98599999999999</v>
      </c>
      <c r="BV591" s="516">
        <v>559.69100000000003</v>
      </c>
      <c r="BW591" s="516">
        <v>349.32299999999998</v>
      </c>
      <c r="BX591" s="602">
        <v>241.44900000000001</v>
      </c>
      <c r="BY591" s="516">
        <v>683.45</v>
      </c>
      <c r="BZ591" s="516">
        <v>685.87900000000002</v>
      </c>
      <c r="CA591" s="516">
        <v>433.505</v>
      </c>
      <c r="CB591" s="602">
        <v>415.52699999999999</v>
      </c>
      <c r="CC591" s="517">
        <f>+CC636*Model!CC21</f>
        <v>826.12335965948068</v>
      </c>
      <c r="CD591" s="517">
        <f>+CD636*Model!CD21</f>
        <v>835.14812656958452</v>
      </c>
      <c r="CE591" s="517">
        <f>+CE636*Model!CE21</f>
        <v>503.81557097466174</v>
      </c>
      <c r="CF591" s="601">
        <f>+CF636*Model!CF21</f>
        <v>520.50338097113922</v>
      </c>
      <c r="CG591" s="552"/>
      <c r="CH591" s="553"/>
      <c r="CI591" s="551"/>
      <c r="CJ591" s="516"/>
      <c r="CK591" s="516"/>
      <c r="CL591" s="516"/>
      <c r="CM591" s="516"/>
      <c r="CN591" s="516"/>
      <c r="CO591" s="516"/>
      <c r="CP591" s="645"/>
      <c r="CQ591" s="516">
        <v>61.210999999999999</v>
      </c>
      <c r="CR591" s="516">
        <v>104.202</v>
      </c>
      <c r="CS591" s="517">
        <f t="shared" si="1102"/>
        <v>84.29</v>
      </c>
      <c r="CT591" s="517">
        <f t="shared" si="1103"/>
        <v>107.102</v>
      </c>
      <c r="CU591" s="517">
        <f t="shared" si="1104"/>
        <v>178.05</v>
      </c>
      <c r="CV591" s="517">
        <f t="shared" si="1105"/>
        <v>258.75099999999998</v>
      </c>
      <c r="CW591" s="517">
        <f t="shared" si="1106"/>
        <v>241.44900000000001</v>
      </c>
      <c r="CX591" s="517">
        <f t="shared" si="1107"/>
        <v>415.52699999999999</v>
      </c>
      <c r="CY591" s="517">
        <f t="shared" si="1108"/>
        <v>520.50338097113922</v>
      </c>
      <c r="CZ591" s="517">
        <f>+CZ636*Model!CZ21</f>
        <v>596.89618372665143</v>
      </c>
      <c r="DA591" s="517">
        <f>+DA636*Model!DA21</f>
        <v>680.58021976655425</v>
      </c>
      <c r="DB591" s="517">
        <f>+DB636*Model!DB21</f>
        <v>756.82438200448155</v>
      </c>
      <c r="DC591" s="517">
        <f>+DC636*Model!DC21</f>
        <v>824.55899891683896</v>
      </c>
      <c r="DD591" s="517">
        <f>+DD636*Model!DD21</f>
        <v>891.28888676455165</v>
      </c>
      <c r="DE591" s="517">
        <f>+DE636*Model!DE21</f>
        <v>956.42753160609107</v>
      </c>
      <c r="DF591" s="601">
        <f>+DF636*Model!DF21</f>
        <v>1026.6172440891646</v>
      </c>
      <c r="DG591" s="612"/>
      <c r="DH591" s="612"/>
    </row>
    <row r="592" spans="1:113" s="554" customFormat="1" ht="11.25" customHeight="1">
      <c r="A592" s="547"/>
      <c r="B592"/>
      <c r="C592"/>
      <c r="D592"/>
      <c r="E592"/>
      <c r="F592"/>
      <c r="G592"/>
      <c r="H592" s="1044"/>
      <c r="I592" s="646" t="s">
        <v>55</v>
      </c>
      <c r="J592" s="647"/>
      <c r="K592" s="647"/>
      <c r="L592" s="560"/>
      <c r="M592" s="561"/>
      <c r="N592" s="561"/>
      <c r="O592" s="561"/>
      <c r="P592" s="562"/>
      <c r="Q592" s="561"/>
      <c r="R592" s="561"/>
      <c r="S592" s="561"/>
      <c r="T592" s="562"/>
      <c r="U592" s="511"/>
      <c r="V592" s="511"/>
      <c r="W592" s="511"/>
      <c r="X592" s="648"/>
      <c r="Y592" s="511"/>
      <c r="Z592" s="511"/>
      <c r="AA592" s="511"/>
      <c r="AB592" s="648"/>
      <c r="AC592" s="511"/>
      <c r="AD592" s="511"/>
      <c r="AE592" s="511"/>
      <c r="AF592" s="648"/>
      <c r="AG592" s="511"/>
      <c r="AH592" s="511"/>
      <c r="AI592" s="511"/>
      <c r="AJ592" s="648"/>
      <c r="AK592" s="511"/>
      <c r="AL592" s="511"/>
      <c r="AM592" s="511"/>
      <c r="AN592" s="648"/>
      <c r="AO592" s="511"/>
      <c r="AP592" s="511"/>
      <c r="AQ592" s="511"/>
      <c r="AR592" s="648"/>
      <c r="AS592" s="511"/>
      <c r="AT592" s="511"/>
      <c r="AU592" s="511"/>
      <c r="AV592" s="648"/>
      <c r="AW592" s="649"/>
      <c r="AX592" s="649"/>
      <c r="AY592" s="649"/>
      <c r="AZ592" s="648"/>
      <c r="BA592" s="511">
        <v>80.36</v>
      </c>
      <c r="BB592" s="511">
        <v>51.859000000000002</v>
      </c>
      <c r="BC592" s="511">
        <v>32.247999999999998</v>
      </c>
      <c r="BD592" s="648">
        <v>36.755000000000003</v>
      </c>
      <c r="BE592" s="511">
        <v>53.598999999999997</v>
      </c>
      <c r="BF592" s="511">
        <v>35.082999999999998</v>
      </c>
      <c r="BG592" s="511">
        <v>44.018999999999998</v>
      </c>
      <c r="BH592" s="648">
        <v>40.738</v>
      </c>
      <c r="BI592" s="511">
        <v>50.755000000000003</v>
      </c>
      <c r="BJ592" s="511">
        <v>74.242000000000004</v>
      </c>
      <c r="BK592" s="511">
        <v>82.471000000000004</v>
      </c>
      <c r="BL592" s="648">
        <v>74.686999999999998</v>
      </c>
      <c r="BM592" s="511">
        <v>74.533000000000001</v>
      </c>
      <c r="BN592" s="511">
        <v>107.006</v>
      </c>
      <c r="BO592" s="511">
        <v>56.017000000000003</v>
      </c>
      <c r="BP592" s="648">
        <v>153.75399999999999</v>
      </c>
      <c r="BQ592" s="511">
        <v>137.102</v>
      </c>
      <c r="BR592" s="511">
        <v>106.065</v>
      </c>
      <c r="BS592" s="511">
        <v>90.5</v>
      </c>
      <c r="BT592" s="648">
        <v>0</v>
      </c>
      <c r="BU592" s="511">
        <v>0</v>
      </c>
      <c r="BV592" s="511">
        <v>0</v>
      </c>
      <c r="BW592" s="511">
        <v>0</v>
      </c>
      <c r="BX592" s="648">
        <v>0</v>
      </c>
      <c r="BY592" s="511">
        <v>0</v>
      </c>
      <c r="BZ592" s="511">
        <v>0</v>
      </c>
      <c r="CA592" s="511">
        <v>0</v>
      </c>
      <c r="CB592" s="648">
        <v>0</v>
      </c>
      <c r="CC592" s="512">
        <f>CB592</f>
        <v>0</v>
      </c>
      <c r="CD592" s="512">
        <f>CC592</f>
        <v>0</v>
      </c>
      <c r="CE592" s="512">
        <f>CD592</f>
        <v>0</v>
      </c>
      <c r="CF592" s="513">
        <f>CE592</f>
        <v>0</v>
      </c>
      <c r="CG592" s="552"/>
      <c r="CH592" s="567"/>
      <c r="CI592" s="561"/>
      <c r="CJ592" s="511"/>
      <c r="CK592" s="511"/>
      <c r="CL592" s="511"/>
      <c r="CM592" s="511"/>
      <c r="CN592" s="511"/>
      <c r="CO592" s="511"/>
      <c r="CP592" s="649"/>
      <c r="CQ592" s="511">
        <v>70.558999999999997</v>
      </c>
      <c r="CR592" s="511">
        <v>36.755000000000003</v>
      </c>
      <c r="CS592" s="512">
        <f t="shared" si="1102"/>
        <v>40.738</v>
      </c>
      <c r="CT592" s="512">
        <f t="shared" si="1103"/>
        <v>74.686999999999998</v>
      </c>
      <c r="CU592" s="512">
        <f t="shared" si="1104"/>
        <v>153.75399999999999</v>
      </c>
      <c r="CV592" s="512">
        <f t="shared" si="1105"/>
        <v>0</v>
      </c>
      <c r="CW592" s="512">
        <f t="shared" si="1106"/>
        <v>0</v>
      </c>
      <c r="CX592" s="512">
        <f t="shared" si="1107"/>
        <v>0</v>
      </c>
      <c r="CY592" s="512">
        <f t="shared" si="1108"/>
        <v>0</v>
      </c>
      <c r="CZ592" s="512">
        <f t="shared" ref="CZ592:DF592" si="1112">CY592</f>
        <v>0</v>
      </c>
      <c r="DA592" s="512">
        <f t="shared" si="1112"/>
        <v>0</v>
      </c>
      <c r="DB592" s="512">
        <f t="shared" si="1112"/>
        <v>0</v>
      </c>
      <c r="DC592" s="512">
        <f t="shared" si="1112"/>
        <v>0</v>
      </c>
      <c r="DD592" s="512">
        <f t="shared" si="1112"/>
        <v>0</v>
      </c>
      <c r="DE592" s="512">
        <f t="shared" si="1112"/>
        <v>0</v>
      </c>
      <c r="DF592" s="513">
        <f t="shared" si="1112"/>
        <v>0</v>
      </c>
      <c r="DG592" s="612"/>
      <c r="DH592" s="612"/>
    </row>
    <row r="593" spans="1:112" s="584" customFormat="1" ht="11.25" customHeight="1">
      <c r="A593" s="542"/>
      <c r="B593"/>
      <c r="C593"/>
      <c r="D593"/>
      <c r="E593"/>
      <c r="F593"/>
      <c r="G593"/>
      <c r="H593" s="1052"/>
      <c r="I593" s="650" t="s">
        <v>56</v>
      </c>
      <c r="J593" s="651"/>
      <c r="K593" s="651"/>
      <c r="L593" s="542"/>
      <c r="M593" s="581"/>
      <c r="N593" s="581"/>
      <c r="O593" s="581"/>
      <c r="P593" s="582"/>
      <c r="Q593" s="581"/>
      <c r="R593" s="581"/>
      <c r="S593" s="581"/>
      <c r="T593" s="582"/>
      <c r="U593" s="600"/>
      <c r="V593" s="600"/>
      <c r="W593" s="600"/>
      <c r="X593" s="599"/>
      <c r="Y593" s="600"/>
      <c r="Z593" s="600"/>
      <c r="AA593" s="600"/>
      <c r="AB593" s="599"/>
      <c r="AC593" s="600"/>
      <c r="AD593" s="600"/>
      <c r="AE593" s="600"/>
      <c r="AF593" s="599"/>
      <c r="AG593" s="600"/>
      <c r="AH593" s="600"/>
      <c r="AI593" s="600"/>
      <c r="AJ593" s="599"/>
      <c r="AK593" s="600"/>
      <c r="AL593" s="600"/>
      <c r="AM593" s="600"/>
      <c r="AN593" s="599"/>
      <c r="AO593" s="600"/>
      <c r="AP593" s="600"/>
      <c r="AQ593" s="600"/>
      <c r="AR593" s="599"/>
      <c r="AS593" s="600"/>
      <c r="AT593" s="600"/>
      <c r="AU593" s="600"/>
      <c r="AV593" s="599"/>
      <c r="AW593" s="642"/>
      <c r="AX593" s="642"/>
      <c r="AY593" s="642"/>
      <c r="AZ593" s="599"/>
      <c r="BA593" s="514">
        <f t="shared" ref="BA593:BL593" si="1113">+BA587+BA588+BA589+BA590+BA591+BA592</f>
        <v>2105.67</v>
      </c>
      <c r="BB593" s="514">
        <f t="shared" si="1113"/>
        <v>2376.4349999999999</v>
      </c>
      <c r="BC593" s="514">
        <f t="shared" si="1113"/>
        <v>2881.9769999999999</v>
      </c>
      <c r="BD593" s="515">
        <f t="shared" si="1113"/>
        <v>3066.8440000000001</v>
      </c>
      <c r="BE593" s="514">
        <f t="shared" si="1113"/>
        <v>4203.0619999999999</v>
      </c>
      <c r="BF593" s="514">
        <f t="shared" si="1113"/>
        <v>4578.2989999999991</v>
      </c>
      <c r="BG593" s="514">
        <f t="shared" si="1113"/>
        <v>5365.7290000000003</v>
      </c>
      <c r="BH593" s="515">
        <f t="shared" si="1113"/>
        <v>5682.375</v>
      </c>
      <c r="BI593" s="514">
        <f t="shared" si="1113"/>
        <v>6030.4520000000002</v>
      </c>
      <c r="BJ593" s="514">
        <f t="shared" si="1113"/>
        <v>6926.15</v>
      </c>
      <c r="BK593" s="514">
        <f t="shared" si="1113"/>
        <v>7489.0470000000005</v>
      </c>
      <c r="BL593" s="515">
        <f t="shared" si="1113"/>
        <v>7480.9409999999998</v>
      </c>
      <c r="BM593" s="514">
        <f t="shared" ref="BM593:CF593" si="1114">+BM592+BM591+BM590+BM589+BM588+BM587</f>
        <v>7855.9400000000005</v>
      </c>
      <c r="BN593" s="514">
        <f t="shared" si="1114"/>
        <v>8508.759</v>
      </c>
      <c r="BO593" s="514">
        <f t="shared" si="1114"/>
        <v>7303.8649999999998</v>
      </c>
      <c r="BP593" s="515">
        <f>+BP587+BP588+BP589+BP590+BP591+BP592</f>
        <v>5267.3739999999998</v>
      </c>
      <c r="BQ593" s="514">
        <f t="shared" si="1114"/>
        <v>5967.4809999999998</v>
      </c>
      <c r="BR593" s="514">
        <f t="shared" si="1114"/>
        <v>4693.4710000000005</v>
      </c>
      <c r="BS593" s="514">
        <f t="shared" si="1114"/>
        <v>4298.9570000000003</v>
      </c>
      <c r="BT593" s="515">
        <f t="shared" si="1114"/>
        <v>3553.2370000000001</v>
      </c>
      <c r="BU593" s="514">
        <f t="shared" si="1114"/>
        <v>4864.7629999999999</v>
      </c>
      <c r="BV593" s="514">
        <f t="shared" si="1114"/>
        <v>5914.4670000000006</v>
      </c>
      <c r="BW593" s="514">
        <f t="shared" si="1114"/>
        <v>5833.5820000000003</v>
      </c>
      <c r="BX593" s="515">
        <f t="shared" si="1114"/>
        <v>5401.5190000000002</v>
      </c>
      <c r="BY593" s="514">
        <f t="shared" si="1114"/>
        <v>6987.8819999999996</v>
      </c>
      <c r="BZ593" s="514">
        <f t="shared" si="1114"/>
        <v>8272.57</v>
      </c>
      <c r="CA593" s="514">
        <f t="shared" si="1114"/>
        <v>9124.5950000000012</v>
      </c>
      <c r="CB593" s="515">
        <f t="shared" si="1114"/>
        <v>9034.8049999999985</v>
      </c>
      <c r="CC593" s="514">
        <f t="shared" si="1114"/>
        <v>7337.2165774606983</v>
      </c>
      <c r="CD593" s="514">
        <f t="shared" si="1114"/>
        <v>8280.4091625998481</v>
      </c>
      <c r="CE593" s="514">
        <f t="shared" si="1114"/>
        <v>9373.3919857777382</v>
      </c>
      <c r="CF593" s="515">
        <f t="shared" si="1114"/>
        <v>10090.717096846291</v>
      </c>
      <c r="CG593" s="582"/>
      <c r="CH593" s="583"/>
      <c r="CI593" s="581"/>
      <c r="CJ593" s="600"/>
      <c r="CK593" s="600"/>
      <c r="CL593" s="600"/>
      <c r="CM593" s="600"/>
      <c r="CN593" s="600"/>
      <c r="CO593" s="600"/>
      <c r="CP593" s="642"/>
      <c r="CQ593" s="514">
        <f t="shared" ref="CQ593:CY593" si="1115">+CQ587+CQ588+CQ589+CQ590+CQ591+CQ592</f>
        <v>1957.4639999999999</v>
      </c>
      <c r="CR593" s="514">
        <f t="shared" si="1115"/>
        <v>3066.8440000000001</v>
      </c>
      <c r="CS593" s="514">
        <f t="shared" si="1115"/>
        <v>5682.375</v>
      </c>
      <c r="CT593" s="514">
        <f t="shared" si="1115"/>
        <v>7480.9409999999998</v>
      </c>
      <c r="CU593" s="514">
        <f t="shared" si="1115"/>
        <v>5267.3739999999998</v>
      </c>
      <c r="CV593" s="514">
        <f t="shared" si="1115"/>
        <v>3553.2370000000001</v>
      </c>
      <c r="CW593" s="514">
        <f t="shared" si="1115"/>
        <v>5401.5189999999993</v>
      </c>
      <c r="CX593" s="514">
        <f t="shared" si="1115"/>
        <v>9034.8049999999985</v>
      </c>
      <c r="CY593" s="514">
        <f t="shared" si="1115"/>
        <v>10090.717096846289</v>
      </c>
      <c r="CZ593" s="514">
        <f>+CZ592+CZ591+CZ590+CZ589+CZ588+CZ587</f>
        <v>13085.741966122738</v>
      </c>
      <c r="DA593" s="514">
        <f t="shared" ref="DA593:DF593" si="1116">+DA592+DA591+DA590+DA589+DA588+DA587</f>
        <v>15824.005893720787</v>
      </c>
      <c r="DB593" s="514">
        <f t="shared" si="1116"/>
        <v>19309.506607730145</v>
      </c>
      <c r="DC593" s="514">
        <f t="shared" si="1116"/>
        <v>25197.554583992649</v>
      </c>
      <c r="DD593" s="514">
        <f t="shared" si="1116"/>
        <v>32672.930623259155</v>
      </c>
      <c r="DE593" s="514">
        <f t="shared" si="1116"/>
        <v>39798.566396212111</v>
      </c>
      <c r="DF593" s="515">
        <f t="shared" si="1116"/>
        <v>48420.763987542487</v>
      </c>
      <c r="DG593" s="632"/>
      <c r="DH593" s="632"/>
    </row>
    <row r="594" spans="1:112" s="554" customFormat="1" ht="11.25" customHeight="1">
      <c r="A594" s="547"/>
      <c r="B594"/>
      <c r="C594"/>
      <c r="D594"/>
      <c r="E594"/>
      <c r="F594"/>
      <c r="G594"/>
      <c r="H594" s="1044"/>
      <c r="I594" s="652"/>
      <c r="J594" s="226"/>
      <c r="K594" s="226"/>
      <c r="L594" s="547"/>
      <c r="M594" s="551"/>
      <c r="N594" s="551"/>
      <c r="O594" s="551"/>
      <c r="P594" s="552"/>
      <c r="Q594" s="551"/>
      <c r="R594" s="551"/>
      <c r="S594" s="551"/>
      <c r="T594" s="552"/>
      <c r="U594" s="516"/>
      <c r="V594" s="516"/>
      <c r="W594" s="516"/>
      <c r="X594" s="602"/>
      <c r="Y594" s="516"/>
      <c r="Z594" s="516"/>
      <c r="AA594" s="516"/>
      <c r="AB594" s="602"/>
      <c r="AC594" s="516"/>
      <c r="AD594" s="516"/>
      <c r="AE594" s="516"/>
      <c r="AF594" s="602"/>
      <c r="AG594" s="516"/>
      <c r="AH594" s="516"/>
      <c r="AI594" s="516"/>
      <c r="AJ594" s="602"/>
      <c r="AK594" s="516"/>
      <c r="AL594" s="516"/>
      <c r="AM594" s="516"/>
      <c r="AN594" s="602"/>
      <c r="AO594" s="516"/>
      <c r="AP594" s="516"/>
      <c r="AQ594" s="516"/>
      <c r="AR594" s="602"/>
      <c r="AS594" s="516"/>
      <c r="AT594" s="516"/>
      <c r="AU594" s="516"/>
      <c r="AV594" s="602"/>
      <c r="AW594" s="645"/>
      <c r="AX594" s="645"/>
      <c r="AY594" s="645"/>
      <c r="AZ594" s="602"/>
      <c r="BA594" s="516"/>
      <c r="BB594" s="516"/>
      <c r="BC594" s="516"/>
      <c r="BD594" s="602"/>
      <c r="BE594" s="516"/>
      <c r="BF594" s="516"/>
      <c r="BG594" s="516"/>
      <c r="BH594" s="602"/>
      <c r="BI594" s="516"/>
      <c r="BJ594" s="516"/>
      <c r="BK594" s="516"/>
      <c r="BL594" s="602"/>
      <c r="BM594" s="516"/>
      <c r="BN594" s="516"/>
      <c r="BO594" s="516"/>
      <c r="BP594" s="602"/>
      <c r="BQ594" s="516"/>
      <c r="BR594" s="516"/>
      <c r="BS594" s="516"/>
      <c r="BT594" s="602"/>
      <c r="BU594" s="516"/>
      <c r="BV594" s="516"/>
      <c r="BW594" s="516"/>
      <c r="BX594" s="602"/>
      <c r="BY594" s="516"/>
      <c r="BZ594" s="516"/>
      <c r="CA594" s="516"/>
      <c r="CB594" s="602"/>
      <c r="CC594" s="516"/>
      <c r="CD594" s="516"/>
      <c r="CE594" s="516"/>
      <c r="CF594" s="602"/>
      <c r="CG594" s="552"/>
      <c r="CH594" s="553"/>
      <c r="CI594" s="551"/>
      <c r="CJ594" s="516"/>
      <c r="CK594" s="516"/>
      <c r="CL594" s="516"/>
      <c r="CM594" s="516"/>
      <c r="CN594" s="516"/>
      <c r="CO594" s="516"/>
      <c r="CP594" s="645"/>
      <c r="CQ594" s="516"/>
      <c r="CR594" s="516"/>
      <c r="CS594" s="516"/>
      <c r="CT594" s="516"/>
      <c r="CU594" s="516"/>
      <c r="CV594" s="516"/>
      <c r="CW594" s="516"/>
      <c r="CX594" s="516"/>
      <c r="CY594" s="516"/>
      <c r="CZ594" s="516"/>
      <c r="DA594" s="516"/>
      <c r="DB594" s="516"/>
      <c r="DC594" s="516"/>
      <c r="DD594" s="516"/>
      <c r="DE594" s="516"/>
      <c r="DF594" s="602"/>
      <c r="DG594" s="612"/>
      <c r="DH594" s="612"/>
    </row>
    <row r="595" spans="1:112" s="554" customFormat="1" ht="11.25" customHeight="1">
      <c r="A595" s="547"/>
      <c r="B595"/>
      <c r="C595"/>
      <c r="D595"/>
      <c r="E595"/>
      <c r="F595"/>
      <c r="G595"/>
      <c r="H595" s="1044"/>
      <c r="I595" s="643" t="s">
        <v>57</v>
      </c>
      <c r="J595" s="644"/>
      <c r="K595" s="644"/>
      <c r="L595" s="547"/>
      <c r="M595" s="551"/>
      <c r="N595" s="551"/>
      <c r="O595" s="551"/>
      <c r="P595" s="552"/>
      <c r="Q595" s="551"/>
      <c r="R595" s="551"/>
      <c r="S595" s="551"/>
      <c r="T595" s="552"/>
      <c r="U595" s="516"/>
      <c r="V595" s="516"/>
      <c r="W595" s="516"/>
      <c r="X595" s="602"/>
      <c r="Y595" s="516"/>
      <c r="Z595" s="516"/>
      <c r="AA595" s="516"/>
      <c r="AB595" s="602"/>
      <c r="AC595" s="516"/>
      <c r="AD595" s="516"/>
      <c r="AE595" s="516"/>
      <c r="AF595" s="602"/>
      <c r="AG595" s="516"/>
      <c r="AH595" s="516"/>
      <c r="AI595" s="516"/>
      <c r="AJ595" s="602"/>
      <c r="AK595" s="516"/>
      <c r="AL595" s="516"/>
      <c r="AM595" s="516"/>
      <c r="AN595" s="602"/>
      <c r="AO595" s="516"/>
      <c r="AP595" s="516"/>
      <c r="AQ595" s="516"/>
      <c r="AR595" s="602"/>
      <c r="AS595" s="516"/>
      <c r="AT595" s="516"/>
      <c r="AU595" s="516"/>
      <c r="AV595" s="602"/>
      <c r="AW595" s="645"/>
      <c r="AX595" s="645"/>
      <c r="AY595" s="645"/>
      <c r="AZ595" s="602"/>
      <c r="BA595" s="517">
        <f>+CQ595+BA672*-1</f>
        <v>142.42499999999998</v>
      </c>
      <c r="BB595" s="517">
        <f>+BA595+BB672*-1</f>
        <v>152.22299999999998</v>
      </c>
      <c r="BC595" s="517">
        <f>+BB595+BC672*-1</f>
        <v>163.916</v>
      </c>
      <c r="BD595" s="601">
        <f>+BC595+BD672*-1</f>
        <v>180.97899999999998</v>
      </c>
      <c r="BE595" s="517">
        <f>+CR595+BE672*-1</f>
        <v>190.654</v>
      </c>
      <c r="BF595" s="517">
        <f>+BE595+BF672*-1</f>
        <v>205.38</v>
      </c>
      <c r="BG595" s="517">
        <f>+BF595+BG672*-1</f>
        <v>215.90700000000001</v>
      </c>
      <c r="BH595" s="601">
        <f>+BG595+BH672*-1</f>
        <v>232.11500000000001</v>
      </c>
      <c r="BI595" s="517">
        <f>+CS595+BI672*-1</f>
        <v>247.166</v>
      </c>
      <c r="BJ595" s="517">
        <f t="shared" ref="BJ595:CF595" si="1117">+BI595+BJ672*-1</f>
        <v>268.596</v>
      </c>
      <c r="BK595" s="517">
        <f t="shared" si="1117"/>
        <v>289.07299999999998</v>
      </c>
      <c r="BL595" s="601">
        <f t="shared" si="1117"/>
        <v>316.55999999999995</v>
      </c>
      <c r="BM595" s="517">
        <f t="shared" si="1117"/>
        <v>346.29099999999994</v>
      </c>
      <c r="BN595" s="517">
        <f t="shared" si="1117"/>
        <v>378.54599999999994</v>
      </c>
      <c r="BO595" s="517">
        <f t="shared" si="1117"/>
        <v>407.28499999999991</v>
      </c>
      <c r="BP595" s="601">
        <f t="shared" si="1117"/>
        <v>448.06399999999991</v>
      </c>
      <c r="BQ595" s="517">
        <f t="shared" si="1117"/>
        <v>479.32699999999988</v>
      </c>
      <c r="BR595" s="517">
        <f t="shared" si="1117"/>
        <v>532.41499999999985</v>
      </c>
      <c r="BS595" s="517">
        <f t="shared" ref="BS595:BX595" si="1118">+BR595+BS672*-1</f>
        <v>574.70099999999979</v>
      </c>
      <c r="BT595" s="601">
        <f t="shared" si="1118"/>
        <v>621.97899999999981</v>
      </c>
      <c r="BU595" s="517">
        <f t="shared" si="1118"/>
        <v>675.23499999999979</v>
      </c>
      <c r="BV595" s="517">
        <f t="shared" si="1118"/>
        <v>735.67799999999977</v>
      </c>
      <c r="BW595" s="517">
        <f t="shared" si="1118"/>
        <v>790.05499999999972</v>
      </c>
      <c r="BX595" s="601">
        <f t="shared" si="1118"/>
        <v>841.86799999999971</v>
      </c>
      <c r="BY595" s="517">
        <f t="shared" si="1117"/>
        <v>912.42699999999968</v>
      </c>
      <c r="BZ595" s="517">
        <f>+BY595+BZ672*-1</f>
        <v>989.13699999999972</v>
      </c>
      <c r="CA595" s="517">
        <f>+BZ595+CA672*-1</f>
        <v>1065.5599999999997</v>
      </c>
      <c r="CB595" s="601">
        <f>+CA595+CB672*-1</f>
        <v>1129.6729999999998</v>
      </c>
      <c r="CC595" s="517">
        <f t="shared" si="1117"/>
        <v>1228.2224164782408</v>
      </c>
      <c r="CD595" s="517">
        <f t="shared" si="1117"/>
        <v>1329.699889692929</v>
      </c>
      <c r="CE595" s="517">
        <f t="shared" si="1117"/>
        <v>1407.1176228240063</v>
      </c>
      <c r="CF595" s="601">
        <f t="shared" si="1117"/>
        <v>1493.7443160611078</v>
      </c>
      <c r="CG595" s="552"/>
      <c r="CH595" s="553"/>
      <c r="CI595" s="551"/>
      <c r="CJ595" s="516"/>
      <c r="CK595" s="516"/>
      <c r="CL595" s="516"/>
      <c r="CM595" s="516"/>
      <c r="CN595" s="516"/>
      <c r="CO595" s="516"/>
      <c r="CP595" s="645"/>
      <c r="CQ595" s="516">
        <v>134.14599999999999</v>
      </c>
      <c r="CR595" s="516">
        <v>176.95699999999999</v>
      </c>
      <c r="CS595" s="517">
        <f>+BH595</f>
        <v>232.11500000000001</v>
      </c>
      <c r="CT595" s="517">
        <f>+BL595</f>
        <v>316.55999999999995</v>
      </c>
      <c r="CU595" s="517">
        <f>BP595</f>
        <v>448.06399999999991</v>
      </c>
      <c r="CV595" s="517">
        <f>BT595</f>
        <v>621.97899999999981</v>
      </c>
      <c r="CW595" s="517">
        <f>BX595</f>
        <v>841.86799999999971</v>
      </c>
      <c r="CX595" s="517">
        <f>CB595</f>
        <v>1129.6729999999998</v>
      </c>
      <c r="CY595" s="517">
        <f>CF595</f>
        <v>1493.7443160611078</v>
      </c>
      <c r="CZ595" s="517">
        <f t="shared" ref="CZ595:DF595" si="1119">+CY595+CZ672*-1</f>
        <v>1921.7010799006334</v>
      </c>
      <c r="DA595" s="517">
        <f t="shared" si="1119"/>
        <v>2410.8706430069565</v>
      </c>
      <c r="DB595" s="517">
        <f t="shared" si="1119"/>
        <v>2961.2472056229899</v>
      </c>
      <c r="DC595" s="517">
        <f t="shared" si="1119"/>
        <v>3573.4956928445044</v>
      </c>
      <c r="DD595" s="517">
        <f t="shared" si="1119"/>
        <v>4248.7528730237564</v>
      </c>
      <c r="DE595" s="517">
        <f t="shared" si="1119"/>
        <v>4987.6522880879429</v>
      </c>
      <c r="DF595" s="601">
        <f t="shared" si="1119"/>
        <v>5796.0986151659909</v>
      </c>
      <c r="DG595" s="612"/>
      <c r="DH595" s="612"/>
    </row>
    <row r="596" spans="1:112" s="554" customFormat="1" ht="11.25" customHeight="1">
      <c r="A596" s="547"/>
      <c r="B596"/>
      <c r="C596"/>
      <c r="D596"/>
      <c r="E596"/>
      <c r="F596"/>
      <c r="G596"/>
      <c r="H596" s="1044"/>
      <c r="I596" s="646" t="s">
        <v>58</v>
      </c>
      <c r="J596" s="647"/>
      <c r="K596" s="647"/>
      <c r="L596" s="560"/>
      <c r="M596" s="561"/>
      <c r="N596" s="561"/>
      <c r="O596" s="561"/>
      <c r="P596" s="562"/>
      <c r="Q596" s="561"/>
      <c r="R596" s="561"/>
      <c r="S596" s="561"/>
      <c r="T596" s="562"/>
      <c r="U596" s="511"/>
      <c r="V596" s="511"/>
      <c r="W596" s="511"/>
      <c r="X596" s="648"/>
      <c r="Y596" s="511"/>
      <c r="Z596" s="511"/>
      <c r="AA596" s="511"/>
      <c r="AB596" s="648"/>
      <c r="AC596" s="511"/>
      <c r="AD596" s="511"/>
      <c r="AE596" s="511"/>
      <c r="AF596" s="648"/>
      <c r="AG596" s="511"/>
      <c r="AH596" s="511"/>
      <c r="AI596" s="511"/>
      <c r="AJ596" s="648"/>
      <c r="AK596" s="511"/>
      <c r="AL596" s="511"/>
      <c r="AM596" s="511"/>
      <c r="AN596" s="648"/>
      <c r="AO596" s="511"/>
      <c r="AP596" s="511"/>
      <c r="AQ596" s="511"/>
      <c r="AR596" s="648"/>
      <c r="AS596" s="511"/>
      <c r="AT596" s="511"/>
      <c r="AU596" s="511"/>
      <c r="AV596" s="648"/>
      <c r="AW596" s="649"/>
      <c r="AX596" s="649"/>
      <c r="AY596" s="649"/>
      <c r="AZ596" s="648"/>
      <c r="BA596" s="512">
        <f t="shared" ref="BA596:BH596" si="1120">+BA595-BA597</f>
        <v>98.038999999999987</v>
      </c>
      <c r="BB596" s="512">
        <f t="shared" si="1120"/>
        <v>102.87699999999998</v>
      </c>
      <c r="BC596" s="512">
        <f t="shared" si="1120"/>
        <v>110.07299999999999</v>
      </c>
      <c r="BD596" s="513">
        <f t="shared" si="1120"/>
        <v>116.65699999999998</v>
      </c>
      <c r="BE596" s="512">
        <f t="shared" si="1120"/>
        <v>117.134</v>
      </c>
      <c r="BF596" s="512">
        <f t="shared" si="1120"/>
        <v>126.764</v>
      </c>
      <c r="BG596" s="512">
        <f t="shared" si="1120"/>
        <v>133.976</v>
      </c>
      <c r="BH596" s="513">
        <f t="shared" si="1120"/>
        <v>142.846</v>
      </c>
      <c r="BI596" s="512">
        <f t="shared" ref="BI596:BP596" si="1121">+BI595-BI597</f>
        <v>154.666</v>
      </c>
      <c r="BJ596" s="512">
        <f t="shared" si="1121"/>
        <v>159.45499999999998</v>
      </c>
      <c r="BK596" s="512">
        <f t="shared" si="1121"/>
        <v>169.30699999999996</v>
      </c>
      <c r="BL596" s="513">
        <f t="shared" si="1121"/>
        <v>181.50699999999995</v>
      </c>
      <c r="BM596" s="512">
        <f t="shared" si="1121"/>
        <v>196.91799999999995</v>
      </c>
      <c r="BN596" s="512">
        <f t="shared" si="1121"/>
        <v>209.86499999999992</v>
      </c>
      <c r="BO596" s="512">
        <f t="shared" si="1121"/>
        <v>203.49499999999992</v>
      </c>
      <c r="BP596" s="513">
        <f t="shared" si="1121"/>
        <v>249.1109999999999</v>
      </c>
      <c r="BQ596" s="512">
        <f t="shared" ref="BQ596:CB596" si="1122">+BQ595-BQ597</f>
        <v>264.46399999999988</v>
      </c>
      <c r="BR596" s="512">
        <f t="shared" si="1122"/>
        <v>286.31299999999987</v>
      </c>
      <c r="BS596" s="512">
        <f t="shared" si="1122"/>
        <v>317.5659999999998</v>
      </c>
      <c r="BT596" s="513">
        <f t="shared" si="1122"/>
        <v>347.19299999999981</v>
      </c>
      <c r="BU596" s="512">
        <f t="shared" si="1122"/>
        <v>375.38999999999976</v>
      </c>
      <c r="BV596" s="512">
        <f t="shared" si="1122"/>
        <v>415.22799999999978</v>
      </c>
      <c r="BW596" s="512">
        <f t="shared" si="1122"/>
        <v>450.24999999999972</v>
      </c>
      <c r="BX596" s="513">
        <f t="shared" si="1122"/>
        <v>494.85099999999971</v>
      </c>
      <c r="BY596" s="512">
        <f t="shared" si="1122"/>
        <v>531.22999999999968</v>
      </c>
      <c r="BZ596" s="512">
        <f t="shared" si="1122"/>
        <v>564.03699999999969</v>
      </c>
      <c r="CA596" s="512">
        <f t="shared" si="1122"/>
        <v>608.01199999999972</v>
      </c>
      <c r="CB596" s="513">
        <f t="shared" si="1122"/>
        <v>649.59199999999976</v>
      </c>
      <c r="CC596" s="512">
        <f>+CB596+CC647</f>
        <v>704.45742255855612</v>
      </c>
      <c r="CD596" s="512">
        <f>+CC596+CD647</f>
        <v>765.22767980624894</v>
      </c>
      <c r="CE596" s="512">
        <f>+CD596+CE647</f>
        <v>830.53147286731519</v>
      </c>
      <c r="CF596" s="513">
        <f>+CE596+CF647</f>
        <v>900.72642326803532</v>
      </c>
      <c r="CG596" s="552"/>
      <c r="CH596" s="567"/>
      <c r="CI596" s="561"/>
      <c r="CJ596" s="511"/>
      <c r="CK596" s="511"/>
      <c r="CL596" s="511"/>
      <c r="CM596" s="511"/>
      <c r="CN596" s="511"/>
      <c r="CO596" s="511"/>
      <c r="CP596" s="649"/>
      <c r="CQ596" s="511">
        <v>94.406999999999996</v>
      </c>
      <c r="CR596" s="511">
        <v>112.63500000000001</v>
      </c>
      <c r="CS596" s="512">
        <f>+BH596</f>
        <v>142.846</v>
      </c>
      <c r="CT596" s="512">
        <f>+BL596</f>
        <v>181.50699999999995</v>
      </c>
      <c r="CU596" s="512">
        <f>BP596</f>
        <v>249.1109999999999</v>
      </c>
      <c r="CV596" s="512">
        <f>BT596</f>
        <v>347.19299999999981</v>
      </c>
      <c r="CW596" s="512">
        <f>BX596</f>
        <v>494.85099999999971</v>
      </c>
      <c r="CX596" s="512">
        <f>CB596</f>
        <v>649.59199999999976</v>
      </c>
      <c r="CY596" s="512">
        <f>CF596</f>
        <v>900.72642326803532</v>
      </c>
      <c r="CZ596" s="512">
        <f t="shared" ref="CZ596:DE596" si="1123">+CY596+CZ647</f>
        <v>1220.3214028366522</v>
      </c>
      <c r="DA596" s="512">
        <f t="shared" si="1123"/>
        <v>1616.2451614889044</v>
      </c>
      <c r="DB596" s="512">
        <f t="shared" si="1123"/>
        <v>2115.6315638525866</v>
      </c>
      <c r="DC596" s="512">
        <f t="shared" si="1123"/>
        <v>2728.9200325827237</v>
      </c>
      <c r="DD596" s="512">
        <f t="shared" si="1123"/>
        <v>3466.7135873310231</v>
      </c>
      <c r="DE596" s="512">
        <f t="shared" si="1123"/>
        <v>4338.8185975078886</v>
      </c>
      <c r="DF596" s="513">
        <f>+DE596+DF647</f>
        <v>5361.3925227768523</v>
      </c>
      <c r="DG596" s="612"/>
      <c r="DH596" s="612"/>
    </row>
    <row r="597" spans="1:112" s="554" customFormat="1" ht="11.25" customHeight="1">
      <c r="A597" s="547"/>
      <c r="B597"/>
      <c r="C597"/>
      <c r="D597"/>
      <c r="E597"/>
      <c r="F597"/>
      <c r="G597"/>
      <c r="H597" s="1044"/>
      <c r="I597" s="643" t="s">
        <v>59</v>
      </c>
      <c r="J597" s="644"/>
      <c r="K597" s="644"/>
      <c r="L597" s="547"/>
      <c r="M597" s="551"/>
      <c r="N597" s="551"/>
      <c r="O597" s="551"/>
      <c r="P597" s="552"/>
      <c r="Q597" s="551"/>
      <c r="R597" s="551"/>
      <c r="S597" s="551"/>
      <c r="T597" s="552"/>
      <c r="U597" s="516"/>
      <c r="V597" s="516"/>
      <c r="W597" s="516"/>
      <c r="X597" s="602"/>
      <c r="Y597" s="516"/>
      <c r="Z597" s="516"/>
      <c r="AA597" s="516"/>
      <c r="AB597" s="602"/>
      <c r="AC597" s="516"/>
      <c r="AD597" s="516"/>
      <c r="AE597" s="516"/>
      <c r="AF597" s="602"/>
      <c r="AG597" s="516"/>
      <c r="AH597" s="516"/>
      <c r="AI597" s="516"/>
      <c r="AJ597" s="602"/>
      <c r="AK597" s="516"/>
      <c r="AL597" s="516"/>
      <c r="AM597" s="516"/>
      <c r="AN597" s="602"/>
      <c r="AO597" s="516"/>
      <c r="AP597" s="516"/>
      <c r="AQ597" s="516"/>
      <c r="AR597" s="602"/>
      <c r="AS597" s="516"/>
      <c r="AT597" s="516"/>
      <c r="AU597" s="516"/>
      <c r="AV597" s="602"/>
      <c r="AW597" s="645"/>
      <c r="AX597" s="645"/>
      <c r="AY597" s="645"/>
      <c r="AZ597" s="602"/>
      <c r="BA597" s="516">
        <v>44.386000000000003</v>
      </c>
      <c r="BB597" s="516">
        <v>49.345999999999997</v>
      </c>
      <c r="BC597" s="516">
        <v>53.843000000000004</v>
      </c>
      <c r="BD597" s="602">
        <v>64.322000000000003</v>
      </c>
      <c r="BE597" s="516">
        <v>73.52</v>
      </c>
      <c r="BF597" s="516">
        <v>78.616</v>
      </c>
      <c r="BG597" s="516">
        <v>81.930999999999997</v>
      </c>
      <c r="BH597" s="602">
        <v>89.269000000000005</v>
      </c>
      <c r="BI597" s="516">
        <v>92.5</v>
      </c>
      <c r="BJ597" s="516">
        <v>109.14100000000001</v>
      </c>
      <c r="BK597" s="516">
        <v>119.76600000000001</v>
      </c>
      <c r="BL597" s="602">
        <v>135.053</v>
      </c>
      <c r="BM597" s="516">
        <v>149.37299999999999</v>
      </c>
      <c r="BN597" s="516">
        <v>168.68100000000001</v>
      </c>
      <c r="BO597" s="516">
        <v>203.79</v>
      </c>
      <c r="BP597" s="602">
        <v>198.953</v>
      </c>
      <c r="BQ597" s="516">
        <v>214.863</v>
      </c>
      <c r="BR597" s="516">
        <v>246.102</v>
      </c>
      <c r="BS597" s="516">
        <v>257.13499999999999</v>
      </c>
      <c r="BT597" s="602">
        <v>274.786</v>
      </c>
      <c r="BU597" s="516">
        <v>299.84500000000003</v>
      </c>
      <c r="BV597" s="516">
        <v>320.45</v>
      </c>
      <c r="BW597" s="516">
        <v>339.80500000000001</v>
      </c>
      <c r="BX597" s="602">
        <v>347.017</v>
      </c>
      <c r="BY597" s="516">
        <v>381.197</v>
      </c>
      <c r="BZ597" s="516">
        <v>425.1</v>
      </c>
      <c r="CA597" s="516">
        <v>457.548</v>
      </c>
      <c r="CB597" s="602">
        <v>480.08100000000002</v>
      </c>
      <c r="CC597" s="517">
        <f>+CC595-CC596</f>
        <v>523.76499391968468</v>
      </c>
      <c r="CD597" s="517">
        <f>+CD595-CD596</f>
        <v>564.47220988668005</v>
      </c>
      <c r="CE597" s="517">
        <f>+CE595-CE596</f>
        <v>576.58614995669109</v>
      </c>
      <c r="CF597" s="601">
        <f>+CF595-CF596</f>
        <v>593.01789279307252</v>
      </c>
      <c r="CG597" s="552"/>
      <c r="CH597" s="553"/>
      <c r="CI597" s="551"/>
      <c r="CJ597" s="516"/>
      <c r="CK597" s="516"/>
      <c r="CL597" s="516"/>
      <c r="CM597" s="516"/>
      <c r="CN597" s="516"/>
      <c r="CO597" s="516"/>
      <c r="CP597" s="645"/>
      <c r="CQ597" s="517">
        <f>CQ595-CQ596</f>
        <v>39.73899999999999</v>
      </c>
      <c r="CR597" s="517">
        <f>CR595-CR596</f>
        <v>64.321999999999989</v>
      </c>
      <c r="CS597" s="517">
        <f>+BH597</f>
        <v>89.269000000000005</v>
      </c>
      <c r="CT597" s="517">
        <f>+BL597</f>
        <v>135.053</v>
      </c>
      <c r="CU597" s="517">
        <f>+BP597</f>
        <v>198.953</v>
      </c>
      <c r="CV597" s="517">
        <f>+BT597</f>
        <v>274.786</v>
      </c>
      <c r="CW597" s="517">
        <f>+BX597</f>
        <v>347.017</v>
      </c>
      <c r="CX597" s="517">
        <f>+CB597</f>
        <v>480.08100000000002</v>
      </c>
      <c r="CY597" s="517">
        <f>+CF597</f>
        <v>593.01789279307252</v>
      </c>
      <c r="CZ597" s="517">
        <f>+CZ595-CZ596</f>
        <v>701.37967706398126</v>
      </c>
      <c r="DA597" s="517">
        <f t="shared" ref="DA597:DF597" si="1124">+DA595-DA596</f>
        <v>794.62548151805208</v>
      </c>
      <c r="DB597" s="517">
        <f t="shared" si="1124"/>
        <v>845.61564177040327</v>
      </c>
      <c r="DC597" s="517">
        <f t="shared" si="1124"/>
        <v>844.57566026178074</v>
      </c>
      <c r="DD597" s="517">
        <f t="shared" si="1124"/>
        <v>782.0392856927333</v>
      </c>
      <c r="DE597" s="517">
        <f t="shared" si="1124"/>
        <v>648.83369058005428</v>
      </c>
      <c r="DF597" s="601">
        <f t="shared" si="1124"/>
        <v>434.70609238913858</v>
      </c>
      <c r="DG597" s="612"/>
      <c r="DH597" s="612"/>
    </row>
    <row r="598" spans="1:112" s="554" customFormat="1" ht="11.25" customHeight="1">
      <c r="A598" s="547"/>
      <c r="B598"/>
      <c r="C598"/>
      <c r="D598"/>
      <c r="E598"/>
      <c r="F598"/>
      <c r="G598"/>
      <c r="H598" s="1044"/>
      <c r="I598" s="643"/>
      <c r="J598" s="644"/>
      <c r="K598" s="644"/>
      <c r="L598" s="547"/>
      <c r="M598" s="551"/>
      <c r="N598" s="551"/>
      <c r="O598" s="551"/>
      <c r="P598" s="552"/>
      <c r="Q598" s="551"/>
      <c r="R598" s="551"/>
      <c r="S598" s="551"/>
      <c r="T598" s="552"/>
      <c r="U598" s="516"/>
      <c r="V598" s="516"/>
      <c r="W598" s="516"/>
      <c r="X598" s="602"/>
      <c r="Y598" s="516"/>
      <c r="Z598" s="516"/>
      <c r="AA598" s="516"/>
      <c r="AB598" s="602"/>
      <c r="AC598" s="516"/>
      <c r="AD598" s="516"/>
      <c r="AE598" s="516"/>
      <c r="AF598" s="602"/>
      <c r="AG598" s="516"/>
      <c r="AH598" s="516"/>
      <c r="AI598" s="516"/>
      <c r="AJ598" s="602"/>
      <c r="AK598" s="516"/>
      <c r="AL598" s="516"/>
      <c r="AM598" s="516"/>
      <c r="AN598" s="602"/>
      <c r="AO598" s="516"/>
      <c r="AP598" s="516"/>
      <c r="AQ598" s="516"/>
      <c r="AR598" s="602"/>
      <c r="AS598" s="516"/>
      <c r="AT598" s="516"/>
      <c r="AU598" s="516"/>
      <c r="AV598" s="602"/>
      <c r="AW598" s="645"/>
      <c r="AX598" s="645"/>
      <c r="AY598" s="645"/>
      <c r="AZ598" s="602"/>
      <c r="BA598" s="516"/>
      <c r="BB598" s="516"/>
      <c r="BC598" s="516"/>
      <c r="BD598" s="602"/>
      <c r="BE598" s="516"/>
      <c r="BF598" s="516"/>
      <c r="BG598" s="516"/>
      <c r="BH598" s="602"/>
      <c r="BI598" s="516"/>
      <c r="BJ598" s="516"/>
      <c r="BK598" s="516"/>
      <c r="BL598" s="602"/>
      <c r="BM598" s="516"/>
      <c r="BN598" s="516"/>
      <c r="BO598" s="516"/>
      <c r="BP598" s="602"/>
      <c r="BQ598" s="516"/>
      <c r="BR598" s="516"/>
      <c r="BS598" s="516"/>
      <c r="BT598" s="602"/>
      <c r="BU598" s="516"/>
      <c r="BV598" s="516"/>
      <c r="BW598" s="516"/>
      <c r="BX598" s="602"/>
      <c r="BY598" s="516"/>
      <c r="BZ598" s="516"/>
      <c r="CA598" s="516"/>
      <c r="CB598" s="602"/>
      <c r="CC598" s="516"/>
      <c r="CD598" s="516"/>
      <c r="CE598" s="516"/>
      <c r="CF598" s="602"/>
      <c r="CG598" s="552"/>
      <c r="CH598" s="553"/>
      <c r="CI598" s="551"/>
      <c r="CJ598" s="516"/>
      <c r="CK598" s="516"/>
      <c r="CL598" s="516"/>
      <c r="CM598" s="516"/>
      <c r="CN598" s="516"/>
      <c r="CO598" s="516"/>
      <c r="CP598" s="645"/>
      <c r="CQ598" s="516"/>
      <c r="CR598" s="516"/>
      <c r="CS598" s="516"/>
      <c r="CT598" s="516"/>
      <c r="CU598" s="516"/>
      <c r="CV598" s="516"/>
      <c r="CW598" s="516"/>
      <c r="CX598" s="516"/>
      <c r="CY598" s="516"/>
      <c r="CZ598" s="516"/>
      <c r="DA598" s="516"/>
      <c r="DB598" s="516"/>
      <c r="DC598" s="516"/>
      <c r="DD598" s="516"/>
      <c r="DE598" s="516"/>
      <c r="DF598" s="602"/>
      <c r="DG598" s="612"/>
      <c r="DH598" s="612"/>
    </row>
    <row r="599" spans="1:112" s="554" customFormat="1" ht="11.25" customHeight="1">
      <c r="A599" s="547"/>
      <c r="B599"/>
      <c r="C599"/>
      <c r="D599"/>
      <c r="E599"/>
      <c r="F599"/>
      <c r="G599"/>
      <c r="H599" s="1044"/>
      <c r="I599" s="643" t="s">
        <v>60</v>
      </c>
      <c r="J599" s="644"/>
      <c r="K599" s="644"/>
      <c r="L599" s="547"/>
      <c r="M599" s="551"/>
      <c r="N599" s="551"/>
      <c r="O599" s="551"/>
      <c r="P599" s="552"/>
      <c r="Q599" s="551"/>
      <c r="R599" s="551"/>
      <c r="S599" s="551"/>
      <c r="T599" s="552"/>
      <c r="U599" s="516"/>
      <c r="V599" s="516"/>
      <c r="W599" s="516"/>
      <c r="X599" s="602"/>
      <c r="Y599" s="516"/>
      <c r="Z599" s="516"/>
      <c r="AA599" s="516"/>
      <c r="AB599" s="602"/>
      <c r="AC599" s="516"/>
      <c r="AD599" s="516"/>
      <c r="AE599" s="516"/>
      <c r="AF599" s="602"/>
      <c r="AG599" s="516"/>
      <c r="AH599" s="516"/>
      <c r="AI599" s="516"/>
      <c r="AJ599" s="602"/>
      <c r="AK599" s="516"/>
      <c r="AL599" s="516"/>
      <c r="AM599" s="516"/>
      <c r="AN599" s="602"/>
      <c r="AO599" s="516"/>
      <c r="AP599" s="516"/>
      <c r="AQ599" s="516"/>
      <c r="AR599" s="602"/>
      <c r="AS599" s="516"/>
      <c r="AT599" s="516"/>
      <c r="AU599" s="516"/>
      <c r="AV599" s="602"/>
      <c r="AW599" s="645"/>
      <c r="AX599" s="645"/>
      <c r="AY599" s="645"/>
      <c r="AZ599" s="602"/>
      <c r="BA599" s="516">
        <v>234.06299999999999</v>
      </c>
      <c r="BB599" s="516">
        <v>228.88499999999999</v>
      </c>
      <c r="BC599" s="516">
        <v>210.69300000000001</v>
      </c>
      <c r="BD599" s="602">
        <v>200.15100000000001</v>
      </c>
      <c r="BE599" s="516">
        <v>210.91800000000001</v>
      </c>
      <c r="BF599" s="516">
        <v>196.03700000000001</v>
      </c>
      <c r="BG599" s="516">
        <v>192.488</v>
      </c>
      <c r="BH599" s="602">
        <v>208.113</v>
      </c>
      <c r="BI599" s="516">
        <v>191.13499999999999</v>
      </c>
      <c r="BJ599" s="516">
        <v>1052.087</v>
      </c>
      <c r="BK599" s="516">
        <v>1038.8630000000001</v>
      </c>
      <c r="BL599" s="602">
        <v>1019.985</v>
      </c>
      <c r="BM599" s="516">
        <v>998.30700000000002</v>
      </c>
      <c r="BN599" s="516">
        <v>976.94600000000003</v>
      </c>
      <c r="BO599" s="516">
        <v>2175.2139999999999</v>
      </c>
      <c r="BP599" s="602">
        <v>2334.761</v>
      </c>
      <c r="BQ599" s="516">
        <v>2282.3470000000002</v>
      </c>
      <c r="BR599" s="516">
        <v>2246.6289999999999</v>
      </c>
      <c r="BS599" s="516">
        <v>2203.27</v>
      </c>
      <c r="BT599" s="602">
        <v>2167.5329999999999</v>
      </c>
      <c r="BU599" s="516">
        <v>2128.5390000000002</v>
      </c>
      <c r="BV599" s="516">
        <v>2082.12</v>
      </c>
      <c r="BW599" s="516">
        <v>2040.213</v>
      </c>
      <c r="BX599" s="602">
        <v>1993.885</v>
      </c>
      <c r="BY599" s="516">
        <v>1951.999</v>
      </c>
      <c r="BZ599" s="516">
        <v>1914.7670000000001</v>
      </c>
      <c r="CA599" s="516">
        <v>2218.152</v>
      </c>
      <c r="CB599" s="602">
        <v>2176.8229999999999</v>
      </c>
      <c r="CC599" s="517">
        <f>CB599-CC648</f>
        <v>2133.8049999999998</v>
      </c>
      <c r="CD599" s="517">
        <f>CC599-CD648</f>
        <v>2092.6439999999998</v>
      </c>
      <c r="CE599" s="517">
        <f>CD599-CE648</f>
        <v>2047.3469999999998</v>
      </c>
      <c r="CF599" s="601">
        <f>CE599-CF648</f>
        <v>2001.2799999999997</v>
      </c>
      <c r="CG599" s="552"/>
      <c r="CH599" s="553"/>
      <c r="CI599" s="551"/>
      <c r="CJ599" s="516"/>
      <c r="CK599" s="516"/>
      <c r="CL599" s="516"/>
      <c r="CM599" s="516"/>
      <c r="CN599" s="516"/>
      <c r="CO599" s="516"/>
      <c r="CP599" s="645"/>
      <c r="CQ599" s="516">
        <v>232.03</v>
      </c>
      <c r="CR599" s="516">
        <v>200.15100000000001</v>
      </c>
      <c r="CS599" s="517">
        <f>+BH599</f>
        <v>208.113</v>
      </c>
      <c r="CT599" s="517">
        <f>+BL599</f>
        <v>1019.985</v>
      </c>
      <c r="CU599" s="517">
        <f>BP599</f>
        <v>2334.761</v>
      </c>
      <c r="CV599" s="517">
        <f>BT599</f>
        <v>2167.5329999999999</v>
      </c>
      <c r="CW599" s="517">
        <f>BX599</f>
        <v>1993.885</v>
      </c>
      <c r="CX599" s="517">
        <f>CB599</f>
        <v>2176.8229999999999</v>
      </c>
      <c r="CY599" s="517">
        <f>CF599</f>
        <v>2001.2799999999997</v>
      </c>
      <c r="CZ599" s="517">
        <f t="shared" ref="CZ599:DF599" si="1125">CY599-CZ648</f>
        <v>1825.7369999999996</v>
      </c>
      <c r="DA599" s="517">
        <f t="shared" si="1125"/>
        <v>1650.1939999999995</v>
      </c>
      <c r="DB599" s="517">
        <f t="shared" si="1125"/>
        <v>1474.6509999999994</v>
      </c>
      <c r="DC599" s="517">
        <f t="shared" si="1125"/>
        <v>1299.1079999999993</v>
      </c>
      <c r="DD599" s="517">
        <f t="shared" si="1125"/>
        <v>1123.5649999999991</v>
      </c>
      <c r="DE599" s="517">
        <f t="shared" si="1125"/>
        <v>948.02199999999914</v>
      </c>
      <c r="DF599" s="601">
        <f t="shared" si="1125"/>
        <v>772.47899999999913</v>
      </c>
      <c r="DG599" s="612"/>
      <c r="DH599" s="612"/>
    </row>
    <row r="600" spans="1:112" s="554" customFormat="1" ht="11.25" customHeight="1">
      <c r="A600" s="547"/>
      <c r="B600"/>
      <c r="C600"/>
      <c r="D600"/>
      <c r="E600"/>
      <c r="F600"/>
      <c r="G600"/>
      <c r="H600" s="1044"/>
      <c r="I600" s="643" t="s">
        <v>61</v>
      </c>
      <c r="J600" s="644"/>
      <c r="K600" s="644"/>
      <c r="L600" s="547"/>
      <c r="M600" s="551"/>
      <c r="N600" s="551"/>
      <c r="O600" s="551"/>
      <c r="P600" s="552"/>
      <c r="Q600" s="551"/>
      <c r="R600" s="551"/>
      <c r="S600" s="551"/>
      <c r="T600" s="552"/>
      <c r="U600" s="516"/>
      <c r="V600" s="516"/>
      <c r="W600" s="516"/>
      <c r="X600" s="602"/>
      <c r="Y600" s="516"/>
      <c r="Z600" s="516"/>
      <c r="AA600" s="516"/>
      <c r="AB600" s="602"/>
      <c r="AC600" s="516"/>
      <c r="AD600" s="516"/>
      <c r="AE600" s="516"/>
      <c r="AF600" s="602"/>
      <c r="AG600" s="516"/>
      <c r="AH600" s="516"/>
      <c r="AI600" s="516"/>
      <c r="AJ600" s="602"/>
      <c r="AK600" s="516"/>
      <c r="AL600" s="516"/>
      <c r="AM600" s="516"/>
      <c r="AN600" s="602"/>
      <c r="AO600" s="516"/>
      <c r="AP600" s="516"/>
      <c r="AQ600" s="516"/>
      <c r="AR600" s="602"/>
      <c r="AS600" s="516"/>
      <c r="AT600" s="516"/>
      <c r="AU600" s="516"/>
      <c r="AV600" s="602"/>
      <c r="AW600" s="645"/>
      <c r="AX600" s="645"/>
      <c r="AY600" s="645"/>
      <c r="AZ600" s="602"/>
      <c r="BA600" s="516">
        <v>525.80100000000004</v>
      </c>
      <c r="BB600" s="516">
        <v>529.59400000000005</v>
      </c>
      <c r="BC600" s="516">
        <v>510.154</v>
      </c>
      <c r="BD600" s="602">
        <v>504.78399999999999</v>
      </c>
      <c r="BE600" s="516">
        <v>520.76900000000001</v>
      </c>
      <c r="BF600" s="516">
        <v>508.33100000000002</v>
      </c>
      <c r="BG600" s="516">
        <v>517.721</v>
      </c>
      <c r="BH600" s="602">
        <v>522.67200000000003</v>
      </c>
      <c r="BI600" s="516">
        <v>502.29500000000002</v>
      </c>
      <c r="BJ600" s="516">
        <v>1738.346</v>
      </c>
      <c r="BK600" s="516">
        <v>1761.194</v>
      </c>
      <c r="BL600" s="602">
        <v>1767.912</v>
      </c>
      <c r="BM600" s="516">
        <v>1771.548</v>
      </c>
      <c r="BN600" s="516">
        <v>1905.5509999999999</v>
      </c>
      <c r="BO600" s="516">
        <v>3483.1439999999998</v>
      </c>
      <c r="BP600" s="602">
        <v>3326.4740000000002</v>
      </c>
      <c r="BQ600" s="516">
        <v>3327.7840000000001</v>
      </c>
      <c r="BR600" s="516">
        <v>3366.3960000000002</v>
      </c>
      <c r="BS600" s="516">
        <v>3386.5189999999998</v>
      </c>
      <c r="BT600" s="602">
        <v>3375</v>
      </c>
      <c r="BU600" s="516">
        <v>3378.3270000000002</v>
      </c>
      <c r="BV600" s="516">
        <v>3360.585</v>
      </c>
      <c r="BW600" s="516">
        <v>2416.3380000000002</v>
      </c>
      <c r="BX600" s="602">
        <v>2396.9059999999999</v>
      </c>
      <c r="BY600" s="516">
        <v>2402.306</v>
      </c>
      <c r="BZ600" s="516">
        <v>2418.63</v>
      </c>
      <c r="CA600" s="516">
        <v>2727.8969999999999</v>
      </c>
      <c r="CB600" s="602">
        <v>2737.6709999999998</v>
      </c>
      <c r="CC600" s="517">
        <f>CB600</f>
        <v>2737.6709999999998</v>
      </c>
      <c r="CD600" s="517">
        <f>CC600</f>
        <v>2737.6709999999998</v>
      </c>
      <c r="CE600" s="517">
        <f>CD600</f>
        <v>2737.6709999999998</v>
      </c>
      <c r="CF600" s="601">
        <f>CE600</f>
        <v>2737.6709999999998</v>
      </c>
      <c r="CG600" s="552"/>
      <c r="CH600" s="553"/>
      <c r="CI600" s="551"/>
      <c r="CJ600" s="516"/>
      <c r="CK600" s="516"/>
      <c r="CL600" s="516"/>
      <c r="CM600" s="516"/>
      <c r="CN600" s="516"/>
      <c r="CO600" s="516"/>
      <c r="CP600" s="645"/>
      <c r="CQ600" s="516">
        <v>510.89400000000001</v>
      </c>
      <c r="CR600" s="516">
        <v>504.78399999999999</v>
      </c>
      <c r="CS600" s="517">
        <f>+BH600</f>
        <v>522.67200000000003</v>
      </c>
      <c r="CT600" s="517">
        <f>+BL600</f>
        <v>1767.912</v>
      </c>
      <c r="CU600" s="517">
        <f>BP600</f>
        <v>3326.4740000000002</v>
      </c>
      <c r="CV600" s="517">
        <f>BT600</f>
        <v>3375</v>
      </c>
      <c r="CW600" s="517">
        <f>BX600</f>
        <v>2396.9059999999999</v>
      </c>
      <c r="CX600" s="517">
        <f>CB600</f>
        <v>2737.6709999999998</v>
      </c>
      <c r="CY600" s="517">
        <f>CF600</f>
        <v>2737.6709999999998</v>
      </c>
      <c r="CZ600" s="517">
        <f t="shared" ref="CZ600:DF603" si="1126">CY600</f>
        <v>2737.6709999999998</v>
      </c>
      <c r="DA600" s="517">
        <f t="shared" si="1126"/>
        <v>2737.6709999999998</v>
      </c>
      <c r="DB600" s="517">
        <f t="shared" si="1126"/>
        <v>2737.6709999999998</v>
      </c>
      <c r="DC600" s="517">
        <f t="shared" si="1126"/>
        <v>2737.6709999999998</v>
      </c>
      <c r="DD600" s="517">
        <f t="shared" si="1126"/>
        <v>2737.6709999999998</v>
      </c>
      <c r="DE600" s="517">
        <f t="shared" si="1126"/>
        <v>2737.6709999999998</v>
      </c>
      <c r="DF600" s="601">
        <f t="shared" si="1126"/>
        <v>2737.6709999999998</v>
      </c>
      <c r="DG600" s="612"/>
      <c r="DH600" s="612"/>
    </row>
    <row r="601" spans="1:112" s="554" customFormat="1" ht="11.25" customHeight="1">
      <c r="A601" s="547"/>
      <c r="B601"/>
      <c r="C601"/>
      <c r="D601"/>
      <c r="E601"/>
      <c r="F601"/>
      <c r="G601"/>
      <c r="H601" s="1044"/>
      <c r="I601" s="643" t="s">
        <v>55</v>
      </c>
      <c r="J601" s="644"/>
      <c r="K601" s="644"/>
      <c r="L601" s="547"/>
      <c r="M601" s="551"/>
      <c r="N601" s="551"/>
      <c r="O601" s="551"/>
      <c r="P601" s="552"/>
      <c r="Q601" s="551"/>
      <c r="R601" s="551"/>
      <c r="S601" s="551"/>
      <c r="T601" s="552"/>
      <c r="U601" s="516"/>
      <c r="V601" s="516"/>
      <c r="W601" s="516"/>
      <c r="X601" s="602"/>
      <c r="Y601" s="516"/>
      <c r="Z601" s="516"/>
      <c r="AA601" s="516"/>
      <c r="AB601" s="602"/>
      <c r="AC601" s="516"/>
      <c r="AD601" s="516"/>
      <c r="AE601" s="516"/>
      <c r="AF601" s="602"/>
      <c r="AG601" s="516"/>
      <c r="AH601" s="516"/>
      <c r="AI601" s="516"/>
      <c r="AJ601" s="602"/>
      <c r="AK601" s="516"/>
      <c r="AL601" s="516"/>
      <c r="AM601" s="516"/>
      <c r="AN601" s="602"/>
      <c r="AO601" s="516"/>
      <c r="AP601" s="516"/>
      <c r="AQ601" s="516"/>
      <c r="AR601" s="602"/>
      <c r="AS601" s="516"/>
      <c r="AT601" s="516"/>
      <c r="AU601" s="516"/>
      <c r="AV601" s="602"/>
      <c r="AW601" s="645"/>
      <c r="AX601" s="645"/>
      <c r="AY601" s="645"/>
      <c r="AZ601" s="602"/>
      <c r="BA601" s="516">
        <v>137.96899999999999</v>
      </c>
      <c r="BB601" s="516">
        <v>158.65799999999999</v>
      </c>
      <c r="BC601" s="516">
        <v>137.46199999999999</v>
      </c>
      <c r="BD601" s="602">
        <v>111.08</v>
      </c>
      <c r="BE601" s="516">
        <v>43.244999999999997</v>
      </c>
      <c r="BF601" s="516">
        <v>29.04</v>
      </c>
      <c r="BG601" s="516">
        <v>23.23</v>
      </c>
      <c r="BH601" s="602">
        <v>31.484999999999999</v>
      </c>
      <c r="BI601" s="516">
        <v>3.6429999999999998</v>
      </c>
      <c r="BJ601" s="516">
        <v>4.3449999999999998</v>
      </c>
      <c r="BK601" s="516">
        <v>0.82699999999999996</v>
      </c>
      <c r="BL601" s="602">
        <v>7.0549999999999997</v>
      </c>
      <c r="BM601" s="516">
        <v>5.093</v>
      </c>
      <c r="BN601" s="516">
        <v>6.72</v>
      </c>
      <c r="BO601" s="516">
        <v>4.7140000000000004</v>
      </c>
      <c r="BP601" s="602">
        <v>0</v>
      </c>
      <c r="BQ601" s="516">
        <v>0</v>
      </c>
      <c r="BR601" s="516">
        <v>0</v>
      </c>
      <c r="BS601" s="516">
        <v>0</v>
      </c>
      <c r="BT601" s="602">
        <v>0</v>
      </c>
      <c r="BU601" s="516">
        <v>0</v>
      </c>
      <c r="BV601" s="516">
        <v>0</v>
      </c>
      <c r="BW601" s="516">
        <v>0</v>
      </c>
      <c r="BX601" s="602">
        <v>0</v>
      </c>
      <c r="BY601" s="516">
        <v>0</v>
      </c>
      <c r="BZ601" s="516">
        <v>0</v>
      </c>
      <c r="CA601" s="516">
        <v>0</v>
      </c>
      <c r="CB601" s="602">
        <v>0</v>
      </c>
      <c r="CC601" s="517">
        <f t="shared" ref="CC601:CF603" si="1127">CB601</f>
        <v>0</v>
      </c>
      <c r="CD601" s="517">
        <f t="shared" si="1127"/>
        <v>0</v>
      </c>
      <c r="CE601" s="517">
        <f t="shared" si="1127"/>
        <v>0</v>
      </c>
      <c r="CF601" s="601">
        <f t="shared" si="1127"/>
        <v>0</v>
      </c>
      <c r="CG601" s="552"/>
      <c r="CH601" s="553"/>
      <c r="CI601" s="551"/>
      <c r="CJ601" s="516"/>
      <c r="CK601" s="516"/>
      <c r="CL601" s="516"/>
      <c r="CM601" s="516"/>
      <c r="CN601" s="516"/>
      <c r="CO601" s="516"/>
      <c r="CP601" s="645"/>
      <c r="CQ601" s="516">
        <v>151.40799999999999</v>
      </c>
      <c r="CR601" s="516">
        <v>111.08</v>
      </c>
      <c r="CS601" s="517">
        <f>+BH601</f>
        <v>31.484999999999999</v>
      </c>
      <c r="CT601" s="517">
        <f>+BL601</f>
        <v>7.0549999999999997</v>
      </c>
      <c r="CU601" s="517">
        <f>BP601</f>
        <v>0</v>
      </c>
      <c r="CV601" s="517">
        <f>BT601</f>
        <v>0</v>
      </c>
      <c r="CW601" s="517">
        <f>BX601</f>
        <v>0</v>
      </c>
      <c r="CX601" s="517">
        <f>CB601</f>
        <v>0</v>
      </c>
      <c r="CY601" s="517">
        <f>CF601</f>
        <v>0</v>
      </c>
      <c r="CZ601" s="517">
        <f t="shared" si="1126"/>
        <v>0</v>
      </c>
      <c r="DA601" s="517">
        <f t="shared" si="1126"/>
        <v>0</v>
      </c>
      <c r="DB601" s="517">
        <f t="shared" si="1126"/>
        <v>0</v>
      </c>
      <c r="DC601" s="517">
        <f t="shared" si="1126"/>
        <v>0</v>
      </c>
      <c r="DD601" s="517">
        <f t="shared" si="1126"/>
        <v>0</v>
      </c>
      <c r="DE601" s="517">
        <f t="shared" si="1126"/>
        <v>0</v>
      </c>
      <c r="DF601" s="601">
        <f t="shared" si="1126"/>
        <v>0</v>
      </c>
      <c r="DG601" s="612"/>
      <c r="DH601" s="612"/>
    </row>
    <row r="602" spans="1:112" s="554" customFormat="1" ht="11.25" customHeight="1">
      <c r="A602" s="547"/>
      <c r="B602"/>
      <c r="C602"/>
      <c r="D602"/>
      <c r="E602"/>
      <c r="F602"/>
      <c r="G602"/>
      <c r="H602" s="1044"/>
      <c r="I602" s="1530" t="s">
        <v>585</v>
      </c>
      <c r="J602" s="644"/>
      <c r="K602" s="644"/>
      <c r="L602" s="547"/>
      <c r="M602" s="551"/>
      <c r="N602" s="551"/>
      <c r="O602" s="551"/>
      <c r="P602" s="552"/>
      <c r="Q602" s="551"/>
      <c r="R602" s="551"/>
      <c r="S602" s="551"/>
      <c r="T602" s="552"/>
      <c r="U602" s="516"/>
      <c r="V602" s="516"/>
      <c r="W602" s="516"/>
      <c r="X602" s="602"/>
      <c r="Y602" s="516"/>
      <c r="Z602" s="516"/>
      <c r="AA602" s="516"/>
      <c r="AB602" s="602"/>
      <c r="AC602" s="516"/>
      <c r="AD602" s="516"/>
      <c r="AE602" s="516"/>
      <c r="AF602" s="602"/>
      <c r="AG602" s="516"/>
      <c r="AH602" s="516"/>
      <c r="AI602" s="516"/>
      <c r="AJ602" s="602"/>
      <c r="AK602" s="516"/>
      <c r="AL602" s="516"/>
      <c r="AM602" s="516"/>
      <c r="AN602" s="602"/>
      <c r="AO602" s="516"/>
      <c r="AP602" s="516"/>
      <c r="AQ602" s="516"/>
      <c r="AR602" s="602"/>
      <c r="AS602" s="516"/>
      <c r="AT602" s="516"/>
      <c r="AU602" s="516"/>
      <c r="AV602" s="602"/>
      <c r="AW602" s="645"/>
      <c r="AX602" s="645"/>
      <c r="AY602" s="645"/>
      <c r="AZ602" s="602"/>
      <c r="BA602" s="516"/>
      <c r="BB602" s="516"/>
      <c r="BC602" s="516"/>
      <c r="BD602" s="602"/>
      <c r="BE602" s="516"/>
      <c r="BF602" s="516"/>
      <c r="BG602" s="516"/>
      <c r="BH602" s="602"/>
      <c r="BI602" s="516">
        <v>0</v>
      </c>
      <c r="BJ602" s="516">
        <v>0</v>
      </c>
      <c r="BK602" s="516">
        <v>0</v>
      </c>
      <c r="BL602" s="602">
        <v>0</v>
      </c>
      <c r="BM602" s="516">
        <v>0</v>
      </c>
      <c r="BN602" s="516">
        <v>0</v>
      </c>
      <c r="BO602" s="516">
        <v>1965.182</v>
      </c>
      <c r="BP602" s="602">
        <v>3755.6529999999998</v>
      </c>
      <c r="BQ602" s="516">
        <v>4973.6440000000002</v>
      </c>
      <c r="BR602" s="516">
        <v>6395.4679999999998</v>
      </c>
      <c r="BS602" s="516">
        <v>6327.63</v>
      </c>
      <c r="BT602" s="602">
        <v>7931.3630000000003</v>
      </c>
      <c r="BU602" s="516">
        <v>7594.3379999999997</v>
      </c>
      <c r="BV602" s="516">
        <v>7954.4139999999998</v>
      </c>
      <c r="BW602" s="516">
        <v>9296.4169999999995</v>
      </c>
      <c r="BX602" s="602">
        <v>9591.0669999999991</v>
      </c>
      <c r="BY602" s="516">
        <v>10140.629999999999</v>
      </c>
      <c r="BZ602" s="516">
        <v>10263.659</v>
      </c>
      <c r="CA602" s="516">
        <v>11114.314</v>
      </c>
      <c r="CB602" s="602">
        <v>10421.6</v>
      </c>
      <c r="CC602" s="517">
        <f t="shared" si="1127"/>
        <v>10421.6</v>
      </c>
      <c r="CD602" s="517">
        <f t="shared" si="1127"/>
        <v>10421.6</v>
      </c>
      <c r="CE602" s="517">
        <f t="shared" si="1127"/>
        <v>10421.6</v>
      </c>
      <c r="CF602" s="601">
        <f t="shared" si="1127"/>
        <v>10421.6</v>
      </c>
      <c r="CG602" s="552"/>
      <c r="CH602" s="553"/>
      <c r="CI602" s="551"/>
      <c r="CJ602" s="516"/>
      <c r="CK602" s="516"/>
      <c r="CL602" s="516"/>
      <c r="CM602" s="516"/>
      <c r="CN602" s="516"/>
      <c r="CO602" s="516"/>
      <c r="CP602" s="645"/>
      <c r="CQ602" s="516"/>
      <c r="CR602" s="516"/>
      <c r="CS602" s="517"/>
      <c r="CT602" s="517">
        <f>+BL602</f>
        <v>0</v>
      </c>
      <c r="CU602" s="517">
        <f>BP602</f>
        <v>3755.6529999999998</v>
      </c>
      <c r="CV602" s="517">
        <f>BT602</f>
        <v>7931.3630000000003</v>
      </c>
      <c r="CW602" s="517">
        <f>BX602</f>
        <v>9591.0669999999991</v>
      </c>
      <c r="CX602" s="517">
        <f>CB602</f>
        <v>10421.6</v>
      </c>
      <c r="CY602" s="517">
        <f>CF602</f>
        <v>10421.6</v>
      </c>
      <c r="CZ602" s="517">
        <f t="shared" si="1126"/>
        <v>10421.6</v>
      </c>
      <c r="DA602" s="517">
        <f t="shared" si="1126"/>
        <v>10421.6</v>
      </c>
      <c r="DB602" s="517">
        <f t="shared" si="1126"/>
        <v>10421.6</v>
      </c>
      <c r="DC602" s="517">
        <f t="shared" si="1126"/>
        <v>10421.6</v>
      </c>
      <c r="DD602" s="517">
        <f t="shared" si="1126"/>
        <v>10421.6</v>
      </c>
      <c r="DE602" s="517">
        <f t="shared" si="1126"/>
        <v>10421.6</v>
      </c>
      <c r="DF602" s="601">
        <f t="shared" si="1126"/>
        <v>10421.6</v>
      </c>
      <c r="DG602" s="612"/>
      <c r="DH602" s="612"/>
    </row>
    <row r="603" spans="1:112" s="554" customFormat="1" ht="11.25" customHeight="1">
      <c r="A603" s="547"/>
      <c r="B603"/>
      <c r="C603"/>
      <c r="D603"/>
      <c r="E603"/>
      <c r="F603"/>
      <c r="G603"/>
      <c r="H603" s="1044"/>
      <c r="I603" s="646" t="s">
        <v>62</v>
      </c>
      <c r="J603" s="647"/>
      <c r="K603" s="647"/>
      <c r="L603" s="560"/>
      <c r="M603" s="561"/>
      <c r="N603" s="561"/>
      <c r="O603" s="561"/>
      <c r="P603" s="562"/>
      <c r="Q603" s="561"/>
      <c r="R603" s="561"/>
      <c r="S603" s="561"/>
      <c r="T603" s="562"/>
      <c r="U603" s="511"/>
      <c r="V603" s="511"/>
      <c r="W603" s="511"/>
      <c r="X603" s="648"/>
      <c r="Y603" s="511"/>
      <c r="Z603" s="511"/>
      <c r="AA603" s="511"/>
      <c r="AB603" s="648"/>
      <c r="AC603" s="511"/>
      <c r="AD603" s="511"/>
      <c r="AE603" s="511"/>
      <c r="AF603" s="648"/>
      <c r="AG603" s="511"/>
      <c r="AH603" s="511"/>
      <c r="AI603" s="511"/>
      <c r="AJ603" s="648"/>
      <c r="AK603" s="511"/>
      <c r="AL603" s="511"/>
      <c r="AM603" s="511"/>
      <c r="AN603" s="648"/>
      <c r="AO603" s="511"/>
      <c r="AP603" s="511"/>
      <c r="AQ603" s="511"/>
      <c r="AR603" s="648"/>
      <c r="AS603" s="511"/>
      <c r="AT603" s="511"/>
      <c r="AU603" s="511"/>
      <c r="AV603" s="648"/>
      <c r="AW603" s="649"/>
      <c r="AX603" s="649"/>
      <c r="AY603" s="649"/>
      <c r="AZ603" s="648"/>
      <c r="BA603" s="511">
        <v>17.462</v>
      </c>
      <c r="BB603" s="511">
        <v>17.157</v>
      </c>
      <c r="BC603" s="511">
        <v>21.443999999999999</v>
      </c>
      <c r="BD603" s="648">
        <v>23.49</v>
      </c>
      <c r="BE603" s="511">
        <v>41.313000000000002</v>
      </c>
      <c r="BF603" s="511">
        <v>38.482999999999997</v>
      </c>
      <c r="BG603" s="511">
        <v>36.71</v>
      </c>
      <c r="BH603" s="648">
        <v>35.828000000000003</v>
      </c>
      <c r="BI603" s="511">
        <v>35.101999999999997</v>
      </c>
      <c r="BJ603" s="511">
        <v>37.302</v>
      </c>
      <c r="BK603" s="511">
        <v>35.957999999999998</v>
      </c>
      <c r="BL603" s="648">
        <v>33.514000000000003</v>
      </c>
      <c r="BM603" s="511">
        <v>33.423000000000002</v>
      </c>
      <c r="BN603" s="511">
        <v>33.665999999999997</v>
      </c>
      <c r="BO603" s="511">
        <f>48.471</f>
        <v>48.470999999999997</v>
      </c>
      <c r="BP603" s="648">
        <v>57.347999999999999</v>
      </c>
      <c r="BQ603" s="511">
        <v>76.373000000000005</v>
      </c>
      <c r="BR603" s="511">
        <v>79.28</v>
      </c>
      <c r="BS603" s="511">
        <v>141.25899999999999</v>
      </c>
      <c r="BT603" s="648">
        <v>118.65600000000001</v>
      </c>
      <c r="BU603" s="511">
        <v>68.733999999999995</v>
      </c>
      <c r="BV603" s="511">
        <v>55.134</v>
      </c>
      <c r="BW603" s="511">
        <v>107.429</v>
      </c>
      <c r="BX603" s="648">
        <v>108.57899999999999</v>
      </c>
      <c r="BY603" s="511">
        <v>130.238</v>
      </c>
      <c r="BZ603" s="511">
        <v>163.59700000000001</v>
      </c>
      <c r="CA603" s="511">
        <v>146.60499999999999</v>
      </c>
      <c r="CB603" s="648">
        <v>600.28300000000002</v>
      </c>
      <c r="CC603" s="512">
        <f t="shared" si="1127"/>
        <v>600.28300000000002</v>
      </c>
      <c r="CD603" s="512">
        <f t="shared" si="1127"/>
        <v>600.28300000000002</v>
      </c>
      <c r="CE603" s="512">
        <f t="shared" si="1127"/>
        <v>600.28300000000002</v>
      </c>
      <c r="CF603" s="513">
        <f t="shared" si="1127"/>
        <v>600.28300000000002</v>
      </c>
      <c r="CG603" s="552"/>
      <c r="CH603" s="567"/>
      <c r="CI603" s="561"/>
      <c r="CJ603" s="511"/>
      <c r="CK603" s="511"/>
      <c r="CL603" s="511"/>
      <c r="CM603" s="511"/>
      <c r="CN603" s="511"/>
      <c r="CO603" s="511"/>
      <c r="CP603" s="649"/>
      <c r="CQ603" s="511">
        <v>14.417999999999999</v>
      </c>
      <c r="CR603" s="511">
        <v>23.49</v>
      </c>
      <c r="CS603" s="512">
        <f>+BH603</f>
        <v>35.828000000000003</v>
      </c>
      <c r="CT603" s="512">
        <f>+BL603</f>
        <v>33.514000000000003</v>
      </c>
      <c r="CU603" s="512">
        <f>BP603</f>
        <v>57.347999999999999</v>
      </c>
      <c r="CV603" s="512">
        <f>BT603</f>
        <v>118.65600000000001</v>
      </c>
      <c r="CW603" s="512">
        <f>BX603</f>
        <v>108.57899999999999</v>
      </c>
      <c r="CX603" s="512">
        <f>CB603</f>
        <v>600.28300000000002</v>
      </c>
      <c r="CY603" s="512">
        <f>CF603</f>
        <v>600.28300000000002</v>
      </c>
      <c r="CZ603" s="512">
        <f>CY603</f>
        <v>600.28300000000002</v>
      </c>
      <c r="DA603" s="512">
        <f t="shared" si="1126"/>
        <v>600.28300000000002</v>
      </c>
      <c r="DB603" s="512">
        <f t="shared" si="1126"/>
        <v>600.28300000000002</v>
      </c>
      <c r="DC603" s="512">
        <f t="shared" si="1126"/>
        <v>600.28300000000002</v>
      </c>
      <c r="DD603" s="512">
        <f t="shared" si="1126"/>
        <v>600.28300000000002</v>
      </c>
      <c r="DE603" s="512">
        <f t="shared" si="1126"/>
        <v>600.28300000000002</v>
      </c>
      <c r="DF603" s="513">
        <f t="shared" si="1126"/>
        <v>600.28300000000002</v>
      </c>
      <c r="DG603" s="612"/>
      <c r="DH603" s="612"/>
    </row>
    <row r="604" spans="1:112" s="584" customFormat="1" ht="11.25" customHeight="1">
      <c r="A604" s="542"/>
      <c r="B604"/>
      <c r="C604"/>
      <c r="D604"/>
      <c r="E604"/>
      <c r="F604"/>
      <c r="G604"/>
      <c r="H604" s="1052"/>
      <c r="I604" s="653" t="s">
        <v>63</v>
      </c>
      <c r="J604" s="654"/>
      <c r="K604" s="654"/>
      <c r="L604" s="542"/>
      <c r="M604" s="581"/>
      <c r="N604" s="581"/>
      <c r="O604" s="581"/>
      <c r="P604" s="582"/>
      <c r="Q604" s="581"/>
      <c r="R604" s="581"/>
      <c r="S604" s="581"/>
      <c r="T604" s="582"/>
      <c r="U604" s="600"/>
      <c r="V604" s="600"/>
      <c r="W604" s="600"/>
      <c r="X604" s="599"/>
      <c r="Y604" s="600"/>
      <c r="Z604" s="600"/>
      <c r="AA604" s="600"/>
      <c r="AB604" s="599"/>
      <c r="AC604" s="600"/>
      <c r="AD604" s="600"/>
      <c r="AE604" s="600"/>
      <c r="AF604" s="599"/>
      <c r="AG604" s="600"/>
      <c r="AH604" s="600"/>
      <c r="AI604" s="600"/>
      <c r="AJ604" s="599"/>
      <c r="AK604" s="600"/>
      <c r="AL604" s="600"/>
      <c r="AM604" s="600"/>
      <c r="AN604" s="599"/>
      <c r="AO604" s="600"/>
      <c r="AP604" s="600"/>
      <c r="AQ604" s="600"/>
      <c r="AR604" s="599"/>
      <c r="AS604" s="600"/>
      <c r="AT604" s="600"/>
      <c r="AU604" s="600"/>
      <c r="AV604" s="599"/>
      <c r="AW604" s="642"/>
      <c r="AX604" s="642"/>
      <c r="AY604" s="642"/>
      <c r="AZ604" s="599"/>
      <c r="BA604" s="514">
        <f t="shared" ref="BA604:CF604" si="1128">+SUM(BA599:BA603)+BA597+BA593</f>
        <v>3065.3510000000001</v>
      </c>
      <c r="BB604" s="514">
        <f t="shared" si="1128"/>
        <v>3360.0749999999998</v>
      </c>
      <c r="BC604" s="514">
        <f t="shared" si="1128"/>
        <v>3815.5729999999999</v>
      </c>
      <c r="BD604" s="515">
        <f t="shared" si="1128"/>
        <v>3970.6710000000003</v>
      </c>
      <c r="BE604" s="514">
        <f t="shared" si="1128"/>
        <v>5092.8270000000002</v>
      </c>
      <c r="BF604" s="514">
        <f t="shared" si="1128"/>
        <v>5428.8059999999987</v>
      </c>
      <c r="BG604" s="514">
        <f t="shared" si="1128"/>
        <v>6217.8090000000002</v>
      </c>
      <c r="BH604" s="515">
        <f t="shared" si="1128"/>
        <v>6569.7420000000002</v>
      </c>
      <c r="BI604" s="514">
        <f t="shared" si="1128"/>
        <v>6855.1270000000004</v>
      </c>
      <c r="BJ604" s="514">
        <f t="shared" si="1128"/>
        <v>9867.3709999999992</v>
      </c>
      <c r="BK604" s="514">
        <f t="shared" si="1128"/>
        <v>10445.655000000001</v>
      </c>
      <c r="BL604" s="515">
        <f t="shared" si="1128"/>
        <v>10444.459999999999</v>
      </c>
      <c r="BM604" s="514">
        <f t="shared" si="1128"/>
        <v>10813.684000000001</v>
      </c>
      <c r="BN604" s="514">
        <f t="shared" si="1128"/>
        <v>11600.323</v>
      </c>
      <c r="BO604" s="514">
        <f>+SUM(BO599:BO603)+BO597+BO593</f>
        <v>15184.38</v>
      </c>
      <c r="BP604" s="515">
        <f>+SUM(BP599:BP603)+BP597+BP593</f>
        <v>14940.563</v>
      </c>
      <c r="BQ604" s="514">
        <f t="shared" si="1128"/>
        <v>16842.491999999998</v>
      </c>
      <c r="BR604" s="514">
        <f t="shared" si="1128"/>
        <v>17027.346000000001</v>
      </c>
      <c r="BS604" s="514">
        <f t="shared" si="1128"/>
        <v>16614.77</v>
      </c>
      <c r="BT604" s="515">
        <f>+SUM(BT599:BT603)+BT597+BT593</f>
        <v>17420.575000000001</v>
      </c>
      <c r="BU604" s="514">
        <f t="shared" si="1128"/>
        <v>18334.545999999998</v>
      </c>
      <c r="BV604" s="514">
        <f t="shared" si="1128"/>
        <v>19687.169999999998</v>
      </c>
      <c r="BW604" s="514">
        <f t="shared" si="1128"/>
        <v>20033.784</v>
      </c>
      <c r="BX604" s="515">
        <f t="shared" si="1128"/>
        <v>19838.972999999998</v>
      </c>
      <c r="BY604" s="514">
        <f t="shared" si="1128"/>
        <v>21994.252</v>
      </c>
      <c r="BZ604" s="514">
        <f t="shared" si="1128"/>
        <v>23458.323</v>
      </c>
      <c r="CA604" s="514">
        <f t="shared" si="1128"/>
        <v>25789.111000000001</v>
      </c>
      <c r="CB604" s="515">
        <f t="shared" si="1128"/>
        <v>25451.262999999999</v>
      </c>
      <c r="CC604" s="514">
        <f t="shared" si="1128"/>
        <v>23754.340571380384</v>
      </c>
      <c r="CD604" s="514">
        <f t="shared" si="1128"/>
        <v>24697.079372486529</v>
      </c>
      <c r="CE604" s="514">
        <f t="shared" si="1128"/>
        <v>25756.879135734431</v>
      </c>
      <c r="CF604" s="515">
        <f t="shared" si="1128"/>
        <v>26444.56898963936</v>
      </c>
      <c r="CG604" s="582"/>
      <c r="CH604" s="583"/>
      <c r="CI604" s="581"/>
      <c r="CJ604" s="600"/>
      <c r="CK604" s="600"/>
      <c r="CL604" s="600"/>
      <c r="CM604" s="600"/>
      <c r="CN604" s="600"/>
      <c r="CO604" s="600"/>
      <c r="CP604" s="642"/>
      <c r="CQ604" s="514">
        <f t="shared" ref="CQ604:CZ604" si="1129">+SUM(CQ599:CQ603)+CQ597+CQ593</f>
        <v>2905.953</v>
      </c>
      <c r="CR604" s="514">
        <f t="shared" si="1129"/>
        <v>3970.6710000000003</v>
      </c>
      <c r="CS604" s="514">
        <f t="shared" si="1129"/>
        <v>6569.7420000000002</v>
      </c>
      <c r="CT604" s="514">
        <f t="shared" si="1129"/>
        <v>10444.459999999999</v>
      </c>
      <c r="CU604" s="514">
        <f t="shared" si="1129"/>
        <v>14940.563</v>
      </c>
      <c r="CV604" s="514">
        <f t="shared" si="1129"/>
        <v>17420.575000000001</v>
      </c>
      <c r="CW604" s="514">
        <f t="shared" si="1129"/>
        <v>19838.972999999998</v>
      </c>
      <c r="CX604" s="514">
        <f t="shared" si="1129"/>
        <v>25451.262999999999</v>
      </c>
      <c r="CY604" s="514">
        <f t="shared" si="1129"/>
        <v>26444.56898963936</v>
      </c>
      <c r="CZ604" s="514">
        <f t="shared" si="1129"/>
        <v>29372.412643186719</v>
      </c>
      <c r="DA604" s="514">
        <f t="shared" ref="DA604:DF604" si="1130">+SUM(DA599:DA603)+DA597+DA593</f>
        <v>32028.379375238837</v>
      </c>
      <c r="DB604" s="514">
        <f t="shared" si="1130"/>
        <v>35389.327249500551</v>
      </c>
      <c r="DC604" s="514">
        <f t="shared" si="1130"/>
        <v>41100.79224425443</v>
      </c>
      <c r="DD604" s="514">
        <f t="shared" si="1130"/>
        <v>48338.08890895189</v>
      </c>
      <c r="DE604" s="514">
        <f t="shared" si="1130"/>
        <v>55154.976086792165</v>
      </c>
      <c r="DF604" s="515">
        <f t="shared" si="1130"/>
        <v>63387.503079931623</v>
      </c>
      <c r="DG604" s="632"/>
      <c r="DH604" s="632"/>
    </row>
    <row r="605" spans="1:112" s="554" customFormat="1" ht="11.25" customHeight="1">
      <c r="A605" s="547"/>
      <c r="B605"/>
      <c r="C605"/>
      <c r="D605"/>
      <c r="E605"/>
      <c r="F605"/>
      <c r="G605"/>
      <c r="H605" s="1044"/>
      <c r="I605" s="643"/>
      <c r="J605" s="644"/>
      <c r="K605" s="644"/>
      <c r="L605" s="547"/>
      <c r="M605" s="551"/>
      <c r="N605" s="551"/>
      <c r="O605" s="551"/>
      <c r="P605" s="552"/>
      <c r="Q605" s="551"/>
      <c r="R605" s="551"/>
      <c r="S605" s="551"/>
      <c r="T605" s="552"/>
      <c r="U605" s="516"/>
      <c r="V605" s="516"/>
      <c r="W605" s="516"/>
      <c r="X605" s="602"/>
      <c r="Y605" s="516"/>
      <c r="Z605" s="516"/>
      <c r="AA605" s="516"/>
      <c r="AB605" s="602"/>
      <c r="AC605" s="516"/>
      <c r="AD605" s="516"/>
      <c r="AE605" s="516"/>
      <c r="AF605" s="602"/>
      <c r="AG605" s="516"/>
      <c r="AH605" s="516"/>
      <c r="AI605" s="516"/>
      <c r="AJ605" s="602"/>
      <c r="AK605" s="516"/>
      <c r="AL605" s="516"/>
      <c r="AM605" s="516"/>
      <c r="AN605" s="602"/>
      <c r="AO605" s="516"/>
      <c r="AP605" s="516"/>
      <c r="AQ605" s="516"/>
      <c r="AR605" s="602"/>
      <c r="AS605" s="516"/>
      <c r="AT605" s="516"/>
      <c r="AU605" s="516"/>
      <c r="AV605" s="602"/>
      <c r="AW605" s="645"/>
      <c r="AX605" s="645"/>
      <c r="AY605" s="645"/>
      <c r="AZ605" s="602"/>
      <c r="BA605" s="516"/>
      <c r="BB605" s="516"/>
      <c r="BC605" s="516"/>
      <c r="BD605" s="602"/>
      <c r="BE605" s="516"/>
      <c r="BF605" s="516"/>
      <c r="BG605" s="516"/>
      <c r="BH605" s="602"/>
      <c r="BI605" s="516"/>
      <c r="BJ605" s="516"/>
      <c r="BK605" s="516"/>
      <c r="BL605" s="602"/>
      <c r="BM605" s="516"/>
      <c r="BN605" s="516"/>
      <c r="BO605" s="516"/>
      <c r="BP605" s="602"/>
      <c r="BQ605" s="516"/>
      <c r="BR605" s="516"/>
      <c r="BS605" s="516"/>
      <c r="BT605" s="602"/>
      <c r="BU605" s="516"/>
      <c r="BV605" s="516"/>
      <c r="BW605" s="516"/>
      <c r="BX605" s="602"/>
      <c r="BY605" s="516"/>
      <c r="BZ605" s="516"/>
      <c r="CA605" s="516"/>
      <c r="CB605" s="602"/>
      <c r="CC605" s="516"/>
      <c r="CD605" s="516"/>
      <c r="CE605" s="516"/>
      <c r="CF605" s="602"/>
      <c r="CG605" s="552"/>
      <c r="CH605" s="553"/>
      <c r="CI605" s="551"/>
      <c r="CJ605" s="516"/>
      <c r="CK605" s="516"/>
      <c r="CL605" s="516"/>
      <c r="CM605" s="516"/>
      <c r="CN605" s="516"/>
      <c r="CO605" s="516"/>
      <c r="CP605" s="645"/>
      <c r="CQ605" s="516"/>
      <c r="CR605" s="516"/>
      <c r="CS605" s="516"/>
      <c r="CT605" s="516"/>
      <c r="CU605" s="516"/>
      <c r="CV605" s="516"/>
      <c r="CW605" s="516"/>
      <c r="CX605" s="516"/>
      <c r="CY605" s="516"/>
      <c r="CZ605" s="516"/>
      <c r="DA605" s="516"/>
      <c r="DB605" s="516"/>
      <c r="DC605" s="516"/>
      <c r="DD605" s="516"/>
      <c r="DE605" s="516"/>
      <c r="DF605" s="602"/>
      <c r="DG605" s="612"/>
      <c r="DH605" s="612"/>
    </row>
    <row r="606" spans="1:112" s="26" customFormat="1" ht="11.25" customHeight="1">
      <c r="A606" s="24"/>
      <c r="B606"/>
      <c r="C606"/>
      <c r="D606"/>
      <c r="E606"/>
      <c r="F606"/>
      <c r="G606"/>
      <c r="H606" s="1044"/>
      <c r="I606" s="218" t="s">
        <v>64</v>
      </c>
      <c r="J606" s="108"/>
      <c r="K606" s="108"/>
      <c r="L606" s="24"/>
      <c r="M606" s="315"/>
      <c r="N606" s="315"/>
      <c r="O606" s="315"/>
      <c r="P606" s="316"/>
      <c r="Q606" s="315"/>
      <c r="R606" s="315"/>
      <c r="S606" s="315"/>
      <c r="T606" s="316"/>
      <c r="U606" s="317"/>
      <c r="V606" s="317"/>
      <c r="W606" s="317"/>
      <c r="X606" s="318"/>
      <c r="Y606" s="317"/>
      <c r="Z606" s="317"/>
      <c r="AA606" s="317"/>
      <c r="AB606" s="318"/>
      <c r="AC606" s="317"/>
      <c r="AD606" s="317"/>
      <c r="AE606" s="317"/>
      <c r="AF606" s="318"/>
      <c r="AG606" s="317"/>
      <c r="AH606" s="317"/>
      <c r="AI606" s="317"/>
      <c r="AJ606" s="318"/>
      <c r="AK606" s="317"/>
      <c r="AL606" s="317"/>
      <c r="AM606" s="317"/>
      <c r="AN606" s="318"/>
      <c r="AO606" s="317"/>
      <c r="AP606" s="317"/>
      <c r="AQ606" s="317"/>
      <c r="AR606" s="318"/>
      <c r="AS606" s="317"/>
      <c r="AT606" s="317"/>
      <c r="AU606" s="317"/>
      <c r="AV606" s="318"/>
      <c r="AW606" s="319"/>
      <c r="AX606" s="319"/>
      <c r="AY606" s="319"/>
      <c r="AZ606" s="318"/>
      <c r="BA606" s="317"/>
      <c r="BB606" s="317"/>
      <c r="BC606" s="317"/>
      <c r="BD606" s="318"/>
      <c r="BE606" s="494"/>
      <c r="BF606" s="494"/>
      <c r="BG606" s="494"/>
      <c r="BH606" s="497"/>
      <c r="BI606" s="494"/>
      <c r="BJ606" s="494"/>
      <c r="BK606" s="494"/>
      <c r="BL606" s="497"/>
      <c r="BM606" s="494"/>
      <c r="BN606" s="494"/>
      <c r="BO606" s="494"/>
      <c r="BP606" s="497"/>
      <c r="BQ606" s="494"/>
      <c r="BR606" s="494"/>
      <c r="BS606" s="494"/>
      <c r="BT606" s="497"/>
      <c r="BU606" s="494"/>
      <c r="BV606" s="494"/>
      <c r="BW606" s="494"/>
      <c r="BX606" s="497"/>
      <c r="BY606" s="494"/>
      <c r="BZ606" s="494"/>
      <c r="CA606" s="494"/>
      <c r="CB606" s="497"/>
      <c r="CC606" s="494"/>
      <c r="CD606" s="494"/>
      <c r="CE606" s="494"/>
      <c r="CF606" s="497"/>
      <c r="CG606" s="316"/>
      <c r="CH606" s="320"/>
      <c r="CI606" s="315"/>
      <c r="CJ606" s="317"/>
      <c r="CK606" s="317"/>
      <c r="CL606" s="317"/>
      <c r="CM606" s="317"/>
      <c r="CN606" s="317"/>
      <c r="CO606" s="317"/>
      <c r="CP606" s="319"/>
      <c r="CQ606" s="494"/>
      <c r="CR606" s="494"/>
      <c r="CS606" s="494"/>
      <c r="CT606" s="494"/>
      <c r="CU606" s="494"/>
      <c r="CV606" s="494"/>
      <c r="CW606" s="494"/>
      <c r="CX606" s="494"/>
      <c r="CY606" s="494"/>
      <c r="CZ606" s="494"/>
      <c r="DA606" s="494"/>
      <c r="DB606" s="494"/>
      <c r="DC606" s="494"/>
      <c r="DD606" s="494"/>
      <c r="DE606" s="494"/>
      <c r="DF606" s="497"/>
      <c r="DG606" s="94"/>
      <c r="DH606" s="94"/>
    </row>
    <row r="607" spans="1:112" s="554" customFormat="1" ht="11.25" customHeight="1">
      <c r="A607" s="547"/>
      <c r="B607"/>
      <c r="C607"/>
      <c r="D607"/>
      <c r="E607"/>
      <c r="F607"/>
      <c r="G607"/>
      <c r="H607" s="1044"/>
      <c r="I607" s="643" t="s">
        <v>65</v>
      </c>
      <c r="J607" s="644"/>
      <c r="K607" s="644"/>
      <c r="L607" s="547"/>
      <c r="M607" s="551"/>
      <c r="N607" s="551"/>
      <c r="O607" s="551"/>
      <c r="P607" s="552"/>
      <c r="Q607" s="551"/>
      <c r="R607" s="551"/>
      <c r="S607" s="551"/>
      <c r="T607" s="552"/>
      <c r="U607" s="516"/>
      <c r="V607" s="516"/>
      <c r="W607" s="516"/>
      <c r="X607" s="602"/>
      <c r="Y607" s="516"/>
      <c r="Z607" s="516"/>
      <c r="AA607" s="516"/>
      <c r="AB607" s="602"/>
      <c r="AC607" s="516"/>
      <c r="AD607" s="516"/>
      <c r="AE607" s="516"/>
      <c r="AF607" s="602"/>
      <c r="AG607" s="516"/>
      <c r="AH607" s="516"/>
      <c r="AI607" s="516"/>
      <c r="AJ607" s="602"/>
      <c r="AK607" s="516"/>
      <c r="AL607" s="516"/>
      <c r="AM607" s="516"/>
      <c r="AN607" s="602"/>
      <c r="AO607" s="516"/>
      <c r="AP607" s="516"/>
      <c r="AQ607" s="516"/>
      <c r="AR607" s="602"/>
      <c r="AS607" s="516"/>
      <c r="AT607" s="516"/>
      <c r="AU607" s="516"/>
      <c r="AV607" s="602"/>
      <c r="AW607" s="645"/>
      <c r="AX607" s="645"/>
      <c r="AY607" s="645"/>
      <c r="AZ607" s="602"/>
      <c r="BA607" s="516">
        <v>115.512</v>
      </c>
      <c r="BB607" s="516">
        <v>127.794</v>
      </c>
      <c r="BC607" s="516">
        <v>169.54499999999999</v>
      </c>
      <c r="BD607" s="602">
        <v>146.86699999999999</v>
      </c>
      <c r="BE607" s="516">
        <v>173.98400000000001</v>
      </c>
      <c r="BF607" s="516">
        <v>201.203</v>
      </c>
      <c r="BG607" s="516">
        <v>240.17599999999999</v>
      </c>
      <c r="BH607" s="602">
        <v>184.648</v>
      </c>
      <c r="BI607" s="516">
        <v>250.54599999999999</v>
      </c>
      <c r="BJ607" s="516">
        <v>316.25099999999998</v>
      </c>
      <c r="BK607" s="516">
        <v>312.89600000000002</v>
      </c>
      <c r="BL607" s="602">
        <v>247.345</v>
      </c>
      <c r="BM607" s="516">
        <v>299.411</v>
      </c>
      <c r="BN607" s="516">
        <v>340.90300000000002</v>
      </c>
      <c r="BO607" s="516">
        <v>525.44100000000003</v>
      </c>
      <c r="BP607" s="602">
        <v>281.48</v>
      </c>
      <c r="BQ607" s="516">
        <v>567.322</v>
      </c>
      <c r="BR607" s="516">
        <v>367.221</v>
      </c>
      <c r="BS607" s="516">
        <v>388.52800000000002</v>
      </c>
      <c r="BT607" s="602">
        <v>322.84199999999998</v>
      </c>
      <c r="BU607" s="516">
        <v>334.78300000000002</v>
      </c>
      <c r="BV607" s="516">
        <v>431.87</v>
      </c>
      <c r="BW607" s="516">
        <v>494.60700000000003</v>
      </c>
      <c r="BX607" s="602">
        <v>419.108</v>
      </c>
      <c r="BY607" s="516">
        <v>407.57499999999999</v>
      </c>
      <c r="BZ607" s="516">
        <v>598.20000000000005</v>
      </c>
      <c r="CA607" s="516">
        <v>805.74</v>
      </c>
      <c r="CB607" s="602">
        <v>667.52300000000002</v>
      </c>
      <c r="CC607" s="517">
        <f>+CC637*Model!CC21</f>
        <v>473.4445042197637</v>
      </c>
      <c r="CD607" s="517">
        <f>+CD637*Model!CD21</f>
        <v>699.98027429135811</v>
      </c>
      <c r="CE607" s="517">
        <f>+CE637*Model!CE21</f>
        <v>899.903180330091</v>
      </c>
      <c r="CF607" s="601">
        <f>+CF637*Model!CF21</f>
        <v>803.55189246266514</v>
      </c>
      <c r="CG607" s="552"/>
      <c r="CH607" s="553"/>
      <c r="CI607" s="551"/>
      <c r="CJ607" s="516"/>
      <c r="CK607" s="516"/>
      <c r="CL607" s="516"/>
      <c r="CM607" s="516"/>
      <c r="CN607" s="516"/>
      <c r="CO607" s="516"/>
      <c r="CP607" s="645"/>
      <c r="CQ607" s="516">
        <v>90.311000000000007</v>
      </c>
      <c r="CR607" s="516">
        <v>146.86699999999999</v>
      </c>
      <c r="CS607" s="517">
        <f>+BH607</f>
        <v>184.648</v>
      </c>
      <c r="CT607" s="517">
        <f>+BL607</f>
        <v>247.345</v>
      </c>
      <c r="CU607" s="517">
        <f>BP607</f>
        <v>281.48</v>
      </c>
      <c r="CV607" s="517">
        <f>BT607</f>
        <v>322.84199999999998</v>
      </c>
      <c r="CW607" s="517">
        <f>BX607</f>
        <v>419.108</v>
      </c>
      <c r="CX607" s="517">
        <f>CB607</f>
        <v>667.52300000000002</v>
      </c>
      <c r="CY607" s="517">
        <f>CF607</f>
        <v>803.55189246266514</v>
      </c>
      <c r="CZ607" s="517">
        <f>+CZ637*Model!CZ21</f>
        <v>889.55420616827359</v>
      </c>
      <c r="DA607" s="517">
        <f>+DA637*Model!DA21</f>
        <v>964.54945620754461</v>
      </c>
      <c r="DB607" s="517">
        <f>+DB637*Model!DB21</f>
        <v>1040.7465853620909</v>
      </c>
      <c r="DC607" s="517">
        <f>+DC637*Model!DC21</f>
        <v>1099.8750482523258</v>
      </c>
      <c r="DD607" s="517">
        <f>+DD637*Model!DD21</f>
        <v>1153.2191345506351</v>
      </c>
      <c r="DE607" s="517">
        <f>+DE637*Model!DE21</f>
        <v>1225.1255919059142</v>
      </c>
      <c r="DF607" s="601">
        <f>+DF637*Model!DF21</f>
        <v>1308.4591797874364</v>
      </c>
      <c r="DG607" s="612"/>
      <c r="DH607" s="612"/>
    </row>
    <row r="608" spans="1:112" s="554" customFormat="1" ht="11.25" customHeight="1">
      <c r="A608" s="547"/>
      <c r="B608"/>
      <c r="C608"/>
      <c r="D608"/>
      <c r="E608"/>
      <c r="F608"/>
      <c r="G608"/>
      <c r="H608" s="1044"/>
      <c r="I608" s="643" t="s">
        <v>466</v>
      </c>
      <c r="J608" s="644"/>
      <c r="K608" s="644"/>
      <c r="L608" s="547"/>
      <c r="M608" s="551"/>
      <c r="N608" s="551"/>
      <c r="O608" s="551"/>
      <c r="P608" s="552"/>
      <c r="Q608" s="551"/>
      <c r="R608" s="551"/>
      <c r="S608" s="551"/>
      <c r="T608" s="552"/>
      <c r="U608" s="516"/>
      <c r="V608" s="516"/>
      <c r="W608" s="516"/>
      <c r="X608" s="602"/>
      <c r="Y608" s="516"/>
      <c r="Z608" s="516"/>
      <c r="AA608" s="516"/>
      <c r="AB608" s="602"/>
      <c r="AC608" s="516"/>
      <c r="AD608" s="516"/>
      <c r="AE608" s="516"/>
      <c r="AF608" s="602"/>
      <c r="AG608" s="516"/>
      <c r="AH608" s="516"/>
      <c r="AI608" s="516"/>
      <c r="AJ608" s="602"/>
      <c r="AK608" s="516"/>
      <c r="AL608" s="516"/>
      <c r="AM608" s="516"/>
      <c r="AN608" s="602"/>
      <c r="AO608" s="516"/>
      <c r="AP608" s="516"/>
      <c r="AQ608" s="516"/>
      <c r="AR608" s="602"/>
      <c r="AS608" s="516"/>
      <c r="AT608" s="516"/>
      <c r="AU608" s="516"/>
      <c r="AV608" s="602"/>
      <c r="AW608" s="645"/>
      <c r="AX608" s="645"/>
      <c r="AY608" s="645"/>
      <c r="AZ608" s="602"/>
      <c r="BA608" s="516">
        <v>322.73500000000001</v>
      </c>
      <c r="BB608" s="516">
        <v>267.88799999999998</v>
      </c>
      <c r="BC608" s="516">
        <v>305.745</v>
      </c>
      <c r="BD608" s="602">
        <v>222.13399999999999</v>
      </c>
      <c r="BE608" s="516">
        <v>298.21699999999998</v>
      </c>
      <c r="BF608" s="516">
        <v>272.08699999999999</v>
      </c>
      <c r="BG608" s="516">
        <v>377.32600000000002</v>
      </c>
      <c r="BH608" s="602">
        <v>387.911</v>
      </c>
      <c r="BI608" s="516">
        <v>425.03199999999998</v>
      </c>
      <c r="BJ608" s="516">
        <v>387.33600000000001</v>
      </c>
      <c r="BK608" s="516">
        <v>544.02099999999996</v>
      </c>
      <c r="BL608" s="602">
        <v>545.34199999999998</v>
      </c>
      <c r="BM608" s="516">
        <v>561.91499999999996</v>
      </c>
      <c r="BN608" s="516">
        <v>555.71600000000001</v>
      </c>
      <c r="BO608" s="516">
        <v>609.07100000000003</v>
      </c>
      <c r="BP608" s="602">
        <v>600.75800000000004</v>
      </c>
      <c r="BQ608" s="516">
        <v>610.76400000000001</v>
      </c>
      <c r="BR608" s="516">
        <v>903.64099999999996</v>
      </c>
      <c r="BS608" s="516">
        <v>780.78399999999999</v>
      </c>
      <c r="BT608" s="602">
        <v>681.58699999999999</v>
      </c>
      <c r="BU608" s="516">
        <v>1117.2550000000001</v>
      </c>
      <c r="BV608" s="516">
        <v>1019.513</v>
      </c>
      <c r="BW608" s="516">
        <v>882.08100000000002</v>
      </c>
      <c r="BX608" s="602">
        <v>857.46699999999998</v>
      </c>
      <c r="BY608" s="516">
        <v>986.68100000000004</v>
      </c>
      <c r="BZ608" s="516">
        <v>1073.6320000000001</v>
      </c>
      <c r="CA608" s="516">
        <v>1091.3720000000001</v>
      </c>
      <c r="CB608" s="602">
        <v>1138.98</v>
      </c>
      <c r="CC608" s="517">
        <f>+CC638*Model!CC21</f>
        <v>1168.8021335570013</v>
      </c>
      <c r="CD608" s="517">
        <f>+CD638*Model!CD21</f>
        <v>1281.1427647684986</v>
      </c>
      <c r="CE608" s="517">
        <f>+CE638*Model!CE21</f>
        <v>1243.0149667921785</v>
      </c>
      <c r="CF608" s="601">
        <f>+CF638*Model!CF21</f>
        <v>1398.1909287274664</v>
      </c>
      <c r="CG608" s="552"/>
      <c r="CH608" s="553"/>
      <c r="CI608" s="551"/>
      <c r="CJ608" s="516"/>
      <c r="CK608" s="516"/>
      <c r="CL608" s="516"/>
      <c r="CM608" s="516"/>
      <c r="CN608" s="516"/>
      <c r="CO608" s="516"/>
      <c r="CP608" s="645"/>
      <c r="CQ608" s="516">
        <v>243.767</v>
      </c>
      <c r="CR608" s="516">
        <v>222.13399999999999</v>
      </c>
      <c r="CS608" s="517">
        <f>+BH608</f>
        <v>387.911</v>
      </c>
      <c r="CT608" s="517">
        <f>+BL608</f>
        <v>545.34199999999998</v>
      </c>
      <c r="CU608" s="517">
        <f>BP608</f>
        <v>600.75800000000004</v>
      </c>
      <c r="CV608" s="517">
        <f>BT608</f>
        <v>681.58699999999999</v>
      </c>
      <c r="CW608" s="517">
        <f>BX608</f>
        <v>857.46699999999998</v>
      </c>
      <c r="CX608" s="517">
        <f>CB608</f>
        <v>1138.98</v>
      </c>
      <c r="CY608" s="517">
        <f>CF608</f>
        <v>1398.1909287274664</v>
      </c>
      <c r="CZ608" s="517">
        <f>+CZ638*Model!CZ21</f>
        <v>1539.8984719157588</v>
      </c>
      <c r="DA608" s="517">
        <f>+DA638*Model!DA21</f>
        <v>1704.149264007287</v>
      </c>
      <c r="DB608" s="517">
        <f>+DB638*Model!DB21</f>
        <v>1857.5360214502775</v>
      </c>
      <c r="DC608" s="517">
        <f>+DC638*Model!DC21</f>
        <v>1983.3069826285544</v>
      </c>
      <c r="DD608" s="517">
        <f>+DD638*Model!DD21</f>
        <v>2111.6548153094413</v>
      </c>
      <c r="DE608" s="517">
        <f>+DE638*Model!DE21</f>
        <v>2220.6626111351547</v>
      </c>
      <c r="DF608" s="601">
        <f>+DF638*Model!DF21</f>
        <v>2335.9586016368116</v>
      </c>
      <c r="DG608" s="612"/>
      <c r="DH608" s="612"/>
    </row>
    <row r="609" spans="1:112" s="554" customFormat="1" ht="11.25" customHeight="1">
      <c r="A609" s="547"/>
      <c r="B609"/>
      <c r="C609"/>
      <c r="D609"/>
      <c r="E609"/>
      <c r="F609"/>
      <c r="G609"/>
      <c r="H609" s="1044"/>
      <c r="I609" s="643" t="s">
        <v>66</v>
      </c>
      <c r="J609" s="644"/>
      <c r="K609" s="644"/>
      <c r="L609" s="547"/>
      <c r="M609" s="551"/>
      <c r="N609" s="551"/>
      <c r="O609" s="551"/>
      <c r="P609" s="552"/>
      <c r="Q609" s="551"/>
      <c r="R609" s="551"/>
      <c r="S609" s="551"/>
      <c r="T609" s="552"/>
      <c r="U609" s="516"/>
      <c r="V609" s="516"/>
      <c r="W609" s="516"/>
      <c r="X609" s="602"/>
      <c r="Y609" s="516"/>
      <c r="Z609" s="516"/>
      <c r="AA609" s="516"/>
      <c r="AB609" s="602"/>
      <c r="AC609" s="516"/>
      <c r="AD609" s="516"/>
      <c r="AE609" s="516"/>
      <c r="AF609" s="602"/>
      <c r="AG609" s="516"/>
      <c r="AH609" s="516"/>
      <c r="AI609" s="516"/>
      <c r="AJ609" s="602"/>
      <c r="AK609" s="516"/>
      <c r="AL609" s="516"/>
      <c r="AM609" s="516"/>
      <c r="AN609" s="602"/>
      <c r="AO609" s="516"/>
      <c r="AP609" s="516"/>
      <c r="AQ609" s="516"/>
      <c r="AR609" s="602"/>
      <c r="AS609" s="516"/>
      <c r="AT609" s="516"/>
      <c r="AU609" s="516"/>
      <c r="AV609" s="602"/>
      <c r="AW609" s="645"/>
      <c r="AX609" s="645"/>
      <c r="AY609" s="645"/>
      <c r="AZ609" s="602"/>
      <c r="BA609" s="516">
        <v>166.80500000000001</v>
      </c>
      <c r="BB609" s="516">
        <v>243.733</v>
      </c>
      <c r="BC609" s="516">
        <v>213.80199999999999</v>
      </c>
      <c r="BD609" s="602">
        <v>239.15700000000001</v>
      </c>
      <c r="BE609" s="516">
        <v>314.83600000000001</v>
      </c>
      <c r="BF609" s="516">
        <v>384.51900000000001</v>
      </c>
      <c r="BG609" s="516">
        <v>343.29599999999999</v>
      </c>
      <c r="BH609" s="602">
        <v>368.82299999999998</v>
      </c>
      <c r="BI609" s="516">
        <v>403.53</v>
      </c>
      <c r="BJ609" s="516">
        <v>535.64400000000001</v>
      </c>
      <c r="BK609" s="516">
        <v>430.661</v>
      </c>
      <c r="BL609" s="602">
        <v>437.12700000000001</v>
      </c>
      <c r="BM609" s="516">
        <v>471.95600000000002</v>
      </c>
      <c r="BN609" s="516">
        <v>569.30999999999995</v>
      </c>
      <c r="BO609" s="516">
        <v>416.85199999999998</v>
      </c>
      <c r="BP609" s="602">
        <v>460.55799999999999</v>
      </c>
      <c r="BQ609" s="516">
        <v>525.14800000000002</v>
      </c>
      <c r="BR609" s="516">
        <v>660.27200000000005</v>
      </c>
      <c r="BS609" s="516">
        <v>413.495</v>
      </c>
      <c r="BT609" s="602">
        <v>434.88099999999997</v>
      </c>
      <c r="BU609" s="516">
        <v>535.53599999999994</v>
      </c>
      <c r="BV609" s="516">
        <v>758.26800000000003</v>
      </c>
      <c r="BW609" s="516">
        <v>568.30399999999997</v>
      </c>
      <c r="BX609" s="602">
        <v>614.36099999999999</v>
      </c>
      <c r="BY609" s="516">
        <v>879.40499999999997</v>
      </c>
      <c r="BZ609" s="516">
        <v>1185.6389999999999</v>
      </c>
      <c r="CA609" s="516">
        <v>827.36099999999999</v>
      </c>
      <c r="CB609" s="602">
        <v>980.45500000000004</v>
      </c>
      <c r="CC609" s="517">
        <f>+CC639*Model!CC21</f>
        <v>967.31623662627032</v>
      </c>
      <c r="CD609" s="517">
        <f>+CD639*Model!CD21</f>
        <v>1313.7413633752169</v>
      </c>
      <c r="CE609" s="517">
        <f>+CE639*Model!CE21</f>
        <v>875.0118054039101</v>
      </c>
      <c r="CF609" s="601">
        <f>+CF639*Model!CF21</f>
        <v>1117.6179395681941</v>
      </c>
      <c r="CG609" s="552"/>
      <c r="CH609" s="553"/>
      <c r="CI609" s="551"/>
      <c r="CJ609" s="516"/>
      <c r="CK609" s="516"/>
      <c r="CL609" s="516"/>
      <c r="CM609" s="516"/>
      <c r="CN609" s="516"/>
      <c r="CO609" s="516"/>
      <c r="CP609" s="645"/>
      <c r="CQ609" s="516">
        <v>136.91499999999999</v>
      </c>
      <c r="CR609" s="516">
        <v>239.15700000000001</v>
      </c>
      <c r="CS609" s="517">
        <f>+BH609</f>
        <v>368.82299999999998</v>
      </c>
      <c r="CT609" s="517">
        <f>+BL609</f>
        <v>437.12700000000001</v>
      </c>
      <c r="CU609" s="517">
        <f>BP609</f>
        <v>460.55799999999999</v>
      </c>
      <c r="CV609" s="517">
        <f>BT609</f>
        <v>434.88099999999997</v>
      </c>
      <c r="CW609" s="517">
        <f>BX609</f>
        <v>614.36099999999999</v>
      </c>
      <c r="CX609" s="517">
        <f>CB609</f>
        <v>980.45500000000004</v>
      </c>
      <c r="CY609" s="517">
        <f>CF609</f>
        <v>1117.6179395681941</v>
      </c>
      <c r="CZ609" s="517">
        <f>+CZ639*Model!CZ21</f>
        <v>1256.2683906021969</v>
      </c>
      <c r="DA609" s="517">
        <f>+DA639*Model!DA21</f>
        <v>1390.2662365635947</v>
      </c>
      <c r="DB609" s="517">
        <f>+DB639*Model!DB21</f>
        <v>1515.4010674806402</v>
      </c>
      <c r="DC609" s="517">
        <f>+DC639*Model!DC21</f>
        <v>1651.0271297680613</v>
      </c>
      <c r="DD609" s="517">
        <f>+DD639*Model!DD21</f>
        <v>1784.6414076398441</v>
      </c>
      <c r="DE609" s="517">
        <f>+DE639*Model!DE21</f>
        <v>1915.0695152355197</v>
      </c>
      <c r="DF609" s="601">
        <f>+DF639*Model!DF21</f>
        <v>2055.6114530379132</v>
      </c>
      <c r="DG609" s="612"/>
      <c r="DH609" s="612"/>
    </row>
    <row r="610" spans="1:112" s="554" customFormat="1" ht="11.25" customHeight="1">
      <c r="A610" s="547"/>
      <c r="B610"/>
      <c r="C610"/>
      <c r="D610"/>
      <c r="E610"/>
      <c r="F610"/>
      <c r="G610"/>
      <c r="H610" s="1044"/>
      <c r="I610" s="643" t="s">
        <v>67</v>
      </c>
      <c r="J610" s="644"/>
      <c r="K610" s="644"/>
      <c r="L610" s="547"/>
      <c r="M610" s="551"/>
      <c r="N610" s="551"/>
      <c r="O610" s="551"/>
      <c r="P610" s="552"/>
      <c r="Q610" s="551"/>
      <c r="R610" s="551"/>
      <c r="S610" s="551"/>
      <c r="T610" s="552"/>
      <c r="U610" s="516"/>
      <c r="V610" s="516"/>
      <c r="W610" s="516"/>
      <c r="X610" s="602"/>
      <c r="Y610" s="516"/>
      <c r="Z610" s="516"/>
      <c r="AA610" s="516"/>
      <c r="AB610" s="602"/>
      <c r="AC610" s="516"/>
      <c r="AD610" s="516"/>
      <c r="AE610" s="516"/>
      <c r="AF610" s="602"/>
      <c r="AG610" s="516"/>
      <c r="AH610" s="516"/>
      <c r="AI610" s="516"/>
      <c r="AJ610" s="602"/>
      <c r="AK610" s="516"/>
      <c r="AL610" s="516"/>
      <c r="AM610" s="516"/>
      <c r="AN610" s="602"/>
      <c r="AO610" s="516"/>
      <c r="AP610" s="516"/>
      <c r="AQ610" s="516"/>
      <c r="AR610" s="602"/>
      <c r="AS610" s="516"/>
      <c r="AT610" s="516"/>
      <c r="AU610" s="516"/>
      <c r="AV610" s="602"/>
      <c r="AW610" s="645"/>
      <c r="AX610" s="645"/>
      <c r="AY610" s="645"/>
      <c r="AZ610" s="602"/>
      <c r="BA610" s="516">
        <v>0</v>
      </c>
      <c r="BB610" s="516">
        <v>0</v>
      </c>
      <c r="BC610" s="516">
        <v>0</v>
      </c>
      <c r="BD610" s="602">
        <v>0</v>
      </c>
      <c r="BE610" s="516">
        <v>0</v>
      </c>
      <c r="BF610" s="516">
        <v>0</v>
      </c>
      <c r="BG610" s="516">
        <v>0</v>
      </c>
      <c r="BH610" s="602">
        <v>0</v>
      </c>
      <c r="BI610" s="516">
        <v>0</v>
      </c>
      <c r="BJ610" s="516">
        <v>0</v>
      </c>
      <c r="BK610" s="516">
        <v>0</v>
      </c>
      <c r="BL610" s="602">
        <v>0</v>
      </c>
      <c r="BM610" s="516">
        <v>0</v>
      </c>
      <c r="BN610" s="516">
        <v>0</v>
      </c>
      <c r="BO610" s="516">
        <v>0</v>
      </c>
      <c r="BP610" s="602">
        <v>0</v>
      </c>
      <c r="BQ610" s="516">
        <v>0</v>
      </c>
      <c r="BR610" s="516">
        <v>0</v>
      </c>
      <c r="BS610" s="516">
        <v>0</v>
      </c>
      <c r="BT610" s="602">
        <v>0</v>
      </c>
      <c r="BU610" s="516">
        <v>0</v>
      </c>
      <c r="BV610" s="516">
        <v>0</v>
      </c>
      <c r="BW610" s="516">
        <v>0</v>
      </c>
      <c r="BX610" s="602">
        <v>0</v>
      </c>
      <c r="BY610" s="516">
        <v>0</v>
      </c>
      <c r="BZ610" s="516">
        <v>0</v>
      </c>
      <c r="CA610" s="516">
        <v>0</v>
      </c>
      <c r="CB610" s="602">
        <v>0</v>
      </c>
      <c r="CC610" s="517">
        <f>CB610</f>
        <v>0</v>
      </c>
      <c r="CD610" s="517">
        <f>+CC610</f>
        <v>0</v>
      </c>
      <c r="CE610" s="517">
        <f>+CD610</f>
        <v>0</v>
      </c>
      <c r="CF610" s="601">
        <f>+CE610</f>
        <v>0</v>
      </c>
      <c r="CG610" s="552"/>
      <c r="CH610" s="553"/>
      <c r="CI610" s="551"/>
      <c r="CJ610" s="516"/>
      <c r="CK610" s="516"/>
      <c r="CL610" s="516"/>
      <c r="CM610" s="516"/>
      <c r="CN610" s="516"/>
      <c r="CO610" s="516"/>
      <c r="CP610" s="645"/>
      <c r="CQ610" s="516">
        <v>0</v>
      </c>
      <c r="CR610" s="516">
        <v>0</v>
      </c>
      <c r="CS610" s="517">
        <f>+BH610</f>
        <v>0</v>
      </c>
      <c r="CT610" s="517">
        <f>+BL610</f>
        <v>0</v>
      </c>
      <c r="CU610" s="517">
        <f>BP610</f>
        <v>0</v>
      </c>
      <c r="CV610" s="517">
        <f>BT610</f>
        <v>0</v>
      </c>
      <c r="CW610" s="517">
        <f>BX610</f>
        <v>0</v>
      </c>
      <c r="CX610" s="517">
        <f>CB610</f>
        <v>0</v>
      </c>
      <c r="CY610" s="517">
        <f>CF610</f>
        <v>0</v>
      </c>
      <c r="CZ610" s="517">
        <f t="shared" ref="CZ610:DF610" si="1131">+CY610</f>
        <v>0</v>
      </c>
      <c r="DA610" s="517">
        <f t="shared" si="1131"/>
        <v>0</v>
      </c>
      <c r="DB610" s="517">
        <f t="shared" si="1131"/>
        <v>0</v>
      </c>
      <c r="DC610" s="517">
        <f t="shared" si="1131"/>
        <v>0</v>
      </c>
      <c r="DD610" s="517">
        <f t="shared" si="1131"/>
        <v>0</v>
      </c>
      <c r="DE610" s="517">
        <f t="shared" si="1131"/>
        <v>0</v>
      </c>
      <c r="DF610" s="601">
        <f t="shared" si="1131"/>
        <v>0</v>
      </c>
      <c r="DG610" s="612"/>
      <c r="DH610" s="612"/>
    </row>
    <row r="611" spans="1:112" s="554" customFormat="1" ht="11.25" customHeight="1">
      <c r="A611" s="547"/>
      <c r="B611"/>
      <c r="C611"/>
      <c r="D611"/>
      <c r="E611"/>
      <c r="F611"/>
      <c r="G611"/>
      <c r="H611" s="1044"/>
      <c r="I611" s="646" t="s">
        <v>68</v>
      </c>
      <c r="J611" s="647"/>
      <c r="K611" s="647"/>
      <c r="L611" s="560"/>
      <c r="M611" s="561"/>
      <c r="N611" s="561"/>
      <c r="O611" s="561"/>
      <c r="P611" s="562"/>
      <c r="Q611" s="561"/>
      <c r="R611" s="561"/>
      <c r="S611" s="561"/>
      <c r="T611" s="562"/>
      <c r="U611" s="511"/>
      <c r="V611" s="511"/>
      <c r="W611" s="511"/>
      <c r="X611" s="648"/>
      <c r="Y611" s="511"/>
      <c r="Z611" s="511"/>
      <c r="AA611" s="511"/>
      <c r="AB611" s="648"/>
      <c r="AC611" s="511"/>
      <c r="AD611" s="511"/>
      <c r="AE611" s="511"/>
      <c r="AF611" s="648"/>
      <c r="AG611" s="511"/>
      <c r="AH611" s="511"/>
      <c r="AI611" s="511"/>
      <c r="AJ611" s="648"/>
      <c r="AK611" s="511"/>
      <c r="AL611" s="511"/>
      <c r="AM611" s="511"/>
      <c r="AN611" s="648"/>
      <c r="AO611" s="511"/>
      <c r="AP611" s="511"/>
      <c r="AQ611" s="511"/>
      <c r="AR611" s="648"/>
      <c r="AS611" s="511"/>
      <c r="AT611" s="511"/>
      <c r="AU611" s="511"/>
      <c r="AV611" s="648"/>
      <c r="AW611" s="649"/>
      <c r="AX611" s="649"/>
      <c r="AY611" s="649"/>
      <c r="AZ611" s="648"/>
      <c r="BA611" s="511">
        <v>481.64400000000001</v>
      </c>
      <c r="BB611" s="511">
        <v>486.77800000000002</v>
      </c>
      <c r="BC611" s="511">
        <v>492.16899999999998</v>
      </c>
      <c r="BD611" s="648">
        <v>497.64</v>
      </c>
      <c r="BE611" s="511">
        <v>503.19200000000001</v>
      </c>
      <c r="BF611" s="511">
        <v>508.82600000000002</v>
      </c>
      <c r="BG611" s="511">
        <v>514.54200000000003</v>
      </c>
      <c r="BH611" s="648">
        <v>520.34400000000005</v>
      </c>
      <c r="BI611" s="511">
        <v>526.23099999999999</v>
      </c>
      <c r="BJ611" s="511">
        <v>532.20600000000002</v>
      </c>
      <c r="BK611" s="511">
        <v>538.26599999999996</v>
      </c>
      <c r="BL611" s="648">
        <v>151.93100000000001</v>
      </c>
      <c r="BM611" s="511">
        <v>97.706999999999994</v>
      </c>
      <c r="BN611" s="511">
        <v>41.316000000000003</v>
      </c>
      <c r="BO611" s="511">
        <v>37.780999999999999</v>
      </c>
      <c r="BP611" s="648">
        <v>37.195</v>
      </c>
      <c r="BQ611" s="511">
        <v>0</v>
      </c>
      <c r="BR611" s="511">
        <v>0</v>
      </c>
      <c r="BS611" s="511">
        <v>0</v>
      </c>
      <c r="BT611" s="648">
        <v>0</v>
      </c>
      <c r="BU611" s="511">
        <v>0</v>
      </c>
      <c r="BV611" s="511">
        <v>0</v>
      </c>
      <c r="BW611" s="511">
        <v>960.98400000000004</v>
      </c>
      <c r="BX611" s="648">
        <v>967.73400000000004</v>
      </c>
      <c r="BY611" s="511">
        <v>974.53800000000001</v>
      </c>
      <c r="BZ611" s="511">
        <v>899.48400000000004</v>
      </c>
      <c r="CA611" s="511">
        <v>899.80200000000002</v>
      </c>
      <c r="CB611" s="648">
        <v>710.91</v>
      </c>
      <c r="CC611" s="512">
        <f>CB611</f>
        <v>710.91</v>
      </c>
      <c r="CD611" s="512">
        <f>CC611</f>
        <v>710.91</v>
      </c>
      <c r="CE611" s="512">
        <f>CD611</f>
        <v>710.91</v>
      </c>
      <c r="CF611" s="513">
        <f>CE611</f>
        <v>710.91</v>
      </c>
      <c r="CG611" s="552"/>
      <c r="CH611" s="567"/>
      <c r="CI611" s="561"/>
      <c r="CJ611" s="511"/>
      <c r="CK611" s="511"/>
      <c r="CL611" s="511"/>
      <c r="CM611" s="511"/>
      <c r="CN611" s="511"/>
      <c r="CO611" s="511"/>
      <c r="CP611" s="649"/>
      <c r="CQ611" s="511">
        <v>0.17499999999999999</v>
      </c>
      <c r="CR611" s="511">
        <v>497.64</v>
      </c>
      <c r="CS611" s="512">
        <f>+BH611</f>
        <v>520.34400000000005</v>
      </c>
      <c r="CT611" s="512">
        <f>+BL611</f>
        <v>151.93100000000001</v>
      </c>
      <c r="CU611" s="512">
        <f>BP611</f>
        <v>37.195</v>
      </c>
      <c r="CV611" s="512">
        <f>BT611</f>
        <v>0</v>
      </c>
      <c r="CW611" s="512">
        <f>BX611</f>
        <v>967.73400000000004</v>
      </c>
      <c r="CX611" s="512">
        <f>CB611</f>
        <v>710.91</v>
      </c>
      <c r="CY611" s="512">
        <f>CF611</f>
        <v>710.91</v>
      </c>
      <c r="CZ611" s="512">
        <f t="shared" ref="CZ611:DF611" si="1132">CY611</f>
        <v>710.91</v>
      </c>
      <c r="DA611" s="512">
        <f t="shared" si="1132"/>
        <v>710.91</v>
      </c>
      <c r="DB611" s="512">
        <f t="shared" si="1132"/>
        <v>710.91</v>
      </c>
      <c r="DC611" s="512">
        <f t="shared" si="1132"/>
        <v>710.91</v>
      </c>
      <c r="DD611" s="512">
        <f t="shared" si="1132"/>
        <v>710.91</v>
      </c>
      <c r="DE611" s="512">
        <f t="shared" si="1132"/>
        <v>710.91</v>
      </c>
      <c r="DF611" s="513">
        <f t="shared" si="1132"/>
        <v>710.91</v>
      </c>
      <c r="DG611" s="612"/>
      <c r="DH611" s="612"/>
    </row>
    <row r="612" spans="1:112" s="584" customFormat="1" ht="11.25" customHeight="1">
      <c r="A612" s="542"/>
      <c r="B612"/>
      <c r="C612"/>
      <c r="D612"/>
      <c r="E612"/>
      <c r="F612"/>
      <c r="G612"/>
      <c r="H612" s="1052"/>
      <c r="I612" s="653" t="s">
        <v>69</v>
      </c>
      <c r="J612" s="654"/>
      <c r="K612" s="654"/>
      <c r="L612" s="542"/>
      <c r="M612" s="581"/>
      <c r="N612" s="581"/>
      <c r="O612" s="581"/>
      <c r="P612" s="582"/>
      <c r="Q612" s="581"/>
      <c r="R612" s="581"/>
      <c r="S612" s="581"/>
      <c r="T612" s="582"/>
      <c r="U612" s="600"/>
      <c r="V612" s="600"/>
      <c r="W612" s="600"/>
      <c r="X612" s="599"/>
      <c r="Y612" s="600"/>
      <c r="Z612" s="600"/>
      <c r="AA612" s="600"/>
      <c r="AB612" s="599"/>
      <c r="AC612" s="600"/>
      <c r="AD612" s="600"/>
      <c r="AE612" s="600"/>
      <c r="AF612" s="599"/>
      <c r="AG612" s="600"/>
      <c r="AH612" s="600"/>
      <c r="AI612" s="600"/>
      <c r="AJ612" s="599"/>
      <c r="AK612" s="600"/>
      <c r="AL612" s="600"/>
      <c r="AM612" s="600"/>
      <c r="AN612" s="599"/>
      <c r="AO612" s="600"/>
      <c r="AP612" s="600"/>
      <c r="AQ612" s="600"/>
      <c r="AR612" s="599"/>
      <c r="AS612" s="600"/>
      <c r="AT612" s="600"/>
      <c r="AU612" s="600"/>
      <c r="AV612" s="599"/>
      <c r="AW612" s="642"/>
      <c r="AX612" s="642"/>
      <c r="AY612" s="642"/>
      <c r="AZ612" s="599"/>
      <c r="BA612" s="514">
        <f t="shared" ref="BA612:BL612" si="1133">+BA607+BA608+BA609+BA610+BA611</f>
        <v>1086.6959999999999</v>
      </c>
      <c r="BB612" s="514">
        <f t="shared" si="1133"/>
        <v>1126.193</v>
      </c>
      <c r="BC612" s="514">
        <f t="shared" si="1133"/>
        <v>1181.261</v>
      </c>
      <c r="BD612" s="515">
        <f t="shared" si="1133"/>
        <v>1105.798</v>
      </c>
      <c r="BE612" s="514">
        <f t="shared" si="1133"/>
        <v>1290.229</v>
      </c>
      <c r="BF612" s="514">
        <f t="shared" si="1133"/>
        <v>1366.635</v>
      </c>
      <c r="BG612" s="514">
        <f t="shared" si="1133"/>
        <v>1475.3400000000001</v>
      </c>
      <c r="BH612" s="515">
        <f t="shared" si="1133"/>
        <v>1461.7260000000001</v>
      </c>
      <c r="BI612" s="514">
        <f t="shared" si="1133"/>
        <v>1605.3389999999999</v>
      </c>
      <c r="BJ612" s="514">
        <f t="shared" si="1133"/>
        <v>1771.4369999999999</v>
      </c>
      <c r="BK612" s="514">
        <f t="shared" si="1133"/>
        <v>1825.8440000000001</v>
      </c>
      <c r="BL612" s="515">
        <f t="shared" si="1133"/>
        <v>1381.7450000000001</v>
      </c>
      <c r="BM612" s="514">
        <f t="shared" ref="BM612:CF612" si="1134">+BM611+BM610+BM609+BM608+BM607</f>
        <v>1430.989</v>
      </c>
      <c r="BN612" s="514">
        <f t="shared" si="1134"/>
        <v>1507.2450000000001</v>
      </c>
      <c r="BO612" s="514">
        <f t="shared" si="1134"/>
        <v>1589.145</v>
      </c>
      <c r="BP612" s="515">
        <f>+BP607+BP608+BP609+BP610+BP611</f>
        <v>1379.991</v>
      </c>
      <c r="BQ612" s="514">
        <f t="shared" si="1134"/>
        <v>1703.2339999999999</v>
      </c>
      <c r="BR612" s="514">
        <f t="shared" si="1134"/>
        <v>1931.134</v>
      </c>
      <c r="BS612" s="514">
        <f t="shared" si="1134"/>
        <v>1582.807</v>
      </c>
      <c r="BT612" s="515">
        <f>+BT607+BT608+BT609+BT610+BT611</f>
        <v>1439.31</v>
      </c>
      <c r="BU612" s="514">
        <f t="shared" si="1134"/>
        <v>1987.5740000000001</v>
      </c>
      <c r="BV612" s="514">
        <f t="shared" si="1134"/>
        <v>2209.6509999999998</v>
      </c>
      <c r="BW612" s="514">
        <f t="shared" si="1134"/>
        <v>2905.9760000000001</v>
      </c>
      <c r="BX612" s="515">
        <f t="shared" si="1134"/>
        <v>2858.67</v>
      </c>
      <c r="BY612" s="514">
        <f t="shared" si="1134"/>
        <v>3248.1989999999996</v>
      </c>
      <c r="BZ612" s="514">
        <f t="shared" si="1134"/>
        <v>3756.9549999999999</v>
      </c>
      <c r="CA612" s="514">
        <f t="shared" si="1134"/>
        <v>3624.2749999999996</v>
      </c>
      <c r="CB612" s="515">
        <f t="shared" si="1134"/>
        <v>3497.8680000000004</v>
      </c>
      <c r="CC612" s="514">
        <f t="shared" si="1134"/>
        <v>3320.4728744030349</v>
      </c>
      <c r="CD612" s="514">
        <f t="shared" si="1134"/>
        <v>4005.7744024350736</v>
      </c>
      <c r="CE612" s="514">
        <f t="shared" si="1134"/>
        <v>3728.8399525261798</v>
      </c>
      <c r="CF612" s="515">
        <f t="shared" si="1134"/>
        <v>4030.2707607583252</v>
      </c>
      <c r="CG612" s="582"/>
      <c r="CH612" s="583"/>
      <c r="CI612" s="581"/>
      <c r="CJ612" s="600"/>
      <c r="CK612" s="600"/>
      <c r="CL612" s="600"/>
      <c r="CM612" s="600"/>
      <c r="CN612" s="600"/>
      <c r="CO612" s="600"/>
      <c r="CP612" s="642"/>
      <c r="CQ612" s="514">
        <f t="shared" ref="CQ612:CZ612" si="1135">+CQ611+CQ610+CQ609+CQ608+CQ607</f>
        <v>471.16800000000001</v>
      </c>
      <c r="CR612" s="514">
        <f t="shared" si="1135"/>
        <v>1105.798</v>
      </c>
      <c r="CS612" s="514">
        <f t="shared" si="1135"/>
        <v>1461.7259999999999</v>
      </c>
      <c r="CT612" s="514">
        <f t="shared" si="1135"/>
        <v>1381.7450000000001</v>
      </c>
      <c r="CU612" s="514">
        <f t="shared" si="1135"/>
        <v>1379.991</v>
      </c>
      <c r="CV612" s="514">
        <f t="shared" si="1135"/>
        <v>1439.31</v>
      </c>
      <c r="CW612" s="514">
        <f t="shared" si="1135"/>
        <v>2858.67</v>
      </c>
      <c r="CX612" s="514">
        <f t="shared" si="1135"/>
        <v>3497.8680000000004</v>
      </c>
      <c r="CY612" s="514">
        <f t="shared" si="1135"/>
        <v>4030.2707607583252</v>
      </c>
      <c r="CZ612" s="514">
        <f t="shared" si="1135"/>
        <v>4396.6310686862289</v>
      </c>
      <c r="DA612" s="514">
        <f t="shared" ref="DA612:DF612" si="1136">+DA611+DA610+DA609+DA608+DA607</f>
        <v>4769.8749567784262</v>
      </c>
      <c r="DB612" s="514">
        <f t="shared" si="1136"/>
        <v>5124.5936742930089</v>
      </c>
      <c r="DC612" s="514">
        <f t="shared" si="1136"/>
        <v>5445.119160648941</v>
      </c>
      <c r="DD612" s="514">
        <f t="shared" si="1136"/>
        <v>5760.4253574999211</v>
      </c>
      <c r="DE612" s="514">
        <f t="shared" si="1136"/>
        <v>6071.7677182765883</v>
      </c>
      <c r="DF612" s="515">
        <f t="shared" si="1136"/>
        <v>6410.939234462161</v>
      </c>
      <c r="DG612" s="632"/>
      <c r="DH612" s="632"/>
    </row>
    <row r="613" spans="1:112" s="26" customFormat="1" ht="11.25" customHeight="1">
      <c r="A613" s="24"/>
      <c r="B613"/>
      <c r="C613"/>
      <c r="D613"/>
      <c r="E613"/>
      <c r="F613"/>
      <c r="G613"/>
      <c r="H613" s="1044"/>
      <c r="I613" s="220"/>
      <c r="J613" s="111"/>
      <c r="K613" s="111"/>
      <c r="L613" s="24"/>
      <c r="M613" s="315"/>
      <c r="N613" s="315"/>
      <c r="O613" s="315"/>
      <c r="P613" s="316"/>
      <c r="Q613" s="315"/>
      <c r="R613" s="315"/>
      <c r="S613" s="315"/>
      <c r="T613" s="316"/>
      <c r="U613" s="317"/>
      <c r="V613" s="317"/>
      <c r="W613" s="317"/>
      <c r="X613" s="318"/>
      <c r="Y613" s="317"/>
      <c r="Z613" s="317"/>
      <c r="AA613" s="317"/>
      <c r="AB613" s="318"/>
      <c r="AC613" s="317"/>
      <c r="AD613" s="317"/>
      <c r="AE613" s="317"/>
      <c r="AF613" s="318"/>
      <c r="AG613" s="317"/>
      <c r="AH613" s="317"/>
      <c r="AI613" s="317"/>
      <c r="AJ613" s="318"/>
      <c r="AK613" s="317"/>
      <c r="AL613" s="317"/>
      <c r="AM613" s="317"/>
      <c r="AN613" s="318"/>
      <c r="AO613" s="317"/>
      <c r="AP613" s="317"/>
      <c r="AQ613" s="317"/>
      <c r="AR613" s="318"/>
      <c r="AS613" s="317"/>
      <c r="AT613" s="317"/>
      <c r="AU613" s="317"/>
      <c r="AV613" s="318"/>
      <c r="AW613" s="319"/>
      <c r="AX613" s="319"/>
      <c r="AY613" s="319"/>
      <c r="AZ613" s="318"/>
      <c r="BA613" s="317"/>
      <c r="BB613" s="317"/>
      <c r="BC613" s="317"/>
      <c r="BD613" s="318"/>
      <c r="BE613" s="317"/>
      <c r="BF613" s="317"/>
      <c r="BG613" s="317"/>
      <c r="BH613" s="318"/>
      <c r="BI613" s="317"/>
      <c r="BJ613" s="317"/>
      <c r="BK613" s="317"/>
      <c r="BL613" s="318"/>
      <c r="BM613" s="494"/>
      <c r="BN613" s="494"/>
      <c r="BO613" s="494"/>
      <c r="BP613" s="318"/>
      <c r="BQ613" s="774"/>
      <c r="BR613" s="494"/>
      <c r="BS613" s="494"/>
      <c r="BT613" s="318"/>
      <c r="BU613" s="774"/>
      <c r="BV613" s="494"/>
      <c r="BW613" s="494"/>
      <c r="BX613" s="318"/>
      <c r="BY613" s="774"/>
      <c r="BZ613" s="494"/>
      <c r="CA613" s="494"/>
      <c r="CB613" s="318"/>
      <c r="CC613" s="494"/>
      <c r="CD613" s="494"/>
      <c r="CE613" s="494"/>
      <c r="CF613" s="497"/>
      <c r="CG613" s="316"/>
      <c r="CH613" s="320"/>
      <c r="CI613" s="315"/>
      <c r="CJ613" s="317"/>
      <c r="CK613" s="317"/>
      <c r="CL613" s="317"/>
      <c r="CM613" s="317"/>
      <c r="CN613" s="317"/>
      <c r="CO613" s="317"/>
      <c r="CP613" s="319"/>
      <c r="CQ613" s="317"/>
      <c r="CR613" s="317"/>
      <c r="CS613" s="317"/>
      <c r="CT613" s="317"/>
      <c r="CU613" s="317"/>
      <c r="CV613" s="317"/>
      <c r="CW613" s="317"/>
      <c r="CX613" s="317"/>
      <c r="CY613" s="317"/>
      <c r="CZ613" s="494"/>
      <c r="DA613" s="494"/>
      <c r="DB613" s="494"/>
      <c r="DC613" s="494"/>
      <c r="DD613" s="494"/>
      <c r="DE613" s="494"/>
      <c r="DF613" s="497"/>
      <c r="DG613" s="94"/>
      <c r="DH613" s="94"/>
    </row>
    <row r="614" spans="1:112" s="554" customFormat="1" ht="11.25" customHeight="1">
      <c r="A614" s="547"/>
      <c r="B614"/>
      <c r="C614"/>
      <c r="D614"/>
      <c r="E614"/>
      <c r="F614"/>
      <c r="G614"/>
      <c r="H614" s="1044"/>
      <c r="I614" s="643" t="s">
        <v>70</v>
      </c>
      <c r="J614" s="644"/>
      <c r="K614" s="644"/>
      <c r="L614" s="547"/>
      <c r="M614" s="551"/>
      <c r="N614" s="551"/>
      <c r="O614" s="551"/>
      <c r="P614" s="552"/>
      <c r="Q614" s="551"/>
      <c r="R614" s="551"/>
      <c r="S614" s="551"/>
      <c r="T614" s="552"/>
      <c r="U614" s="516"/>
      <c r="V614" s="516"/>
      <c r="W614" s="516"/>
      <c r="X614" s="602"/>
      <c r="Y614" s="516"/>
      <c r="Z614" s="516"/>
      <c r="AA614" s="516"/>
      <c r="AB614" s="602"/>
      <c r="AC614" s="516"/>
      <c r="AD614" s="516"/>
      <c r="AE614" s="516"/>
      <c r="AF614" s="602"/>
      <c r="AG614" s="516"/>
      <c r="AH614" s="516"/>
      <c r="AI614" s="516"/>
      <c r="AJ614" s="602"/>
      <c r="AK614" s="516"/>
      <c r="AL614" s="516"/>
      <c r="AM614" s="516"/>
      <c r="AN614" s="602"/>
      <c r="AO614" s="516"/>
      <c r="AP614" s="516"/>
      <c r="AQ614" s="516"/>
      <c r="AR614" s="602"/>
      <c r="AS614" s="516"/>
      <c r="AT614" s="516"/>
      <c r="AU614" s="516"/>
      <c r="AV614" s="602"/>
      <c r="AW614" s="645"/>
      <c r="AX614" s="645"/>
      <c r="AY614" s="645"/>
      <c r="AZ614" s="602"/>
      <c r="BA614" s="516">
        <v>55.938000000000002</v>
      </c>
      <c r="BB614" s="516">
        <v>54.679000000000002</v>
      </c>
      <c r="BC614" s="516">
        <v>47.448</v>
      </c>
      <c r="BD614" s="602">
        <v>46.99</v>
      </c>
      <c r="BE614" s="516">
        <v>45.72</v>
      </c>
      <c r="BF614" s="516">
        <v>45.237000000000002</v>
      </c>
      <c r="BG614" s="516">
        <v>46.305</v>
      </c>
      <c r="BH614" s="602">
        <v>45.158999999999999</v>
      </c>
      <c r="BI614" s="516">
        <v>41.473999999999997</v>
      </c>
      <c r="BJ614" s="516">
        <v>387.29599999999999</v>
      </c>
      <c r="BK614" s="516">
        <v>371.49799999999999</v>
      </c>
      <c r="BL614" s="602">
        <v>326.42500000000001</v>
      </c>
      <c r="BM614" s="516">
        <v>334.63099999999997</v>
      </c>
      <c r="BN614" s="516">
        <v>396.48899999999998</v>
      </c>
      <c r="BO614" s="516">
        <v>866.16700000000003</v>
      </c>
      <c r="BP614" s="602">
        <v>1040.26</v>
      </c>
      <c r="BQ614" s="516">
        <v>1072.038</v>
      </c>
      <c r="BR614" s="516">
        <v>991.88199999999995</v>
      </c>
      <c r="BS614" s="516">
        <v>952.38800000000003</v>
      </c>
      <c r="BT614" s="602">
        <v>892.57600000000002</v>
      </c>
      <c r="BU614" s="516">
        <v>830.16099999999994</v>
      </c>
      <c r="BV614" s="516">
        <v>803.93499999999995</v>
      </c>
      <c r="BW614" s="516">
        <v>802.43299999999999</v>
      </c>
      <c r="BX614" s="602">
        <v>822.33399999999995</v>
      </c>
      <c r="BY614" s="516">
        <v>497.84699999999998</v>
      </c>
      <c r="BZ614" s="516">
        <v>397.44900000000001</v>
      </c>
      <c r="CA614" s="516">
        <v>407.935</v>
      </c>
      <c r="CB614" s="602">
        <v>481.13900000000001</v>
      </c>
      <c r="CC614" s="517">
        <f t="shared" ref="CC614:CF615" si="1137">CB614</f>
        <v>481.13900000000001</v>
      </c>
      <c r="CD614" s="517">
        <f t="shared" si="1137"/>
        <v>481.13900000000001</v>
      </c>
      <c r="CE614" s="517">
        <f t="shared" si="1137"/>
        <v>481.13900000000001</v>
      </c>
      <c r="CF614" s="601">
        <f t="shared" si="1137"/>
        <v>481.13900000000001</v>
      </c>
      <c r="CG614" s="552"/>
      <c r="CH614" s="553"/>
      <c r="CI614" s="551"/>
      <c r="CJ614" s="516"/>
      <c r="CK614" s="516"/>
      <c r="CL614" s="516"/>
      <c r="CM614" s="516"/>
      <c r="CN614" s="516"/>
      <c r="CO614" s="516"/>
      <c r="CP614" s="645"/>
      <c r="CQ614" s="516">
        <v>56.44</v>
      </c>
      <c r="CR614" s="516">
        <v>46.99</v>
      </c>
      <c r="CS614" s="517">
        <f>+BH614</f>
        <v>45.158999999999999</v>
      </c>
      <c r="CT614" s="517">
        <f>+BL614</f>
        <v>326.42500000000001</v>
      </c>
      <c r="CU614" s="517">
        <f>BP614</f>
        <v>1040.26</v>
      </c>
      <c r="CV614" s="517">
        <f>BT614</f>
        <v>892.57600000000002</v>
      </c>
      <c r="CW614" s="517">
        <f>BX614</f>
        <v>822.33399999999995</v>
      </c>
      <c r="CX614" s="517">
        <f>CB614</f>
        <v>481.13900000000001</v>
      </c>
      <c r="CY614" s="517">
        <f>CF614</f>
        <v>481.13900000000001</v>
      </c>
      <c r="CZ614" s="517">
        <f t="shared" ref="CZ614:DF615" si="1138">CY614</f>
        <v>481.13900000000001</v>
      </c>
      <c r="DA614" s="517">
        <f t="shared" si="1138"/>
        <v>481.13900000000001</v>
      </c>
      <c r="DB614" s="517">
        <f t="shared" si="1138"/>
        <v>481.13900000000001</v>
      </c>
      <c r="DC614" s="517">
        <f t="shared" si="1138"/>
        <v>481.13900000000001</v>
      </c>
      <c r="DD614" s="517">
        <f t="shared" si="1138"/>
        <v>481.13900000000001</v>
      </c>
      <c r="DE614" s="517">
        <f t="shared" si="1138"/>
        <v>481.13900000000001</v>
      </c>
      <c r="DF614" s="601">
        <f t="shared" si="1138"/>
        <v>481.13900000000001</v>
      </c>
      <c r="DG614" s="612"/>
      <c r="DH614" s="612"/>
    </row>
    <row r="615" spans="1:112" s="554" customFormat="1" ht="11.25" customHeight="1">
      <c r="A615" s="547"/>
      <c r="B615"/>
      <c r="C615"/>
      <c r="D615"/>
      <c r="E615"/>
      <c r="F615"/>
      <c r="G615"/>
      <c r="H615" s="1044"/>
      <c r="I615" s="643" t="s">
        <v>71</v>
      </c>
      <c r="J615" s="644"/>
      <c r="K615" s="644"/>
      <c r="L615" s="547"/>
      <c r="M615" s="551"/>
      <c r="N615" s="551"/>
      <c r="O615" s="551"/>
      <c r="P615" s="552"/>
      <c r="Q615" s="551"/>
      <c r="R615" s="551"/>
      <c r="S615" s="551"/>
      <c r="T615" s="552"/>
      <c r="U615" s="516"/>
      <c r="V615" s="516"/>
      <c r="W615" s="516"/>
      <c r="X615" s="602"/>
      <c r="Y615" s="516"/>
      <c r="Z615" s="516"/>
      <c r="AA615" s="516"/>
      <c r="AB615" s="602"/>
      <c r="AC615" s="516"/>
      <c r="AD615" s="516"/>
      <c r="AE615" s="516"/>
      <c r="AF615" s="602"/>
      <c r="AG615" s="516"/>
      <c r="AH615" s="516"/>
      <c r="AI615" s="516"/>
      <c r="AJ615" s="602"/>
      <c r="AK615" s="516"/>
      <c r="AL615" s="516"/>
      <c r="AM615" s="516"/>
      <c r="AN615" s="602"/>
      <c r="AO615" s="516"/>
      <c r="AP615" s="516"/>
      <c r="AQ615" s="516"/>
      <c r="AR615" s="602"/>
      <c r="AS615" s="516"/>
      <c r="AT615" s="516"/>
      <c r="AU615" s="516"/>
      <c r="AV615" s="602"/>
      <c r="AW615" s="645"/>
      <c r="AX615" s="645"/>
      <c r="AY615" s="645"/>
      <c r="AZ615" s="602"/>
      <c r="BA615" s="516">
        <v>47.209000000000003</v>
      </c>
      <c r="BB615" s="516">
        <v>33.857999999999997</v>
      </c>
      <c r="BC615" s="516">
        <v>37.119</v>
      </c>
      <c r="BD615" s="602">
        <v>39.183</v>
      </c>
      <c r="BE615" s="516">
        <v>43.526000000000003</v>
      </c>
      <c r="BF615" s="516">
        <v>41.122</v>
      </c>
      <c r="BG615" s="516">
        <v>47.813000000000002</v>
      </c>
      <c r="BH615" s="602">
        <v>68.944000000000003</v>
      </c>
      <c r="BI615" s="516">
        <v>90.588999999999999</v>
      </c>
      <c r="BJ615" s="516">
        <v>88.087999999999994</v>
      </c>
      <c r="BK615" s="516">
        <v>83.933999999999997</v>
      </c>
      <c r="BL615" s="602">
        <v>75.980999999999995</v>
      </c>
      <c r="BM615" s="516">
        <v>81.177000000000007</v>
      </c>
      <c r="BN615" s="516">
        <v>106.858</v>
      </c>
      <c r="BO615" s="516">
        <v>107.938</v>
      </c>
      <c r="BP615" s="602">
        <v>103.533</v>
      </c>
      <c r="BQ615" s="516">
        <v>132.98699999999999</v>
      </c>
      <c r="BR615" s="516">
        <v>146.399</v>
      </c>
      <c r="BS615" s="516">
        <v>131.47399999999999</v>
      </c>
      <c r="BT615" s="602">
        <v>134.77699999999999</v>
      </c>
      <c r="BU615" s="516">
        <v>143.24199999999999</v>
      </c>
      <c r="BV615" s="516">
        <v>143.67400000000001</v>
      </c>
      <c r="BW615" s="516">
        <v>141.096</v>
      </c>
      <c r="BX615" s="602">
        <v>138.767</v>
      </c>
      <c r="BY615" s="516">
        <v>128.56399999999999</v>
      </c>
      <c r="BZ615" s="516">
        <v>134.53700000000001</v>
      </c>
      <c r="CA615" s="516">
        <v>143.827</v>
      </c>
      <c r="CB615" s="602">
        <f>148.061+1250.846</f>
        <v>1398.9069999999999</v>
      </c>
      <c r="CC615" s="517">
        <f t="shared" si="1137"/>
        <v>1398.9069999999999</v>
      </c>
      <c r="CD615" s="517">
        <f t="shared" si="1137"/>
        <v>1398.9069999999999</v>
      </c>
      <c r="CE615" s="517">
        <f t="shared" si="1137"/>
        <v>1398.9069999999999</v>
      </c>
      <c r="CF615" s="601">
        <f t="shared" si="1137"/>
        <v>1398.9069999999999</v>
      </c>
      <c r="CG615" s="552"/>
      <c r="CH615" s="553"/>
      <c r="CI615" s="551"/>
      <c r="CJ615" s="516"/>
      <c r="CK615" s="516"/>
      <c r="CL615" s="516"/>
      <c r="CM615" s="516"/>
      <c r="CN615" s="516"/>
      <c r="CO615" s="516"/>
      <c r="CP615" s="645"/>
      <c r="CQ615" s="516">
        <v>42.99</v>
      </c>
      <c r="CR615" s="516">
        <v>39.183</v>
      </c>
      <c r="CS615" s="517">
        <f>+BH615</f>
        <v>68.944000000000003</v>
      </c>
      <c r="CT615" s="517">
        <f>+BL615</f>
        <v>75.980999999999995</v>
      </c>
      <c r="CU615" s="517">
        <f>BP615</f>
        <v>103.533</v>
      </c>
      <c r="CV615" s="517">
        <f>BT615</f>
        <v>134.77699999999999</v>
      </c>
      <c r="CW615" s="517">
        <f>BX615</f>
        <v>138.767</v>
      </c>
      <c r="CX615" s="517">
        <f>CB615</f>
        <v>1398.9069999999999</v>
      </c>
      <c r="CY615" s="517">
        <f>CF615</f>
        <v>1398.9069999999999</v>
      </c>
      <c r="CZ615" s="517">
        <f t="shared" si="1138"/>
        <v>1398.9069999999999</v>
      </c>
      <c r="DA615" s="517">
        <f t="shared" si="1138"/>
        <v>1398.9069999999999</v>
      </c>
      <c r="DB615" s="517">
        <f t="shared" si="1138"/>
        <v>1398.9069999999999</v>
      </c>
      <c r="DC615" s="517">
        <f t="shared" si="1138"/>
        <v>1398.9069999999999</v>
      </c>
      <c r="DD615" s="517">
        <f t="shared" si="1138"/>
        <v>1398.9069999999999</v>
      </c>
      <c r="DE615" s="517">
        <f t="shared" si="1138"/>
        <v>1398.9069999999999</v>
      </c>
      <c r="DF615" s="601">
        <f t="shared" si="1138"/>
        <v>1398.9069999999999</v>
      </c>
      <c r="DG615" s="612"/>
      <c r="DH615" s="612"/>
    </row>
    <row r="616" spans="1:112" s="554" customFormat="1" ht="11.25" customHeight="1">
      <c r="A616" s="547"/>
      <c r="B616"/>
      <c r="C616"/>
      <c r="D616"/>
      <c r="E616"/>
      <c r="F616"/>
      <c r="G616"/>
      <c r="H616" s="1044"/>
      <c r="I616" s="646" t="s">
        <v>600</v>
      </c>
      <c r="J616" s="647"/>
      <c r="K616" s="647"/>
      <c r="L616" s="560"/>
      <c r="M616" s="561"/>
      <c r="N616" s="561"/>
      <c r="O616" s="561"/>
      <c r="P616" s="562"/>
      <c r="Q616" s="561"/>
      <c r="R616" s="561"/>
      <c r="S616" s="561"/>
      <c r="T616" s="562"/>
      <c r="U616" s="511"/>
      <c r="V616" s="511"/>
      <c r="W616" s="511"/>
      <c r="X616" s="648"/>
      <c r="Y616" s="511"/>
      <c r="Z616" s="511"/>
      <c r="AA616" s="511"/>
      <c r="AB616" s="648"/>
      <c r="AC616" s="511"/>
      <c r="AD616" s="511"/>
      <c r="AE616" s="511"/>
      <c r="AF616" s="648"/>
      <c r="AG616" s="511"/>
      <c r="AH616" s="511"/>
      <c r="AI616" s="511"/>
      <c r="AJ616" s="648"/>
      <c r="AK616" s="511"/>
      <c r="AL616" s="511"/>
      <c r="AM616" s="511"/>
      <c r="AN616" s="648"/>
      <c r="AO616" s="511"/>
      <c r="AP616" s="511"/>
      <c r="AQ616" s="511"/>
      <c r="AR616" s="648"/>
      <c r="AS616" s="511"/>
      <c r="AT616" s="511"/>
      <c r="AU616" s="511"/>
      <c r="AV616" s="648"/>
      <c r="AW616" s="649"/>
      <c r="AX616" s="649"/>
      <c r="AY616" s="649"/>
      <c r="AZ616" s="648"/>
      <c r="BA616" s="511">
        <v>0</v>
      </c>
      <c r="BB616" s="511">
        <v>0</v>
      </c>
      <c r="BC616" s="511">
        <v>0</v>
      </c>
      <c r="BD616" s="648">
        <v>0</v>
      </c>
      <c r="BE616" s="511">
        <v>866.56899999999996</v>
      </c>
      <c r="BF616" s="511">
        <v>871.66700000000003</v>
      </c>
      <c r="BG616" s="511">
        <v>876.80899999999997</v>
      </c>
      <c r="BH616" s="648">
        <v>881.99599999999998</v>
      </c>
      <c r="BI616" s="511">
        <v>887.22900000000004</v>
      </c>
      <c r="BJ616" s="511">
        <v>1720.097</v>
      </c>
      <c r="BK616" s="511">
        <v>1731.027</v>
      </c>
      <c r="BL616" s="648">
        <v>1742.047</v>
      </c>
      <c r="BM616" s="511">
        <v>1753.16</v>
      </c>
      <c r="BN616" s="511">
        <v>1764.364</v>
      </c>
      <c r="BO616" s="511">
        <v>3887.2429999999999</v>
      </c>
      <c r="BP616" s="648">
        <v>3849.7559999999999</v>
      </c>
      <c r="BQ616" s="511">
        <v>5304.1080000000002</v>
      </c>
      <c r="BR616" s="511">
        <v>5399.9660000000003</v>
      </c>
      <c r="BS616" s="511">
        <v>5421.3280000000004</v>
      </c>
      <c r="BT616" s="648">
        <v>6158.4430000000002</v>
      </c>
      <c r="BU616" s="511">
        <v>6321.2020000000002</v>
      </c>
      <c r="BV616" s="511">
        <v>7255.2049999999999</v>
      </c>
      <c r="BW616" s="511">
        <v>6347.2049999999999</v>
      </c>
      <c r="BX616" s="648">
        <v>6170.5219999999999</v>
      </c>
      <c r="BY616" s="511">
        <v>7286.1019999999999</v>
      </c>
      <c r="BZ616" s="511">
        <v>7564.6360000000004</v>
      </c>
      <c r="CA616" s="511">
        <v>8726.6790000000001</v>
      </c>
      <c r="CB616" s="648">
        <v>8809.7880000000005</v>
      </c>
      <c r="CC616" s="512">
        <f>+CB616+CC682+CC684</f>
        <v>7395.7880000000005</v>
      </c>
      <c r="CD616" s="512">
        <f>+CC616+CD682+CD684</f>
        <v>7395.7880000000005</v>
      </c>
      <c r="CE616" s="512">
        <f>+CD616+CE682+CE684</f>
        <v>7395.7880000000005</v>
      </c>
      <c r="CF616" s="513">
        <f>+CE616+CF682+CF684</f>
        <v>7395.7880000000005</v>
      </c>
      <c r="CG616" s="552"/>
      <c r="CH616" s="567"/>
      <c r="CI616" s="561"/>
      <c r="CJ616" s="511"/>
      <c r="CK616" s="511"/>
      <c r="CL616" s="511"/>
      <c r="CM616" s="511"/>
      <c r="CN616" s="511"/>
      <c r="CO616" s="511"/>
      <c r="CP616" s="649"/>
      <c r="CQ616" s="511">
        <v>476.23</v>
      </c>
      <c r="CR616" s="511">
        <v>0</v>
      </c>
      <c r="CS616" s="512">
        <f>+BH616</f>
        <v>881.99599999999998</v>
      </c>
      <c r="CT616" s="512">
        <f>+BL616</f>
        <v>1742.047</v>
      </c>
      <c r="CU616" s="512">
        <f>BP616</f>
        <v>3849.7559999999999</v>
      </c>
      <c r="CV616" s="512">
        <f>BT616</f>
        <v>6158.4430000000002</v>
      </c>
      <c r="CW616" s="512">
        <f>BX616</f>
        <v>6170.5219999999999</v>
      </c>
      <c r="CX616" s="512">
        <f>CB616</f>
        <v>8809.7880000000005</v>
      </c>
      <c r="CY616" s="512">
        <f>CF616</f>
        <v>7395.7880000000005</v>
      </c>
      <c r="CZ616" s="512">
        <f t="shared" ref="CZ616:DF616" si="1139">+CY616+CZ682+CZ684</f>
        <v>7395.7880000000005</v>
      </c>
      <c r="DA616" s="512">
        <f t="shared" si="1139"/>
        <v>6395.7880000000005</v>
      </c>
      <c r="DB616" s="512">
        <f t="shared" si="1139"/>
        <v>5395.7880000000005</v>
      </c>
      <c r="DC616" s="512">
        <f t="shared" si="1139"/>
        <v>4562.1770000000006</v>
      </c>
      <c r="DD616" s="512">
        <f t="shared" si="1139"/>
        <v>4562.1770000000006</v>
      </c>
      <c r="DE616" s="512">
        <f t="shared" si="1139"/>
        <v>3450.6950000000006</v>
      </c>
      <c r="DF616" s="513">
        <f t="shared" si="1139"/>
        <v>2950.6950000000006</v>
      </c>
      <c r="DG616" s="612"/>
      <c r="DH616" s="612"/>
    </row>
    <row r="617" spans="1:112" s="584" customFormat="1" ht="11.25" customHeight="1">
      <c r="A617" s="542"/>
      <c r="B617"/>
      <c r="C617"/>
      <c r="D617"/>
      <c r="E617"/>
      <c r="F617"/>
      <c r="G617"/>
      <c r="H617" s="1052"/>
      <c r="I617" s="650" t="s">
        <v>73</v>
      </c>
      <c r="J617" s="651"/>
      <c r="K617" s="651"/>
      <c r="L617" s="542"/>
      <c r="M617" s="581"/>
      <c r="N617" s="581"/>
      <c r="O617" s="581"/>
      <c r="P617" s="582"/>
      <c r="Q617" s="581"/>
      <c r="R617" s="581"/>
      <c r="S617" s="581"/>
      <c r="T617" s="582"/>
      <c r="U617" s="600"/>
      <c r="V617" s="600"/>
      <c r="W617" s="600"/>
      <c r="X617" s="599"/>
      <c r="Y617" s="600"/>
      <c r="Z617" s="600"/>
      <c r="AA617" s="600"/>
      <c r="AB617" s="599"/>
      <c r="AC617" s="600"/>
      <c r="AD617" s="600"/>
      <c r="AE617" s="600"/>
      <c r="AF617" s="599"/>
      <c r="AG617" s="600"/>
      <c r="AH617" s="600"/>
      <c r="AI617" s="600"/>
      <c r="AJ617" s="599"/>
      <c r="AK617" s="600"/>
      <c r="AL617" s="600"/>
      <c r="AM617" s="600"/>
      <c r="AN617" s="599"/>
      <c r="AO617" s="600"/>
      <c r="AP617" s="600"/>
      <c r="AQ617" s="600"/>
      <c r="AR617" s="599"/>
      <c r="AS617" s="600"/>
      <c r="AT617" s="600"/>
      <c r="AU617" s="600"/>
      <c r="AV617" s="599"/>
      <c r="AW617" s="642"/>
      <c r="AX617" s="642"/>
      <c r="AY617" s="642"/>
      <c r="AZ617" s="599"/>
      <c r="BA617" s="514">
        <f t="shared" ref="BA617:CF617" si="1140">+SUM(BA614:BA616)+BA612</f>
        <v>1189.8429999999998</v>
      </c>
      <c r="BB617" s="514">
        <f t="shared" si="1140"/>
        <v>1214.73</v>
      </c>
      <c r="BC617" s="514">
        <f t="shared" si="1140"/>
        <v>1265.828</v>
      </c>
      <c r="BD617" s="515">
        <f t="shared" si="1140"/>
        <v>1191.971</v>
      </c>
      <c r="BE617" s="514">
        <f t="shared" si="1140"/>
        <v>2246.0439999999999</v>
      </c>
      <c r="BF617" s="514">
        <f t="shared" si="1140"/>
        <v>2324.6610000000001</v>
      </c>
      <c r="BG617" s="514">
        <f t="shared" si="1140"/>
        <v>2446.2669999999998</v>
      </c>
      <c r="BH617" s="515">
        <f t="shared" si="1140"/>
        <v>2457.8249999999998</v>
      </c>
      <c r="BI617" s="514">
        <f t="shared" si="1140"/>
        <v>2624.6309999999999</v>
      </c>
      <c r="BJ617" s="514">
        <f t="shared" si="1140"/>
        <v>3966.9179999999997</v>
      </c>
      <c r="BK617" s="514">
        <f t="shared" si="1140"/>
        <v>4012.3029999999999</v>
      </c>
      <c r="BL617" s="515">
        <f t="shared" si="1140"/>
        <v>3526.1980000000003</v>
      </c>
      <c r="BM617" s="514">
        <f t="shared" si="1140"/>
        <v>3599.9569999999999</v>
      </c>
      <c r="BN617" s="514">
        <f t="shared" si="1140"/>
        <v>3774.9560000000001</v>
      </c>
      <c r="BO617" s="514">
        <f t="shared" si="1140"/>
        <v>6450.4930000000004</v>
      </c>
      <c r="BP617" s="515">
        <f t="shared" si="1140"/>
        <v>6373.54</v>
      </c>
      <c r="BQ617" s="514">
        <f t="shared" si="1140"/>
        <v>8212.3670000000002</v>
      </c>
      <c r="BR617" s="514">
        <f t="shared" si="1140"/>
        <v>8469.3810000000012</v>
      </c>
      <c r="BS617" s="514">
        <f t="shared" si="1140"/>
        <v>8087.9970000000003</v>
      </c>
      <c r="BT617" s="515">
        <f t="shared" si="1140"/>
        <v>8625.1059999999998</v>
      </c>
      <c r="BU617" s="514">
        <f t="shared" si="1140"/>
        <v>9282.1790000000001</v>
      </c>
      <c r="BV617" s="514">
        <f t="shared" si="1140"/>
        <v>10412.465</v>
      </c>
      <c r="BW617" s="514">
        <f t="shared" si="1140"/>
        <v>10196.710000000001</v>
      </c>
      <c r="BX617" s="515">
        <f t="shared" si="1140"/>
        <v>9990.2929999999997</v>
      </c>
      <c r="BY617" s="514">
        <f t="shared" si="1140"/>
        <v>11160.712</v>
      </c>
      <c r="BZ617" s="514">
        <f t="shared" si="1140"/>
        <v>11853.577000000001</v>
      </c>
      <c r="CA617" s="514">
        <f t="shared" si="1140"/>
        <v>12902.716</v>
      </c>
      <c r="CB617" s="515">
        <f t="shared" si="1140"/>
        <v>14187.702000000001</v>
      </c>
      <c r="CC617" s="514">
        <f t="shared" si="1140"/>
        <v>12596.306874403035</v>
      </c>
      <c r="CD617" s="514">
        <f t="shared" si="1140"/>
        <v>13281.608402435075</v>
      </c>
      <c r="CE617" s="514">
        <f t="shared" si="1140"/>
        <v>13004.67395252618</v>
      </c>
      <c r="CF617" s="515">
        <f t="shared" si="1140"/>
        <v>13306.104760758326</v>
      </c>
      <c r="CG617" s="582"/>
      <c r="CH617" s="583"/>
      <c r="CI617" s="581"/>
      <c r="CJ617" s="600"/>
      <c r="CK617" s="600"/>
      <c r="CL617" s="600"/>
      <c r="CM617" s="600"/>
      <c r="CN617" s="600"/>
      <c r="CO617" s="600"/>
      <c r="CP617" s="642"/>
      <c r="CQ617" s="514">
        <f t="shared" ref="CQ617:CZ617" si="1141">+SUM(CQ614:CQ616)+CQ612</f>
        <v>1046.828</v>
      </c>
      <c r="CR617" s="514">
        <f t="shared" si="1141"/>
        <v>1191.971</v>
      </c>
      <c r="CS617" s="514">
        <f t="shared" si="1141"/>
        <v>2457.8249999999998</v>
      </c>
      <c r="CT617" s="514">
        <f t="shared" si="1141"/>
        <v>3526.1980000000003</v>
      </c>
      <c r="CU617" s="514">
        <f t="shared" si="1141"/>
        <v>6373.54</v>
      </c>
      <c r="CV617" s="514">
        <f t="shared" si="1141"/>
        <v>8625.1059999999998</v>
      </c>
      <c r="CW617" s="514">
        <f t="shared" si="1141"/>
        <v>9990.2929999999997</v>
      </c>
      <c r="CX617" s="514">
        <f t="shared" si="1141"/>
        <v>14187.702000000001</v>
      </c>
      <c r="CY617" s="514">
        <f t="shared" si="1141"/>
        <v>13306.104760758326</v>
      </c>
      <c r="CZ617" s="514">
        <f t="shared" si="1141"/>
        <v>13672.46506868623</v>
      </c>
      <c r="DA617" s="514">
        <f t="shared" ref="DA617:DF617" si="1142">+SUM(DA614:DA616)+DA612</f>
        <v>13045.708956778428</v>
      </c>
      <c r="DB617" s="514">
        <f t="shared" si="1142"/>
        <v>12400.427674293009</v>
      </c>
      <c r="DC617" s="514">
        <f t="shared" si="1142"/>
        <v>11887.342160648941</v>
      </c>
      <c r="DD617" s="514">
        <f t="shared" si="1142"/>
        <v>12202.648357499922</v>
      </c>
      <c r="DE617" s="514">
        <f t="shared" si="1142"/>
        <v>11402.508718276589</v>
      </c>
      <c r="DF617" s="515">
        <f t="shared" si="1142"/>
        <v>11241.680234462161</v>
      </c>
      <c r="DG617" s="632"/>
      <c r="DH617" s="632"/>
    </row>
    <row r="618" spans="1:112" s="554" customFormat="1" ht="11.25" customHeight="1">
      <c r="A618" s="547"/>
      <c r="B618"/>
      <c r="C618"/>
      <c r="D618"/>
      <c r="E618"/>
      <c r="F618"/>
      <c r="G618"/>
      <c r="H618" s="1044"/>
      <c r="I618" s="652"/>
      <c r="J618" s="226"/>
      <c r="K618" s="226"/>
      <c r="L618" s="547"/>
      <c r="M618" s="551"/>
      <c r="N618" s="551"/>
      <c r="O618" s="551"/>
      <c r="P618" s="552"/>
      <c r="Q618" s="551"/>
      <c r="R618" s="551"/>
      <c r="S618" s="551"/>
      <c r="T618" s="552"/>
      <c r="U618" s="516"/>
      <c r="V618" s="516"/>
      <c r="W618" s="516"/>
      <c r="X618" s="602"/>
      <c r="Y618" s="516"/>
      <c r="Z618" s="516"/>
      <c r="AA618" s="516"/>
      <c r="AB618" s="602"/>
      <c r="AC618" s="516"/>
      <c r="AD618" s="516"/>
      <c r="AE618" s="516"/>
      <c r="AF618" s="602"/>
      <c r="AG618" s="516"/>
      <c r="AH618" s="516"/>
      <c r="AI618" s="516"/>
      <c r="AJ618" s="602"/>
      <c r="AK618" s="516"/>
      <c r="AL618" s="516"/>
      <c r="AM618" s="516"/>
      <c r="AN618" s="602"/>
      <c r="AO618" s="516"/>
      <c r="AP618" s="516"/>
      <c r="AQ618" s="516"/>
      <c r="AR618" s="602"/>
      <c r="AS618" s="516"/>
      <c r="AT618" s="516"/>
      <c r="AU618" s="516"/>
      <c r="AV618" s="602"/>
      <c r="AW618" s="645"/>
      <c r="AX618" s="645"/>
      <c r="AY618" s="645"/>
      <c r="AZ618" s="602"/>
      <c r="BA618" s="516"/>
      <c r="BB618" s="516"/>
      <c r="BC618" s="516"/>
      <c r="BD618" s="602"/>
      <c r="BE618" s="516"/>
      <c r="BF618" s="516"/>
      <c r="BG618" s="516"/>
      <c r="BH618" s="602"/>
      <c r="BI618" s="516"/>
      <c r="BJ618" s="516"/>
      <c r="BK618" s="516"/>
      <c r="BL618" s="602"/>
      <c r="BM618" s="516"/>
      <c r="BN618" s="516"/>
      <c r="BO618" s="516"/>
      <c r="BP618" s="778"/>
      <c r="BQ618" s="470"/>
      <c r="BR618" s="516"/>
      <c r="BS618" s="516"/>
      <c r="BT618" s="778"/>
      <c r="BU618" s="470"/>
      <c r="BV618" s="516"/>
      <c r="BW618" s="516"/>
      <c r="BX618" s="778"/>
      <c r="BY618" s="470"/>
      <c r="BZ618" s="516"/>
      <c r="CA618" s="516"/>
      <c r="CB618" s="778"/>
      <c r="CC618" s="516"/>
      <c r="CD618" s="516"/>
      <c r="CE618" s="516"/>
      <c r="CF618" s="602"/>
      <c r="CG618" s="552"/>
      <c r="CH618" s="553"/>
      <c r="CI618" s="551"/>
      <c r="CJ618" s="516"/>
      <c r="CK618" s="516"/>
      <c r="CL618" s="516"/>
      <c r="CM618" s="516"/>
      <c r="CN618" s="516"/>
      <c r="CO618" s="516"/>
      <c r="CP618" s="645"/>
      <c r="CQ618" s="516"/>
      <c r="CR618" s="516"/>
      <c r="CS618" s="516"/>
      <c r="CT618" s="516"/>
      <c r="CU618" s="516"/>
      <c r="CV618" s="516"/>
      <c r="CW618" s="516"/>
      <c r="CX618" s="516"/>
      <c r="CY618" s="516"/>
      <c r="CZ618" s="516"/>
      <c r="DA618" s="516"/>
      <c r="DB618" s="516"/>
      <c r="DC618" s="516"/>
      <c r="DD618" s="516"/>
      <c r="DE618" s="516"/>
      <c r="DF618" s="602"/>
      <c r="DG618" s="612"/>
      <c r="DH618" s="612"/>
    </row>
    <row r="619" spans="1:112" s="554" customFormat="1" ht="11.25" customHeight="1">
      <c r="A619" s="547"/>
      <c r="B619"/>
      <c r="C619"/>
      <c r="D619"/>
      <c r="E619"/>
      <c r="F619"/>
      <c r="G619"/>
      <c r="H619" s="1044"/>
      <c r="I619" s="652" t="s">
        <v>72</v>
      </c>
      <c r="J619" s="226"/>
      <c r="K619" s="226"/>
      <c r="L619" s="547"/>
      <c r="M619" s="551"/>
      <c r="N619" s="551"/>
      <c r="O619" s="551"/>
      <c r="P619" s="552"/>
      <c r="Q619" s="551"/>
      <c r="R619" s="551"/>
      <c r="S619" s="551"/>
      <c r="T619" s="552"/>
      <c r="U619" s="516"/>
      <c r="V619" s="516"/>
      <c r="W619" s="516"/>
      <c r="X619" s="602"/>
      <c r="Y619" s="516"/>
      <c r="Z619" s="516"/>
      <c r="AA619" s="516"/>
      <c r="AB619" s="602"/>
      <c r="AC619" s="516"/>
      <c r="AD619" s="516"/>
      <c r="AE619" s="516"/>
      <c r="AF619" s="602"/>
      <c r="AG619" s="516"/>
      <c r="AH619" s="516"/>
      <c r="AI619" s="516"/>
      <c r="AJ619" s="602"/>
      <c r="AK619" s="516"/>
      <c r="AL619" s="516"/>
      <c r="AM619" s="516"/>
      <c r="AN619" s="602"/>
      <c r="AO619" s="516"/>
      <c r="AP619" s="516"/>
      <c r="AQ619" s="516"/>
      <c r="AR619" s="602"/>
      <c r="AS619" s="516"/>
      <c r="AT619" s="516"/>
      <c r="AU619" s="516"/>
      <c r="AV619" s="602"/>
      <c r="AW619" s="645"/>
      <c r="AX619" s="645"/>
      <c r="AY619" s="645"/>
      <c r="AZ619" s="602"/>
      <c r="BA619" s="516">
        <v>93.569000000000003</v>
      </c>
      <c r="BB619" s="516">
        <v>88.221999999999994</v>
      </c>
      <c r="BC619" s="516">
        <v>82.831000000000003</v>
      </c>
      <c r="BD619" s="602">
        <v>77.36</v>
      </c>
      <c r="BE619" s="516">
        <v>71.808000000000007</v>
      </c>
      <c r="BF619" s="516">
        <v>66.174000000000007</v>
      </c>
      <c r="BG619" s="516">
        <v>60.457000000000001</v>
      </c>
      <c r="BH619" s="602">
        <v>54.655000000000001</v>
      </c>
      <c r="BI619" s="516">
        <v>48.768000000000001</v>
      </c>
      <c r="BJ619" s="516">
        <v>42.792999999999999</v>
      </c>
      <c r="BK619" s="516">
        <v>36.729999999999997</v>
      </c>
      <c r="BL619" s="602">
        <v>8.5329999999999995</v>
      </c>
      <c r="BM619" s="516">
        <v>4.3179999999999996</v>
      </c>
      <c r="BN619" s="516">
        <v>1.335</v>
      </c>
      <c r="BO619" s="516">
        <v>0.77600000000000002</v>
      </c>
      <c r="BP619" s="602">
        <v>0.32900000000000001</v>
      </c>
      <c r="BQ619" s="516">
        <v>0</v>
      </c>
      <c r="BR619" s="516">
        <v>0</v>
      </c>
      <c r="BS619" s="516">
        <v>0</v>
      </c>
      <c r="BT619" s="602">
        <v>0</v>
      </c>
      <c r="BU619" s="516">
        <v>0</v>
      </c>
      <c r="BV619" s="516">
        <v>0</v>
      </c>
      <c r="BW619" s="516">
        <v>34.503999999999998</v>
      </c>
      <c r="BX619" s="602">
        <v>28.538</v>
      </c>
      <c r="BY619" s="516">
        <v>22.521000000000001</v>
      </c>
      <c r="BZ619" s="516">
        <v>15.077</v>
      </c>
      <c r="CA619" s="516">
        <v>9.4009999999999998</v>
      </c>
      <c r="CB619" s="602">
        <v>2.9630000000000001</v>
      </c>
      <c r="CC619" s="517">
        <f t="shared" ref="CC619:CF622" si="1143">CB619</f>
        <v>2.9630000000000001</v>
      </c>
      <c r="CD619" s="517">
        <f t="shared" si="1143"/>
        <v>2.9630000000000001</v>
      </c>
      <c r="CE619" s="517">
        <f t="shared" si="1143"/>
        <v>2.9630000000000001</v>
      </c>
      <c r="CF619" s="601">
        <f t="shared" si="1143"/>
        <v>2.9630000000000001</v>
      </c>
      <c r="CG619" s="552"/>
      <c r="CH619" s="553"/>
      <c r="CI619" s="551"/>
      <c r="CJ619" s="516"/>
      <c r="CK619" s="516"/>
      <c r="CL619" s="516"/>
      <c r="CM619" s="516"/>
      <c r="CN619" s="516"/>
      <c r="CO619" s="516"/>
      <c r="CP619" s="645"/>
      <c r="CQ619" s="516">
        <v>3.7999999999999999E-2</v>
      </c>
      <c r="CR619" s="516">
        <v>77.36</v>
      </c>
      <c r="CS619" s="517">
        <f>+BH619</f>
        <v>54.655000000000001</v>
      </c>
      <c r="CT619" s="517">
        <f>+BL619</f>
        <v>8.5329999999999995</v>
      </c>
      <c r="CU619" s="517">
        <f t="shared" ref="CU619:CU628" si="1144">BP619</f>
        <v>0.32900000000000001</v>
      </c>
      <c r="CV619" s="517">
        <f t="shared" ref="CV619:CV628" si="1145">BT619</f>
        <v>0</v>
      </c>
      <c r="CW619" s="517">
        <f t="shared" ref="CW619:CW628" si="1146">BX619</f>
        <v>28.538</v>
      </c>
      <c r="CX619" s="517">
        <f t="shared" ref="CX619:CX628" si="1147">CB619</f>
        <v>2.9630000000000001</v>
      </c>
      <c r="CY619" s="517">
        <f t="shared" ref="CY619:CY628" si="1148">CF619</f>
        <v>2.9630000000000001</v>
      </c>
      <c r="CZ619" s="517">
        <f t="shared" ref="CZ619:DF622" si="1149">CY619</f>
        <v>2.9630000000000001</v>
      </c>
      <c r="DA619" s="517">
        <f t="shared" si="1149"/>
        <v>2.9630000000000001</v>
      </c>
      <c r="DB619" s="517">
        <f t="shared" si="1149"/>
        <v>2.9630000000000001</v>
      </c>
      <c r="DC619" s="517">
        <f t="shared" si="1149"/>
        <v>2.9630000000000001</v>
      </c>
      <c r="DD619" s="517">
        <f t="shared" si="1149"/>
        <v>2.9630000000000001</v>
      </c>
      <c r="DE619" s="517">
        <f t="shared" si="1149"/>
        <v>2.9630000000000001</v>
      </c>
      <c r="DF619" s="601">
        <f t="shared" si="1149"/>
        <v>2.9630000000000001</v>
      </c>
      <c r="DG619" s="612"/>
      <c r="DH619" s="612"/>
    </row>
    <row r="620" spans="1:112" s="554" customFormat="1" ht="11.25" customHeight="1">
      <c r="A620" s="547"/>
      <c r="B620"/>
      <c r="C620"/>
      <c r="D620"/>
      <c r="E620"/>
      <c r="F620"/>
      <c r="G620"/>
      <c r="H620" s="1044"/>
      <c r="I620" s="652" t="s">
        <v>74</v>
      </c>
      <c r="J620" s="226"/>
      <c r="K620" s="226"/>
      <c r="L620" s="547"/>
      <c r="M620" s="551"/>
      <c r="N620" s="551"/>
      <c r="O620" s="551"/>
      <c r="P620" s="552"/>
      <c r="Q620" s="551"/>
      <c r="R620" s="551"/>
      <c r="S620" s="551"/>
      <c r="T620" s="552"/>
      <c r="U620" s="516"/>
      <c r="V620" s="516"/>
      <c r="W620" s="516"/>
      <c r="X620" s="602"/>
      <c r="Y620" s="516"/>
      <c r="Z620" s="516"/>
      <c r="AA620" s="516"/>
      <c r="AB620" s="602"/>
      <c r="AC620" s="516"/>
      <c r="AD620" s="516"/>
      <c r="AE620" s="516"/>
      <c r="AF620" s="602"/>
      <c r="AG620" s="516"/>
      <c r="AH620" s="516"/>
      <c r="AI620" s="516"/>
      <c r="AJ620" s="602"/>
      <c r="AK620" s="516"/>
      <c r="AL620" s="516"/>
      <c r="AM620" s="516"/>
      <c r="AN620" s="602"/>
      <c r="AO620" s="516"/>
      <c r="AP620" s="516"/>
      <c r="AQ620" s="516"/>
      <c r="AR620" s="602"/>
      <c r="AS620" s="516"/>
      <c r="AT620" s="516"/>
      <c r="AU620" s="516"/>
      <c r="AV620" s="602"/>
      <c r="AW620" s="645"/>
      <c r="AX620" s="645"/>
      <c r="AY620" s="645"/>
      <c r="AZ620" s="602"/>
      <c r="BA620" s="516">
        <v>57.537999999999997</v>
      </c>
      <c r="BB620" s="516">
        <v>67.495999999999995</v>
      </c>
      <c r="BC620" s="516">
        <v>76.614999999999995</v>
      </c>
      <c r="BD620" s="602">
        <v>127.045</v>
      </c>
      <c r="BE620" s="516">
        <v>183.316</v>
      </c>
      <c r="BF620" s="516">
        <v>110.184</v>
      </c>
      <c r="BG620" s="516">
        <v>133.221</v>
      </c>
      <c r="BH620" s="602">
        <v>160.28700000000001</v>
      </c>
      <c r="BI620" s="516">
        <v>190.893</v>
      </c>
      <c r="BJ620" s="516">
        <v>0</v>
      </c>
      <c r="BK620" s="516">
        <v>0</v>
      </c>
      <c r="BL620" s="602">
        <v>0</v>
      </c>
      <c r="BM620" s="516">
        <v>0</v>
      </c>
      <c r="BN620" s="516">
        <v>0</v>
      </c>
      <c r="BO620" s="516">
        <v>0</v>
      </c>
      <c r="BP620" s="602">
        <v>0</v>
      </c>
      <c r="BQ620" s="516">
        <v>0</v>
      </c>
      <c r="BR620" s="516">
        <v>0</v>
      </c>
      <c r="BS620" s="516">
        <v>0</v>
      </c>
      <c r="BT620" s="602">
        <v>0</v>
      </c>
      <c r="BU620" s="516">
        <v>0</v>
      </c>
      <c r="BV620" s="516">
        <v>0</v>
      </c>
      <c r="BW620" s="516">
        <v>0</v>
      </c>
      <c r="BX620" s="602">
        <v>0</v>
      </c>
      <c r="BY620" s="516">
        <v>0</v>
      </c>
      <c r="BZ620" s="516">
        <v>0</v>
      </c>
      <c r="CA620" s="516">
        <v>0</v>
      </c>
      <c r="CB620" s="602">
        <v>0</v>
      </c>
      <c r="CC620" s="517">
        <f t="shared" si="1143"/>
        <v>0</v>
      </c>
      <c r="CD620" s="517">
        <f t="shared" si="1143"/>
        <v>0</v>
      </c>
      <c r="CE620" s="517">
        <f t="shared" si="1143"/>
        <v>0</v>
      </c>
      <c r="CF620" s="601">
        <f t="shared" si="1143"/>
        <v>0</v>
      </c>
      <c r="CG620" s="552"/>
      <c r="CH620" s="553"/>
      <c r="CI620" s="551"/>
      <c r="CJ620" s="516"/>
      <c r="CK620" s="516"/>
      <c r="CL620" s="516"/>
      <c r="CM620" s="516"/>
      <c r="CN620" s="516"/>
      <c r="CO620" s="516"/>
      <c r="CP620" s="645"/>
      <c r="CQ620" s="516">
        <v>45.750999999999998</v>
      </c>
      <c r="CR620" s="516">
        <v>127.045</v>
      </c>
      <c r="CS620" s="517">
        <f>+BH620</f>
        <v>160.28700000000001</v>
      </c>
      <c r="CT620" s="517">
        <f>+BL620</f>
        <v>0</v>
      </c>
      <c r="CU620" s="517">
        <f t="shared" si="1144"/>
        <v>0</v>
      </c>
      <c r="CV620" s="517">
        <f t="shared" si="1145"/>
        <v>0</v>
      </c>
      <c r="CW620" s="517">
        <f t="shared" si="1146"/>
        <v>0</v>
      </c>
      <c r="CX620" s="517">
        <f t="shared" si="1147"/>
        <v>0</v>
      </c>
      <c r="CY620" s="517">
        <f t="shared" si="1148"/>
        <v>0</v>
      </c>
      <c r="CZ620" s="517">
        <f t="shared" si="1149"/>
        <v>0</v>
      </c>
      <c r="DA620" s="517">
        <f t="shared" si="1149"/>
        <v>0</v>
      </c>
      <c r="DB620" s="517">
        <f t="shared" si="1149"/>
        <v>0</v>
      </c>
      <c r="DC620" s="517">
        <f t="shared" si="1149"/>
        <v>0</v>
      </c>
      <c r="DD620" s="517">
        <f t="shared" si="1149"/>
        <v>0</v>
      </c>
      <c r="DE620" s="517">
        <f t="shared" si="1149"/>
        <v>0</v>
      </c>
      <c r="DF620" s="601">
        <f t="shared" si="1149"/>
        <v>0</v>
      </c>
      <c r="DG620" s="612"/>
      <c r="DH620" s="612"/>
    </row>
    <row r="621" spans="1:112" s="554" customFormat="1" ht="11.25" customHeight="1">
      <c r="A621" s="547"/>
      <c r="B621"/>
      <c r="C621"/>
      <c r="D621"/>
      <c r="E621"/>
      <c r="F621"/>
      <c r="G621"/>
      <c r="H621" s="1044"/>
      <c r="I621" s="652" t="s">
        <v>75</v>
      </c>
      <c r="J621" s="226"/>
      <c r="K621" s="226"/>
      <c r="L621" s="547"/>
      <c r="M621" s="551"/>
      <c r="N621" s="551"/>
      <c r="O621" s="551"/>
      <c r="P621" s="552"/>
      <c r="Q621" s="551"/>
      <c r="R621" s="551"/>
      <c r="S621" s="551"/>
      <c r="T621" s="552"/>
      <c r="U621" s="516"/>
      <c r="V621" s="516"/>
      <c r="W621" s="516"/>
      <c r="X621" s="602"/>
      <c r="Y621" s="516"/>
      <c r="Z621" s="516"/>
      <c r="AA621" s="516"/>
      <c r="AB621" s="602"/>
      <c r="AC621" s="516"/>
      <c r="AD621" s="516"/>
      <c r="AE621" s="516"/>
      <c r="AF621" s="602"/>
      <c r="AG621" s="516"/>
      <c r="AH621" s="516"/>
      <c r="AI621" s="516"/>
      <c r="AJ621" s="602"/>
      <c r="AK621" s="516"/>
      <c r="AL621" s="516"/>
      <c r="AM621" s="516"/>
      <c r="AN621" s="602"/>
      <c r="AO621" s="516"/>
      <c r="AP621" s="516"/>
      <c r="AQ621" s="516"/>
      <c r="AR621" s="602"/>
      <c r="AS621" s="516"/>
      <c r="AT621" s="516"/>
      <c r="AU621" s="516"/>
      <c r="AV621" s="602"/>
      <c r="AW621" s="645"/>
      <c r="AX621" s="645"/>
      <c r="AY621" s="645"/>
      <c r="AZ621" s="602"/>
      <c r="BA621" s="516">
        <v>0</v>
      </c>
      <c r="BB621" s="516">
        <v>0</v>
      </c>
      <c r="BC621" s="516">
        <v>0</v>
      </c>
      <c r="BD621" s="602">
        <v>0</v>
      </c>
      <c r="BE621" s="516">
        <v>0</v>
      </c>
      <c r="BF621" s="516">
        <v>0</v>
      </c>
      <c r="BG621" s="516">
        <v>0</v>
      </c>
      <c r="BH621" s="602">
        <v>0</v>
      </c>
      <c r="BI621" s="516">
        <v>0</v>
      </c>
      <c r="BJ621" s="516">
        <v>0</v>
      </c>
      <c r="BK621" s="516">
        <v>0</v>
      </c>
      <c r="BL621" s="602">
        <v>0</v>
      </c>
      <c r="BM621" s="516">
        <v>0</v>
      </c>
      <c r="BN621" s="516">
        <v>0</v>
      </c>
      <c r="BO621" s="516">
        <v>0</v>
      </c>
      <c r="BP621" s="602">
        <v>0</v>
      </c>
      <c r="BQ621" s="516">
        <v>0</v>
      </c>
      <c r="BR621" s="516">
        <v>0</v>
      </c>
      <c r="BS621" s="516">
        <v>0</v>
      </c>
      <c r="BT621" s="602">
        <v>0</v>
      </c>
      <c r="BU621" s="516">
        <v>0</v>
      </c>
      <c r="BV621" s="516">
        <v>0</v>
      </c>
      <c r="BW621" s="516">
        <v>0</v>
      </c>
      <c r="BX621" s="602">
        <v>0</v>
      </c>
      <c r="BY621" s="516">
        <v>0</v>
      </c>
      <c r="BZ621" s="516">
        <v>0</v>
      </c>
      <c r="CA621" s="516">
        <v>0</v>
      </c>
      <c r="CB621" s="602">
        <v>0</v>
      </c>
      <c r="CC621" s="517">
        <f t="shared" si="1143"/>
        <v>0</v>
      </c>
      <c r="CD621" s="517">
        <f t="shared" si="1143"/>
        <v>0</v>
      </c>
      <c r="CE621" s="517">
        <f t="shared" si="1143"/>
        <v>0</v>
      </c>
      <c r="CF621" s="601">
        <f t="shared" si="1143"/>
        <v>0</v>
      </c>
      <c r="CG621" s="552"/>
      <c r="CH621" s="553"/>
      <c r="CI621" s="551"/>
      <c r="CJ621" s="516"/>
      <c r="CK621" s="516"/>
      <c r="CL621" s="516"/>
      <c r="CM621" s="516"/>
      <c r="CN621" s="516"/>
      <c r="CO621" s="516"/>
      <c r="CP621" s="645"/>
      <c r="CQ621" s="516">
        <v>0</v>
      </c>
      <c r="CR621" s="516">
        <v>0</v>
      </c>
      <c r="CS621" s="517">
        <f>+BH621</f>
        <v>0</v>
      </c>
      <c r="CT621" s="517">
        <f>+BL621</f>
        <v>0</v>
      </c>
      <c r="CU621" s="517">
        <f t="shared" si="1144"/>
        <v>0</v>
      </c>
      <c r="CV621" s="517">
        <f t="shared" si="1145"/>
        <v>0</v>
      </c>
      <c r="CW621" s="517">
        <f t="shared" si="1146"/>
        <v>0</v>
      </c>
      <c r="CX621" s="517">
        <f t="shared" si="1147"/>
        <v>0</v>
      </c>
      <c r="CY621" s="517">
        <f t="shared" si="1148"/>
        <v>0</v>
      </c>
      <c r="CZ621" s="517">
        <f t="shared" si="1149"/>
        <v>0</v>
      </c>
      <c r="DA621" s="517">
        <f t="shared" si="1149"/>
        <v>0</v>
      </c>
      <c r="DB621" s="517">
        <f t="shared" si="1149"/>
        <v>0</v>
      </c>
      <c r="DC621" s="517">
        <f t="shared" si="1149"/>
        <v>0</v>
      </c>
      <c r="DD621" s="517">
        <f t="shared" si="1149"/>
        <v>0</v>
      </c>
      <c r="DE621" s="517">
        <f t="shared" si="1149"/>
        <v>0</v>
      </c>
      <c r="DF621" s="601">
        <f t="shared" si="1149"/>
        <v>0</v>
      </c>
      <c r="DG621" s="612"/>
      <c r="DH621" s="612"/>
    </row>
    <row r="622" spans="1:112" s="554" customFormat="1" ht="11.25" customHeight="1">
      <c r="A622" s="547"/>
      <c r="B622"/>
      <c r="C622"/>
      <c r="D622"/>
      <c r="E622"/>
      <c r="F622"/>
      <c r="G622"/>
      <c r="H622" s="1044"/>
      <c r="I622" s="652" t="s">
        <v>76</v>
      </c>
      <c r="J622" s="226"/>
      <c r="K622" s="226"/>
      <c r="L622" s="547"/>
      <c r="M622" s="551"/>
      <c r="N622" s="551"/>
      <c r="O622" s="551"/>
      <c r="P622" s="552"/>
      <c r="Q622" s="551"/>
      <c r="R622" s="551"/>
      <c r="S622" s="551"/>
      <c r="T622" s="552"/>
      <c r="U622" s="516"/>
      <c r="V622" s="516"/>
      <c r="W622" s="516"/>
      <c r="X622" s="602"/>
      <c r="Y622" s="516"/>
      <c r="Z622" s="516"/>
      <c r="AA622" s="516"/>
      <c r="AB622" s="602"/>
      <c r="AC622" s="516"/>
      <c r="AD622" s="516"/>
      <c r="AE622" s="516"/>
      <c r="AF622" s="602"/>
      <c r="AG622" s="516"/>
      <c r="AH622" s="516"/>
      <c r="AI622" s="516"/>
      <c r="AJ622" s="602"/>
      <c r="AK622" s="516"/>
      <c r="AL622" s="516"/>
      <c r="AM622" s="516"/>
      <c r="AN622" s="602"/>
      <c r="AO622" s="516"/>
      <c r="AP622" s="516"/>
      <c r="AQ622" s="516"/>
      <c r="AR622" s="602"/>
      <c r="AS622" s="516"/>
      <c r="AT622" s="516"/>
      <c r="AU622" s="516"/>
      <c r="AV622" s="602"/>
      <c r="AW622" s="645"/>
      <c r="AX622" s="645"/>
      <c r="AY622" s="645"/>
      <c r="AZ622" s="602"/>
      <c r="BA622" s="516">
        <v>0</v>
      </c>
      <c r="BB622" s="516">
        <v>0</v>
      </c>
      <c r="BC622" s="516">
        <v>0</v>
      </c>
      <c r="BD622" s="602">
        <v>0</v>
      </c>
      <c r="BE622" s="516">
        <v>0</v>
      </c>
      <c r="BF622" s="516">
        <v>0</v>
      </c>
      <c r="BG622" s="516">
        <v>0</v>
      </c>
      <c r="BH622" s="602">
        <v>0</v>
      </c>
      <c r="BI622" s="516">
        <v>0</v>
      </c>
      <c r="BJ622" s="516">
        <v>0</v>
      </c>
      <c r="BK622" s="516">
        <v>0</v>
      </c>
      <c r="BL622" s="602">
        <v>0</v>
      </c>
      <c r="BM622" s="516">
        <v>0</v>
      </c>
      <c r="BN622" s="516">
        <v>0</v>
      </c>
      <c r="BO622" s="516">
        <v>0</v>
      </c>
      <c r="BP622" s="602">
        <v>0</v>
      </c>
      <c r="BQ622" s="516">
        <v>0</v>
      </c>
      <c r="BR622" s="516">
        <v>0</v>
      </c>
      <c r="BS622" s="516">
        <v>0</v>
      </c>
      <c r="BT622" s="602">
        <v>0</v>
      </c>
      <c r="BU622" s="516">
        <v>0</v>
      </c>
      <c r="BV622" s="516">
        <v>0</v>
      </c>
      <c r="BW622" s="516">
        <v>0</v>
      </c>
      <c r="BX622" s="602">
        <v>0</v>
      </c>
      <c r="BY622" s="516">
        <v>0</v>
      </c>
      <c r="BZ622" s="516">
        <v>0</v>
      </c>
      <c r="CA622" s="516">
        <v>0</v>
      </c>
      <c r="CB622" s="602">
        <v>0</v>
      </c>
      <c r="CC622" s="517">
        <f t="shared" si="1143"/>
        <v>0</v>
      </c>
      <c r="CD622" s="517">
        <f t="shared" si="1143"/>
        <v>0</v>
      </c>
      <c r="CE622" s="517">
        <f t="shared" si="1143"/>
        <v>0</v>
      </c>
      <c r="CF622" s="601">
        <f t="shared" si="1143"/>
        <v>0</v>
      </c>
      <c r="CG622" s="552"/>
      <c r="CH622" s="553"/>
      <c r="CI622" s="551"/>
      <c r="CJ622" s="516"/>
      <c r="CK622" s="516"/>
      <c r="CL622" s="516"/>
      <c r="CM622" s="516"/>
      <c r="CN622" s="516"/>
      <c r="CO622" s="516"/>
      <c r="CP622" s="645"/>
      <c r="CQ622" s="516">
        <v>0</v>
      </c>
      <c r="CR622" s="516">
        <v>0</v>
      </c>
      <c r="CS622" s="517">
        <f>+BH622</f>
        <v>0</v>
      </c>
      <c r="CT622" s="517">
        <f>+BL622</f>
        <v>0</v>
      </c>
      <c r="CU622" s="517">
        <f t="shared" si="1144"/>
        <v>0</v>
      </c>
      <c r="CV622" s="517">
        <f t="shared" si="1145"/>
        <v>0</v>
      </c>
      <c r="CW622" s="517">
        <f t="shared" si="1146"/>
        <v>0</v>
      </c>
      <c r="CX622" s="517">
        <f t="shared" si="1147"/>
        <v>0</v>
      </c>
      <c r="CY622" s="517">
        <f t="shared" si="1148"/>
        <v>0</v>
      </c>
      <c r="CZ622" s="517">
        <f t="shared" si="1149"/>
        <v>0</v>
      </c>
      <c r="DA622" s="517">
        <f t="shared" si="1149"/>
        <v>0</v>
      </c>
      <c r="DB622" s="517">
        <f t="shared" si="1149"/>
        <v>0</v>
      </c>
      <c r="DC622" s="517">
        <f t="shared" si="1149"/>
        <v>0</v>
      </c>
      <c r="DD622" s="517">
        <f t="shared" si="1149"/>
        <v>0</v>
      </c>
      <c r="DE622" s="517">
        <f t="shared" si="1149"/>
        <v>0</v>
      </c>
      <c r="DF622" s="601">
        <f t="shared" si="1149"/>
        <v>0</v>
      </c>
      <c r="DG622" s="612"/>
      <c r="DH622" s="612"/>
    </row>
    <row r="623" spans="1:112" s="554" customFormat="1" ht="11.25" customHeight="1">
      <c r="A623" s="547"/>
      <c r="B623"/>
      <c r="C623"/>
      <c r="D623"/>
      <c r="E623"/>
      <c r="F623"/>
      <c r="G623"/>
      <c r="H623" s="1044"/>
      <c r="I623" s="655" t="s">
        <v>77</v>
      </c>
      <c r="J623" s="225"/>
      <c r="K623" s="225"/>
      <c r="L623" s="547"/>
      <c r="M623" s="551"/>
      <c r="N623" s="551"/>
      <c r="O623" s="551"/>
      <c r="P623" s="552"/>
      <c r="Q623" s="551"/>
      <c r="R623" s="551"/>
      <c r="S623" s="551"/>
      <c r="T623" s="552"/>
      <c r="U623" s="516"/>
      <c r="V623" s="516"/>
      <c r="W623" s="516"/>
      <c r="X623" s="602"/>
      <c r="Y623" s="516"/>
      <c r="Z623" s="516"/>
      <c r="AA623" s="516"/>
      <c r="AB623" s="602"/>
      <c r="AC623" s="516"/>
      <c r="AD623" s="516"/>
      <c r="AE623" s="516"/>
      <c r="AF623" s="602"/>
      <c r="AG623" s="516"/>
      <c r="AH623" s="516"/>
      <c r="AI623" s="516"/>
      <c r="AJ623" s="602"/>
      <c r="AK623" s="516"/>
      <c r="AL623" s="516"/>
      <c r="AM623" s="516"/>
      <c r="AN623" s="602"/>
      <c r="AO623" s="516"/>
      <c r="AP623" s="516"/>
      <c r="AQ623" s="516"/>
      <c r="AR623" s="602"/>
      <c r="AS623" s="516"/>
      <c r="AT623" s="516"/>
      <c r="AU623" s="516"/>
      <c r="AV623" s="602"/>
      <c r="AW623" s="645"/>
      <c r="AX623" s="645"/>
      <c r="AY623" s="645"/>
      <c r="AZ623" s="602"/>
      <c r="BA623" s="516"/>
      <c r="BB623" s="516"/>
      <c r="BC623" s="516"/>
      <c r="BD623" s="602"/>
      <c r="BE623" s="656"/>
      <c r="BF623" s="516"/>
      <c r="BG623" s="516"/>
      <c r="BH623" s="602"/>
      <c r="BI623" s="516"/>
      <c r="BJ623" s="516"/>
      <c r="BK623" s="516"/>
      <c r="BL623" s="602"/>
      <c r="BM623" s="516"/>
      <c r="BN623" s="517"/>
      <c r="BO623" s="516"/>
      <c r="BP623" s="602"/>
      <c r="BQ623" s="516"/>
      <c r="BR623" s="517"/>
      <c r="BS623" s="517"/>
      <c r="BT623" s="602"/>
      <c r="BU623" s="516"/>
      <c r="BV623" s="517"/>
      <c r="BW623" s="517"/>
      <c r="BX623" s="602"/>
      <c r="BY623" s="516"/>
      <c r="BZ623" s="517"/>
      <c r="CA623" s="517"/>
      <c r="CB623" s="602"/>
      <c r="CC623" s="517"/>
      <c r="CD623" s="517"/>
      <c r="CE623" s="517"/>
      <c r="CF623" s="601"/>
      <c r="CG623" s="552"/>
      <c r="CH623" s="553"/>
      <c r="CI623" s="551"/>
      <c r="CJ623" s="516"/>
      <c r="CK623" s="516"/>
      <c r="CL623" s="516"/>
      <c r="CM623" s="516"/>
      <c r="CN623" s="516"/>
      <c r="CO623" s="516"/>
      <c r="CP623" s="645"/>
      <c r="CQ623" s="516"/>
      <c r="CR623" s="516"/>
      <c r="CS623" s="516"/>
      <c r="CT623" s="516"/>
      <c r="CU623" s="517"/>
      <c r="CV623" s="517"/>
      <c r="CW623" s="517"/>
      <c r="CX623" s="517"/>
      <c r="CY623" s="517"/>
      <c r="CZ623" s="517"/>
      <c r="DA623" s="517"/>
      <c r="DB623" s="517"/>
      <c r="DC623" s="517"/>
      <c r="DD623" s="517"/>
      <c r="DE623" s="517"/>
      <c r="DF623" s="601"/>
      <c r="DG623" s="612"/>
      <c r="DH623" s="612"/>
    </row>
    <row r="624" spans="1:112" s="554" customFormat="1" ht="11.25" customHeight="1">
      <c r="A624" s="547"/>
      <c r="B624"/>
      <c r="C624"/>
      <c r="D624"/>
      <c r="E624"/>
      <c r="F624"/>
      <c r="G624"/>
      <c r="H624" s="1044"/>
      <c r="I624" s="643" t="s">
        <v>78</v>
      </c>
      <c r="J624" s="644"/>
      <c r="K624" s="644"/>
      <c r="L624" s="547"/>
      <c r="M624" s="551"/>
      <c r="N624" s="551"/>
      <c r="O624" s="551"/>
      <c r="P624" s="552"/>
      <c r="Q624" s="551"/>
      <c r="R624" s="551"/>
      <c r="S624" s="551"/>
      <c r="T624" s="552"/>
      <c r="U624" s="516"/>
      <c r="V624" s="516"/>
      <c r="W624" s="516"/>
      <c r="X624" s="602"/>
      <c r="Y624" s="516"/>
      <c r="Z624" s="516"/>
      <c r="AA624" s="516"/>
      <c r="AB624" s="602"/>
      <c r="AC624" s="516"/>
      <c r="AD624" s="516"/>
      <c r="AE624" s="516"/>
      <c r="AF624" s="602"/>
      <c r="AG624" s="516"/>
      <c r="AH624" s="516"/>
      <c r="AI624" s="516"/>
      <c r="AJ624" s="602"/>
      <c r="AK624" s="516"/>
      <c r="AL624" s="516"/>
      <c r="AM624" s="516"/>
      <c r="AN624" s="602"/>
      <c r="AO624" s="516"/>
      <c r="AP624" s="516"/>
      <c r="AQ624" s="516"/>
      <c r="AR624" s="602"/>
      <c r="AS624" s="516"/>
      <c r="AT624" s="516"/>
      <c r="AU624" s="516"/>
      <c r="AV624" s="602"/>
      <c r="AW624" s="645"/>
      <c r="AX624" s="645"/>
      <c r="AY624" s="645"/>
      <c r="AZ624" s="602"/>
      <c r="BA624" s="516">
        <v>0.44500000000000001</v>
      </c>
      <c r="BB624" s="516">
        <v>0.44600000000000001</v>
      </c>
      <c r="BC624" s="516">
        <v>0.44600000000000001</v>
      </c>
      <c r="BD624" s="602">
        <v>0.44600000000000001</v>
      </c>
      <c r="BE624" s="516">
        <v>0.44900000000000001</v>
      </c>
      <c r="BF624" s="516">
        <v>0.45</v>
      </c>
      <c r="BG624" s="516">
        <v>0.45</v>
      </c>
      <c r="BH624" s="602">
        <v>0.45</v>
      </c>
      <c r="BI624" s="516">
        <v>0.45200000000000001</v>
      </c>
      <c r="BJ624" s="516">
        <v>0.46700000000000003</v>
      </c>
      <c r="BK624" s="516">
        <v>0.46800000000000003</v>
      </c>
      <c r="BL624" s="602">
        <v>0.47599999999999998</v>
      </c>
      <c r="BM624" s="516">
        <v>0.47799999999999998</v>
      </c>
      <c r="BN624" s="516">
        <v>0.48</v>
      </c>
      <c r="BO624" s="516">
        <v>0.48</v>
      </c>
      <c r="BP624" s="602">
        <v>0.48</v>
      </c>
      <c r="BQ624" s="516">
        <v>0.48099999999999998</v>
      </c>
      <c r="BR624" s="516">
        <v>0.48199999999999998</v>
      </c>
      <c r="BS624" s="516">
        <v>0.48199999999999998</v>
      </c>
      <c r="BT624" s="602">
        <v>0.48199999999999998</v>
      </c>
      <c r="BU624" s="516">
        <v>0.48399999999999999</v>
      </c>
      <c r="BV624" s="516">
        <v>0.48399999999999999</v>
      </c>
      <c r="BW624" s="516">
        <v>0.48399999999999999</v>
      </c>
      <c r="BX624" s="602">
        <v>0.48499999999999999</v>
      </c>
      <c r="BY624" s="516">
        <v>0.48599999999999999</v>
      </c>
      <c r="BZ624" s="516">
        <v>0.48599999999999999</v>
      </c>
      <c r="CA624" s="516">
        <v>0.48599999999999999</v>
      </c>
      <c r="CB624" s="602">
        <v>0.48699999999999999</v>
      </c>
      <c r="CC624" s="517">
        <f>CB624</f>
        <v>0.48699999999999999</v>
      </c>
      <c r="CD624" s="517">
        <f>CC624</f>
        <v>0.48699999999999999</v>
      </c>
      <c r="CE624" s="517">
        <f>CD624</f>
        <v>0.48699999999999999</v>
      </c>
      <c r="CF624" s="601">
        <f>CE624</f>
        <v>0.48699999999999999</v>
      </c>
      <c r="CG624" s="552"/>
      <c r="CH624" s="553"/>
      <c r="CI624" s="551"/>
      <c r="CJ624" s="516"/>
      <c r="CK624" s="516"/>
      <c r="CL624" s="516"/>
      <c r="CM624" s="516"/>
      <c r="CN624" s="516"/>
      <c r="CO624" s="516"/>
      <c r="CP624" s="645"/>
      <c r="CQ624" s="516">
        <v>0.438</v>
      </c>
      <c r="CR624" s="516">
        <v>0.44600000000000001</v>
      </c>
      <c r="CS624" s="517">
        <f>+BH624</f>
        <v>0.45</v>
      </c>
      <c r="CT624" s="517">
        <f>+BL624</f>
        <v>0.47599999999999998</v>
      </c>
      <c r="CU624" s="517">
        <f t="shared" si="1144"/>
        <v>0.48</v>
      </c>
      <c r="CV624" s="517">
        <f t="shared" si="1145"/>
        <v>0.48199999999999998</v>
      </c>
      <c r="CW624" s="517">
        <f t="shared" si="1146"/>
        <v>0.48499999999999999</v>
      </c>
      <c r="CX624" s="517">
        <f t="shared" si="1147"/>
        <v>0.48699999999999999</v>
      </c>
      <c r="CY624" s="517">
        <f t="shared" si="1148"/>
        <v>0.48699999999999999</v>
      </c>
      <c r="CZ624" s="517">
        <f t="shared" ref="CZ624:DF624" si="1150">CY624</f>
        <v>0.48699999999999999</v>
      </c>
      <c r="DA624" s="517">
        <f t="shared" si="1150"/>
        <v>0.48699999999999999</v>
      </c>
      <c r="DB624" s="517">
        <f t="shared" si="1150"/>
        <v>0.48699999999999999</v>
      </c>
      <c r="DC624" s="517">
        <f t="shared" si="1150"/>
        <v>0.48699999999999999</v>
      </c>
      <c r="DD624" s="517">
        <f t="shared" si="1150"/>
        <v>0.48699999999999999</v>
      </c>
      <c r="DE624" s="517">
        <f t="shared" si="1150"/>
        <v>0.48699999999999999</v>
      </c>
      <c r="DF624" s="601">
        <f t="shared" si="1150"/>
        <v>0.48699999999999999</v>
      </c>
      <c r="DG624" s="612"/>
      <c r="DH624" s="612"/>
    </row>
    <row r="625" spans="1:113" s="554" customFormat="1" ht="11.25" customHeight="1">
      <c r="A625" s="547"/>
      <c r="B625"/>
      <c r="C625"/>
      <c r="D625"/>
      <c r="E625"/>
      <c r="F625"/>
      <c r="G625"/>
      <c r="H625" s="1044"/>
      <c r="I625" s="643" t="s">
        <v>79</v>
      </c>
      <c r="J625" s="644"/>
      <c r="K625" s="644"/>
      <c r="L625" s="547"/>
      <c r="M625" s="551"/>
      <c r="N625" s="551"/>
      <c r="O625" s="551"/>
      <c r="P625" s="552"/>
      <c r="Q625" s="551"/>
      <c r="R625" s="551"/>
      <c r="S625" s="551"/>
      <c r="T625" s="552"/>
      <c r="U625" s="516"/>
      <c r="V625" s="516"/>
      <c r="W625" s="516"/>
      <c r="X625" s="602"/>
      <c r="Y625" s="516"/>
      <c r="Z625" s="516"/>
      <c r="AA625" s="516"/>
      <c r="AB625" s="602"/>
      <c r="AC625" s="516"/>
      <c r="AD625" s="516"/>
      <c r="AE625" s="516"/>
      <c r="AF625" s="602"/>
      <c r="AG625" s="516"/>
      <c r="AH625" s="516"/>
      <c r="AI625" s="516"/>
      <c r="AJ625" s="602"/>
      <c r="AK625" s="516"/>
      <c r="AL625" s="516"/>
      <c r="AM625" s="516"/>
      <c r="AN625" s="602"/>
      <c r="AO625" s="516"/>
      <c r="AP625" s="516"/>
      <c r="AQ625" s="516"/>
      <c r="AR625" s="602"/>
      <c r="AS625" s="516"/>
      <c r="AT625" s="516"/>
      <c r="AU625" s="516"/>
      <c r="AV625" s="602"/>
      <c r="AW625" s="645"/>
      <c r="AX625" s="645"/>
      <c r="AY625" s="645"/>
      <c r="AZ625" s="602"/>
      <c r="BA625" s="516">
        <v>-797.67700000000002</v>
      </c>
      <c r="BB625" s="516">
        <v>-799.10599999999999</v>
      </c>
      <c r="BC625" s="516">
        <v>-802.78399999999999</v>
      </c>
      <c r="BD625" s="602">
        <v>-803.58600000000001</v>
      </c>
      <c r="BE625" s="516">
        <v>-1057.8109999999999</v>
      </c>
      <c r="BF625" s="516">
        <v>-1058.7539999999999</v>
      </c>
      <c r="BG625" s="516">
        <v>-1058.9829999999999</v>
      </c>
      <c r="BH625" s="602">
        <v>-1060.607</v>
      </c>
      <c r="BI625" s="516">
        <v>-1136.9870000000001</v>
      </c>
      <c r="BJ625" s="516">
        <f>+-1483.892</f>
        <v>-1483.8920000000001</v>
      </c>
      <c r="BK625" s="516">
        <v>-1943.615</v>
      </c>
      <c r="BL625" s="602">
        <v>-1987.2070000000001</v>
      </c>
      <c r="BM625" s="516">
        <v>-2083.8670000000002</v>
      </c>
      <c r="BN625" s="516">
        <v>-2084.5329999999999</v>
      </c>
      <c r="BO625" s="516">
        <v>-2232.663</v>
      </c>
      <c r="BP625" s="602">
        <v>-2737.585</v>
      </c>
      <c r="BQ625" s="516">
        <v>-3046.203</v>
      </c>
      <c r="BR625" s="516">
        <v>-3900.011</v>
      </c>
      <c r="BS625" s="516">
        <v>-5073.3999999999996</v>
      </c>
      <c r="BT625" s="602">
        <v>-5826.64</v>
      </c>
      <c r="BU625" s="516">
        <v>-6086.0010000000002</v>
      </c>
      <c r="BV625" s="516">
        <v>-6385.308</v>
      </c>
      <c r="BW625" s="516">
        <v>-6584.1170000000002</v>
      </c>
      <c r="BX625" s="602">
        <v>-6855.1639999999998</v>
      </c>
      <c r="BY625" s="516">
        <f>+-7067.508</f>
        <v>-7067.5079999999998</v>
      </c>
      <c r="BZ625" s="516">
        <f>+-7411.392</f>
        <v>-7411.3919999999998</v>
      </c>
      <c r="CA625" s="516">
        <f>+-7997.881</f>
        <v>-7997.8810000000003</v>
      </c>
      <c r="CB625" s="602">
        <v>-8698.8289999999997</v>
      </c>
      <c r="CC625" s="517">
        <f>+CB625+CC685</f>
        <v>-9323.8289999999997</v>
      </c>
      <c r="CD625" s="517">
        <f>+CC625+CD685</f>
        <v>-9948.8289999999997</v>
      </c>
      <c r="CE625" s="517">
        <f>+CD625+CE685</f>
        <v>-10573.829</v>
      </c>
      <c r="CF625" s="601">
        <f>+CE625+CF685</f>
        <v>-11198.829</v>
      </c>
      <c r="CG625" s="552"/>
      <c r="CH625" s="553"/>
      <c r="CI625" s="551"/>
      <c r="CJ625" s="516"/>
      <c r="CK625" s="516"/>
      <c r="CL625" s="516"/>
      <c r="CM625" s="516"/>
      <c r="CN625" s="516"/>
      <c r="CO625" s="516"/>
      <c r="CP625" s="645"/>
      <c r="CQ625" s="516">
        <v>-640.41499999999996</v>
      </c>
      <c r="CR625" s="516">
        <v>-803.58600000000001</v>
      </c>
      <c r="CS625" s="517">
        <f>+BH625</f>
        <v>-1060.607</v>
      </c>
      <c r="CT625" s="517">
        <f>+BL625</f>
        <v>-1987.2070000000001</v>
      </c>
      <c r="CU625" s="517">
        <f t="shared" si="1144"/>
        <v>-2737.585</v>
      </c>
      <c r="CV625" s="517">
        <f t="shared" si="1145"/>
        <v>-5826.64</v>
      </c>
      <c r="CW625" s="517">
        <f t="shared" si="1146"/>
        <v>-6855.1639999999998</v>
      </c>
      <c r="CX625" s="517">
        <f t="shared" si="1147"/>
        <v>-8698.8289999999997</v>
      </c>
      <c r="CY625" s="517">
        <f t="shared" si="1148"/>
        <v>-11198.829</v>
      </c>
      <c r="CZ625" s="517">
        <f t="shared" ref="CZ625:DF625" si="1151">+CY625+CZ685</f>
        <v>-13698.829</v>
      </c>
      <c r="DA625" s="517">
        <f t="shared" si="1151"/>
        <v>-16198.829</v>
      </c>
      <c r="DB625" s="517">
        <f t="shared" si="1151"/>
        <v>-18698.828999999998</v>
      </c>
      <c r="DC625" s="517">
        <f t="shared" si="1151"/>
        <v>-19698.828999999998</v>
      </c>
      <c r="DD625" s="517">
        <f t="shared" si="1151"/>
        <v>-20698.828999999998</v>
      </c>
      <c r="DE625" s="517">
        <f t="shared" si="1151"/>
        <v>-21698.828999999998</v>
      </c>
      <c r="DF625" s="601">
        <f t="shared" si="1151"/>
        <v>-22698.828999999998</v>
      </c>
      <c r="DG625" s="612"/>
      <c r="DH625" s="612"/>
    </row>
    <row r="626" spans="1:113" s="554" customFormat="1" ht="11.25" customHeight="1">
      <c r="A626" s="547"/>
      <c r="B626"/>
      <c r="C626"/>
      <c r="D626"/>
      <c r="E626"/>
      <c r="F626"/>
      <c r="G626"/>
      <c r="H626" s="1044"/>
      <c r="I626" s="643" t="s">
        <v>80</v>
      </c>
      <c r="J626" s="644"/>
      <c r="K626" s="644"/>
      <c r="L626" s="547"/>
      <c r="M626" s="551"/>
      <c r="N626" s="551"/>
      <c r="O626" s="551"/>
      <c r="P626" s="552"/>
      <c r="Q626" s="551"/>
      <c r="R626" s="551"/>
      <c r="S626" s="551"/>
      <c r="T626" s="552"/>
      <c r="U626" s="516"/>
      <c r="V626" s="516"/>
      <c r="W626" s="516"/>
      <c r="X626" s="602"/>
      <c r="Y626" s="516"/>
      <c r="Z626" s="516"/>
      <c r="AA626" s="516"/>
      <c r="AB626" s="602"/>
      <c r="AC626" s="516"/>
      <c r="AD626" s="516"/>
      <c r="AE626" s="516"/>
      <c r="AF626" s="602"/>
      <c r="AG626" s="516"/>
      <c r="AH626" s="516"/>
      <c r="AI626" s="516"/>
      <c r="AJ626" s="602"/>
      <c r="AK626" s="516"/>
      <c r="AL626" s="516"/>
      <c r="AM626" s="516"/>
      <c r="AN626" s="602"/>
      <c r="AO626" s="516"/>
      <c r="AP626" s="516"/>
      <c r="AQ626" s="516"/>
      <c r="AR626" s="602"/>
      <c r="AS626" s="516"/>
      <c r="AT626" s="516"/>
      <c r="AU626" s="516"/>
      <c r="AV626" s="602"/>
      <c r="AW626" s="645"/>
      <c r="AX626" s="645"/>
      <c r="AY626" s="645"/>
      <c r="AZ626" s="602"/>
      <c r="BA626" s="516">
        <v>2347.7280000000001</v>
      </c>
      <c r="BB626" s="516">
        <v>2372.2829999999999</v>
      </c>
      <c r="BC626" s="516">
        <v>2394.0340000000001</v>
      </c>
      <c r="BD626" s="602">
        <v>2431.279</v>
      </c>
      <c r="BE626" s="516">
        <v>2536.6390000000001</v>
      </c>
      <c r="BF626" s="516">
        <v>2569.123</v>
      </c>
      <c r="BG626" s="516">
        <v>2593.8829999999998</v>
      </c>
      <c r="BH626" s="602">
        <v>2612.1970000000001</v>
      </c>
      <c r="BI626" s="516">
        <v>2645.3159999999998</v>
      </c>
      <c r="BJ626" s="516">
        <v>4408.9809999999998</v>
      </c>
      <c r="BK626" s="516">
        <v>4459.3329999999996</v>
      </c>
      <c r="BL626" s="602">
        <v>4592.9790000000003</v>
      </c>
      <c r="BM626" s="516">
        <v>4650.0770000000002</v>
      </c>
      <c r="BN626" s="516">
        <v>4703.3289999999997</v>
      </c>
      <c r="BO626" s="516">
        <v>4848.8239999999996</v>
      </c>
      <c r="BP626" s="602">
        <v>4923.1959999999999</v>
      </c>
      <c r="BQ626" s="516">
        <v>4926.5600000000004</v>
      </c>
      <c r="BR626" s="516">
        <v>5009.7529999999997</v>
      </c>
      <c r="BS626" s="516">
        <v>5097.5600000000004</v>
      </c>
      <c r="BT626" s="602">
        <v>5184.91</v>
      </c>
      <c r="BU626" s="516">
        <v>5273.83</v>
      </c>
      <c r="BV626" s="516">
        <v>5377.16</v>
      </c>
      <c r="BW626" s="516">
        <v>5410.9129999999996</v>
      </c>
      <c r="BX626" s="602">
        <v>5482.6530000000002</v>
      </c>
      <c r="BY626" s="516">
        <v>5558.1940000000004</v>
      </c>
      <c r="BZ626" s="516">
        <v>5633.6589999999997</v>
      </c>
      <c r="CA626" s="516">
        <v>5707.3310000000001</v>
      </c>
      <c r="CB626" s="602">
        <v>5783.0889999999999</v>
      </c>
      <c r="CC626" s="517">
        <f>CB626+CC652</f>
        <v>5783.0889999999999</v>
      </c>
      <c r="CD626" s="517">
        <f>CC626+CD652</f>
        <v>5783.0889999999999</v>
      </c>
      <c r="CE626" s="517">
        <f>CD626+CE652</f>
        <v>5783.0889999999999</v>
      </c>
      <c r="CF626" s="601">
        <f>CE626+CF652</f>
        <v>5783.0889999999999</v>
      </c>
      <c r="CG626" s="552"/>
      <c r="CH626" s="553"/>
      <c r="CI626" s="551"/>
      <c r="CJ626" s="516"/>
      <c r="CK626" s="516"/>
      <c r="CL626" s="516"/>
      <c r="CM626" s="516"/>
      <c r="CN626" s="516"/>
      <c r="CO626" s="516"/>
      <c r="CP626" s="645"/>
      <c r="CQ626" s="516">
        <v>2417.0920000000001</v>
      </c>
      <c r="CR626" s="516">
        <v>2431.279</v>
      </c>
      <c r="CS626" s="517">
        <f>+BH626</f>
        <v>2612.1970000000001</v>
      </c>
      <c r="CT626" s="517">
        <f>+BL626</f>
        <v>4592.9790000000003</v>
      </c>
      <c r="CU626" s="517">
        <f t="shared" si="1144"/>
        <v>4923.1959999999999</v>
      </c>
      <c r="CV626" s="517">
        <f t="shared" si="1145"/>
        <v>5184.91</v>
      </c>
      <c r="CW626" s="517">
        <f t="shared" si="1146"/>
        <v>5482.6530000000002</v>
      </c>
      <c r="CX626" s="517">
        <f t="shared" si="1147"/>
        <v>5783.0889999999999</v>
      </c>
      <c r="CY626" s="517">
        <f t="shared" si="1148"/>
        <v>5783.0889999999999</v>
      </c>
      <c r="CZ626" s="517">
        <f>CY626+CZ652</f>
        <v>5783.0889999999999</v>
      </c>
      <c r="DA626" s="517">
        <f t="shared" ref="DA626:DF626" si="1152">CZ626+DA652</f>
        <v>5783.0889999999999</v>
      </c>
      <c r="DB626" s="517">
        <f t="shared" si="1152"/>
        <v>5783.0889999999999</v>
      </c>
      <c r="DC626" s="517">
        <f t="shared" si="1152"/>
        <v>5783.0889999999999</v>
      </c>
      <c r="DD626" s="517">
        <f t="shared" si="1152"/>
        <v>5783.0889999999999</v>
      </c>
      <c r="DE626" s="517">
        <f t="shared" si="1152"/>
        <v>5783.0889999999999</v>
      </c>
      <c r="DF626" s="601">
        <f t="shared" si="1152"/>
        <v>5783.0889999999999</v>
      </c>
      <c r="DG626" s="612"/>
      <c r="DH626" s="612"/>
    </row>
    <row r="627" spans="1:113" s="554" customFormat="1" ht="11.25" customHeight="1">
      <c r="A627" s="547"/>
      <c r="B627"/>
      <c r="C627"/>
      <c r="D627"/>
      <c r="E627"/>
      <c r="F627"/>
      <c r="G627"/>
      <c r="H627" s="1044"/>
      <c r="I627" s="643" t="s">
        <v>586</v>
      </c>
      <c r="J627" s="644"/>
      <c r="K627" s="644"/>
      <c r="L627" s="547"/>
      <c r="M627" s="551"/>
      <c r="N627" s="551"/>
      <c r="O627" s="551"/>
      <c r="P627" s="552"/>
      <c r="Q627" s="551"/>
      <c r="R627" s="551"/>
      <c r="S627" s="551"/>
      <c r="T627" s="552"/>
      <c r="U627" s="516"/>
      <c r="V627" s="516"/>
      <c r="W627" s="516"/>
      <c r="X627" s="602"/>
      <c r="Y627" s="516"/>
      <c r="Z627" s="516"/>
      <c r="AA627" s="516"/>
      <c r="AB627" s="602"/>
      <c r="AC627" s="516"/>
      <c r="AD627" s="516"/>
      <c r="AE627" s="516"/>
      <c r="AF627" s="602"/>
      <c r="AG627" s="516"/>
      <c r="AH627" s="516"/>
      <c r="AI627" s="516"/>
      <c r="AJ627" s="602"/>
      <c r="AK627" s="516"/>
      <c r="AL627" s="516"/>
      <c r="AM627" s="516"/>
      <c r="AN627" s="602"/>
      <c r="AO627" s="516"/>
      <c r="AP627" s="516"/>
      <c r="AQ627" s="516"/>
      <c r="AR627" s="602"/>
      <c r="AS627" s="516"/>
      <c r="AT627" s="516"/>
      <c r="AU627" s="516"/>
      <c r="AV627" s="602"/>
      <c r="AW627" s="645"/>
      <c r="AX627" s="645"/>
      <c r="AY627" s="645"/>
      <c r="AZ627" s="602"/>
      <c r="BA627" s="516">
        <v>163.54499999999999</v>
      </c>
      <c r="BB627" s="516">
        <v>396.52800000000002</v>
      </c>
      <c r="BC627" s="516">
        <v>858.43799999999999</v>
      </c>
      <c r="BD627" s="602">
        <v>1033.7380000000001</v>
      </c>
      <c r="BE627" s="516">
        <v>1163.4939999999999</v>
      </c>
      <c r="BF627" s="516">
        <v>1524.615</v>
      </c>
      <c r="BG627" s="516">
        <v>2105.386</v>
      </c>
      <c r="BH627" s="602">
        <v>2368.6109999999999</v>
      </c>
      <c r="BI627" s="516">
        <v>2570.114</v>
      </c>
      <c r="BJ627" s="516">
        <v>3007.6860000000001</v>
      </c>
      <c r="BK627" s="516">
        <v>3840.6750000000002</v>
      </c>
      <c r="BL627" s="602">
        <v>4218.7520000000004</v>
      </c>
      <c r="BM627" s="516">
        <v>4549.97</v>
      </c>
      <c r="BN627" s="516">
        <v>5126.4210000000003</v>
      </c>
      <c r="BO627" s="516">
        <v>6188.674</v>
      </c>
      <c r="BP627" s="602">
        <v>6640.5050000000001</v>
      </c>
      <c r="BQ627" s="516">
        <v>6973.8320000000003</v>
      </c>
      <c r="BR627" s="516">
        <v>7490.8639999999996</v>
      </c>
      <c r="BS627" s="516">
        <v>8687.5959999999995</v>
      </c>
      <c r="BT627" s="602">
        <v>9191.8649999999998</v>
      </c>
      <c r="BU627" s="516">
        <v>9566.2890000000007</v>
      </c>
      <c r="BV627" s="516">
        <v>10146.927</v>
      </c>
      <c r="BW627" s="516">
        <v>10652.944</v>
      </c>
      <c r="BX627" s="602">
        <v>11326.852000000001</v>
      </c>
      <c r="BY627" s="516">
        <v>12072.791999999999</v>
      </c>
      <c r="BZ627" s="516">
        <v>12793.001</v>
      </c>
      <c r="CA627" s="516">
        <v>14513.392</v>
      </c>
      <c r="CB627" s="602">
        <v>13938.869000000001</v>
      </c>
      <c r="CC627" s="517">
        <f>CB627+CC645</f>
        <v>14458.34169697735</v>
      </c>
      <c r="CD627" s="517">
        <f>CC627+CD645</f>
        <v>15340.778970051457</v>
      </c>
      <c r="CE627" s="517">
        <f>CD627+CE645</f>
        <v>17302.513183208252</v>
      </c>
      <c r="CF627" s="601">
        <f>CE627+CF645</f>
        <v>18313.77222888104</v>
      </c>
      <c r="CG627" s="552"/>
      <c r="CH627" s="553"/>
      <c r="CI627" s="551"/>
      <c r="CJ627" s="516"/>
      <c r="CK627" s="516"/>
      <c r="CL627" s="516"/>
      <c r="CM627" s="516"/>
      <c r="CN627" s="516"/>
      <c r="CO627" s="516"/>
      <c r="CP627" s="645"/>
      <c r="CQ627" s="516">
        <v>69.11</v>
      </c>
      <c r="CR627" s="516">
        <v>1033.7380000000001</v>
      </c>
      <c r="CS627" s="517">
        <f>+BH627</f>
        <v>2368.6109999999999</v>
      </c>
      <c r="CT627" s="517">
        <f>+BL627</f>
        <v>4218.7520000000004</v>
      </c>
      <c r="CU627" s="517">
        <f>BP627</f>
        <v>6640.5050000000001</v>
      </c>
      <c r="CV627" s="517">
        <f>BT627</f>
        <v>9191.8649999999998</v>
      </c>
      <c r="CW627" s="517">
        <f>BX627</f>
        <v>11326.852000000001</v>
      </c>
      <c r="CX627" s="517">
        <f>CB627</f>
        <v>13938.869000000001</v>
      </c>
      <c r="CY627" s="517">
        <f>CF627</f>
        <v>18313.77222888104</v>
      </c>
      <c r="CZ627" s="517">
        <f>CY627+CZ645</f>
        <v>23375.255574500494</v>
      </c>
      <c r="DA627" s="517">
        <f t="shared" ref="DA627:DF627" si="1153">CZ627+DA645</f>
        <v>29157.978418460418</v>
      </c>
      <c r="DB627" s="517">
        <f t="shared" si="1153"/>
        <v>35664.207575207547</v>
      </c>
      <c r="DC627" s="517">
        <f t="shared" si="1153"/>
        <v>42888.758083605499</v>
      </c>
      <c r="DD627" s="517">
        <f t="shared" si="1153"/>
        <v>50810.748551451979</v>
      </c>
      <c r="DE627" s="517">
        <f t="shared" si="1153"/>
        <v>59427.775368515591</v>
      </c>
      <c r="DF627" s="601">
        <f t="shared" si="1153"/>
        <v>68821.130845469481</v>
      </c>
      <c r="DG627" s="612"/>
      <c r="DH627" s="612"/>
    </row>
    <row r="628" spans="1:113" s="554" customFormat="1" ht="11.25" customHeight="1">
      <c r="A628" s="547"/>
      <c r="B628"/>
      <c r="C628"/>
      <c r="D628"/>
      <c r="E628"/>
      <c r="F628"/>
      <c r="G628"/>
      <c r="H628" s="1044"/>
      <c r="I628" s="646" t="s">
        <v>81</v>
      </c>
      <c r="J628" s="647"/>
      <c r="K628" s="647"/>
      <c r="L628" s="560"/>
      <c r="M628" s="561"/>
      <c r="N628" s="561"/>
      <c r="O628" s="561"/>
      <c r="P628" s="562"/>
      <c r="Q628" s="561"/>
      <c r="R628" s="561"/>
      <c r="S628" s="561"/>
      <c r="T628" s="562"/>
      <c r="U628" s="511"/>
      <c r="V628" s="511"/>
      <c r="W628" s="511"/>
      <c r="X628" s="648"/>
      <c r="Y628" s="511"/>
      <c r="Z628" s="511"/>
      <c r="AA628" s="511"/>
      <c r="AB628" s="648"/>
      <c r="AC628" s="511"/>
      <c r="AD628" s="511"/>
      <c r="AE628" s="511"/>
      <c r="AF628" s="648"/>
      <c r="AG628" s="511"/>
      <c r="AH628" s="511"/>
      <c r="AI628" s="511"/>
      <c r="AJ628" s="648"/>
      <c r="AK628" s="511"/>
      <c r="AL628" s="511"/>
      <c r="AM628" s="511"/>
      <c r="AN628" s="648"/>
      <c r="AO628" s="511"/>
      <c r="AP628" s="511"/>
      <c r="AQ628" s="511"/>
      <c r="AR628" s="648"/>
      <c r="AS628" s="511"/>
      <c r="AT628" s="511"/>
      <c r="AU628" s="511"/>
      <c r="AV628" s="648"/>
      <c r="AW628" s="649"/>
      <c r="AX628" s="649"/>
      <c r="AY628" s="649"/>
      <c r="AZ628" s="648"/>
      <c r="BA628" s="511">
        <v>10.36</v>
      </c>
      <c r="BB628" s="511">
        <v>19.475999999999999</v>
      </c>
      <c r="BC628" s="511">
        <v>-59.835000000000001</v>
      </c>
      <c r="BD628" s="648">
        <v>-87.581999999999994</v>
      </c>
      <c r="BE628" s="511">
        <v>-51.112000000000002</v>
      </c>
      <c r="BF628" s="511">
        <v>-107.64700000000001</v>
      </c>
      <c r="BG628" s="511">
        <v>-62.872</v>
      </c>
      <c r="BH628" s="648">
        <v>-23.675999999999998</v>
      </c>
      <c r="BI628" s="511">
        <v>-88.06</v>
      </c>
      <c r="BJ628" s="512">
        <f>+-75.582</f>
        <v>-75.581999999999994</v>
      </c>
      <c r="BK628" s="511">
        <v>39.761000000000003</v>
      </c>
      <c r="BL628" s="648">
        <v>84.728999999999999</v>
      </c>
      <c r="BM628" s="511">
        <v>92.751000000000005</v>
      </c>
      <c r="BN628" s="511">
        <v>78.334999999999994</v>
      </c>
      <c r="BO628" s="511">
        <v>-72.203999999999994</v>
      </c>
      <c r="BP628" s="648">
        <v>-259.90199999999999</v>
      </c>
      <c r="BQ628" s="511">
        <v>-224.54499999999999</v>
      </c>
      <c r="BR628" s="511">
        <v>-43.122999999999998</v>
      </c>
      <c r="BS628" s="511">
        <v>-185.465</v>
      </c>
      <c r="BT628" s="648">
        <v>244.852</v>
      </c>
      <c r="BU628" s="511">
        <v>297.76499999999999</v>
      </c>
      <c r="BV628" s="511">
        <v>135.44200000000001</v>
      </c>
      <c r="BW628" s="511">
        <v>322.346</v>
      </c>
      <c r="BX628" s="648">
        <v>-134.684</v>
      </c>
      <c r="BY628" s="511">
        <v>247.05500000000001</v>
      </c>
      <c r="BZ628" s="511">
        <v>573.91499999999996</v>
      </c>
      <c r="CA628" s="511">
        <v>653.66600000000005</v>
      </c>
      <c r="CB628" s="648">
        <v>236.982</v>
      </c>
      <c r="CC628" s="512">
        <f>CB628</f>
        <v>236.982</v>
      </c>
      <c r="CD628" s="512">
        <f>CC628</f>
        <v>236.982</v>
      </c>
      <c r="CE628" s="512">
        <f>CD628</f>
        <v>236.982</v>
      </c>
      <c r="CF628" s="513">
        <f>CE628</f>
        <v>236.982</v>
      </c>
      <c r="CG628" s="552"/>
      <c r="CH628" s="567"/>
      <c r="CI628" s="561"/>
      <c r="CJ628" s="511"/>
      <c r="CK628" s="511"/>
      <c r="CL628" s="511"/>
      <c r="CM628" s="511"/>
      <c r="CN628" s="511"/>
      <c r="CO628" s="511"/>
      <c r="CP628" s="649"/>
      <c r="CQ628" s="511">
        <v>-32.889000000000003</v>
      </c>
      <c r="CR628" s="511">
        <v>-87.581999999999994</v>
      </c>
      <c r="CS628" s="512">
        <f>+BH628</f>
        <v>-23.675999999999998</v>
      </c>
      <c r="CT628" s="512">
        <f>+BL628</f>
        <v>84.728999999999999</v>
      </c>
      <c r="CU628" s="512">
        <f t="shared" si="1144"/>
        <v>-259.90199999999999</v>
      </c>
      <c r="CV628" s="512">
        <f t="shared" si="1145"/>
        <v>244.852</v>
      </c>
      <c r="CW628" s="512">
        <f t="shared" si="1146"/>
        <v>-134.684</v>
      </c>
      <c r="CX628" s="512">
        <f t="shared" si="1147"/>
        <v>236.982</v>
      </c>
      <c r="CY628" s="512">
        <f t="shared" si="1148"/>
        <v>236.982</v>
      </c>
      <c r="CZ628" s="512">
        <f t="shared" ref="CZ628:DF628" si="1154">CY628</f>
        <v>236.982</v>
      </c>
      <c r="DA628" s="512">
        <f t="shared" si="1154"/>
        <v>236.982</v>
      </c>
      <c r="DB628" s="512">
        <f t="shared" si="1154"/>
        <v>236.982</v>
      </c>
      <c r="DC628" s="512">
        <f t="shared" si="1154"/>
        <v>236.982</v>
      </c>
      <c r="DD628" s="512">
        <f t="shared" si="1154"/>
        <v>236.982</v>
      </c>
      <c r="DE628" s="512">
        <f t="shared" si="1154"/>
        <v>236.982</v>
      </c>
      <c r="DF628" s="513">
        <f t="shared" si="1154"/>
        <v>236.982</v>
      </c>
      <c r="DG628" s="612"/>
      <c r="DH628" s="612"/>
    </row>
    <row r="629" spans="1:113" s="584" customFormat="1" ht="11.25" customHeight="1">
      <c r="A629" s="542"/>
      <c r="B629"/>
      <c r="C629"/>
      <c r="D629"/>
      <c r="E629"/>
      <c r="F629"/>
      <c r="G629"/>
      <c r="H629" s="1052"/>
      <c r="I629" s="650" t="s">
        <v>82</v>
      </c>
      <c r="J629" s="651"/>
      <c r="K629" s="651"/>
      <c r="L629" s="542"/>
      <c r="M629" s="581"/>
      <c r="N629" s="581"/>
      <c r="O629" s="581"/>
      <c r="P629" s="582"/>
      <c r="Q629" s="581"/>
      <c r="R629" s="581"/>
      <c r="S629" s="581"/>
      <c r="T629" s="582"/>
      <c r="U629" s="600"/>
      <c r="V629" s="600"/>
      <c r="W629" s="600"/>
      <c r="X629" s="599"/>
      <c r="Y629" s="600"/>
      <c r="Z629" s="600"/>
      <c r="AA629" s="600"/>
      <c r="AB629" s="599"/>
      <c r="AC629" s="600"/>
      <c r="AD629" s="600"/>
      <c r="AE629" s="600"/>
      <c r="AF629" s="599"/>
      <c r="AG629" s="600"/>
      <c r="AH629" s="600"/>
      <c r="AI629" s="600"/>
      <c r="AJ629" s="599"/>
      <c r="AK629" s="600"/>
      <c r="AL629" s="600"/>
      <c r="AM629" s="600"/>
      <c r="AN629" s="599"/>
      <c r="AO629" s="600"/>
      <c r="AP629" s="600"/>
      <c r="AQ629" s="600"/>
      <c r="AR629" s="599"/>
      <c r="AS629" s="600"/>
      <c r="AT629" s="600"/>
      <c r="AU629" s="600"/>
      <c r="AV629" s="599"/>
      <c r="AW629" s="642"/>
      <c r="AX629" s="642"/>
      <c r="AY629" s="642"/>
      <c r="AZ629" s="599"/>
      <c r="BA629" s="514">
        <f t="shared" ref="BA629:CF629" si="1155">SUM(BA624:BA628)</f>
        <v>1724.4010000000001</v>
      </c>
      <c r="BB629" s="514">
        <f t="shared" si="1155"/>
        <v>1989.627</v>
      </c>
      <c r="BC629" s="514">
        <f t="shared" si="1155"/>
        <v>2390.299</v>
      </c>
      <c r="BD629" s="515">
        <f t="shared" si="1155"/>
        <v>2574.2950000000005</v>
      </c>
      <c r="BE629" s="514">
        <f t="shared" si="1155"/>
        <v>2591.6590000000001</v>
      </c>
      <c r="BF629" s="514">
        <f t="shared" si="1155"/>
        <v>2927.7870000000003</v>
      </c>
      <c r="BG629" s="514">
        <f t="shared" si="1155"/>
        <v>3577.864</v>
      </c>
      <c r="BH629" s="515">
        <f t="shared" si="1155"/>
        <v>3896.9749999999999</v>
      </c>
      <c r="BI629" s="514">
        <f t="shared" si="1155"/>
        <v>3990.8349999999996</v>
      </c>
      <c r="BJ629" s="514">
        <f t="shared" si="1155"/>
        <v>5857.66</v>
      </c>
      <c r="BK629" s="514">
        <f t="shared" si="1155"/>
        <v>6396.6220000000003</v>
      </c>
      <c r="BL629" s="515">
        <f t="shared" si="1155"/>
        <v>6909.7290000000012</v>
      </c>
      <c r="BM629" s="514">
        <f t="shared" si="1155"/>
        <v>7209.4090000000006</v>
      </c>
      <c r="BN629" s="514">
        <f t="shared" si="1155"/>
        <v>7824.0320000000002</v>
      </c>
      <c r="BO629" s="514">
        <f t="shared" si="1155"/>
        <v>8733.110999999999</v>
      </c>
      <c r="BP629" s="515">
        <f t="shared" ref="BP629:BU629" si="1156">SUM(BP624:BP628)</f>
        <v>8566.6939999999995</v>
      </c>
      <c r="BQ629" s="514">
        <f t="shared" si="1156"/>
        <v>8630.1250000000018</v>
      </c>
      <c r="BR629" s="514">
        <f t="shared" si="1156"/>
        <v>8557.9650000000001</v>
      </c>
      <c r="BS629" s="514">
        <f t="shared" si="1156"/>
        <v>8526.773000000001</v>
      </c>
      <c r="BT629" s="515">
        <f t="shared" si="1156"/>
        <v>8795.4689999999991</v>
      </c>
      <c r="BU629" s="514">
        <f t="shared" si="1156"/>
        <v>9052.3670000000002</v>
      </c>
      <c r="BV629" s="514">
        <f>SUM(BV624:BV628)</f>
        <v>9274.7049999999981</v>
      </c>
      <c r="BW629" s="514">
        <f>SUM(BW624:BW628)</f>
        <v>9802.5699999999979</v>
      </c>
      <c r="BX629" s="515">
        <f>SUM(BX624:BX628)</f>
        <v>9820.1420000000016</v>
      </c>
      <c r="BY629" s="514">
        <f>SUM(BY624:BY628)</f>
        <v>10811.019</v>
      </c>
      <c r="BZ629" s="514">
        <f>SUM(BZ624:BZ628)</f>
        <v>11589.669000000002</v>
      </c>
      <c r="CA629" s="514">
        <f t="shared" si="1155"/>
        <v>12876.993999999999</v>
      </c>
      <c r="CB629" s="515">
        <f t="shared" si="1155"/>
        <v>11260.598</v>
      </c>
      <c r="CC629" s="514">
        <f t="shared" si="1155"/>
        <v>11155.070696977349</v>
      </c>
      <c r="CD629" s="514">
        <f t="shared" si="1155"/>
        <v>11412.507970051456</v>
      </c>
      <c r="CE629" s="514">
        <f t="shared" si="1155"/>
        <v>12749.242183208251</v>
      </c>
      <c r="CF629" s="515">
        <f t="shared" si="1155"/>
        <v>13135.501228881039</v>
      </c>
      <c r="CG629" s="582"/>
      <c r="CH629" s="583"/>
      <c r="CI629" s="581"/>
      <c r="CJ629" s="600"/>
      <c r="CK629" s="600"/>
      <c r="CL629" s="600"/>
      <c r="CM629" s="600"/>
      <c r="CN629" s="600"/>
      <c r="CO629" s="600"/>
      <c r="CP629" s="642"/>
      <c r="CQ629" s="514">
        <f t="shared" ref="CQ629:CZ629" si="1157">SUM(CQ624:CQ628)</f>
        <v>1813.3360000000002</v>
      </c>
      <c r="CR629" s="514">
        <f t="shared" si="1157"/>
        <v>2574.2950000000005</v>
      </c>
      <c r="CS629" s="514">
        <f t="shared" si="1157"/>
        <v>3896.9749999999999</v>
      </c>
      <c r="CT629" s="514">
        <f t="shared" si="1157"/>
        <v>6909.7290000000012</v>
      </c>
      <c r="CU629" s="514">
        <f t="shared" si="1157"/>
        <v>8566.6939999999995</v>
      </c>
      <c r="CV629" s="514">
        <f t="shared" si="1157"/>
        <v>8795.4689999999991</v>
      </c>
      <c r="CW629" s="514">
        <f t="shared" si="1157"/>
        <v>9820.1420000000016</v>
      </c>
      <c r="CX629" s="514">
        <f t="shared" si="1157"/>
        <v>11260.598</v>
      </c>
      <c r="CY629" s="514">
        <f t="shared" si="1157"/>
        <v>13135.501228881039</v>
      </c>
      <c r="CZ629" s="514">
        <f t="shared" si="1157"/>
        <v>15696.984574500493</v>
      </c>
      <c r="DA629" s="514">
        <f t="shared" ref="DA629:DF629" si="1158">SUM(DA624:DA628)</f>
        <v>18979.707418460417</v>
      </c>
      <c r="DB629" s="514">
        <f t="shared" si="1158"/>
        <v>22985.93657520755</v>
      </c>
      <c r="DC629" s="514">
        <f t="shared" si="1158"/>
        <v>29210.487083605502</v>
      </c>
      <c r="DD629" s="514">
        <f t="shared" si="1158"/>
        <v>36132.477551451986</v>
      </c>
      <c r="DE629" s="514">
        <f t="shared" si="1158"/>
        <v>43749.504368515598</v>
      </c>
      <c r="DF629" s="515">
        <f t="shared" si="1158"/>
        <v>52142.859845469487</v>
      </c>
      <c r="DG629" s="632"/>
      <c r="DH629" s="632"/>
    </row>
    <row r="630" spans="1:113" s="584" customFormat="1" ht="11.25" customHeight="1">
      <c r="A630" s="542"/>
      <c r="B630"/>
      <c r="C630"/>
      <c r="D630"/>
      <c r="E630"/>
      <c r="F630"/>
      <c r="G630"/>
      <c r="H630" s="1052"/>
      <c r="I630" s="655" t="s">
        <v>83</v>
      </c>
      <c r="J630" s="225"/>
      <c r="K630" s="225"/>
      <c r="L630" s="542"/>
      <c r="M630" s="581"/>
      <c r="N630" s="581"/>
      <c r="O630" s="581"/>
      <c r="P630" s="582"/>
      <c r="Q630" s="581"/>
      <c r="R630" s="581"/>
      <c r="S630" s="581"/>
      <c r="T630" s="582"/>
      <c r="U630" s="600"/>
      <c r="V630" s="600"/>
      <c r="W630" s="600"/>
      <c r="X630" s="599"/>
      <c r="Y630" s="600"/>
      <c r="Z630" s="600"/>
      <c r="AA630" s="600"/>
      <c r="AB630" s="599"/>
      <c r="AC630" s="600"/>
      <c r="AD630" s="600"/>
      <c r="AE630" s="600"/>
      <c r="AF630" s="599"/>
      <c r="AG630" s="600"/>
      <c r="AH630" s="600"/>
      <c r="AI630" s="600"/>
      <c r="AJ630" s="599"/>
      <c r="AK630" s="600"/>
      <c r="AL630" s="600"/>
      <c r="AM630" s="600"/>
      <c r="AN630" s="599"/>
      <c r="AO630" s="600"/>
      <c r="AP630" s="600"/>
      <c r="AQ630" s="600"/>
      <c r="AR630" s="599"/>
      <c r="AS630" s="600"/>
      <c r="AT630" s="600"/>
      <c r="AU630" s="600"/>
      <c r="AV630" s="599"/>
      <c r="AW630" s="642"/>
      <c r="AX630" s="642"/>
      <c r="AY630" s="642"/>
      <c r="AZ630" s="599"/>
      <c r="BA630" s="514">
        <f t="shared" ref="BA630:BH630" si="1159">+BA617+BA619+BA620+BA621+BA622+BA629</f>
        <v>3065.3509999999997</v>
      </c>
      <c r="BB630" s="514">
        <f t="shared" si="1159"/>
        <v>3360.0749999999998</v>
      </c>
      <c r="BC630" s="514">
        <f t="shared" si="1159"/>
        <v>3815.5729999999999</v>
      </c>
      <c r="BD630" s="515">
        <f t="shared" si="1159"/>
        <v>3970.6710000000003</v>
      </c>
      <c r="BE630" s="514">
        <f t="shared" si="1159"/>
        <v>5092.8269999999993</v>
      </c>
      <c r="BF630" s="514">
        <f t="shared" si="1159"/>
        <v>5428.8060000000005</v>
      </c>
      <c r="BG630" s="514">
        <f t="shared" si="1159"/>
        <v>6217.8089999999993</v>
      </c>
      <c r="BH630" s="515">
        <f t="shared" si="1159"/>
        <v>6569.7420000000002</v>
      </c>
      <c r="BI630" s="514">
        <f t="shared" ref="BI630:CF630" si="1160">+BI629+BI617+BI619+BI620+BI621+BI622</f>
        <v>6855.1269999999995</v>
      </c>
      <c r="BJ630" s="514">
        <f t="shared" si="1160"/>
        <v>9867.3709999999992</v>
      </c>
      <c r="BK630" s="514">
        <f t="shared" si="1160"/>
        <v>10445.654999999999</v>
      </c>
      <c r="BL630" s="515">
        <f t="shared" si="1160"/>
        <v>10444.460000000001</v>
      </c>
      <c r="BM630" s="514">
        <f t="shared" si="1160"/>
        <v>10813.683999999999</v>
      </c>
      <c r="BN630" s="514">
        <f t="shared" si="1160"/>
        <v>11600.323</v>
      </c>
      <c r="BO630" s="514">
        <f t="shared" si="1160"/>
        <v>15184.38</v>
      </c>
      <c r="BP630" s="515">
        <f t="shared" ref="BP630:BU630" si="1161">+BP629+BP617+BP619+BP620+BP621+BP622</f>
        <v>14940.563</v>
      </c>
      <c r="BQ630" s="514">
        <f t="shared" si="1161"/>
        <v>16842.492000000002</v>
      </c>
      <c r="BR630" s="514">
        <f t="shared" si="1161"/>
        <v>17027.346000000001</v>
      </c>
      <c r="BS630" s="514">
        <f t="shared" si="1161"/>
        <v>16614.77</v>
      </c>
      <c r="BT630" s="515">
        <f t="shared" si="1161"/>
        <v>17420.574999999997</v>
      </c>
      <c r="BU630" s="514">
        <f t="shared" si="1161"/>
        <v>18334.546000000002</v>
      </c>
      <c r="BV630" s="514">
        <f>+BV629+BV617+BV619+BV620+BV621+BV622</f>
        <v>19687.169999999998</v>
      </c>
      <c r="BW630" s="514">
        <f>+BW629+BW617+BW619+BW620+BW621+BW622</f>
        <v>20033.784</v>
      </c>
      <c r="BX630" s="515">
        <f>+BX629+BX617+BX619+BX620+BX621+BX622</f>
        <v>19838.973000000002</v>
      </c>
      <c r="BY630" s="514">
        <f t="shared" si="1160"/>
        <v>21994.252</v>
      </c>
      <c r="BZ630" s="514">
        <f t="shared" si="1160"/>
        <v>23458.323000000004</v>
      </c>
      <c r="CA630" s="514">
        <f t="shared" si="1160"/>
        <v>25789.111000000001</v>
      </c>
      <c r="CB630" s="515">
        <f t="shared" si="1160"/>
        <v>25451.263000000003</v>
      </c>
      <c r="CC630" s="514">
        <f t="shared" si="1160"/>
        <v>23754.340571380384</v>
      </c>
      <c r="CD630" s="514">
        <f t="shared" si="1160"/>
        <v>24697.079372486533</v>
      </c>
      <c r="CE630" s="514">
        <f t="shared" si="1160"/>
        <v>25756.879135734431</v>
      </c>
      <c r="CF630" s="515">
        <f t="shared" si="1160"/>
        <v>26444.568989639363</v>
      </c>
      <c r="CG630" s="582"/>
      <c r="CH630" s="583"/>
      <c r="CI630" s="581"/>
      <c r="CJ630" s="600"/>
      <c r="CK630" s="600"/>
      <c r="CL630" s="600"/>
      <c r="CM630" s="600"/>
      <c r="CN630" s="600"/>
      <c r="CO630" s="600"/>
      <c r="CP630" s="642"/>
      <c r="CQ630" s="514">
        <f t="shared" ref="CQ630:CZ630" si="1162">+CQ629+CQ617+CQ619+CQ620+CQ621+CQ622</f>
        <v>2905.9530000000004</v>
      </c>
      <c r="CR630" s="514">
        <f t="shared" si="1162"/>
        <v>3970.6710000000007</v>
      </c>
      <c r="CS630" s="514">
        <f t="shared" si="1162"/>
        <v>6569.7419999999993</v>
      </c>
      <c r="CT630" s="514">
        <f t="shared" si="1162"/>
        <v>10444.460000000001</v>
      </c>
      <c r="CU630" s="514">
        <f t="shared" si="1162"/>
        <v>14940.563</v>
      </c>
      <c r="CV630" s="514">
        <f t="shared" si="1162"/>
        <v>17420.574999999997</v>
      </c>
      <c r="CW630" s="514">
        <f t="shared" si="1162"/>
        <v>19838.973000000002</v>
      </c>
      <c r="CX630" s="514">
        <f t="shared" si="1162"/>
        <v>25451.263000000003</v>
      </c>
      <c r="CY630" s="514">
        <f t="shared" si="1162"/>
        <v>26444.568989639363</v>
      </c>
      <c r="CZ630" s="514">
        <f t="shared" si="1162"/>
        <v>29372.412643186723</v>
      </c>
      <c r="DA630" s="514">
        <f t="shared" ref="DA630:DF630" si="1163">+DA629+DA617+DA619+DA620+DA621+DA622</f>
        <v>32028.379375238845</v>
      </c>
      <c r="DB630" s="514">
        <f t="shared" si="1163"/>
        <v>35389.327249500566</v>
      </c>
      <c r="DC630" s="514">
        <f t="shared" si="1163"/>
        <v>41100.792244254444</v>
      </c>
      <c r="DD630" s="514">
        <f t="shared" si="1163"/>
        <v>48338.088908951911</v>
      </c>
      <c r="DE630" s="514">
        <f t="shared" si="1163"/>
        <v>55154.976086792187</v>
      </c>
      <c r="DF630" s="515">
        <f t="shared" si="1163"/>
        <v>63387.503079931652</v>
      </c>
      <c r="DG630" s="632"/>
      <c r="DH630" s="632"/>
    </row>
    <row r="631" spans="1:113" s="708" customFormat="1" ht="11.25" hidden="1" customHeight="1" outlineLevel="1">
      <c r="A631" s="127"/>
      <c r="B631"/>
      <c r="C631"/>
      <c r="D631"/>
      <c r="E631"/>
      <c r="F631"/>
      <c r="G631"/>
      <c r="H631" s="1053"/>
      <c r="I631" s="703" t="s">
        <v>17</v>
      </c>
      <c r="J631" s="127"/>
      <c r="K631" s="127"/>
      <c r="L631" s="127"/>
      <c r="M631" s="704"/>
      <c r="N631" s="704"/>
      <c r="O631" s="704"/>
      <c r="P631" s="705"/>
      <c r="Q631" s="704"/>
      <c r="R631" s="704"/>
      <c r="S631" s="704"/>
      <c r="T631" s="705"/>
      <c r="U631" s="704"/>
      <c r="V631" s="704"/>
      <c r="W631" s="704"/>
      <c r="X631" s="705"/>
      <c r="Y631" s="704"/>
      <c r="Z631" s="704"/>
      <c r="AA631" s="704"/>
      <c r="AB631" s="705"/>
      <c r="AC631" s="704"/>
      <c r="AD631" s="704"/>
      <c r="AE631" s="704"/>
      <c r="AF631" s="705"/>
      <c r="AG631" s="704"/>
      <c r="AH631" s="704"/>
      <c r="AI631" s="704"/>
      <c r="AJ631" s="705"/>
      <c r="AK631" s="704"/>
      <c r="AL631" s="704"/>
      <c r="AM631" s="704"/>
      <c r="AN631" s="705"/>
      <c r="AO631" s="704"/>
      <c r="AP631" s="704"/>
      <c r="AQ631" s="704"/>
      <c r="AR631" s="705"/>
      <c r="AS631" s="704"/>
      <c r="AT631" s="704"/>
      <c r="AU631" s="704"/>
      <c r="AV631" s="705"/>
      <c r="AW631" s="706"/>
      <c r="AX631" s="706"/>
      <c r="AY631" s="706"/>
      <c r="AZ631" s="705"/>
      <c r="BA631" s="704">
        <f t="shared" ref="BA631:CF631" si="1164">BA604-BA630</f>
        <v>0</v>
      </c>
      <c r="BB631" s="704">
        <f t="shared" si="1164"/>
        <v>0</v>
      </c>
      <c r="BC631" s="704">
        <f t="shared" si="1164"/>
        <v>0</v>
      </c>
      <c r="BD631" s="705">
        <f t="shared" si="1164"/>
        <v>0</v>
      </c>
      <c r="BE631" s="704">
        <f t="shared" si="1164"/>
        <v>0</v>
      </c>
      <c r="BF631" s="704">
        <f t="shared" si="1164"/>
        <v>0</v>
      </c>
      <c r="BG631" s="704">
        <f t="shared" si="1164"/>
        <v>0</v>
      </c>
      <c r="BH631" s="705">
        <f t="shared" si="1164"/>
        <v>0</v>
      </c>
      <c r="BI631" s="704">
        <f t="shared" si="1164"/>
        <v>0</v>
      </c>
      <c r="BJ631" s="704">
        <f t="shared" si="1164"/>
        <v>0</v>
      </c>
      <c r="BK631" s="704">
        <f t="shared" si="1164"/>
        <v>0</v>
      </c>
      <c r="BL631" s="705">
        <f t="shared" si="1164"/>
        <v>0</v>
      </c>
      <c r="BM631" s="704">
        <f t="shared" si="1164"/>
        <v>0</v>
      </c>
      <c r="BN631" s="704">
        <f t="shared" si="1164"/>
        <v>0</v>
      </c>
      <c r="BO631" s="704">
        <f t="shared" si="1164"/>
        <v>0</v>
      </c>
      <c r="BP631" s="705">
        <f t="shared" ref="BP631:BU631" si="1165">BP604-BP630</f>
        <v>0</v>
      </c>
      <c r="BQ631" s="704">
        <f t="shared" si="1165"/>
        <v>0</v>
      </c>
      <c r="BR631" s="704">
        <f t="shared" si="1165"/>
        <v>0</v>
      </c>
      <c r="BS631" s="704">
        <f t="shared" si="1165"/>
        <v>0</v>
      </c>
      <c r="BT631" s="705">
        <f t="shared" si="1165"/>
        <v>0</v>
      </c>
      <c r="BU631" s="704">
        <f t="shared" si="1165"/>
        <v>0</v>
      </c>
      <c r="BV631" s="704">
        <f>BV604-BV630</f>
        <v>0</v>
      </c>
      <c r="BW631" s="704">
        <f>BW604-BW630</f>
        <v>0</v>
      </c>
      <c r="BX631" s="705">
        <f>BX604-BX630</f>
        <v>0</v>
      </c>
      <c r="BY631" s="508">
        <f t="shared" si="1164"/>
        <v>0</v>
      </c>
      <c r="BZ631" s="2068">
        <f t="shared" si="1164"/>
        <v>0</v>
      </c>
      <c r="CA631" s="704">
        <f t="shared" si="1164"/>
        <v>0</v>
      </c>
      <c r="CB631" s="705">
        <f t="shared" si="1164"/>
        <v>0</v>
      </c>
      <c r="CC631" s="2068">
        <f t="shared" si="1164"/>
        <v>0</v>
      </c>
      <c r="CD631" s="2068">
        <f t="shared" si="1164"/>
        <v>0</v>
      </c>
      <c r="CE631" s="2068">
        <f t="shared" si="1164"/>
        <v>0</v>
      </c>
      <c r="CF631" s="2128">
        <f t="shared" si="1164"/>
        <v>0</v>
      </c>
      <c r="CG631" s="705"/>
      <c r="CH631" s="707"/>
      <c r="CI631" s="704"/>
      <c r="CJ631" s="704"/>
      <c r="CK631" s="704"/>
      <c r="CL631" s="704"/>
      <c r="CM631" s="704"/>
      <c r="CN631" s="704"/>
      <c r="CO631" s="704"/>
      <c r="CP631" s="706"/>
      <c r="CQ631" s="704">
        <f t="shared" ref="CQ631:CZ631" si="1166">CQ604-CQ630</f>
        <v>0</v>
      </c>
      <c r="CR631" s="704">
        <f t="shared" si="1166"/>
        <v>0</v>
      </c>
      <c r="CS631" s="704">
        <f t="shared" si="1166"/>
        <v>0</v>
      </c>
      <c r="CT631" s="704">
        <f t="shared" si="1166"/>
        <v>0</v>
      </c>
      <c r="CU631" s="704">
        <f t="shared" si="1166"/>
        <v>0</v>
      </c>
      <c r="CV631" s="704">
        <f t="shared" si="1166"/>
        <v>0</v>
      </c>
      <c r="CW631" s="704">
        <f t="shared" si="1166"/>
        <v>0</v>
      </c>
      <c r="CX631" s="505">
        <f t="shared" si="1166"/>
        <v>0</v>
      </c>
      <c r="CY631" s="2068">
        <f t="shared" si="1166"/>
        <v>0</v>
      </c>
      <c r="CZ631" s="2068">
        <f t="shared" si="1166"/>
        <v>0</v>
      </c>
      <c r="DA631" s="2068">
        <f t="shared" ref="DA631:DF631" si="1167">DA604-DA630</f>
        <v>0</v>
      </c>
      <c r="DB631" s="2068">
        <f t="shared" si="1167"/>
        <v>0</v>
      </c>
      <c r="DC631" s="2068">
        <f t="shared" si="1167"/>
        <v>0</v>
      </c>
      <c r="DD631" s="2068">
        <f t="shared" si="1167"/>
        <v>0</v>
      </c>
      <c r="DE631" s="2068">
        <f t="shared" si="1167"/>
        <v>0</v>
      </c>
      <c r="DF631" s="2128">
        <f t="shared" si="1167"/>
        <v>0</v>
      </c>
      <c r="DG631" s="1482"/>
      <c r="DH631" s="1482"/>
    </row>
    <row r="632" spans="1:113" s="68" customFormat="1" ht="11.25" customHeight="1" collapsed="1">
      <c r="A632" s="24"/>
      <c r="B632"/>
      <c r="C632"/>
      <c r="D632"/>
      <c r="E632"/>
      <c r="F632"/>
      <c r="G632"/>
      <c r="H632" s="1044"/>
      <c r="I632" s="664"/>
      <c r="J632" s="665"/>
      <c r="K632" s="665"/>
      <c r="L632" s="665"/>
      <c r="M632" s="666"/>
      <c r="N632" s="666"/>
      <c r="O632" s="666"/>
      <c r="P632" s="667"/>
      <c r="Q632" s="666"/>
      <c r="R632" s="666"/>
      <c r="S632" s="666"/>
      <c r="T632" s="667"/>
      <c r="U632" s="668"/>
      <c r="V632" s="668"/>
      <c r="W632" s="668"/>
      <c r="X632" s="669"/>
      <c r="Y632" s="668"/>
      <c r="Z632" s="668"/>
      <c r="AA632" s="668"/>
      <c r="AB632" s="669"/>
      <c r="AC632" s="668"/>
      <c r="AD632" s="668"/>
      <c r="AE632" s="668"/>
      <c r="AF632" s="669"/>
      <c r="AG632" s="668"/>
      <c r="AH632" s="668"/>
      <c r="AI632" s="668"/>
      <c r="AJ632" s="669"/>
      <c r="AK632" s="668"/>
      <c r="AL632" s="668"/>
      <c r="AM632" s="668"/>
      <c r="AN632" s="669"/>
      <c r="AO632" s="668"/>
      <c r="AP632" s="668"/>
      <c r="AQ632" s="668"/>
      <c r="AR632" s="669"/>
      <c r="AS632" s="668"/>
      <c r="AT632" s="668"/>
      <c r="AU632" s="668"/>
      <c r="AV632" s="669"/>
      <c r="AW632" s="668"/>
      <c r="AX632" s="668"/>
      <c r="AY632" s="668"/>
      <c r="AZ632" s="669"/>
      <c r="BA632" s="670"/>
      <c r="BB632" s="670"/>
      <c r="BC632" s="670"/>
      <c r="BD632" s="671"/>
      <c r="BE632" s="666"/>
      <c r="BF632" s="666"/>
      <c r="BG632" s="666"/>
      <c r="BH632" s="672"/>
      <c r="BI632" s="673"/>
      <c r="BJ632" s="673"/>
      <c r="BK632" s="673"/>
      <c r="BL632" s="674"/>
      <c r="BM632" s="673"/>
      <c r="BN632" s="673"/>
      <c r="BO632" s="673"/>
      <c r="BP632" s="663"/>
      <c r="BQ632" s="662"/>
      <c r="BR632" s="662"/>
      <c r="BS632" s="662"/>
      <c r="BT632" s="663"/>
      <c r="BU632" s="662"/>
      <c r="BV632" s="662"/>
      <c r="BW632" s="662"/>
      <c r="BX632" s="663"/>
      <c r="BY632" s="662"/>
      <c r="BZ632" s="662"/>
      <c r="CA632" s="662"/>
      <c r="CB632" s="663"/>
      <c r="CC632" s="662"/>
      <c r="CD632" s="662"/>
      <c r="CE632" s="662"/>
      <c r="CF632" s="663"/>
      <c r="CG632" s="405"/>
      <c r="CH632" s="675"/>
      <c r="CI632" s="666"/>
      <c r="CJ632" s="668"/>
      <c r="CK632" s="668"/>
      <c r="CL632" s="668"/>
      <c r="CM632" s="668"/>
      <c r="CN632" s="668"/>
      <c r="CO632" s="668"/>
      <c r="CP632" s="668"/>
      <c r="CQ632" s="662"/>
      <c r="CR632" s="662"/>
      <c r="CS632" s="662"/>
      <c r="CT632" s="668"/>
      <c r="CU632" s="662"/>
      <c r="CV632" s="676"/>
      <c r="CW632" s="662"/>
      <c r="CX632" s="662"/>
      <c r="CY632" s="662"/>
      <c r="CZ632" s="662"/>
      <c r="DA632" s="662"/>
      <c r="DB632" s="662"/>
      <c r="DC632" s="662"/>
      <c r="DD632" s="662"/>
      <c r="DE632" s="662"/>
      <c r="DF632" s="663"/>
      <c r="DG632" s="1180"/>
      <c r="DH632" s="1180"/>
    </row>
    <row r="633" spans="1:113" s="67" customFormat="1" ht="11.25" customHeight="1">
      <c r="A633" s="24"/>
      <c r="B633"/>
      <c r="C633"/>
      <c r="D633"/>
      <c r="E633"/>
      <c r="F633"/>
      <c r="G633"/>
      <c r="H633" s="1044"/>
      <c r="M633" s="404"/>
      <c r="N633" s="404"/>
      <c r="O633" s="404"/>
      <c r="P633" s="404"/>
      <c r="Q633" s="404"/>
      <c r="R633" s="404"/>
      <c r="S633" s="404"/>
      <c r="T633" s="404"/>
      <c r="U633" s="373"/>
      <c r="V633" s="373"/>
      <c r="W633" s="373"/>
      <c r="X633" s="373"/>
      <c r="Y633" s="373"/>
      <c r="Z633" s="373"/>
      <c r="AA633" s="373"/>
      <c r="AB633" s="373"/>
      <c r="AC633" s="373"/>
      <c r="AD633" s="373"/>
      <c r="AE633" s="373"/>
      <c r="AF633" s="373"/>
      <c r="AG633" s="373"/>
      <c r="AH633" s="373"/>
      <c r="AI633" s="373"/>
      <c r="AJ633" s="373"/>
      <c r="AK633" s="373"/>
      <c r="AL633" s="373"/>
      <c r="AM633" s="373"/>
      <c r="AN633" s="373"/>
      <c r="AO633" s="373"/>
      <c r="AP633" s="373"/>
      <c r="AQ633" s="373"/>
      <c r="AR633" s="373"/>
      <c r="AS633" s="373"/>
      <c r="AT633" s="373"/>
      <c r="AU633" s="373"/>
      <c r="AV633" s="373"/>
      <c r="AW633" s="373"/>
      <c r="AX633" s="373"/>
      <c r="AY633" s="373"/>
      <c r="AZ633" s="373"/>
      <c r="BA633" s="341"/>
      <c r="BB633" s="341"/>
      <c r="BC633" s="341"/>
      <c r="BD633" s="341"/>
      <c r="BE633" s="404"/>
      <c r="BF633" s="404"/>
      <c r="BG633" s="404"/>
      <c r="BH633" s="379"/>
      <c r="BI633" s="407"/>
      <c r="BJ633" s="407"/>
      <c r="BK633" s="407"/>
      <c r="BL633" s="407"/>
      <c r="BM633" s="407"/>
      <c r="BN633" s="407"/>
      <c r="BO633" s="407"/>
      <c r="BP633" s="328"/>
      <c r="BQ633" s="328"/>
      <c r="BR633" s="328"/>
      <c r="BS633" s="328"/>
      <c r="BT633" s="328"/>
      <c r="BU633" s="328"/>
      <c r="BV633" s="328"/>
      <c r="BW633" s="328"/>
      <c r="BX633" s="328"/>
      <c r="BY633" s="328"/>
      <c r="BZ633" s="328"/>
      <c r="CA633" s="328"/>
      <c r="CB633" s="328"/>
      <c r="CC633" s="328"/>
      <c r="CD633" s="328"/>
      <c r="CE633" s="328"/>
      <c r="CF633" s="328"/>
      <c r="CG633" s="404"/>
      <c r="CH633" s="404"/>
      <c r="CI633" s="404"/>
      <c r="CJ633" s="373"/>
      <c r="CK633" s="373"/>
      <c r="CL633" s="373"/>
      <c r="CM633" s="373"/>
      <c r="CN633" s="373"/>
      <c r="CO633" s="373"/>
      <c r="CP633" s="373"/>
      <c r="CQ633" s="328"/>
      <c r="CR633" s="328"/>
      <c r="CS633" s="328"/>
      <c r="CT633" s="373"/>
      <c r="CU633" s="328"/>
      <c r="CV633" s="408"/>
      <c r="CW633" s="328"/>
      <c r="CX633" s="328"/>
      <c r="CY633" s="328"/>
      <c r="CZ633" s="328"/>
      <c r="DA633" s="328"/>
      <c r="DB633" s="328"/>
      <c r="DC633" s="328"/>
      <c r="DD633" s="328"/>
      <c r="DE633" s="328"/>
      <c r="DF633" s="328"/>
      <c r="DG633" s="1179"/>
      <c r="DH633" s="1179"/>
    </row>
    <row r="634" spans="1:113" customFormat="1" ht="11.25" customHeight="1">
      <c r="A634" s="10"/>
      <c r="H634" s="1045"/>
      <c r="I634" s="659" t="s">
        <v>468</v>
      </c>
      <c r="J634" s="660"/>
      <c r="K634" s="660"/>
      <c r="L634" s="660"/>
      <c r="M634" s="660"/>
      <c r="N634" s="660"/>
      <c r="O634" s="660"/>
      <c r="P634" s="660"/>
      <c r="Q634" s="660"/>
      <c r="R634" s="660"/>
      <c r="S634" s="660"/>
      <c r="T634" s="660"/>
      <c r="U634" s="659"/>
      <c r="V634" s="660"/>
      <c r="W634" s="660"/>
      <c r="X634" s="661"/>
      <c r="Y634" s="659"/>
      <c r="Z634" s="660"/>
      <c r="AA634" s="660"/>
      <c r="AB634" s="661"/>
      <c r="AC634" s="659"/>
      <c r="AD634" s="660"/>
      <c r="AE634" s="660"/>
      <c r="AF634" s="661"/>
      <c r="AG634" s="659"/>
      <c r="AH634" s="660"/>
      <c r="AI634" s="660"/>
      <c r="AJ634" s="661"/>
      <c r="AK634" s="659"/>
      <c r="AL634" s="660"/>
      <c r="AM634" s="660"/>
      <c r="AN634" s="661"/>
      <c r="AO634" s="659"/>
      <c r="AP634" s="660"/>
      <c r="AQ634" s="660"/>
      <c r="AR634" s="661"/>
      <c r="AS634" s="659"/>
      <c r="AT634" s="660"/>
      <c r="AU634" s="660"/>
      <c r="AV634" s="661"/>
      <c r="AW634" s="659"/>
      <c r="AX634" s="660"/>
      <c r="AY634" s="660"/>
      <c r="AZ634" s="661"/>
      <c r="BA634" s="659"/>
      <c r="BB634" s="660"/>
      <c r="BC634" s="660"/>
      <c r="BD634" s="661"/>
      <c r="BE634" s="659"/>
      <c r="BF634" s="660"/>
      <c r="BG634" s="660"/>
      <c r="BH634" s="661"/>
      <c r="BI634" s="659"/>
      <c r="BJ634" s="660"/>
      <c r="BK634" s="660"/>
      <c r="BL634" s="661"/>
      <c r="BM634" s="659"/>
      <c r="BN634" s="660"/>
      <c r="BO634" s="660"/>
      <c r="BP634" s="661"/>
      <c r="BQ634" s="659"/>
      <c r="BR634" s="660"/>
      <c r="BS634" s="660"/>
      <c r="BT634" s="661"/>
      <c r="BU634" s="659"/>
      <c r="BV634" s="660"/>
      <c r="BW634" s="660"/>
      <c r="BX634" s="661"/>
      <c r="BY634" s="659"/>
      <c r="BZ634" s="660"/>
      <c r="CA634" s="660"/>
      <c r="CB634" s="661"/>
      <c r="CC634" s="659"/>
      <c r="CD634" s="660"/>
      <c r="CE634" s="660"/>
      <c r="CF634" s="661"/>
      <c r="CH634" s="661"/>
      <c r="CI634" s="661"/>
      <c r="CJ634" s="661"/>
      <c r="CK634" s="661"/>
      <c r="CL634" s="661"/>
      <c r="CM634" s="661"/>
      <c r="CN634" s="661"/>
      <c r="CO634" s="661"/>
      <c r="CP634" s="661"/>
      <c r="CQ634" s="661"/>
      <c r="CR634" s="661"/>
      <c r="CS634" s="661"/>
      <c r="CT634" s="661"/>
      <c r="CU634" s="661"/>
      <c r="CV634" s="661"/>
      <c r="CW634" s="661"/>
      <c r="CX634" s="661"/>
      <c r="CY634" s="660"/>
      <c r="CZ634" s="660"/>
      <c r="DA634" s="660"/>
      <c r="DB634" s="660"/>
      <c r="DC634" s="660"/>
      <c r="DD634" s="660"/>
      <c r="DE634" s="660"/>
      <c r="DF634" s="661"/>
      <c r="DG634" s="124"/>
      <c r="DH634" s="124"/>
      <c r="DI634" s="1548"/>
    </row>
    <row r="635" spans="1:113" s="51" customFormat="1" ht="11.25" customHeight="1">
      <c r="A635" s="82"/>
      <c r="B635"/>
      <c r="C635"/>
      <c r="D635"/>
      <c r="E635"/>
      <c r="F635"/>
      <c r="G635"/>
      <c r="H635" s="1044"/>
      <c r="I635" s="1159" t="s">
        <v>462</v>
      </c>
      <c r="J635" s="1160"/>
      <c r="K635" s="1160"/>
      <c r="L635" s="82"/>
      <c r="M635" s="292"/>
      <c r="N635" s="292"/>
      <c r="O635" s="292"/>
      <c r="P635" s="1007"/>
      <c r="Q635" s="292"/>
      <c r="R635" s="292"/>
      <c r="S635" s="292"/>
      <c r="T635" s="1007"/>
      <c r="U635" s="997"/>
      <c r="V635" s="997"/>
      <c r="W635" s="997"/>
      <c r="X635" s="998"/>
      <c r="Y635" s="997"/>
      <c r="Z635" s="997"/>
      <c r="AA635" s="997"/>
      <c r="AB635" s="998"/>
      <c r="AC635" s="997"/>
      <c r="AD635" s="997"/>
      <c r="AE635" s="997"/>
      <c r="AF635" s="998"/>
      <c r="AG635" s="997"/>
      <c r="AH635" s="997"/>
      <c r="AI635" s="997"/>
      <c r="AJ635" s="998"/>
      <c r="AK635" s="997"/>
      <c r="AL635" s="997"/>
      <c r="AM635" s="997"/>
      <c r="AN635" s="998"/>
      <c r="AO635" s="997"/>
      <c r="AP635" s="997"/>
      <c r="AQ635" s="997"/>
      <c r="AR635" s="998"/>
      <c r="AS635" s="997"/>
      <c r="AT635" s="997"/>
      <c r="AU635" s="997"/>
      <c r="AV635" s="998"/>
      <c r="AW635" s="1161"/>
      <c r="AX635" s="1161"/>
      <c r="AY635" s="1161"/>
      <c r="AZ635" s="998"/>
      <c r="BA635" s="997">
        <f t="shared" ref="BA635:BY635" si="1168">+BA590/BA21</f>
        <v>0.27427717095833537</v>
      </c>
      <c r="BB635" s="997">
        <f t="shared" si="1168"/>
        <v>0.29142408380761681</v>
      </c>
      <c r="BC635" s="997">
        <f t="shared" si="1168"/>
        <v>0.23770515499681993</v>
      </c>
      <c r="BD635" s="998">
        <f t="shared" si="1168"/>
        <v>0.26691664059267034</v>
      </c>
      <c r="BE635" s="997">
        <f t="shared" si="1168"/>
        <v>0.312907147477891</v>
      </c>
      <c r="BF635" s="997">
        <f t="shared" si="1168"/>
        <v>0.32373626257670007</v>
      </c>
      <c r="BG635" s="997">
        <f t="shared" si="1168"/>
        <v>0.28938293744981863</v>
      </c>
      <c r="BH635" s="998">
        <f t="shared" si="1168"/>
        <v>0.30866760733723037</v>
      </c>
      <c r="BI635" s="997">
        <f t="shared" si="1168"/>
        <v>0.36236762794812954</v>
      </c>
      <c r="BJ635" s="997">
        <f t="shared" si="1168"/>
        <v>0.38640359282434988</v>
      </c>
      <c r="BK635" s="997">
        <f t="shared" si="1168"/>
        <v>0.31112959452452377</v>
      </c>
      <c r="BL635" s="998">
        <f t="shared" si="1168"/>
        <v>0.3477668991981977</v>
      </c>
      <c r="BM635" s="997">
        <f t="shared" si="1168"/>
        <v>0.38199490559762989</v>
      </c>
      <c r="BN635" s="997">
        <f t="shared" si="1168"/>
        <v>0.39609290936274921</v>
      </c>
      <c r="BO635" s="997">
        <f t="shared" si="1168"/>
        <v>0.29739499107525935</v>
      </c>
      <c r="BP635" s="998">
        <f t="shared" si="1168"/>
        <v>0.34992394422685325</v>
      </c>
      <c r="BQ635" s="997">
        <f t="shared" si="1168"/>
        <v>0.38397256686880055</v>
      </c>
      <c r="BR635" s="997">
        <f t="shared" si="1168"/>
        <v>0.39022503537761194</v>
      </c>
      <c r="BS635" s="997">
        <f t="shared" si="1168"/>
        <v>0.28699981082219511</v>
      </c>
      <c r="BT635" s="998">
        <f t="shared" si="1168"/>
        <v>0.32258530646326616</v>
      </c>
      <c r="BU635" s="997">
        <f t="shared" si="1168"/>
        <v>0.39901886254904878</v>
      </c>
      <c r="BV635" s="997">
        <f t="shared" si="1168"/>
        <v>0.38459729676646448</v>
      </c>
      <c r="BW635" s="997">
        <f t="shared" si="1168"/>
        <v>0.29943650705910657</v>
      </c>
      <c r="BX635" s="998">
        <f t="shared" si="1168"/>
        <v>0.36625060199716153</v>
      </c>
      <c r="BY635" s="997">
        <f t="shared" si="1168"/>
        <v>0.38615047342238007</v>
      </c>
      <c r="BZ635" s="997">
        <f>+BZ590/BZ21</f>
        <v>0.40687029765691229</v>
      </c>
      <c r="CA635" s="997">
        <f>+CA590/CA21</f>
        <v>0.32425633661845699</v>
      </c>
      <c r="CB635" s="998">
        <f>+CB590/CB21</f>
        <v>0.43444901756738002</v>
      </c>
      <c r="CC635" s="785">
        <f t="shared" ref="CC635:CF636" si="1169">+BY635</f>
        <v>0.38615047342238007</v>
      </c>
      <c r="CD635" s="785">
        <f t="shared" si="1169"/>
        <v>0.40687029765691229</v>
      </c>
      <c r="CE635" s="785">
        <f t="shared" si="1169"/>
        <v>0.32425633661845699</v>
      </c>
      <c r="CF635" s="489">
        <f t="shared" si="1169"/>
        <v>0.43444901756738002</v>
      </c>
      <c r="CG635" s="1007"/>
      <c r="CH635" s="1010"/>
      <c r="CI635" s="292"/>
      <c r="CJ635" s="997"/>
      <c r="CK635" s="997"/>
      <c r="CL635" s="997"/>
      <c r="CM635" s="997"/>
      <c r="CN635" s="997"/>
      <c r="CO635" s="997"/>
      <c r="CP635" s="1161"/>
      <c r="CQ635" s="997">
        <f>+CQ590/Model!CQ21</f>
        <v>5.2571717836049102E-2</v>
      </c>
      <c r="CR635" s="997">
        <f>+CR590/Model!CR21</f>
        <v>6.071549105636178E-2</v>
      </c>
      <c r="CS635" s="997">
        <f>+CS590/Model!CS21</f>
        <v>6.9856505167501859E-2</v>
      </c>
      <c r="CT635" s="997">
        <f>+CT590/Model!CT21</f>
        <v>7.8895606940126053E-2</v>
      </c>
      <c r="CU635" s="997">
        <f>+CU590/Model!CU21</f>
        <v>7.6272946211258019E-2</v>
      </c>
      <c r="CV635" s="997">
        <f>+CV590/Model!CV21</f>
        <v>6.9944699618505524E-2</v>
      </c>
      <c r="CW635" s="997">
        <f>+CW590/Model!CW21</f>
        <v>8.006278689595818E-2</v>
      </c>
      <c r="CX635" s="997">
        <f>+CX590/Model!CX21</f>
        <v>9.6032893723106583E-2</v>
      </c>
      <c r="CY635" s="997">
        <f>+CY590/Model!CY21</f>
        <v>9.9887982312549362E-2</v>
      </c>
      <c r="CZ635" s="785">
        <f>+CY635*1.01</f>
        <v>0.10088686213567485</v>
      </c>
      <c r="DA635" s="785">
        <f>+CZ635*1.01</f>
        <v>0.10189573075703161</v>
      </c>
      <c r="DB635" s="785">
        <f>+DA635*1.01</f>
        <v>0.10291468806460193</v>
      </c>
      <c r="DC635" s="785">
        <f t="shared" ref="DC635:DF636" si="1170">+DB635</f>
        <v>0.10291468806460193</v>
      </c>
      <c r="DD635" s="785">
        <f t="shared" si="1170"/>
        <v>0.10291468806460193</v>
      </c>
      <c r="DE635" s="785">
        <f t="shared" si="1170"/>
        <v>0.10291468806460193</v>
      </c>
      <c r="DF635" s="489">
        <f t="shared" si="1170"/>
        <v>0.10291468806460193</v>
      </c>
      <c r="DG635" s="308"/>
      <c r="DH635" s="308"/>
    </row>
    <row r="636" spans="1:113" s="51" customFormat="1" ht="11.25" customHeight="1">
      <c r="A636" s="82"/>
      <c r="B636"/>
      <c r="C636"/>
      <c r="D636"/>
      <c r="E636"/>
      <c r="F636"/>
      <c r="G636"/>
      <c r="H636" s="1044"/>
      <c r="I636" s="1159" t="s">
        <v>463</v>
      </c>
      <c r="J636" s="1160"/>
      <c r="K636" s="1160"/>
      <c r="L636" s="82"/>
      <c r="M636" s="292"/>
      <c r="N636" s="292"/>
      <c r="O636" s="292"/>
      <c r="P636" s="1007"/>
      <c r="Q636" s="292"/>
      <c r="R636" s="292"/>
      <c r="S636" s="292"/>
      <c r="T636" s="1007"/>
      <c r="U636" s="997"/>
      <c r="V636" s="997"/>
      <c r="W636" s="997"/>
      <c r="X636" s="998"/>
      <c r="Y636" s="997"/>
      <c r="Z636" s="997"/>
      <c r="AA636" s="997"/>
      <c r="AB636" s="998"/>
      <c r="AC636" s="997"/>
      <c r="AD636" s="997"/>
      <c r="AE636" s="997"/>
      <c r="AF636" s="998"/>
      <c r="AG636" s="997"/>
      <c r="AH636" s="997"/>
      <c r="AI636" s="997"/>
      <c r="AJ636" s="998"/>
      <c r="AK636" s="997"/>
      <c r="AL636" s="997"/>
      <c r="AM636" s="997"/>
      <c r="AN636" s="998"/>
      <c r="AO636" s="997"/>
      <c r="AP636" s="997"/>
      <c r="AQ636" s="997"/>
      <c r="AR636" s="998"/>
      <c r="AS636" s="997"/>
      <c r="AT636" s="997"/>
      <c r="AU636" s="997"/>
      <c r="AV636" s="998"/>
      <c r="AW636" s="1161"/>
      <c r="AX636" s="1161"/>
      <c r="AY636" s="1161"/>
      <c r="AZ636" s="998"/>
      <c r="BA636" s="997">
        <f t="shared" ref="BA636:BY636" si="1171">+BA591/BA21</f>
        <v>7.0036573913903027E-2</v>
      </c>
      <c r="BB636" s="997">
        <f t="shared" si="1171"/>
        <v>4.7810134250341876E-2</v>
      </c>
      <c r="BC636" s="997">
        <f t="shared" si="1171"/>
        <v>6.6014410753274355E-2</v>
      </c>
      <c r="BD636" s="998">
        <f t="shared" si="1171"/>
        <v>0.10517274443109904</v>
      </c>
      <c r="BE636" s="997">
        <f t="shared" si="1171"/>
        <v>0.19449562158290165</v>
      </c>
      <c r="BF636" s="997">
        <f t="shared" si="1171"/>
        <v>0.12417100618876525</v>
      </c>
      <c r="BG636" s="997">
        <f t="shared" si="1171"/>
        <v>8.9504251865135886E-2</v>
      </c>
      <c r="BH636" s="998">
        <f t="shared" si="1171"/>
        <v>7.0793858765033926E-2</v>
      </c>
      <c r="BI636" s="997">
        <f t="shared" si="1171"/>
        <v>0.24519820093824019</v>
      </c>
      <c r="BJ636" s="997">
        <f t="shared" si="1171"/>
        <v>0.14869976753293282</v>
      </c>
      <c r="BK636" s="997">
        <f t="shared" si="1171"/>
        <v>4.74416748204659E-2</v>
      </c>
      <c r="BL636" s="998">
        <f t="shared" si="1171"/>
        <v>6.9494722457796212E-2</v>
      </c>
      <c r="BM636" s="997">
        <f t="shared" si="1171"/>
        <v>0.26076408726509043</v>
      </c>
      <c r="BN636" s="997">
        <f t="shared" si="1171"/>
        <v>0.17907726357675147</v>
      </c>
      <c r="BO636" s="997">
        <f t="shared" si="1171"/>
        <v>5.8631473962426191E-2</v>
      </c>
      <c r="BP636" s="998">
        <f t="shared" si="1171"/>
        <v>9.6761203349606029E-2</v>
      </c>
      <c r="BQ636" s="997">
        <f t="shared" si="1171"/>
        <v>0.26472895549178738</v>
      </c>
      <c r="BR636" s="997">
        <f t="shared" si="1171"/>
        <v>0.22294802176989359</v>
      </c>
      <c r="BS636" s="997">
        <f t="shared" si="1171"/>
        <v>8.5164173784468139E-2</v>
      </c>
      <c r="BT636" s="998">
        <f t="shared" si="1171"/>
        <v>0.12937582343955858</v>
      </c>
      <c r="BU636" s="997">
        <f t="shared" si="1171"/>
        <v>0.29048018289489552</v>
      </c>
      <c r="BV636" s="997">
        <f t="shared" si="1171"/>
        <v>0.21897983569010079</v>
      </c>
      <c r="BW636" s="997">
        <f t="shared" si="1171"/>
        <v>9.4653320153733095E-2</v>
      </c>
      <c r="BX636" s="998">
        <f t="shared" si="1171"/>
        <v>0.10281281177704453</v>
      </c>
      <c r="BY636" s="997">
        <f t="shared" si="1171"/>
        <v>0.28248692653231955</v>
      </c>
      <c r="BZ636" s="997">
        <f>+BZ591/BZ21</f>
        <v>0.22677014411371454</v>
      </c>
      <c r="CA636" s="997">
        <f>+CA591/CA21</f>
        <v>9.7767741257443294E-2</v>
      </c>
      <c r="CB636" s="998">
        <f>+CB591/CB21</f>
        <v>0.1482387491246277</v>
      </c>
      <c r="CC636" s="785">
        <f t="shared" si="1169"/>
        <v>0.28248692653231955</v>
      </c>
      <c r="CD636" s="785">
        <f t="shared" si="1169"/>
        <v>0.22677014411371454</v>
      </c>
      <c r="CE636" s="785">
        <f t="shared" si="1169"/>
        <v>9.7767741257443294E-2</v>
      </c>
      <c r="CF636" s="489">
        <f t="shared" si="1169"/>
        <v>0.1482387491246277</v>
      </c>
      <c r="CG636" s="1007"/>
      <c r="CH636" s="1010"/>
      <c r="CI636" s="292"/>
      <c r="CJ636" s="997"/>
      <c r="CK636" s="997"/>
      <c r="CL636" s="997"/>
      <c r="CM636" s="997"/>
      <c r="CN636" s="997"/>
      <c r="CO636" s="997"/>
      <c r="CP636" s="1161"/>
      <c r="CQ636" s="997">
        <f>+CQ591/Model!CQ21</f>
        <v>1.9811898467378387E-2</v>
      </c>
      <c r="CR636" s="997">
        <f>+CR591/Model!CR21</f>
        <v>2.3923629526059493E-2</v>
      </c>
      <c r="CS636" s="997">
        <f>+CS591/Model!CS21</f>
        <v>1.6021802881453481E-2</v>
      </c>
      <c r="CT636" s="997">
        <f>+CT591/Model!CT21</f>
        <v>1.5765814170596762E-2</v>
      </c>
      <c r="CU636" s="997">
        <f>+CU591/Model!CU21</f>
        <v>2.1091046154979688E-2</v>
      </c>
      <c r="CV636" s="997">
        <f>+CV591/Model!CV21</f>
        <v>2.8051969283998335E-2</v>
      </c>
      <c r="CW636" s="997">
        <f>+CW591/Model!CW21</f>
        <v>2.2474994428933581E-2</v>
      </c>
      <c r="CX636" s="997">
        <f>+CX591/Model!CX21</f>
        <v>3.2767472050097932E-2</v>
      </c>
      <c r="CY636" s="997">
        <f>+CY591/Model!CY21</f>
        <v>3.4082870375690862E-2</v>
      </c>
      <c r="CZ636" s="785">
        <f>+CY636*1.01</f>
        <v>3.442369907944777E-2</v>
      </c>
      <c r="DA636" s="785">
        <f>+CZ636*1.02</f>
        <v>3.5112173061036728E-2</v>
      </c>
      <c r="DB636" s="785">
        <f>+DA636*1.01</f>
        <v>3.5463294791647094E-2</v>
      </c>
      <c r="DC636" s="785">
        <f t="shared" si="1170"/>
        <v>3.5463294791647094E-2</v>
      </c>
      <c r="DD636" s="785">
        <f t="shared" si="1170"/>
        <v>3.5463294791647094E-2</v>
      </c>
      <c r="DE636" s="785">
        <f t="shared" si="1170"/>
        <v>3.5463294791647094E-2</v>
      </c>
      <c r="DF636" s="489">
        <f t="shared" si="1170"/>
        <v>3.5463294791647094E-2</v>
      </c>
      <c r="DG636" s="308"/>
      <c r="DH636" s="308"/>
    </row>
    <row r="637" spans="1:113" s="51" customFormat="1" ht="11.25" customHeight="1">
      <c r="A637" s="82"/>
      <c r="B637"/>
      <c r="C637"/>
      <c r="D637"/>
      <c r="E637"/>
      <c r="F637"/>
      <c r="G637"/>
      <c r="H637" s="1044"/>
      <c r="I637" s="1159" t="s">
        <v>464</v>
      </c>
      <c r="J637" s="1160"/>
      <c r="K637" s="1160"/>
      <c r="L637" s="82"/>
      <c r="M637" s="292"/>
      <c r="N637" s="292"/>
      <c r="O637" s="292"/>
      <c r="P637" s="1007"/>
      <c r="Q637" s="292"/>
      <c r="R637" s="292"/>
      <c r="S637" s="292"/>
      <c r="T637" s="1007"/>
      <c r="U637" s="997"/>
      <c r="V637" s="997"/>
      <c r="W637" s="997"/>
      <c r="X637" s="998"/>
      <c r="Y637" s="997"/>
      <c r="Z637" s="997"/>
      <c r="AA637" s="997"/>
      <c r="AB637" s="998"/>
      <c r="AC637" s="997"/>
      <c r="AD637" s="997"/>
      <c r="AE637" s="997"/>
      <c r="AF637" s="998"/>
      <c r="AG637" s="997"/>
      <c r="AH637" s="997"/>
      <c r="AI637" s="997"/>
      <c r="AJ637" s="998"/>
      <c r="AK637" s="997"/>
      <c r="AL637" s="997"/>
      <c r="AM637" s="997"/>
      <c r="AN637" s="998"/>
      <c r="AO637" s="997"/>
      <c r="AP637" s="997"/>
      <c r="AQ637" s="997"/>
      <c r="AR637" s="998"/>
      <c r="AS637" s="997"/>
      <c r="AT637" s="997"/>
      <c r="AU637" s="997"/>
      <c r="AV637" s="998"/>
      <c r="AW637" s="1161"/>
      <c r="AX637" s="1161"/>
      <c r="AY637" s="1161"/>
      <c r="AZ637" s="998"/>
      <c r="BA637" s="997">
        <f t="shared" ref="BA637:BY637" si="1172">+BA607/BA21</f>
        <v>0.14272722779617456</v>
      </c>
      <c r="BB637" s="997">
        <f t="shared" si="1172"/>
        <v>0.11589022014734526</v>
      </c>
      <c r="BC637" s="997">
        <f t="shared" si="1172"/>
        <v>0.11670190886038308</v>
      </c>
      <c r="BD637" s="998">
        <f t="shared" si="1172"/>
        <v>0.14823521099750697</v>
      </c>
      <c r="BE637" s="997">
        <f t="shared" si="1172"/>
        <v>0.16773632509903619</v>
      </c>
      <c r="BF637" s="997">
        <f t="shared" si="1172"/>
        <v>0.15164999822876649</v>
      </c>
      <c r="BG637" s="997">
        <f t="shared" si="1172"/>
        <v>0.14075754112675892</v>
      </c>
      <c r="BH637" s="998">
        <f t="shared" si="1172"/>
        <v>0.15508298058187192</v>
      </c>
      <c r="BI637" s="997">
        <f t="shared" si="1172"/>
        <v>0.19242987007800236</v>
      </c>
      <c r="BJ637" s="997">
        <f t="shared" si="1172"/>
        <v>0.18821797864350168</v>
      </c>
      <c r="BK637" s="997">
        <f t="shared" si="1172"/>
        <v>0.13784553789302892</v>
      </c>
      <c r="BL637" s="998">
        <f t="shared" si="1172"/>
        <v>0.16049347469070235</v>
      </c>
      <c r="BM637" s="997">
        <f t="shared" si="1172"/>
        <v>0.18236730129455317</v>
      </c>
      <c r="BN637" s="997">
        <f t="shared" si="1172"/>
        <v>0.16053259244434506</v>
      </c>
      <c r="BO637" s="997">
        <f t="shared" si="1172"/>
        <v>0.18524292463556283</v>
      </c>
      <c r="BP637" s="998">
        <f t="shared" si="1172"/>
        <v>0.15297019667984896</v>
      </c>
      <c r="BQ637" s="997">
        <f t="shared" si="1172"/>
        <v>0.30821092479249673</v>
      </c>
      <c r="BR637" s="997">
        <f t="shared" si="1172"/>
        <v>0.16103380244755627</v>
      </c>
      <c r="BS637" s="997">
        <f t="shared" si="1172"/>
        <v>0.1252144364257835</v>
      </c>
      <c r="BT637" s="998">
        <f t="shared" si="1172"/>
        <v>0.1614214035535089</v>
      </c>
      <c r="BU637" s="997">
        <f t="shared" si="1172"/>
        <v>0.15584937333546237</v>
      </c>
      <c r="BV637" s="997">
        <f t="shared" si="1172"/>
        <v>0.16896970228122987</v>
      </c>
      <c r="BW637" s="997">
        <f t="shared" si="1172"/>
        <v>0.13401978890962654</v>
      </c>
      <c r="BX637" s="998">
        <f t="shared" si="1172"/>
        <v>0.1784628303213249</v>
      </c>
      <c r="BY637" s="997">
        <f t="shared" si="1172"/>
        <v>0.1684609102076379</v>
      </c>
      <c r="BZ637" s="997">
        <f>+BZ607/BZ21</f>
        <v>0.19778109580381387</v>
      </c>
      <c r="CA637" s="997">
        <f>+CA607/CA21</f>
        <v>0.18171735006694817</v>
      </c>
      <c r="CB637" s="998">
        <f>+CB607/CB21</f>
        <v>0.23813801397242262</v>
      </c>
      <c r="CC637" s="785">
        <f>+BY637*0.961</f>
        <v>0.16189093470954002</v>
      </c>
      <c r="CD637" s="785">
        <f>+BZ637*0.961</f>
        <v>0.19006763306746513</v>
      </c>
      <c r="CE637" s="785">
        <f>+CA637*0.961</f>
        <v>0.17463037341433718</v>
      </c>
      <c r="CF637" s="489">
        <f>+CB637*0.961</f>
        <v>0.22885063142749815</v>
      </c>
      <c r="CG637" s="1007"/>
      <c r="CH637" s="1010"/>
      <c r="CI637" s="292"/>
      <c r="CJ637" s="997"/>
      <c r="CK637" s="997"/>
      <c r="CL637" s="997"/>
      <c r="CM637" s="997"/>
      <c r="CN637" s="997"/>
      <c r="CO637" s="997"/>
      <c r="CP637" s="1161"/>
      <c r="CQ637" s="997">
        <f>+CQ607/Model!CQ21</f>
        <v>2.9230569056009698E-2</v>
      </c>
      <c r="CR637" s="997">
        <f>+CR607/Model!CR21</f>
        <v>3.3719042797679309E-2</v>
      </c>
      <c r="CS637" s="997">
        <f>+CS607/Model!CS21</f>
        <v>3.5097803517079397E-2</v>
      </c>
      <c r="CT637" s="997">
        <f>+CT607/Model!CT21</f>
        <v>3.641010724380736E-2</v>
      </c>
      <c r="CU637" s="997">
        <f>+CU607/Model!CU21</f>
        <v>3.3342924300498074E-2</v>
      </c>
      <c r="CV637" s="997">
        <f>+CV607/Model!CV21</f>
        <v>3.5000266153887676E-2</v>
      </c>
      <c r="CW637" s="997">
        <f>+CW607/Model!CW21</f>
        <v>3.901217219835864E-2</v>
      </c>
      <c r="CX637" s="997">
        <f>+CX607/Model!CX21</f>
        <v>5.2639277941740302E-2</v>
      </c>
      <c r="CY637" s="997">
        <f>+CY607/Model!CY21</f>
        <v>5.2617054936026759E-2</v>
      </c>
      <c r="CZ637" s="785">
        <f>+CY637*0.975</f>
        <v>5.1301628562626087E-2</v>
      </c>
      <c r="DA637" s="785">
        <f>+CZ637*0.97</f>
        <v>4.9762579705747302E-2</v>
      </c>
      <c r="DB637" s="785">
        <f>+DA637*0.98</f>
        <v>4.8767328111632355E-2</v>
      </c>
      <c r="DC637" s="785">
        <f>+DB637*0.97</f>
        <v>4.7304308268283385E-2</v>
      </c>
      <c r="DD637" s="785">
        <f>+DC637*0.97</f>
        <v>4.5885179020234881E-2</v>
      </c>
      <c r="DE637" s="785">
        <f>+DD637*0.99</f>
        <v>4.542632723003253E-2</v>
      </c>
      <c r="DF637" s="489">
        <f>+DE637*0.995</f>
        <v>4.5199195593882364E-2</v>
      </c>
      <c r="DG637" s="308"/>
      <c r="DH637" s="308"/>
    </row>
    <row r="638" spans="1:113" s="51" customFormat="1" ht="11.25" customHeight="1">
      <c r="A638" s="82"/>
      <c r="B638"/>
      <c r="C638"/>
      <c r="D638"/>
      <c r="E638"/>
      <c r="F638"/>
      <c r="G638"/>
      <c r="H638" s="1044"/>
      <c r="I638" s="1159" t="s">
        <v>465</v>
      </c>
      <c r="J638" s="1160"/>
      <c r="K638" s="1160"/>
      <c r="L638" s="82"/>
      <c r="M638" s="292"/>
      <c r="N638" s="292"/>
      <c r="O638" s="292"/>
      <c r="P638" s="1007"/>
      <c r="Q638" s="292"/>
      <c r="R638" s="292"/>
      <c r="S638" s="292"/>
      <c r="T638" s="1007"/>
      <c r="U638" s="997"/>
      <c r="V638" s="997"/>
      <c r="W638" s="997"/>
      <c r="X638" s="998"/>
      <c r="Y638" s="997"/>
      <c r="Z638" s="997"/>
      <c r="AA638" s="997"/>
      <c r="AB638" s="998"/>
      <c r="AC638" s="997"/>
      <c r="AD638" s="997"/>
      <c r="AE638" s="997"/>
      <c r="AF638" s="998"/>
      <c r="AG638" s="997"/>
      <c r="AH638" s="997"/>
      <c r="AI638" s="997"/>
      <c r="AJ638" s="998"/>
      <c r="AK638" s="997"/>
      <c r="AL638" s="997"/>
      <c r="AM638" s="997"/>
      <c r="AN638" s="998"/>
      <c r="AO638" s="997"/>
      <c r="AP638" s="997"/>
      <c r="AQ638" s="997"/>
      <c r="AR638" s="998"/>
      <c r="AS638" s="997"/>
      <c r="AT638" s="997"/>
      <c r="AU638" s="997"/>
      <c r="AV638" s="998"/>
      <c r="AW638" s="1161"/>
      <c r="AX638" s="1161"/>
      <c r="AY638" s="1161"/>
      <c r="AZ638" s="998"/>
      <c r="BA638" s="997">
        <f t="shared" ref="BA638:BY638" si="1173">+BA608/BA21</f>
        <v>0.39877304403696928</v>
      </c>
      <c r="BB638" s="997">
        <f t="shared" si="1173"/>
        <v>0.24293471755193535</v>
      </c>
      <c r="BC638" s="997">
        <f t="shared" si="1173"/>
        <v>0.21045165073884708</v>
      </c>
      <c r="BD638" s="998">
        <f t="shared" si="1173"/>
        <v>0.22420339735761075</v>
      </c>
      <c r="BE638" s="997">
        <f t="shared" si="1173"/>
        <v>0.28750818271829176</v>
      </c>
      <c r="BF638" s="997">
        <f t="shared" si="1173"/>
        <v>0.2050764306102314</v>
      </c>
      <c r="BG638" s="997">
        <f t="shared" si="1173"/>
        <v>0.22113566702416326</v>
      </c>
      <c r="BH638" s="998">
        <f t="shared" si="1173"/>
        <v>0.32580040986360276</v>
      </c>
      <c r="BI638" s="997">
        <f t="shared" si="1173"/>
        <v>0.326442459823719</v>
      </c>
      <c r="BJ638" s="997">
        <f t="shared" si="1173"/>
        <v>0.23052448522173644</v>
      </c>
      <c r="BK638" s="997">
        <f t="shared" si="1173"/>
        <v>0.23966706947389382</v>
      </c>
      <c r="BL638" s="998">
        <f t="shared" si="1173"/>
        <v>0.35385325142928703</v>
      </c>
      <c r="BM638" s="997">
        <f t="shared" si="1173"/>
        <v>0.34225503440731581</v>
      </c>
      <c r="BN638" s="997">
        <f t="shared" si="1173"/>
        <v>0.26168889726051592</v>
      </c>
      <c r="BO638" s="997">
        <f t="shared" si="1173"/>
        <v>0.21472647423917601</v>
      </c>
      <c r="BP638" s="998">
        <f t="shared" si="1173"/>
        <v>0.32648170177985186</v>
      </c>
      <c r="BQ638" s="997">
        <f t="shared" si="1173"/>
        <v>0.33181180576456493</v>
      </c>
      <c r="BR638" s="997">
        <f t="shared" si="1173"/>
        <v>0.39626477319519365</v>
      </c>
      <c r="BS638" s="997">
        <f t="shared" si="1173"/>
        <v>0.25163032916615774</v>
      </c>
      <c r="BT638" s="998">
        <f t="shared" si="1173"/>
        <v>0.34079435198587998</v>
      </c>
      <c r="BU638" s="997">
        <f t="shared" si="1173"/>
        <v>0.52010852285185327</v>
      </c>
      <c r="BV638" s="997">
        <f t="shared" si="1173"/>
        <v>0.39888579452576822</v>
      </c>
      <c r="BW638" s="997">
        <f t="shared" si="1173"/>
        <v>0.23901058703413472</v>
      </c>
      <c r="BX638" s="998">
        <f t="shared" si="1173"/>
        <v>0.36512304161966724</v>
      </c>
      <c r="BY638" s="997">
        <f t="shared" si="1173"/>
        <v>0.40781985976711621</v>
      </c>
      <c r="BZ638" s="997">
        <f>+BZ608/BZ21</f>
        <v>0.35497177106325689</v>
      </c>
      <c r="CA638" s="997">
        <f>+CA608/CA21</f>
        <v>0.24613551241996842</v>
      </c>
      <c r="CB638" s="998">
        <f>+CB608/CB21</f>
        <v>0.40632972220329472</v>
      </c>
      <c r="CC638" s="785">
        <f>+BY638*0.98</f>
        <v>0.39966346257177388</v>
      </c>
      <c r="CD638" s="785">
        <f>+BZ638*0.98</f>
        <v>0.34787233564199177</v>
      </c>
      <c r="CE638" s="785">
        <f>+CA638*0.98</f>
        <v>0.24121280217156904</v>
      </c>
      <c r="CF638" s="489">
        <f>+CB638*0.98</f>
        <v>0.39820312775922884</v>
      </c>
      <c r="CG638" s="1007"/>
      <c r="CH638" s="1010"/>
      <c r="CI638" s="292"/>
      <c r="CJ638" s="997"/>
      <c r="CK638" s="997"/>
      <c r="CL638" s="997"/>
      <c r="CM638" s="997"/>
      <c r="CN638" s="997"/>
      <c r="CO638" s="997"/>
      <c r="CP638" s="1161"/>
      <c r="CQ638" s="997">
        <f>+CQ608/Model!CQ21</f>
        <v>7.8899005958037408E-2</v>
      </c>
      <c r="CR638" s="997">
        <f>+CR608/Model!CR21</f>
        <v>5.0999515567279892E-2</v>
      </c>
      <c r="CS638" s="997">
        <f>+CS608/Model!CS21</f>
        <v>7.3733937330021371E-2</v>
      </c>
      <c r="CT638" s="997">
        <f>+CT608/Model!CT21</f>
        <v>8.027637795206044E-2</v>
      </c>
      <c r="CU638" s="997">
        <f>+CU608/Model!CU21</f>
        <v>7.116323901136358E-2</v>
      </c>
      <c r="CV638" s="997">
        <f>+CV608/Model!CV21</f>
        <v>7.3892883847299431E-2</v>
      </c>
      <c r="CW638" s="997">
        <f>+CW608/Model!CW21</f>
        <v>7.9816300949659719E-2</v>
      </c>
      <c r="CX638" s="997">
        <f>+CX608/Model!CX21</f>
        <v>8.98172569186131E-2</v>
      </c>
      <c r="CY638" s="997">
        <f>+CY608/Model!CY21</f>
        <v>9.1554372029962638E-2</v>
      </c>
      <c r="CZ638" s="785">
        <f>+CY638*0.97</f>
        <v>8.8807740869063762E-2</v>
      </c>
      <c r="DA638" s="785">
        <f>+CZ638*0.99</f>
        <v>8.7919663460373124E-2</v>
      </c>
      <c r="DB638" s="785">
        <f>+DA638*0.99</f>
        <v>8.7040466825769394E-2</v>
      </c>
      <c r="DC638" s="785">
        <f>+DB638*0.98</f>
        <v>8.5299657489253999E-2</v>
      </c>
      <c r="DD638" s="785">
        <f>+DC638*0.985</f>
        <v>8.4020162626915182E-2</v>
      </c>
      <c r="DE638" s="785">
        <f>+DD638*0.98</f>
        <v>8.2339759374376875E-2</v>
      </c>
      <c r="DF638" s="489">
        <f>+DE638*0.98</f>
        <v>8.0692964186889329E-2</v>
      </c>
      <c r="DG638" s="308"/>
      <c r="DH638" s="308"/>
    </row>
    <row r="639" spans="1:113" s="282" customFormat="1" ht="11.25" customHeight="1">
      <c r="A639" s="82"/>
      <c r="B639"/>
      <c r="C639"/>
      <c r="D639"/>
      <c r="E639"/>
      <c r="F639"/>
      <c r="G639"/>
      <c r="H639" s="82"/>
      <c r="I639" s="1171" t="s">
        <v>467</v>
      </c>
      <c r="J639" s="1164"/>
      <c r="K639" s="1164"/>
      <c r="L639" s="1164"/>
      <c r="M639" s="518"/>
      <c r="N639" s="518"/>
      <c r="O639" s="518"/>
      <c r="P639" s="519"/>
      <c r="Q639" s="518"/>
      <c r="R639" s="518"/>
      <c r="S639" s="518"/>
      <c r="T639" s="519"/>
      <c r="U639" s="662"/>
      <c r="V639" s="662"/>
      <c r="W639" s="662"/>
      <c r="X639" s="663"/>
      <c r="Y639" s="662"/>
      <c r="Z639" s="662"/>
      <c r="AA639" s="662"/>
      <c r="AB639" s="663"/>
      <c r="AC639" s="662"/>
      <c r="AD639" s="662"/>
      <c r="AE639" s="662"/>
      <c r="AF639" s="663"/>
      <c r="AG639" s="662"/>
      <c r="AH639" s="662"/>
      <c r="AI639" s="662"/>
      <c r="AJ639" s="663"/>
      <c r="AK639" s="662"/>
      <c r="AL639" s="662"/>
      <c r="AM639" s="662"/>
      <c r="AN639" s="663"/>
      <c r="AO639" s="662"/>
      <c r="AP639" s="662"/>
      <c r="AQ639" s="662"/>
      <c r="AR639" s="663"/>
      <c r="AS639" s="662"/>
      <c r="AT639" s="662"/>
      <c r="AU639" s="662"/>
      <c r="AV639" s="663"/>
      <c r="AW639" s="662"/>
      <c r="AX639" s="662"/>
      <c r="AY639" s="662"/>
      <c r="AZ639" s="663"/>
      <c r="BA639" s="1166">
        <f t="shared" ref="BA639:BY639" si="1174">+BA609/BA21</f>
        <v>0.20610512529036723</v>
      </c>
      <c r="BB639" s="1166">
        <f t="shared" si="1174"/>
        <v>0.22102971209268749</v>
      </c>
      <c r="BC639" s="1166">
        <f t="shared" si="1174"/>
        <v>0.14716506837811569</v>
      </c>
      <c r="BD639" s="1167">
        <f t="shared" si="1174"/>
        <v>0.24138498339675205</v>
      </c>
      <c r="BE639" s="1168">
        <f t="shared" si="1174"/>
        <v>0.30353040307660567</v>
      </c>
      <c r="BF639" s="1168">
        <f t="shared" si="1174"/>
        <v>0.28981827144191219</v>
      </c>
      <c r="BG639" s="1168">
        <f t="shared" si="1174"/>
        <v>0.20119204599398702</v>
      </c>
      <c r="BH639" s="1167">
        <f t="shared" si="1174"/>
        <v>0.30976869582745409</v>
      </c>
      <c r="BI639" s="1169">
        <f t="shared" si="1174"/>
        <v>0.30992801909659817</v>
      </c>
      <c r="BJ639" s="1169">
        <f t="shared" si="1174"/>
        <v>0.31879055229080644</v>
      </c>
      <c r="BK639" s="1169">
        <f t="shared" si="1174"/>
        <v>0.18972660946304756</v>
      </c>
      <c r="BL639" s="1170">
        <f t="shared" si="1174"/>
        <v>0.28363634240078694</v>
      </c>
      <c r="BM639" s="1169">
        <f t="shared" si="1174"/>
        <v>0.28746219093410774</v>
      </c>
      <c r="BN639" s="1169">
        <f t="shared" si="1174"/>
        <v>0.268090366481052</v>
      </c>
      <c r="BO639" s="1169">
        <f t="shared" si="1174"/>
        <v>0.14696014132925225</v>
      </c>
      <c r="BP639" s="1170">
        <f t="shared" si="1174"/>
        <v>0.25029006623020417</v>
      </c>
      <c r="BQ639" s="1169">
        <f t="shared" si="1174"/>
        <v>0.28529891443118738</v>
      </c>
      <c r="BR639" s="1169">
        <f t="shared" si="1174"/>
        <v>0.28954256649171178</v>
      </c>
      <c r="BS639" s="1169">
        <f t="shared" si="1174"/>
        <v>0.13326077757556559</v>
      </c>
      <c r="BT639" s="1170">
        <f t="shared" si="1174"/>
        <v>0.21744104360260899</v>
      </c>
      <c r="BU639" s="1169">
        <f t="shared" si="1174"/>
        <v>0.24930462418515922</v>
      </c>
      <c r="BV639" s="1169">
        <f t="shared" si="1174"/>
        <v>0.29667334663066114</v>
      </c>
      <c r="BW639" s="1169">
        <f t="shared" si="1174"/>
        <v>0.15398888838309283</v>
      </c>
      <c r="BX639" s="1170">
        <f t="shared" si="1174"/>
        <v>0.26160465297498375</v>
      </c>
      <c r="BY639" s="1169">
        <f t="shared" si="1174"/>
        <v>0.36348001408611375</v>
      </c>
      <c r="BZ639" s="1169">
        <f>+BZ609/BZ21</f>
        <v>0.39200431402162828</v>
      </c>
      <c r="CA639" s="1169">
        <f>+CA609/CA21</f>
        <v>0.18659350220758594</v>
      </c>
      <c r="CB639" s="1170">
        <f>+CB609/CB21</f>
        <v>0.3497761223048968</v>
      </c>
      <c r="CC639" s="1837">
        <f>+BY639*0.91</f>
        <v>0.33076681281836351</v>
      </c>
      <c r="CD639" s="1837">
        <f>+BZ639*0.91</f>
        <v>0.35672392575968176</v>
      </c>
      <c r="CE639" s="1837">
        <f>+CA639*0.91</f>
        <v>0.1698000870089032</v>
      </c>
      <c r="CF639" s="1836">
        <f>+CB639*0.91</f>
        <v>0.31829627129745608</v>
      </c>
      <c r="CG639" s="337"/>
      <c r="CH639" s="524"/>
      <c r="CI639" s="518"/>
      <c r="CJ639" s="662"/>
      <c r="CK639" s="662"/>
      <c r="CL639" s="662"/>
      <c r="CM639" s="662"/>
      <c r="CN639" s="662"/>
      <c r="CO639" s="662"/>
      <c r="CP639" s="662"/>
      <c r="CQ639" s="1165">
        <f t="shared" ref="CQ639:CY639" si="1175">+CQ609/CQ21</f>
        <v>4.4314683286682324E-2</v>
      </c>
      <c r="CR639" s="1165">
        <f t="shared" si="1175"/>
        <v>5.4907808550352301E-2</v>
      </c>
      <c r="CS639" s="1165">
        <f t="shared" si="1175"/>
        <v>7.0105699420409506E-2</v>
      </c>
      <c r="CT639" s="1165">
        <f t="shared" si="1175"/>
        <v>6.4346726027062526E-2</v>
      </c>
      <c r="CU639" s="1165">
        <f t="shared" si="1175"/>
        <v>5.4555742965712632E-2</v>
      </c>
      <c r="CV639" s="1165">
        <f t="shared" si="1175"/>
        <v>4.7146749014281994E-2</v>
      </c>
      <c r="CW639" s="1165">
        <f t="shared" si="1175"/>
        <v>5.7187066636656445E-2</v>
      </c>
      <c r="CX639" s="1165">
        <f t="shared" si="1175"/>
        <v>7.7316352027374316E-2</v>
      </c>
      <c r="CY639" s="1166">
        <f t="shared" si="1175"/>
        <v>7.3182286141502614E-2</v>
      </c>
      <c r="CZ639" s="1163">
        <f>+CY639*0.99</f>
        <v>7.2450463280087585E-2</v>
      </c>
      <c r="DA639" s="1163">
        <f>+CZ639*0.99</f>
        <v>7.1725958647286703E-2</v>
      </c>
      <c r="DB639" s="1163">
        <f>+DA639*0.99</f>
        <v>7.1008699060813835E-2</v>
      </c>
      <c r="DC639" s="1163">
        <f>+DB639</f>
        <v>7.1008699060813835E-2</v>
      </c>
      <c r="DD639" s="1163">
        <f>+DC639</f>
        <v>7.1008699060813835E-2</v>
      </c>
      <c r="DE639" s="1163">
        <f>+DD639</f>
        <v>7.1008699060813835E-2</v>
      </c>
      <c r="DF639" s="1162">
        <f>+DE639</f>
        <v>7.1008699060813835E-2</v>
      </c>
      <c r="DG639" s="1469"/>
      <c r="DH639" s="1469"/>
    </row>
    <row r="640" spans="1:113" ht="11.25" customHeight="1">
      <c r="I640" s="70"/>
      <c r="J640" s="70"/>
      <c r="K640" s="70"/>
      <c r="M640" s="315"/>
      <c r="N640" s="315"/>
      <c r="O640" s="315"/>
      <c r="P640" s="315"/>
      <c r="Q640" s="315"/>
      <c r="R640" s="315"/>
      <c r="S640" s="315"/>
      <c r="T640" s="315"/>
      <c r="U640" s="328"/>
      <c r="V640" s="328"/>
      <c r="W640" s="328"/>
      <c r="X640" s="328"/>
      <c r="Y640" s="328"/>
      <c r="Z640" s="328"/>
      <c r="AA640" s="328"/>
      <c r="AB640" s="328"/>
      <c r="AC640" s="328"/>
      <c r="AD640" s="328"/>
      <c r="AE640" s="328"/>
      <c r="AF640" s="328"/>
      <c r="AG640" s="328"/>
      <c r="AH640" s="328"/>
      <c r="AI640" s="328"/>
      <c r="AJ640" s="328"/>
      <c r="AK640" s="328"/>
      <c r="AL640" s="328"/>
      <c r="AM640" s="328"/>
      <c r="AN640" s="328"/>
      <c r="AO640" s="328"/>
      <c r="AP640" s="328"/>
      <c r="AQ640" s="328"/>
      <c r="AR640" s="328"/>
      <c r="AS640" s="328"/>
      <c r="AT640" s="328"/>
      <c r="AU640" s="328"/>
      <c r="AV640" s="328"/>
      <c r="AW640" s="328"/>
      <c r="AX640" s="328"/>
      <c r="AY640" s="328"/>
      <c r="AZ640" s="328"/>
      <c r="BA640" s="328"/>
      <c r="BB640" s="328"/>
      <c r="BC640" s="328"/>
      <c r="BD640" s="328"/>
      <c r="BE640" s="328"/>
      <c r="BF640" s="328"/>
      <c r="BG640" s="328"/>
      <c r="BH640" s="328"/>
      <c r="BI640" s="328"/>
      <c r="BJ640" s="328"/>
      <c r="BK640" s="328"/>
      <c r="BL640" s="328"/>
      <c r="BM640" s="328"/>
      <c r="BN640" s="328"/>
      <c r="BO640" s="328"/>
      <c r="BP640" s="328"/>
      <c r="BQ640" s="328"/>
      <c r="BR640" s="328"/>
      <c r="BS640" s="328"/>
      <c r="BT640" s="328"/>
      <c r="BU640" s="328"/>
      <c r="BV640" s="328"/>
      <c r="BW640" s="328"/>
      <c r="BX640" s="328"/>
      <c r="BY640" s="328"/>
      <c r="BZ640" s="328"/>
      <c r="CA640" s="328"/>
      <c r="CB640" s="328"/>
      <c r="CC640" s="328"/>
      <c r="CD640" s="328"/>
      <c r="CE640" s="328"/>
      <c r="CF640" s="328"/>
      <c r="CG640" s="315"/>
      <c r="CH640" s="315"/>
      <c r="CI640" s="315"/>
      <c r="CJ640" s="328"/>
      <c r="CK640" s="328"/>
      <c r="CL640" s="328"/>
      <c r="CM640" s="328"/>
      <c r="CN640" s="328"/>
      <c r="CO640" s="328"/>
      <c r="CP640" s="328"/>
      <c r="CQ640" s="328"/>
      <c r="CR640" s="328"/>
      <c r="CS640" s="328"/>
      <c r="CT640" s="328"/>
      <c r="CU640" s="328"/>
      <c r="CV640" s="328"/>
      <c r="CW640" s="328"/>
      <c r="CX640" s="328"/>
      <c r="CY640" s="328"/>
      <c r="CZ640" s="328"/>
      <c r="DA640" s="328"/>
      <c r="DB640" s="328"/>
      <c r="DC640" s="328"/>
      <c r="DD640" s="328"/>
      <c r="DE640" s="328"/>
      <c r="DF640" s="328"/>
    </row>
    <row r="641" spans="1:113" ht="11.25" customHeight="1">
      <c r="I641" s="137" t="s">
        <v>762</v>
      </c>
      <c r="J641" s="138"/>
      <c r="K641" s="138"/>
      <c r="L641" s="138"/>
      <c r="M641" s="141">
        <v>2001</v>
      </c>
      <c r="N641" s="142"/>
      <c r="O641" s="142"/>
      <c r="P641" s="143"/>
      <c r="Q641" s="238">
        <v>2002</v>
      </c>
      <c r="R641" s="142"/>
      <c r="S641" s="142"/>
      <c r="T641" s="143"/>
      <c r="U641" s="238">
        <v>2003</v>
      </c>
      <c r="V641" s="142"/>
      <c r="W641" s="142"/>
      <c r="X641" s="143"/>
      <c r="Y641" s="238">
        <v>2004</v>
      </c>
      <c r="Z641" s="142"/>
      <c r="AA641" s="142"/>
      <c r="AB641" s="143"/>
      <c r="AC641" s="238">
        <v>2005</v>
      </c>
      <c r="AD641" s="142"/>
      <c r="AE641" s="142"/>
      <c r="AF641" s="143"/>
      <c r="AG641" s="238">
        <v>2006</v>
      </c>
      <c r="AH641" s="142"/>
      <c r="AI641" s="142"/>
      <c r="AJ641" s="143"/>
      <c r="AK641" s="238">
        <v>2007</v>
      </c>
      <c r="AL641" s="142"/>
      <c r="AM641" s="142"/>
      <c r="AN641" s="143"/>
      <c r="AO641" s="238">
        <v>2008</v>
      </c>
      <c r="AP641" s="142"/>
      <c r="AQ641" s="142"/>
      <c r="AR641" s="143"/>
      <c r="AS641" s="238">
        <v>2009</v>
      </c>
      <c r="AT641" s="142"/>
      <c r="AU641" s="142"/>
      <c r="AV641" s="143"/>
      <c r="AW641" s="238">
        <v>2010</v>
      </c>
      <c r="AX641" s="142"/>
      <c r="AY641" s="142"/>
      <c r="AZ641" s="143"/>
      <c r="BA641" s="238">
        <v>2011</v>
      </c>
      <c r="BB641" s="142"/>
      <c r="BC641" s="142"/>
      <c r="BD641" s="143"/>
      <c r="BE641" s="142">
        <v>2012</v>
      </c>
      <c r="BF641" s="144"/>
      <c r="BG641" s="144"/>
      <c r="BH641" s="145"/>
      <c r="BI641" s="142">
        <v>2013</v>
      </c>
      <c r="BJ641" s="144"/>
      <c r="BK641" s="144"/>
      <c r="BL641" s="145"/>
      <c r="BM641" s="142" t="s">
        <v>526</v>
      </c>
      <c r="BN641" s="144"/>
      <c r="BO641" s="144"/>
      <c r="BP641" s="145"/>
      <c r="BQ641" s="142" t="s">
        <v>667</v>
      </c>
      <c r="BR641" s="144"/>
      <c r="BS641" s="144"/>
      <c r="BT641" s="145"/>
      <c r="BU641" s="2065" t="s">
        <v>740</v>
      </c>
      <c r="BV641" s="144"/>
      <c r="BW641" s="144"/>
      <c r="BX641" s="145"/>
      <c r="BY641" s="2065" t="s">
        <v>749</v>
      </c>
      <c r="BZ641" s="144"/>
      <c r="CA641" s="144"/>
      <c r="CB641" s="145"/>
      <c r="CC641" s="239" t="s">
        <v>21</v>
      </c>
      <c r="CD641" s="146"/>
      <c r="CE641" s="146"/>
      <c r="CF641" s="147"/>
      <c r="CG641" s="234"/>
      <c r="CH641" s="153"/>
      <c r="CI641" s="154"/>
      <c r="CJ641" s="154"/>
      <c r="CK641" s="154"/>
      <c r="CL641" s="154"/>
      <c r="CM641" s="154"/>
      <c r="CN641" s="154"/>
      <c r="CO641" s="154"/>
      <c r="CP641" s="154"/>
      <c r="CQ641" s="154"/>
      <c r="CR641" s="154"/>
      <c r="CS641" s="154"/>
      <c r="CT641" s="154"/>
      <c r="CU641" s="154"/>
      <c r="CV641" s="154"/>
      <c r="CW641" s="154"/>
      <c r="CX641" s="154"/>
      <c r="CY641" s="154"/>
      <c r="CZ641" s="1736"/>
      <c r="DA641" s="1736"/>
      <c r="DB641" s="1736"/>
      <c r="DC641" s="1736"/>
      <c r="DD641" s="1736"/>
      <c r="DE641" s="1736"/>
      <c r="DF641" s="1737"/>
    </row>
    <row r="642" spans="1:113" ht="11.25" customHeight="1" thickBot="1">
      <c r="I642" s="139" t="s">
        <v>392</v>
      </c>
      <c r="J642" s="140"/>
      <c r="K642" s="140"/>
      <c r="L642" s="140"/>
      <c r="M642" s="148">
        <v>1</v>
      </c>
      <c r="N642" s="149">
        <v>2</v>
      </c>
      <c r="O642" s="149">
        <v>3</v>
      </c>
      <c r="P642" s="150">
        <v>4</v>
      </c>
      <c r="Q642" s="149">
        <v>1</v>
      </c>
      <c r="R642" s="149">
        <v>2</v>
      </c>
      <c r="S642" s="149">
        <v>3</v>
      </c>
      <c r="T642" s="150">
        <v>4</v>
      </c>
      <c r="U642" s="149">
        <v>1</v>
      </c>
      <c r="V642" s="149">
        <v>2</v>
      </c>
      <c r="W642" s="149">
        <v>3</v>
      </c>
      <c r="X642" s="150">
        <v>4</v>
      </c>
      <c r="Y642" s="149">
        <v>1</v>
      </c>
      <c r="Z642" s="149">
        <v>2</v>
      </c>
      <c r="AA642" s="149">
        <v>3</v>
      </c>
      <c r="AB642" s="150">
        <v>4</v>
      </c>
      <c r="AC642" s="149">
        <v>1</v>
      </c>
      <c r="AD642" s="149">
        <v>2</v>
      </c>
      <c r="AE642" s="149">
        <v>3</v>
      </c>
      <c r="AF642" s="150">
        <v>4</v>
      </c>
      <c r="AG642" s="149">
        <v>1</v>
      </c>
      <c r="AH642" s="149">
        <v>2</v>
      </c>
      <c r="AI642" s="149">
        <v>3</v>
      </c>
      <c r="AJ642" s="150">
        <v>4</v>
      </c>
      <c r="AK642" s="149">
        <v>1</v>
      </c>
      <c r="AL642" s="149">
        <v>2</v>
      </c>
      <c r="AM642" s="149">
        <v>3</v>
      </c>
      <c r="AN642" s="150">
        <v>4</v>
      </c>
      <c r="AO642" s="149">
        <v>1</v>
      </c>
      <c r="AP642" s="149">
        <v>2</v>
      </c>
      <c r="AQ642" s="149">
        <v>3</v>
      </c>
      <c r="AR642" s="150">
        <v>4</v>
      </c>
      <c r="AS642" s="149">
        <v>1</v>
      </c>
      <c r="AT642" s="149">
        <v>2</v>
      </c>
      <c r="AU642" s="149">
        <v>3</v>
      </c>
      <c r="AV642" s="150">
        <v>4</v>
      </c>
      <c r="AW642" s="149">
        <v>1</v>
      </c>
      <c r="AX642" s="149">
        <v>2</v>
      </c>
      <c r="AY642" s="149">
        <v>3</v>
      </c>
      <c r="AZ642" s="150">
        <v>4</v>
      </c>
      <c r="BA642" s="149">
        <v>1</v>
      </c>
      <c r="BB642" s="149">
        <v>2</v>
      </c>
      <c r="BC642" s="149">
        <v>3</v>
      </c>
      <c r="BD642" s="150">
        <v>4</v>
      </c>
      <c r="BE642" s="149">
        <v>1</v>
      </c>
      <c r="BF642" s="149">
        <v>2</v>
      </c>
      <c r="BG642" s="149">
        <v>3</v>
      </c>
      <c r="BH642" s="150">
        <v>4</v>
      </c>
      <c r="BI642" s="149">
        <v>1</v>
      </c>
      <c r="BJ642" s="149">
        <v>2</v>
      </c>
      <c r="BK642" s="149">
        <v>3</v>
      </c>
      <c r="BL642" s="150">
        <v>4</v>
      </c>
      <c r="BM642" s="149">
        <v>1</v>
      </c>
      <c r="BN642" s="149">
        <v>2</v>
      </c>
      <c r="BO642" s="149">
        <v>3</v>
      </c>
      <c r="BP642" s="149">
        <v>4</v>
      </c>
      <c r="BQ642" s="1932">
        <v>1</v>
      </c>
      <c r="BR642" s="149">
        <v>2</v>
      </c>
      <c r="BS642" s="149">
        <v>3</v>
      </c>
      <c r="BT642" s="149">
        <v>4</v>
      </c>
      <c r="BU642" s="1932">
        <v>1</v>
      </c>
      <c r="BV642" s="149">
        <v>2</v>
      </c>
      <c r="BW642" s="149">
        <v>3</v>
      </c>
      <c r="BX642" s="150">
        <v>4</v>
      </c>
      <c r="BY642" s="1932">
        <v>1</v>
      </c>
      <c r="BZ642" s="149">
        <v>2</v>
      </c>
      <c r="CA642" s="149">
        <v>3</v>
      </c>
      <c r="CB642" s="150">
        <v>4</v>
      </c>
      <c r="CC642" s="152">
        <v>1</v>
      </c>
      <c r="CD642" s="152">
        <v>2</v>
      </c>
      <c r="CE642" s="152">
        <v>3</v>
      </c>
      <c r="CF642" s="151">
        <v>4</v>
      </c>
      <c r="CG642" s="256"/>
      <c r="CH642" s="155">
        <v>37256</v>
      </c>
      <c r="CI642" s="156">
        <v>37621</v>
      </c>
      <c r="CJ642" s="156">
        <v>37986</v>
      </c>
      <c r="CK642" s="156">
        <v>38352</v>
      </c>
      <c r="CL642" s="156">
        <v>38717</v>
      </c>
      <c r="CM642" s="156">
        <v>39082</v>
      </c>
      <c r="CN642" s="156">
        <v>39447</v>
      </c>
      <c r="CO642" s="156">
        <v>39813</v>
      </c>
      <c r="CP642" s="156">
        <v>40178</v>
      </c>
      <c r="CQ642" s="156">
        <v>40543</v>
      </c>
      <c r="CR642" s="156">
        <v>40908</v>
      </c>
      <c r="CS642" s="156">
        <v>41274</v>
      </c>
      <c r="CT642" s="156">
        <v>41639</v>
      </c>
      <c r="CU642" s="1531">
        <v>42004</v>
      </c>
      <c r="CV642" s="1531">
        <v>42369</v>
      </c>
      <c r="CW642" s="1531">
        <v>42735</v>
      </c>
      <c r="CX642" s="1531">
        <v>43100</v>
      </c>
      <c r="CY642" s="1532">
        <v>43465</v>
      </c>
      <c r="CZ642" s="1734">
        <v>43830</v>
      </c>
      <c r="DA642" s="1734">
        <v>44196</v>
      </c>
      <c r="DB642" s="1734">
        <v>44561</v>
      </c>
      <c r="DC642" s="1734">
        <v>44926</v>
      </c>
      <c r="DD642" s="1734">
        <v>45291</v>
      </c>
      <c r="DE642" s="1734">
        <v>45657</v>
      </c>
      <c r="DF642" s="1735">
        <v>46022</v>
      </c>
    </row>
    <row r="643" spans="1:113" customFormat="1" ht="11.25" customHeight="1">
      <c r="A643" s="10"/>
      <c r="H643" s="1045" t="s">
        <v>395</v>
      </c>
      <c r="I643" s="659" t="s">
        <v>16</v>
      </c>
      <c r="J643" s="660"/>
      <c r="K643" s="660"/>
      <c r="L643" s="660"/>
      <c r="M643" s="660"/>
      <c r="N643" s="660"/>
      <c r="O643" s="660"/>
      <c r="P643" s="660"/>
      <c r="Q643" s="660"/>
      <c r="R643" s="660"/>
      <c r="S643" s="660"/>
      <c r="T643" s="660"/>
      <c r="U643" s="659"/>
      <c r="V643" s="660"/>
      <c r="W643" s="660"/>
      <c r="X643" s="661"/>
      <c r="Y643" s="659"/>
      <c r="Z643" s="660"/>
      <c r="AA643" s="660"/>
      <c r="AB643" s="661"/>
      <c r="AC643" s="659"/>
      <c r="AD643" s="660"/>
      <c r="AE643" s="660"/>
      <c r="AF643" s="661"/>
      <c r="AG643" s="659"/>
      <c r="AH643" s="660"/>
      <c r="AI643" s="660"/>
      <c r="AJ643" s="661"/>
      <c r="AK643" s="659"/>
      <c r="AL643" s="660"/>
      <c r="AM643" s="660"/>
      <c r="AN643" s="661"/>
      <c r="AO643" s="659"/>
      <c r="AP643" s="660"/>
      <c r="AQ643" s="660"/>
      <c r="AR643" s="661"/>
      <c r="AS643" s="659"/>
      <c r="AT643" s="660"/>
      <c r="AU643" s="660"/>
      <c r="AV643" s="661"/>
      <c r="AW643" s="659"/>
      <c r="AX643" s="660"/>
      <c r="AY643" s="660"/>
      <c r="AZ643" s="661"/>
      <c r="BA643" s="659"/>
      <c r="BB643" s="660"/>
      <c r="BC643" s="660"/>
      <c r="BD643" s="661"/>
      <c r="BE643" s="659"/>
      <c r="BF643" s="660"/>
      <c r="BG643" s="660"/>
      <c r="BH643" s="661"/>
      <c r="BI643" s="659"/>
      <c r="BJ643" s="660"/>
      <c r="BK643" s="660"/>
      <c r="BL643" s="661"/>
      <c r="BM643" s="659"/>
      <c r="BN643" s="660"/>
      <c r="BO643" s="660"/>
      <c r="BP643" s="661"/>
      <c r="BQ643" s="659"/>
      <c r="BR643" s="660"/>
      <c r="BS643" s="660"/>
      <c r="BT643" s="661"/>
      <c r="BU643" s="659"/>
      <c r="BV643" s="660"/>
      <c r="BW643" s="660"/>
      <c r="BX643" s="661"/>
      <c r="BY643" s="659"/>
      <c r="BZ643" s="660"/>
      <c r="CA643" s="660"/>
      <c r="CB643" s="661"/>
      <c r="CC643" s="659"/>
      <c r="CD643" s="660"/>
      <c r="CE643" s="660"/>
      <c r="CF643" s="661"/>
      <c r="CH643" s="661"/>
      <c r="CI643" s="661"/>
      <c r="CJ643" s="661"/>
      <c r="CK643" s="661"/>
      <c r="CL643" s="661"/>
      <c r="CM643" s="661"/>
      <c r="CN643" s="661"/>
      <c r="CO643" s="661"/>
      <c r="CP643" s="661"/>
      <c r="CQ643" s="661"/>
      <c r="CR643" s="661"/>
      <c r="CS643" s="661"/>
      <c r="CT643" s="661"/>
      <c r="CU643" s="661"/>
      <c r="CV643" s="661"/>
      <c r="CW643" s="661"/>
      <c r="CX643" s="661"/>
      <c r="CY643" s="660"/>
      <c r="CZ643" s="660"/>
      <c r="DA643" s="660"/>
      <c r="DB643" s="660"/>
      <c r="DC643" s="660"/>
      <c r="DD643" s="660"/>
      <c r="DE643" s="660"/>
      <c r="DF643" s="661"/>
      <c r="DG643" s="124"/>
      <c r="DH643" s="124"/>
      <c r="DI643" s="1548"/>
    </row>
    <row r="644" spans="1:113" s="26" customFormat="1" ht="11.25" customHeight="1">
      <c r="A644" s="24"/>
      <c r="B644"/>
      <c r="C644"/>
      <c r="D644"/>
      <c r="E644"/>
      <c r="F644"/>
      <c r="G644"/>
      <c r="H644" s="1044"/>
      <c r="I644" s="223" t="s">
        <v>84</v>
      </c>
      <c r="J644" s="112"/>
      <c r="K644" s="112"/>
      <c r="L644" s="2303"/>
      <c r="M644" s="2304"/>
      <c r="N644" s="2304"/>
      <c r="O644" s="2304"/>
      <c r="P644" s="2305"/>
      <c r="Q644" s="2304"/>
      <c r="R644" s="2304"/>
      <c r="S644" s="2304"/>
      <c r="T644" s="2305"/>
      <c r="U644" s="2306"/>
      <c r="V644" s="2306"/>
      <c r="W644" s="2306"/>
      <c r="X644" s="2307"/>
      <c r="Y644" s="2306"/>
      <c r="Z644" s="2306"/>
      <c r="AA644" s="2306"/>
      <c r="AB644" s="2307"/>
      <c r="AC644" s="2306"/>
      <c r="AD644" s="2306"/>
      <c r="AE644" s="2306"/>
      <c r="AF644" s="2307"/>
      <c r="AG644" s="2306"/>
      <c r="AH644" s="2306"/>
      <c r="AI644" s="2306"/>
      <c r="AJ644" s="2307"/>
      <c r="AK644" s="2306"/>
      <c r="AL644" s="2306"/>
      <c r="AM644" s="2306"/>
      <c r="AN644" s="2307"/>
      <c r="AO644" s="2306"/>
      <c r="AP644" s="2306"/>
      <c r="AQ644" s="2306"/>
      <c r="AR644" s="2307"/>
      <c r="AS644" s="2306"/>
      <c r="AT644" s="2306"/>
      <c r="AU644" s="2306"/>
      <c r="AV644" s="2307"/>
      <c r="AW644" s="2308"/>
      <c r="AX644" s="2308"/>
      <c r="AY644" s="2308"/>
      <c r="AZ644" s="2307"/>
      <c r="BA644" s="2306"/>
      <c r="BB644" s="2306"/>
      <c r="BC644" s="2306"/>
      <c r="BD644" s="2307"/>
      <c r="BE644" s="2306"/>
      <c r="BF644" s="2306"/>
      <c r="BG644" s="2306"/>
      <c r="BH644" s="2307"/>
      <c r="BI644" s="2309"/>
      <c r="BJ644" s="2309"/>
      <c r="BK644" s="2309"/>
      <c r="BL644" s="2310"/>
      <c r="BM644" s="1191"/>
      <c r="BN644" s="1191"/>
      <c r="BO644" s="1191"/>
      <c r="BP644" s="1192"/>
      <c r="BQ644" s="1191"/>
      <c r="BR644" s="1191"/>
      <c r="BS644" s="1191"/>
      <c r="BT644" s="1192"/>
      <c r="BU644" s="1191"/>
      <c r="BV644" s="1191"/>
      <c r="BW644" s="1191"/>
      <c r="BX644" s="1192"/>
      <c r="BY644" s="1191"/>
      <c r="BZ644" s="1191"/>
      <c r="CA644" s="1191"/>
      <c r="CB644" s="1192"/>
      <c r="CC644" s="1191"/>
      <c r="CD644" s="1191"/>
      <c r="CE644" s="1191"/>
      <c r="CF644" s="1192"/>
      <c r="CG644" s="2305"/>
      <c r="CH644" s="2311"/>
      <c r="CI644" s="2304"/>
      <c r="CJ644" s="2306"/>
      <c r="CK644" s="2306"/>
      <c r="CL644" s="2306"/>
      <c r="CM644" s="2306"/>
      <c r="CN644" s="2306"/>
      <c r="CO644" s="2306"/>
      <c r="CP644" s="2308"/>
      <c r="CQ644" s="2306"/>
      <c r="CR644" s="2306"/>
      <c r="CS644" s="2306"/>
      <c r="CT644" s="2306"/>
      <c r="CU644" s="2306"/>
      <c r="CV644" s="2306"/>
      <c r="CW644" s="2306"/>
      <c r="CX644" s="2306"/>
      <c r="CY644" s="2306"/>
      <c r="CZ644" s="1191"/>
      <c r="DA644" s="1191"/>
      <c r="DB644" s="494"/>
      <c r="DC644" s="494"/>
      <c r="DD644" s="494"/>
      <c r="DE644" s="494"/>
      <c r="DF644" s="497"/>
      <c r="DG644" s="94"/>
      <c r="DH644" s="94"/>
    </row>
    <row r="645" spans="1:113" s="554" customFormat="1" ht="11.25" customHeight="1">
      <c r="A645" s="547"/>
      <c r="B645"/>
      <c r="C645"/>
      <c r="D645"/>
      <c r="E645"/>
      <c r="F645"/>
      <c r="G645"/>
      <c r="H645" s="1044"/>
      <c r="I645" s="2312" t="s">
        <v>85</v>
      </c>
      <c r="J645" s="2313"/>
      <c r="K645" s="2313"/>
      <c r="L645" s="2314"/>
      <c r="M645" s="2315"/>
      <c r="N645" s="2315"/>
      <c r="O645" s="2315"/>
      <c r="P645" s="2316"/>
      <c r="Q645" s="2315"/>
      <c r="R645" s="2315"/>
      <c r="S645" s="2315"/>
      <c r="T645" s="2316"/>
      <c r="U645" s="2174"/>
      <c r="V645" s="2174"/>
      <c r="W645" s="2174"/>
      <c r="X645" s="1912"/>
      <c r="Y645" s="2174"/>
      <c r="Z645" s="2174"/>
      <c r="AA645" s="2174"/>
      <c r="AB645" s="1912"/>
      <c r="AC645" s="2174"/>
      <c r="AD645" s="2174"/>
      <c r="AE645" s="2174"/>
      <c r="AF645" s="1912"/>
      <c r="AG645" s="2174"/>
      <c r="AH645" s="2174"/>
      <c r="AI645" s="2174"/>
      <c r="AJ645" s="1912"/>
      <c r="AK645" s="2174"/>
      <c r="AL645" s="2174"/>
      <c r="AM645" s="2174"/>
      <c r="AN645" s="1912"/>
      <c r="AO645" s="2174"/>
      <c r="AP645" s="2174"/>
      <c r="AQ645" s="2174"/>
      <c r="AR645" s="1912"/>
      <c r="AS645" s="2174"/>
      <c r="AT645" s="2174"/>
      <c r="AU645" s="2174"/>
      <c r="AV645" s="1912"/>
      <c r="AW645" s="2317"/>
      <c r="AX645" s="2317"/>
      <c r="AY645" s="2317"/>
      <c r="AZ645" s="1912"/>
      <c r="BA645" s="2174">
        <v>104.01300000000001</v>
      </c>
      <c r="BB645" s="2174">
        <f>360.291-BA645</f>
        <v>256.27800000000002</v>
      </c>
      <c r="BC645" s="2174">
        <f>833.175-BB645-BA645</f>
        <v>472.8839999999999</v>
      </c>
      <c r="BD645" s="1912">
        <f>+CR645-BC645-BB645-BA645</f>
        <v>225.95600000000016</v>
      </c>
      <c r="BE645" s="2174">
        <v>181.816</v>
      </c>
      <c r="BF645" s="2174">
        <f>534.47-BE645</f>
        <v>352.654</v>
      </c>
      <c r="BG645" s="2174">
        <f>1134.442-BF645-BE645</f>
        <v>599.97199999999998</v>
      </c>
      <c r="BH645" s="1912">
        <f>1424.037-BG645-BF645-BE645</f>
        <v>289.59500000000003</v>
      </c>
      <c r="BI645" s="2174">
        <v>244.292</v>
      </c>
      <c r="BJ645" s="2174">
        <f>681.732-BI645</f>
        <v>437.43999999999994</v>
      </c>
      <c r="BK645" s="2174">
        <f>1514.721-BJ645-BI645</f>
        <v>832.98899999999992</v>
      </c>
      <c r="BL645" s="1912">
        <f>1892.798-BK645-BJ645-BI645</f>
        <v>378.07700000000023</v>
      </c>
      <c r="BM645" s="2174">
        <v>331.21800000000002</v>
      </c>
      <c r="BN645" s="2174">
        <f>907.669-BM645</f>
        <v>576.45100000000002</v>
      </c>
      <c r="BO645" s="2174">
        <f>1969.922-BN645-BM645</f>
        <v>1062.2529999999999</v>
      </c>
      <c r="BP645" s="1912">
        <f>+CU645-BO645-BN645-BM645</f>
        <v>451.83100000000019</v>
      </c>
      <c r="BQ645" s="2174">
        <v>333.327</v>
      </c>
      <c r="BR645" s="2174">
        <f>850.359-BQ645</f>
        <v>517.03200000000004</v>
      </c>
      <c r="BS645" s="2174">
        <f>2047.091-BR645-BQ645</f>
        <v>1196.7319999999997</v>
      </c>
      <c r="BT645" s="1912">
        <f>+CV645-BS645-BR645-BQ645</f>
        <v>504.26900000000035</v>
      </c>
      <c r="BU645" s="2174">
        <v>374.42399999999998</v>
      </c>
      <c r="BV645" s="2174">
        <f>955.062-BU645</f>
        <v>580.63800000000003</v>
      </c>
      <c r="BW645" s="2174">
        <f>1461.079-BV645-BU645</f>
        <v>506.01699999999994</v>
      </c>
      <c r="BX645" s="1912">
        <f>+CW645-BW645-BV645-BU645</f>
        <v>673.90800000000036</v>
      </c>
      <c r="BY645" s="2174">
        <v>455.62299999999999</v>
      </c>
      <c r="BZ645" s="2174">
        <f>1175.832-BY645</f>
        <v>720.20900000000006</v>
      </c>
      <c r="CA645" s="2174">
        <f>2896.223-BZ645-BY645</f>
        <v>1720.3910000000001</v>
      </c>
      <c r="CB645" s="1912">
        <f>+CX645-CA645-BZ645-BY645</f>
        <v>-555.45800000000031</v>
      </c>
      <c r="CC645" s="2174">
        <f>+Model!CC143</f>
        <v>519.47269697734828</v>
      </c>
      <c r="CD645" s="2174">
        <f>+Model!CD143</f>
        <v>882.43727307410677</v>
      </c>
      <c r="CE645" s="2174">
        <f>+Model!CE143</f>
        <v>1961.734213156795</v>
      </c>
      <c r="CF645" s="1912">
        <f>+Model!CF143</f>
        <v>1011.2590456727887</v>
      </c>
      <c r="CG645" s="2316"/>
      <c r="CH645" s="2318"/>
      <c r="CI645" s="2315"/>
      <c r="CJ645" s="2174"/>
      <c r="CK645" s="2174"/>
      <c r="CL645" s="2174"/>
      <c r="CM645" s="2174"/>
      <c r="CN645" s="2174"/>
      <c r="CO645" s="2174"/>
      <c r="CP645" s="2317"/>
      <c r="CQ645" s="2174">
        <v>528.14200000000005</v>
      </c>
      <c r="CR645" s="2174">
        <v>1059.1310000000001</v>
      </c>
      <c r="CS645" s="2174">
        <f>+SUM(BE645:BH645)</f>
        <v>1424.037</v>
      </c>
      <c r="CT645" s="2174">
        <f>+SUM(BI645:BL645)</f>
        <v>1892.7980000000002</v>
      </c>
      <c r="CU645" s="2174">
        <v>2421.7530000000002</v>
      </c>
      <c r="CV645" s="2174">
        <v>2551.36</v>
      </c>
      <c r="CW645" s="2174">
        <v>2134.9870000000001</v>
      </c>
      <c r="CX645" s="2174">
        <v>2340.7649999999999</v>
      </c>
      <c r="CY645" s="2174">
        <f>SUM(CC645:CF645)</f>
        <v>4374.9032288810386</v>
      </c>
      <c r="CZ645" s="2174">
        <f>+Model!CZ143</f>
        <v>5061.4833456194519</v>
      </c>
      <c r="DA645" s="2174">
        <f>+Model!DA143</f>
        <v>5782.722843959923</v>
      </c>
      <c r="DB645" s="517">
        <f>+Model!DB143</f>
        <v>6506.2291567471275</v>
      </c>
      <c r="DC645" s="517">
        <f>+Model!DC143</f>
        <v>7224.5505083979479</v>
      </c>
      <c r="DD645" s="517">
        <f>+Model!DD143</f>
        <v>7921.99046784648</v>
      </c>
      <c r="DE645" s="517">
        <f>+Model!DE143</f>
        <v>8617.0268170636082</v>
      </c>
      <c r="DF645" s="601">
        <f>+Model!DF143</f>
        <v>9393.355476953886</v>
      </c>
      <c r="DG645" s="612"/>
      <c r="DH645" s="612"/>
    </row>
    <row r="646" spans="1:113" s="554" customFormat="1" ht="11.25" customHeight="1">
      <c r="A646" s="547"/>
      <c r="B646"/>
      <c r="C646"/>
      <c r="D646"/>
      <c r="E646"/>
      <c r="F646"/>
      <c r="G646"/>
      <c r="H646" s="1044"/>
      <c r="I646" s="2312" t="s">
        <v>126</v>
      </c>
      <c r="J646" s="2313"/>
      <c r="K646" s="2313"/>
      <c r="L646" s="2314"/>
      <c r="M646" s="2315"/>
      <c r="N646" s="2315"/>
      <c r="O646" s="2315"/>
      <c r="P646" s="2316"/>
      <c r="Q646" s="2315"/>
      <c r="R646" s="2315"/>
      <c r="S646" s="2315"/>
      <c r="T646" s="2316"/>
      <c r="U646" s="2174"/>
      <c r="V646" s="2174"/>
      <c r="W646" s="2174"/>
      <c r="X646" s="1912"/>
      <c r="Y646" s="2174"/>
      <c r="Z646" s="2174"/>
      <c r="AA646" s="2174"/>
      <c r="AB646" s="1912"/>
      <c r="AC646" s="2174"/>
      <c r="AD646" s="2174"/>
      <c r="AE646" s="2174"/>
      <c r="AF646" s="1912"/>
      <c r="AG646" s="2174"/>
      <c r="AH646" s="2174"/>
      <c r="AI646" s="2174"/>
      <c r="AJ646" s="1912"/>
      <c r="AK646" s="2174"/>
      <c r="AL646" s="2174"/>
      <c r="AM646" s="2174"/>
      <c r="AN646" s="1912"/>
      <c r="AO646" s="2174"/>
      <c r="AP646" s="2174"/>
      <c r="AQ646" s="2174"/>
      <c r="AR646" s="1912"/>
      <c r="AS646" s="2174"/>
      <c r="AT646" s="2174"/>
      <c r="AU646" s="2174"/>
      <c r="AV646" s="1912"/>
      <c r="AW646" s="2317"/>
      <c r="AX646" s="2317"/>
      <c r="AY646" s="2317"/>
      <c r="AZ646" s="1912"/>
      <c r="BA646" s="2174"/>
      <c r="BB646" s="2174"/>
      <c r="BC646" s="2174"/>
      <c r="BD646" s="1912"/>
      <c r="BE646" s="2174"/>
      <c r="BF646" s="2174"/>
      <c r="BG646" s="2174"/>
      <c r="BH646" s="1912"/>
      <c r="BI646" s="2174"/>
      <c r="BJ646" s="2174"/>
      <c r="BK646" s="2174"/>
      <c r="BL646" s="1912"/>
      <c r="BM646" s="2174"/>
      <c r="BN646" s="2174"/>
      <c r="BO646" s="2174"/>
      <c r="BP646" s="1912"/>
      <c r="BQ646" s="2174"/>
      <c r="BR646" s="2174"/>
      <c r="BS646" s="2174"/>
      <c r="BT646" s="1912"/>
      <c r="BU646" s="2174"/>
      <c r="BV646" s="2174"/>
      <c r="BW646" s="2174"/>
      <c r="BX646" s="1912"/>
      <c r="BY646" s="2174"/>
      <c r="BZ646" s="2174"/>
      <c r="CA646" s="2174"/>
      <c r="CB646" s="1912"/>
      <c r="CC646" s="2174"/>
      <c r="CD646" s="2174"/>
      <c r="CE646" s="2174"/>
      <c r="CF646" s="1912"/>
      <c r="CG646" s="2316"/>
      <c r="CH646" s="2318"/>
      <c r="CI646" s="2315"/>
      <c r="CJ646" s="2174"/>
      <c r="CK646" s="2174"/>
      <c r="CL646" s="2174"/>
      <c r="CM646" s="2174"/>
      <c r="CN646" s="2174"/>
      <c r="CO646" s="2174"/>
      <c r="CP646" s="2317"/>
      <c r="CQ646" s="2174"/>
      <c r="CR646" s="2174"/>
      <c r="CS646" s="2174"/>
      <c r="CT646" s="2174"/>
      <c r="CU646" s="2174"/>
      <c r="CV646" s="2174"/>
      <c r="CW646" s="2174"/>
      <c r="CX646" s="2174"/>
      <c r="CY646" s="2174"/>
      <c r="CZ646" s="2174"/>
      <c r="DA646" s="2174"/>
      <c r="DB646" s="516"/>
      <c r="DC646" s="516"/>
      <c r="DD646" s="516"/>
      <c r="DE646" s="516"/>
      <c r="DF646" s="602"/>
      <c r="DG646" s="612"/>
      <c r="DH646" s="612"/>
    </row>
    <row r="647" spans="1:113" s="554" customFormat="1" ht="11.25" customHeight="1">
      <c r="A647" s="547"/>
      <c r="B647"/>
      <c r="C647"/>
      <c r="D647"/>
      <c r="E647"/>
      <c r="F647"/>
      <c r="G647"/>
      <c r="H647" s="1044"/>
      <c r="I647" s="1530" t="s">
        <v>127</v>
      </c>
      <c r="J647" s="2319"/>
      <c r="K647" s="2319"/>
      <c r="L647" s="2314"/>
      <c r="M647" s="2315"/>
      <c r="N647" s="2315"/>
      <c r="O647" s="2315"/>
      <c r="P647" s="2316"/>
      <c r="Q647" s="2315"/>
      <c r="R647" s="2315"/>
      <c r="S647" s="2315"/>
      <c r="T647" s="2316"/>
      <c r="U647" s="2174"/>
      <c r="V647" s="2174"/>
      <c r="W647" s="2174"/>
      <c r="X647" s="1912"/>
      <c r="Y647" s="2174"/>
      <c r="Z647" s="2174"/>
      <c r="AA647" s="2174"/>
      <c r="AB647" s="1912"/>
      <c r="AC647" s="2174"/>
      <c r="AD647" s="2174"/>
      <c r="AE647" s="2174"/>
      <c r="AF647" s="1912"/>
      <c r="AG647" s="2174"/>
      <c r="AH647" s="2174"/>
      <c r="AI647" s="2174"/>
      <c r="AJ647" s="1912"/>
      <c r="AK647" s="2174"/>
      <c r="AL647" s="2174"/>
      <c r="AM647" s="2174"/>
      <c r="AN647" s="1912"/>
      <c r="AO647" s="2174"/>
      <c r="AP647" s="2174"/>
      <c r="AQ647" s="2174"/>
      <c r="AR647" s="1912"/>
      <c r="AS647" s="2174"/>
      <c r="AT647" s="2174"/>
      <c r="AU647" s="2174"/>
      <c r="AV647" s="1912"/>
      <c r="AW647" s="2317"/>
      <c r="AX647" s="2317"/>
      <c r="AY647" s="2317"/>
      <c r="AZ647" s="1912"/>
      <c r="BA647" s="2174">
        <v>4.1660000000000004</v>
      </c>
      <c r="BB647" s="2174">
        <f>9.225-BA647</f>
        <v>5.0589999999999993</v>
      </c>
      <c r="BC647" s="2174">
        <f>14.801-BB647-BA647</f>
        <v>5.5760000000000005</v>
      </c>
      <c r="BD647" s="1912">
        <f t="shared" ref="BD647:BD657" si="1176">+CR647-BC647-BB647-BA647</f>
        <v>5.8469999999999995</v>
      </c>
      <c r="BE647" s="2174">
        <v>7.6849999999999996</v>
      </c>
      <c r="BF647" s="2174">
        <f>15.15-BE647</f>
        <v>7.4650000000000007</v>
      </c>
      <c r="BG647" s="2174">
        <f>23.321-BF647-BE647</f>
        <v>8.1710000000000029</v>
      </c>
      <c r="BH647" s="1912">
        <f>32.818-BG647-BF647-BE647</f>
        <v>9.4969999999999963</v>
      </c>
      <c r="BI647" s="2174">
        <v>9.8019999999999996</v>
      </c>
      <c r="BJ647" s="2174">
        <f>21.068-BI647</f>
        <v>11.266000000000002</v>
      </c>
      <c r="BK647" s="2174">
        <f>33.965-BJ647-BI647</f>
        <v>12.897000000000002</v>
      </c>
      <c r="BL647" s="1912">
        <f>48.365-BK647-BJ647-BI647</f>
        <v>14.400000000000002</v>
      </c>
      <c r="BM647" s="2174">
        <v>15.552</v>
      </c>
      <c r="BN647" s="2174">
        <f>32.889-BM647</f>
        <v>17.337000000000003</v>
      </c>
      <c r="BO647" s="2174">
        <f>54.704-BN647-BM647</f>
        <v>21.814999999999998</v>
      </c>
      <c r="BP647" s="1912">
        <f t="shared" ref="BP647:BP657" si="1177">+CU647-BO647-BN647-BM647</f>
        <v>23.536999999999999</v>
      </c>
      <c r="BQ647" s="2174">
        <v>21.673999999999999</v>
      </c>
      <c r="BR647" s="2174">
        <f>46.695-BQ647</f>
        <v>25.021000000000001</v>
      </c>
      <c r="BS647" s="2174">
        <f>73.52-BR647-BQ647</f>
        <v>26.824999999999996</v>
      </c>
      <c r="BT647" s="1912">
        <f>+CV647-BS647-BR647-BQ647</f>
        <v>27.997000000000007</v>
      </c>
      <c r="BU647" s="2174">
        <v>30.486000000000001</v>
      </c>
      <c r="BV647" s="2174">
        <f>65.157-BU647</f>
        <v>34.670999999999992</v>
      </c>
      <c r="BW647" s="2174">
        <f>101.953-BV647-BU647</f>
        <v>36.796000000000006</v>
      </c>
      <c r="BX647" s="1912">
        <f t="shared" ref="BX647:BX657" si="1178">+CW647-BW647-BV647-BU647</f>
        <v>38.105999999999995</v>
      </c>
      <c r="BY647" s="2174">
        <v>40.411999999999999</v>
      </c>
      <c r="BZ647" s="2174">
        <f>85.123-BY647</f>
        <v>44.711000000000006</v>
      </c>
      <c r="CA647" s="2174">
        <f>135.736-BZ647-BY647</f>
        <v>50.612999999999978</v>
      </c>
      <c r="CB647" s="1912">
        <f t="shared" ref="CB647:CB657" si="1179">+CX647-CA647-BZ647-BY647</f>
        <v>51.495000000000012</v>
      </c>
      <c r="CC647" s="2174">
        <f>+Model!CC69</f>
        <v>54.865422558556318</v>
      </c>
      <c r="CD647" s="2174">
        <f>+Model!CD69</f>
        <v>60.770257247692818</v>
      </c>
      <c r="CE647" s="2174">
        <f>+Model!CE69</f>
        <v>65.303793061066244</v>
      </c>
      <c r="CF647" s="1912">
        <f>+Model!CF69</f>
        <v>70.194950400720117</v>
      </c>
      <c r="CG647" s="2316"/>
      <c r="CH647" s="2318"/>
      <c r="CI647" s="2315"/>
      <c r="CJ647" s="2174"/>
      <c r="CK647" s="2174"/>
      <c r="CL647" s="2174"/>
      <c r="CM647" s="2174"/>
      <c r="CN647" s="2174"/>
      <c r="CO647" s="2174"/>
      <c r="CP647" s="2317"/>
      <c r="CQ647" s="2174">
        <v>16.2029</v>
      </c>
      <c r="CR647" s="2174">
        <v>20.648</v>
      </c>
      <c r="CS647" s="2174">
        <f t="shared" ref="CS647:CS657" si="1180">+SUM(BE647:BH647)</f>
        <v>32.817999999999998</v>
      </c>
      <c r="CT647" s="2174">
        <f t="shared" ref="CT647:CT657" si="1181">+SUM(BI647:BL647)</f>
        <v>48.365000000000009</v>
      </c>
      <c r="CU647" s="2174">
        <v>78.241</v>
      </c>
      <c r="CV647" s="2174">
        <v>101.517</v>
      </c>
      <c r="CW647" s="2174">
        <v>140.059</v>
      </c>
      <c r="CX647" s="2174">
        <v>187.23099999999999</v>
      </c>
      <c r="CY647" s="2174">
        <f t="shared" ref="CY647:CY657" si="1182">SUM(CC647:CF647)</f>
        <v>251.1344232680355</v>
      </c>
      <c r="CZ647" s="2174">
        <f>+Model!CZ69</f>
        <v>319.59497956861679</v>
      </c>
      <c r="DA647" s="2174">
        <f>+Model!DA69</f>
        <v>395.92375865225227</v>
      </c>
      <c r="DB647" s="517">
        <f>+Model!DB69</f>
        <v>499.38640236368224</v>
      </c>
      <c r="DC647" s="517">
        <f>+Model!DC69</f>
        <v>613.28846873013708</v>
      </c>
      <c r="DD647" s="517">
        <f>+Model!DD69</f>
        <v>737.79355474829936</v>
      </c>
      <c r="DE647" s="517">
        <f>+Model!DE69</f>
        <v>872.10501017686568</v>
      </c>
      <c r="DF647" s="601">
        <f>+Model!DF69</f>
        <v>1022.5739252689636</v>
      </c>
      <c r="DG647" s="612"/>
      <c r="DH647" s="612"/>
    </row>
    <row r="648" spans="1:113" s="554" customFormat="1" ht="11.25" customHeight="1">
      <c r="A648" s="547"/>
      <c r="B648"/>
      <c r="C648"/>
      <c r="D648"/>
      <c r="E648"/>
      <c r="F648"/>
      <c r="G648"/>
      <c r="H648" s="1044"/>
      <c r="I648" s="1530" t="s">
        <v>128</v>
      </c>
      <c r="J648" s="2319"/>
      <c r="K648" s="2319"/>
      <c r="L648" s="2314"/>
      <c r="M648" s="2315"/>
      <c r="N648" s="2315"/>
      <c r="O648" s="2315"/>
      <c r="P648" s="2316"/>
      <c r="Q648" s="2315"/>
      <c r="R648" s="2315"/>
      <c r="S648" s="2315"/>
      <c r="T648" s="2316"/>
      <c r="U648" s="2174"/>
      <c r="V648" s="2174"/>
      <c r="W648" s="2174"/>
      <c r="X648" s="1912"/>
      <c r="Y648" s="2174"/>
      <c r="Z648" s="2174"/>
      <c r="AA648" s="2174"/>
      <c r="AB648" s="1912"/>
      <c r="AC648" s="2174"/>
      <c r="AD648" s="2174"/>
      <c r="AE648" s="2174"/>
      <c r="AF648" s="1912"/>
      <c r="AG648" s="2174"/>
      <c r="AH648" s="2174"/>
      <c r="AI648" s="2174"/>
      <c r="AJ648" s="1912"/>
      <c r="AK648" s="2174"/>
      <c r="AL648" s="2174"/>
      <c r="AM648" s="2174"/>
      <c r="AN648" s="1912"/>
      <c r="AO648" s="2174"/>
      <c r="AP648" s="2174"/>
      <c r="AQ648" s="2174"/>
      <c r="AR648" s="1912"/>
      <c r="AS648" s="2174"/>
      <c r="AT648" s="2174"/>
      <c r="AU648" s="2174"/>
      <c r="AV648" s="1912"/>
      <c r="AW648" s="2317"/>
      <c r="AX648" s="2317"/>
      <c r="AY648" s="2317"/>
      <c r="AZ648" s="1912"/>
      <c r="BA648" s="2174">
        <v>8.3130000000000006</v>
      </c>
      <c r="BB648" s="2174">
        <f>16.905-BA648</f>
        <v>8.5920000000000005</v>
      </c>
      <c r="BC648" s="2174">
        <f>25.286-BB648-BA648</f>
        <v>8.381000000000002</v>
      </c>
      <c r="BD648" s="1912">
        <f t="shared" si="1176"/>
        <v>7.8900000000000023</v>
      </c>
      <c r="BE648" s="2174">
        <v>8.157</v>
      </c>
      <c r="BF648" s="2174">
        <f>16.355-BE648</f>
        <v>8.1980000000000004</v>
      </c>
      <c r="BG648" s="2174">
        <f>24.192-BF648-BE648</f>
        <v>7.8369999999999997</v>
      </c>
      <c r="BH648" s="1912">
        <f>32.323-BG648-BF648-BE648</f>
        <v>8.1310000000000002</v>
      </c>
      <c r="BI648" s="2174">
        <v>9.2780000000000005</v>
      </c>
      <c r="BJ648" s="2174">
        <f>24.039-BI648</f>
        <v>14.761000000000001</v>
      </c>
      <c r="BK648" s="2174">
        <f>46.889-BJ648-BI648</f>
        <v>22.85</v>
      </c>
      <c r="BL648" s="1912">
        <f>69.61-BK648-BJ648-BI648</f>
        <v>22.720999999999997</v>
      </c>
      <c r="BM648" s="2174">
        <v>22.824000000000002</v>
      </c>
      <c r="BN648" s="2174">
        <f>45.774-BM648</f>
        <v>22.95</v>
      </c>
      <c r="BO648" s="2174">
        <f>81.558-BN648-BM648</f>
        <v>35.784000000000006</v>
      </c>
      <c r="BP648" s="1912">
        <f t="shared" si="1177"/>
        <v>48.021000000000001</v>
      </c>
      <c r="BQ648" s="2174">
        <v>43.328000000000003</v>
      </c>
      <c r="BR648" s="2174">
        <f>85.981-BQ648</f>
        <v>42.652999999999992</v>
      </c>
      <c r="BS648" s="2174">
        <f>128.21-BR648-BQ648</f>
        <v>42.229000000000013</v>
      </c>
      <c r="BT648" s="1912">
        <f>+CV648-BS648-BR648-BQ648</f>
        <v>42.766999999999996</v>
      </c>
      <c r="BU648" s="2174">
        <v>42.384999999999998</v>
      </c>
      <c r="BV648" s="2174">
        <f>85.426-BU648</f>
        <v>43.041000000000004</v>
      </c>
      <c r="BW648" s="2174">
        <f>127.375-BV648-BU648</f>
        <v>41.949000000000005</v>
      </c>
      <c r="BX648" s="1912">
        <f t="shared" si="1178"/>
        <v>41.700999999999986</v>
      </c>
      <c r="BY648" s="2174">
        <v>43.018000000000001</v>
      </c>
      <c r="BZ648" s="2174">
        <f>84.179-BY648</f>
        <v>41.161000000000001</v>
      </c>
      <c r="CA648" s="2174">
        <f>129.476-BZ648-BY648</f>
        <v>45.296999999999997</v>
      </c>
      <c r="CB648" s="1912">
        <f t="shared" si="1179"/>
        <v>46.067000000000007</v>
      </c>
      <c r="CC648" s="2174">
        <f>+Model!CC70</f>
        <v>43.018000000000001</v>
      </c>
      <c r="CD648" s="2174">
        <f>+Model!CD70</f>
        <v>41.161000000000001</v>
      </c>
      <c r="CE648" s="2174">
        <f>+Model!CE70</f>
        <v>45.296999999999997</v>
      </c>
      <c r="CF648" s="1912">
        <f>+Model!CF70</f>
        <v>46.067</v>
      </c>
      <c r="CG648" s="2316"/>
      <c r="CH648" s="2318"/>
      <c r="CI648" s="2315"/>
      <c r="CJ648" s="2174"/>
      <c r="CK648" s="2174"/>
      <c r="CL648" s="2174"/>
      <c r="CM648" s="2174"/>
      <c r="CN648" s="2174"/>
      <c r="CO648" s="2174"/>
      <c r="CP648" s="2317"/>
      <c r="CQ648" s="2174">
        <v>34.255000000000003</v>
      </c>
      <c r="CR648" s="2174">
        <v>33.176000000000002</v>
      </c>
      <c r="CS648" s="2174">
        <f t="shared" si="1180"/>
        <v>32.323</v>
      </c>
      <c r="CT648" s="2174">
        <f t="shared" si="1181"/>
        <v>69.61</v>
      </c>
      <c r="CU648" s="2174">
        <v>129.57900000000001</v>
      </c>
      <c r="CV648" s="2174">
        <v>170.977</v>
      </c>
      <c r="CW648" s="2174">
        <v>169.07599999999999</v>
      </c>
      <c r="CX648" s="2174">
        <v>175.54300000000001</v>
      </c>
      <c r="CY648" s="2174">
        <f t="shared" si="1182"/>
        <v>175.54300000000001</v>
      </c>
      <c r="CZ648" s="2174">
        <f>+Model!CZ70</f>
        <v>175.54300000000001</v>
      </c>
      <c r="DA648" s="2174">
        <f>+Model!DA70</f>
        <v>175.54300000000001</v>
      </c>
      <c r="DB648" s="517">
        <f>+Model!DB70</f>
        <v>175.54300000000001</v>
      </c>
      <c r="DC648" s="517">
        <f>+Model!DC70</f>
        <v>175.54300000000001</v>
      </c>
      <c r="DD648" s="517">
        <f>+Model!DD70</f>
        <v>175.54300000000001</v>
      </c>
      <c r="DE648" s="517">
        <f>+Model!DE70</f>
        <v>175.54300000000001</v>
      </c>
      <c r="DF648" s="601">
        <f>+Model!DF70</f>
        <v>175.54300000000001</v>
      </c>
      <c r="DG648" s="612"/>
      <c r="DH648" s="612"/>
    </row>
    <row r="649" spans="1:113" s="554" customFormat="1" ht="11.25" customHeight="1">
      <c r="A649" s="547"/>
      <c r="B649"/>
      <c r="C649"/>
      <c r="D649"/>
      <c r="E649"/>
      <c r="F649"/>
      <c r="G649"/>
      <c r="H649" s="1044"/>
      <c r="I649" s="1530" t="s">
        <v>129</v>
      </c>
      <c r="J649" s="2319"/>
      <c r="K649" s="2319"/>
      <c r="L649" s="2314"/>
      <c r="M649" s="2315"/>
      <c r="N649" s="2315"/>
      <c r="O649" s="2315"/>
      <c r="P649" s="2316"/>
      <c r="Q649" s="2315"/>
      <c r="R649" s="2315"/>
      <c r="S649" s="2315"/>
      <c r="T649" s="2316"/>
      <c r="U649" s="2174"/>
      <c r="V649" s="2174"/>
      <c r="W649" s="2174"/>
      <c r="X649" s="1912"/>
      <c r="Y649" s="2174"/>
      <c r="Z649" s="2174"/>
      <c r="AA649" s="2174"/>
      <c r="AB649" s="1912"/>
      <c r="AC649" s="2174"/>
      <c r="AD649" s="2174"/>
      <c r="AE649" s="2174"/>
      <c r="AF649" s="1912"/>
      <c r="AG649" s="2174"/>
      <c r="AH649" s="2174"/>
      <c r="AI649" s="2174"/>
      <c r="AJ649" s="1912"/>
      <c r="AK649" s="2174"/>
      <c r="AL649" s="2174"/>
      <c r="AM649" s="2174"/>
      <c r="AN649" s="1912"/>
      <c r="AO649" s="2174"/>
      <c r="AP649" s="2174"/>
      <c r="AQ649" s="2174"/>
      <c r="AR649" s="1912"/>
      <c r="AS649" s="2174"/>
      <c r="AT649" s="2174"/>
      <c r="AU649" s="2174"/>
      <c r="AV649" s="1912"/>
      <c r="AW649" s="2317"/>
      <c r="AX649" s="2317"/>
      <c r="AY649" s="2317"/>
      <c r="AZ649" s="1912"/>
      <c r="BA649" s="2174">
        <v>2.8119999999999998</v>
      </c>
      <c r="BB649" s="2174">
        <f>4.852-BA649</f>
        <v>2.0400000000000005</v>
      </c>
      <c r="BC649" s="2174">
        <f>7.641-BB649-BA649</f>
        <v>2.7889999999999993</v>
      </c>
      <c r="BD649" s="1912">
        <f t="shared" si="1176"/>
        <v>1.6899999999999991</v>
      </c>
      <c r="BE649" s="2174">
        <v>3.9980000000000002</v>
      </c>
      <c r="BF649" s="2174">
        <f>6.843-BE649</f>
        <v>2.8449999999999998</v>
      </c>
      <c r="BG649" s="2174">
        <f>11.287-BF649-BE649</f>
        <v>4.444</v>
      </c>
      <c r="BH649" s="1912">
        <f>16.094-BG649-BF649-BE649</f>
        <v>4.807000000000003</v>
      </c>
      <c r="BI649" s="2174">
        <v>4.2160000000000002</v>
      </c>
      <c r="BJ649" s="2174">
        <f>8.181-BI649</f>
        <v>3.964999999999999</v>
      </c>
      <c r="BK649" s="2174">
        <f>12.678-BJ649-BI649</f>
        <v>4.4970000000000008</v>
      </c>
      <c r="BL649" s="1912">
        <f>16.451-BK649-BJ649-BI649</f>
        <v>3.7730000000000015</v>
      </c>
      <c r="BM649" s="2174">
        <v>3.6709999999999998</v>
      </c>
      <c r="BN649" s="2174">
        <f>8.122-BM649</f>
        <v>4.4510000000000005</v>
      </c>
      <c r="BO649" s="2174">
        <f>14.15-BN649-BM649</f>
        <v>6.0280000000000005</v>
      </c>
      <c r="BP649" s="1912">
        <f t="shared" si="1177"/>
        <v>8.8399999999999963</v>
      </c>
      <c r="BQ649" s="2174">
        <v>9.0210000000000008</v>
      </c>
      <c r="BR649" s="2174">
        <f>13.233-BQ649</f>
        <v>4.2119999999999997</v>
      </c>
      <c r="BS649" s="2174">
        <f>17.242-BR649-BQ649</f>
        <v>4.0090000000000003</v>
      </c>
      <c r="BT649" s="1912">
        <f t="shared" ref="BT649:BT657" si="1183">+CV649-BS649-BR649-BQ649</f>
        <v>7.0820000000000007</v>
      </c>
      <c r="BU649" s="2174">
        <v>6.8120000000000003</v>
      </c>
      <c r="BV649" s="2174">
        <f>16.117-BU649</f>
        <v>9.3049999999999997</v>
      </c>
      <c r="BW649" s="2174">
        <f>32.401-BV649-BU649</f>
        <v>16.284000000000002</v>
      </c>
      <c r="BX649" s="1912">
        <f t="shared" si="1178"/>
        <v>13.839999999999996</v>
      </c>
      <c r="BY649" s="2174">
        <v>13.53</v>
      </c>
      <c r="BZ649" s="2174">
        <f>26.127-BY649</f>
        <v>12.597</v>
      </c>
      <c r="CA649" s="2174">
        <f>42.575-BZ649-BY649</f>
        <v>16.448</v>
      </c>
      <c r="CB649" s="1912">
        <f t="shared" si="1179"/>
        <v>19.741</v>
      </c>
      <c r="CC649" s="2174">
        <v>0</v>
      </c>
      <c r="CD649" s="2174">
        <v>0</v>
      </c>
      <c r="CE649" s="2174">
        <v>0</v>
      </c>
      <c r="CF649" s="1912">
        <v>0</v>
      </c>
      <c r="CG649" s="2316"/>
      <c r="CH649" s="2318"/>
      <c r="CI649" s="2315"/>
      <c r="CJ649" s="2174"/>
      <c r="CK649" s="2174"/>
      <c r="CL649" s="2174"/>
      <c r="CM649" s="2174"/>
      <c r="CN649" s="2174"/>
      <c r="CO649" s="2174"/>
      <c r="CP649" s="2317"/>
      <c r="CQ649" s="2174">
        <v>7.1020000000000003</v>
      </c>
      <c r="CR649" s="2174">
        <v>9.3309999999999995</v>
      </c>
      <c r="CS649" s="2174">
        <f t="shared" si="1180"/>
        <v>16.094000000000001</v>
      </c>
      <c r="CT649" s="2174">
        <f t="shared" si="1181"/>
        <v>16.451000000000001</v>
      </c>
      <c r="CU649" s="2174">
        <v>22.99</v>
      </c>
      <c r="CV649" s="2174">
        <v>24.324000000000002</v>
      </c>
      <c r="CW649" s="2174">
        <v>46.241</v>
      </c>
      <c r="CX649" s="2174">
        <v>62.316000000000003</v>
      </c>
      <c r="CY649" s="2174">
        <f t="shared" si="1182"/>
        <v>0</v>
      </c>
      <c r="CZ649" s="2320">
        <f t="shared" ref="CZ649:DF657" si="1184">+CY649</f>
        <v>0</v>
      </c>
      <c r="DA649" s="2320">
        <f t="shared" si="1184"/>
        <v>0</v>
      </c>
      <c r="DB649" s="1760">
        <f t="shared" si="1184"/>
        <v>0</v>
      </c>
      <c r="DC649" s="1760">
        <f t="shared" si="1184"/>
        <v>0</v>
      </c>
      <c r="DD649" s="1760">
        <f t="shared" si="1184"/>
        <v>0</v>
      </c>
      <c r="DE649" s="1760">
        <f t="shared" si="1184"/>
        <v>0</v>
      </c>
      <c r="DF649" s="1799">
        <f t="shared" si="1184"/>
        <v>0</v>
      </c>
      <c r="DG649" s="612"/>
      <c r="DH649" s="612"/>
    </row>
    <row r="650" spans="1:113" s="554" customFormat="1" ht="11.25" customHeight="1">
      <c r="A650" s="547"/>
      <c r="B650"/>
      <c r="C650"/>
      <c r="D650"/>
      <c r="E650"/>
      <c r="F650"/>
      <c r="G650"/>
      <c r="H650" s="1044"/>
      <c r="I650" s="1530" t="s">
        <v>130</v>
      </c>
      <c r="J650" s="2319"/>
      <c r="K650" s="2319"/>
      <c r="L650" s="2314"/>
      <c r="M650" s="2315"/>
      <c r="N650" s="2315"/>
      <c r="O650" s="2315"/>
      <c r="P650" s="2316"/>
      <c r="Q650" s="2315"/>
      <c r="R650" s="2315"/>
      <c r="S650" s="2315"/>
      <c r="T650" s="2316"/>
      <c r="U650" s="2174"/>
      <c r="V650" s="2174"/>
      <c r="W650" s="2174"/>
      <c r="X650" s="1912"/>
      <c r="Y650" s="2174"/>
      <c r="Z650" s="2174"/>
      <c r="AA650" s="2174"/>
      <c r="AB650" s="1912"/>
      <c r="AC650" s="2174"/>
      <c r="AD650" s="2174"/>
      <c r="AE650" s="2174"/>
      <c r="AF650" s="1912"/>
      <c r="AG650" s="2174"/>
      <c r="AH650" s="2174"/>
      <c r="AI650" s="2174"/>
      <c r="AJ650" s="1912"/>
      <c r="AK650" s="2174"/>
      <c r="AL650" s="2174"/>
      <c r="AM650" s="2174"/>
      <c r="AN650" s="1912"/>
      <c r="AO650" s="2174"/>
      <c r="AP650" s="2174"/>
      <c r="AQ650" s="2174"/>
      <c r="AR650" s="1912"/>
      <c r="AS650" s="2174"/>
      <c r="AT650" s="2174"/>
      <c r="AU650" s="2174"/>
      <c r="AV650" s="1912"/>
      <c r="AW650" s="2317"/>
      <c r="AX650" s="2317"/>
      <c r="AY650" s="2317"/>
      <c r="AZ650" s="1912"/>
      <c r="BA650" s="2174">
        <v>0</v>
      </c>
      <c r="BB650" s="2174">
        <f>0-BA650</f>
        <v>0</v>
      </c>
      <c r="BC650" s="2174">
        <f>0-BB650-BA650</f>
        <v>0</v>
      </c>
      <c r="BD650" s="1912">
        <f t="shared" si="1176"/>
        <v>0</v>
      </c>
      <c r="BE650" s="2174">
        <v>0</v>
      </c>
      <c r="BF650" s="2174">
        <f>0-BE650</f>
        <v>0</v>
      </c>
      <c r="BG650" s="2174">
        <f>0-BF650-BE650</f>
        <v>0</v>
      </c>
      <c r="BH650" s="1912">
        <f>0-BG650-BF650-BE650</f>
        <v>0</v>
      </c>
      <c r="BI650" s="2174">
        <v>0</v>
      </c>
      <c r="BJ650" s="2174">
        <v>0</v>
      </c>
      <c r="BK650" s="2174">
        <f>0-BJ650-BI650</f>
        <v>0</v>
      </c>
      <c r="BL650" s="1912">
        <f>0-BK650-BJ650-BI650</f>
        <v>0</v>
      </c>
      <c r="BM650" s="2174">
        <v>0</v>
      </c>
      <c r="BN650" s="2174">
        <f>0-BM650</f>
        <v>0</v>
      </c>
      <c r="BO650" s="2174">
        <v>0</v>
      </c>
      <c r="BP650" s="1912">
        <f t="shared" si="1177"/>
        <v>0</v>
      </c>
      <c r="BQ650" s="2174">
        <v>0</v>
      </c>
      <c r="BR650" s="2174">
        <f>0-BQ650</f>
        <v>0</v>
      </c>
      <c r="BS650" s="2174">
        <f>0-BR650-BQ650</f>
        <v>0</v>
      </c>
      <c r="BT650" s="1912">
        <f t="shared" si="1183"/>
        <v>0</v>
      </c>
      <c r="BU650" s="2174">
        <v>0</v>
      </c>
      <c r="BV650" s="2174">
        <f>0-BU650</f>
        <v>0</v>
      </c>
      <c r="BW650" s="2174">
        <f>0-BV650-BU650</f>
        <v>0</v>
      </c>
      <c r="BX650" s="1912">
        <f t="shared" si="1178"/>
        <v>0</v>
      </c>
      <c r="BY650" s="2174">
        <v>0</v>
      </c>
      <c r="BZ650" s="2174">
        <f>0-BY650</f>
        <v>0</v>
      </c>
      <c r="CA650" s="2174">
        <f>0-BZ650-BY650</f>
        <v>0</v>
      </c>
      <c r="CB650" s="1912">
        <f t="shared" si="1179"/>
        <v>0</v>
      </c>
      <c r="CC650" s="2174">
        <v>0</v>
      </c>
      <c r="CD650" s="2174">
        <v>0</v>
      </c>
      <c r="CE650" s="2174">
        <v>0</v>
      </c>
      <c r="CF650" s="1912">
        <v>0</v>
      </c>
      <c r="CG650" s="2316"/>
      <c r="CH650" s="2318"/>
      <c r="CI650" s="2315"/>
      <c r="CJ650" s="2174"/>
      <c r="CK650" s="2174"/>
      <c r="CL650" s="2174"/>
      <c r="CM650" s="2174"/>
      <c r="CN650" s="2174"/>
      <c r="CO650" s="2174"/>
      <c r="CP650" s="2317"/>
      <c r="CQ650" s="2174">
        <v>0</v>
      </c>
      <c r="CR650" s="2174">
        <v>0</v>
      </c>
      <c r="CS650" s="2174">
        <f t="shared" si="1180"/>
        <v>0</v>
      </c>
      <c r="CT650" s="2174">
        <f t="shared" si="1181"/>
        <v>0</v>
      </c>
      <c r="CU650" s="2174">
        <v>0</v>
      </c>
      <c r="CV650" s="2174">
        <v>0</v>
      </c>
      <c r="CW650" s="2174">
        <v>0</v>
      </c>
      <c r="CX650" s="2174">
        <v>0</v>
      </c>
      <c r="CY650" s="2174">
        <f t="shared" si="1182"/>
        <v>0</v>
      </c>
      <c r="CZ650" s="2320">
        <f t="shared" si="1184"/>
        <v>0</v>
      </c>
      <c r="DA650" s="2320">
        <f t="shared" si="1184"/>
        <v>0</v>
      </c>
      <c r="DB650" s="1760">
        <f t="shared" si="1184"/>
        <v>0</v>
      </c>
      <c r="DC650" s="1760">
        <f t="shared" si="1184"/>
        <v>0</v>
      </c>
      <c r="DD650" s="1760">
        <f t="shared" si="1184"/>
        <v>0</v>
      </c>
      <c r="DE650" s="1760">
        <f t="shared" si="1184"/>
        <v>0</v>
      </c>
      <c r="DF650" s="1799">
        <f t="shared" si="1184"/>
        <v>0</v>
      </c>
      <c r="DG650" s="612"/>
      <c r="DH650" s="612"/>
    </row>
    <row r="651" spans="1:113" s="554" customFormat="1" ht="11.25" customHeight="1">
      <c r="A651" s="547"/>
      <c r="B651"/>
      <c r="C651"/>
      <c r="D651"/>
      <c r="E651"/>
      <c r="F651"/>
      <c r="G651"/>
      <c r="H651" s="1044"/>
      <c r="I651" s="1530" t="s">
        <v>70</v>
      </c>
      <c r="J651" s="2319"/>
      <c r="K651" s="2319"/>
      <c r="L651" s="2314"/>
      <c r="M651" s="2315"/>
      <c r="N651" s="2315"/>
      <c r="O651" s="2315"/>
      <c r="P651" s="2316"/>
      <c r="Q651" s="2315"/>
      <c r="R651" s="2315"/>
      <c r="S651" s="2315"/>
      <c r="T651" s="2316"/>
      <c r="U651" s="2174"/>
      <c r="V651" s="2174"/>
      <c r="W651" s="2174"/>
      <c r="X651" s="1912"/>
      <c r="Y651" s="2174"/>
      <c r="Z651" s="2174"/>
      <c r="AA651" s="2174"/>
      <c r="AB651" s="1912"/>
      <c r="AC651" s="2174"/>
      <c r="AD651" s="2174"/>
      <c r="AE651" s="2174"/>
      <c r="AF651" s="1912"/>
      <c r="AG651" s="2174"/>
      <c r="AH651" s="2174"/>
      <c r="AI651" s="2174"/>
      <c r="AJ651" s="1912"/>
      <c r="AK651" s="2174"/>
      <c r="AL651" s="2174"/>
      <c r="AM651" s="2174"/>
      <c r="AN651" s="1912"/>
      <c r="AO651" s="2174"/>
      <c r="AP651" s="2174"/>
      <c r="AQ651" s="2174"/>
      <c r="AR651" s="1912"/>
      <c r="AS651" s="2174"/>
      <c r="AT651" s="2174"/>
      <c r="AU651" s="2174"/>
      <c r="AV651" s="1912"/>
      <c r="AW651" s="2317"/>
      <c r="AX651" s="2317"/>
      <c r="AY651" s="2317"/>
      <c r="AZ651" s="1912"/>
      <c r="BA651" s="2174">
        <v>8.26</v>
      </c>
      <c r="BB651" s="2174">
        <f>19.87-BA651</f>
        <v>11.610000000000001</v>
      </c>
      <c r="BC651" s="2174">
        <f>34.17-BB651-BA651</f>
        <v>14.300000000000002</v>
      </c>
      <c r="BD651" s="1912">
        <f t="shared" si="1176"/>
        <v>10.576999999999996</v>
      </c>
      <c r="BE651" s="2174">
        <v>4.8040000000000003</v>
      </c>
      <c r="BF651" s="2174">
        <f>13.665-BE651</f>
        <v>8.8609999999999989</v>
      </c>
      <c r="BG651" s="2174">
        <f>16.446-BF651-BE651</f>
        <v>2.7810000000000024</v>
      </c>
      <c r="BH651" s="1912">
        <f>19.596-BG651-BF651-BE651</f>
        <v>3.1499999999999986</v>
      </c>
      <c r="BI651" s="2174">
        <v>-7.2290000000000001</v>
      </c>
      <c r="BJ651" s="2174">
        <f>-3.312-BI651</f>
        <v>3.9170000000000003</v>
      </c>
      <c r="BK651" s="2174">
        <f>11.45-BJ651-BI651</f>
        <v>14.762</v>
      </c>
      <c r="BL651" s="1912">
        <f>-11.104-BK651-BJ651-BI651</f>
        <v>-22.554000000000002</v>
      </c>
      <c r="BM651" s="2174">
        <v>8.8279999999999994</v>
      </c>
      <c r="BN651" s="2174">
        <f>26.07-BM651</f>
        <v>17.242000000000001</v>
      </c>
      <c r="BO651" s="2174">
        <f>46.451-BN651-BM651</f>
        <v>20.381</v>
      </c>
      <c r="BP651" s="1912">
        <f t="shared" si="1177"/>
        <v>-14.744</v>
      </c>
      <c r="BQ651" s="2174">
        <v>-35.171999999999997</v>
      </c>
      <c r="BR651" s="2174">
        <f>-41.577-BQ651</f>
        <v>-6.4050000000000011</v>
      </c>
      <c r="BS651" s="2174">
        <f>-63.675-BR651-BQ651</f>
        <v>-22.097999999999999</v>
      </c>
      <c r="BT651" s="1912">
        <f t="shared" si="1183"/>
        <v>2.3399999999999963</v>
      </c>
      <c r="BU651" s="2174">
        <v>-25.681000000000001</v>
      </c>
      <c r="BV651" s="2174">
        <f>-79.863-BU651</f>
        <v>-54.182000000000002</v>
      </c>
      <c r="BW651" s="2174">
        <f>-71.972-BV651-BU651</f>
        <v>7.8910000000000089</v>
      </c>
      <c r="BX651" s="1912">
        <f t="shared" si="1178"/>
        <v>-39.933000000000007</v>
      </c>
      <c r="BY651" s="2174">
        <f>+-24.441</f>
        <v>-24.440999999999999</v>
      </c>
      <c r="BZ651" s="2174">
        <f>+-40.939-BY651</f>
        <v>-16.498000000000001</v>
      </c>
      <c r="CA651" s="2174">
        <f>+-25.655-BZ651-BY651</f>
        <v>15.283999999999999</v>
      </c>
      <c r="CB651" s="1912">
        <f t="shared" si="1179"/>
        <v>-6.8100000000000023</v>
      </c>
      <c r="CC651" s="2174">
        <v>0</v>
      </c>
      <c r="CD651" s="2174">
        <v>0</v>
      </c>
      <c r="CE651" s="2174">
        <v>0</v>
      </c>
      <c r="CF651" s="1912">
        <v>0</v>
      </c>
      <c r="CG651" s="2316"/>
      <c r="CH651" s="2318"/>
      <c r="CI651" s="2315"/>
      <c r="CJ651" s="2174"/>
      <c r="CK651" s="2174"/>
      <c r="CL651" s="2174"/>
      <c r="CM651" s="2174"/>
      <c r="CN651" s="2174"/>
      <c r="CO651" s="2174"/>
      <c r="CP651" s="2317"/>
      <c r="CQ651" s="2174">
        <v>37.54</v>
      </c>
      <c r="CR651" s="2174">
        <v>44.747</v>
      </c>
      <c r="CS651" s="2174">
        <f t="shared" si="1180"/>
        <v>19.596</v>
      </c>
      <c r="CT651" s="2174">
        <f t="shared" si="1181"/>
        <v>-11.104000000000001</v>
      </c>
      <c r="CU651" s="2174">
        <v>31.707000000000001</v>
      </c>
      <c r="CV651" s="2174">
        <v>-61.335000000000001</v>
      </c>
      <c r="CW651" s="2174">
        <v>-111.905</v>
      </c>
      <c r="CX651" s="2174">
        <v>-32.465000000000003</v>
      </c>
      <c r="CY651" s="2174">
        <f t="shared" si="1182"/>
        <v>0</v>
      </c>
      <c r="CZ651" s="2320">
        <f t="shared" si="1184"/>
        <v>0</v>
      </c>
      <c r="DA651" s="2320">
        <f t="shared" si="1184"/>
        <v>0</v>
      </c>
      <c r="DB651" s="1760">
        <f t="shared" si="1184"/>
        <v>0</v>
      </c>
      <c r="DC651" s="1760">
        <f t="shared" si="1184"/>
        <v>0</v>
      </c>
      <c r="DD651" s="1760">
        <f t="shared" si="1184"/>
        <v>0</v>
      </c>
      <c r="DE651" s="1760">
        <f t="shared" si="1184"/>
        <v>0</v>
      </c>
      <c r="DF651" s="1799">
        <f t="shared" si="1184"/>
        <v>0</v>
      </c>
      <c r="DG651" s="612"/>
      <c r="DH651" s="612"/>
    </row>
    <row r="652" spans="1:113" s="554" customFormat="1" ht="11.25" customHeight="1">
      <c r="A652" s="547"/>
      <c r="B652"/>
      <c r="C652"/>
      <c r="D652"/>
      <c r="E652"/>
      <c r="F652"/>
      <c r="G652"/>
      <c r="H652" s="1044"/>
      <c r="I652" s="1530" t="s">
        <v>131</v>
      </c>
      <c r="J652" s="2319"/>
      <c r="K652" s="2319"/>
      <c r="L652" s="2314"/>
      <c r="M652" s="2315"/>
      <c r="N652" s="2315"/>
      <c r="O652" s="2315"/>
      <c r="P652" s="2316"/>
      <c r="Q652" s="2315"/>
      <c r="R652" s="2315"/>
      <c r="S652" s="2315"/>
      <c r="T652" s="2316"/>
      <c r="U652" s="2174"/>
      <c r="V652" s="2174"/>
      <c r="W652" s="2174"/>
      <c r="X652" s="1912"/>
      <c r="Y652" s="2174"/>
      <c r="Z652" s="2174"/>
      <c r="AA652" s="2174"/>
      <c r="AB652" s="1912"/>
      <c r="AC652" s="2174"/>
      <c r="AD652" s="2174"/>
      <c r="AE652" s="2174"/>
      <c r="AF652" s="1912"/>
      <c r="AG652" s="2174"/>
      <c r="AH652" s="2174"/>
      <c r="AI652" s="2174"/>
      <c r="AJ652" s="1912"/>
      <c r="AK652" s="2174"/>
      <c r="AL652" s="2174"/>
      <c r="AM652" s="2174"/>
      <c r="AN652" s="1912"/>
      <c r="AO652" s="2174"/>
      <c r="AP652" s="2174"/>
      <c r="AQ652" s="2174"/>
      <c r="AR652" s="1912"/>
      <c r="AS652" s="2174"/>
      <c r="AT652" s="2174"/>
      <c r="AU652" s="2174"/>
      <c r="AV652" s="1912"/>
      <c r="AW652" s="2317"/>
      <c r="AX652" s="2317"/>
      <c r="AY652" s="2317"/>
      <c r="AZ652" s="1912"/>
      <c r="BA652" s="2174">
        <v>14.11</v>
      </c>
      <c r="BB652" s="2174">
        <f>27.341-BA652</f>
        <v>13.231000000000002</v>
      </c>
      <c r="BC652" s="2174">
        <f>40.756-BB652-BA652</f>
        <v>13.414999999999999</v>
      </c>
      <c r="BD652" s="1912">
        <f t="shared" si="1176"/>
        <v>25.438000000000002</v>
      </c>
      <c r="BE652" s="2174">
        <v>16.64</v>
      </c>
      <c r="BF652" s="2174">
        <f>34.37-BE652</f>
        <v>17.729999999999997</v>
      </c>
      <c r="BG652" s="2174">
        <f>52.042-BF652-BE652</f>
        <v>17.672000000000004</v>
      </c>
      <c r="BH652" s="1912">
        <f>72.035-BG652-BF652-BE652</f>
        <v>19.992999999999995</v>
      </c>
      <c r="BI652" s="2174">
        <v>21.826000000000001</v>
      </c>
      <c r="BJ652" s="2174">
        <f>56.804-BI652</f>
        <v>34.978000000000002</v>
      </c>
      <c r="BK652" s="2174">
        <f>91.81-BJ652-BI652</f>
        <v>35.006</v>
      </c>
      <c r="BL652" s="1912">
        <f>142.098-BK652-BJ652-BI652</f>
        <v>50.288000000000004</v>
      </c>
      <c r="BM652" s="2174">
        <v>39.411999999999999</v>
      </c>
      <c r="BN652" s="2174">
        <f>75.151-BM652</f>
        <v>35.738999999999997</v>
      </c>
      <c r="BO652" s="2174">
        <f>122.12-BN652-BM652</f>
        <v>46.969000000000001</v>
      </c>
      <c r="BP652" s="1912">
        <f t="shared" si="1177"/>
        <v>67.171999999999997</v>
      </c>
      <c r="BQ652" s="2174">
        <v>54.533000000000001</v>
      </c>
      <c r="BR652" s="2174">
        <f>115.269-BQ652</f>
        <v>60.736000000000004</v>
      </c>
      <c r="BS652" s="2174">
        <f>174.068-BR652-BQ652</f>
        <v>58.799000000000007</v>
      </c>
      <c r="BT652" s="1912">
        <f t="shared" si="1183"/>
        <v>75.065000000000012</v>
      </c>
      <c r="BU652" s="2174">
        <v>66.034000000000006</v>
      </c>
      <c r="BV652" s="2174">
        <f>121.016-BU652</f>
        <v>54.981999999999999</v>
      </c>
      <c r="BW652" s="2174">
        <f>175.131-BV652-BU652</f>
        <v>54.114999999999995</v>
      </c>
      <c r="BX652" s="1912">
        <f t="shared" si="1178"/>
        <v>74.594999999999985</v>
      </c>
      <c r="BY652" s="2174">
        <v>59.058999999999997</v>
      </c>
      <c r="BZ652" s="2174">
        <f>126.047-BY652</f>
        <v>66.988</v>
      </c>
      <c r="CA652" s="2174">
        <f>192.548-BZ652-BY652</f>
        <v>66.501000000000005</v>
      </c>
      <c r="CB652" s="1912">
        <f t="shared" si="1179"/>
        <v>68.725999999999999</v>
      </c>
      <c r="CC652" s="2174">
        <v>0</v>
      </c>
      <c r="CD652" s="2174">
        <v>0</v>
      </c>
      <c r="CE652" s="2174">
        <v>0</v>
      </c>
      <c r="CF652" s="1912">
        <v>0</v>
      </c>
      <c r="CG652" s="2316"/>
      <c r="CH652" s="2318"/>
      <c r="CI652" s="2315"/>
      <c r="CJ652" s="2174"/>
      <c r="CK652" s="2174"/>
      <c r="CL652" s="2174"/>
      <c r="CM652" s="2174"/>
      <c r="CN652" s="2174"/>
      <c r="CO652" s="2174"/>
      <c r="CP652" s="2317"/>
      <c r="CQ652" s="2174">
        <v>68.396000000000001</v>
      </c>
      <c r="CR652" s="2174">
        <v>66.194000000000003</v>
      </c>
      <c r="CS652" s="2174">
        <f t="shared" si="1180"/>
        <v>72.034999999999997</v>
      </c>
      <c r="CT652" s="2174">
        <f t="shared" si="1181"/>
        <v>142.09800000000001</v>
      </c>
      <c r="CU652" s="2174">
        <v>189.292</v>
      </c>
      <c r="CV652" s="2174">
        <v>249.13300000000001</v>
      </c>
      <c r="CW652" s="2174">
        <v>249.726</v>
      </c>
      <c r="CX652" s="2174">
        <v>261.274</v>
      </c>
      <c r="CY652" s="2174">
        <f t="shared" si="1182"/>
        <v>0</v>
      </c>
      <c r="CZ652" s="2320">
        <f t="shared" si="1184"/>
        <v>0</v>
      </c>
      <c r="DA652" s="2320">
        <f t="shared" si="1184"/>
        <v>0</v>
      </c>
      <c r="DB652" s="1760">
        <f t="shared" si="1184"/>
        <v>0</v>
      </c>
      <c r="DC652" s="1760">
        <f t="shared" si="1184"/>
        <v>0</v>
      </c>
      <c r="DD652" s="1760">
        <f t="shared" si="1184"/>
        <v>0</v>
      </c>
      <c r="DE652" s="1760">
        <f t="shared" si="1184"/>
        <v>0</v>
      </c>
      <c r="DF652" s="1799">
        <f t="shared" si="1184"/>
        <v>0</v>
      </c>
      <c r="DG652" s="612"/>
      <c r="DH652" s="612"/>
    </row>
    <row r="653" spans="1:113" s="554" customFormat="1" ht="11.25" customHeight="1">
      <c r="A653" s="547"/>
      <c r="B653"/>
      <c r="C653"/>
      <c r="D653"/>
      <c r="E653"/>
      <c r="F653"/>
      <c r="G653"/>
      <c r="H653" s="1044"/>
      <c r="I653" s="1530" t="s">
        <v>132</v>
      </c>
      <c r="J653" s="2319"/>
      <c r="K653" s="2319"/>
      <c r="L653" s="2314"/>
      <c r="M653" s="2315"/>
      <c r="N653" s="2315"/>
      <c r="O653" s="2315"/>
      <c r="P653" s="2316"/>
      <c r="Q653" s="2315"/>
      <c r="R653" s="2315"/>
      <c r="S653" s="2315"/>
      <c r="T653" s="2316"/>
      <c r="U653" s="2174"/>
      <c r="V653" s="2174"/>
      <c r="W653" s="2174"/>
      <c r="X653" s="1912"/>
      <c r="Y653" s="2174"/>
      <c r="Z653" s="2174"/>
      <c r="AA653" s="2174"/>
      <c r="AB653" s="1912"/>
      <c r="AC653" s="2174"/>
      <c r="AD653" s="2174"/>
      <c r="AE653" s="2174"/>
      <c r="AF653" s="1912"/>
      <c r="AG653" s="2174"/>
      <c r="AH653" s="2174"/>
      <c r="AI653" s="2174"/>
      <c r="AJ653" s="1912"/>
      <c r="AK653" s="2174"/>
      <c r="AL653" s="2174"/>
      <c r="AM653" s="2174"/>
      <c r="AN653" s="1912"/>
      <c r="AO653" s="2174"/>
      <c r="AP653" s="2174"/>
      <c r="AQ653" s="2174"/>
      <c r="AR653" s="1912"/>
      <c r="AS653" s="2174"/>
      <c r="AT653" s="2174"/>
      <c r="AU653" s="2174"/>
      <c r="AV653" s="1912"/>
      <c r="AW653" s="2317"/>
      <c r="AX653" s="2317"/>
      <c r="AY653" s="2317"/>
      <c r="AZ653" s="1912"/>
      <c r="BA653" s="2174">
        <v>0.55300000000000005</v>
      </c>
      <c r="BB653" s="2174">
        <f>1.113-BA653</f>
        <v>0.55999999999999994</v>
      </c>
      <c r="BC653" s="2174">
        <f>1.676-BB653-BA653</f>
        <v>0.56300000000000006</v>
      </c>
      <c r="BD653" s="1912">
        <f t="shared" si="1176"/>
        <v>0.68399999999999961</v>
      </c>
      <c r="BE653" s="2174">
        <v>0.89500000000000002</v>
      </c>
      <c r="BF653" s="2174">
        <f>2.337-BE653</f>
        <v>1.4420000000000002</v>
      </c>
      <c r="BG653" s="2174">
        <f>3.79-BF653-BE653</f>
        <v>1.4529999999999998</v>
      </c>
      <c r="BH653" s="1912">
        <f>5.212-BG653-BF653-BE653</f>
        <v>1.4219999999999997</v>
      </c>
      <c r="BI653" s="2174">
        <v>1.4319999999999999</v>
      </c>
      <c r="BJ653" s="2174">
        <f>2.879-BI653</f>
        <v>1.4470000000000001</v>
      </c>
      <c r="BK653" s="2174">
        <f>4.352-BJ653-BI653</f>
        <v>1.4730000000000003</v>
      </c>
      <c r="BL653" s="1912">
        <f>7.898-BK653-BJ653-BI653</f>
        <v>3.5459999999999989</v>
      </c>
      <c r="BM653" s="2174">
        <v>1.3460000000000001</v>
      </c>
      <c r="BN653" s="2174">
        <f>2.585-BM653</f>
        <v>1.2389999999999999</v>
      </c>
      <c r="BO653" s="2174">
        <f>3.818-BN653-BM653</f>
        <v>1.2330000000000001</v>
      </c>
      <c r="BP653" s="1912">
        <f t="shared" si="1177"/>
        <v>1.411</v>
      </c>
      <c r="BQ653" s="2174">
        <v>1.5429999999999999</v>
      </c>
      <c r="BR653" s="2174">
        <f>4.218-BQ653</f>
        <v>2.6749999999999998</v>
      </c>
      <c r="BS653" s="2174">
        <f>5.913-BR653-BQ653</f>
        <v>1.6950000000000005</v>
      </c>
      <c r="BT653" s="1912">
        <f t="shared" si="1183"/>
        <v>1.6650000000000003</v>
      </c>
      <c r="BU653" s="2174">
        <v>1.837</v>
      </c>
      <c r="BV653" s="2174">
        <f>3.744-BU653</f>
        <v>1.9070000000000003</v>
      </c>
      <c r="BW653" s="2174">
        <f>5.747-BV653-BU653</f>
        <v>2.0030000000000001</v>
      </c>
      <c r="BX653" s="1912">
        <f t="shared" si="1178"/>
        <v>2.0110000000000001</v>
      </c>
      <c r="BY653" s="2174">
        <v>2.0670000000000002</v>
      </c>
      <c r="BZ653" s="2174">
        <f>4.509-BY653</f>
        <v>2.4420000000000002</v>
      </c>
      <c r="CA653" s="2174">
        <f>6.827-BZ653-BY653</f>
        <v>2.3179999999999996</v>
      </c>
      <c r="CB653" s="1912">
        <f t="shared" si="1179"/>
        <v>2.4809999999999999</v>
      </c>
      <c r="CC653" s="2174">
        <v>0</v>
      </c>
      <c r="CD653" s="2174">
        <v>0</v>
      </c>
      <c r="CE653" s="2174">
        <v>0</v>
      </c>
      <c r="CF653" s="1912">
        <v>0</v>
      </c>
      <c r="CG653" s="2316"/>
      <c r="CH653" s="2318"/>
      <c r="CI653" s="2315"/>
      <c r="CJ653" s="2174"/>
      <c r="CK653" s="2174"/>
      <c r="CL653" s="2174"/>
      <c r="CM653" s="2174"/>
      <c r="CN653" s="2174"/>
      <c r="CO653" s="2174"/>
      <c r="CP653" s="2317"/>
      <c r="CQ653" s="2174">
        <v>3.3319999999999999</v>
      </c>
      <c r="CR653" s="2174">
        <v>2.36</v>
      </c>
      <c r="CS653" s="2174">
        <f t="shared" si="1180"/>
        <v>5.2119999999999997</v>
      </c>
      <c r="CT653" s="2174">
        <f t="shared" si="1181"/>
        <v>7.8979999999999997</v>
      </c>
      <c r="CU653" s="2174">
        <v>5.2290000000000001</v>
      </c>
      <c r="CV653" s="2174">
        <v>7.5780000000000003</v>
      </c>
      <c r="CW653" s="2174">
        <v>7.758</v>
      </c>
      <c r="CX653" s="2174">
        <v>9.3079999999999998</v>
      </c>
      <c r="CY653" s="2174">
        <f t="shared" si="1182"/>
        <v>0</v>
      </c>
      <c r="CZ653" s="2320">
        <f t="shared" si="1184"/>
        <v>0</v>
      </c>
      <c r="DA653" s="2320">
        <f t="shared" si="1184"/>
        <v>0</v>
      </c>
      <c r="DB653" s="1760">
        <f t="shared" si="1184"/>
        <v>0</v>
      </c>
      <c r="DC653" s="1760">
        <f t="shared" si="1184"/>
        <v>0</v>
      </c>
      <c r="DD653" s="1760">
        <f t="shared" si="1184"/>
        <v>0</v>
      </c>
      <c r="DE653" s="1760">
        <f t="shared" si="1184"/>
        <v>0</v>
      </c>
      <c r="DF653" s="1799">
        <f t="shared" si="1184"/>
        <v>0</v>
      </c>
      <c r="DG653" s="612"/>
      <c r="DH653" s="612"/>
    </row>
    <row r="654" spans="1:113" s="554" customFormat="1" ht="11.25" customHeight="1">
      <c r="A654" s="547"/>
      <c r="B654"/>
      <c r="C654"/>
      <c r="D654"/>
      <c r="E654"/>
      <c r="F654"/>
      <c r="G654"/>
      <c r="H654" s="1044"/>
      <c r="I654" s="1530" t="s">
        <v>133</v>
      </c>
      <c r="J654" s="2319"/>
      <c r="K654" s="2319"/>
      <c r="L654" s="2314"/>
      <c r="M654" s="2315"/>
      <c r="N654" s="2315"/>
      <c r="O654" s="2315"/>
      <c r="P654" s="2316"/>
      <c r="Q654" s="2315"/>
      <c r="R654" s="2315"/>
      <c r="S654" s="2315"/>
      <c r="T654" s="2316"/>
      <c r="U654" s="2174"/>
      <c r="V654" s="2174"/>
      <c r="W654" s="2174"/>
      <c r="X654" s="1912"/>
      <c r="Y654" s="2174"/>
      <c r="Z654" s="2174"/>
      <c r="AA654" s="2174"/>
      <c r="AB654" s="1912"/>
      <c r="AC654" s="2174"/>
      <c r="AD654" s="2174"/>
      <c r="AE654" s="2174"/>
      <c r="AF654" s="1912"/>
      <c r="AG654" s="2174"/>
      <c r="AH654" s="2174"/>
      <c r="AI654" s="2174"/>
      <c r="AJ654" s="1912"/>
      <c r="AK654" s="2174"/>
      <c r="AL654" s="2174"/>
      <c r="AM654" s="2174"/>
      <c r="AN654" s="1912"/>
      <c r="AO654" s="2174"/>
      <c r="AP654" s="2174"/>
      <c r="AQ654" s="2174"/>
      <c r="AR654" s="1912"/>
      <c r="AS654" s="2174"/>
      <c r="AT654" s="2174"/>
      <c r="AU654" s="2174"/>
      <c r="AV654" s="1912"/>
      <c r="AW654" s="2317"/>
      <c r="AX654" s="2317"/>
      <c r="AY654" s="2317"/>
      <c r="AZ654" s="1912"/>
      <c r="BA654" s="2174">
        <v>5.2389999999999999</v>
      </c>
      <c r="BB654" s="2174">
        <f>10.553-BA654</f>
        <v>5.3140000000000009</v>
      </c>
      <c r="BC654" s="2174">
        <f>15.944-BB654-BA654</f>
        <v>5.3909999999999991</v>
      </c>
      <c r="BD654" s="1912">
        <f t="shared" si="1176"/>
        <v>5.4700000000000033</v>
      </c>
      <c r="BE654" s="2174">
        <v>7.2409999999999997</v>
      </c>
      <c r="BF654" s="2174">
        <f>17.972-BE654</f>
        <v>10.731000000000002</v>
      </c>
      <c r="BG654" s="2174">
        <f>28.831-BF654-BE654</f>
        <v>10.858999999999998</v>
      </c>
      <c r="BH654" s="1912">
        <f>39.82-BG654-BF654-BE654</f>
        <v>10.989000000000001</v>
      </c>
      <c r="BI654" s="2174">
        <v>11.12</v>
      </c>
      <c r="BJ654" s="2174">
        <f>24.232-BI654</f>
        <v>13.112</v>
      </c>
      <c r="BK654" s="2174">
        <f>41.225-BJ654-BI654</f>
        <v>16.993000000000002</v>
      </c>
      <c r="BL654" s="1912">
        <f>55.718-BK654-BJ654-BI654</f>
        <v>14.493</v>
      </c>
      <c r="BM654" s="2174">
        <v>12.412000000000001</v>
      </c>
      <c r="BN654" s="2174">
        <f>24.259-BM654</f>
        <v>11.847</v>
      </c>
      <c r="BO654" s="2174">
        <f>39.079-BN654-BM654</f>
        <v>14.819999999999999</v>
      </c>
      <c r="BP654" s="1912">
        <f t="shared" si="1177"/>
        <v>15.651999999999999</v>
      </c>
      <c r="BQ654" s="2174">
        <v>16.690999999999999</v>
      </c>
      <c r="BR654" s="2174">
        <f>33.211-BQ654</f>
        <v>16.52</v>
      </c>
      <c r="BS654" s="2174">
        <f>49.868-BR654-BQ654</f>
        <v>16.657</v>
      </c>
      <c r="BT654" s="1912">
        <f t="shared" si="1183"/>
        <v>16.819000000000006</v>
      </c>
      <c r="BU654" s="2174">
        <v>17.009</v>
      </c>
      <c r="BV654" s="2174">
        <f>34.18-BU654</f>
        <v>17.170999999999999</v>
      </c>
      <c r="BW654" s="2174">
        <f>51.512-BV654-BU654</f>
        <v>17.332000000000001</v>
      </c>
      <c r="BX654" s="1912">
        <f t="shared" si="1178"/>
        <v>17.462000000000003</v>
      </c>
      <c r="BY654" s="2174">
        <v>17.625</v>
      </c>
      <c r="BZ654" s="2174">
        <f>35.386-BY654</f>
        <v>17.761000000000003</v>
      </c>
      <c r="CA654" s="2174">
        <f>52.909-BZ654-BY654</f>
        <v>17.522999999999996</v>
      </c>
      <c r="CB654" s="1912">
        <f t="shared" si="1179"/>
        <v>16.824999999999996</v>
      </c>
      <c r="CC654" s="2174">
        <v>0</v>
      </c>
      <c r="CD654" s="2174">
        <v>0</v>
      </c>
      <c r="CE654" s="2174">
        <v>0</v>
      </c>
      <c r="CF654" s="1912">
        <v>0</v>
      </c>
      <c r="CG654" s="2316"/>
      <c r="CH654" s="2318"/>
      <c r="CI654" s="2315"/>
      <c r="CJ654" s="2174"/>
      <c r="CK654" s="2174"/>
      <c r="CL654" s="2174"/>
      <c r="CM654" s="2174"/>
      <c r="CN654" s="2174"/>
      <c r="CO654" s="2174"/>
      <c r="CP654" s="2317"/>
      <c r="CQ654" s="2174">
        <v>20.11</v>
      </c>
      <c r="CR654" s="2174">
        <v>21.414000000000001</v>
      </c>
      <c r="CS654" s="2174">
        <f t="shared" si="1180"/>
        <v>39.82</v>
      </c>
      <c r="CT654" s="2174">
        <f t="shared" si="1181"/>
        <v>55.718000000000004</v>
      </c>
      <c r="CU654" s="2174">
        <v>54.731000000000002</v>
      </c>
      <c r="CV654" s="2174">
        <v>66.686999999999998</v>
      </c>
      <c r="CW654" s="2174">
        <v>68.974000000000004</v>
      </c>
      <c r="CX654" s="2174">
        <v>69.733999999999995</v>
      </c>
      <c r="CY654" s="2174">
        <f t="shared" si="1182"/>
        <v>0</v>
      </c>
      <c r="CZ654" s="2320">
        <f t="shared" si="1184"/>
        <v>0</v>
      </c>
      <c r="DA654" s="2320">
        <f t="shared" si="1184"/>
        <v>0</v>
      </c>
      <c r="DB654" s="1760">
        <f t="shared" si="1184"/>
        <v>0</v>
      </c>
      <c r="DC654" s="1760">
        <f t="shared" si="1184"/>
        <v>0</v>
      </c>
      <c r="DD654" s="1760">
        <f t="shared" si="1184"/>
        <v>0</v>
      </c>
      <c r="DE654" s="1760">
        <f t="shared" si="1184"/>
        <v>0</v>
      </c>
      <c r="DF654" s="1799">
        <f t="shared" si="1184"/>
        <v>0</v>
      </c>
      <c r="DG654" s="612"/>
      <c r="DH654" s="612"/>
    </row>
    <row r="655" spans="1:113" s="554" customFormat="1" ht="11.25" customHeight="1">
      <c r="A655" s="547"/>
      <c r="B655"/>
      <c r="C655"/>
      <c r="D655"/>
      <c r="E655"/>
      <c r="F655"/>
      <c r="G655"/>
      <c r="H655" s="1044"/>
      <c r="I655" s="1530" t="s">
        <v>658</v>
      </c>
      <c r="J655" s="2319"/>
      <c r="K655" s="2319"/>
      <c r="L655" s="2314"/>
      <c r="M655" s="2315"/>
      <c r="N655" s="2315"/>
      <c r="O655" s="2315"/>
      <c r="P655" s="2316"/>
      <c r="Q655" s="2315"/>
      <c r="R655" s="2315"/>
      <c r="S655" s="2315"/>
      <c r="T655" s="2316"/>
      <c r="U655" s="2174"/>
      <c r="V655" s="2174"/>
      <c r="W655" s="2174"/>
      <c r="X655" s="1912"/>
      <c r="Y655" s="2174"/>
      <c r="Z655" s="2174"/>
      <c r="AA655" s="2174"/>
      <c r="AB655" s="1912"/>
      <c r="AC655" s="2174"/>
      <c r="AD655" s="2174"/>
      <c r="AE655" s="2174"/>
      <c r="AF655" s="1912"/>
      <c r="AG655" s="2174"/>
      <c r="AH655" s="2174"/>
      <c r="AI655" s="2174"/>
      <c r="AJ655" s="1912"/>
      <c r="AK655" s="2174"/>
      <c r="AL655" s="2174"/>
      <c r="AM655" s="2174"/>
      <c r="AN655" s="1912"/>
      <c r="AO655" s="2174"/>
      <c r="AP655" s="2174"/>
      <c r="AQ655" s="2174"/>
      <c r="AR655" s="1912"/>
      <c r="AS655" s="2174"/>
      <c r="AT655" s="2174"/>
      <c r="AU655" s="2174"/>
      <c r="AV655" s="1912"/>
      <c r="AW655" s="2317"/>
      <c r="AX655" s="2317"/>
      <c r="AY655" s="2317"/>
      <c r="AZ655" s="1912"/>
      <c r="BA655" s="2174">
        <v>0</v>
      </c>
      <c r="BB655" s="2174">
        <f>0.032-BA655</f>
        <v>3.2000000000000001E-2</v>
      </c>
      <c r="BC655" s="2174">
        <f>0.032-BB655-BA655</f>
        <v>0</v>
      </c>
      <c r="BD655" s="1912">
        <f t="shared" si="1176"/>
        <v>0</v>
      </c>
      <c r="BE655" s="2174">
        <v>0</v>
      </c>
      <c r="BF655" s="2174">
        <f>0-BE655</f>
        <v>0</v>
      </c>
      <c r="BG655" s="2174">
        <f>0-BF655-BE655</f>
        <v>0</v>
      </c>
      <c r="BH655" s="1912">
        <f>0-BG655-BF655-BE655</f>
        <v>0</v>
      </c>
      <c r="BI655" s="2174">
        <v>0</v>
      </c>
      <c r="BJ655" s="2174">
        <v>0</v>
      </c>
      <c r="BK655" s="2174">
        <f>0-BJ655-BI655</f>
        <v>0</v>
      </c>
      <c r="BL655" s="1912">
        <f>26.661-BK655-BJ655-BI655</f>
        <v>26.661000000000001</v>
      </c>
      <c r="BM655" s="2174">
        <v>3.3959999999999999</v>
      </c>
      <c r="BN655" s="2174">
        <f>6.129-BM655</f>
        <v>2.7329999999999997</v>
      </c>
      <c r="BO655" s="2174">
        <f>6.254-BN655-BM655</f>
        <v>0.125</v>
      </c>
      <c r="BP655" s="1912">
        <f t="shared" si="1177"/>
        <v>1.6000000000000014E-2</v>
      </c>
      <c r="BQ655" s="2174">
        <v>3.0000000000000001E-3</v>
      </c>
      <c r="BR655" s="2174">
        <f>0.003-BQ655</f>
        <v>0</v>
      </c>
      <c r="BS655" s="2174">
        <f>0.003-BR655-BQ655</f>
        <v>0</v>
      </c>
      <c r="BT655" s="1912">
        <f t="shared" si="1183"/>
        <v>0</v>
      </c>
      <c r="BU655" s="2174">
        <v>0</v>
      </c>
      <c r="BV655" s="2174">
        <f>0-BU655</f>
        <v>0</v>
      </c>
      <c r="BW655" s="2174">
        <f>0-BV655-BU655</f>
        <v>0</v>
      </c>
      <c r="BX655" s="1912">
        <f t="shared" si="1178"/>
        <v>0</v>
      </c>
      <c r="BY655" s="2174">
        <v>0</v>
      </c>
      <c r="BZ655" s="2174">
        <f>1.027-BY655</f>
        <v>1.0269999999999999</v>
      </c>
      <c r="CA655" s="2174">
        <f>1.093-BZ655-BY655</f>
        <v>6.6000000000000059E-2</v>
      </c>
      <c r="CB655" s="1912">
        <f t="shared" si="1179"/>
        <v>1.2729999999999999</v>
      </c>
      <c r="CC655" s="2174">
        <v>0</v>
      </c>
      <c r="CD655" s="2174">
        <v>0</v>
      </c>
      <c r="CE655" s="2174">
        <v>0</v>
      </c>
      <c r="CF655" s="1912">
        <v>0</v>
      </c>
      <c r="CG655" s="2316"/>
      <c r="CH655" s="2318"/>
      <c r="CI655" s="2315"/>
      <c r="CJ655" s="2174"/>
      <c r="CK655" s="2174"/>
      <c r="CL655" s="2174"/>
      <c r="CM655" s="2174"/>
      <c r="CN655" s="2174"/>
      <c r="CO655" s="2174"/>
      <c r="CP655" s="2317"/>
      <c r="CQ655" s="2174">
        <v>11.334</v>
      </c>
      <c r="CR655" s="2174">
        <v>3.2000000000000001E-2</v>
      </c>
      <c r="CS655" s="2174">
        <f t="shared" si="1180"/>
        <v>0</v>
      </c>
      <c r="CT655" s="2174">
        <f t="shared" si="1181"/>
        <v>26.661000000000001</v>
      </c>
      <c r="CU655" s="2174">
        <v>6.27</v>
      </c>
      <c r="CV655" s="2174">
        <v>3.0000000000000001E-3</v>
      </c>
      <c r="CW655" s="2174">
        <v>0</v>
      </c>
      <c r="CX655" s="2174">
        <v>2.3660000000000001</v>
      </c>
      <c r="CY655" s="2174">
        <f t="shared" si="1182"/>
        <v>0</v>
      </c>
      <c r="CZ655" s="2320">
        <f t="shared" si="1184"/>
        <v>0</v>
      </c>
      <c r="DA655" s="2320">
        <f t="shared" si="1184"/>
        <v>0</v>
      </c>
      <c r="DB655" s="1760">
        <f t="shared" si="1184"/>
        <v>0</v>
      </c>
      <c r="DC655" s="1760">
        <f t="shared" si="1184"/>
        <v>0</v>
      </c>
      <c r="DD655" s="1760">
        <f t="shared" si="1184"/>
        <v>0</v>
      </c>
      <c r="DE655" s="1760">
        <f t="shared" si="1184"/>
        <v>0</v>
      </c>
      <c r="DF655" s="1799">
        <f t="shared" si="1184"/>
        <v>0</v>
      </c>
      <c r="DG655" s="612"/>
      <c r="DH655" s="612"/>
    </row>
    <row r="656" spans="1:113" s="554" customFormat="1" ht="11.25" customHeight="1">
      <c r="A656" s="547"/>
      <c r="B656"/>
      <c r="C656"/>
      <c r="D656"/>
      <c r="E656"/>
      <c r="F656"/>
      <c r="G656"/>
      <c r="H656" s="1044"/>
      <c r="I656" s="1530" t="s">
        <v>134</v>
      </c>
      <c r="J656" s="2319"/>
      <c r="K656" s="2319"/>
      <c r="L656" s="2314"/>
      <c r="M656" s="2315"/>
      <c r="N656" s="2315"/>
      <c r="O656" s="2315"/>
      <c r="P656" s="2316"/>
      <c r="Q656" s="2315"/>
      <c r="R656" s="2315"/>
      <c r="S656" s="2315"/>
      <c r="T656" s="2316"/>
      <c r="U656" s="2174"/>
      <c r="V656" s="2174"/>
      <c r="W656" s="2174"/>
      <c r="X656" s="1912"/>
      <c r="Y656" s="2174"/>
      <c r="Z656" s="2174"/>
      <c r="AA656" s="2174"/>
      <c r="AB656" s="1912"/>
      <c r="AC656" s="2174"/>
      <c r="AD656" s="2174"/>
      <c r="AE656" s="2174"/>
      <c r="AF656" s="1912"/>
      <c r="AG656" s="2174"/>
      <c r="AH656" s="2174"/>
      <c r="AI656" s="2174"/>
      <c r="AJ656" s="1912"/>
      <c r="AK656" s="2174"/>
      <c r="AL656" s="2174"/>
      <c r="AM656" s="2174"/>
      <c r="AN656" s="1912"/>
      <c r="AO656" s="2174"/>
      <c r="AP656" s="2174"/>
      <c r="AQ656" s="2174"/>
      <c r="AR656" s="1912"/>
      <c r="AS656" s="2174"/>
      <c r="AT656" s="2174"/>
      <c r="AU656" s="2174"/>
      <c r="AV656" s="1912"/>
      <c r="AW656" s="2317"/>
      <c r="AX656" s="2317"/>
      <c r="AY656" s="2317"/>
      <c r="AZ656" s="1912"/>
      <c r="BA656" s="2174">
        <v>0</v>
      </c>
      <c r="BB656" s="2174">
        <f>0-BA656</f>
        <v>0</v>
      </c>
      <c r="BC656" s="2174">
        <f>0-BB656-BA656</f>
        <v>0</v>
      </c>
      <c r="BD656" s="1912">
        <f t="shared" si="1176"/>
        <v>0</v>
      </c>
      <c r="BE656" s="2174">
        <v>0</v>
      </c>
      <c r="BF656" s="2174">
        <f>0-BE656</f>
        <v>0</v>
      </c>
      <c r="BG656" s="2174">
        <f>0-BF656-BE656</f>
        <v>0</v>
      </c>
      <c r="BH656" s="1912">
        <f>0-BG656-BF656-BE656</f>
        <v>0</v>
      </c>
      <c r="BI656" s="2174">
        <v>0</v>
      </c>
      <c r="BJ656" s="2174">
        <v>0</v>
      </c>
      <c r="BK656" s="2174">
        <f>0-BJ656-BI656</f>
        <v>0</v>
      </c>
      <c r="BL656" s="1912">
        <f>0-BK656-BJ656-BI656</f>
        <v>0</v>
      </c>
      <c r="BM656" s="2174">
        <v>0</v>
      </c>
      <c r="BN656" s="2174">
        <f>0-BM656</f>
        <v>0</v>
      </c>
      <c r="BO656" s="2174">
        <v>0</v>
      </c>
      <c r="BP656" s="1912">
        <f t="shared" si="1177"/>
        <v>0</v>
      </c>
      <c r="BQ656" s="2174">
        <v>0</v>
      </c>
      <c r="BR656" s="2174">
        <f>0-BQ656</f>
        <v>0</v>
      </c>
      <c r="BS656" s="2174">
        <f>0-BR656-BQ656</f>
        <v>0</v>
      </c>
      <c r="BT656" s="1912">
        <f t="shared" si="1183"/>
        <v>0</v>
      </c>
      <c r="BU656" s="2174">
        <v>0</v>
      </c>
      <c r="BV656" s="2174">
        <f>0-BU656</f>
        <v>0</v>
      </c>
      <c r="BW656" s="2174">
        <f>0-BV656-BU656</f>
        <v>0</v>
      </c>
      <c r="BX656" s="1912">
        <f t="shared" si="1178"/>
        <v>0</v>
      </c>
      <c r="BY656" s="2174">
        <v>0</v>
      </c>
      <c r="BZ656" s="2174">
        <f>0-BY656</f>
        <v>0</v>
      </c>
      <c r="CA656" s="2174">
        <f>0-BZ656-BY656</f>
        <v>0</v>
      </c>
      <c r="CB656" s="1912">
        <f t="shared" si="1179"/>
        <v>0</v>
      </c>
      <c r="CC656" s="2174">
        <v>0</v>
      </c>
      <c r="CD656" s="2174">
        <v>0</v>
      </c>
      <c r="CE656" s="2174">
        <v>0</v>
      </c>
      <c r="CF656" s="1912">
        <v>0</v>
      </c>
      <c r="CG656" s="2316"/>
      <c r="CH656" s="2318"/>
      <c r="CI656" s="2315"/>
      <c r="CJ656" s="2174"/>
      <c r="CK656" s="2174"/>
      <c r="CL656" s="2174"/>
      <c r="CM656" s="2174"/>
      <c r="CN656" s="2174"/>
      <c r="CO656" s="2174"/>
      <c r="CP656" s="2317"/>
      <c r="CQ656" s="2174">
        <v>0</v>
      </c>
      <c r="CR656" s="2174">
        <v>0</v>
      </c>
      <c r="CS656" s="2174">
        <f t="shared" si="1180"/>
        <v>0</v>
      </c>
      <c r="CT656" s="2174">
        <f t="shared" si="1181"/>
        <v>0</v>
      </c>
      <c r="CU656" s="2174">
        <v>0</v>
      </c>
      <c r="CV656" s="2174">
        <v>0</v>
      </c>
      <c r="CW656" s="2174">
        <v>0</v>
      </c>
      <c r="CX656" s="2174">
        <v>0</v>
      </c>
      <c r="CY656" s="2174">
        <f t="shared" si="1182"/>
        <v>0</v>
      </c>
      <c r="CZ656" s="2320">
        <f t="shared" si="1184"/>
        <v>0</v>
      </c>
      <c r="DA656" s="2320">
        <f t="shared" si="1184"/>
        <v>0</v>
      </c>
      <c r="DB656" s="1760">
        <f t="shared" si="1184"/>
        <v>0</v>
      </c>
      <c r="DC656" s="1760">
        <f t="shared" si="1184"/>
        <v>0</v>
      </c>
      <c r="DD656" s="1760">
        <f t="shared" si="1184"/>
        <v>0</v>
      </c>
      <c r="DE656" s="1760">
        <f t="shared" si="1184"/>
        <v>0</v>
      </c>
      <c r="DF656" s="1799">
        <f t="shared" si="1184"/>
        <v>0</v>
      </c>
      <c r="DG656" s="612"/>
      <c r="DH656" s="612"/>
    </row>
    <row r="657" spans="1:112" s="554" customFormat="1" ht="11.25" customHeight="1">
      <c r="A657" s="547"/>
      <c r="B657"/>
      <c r="C657"/>
      <c r="D657"/>
      <c r="E657"/>
      <c r="F657"/>
      <c r="G657"/>
      <c r="H657" s="1044"/>
      <c r="I657" s="1530" t="s">
        <v>135</v>
      </c>
      <c r="J657" s="2319"/>
      <c r="K657" s="2319"/>
      <c r="L657" s="2314"/>
      <c r="M657" s="2315"/>
      <c r="N657" s="2315"/>
      <c r="O657" s="2315"/>
      <c r="P657" s="2316"/>
      <c r="Q657" s="2315"/>
      <c r="R657" s="2315"/>
      <c r="S657" s="2315"/>
      <c r="T657" s="2316"/>
      <c r="U657" s="2174"/>
      <c r="V657" s="2174"/>
      <c r="W657" s="2174"/>
      <c r="X657" s="1912"/>
      <c r="Y657" s="2174"/>
      <c r="Z657" s="2174"/>
      <c r="AA657" s="2174"/>
      <c r="AB657" s="1912"/>
      <c r="AC657" s="2174"/>
      <c r="AD657" s="2174"/>
      <c r="AE657" s="2174"/>
      <c r="AF657" s="1912"/>
      <c r="AG657" s="2174"/>
      <c r="AH657" s="2174"/>
      <c r="AI657" s="2174"/>
      <c r="AJ657" s="1912"/>
      <c r="AK657" s="2174"/>
      <c r="AL657" s="2174"/>
      <c r="AM657" s="2174"/>
      <c r="AN657" s="1912"/>
      <c r="AO657" s="2174"/>
      <c r="AP657" s="2174"/>
      <c r="AQ657" s="2174"/>
      <c r="AR657" s="1912"/>
      <c r="AS657" s="2174"/>
      <c r="AT657" s="2174"/>
      <c r="AU657" s="2174"/>
      <c r="AV657" s="1912"/>
      <c r="AW657" s="2317"/>
      <c r="AX657" s="2317"/>
      <c r="AY657" s="2317"/>
      <c r="AZ657" s="1912"/>
      <c r="BA657" s="2174">
        <v>0</v>
      </c>
      <c r="BB657" s="2174">
        <f>0-BA657</f>
        <v>0</v>
      </c>
      <c r="BC657" s="2174">
        <f>0-BB657-BA657</f>
        <v>0</v>
      </c>
      <c r="BD657" s="1912">
        <f t="shared" si="1176"/>
        <v>0</v>
      </c>
      <c r="BE657" s="2174">
        <v>0</v>
      </c>
      <c r="BF657" s="2174">
        <f>0-BE657</f>
        <v>0</v>
      </c>
      <c r="BG657" s="2174">
        <f>0-BF657-BE657</f>
        <v>0</v>
      </c>
      <c r="BH657" s="1912">
        <f>0-BG657-BF657-BE657</f>
        <v>0</v>
      </c>
      <c r="BI657" s="2174">
        <v>0</v>
      </c>
      <c r="BJ657" s="2174">
        <v>0</v>
      </c>
      <c r="BK657" s="2174">
        <f>0-BJ657-BI657</f>
        <v>0</v>
      </c>
      <c r="BL657" s="1912">
        <f>0-BK657-BJ657-BI657</f>
        <v>0</v>
      </c>
      <c r="BM657" s="2174">
        <v>0</v>
      </c>
      <c r="BN657" s="2174">
        <f>0-BM657</f>
        <v>0</v>
      </c>
      <c r="BO657" s="2174">
        <v>0</v>
      </c>
      <c r="BP657" s="1912">
        <f t="shared" si="1177"/>
        <v>0</v>
      </c>
      <c r="BQ657" s="2174">
        <v>0</v>
      </c>
      <c r="BR657" s="2174">
        <f>0-BQ657</f>
        <v>0</v>
      </c>
      <c r="BS657" s="2174">
        <f>0-BR657-BQ657</f>
        <v>0</v>
      </c>
      <c r="BT657" s="1912">
        <f t="shared" si="1183"/>
        <v>0</v>
      </c>
      <c r="BU657" s="2174">
        <v>50.35</v>
      </c>
      <c r="BV657" s="2174">
        <f>63.208-BU657</f>
        <v>12.857999999999997</v>
      </c>
      <c r="BW657" s="2174">
        <f>940.7+63.208-BV657-BU657</f>
        <v>940.7</v>
      </c>
      <c r="BX657" s="1912">
        <f t="shared" si="1178"/>
        <v>0</v>
      </c>
      <c r="BY657" s="2174">
        <v>0</v>
      </c>
      <c r="BZ657" s="2174">
        <f>0-BY657</f>
        <v>0</v>
      </c>
      <c r="CA657" s="2174">
        <f>0-BZ657-BY657</f>
        <v>0</v>
      </c>
      <c r="CB657" s="1912">
        <f t="shared" si="1179"/>
        <v>7.5970000000000004</v>
      </c>
      <c r="CC657" s="2174">
        <v>0</v>
      </c>
      <c r="CD657" s="2174">
        <v>0</v>
      </c>
      <c r="CE657" s="2174">
        <v>0</v>
      </c>
      <c r="CF657" s="1912">
        <v>0</v>
      </c>
      <c r="CG657" s="2316"/>
      <c r="CH657" s="2318"/>
      <c r="CI657" s="2315"/>
      <c r="CJ657" s="2174"/>
      <c r="CK657" s="2174"/>
      <c r="CL657" s="2174"/>
      <c r="CM657" s="2174"/>
      <c r="CN657" s="2174"/>
      <c r="CO657" s="2174"/>
      <c r="CP657" s="2317"/>
      <c r="CQ657" s="2174">
        <v>0</v>
      </c>
      <c r="CR657" s="2174">
        <v>0</v>
      </c>
      <c r="CS657" s="2174">
        <f t="shared" si="1180"/>
        <v>0</v>
      </c>
      <c r="CT657" s="2174">
        <f t="shared" si="1181"/>
        <v>0</v>
      </c>
      <c r="CU657" s="2174">
        <v>0</v>
      </c>
      <c r="CV657" s="2174">
        <v>0</v>
      </c>
      <c r="CW657" s="2174">
        <f>940.7+63.208</f>
        <v>1003.908</v>
      </c>
      <c r="CX657" s="2174">
        <v>7.5970000000000004</v>
      </c>
      <c r="CY657" s="2174">
        <f t="shared" si="1182"/>
        <v>0</v>
      </c>
      <c r="CZ657" s="2320">
        <f t="shared" si="1184"/>
        <v>0</v>
      </c>
      <c r="DA657" s="2320">
        <f t="shared" si="1184"/>
        <v>0</v>
      </c>
      <c r="DB657" s="1760">
        <f t="shared" si="1184"/>
        <v>0</v>
      </c>
      <c r="DC657" s="1760">
        <f t="shared" si="1184"/>
        <v>0</v>
      </c>
      <c r="DD657" s="1760">
        <f t="shared" si="1184"/>
        <v>0</v>
      </c>
      <c r="DE657" s="1760">
        <f t="shared" si="1184"/>
        <v>0</v>
      </c>
      <c r="DF657" s="1799">
        <f t="shared" si="1184"/>
        <v>0</v>
      </c>
      <c r="DG657" s="612"/>
      <c r="DH657" s="612"/>
    </row>
    <row r="658" spans="1:112" s="554" customFormat="1" ht="11.25" customHeight="1">
      <c r="A658" s="547"/>
      <c r="B658"/>
      <c r="C658"/>
      <c r="D658"/>
      <c r="E658"/>
      <c r="F658"/>
      <c r="G658"/>
      <c r="H658" s="1044"/>
      <c r="I658" s="1530"/>
      <c r="J658" s="2319"/>
      <c r="K658" s="2319"/>
      <c r="L658" s="2314"/>
      <c r="M658" s="2315"/>
      <c r="N658" s="2315"/>
      <c r="O658" s="2315"/>
      <c r="P658" s="2316"/>
      <c r="Q658" s="2315"/>
      <c r="R658" s="2315"/>
      <c r="S658" s="2315"/>
      <c r="T658" s="2316"/>
      <c r="U658" s="2174"/>
      <c r="V658" s="2174"/>
      <c r="W658" s="2174"/>
      <c r="X658" s="1912"/>
      <c r="Y658" s="2174"/>
      <c r="Z658" s="2174"/>
      <c r="AA658" s="2174"/>
      <c r="AB658" s="1912"/>
      <c r="AC658" s="2174"/>
      <c r="AD658" s="2174"/>
      <c r="AE658" s="2174"/>
      <c r="AF658" s="1912"/>
      <c r="AG658" s="2174"/>
      <c r="AH658" s="2174"/>
      <c r="AI658" s="2174"/>
      <c r="AJ658" s="1912"/>
      <c r="AK658" s="2174"/>
      <c r="AL658" s="2174"/>
      <c r="AM658" s="2174"/>
      <c r="AN658" s="1912"/>
      <c r="AO658" s="2174"/>
      <c r="AP658" s="2174"/>
      <c r="AQ658" s="2174"/>
      <c r="AR658" s="1912"/>
      <c r="AS658" s="2174"/>
      <c r="AT658" s="2174"/>
      <c r="AU658" s="2174"/>
      <c r="AV658" s="1912"/>
      <c r="AW658" s="2317"/>
      <c r="AX658" s="2317"/>
      <c r="AY658" s="2317"/>
      <c r="AZ658" s="1912"/>
      <c r="BA658" s="2174"/>
      <c r="BB658" s="2174"/>
      <c r="BC658" s="2174"/>
      <c r="BD658" s="1912"/>
      <c r="BE658" s="2174"/>
      <c r="BF658" s="2174"/>
      <c r="BG658" s="2174"/>
      <c r="BH658" s="1912"/>
      <c r="BI658" s="2174"/>
      <c r="BJ658" s="2174"/>
      <c r="BK658" s="2174"/>
      <c r="BL658" s="1912"/>
      <c r="BM658" s="2174"/>
      <c r="BN658" s="2174"/>
      <c r="BO658" s="2174"/>
      <c r="BP658" s="1912"/>
      <c r="BQ658" s="2174"/>
      <c r="BR658" s="2174"/>
      <c r="BS658" s="2174"/>
      <c r="BT658" s="1912"/>
      <c r="BU658" s="2174"/>
      <c r="BV658" s="2174"/>
      <c r="BW658" s="2174"/>
      <c r="BX658" s="1912"/>
      <c r="BY658" s="2174"/>
      <c r="BZ658" s="2174"/>
      <c r="CA658" s="2174"/>
      <c r="CB658" s="1912"/>
      <c r="CC658" s="2174"/>
      <c r="CD658" s="2174"/>
      <c r="CE658" s="2174"/>
      <c r="CF658" s="1912"/>
      <c r="CG658" s="2316"/>
      <c r="CH658" s="2318"/>
      <c r="CI658" s="2315"/>
      <c r="CJ658" s="2174"/>
      <c r="CK658" s="2174"/>
      <c r="CL658" s="2174"/>
      <c r="CM658" s="2174"/>
      <c r="CN658" s="2174"/>
      <c r="CO658" s="2174"/>
      <c r="CP658" s="2317"/>
      <c r="CQ658" s="2174"/>
      <c r="CR658" s="2174"/>
      <c r="CS658" s="2174"/>
      <c r="CT658" s="2174"/>
      <c r="CU658" s="2174"/>
      <c r="CV658" s="2174"/>
      <c r="CW658" s="2174"/>
      <c r="CX658" s="2174"/>
      <c r="CY658" s="2174"/>
      <c r="CZ658" s="2174"/>
      <c r="DA658" s="2174"/>
      <c r="DB658" s="516"/>
      <c r="DC658" s="516"/>
      <c r="DD658" s="516"/>
      <c r="DE658" s="516"/>
      <c r="DF658" s="602"/>
      <c r="DG658" s="612"/>
      <c r="DH658" s="612"/>
    </row>
    <row r="659" spans="1:112" s="554" customFormat="1" ht="11.25" customHeight="1">
      <c r="A659" s="547"/>
      <c r="B659"/>
      <c r="C659"/>
      <c r="D659"/>
      <c r="E659"/>
      <c r="F659"/>
      <c r="G659"/>
      <c r="H659" s="1044"/>
      <c r="I659" s="2321" t="s">
        <v>136</v>
      </c>
      <c r="J659" s="2322"/>
      <c r="K659" s="2322"/>
      <c r="L659" s="2314"/>
      <c r="M659" s="2315"/>
      <c r="N659" s="2315"/>
      <c r="O659" s="2315"/>
      <c r="P659" s="2316"/>
      <c r="Q659" s="2315"/>
      <c r="R659" s="2315"/>
      <c r="S659" s="2315"/>
      <c r="T659" s="2316"/>
      <c r="U659" s="2174"/>
      <c r="V659" s="2174"/>
      <c r="W659" s="2174"/>
      <c r="X659" s="1912"/>
      <c r="Y659" s="2174"/>
      <c r="Z659" s="2174"/>
      <c r="AA659" s="2174"/>
      <c r="AB659" s="1912"/>
      <c r="AC659" s="2174"/>
      <c r="AD659" s="2174"/>
      <c r="AE659" s="2174"/>
      <c r="AF659" s="1912"/>
      <c r="AG659" s="2174"/>
      <c r="AH659" s="2174"/>
      <c r="AI659" s="2174"/>
      <c r="AJ659" s="1912"/>
      <c r="AK659" s="2174"/>
      <c r="AL659" s="2174"/>
      <c r="AM659" s="2174"/>
      <c r="AN659" s="1912"/>
      <c r="AO659" s="2174"/>
      <c r="AP659" s="2174"/>
      <c r="AQ659" s="2174"/>
      <c r="AR659" s="1912"/>
      <c r="AS659" s="2174"/>
      <c r="AT659" s="2174"/>
      <c r="AU659" s="2174"/>
      <c r="AV659" s="1912"/>
      <c r="AW659" s="2317"/>
      <c r="AX659" s="2317"/>
      <c r="AY659" s="2317"/>
      <c r="AZ659" s="1912"/>
      <c r="BA659" s="2174"/>
      <c r="BB659" s="2174"/>
      <c r="BC659" s="2174"/>
      <c r="BD659" s="1912"/>
      <c r="BE659" s="2174"/>
      <c r="BF659" s="2174"/>
      <c r="BG659" s="2174"/>
      <c r="BH659" s="1912"/>
      <c r="BI659" s="2174"/>
      <c r="BJ659" s="2174"/>
      <c r="BK659" s="2174"/>
      <c r="BL659" s="1912"/>
      <c r="BM659" s="2174"/>
      <c r="BN659" s="2174"/>
      <c r="BO659" s="2174"/>
      <c r="BP659" s="1912"/>
      <c r="BQ659" s="2174"/>
      <c r="BR659" s="2174"/>
      <c r="BS659" s="2174"/>
      <c r="BT659" s="1912"/>
      <c r="BU659" s="2174"/>
      <c r="BV659" s="2174"/>
      <c r="BW659" s="2174"/>
      <c r="BX659" s="1912"/>
      <c r="BY659" s="2174"/>
      <c r="BZ659" s="2174"/>
      <c r="CA659" s="2174"/>
      <c r="CB659" s="1912"/>
      <c r="CC659" s="2174"/>
      <c r="CD659" s="2174"/>
      <c r="CE659" s="2174"/>
      <c r="CF659" s="1912"/>
      <c r="CG659" s="2316"/>
      <c r="CH659" s="2318"/>
      <c r="CI659" s="2315"/>
      <c r="CJ659" s="2174"/>
      <c r="CK659" s="2174"/>
      <c r="CL659" s="2174"/>
      <c r="CM659" s="2174"/>
      <c r="CN659" s="2174"/>
      <c r="CO659" s="2174"/>
      <c r="CP659" s="2317"/>
      <c r="CQ659" s="2174"/>
      <c r="CR659" s="2174"/>
      <c r="CS659" s="2174"/>
      <c r="CT659" s="2174"/>
      <c r="CU659" s="2174"/>
      <c r="CV659" s="2174"/>
      <c r="CW659" s="2174"/>
      <c r="CX659" s="2174"/>
      <c r="CY659" s="2174"/>
      <c r="CZ659" s="2174"/>
      <c r="DA659" s="2174"/>
      <c r="DB659" s="516"/>
      <c r="DC659" s="516"/>
      <c r="DD659" s="516"/>
      <c r="DE659" s="516"/>
      <c r="DF659" s="602"/>
      <c r="DG659" s="612"/>
      <c r="DH659" s="612"/>
    </row>
    <row r="660" spans="1:112" s="554" customFormat="1" ht="11.25" customHeight="1">
      <c r="A660" s="547"/>
      <c r="B660"/>
      <c r="C660"/>
      <c r="D660"/>
      <c r="E660"/>
      <c r="F660"/>
      <c r="G660"/>
      <c r="H660" s="1044"/>
      <c r="I660" s="1530" t="s">
        <v>86</v>
      </c>
      <c r="J660" s="2319"/>
      <c r="K660" s="2319"/>
      <c r="L660" s="2314"/>
      <c r="M660" s="2315"/>
      <c r="N660" s="2315"/>
      <c r="O660" s="2315"/>
      <c r="P660" s="2316"/>
      <c r="Q660" s="2315"/>
      <c r="R660" s="2315"/>
      <c r="S660" s="2315"/>
      <c r="T660" s="2316"/>
      <c r="U660" s="2174"/>
      <c r="V660" s="2174"/>
      <c r="W660" s="2174"/>
      <c r="X660" s="1912"/>
      <c r="Y660" s="2174"/>
      <c r="Z660" s="2174"/>
      <c r="AA660" s="2174"/>
      <c r="AB660" s="1912"/>
      <c r="AC660" s="2174"/>
      <c r="AD660" s="2174"/>
      <c r="AE660" s="2174"/>
      <c r="AF660" s="1912"/>
      <c r="AG660" s="2174"/>
      <c r="AH660" s="2174"/>
      <c r="AI660" s="2174"/>
      <c r="AJ660" s="1912"/>
      <c r="AK660" s="2174"/>
      <c r="AL660" s="2174"/>
      <c r="AM660" s="2174"/>
      <c r="AN660" s="1912"/>
      <c r="AO660" s="2174"/>
      <c r="AP660" s="2174"/>
      <c r="AQ660" s="2174"/>
      <c r="AR660" s="1912"/>
      <c r="AS660" s="2174"/>
      <c r="AT660" s="2174"/>
      <c r="AU660" s="2174"/>
      <c r="AV660" s="1912"/>
      <c r="AW660" s="2317"/>
      <c r="AX660" s="2317"/>
      <c r="AY660" s="2317"/>
      <c r="AZ660" s="1912"/>
      <c r="BA660" s="2174">
        <v>-56.487000000000002</v>
      </c>
      <c r="BB660" s="2174">
        <f>+-154.216-BA660</f>
        <v>-97.729000000000013</v>
      </c>
      <c r="BC660" s="2174">
        <f>-202.087-BB660-BA660</f>
        <v>-47.870999999999974</v>
      </c>
      <c r="BD660" s="1912">
        <f>+CR660-BC660-BB660-BA660</f>
        <v>76.293999999999983</v>
      </c>
      <c r="BE660" s="2174">
        <v>-58.234999999999999</v>
      </c>
      <c r="BF660" s="2174">
        <f>+-176.721-BE660</f>
        <v>-118.486</v>
      </c>
      <c r="BG660" s="2174">
        <f>+-232.66-BF660-BE660</f>
        <v>-55.938999999999993</v>
      </c>
      <c r="BH660" s="1912">
        <f>-105.277-BG660-BF660-BE660</f>
        <v>127.383</v>
      </c>
      <c r="BI660" s="2174">
        <v>-115.16200000000001</v>
      </c>
      <c r="BJ660" s="2174">
        <f>+-242.983-BI660</f>
        <v>-127.821</v>
      </c>
      <c r="BK660" s="2174">
        <f>+-283.961-BJ660-BI660</f>
        <v>-40.978000000000009</v>
      </c>
      <c r="BL660" s="1912">
        <f>-111.572-BK660-BJ660-BI660</f>
        <v>172.38900000000001</v>
      </c>
      <c r="BM660" s="2174">
        <v>-94.156000000000006</v>
      </c>
      <c r="BN660" s="2174">
        <f>+-312.959-BM660</f>
        <v>-218.803</v>
      </c>
      <c r="BO660" s="2174">
        <f>-353.357-BN660-BM660</f>
        <v>-40.398000000000025</v>
      </c>
      <c r="BP660" s="1912">
        <f>+CU660-BO660-BN660-BM660</f>
        <v>171.14800000000002</v>
      </c>
      <c r="BQ660" s="2174">
        <v>-120.593</v>
      </c>
      <c r="BR660" s="2174">
        <f>-287.94-BQ660</f>
        <v>-167.34699999999998</v>
      </c>
      <c r="BS660" s="2174">
        <f>+-289.604-BR660-BQ660</f>
        <v>-1.6640000000000015</v>
      </c>
      <c r="BT660" s="1912">
        <f>+CV660-BS660-BR660-BQ660</f>
        <v>220.90999999999997</v>
      </c>
      <c r="BU660" s="2174">
        <v>-191.70400000000001</v>
      </c>
      <c r="BV660" s="2174">
        <f>-344.147-BU660</f>
        <v>-152.44299999999998</v>
      </c>
      <c r="BW660" s="2174">
        <f>-470.295-BV660-BU660</f>
        <v>-126.14800000000002</v>
      </c>
      <c r="BX660" s="1912">
        <f>+CW660-BW660-BV660-BU660</f>
        <v>186.07400000000001</v>
      </c>
      <c r="BY660" s="2174">
        <f>+-78.428</f>
        <v>-78.427999999999997</v>
      </c>
      <c r="BZ660" s="2174">
        <f>+-333.545-BY660</f>
        <v>-255.11700000000002</v>
      </c>
      <c r="CA660" s="2174">
        <f>+-479.184-BZ660-BY660</f>
        <v>-145.63900000000001</v>
      </c>
      <c r="CB660" s="1912">
        <f>+CX660-CA660-BZ660-BY660</f>
        <v>209.452</v>
      </c>
      <c r="CC660" s="2174">
        <f>+(CC590-CB590)*-1</f>
        <v>88.517141260796734</v>
      </c>
      <c r="CD660" s="2174">
        <f>+(CD590-CC590)*-1</f>
        <v>-369.13635073328965</v>
      </c>
      <c r="CE660" s="2174">
        <f>+(CE590-CD590)*-1</f>
        <v>-172.53371944567789</v>
      </c>
      <c r="CF660" s="1912">
        <f>+(CF590-CE590)*-1</f>
        <v>145.49460172635349</v>
      </c>
      <c r="CG660" s="2316"/>
      <c r="CH660" s="2318"/>
      <c r="CI660" s="2315"/>
      <c r="CJ660" s="2174"/>
      <c r="CK660" s="2174"/>
      <c r="CL660" s="2174"/>
      <c r="CM660" s="2174"/>
      <c r="CN660" s="2174"/>
      <c r="CO660" s="2174"/>
      <c r="CP660" s="2317"/>
      <c r="CQ660" s="2174">
        <v>-29.274999999999999</v>
      </c>
      <c r="CR660" s="2174">
        <v>-125.79300000000001</v>
      </c>
      <c r="CS660" s="2174">
        <f>+SUM(BE660:BH660)</f>
        <v>-105.277</v>
      </c>
      <c r="CT660" s="2174">
        <f>+SUM(BI660:BL660)</f>
        <v>-111.572</v>
      </c>
      <c r="CU660" s="2174">
        <v>-182.209</v>
      </c>
      <c r="CV660" s="2174">
        <v>-68.694000000000003</v>
      </c>
      <c r="CW660" s="2174">
        <v>-284.221</v>
      </c>
      <c r="CX660" s="2174">
        <v>-269.73200000000003</v>
      </c>
      <c r="CY660" s="2174">
        <f>SUM(CC660:CF660)</f>
        <v>-307.65832719181731</v>
      </c>
      <c r="CZ660" s="2174">
        <f t="shared" ref="CZ660:DF660" si="1185">+(CZ590-CY590)*-1</f>
        <v>-223.88733244401806</v>
      </c>
      <c r="DA660" s="2174">
        <f t="shared" si="1185"/>
        <v>-225.70110261299396</v>
      </c>
      <c r="DB660" s="517">
        <f t="shared" si="1185"/>
        <v>-221.26100294864182</v>
      </c>
      <c r="DC660" s="517">
        <f t="shared" si="1185"/>
        <v>-196.56625284440543</v>
      </c>
      <c r="DD660" s="517">
        <f t="shared" si="1185"/>
        <v>-193.65052324610178</v>
      </c>
      <c r="DE660" s="517">
        <f t="shared" si="1185"/>
        <v>-189.03272677294763</v>
      </c>
      <c r="DF660" s="601">
        <f t="shared" si="1185"/>
        <v>-203.69095449193856</v>
      </c>
      <c r="DG660" s="612"/>
      <c r="DH660" s="612"/>
    </row>
    <row r="661" spans="1:112" s="554" customFormat="1" ht="11.25" customHeight="1">
      <c r="A661" s="547"/>
      <c r="B661"/>
      <c r="C661"/>
      <c r="D661"/>
      <c r="E661"/>
      <c r="F661"/>
      <c r="G661"/>
      <c r="H661" s="1044"/>
      <c r="I661" s="1530" t="s">
        <v>54</v>
      </c>
      <c r="J661" s="2319"/>
      <c r="K661" s="2319"/>
      <c r="L661" s="2314"/>
      <c r="M661" s="2315"/>
      <c r="N661" s="2315"/>
      <c r="O661" s="2315"/>
      <c r="P661" s="2316"/>
      <c r="Q661" s="2315"/>
      <c r="R661" s="2315"/>
      <c r="S661" s="2315"/>
      <c r="T661" s="2316"/>
      <c r="U661" s="2174"/>
      <c r="V661" s="2174"/>
      <c r="W661" s="2174"/>
      <c r="X661" s="1912"/>
      <c r="Y661" s="2174"/>
      <c r="Z661" s="2174"/>
      <c r="AA661" s="2174"/>
      <c r="AB661" s="1912"/>
      <c r="AC661" s="2174"/>
      <c r="AD661" s="2174"/>
      <c r="AE661" s="2174"/>
      <c r="AF661" s="1912"/>
      <c r="AG661" s="2174"/>
      <c r="AH661" s="2174"/>
      <c r="AI661" s="2174"/>
      <c r="AJ661" s="1912"/>
      <c r="AK661" s="2174"/>
      <c r="AL661" s="2174"/>
      <c r="AM661" s="2174"/>
      <c r="AN661" s="1912"/>
      <c r="AO661" s="2174"/>
      <c r="AP661" s="2174"/>
      <c r="AQ661" s="2174"/>
      <c r="AR661" s="1912"/>
      <c r="AS661" s="2174"/>
      <c r="AT661" s="2174"/>
      <c r="AU661" s="2174"/>
      <c r="AV661" s="1912"/>
      <c r="AW661" s="2317"/>
      <c r="AX661" s="2317"/>
      <c r="AY661" s="2317"/>
      <c r="AZ661" s="1912"/>
      <c r="BA661" s="2174">
        <v>3.3069999999999999</v>
      </c>
      <c r="BB661" s="2174">
        <f>9.089-BA661</f>
        <v>5.782</v>
      </c>
      <c r="BC661" s="2174">
        <f>5.981-BB661-BA661</f>
        <v>-3.1080000000000001</v>
      </c>
      <c r="BD661" s="1912">
        <f>+CR661-BC661-BB661-BA661</f>
        <v>6.2319999999999993</v>
      </c>
      <c r="BE661" s="2174">
        <v>-145.345</v>
      </c>
      <c r="BF661" s="2174">
        <f>+-95.392-BE661</f>
        <v>49.953000000000003</v>
      </c>
      <c r="BG661" s="2174">
        <f>+-97.057-BF661-BE661</f>
        <v>-1.664999999999992</v>
      </c>
      <c r="BH661" s="1912">
        <f>-40.793-BG661-BF661-BE661</f>
        <v>56.263999999999982</v>
      </c>
      <c r="BI661" s="2174">
        <v>-207.99299999999999</v>
      </c>
      <c r="BJ661" s="2174">
        <f>+-133.058-BI661</f>
        <v>74.935000000000002</v>
      </c>
      <c r="BK661" s="2174">
        <f>+-8.514-BJ661-BI661</f>
        <v>124.544</v>
      </c>
      <c r="BL661" s="1912">
        <f>-6.909-BK661-BJ661-BI661</f>
        <v>1.6049999999999898</v>
      </c>
      <c r="BM661" s="2174">
        <v>-317.81200000000001</v>
      </c>
      <c r="BN661" s="2174">
        <f>+-263.963-BM661</f>
        <v>53.84899999999999</v>
      </c>
      <c r="BO661" s="2174">
        <f>-35.341-BN661-BM661</f>
        <v>228.62200000000001</v>
      </c>
      <c r="BP661" s="1912">
        <f>+CU661-BO661-BN661-BM661</f>
        <v>-13.591000000000008</v>
      </c>
      <c r="BQ661" s="2174">
        <v>-292.66800000000001</v>
      </c>
      <c r="BR661" s="2174">
        <f>-300.482-BQ661</f>
        <v>-7.8140000000000214</v>
      </c>
      <c r="BS661" s="2174">
        <f>+-86.808-BR661-BQ661</f>
        <v>213.67400000000004</v>
      </c>
      <c r="BT661" s="1912">
        <f>+CV661-BS661-BR661-BQ661</f>
        <v>5.1970000000000027</v>
      </c>
      <c r="BU661" s="2174">
        <v>-340.48500000000001</v>
      </c>
      <c r="BV661" s="2174">
        <f>-286.976-BU661</f>
        <v>53.509000000000015</v>
      </c>
      <c r="BW661" s="2174">
        <f>-104.097-BV661-BU661</f>
        <v>182.87900000000002</v>
      </c>
      <c r="BX661" s="1912">
        <f>+CW661-BW661-BV661-BU661</f>
        <v>109.59199999999998</v>
      </c>
      <c r="BY661" s="2174">
        <f>+-443.643</f>
        <v>-443.64299999999997</v>
      </c>
      <c r="BZ661" s="2174">
        <f>+-438.641-BY661</f>
        <v>5.0019999999999527</v>
      </c>
      <c r="CA661" s="2174">
        <f>+-136.304-BZ661-BY661</f>
        <v>302.33699999999999</v>
      </c>
      <c r="CB661" s="1912">
        <f>+CX661-CA661-BZ661-BY661</f>
        <v>12.035000000000025</v>
      </c>
      <c r="CC661" s="2174">
        <f>+(CB591-CC591)+(CB592-CC592)</f>
        <v>-410.5963596594807</v>
      </c>
      <c r="CD661" s="2174">
        <f>+(CC591-CD591)+(CC592-CD592)</f>
        <v>-9.0247669101038355</v>
      </c>
      <c r="CE661" s="2174">
        <f>+(CD591-CE591)+(CD592-CE592)</f>
        <v>331.33255559492278</v>
      </c>
      <c r="CF661" s="1912">
        <f>+(CE591-CF591)+(CE592-CF592)</f>
        <v>-16.687809996477483</v>
      </c>
      <c r="CG661" s="2316"/>
      <c r="CH661" s="2318"/>
      <c r="CI661" s="2315"/>
      <c r="CJ661" s="2174"/>
      <c r="CK661" s="2174"/>
      <c r="CL661" s="2174"/>
      <c r="CM661" s="2174"/>
      <c r="CN661" s="2174"/>
      <c r="CO661" s="2174"/>
      <c r="CP661" s="2317"/>
      <c r="CQ661" s="2174">
        <v>-22.373000000000001</v>
      </c>
      <c r="CR661" s="2174">
        <v>12.212999999999999</v>
      </c>
      <c r="CS661" s="2174">
        <f>+SUM(BE661:BH661)</f>
        <v>-40.793000000000006</v>
      </c>
      <c r="CT661" s="2174">
        <f>+SUM(BI661:BL661)</f>
        <v>-6.909000000000006</v>
      </c>
      <c r="CU661" s="2174">
        <v>-48.932000000000002</v>
      </c>
      <c r="CV661" s="2174">
        <v>-81.611000000000004</v>
      </c>
      <c r="CW661" s="2174">
        <v>5.4950000000000001</v>
      </c>
      <c r="CX661" s="2174">
        <v>-124.26900000000001</v>
      </c>
      <c r="CY661" s="2174">
        <f>SUM(CC661:CF661)</f>
        <v>-104.97638097113924</v>
      </c>
      <c r="CZ661" s="2174">
        <f t="shared" ref="CZ661:DF661" si="1186">+(CY591-CZ591)+(CY592-CZ592)</f>
        <v>-76.392802755512207</v>
      </c>
      <c r="DA661" s="2174">
        <f t="shared" si="1186"/>
        <v>-83.684036039902821</v>
      </c>
      <c r="DB661" s="517">
        <f t="shared" si="1186"/>
        <v>-76.244162237927299</v>
      </c>
      <c r="DC661" s="517">
        <f t="shared" si="1186"/>
        <v>-67.73461691235741</v>
      </c>
      <c r="DD661" s="517">
        <f t="shared" si="1186"/>
        <v>-66.729887847712689</v>
      </c>
      <c r="DE661" s="517">
        <f t="shared" si="1186"/>
        <v>-65.138644841539417</v>
      </c>
      <c r="DF661" s="601">
        <f t="shared" si="1186"/>
        <v>-70.189712483073549</v>
      </c>
      <c r="DG661" s="612"/>
      <c r="DH661" s="612"/>
    </row>
    <row r="662" spans="1:112" s="554" customFormat="1" ht="11.25" customHeight="1">
      <c r="A662" s="547"/>
      <c r="B662"/>
      <c r="C662"/>
      <c r="D662"/>
      <c r="E662"/>
      <c r="F662"/>
      <c r="G662"/>
      <c r="H662" s="1044"/>
      <c r="I662" s="1530" t="s">
        <v>87</v>
      </c>
      <c r="J662" s="2319"/>
      <c r="K662" s="2319"/>
      <c r="L662" s="2314"/>
      <c r="M662" s="2315"/>
      <c r="N662" s="2315"/>
      <c r="O662" s="2315"/>
      <c r="P662" s="2316"/>
      <c r="Q662" s="2315"/>
      <c r="R662" s="2315"/>
      <c r="S662" s="2315"/>
      <c r="T662" s="2316"/>
      <c r="U662" s="2174"/>
      <c r="V662" s="2174"/>
      <c r="W662" s="2174"/>
      <c r="X662" s="1912"/>
      <c r="Y662" s="2174"/>
      <c r="Z662" s="2174"/>
      <c r="AA662" s="2174"/>
      <c r="AB662" s="1912"/>
      <c r="AC662" s="2174"/>
      <c r="AD662" s="2174"/>
      <c r="AE662" s="2174"/>
      <c r="AF662" s="1912"/>
      <c r="AG662" s="2174"/>
      <c r="AH662" s="2174"/>
      <c r="AI662" s="2174"/>
      <c r="AJ662" s="1912"/>
      <c r="AK662" s="2174"/>
      <c r="AL662" s="2174"/>
      <c r="AM662" s="2174"/>
      <c r="AN662" s="1912"/>
      <c r="AO662" s="2174"/>
      <c r="AP662" s="2174"/>
      <c r="AQ662" s="2174"/>
      <c r="AR662" s="1912"/>
      <c r="AS662" s="2174"/>
      <c r="AT662" s="2174"/>
      <c r="AU662" s="2174"/>
      <c r="AV662" s="1912"/>
      <c r="AW662" s="2317"/>
      <c r="AX662" s="2317"/>
      <c r="AY662" s="2317"/>
      <c r="AZ662" s="1912"/>
      <c r="BA662" s="2174">
        <v>177.76300000000001</v>
      </c>
      <c r="BB662" s="2174">
        <f>204.307-BA662</f>
        <v>26.543999999999983</v>
      </c>
      <c r="BC662" s="2174">
        <f>292.16-BB662-BA662</f>
        <v>87.853000000000037</v>
      </c>
      <c r="BD662" s="1912">
        <f>+CR662-BC662-BB662-BA662</f>
        <v>-81.835000000000036</v>
      </c>
      <c r="BE662" s="2174">
        <v>153.239</v>
      </c>
      <c r="BF662" s="2174">
        <f>244.684-BE662</f>
        <v>91.444999999999993</v>
      </c>
      <c r="BG662" s="2174">
        <f>318.054-BF662-BE662</f>
        <v>73.369999999999976</v>
      </c>
      <c r="BH662" s="1912">
        <f>256.021-BG662-BF662-BE662</f>
        <v>-62.032999999999959</v>
      </c>
      <c r="BI662" s="2174">
        <v>188.11199999999999</v>
      </c>
      <c r="BJ662" s="2174">
        <f>328.01-BI662</f>
        <v>139.898</v>
      </c>
      <c r="BK662" s="2174">
        <f>280.945-BJ662-BI662</f>
        <v>-47.064999999999998</v>
      </c>
      <c r="BL662" s="1912">
        <f>182.163-BK662-BJ662-BI662</f>
        <v>-98.781999999999982</v>
      </c>
      <c r="BM662" s="2174">
        <v>147.608</v>
      </c>
      <c r="BN662" s="2174">
        <f>312.925-BM662</f>
        <v>165.31700000000001</v>
      </c>
      <c r="BO662" s="2174">
        <f>209.557-BN662-BM662</f>
        <v>-103.36800000000002</v>
      </c>
      <c r="BP662" s="1912">
        <f>+CU662-BO662-BN662-BM662</f>
        <v>-5.686999999999955</v>
      </c>
      <c r="BQ662" s="2174">
        <v>201.215</v>
      </c>
      <c r="BR662" s="2174">
        <f>405.818-BQ662</f>
        <v>204.60299999999998</v>
      </c>
      <c r="BS662" s="2174">
        <f>191.881-BR662-BQ662</f>
        <v>-213.93699999999998</v>
      </c>
      <c r="BT662" s="1912">
        <f>+CV662-BS662-BR662-BQ662</f>
        <v>-25.680000000000007</v>
      </c>
      <c r="BU662" s="2174">
        <v>311.99099999999999</v>
      </c>
      <c r="BV662" s="2174">
        <f>687.973-BU662</f>
        <v>375.98199999999997</v>
      </c>
      <c r="BW662" s="2174">
        <f>526.414-BV662-BU662</f>
        <v>-161.55899999999997</v>
      </c>
      <c r="BX662" s="1912">
        <f>+CW662-BW662-BV662-BU662</f>
        <v>-10.057999999999993</v>
      </c>
      <c r="BY662" s="2174">
        <v>305.75799999999998</v>
      </c>
      <c r="BZ662" s="2174">
        <f>873.705-BY662</f>
        <v>567.94700000000012</v>
      </c>
      <c r="CA662" s="2174">
        <f>640.96-BZ662-BY662</f>
        <v>-232.74500000000006</v>
      </c>
      <c r="CB662" s="1912">
        <f>+CX662-CA662-BZ662-BY662</f>
        <v>46.485999999999933</v>
      </c>
      <c r="CC662" s="2174">
        <f>(CC607-CB607)+(CC608-CB608)+(CC609-CB609)+(CC610-CB610)</f>
        <v>-177.39512559696476</v>
      </c>
      <c r="CD662" s="2174">
        <f>(CD607-CC607)+(CD608-CC608)+(CD609-CC609)+(CD610-CC610)</f>
        <v>685.30152803203828</v>
      </c>
      <c r="CE662" s="2174">
        <f>(CE607-CD607)+(CE608-CD608)+(CE609-CD609)+(CE610-CD610)</f>
        <v>-276.93444990889407</v>
      </c>
      <c r="CF662" s="1912">
        <f>(CF607-CE607)+(CF608-CE608)+(CF609-CE609)+(CF610-CE610)</f>
        <v>301.43080823214598</v>
      </c>
      <c r="CG662" s="2316"/>
      <c r="CH662" s="2318"/>
      <c r="CI662" s="2315"/>
      <c r="CJ662" s="2174"/>
      <c r="CK662" s="2174"/>
      <c r="CL662" s="2174"/>
      <c r="CM662" s="2174"/>
      <c r="CN662" s="2174"/>
      <c r="CO662" s="2174"/>
      <c r="CP662" s="2317"/>
      <c r="CQ662" s="2174">
        <v>84.75</v>
      </c>
      <c r="CR662" s="2174">
        <v>210.32499999999999</v>
      </c>
      <c r="CS662" s="2174">
        <f>+SUM(BE662:BH662)</f>
        <v>256.02100000000002</v>
      </c>
      <c r="CT662" s="2174">
        <f>+SUM(BI662:BL662)</f>
        <v>182.16300000000001</v>
      </c>
      <c r="CU662" s="2174">
        <v>203.87</v>
      </c>
      <c r="CV662" s="2174">
        <v>166.20099999999999</v>
      </c>
      <c r="CW662" s="2174">
        <v>516.35599999999999</v>
      </c>
      <c r="CX662" s="2174">
        <v>687.44600000000003</v>
      </c>
      <c r="CY662" s="2174">
        <f>SUM(CC662:CF662)</f>
        <v>532.40276075832548</v>
      </c>
      <c r="CZ662" s="2174">
        <f t="shared" ref="CZ662:DF662" si="1187">(CZ607-CY607)+(CZ608-CY608)+(CZ609-CY609)+(CZ610-CY610)</f>
        <v>366.3603079279037</v>
      </c>
      <c r="DA662" s="2174">
        <f t="shared" si="1187"/>
        <v>373.24388809219704</v>
      </c>
      <c r="DB662" s="517">
        <f t="shared" si="1187"/>
        <v>354.71871751458229</v>
      </c>
      <c r="DC662" s="517">
        <f t="shared" si="1187"/>
        <v>320.5254863559328</v>
      </c>
      <c r="DD662" s="517">
        <f t="shared" si="1187"/>
        <v>315.30619685097918</v>
      </c>
      <c r="DE662" s="517">
        <f t="shared" si="1187"/>
        <v>311.3423607766681</v>
      </c>
      <c r="DF662" s="601">
        <f t="shared" si="1187"/>
        <v>339.1715161855725</v>
      </c>
      <c r="DG662" s="612"/>
      <c r="DH662" s="612"/>
    </row>
    <row r="663" spans="1:112" s="554" customFormat="1" ht="11.25" customHeight="1">
      <c r="A663" s="547"/>
      <c r="B663"/>
      <c r="C663"/>
      <c r="D663"/>
      <c r="E663"/>
      <c r="F663"/>
      <c r="G663"/>
      <c r="H663" s="1044"/>
      <c r="I663" s="2323" t="s">
        <v>88</v>
      </c>
      <c r="J663" s="2324"/>
      <c r="K663" s="2324"/>
      <c r="L663" s="2325"/>
      <c r="M663" s="2326"/>
      <c r="N663" s="2326"/>
      <c r="O663" s="2326"/>
      <c r="P663" s="2327"/>
      <c r="Q663" s="2326"/>
      <c r="R663" s="2326"/>
      <c r="S663" s="2326"/>
      <c r="T663" s="2327"/>
      <c r="U663" s="2328"/>
      <c r="V663" s="2328"/>
      <c r="W663" s="2328"/>
      <c r="X663" s="1927"/>
      <c r="Y663" s="2328"/>
      <c r="Z663" s="2328"/>
      <c r="AA663" s="2328"/>
      <c r="AB663" s="1927"/>
      <c r="AC663" s="2328"/>
      <c r="AD663" s="2328"/>
      <c r="AE663" s="2328"/>
      <c r="AF663" s="1927"/>
      <c r="AG663" s="2328"/>
      <c r="AH663" s="2328"/>
      <c r="AI663" s="2328"/>
      <c r="AJ663" s="1927"/>
      <c r="AK663" s="2328"/>
      <c r="AL663" s="2328"/>
      <c r="AM663" s="2328"/>
      <c r="AN663" s="1927"/>
      <c r="AO663" s="2328"/>
      <c r="AP663" s="2328"/>
      <c r="AQ663" s="2328"/>
      <c r="AR663" s="1927"/>
      <c r="AS663" s="2328"/>
      <c r="AT663" s="2328"/>
      <c r="AU663" s="2328"/>
      <c r="AV663" s="1927"/>
      <c r="AW663" s="2329"/>
      <c r="AX663" s="2329"/>
      <c r="AY663" s="2329"/>
      <c r="AZ663" s="1927"/>
      <c r="BA663" s="2328">
        <v>4.17</v>
      </c>
      <c r="BB663" s="2328">
        <f>+-9.86-BA663</f>
        <v>-14.03</v>
      </c>
      <c r="BC663" s="2328">
        <f>-9.564-BB663-BA663</f>
        <v>0.29599999999999937</v>
      </c>
      <c r="BD663" s="1927">
        <f>+CR663-BC663-BB663-BA663</f>
        <v>-2.4019999999999992</v>
      </c>
      <c r="BE663" s="2328">
        <v>1.4850000000000001</v>
      </c>
      <c r="BF663" s="2328">
        <f>0.253-BE663</f>
        <v>-1.2320000000000002</v>
      </c>
      <c r="BG663" s="2328">
        <f>6.243-BF663-BE663</f>
        <v>5.99</v>
      </c>
      <c r="BH663" s="1927">
        <f>33.864-BG663-BF663-BE663</f>
        <v>27.620999999999995</v>
      </c>
      <c r="BI663" s="2328">
        <v>23.422999999999998</v>
      </c>
      <c r="BJ663" s="2328">
        <f>8.907-BI663</f>
        <v>-14.515999999999998</v>
      </c>
      <c r="BK663" s="2328">
        <f>1.403-BJ663-BI663</f>
        <v>-7.5039999999999996</v>
      </c>
      <c r="BL663" s="1927">
        <f>-10.741-BK663-BJ663-BI663</f>
        <v>-12.144</v>
      </c>
      <c r="BM663" s="2328">
        <v>2.7050000000000001</v>
      </c>
      <c r="BN663" s="2328">
        <f>2.334-BM663</f>
        <v>-0.371</v>
      </c>
      <c r="BO663" s="2328">
        <f>0.202-BN663-BM663</f>
        <v>-2.1320000000000001</v>
      </c>
      <c r="BP663" s="1927">
        <f>+CU663-BO663-BN663-BM663</f>
        <v>1.6739999999999995</v>
      </c>
      <c r="BQ663" s="2328">
        <v>-23.919</v>
      </c>
      <c r="BR663" s="2328">
        <f>-13.429-BQ663</f>
        <v>10.49</v>
      </c>
      <c r="BS663" s="2328">
        <f>+-26.55-BR663-BQ663</f>
        <v>-13.120999999999999</v>
      </c>
      <c r="BT663" s="1927">
        <f>+CV663-BS663-BR663-BQ663</f>
        <v>2.6410000000000018</v>
      </c>
      <c r="BU663" s="2328">
        <v>0.86899999999999999</v>
      </c>
      <c r="BV663" s="2328">
        <f>-10.563-BU663</f>
        <v>-11.432</v>
      </c>
      <c r="BW663" s="2328">
        <f>-20.968-BV663-BU663</f>
        <v>-10.404999999999999</v>
      </c>
      <c r="BX663" s="1927">
        <f>+CW663-BW663-BV663-BU663</f>
        <v>-0.7890000000000017</v>
      </c>
      <c r="BY663" s="2328">
        <f>+-9.962</f>
        <v>-9.9619999999999997</v>
      </c>
      <c r="BZ663" s="2328">
        <f>3.024-BY663</f>
        <v>12.986000000000001</v>
      </c>
      <c r="CA663" s="2328">
        <f>31.221-BZ663-BY663</f>
        <v>28.196999999999999</v>
      </c>
      <c r="CB663" s="1927">
        <f>+CX663-CA663-BZ663-BY663</f>
        <v>1253.701</v>
      </c>
      <c r="CC663" s="2328">
        <f>+(CC611-CB611)</f>
        <v>0</v>
      </c>
      <c r="CD663" s="2328">
        <f>+(CD611-CC611)</f>
        <v>0</v>
      </c>
      <c r="CE663" s="2328">
        <f>+(CE611-CD611)</f>
        <v>0</v>
      </c>
      <c r="CF663" s="1927">
        <f>+(CF611-CE611)</f>
        <v>0</v>
      </c>
      <c r="CG663" s="2316"/>
      <c r="CH663" s="2330"/>
      <c r="CI663" s="2326"/>
      <c r="CJ663" s="2328"/>
      <c r="CK663" s="2328"/>
      <c r="CL663" s="2328"/>
      <c r="CM663" s="2328"/>
      <c r="CN663" s="2328"/>
      <c r="CO663" s="2328"/>
      <c r="CP663" s="2329"/>
      <c r="CQ663" s="2328">
        <v>17.774999999999999</v>
      </c>
      <c r="CR663" s="2328">
        <v>-11.965999999999999</v>
      </c>
      <c r="CS663" s="2328">
        <f>+SUM(BE663:BH663)</f>
        <v>33.863999999999997</v>
      </c>
      <c r="CT663" s="2328">
        <f>+SUM(BI663:BL663)</f>
        <v>-10.741</v>
      </c>
      <c r="CU663" s="2328">
        <v>1.8759999999999999</v>
      </c>
      <c r="CV663" s="2328">
        <v>-23.908999999999999</v>
      </c>
      <c r="CW663" s="2328">
        <v>-21.757000000000001</v>
      </c>
      <c r="CX663" s="2328">
        <f>1250.846+34.076</f>
        <v>1284.922</v>
      </c>
      <c r="CY663" s="2328">
        <f>SUM(CC663:CF663)</f>
        <v>0</v>
      </c>
      <c r="CZ663" s="2328">
        <f t="shared" ref="CZ663:DF663" si="1188">+(CZ611-CY611)</f>
        <v>0</v>
      </c>
      <c r="DA663" s="2328">
        <f t="shared" si="1188"/>
        <v>0</v>
      </c>
      <c r="DB663" s="512">
        <f t="shared" si="1188"/>
        <v>0</v>
      </c>
      <c r="DC663" s="512">
        <f t="shared" si="1188"/>
        <v>0</v>
      </c>
      <c r="DD663" s="512">
        <f t="shared" si="1188"/>
        <v>0</v>
      </c>
      <c r="DE663" s="512">
        <f t="shared" si="1188"/>
        <v>0</v>
      </c>
      <c r="DF663" s="513">
        <f t="shared" si="1188"/>
        <v>0</v>
      </c>
      <c r="DG663" s="612"/>
      <c r="DH663" s="612"/>
    </row>
    <row r="664" spans="1:112" s="584" customFormat="1" ht="11.25" customHeight="1">
      <c r="A664" s="542"/>
      <c r="B664"/>
      <c r="C664"/>
      <c r="D664"/>
      <c r="E664"/>
      <c r="F664"/>
      <c r="G664"/>
      <c r="H664" s="1052"/>
      <c r="I664" s="650" t="s">
        <v>89</v>
      </c>
      <c r="J664" s="651"/>
      <c r="K664" s="651"/>
      <c r="L664" s="542"/>
      <c r="M664" s="543"/>
      <c r="N664" s="543"/>
      <c r="O664" s="543"/>
      <c r="P664" s="1003"/>
      <c r="Q664" s="543"/>
      <c r="R664" s="543"/>
      <c r="S664" s="543"/>
      <c r="T664" s="1003"/>
      <c r="U664" s="1004"/>
      <c r="V664" s="1004"/>
      <c r="W664" s="1004"/>
      <c r="X664" s="1005"/>
      <c r="Y664" s="1004"/>
      <c r="Z664" s="1004"/>
      <c r="AA664" s="1004"/>
      <c r="AB664" s="1005"/>
      <c r="AC664" s="1004"/>
      <c r="AD664" s="1004"/>
      <c r="AE664" s="1004"/>
      <c r="AF664" s="1005"/>
      <c r="AG664" s="1004"/>
      <c r="AH664" s="1004"/>
      <c r="AI664" s="1004"/>
      <c r="AJ664" s="1005"/>
      <c r="AK664" s="1004"/>
      <c r="AL664" s="1004"/>
      <c r="AM664" s="1004"/>
      <c r="AN664" s="1005"/>
      <c r="AO664" s="1004"/>
      <c r="AP664" s="1004"/>
      <c r="AQ664" s="1004"/>
      <c r="AR664" s="1005"/>
      <c r="AS664" s="1004"/>
      <c r="AT664" s="1004"/>
      <c r="AU664" s="1004"/>
      <c r="AV664" s="1005"/>
      <c r="AW664" s="2331"/>
      <c r="AX664" s="2331"/>
      <c r="AY664" s="2331"/>
      <c r="AZ664" s="1005"/>
      <c r="BA664" s="1004">
        <f t="shared" ref="BA664:BI664" si="1189">+SUM(BA660:BA663)</f>
        <v>128.75299999999999</v>
      </c>
      <c r="BB664" s="1004">
        <f t="shared" si="1189"/>
        <v>-79.433000000000035</v>
      </c>
      <c r="BC664" s="1004">
        <f t="shared" si="1189"/>
        <v>37.170000000000066</v>
      </c>
      <c r="BD664" s="1005">
        <f t="shared" si="1189"/>
        <v>-1.7110000000000536</v>
      </c>
      <c r="BE664" s="1004">
        <f t="shared" si="1189"/>
        <v>-48.85599999999998</v>
      </c>
      <c r="BF664" s="1004">
        <f t="shared" si="1189"/>
        <v>21.679999999999993</v>
      </c>
      <c r="BG664" s="1004">
        <f t="shared" si="1189"/>
        <v>21.755999999999993</v>
      </c>
      <c r="BH664" s="1005">
        <f t="shared" si="1189"/>
        <v>149.23500000000001</v>
      </c>
      <c r="BI664" s="1004">
        <f t="shared" si="1189"/>
        <v>-111.61999999999998</v>
      </c>
      <c r="BJ664" s="1004">
        <f t="shared" ref="BJ664:CF664" si="1190">BJ660+BJ661+BJ662+BJ663</f>
        <v>72.496000000000009</v>
      </c>
      <c r="BK664" s="1004">
        <f t="shared" si="1190"/>
        <v>28.996999999999993</v>
      </c>
      <c r="BL664" s="1005">
        <f t="shared" si="1190"/>
        <v>63.068000000000019</v>
      </c>
      <c r="BM664" s="1004">
        <f t="shared" si="1190"/>
        <v>-261.65500000000003</v>
      </c>
      <c r="BN664" s="1004">
        <f t="shared" si="1190"/>
        <v>-8.0000000000004512E-3</v>
      </c>
      <c r="BO664" s="1004">
        <f t="shared" si="1190"/>
        <v>82.723999999999961</v>
      </c>
      <c r="BP664" s="1005">
        <f t="shared" si="1190"/>
        <v>153.54400000000007</v>
      </c>
      <c r="BQ664" s="1004">
        <f t="shared" ref="BQ664:BY664" si="1191">BQ660+BQ661+BQ662+BQ663</f>
        <v>-235.96500000000003</v>
      </c>
      <c r="BR664" s="1004">
        <f t="shared" si="1191"/>
        <v>39.931999999999981</v>
      </c>
      <c r="BS664" s="1004">
        <f t="shared" si="1191"/>
        <v>-15.047999999999934</v>
      </c>
      <c r="BT664" s="1005">
        <f t="shared" si="1191"/>
        <v>203.06799999999996</v>
      </c>
      <c r="BU664" s="1004">
        <f t="shared" si="1191"/>
        <v>-219.32900000000009</v>
      </c>
      <c r="BV664" s="1004">
        <f t="shared" si="1191"/>
        <v>265.61599999999999</v>
      </c>
      <c r="BW664" s="1004">
        <f t="shared" si="1191"/>
        <v>-115.23299999999998</v>
      </c>
      <c r="BX664" s="1005">
        <f t="shared" si="1191"/>
        <v>284.81900000000002</v>
      </c>
      <c r="BY664" s="1004">
        <f t="shared" si="1191"/>
        <v>-226.27499999999992</v>
      </c>
      <c r="BZ664" s="1004">
        <f t="shared" si="1190"/>
        <v>330.81800000000004</v>
      </c>
      <c r="CA664" s="1004">
        <f t="shared" si="1190"/>
        <v>-47.85000000000008</v>
      </c>
      <c r="CB664" s="1005">
        <f t="shared" si="1190"/>
        <v>1521.674</v>
      </c>
      <c r="CC664" s="1004">
        <f t="shared" si="1190"/>
        <v>-499.47434399564872</v>
      </c>
      <c r="CD664" s="1004">
        <f t="shared" si="1190"/>
        <v>307.1404103886448</v>
      </c>
      <c r="CE664" s="1004">
        <f t="shared" si="1190"/>
        <v>-118.13561375964917</v>
      </c>
      <c r="CF664" s="1005">
        <f t="shared" si="1190"/>
        <v>430.23759996202199</v>
      </c>
      <c r="CG664" s="1003"/>
      <c r="CH664" s="1006"/>
      <c r="CI664" s="543"/>
      <c r="CJ664" s="1004"/>
      <c r="CK664" s="1004"/>
      <c r="CL664" s="1004"/>
      <c r="CM664" s="1004"/>
      <c r="CN664" s="1004"/>
      <c r="CO664" s="1004"/>
      <c r="CP664" s="2331"/>
      <c r="CQ664" s="1004">
        <f>+SUM(CQ660:CQ663)</f>
        <v>50.877000000000002</v>
      </c>
      <c r="CR664" s="1004">
        <f>+SUM(CR660:CR663)</f>
        <v>84.778999999999982</v>
      </c>
      <c r="CS664" s="1004">
        <f>+SUM(CS660:CS663)</f>
        <v>143.81500000000003</v>
      </c>
      <c r="CT664" s="1004">
        <f t="shared" ref="CT664:CY664" si="1192">CT660+CT661+CT662+CT663</f>
        <v>52.941000000000003</v>
      </c>
      <c r="CU664" s="1004">
        <f t="shared" si="1192"/>
        <v>-25.395000000000014</v>
      </c>
      <c r="CV664" s="1004">
        <f t="shared" si="1192"/>
        <v>-8.0130000000000123</v>
      </c>
      <c r="CW664" s="1004">
        <f t="shared" si="1192"/>
        <v>215.87299999999999</v>
      </c>
      <c r="CX664" s="1004">
        <f t="shared" si="1192"/>
        <v>1578.367</v>
      </c>
      <c r="CY664" s="1004">
        <f t="shared" si="1192"/>
        <v>119.76805259536894</v>
      </c>
      <c r="CZ664" s="1004">
        <f t="shared" ref="CZ664:DF664" si="1193">CZ660+CZ661+CZ662+CZ663</f>
        <v>66.080172728373441</v>
      </c>
      <c r="DA664" s="1004">
        <f t="shared" si="1193"/>
        <v>63.858749439300254</v>
      </c>
      <c r="DB664" s="514">
        <f t="shared" si="1193"/>
        <v>57.213552328013179</v>
      </c>
      <c r="DC664" s="514">
        <f t="shared" si="1193"/>
        <v>56.224616599169963</v>
      </c>
      <c r="DD664" s="514">
        <f t="shared" si="1193"/>
        <v>54.925785757164704</v>
      </c>
      <c r="DE664" s="514">
        <f t="shared" si="1193"/>
        <v>57.170989162181058</v>
      </c>
      <c r="DF664" s="515">
        <f t="shared" si="1193"/>
        <v>65.290849210560395</v>
      </c>
      <c r="DG664" s="632"/>
      <c r="DH664" s="632"/>
    </row>
    <row r="665" spans="1:112" s="554" customFormat="1" ht="11.25" customHeight="1">
      <c r="A665" s="547"/>
      <c r="B665"/>
      <c r="C665"/>
      <c r="D665"/>
      <c r="E665"/>
      <c r="F665"/>
      <c r="G665"/>
      <c r="H665" s="1044"/>
      <c r="I665" s="2321"/>
      <c r="J665" s="2322"/>
      <c r="K665" s="2322"/>
      <c r="L665" s="2314"/>
      <c r="M665" s="2315"/>
      <c r="N665" s="2315"/>
      <c r="O665" s="2315"/>
      <c r="P665" s="2316"/>
      <c r="Q665" s="2315"/>
      <c r="R665" s="2315"/>
      <c r="S665" s="2315"/>
      <c r="T665" s="2316"/>
      <c r="U665" s="2174"/>
      <c r="V665" s="2174"/>
      <c r="W665" s="2174"/>
      <c r="X665" s="1912"/>
      <c r="Y665" s="2174"/>
      <c r="Z665" s="2174"/>
      <c r="AA665" s="2174"/>
      <c r="AB665" s="1912"/>
      <c r="AC665" s="2174"/>
      <c r="AD665" s="2174"/>
      <c r="AE665" s="2174"/>
      <c r="AF665" s="1912"/>
      <c r="AG665" s="2174"/>
      <c r="AH665" s="2174"/>
      <c r="AI665" s="2174"/>
      <c r="AJ665" s="1912"/>
      <c r="AK665" s="2174"/>
      <c r="AL665" s="2174"/>
      <c r="AM665" s="2174"/>
      <c r="AN665" s="1912"/>
      <c r="AO665" s="2174"/>
      <c r="AP665" s="2174"/>
      <c r="AQ665" s="2174"/>
      <c r="AR665" s="1912"/>
      <c r="AS665" s="2174"/>
      <c r="AT665" s="2174"/>
      <c r="AU665" s="2174"/>
      <c r="AV665" s="1912"/>
      <c r="AW665" s="2317"/>
      <c r="AX665" s="2317"/>
      <c r="AY665" s="2317"/>
      <c r="AZ665" s="1912"/>
      <c r="BA665" s="2174"/>
      <c r="BB665" s="2174"/>
      <c r="BC665" s="2174"/>
      <c r="BD665" s="1912"/>
      <c r="BE665" s="2174"/>
      <c r="BF665" s="2174"/>
      <c r="BG665" s="2174"/>
      <c r="BH665" s="1912"/>
      <c r="BI665" s="2174"/>
      <c r="BJ665" s="2174"/>
      <c r="BK665" s="2174"/>
      <c r="BL665" s="1912"/>
      <c r="BM665" s="2174"/>
      <c r="BN665" s="2174"/>
      <c r="BO665" s="2174"/>
      <c r="BP665" s="1912"/>
      <c r="BQ665" s="2174"/>
      <c r="BR665" s="2174"/>
      <c r="BS665" s="2174"/>
      <c r="BT665" s="1912"/>
      <c r="BU665" s="2174"/>
      <c r="BV665" s="2174"/>
      <c r="BW665" s="2174"/>
      <c r="BX665" s="1912"/>
      <c r="BY665" s="2174"/>
      <c r="BZ665" s="2174"/>
      <c r="CA665" s="2174"/>
      <c r="CB665" s="1912"/>
      <c r="CC665" s="2174"/>
      <c r="CD665" s="2174"/>
      <c r="CE665" s="2174"/>
      <c r="CF665" s="1912"/>
      <c r="CG665" s="2316"/>
      <c r="CH665" s="2318"/>
      <c r="CI665" s="2315"/>
      <c r="CJ665" s="2174"/>
      <c r="CK665" s="2174"/>
      <c r="CL665" s="2174"/>
      <c r="CM665" s="2174"/>
      <c r="CN665" s="2174"/>
      <c r="CO665" s="2174"/>
      <c r="CP665" s="2317"/>
      <c r="CQ665" s="2174"/>
      <c r="CR665" s="2174"/>
      <c r="CS665" s="2174"/>
      <c r="CT665" s="2174"/>
      <c r="CU665" s="2174"/>
      <c r="CV665" s="2174"/>
      <c r="CW665" s="2174"/>
      <c r="CX665" s="2174"/>
      <c r="CY665" s="2174"/>
      <c r="CZ665" s="2174"/>
      <c r="DA665" s="2174"/>
      <c r="DB665" s="516"/>
      <c r="DC665" s="516"/>
      <c r="DD665" s="516"/>
      <c r="DE665" s="516"/>
      <c r="DF665" s="602"/>
      <c r="DG665" s="612"/>
      <c r="DH665" s="612"/>
    </row>
    <row r="666" spans="1:112" s="584" customFormat="1" ht="11.25" customHeight="1">
      <c r="A666" s="542"/>
      <c r="B666"/>
      <c r="C666"/>
      <c r="D666"/>
      <c r="E666"/>
      <c r="F666"/>
      <c r="G666"/>
      <c r="H666" s="1052"/>
      <c r="I666" s="655" t="s">
        <v>90</v>
      </c>
      <c r="J666" s="225"/>
      <c r="K666" s="225"/>
      <c r="L666" s="542"/>
      <c r="M666" s="543"/>
      <c r="N666" s="543"/>
      <c r="O666" s="543"/>
      <c r="P666" s="1003"/>
      <c r="Q666" s="543"/>
      <c r="R666" s="543"/>
      <c r="S666" s="543"/>
      <c r="T666" s="1003"/>
      <c r="U666" s="1004"/>
      <c r="V666" s="1004"/>
      <c r="W666" s="1004"/>
      <c r="X666" s="1005"/>
      <c r="Y666" s="1004"/>
      <c r="Z666" s="1004"/>
      <c r="AA666" s="1004"/>
      <c r="AB666" s="1005"/>
      <c r="AC666" s="1004"/>
      <c r="AD666" s="1004"/>
      <c r="AE666" s="1004"/>
      <c r="AF666" s="1005"/>
      <c r="AG666" s="1004"/>
      <c r="AH666" s="1004"/>
      <c r="AI666" s="1004"/>
      <c r="AJ666" s="1005"/>
      <c r="AK666" s="1004"/>
      <c r="AL666" s="1004"/>
      <c r="AM666" s="1004"/>
      <c r="AN666" s="1005"/>
      <c r="AO666" s="1004"/>
      <c r="AP666" s="1004"/>
      <c r="AQ666" s="1004"/>
      <c r="AR666" s="1005"/>
      <c r="AS666" s="1004"/>
      <c r="AT666" s="1004"/>
      <c r="AU666" s="1004"/>
      <c r="AV666" s="1005"/>
      <c r="AW666" s="2331"/>
      <c r="AX666" s="2331"/>
      <c r="AY666" s="2331"/>
      <c r="AZ666" s="1005"/>
      <c r="BA666" s="1004">
        <f t="shared" ref="BA666:CE666" si="1194">BA645+SUM(BA647:BA657)+BA664</f>
        <v>276.21899999999999</v>
      </c>
      <c r="BB666" s="1004">
        <f t="shared" si="1194"/>
        <v>223.28299999999996</v>
      </c>
      <c r="BC666" s="1004">
        <f t="shared" si="1194"/>
        <v>560.46899999999994</v>
      </c>
      <c r="BD666" s="1005">
        <f t="shared" si="1194"/>
        <v>281.84100000000007</v>
      </c>
      <c r="BE666" s="1004">
        <f t="shared" si="1194"/>
        <v>182.38</v>
      </c>
      <c r="BF666" s="1004">
        <f t="shared" si="1194"/>
        <v>431.60599999999999</v>
      </c>
      <c r="BG666" s="1004">
        <f t="shared" si="1194"/>
        <v>674.94499999999994</v>
      </c>
      <c r="BH666" s="1005">
        <f t="shared" si="1194"/>
        <v>496.81900000000002</v>
      </c>
      <c r="BI666" s="1004">
        <f t="shared" si="1194"/>
        <v>183.11700000000005</v>
      </c>
      <c r="BJ666" s="1004">
        <f t="shared" si="1194"/>
        <v>593.38199999999995</v>
      </c>
      <c r="BK666" s="1004">
        <f t="shared" si="1194"/>
        <v>970.46399999999983</v>
      </c>
      <c r="BL666" s="1005">
        <f t="shared" si="1194"/>
        <v>554.47300000000018</v>
      </c>
      <c r="BM666" s="1004">
        <f t="shared" si="1194"/>
        <v>177.00400000000002</v>
      </c>
      <c r="BN666" s="1004">
        <f t="shared" si="1194"/>
        <v>689.98099999999999</v>
      </c>
      <c r="BO666" s="1004">
        <f t="shared" si="1194"/>
        <v>1292.1319999999998</v>
      </c>
      <c r="BP666" s="1005">
        <f>BP645+SUM(BP647:BP657)+BP664</f>
        <v>755.2800000000002</v>
      </c>
      <c r="BQ666" s="1004">
        <f t="shared" si="1194"/>
        <v>208.983</v>
      </c>
      <c r="BR666" s="1004">
        <f t="shared" ref="BR666:BY666" si="1195">BR645+SUM(BR647:BR657)+BR664</f>
        <v>702.37600000000009</v>
      </c>
      <c r="BS666" s="1004">
        <f t="shared" si="1195"/>
        <v>1309.7999999999997</v>
      </c>
      <c r="BT666" s="1005">
        <f t="shared" si="1195"/>
        <v>881.07200000000034</v>
      </c>
      <c r="BU666" s="1004">
        <f t="shared" si="1195"/>
        <v>344.32699999999988</v>
      </c>
      <c r="BV666" s="1004">
        <f t="shared" si="1195"/>
        <v>966.00700000000006</v>
      </c>
      <c r="BW666" s="1004">
        <f t="shared" si="1195"/>
        <v>1507.854</v>
      </c>
      <c r="BX666" s="1005">
        <f t="shared" si="1195"/>
        <v>1106.5090000000002</v>
      </c>
      <c r="BY666" s="1004">
        <f t="shared" si="1195"/>
        <v>380.61800000000011</v>
      </c>
      <c r="BZ666" s="1004">
        <f t="shared" si="1194"/>
        <v>1221.2160000000001</v>
      </c>
      <c r="CA666" s="1004">
        <f t="shared" si="1194"/>
        <v>1886.5909999999999</v>
      </c>
      <c r="CB666" s="1005">
        <f t="shared" ref="CB666" si="1196">CB645+SUM(CB647:CB657)+CB664</f>
        <v>1173.6109999999996</v>
      </c>
      <c r="CC666" s="1004">
        <f t="shared" si="1194"/>
        <v>117.88177554025583</v>
      </c>
      <c r="CD666" s="1004">
        <f t="shared" si="1194"/>
        <v>1291.5089407104444</v>
      </c>
      <c r="CE666" s="1004">
        <f t="shared" si="1194"/>
        <v>1954.1993924582118</v>
      </c>
      <c r="CF666" s="1005">
        <f>CF645+SUM(CF647:CF657)+CF664</f>
        <v>1557.7585960355307</v>
      </c>
      <c r="CG666" s="1003"/>
      <c r="CH666" s="1006"/>
      <c r="CI666" s="543"/>
      <c r="CJ666" s="1004"/>
      <c r="CK666" s="1004"/>
      <c r="CL666" s="1004"/>
      <c r="CM666" s="1004"/>
      <c r="CN666" s="1004"/>
      <c r="CO666" s="1004"/>
      <c r="CP666" s="2331"/>
      <c r="CQ666" s="1004">
        <f t="shared" ref="CQ666:CY666" si="1197">CQ645+SUM(CQ647:CQ657)+CQ664</f>
        <v>777.29089999999997</v>
      </c>
      <c r="CR666" s="1004">
        <f t="shared" si="1197"/>
        <v>1341.8120000000001</v>
      </c>
      <c r="CS666" s="1004">
        <f t="shared" si="1197"/>
        <v>1785.75</v>
      </c>
      <c r="CT666" s="1004">
        <f t="shared" si="1197"/>
        <v>2301.4360000000001</v>
      </c>
      <c r="CU666" s="1004">
        <f>CU645+SUM(CU647:CU657)+CU664</f>
        <v>2914.3970000000004</v>
      </c>
      <c r="CV666" s="1004">
        <f>CV645+SUM(CV647:CV657)+CV664</f>
        <v>3102.2310000000002</v>
      </c>
      <c r="CW666" s="1004">
        <f>CW645+SUM(CW647:CW657)+CW664</f>
        <v>3924.6970000000001</v>
      </c>
      <c r="CX666" s="1004">
        <f>CX645+SUM(CX647:CX657)+CX664</f>
        <v>4662.0360000000001</v>
      </c>
      <c r="CY666" s="1004">
        <f t="shared" si="1197"/>
        <v>4921.3487047444432</v>
      </c>
      <c r="CZ666" s="1004">
        <f t="shared" ref="CZ666:DF666" si="1198">CZ645+SUM(CZ647:CZ657)+CZ664</f>
        <v>5622.7014979164423</v>
      </c>
      <c r="DA666" s="1004">
        <f t="shared" si="1198"/>
        <v>6418.0483520514763</v>
      </c>
      <c r="DB666" s="514">
        <f t="shared" si="1198"/>
        <v>7238.3721114388227</v>
      </c>
      <c r="DC666" s="514">
        <f t="shared" si="1198"/>
        <v>8069.6065937272551</v>
      </c>
      <c r="DD666" s="514">
        <f t="shared" si="1198"/>
        <v>8890.2528083519446</v>
      </c>
      <c r="DE666" s="514">
        <f t="shared" si="1198"/>
        <v>9721.8458164026542</v>
      </c>
      <c r="DF666" s="515">
        <f t="shared" si="1198"/>
        <v>10656.763251433409</v>
      </c>
      <c r="DG666" s="632"/>
      <c r="DH666" s="632"/>
    </row>
    <row r="667" spans="1:112" s="554" customFormat="1" ht="11.25" customHeight="1">
      <c r="A667" s="547"/>
      <c r="B667"/>
      <c r="C667"/>
      <c r="D667"/>
      <c r="E667"/>
      <c r="F667"/>
      <c r="G667"/>
      <c r="H667" s="1044"/>
      <c r="I667" s="655"/>
      <c r="J667" s="225"/>
      <c r="K667" s="225"/>
      <c r="L667" s="2314"/>
      <c r="M667" s="2315"/>
      <c r="N667" s="2315"/>
      <c r="O667" s="2315"/>
      <c r="P667" s="2316"/>
      <c r="Q667" s="2315"/>
      <c r="R667" s="2315"/>
      <c r="S667" s="2315"/>
      <c r="T667" s="2316"/>
      <c r="U667" s="2174"/>
      <c r="V667" s="2174"/>
      <c r="W667" s="2174"/>
      <c r="X667" s="1912"/>
      <c r="Y667" s="2174"/>
      <c r="Z667" s="2174"/>
      <c r="AA667" s="2174"/>
      <c r="AB667" s="1912"/>
      <c r="AC667" s="2174"/>
      <c r="AD667" s="2174"/>
      <c r="AE667" s="2174"/>
      <c r="AF667" s="1912"/>
      <c r="AG667" s="2174"/>
      <c r="AH667" s="2174"/>
      <c r="AI667" s="2174"/>
      <c r="AJ667" s="1912"/>
      <c r="AK667" s="2174"/>
      <c r="AL667" s="2174"/>
      <c r="AM667" s="2174"/>
      <c r="AN667" s="1912"/>
      <c r="AO667" s="2174"/>
      <c r="AP667" s="2174"/>
      <c r="AQ667" s="2174"/>
      <c r="AR667" s="1912"/>
      <c r="AS667" s="2174"/>
      <c r="AT667" s="2174"/>
      <c r="AU667" s="2174"/>
      <c r="AV667" s="1912"/>
      <c r="AW667" s="2317"/>
      <c r="AX667" s="2317"/>
      <c r="AY667" s="2317"/>
      <c r="AZ667" s="1912"/>
      <c r="BA667" s="2174"/>
      <c r="BB667" s="2174"/>
      <c r="BC667" s="2174"/>
      <c r="BD667" s="1912"/>
      <c r="BE667" s="2174"/>
      <c r="BF667" s="2174"/>
      <c r="BG667" s="2174"/>
      <c r="BH667" s="1912"/>
      <c r="BI667" s="2174"/>
      <c r="BJ667" s="2174"/>
      <c r="BK667" s="2174"/>
      <c r="BL667" s="1912"/>
      <c r="BM667" s="2174"/>
      <c r="BN667" s="2174"/>
      <c r="BO667" s="2174"/>
      <c r="BP667" s="1912"/>
      <c r="BQ667" s="2174"/>
      <c r="BR667" s="2174"/>
      <c r="BS667" s="2174"/>
      <c r="BT667" s="1912"/>
      <c r="BU667" s="2174"/>
      <c r="BV667" s="2174"/>
      <c r="BW667" s="2174"/>
      <c r="BX667" s="1912"/>
      <c r="BY667" s="2174"/>
      <c r="BZ667" s="2174"/>
      <c r="CA667" s="2174"/>
      <c r="CB667" s="1912"/>
      <c r="CC667" s="2174"/>
      <c r="CD667" s="2174"/>
      <c r="CE667" s="2174"/>
      <c r="CF667" s="1912"/>
      <c r="CG667" s="2316"/>
      <c r="CH667" s="2318"/>
      <c r="CI667" s="2315"/>
      <c r="CJ667" s="2174"/>
      <c r="CK667" s="2174"/>
      <c r="CL667" s="2174"/>
      <c r="CM667" s="2174"/>
      <c r="CN667" s="2174"/>
      <c r="CO667" s="2174"/>
      <c r="CP667" s="2317"/>
      <c r="CQ667" s="2174"/>
      <c r="CR667" s="2174"/>
      <c r="CS667" s="2174"/>
      <c r="CT667" s="2174"/>
      <c r="CU667" s="2174"/>
      <c r="CV667" s="2174"/>
      <c r="CW667" s="2174"/>
      <c r="CX667" s="2174"/>
      <c r="CY667" s="2174"/>
      <c r="CZ667" s="2174"/>
      <c r="DA667" s="2174"/>
      <c r="DB667" s="516"/>
      <c r="DC667" s="516"/>
      <c r="DD667" s="516"/>
      <c r="DE667" s="516"/>
      <c r="DF667" s="602"/>
      <c r="DG667" s="612"/>
      <c r="DH667" s="612"/>
    </row>
    <row r="668" spans="1:112" s="554" customFormat="1" ht="11.25" customHeight="1">
      <c r="A668" s="547"/>
      <c r="B668"/>
      <c r="C668"/>
      <c r="D668"/>
      <c r="E668"/>
      <c r="F668"/>
      <c r="G668"/>
      <c r="H668" s="1044"/>
      <c r="I668" s="655" t="s">
        <v>91</v>
      </c>
      <c r="J668" s="225"/>
      <c r="K668" s="225"/>
      <c r="L668" s="2314"/>
      <c r="M668" s="2315"/>
      <c r="N668" s="2315"/>
      <c r="O668" s="2315"/>
      <c r="P668" s="2316"/>
      <c r="Q668" s="2315"/>
      <c r="R668" s="2315"/>
      <c r="S668" s="2315"/>
      <c r="T668" s="2316"/>
      <c r="U668" s="2174"/>
      <c r="V668" s="2174"/>
      <c r="W668" s="2174"/>
      <c r="X668" s="1912"/>
      <c r="Y668" s="2174"/>
      <c r="Z668" s="2174"/>
      <c r="AA668" s="2174"/>
      <c r="AB668" s="1912"/>
      <c r="AC668" s="2174"/>
      <c r="AD668" s="2174"/>
      <c r="AE668" s="2174"/>
      <c r="AF668" s="1912"/>
      <c r="AG668" s="2174"/>
      <c r="AH668" s="2174"/>
      <c r="AI668" s="2174"/>
      <c r="AJ668" s="1912"/>
      <c r="AK668" s="2174"/>
      <c r="AL668" s="2174"/>
      <c r="AM668" s="2174"/>
      <c r="AN668" s="1912"/>
      <c r="AO668" s="2174"/>
      <c r="AP668" s="2174"/>
      <c r="AQ668" s="2174"/>
      <c r="AR668" s="1912"/>
      <c r="AS668" s="2174"/>
      <c r="AT668" s="2174"/>
      <c r="AU668" s="2174"/>
      <c r="AV668" s="1912"/>
      <c r="AW668" s="2317"/>
      <c r="AX668" s="2317"/>
      <c r="AY668" s="2317"/>
      <c r="AZ668" s="1912"/>
      <c r="BA668" s="2174"/>
      <c r="BB668" s="2174"/>
      <c r="BC668" s="2174"/>
      <c r="BD668" s="1912"/>
      <c r="BE668" s="2174"/>
      <c r="BF668" s="2174"/>
      <c r="BG668" s="2174"/>
      <c r="BH668" s="1912"/>
      <c r="BI668" s="2174"/>
      <c r="BJ668" s="2174"/>
      <c r="BK668" s="2174"/>
      <c r="BL668" s="1912"/>
      <c r="BM668" s="2174"/>
      <c r="BN668" s="2174"/>
      <c r="BO668" s="2174"/>
      <c r="BP668" s="1912"/>
      <c r="BQ668" s="2174"/>
      <c r="BR668" s="2174"/>
      <c r="BS668" s="2174"/>
      <c r="BT668" s="1912"/>
      <c r="BU668" s="2174"/>
      <c r="BV668" s="2174"/>
      <c r="BW668" s="2174"/>
      <c r="BX668" s="1912"/>
      <c r="BY668" s="2174"/>
      <c r="BZ668" s="2174"/>
      <c r="CA668" s="2174"/>
      <c r="CB668" s="1912"/>
      <c r="CC668" s="2174"/>
      <c r="CD668" s="2174"/>
      <c r="CE668" s="2174"/>
      <c r="CF668" s="1912"/>
      <c r="CG668" s="2316"/>
      <c r="CH668" s="2318"/>
      <c r="CI668" s="2315"/>
      <c r="CJ668" s="2174"/>
      <c r="CK668" s="2174"/>
      <c r="CL668" s="2174"/>
      <c r="CM668" s="2174"/>
      <c r="CN668" s="2174"/>
      <c r="CO668" s="2174"/>
      <c r="CP668" s="2317"/>
      <c r="CQ668" s="2174"/>
      <c r="CR668" s="2174"/>
      <c r="CS668" s="2174"/>
      <c r="CT668" s="2174"/>
      <c r="CU668" s="2174"/>
      <c r="CV668" s="2174"/>
      <c r="CW668" s="2174"/>
      <c r="CX668" s="2174"/>
      <c r="CY668" s="2174"/>
      <c r="CZ668" s="2174"/>
      <c r="DA668" s="2174"/>
      <c r="DB668" s="516"/>
      <c r="DC668" s="516"/>
      <c r="DD668" s="516"/>
      <c r="DE668" s="516"/>
      <c r="DF668" s="602"/>
      <c r="DG668" s="612"/>
      <c r="DH668" s="612"/>
    </row>
    <row r="669" spans="1:112" s="554" customFormat="1" ht="11.25" customHeight="1">
      <c r="A669" s="547"/>
      <c r="B669"/>
      <c r="C669"/>
      <c r="D669"/>
      <c r="E669"/>
      <c r="F669"/>
      <c r="G669"/>
      <c r="H669" s="1044"/>
      <c r="I669" s="1530" t="s">
        <v>92</v>
      </c>
      <c r="J669" s="2319"/>
      <c r="K669" s="2319"/>
      <c r="L669" s="2314"/>
      <c r="M669" s="2315"/>
      <c r="N669" s="2315"/>
      <c r="O669" s="2315"/>
      <c r="P669" s="2316"/>
      <c r="Q669" s="2315"/>
      <c r="R669" s="2315"/>
      <c r="S669" s="2315"/>
      <c r="T669" s="2316"/>
      <c r="U669" s="2174"/>
      <c r="V669" s="2174"/>
      <c r="W669" s="2174"/>
      <c r="X669" s="1912"/>
      <c r="Y669" s="2174"/>
      <c r="Z669" s="2174"/>
      <c r="AA669" s="2174"/>
      <c r="AB669" s="1912"/>
      <c r="AC669" s="2174"/>
      <c r="AD669" s="2174"/>
      <c r="AE669" s="2174"/>
      <c r="AF669" s="1912"/>
      <c r="AG669" s="2174"/>
      <c r="AH669" s="2174"/>
      <c r="AI669" s="2174"/>
      <c r="AJ669" s="1912"/>
      <c r="AK669" s="2174"/>
      <c r="AL669" s="2174"/>
      <c r="AM669" s="2174"/>
      <c r="AN669" s="1912"/>
      <c r="AO669" s="2174"/>
      <c r="AP669" s="2174"/>
      <c r="AQ669" s="2174"/>
      <c r="AR669" s="1912"/>
      <c r="AS669" s="2174"/>
      <c r="AT669" s="2174"/>
      <c r="AU669" s="2174"/>
      <c r="AV669" s="1912"/>
      <c r="AW669" s="2317"/>
      <c r="AX669" s="2317"/>
      <c r="AY669" s="2317"/>
      <c r="AZ669" s="1912"/>
      <c r="BA669" s="2174">
        <v>-472.87200000000001</v>
      </c>
      <c r="BB669" s="2174">
        <f>+-1006.694-BA669</f>
        <v>-533.82199999999989</v>
      </c>
      <c r="BC669" s="2174">
        <f>+-2230.661-BB669-BA669</f>
        <v>-1223.9670000000001</v>
      </c>
      <c r="BD669" s="1912">
        <f t="shared" ref="BD669:BD676" si="1199">+CR669-BC669-BB669-BA669</f>
        <v>-774.73599999999988</v>
      </c>
      <c r="BE669" s="2174">
        <v>-1301.4570000000001</v>
      </c>
      <c r="BF669" s="2174">
        <f>+-2989.951-BE669</f>
        <v>-1688.4939999999999</v>
      </c>
      <c r="BG669" s="2174">
        <f>+-4790.106-BF669-BE669</f>
        <v>-1800.155</v>
      </c>
      <c r="BH669" s="1912">
        <f>-6352.495-BG669-BF669-BE669</f>
        <v>-1562.3890000000004</v>
      </c>
      <c r="BI669" s="2174">
        <v>-1504.6759999999999</v>
      </c>
      <c r="BJ669" s="2174">
        <f>+-4226.562-BI669</f>
        <v>-2721.886</v>
      </c>
      <c r="BK669" s="2174">
        <f>+-7100.081-BJ669-BI669</f>
        <v>-2873.5189999999998</v>
      </c>
      <c r="BL669" s="1912">
        <f>-9955.8-BK669-BJ669-BI669</f>
        <v>-2855.7189999999987</v>
      </c>
      <c r="BM669" s="2174">
        <v>-2612.047</v>
      </c>
      <c r="BN669" s="2174">
        <f>+-4305.033-BM669</f>
        <v>-1692.9860000000003</v>
      </c>
      <c r="BO669" s="2174">
        <f>-7327.635-BN669-BM669</f>
        <v>-3022.6019999999994</v>
      </c>
      <c r="BP669" s="1912">
        <f t="shared" ref="BP669:BP676" si="1200">+CU669-BO669-BN669-BM669</f>
        <v>-3224.5790000000002</v>
      </c>
      <c r="BQ669" s="2174">
        <v>-1969.2919999999999</v>
      </c>
      <c r="BR669" s="2174">
        <f>-4686.507-BQ669</f>
        <v>-2717.2149999999997</v>
      </c>
      <c r="BS669" s="2174">
        <f>-5597.897-BR669-BQ669</f>
        <v>-911.39000000000033</v>
      </c>
      <c r="BT669" s="1912">
        <f t="shared" ref="BT669:BT676" si="1201">+CV669-BS669-BR669-BQ669</f>
        <v>-3071.793000000001</v>
      </c>
      <c r="BU669" s="2174">
        <v>-1051.346</v>
      </c>
      <c r="BV669" s="2174">
        <f>-2701.662-BU669</f>
        <v>-1650.3159999999998</v>
      </c>
      <c r="BW669" s="2174">
        <f>-4820.737-BV669-BU669</f>
        <v>-2119.0750000000003</v>
      </c>
      <c r="BX669" s="1912">
        <f t="shared" ref="BX669:BX676" si="1202">+CW669-BW669-BV669-BU669</f>
        <v>-1920.4650000000006</v>
      </c>
      <c r="BY669" s="2174">
        <f>+-1498.723</f>
        <v>-1498.723</v>
      </c>
      <c r="BZ669" s="2174">
        <f>+-2869.903-BY669</f>
        <v>-1371.1799999999998</v>
      </c>
      <c r="CA669" s="2174">
        <f>-5338.444-BZ669-BY669</f>
        <v>-2468.5410000000006</v>
      </c>
      <c r="CB669" s="1912">
        <f t="shared" ref="CB669:CB676" si="1203">+CX669-CA669-BZ669-BY669</f>
        <v>-1152.7119999999995</v>
      </c>
      <c r="CC669" s="2174">
        <v>0</v>
      </c>
      <c r="CD669" s="2174">
        <v>0</v>
      </c>
      <c r="CE669" s="2174">
        <v>0</v>
      </c>
      <c r="CF669" s="1912">
        <v>0</v>
      </c>
      <c r="CG669" s="2316"/>
      <c r="CH669" s="2318"/>
      <c r="CI669" s="2315"/>
      <c r="CJ669" s="2174"/>
      <c r="CK669" s="2174"/>
      <c r="CL669" s="2174"/>
      <c r="CM669" s="2174"/>
      <c r="CN669" s="2174"/>
      <c r="CO669" s="2174"/>
      <c r="CP669" s="2317"/>
      <c r="CQ669" s="2174">
        <v>-1813.0319999999999</v>
      </c>
      <c r="CR669" s="2174">
        <v>-3005.3969999999999</v>
      </c>
      <c r="CS669" s="2174">
        <f t="shared" ref="CS669:CS676" si="1204">+SUM(BE669:BH669)</f>
        <v>-6352.4949999999999</v>
      </c>
      <c r="CT669" s="2174">
        <f t="shared" ref="CT669:CT676" si="1205">+SUM(BI669:BL669)</f>
        <v>-9955.7999999999993</v>
      </c>
      <c r="CU669" s="2174">
        <v>-10552.214</v>
      </c>
      <c r="CV669" s="2174">
        <v>-8669.69</v>
      </c>
      <c r="CW669" s="2174">
        <v>-6741.2020000000002</v>
      </c>
      <c r="CX669" s="2174">
        <v>-6491.1559999999999</v>
      </c>
      <c r="CY669" s="2174">
        <f t="shared" ref="CY669:CY676" si="1206">SUM(CC669:CF669)</f>
        <v>0</v>
      </c>
      <c r="CZ669" s="2320">
        <f t="shared" ref="CZ669:DF671" si="1207">+CY669</f>
        <v>0</v>
      </c>
      <c r="DA669" s="2320">
        <f t="shared" si="1207"/>
        <v>0</v>
      </c>
      <c r="DB669" s="1760">
        <f t="shared" si="1207"/>
        <v>0</v>
      </c>
      <c r="DC669" s="1760">
        <f t="shared" si="1207"/>
        <v>0</v>
      </c>
      <c r="DD669" s="1760">
        <f t="shared" si="1207"/>
        <v>0</v>
      </c>
      <c r="DE669" s="1760">
        <f t="shared" si="1207"/>
        <v>0</v>
      </c>
      <c r="DF669" s="1799">
        <f t="shared" si="1207"/>
        <v>0</v>
      </c>
      <c r="DG669" s="612"/>
      <c r="DH669" s="612"/>
    </row>
    <row r="670" spans="1:112" s="554" customFormat="1" ht="11.25" customHeight="1">
      <c r="A670" s="547"/>
      <c r="B670"/>
      <c r="C670"/>
      <c r="D670"/>
      <c r="E670"/>
      <c r="F670"/>
      <c r="G670"/>
      <c r="H670" s="1044"/>
      <c r="I670" s="1530" t="s">
        <v>225</v>
      </c>
      <c r="J670" s="2319"/>
      <c r="K670" s="2319"/>
      <c r="L670" s="2314"/>
      <c r="M670" s="2315"/>
      <c r="N670" s="2315"/>
      <c r="O670" s="2315"/>
      <c r="P670" s="2316"/>
      <c r="Q670" s="2315"/>
      <c r="R670" s="2315"/>
      <c r="S670" s="2315"/>
      <c r="T670" s="2316"/>
      <c r="U670" s="2174"/>
      <c r="V670" s="2174"/>
      <c r="W670" s="2174"/>
      <c r="X670" s="1912"/>
      <c r="Y670" s="2174"/>
      <c r="Z670" s="2174"/>
      <c r="AA670" s="2174"/>
      <c r="AB670" s="1912"/>
      <c r="AC670" s="2174"/>
      <c r="AD670" s="2174"/>
      <c r="AE670" s="2174"/>
      <c r="AF670" s="1912"/>
      <c r="AG670" s="2174"/>
      <c r="AH670" s="2174"/>
      <c r="AI670" s="2174"/>
      <c r="AJ670" s="1912"/>
      <c r="AK670" s="2174"/>
      <c r="AL670" s="2174"/>
      <c r="AM670" s="2174"/>
      <c r="AN670" s="1912"/>
      <c r="AO670" s="2174"/>
      <c r="AP670" s="2174"/>
      <c r="AQ670" s="2174"/>
      <c r="AR670" s="1912"/>
      <c r="AS670" s="2174"/>
      <c r="AT670" s="2174"/>
      <c r="AU670" s="2174"/>
      <c r="AV670" s="1912"/>
      <c r="AW670" s="2317"/>
      <c r="AX670" s="2317"/>
      <c r="AY670" s="2317"/>
      <c r="AZ670" s="1912"/>
      <c r="BA670" s="2174">
        <v>618.42700000000002</v>
      </c>
      <c r="BB670" s="2174">
        <f>1025.514-BA670</f>
        <v>407.08699999999988</v>
      </c>
      <c r="BC670" s="2174">
        <f>1529.998-BB670-BA670</f>
        <v>504.48400000000004</v>
      </c>
      <c r="BD670" s="1912">
        <f t="shared" si="1199"/>
        <v>699.56500000000017</v>
      </c>
      <c r="BE670" s="2174">
        <v>925.35599999999999</v>
      </c>
      <c r="BF670" s="2174">
        <f>1870.77-BE670</f>
        <v>945.41399999999999</v>
      </c>
      <c r="BG670" s="2174">
        <f>3069.242-BF670-BE670</f>
        <v>1198.4720000000004</v>
      </c>
      <c r="BH670" s="1912">
        <f>4799.412-BG670-BF670-BE670</f>
        <v>1730.1699999999998</v>
      </c>
      <c r="BI670" s="2174">
        <v>1521.9469999999999</v>
      </c>
      <c r="BJ670" s="2174">
        <f>3652.653-BI670</f>
        <v>2130.7060000000001</v>
      </c>
      <c r="BK670" s="2174">
        <f>5341.488-BJ670-BI670</f>
        <v>1688.8350000000003</v>
      </c>
      <c r="BL670" s="1912">
        <f>8291.283-BK670-BJ670-BI670</f>
        <v>2949.7949999999992</v>
      </c>
      <c r="BM670" s="2174">
        <v>2652.0129999999999</v>
      </c>
      <c r="BN670" s="2174">
        <f>6078.411-BM670</f>
        <v>3426.3980000000001</v>
      </c>
      <c r="BO670" s="2174">
        <f>9703.032-BN670-BM670</f>
        <v>3624.6209999999992</v>
      </c>
      <c r="BP670" s="1912">
        <f t="shared" si="1200"/>
        <v>1199.4680000000008</v>
      </c>
      <c r="BQ670" s="2174">
        <v>880.774</v>
      </c>
      <c r="BR670" s="2174">
        <f>2231.926-BQ670</f>
        <v>1351.152</v>
      </c>
      <c r="BS670" s="2174">
        <f>3180.981-BR670-BQ670</f>
        <v>949.05500000000018</v>
      </c>
      <c r="BT670" s="1912">
        <f t="shared" si="1201"/>
        <v>1903.2570000000001</v>
      </c>
      <c r="BU670" s="2174">
        <v>1252.604</v>
      </c>
      <c r="BV670" s="2174">
        <f>2176.868-BU670</f>
        <v>924.2639999999999</v>
      </c>
      <c r="BW670" s="2174">
        <f>2835.57-BV670-BU670</f>
        <v>658.70200000000023</v>
      </c>
      <c r="BX670" s="1912">
        <f t="shared" si="1202"/>
        <v>848.53299999999967</v>
      </c>
      <c r="BY670" s="2174">
        <v>676.47400000000005</v>
      </c>
      <c r="BZ670" s="2174">
        <f>1480.236-BY670</f>
        <v>803.76200000000006</v>
      </c>
      <c r="CA670" s="2174">
        <f>2471.883-BZ670-BY670</f>
        <v>991.64699999999959</v>
      </c>
      <c r="CB670" s="1912">
        <f t="shared" si="1203"/>
        <v>1108.1180000000004</v>
      </c>
      <c r="CC670" s="2174">
        <v>0</v>
      </c>
      <c r="CD670" s="2174">
        <v>0</v>
      </c>
      <c r="CE670" s="2174">
        <v>0</v>
      </c>
      <c r="CF670" s="1912">
        <v>0</v>
      </c>
      <c r="CG670" s="2316"/>
      <c r="CH670" s="2318"/>
      <c r="CI670" s="2315"/>
      <c r="CJ670" s="2174"/>
      <c r="CK670" s="2174"/>
      <c r="CL670" s="2174"/>
      <c r="CM670" s="2174"/>
      <c r="CN670" s="2174"/>
      <c r="CO670" s="2174"/>
      <c r="CP670" s="2317"/>
      <c r="CQ670" s="2174">
        <v>1071.6690000000001</v>
      </c>
      <c r="CR670" s="2174">
        <v>2229.5630000000001</v>
      </c>
      <c r="CS670" s="2174">
        <f t="shared" si="1204"/>
        <v>4799.4120000000003</v>
      </c>
      <c r="CT670" s="2174">
        <f t="shared" si="1205"/>
        <v>8291.2829999999994</v>
      </c>
      <c r="CU670" s="2174">
        <v>10902.5</v>
      </c>
      <c r="CV670" s="2174">
        <v>5084.2380000000003</v>
      </c>
      <c r="CW670" s="2174">
        <v>3684.1030000000001</v>
      </c>
      <c r="CX670" s="2174">
        <v>3580.0010000000002</v>
      </c>
      <c r="CY670" s="2174">
        <f t="shared" si="1206"/>
        <v>0</v>
      </c>
      <c r="CZ670" s="2320">
        <f t="shared" si="1207"/>
        <v>0</v>
      </c>
      <c r="DA670" s="2320">
        <f t="shared" si="1207"/>
        <v>0</v>
      </c>
      <c r="DB670" s="1760">
        <f t="shared" si="1207"/>
        <v>0</v>
      </c>
      <c r="DC670" s="1760">
        <f t="shared" si="1207"/>
        <v>0</v>
      </c>
      <c r="DD670" s="1760">
        <f t="shared" si="1207"/>
        <v>0</v>
      </c>
      <c r="DE670" s="1760">
        <f t="shared" si="1207"/>
        <v>0</v>
      </c>
      <c r="DF670" s="1799">
        <f t="shared" si="1207"/>
        <v>0</v>
      </c>
      <c r="DG670" s="612"/>
      <c r="DH670" s="612"/>
    </row>
    <row r="671" spans="1:112" s="554" customFormat="1" ht="11.25" customHeight="1">
      <c r="A671" s="547"/>
      <c r="B671"/>
      <c r="C671"/>
      <c r="D671"/>
      <c r="E671"/>
      <c r="F671"/>
      <c r="G671"/>
      <c r="H671" s="1044"/>
      <c r="I671" s="1530" t="s">
        <v>93</v>
      </c>
      <c r="J671" s="2319"/>
      <c r="K671" s="2319"/>
      <c r="L671" s="2314"/>
      <c r="M671" s="2315"/>
      <c r="N671" s="2315"/>
      <c r="O671" s="2315"/>
      <c r="P671" s="2316"/>
      <c r="Q671" s="2315"/>
      <c r="R671" s="2315"/>
      <c r="S671" s="2315"/>
      <c r="T671" s="2316"/>
      <c r="U671" s="2174"/>
      <c r="V671" s="2174"/>
      <c r="W671" s="2174"/>
      <c r="X671" s="1912"/>
      <c r="Y671" s="2174"/>
      <c r="Z671" s="2174"/>
      <c r="AA671" s="2174"/>
      <c r="AB671" s="1912"/>
      <c r="AC671" s="2174"/>
      <c r="AD671" s="2174"/>
      <c r="AE671" s="2174"/>
      <c r="AF671" s="1912"/>
      <c r="AG671" s="2174"/>
      <c r="AH671" s="2174"/>
      <c r="AI671" s="2174"/>
      <c r="AJ671" s="1912"/>
      <c r="AK671" s="2174"/>
      <c r="AL671" s="2174"/>
      <c r="AM671" s="2174"/>
      <c r="AN671" s="1912"/>
      <c r="AO671" s="2174"/>
      <c r="AP671" s="2174"/>
      <c r="AQ671" s="2174"/>
      <c r="AR671" s="1912"/>
      <c r="AS671" s="2174"/>
      <c r="AT671" s="2174"/>
      <c r="AU671" s="2174"/>
      <c r="AV671" s="1912"/>
      <c r="AW671" s="2317"/>
      <c r="AX671" s="2317"/>
      <c r="AY671" s="2317"/>
      <c r="AZ671" s="1912"/>
      <c r="BA671" s="2174">
        <v>0</v>
      </c>
      <c r="BB671" s="2174">
        <f>0-BA671</f>
        <v>0</v>
      </c>
      <c r="BC671" s="2174">
        <f>0-BB671-BA671</f>
        <v>0</v>
      </c>
      <c r="BD671" s="1912">
        <f t="shared" si="1199"/>
        <v>0</v>
      </c>
      <c r="BE671" s="2174">
        <v>0</v>
      </c>
      <c r="BF671" s="2174">
        <f>0-BE671</f>
        <v>0</v>
      </c>
      <c r="BG671" s="2174">
        <f>0-BF671-BE671</f>
        <v>0</v>
      </c>
      <c r="BH671" s="1912">
        <f>0-BG671-BF671-BE671</f>
        <v>0</v>
      </c>
      <c r="BI671" s="2174">
        <v>0</v>
      </c>
      <c r="BJ671" s="2174">
        <v>0</v>
      </c>
      <c r="BK671" s="2174">
        <f>0-BJ671-BI671</f>
        <v>0</v>
      </c>
      <c r="BL671" s="1912">
        <f>0-BK671-BJ671-BI671</f>
        <v>0</v>
      </c>
      <c r="BM671" s="2174">
        <v>0</v>
      </c>
      <c r="BN671" s="2174">
        <f>0-BM671</f>
        <v>0</v>
      </c>
      <c r="BO671" s="2174">
        <f>0-BN671-BM671</f>
        <v>0</v>
      </c>
      <c r="BP671" s="1912">
        <f t="shared" si="1200"/>
        <v>0</v>
      </c>
      <c r="BQ671" s="2174">
        <v>0</v>
      </c>
      <c r="BR671" s="2174">
        <f>0-BQ671</f>
        <v>0</v>
      </c>
      <c r="BS671" s="2174">
        <f>0-BR671-BQ671</f>
        <v>0</v>
      </c>
      <c r="BT671" s="1912">
        <f t="shared" si="1201"/>
        <v>0</v>
      </c>
      <c r="BU671" s="2174">
        <v>0</v>
      </c>
      <c r="BV671" s="2174">
        <f>0-BU671</f>
        <v>0</v>
      </c>
      <c r="BW671" s="2174">
        <f>0-BV671-BU671</f>
        <v>0</v>
      </c>
      <c r="BX671" s="1912">
        <f t="shared" si="1202"/>
        <v>0</v>
      </c>
      <c r="BY671" s="2174">
        <v>0</v>
      </c>
      <c r="BZ671" s="2174">
        <f>0-BY671</f>
        <v>0</v>
      </c>
      <c r="CA671" s="2174">
        <f>0-BZ671-BY671</f>
        <v>0</v>
      </c>
      <c r="CB671" s="1912">
        <f t="shared" si="1203"/>
        <v>0</v>
      </c>
      <c r="CC671" s="2174">
        <v>0</v>
      </c>
      <c r="CD671" s="2174">
        <v>0</v>
      </c>
      <c r="CE671" s="2174">
        <v>0</v>
      </c>
      <c r="CF671" s="1912">
        <v>0</v>
      </c>
      <c r="CG671" s="2316"/>
      <c r="CH671" s="2318"/>
      <c r="CI671" s="2315"/>
      <c r="CJ671" s="2174"/>
      <c r="CK671" s="2174"/>
      <c r="CL671" s="2174"/>
      <c r="CM671" s="2174"/>
      <c r="CN671" s="2174"/>
      <c r="CO671" s="2174"/>
      <c r="CP671" s="2317"/>
      <c r="CQ671" s="2174">
        <v>0</v>
      </c>
      <c r="CR671" s="2174">
        <v>0</v>
      </c>
      <c r="CS671" s="2174">
        <f t="shared" si="1204"/>
        <v>0</v>
      </c>
      <c r="CT671" s="2174">
        <f t="shared" si="1205"/>
        <v>0</v>
      </c>
      <c r="CU671" s="2174">
        <v>0</v>
      </c>
      <c r="CV671" s="2174">
        <v>0</v>
      </c>
      <c r="CW671" s="2174">
        <v>0</v>
      </c>
      <c r="CX671" s="2174">
        <v>0</v>
      </c>
      <c r="CY671" s="2174">
        <f t="shared" si="1206"/>
        <v>0</v>
      </c>
      <c r="CZ671" s="2320">
        <f t="shared" si="1207"/>
        <v>0</v>
      </c>
      <c r="DA671" s="2320">
        <f t="shared" si="1207"/>
        <v>0</v>
      </c>
      <c r="DB671" s="1760">
        <f t="shared" si="1207"/>
        <v>0</v>
      </c>
      <c r="DC671" s="1760">
        <f t="shared" si="1207"/>
        <v>0</v>
      </c>
      <c r="DD671" s="1760">
        <f t="shared" si="1207"/>
        <v>0</v>
      </c>
      <c r="DE671" s="1760">
        <f t="shared" si="1207"/>
        <v>0</v>
      </c>
      <c r="DF671" s="1799">
        <f t="shared" si="1207"/>
        <v>0</v>
      </c>
      <c r="DG671" s="612"/>
      <c r="DH671" s="612"/>
    </row>
    <row r="672" spans="1:112" s="554" customFormat="1" ht="11.25" customHeight="1">
      <c r="A672" s="547"/>
      <c r="B672"/>
      <c r="C672"/>
      <c r="D672"/>
      <c r="E672"/>
      <c r="F672"/>
      <c r="G672"/>
      <c r="H672" s="1044"/>
      <c r="I672" s="1530" t="s">
        <v>94</v>
      </c>
      <c r="J672" s="2319"/>
      <c r="K672" s="2319"/>
      <c r="L672" s="2314"/>
      <c r="M672" s="2315"/>
      <c r="N672" s="2315"/>
      <c r="O672" s="2315"/>
      <c r="P672" s="2316"/>
      <c r="Q672" s="2315"/>
      <c r="R672" s="2315"/>
      <c r="S672" s="2315"/>
      <c r="T672" s="2316"/>
      <c r="U672" s="2174"/>
      <c r="V672" s="2174"/>
      <c r="W672" s="2174"/>
      <c r="X672" s="1912"/>
      <c r="Y672" s="2174"/>
      <c r="Z672" s="2174"/>
      <c r="AA672" s="2174"/>
      <c r="AB672" s="1912"/>
      <c r="AC672" s="2174"/>
      <c r="AD672" s="2174"/>
      <c r="AE672" s="2174"/>
      <c r="AF672" s="1912"/>
      <c r="AG672" s="2174"/>
      <c r="AH672" s="2174"/>
      <c r="AI672" s="2174"/>
      <c r="AJ672" s="1912"/>
      <c r="AK672" s="2174"/>
      <c r="AL672" s="2174"/>
      <c r="AM672" s="2174"/>
      <c r="AN672" s="1912"/>
      <c r="AO672" s="2174"/>
      <c r="AP672" s="2174"/>
      <c r="AQ672" s="2174"/>
      <c r="AR672" s="1912"/>
      <c r="AS672" s="2174"/>
      <c r="AT672" s="2174"/>
      <c r="AU672" s="2174"/>
      <c r="AV672" s="1912"/>
      <c r="AW672" s="2174"/>
      <c r="AX672" s="2174"/>
      <c r="AY672" s="2174"/>
      <c r="AZ672" s="1912"/>
      <c r="BA672" s="2174">
        <v>-8.2789999999999999</v>
      </c>
      <c r="BB672" s="2174">
        <f>+-18.077-BA672</f>
        <v>-9.7980000000000018</v>
      </c>
      <c r="BC672" s="2174">
        <f>+-29.77-BB672-BA672</f>
        <v>-11.692999999999998</v>
      </c>
      <c r="BD672" s="1912">
        <f t="shared" si="1199"/>
        <v>-17.062999999999999</v>
      </c>
      <c r="BE672" s="2174">
        <v>-13.696999999999999</v>
      </c>
      <c r="BF672" s="2174">
        <f>+-28.423-BE672</f>
        <v>-14.725999999999999</v>
      </c>
      <c r="BG672" s="2174">
        <f>-38.95-BF672-BE672</f>
        <v>-10.527000000000005</v>
      </c>
      <c r="BH672" s="1912">
        <f>-55.158-BG672-BF672-BE672</f>
        <v>-16.208000000000002</v>
      </c>
      <c r="BI672" s="2174">
        <v>-15.051</v>
      </c>
      <c r="BJ672" s="2174">
        <f>+-36.481-BI672</f>
        <v>-21.43</v>
      </c>
      <c r="BK672" s="2174">
        <f>+-56.958-BJ672-BI672</f>
        <v>-20.476999999999997</v>
      </c>
      <c r="BL672" s="1912">
        <f>-84.445-BK672-BJ672-BI672</f>
        <v>-27.486999999999995</v>
      </c>
      <c r="BM672" s="2174">
        <v>-29.731000000000002</v>
      </c>
      <c r="BN672" s="2174">
        <f>+-61.986-BM672</f>
        <v>-32.254999999999995</v>
      </c>
      <c r="BO672" s="2174">
        <f>-90.725-BN672-BM672</f>
        <v>-28.738999999999997</v>
      </c>
      <c r="BP672" s="1912">
        <f t="shared" si="1200"/>
        <v>-40.778999999999989</v>
      </c>
      <c r="BQ672" s="2174">
        <v>-31.263000000000002</v>
      </c>
      <c r="BR672" s="2174">
        <f>+-84.351-BQ672</f>
        <v>-53.087999999999994</v>
      </c>
      <c r="BS672" s="2174">
        <f>+-126.637-BR672-BQ672</f>
        <v>-42.286000000000001</v>
      </c>
      <c r="BT672" s="1912">
        <f t="shared" si="1201"/>
        <v>-47.277999999999992</v>
      </c>
      <c r="BU672" s="2174">
        <v>-53.256</v>
      </c>
      <c r="BV672" s="2174">
        <f>+-113.699-BU672</f>
        <v>-60.442999999999998</v>
      </c>
      <c r="BW672" s="2174">
        <f>+-168.076-BV672-BU672</f>
        <v>-54.376999999999995</v>
      </c>
      <c r="BX672" s="1912">
        <f t="shared" si="1202"/>
        <v>-51.813000000000002</v>
      </c>
      <c r="BY672" s="2174">
        <v>-70.558999999999997</v>
      </c>
      <c r="BZ672" s="2174">
        <f>+-147.269-BY672</f>
        <v>-76.710000000000008</v>
      </c>
      <c r="CA672" s="2174">
        <f>+-223.692-BZ672-BY672</f>
        <v>-76.423000000000002</v>
      </c>
      <c r="CB672" s="1912">
        <f t="shared" si="1203"/>
        <v>-64.113</v>
      </c>
      <c r="CC672" s="2174">
        <f>-CC521</f>
        <v>-98.549416478241099</v>
      </c>
      <c r="CD672" s="2174">
        <f>-CD521</f>
        <v>-101.47747321468827</v>
      </c>
      <c r="CE672" s="2174">
        <f>-CE521</f>
        <v>-77.417733131077327</v>
      </c>
      <c r="CF672" s="1912">
        <f>-CF521</f>
        <v>-86.62669323710152</v>
      </c>
      <c r="CG672" s="2316"/>
      <c r="CH672" s="2318"/>
      <c r="CI672" s="2315"/>
      <c r="CJ672" s="2174"/>
      <c r="CK672" s="2174"/>
      <c r="CL672" s="2174"/>
      <c r="CM672" s="2174"/>
      <c r="CN672" s="2174"/>
      <c r="CO672" s="2174"/>
      <c r="CP672" s="2174"/>
      <c r="CQ672" s="2174">
        <v>-22.593</v>
      </c>
      <c r="CR672" s="2174">
        <v>-46.832999999999998</v>
      </c>
      <c r="CS672" s="2174">
        <f t="shared" si="1204"/>
        <v>-55.158000000000001</v>
      </c>
      <c r="CT672" s="2174">
        <f t="shared" si="1205"/>
        <v>-84.444999999999993</v>
      </c>
      <c r="CU672" s="2174">
        <v>-131.50399999999999</v>
      </c>
      <c r="CV672" s="2174">
        <v>-173.91499999999999</v>
      </c>
      <c r="CW672" s="2174">
        <v>-219.88900000000001</v>
      </c>
      <c r="CX672" s="2174">
        <v>-287.80500000000001</v>
      </c>
      <c r="CY672" s="2174">
        <f>SUM(CC672:CF672)</f>
        <v>-364.07131606110823</v>
      </c>
      <c r="CZ672" s="2174">
        <f t="shared" ref="CZ672:DF672" si="1208">-CZ521</f>
        <v>-427.95676383952571</v>
      </c>
      <c r="DA672" s="2174">
        <f t="shared" si="1208"/>
        <v>-489.1695631063231</v>
      </c>
      <c r="DB672" s="517">
        <f t="shared" si="1208"/>
        <v>-550.37656261603331</v>
      </c>
      <c r="DC672" s="517">
        <f t="shared" si="1208"/>
        <v>-612.24848722151444</v>
      </c>
      <c r="DD672" s="517">
        <f t="shared" si="1208"/>
        <v>-675.2571801792518</v>
      </c>
      <c r="DE672" s="517">
        <f t="shared" si="1208"/>
        <v>-738.89941506418631</v>
      </c>
      <c r="DF672" s="601">
        <f t="shared" si="1208"/>
        <v>-808.4463270780476</v>
      </c>
      <c r="DG672" s="612"/>
      <c r="DH672" s="612"/>
    </row>
    <row r="673" spans="1:112" s="554" customFormat="1" ht="11.25" customHeight="1">
      <c r="A673" s="547"/>
      <c r="B673"/>
      <c r="C673"/>
      <c r="D673"/>
      <c r="E673"/>
      <c r="F673"/>
      <c r="G673"/>
      <c r="H673" s="1044"/>
      <c r="I673" s="1530" t="s">
        <v>95</v>
      </c>
      <c r="J673" s="2319"/>
      <c r="K673" s="2319"/>
      <c r="L673" s="2314"/>
      <c r="M673" s="2315"/>
      <c r="N673" s="2315"/>
      <c r="O673" s="2315"/>
      <c r="P673" s="2316"/>
      <c r="Q673" s="2315"/>
      <c r="R673" s="2315"/>
      <c r="S673" s="2315"/>
      <c r="T673" s="2316"/>
      <c r="U673" s="2174"/>
      <c r="V673" s="2174"/>
      <c r="W673" s="2174"/>
      <c r="X673" s="1912"/>
      <c r="Y673" s="2174"/>
      <c r="Z673" s="2174"/>
      <c r="AA673" s="2174"/>
      <c r="AB673" s="1912"/>
      <c r="AC673" s="2174"/>
      <c r="AD673" s="2174"/>
      <c r="AE673" s="2174"/>
      <c r="AF673" s="1912"/>
      <c r="AG673" s="2174"/>
      <c r="AH673" s="2174"/>
      <c r="AI673" s="2174"/>
      <c r="AJ673" s="1912"/>
      <c r="AK673" s="2174"/>
      <c r="AL673" s="2174"/>
      <c r="AM673" s="2174"/>
      <c r="AN673" s="1912"/>
      <c r="AO673" s="2174"/>
      <c r="AP673" s="2174"/>
      <c r="AQ673" s="2174"/>
      <c r="AR673" s="1912"/>
      <c r="AS673" s="2174"/>
      <c r="AT673" s="2174"/>
      <c r="AU673" s="2174"/>
      <c r="AV673" s="1912"/>
      <c r="AW673" s="2317"/>
      <c r="AX673" s="2317"/>
      <c r="AY673" s="2317"/>
      <c r="AZ673" s="1912"/>
      <c r="BA673" s="2174">
        <v>-66.203999999999994</v>
      </c>
      <c r="BB673" s="2174">
        <f>+-67.074-BA673</f>
        <v>-0.87000000000000455</v>
      </c>
      <c r="BC673" s="2174">
        <f>+-67.973-BB673-BA673</f>
        <v>-0.89900000000000091</v>
      </c>
      <c r="BD673" s="1912">
        <f t="shared" si="1199"/>
        <v>-0.21899999999999409</v>
      </c>
      <c r="BE673" s="2174">
        <v>-13.286</v>
      </c>
      <c r="BF673" s="2174">
        <f>+-13.429-BE673</f>
        <v>-0.14300000000000068</v>
      </c>
      <c r="BG673" s="2174">
        <f>-13.871-BF673-BE673</f>
        <v>-0.44200000000000017</v>
      </c>
      <c r="BH673" s="1912">
        <f>-33.861-BG673-BF673-BE673</f>
        <v>-19.989999999999995</v>
      </c>
      <c r="BI673" s="2174">
        <v>-0.10199999999999999</v>
      </c>
      <c r="BJ673" s="2174">
        <f>+-330.844-BI673</f>
        <v>-330.74200000000002</v>
      </c>
      <c r="BK673" s="2174">
        <f>+-331.557-BJ673-BI673</f>
        <v>-0.71299999999999775</v>
      </c>
      <c r="BL673" s="1912">
        <f>-331.918-BK673-BJ673-BI673</f>
        <v>-0.36099999999996546</v>
      </c>
      <c r="BM673" s="2174">
        <v>-2.633</v>
      </c>
      <c r="BN673" s="2174">
        <f>+-101.05-BM673</f>
        <v>-98.417000000000002</v>
      </c>
      <c r="BO673" s="2174">
        <f>-2496.084-BN673-BM673</f>
        <v>-2395.0340000000001</v>
      </c>
      <c r="BP673" s="1912">
        <f t="shared" si="1200"/>
        <v>-0.28199999999987835</v>
      </c>
      <c r="BQ673" s="2174">
        <v>-26.161999999999999</v>
      </c>
      <c r="BR673" s="2174">
        <f>-45.937-BQ673</f>
        <v>-19.774999999999999</v>
      </c>
      <c r="BS673" s="2174">
        <f>+-135.664-BR673-BQ673</f>
        <v>-89.726999999999975</v>
      </c>
      <c r="BT673" s="1912">
        <f t="shared" si="1201"/>
        <v>-4.6740000000000208</v>
      </c>
      <c r="BU673" s="2174">
        <v>-0.72299999999999998</v>
      </c>
      <c r="BV673" s="2174">
        <f>-0.795-BU673</f>
        <v>-7.2000000000000064E-2</v>
      </c>
      <c r="BW673" s="2174">
        <f>-0.811+-48.494-BV673-BU673</f>
        <v>-48.51</v>
      </c>
      <c r="BX673" s="1912">
        <f t="shared" si="1202"/>
        <v>-7.0020000000000042</v>
      </c>
      <c r="BY673" s="2174">
        <f>+-0.006</f>
        <v>-6.0000000000000001E-3</v>
      </c>
      <c r="BZ673" s="2174">
        <f>+-0.49-BY673</f>
        <v>-0.48399999999999999</v>
      </c>
      <c r="CA673" s="2174">
        <f>+-552.805-BZ673-BY673</f>
        <v>-552.31499999999994</v>
      </c>
      <c r="CB673" s="1912">
        <f t="shared" si="1203"/>
        <v>-450.27000000000015</v>
      </c>
      <c r="CC673" s="2174">
        <v>0</v>
      </c>
      <c r="CD673" s="2174">
        <v>0</v>
      </c>
      <c r="CE673" s="2174">
        <v>0</v>
      </c>
      <c r="CF673" s="1912">
        <v>0</v>
      </c>
      <c r="CG673" s="2316"/>
      <c r="CH673" s="2318"/>
      <c r="CI673" s="2315"/>
      <c r="CJ673" s="2174"/>
      <c r="CK673" s="2174"/>
      <c r="CL673" s="2174"/>
      <c r="CM673" s="2174"/>
      <c r="CN673" s="2174"/>
      <c r="CO673" s="2174"/>
      <c r="CP673" s="2317"/>
      <c r="CQ673" s="2174">
        <v>-112.405</v>
      </c>
      <c r="CR673" s="2174">
        <v>-68.191999999999993</v>
      </c>
      <c r="CS673" s="2174">
        <f t="shared" si="1204"/>
        <v>-33.860999999999997</v>
      </c>
      <c r="CT673" s="2174">
        <f t="shared" si="1205"/>
        <v>-331.91800000000001</v>
      </c>
      <c r="CU673" s="2174">
        <f>+-2496.366</f>
        <v>-2496.366</v>
      </c>
      <c r="CV673" s="2174">
        <v>-140.33799999999999</v>
      </c>
      <c r="CW673" s="2174">
        <f>+-7.813+-48.494</f>
        <v>-56.307000000000002</v>
      </c>
      <c r="CX673" s="2174">
        <v>-1003.075</v>
      </c>
      <c r="CY673" s="2174">
        <f t="shared" si="1206"/>
        <v>0</v>
      </c>
      <c r="CZ673" s="2320">
        <f t="shared" ref="CZ673:DF676" si="1209">+CY673</f>
        <v>0</v>
      </c>
      <c r="DA673" s="2320">
        <f t="shared" si="1209"/>
        <v>0</v>
      </c>
      <c r="DB673" s="1760">
        <f t="shared" si="1209"/>
        <v>0</v>
      </c>
      <c r="DC673" s="1760">
        <f t="shared" si="1209"/>
        <v>0</v>
      </c>
      <c r="DD673" s="1760">
        <f t="shared" si="1209"/>
        <v>0</v>
      </c>
      <c r="DE673" s="1760">
        <f t="shared" si="1209"/>
        <v>0</v>
      </c>
      <c r="DF673" s="1799">
        <f t="shared" si="1209"/>
        <v>0</v>
      </c>
      <c r="DG673" s="612"/>
      <c r="DH673" s="612"/>
    </row>
    <row r="674" spans="1:112" s="554" customFormat="1" ht="11.25" customHeight="1">
      <c r="A674" s="547"/>
      <c r="B674"/>
      <c r="C674"/>
      <c r="D674"/>
      <c r="E674"/>
      <c r="F674"/>
      <c r="G674"/>
      <c r="H674" s="1044"/>
      <c r="I674" s="1530" t="s">
        <v>96</v>
      </c>
      <c r="J674" s="2319"/>
      <c r="K674" s="2319"/>
      <c r="L674" s="2314"/>
      <c r="M674" s="2315"/>
      <c r="N674" s="2315"/>
      <c r="O674" s="2315"/>
      <c r="P674" s="2316"/>
      <c r="Q674" s="2315"/>
      <c r="R674" s="2315"/>
      <c r="S674" s="2315"/>
      <c r="T674" s="2316"/>
      <c r="U674" s="2174"/>
      <c r="V674" s="2174"/>
      <c r="W674" s="2174"/>
      <c r="X674" s="1912"/>
      <c r="Y674" s="2174"/>
      <c r="Z674" s="2174"/>
      <c r="AA674" s="2174"/>
      <c r="AB674" s="1912"/>
      <c r="AC674" s="2174"/>
      <c r="AD674" s="2174"/>
      <c r="AE674" s="2174"/>
      <c r="AF674" s="1912"/>
      <c r="AG674" s="2174"/>
      <c r="AH674" s="2174"/>
      <c r="AI674" s="2174"/>
      <c r="AJ674" s="1912"/>
      <c r="AK674" s="2174"/>
      <c r="AL674" s="2174"/>
      <c r="AM674" s="2174"/>
      <c r="AN674" s="1912"/>
      <c r="AO674" s="2174"/>
      <c r="AP674" s="2174"/>
      <c r="AQ674" s="2174"/>
      <c r="AR674" s="1912"/>
      <c r="AS674" s="2174"/>
      <c r="AT674" s="2174"/>
      <c r="AU674" s="2174"/>
      <c r="AV674" s="1912"/>
      <c r="AW674" s="2317"/>
      <c r="AX674" s="2317"/>
      <c r="AY674" s="2317"/>
      <c r="AZ674" s="1912"/>
      <c r="BA674" s="2174">
        <v>0</v>
      </c>
      <c r="BB674" s="2174">
        <f>0-BA674</f>
        <v>0</v>
      </c>
      <c r="BC674" s="2174">
        <f>0-BB674-BA674</f>
        <v>0</v>
      </c>
      <c r="BD674" s="1912">
        <f t="shared" si="1199"/>
        <v>0</v>
      </c>
      <c r="BE674" s="2174">
        <v>0</v>
      </c>
      <c r="BF674" s="2174">
        <f>0-BE674</f>
        <v>0</v>
      </c>
      <c r="BG674" s="2174">
        <f>0-BF674-BE674</f>
        <v>0</v>
      </c>
      <c r="BH674" s="1912">
        <f>0-BG674-BF674-BE674</f>
        <v>0</v>
      </c>
      <c r="BI674" s="2174">
        <v>0</v>
      </c>
      <c r="BJ674" s="2174">
        <v>0</v>
      </c>
      <c r="BK674" s="2174">
        <f>0-BJ674-BI674</f>
        <v>0</v>
      </c>
      <c r="BL674" s="1912">
        <f>0-BK674-BJ674-BI674</f>
        <v>0</v>
      </c>
      <c r="BM674" s="2174">
        <v>0</v>
      </c>
      <c r="BN674" s="2174">
        <f>0-BM674</f>
        <v>0</v>
      </c>
      <c r="BO674" s="2174">
        <f>0-BN674-BM674</f>
        <v>0</v>
      </c>
      <c r="BP674" s="1912">
        <f t="shared" si="1200"/>
        <v>0</v>
      </c>
      <c r="BQ674" s="2174">
        <v>0</v>
      </c>
      <c r="BR674" s="2174">
        <f>0-BQ674</f>
        <v>0</v>
      </c>
      <c r="BS674" s="2174">
        <f>0-BR674-BQ674</f>
        <v>0</v>
      </c>
      <c r="BT674" s="1912">
        <f t="shared" si="1201"/>
        <v>0</v>
      </c>
      <c r="BU674" s="2174">
        <v>0</v>
      </c>
      <c r="BV674" s="2174">
        <f>0-BU674</f>
        <v>0</v>
      </c>
      <c r="BW674" s="2174">
        <f>0-BV674-BU674</f>
        <v>0</v>
      </c>
      <c r="BX674" s="1912">
        <f t="shared" si="1202"/>
        <v>0</v>
      </c>
      <c r="BY674" s="2174">
        <v>0</v>
      </c>
      <c r="BZ674" s="2174">
        <f>0-BY674</f>
        <v>0</v>
      </c>
      <c r="CA674" s="2174">
        <f>0-BZ674-BY674</f>
        <v>0</v>
      </c>
      <c r="CB674" s="1912">
        <f t="shared" si="1203"/>
        <v>0</v>
      </c>
      <c r="CC674" s="2174">
        <v>0</v>
      </c>
      <c r="CD674" s="2174">
        <v>0</v>
      </c>
      <c r="CE674" s="2174">
        <v>0</v>
      </c>
      <c r="CF674" s="1912">
        <v>0</v>
      </c>
      <c r="CG674" s="2316"/>
      <c r="CH674" s="2318"/>
      <c r="CI674" s="2315"/>
      <c r="CJ674" s="2174"/>
      <c r="CK674" s="2174"/>
      <c r="CL674" s="2174"/>
      <c r="CM674" s="2174"/>
      <c r="CN674" s="2174"/>
      <c r="CO674" s="2174"/>
      <c r="CP674" s="2317"/>
      <c r="CQ674" s="2174">
        <v>0</v>
      </c>
      <c r="CR674" s="2174">
        <v>0</v>
      </c>
      <c r="CS674" s="2174">
        <f t="shared" si="1204"/>
        <v>0</v>
      </c>
      <c r="CT674" s="2174">
        <f t="shared" si="1205"/>
        <v>0</v>
      </c>
      <c r="CU674" s="2174">
        <v>0</v>
      </c>
      <c r="CV674" s="2174">
        <v>0</v>
      </c>
      <c r="CW674" s="2174">
        <v>0</v>
      </c>
      <c r="CX674" s="2174">
        <v>0</v>
      </c>
      <c r="CY674" s="2174">
        <f t="shared" si="1206"/>
        <v>0</v>
      </c>
      <c r="CZ674" s="2320">
        <f t="shared" si="1209"/>
        <v>0</v>
      </c>
      <c r="DA674" s="2320">
        <f t="shared" si="1209"/>
        <v>0</v>
      </c>
      <c r="DB674" s="1760">
        <f t="shared" si="1209"/>
        <v>0</v>
      </c>
      <c r="DC674" s="1760">
        <f t="shared" si="1209"/>
        <v>0</v>
      </c>
      <c r="DD674" s="1760">
        <f t="shared" si="1209"/>
        <v>0</v>
      </c>
      <c r="DE674" s="1760">
        <f t="shared" si="1209"/>
        <v>0</v>
      </c>
      <c r="DF674" s="1799">
        <f t="shared" si="1209"/>
        <v>0</v>
      </c>
      <c r="DG674" s="612"/>
      <c r="DH674" s="612"/>
    </row>
    <row r="675" spans="1:112" s="554" customFormat="1" ht="11.25" customHeight="1">
      <c r="A675" s="547"/>
      <c r="B675"/>
      <c r="C675"/>
      <c r="D675"/>
      <c r="E675"/>
      <c r="F675"/>
      <c r="G675"/>
      <c r="H675" s="1044"/>
      <c r="I675" s="1530" t="s">
        <v>97</v>
      </c>
      <c r="J675" s="2319"/>
      <c r="K675" s="2319"/>
      <c r="L675" s="2314"/>
      <c r="M675" s="2315"/>
      <c r="N675" s="2315"/>
      <c r="O675" s="2315"/>
      <c r="P675" s="2316"/>
      <c r="Q675" s="2315"/>
      <c r="R675" s="2315"/>
      <c r="S675" s="2315"/>
      <c r="T675" s="2316"/>
      <c r="U675" s="2174"/>
      <c r="V675" s="2174"/>
      <c r="W675" s="2174"/>
      <c r="X675" s="1912"/>
      <c r="Y675" s="2174"/>
      <c r="Z675" s="2174"/>
      <c r="AA675" s="2174"/>
      <c r="AB675" s="1912"/>
      <c r="AC675" s="2174"/>
      <c r="AD675" s="2174"/>
      <c r="AE675" s="2174"/>
      <c r="AF675" s="1912"/>
      <c r="AG675" s="2174"/>
      <c r="AH675" s="2174"/>
      <c r="AI675" s="2174"/>
      <c r="AJ675" s="1912"/>
      <c r="AK675" s="2174"/>
      <c r="AL675" s="2174"/>
      <c r="AM675" s="2174"/>
      <c r="AN675" s="1912"/>
      <c r="AO675" s="2174"/>
      <c r="AP675" s="2174"/>
      <c r="AQ675" s="2174"/>
      <c r="AR675" s="1912"/>
      <c r="AS675" s="2174"/>
      <c r="AT675" s="2174"/>
      <c r="AU675" s="2174"/>
      <c r="AV675" s="1912"/>
      <c r="AW675" s="2317"/>
      <c r="AX675" s="2317"/>
      <c r="AY675" s="2317"/>
      <c r="AZ675" s="1912"/>
      <c r="BA675" s="2174">
        <v>-16.004999999999999</v>
      </c>
      <c r="BB675" s="2174">
        <f>-33.764-BA675</f>
        <v>-17.759000000000004</v>
      </c>
      <c r="BC675" s="2174">
        <f>5.205+-42.032-BB675-BA675</f>
        <v>-3.0629999999999953</v>
      </c>
      <c r="BD675" s="1912">
        <f t="shared" si="1199"/>
        <v>25.840000000000003</v>
      </c>
      <c r="BE675" s="2174">
        <v>32.183</v>
      </c>
      <c r="BF675" s="2174">
        <f>61.746-BE675</f>
        <v>29.563000000000002</v>
      </c>
      <c r="BG675" s="2174">
        <f>78.828-2.222-BF675-BE675</f>
        <v>14.860000000000007</v>
      </c>
      <c r="BH675" s="1912">
        <f>86.159-4.014-BG675-BF675-BE675</f>
        <v>5.5389999999999944</v>
      </c>
      <c r="BI675" s="2174">
        <f>0-17.539</f>
        <v>-17.539000000000001</v>
      </c>
      <c r="BJ675" s="2174">
        <f>+-44.187-BI675</f>
        <v>-26.647999999999996</v>
      </c>
      <c r="BK675" s="2174">
        <f>3.266-56.045-BJ675-BI675</f>
        <v>-8.5920000000000059</v>
      </c>
      <c r="BL675" s="1912">
        <f>3.266-81.87-BK675-BJ675-BI675</f>
        <v>-25.825000000000003</v>
      </c>
      <c r="BM675" s="2174">
        <v>-43.38</v>
      </c>
      <c r="BN675" s="2174">
        <f>9.029-78.866-BM675</f>
        <v>-26.457000000000001</v>
      </c>
      <c r="BO675" s="2174">
        <f>14.354-94.661-BN675-BM675</f>
        <v>-10.469999999999999</v>
      </c>
      <c r="BP675" s="1912">
        <f t="shared" si="1200"/>
        <v>0</v>
      </c>
      <c r="BQ675" s="2174">
        <f>453.818+-448.64</f>
        <v>5.1779999999999973</v>
      </c>
      <c r="BR675" s="2174">
        <f>453.818-448.64-BQ675</f>
        <v>0</v>
      </c>
      <c r="BS675" s="2174">
        <f>453.818+-448.64-BR675-BQ675</f>
        <v>0</v>
      </c>
      <c r="BT675" s="1912">
        <f t="shared" si="1201"/>
        <v>0</v>
      </c>
      <c r="BU675" s="2174">
        <v>0</v>
      </c>
      <c r="BV675" s="2174">
        <f>0-BU675</f>
        <v>0</v>
      </c>
      <c r="BW675" s="2174">
        <f>0-BV675-BU675</f>
        <v>0</v>
      </c>
      <c r="BX675" s="1912">
        <f t="shared" si="1202"/>
        <v>0</v>
      </c>
      <c r="BY675" s="2174">
        <v>0</v>
      </c>
      <c r="BZ675" s="2174">
        <f>0-BY675</f>
        <v>0</v>
      </c>
      <c r="CA675" s="2174">
        <f>0-BZ675-BY675</f>
        <v>0</v>
      </c>
      <c r="CB675" s="1912">
        <f t="shared" si="1203"/>
        <v>0</v>
      </c>
      <c r="CC675" s="2174">
        <v>0</v>
      </c>
      <c r="CD675" s="2174">
        <v>0</v>
      </c>
      <c r="CE675" s="2174">
        <v>0</v>
      </c>
      <c r="CF675" s="1912">
        <v>0</v>
      </c>
      <c r="CG675" s="2316"/>
      <c r="CH675" s="2318"/>
      <c r="CI675" s="2315"/>
      <c r="CJ675" s="2174"/>
      <c r="CK675" s="2174"/>
      <c r="CL675" s="2174"/>
      <c r="CM675" s="2174"/>
      <c r="CN675" s="2174"/>
      <c r="CO675" s="2174"/>
      <c r="CP675" s="2317"/>
      <c r="CQ675" s="2174">
        <v>35.003</v>
      </c>
      <c r="CR675" s="2174">
        <v>-10.986999999999995</v>
      </c>
      <c r="CS675" s="2174">
        <f t="shared" si="1204"/>
        <v>82.14500000000001</v>
      </c>
      <c r="CT675" s="2174">
        <f t="shared" si="1205"/>
        <v>-78.604000000000013</v>
      </c>
      <c r="CU675" s="2174">
        <f>14.354-94.661</f>
        <v>-80.307000000000002</v>
      </c>
      <c r="CV675" s="2174">
        <f>453.818-448.64</f>
        <v>5.1779999999999973</v>
      </c>
      <c r="CW675" s="2174">
        <v>0</v>
      </c>
      <c r="CX675" s="2174">
        <v>0</v>
      </c>
      <c r="CY675" s="2174">
        <f t="shared" si="1206"/>
        <v>0</v>
      </c>
      <c r="CZ675" s="2320">
        <f t="shared" si="1209"/>
        <v>0</v>
      </c>
      <c r="DA675" s="2320">
        <f t="shared" si="1209"/>
        <v>0</v>
      </c>
      <c r="DB675" s="1760">
        <f t="shared" si="1209"/>
        <v>0</v>
      </c>
      <c r="DC675" s="1760">
        <f t="shared" si="1209"/>
        <v>0</v>
      </c>
      <c r="DD675" s="1760">
        <f t="shared" si="1209"/>
        <v>0</v>
      </c>
      <c r="DE675" s="1760">
        <f t="shared" si="1209"/>
        <v>0</v>
      </c>
      <c r="DF675" s="1799">
        <f t="shared" si="1209"/>
        <v>0</v>
      </c>
      <c r="DG675" s="612"/>
      <c r="DH675" s="612"/>
    </row>
    <row r="676" spans="1:112" s="554" customFormat="1" ht="11.25" customHeight="1">
      <c r="A676" s="547"/>
      <c r="B676"/>
      <c r="C676"/>
      <c r="D676"/>
      <c r="E676"/>
      <c r="F676"/>
      <c r="G676"/>
      <c r="H676" s="1044"/>
      <c r="I676" s="2323" t="s">
        <v>98</v>
      </c>
      <c r="J676" s="2324"/>
      <c r="K676" s="2324"/>
      <c r="L676" s="2325"/>
      <c r="M676" s="2326"/>
      <c r="N676" s="2326"/>
      <c r="O676" s="2326"/>
      <c r="P676" s="2327"/>
      <c r="Q676" s="2326"/>
      <c r="R676" s="2326"/>
      <c r="S676" s="2326"/>
      <c r="T676" s="2327"/>
      <c r="U676" s="2328"/>
      <c r="V676" s="2328"/>
      <c r="W676" s="2328"/>
      <c r="X676" s="1927"/>
      <c r="Y676" s="2328"/>
      <c r="Z676" s="2328"/>
      <c r="AA676" s="2328"/>
      <c r="AB676" s="1927"/>
      <c r="AC676" s="2328"/>
      <c r="AD676" s="2328"/>
      <c r="AE676" s="2328"/>
      <c r="AF676" s="1927"/>
      <c r="AG676" s="2328"/>
      <c r="AH676" s="2328"/>
      <c r="AI676" s="2328"/>
      <c r="AJ676" s="1927"/>
      <c r="AK676" s="2328"/>
      <c r="AL676" s="2328"/>
      <c r="AM676" s="2328"/>
      <c r="AN676" s="1927"/>
      <c r="AO676" s="2328"/>
      <c r="AP676" s="2328"/>
      <c r="AQ676" s="2328"/>
      <c r="AR676" s="1927"/>
      <c r="AS676" s="2328"/>
      <c r="AT676" s="2328"/>
      <c r="AU676" s="2328"/>
      <c r="AV676" s="1927"/>
      <c r="AW676" s="2329"/>
      <c r="AX676" s="2329"/>
      <c r="AY676" s="2329"/>
      <c r="AZ676" s="1927"/>
      <c r="BA676" s="2328">
        <v>-1.6E-2</v>
      </c>
      <c r="BB676" s="2328">
        <f>+-0.035-BA676</f>
        <v>-1.9000000000000003E-2</v>
      </c>
      <c r="BC676" s="2328">
        <f>+-2.92-BB676-BA676</f>
        <v>-2.8849999999999998</v>
      </c>
      <c r="BD676" s="1927">
        <f t="shared" si="1199"/>
        <v>-2.0000000000003626E-3</v>
      </c>
      <c r="BE676" s="2328">
        <v>-0.6</v>
      </c>
      <c r="BF676" s="2328">
        <f>+-2.987-BE676</f>
        <v>-2.387</v>
      </c>
      <c r="BG676" s="2328">
        <f>-3.474-BF676-BE676</f>
        <v>-0.48700000000000021</v>
      </c>
      <c r="BH676" s="1927">
        <f>-2.756-BG676-BF676-BE676</f>
        <v>0.7180000000000003</v>
      </c>
      <c r="BI676" s="2328">
        <v>-0.58099999999999996</v>
      </c>
      <c r="BJ676" s="2328">
        <f>-0.546-BI676</f>
        <v>3.499999999999992E-2</v>
      </c>
      <c r="BK676" s="2328">
        <f>+-1.506-BJ676-BI676</f>
        <v>-0.96</v>
      </c>
      <c r="BL676" s="1927">
        <f>-2.783-BK676-BJ676-BI676</f>
        <v>-1.2769999999999999</v>
      </c>
      <c r="BM676" s="2328">
        <v>-5.077</v>
      </c>
      <c r="BN676" s="2328">
        <f>+-5.194-BM676</f>
        <v>-0.11699999999999999</v>
      </c>
      <c r="BO676" s="2328">
        <f>9.309-BN676-BM676</f>
        <v>14.502999999999998</v>
      </c>
      <c r="BP676" s="1927">
        <f t="shared" si="1200"/>
        <v>3.8000000000001144E-2</v>
      </c>
      <c r="BQ676" s="2328">
        <v>-5.5E-2</v>
      </c>
      <c r="BR676" s="2328">
        <f>-0.225-BQ676</f>
        <v>-0.17</v>
      </c>
      <c r="BS676" s="2328">
        <f>0-BR676-BQ676</f>
        <v>0.22500000000000001</v>
      </c>
      <c r="BT676" s="1927">
        <f t="shared" si="1201"/>
        <v>9.0000000000000149E-3</v>
      </c>
      <c r="BU676" s="2328">
        <v>-5.0000000000000001E-3</v>
      </c>
      <c r="BV676" s="2328">
        <f>-0.006-BU676</f>
        <v>-1E-3</v>
      </c>
      <c r="BW676" s="2328">
        <f>-0.028-BV676-BU676</f>
        <v>-2.1999999999999999E-2</v>
      </c>
      <c r="BX676" s="1927">
        <f t="shared" si="1202"/>
        <v>2.8000000000000001E-2</v>
      </c>
      <c r="BY676" s="2328">
        <v>0</v>
      </c>
      <c r="BZ676" s="2328">
        <f>0-BY676</f>
        <v>0</v>
      </c>
      <c r="CA676" s="2328">
        <f>0-BZ676-BY676</f>
        <v>0</v>
      </c>
      <c r="CB676" s="1927">
        <f t="shared" si="1203"/>
        <v>0</v>
      </c>
      <c r="CC676" s="2328">
        <v>0</v>
      </c>
      <c r="CD676" s="2328">
        <v>0</v>
      </c>
      <c r="CE676" s="2328">
        <v>0</v>
      </c>
      <c r="CF676" s="1927">
        <v>0</v>
      </c>
      <c r="CG676" s="2316"/>
      <c r="CH676" s="2330"/>
      <c r="CI676" s="2326"/>
      <c r="CJ676" s="2328"/>
      <c r="CK676" s="2328"/>
      <c r="CL676" s="2328"/>
      <c r="CM676" s="2328"/>
      <c r="CN676" s="2328"/>
      <c r="CO676" s="2328"/>
      <c r="CP676" s="2329"/>
      <c r="CQ676" s="2328">
        <v>0.26</v>
      </c>
      <c r="CR676" s="2328">
        <v>-2.9220000000000002</v>
      </c>
      <c r="CS676" s="2328">
        <f t="shared" si="1204"/>
        <v>-2.7559999999999998</v>
      </c>
      <c r="CT676" s="2328">
        <f t="shared" si="1205"/>
        <v>-2.7829999999999999</v>
      </c>
      <c r="CU676" s="2328">
        <v>9.3469999999999995</v>
      </c>
      <c r="CV676" s="2328">
        <v>8.9999999999999993E-3</v>
      </c>
      <c r="CW676" s="2328">
        <v>0</v>
      </c>
      <c r="CX676" s="2328">
        <v>0</v>
      </c>
      <c r="CY676" s="2328">
        <f t="shared" si="1206"/>
        <v>0</v>
      </c>
      <c r="CZ676" s="2332">
        <f t="shared" si="1209"/>
        <v>0</v>
      </c>
      <c r="DA676" s="2332">
        <f t="shared" si="1209"/>
        <v>0</v>
      </c>
      <c r="DB676" s="1761">
        <f t="shared" si="1209"/>
        <v>0</v>
      </c>
      <c r="DC676" s="1761">
        <f t="shared" si="1209"/>
        <v>0</v>
      </c>
      <c r="DD676" s="1761">
        <f t="shared" si="1209"/>
        <v>0</v>
      </c>
      <c r="DE676" s="1761">
        <f t="shared" si="1209"/>
        <v>0</v>
      </c>
      <c r="DF676" s="1800">
        <f t="shared" si="1209"/>
        <v>0</v>
      </c>
      <c r="DG676" s="612"/>
      <c r="DH676" s="612"/>
    </row>
    <row r="677" spans="1:112" s="584" customFormat="1" ht="11.25" customHeight="1">
      <c r="A677" s="542"/>
      <c r="B677"/>
      <c r="C677"/>
      <c r="D677"/>
      <c r="E677"/>
      <c r="F677"/>
      <c r="G677"/>
      <c r="H677" s="1052"/>
      <c r="I677" s="655" t="s">
        <v>99</v>
      </c>
      <c r="J677" s="225"/>
      <c r="K677" s="225"/>
      <c r="L677" s="542"/>
      <c r="M677" s="543"/>
      <c r="N677" s="543"/>
      <c r="O677" s="543"/>
      <c r="P677" s="1003"/>
      <c r="Q677" s="543"/>
      <c r="R677" s="543"/>
      <c r="S677" s="543"/>
      <c r="T677" s="1003"/>
      <c r="U677" s="1004"/>
      <c r="V677" s="1004"/>
      <c r="W677" s="1004"/>
      <c r="X677" s="1005"/>
      <c r="Y677" s="1004"/>
      <c r="Z677" s="1004"/>
      <c r="AA677" s="1004"/>
      <c r="AB677" s="1005"/>
      <c r="AC677" s="1004"/>
      <c r="AD677" s="1004"/>
      <c r="AE677" s="1004"/>
      <c r="AF677" s="1005"/>
      <c r="AG677" s="1004"/>
      <c r="AH677" s="1004"/>
      <c r="AI677" s="1004"/>
      <c r="AJ677" s="1005"/>
      <c r="AK677" s="1004"/>
      <c r="AL677" s="1004"/>
      <c r="AM677" s="1004"/>
      <c r="AN677" s="1005"/>
      <c r="AO677" s="1004"/>
      <c r="AP677" s="1004"/>
      <c r="AQ677" s="1004"/>
      <c r="AR677" s="1005"/>
      <c r="AS677" s="1004"/>
      <c r="AT677" s="1004"/>
      <c r="AU677" s="1004"/>
      <c r="AV677" s="1005"/>
      <c r="AW677" s="2331"/>
      <c r="AX677" s="2331"/>
      <c r="AY677" s="2331"/>
      <c r="AZ677" s="1005"/>
      <c r="BA677" s="1004">
        <f t="shared" ref="BA677:CF677" si="1210">+SUM(BA669:BA676)</f>
        <v>55.051000000000023</v>
      </c>
      <c r="BB677" s="1004">
        <f t="shared" si="1210"/>
        <v>-155.18100000000004</v>
      </c>
      <c r="BC677" s="1004">
        <f t="shared" si="1210"/>
        <v>-738.02300000000002</v>
      </c>
      <c r="BD677" s="1005">
        <f t="shared" si="1210"/>
        <v>-66.614999999999696</v>
      </c>
      <c r="BE677" s="1004">
        <f t="shared" si="1210"/>
        <v>-371.50100000000015</v>
      </c>
      <c r="BF677" s="1004">
        <f t="shared" si="1210"/>
        <v>-730.77299999999991</v>
      </c>
      <c r="BG677" s="1004">
        <f t="shared" si="1210"/>
        <v>-598.27899999999954</v>
      </c>
      <c r="BH677" s="1005">
        <f t="shared" si="1210"/>
        <v>137.83999999999949</v>
      </c>
      <c r="BI677" s="1004">
        <f t="shared" si="1210"/>
        <v>-16.002000000000045</v>
      </c>
      <c r="BJ677" s="1004">
        <f t="shared" si="1210"/>
        <v>-969.96499999999992</v>
      </c>
      <c r="BK677" s="1004">
        <f t="shared" si="1210"/>
        <v>-1215.4259999999997</v>
      </c>
      <c r="BL677" s="1005">
        <f t="shared" si="1210"/>
        <v>39.126000000000516</v>
      </c>
      <c r="BM677" s="1004">
        <f t="shared" si="1210"/>
        <v>-40.855000000000111</v>
      </c>
      <c r="BN677" s="1004">
        <f t="shared" si="1210"/>
        <v>1576.1659999999997</v>
      </c>
      <c r="BO677" s="1004">
        <f t="shared" si="1210"/>
        <v>-1817.7210000000005</v>
      </c>
      <c r="BP677" s="1005">
        <f>+SUM(BP669:BP676)</f>
        <v>-2066.1339999999991</v>
      </c>
      <c r="BQ677" s="1004">
        <f t="shared" si="1210"/>
        <v>-1140.82</v>
      </c>
      <c r="BR677" s="1004">
        <f t="shared" si="1210"/>
        <v>-1439.0959999999998</v>
      </c>
      <c r="BS677" s="1004">
        <f t="shared" si="1210"/>
        <v>-94.123000000000133</v>
      </c>
      <c r="BT677" s="1005">
        <f>+SUM(BT669:BT676)</f>
        <v>-1220.479000000001</v>
      </c>
      <c r="BU677" s="1004">
        <f t="shared" si="1210"/>
        <v>147.27400000000003</v>
      </c>
      <c r="BV677" s="1004">
        <f t="shared" si="1210"/>
        <v>-786.56799999999987</v>
      </c>
      <c r="BW677" s="1004">
        <f t="shared" si="1210"/>
        <v>-1563.2819999999999</v>
      </c>
      <c r="BX677" s="1005">
        <f t="shared" si="1210"/>
        <v>-1130.719000000001</v>
      </c>
      <c r="BY677" s="1004">
        <f t="shared" si="1210"/>
        <v>-892.81399999999985</v>
      </c>
      <c r="BZ677" s="1004">
        <f t="shared" si="1210"/>
        <v>-644.61199999999985</v>
      </c>
      <c r="CA677" s="1004">
        <f t="shared" si="1210"/>
        <v>-2105.632000000001</v>
      </c>
      <c r="CB677" s="1005">
        <f t="shared" ref="CB677" si="1211">+SUM(CB669:CB676)</f>
        <v>-558.97699999999929</v>
      </c>
      <c r="CC677" s="1004">
        <f t="shared" si="1210"/>
        <v>-98.549416478241099</v>
      </c>
      <c r="CD677" s="1004">
        <f t="shared" si="1210"/>
        <v>-101.47747321468827</v>
      </c>
      <c r="CE677" s="1004">
        <f t="shared" si="1210"/>
        <v>-77.417733131077327</v>
      </c>
      <c r="CF677" s="1005">
        <f t="shared" si="1210"/>
        <v>-86.62669323710152</v>
      </c>
      <c r="CG677" s="1003"/>
      <c r="CH677" s="1006"/>
      <c r="CI677" s="543"/>
      <c r="CJ677" s="1004"/>
      <c r="CK677" s="1004"/>
      <c r="CL677" s="1004"/>
      <c r="CM677" s="1004"/>
      <c r="CN677" s="1004"/>
      <c r="CO677" s="1004"/>
      <c r="CP677" s="2331"/>
      <c r="CQ677" s="1004">
        <f t="shared" ref="CQ677:CZ677" si="1212">+SUM(CQ669:CQ676)</f>
        <v>-841.09799999999973</v>
      </c>
      <c r="CR677" s="1004">
        <f t="shared" si="1212"/>
        <v>-904.7679999999998</v>
      </c>
      <c r="CS677" s="1004">
        <f t="shared" si="1212"/>
        <v>-1562.7129999999997</v>
      </c>
      <c r="CT677" s="1004">
        <f t="shared" si="1212"/>
        <v>-2162.2669999999994</v>
      </c>
      <c r="CU677" s="1004">
        <f>+SUM(CU669:CU676)</f>
        <v>-2348.5439999999994</v>
      </c>
      <c r="CV677" s="1004">
        <f>+SUM(CV669:CV676)</f>
        <v>-3894.5180000000005</v>
      </c>
      <c r="CW677" s="1004">
        <f>+SUM(CW669:CW676)</f>
        <v>-3333.2950000000001</v>
      </c>
      <c r="CX677" s="1004">
        <f>+SUM(CX669:CX676)</f>
        <v>-4202.0349999999999</v>
      </c>
      <c r="CY677" s="1004">
        <f t="shared" si="1212"/>
        <v>-364.07131606110823</v>
      </c>
      <c r="CZ677" s="1004">
        <f t="shared" si="1212"/>
        <v>-427.95676383952571</v>
      </c>
      <c r="DA677" s="1004">
        <f t="shared" ref="DA677:DF677" si="1213">+SUM(DA669:DA676)</f>
        <v>-489.1695631063231</v>
      </c>
      <c r="DB677" s="514">
        <f t="shared" si="1213"/>
        <v>-550.37656261603331</v>
      </c>
      <c r="DC677" s="514">
        <f t="shared" si="1213"/>
        <v>-612.24848722151444</v>
      </c>
      <c r="DD677" s="514">
        <f t="shared" si="1213"/>
        <v>-675.2571801792518</v>
      </c>
      <c r="DE677" s="514">
        <f t="shared" si="1213"/>
        <v>-738.89941506418631</v>
      </c>
      <c r="DF677" s="515">
        <f t="shared" si="1213"/>
        <v>-808.4463270780476</v>
      </c>
      <c r="DG677" s="632"/>
      <c r="DH677" s="632"/>
    </row>
    <row r="678" spans="1:112" s="554" customFormat="1" ht="11.25" customHeight="1">
      <c r="A678" s="547"/>
      <c r="B678"/>
      <c r="C678"/>
      <c r="D678"/>
      <c r="E678"/>
      <c r="F678"/>
      <c r="G678"/>
      <c r="H678" s="1044"/>
      <c r="I678" s="2312"/>
      <c r="J678" s="2313"/>
      <c r="K678" s="2313"/>
      <c r="L678" s="2314"/>
      <c r="M678" s="2315"/>
      <c r="N678" s="2315"/>
      <c r="O678" s="2315"/>
      <c r="P678" s="2316"/>
      <c r="Q678" s="2315"/>
      <c r="R678" s="2315"/>
      <c r="S678" s="2315"/>
      <c r="T678" s="2316"/>
      <c r="U678" s="2174"/>
      <c r="V678" s="2174"/>
      <c r="W678" s="2174"/>
      <c r="X678" s="1912"/>
      <c r="Y678" s="2174"/>
      <c r="Z678" s="2174"/>
      <c r="AA678" s="2174"/>
      <c r="AB678" s="1912"/>
      <c r="AC678" s="2174"/>
      <c r="AD678" s="2174"/>
      <c r="AE678" s="2174"/>
      <c r="AF678" s="1912"/>
      <c r="AG678" s="2174"/>
      <c r="AH678" s="2174"/>
      <c r="AI678" s="2174"/>
      <c r="AJ678" s="1912"/>
      <c r="AK678" s="2174"/>
      <c r="AL678" s="2174"/>
      <c r="AM678" s="2174"/>
      <c r="AN678" s="1912"/>
      <c r="AO678" s="2174"/>
      <c r="AP678" s="2174"/>
      <c r="AQ678" s="2174"/>
      <c r="AR678" s="1912"/>
      <c r="AS678" s="2174"/>
      <c r="AT678" s="2174"/>
      <c r="AU678" s="2174"/>
      <c r="AV678" s="1912"/>
      <c r="AW678" s="2317"/>
      <c r="AX678" s="2317"/>
      <c r="AY678" s="2317"/>
      <c r="AZ678" s="1912"/>
      <c r="BA678" s="2174"/>
      <c r="BB678" s="2174"/>
      <c r="BC678" s="2174"/>
      <c r="BD678" s="1912"/>
      <c r="BE678" s="2174"/>
      <c r="BF678" s="2174"/>
      <c r="BG678" s="2174"/>
      <c r="BH678" s="1912"/>
      <c r="BI678" s="2174"/>
      <c r="BJ678" s="2174"/>
      <c r="BK678" s="2174"/>
      <c r="BL678" s="1912"/>
      <c r="BM678" s="2174"/>
      <c r="BN678" s="2174"/>
      <c r="BO678" s="2174"/>
      <c r="BP678" s="1912"/>
      <c r="BQ678" s="2174"/>
      <c r="BR678" s="2174"/>
      <c r="BS678" s="2174"/>
      <c r="BT678" s="1912"/>
      <c r="BU678" s="2174"/>
      <c r="BV678" s="2174"/>
      <c r="BW678" s="2174"/>
      <c r="BX678" s="1912"/>
      <c r="BY678" s="2174"/>
      <c r="BZ678" s="2174"/>
      <c r="CA678" s="2174"/>
      <c r="CB678" s="1912"/>
      <c r="CC678" s="2174"/>
      <c r="CD678" s="2174"/>
      <c r="CE678" s="2174"/>
      <c r="CF678" s="1912"/>
      <c r="CG678" s="2316"/>
      <c r="CH678" s="2318"/>
      <c r="CI678" s="2315"/>
      <c r="CJ678" s="2174"/>
      <c r="CK678" s="2174"/>
      <c r="CL678" s="2174"/>
      <c r="CM678" s="2174"/>
      <c r="CN678" s="2174"/>
      <c r="CO678" s="2174"/>
      <c r="CP678" s="2317"/>
      <c r="CQ678" s="2174"/>
      <c r="CR678" s="2174"/>
      <c r="CS678" s="2174"/>
      <c r="CT678" s="2174"/>
      <c r="CU678" s="2174"/>
      <c r="CV678" s="2174"/>
      <c r="CW678" s="2174"/>
      <c r="CX678" s="2174"/>
      <c r="CY678" s="2174"/>
      <c r="CZ678" s="2174"/>
      <c r="DA678" s="2174"/>
      <c r="DB678" s="516"/>
      <c r="DC678" s="516"/>
      <c r="DD678" s="516"/>
      <c r="DE678" s="516"/>
      <c r="DF678" s="602"/>
      <c r="DG678" s="612"/>
      <c r="DH678" s="612"/>
    </row>
    <row r="679" spans="1:112" s="554" customFormat="1" ht="11.25" customHeight="1">
      <c r="A679" s="547"/>
      <c r="B679"/>
      <c r="C679"/>
      <c r="D679"/>
      <c r="E679"/>
      <c r="F679"/>
      <c r="G679"/>
      <c r="H679" s="1044"/>
      <c r="I679" s="655" t="s">
        <v>100</v>
      </c>
      <c r="J679" s="225"/>
      <c r="K679" s="225"/>
      <c r="L679" s="2314"/>
      <c r="M679" s="2315"/>
      <c r="N679" s="2315"/>
      <c r="O679" s="2315"/>
      <c r="P679" s="2316"/>
      <c r="Q679" s="2315"/>
      <c r="R679" s="2315"/>
      <c r="S679" s="2315"/>
      <c r="T679" s="2316"/>
      <c r="U679" s="2174"/>
      <c r="V679" s="2174"/>
      <c r="W679" s="2174"/>
      <c r="X679" s="1912"/>
      <c r="Y679" s="2174"/>
      <c r="Z679" s="2174"/>
      <c r="AA679" s="2174"/>
      <c r="AB679" s="1912"/>
      <c r="AC679" s="2174"/>
      <c r="AD679" s="2174"/>
      <c r="AE679" s="2174"/>
      <c r="AF679" s="1912"/>
      <c r="AG679" s="2174"/>
      <c r="AH679" s="2174"/>
      <c r="AI679" s="2174"/>
      <c r="AJ679" s="1912"/>
      <c r="AK679" s="2174"/>
      <c r="AL679" s="2174"/>
      <c r="AM679" s="2174"/>
      <c r="AN679" s="1912"/>
      <c r="AO679" s="2174"/>
      <c r="AP679" s="2174"/>
      <c r="AQ679" s="2174"/>
      <c r="AR679" s="1912"/>
      <c r="AS679" s="2174"/>
      <c r="AT679" s="2174"/>
      <c r="AU679" s="2174"/>
      <c r="AV679" s="1912"/>
      <c r="AW679" s="2317"/>
      <c r="AX679" s="2317"/>
      <c r="AY679" s="2317"/>
      <c r="AZ679" s="1912"/>
      <c r="BA679" s="2174"/>
      <c r="BB679" s="2174"/>
      <c r="BC679" s="2174"/>
      <c r="BD679" s="1912"/>
      <c r="BE679" s="2174"/>
      <c r="BF679" s="2174"/>
      <c r="BG679" s="2174"/>
      <c r="BH679" s="1912"/>
      <c r="BI679" s="2174"/>
      <c r="BJ679" s="2174"/>
      <c r="BK679" s="2174"/>
      <c r="BL679" s="1912"/>
      <c r="BM679" s="2174"/>
      <c r="BN679" s="2174"/>
      <c r="BO679" s="2174"/>
      <c r="BP679" s="1912"/>
      <c r="BQ679" s="2174"/>
      <c r="BR679" s="2174"/>
      <c r="BS679" s="2174"/>
      <c r="BT679" s="1912"/>
      <c r="BU679" s="2174"/>
      <c r="BV679" s="2174"/>
      <c r="BW679" s="2174"/>
      <c r="BX679" s="1912"/>
      <c r="BY679" s="2174"/>
      <c r="BZ679" s="2174"/>
      <c r="CA679" s="2174"/>
      <c r="CB679" s="1912"/>
      <c r="CC679" s="2174"/>
      <c r="CD679" s="2174"/>
      <c r="CE679" s="2174"/>
      <c r="CF679" s="1912"/>
      <c r="CG679" s="2316"/>
      <c r="CH679" s="2318"/>
      <c r="CI679" s="2315"/>
      <c r="CJ679" s="2174"/>
      <c r="CK679" s="2174"/>
      <c r="CL679" s="2174"/>
      <c r="CM679" s="2174"/>
      <c r="CN679" s="2174"/>
      <c r="CO679" s="2174"/>
      <c r="CP679" s="2317"/>
      <c r="CQ679" s="2174"/>
      <c r="CR679" s="2174"/>
      <c r="CS679" s="2174"/>
      <c r="CT679" s="2174"/>
      <c r="CU679" s="2174"/>
      <c r="CV679" s="2174"/>
      <c r="CW679" s="2174"/>
      <c r="CX679" s="2174"/>
      <c r="CY679" s="2174"/>
      <c r="CZ679" s="2174"/>
      <c r="DA679" s="2174"/>
      <c r="DB679" s="516"/>
      <c r="DC679" s="516"/>
      <c r="DD679" s="516"/>
      <c r="DE679" s="516"/>
      <c r="DF679" s="602"/>
      <c r="DG679" s="612"/>
      <c r="DH679" s="612"/>
    </row>
    <row r="680" spans="1:112" s="554" customFormat="1" ht="11.25" customHeight="1">
      <c r="A680" s="547"/>
      <c r="B680"/>
      <c r="C680"/>
      <c r="D680"/>
      <c r="E680"/>
      <c r="F680"/>
      <c r="G680"/>
      <c r="H680" s="1044"/>
      <c r="I680" s="1530" t="s">
        <v>587</v>
      </c>
      <c r="J680" s="225"/>
      <c r="K680" s="225"/>
      <c r="L680" s="2314"/>
      <c r="M680" s="2315"/>
      <c r="N680" s="2315"/>
      <c r="O680" s="2315"/>
      <c r="P680" s="2316"/>
      <c r="Q680" s="2315"/>
      <c r="R680" s="2315"/>
      <c r="S680" s="2315"/>
      <c r="T680" s="2316"/>
      <c r="U680" s="2174"/>
      <c r="V680" s="2174"/>
      <c r="W680" s="2174"/>
      <c r="X680" s="1912"/>
      <c r="Y680" s="2174"/>
      <c r="Z680" s="2174"/>
      <c r="AA680" s="2174"/>
      <c r="AB680" s="1912"/>
      <c r="AC680" s="2174"/>
      <c r="AD680" s="2174"/>
      <c r="AE680" s="2174"/>
      <c r="AF680" s="1912"/>
      <c r="AG680" s="2174"/>
      <c r="AH680" s="2174"/>
      <c r="AI680" s="2174"/>
      <c r="AJ680" s="1912"/>
      <c r="AK680" s="2174"/>
      <c r="AL680" s="2174"/>
      <c r="AM680" s="2174"/>
      <c r="AN680" s="1912"/>
      <c r="AO680" s="2174"/>
      <c r="AP680" s="2174"/>
      <c r="AQ680" s="2174"/>
      <c r="AR680" s="1912"/>
      <c r="AS680" s="2174"/>
      <c r="AT680" s="2174"/>
      <c r="AU680" s="2174"/>
      <c r="AV680" s="1912"/>
      <c r="AW680" s="2317"/>
      <c r="AX680" s="2317"/>
      <c r="AY680" s="2317"/>
      <c r="AZ680" s="1912"/>
      <c r="BA680" s="2174"/>
      <c r="BB680" s="2174"/>
      <c r="BC680" s="2174"/>
      <c r="BD680" s="1912"/>
      <c r="BE680" s="2174"/>
      <c r="BF680" s="2174"/>
      <c r="BG680" s="2174"/>
      <c r="BH680" s="1912"/>
      <c r="BI680" s="2174">
        <v>0</v>
      </c>
      <c r="BJ680" s="2174">
        <v>0</v>
      </c>
      <c r="BK680" s="2174">
        <v>0</v>
      </c>
      <c r="BL680" s="1912">
        <v>0</v>
      </c>
      <c r="BM680" s="2174">
        <v>0</v>
      </c>
      <c r="BN680" s="2174">
        <f>0-BM680</f>
        <v>0</v>
      </c>
      <c r="BO680" s="2174">
        <f>995-BN680-BM680</f>
        <v>995</v>
      </c>
      <c r="BP680" s="1912">
        <f>+CU680-BO680-BN680-BM680</f>
        <v>0</v>
      </c>
      <c r="BQ680" s="2174">
        <v>0</v>
      </c>
      <c r="BR680" s="2174">
        <f>0-BQ680</f>
        <v>0</v>
      </c>
      <c r="BS680" s="2174">
        <f>0-BR680-BQ680</f>
        <v>0</v>
      </c>
      <c r="BT680" s="1912">
        <f t="shared" ref="BT680:BT689" si="1214">+CV680-BS680-BR680-BQ680</f>
        <v>225</v>
      </c>
      <c r="BU680" s="2174">
        <v>100</v>
      </c>
      <c r="BV680" s="2174">
        <f>0-BU680</f>
        <v>-100</v>
      </c>
      <c r="BW680" s="2174">
        <f>0-BV680-BU680</f>
        <v>0</v>
      </c>
      <c r="BX680" s="1912">
        <f t="shared" ref="BX680:BX688" si="1215">+CW680-BW680-BV680-BU680</f>
        <v>0</v>
      </c>
      <c r="BY680" s="2174">
        <v>0</v>
      </c>
      <c r="BZ680" s="2174">
        <f>4.599-BY680</f>
        <v>4.5990000000000002</v>
      </c>
      <c r="CA680" s="2174">
        <f>2044.952-BZ680-BY680</f>
        <v>2040.3530000000001</v>
      </c>
      <c r="CB680" s="1912">
        <f t="shared" ref="CB680:CB689" si="1216">+CX680-CA680-BZ680-BY680</f>
        <v>-2044.952</v>
      </c>
      <c r="CC680" s="2174">
        <v>0</v>
      </c>
      <c r="CD680" s="2174">
        <v>0</v>
      </c>
      <c r="CE680" s="2174">
        <v>0</v>
      </c>
      <c r="CF680" s="1912">
        <v>0</v>
      </c>
      <c r="CG680" s="2316"/>
      <c r="CH680" s="2318"/>
      <c r="CI680" s="2315"/>
      <c r="CJ680" s="2174"/>
      <c r="CK680" s="2174"/>
      <c r="CL680" s="2174"/>
      <c r="CM680" s="2174"/>
      <c r="CN680" s="2174"/>
      <c r="CO680" s="2174"/>
      <c r="CP680" s="2317"/>
      <c r="CQ680" s="2174"/>
      <c r="CR680" s="2174"/>
      <c r="CS680" s="2174"/>
      <c r="CT680" s="2174">
        <f t="shared" ref="CT680:CT689" si="1217">+SUM(BI680:BL680)</f>
        <v>0</v>
      </c>
      <c r="CU680" s="2174">
        <v>995</v>
      </c>
      <c r="CV680" s="2174">
        <v>225</v>
      </c>
      <c r="CW680" s="2174">
        <v>0</v>
      </c>
      <c r="CX680" s="2174">
        <v>0</v>
      </c>
      <c r="CY680" s="2174">
        <f>SUM(CC680:CF680)</f>
        <v>0</v>
      </c>
      <c r="CZ680" s="2320">
        <f>+CY680</f>
        <v>0</v>
      </c>
      <c r="DA680" s="2320">
        <f t="shared" ref="DA680:DF680" si="1218">+CZ680</f>
        <v>0</v>
      </c>
      <c r="DB680" s="1760">
        <f t="shared" si="1218"/>
        <v>0</v>
      </c>
      <c r="DC680" s="1760">
        <f t="shared" si="1218"/>
        <v>0</v>
      </c>
      <c r="DD680" s="1760">
        <f t="shared" si="1218"/>
        <v>0</v>
      </c>
      <c r="DE680" s="1760">
        <f t="shared" si="1218"/>
        <v>0</v>
      </c>
      <c r="DF680" s="1799">
        <f t="shared" si="1218"/>
        <v>0</v>
      </c>
      <c r="DG680" s="612"/>
      <c r="DH680" s="612"/>
    </row>
    <row r="681" spans="1:112" s="554" customFormat="1" ht="11.25" customHeight="1">
      <c r="A681" s="547"/>
      <c r="B681"/>
      <c r="C681"/>
      <c r="D681"/>
      <c r="E681"/>
      <c r="F681"/>
      <c r="G681"/>
      <c r="H681" s="1044"/>
      <c r="I681" s="1530" t="s">
        <v>588</v>
      </c>
      <c r="J681" s="225"/>
      <c r="K681" s="225"/>
      <c r="L681" s="2314"/>
      <c r="M681" s="2315"/>
      <c r="N681" s="2315"/>
      <c r="O681" s="2315"/>
      <c r="P681" s="2316"/>
      <c r="Q681" s="2315"/>
      <c r="R681" s="2315"/>
      <c r="S681" s="2315"/>
      <c r="T681" s="2316"/>
      <c r="U681" s="2174"/>
      <c r="V681" s="2174"/>
      <c r="W681" s="2174"/>
      <c r="X681" s="1912"/>
      <c r="Y681" s="2174"/>
      <c r="Z681" s="2174"/>
      <c r="AA681" s="2174"/>
      <c r="AB681" s="1912"/>
      <c r="AC681" s="2174"/>
      <c r="AD681" s="2174"/>
      <c r="AE681" s="2174"/>
      <c r="AF681" s="1912"/>
      <c r="AG681" s="2174"/>
      <c r="AH681" s="2174"/>
      <c r="AI681" s="2174"/>
      <c r="AJ681" s="1912"/>
      <c r="AK681" s="2174"/>
      <c r="AL681" s="2174"/>
      <c r="AM681" s="2174"/>
      <c r="AN681" s="1912"/>
      <c r="AO681" s="2174"/>
      <c r="AP681" s="2174"/>
      <c r="AQ681" s="2174"/>
      <c r="AR681" s="1912"/>
      <c r="AS681" s="2174"/>
      <c r="AT681" s="2174"/>
      <c r="AU681" s="2174"/>
      <c r="AV681" s="1912"/>
      <c r="AW681" s="2317"/>
      <c r="AX681" s="2317"/>
      <c r="AY681" s="2317"/>
      <c r="AZ681" s="1912"/>
      <c r="BA681" s="2174"/>
      <c r="BB681" s="2174"/>
      <c r="BC681" s="2174"/>
      <c r="BD681" s="1912"/>
      <c r="BE681" s="2174"/>
      <c r="BF681" s="2174"/>
      <c r="BG681" s="2174"/>
      <c r="BH681" s="1912"/>
      <c r="BI681" s="2174">
        <v>0</v>
      </c>
      <c r="BJ681" s="2174">
        <v>0</v>
      </c>
      <c r="BK681" s="2174">
        <v>0</v>
      </c>
      <c r="BL681" s="1912">
        <v>0</v>
      </c>
      <c r="BM681" s="2174">
        <v>0</v>
      </c>
      <c r="BN681" s="2174">
        <f>0-BM681</f>
        <v>0</v>
      </c>
      <c r="BO681" s="2174">
        <f>+-995-BN681-BM681</f>
        <v>-995</v>
      </c>
      <c r="BP681" s="1912">
        <f>+CU681-BO681-BN681-BM681</f>
        <v>0</v>
      </c>
      <c r="BQ681" s="2174">
        <v>0</v>
      </c>
      <c r="BR681" s="2174">
        <f>0-BQ681</f>
        <v>0</v>
      </c>
      <c r="BS681" s="2174">
        <f>0-BR681-BQ681</f>
        <v>0</v>
      </c>
      <c r="BT681" s="1912">
        <f t="shared" si="1214"/>
        <v>-225</v>
      </c>
      <c r="BU681" s="2174">
        <v>0</v>
      </c>
      <c r="BV681" s="2174">
        <f>0-BU681</f>
        <v>0</v>
      </c>
      <c r="BW681" s="2174">
        <f>0-BV681-BU681</f>
        <v>0</v>
      </c>
      <c r="BX681" s="1912">
        <f t="shared" si="1215"/>
        <v>0</v>
      </c>
      <c r="BY681" s="2174">
        <v>0</v>
      </c>
      <c r="BZ681" s="2174">
        <f>0-BY681</f>
        <v>0</v>
      </c>
      <c r="CA681" s="2174">
        <f>0-BZ681-BY681</f>
        <v>0</v>
      </c>
      <c r="CB681" s="1912">
        <f t="shared" si="1216"/>
        <v>0</v>
      </c>
      <c r="CC681" s="2174">
        <v>0</v>
      </c>
      <c r="CD681" s="2174">
        <v>0</v>
      </c>
      <c r="CE681" s="2174">
        <v>0</v>
      </c>
      <c r="CF681" s="1912">
        <v>0</v>
      </c>
      <c r="CG681" s="2316"/>
      <c r="CH681" s="2318"/>
      <c r="CI681" s="2315"/>
      <c r="CJ681" s="2174"/>
      <c r="CK681" s="2174"/>
      <c r="CL681" s="2174"/>
      <c r="CM681" s="2174"/>
      <c r="CN681" s="2174"/>
      <c r="CO681" s="2174"/>
      <c r="CP681" s="2317"/>
      <c r="CQ681" s="2174"/>
      <c r="CR681" s="2174"/>
      <c r="CS681" s="2174"/>
      <c r="CT681" s="2174">
        <f t="shared" si="1217"/>
        <v>0</v>
      </c>
      <c r="CU681" s="2174">
        <v>-995</v>
      </c>
      <c r="CV681" s="2174">
        <v>-225</v>
      </c>
      <c r="CW681" s="2174">
        <v>0</v>
      </c>
      <c r="CX681" s="2174">
        <v>0</v>
      </c>
      <c r="CY681" s="2174">
        <f>SUM(CC681:CF681)</f>
        <v>0</v>
      </c>
      <c r="CZ681" s="2320">
        <f>+CY681</f>
        <v>0</v>
      </c>
      <c r="DA681" s="2320">
        <f t="shared" ref="DA681:DF681" si="1219">+CZ681</f>
        <v>0</v>
      </c>
      <c r="DB681" s="1760">
        <f t="shared" si="1219"/>
        <v>0</v>
      </c>
      <c r="DC681" s="1760">
        <f t="shared" si="1219"/>
        <v>0</v>
      </c>
      <c r="DD681" s="1760">
        <f t="shared" si="1219"/>
        <v>0</v>
      </c>
      <c r="DE681" s="1760">
        <f t="shared" si="1219"/>
        <v>0</v>
      </c>
      <c r="DF681" s="1799">
        <f t="shared" si="1219"/>
        <v>0</v>
      </c>
      <c r="DG681" s="612"/>
      <c r="DH681" s="612"/>
    </row>
    <row r="682" spans="1:112" s="554" customFormat="1" ht="11.25" customHeight="1">
      <c r="A682" s="547"/>
      <c r="B682"/>
      <c r="C682"/>
      <c r="D682"/>
      <c r="E682"/>
      <c r="F682"/>
      <c r="G682"/>
      <c r="H682" s="1044"/>
      <c r="I682" s="1530" t="s">
        <v>226</v>
      </c>
      <c r="J682" s="2319"/>
      <c r="K682" s="2319"/>
      <c r="L682" s="2314"/>
      <c r="M682" s="2315"/>
      <c r="N682" s="2315"/>
      <c r="O682" s="2315"/>
      <c r="P682" s="2316"/>
      <c r="Q682" s="2315"/>
      <c r="R682" s="2315"/>
      <c r="S682" s="2315"/>
      <c r="T682" s="2316"/>
      <c r="U682" s="2174"/>
      <c r="V682" s="2174"/>
      <c r="W682" s="2174"/>
      <c r="X682" s="1912"/>
      <c r="Y682" s="2174"/>
      <c r="Z682" s="2174"/>
      <c r="AA682" s="2174"/>
      <c r="AB682" s="1912"/>
      <c r="AC682" s="2174"/>
      <c r="AD682" s="2174"/>
      <c r="AE682" s="2174"/>
      <c r="AF682" s="1912"/>
      <c r="AG682" s="2174"/>
      <c r="AH682" s="2174"/>
      <c r="AI682" s="2174"/>
      <c r="AJ682" s="1912"/>
      <c r="AK682" s="2174"/>
      <c r="AL682" s="2174"/>
      <c r="AM682" s="2174"/>
      <c r="AN682" s="1912"/>
      <c r="AO682" s="2174"/>
      <c r="AP682" s="2174"/>
      <c r="AQ682" s="2174"/>
      <c r="AR682" s="1912"/>
      <c r="AS682" s="2174"/>
      <c r="AT682" s="2174"/>
      <c r="AU682" s="2174"/>
      <c r="AV682" s="1912"/>
      <c r="AW682" s="2317"/>
      <c r="AX682" s="2317"/>
      <c r="AY682" s="2317"/>
      <c r="AZ682" s="1912"/>
      <c r="BA682" s="2174">
        <v>0</v>
      </c>
      <c r="BB682" s="2174">
        <f>0-BA682</f>
        <v>0</v>
      </c>
      <c r="BC682" s="2174">
        <f>0-BB682-BA682</f>
        <v>0</v>
      </c>
      <c r="BD682" s="1912">
        <f t="shared" ref="BD682:BD689" si="1220">+CR682-BC682-BB682-BA682</f>
        <v>0</v>
      </c>
      <c r="BE682" s="2174">
        <v>1000</v>
      </c>
      <c r="BF682" s="2174">
        <f>1000-BE682</f>
        <v>0</v>
      </c>
      <c r="BG682" s="2174">
        <f>1000-BF682-BE682</f>
        <v>0</v>
      </c>
      <c r="BH682" s="1912">
        <f>1000-BG682-BF682-BE682</f>
        <v>0</v>
      </c>
      <c r="BI682" s="2174">
        <v>0</v>
      </c>
      <c r="BJ682" s="2174">
        <v>980</v>
      </c>
      <c r="BK682" s="2174">
        <f>980-BJ682-BI682</f>
        <v>0</v>
      </c>
      <c r="BL682" s="1912">
        <f>980-BK682-BJ682-BI682</f>
        <v>0</v>
      </c>
      <c r="BM682" s="2174">
        <v>0</v>
      </c>
      <c r="BN682" s="2174">
        <f>0-BM682</f>
        <v>0</v>
      </c>
      <c r="BO682" s="2174">
        <f>2282.217-BN682-BM682</f>
        <v>2282.2170000000001</v>
      </c>
      <c r="BP682" s="1912">
        <f>+CU682-BO682-BN682-BM682</f>
        <v>0</v>
      </c>
      <c r="BQ682" s="2174">
        <v>1619.951</v>
      </c>
      <c r="BR682" s="2174">
        <f>1619.951-BQ682</f>
        <v>0</v>
      </c>
      <c r="BS682" s="2174">
        <f>1619.951-BR682-BQ682</f>
        <v>0</v>
      </c>
      <c r="BT682" s="1912">
        <f t="shared" si="1214"/>
        <v>779.08300000000008</v>
      </c>
      <c r="BU682" s="2174">
        <v>2.5</v>
      </c>
      <c r="BV682" s="2174">
        <f>994.705-BU682</f>
        <v>992.20500000000004</v>
      </c>
      <c r="BW682" s="2174">
        <f>994.705-BV682-BU682</f>
        <v>0</v>
      </c>
      <c r="BX682" s="1912">
        <f t="shared" si="1215"/>
        <v>0</v>
      </c>
      <c r="BY682" s="2174">
        <v>1051.722</v>
      </c>
      <c r="BZ682" s="2174">
        <f>1051.722-BY682</f>
        <v>0</v>
      </c>
      <c r="CA682" s="2174">
        <f>+-89.575-BZ682-BY682</f>
        <v>-1141.297</v>
      </c>
      <c r="CB682" s="1912">
        <f t="shared" si="1216"/>
        <v>2134.527</v>
      </c>
      <c r="CC682" s="2174">
        <f>+-714+-700</f>
        <v>-1414</v>
      </c>
      <c r="CD682" s="2174">
        <v>0</v>
      </c>
      <c r="CE682" s="2174">
        <v>0</v>
      </c>
      <c r="CF682" s="1912">
        <v>0</v>
      </c>
      <c r="CG682" s="2316"/>
      <c r="CH682" s="2318"/>
      <c r="CI682" s="2315"/>
      <c r="CJ682" s="2174"/>
      <c r="CK682" s="2174"/>
      <c r="CL682" s="2174"/>
      <c r="CM682" s="2174"/>
      <c r="CN682" s="2174"/>
      <c r="CO682" s="2174"/>
      <c r="CP682" s="2317"/>
      <c r="CQ682" s="2174">
        <v>575</v>
      </c>
      <c r="CR682" s="2174">
        <v>0</v>
      </c>
      <c r="CS682" s="2174">
        <f t="shared" ref="CS682:CS689" si="1221">+SUM(BE682:BH682)</f>
        <v>1000</v>
      </c>
      <c r="CT682" s="2174">
        <f t="shared" si="1217"/>
        <v>980</v>
      </c>
      <c r="CU682" s="2174">
        <v>2282.2170000000001</v>
      </c>
      <c r="CV682" s="2174">
        <v>2399.0340000000001</v>
      </c>
      <c r="CW682" s="2174">
        <v>994.70500000000004</v>
      </c>
      <c r="CX682" s="2174">
        <v>2044.952</v>
      </c>
      <c r="CY682" s="2174">
        <f t="shared" ref="CY682:CY689" si="1222">SUM(CC682:CF682)</f>
        <v>-1414</v>
      </c>
      <c r="CZ682" s="2320">
        <v>0</v>
      </c>
      <c r="DA682" s="2320">
        <v>-1000</v>
      </c>
      <c r="DB682" s="1760">
        <v>-1000</v>
      </c>
      <c r="DC682" s="1760">
        <v>-833.61099999999999</v>
      </c>
      <c r="DD682" s="1760">
        <v>0</v>
      </c>
      <c r="DE682" s="1760">
        <v>-1111.482</v>
      </c>
      <c r="DF682" s="1799">
        <v>-500</v>
      </c>
      <c r="DG682" s="612"/>
      <c r="DH682" s="612"/>
    </row>
    <row r="683" spans="1:112" s="554" customFormat="1" ht="11.25" customHeight="1">
      <c r="A683" s="547"/>
      <c r="B683"/>
      <c r="C683"/>
      <c r="D683"/>
      <c r="E683"/>
      <c r="F683"/>
      <c r="G683"/>
      <c r="H683" s="1044"/>
      <c r="I683" s="1530" t="s">
        <v>101</v>
      </c>
      <c r="J683" s="2319"/>
      <c r="K683" s="2319"/>
      <c r="L683" s="2314"/>
      <c r="M683" s="2315"/>
      <c r="N683" s="2315"/>
      <c r="O683" s="2315"/>
      <c r="P683" s="2316"/>
      <c r="Q683" s="2315"/>
      <c r="R683" s="2315"/>
      <c r="S683" s="2315"/>
      <c r="T683" s="2316"/>
      <c r="U683" s="2174"/>
      <c r="V683" s="2174"/>
      <c r="W683" s="2174"/>
      <c r="X683" s="1912"/>
      <c r="Y683" s="2174"/>
      <c r="Z683" s="2174"/>
      <c r="AA683" s="2174"/>
      <c r="AB683" s="1912"/>
      <c r="AC683" s="2174"/>
      <c r="AD683" s="2174"/>
      <c r="AE683" s="2174"/>
      <c r="AF683" s="1912"/>
      <c r="AG683" s="2174"/>
      <c r="AH683" s="2174"/>
      <c r="AI683" s="2174"/>
      <c r="AJ683" s="1912"/>
      <c r="AK683" s="2174"/>
      <c r="AL683" s="2174"/>
      <c r="AM683" s="2174"/>
      <c r="AN683" s="1912"/>
      <c r="AO683" s="2174"/>
      <c r="AP683" s="2174"/>
      <c r="AQ683" s="2174"/>
      <c r="AR683" s="1912"/>
      <c r="AS683" s="2174"/>
      <c r="AT683" s="2174"/>
      <c r="AU683" s="2174"/>
      <c r="AV683" s="1912"/>
      <c r="AW683" s="2317"/>
      <c r="AX683" s="2317"/>
      <c r="AY683" s="2317"/>
      <c r="AZ683" s="1912"/>
      <c r="BA683" s="2174">
        <v>0</v>
      </c>
      <c r="BB683" s="2174">
        <f>0-BA683</f>
        <v>0</v>
      </c>
      <c r="BC683" s="2174">
        <f>0-BB683-BA683</f>
        <v>0</v>
      </c>
      <c r="BD683" s="1912">
        <f t="shared" si="1220"/>
        <v>0</v>
      </c>
      <c r="BE683" s="2174">
        <v>-20.327000000000002</v>
      </c>
      <c r="BF683" s="2174">
        <f>+-20.421-BE683</f>
        <v>-9.3999999999997641E-2</v>
      </c>
      <c r="BG683" s="2174">
        <f>-20.916-BF683-BE683</f>
        <v>-0.49500000000000099</v>
      </c>
      <c r="BH683" s="1912">
        <f>-20.916-BG683-BF683-BE683</f>
        <v>0</v>
      </c>
      <c r="BI683" s="2174">
        <v>0</v>
      </c>
      <c r="BJ683" s="2174">
        <v>-2.9000000000000001E-2</v>
      </c>
      <c r="BK683" s="2174">
        <f>+-0.91-BJ683-BI683</f>
        <v>-0.88100000000000001</v>
      </c>
      <c r="BL683" s="1912">
        <f>-1.018-BK683-BJ683-BI683</f>
        <v>-0.10800000000000001</v>
      </c>
      <c r="BM683" s="2174">
        <v>0</v>
      </c>
      <c r="BN683" s="2174">
        <f>0-BM683</f>
        <v>0</v>
      </c>
      <c r="BO683" s="2174">
        <f>-16.241-BN683-BM683</f>
        <v>-16.241</v>
      </c>
      <c r="BP683" s="1912">
        <f t="shared" ref="BP683:BP689" si="1223">+CU683-BO683-BN683-BM683</f>
        <v>-1.222999999999999</v>
      </c>
      <c r="BQ683" s="2174">
        <v>-8.0640000000000001</v>
      </c>
      <c r="BR683" s="2174">
        <f>-13.272-BQ683</f>
        <v>-5.2080000000000002</v>
      </c>
      <c r="BS683" s="2174">
        <f>+-13.507-BR683-BQ683</f>
        <v>-0.23499999999999943</v>
      </c>
      <c r="BT683" s="1912">
        <f t="shared" si="1214"/>
        <v>9.5019999999999989</v>
      </c>
      <c r="BU683" s="2174">
        <v>0</v>
      </c>
      <c r="BV683" s="2174">
        <f>0-BU683</f>
        <v>0</v>
      </c>
      <c r="BW683" s="2174">
        <f>0-BV683-BU683</f>
        <v>0</v>
      </c>
      <c r="BX683" s="1912">
        <f t="shared" si="1215"/>
        <v>0</v>
      </c>
      <c r="BY683" s="2174">
        <f>+-0.004</f>
        <v>-4.0000000000000001E-3</v>
      </c>
      <c r="BZ683" s="2174">
        <f>+-83.473-BY683</f>
        <v>-83.468999999999994</v>
      </c>
      <c r="CA683" s="2174">
        <f>+-15.118-BZ683-BY683</f>
        <v>68.355000000000004</v>
      </c>
      <c r="CB683" s="1912">
        <f t="shared" si="1216"/>
        <v>15.11799999999999</v>
      </c>
      <c r="CC683" s="2174">
        <v>0</v>
      </c>
      <c r="CD683" s="2174">
        <v>0</v>
      </c>
      <c r="CE683" s="2174">
        <v>0</v>
      </c>
      <c r="CF683" s="1912">
        <v>0</v>
      </c>
      <c r="CG683" s="2316"/>
      <c r="CH683" s="2318"/>
      <c r="CI683" s="2315"/>
      <c r="CJ683" s="2174"/>
      <c r="CK683" s="2174"/>
      <c r="CL683" s="2174"/>
      <c r="CM683" s="2174"/>
      <c r="CN683" s="2174"/>
      <c r="CO683" s="2174"/>
      <c r="CP683" s="2317"/>
      <c r="CQ683" s="2174">
        <v>-13.334</v>
      </c>
      <c r="CR683" s="2174">
        <v>0</v>
      </c>
      <c r="CS683" s="2174">
        <f t="shared" si="1221"/>
        <v>-20.916</v>
      </c>
      <c r="CT683" s="2174">
        <f t="shared" si="1217"/>
        <v>-1.018</v>
      </c>
      <c r="CU683" s="2174">
        <v>-17.463999999999999</v>
      </c>
      <c r="CV683" s="2174">
        <v>-4.0049999999999999</v>
      </c>
      <c r="CW683" s="2174">
        <v>0</v>
      </c>
      <c r="CX683" s="2174">
        <v>0</v>
      </c>
      <c r="CY683" s="2174">
        <f t="shared" si="1222"/>
        <v>0</v>
      </c>
      <c r="CZ683" s="2320">
        <f>+CY683</f>
        <v>0</v>
      </c>
      <c r="DA683" s="2320">
        <f t="shared" ref="DA683:DF683" si="1224">+CZ683</f>
        <v>0</v>
      </c>
      <c r="DB683" s="1760">
        <f t="shared" si="1224"/>
        <v>0</v>
      </c>
      <c r="DC683" s="1760">
        <f t="shared" si="1224"/>
        <v>0</v>
      </c>
      <c r="DD683" s="1760">
        <f t="shared" si="1224"/>
        <v>0</v>
      </c>
      <c r="DE683" s="1760">
        <f t="shared" si="1224"/>
        <v>0</v>
      </c>
      <c r="DF683" s="1799">
        <f t="shared" si="1224"/>
        <v>0</v>
      </c>
      <c r="DG683" s="612"/>
      <c r="DH683" s="612"/>
    </row>
    <row r="684" spans="1:112" s="554" customFormat="1" ht="11.25" customHeight="1">
      <c r="A684" s="547"/>
      <c r="B684"/>
      <c r="C684"/>
      <c r="D684"/>
      <c r="E684"/>
      <c r="F684"/>
      <c r="G684"/>
      <c r="H684" s="1044"/>
      <c r="I684" s="1530" t="s">
        <v>102</v>
      </c>
      <c r="J684" s="2319"/>
      <c r="K684" s="2319"/>
      <c r="L684" s="2314"/>
      <c r="M684" s="2315"/>
      <c r="N684" s="2315"/>
      <c r="O684" s="2315"/>
      <c r="P684" s="2316"/>
      <c r="Q684" s="2315"/>
      <c r="R684" s="2315"/>
      <c r="S684" s="2315"/>
      <c r="T684" s="2316"/>
      <c r="U684" s="2174"/>
      <c r="V684" s="2174"/>
      <c r="W684" s="2174"/>
      <c r="X684" s="1912"/>
      <c r="Y684" s="2174"/>
      <c r="Z684" s="2174"/>
      <c r="AA684" s="2174"/>
      <c r="AB684" s="1912"/>
      <c r="AC684" s="2174"/>
      <c r="AD684" s="2174"/>
      <c r="AE684" s="2174"/>
      <c r="AF684" s="1912"/>
      <c r="AG684" s="2174"/>
      <c r="AH684" s="2174"/>
      <c r="AI684" s="2174"/>
      <c r="AJ684" s="1912"/>
      <c r="AK684" s="2174"/>
      <c r="AL684" s="2174"/>
      <c r="AM684" s="2174"/>
      <c r="AN684" s="1912"/>
      <c r="AO684" s="2174"/>
      <c r="AP684" s="2174"/>
      <c r="AQ684" s="2174"/>
      <c r="AR684" s="1912"/>
      <c r="AS684" s="2174"/>
      <c r="AT684" s="2174"/>
      <c r="AU684" s="2174"/>
      <c r="AV684" s="1912"/>
      <c r="AW684" s="2317"/>
      <c r="AX684" s="2317"/>
      <c r="AY684" s="2317"/>
      <c r="AZ684" s="1912"/>
      <c r="BA684" s="2174">
        <v>0</v>
      </c>
      <c r="BB684" s="2174">
        <f>-0.213-BA684</f>
        <v>-0.21299999999999999</v>
      </c>
      <c r="BC684" s="2174">
        <f>+-0.213-BB684-BA684</f>
        <v>0</v>
      </c>
      <c r="BD684" s="1912">
        <f t="shared" si="1220"/>
        <v>0</v>
      </c>
      <c r="BE684" s="2174">
        <v>0</v>
      </c>
      <c r="BF684" s="2174">
        <f>0-BE684</f>
        <v>0</v>
      </c>
      <c r="BG684" s="2174">
        <f>-0.001-BF684-BE684</f>
        <v>-1E-3</v>
      </c>
      <c r="BH684" s="1912">
        <f>-0.001-BG684-BF684-BE684</f>
        <v>0</v>
      </c>
      <c r="BI684" s="2174">
        <v>0</v>
      </c>
      <c r="BJ684" s="2174">
        <v>0</v>
      </c>
      <c r="BK684" s="2174">
        <f>+-0.008-BJ684-BI684</f>
        <v>-8.0000000000000002E-3</v>
      </c>
      <c r="BL684" s="1912">
        <f>-414.569-BK684-BJ684-BI684</f>
        <v>-414.56100000000004</v>
      </c>
      <c r="BM684" s="2174">
        <v>-58.448999999999998</v>
      </c>
      <c r="BN684" s="2174">
        <f>+-117.83-BM684</f>
        <v>-59.381</v>
      </c>
      <c r="BO684" s="2174">
        <f>-121.925-BN684-BM684</f>
        <v>-4.0949999999999989</v>
      </c>
      <c r="BP684" s="1912">
        <f t="shared" si="1223"/>
        <v>-3.2109999999999985</v>
      </c>
      <c r="BQ684" s="2174">
        <v>-147.62899999999999</v>
      </c>
      <c r="BR684" s="2174">
        <f>-147.629-BQ684</f>
        <v>0</v>
      </c>
      <c r="BS684" s="2174">
        <f>+-147.629-BR684-BQ684</f>
        <v>0</v>
      </c>
      <c r="BT684" s="1912">
        <f t="shared" si="1214"/>
        <v>0</v>
      </c>
      <c r="BU684" s="2174">
        <v>0</v>
      </c>
      <c r="BV684" s="2174">
        <f>0-BU684</f>
        <v>0</v>
      </c>
      <c r="BW684" s="2174">
        <f>0-BV684-BU684</f>
        <v>0</v>
      </c>
      <c r="BX684" s="1912">
        <f t="shared" si="1215"/>
        <v>0</v>
      </c>
      <c r="BY684" s="2174">
        <v>0</v>
      </c>
      <c r="BZ684" s="2174">
        <f>0-BY684</f>
        <v>0</v>
      </c>
      <c r="CA684" s="2174">
        <f>0-BZ684-BY684</f>
        <v>0</v>
      </c>
      <c r="CB684" s="1912">
        <f t="shared" si="1216"/>
        <v>-285.71800000000002</v>
      </c>
      <c r="CC684" s="2174">
        <v>0</v>
      </c>
      <c r="CD684" s="2174">
        <v>0</v>
      </c>
      <c r="CE684" s="2174">
        <v>0</v>
      </c>
      <c r="CF684" s="1912">
        <v>0</v>
      </c>
      <c r="CG684" s="2316"/>
      <c r="CH684" s="2318"/>
      <c r="CI684" s="2315"/>
      <c r="CJ684" s="2174"/>
      <c r="CK684" s="2174"/>
      <c r="CL684" s="2174"/>
      <c r="CM684" s="2174"/>
      <c r="CN684" s="2174"/>
      <c r="CO684" s="2174"/>
      <c r="CP684" s="2317"/>
      <c r="CQ684" s="2174">
        <v>-295.40100000000001</v>
      </c>
      <c r="CR684" s="2174">
        <v>-0.21299999999999999</v>
      </c>
      <c r="CS684" s="2174">
        <f t="shared" si="1221"/>
        <v>-1E-3</v>
      </c>
      <c r="CT684" s="2174">
        <f t="shared" si="1217"/>
        <v>-414.56900000000002</v>
      </c>
      <c r="CU684" s="2174">
        <v>-125.136</v>
      </c>
      <c r="CV684" s="2174">
        <v>-147.62899999999999</v>
      </c>
      <c r="CW684" s="2174">
        <v>0</v>
      </c>
      <c r="CX684" s="2174">
        <v>-285.71800000000002</v>
      </c>
      <c r="CY684" s="2174">
        <f t="shared" si="1222"/>
        <v>0</v>
      </c>
      <c r="CZ684" s="2320">
        <f>+CY684</f>
        <v>0</v>
      </c>
      <c r="DA684" s="2320">
        <f t="shared" ref="DA684:DF684" si="1225">+CZ684</f>
        <v>0</v>
      </c>
      <c r="DB684" s="1760">
        <f t="shared" si="1225"/>
        <v>0</v>
      </c>
      <c r="DC684" s="1760">
        <f t="shared" si="1225"/>
        <v>0</v>
      </c>
      <c r="DD684" s="1760">
        <f t="shared" si="1225"/>
        <v>0</v>
      </c>
      <c r="DE684" s="1760">
        <f t="shared" si="1225"/>
        <v>0</v>
      </c>
      <c r="DF684" s="1799">
        <f t="shared" si="1225"/>
        <v>0</v>
      </c>
      <c r="DG684" s="612"/>
      <c r="DH684" s="612"/>
    </row>
    <row r="685" spans="1:112" s="554" customFormat="1" ht="11.25" customHeight="1">
      <c r="A685" s="547"/>
      <c r="B685"/>
      <c r="C685"/>
      <c r="D685"/>
      <c r="E685"/>
      <c r="F685"/>
      <c r="G685"/>
      <c r="H685" s="1044"/>
      <c r="I685" s="1530" t="s">
        <v>103</v>
      </c>
      <c r="J685" s="2319"/>
      <c r="K685" s="2319"/>
      <c r="L685" s="2314"/>
      <c r="M685" s="2315"/>
      <c r="N685" s="2315"/>
      <c r="O685" s="2315"/>
      <c r="P685" s="2316"/>
      <c r="Q685" s="2315"/>
      <c r="R685" s="2315"/>
      <c r="S685" s="2315"/>
      <c r="T685" s="2316"/>
      <c r="U685" s="2174"/>
      <c r="V685" s="2174"/>
      <c r="W685" s="2174"/>
      <c r="X685" s="1912"/>
      <c r="Y685" s="2174"/>
      <c r="Z685" s="2174"/>
      <c r="AA685" s="2174"/>
      <c r="AB685" s="1912"/>
      <c r="AC685" s="2174"/>
      <c r="AD685" s="2174"/>
      <c r="AE685" s="2174"/>
      <c r="AF685" s="1912"/>
      <c r="AG685" s="2174"/>
      <c r="AH685" s="2174"/>
      <c r="AI685" s="2174"/>
      <c r="AJ685" s="1912"/>
      <c r="AK685" s="2174"/>
      <c r="AL685" s="2174"/>
      <c r="AM685" s="2174"/>
      <c r="AN685" s="1912"/>
      <c r="AO685" s="2174"/>
      <c r="AP685" s="2174"/>
      <c r="AQ685" s="2174"/>
      <c r="AR685" s="1912"/>
      <c r="AS685" s="2174"/>
      <c r="AT685" s="2174"/>
      <c r="AU685" s="2174"/>
      <c r="AV685" s="1912"/>
      <c r="AW685" s="2317"/>
      <c r="AX685" s="2317"/>
      <c r="AY685" s="2317"/>
      <c r="AZ685" s="1912"/>
      <c r="BA685" s="2174">
        <v>-157.262</v>
      </c>
      <c r="BB685" s="2174">
        <f>-158.691-BA685</f>
        <v>-1.429000000000002</v>
      </c>
      <c r="BC685" s="2174">
        <f>+-162.369-BB685-BA685</f>
        <v>-3.6779999999999973</v>
      </c>
      <c r="BD685" s="1912">
        <f t="shared" si="1220"/>
        <v>-0.8019999999999925</v>
      </c>
      <c r="BE685" s="2174">
        <v>-254.22499999999999</v>
      </c>
      <c r="BF685" s="2174">
        <f>+-255.168-BE685</f>
        <v>-0.94300000000001205</v>
      </c>
      <c r="BG685" s="2174">
        <f>+-255.397-BF685-BE685</f>
        <v>-0.22899999999998499</v>
      </c>
      <c r="BH685" s="1912">
        <f>-257.021-BG685-BF685-BE685</f>
        <v>-1.6240000000000236</v>
      </c>
      <c r="BI685" s="2174">
        <v>-76.38</v>
      </c>
      <c r="BJ685" s="2174">
        <f>+Model!BJ172*-1</f>
        <v>-346.90500000000003</v>
      </c>
      <c r="BK685" s="2174">
        <f>+-883.008-BJ685-BI685</f>
        <v>-459.72300000000007</v>
      </c>
      <c r="BL685" s="1912">
        <f>-883.515-BK685-BJ685-BI685</f>
        <v>-0.50699999999989132</v>
      </c>
      <c r="BM685" s="2174">
        <v>-96.66</v>
      </c>
      <c r="BN685" s="2174">
        <f>+-97.326-BM685</f>
        <v>-0.66599999999999682</v>
      </c>
      <c r="BO685" s="2174">
        <f>-245.456-BN685-BM685</f>
        <v>-148.13</v>
      </c>
      <c r="BP685" s="1912">
        <f t="shared" si="1223"/>
        <v>-504.92200000000014</v>
      </c>
      <c r="BQ685" s="2174">
        <v>-308.61799999999999</v>
      </c>
      <c r="BR685" s="2174">
        <f>-986.581-BQ685</f>
        <v>-677.96299999999997</v>
      </c>
      <c r="BS685" s="2174">
        <f>+-2267.384-BR685-BQ685</f>
        <v>-1280.8030000000001</v>
      </c>
      <c r="BT685" s="1912">
        <f t="shared" si="1214"/>
        <v>-821.67099999999982</v>
      </c>
      <c r="BU685" s="2174">
        <v>-259.36099999999999</v>
      </c>
      <c r="BV685" s="2174">
        <f>-525.144-BU685</f>
        <v>-265.78300000000002</v>
      </c>
      <c r="BW685" s="2174">
        <f>-757.477-BV685-BU685</f>
        <v>-232.33299999999997</v>
      </c>
      <c r="BX685" s="1912">
        <f t="shared" si="1215"/>
        <v>-256.04899999999998</v>
      </c>
      <c r="BY685" s="2174">
        <v>-209.797</v>
      </c>
      <c r="BZ685" s="2174">
        <f>+-555.25-BY685</f>
        <v>-345.45299999999997</v>
      </c>
      <c r="CA685" s="2174">
        <f>+-1123.102-BZ685-BY685</f>
        <v>-567.85200000000009</v>
      </c>
      <c r="CB685" s="1912">
        <f t="shared" si="1216"/>
        <v>-704.81700000000001</v>
      </c>
      <c r="CC685" s="2174">
        <f>+Model!CC172*-1</f>
        <v>-625</v>
      </c>
      <c r="CD685" s="2174">
        <f>+Model!CD172*-1</f>
        <v>-625</v>
      </c>
      <c r="CE685" s="2174">
        <f>+Model!CE172*-1</f>
        <v>-625</v>
      </c>
      <c r="CF685" s="1912">
        <f>+Model!CF172*-1</f>
        <v>-625</v>
      </c>
      <c r="CG685" s="2316"/>
      <c r="CH685" s="2318"/>
      <c r="CI685" s="2315"/>
      <c r="CJ685" s="2174"/>
      <c r="CK685" s="2174"/>
      <c r="CL685" s="2174"/>
      <c r="CM685" s="2174"/>
      <c r="CN685" s="2174"/>
      <c r="CO685" s="2174"/>
      <c r="CP685" s="2317"/>
      <c r="CQ685" s="2174">
        <v>-129.44499999999999</v>
      </c>
      <c r="CR685" s="2174">
        <v>-163.17099999999999</v>
      </c>
      <c r="CS685" s="2174">
        <f t="shared" si="1221"/>
        <v>-257.02100000000002</v>
      </c>
      <c r="CT685" s="2174">
        <f t="shared" si="1217"/>
        <v>-883.51499999999987</v>
      </c>
      <c r="CU685" s="2174">
        <v>-750.37800000000004</v>
      </c>
      <c r="CV685" s="2174">
        <v>-3089.0549999999998</v>
      </c>
      <c r="CW685" s="2174">
        <v>-1013.526</v>
      </c>
      <c r="CX685" s="2174">
        <v>-1827.9190000000001</v>
      </c>
      <c r="CY685" s="2174">
        <f t="shared" si="1222"/>
        <v>-2500</v>
      </c>
      <c r="CZ685" s="2174">
        <f>+Model!CZ172*-1</f>
        <v>-2500</v>
      </c>
      <c r="DA685" s="2174">
        <f>+Model!DA172*-1</f>
        <v>-2500</v>
      </c>
      <c r="DB685" s="517">
        <f>+Model!DB172*-1</f>
        <v>-2500</v>
      </c>
      <c r="DC685" s="517">
        <f>+Model!DC172*-1</f>
        <v>-1000</v>
      </c>
      <c r="DD685" s="517">
        <f>+Model!DD172*-1</f>
        <v>-1000</v>
      </c>
      <c r="DE685" s="517">
        <f>+Model!DE172*-1</f>
        <v>-1000</v>
      </c>
      <c r="DF685" s="601">
        <f>+Model!DF172*-1</f>
        <v>-1000</v>
      </c>
      <c r="DG685" s="612"/>
      <c r="DH685" s="612"/>
    </row>
    <row r="686" spans="1:112" s="554" customFormat="1" ht="11.25" customHeight="1">
      <c r="A686" s="547"/>
      <c r="B686"/>
      <c r="C686"/>
      <c r="D686"/>
      <c r="E686"/>
      <c r="F686"/>
      <c r="G686"/>
      <c r="H686" s="1044"/>
      <c r="I686" s="1530" t="s">
        <v>104</v>
      </c>
      <c r="J686" s="2319"/>
      <c r="K686" s="2319"/>
      <c r="L686" s="2314"/>
      <c r="M686" s="2315"/>
      <c r="N686" s="2315"/>
      <c r="O686" s="2315"/>
      <c r="P686" s="2316"/>
      <c r="Q686" s="2315"/>
      <c r="R686" s="2315"/>
      <c r="S686" s="2315"/>
      <c r="T686" s="2316"/>
      <c r="U686" s="2174"/>
      <c r="V686" s="2174"/>
      <c r="W686" s="2174"/>
      <c r="X686" s="1912"/>
      <c r="Y686" s="2174"/>
      <c r="Z686" s="2174"/>
      <c r="AA686" s="2174"/>
      <c r="AB686" s="1912"/>
      <c r="AC686" s="2174"/>
      <c r="AD686" s="2174"/>
      <c r="AE686" s="2174"/>
      <c r="AF686" s="1912"/>
      <c r="AG686" s="2174"/>
      <c r="AH686" s="2174"/>
      <c r="AI686" s="2174"/>
      <c r="AJ686" s="1912"/>
      <c r="AK686" s="2174"/>
      <c r="AL686" s="2174"/>
      <c r="AM686" s="2174"/>
      <c r="AN686" s="1912"/>
      <c r="AO686" s="2174"/>
      <c r="AP686" s="2174"/>
      <c r="AQ686" s="2174"/>
      <c r="AR686" s="1912"/>
      <c r="AS686" s="2174"/>
      <c r="AT686" s="2174"/>
      <c r="AU686" s="2174"/>
      <c r="AV686" s="1912"/>
      <c r="AW686" s="2317"/>
      <c r="AX686" s="2317"/>
      <c r="AY686" s="2317"/>
      <c r="AZ686" s="1912"/>
      <c r="BA686" s="2174">
        <v>0.54400000000000004</v>
      </c>
      <c r="BB686" s="2174">
        <f>3.87-BA686</f>
        <v>3.3260000000000001</v>
      </c>
      <c r="BC686" s="2174">
        <f>3.991-BB686-BA686</f>
        <v>0.121</v>
      </c>
      <c r="BD686" s="1912">
        <f t="shared" si="1220"/>
        <v>0.31099999999999905</v>
      </c>
      <c r="BE686" s="2174">
        <v>1.0449999999999999</v>
      </c>
      <c r="BF686" s="2174">
        <f>1.693-BE686</f>
        <v>0.64800000000000013</v>
      </c>
      <c r="BG686" s="2174">
        <f>2.655-BF686-BE686</f>
        <v>0.96199999999999974</v>
      </c>
      <c r="BH686" s="1912">
        <f>2.683-BG686-BF686-BE686</f>
        <v>2.8000000000000025E-2</v>
      </c>
      <c r="BI686" s="2174">
        <v>0.96499999999999997</v>
      </c>
      <c r="BJ686" s="2174">
        <f>72.81+-BI686</f>
        <v>71.844999999999999</v>
      </c>
      <c r="BK686" s="2174">
        <f>86.31-BJ686-BI686</f>
        <v>13.500000000000004</v>
      </c>
      <c r="BL686" s="1912">
        <f>91.607-BK686-BJ686-BI686</f>
        <v>5.2970000000000006</v>
      </c>
      <c r="BM686" s="2174">
        <v>7.6929999999999996</v>
      </c>
      <c r="BN686" s="2174">
        <f>9.686-BM686</f>
        <v>1.9930000000000003</v>
      </c>
      <c r="BO686" s="2174">
        <f>12.434-BN686-BM686</f>
        <v>2.7479999999999993</v>
      </c>
      <c r="BP686" s="1912">
        <f t="shared" si="1223"/>
        <v>3.9550000000000001</v>
      </c>
      <c r="BQ686" s="2174">
        <v>9.07</v>
      </c>
      <c r="BR686" s="2174">
        <f>12.825-BQ686</f>
        <v>3.754999999999999</v>
      </c>
      <c r="BS686" s="2174">
        <f>19.139-BR686-BQ686</f>
        <v>6.3140000000000001</v>
      </c>
      <c r="BT686" s="1912">
        <f t="shared" si="1214"/>
        <v>1.7119999999999997</v>
      </c>
      <c r="BU686" s="2174">
        <v>4.8150000000000004</v>
      </c>
      <c r="BV686" s="2174">
        <f>9.766-BU686</f>
        <v>4.9509999999999996</v>
      </c>
      <c r="BW686" s="2174">
        <f>13.262-BV686-BU686</f>
        <v>3.4959999999999996</v>
      </c>
      <c r="BX686" s="1912">
        <f t="shared" si="1215"/>
        <v>2.3100000000000005</v>
      </c>
      <c r="BY686" s="2174">
        <v>1.4790000000000001</v>
      </c>
      <c r="BZ686" s="2174">
        <f>2.79-BY686</f>
        <v>1.3109999999999999</v>
      </c>
      <c r="CA686" s="2174">
        <f>4.303-BZ686-BY686</f>
        <v>1.5129999999999999</v>
      </c>
      <c r="CB686" s="1912">
        <f t="shared" si="1216"/>
        <v>0.83699999999999974</v>
      </c>
      <c r="CC686" s="2174">
        <v>0</v>
      </c>
      <c r="CD686" s="2174">
        <v>0</v>
      </c>
      <c r="CE686" s="2174">
        <v>0</v>
      </c>
      <c r="CF686" s="1912">
        <v>0</v>
      </c>
      <c r="CG686" s="2316"/>
      <c r="CH686" s="2318"/>
      <c r="CI686" s="2315"/>
      <c r="CJ686" s="2174"/>
      <c r="CK686" s="2174"/>
      <c r="CL686" s="2174"/>
      <c r="CM686" s="2174"/>
      <c r="CN686" s="2174"/>
      <c r="CO686" s="2174"/>
      <c r="CP686" s="2317"/>
      <c r="CQ686" s="2174">
        <v>25.751000000000001</v>
      </c>
      <c r="CR686" s="2174">
        <v>4.3019999999999996</v>
      </c>
      <c r="CS686" s="2174">
        <f t="shared" si="1221"/>
        <v>2.6829999999999998</v>
      </c>
      <c r="CT686" s="2174">
        <f t="shared" si="1217"/>
        <v>91.606999999999999</v>
      </c>
      <c r="CU686" s="2174">
        <v>16.388999999999999</v>
      </c>
      <c r="CV686" s="2174">
        <v>20.850999999999999</v>
      </c>
      <c r="CW686" s="2174">
        <v>15.571999999999999</v>
      </c>
      <c r="CX686" s="2174">
        <v>5.14</v>
      </c>
      <c r="CY686" s="2174">
        <f t="shared" si="1222"/>
        <v>0</v>
      </c>
      <c r="CZ686" s="2320">
        <f t="shared" ref="CZ686:DF689" si="1226">+CY686</f>
        <v>0</v>
      </c>
      <c r="DA686" s="2320">
        <f t="shared" si="1226"/>
        <v>0</v>
      </c>
      <c r="DB686" s="1760">
        <f t="shared" si="1226"/>
        <v>0</v>
      </c>
      <c r="DC686" s="1760">
        <f t="shared" si="1226"/>
        <v>0</v>
      </c>
      <c r="DD686" s="1760">
        <f t="shared" si="1226"/>
        <v>0</v>
      </c>
      <c r="DE686" s="1760">
        <f t="shared" si="1226"/>
        <v>0</v>
      </c>
      <c r="DF686" s="1799">
        <f t="shared" si="1226"/>
        <v>0</v>
      </c>
      <c r="DG686" s="612"/>
      <c r="DH686" s="612"/>
    </row>
    <row r="687" spans="1:112" s="554" customFormat="1" ht="11.25" customHeight="1">
      <c r="A687" s="547"/>
      <c r="B687"/>
      <c r="C687"/>
      <c r="D687"/>
      <c r="E687"/>
      <c r="F687"/>
      <c r="G687"/>
      <c r="H687" s="1044"/>
      <c r="I687" s="1530" t="s">
        <v>137</v>
      </c>
      <c r="J687" s="2319"/>
      <c r="K687" s="2319"/>
      <c r="L687" s="2314"/>
      <c r="M687" s="2315"/>
      <c r="N687" s="2315"/>
      <c r="O687" s="2315"/>
      <c r="P687" s="2316"/>
      <c r="Q687" s="2315"/>
      <c r="R687" s="2315"/>
      <c r="S687" s="2315"/>
      <c r="T687" s="2316"/>
      <c r="U687" s="2174"/>
      <c r="V687" s="2174"/>
      <c r="W687" s="2174"/>
      <c r="X687" s="1912"/>
      <c r="Y687" s="2174"/>
      <c r="Z687" s="2174"/>
      <c r="AA687" s="2174"/>
      <c r="AB687" s="1912"/>
      <c r="AC687" s="2174"/>
      <c r="AD687" s="2174"/>
      <c r="AE687" s="2174"/>
      <c r="AF687" s="1912"/>
      <c r="AG687" s="2174"/>
      <c r="AH687" s="2174"/>
      <c r="AI687" s="2174"/>
      <c r="AJ687" s="1912"/>
      <c r="AK687" s="2174"/>
      <c r="AL687" s="2174"/>
      <c r="AM687" s="2174"/>
      <c r="AN687" s="1912"/>
      <c r="AO687" s="2174"/>
      <c r="AP687" s="2174"/>
      <c r="AQ687" s="2174"/>
      <c r="AR687" s="1912"/>
      <c r="AS687" s="2174"/>
      <c r="AT687" s="2174"/>
      <c r="AU687" s="2174"/>
      <c r="AV687" s="1912"/>
      <c r="AW687" s="2317"/>
      <c r="AX687" s="2317"/>
      <c r="AY687" s="2317"/>
      <c r="AZ687" s="1912"/>
      <c r="BA687" s="2174">
        <v>0</v>
      </c>
      <c r="BB687" s="2174">
        <f>0-BA687</f>
        <v>0</v>
      </c>
      <c r="BC687" s="2174">
        <f>0-BB687-BA687</f>
        <v>0</v>
      </c>
      <c r="BD687" s="1912">
        <f t="shared" si="1220"/>
        <v>0</v>
      </c>
      <c r="BE687" s="2174">
        <v>0</v>
      </c>
      <c r="BF687" s="2174">
        <f>0-BE687</f>
        <v>0</v>
      </c>
      <c r="BG687" s="2174">
        <f>0-BF687-BE687</f>
        <v>0</v>
      </c>
      <c r="BH687" s="1912">
        <f>0-BG687-BF687-BE687</f>
        <v>0</v>
      </c>
      <c r="BI687" s="2174">
        <v>0</v>
      </c>
      <c r="BJ687" s="2174">
        <v>0</v>
      </c>
      <c r="BK687" s="2174">
        <f>-1.191-BJ687-BI687</f>
        <v>-1.1910000000000001</v>
      </c>
      <c r="BL687" s="1912">
        <f>-1.191-BK687-BJ687-BI687</f>
        <v>0</v>
      </c>
      <c r="BM687" s="2174">
        <v>0</v>
      </c>
      <c r="BN687" s="2174">
        <f>0-BM687</f>
        <v>0</v>
      </c>
      <c r="BO687" s="2174">
        <f>0-BN687-BM687</f>
        <v>0</v>
      </c>
      <c r="BP687" s="1912">
        <f t="shared" si="1223"/>
        <v>0</v>
      </c>
      <c r="BQ687" s="2174">
        <v>0</v>
      </c>
      <c r="BR687" s="2174">
        <f>0-BQ687</f>
        <v>0</v>
      </c>
      <c r="BS687" s="2174">
        <f>0-BR687-BQ687</f>
        <v>0</v>
      </c>
      <c r="BT687" s="1912">
        <f t="shared" si="1214"/>
        <v>0</v>
      </c>
      <c r="BU687" s="2174">
        <v>0</v>
      </c>
      <c r="BV687" s="2174">
        <f>0-BU687</f>
        <v>0</v>
      </c>
      <c r="BW687" s="2174">
        <f>0-BV687-BU687</f>
        <v>0</v>
      </c>
      <c r="BX687" s="1912">
        <f t="shared" si="1215"/>
        <v>0</v>
      </c>
      <c r="BY687" s="2174">
        <v>0</v>
      </c>
      <c r="BZ687" s="2174">
        <f>0-BY687</f>
        <v>0</v>
      </c>
      <c r="CA687" s="2174">
        <f>0-BZ687-BY687</f>
        <v>0</v>
      </c>
      <c r="CB687" s="1912">
        <f t="shared" si="1216"/>
        <v>0</v>
      </c>
      <c r="CC687" s="2174">
        <v>0</v>
      </c>
      <c r="CD687" s="2174">
        <v>0</v>
      </c>
      <c r="CE687" s="2174">
        <v>0</v>
      </c>
      <c r="CF687" s="1912">
        <v>0</v>
      </c>
      <c r="CG687" s="2316"/>
      <c r="CH687" s="2318"/>
      <c r="CI687" s="2315"/>
      <c r="CJ687" s="2174"/>
      <c r="CK687" s="2174"/>
      <c r="CL687" s="2174"/>
      <c r="CM687" s="2174"/>
      <c r="CN687" s="2174"/>
      <c r="CO687" s="2174"/>
      <c r="CP687" s="2317"/>
      <c r="CQ687" s="2174">
        <v>0</v>
      </c>
      <c r="CR687" s="2174">
        <v>0</v>
      </c>
      <c r="CS687" s="2174">
        <f t="shared" si="1221"/>
        <v>0</v>
      </c>
      <c r="CT687" s="2174">
        <f t="shared" si="1217"/>
        <v>-1.1910000000000001</v>
      </c>
      <c r="CU687" s="2174">
        <v>0</v>
      </c>
      <c r="CV687" s="2174">
        <v>0</v>
      </c>
      <c r="CW687" s="2174">
        <v>0</v>
      </c>
      <c r="CX687" s="2174">
        <v>0</v>
      </c>
      <c r="CY687" s="2174">
        <f t="shared" si="1222"/>
        <v>0</v>
      </c>
      <c r="CZ687" s="2320">
        <f t="shared" si="1226"/>
        <v>0</v>
      </c>
      <c r="DA687" s="2320">
        <f t="shared" si="1226"/>
        <v>0</v>
      </c>
      <c r="DB687" s="1760">
        <f t="shared" si="1226"/>
        <v>0</v>
      </c>
      <c r="DC687" s="1760">
        <f t="shared" si="1226"/>
        <v>0</v>
      </c>
      <c r="DD687" s="1760">
        <f t="shared" si="1226"/>
        <v>0</v>
      </c>
      <c r="DE687" s="1760">
        <f t="shared" si="1226"/>
        <v>0</v>
      </c>
      <c r="DF687" s="1799">
        <f t="shared" si="1226"/>
        <v>0</v>
      </c>
      <c r="DG687" s="612"/>
      <c r="DH687" s="612"/>
    </row>
    <row r="688" spans="1:112" s="554" customFormat="1" ht="11.25" customHeight="1">
      <c r="A688" s="547"/>
      <c r="B688"/>
      <c r="C688"/>
      <c r="D688"/>
      <c r="E688"/>
      <c r="F688"/>
      <c r="G688"/>
      <c r="H688" s="1044"/>
      <c r="I688" s="1530" t="s">
        <v>105</v>
      </c>
      <c r="J688" s="2319"/>
      <c r="K688" s="2319"/>
      <c r="L688" s="2314"/>
      <c r="M688" s="2315"/>
      <c r="N688" s="2315"/>
      <c r="O688" s="2315"/>
      <c r="P688" s="2316"/>
      <c r="Q688" s="2315"/>
      <c r="R688" s="2315"/>
      <c r="S688" s="2315"/>
      <c r="T688" s="2316"/>
      <c r="U688" s="2174"/>
      <c r="V688" s="2174"/>
      <c r="W688" s="2174"/>
      <c r="X688" s="1912"/>
      <c r="Y688" s="2174"/>
      <c r="Z688" s="2174"/>
      <c r="AA688" s="2174"/>
      <c r="AB688" s="1912"/>
      <c r="AC688" s="2174"/>
      <c r="AD688" s="2174"/>
      <c r="AE688" s="2174"/>
      <c r="AF688" s="1912"/>
      <c r="AG688" s="2174"/>
      <c r="AH688" s="2174"/>
      <c r="AI688" s="2174"/>
      <c r="AJ688" s="1912"/>
      <c r="AK688" s="2174"/>
      <c r="AL688" s="2174"/>
      <c r="AM688" s="2174"/>
      <c r="AN688" s="1912"/>
      <c r="AO688" s="2174"/>
      <c r="AP688" s="2174"/>
      <c r="AQ688" s="2174"/>
      <c r="AR688" s="1912"/>
      <c r="AS688" s="2174"/>
      <c r="AT688" s="2174"/>
      <c r="AU688" s="2174"/>
      <c r="AV688" s="1912"/>
      <c r="AW688" s="2317"/>
      <c r="AX688" s="2317"/>
      <c r="AY688" s="2317"/>
      <c r="AZ688" s="1912"/>
      <c r="BA688" s="2174">
        <v>9.52</v>
      </c>
      <c r="BB688" s="2174">
        <f>12.173-BA688</f>
        <v>2.6530000000000005</v>
      </c>
      <c r="BC688" s="2174">
        <f>14.996-BB688-BA688</f>
        <v>2.8230000000000004</v>
      </c>
      <c r="BD688" s="1912">
        <f t="shared" si="1220"/>
        <v>6.0449999999999999</v>
      </c>
      <c r="BE688" s="2174">
        <v>4.04</v>
      </c>
      <c r="BF688" s="2174">
        <f>12.513-BE688</f>
        <v>8.472999999999999</v>
      </c>
      <c r="BG688" s="2174">
        <f>12.911-BF688-BE688</f>
        <v>0.39800000000000058</v>
      </c>
      <c r="BH688" s="1912">
        <f>5.189-BG688-BF688-BE688</f>
        <v>-7.7219999999999995</v>
      </c>
      <c r="BI688" s="2174">
        <v>4.4429999999999996</v>
      </c>
      <c r="BJ688" s="2174">
        <f>17.767-BI688</f>
        <v>13.324</v>
      </c>
      <c r="BK688" s="2174">
        <f>13.318-BJ688-BI688</f>
        <v>-4.4489999999999998</v>
      </c>
      <c r="BL688" s="1912">
        <f>17.686-BK688-BJ688-BI688</f>
        <v>4.3679999999999986</v>
      </c>
      <c r="BM688" s="2174">
        <v>5.4989999999999997</v>
      </c>
      <c r="BN688" s="2174">
        <f>12.222-BM688</f>
        <v>6.7229999999999999</v>
      </c>
      <c r="BO688" s="2174">
        <f>14.139-BN688-BM688</f>
        <v>1.9169999999999998</v>
      </c>
      <c r="BP688" s="1912">
        <f t="shared" si="1223"/>
        <v>9.2270000000000003</v>
      </c>
      <c r="BQ688" s="2174">
        <v>49.537999999999997</v>
      </c>
      <c r="BR688" s="2174">
        <f>68.241-BQ688</f>
        <v>18.703000000000003</v>
      </c>
      <c r="BS688" s="2174">
        <f>90.935-BR688-BQ688</f>
        <v>22.694000000000003</v>
      </c>
      <c r="BT688" s="1912">
        <f t="shared" si="1214"/>
        <v>10.572999999999993</v>
      </c>
      <c r="BU688" s="2174">
        <v>18.073</v>
      </c>
      <c r="BV688" s="2174">
        <f>61.47-BU688</f>
        <v>43.396999999999998</v>
      </c>
      <c r="BW688" s="2174">
        <f>72.116-BV688-BU688</f>
        <v>10.646000000000001</v>
      </c>
      <c r="BX688" s="1912">
        <f t="shared" si="1215"/>
        <v>-11.130000000000003</v>
      </c>
      <c r="BY688" s="2174">
        <v>0</v>
      </c>
      <c r="BZ688" s="2174">
        <f>0-BY688</f>
        <v>0</v>
      </c>
      <c r="CA688" s="2174">
        <f>0-BZ688-BY688</f>
        <v>0</v>
      </c>
      <c r="CB688" s="1912">
        <f t="shared" si="1216"/>
        <v>0</v>
      </c>
      <c r="CC688" s="2174">
        <v>0</v>
      </c>
      <c r="CD688" s="2174">
        <v>0</v>
      </c>
      <c r="CE688" s="2174">
        <v>0</v>
      </c>
      <c r="CF688" s="1912">
        <v>0</v>
      </c>
      <c r="CG688" s="2316"/>
      <c r="CH688" s="2318"/>
      <c r="CI688" s="2315"/>
      <c r="CJ688" s="2174"/>
      <c r="CK688" s="2174"/>
      <c r="CL688" s="2174"/>
      <c r="CM688" s="2174"/>
      <c r="CN688" s="2174"/>
      <c r="CO688" s="2174"/>
      <c r="CP688" s="2317"/>
      <c r="CQ688" s="2174">
        <v>3.0910000000000002</v>
      </c>
      <c r="CR688" s="2174">
        <v>21.041</v>
      </c>
      <c r="CS688" s="2174">
        <f t="shared" si="1221"/>
        <v>5.1889999999999983</v>
      </c>
      <c r="CT688" s="2174">
        <f t="shared" si="1217"/>
        <v>17.686</v>
      </c>
      <c r="CU688" s="2174">
        <v>23.366</v>
      </c>
      <c r="CV688" s="2174">
        <v>101.508</v>
      </c>
      <c r="CW688" s="2174">
        <v>60.985999999999997</v>
      </c>
      <c r="CX688" s="2174">
        <v>0</v>
      </c>
      <c r="CY688" s="2174">
        <f t="shared" si="1222"/>
        <v>0</v>
      </c>
      <c r="CZ688" s="2320">
        <f t="shared" si="1226"/>
        <v>0</v>
      </c>
      <c r="DA688" s="2320">
        <f t="shared" si="1226"/>
        <v>0</v>
      </c>
      <c r="DB688" s="1760">
        <f t="shared" si="1226"/>
        <v>0</v>
      </c>
      <c r="DC688" s="1760">
        <f t="shared" si="1226"/>
        <v>0</v>
      </c>
      <c r="DD688" s="1760">
        <f t="shared" si="1226"/>
        <v>0</v>
      </c>
      <c r="DE688" s="1760">
        <f t="shared" si="1226"/>
        <v>0</v>
      </c>
      <c r="DF688" s="1799">
        <f t="shared" si="1226"/>
        <v>0</v>
      </c>
      <c r="DG688" s="612"/>
      <c r="DH688" s="612"/>
    </row>
    <row r="689" spans="1:122" s="554" customFormat="1" ht="11.25" customHeight="1">
      <c r="A689" s="547"/>
      <c r="B689"/>
      <c r="C689"/>
      <c r="D689"/>
      <c r="E689"/>
      <c r="F689"/>
      <c r="G689"/>
      <c r="H689" s="1044"/>
      <c r="I689" s="2323" t="s">
        <v>88</v>
      </c>
      <c r="J689" s="2324"/>
      <c r="K689" s="2324"/>
      <c r="L689" s="2325"/>
      <c r="M689" s="2326"/>
      <c r="N689" s="2326"/>
      <c r="O689" s="2326"/>
      <c r="P689" s="2327"/>
      <c r="Q689" s="2326"/>
      <c r="R689" s="2326"/>
      <c r="S689" s="2326"/>
      <c r="T689" s="2327"/>
      <c r="U689" s="2328"/>
      <c r="V689" s="2328"/>
      <c r="W689" s="2328"/>
      <c r="X689" s="1927"/>
      <c r="Y689" s="2328"/>
      <c r="Z689" s="2328"/>
      <c r="AA689" s="2328"/>
      <c r="AB689" s="1927"/>
      <c r="AC689" s="2328"/>
      <c r="AD689" s="2328"/>
      <c r="AE689" s="2328"/>
      <c r="AF689" s="1927"/>
      <c r="AG689" s="2328"/>
      <c r="AH689" s="2328"/>
      <c r="AI689" s="2328"/>
      <c r="AJ689" s="1927"/>
      <c r="AK689" s="2328"/>
      <c r="AL689" s="2328"/>
      <c r="AM689" s="2328"/>
      <c r="AN689" s="1927"/>
      <c r="AO689" s="2328"/>
      <c r="AP689" s="2328"/>
      <c r="AQ689" s="2328"/>
      <c r="AR689" s="1927"/>
      <c r="AS689" s="2328"/>
      <c r="AT689" s="2328"/>
      <c r="AU689" s="2328"/>
      <c r="AV689" s="1927"/>
      <c r="AW689" s="2329"/>
      <c r="AX689" s="2329"/>
      <c r="AY689" s="2329"/>
      <c r="AZ689" s="1927"/>
      <c r="BA689" s="2328">
        <v>0</v>
      </c>
      <c r="BB689" s="2328">
        <f>+-12.986-BA689</f>
        <v>-12.986000000000001</v>
      </c>
      <c r="BC689" s="2328">
        <f>-12.986-BB689-BA689</f>
        <v>0</v>
      </c>
      <c r="BD689" s="1927">
        <f t="shared" si="1220"/>
        <v>0</v>
      </c>
      <c r="BE689" s="2328">
        <v>0</v>
      </c>
      <c r="BF689" s="2328">
        <f>+-61.079-BE689</f>
        <v>-61.079000000000001</v>
      </c>
      <c r="BG689" s="2328">
        <f>+-61.079-BF689-BE689</f>
        <v>0</v>
      </c>
      <c r="BH689" s="1927">
        <f>-61.079-BG689-BF689-BE689</f>
        <v>0</v>
      </c>
      <c r="BI689" s="2328">
        <v>0</v>
      </c>
      <c r="BJ689" s="2328">
        <f>+-192.53-1.191</f>
        <v>-193.721</v>
      </c>
      <c r="BK689" s="2328">
        <f>+-192.53-BJ689-BI689</f>
        <v>1.1910000000000025</v>
      </c>
      <c r="BL689" s="1927">
        <f>-192.53+0.019-BK689-BJ689-BI689</f>
        <v>1.9000000000005457E-2</v>
      </c>
      <c r="BM689" s="2328">
        <v>0</v>
      </c>
      <c r="BN689" s="2328">
        <f>0-BM689</f>
        <v>0</v>
      </c>
      <c r="BO689" s="2328">
        <f>0-BN689-BM689</f>
        <v>0</v>
      </c>
      <c r="BP689" s="1927">
        <f t="shared" si="1223"/>
        <v>0</v>
      </c>
      <c r="BQ689" s="2328">
        <v>0</v>
      </c>
      <c r="BR689" s="2328">
        <f>0-BQ689</f>
        <v>0</v>
      </c>
      <c r="BS689" s="2328">
        <f>-10.7-BR689-BQ689</f>
        <v>-10.7</v>
      </c>
      <c r="BT689" s="1927">
        <f t="shared" si="1214"/>
        <v>0</v>
      </c>
      <c r="BU689" s="2328">
        <v>0</v>
      </c>
      <c r="BV689" s="2328">
        <f>0-BU689</f>
        <v>0</v>
      </c>
      <c r="BW689" s="2328">
        <f>0-BV689-BU689</f>
        <v>0</v>
      </c>
      <c r="BX689" s="1927">
        <f>+CW689-BW689-BV689-BU689</f>
        <v>0</v>
      </c>
      <c r="BY689" s="2328">
        <v>0</v>
      </c>
      <c r="BZ689" s="2328">
        <f>0-BY689</f>
        <v>0</v>
      </c>
      <c r="CA689" s="2328">
        <f>0-BZ689-BY689</f>
        <v>0</v>
      </c>
      <c r="CB689" s="1927">
        <f t="shared" si="1216"/>
        <v>-15.118</v>
      </c>
      <c r="CC689" s="2328">
        <v>0</v>
      </c>
      <c r="CD689" s="2328">
        <v>0</v>
      </c>
      <c r="CE689" s="2328">
        <v>0</v>
      </c>
      <c r="CF689" s="1927">
        <v>0</v>
      </c>
      <c r="CG689" s="2316"/>
      <c r="CH689" s="2330"/>
      <c r="CI689" s="2326"/>
      <c r="CJ689" s="2328"/>
      <c r="CK689" s="2328"/>
      <c r="CL689" s="2328"/>
      <c r="CM689" s="2328"/>
      <c r="CN689" s="2328"/>
      <c r="CO689" s="2328"/>
      <c r="CP689" s="2329"/>
      <c r="CQ689" s="2328">
        <v>47.295000000000002</v>
      </c>
      <c r="CR689" s="2328">
        <v>-12.986000000000001</v>
      </c>
      <c r="CS689" s="2328">
        <f t="shared" si="1221"/>
        <v>-61.079000000000001</v>
      </c>
      <c r="CT689" s="2328">
        <f t="shared" si="1217"/>
        <v>-192.511</v>
      </c>
      <c r="CU689" s="2328">
        <v>0</v>
      </c>
      <c r="CV689" s="2328">
        <v>-10.7</v>
      </c>
      <c r="CW689" s="2328">
        <v>0</v>
      </c>
      <c r="CX689" s="2328">
        <v>-15.118</v>
      </c>
      <c r="CY689" s="2328">
        <f t="shared" si="1222"/>
        <v>0</v>
      </c>
      <c r="CZ689" s="2332">
        <f t="shared" si="1226"/>
        <v>0</v>
      </c>
      <c r="DA689" s="2332">
        <f t="shared" si="1226"/>
        <v>0</v>
      </c>
      <c r="DB689" s="1761">
        <f t="shared" si="1226"/>
        <v>0</v>
      </c>
      <c r="DC689" s="1761">
        <f t="shared" si="1226"/>
        <v>0</v>
      </c>
      <c r="DD689" s="1761">
        <f t="shared" si="1226"/>
        <v>0</v>
      </c>
      <c r="DE689" s="1761">
        <f t="shared" si="1226"/>
        <v>0</v>
      </c>
      <c r="DF689" s="1800">
        <f t="shared" si="1226"/>
        <v>0</v>
      </c>
      <c r="DG689" s="612"/>
      <c r="DH689" s="612"/>
    </row>
    <row r="690" spans="1:122" s="584" customFormat="1" ht="11.25" customHeight="1">
      <c r="A690" s="542"/>
      <c r="B690"/>
      <c r="C690"/>
      <c r="D690"/>
      <c r="E690"/>
      <c r="F690"/>
      <c r="G690"/>
      <c r="H690" s="1052"/>
      <c r="I690" s="655" t="s">
        <v>106</v>
      </c>
      <c r="J690" s="225"/>
      <c r="K690" s="225"/>
      <c r="L690" s="542"/>
      <c r="M690" s="543"/>
      <c r="N690" s="543"/>
      <c r="O690" s="543"/>
      <c r="P690" s="1003"/>
      <c r="Q690" s="543"/>
      <c r="R690" s="543"/>
      <c r="S690" s="543"/>
      <c r="T690" s="1003"/>
      <c r="U690" s="1004"/>
      <c r="V690" s="1004"/>
      <c r="W690" s="1004"/>
      <c r="X690" s="1005"/>
      <c r="Y690" s="1004"/>
      <c r="Z690" s="1004"/>
      <c r="AA690" s="1004"/>
      <c r="AB690" s="1005"/>
      <c r="AC690" s="1004"/>
      <c r="AD690" s="1004"/>
      <c r="AE690" s="1004"/>
      <c r="AF690" s="1005"/>
      <c r="AG690" s="1004"/>
      <c r="AH690" s="1004"/>
      <c r="AI690" s="1004"/>
      <c r="AJ690" s="1005"/>
      <c r="AK690" s="1004"/>
      <c r="AL690" s="1004"/>
      <c r="AM690" s="1004"/>
      <c r="AN690" s="1005"/>
      <c r="AO690" s="1004"/>
      <c r="AP690" s="1004"/>
      <c r="AQ690" s="1004"/>
      <c r="AR690" s="1005"/>
      <c r="AS690" s="1004"/>
      <c r="AT690" s="1004"/>
      <c r="AU690" s="1004"/>
      <c r="AV690" s="1005"/>
      <c r="AW690" s="2331"/>
      <c r="AX690" s="2331"/>
      <c r="AY690" s="2331"/>
      <c r="AZ690" s="1005"/>
      <c r="BA690" s="1004">
        <f t="shared" ref="BA690:BH690" si="1227">+SUM(BA682:BA689)</f>
        <v>-147.19799999999998</v>
      </c>
      <c r="BB690" s="1004">
        <f t="shared" si="1227"/>
        <v>-8.6490000000000027</v>
      </c>
      <c r="BC690" s="1004">
        <f t="shared" si="1227"/>
        <v>-0.73399999999999688</v>
      </c>
      <c r="BD690" s="1005">
        <f t="shared" si="1227"/>
        <v>5.5540000000000065</v>
      </c>
      <c r="BE690" s="1004">
        <f t="shared" si="1227"/>
        <v>730.5329999999999</v>
      </c>
      <c r="BF690" s="1004">
        <f t="shared" si="1227"/>
        <v>-52.995000000000012</v>
      </c>
      <c r="BG690" s="1004">
        <f t="shared" si="1227"/>
        <v>0.63500000000001433</v>
      </c>
      <c r="BH690" s="1005">
        <f t="shared" si="1227"/>
        <v>-9.3180000000000227</v>
      </c>
      <c r="BI690" s="1004">
        <f t="shared" ref="BI690:CF690" si="1228">+SUM(BI680:BI689)</f>
        <v>-70.971999999999994</v>
      </c>
      <c r="BJ690" s="1004">
        <f t="shared" si="1228"/>
        <v>524.51400000000001</v>
      </c>
      <c r="BK690" s="1004">
        <f t="shared" si="1228"/>
        <v>-451.56100000000004</v>
      </c>
      <c r="BL690" s="1005">
        <f t="shared" si="1228"/>
        <v>-405.4919999999999</v>
      </c>
      <c r="BM690" s="1004">
        <f t="shared" si="1228"/>
        <v>-141.91699999999997</v>
      </c>
      <c r="BN690" s="1004">
        <f t="shared" si="1228"/>
        <v>-51.330999999999996</v>
      </c>
      <c r="BO690" s="1004">
        <f t="shared" si="1228"/>
        <v>2118.4160000000002</v>
      </c>
      <c r="BP690" s="1005">
        <f t="shared" si="1228"/>
        <v>-496.17400000000015</v>
      </c>
      <c r="BQ690" s="1004">
        <f t="shared" si="1228"/>
        <v>1214.248</v>
      </c>
      <c r="BR690" s="1004">
        <f t="shared" si="1228"/>
        <v>-660.71299999999997</v>
      </c>
      <c r="BS690" s="1004">
        <f t="shared" si="1228"/>
        <v>-1262.73</v>
      </c>
      <c r="BT690" s="1005">
        <f t="shared" si="1228"/>
        <v>-20.800999999999792</v>
      </c>
      <c r="BU690" s="1004">
        <f t="shared" si="1228"/>
        <v>-133.97299999999998</v>
      </c>
      <c r="BV690" s="1004">
        <f t="shared" si="1228"/>
        <v>674.7700000000001</v>
      </c>
      <c r="BW690" s="1004">
        <f t="shared" si="1228"/>
        <v>-218.19099999999997</v>
      </c>
      <c r="BX690" s="1005">
        <f t="shared" si="1228"/>
        <v>-264.86899999999997</v>
      </c>
      <c r="BY690" s="1004">
        <f t="shared" si="1228"/>
        <v>843.40000000000009</v>
      </c>
      <c r="BZ690" s="1004">
        <f t="shared" si="1228"/>
        <v>-423.012</v>
      </c>
      <c r="CA690" s="1004">
        <f t="shared" si="1228"/>
        <v>401.07199999999995</v>
      </c>
      <c r="CB690" s="1005">
        <f t="shared" ref="CB690" si="1229">+SUM(CB680:CB689)</f>
        <v>-900.12300000000005</v>
      </c>
      <c r="CC690" s="1004">
        <f t="shared" si="1228"/>
        <v>-2039</v>
      </c>
      <c r="CD690" s="1004">
        <f t="shared" si="1228"/>
        <v>-625</v>
      </c>
      <c r="CE690" s="1004">
        <f t="shared" si="1228"/>
        <v>-625</v>
      </c>
      <c r="CF690" s="1005">
        <f t="shared" si="1228"/>
        <v>-625</v>
      </c>
      <c r="CG690" s="1003"/>
      <c r="CH690" s="1006"/>
      <c r="CI690" s="543"/>
      <c r="CJ690" s="1004"/>
      <c r="CK690" s="1004"/>
      <c r="CL690" s="1004"/>
      <c r="CM690" s="1004"/>
      <c r="CN690" s="1004"/>
      <c r="CO690" s="1004"/>
      <c r="CP690" s="2331"/>
      <c r="CQ690" s="1004">
        <f>+SUM(CQ682:CQ689)</f>
        <v>212.95700000000005</v>
      </c>
      <c r="CR690" s="1004">
        <f>+SUM(CR682:CR689)</f>
        <v>-151.02699999999999</v>
      </c>
      <c r="CS690" s="1004">
        <f>+SUM(CS682:CS689)</f>
        <v>668.8549999999999</v>
      </c>
      <c r="CT690" s="1004">
        <f t="shared" ref="CT690:CY690" si="1230">+SUM(CT680:CT689)</f>
        <v>-403.51099999999985</v>
      </c>
      <c r="CU690" s="1004">
        <f t="shared" si="1230"/>
        <v>1428.9939999999999</v>
      </c>
      <c r="CV690" s="1004">
        <f t="shared" si="1230"/>
        <v>-729.99599999999975</v>
      </c>
      <c r="CW690" s="1004">
        <f t="shared" si="1230"/>
        <v>57.73700000000008</v>
      </c>
      <c r="CX690" s="1004">
        <f t="shared" ref="CX690" si="1231">+SUM(CX680:CX689)</f>
        <v>-78.663000000000167</v>
      </c>
      <c r="CY690" s="1004">
        <f t="shared" si="1230"/>
        <v>-3914</v>
      </c>
      <c r="CZ690" s="1004">
        <f t="shared" ref="CZ690:DF690" si="1232">+SUM(CZ680:CZ689)</f>
        <v>-2500</v>
      </c>
      <c r="DA690" s="1004">
        <f t="shared" si="1232"/>
        <v>-3500</v>
      </c>
      <c r="DB690" s="514">
        <f t="shared" si="1232"/>
        <v>-3500</v>
      </c>
      <c r="DC690" s="514">
        <f t="shared" si="1232"/>
        <v>-1833.6109999999999</v>
      </c>
      <c r="DD690" s="514">
        <f t="shared" si="1232"/>
        <v>-1000</v>
      </c>
      <c r="DE690" s="514">
        <f t="shared" si="1232"/>
        <v>-2111.482</v>
      </c>
      <c r="DF690" s="515">
        <f t="shared" si="1232"/>
        <v>-1500</v>
      </c>
      <c r="DG690" s="632"/>
      <c r="DH690" s="632"/>
    </row>
    <row r="691" spans="1:122" s="554" customFormat="1" ht="11.25" customHeight="1">
      <c r="A691" s="547"/>
      <c r="B691"/>
      <c r="C691"/>
      <c r="D691"/>
      <c r="E691"/>
      <c r="F691"/>
      <c r="G691"/>
      <c r="H691" s="1044"/>
      <c r="I691" s="655"/>
      <c r="J691" s="225"/>
      <c r="K691" s="225"/>
      <c r="L691" s="2314"/>
      <c r="M691" s="2315"/>
      <c r="N691" s="2315"/>
      <c r="O691" s="2315"/>
      <c r="P691" s="2316"/>
      <c r="Q691" s="2315"/>
      <c r="R691" s="2315"/>
      <c r="S691" s="2315"/>
      <c r="T691" s="2316"/>
      <c r="U691" s="2174"/>
      <c r="V691" s="2174"/>
      <c r="W691" s="2174"/>
      <c r="X691" s="1912"/>
      <c r="Y691" s="2174"/>
      <c r="Z691" s="2174"/>
      <c r="AA691" s="2174"/>
      <c r="AB691" s="1912"/>
      <c r="AC691" s="2174"/>
      <c r="AD691" s="2174"/>
      <c r="AE691" s="2174"/>
      <c r="AF691" s="1912"/>
      <c r="AG691" s="2174"/>
      <c r="AH691" s="2174"/>
      <c r="AI691" s="2174"/>
      <c r="AJ691" s="1912"/>
      <c r="AK691" s="2174"/>
      <c r="AL691" s="2174"/>
      <c r="AM691" s="2174"/>
      <c r="AN691" s="1912"/>
      <c r="AO691" s="2174"/>
      <c r="AP691" s="2174"/>
      <c r="AQ691" s="2174"/>
      <c r="AR691" s="1912"/>
      <c r="AS691" s="2174"/>
      <c r="AT691" s="2174"/>
      <c r="AU691" s="2174"/>
      <c r="AV691" s="1912"/>
      <c r="AW691" s="2317"/>
      <c r="AX691" s="2317"/>
      <c r="AY691" s="2317"/>
      <c r="AZ691" s="1912"/>
      <c r="BA691" s="2174"/>
      <c r="BB691" s="2174"/>
      <c r="BC691" s="2174"/>
      <c r="BD691" s="1912"/>
      <c r="BE691" s="2174"/>
      <c r="BF691" s="2174"/>
      <c r="BG691" s="2174"/>
      <c r="BH691" s="1912"/>
      <c r="BI691" s="2174"/>
      <c r="BJ691" s="2174"/>
      <c r="BK691" s="2174"/>
      <c r="BL691" s="1912"/>
      <c r="BM691" s="2174"/>
      <c r="BN691" s="2174"/>
      <c r="BO691" s="2174"/>
      <c r="BP691" s="1912"/>
      <c r="BQ691" s="2174"/>
      <c r="BR691" s="2174"/>
      <c r="BS691" s="2174"/>
      <c r="BT691" s="1912"/>
      <c r="BU691" s="2174"/>
      <c r="BV691" s="2174"/>
      <c r="BW691" s="2174"/>
      <c r="BX691" s="1912"/>
      <c r="BY691" s="2174"/>
      <c r="BZ691" s="2174"/>
      <c r="CA691" s="2174"/>
      <c r="CB691" s="1912"/>
      <c r="CC691" s="2174"/>
      <c r="CD691" s="2174"/>
      <c r="CE691" s="2174"/>
      <c r="CF691" s="1912"/>
      <c r="CG691" s="2316"/>
      <c r="CH691" s="2318"/>
      <c r="CI691" s="2315"/>
      <c r="CJ691" s="2174"/>
      <c r="CK691" s="2174"/>
      <c r="CL691" s="2174"/>
      <c r="CM691" s="2174"/>
      <c r="CN691" s="2174"/>
      <c r="CO691" s="2174"/>
      <c r="CP691" s="2317"/>
      <c r="CQ691" s="2174"/>
      <c r="CR691" s="2174"/>
      <c r="CS691" s="2174"/>
      <c r="CT691" s="2174"/>
      <c r="CU691" s="2174"/>
      <c r="CV691" s="2174"/>
      <c r="CW691" s="2174"/>
      <c r="CX691" s="2174"/>
      <c r="CY691" s="2174"/>
      <c r="CZ691" s="2174"/>
      <c r="DA691" s="2174"/>
      <c r="DB691" s="516"/>
      <c r="DC691" s="516"/>
      <c r="DD691" s="516"/>
      <c r="DE691" s="516"/>
      <c r="DF691" s="602"/>
      <c r="DG691" s="612"/>
      <c r="DH691" s="612"/>
    </row>
    <row r="692" spans="1:122" s="554" customFormat="1" ht="11.25" customHeight="1">
      <c r="A692" s="547"/>
      <c r="B692"/>
      <c r="C692"/>
      <c r="D692"/>
      <c r="E692"/>
      <c r="F692"/>
      <c r="G692"/>
      <c r="H692" s="1044"/>
      <c r="I692" s="2312" t="s">
        <v>107</v>
      </c>
      <c r="J692" s="2313"/>
      <c r="K692" s="2313"/>
      <c r="L692" s="2314"/>
      <c r="M692" s="2315"/>
      <c r="N692" s="2315"/>
      <c r="O692" s="2315"/>
      <c r="P692" s="2316"/>
      <c r="Q692" s="2315"/>
      <c r="R692" s="2315"/>
      <c r="S692" s="2315"/>
      <c r="T692" s="2316"/>
      <c r="U692" s="2174"/>
      <c r="V692" s="2174"/>
      <c r="W692" s="2174"/>
      <c r="X692" s="1912"/>
      <c r="Y692" s="2174"/>
      <c r="Z692" s="2174"/>
      <c r="AA692" s="2174"/>
      <c r="AB692" s="1912"/>
      <c r="AC692" s="2174"/>
      <c r="AD692" s="2174"/>
      <c r="AE692" s="2174"/>
      <c r="AF692" s="1912"/>
      <c r="AG692" s="2174"/>
      <c r="AH692" s="2174"/>
      <c r="AI692" s="2174"/>
      <c r="AJ692" s="1912"/>
      <c r="AK692" s="2174"/>
      <c r="AL692" s="2174"/>
      <c r="AM692" s="2174"/>
      <c r="AN692" s="1912"/>
      <c r="AO692" s="2174"/>
      <c r="AP692" s="2174"/>
      <c r="AQ692" s="2174"/>
      <c r="AR692" s="1912"/>
      <c r="AS692" s="2174"/>
      <c r="AT692" s="2174"/>
      <c r="AU692" s="2174"/>
      <c r="AV692" s="1912"/>
      <c r="AW692" s="2317"/>
      <c r="AX692" s="2317"/>
      <c r="AY692" s="2317"/>
      <c r="AZ692" s="1912"/>
      <c r="BA692" s="2174">
        <v>8.0350000000000001</v>
      </c>
      <c r="BB692" s="2174">
        <f>8.757-BA692</f>
        <v>0.72199999999999953</v>
      </c>
      <c r="BC692" s="2174">
        <f>+-3.038-BB692-BA692</f>
        <v>-11.795</v>
      </c>
      <c r="BD692" s="1912">
        <f>+CR692-BC692-BB692-BA692</f>
        <v>-9.11</v>
      </c>
      <c r="BE692" s="2174">
        <v>17.827000000000002</v>
      </c>
      <c r="BF692" s="2174">
        <f>+-9.3-BE692</f>
        <v>-27.127000000000002</v>
      </c>
      <c r="BG692" s="2174">
        <f>+-0.917-BF692-BE692</f>
        <v>8.3829999999999991</v>
      </c>
      <c r="BH692" s="1912">
        <f>11.621-BG692-BF692-BE692</f>
        <v>12.538</v>
      </c>
      <c r="BI692" s="2174">
        <v>-21.282</v>
      </c>
      <c r="BJ692" s="2174">
        <f>+-18.209-BI692</f>
        <v>3.0730000000000004</v>
      </c>
      <c r="BK692" s="2174">
        <f>12.194-BJ692-BI692</f>
        <v>30.402999999999999</v>
      </c>
      <c r="BL692" s="1912">
        <f>17.987-BK692-BJ692-BI692</f>
        <v>5.7929999999999993</v>
      </c>
      <c r="BM692" s="2174">
        <v>3.9239999999999999</v>
      </c>
      <c r="BN692" s="2174">
        <f>4.857-BM692</f>
        <v>0.93300000000000027</v>
      </c>
      <c r="BO692" s="2174">
        <f>-48.145-BN692-BM692</f>
        <v>-53.002000000000002</v>
      </c>
      <c r="BP692" s="1912">
        <f>+CU692-BO692-BN692-BM692</f>
        <v>-88.045000000000002</v>
      </c>
      <c r="BQ692" s="2174">
        <v>-175.24799999999999</v>
      </c>
      <c r="BR692" s="2174">
        <f>+-144.68-BQ692</f>
        <v>30.567999999999984</v>
      </c>
      <c r="BS692" s="2174">
        <f>+-144.918-BR692-BQ692</f>
        <v>-0.23799999999999955</v>
      </c>
      <c r="BT692" s="1912">
        <f>+CV692-BS692-BR692-BQ692</f>
        <v>-4.1850000000000023</v>
      </c>
      <c r="BU692" s="2174">
        <v>22.271999999999998</v>
      </c>
      <c r="BV692" s="2174">
        <f>4.616-BU692</f>
        <v>-17.655999999999999</v>
      </c>
      <c r="BW692" s="2174">
        <f>6.786-BV692-BU692</f>
        <v>2.1700000000000017</v>
      </c>
      <c r="BX692" s="1912">
        <f>+CW692-BW692-BV692-BU692</f>
        <v>-51.989000000000004</v>
      </c>
      <c r="BY692" s="2174">
        <v>21.736999999999998</v>
      </c>
      <c r="BZ692" s="2174">
        <f>68.57-BY692</f>
        <v>46.832999999999998</v>
      </c>
      <c r="CA692" s="2174">
        <f>99.037-BZ692-BY692</f>
        <v>30.467000000000009</v>
      </c>
      <c r="CB692" s="1912">
        <f>+CX692-CA692-BZ692-BY692</f>
        <v>0.95899999999998542</v>
      </c>
      <c r="CC692" s="2174">
        <v>0</v>
      </c>
      <c r="CD692" s="2174">
        <v>0</v>
      </c>
      <c r="CE692" s="2174">
        <v>0</v>
      </c>
      <c r="CF692" s="1912">
        <v>0</v>
      </c>
      <c r="CG692" s="2316"/>
      <c r="CH692" s="2318"/>
      <c r="CI692" s="2315"/>
      <c r="CJ692" s="2174"/>
      <c r="CK692" s="2174"/>
      <c r="CL692" s="2174"/>
      <c r="CM692" s="2174"/>
      <c r="CN692" s="2174"/>
      <c r="CO692" s="2174"/>
      <c r="CP692" s="2317"/>
      <c r="CQ692" s="2174">
        <v>7.67</v>
      </c>
      <c r="CR692" s="2174">
        <v>-12.148</v>
      </c>
      <c r="CS692" s="2174">
        <f>+SUM(BE692:BH692)</f>
        <v>11.620999999999999</v>
      </c>
      <c r="CT692" s="2174">
        <f>+SUM(BI692:BL692)</f>
        <v>17.986999999999998</v>
      </c>
      <c r="CU692" s="2174">
        <v>-136.19</v>
      </c>
      <c r="CV692" s="2174">
        <v>-149.10300000000001</v>
      </c>
      <c r="CW692" s="2174">
        <v>-45.203000000000003</v>
      </c>
      <c r="CX692" s="2174">
        <v>99.995999999999995</v>
      </c>
      <c r="CY692" s="2174">
        <f>SUM(CC692:CF692)</f>
        <v>0</v>
      </c>
      <c r="CZ692" s="2320">
        <f t="shared" ref="CZ692:DF692" si="1233">+CY692</f>
        <v>0</v>
      </c>
      <c r="DA692" s="2320">
        <f t="shared" si="1233"/>
        <v>0</v>
      </c>
      <c r="DB692" s="1760">
        <f t="shared" si="1233"/>
        <v>0</v>
      </c>
      <c r="DC692" s="1760">
        <f t="shared" si="1233"/>
        <v>0</v>
      </c>
      <c r="DD692" s="1760">
        <f t="shared" si="1233"/>
        <v>0</v>
      </c>
      <c r="DE692" s="1760">
        <f t="shared" si="1233"/>
        <v>0</v>
      </c>
      <c r="DF692" s="1799">
        <f t="shared" si="1233"/>
        <v>0</v>
      </c>
      <c r="DG692" s="612"/>
      <c r="DH692" s="612"/>
    </row>
    <row r="693" spans="1:122" s="554" customFormat="1" ht="11.25" customHeight="1">
      <c r="A693" s="547"/>
      <c r="B693"/>
      <c r="C693"/>
      <c r="D693"/>
      <c r="E693"/>
      <c r="F693"/>
      <c r="G693"/>
      <c r="H693" s="1044"/>
      <c r="I693" s="2312"/>
      <c r="J693" s="2313"/>
      <c r="K693" s="2313"/>
      <c r="L693" s="2314"/>
      <c r="M693" s="2315"/>
      <c r="N693" s="2315"/>
      <c r="O693" s="2315"/>
      <c r="P693" s="2333"/>
      <c r="Q693" s="2315"/>
      <c r="R693" s="2315"/>
      <c r="S693" s="2315"/>
      <c r="T693" s="2333"/>
      <c r="U693" s="2174"/>
      <c r="V693" s="2174"/>
      <c r="W693" s="2174"/>
      <c r="X693" s="2172"/>
      <c r="Y693" s="2174"/>
      <c r="Z693" s="2174"/>
      <c r="AA693" s="2174"/>
      <c r="AB693" s="2172"/>
      <c r="AC693" s="2174"/>
      <c r="AD693" s="2174"/>
      <c r="AE693" s="2174"/>
      <c r="AF693" s="2172"/>
      <c r="AG693" s="2174"/>
      <c r="AH693" s="2174"/>
      <c r="AI693" s="2174"/>
      <c r="AJ693" s="2172"/>
      <c r="AK693" s="2174"/>
      <c r="AL693" s="2174"/>
      <c r="AM693" s="2174"/>
      <c r="AN693" s="2172"/>
      <c r="AO693" s="2174"/>
      <c r="AP693" s="2174"/>
      <c r="AQ693" s="2174"/>
      <c r="AR693" s="2172"/>
      <c r="AS693" s="2174"/>
      <c r="AT693" s="2174"/>
      <c r="AU693" s="2174"/>
      <c r="AV693" s="2172"/>
      <c r="AW693" s="2317"/>
      <c r="AX693" s="2317"/>
      <c r="AY693" s="2317"/>
      <c r="AZ693" s="2172"/>
      <c r="BA693" s="2174"/>
      <c r="BB693" s="2174"/>
      <c r="BC693" s="2174"/>
      <c r="BD693" s="2172"/>
      <c r="BE693" s="2174"/>
      <c r="BF693" s="2174"/>
      <c r="BG693" s="2174"/>
      <c r="BH693" s="2172"/>
      <c r="BI693" s="2174"/>
      <c r="BJ693" s="2174"/>
      <c r="BK693" s="2174"/>
      <c r="BL693" s="2172"/>
      <c r="BM693" s="2174"/>
      <c r="BN693" s="2174"/>
      <c r="BO693" s="2174"/>
      <c r="BP693" s="2172"/>
      <c r="BQ693" s="2174"/>
      <c r="BR693" s="2174"/>
      <c r="BS693" s="2174"/>
      <c r="BT693" s="2172"/>
      <c r="BU693" s="2174"/>
      <c r="BV693" s="2174"/>
      <c r="BW693" s="2174"/>
      <c r="BX693" s="2172"/>
      <c r="BY693" s="2174"/>
      <c r="BZ693" s="2174"/>
      <c r="CA693" s="2174"/>
      <c r="CB693" s="2172"/>
      <c r="CC693" s="2174"/>
      <c r="CD693" s="2174"/>
      <c r="CE693" s="2174"/>
      <c r="CF693" s="2172"/>
      <c r="CG693" s="2333"/>
      <c r="CH693" s="2318"/>
      <c r="CI693" s="2315"/>
      <c r="CJ693" s="2174"/>
      <c r="CK693" s="2174"/>
      <c r="CL693" s="2174"/>
      <c r="CM693" s="2174"/>
      <c r="CN693" s="2174"/>
      <c r="CO693" s="2174"/>
      <c r="CP693" s="2317"/>
      <c r="CQ693" s="2174"/>
      <c r="CR693" s="2174"/>
      <c r="CS693" s="2174"/>
      <c r="CT693" s="2174"/>
      <c r="CU693" s="2174"/>
      <c r="CV693" s="2174"/>
      <c r="CW693" s="2174"/>
      <c r="CX693" s="2174"/>
      <c r="CY693" s="2174"/>
      <c r="CZ693" s="2320"/>
      <c r="DA693" s="2320"/>
      <c r="DB693" s="1760"/>
      <c r="DC693" s="1760"/>
      <c r="DD693" s="1760"/>
      <c r="DE693" s="1760"/>
      <c r="DF693" s="2173"/>
      <c r="DG693" s="612"/>
      <c r="DH693" s="612"/>
    </row>
    <row r="694" spans="1:122" s="554" customFormat="1" ht="11.25" customHeight="1">
      <c r="A694" s="547"/>
      <c r="B694"/>
      <c r="C694"/>
      <c r="D694"/>
      <c r="E694"/>
      <c r="F694"/>
      <c r="G694"/>
      <c r="H694" s="1044"/>
      <c r="I694" s="2312" t="s">
        <v>769</v>
      </c>
      <c r="J694" s="2313"/>
      <c r="K694" s="2313"/>
      <c r="L694" s="2314"/>
      <c r="M694" s="2315"/>
      <c r="N694" s="2315"/>
      <c r="O694" s="2315"/>
      <c r="P694" s="2333"/>
      <c r="Q694" s="2315"/>
      <c r="R694" s="2315"/>
      <c r="S694" s="2315"/>
      <c r="T694" s="2333"/>
      <c r="U694" s="2174"/>
      <c r="V694" s="2174"/>
      <c r="W694" s="2174"/>
      <c r="X694" s="2172"/>
      <c r="Y694" s="2174"/>
      <c r="Z694" s="2174"/>
      <c r="AA694" s="2174"/>
      <c r="AB694" s="2172"/>
      <c r="AC694" s="2174"/>
      <c r="AD694" s="2174"/>
      <c r="AE694" s="2174"/>
      <c r="AF694" s="2172"/>
      <c r="AG694" s="2174"/>
      <c r="AH694" s="2174"/>
      <c r="AI694" s="2174"/>
      <c r="AJ694" s="2172"/>
      <c r="AK694" s="2174"/>
      <c r="AL694" s="2174"/>
      <c r="AM694" s="2174"/>
      <c r="AN694" s="2172"/>
      <c r="AO694" s="2174"/>
      <c r="AP694" s="2174"/>
      <c r="AQ694" s="2174"/>
      <c r="AR694" s="2172"/>
      <c r="AS694" s="2174"/>
      <c r="AT694" s="2174"/>
      <c r="AU694" s="2174"/>
      <c r="AV694" s="2172"/>
      <c r="AW694" s="2317"/>
      <c r="AX694" s="2317"/>
      <c r="AY694" s="2317"/>
      <c r="AZ694" s="2172"/>
      <c r="BA694" s="2174">
        <v>0</v>
      </c>
      <c r="BB694" s="2174">
        <v>0</v>
      </c>
      <c r="BC694" s="2174">
        <v>0</v>
      </c>
      <c r="BD694" s="2172">
        <v>0</v>
      </c>
      <c r="BE694" s="2174">
        <v>0</v>
      </c>
      <c r="BF694" s="2174">
        <v>0</v>
      </c>
      <c r="BG694" s="2174">
        <v>0</v>
      </c>
      <c r="BH694" s="2172">
        <v>0</v>
      </c>
      <c r="BI694" s="2174">
        <v>0</v>
      </c>
      <c r="BJ694" s="2174">
        <v>0</v>
      </c>
      <c r="BK694" s="2174">
        <v>0</v>
      </c>
      <c r="BL694" s="1912">
        <v>0</v>
      </c>
      <c r="BM694" s="2174">
        <v>0</v>
      </c>
      <c r="BN694" s="2174">
        <v>0</v>
      </c>
      <c r="BO694" s="2174">
        <v>0</v>
      </c>
      <c r="BP694" s="1912">
        <v>0</v>
      </c>
      <c r="BQ694" s="2174">
        <v>0</v>
      </c>
      <c r="BR694" s="2174">
        <v>0</v>
      </c>
      <c r="BS694" s="2174">
        <v>0</v>
      </c>
      <c r="BT694" s="1912">
        <v>0</v>
      </c>
      <c r="BU694" s="2174">
        <v>0</v>
      </c>
      <c r="BV694" s="2174">
        <v>0</v>
      </c>
      <c r="BW694" s="2174">
        <v>0</v>
      </c>
      <c r="BX694" s="1912">
        <v>0</v>
      </c>
      <c r="BY694" s="2174">
        <v>3.9999999994506652E-3</v>
      </c>
      <c r="BZ694" s="2174">
        <v>-0.18100000000003966</v>
      </c>
      <c r="CA694" s="2174">
        <v>-0.46199999999862462</v>
      </c>
      <c r="CB694" s="1912">
        <v>-20.166000000000722</v>
      </c>
      <c r="CC694" s="2174">
        <v>0</v>
      </c>
      <c r="CD694" s="2174">
        <v>0</v>
      </c>
      <c r="CE694" s="2174">
        <v>0</v>
      </c>
      <c r="CF694" s="1912">
        <v>0</v>
      </c>
      <c r="CG694" s="2333"/>
      <c r="CH694" s="2318"/>
      <c r="CI694" s="2315"/>
      <c r="CJ694" s="2174"/>
      <c r="CK694" s="2174"/>
      <c r="CL694" s="2174"/>
      <c r="CM694" s="2174"/>
      <c r="CN694" s="2174"/>
      <c r="CO694" s="2174"/>
      <c r="CP694" s="2317"/>
      <c r="CQ694" s="2174"/>
      <c r="CR694" s="2174"/>
      <c r="CS694" s="2174">
        <f>+SUM(BE694:BH694)</f>
        <v>0</v>
      </c>
      <c r="CT694" s="2174">
        <f>+SUM(BI694:BL694)</f>
        <v>0</v>
      </c>
      <c r="CU694" s="2174">
        <f>SUM(BM694:BP694)</f>
        <v>0</v>
      </c>
      <c r="CV694" s="2174">
        <f>SUM(BQ694:BT694)</f>
        <v>0</v>
      </c>
      <c r="CW694" s="2174">
        <f>SUM(BU694:BX694)</f>
        <v>0</v>
      </c>
      <c r="CX694" s="2174">
        <f>SUM(BY694:CB694)</f>
        <v>-20.804999999999936</v>
      </c>
      <c r="CY694" s="2174">
        <f>SUM(CC694:CF694)</f>
        <v>0</v>
      </c>
      <c r="CZ694" s="2320">
        <f t="shared" ref="CZ694" si="1234">+CY694</f>
        <v>0</v>
      </c>
      <c r="DA694" s="2320">
        <f t="shared" ref="DA694" si="1235">+CZ694</f>
        <v>0</v>
      </c>
      <c r="DB694" s="1760">
        <f t="shared" ref="DB694" si="1236">+DA694</f>
        <v>0</v>
      </c>
      <c r="DC694" s="1760">
        <f t="shared" ref="DC694" si="1237">+DB694</f>
        <v>0</v>
      </c>
      <c r="DD694" s="1760">
        <f t="shared" ref="DD694" si="1238">+DC694</f>
        <v>0</v>
      </c>
      <c r="DE694" s="1760">
        <f t="shared" ref="DE694" si="1239">+DD694</f>
        <v>0</v>
      </c>
      <c r="DF694" s="1760">
        <f t="shared" ref="DF694" si="1240">+DE694</f>
        <v>0</v>
      </c>
      <c r="DG694" s="612"/>
      <c r="DH694" s="612"/>
    </row>
    <row r="695" spans="1:122" s="554" customFormat="1" ht="11.25" customHeight="1">
      <c r="A695" s="547"/>
      <c r="B695"/>
      <c r="C695"/>
      <c r="D695"/>
      <c r="E695"/>
      <c r="F695"/>
      <c r="G695"/>
      <c r="H695" s="1044"/>
      <c r="I695" s="2312"/>
      <c r="J695" s="2313"/>
      <c r="K695" s="2313"/>
      <c r="L695" s="2314"/>
      <c r="M695" s="2315"/>
      <c r="N695" s="2315"/>
      <c r="O695" s="2315"/>
      <c r="P695" s="2316"/>
      <c r="Q695" s="2315"/>
      <c r="R695" s="2315"/>
      <c r="S695" s="2315"/>
      <c r="T695" s="2316"/>
      <c r="U695" s="2174"/>
      <c r="V695" s="2174"/>
      <c r="W695" s="2174"/>
      <c r="X695" s="1912"/>
      <c r="Y695" s="2174"/>
      <c r="Z695" s="2174"/>
      <c r="AA695" s="2174"/>
      <c r="AB695" s="1912"/>
      <c r="AC695" s="2174"/>
      <c r="AD695" s="2174"/>
      <c r="AE695" s="2174"/>
      <c r="AF695" s="1912"/>
      <c r="AG695" s="2174"/>
      <c r="AH695" s="2174"/>
      <c r="AI695" s="2174"/>
      <c r="AJ695" s="1912"/>
      <c r="AK695" s="2174"/>
      <c r="AL695" s="2174"/>
      <c r="AM695" s="2174"/>
      <c r="AN695" s="1912"/>
      <c r="AO695" s="2174"/>
      <c r="AP695" s="2174"/>
      <c r="AQ695" s="2174"/>
      <c r="AR695" s="1912"/>
      <c r="AS695" s="2174"/>
      <c r="AT695" s="2174"/>
      <c r="AU695" s="2174"/>
      <c r="AV695" s="1912"/>
      <c r="AW695" s="2317"/>
      <c r="AX695" s="2317"/>
      <c r="AY695" s="2317"/>
      <c r="AZ695" s="1912"/>
      <c r="BA695" s="2174"/>
      <c r="BB695" s="2174"/>
      <c r="BC695" s="2174"/>
      <c r="BD695" s="1912"/>
      <c r="BE695" s="2174"/>
      <c r="BF695" s="2174"/>
      <c r="BG695" s="2174"/>
      <c r="BH695" s="1912"/>
      <c r="BI695" s="2174"/>
      <c r="BJ695" s="2174"/>
      <c r="BK695" s="2174"/>
      <c r="BL695" s="1912"/>
      <c r="BM695" s="2174"/>
      <c r="BN695" s="2174"/>
      <c r="BO695" s="2174"/>
      <c r="BP695" s="1912"/>
      <c r="BQ695" s="2174"/>
      <c r="BR695" s="2174"/>
      <c r="BS695" s="2174"/>
      <c r="BT695" s="1912"/>
      <c r="BU695" s="2174"/>
      <c r="BV695" s="2174"/>
      <c r="BW695" s="2174"/>
      <c r="BX695" s="1912"/>
      <c r="BY695" s="2174"/>
      <c r="BZ695" s="2174"/>
      <c r="CA695" s="2174"/>
      <c r="CB695" s="1912"/>
      <c r="CC695" s="2174"/>
      <c r="CD695" s="2174"/>
      <c r="CE695" s="2174"/>
      <c r="CF695" s="1912"/>
      <c r="CG695" s="2316"/>
      <c r="CH695" s="2318"/>
      <c r="CI695" s="2315"/>
      <c r="CJ695" s="2174"/>
      <c r="CK695" s="2174"/>
      <c r="CL695" s="2174"/>
      <c r="CM695" s="2174"/>
      <c r="CN695" s="2174"/>
      <c r="CO695" s="2174"/>
      <c r="CP695" s="2317"/>
      <c r="CQ695" s="2174"/>
      <c r="CR695" s="2174"/>
      <c r="CS695" s="2174"/>
      <c r="CT695" s="2174"/>
      <c r="CU695" s="2174"/>
      <c r="CV695" s="2174"/>
      <c r="CW695" s="2174"/>
      <c r="CX695" s="2174"/>
      <c r="CY695" s="2174"/>
      <c r="CZ695" s="2174"/>
      <c r="DA695" s="2174"/>
      <c r="DB695" s="516"/>
      <c r="DC695" s="516"/>
      <c r="DD695" s="516"/>
      <c r="DE695" s="516"/>
      <c r="DF695" s="602"/>
      <c r="DG695" s="612"/>
      <c r="DH695" s="612"/>
    </row>
    <row r="696" spans="1:122" s="584" customFormat="1" ht="11.25" customHeight="1">
      <c r="A696" s="542"/>
      <c r="B696"/>
      <c r="C696"/>
      <c r="D696"/>
      <c r="E696"/>
      <c r="F696"/>
      <c r="G696"/>
      <c r="H696" s="1052"/>
      <c r="I696" s="655" t="s">
        <v>108</v>
      </c>
      <c r="J696" s="225"/>
      <c r="K696" s="225"/>
      <c r="L696" s="542"/>
      <c r="M696" s="543"/>
      <c r="N696" s="543"/>
      <c r="O696" s="543"/>
      <c r="P696" s="1003"/>
      <c r="Q696" s="543"/>
      <c r="R696" s="543"/>
      <c r="S696" s="543"/>
      <c r="T696" s="1003"/>
      <c r="U696" s="1004"/>
      <c r="V696" s="1004"/>
      <c r="W696" s="1004"/>
      <c r="X696" s="1005"/>
      <c r="Y696" s="1004"/>
      <c r="Z696" s="1004"/>
      <c r="AA696" s="1004"/>
      <c r="AB696" s="1005"/>
      <c r="AC696" s="1004"/>
      <c r="AD696" s="1004"/>
      <c r="AE696" s="1004"/>
      <c r="AF696" s="1005"/>
      <c r="AG696" s="1004"/>
      <c r="AH696" s="1004"/>
      <c r="AI696" s="1004"/>
      <c r="AJ696" s="1005"/>
      <c r="AK696" s="1004"/>
      <c r="AL696" s="1004"/>
      <c r="AM696" s="1004"/>
      <c r="AN696" s="1005"/>
      <c r="AO696" s="1004"/>
      <c r="AP696" s="1004"/>
      <c r="AQ696" s="1004"/>
      <c r="AR696" s="1005"/>
      <c r="AS696" s="1004"/>
      <c r="AT696" s="1004"/>
      <c r="AU696" s="1004"/>
      <c r="AV696" s="1005"/>
      <c r="AW696" s="2331"/>
      <c r="AX696" s="2331"/>
      <c r="AY696" s="2331"/>
      <c r="AZ696" s="1005"/>
      <c r="BA696" s="1004">
        <f t="shared" ref="BA696:BK696" si="1241">+BA666+BA677+BA690+BA692</f>
        <v>192.10700000000006</v>
      </c>
      <c r="BB696" s="1004">
        <f t="shared" si="1241"/>
        <v>60.174999999999919</v>
      </c>
      <c r="BC696" s="1004">
        <f t="shared" si="1241"/>
        <v>-190.08300000000008</v>
      </c>
      <c r="BD696" s="1005">
        <f t="shared" si="1241"/>
        <v>211.67000000000036</v>
      </c>
      <c r="BE696" s="1004">
        <f t="shared" si="1241"/>
        <v>559.23899999999981</v>
      </c>
      <c r="BF696" s="1004">
        <f t="shared" si="1241"/>
        <v>-379.28899999999993</v>
      </c>
      <c r="BG696" s="1004">
        <f t="shared" si="1241"/>
        <v>85.68400000000041</v>
      </c>
      <c r="BH696" s="1005">
        <f t="shared" si="1241"/>
        <v>637.87899999999956</v>
      </c>
      <c r="BI696" s="1004">
        <f t="shared" si="1241"/>
        <v>74.861000000000018</v>
      </c>
      <c r="BJ696" s="1004">
        <f t="shared" si="1241"/>
        <v>151.00400000000005</v>
      </c>
      <c r="BK696" s="1004">
        <f t="shared" si="1241"/>
        <v>-666.11999999999989</v>
      </c>
      <c r="BL696" s="1005">
        <f>+BL666+BL677+BL690+BL692</f>
        <v>193.90000000000083</v>
      </c>
      <c r="BM696" s="1004">
        <f>+BM692+BM690+BM677+BM666</f>
        <v>-1.8440000000000509</v>
      </c>
      <c r="BN696" s="1004">
        <f t="shared" ref="BN696:CD696" si="1242">+BN692+BN690+BN677+BN666</f>
        <v>2215.7489999999998</v>
      </c>
      <c r="BO696" s="1004">
        <f t="shared" si="1242"/>
        <v>1539.8249999999996</v>
      </c>
      <c r="BP696" s="1005">
        <f>+BP666+BP677+BP690+BP692</f>
        <v>-1895.0729999999992</v>
      </c>
      <c r="BQ696" s="1004">
        <f>+BQ692+BQ690+BQ677+BQ666</f>
        <v>107.16300000000007</v>
      </c>
      <c r="BR696" s="1004">
        <f t="shared" si="1242"/>
        <v>-1366.8649999999998</v>
      </c>
      <c r="BS696" s="1004">
        <f t="shared" si="1242"/>
        <v>-47.291000000000395</v>
      </c>
      <c r="BT696" s="1005">
        <f>+BT666+BT677+BT690+BT692</f>
        <v>-364.39300000000043</v>
      </c>
      <c r="BU696" s="1004">
        <f>+BU692+BU690+BU677+BU666</f>
        <v>379.89999999999992</v>
      </c>
      <c r="BV696" s="1004">
        <f>+BV692+BV690+BV677+BV666</f>
        <v>836.55300000000034</v>
      </c>
      <c r="BW696" s="1004">
        <f>+BW692+BW690+BW677+BW666</f>
        <v>-271.44899999999984</v>
      </c>
      <c r="BX696" s="1005">
        <f>+BX692+BX690+BX677+BX666</f>
        <v>-341.06800000000067</v>
      </c>
      <c r="BY696" s="1004">
        <f t="shared" ref="BY696:CB696" si="1243">+BY692+BY690+BY677+BY666+BY694</f>
        <v>352.94499999999977</v>
      </c>
      <c r="BZ696" s="1004">
        <f t="shared" si="1243"/>
        <v>200.24400000000026</v>
      </c>
      <c r="CA696" s="1004">
        <f t="shared" si="1243"/>
        <v>212.03600000000029</v>
      </c>
      <c r="CB696" s="1005">
        <f t="shared" si="1243"/>
        <v>-304.69600000000048</v>
      </c>
      <c r="CC696" s="1004">
        <f t="shared" si="1242"/>
        <v>-2019.6676409379854</v>
      </c>
      <c r="CD696" s="1004">
        <f t="shared" si="1242"/>
        <v>565.03146749575615</v>
      </c>
      <c r="CE696" s="1004">
        <f>+CE692+CE690+CE677+CE666</f>
        <v>1251.7816593271345</v>
      </c>
      <c r="CF696" s="1005">
        <f>+CF692+CF690+CF677+CF666</f>
        <v>846.13190279842911</v>
      </c>
      <c r="CG696" s="1003"/>
      <c r="CH696" s="1006"/>
      <c r="CI696" s="543"/>
      <c r="CJ696" s="1004"/>
      <c r="CK696" s="1004"/>
      <c r="CL696" s="1004"/>
      <c r="CM696" s="1004"/>
      <c r="CN696" s="1004"/>
      <c r="CO696" s="1004"/>
      <c r="CP696" s="2331"/>
      <c r="CQ696" s="1004">
        <f>CQ692+CQ690+CQ677+CQ666</f>
        <v>156.8199000000003</v>
      </c>
      <c r="CR696" s="1004">
        <f>CR692+CR690+CR677+CR666</f>
        <v>273.86900000000037</v>
      </c>
      <c r="CS696" s="1004">
        <f>+SUM(BE696:BH696)</f>
        <v>903.51299999999992</v>
      </c>
      <c r="CT696" s="1004">
        <f>+SUM(BI696:BL696)</f>
        <v>-246.354999999999</v>
      </c>
      <c r="CU696" s="1004">
        <f>+CU692+CU690+CU677+CU666</f>
        <v>1858.6570000000008</v>
      </c>
      <c r="CV696" s="1004">
        <f>+CV692+CV690+CV677+CV666</f>
        <v>-1671.386</v>
      </c>
      <c r="CW696" s="1004">
        <f>+CW692+CW690+CW677+CW666</f>
        <v>603.93600000000015</v>
      </c>
      <c r="CX696" s="1004">
        <f>+CX692+CX690+CX677+CX666+CX694</f>
        <v>460.52899999999988</v>
      </c>
      <c r="CY696" s="1004">
        <f>+CY692+CY690+CY677+CY666-CY694</f>
        <v>643.27738868333472</v>
      </c>
      <c r="CZ696" s="1004">
        <f t="shared" ref="CZ696:DF696" si="1244">+CZ692+CZ690+CZ677+CZ666</f>
        <v>2694.7447340769168</v>
      </c>
      <c r="DA696" s="1004">
        <f t="shared" si="1244"/>
        <v>2428.8787889451532</v>
      </c>
      <c r="DB696" s="514">
        <f t="shared" si="1244"/>
        <v>3187.9955488227893</v>
      </c>
      <c r="DC696" s="514">
        <f t="shared" si="1244"/>
        <v>5623.7471065057407</v>
      </c>
      <c r="DD696" s="514">
        <f t="shared" si="1244"/>
        <v>7214.9956281726927</v>
      </c>
      <c r="DE696" s="514">
        <f t="shared" si="1244"/>
        <v>6871.4644013384677</v>
      </c>
      <c r="DF696" s="515">
        <f t="shared" si="1244"/>
        <v>8348.3169243553621</v>
      </c>
      <c r="DG696" s="632"/>
      <c r="DH696" s="632"/>
      <c r="DJ696" s="689"/>
      <c r="DK696" s="689"/>
      <c r="DL696" s="689"/>
      <c r="DM696" s="689"/>
      <c r="DN696" s="689"/>
      <c r="DO696" s="689"/>
      <c r="DP696" s="689"/>
      <c r="DQ696" s="689"/>
      <c r="DR696" s="689"/>
    </row>
    <row r="697" spans="1:122" s="554" customFormat="1" ht="11.25" customHeight="1">
      <c r="A697" s="547"/>
      <c r="B697"/>
      <c r="C697"/>
      <c r="D697"/>
      <c r="E697"/>
      <c r="F697"/>
      <c r="G697"/>
      <c r="H697" s="1044"/>
      <c r="I697" s="2312" t="s">
        <v>109</v>
      </c>
      <c r="J697" s="2313"/>
      <c r="K697" s="2313"/>
      <c r="L697" s="2314"/>
      <c r="M697" s="2315"/>
      <c r="N697" s="2315"/>
      <c r="O697" s="2315"/>
      <c r="P697" s="2316"/>
      <c r="Q697" s="2315"/>
      <c r="R697" s="2315"/>
      <c r="S697" s="2315"/>
      <c r="T697" s="2316"/>
      <c r="U697" s="2174"/>
      <c r="V697" s="2174"/>
      <c r="W697" s="2174"/>
      <c r="X697" s="1912"/>
      <c r="Y697" s="2174"/>
      <c r="Z697" s="2174"/>
      <c r="AA697" s="2174"/>
      <c r="AB697" s="1912"/>
      <c r="AC697" s="2174"/>
      <c r="AD697" s="2174"/>
      <c r="AE697" s="2174"/>
      <c r="AF697" s="1912"/>
      <c r="AG697" s="2174"/>
      <c r="AH697" s="2174"/>
      <c r="AI697" s="2174"/>
      <c r="AJ697" s="1912"/>
      <c r="AK697" s="2174"/>
      <c r="AL697" s="2174"/>
      <c r="AM697" s="2174"/>
      <c r="AN697" s="1912"/>
      <c r="AO697" s="2174"/>
      <c r="AP697" s="2174"/>
      <c r="AQ697" s="2174"/>
      <c r="AR697" s="1912"/>
      <c r="AS697" s="2174"/>
      <c r="AT697" s="2174"/>
      <c r="AU697" s="2174"/>
      <c r="AV697" s="1912"/>
      <c r="AW697" s="2317"/>
      <c r="AX697" s="2317"/>
      <c r="AY697" s="2317"/>
      <c r="AZ697" s="1912"/>
      <c r="BA697" s="2174">
        <f>+CQ698</f>
        <v>358.96699999999998</v>
      </c>
      <c r="BB697" s="2174">
        <f>+BA698</f>
        <v>551.07399999999996</v>
      </c>
      <c r="BC697" s="2174">
        <f>+BB698</f>
        <v>611.24900000000002</v>
      </c>
      <c r="BD697" s="1912">
        <f>+BC698</f>
        <v>421.166</v>
      </c>
      <c r="BE697" s="2174">
        <f>+CR698</f>
        <v>632.83600000000035</v>
      </c>
      <c r="BF697" s="2174">
        <f>+BE698</f>
        <v>1192.075</v>
      </c>
      <c r="BG697" s="2174">
        <f>+BF698</f>
        <v>812.78599999999994</v>
      </c>
      <c r="BH697" s="1912">
        <f>+BG698</f>
        <v>898.47</v>
      </c>
      <c r="BI697" s="2174">
        <f>+CS698</f>
        <v>1536.3490000000002</v>
      </c>
      <c r="BJ697" s="2174">
        <f>+BI698</f>
        <v>1611.21</v>
      </c>
      <c r="BK697" s="2174">
        <f>+BJ698</f>
        <v>1762.2139999999999</v>
      </c>
      <c r="BL697" s="1912">
        <f>+BK698</f>
        <v>1096.0940000000001</v>
      </c>
      <c r="BM697" s="2174">
        <f>+CT698</f>
        <v>1289.9940000000011</v>
      </c>
      <c r="BN697" s="2174">
        <f t="shared" ref="BN697:BY697" si="1245">+BM698</f>
        <v>1288.150000000001</v>
      </c>
      <c r="BO697" s="2174">
        <f t="shared" si="1245"/>
        <v>3503.8989999999999</v>
      </c>
      <c r="BP697" s="1912">
        <f t="shared" si="1245"/>
        <v>5043.7240000000002</v>
      </c>
      <c r="BQ697" s="2174">
        <f t="shared" si="1245"/>
        <v>3148.6509999999998</v>
      </c>
      <c r="BR697" s="2174">
        <f t="shared" si="1245"/>
        <v>3255.8139999999999</v>
      </c>
      <c r="BS697" s="2174">
        <f t="shared" si="1245"/>
        <v>1888.9490000000001</v>
      </c>
      <c r="BT697" s="1912">
        <f t="shared" si="1245"/>
        <v>1841.6579999999999</v>
      </c>
      <c r="BU697" s="2174">
        <f t="shared" si="1245"/>
        <v>1477.2650000000001</v>
      </c>
      <c r="BV697" s="2174">
        <f t="shared" si="1245"/>
        <v>1857.165</v>
      </c>
      <c r="BW697" s="2174">
        <f t="shared" si="1245"/>
        <v>2693.7179999999998</v>
      </c>
      <c r="BX697" s="1912">
        <f t="shared" si="1245"/>
        <v>2422.2689999999998</v>
      </c>
      <c r="BY697" s="2174">
        <f t="shared" si="1245"/>
        <v>2081.0750000000003</v>
      </c>
      <c r="BZ697" s="2174">
        <f>+BY698</f>
        <v>2434.02</v>
      </c>
      <c r="CA697" s="2174">
        <f>+BZ698</f>
        <v>2634.2640000000001</v>
      </c>
      <c r="CB697" s="1912">
        <f t="shared" ref="CB697" si="1246">+CA698</f>
        <v>2846.3</v>
      </c>
      <c r="CC697" s="2174">
        <f>+CX698</f>
        <v>2541.6040000000003</v>
      </c>
      <c r="CD697" s="2174">
        <f>+CC698</f>
        <v>521.93635906201484</v>
      </c>
      <c r="CE697" s="2174">
        <f>+CD698</f>
        <v>1086.9678265577709</v>
      </c>
      <c r="CF697" s="1912">
        <f>+CE698</f>
        <v>2338.7494858849054</v>
      </c>
      <c r="CG697" s="2316"/>
      <c r="CH697" s="2318"/>
      <c r="CI697" s="2315"/>
      <c r="CJ697" s="2174"/>
      <c r="CK697" s="2174"/>
      <c r="CL697" s="2174"/>
      <c r="CM697" s="2174"/>
      <c r="CN697" s="2174"/>
      <c r="CO697" s="2174"/>
      <c r="CP697" s="2317"/>
      <c r="CQ697" s="2174">
        <v>202.14709999999968</v>
      </c>
      <c r="CR697" s="2174">
        <f>CQ698</f>
        <v>358.96699999999998</v>
      </c>
      <c r="CS697" s="2174">
        <f>+BE697</f>
        <v>632.83600000000035</v>
      </c>
      <c r="CT697" s="2174">
        <f>+BI697</f>
        <v>1536.3490000000002</v>
      </c>
      <c r="CU697" s="2174">
        <f>+CT698</f>
        <v>1289.9940000000011</v>
      </c>
      <c r="CV697" s="2174">
        <f>+CU698</f>
        <v>3148.6510000000017</v>
      </c>
      <c r="CW697" s="2174">
        <f>+BU697</f>
        <v>1477.2650000000001</v>
      </c>
      <c r="CX697" s="2174">
        <f>+BY697</f>
        <v>2081.0750000000003</v>
      </c>
      <c r="CY697" s="2174">
        <f>+CC697</f>
        <v>2541.6040000000003</v>
      </c>
      <c r="CZ697" s="2174">
        <f t="shared" ref="CZ697:DF697" si="1247">+CY698</f>
        <v>3184.881388683335</v>
      </c>
      <c r="DA697" s="2174">
        <f t="shared" si="1247"/>
        <v>5879.6261227602517</v>
      </c>
      <c r="DB697" s="517">
        <f t="shared" si="1247"/>
        <v>8308.5049117054041</v>
      </c>
      <c r="DC697" s="517">
        <f t="shared" si="1247"/>
        <v>11496.500460528194</v>
      </c>
      <c r="DD697" s="517">
        <f t="shared" si="1247"/>
        <v>17120.247567033934</v>
      </c>
      <c r="DE697" s="517">
        <f t="shared" si="1247"/>
        <v>24335.243195206625</v>
      </c>
      <c r="DF697" s="601">
        <f t="shared" si="1247"/>
        <v>31206.707596545093</v>
      </c>
      <c r="DG697" s="612"/>
      <c r="DH697" s="612"/>
    </row>
    <row r="698" spans="1:122" s="554" customFormat="1" ht="11.25" customHeight="1">
      <c r="A698" s="547"/>
      <c r="B698"/>
      <c r="C698"/>
      <c r="D698"/>
      <c r="E698"/>
      <c r="F698"/>
      <c r="G698"/>
      <c r="H698" s="1044"/>
      <c r="I698" s="2312" t="s">
        <v>110</v>
      </c>
      <c r="J698" s="2313"/>
      <c r="K698" s="2313"/>
      <c r="L698" s="2314"/>
      <c r="M698" s="2315"/>
      <c r="N698" s="2315"/>
      <c r="O698" s="2315"/>
      <c r="P698" s="2316"/>
      <c r="Q698" s="2315"/>
      <c r="R698" s="2315"/>
      <c r="S698" s="2315"/>
      <c r="T698" s="2316"/>
      <c r="U698" s="2174"/>
      <c r="V698" s="2174"/>
      <c r="W698" s="2174"/>
      <c r="X698" s="1912"/>
      <c r="Y698" s="2174"/>
      <c r="Z698" s="2174"/>
      <c r="AA698" s="2174"/>
      <c r="AB698" s="1912"/>
      <c r="AC698" s="2174"/>
      <c r="AD698" s="2174"/>
      <c r="AE698" s="2174"/>
      <c r="AF698" s="1912"/>
      <c r="AG698" s="2174"/>
      <c r="AH698" s="2174"/>
      <c r="AI698" s="2174"/>
      <c r="AJ698" s="1912"/>
      <c r="AK698" s="2174"/>
      <c r="AL698" s="2174"/>
      <c r="AM698" s="2174"/>
      <c r="AN698" s="1912"/>
      <c r="AO698" s="2174"/>
      <c r="AP698" s="2174"/>
      <c r="AQ698" s="2174"/>
      <c r="AR698" s="1912"/>
      <c r="AS698" s="2174"/>
      <c r="AT698" s="2174"/>
      <c r="AU698" s="2174"/>
      <c r="AV698" s="1912"/>
      <c r="AW698" s="2317"/>
      <c r="AX698" s="2317"/>
      <c r="AY698" s="2317"/>
      <c r="AZ698" s="1912"/>
      <c r="BA698" s="2174">
        <v>551.07399999999996</v>
      </c>
      <c r="BB698" s="2174">
        <v>611.24900000000002</v>
      </c>
      <c r="BC698" s="2174">
        <v>421.166</v>
      </c>
      <c r="BD698" s="1912">
        <v>632.83600000000001</v>
      </c>
      <c r="BE698" s="2174">
        <v>1192.075</v>
      </c>
      <c r="BF698" s="2174">
        <v>812.78599999999994</v>
      </c>
      <c r="BG698" s="2174">
        <v>898.47</v>
      </c>
      <c r="BH698" s="1912">
        <v>1536.3489999999999</v>
      </c>
      <c r="BI698" s="2174">
        <v>1611.21</v>
      </c>
      <c r="BJ698" s="2174">
        <v>1762.2139999999999</v>
      </c>
      <c r="BK698" s="2174">
        <v>1096.0940000000001</v>
      </c>
      <c r="BL698" s="1912">
        <v>1289.9939999999999</v>
      </c>
      <c r="BM698" s="2174">
        <f>+BM696+BM697</f>
        <v>1288.150000000001</v>
      </c>
      <c r="BN698" s="2174">
        <v>3503.8989999999999</v>
      </c>
      <c r="BO698" s="2174">
        <v>5043.7240000000002</v>
      </c>
      <c r="BP698" s="1912">
        <v>3148.6509999999998</v>
      </c>
      <c r="BQ698" s="2174">
        <v>3255.8139999999999</v>
      </c>
      <c r="BR698" s="2174">
        <v>1888.9490000000001</v>
      </c>
      <c r="BS698" s="2174">
        <v>1841.6579999999999</v>
      </c>
      <c r="BT698" s="1912">
        <v>1477.2650000000001</v>
      </c>
      <c r="BU698" s="2174">
        <v>1857.165</v>
      </c>
      <c r="BV698" s="2174">
        <v>2693.7179999999998</v>
      </c>
      <c r="BW698" s="2174">
        <v>2422.2689999999998</v>
      </c>
      <c r="BX698" s="1912">
        <f>2082.007-0.932</f>
        <v>2081.0750000000003</v>
      </c>
      <c r="BY698" s="2174">
        <f t="shared" ref="BY698:BZ698" si="1248">+BY696+BY697</f>
        <v>2434.02</v>
      </c>
      <c r="BZ698" s="2174">
        <f t="shared" si="1248"/>
        <v>2634.2640000000001</v>
      </c>
      <c r="CA698" s="2174">
        <f>+CA696+CA697</f>
        <v>2846.3</v>
      </c>
      <c r="CB698" s="1912">
        <f t="shared" ref="CB698" si="1249">+CB696+CB697</f>
        <v>2541.6039999999998</v>
      </c>
      <c r="CC698" s="2174">
        <f>+CC696+CC697</f>
        <v>521.93635906201484</v>
      </c>
      <c r="CD698" s="2174">
        <f>+CD696+CD697</f>
        <v>1086.9678265577709</v>
      </c>
      <c r="CE698" s="2174">
        <f>+CE696+CE697</f>
        <v>2338.7494858849054</v>
      </c>
      <c r="CF698" s="1912">
        <f>+CF696+CF697</f>
        <v>3184.8813886833345</v>
      </c>
      <c r="CG698" s="2316"/>
      <c r="CH698" s="2318"/>
      <c r="CI698" s="2315"/>
      <c r="CJ698" s="2174"/>
      <c r="CK698" s="2174"/>
      <c r="CL698" s="2174"/>
      <c r="CM698" s="2174"/>
      <c r="CN698" s="2174"/>
      <c r="CO698" s="2174"/>
      <c r="CP698" s="2317"/>
      <c r="CQ698" s="2174">
        <f t="shared" ref="CQ698:CY698" si="1250">+CQ696+CQ697</f>
        <v>358.96699999999998</v>
      </c>
      <c r="CR698" s="2174">
        <f t="shared" si="1250"/>
        <v>632.83600000000035</v>
      </c>
      <c r="CS698" s="2174">
        <f t="shared" si="1250"/>
        <v>1536.3490000000002</v>
      </c>
      <c r="CT698" s="2174">
        <f>+CT696+CT697</f>
        <v>1289.9940000000011</v>
      </c>
      <c r="CU698" s="2174">
        <f>+CU696+CU697</f>
        <v>3148.6510000000017</v>
      </c>
      <c r="CV698" s="2174">
        <f>+CV696+CV697</f>
        <v>1477.2650000000017</v>
      </c>
      <c r="CW698" s="2174">
        <f>+BX698</f>
        <v>2081.0750000000003</v>
      </c>
      <c r="CX698" s="2174">
        <f t="shared" si="1250"/>
        <v>2541.6040000000003</v>
      </c>
      <c r="CY698" s="2174">
        <f t="shared" si="1250"/>
        <v>3184.881388683335</v>
      </c>
      <c r="CZ698" s="2174">
        <f t="shared" ref="CZ698:DF698" si="1251">+CZ696+CZ697</f>
        <v>5879.6261227602517</v>
      </c>
      <c r="DA698" s="2174">
        <f t="shared" si="1251"/>
        <v>8308.5049117054041</v>
      </c>
      <c r="DB698" s="517">
        <f t="shared" si="1251"/>
        <v>11496.500460528194</v>
      </c>
      <c r="DC698" s="517">
        <f t="shared" si="1251"/>
        <v>17120.247567033934</v>
      </c>
      <c r="DD698" s="517">
        <f t="shared" si="1251"/>
        <v>24335.243195206625</v>
      </c>
      <c r="DE698" s="517">
        <f t="shared" si="1251"/>
        <v>31206.707596545093</v>
      </c>
      <c r="DF698" s="601">
        <f t="shared" si="1251"/>
        <v>39555.024520900457</v>
      </c>
      <c r="DG698" s="612"/>
      <c r="DH698" s="612"/>
    </row>
    <row r="699" spans="1:122" s="291" customFormat="1" ht="11.25" hidden="1" customHeight="1" outlineLevel="1">
      <c r="A699" s="290"/>
      <c r="B699"/>
      <c r="C699"/>
      <c r="D699"/>
      <c r="E699"/>
      <c r="F699"/>
      <c r="G699"/>
      <c r="H699" s="1056"/>
      <c r="I699" s="229" t="s">
        <v>17</v>
      </c>
      <c r="J699" s="115"/>
      <c r="K699" s="115"/>
      <c r="L699" s="290"/>
      <c r="M699" s="503"/>
      <c r="N699" s="503"/>
      <c r="O699" s="503"/>
      <c r="P699" s="504"/>
      <c r="Q699" s="503"/>
      <c r="R699" s="503"/>
      <c r="S699" s="503"/>
      <c r="T699" s="504"/>
      <c r="U699" s="505"/>
      <c r="V699" s="505"/>
      <c r="W699" s="505"/>
      <c r="X699" s="506"/>
      <c r="Y699" s="505"/>
      <c r="Z699" s="505"/>
      <c r="AA699" s="505"/>
      <c r="AB699" s="506"/>
      <c r="AC699" s="505"/>
      <c r="AD699" s="505"/>
      <c r="AE699" s="505"/>
      <c r="AF699" s="506"/>
      <c r="AG699" s="505"/>
      <c r="AH699" s="505"/>
      <c r="AI699" s="505"/>
      <c r="AJ699" s="506"/>
      <c r="AK699" s="505"/>
      <c r="AL699" s="505"/>
      <c r="AM699" s="505"/>
      <c r="AN699" s="506"/>
      <c r="AO699" s="505"/>
      <c r="AP699" s="505"/>
      <c r="AQ699" s="505"/>
      <c r="AR699" s="506"/>
      <c r="AS699" s="505"/>
      <c r="AT699" s="505"/>
      <c r="AU699" s="505"/>
      <c r="AV699" s="506"/>
      <c r="AW699" s="507"/>
      <c r="AX699" s="507"/>
      <c r="AY699" s="507"/>
      <c r="AZ699" s="506"/>
      <c r="BA699" s="508">
        <f t="shared" ref="BA699:CF699" si="1252">+BA698-BA587</f>
        <v>0</v>
      </c>
      <c r="BB699" s="508">
        <f t="shared" si="1252"/>
        <v>0</v>
      </c>
      <c r="BC699" s="508">
        <f t="shared" si="1252"/>
        <v>0</v>
      </c>
      <c r="BD699" s="509">
        <f t="shared" si="1252"/>
        <v>0</v>
      </c>
      <c r="BE699" s="508">
        <f t="shared" si="1252"/>
        <v>0</v>
      </c>
      <c r="BF699" s="508">
        <f t="shared" si="1252"/>
        <v>0</v>
      </c>
      <c r="BG699" s="508">
        <f t="shared" si="1252"/>
        <v>0</v>
      </c>
      <c r="BH699" s="509">
        <f t="shared" si="1252"/>
        <v>0</v>
      </c>
      <c r="BI699" s="508">
        <f t="shared" si="1252"/>
        <v>0</v>
      </c>
      <c r="BJ699" s="508">
        <f t="shared" si="1252"/>
        <v>0</v>
      </c>
      <c r="BK699" s="508">
        <f t="shared" si="1252"/>
        <v>0</v>
      </c>
      <c r="BL699" s="509">
        <f t="shared" si="1252"/>
        <v>0</v>
      </c>
      <c r="BM699" s="508">
        <f t="shared" si="1252"/>
        <v>0</v>
      </c>
      <c r="BN699" s="508">
        <f t="shared" si="1252"/>
        <v>0</v>
      </c>
      <c r="BO699" s="508">
        <f t="shared" si="1252"/>
        <v>0</v>
      </c>
      <c r="BP699" s="509">
        <f t="shared" si="1252"/>
        <v>0</v>
      </c>
      <c r="BQ699" s="508">
        <f t="shared" si="1252"/>
        <v>0</v>
      </c>
      <c r="BR699" s="508">
        <f>+BR698-BR587</f>
        <v>0</v>
      </c>
      <c r="BS699" s="508">
        <f>+BS698-BS587</f>
        <v>0</v>
      </c>
      <c r="BT699" s="509">
        <f t="shared" si="1252"/>
        <v>0</v>
      </c>
      <c r="BU699" s="508">
        <f t="shared" si="1252"/>
        <v>0</v>
      </c>
      <c r="BV699" s="508">
        <f t="shared" si="1252"/>
        <v>0</v>
      </c>
      <c r="BW699" s="508">
        <f t="shared" si="1252"/>
        <v>0</v>
      </c>
      <c r="BX699" s="2130">
        <f t="shared" si="1252"/>
        <v>0</v>
      </c>
      <c r="BY699" s="2124">
        <f>+BY698-BY587</f>
        <v>0</v>
      </c>
      <c r="BZ699" s="2125">
        <f>+BZ698-BZ587</f>
        <v>0</v>
      </c>
      <c r="CA699" s="2068">
        <f t="shared" si="1252"/>
        <v>0</v>
      </c>
      <c r="CB699" s="2128">
        <f t="shared" ref="CB699" si="1253">+CB698-CB587</f>
        <v>0</v>
      </c>
      <c r="CC699" s="508">
        <f t="shared" si="1252"/>
        <v>0</v>
      </c>
      <c r="CD699" s="508">
        <f t="shared" si="1252"/>
        <v>0</v>
      </c>
      <c r="CE699" s="508">
        <f t="shared" si="1252"/>
        <v>0</v>
      </c>
      <c r="CF699" s="509">
        <f t="shared" si="1252"/>
        <v>0</v>
      </c>
      <c r="CG699" s="504"/>
      <c r="CH699" s="510"/>
      <c r="CI699" s="503"/>
      <c r="CJ699" s="505"/>
      <c r="CK699" s="505"/>
      <c r="CL699" s="505"/>
      <c r="CM699" s="505"/>
      <c r="CN699" s="505"/>
      <c r="CO699" s="505"/>
      <c r="CP699" s="507"/>
      <c r="CQ699" s="508">
        <f t="shared" ref="CQ699:CY699" si="1254">+CQ698-CQ587</f>
        <v>0</v>
      </c>
      <c r="CR699" s="508">
        <f t="shared" si="1254"/>
        <v>0</v>
      </c>
      <c r="CS699" s="508">
        <f t="shared" si="1254"/>
        <v>0</v>
      </c>
      <c r="CT699" s="508">
        <f>+CT698-CT587</f>
        <v>0</v>
      </c>
      <c r="CU699" s="508">
        <f>+CU698-CU587</f>
        <v>0</v>
      </c>
      <c r="CV699" s="508">
        <f>+CV698-CV587</f>
        <v>0</v>
      </c>
      <c r="CW699" s="508">
        <f t="shared" si="1254"/>
        <v>0</v>
      </c>
      <c r="CX699" s="508">
        <f t="shared" ref="CX699" si="1255">+CX698-CX587</f>
        <v>0</v>
      </c>
      <c r="CY699" s="508">
        <f t="shared" si="1254"/>
        <v>0</v>
      </c>
      <c r="CZ699" s="508">
        <f t="shared" ref="CZ699:DF699" si="1256">+CZ698-CZ587</f>
        <v>0</v>
      </c>
      <c r="DA699" s="508">
        <f t="shared" si="1256"/>
        <v>0</v>
      </c>
      <c r="DB699" s="508">
        <f t="shared" si="1256"/>
        <v>0</v>
      </c>
      <c r="DC699" s="508">
        <f t="shared" si="1256"/>
        <v>0</v>
      </c>
      <c r="DD699" s="508">
        <f t="shared" si="1256"/>
        <v>0</v>
      </c>
      <c r="DE699" s="508">
        <f t="shared" si="1256"/>
        <v>0</v>
      </c>
      <c r="DF699" s="509">
        <f t="shared" si="1256"/>
        <v>0</v>
      </c>
      <c r="DG699" s="94"/>
      <c r="DH699" s="94"/>
    </row>
    <row r="700" spans="1:122" s="68" customFormat="1" ht="11.25" customHeight="1" collapsed="1">
      <c r="A700" s="24"/>
      <c r="B700"/>
      <c r="C700"/>
      <c r="D700"/>
      <c r="E700"/>
      <c r="F700"/>
      <c r="G700"/>
      <c r="H700" s="1044"/>
      <c r="I700" s="664"/>
      <c r="J700" s="665"/>
      <c r="K700" s="665"/>
      <c r="L700" s="665"/>
      <c r="M700" s="666"/>
      <c r="N700" s="666"/>
      <c r="O700" s="666"/>
      <c r="P700" s="667"/>
      <c r="Q700" s="666"/>
      <c r="R700" s="666"/>
      <c r="S700" s="666"/>
      <c r="T700" s="667"/>
      <c r="U700" s="668"/>
      <c r="V700" s="668"/>
      <c r="W700" s="668"/>
      <c r="X700" s="669"/>
      <c r="Y700" s="668"/>
      <c r="Z700" s="668"/>
      <c r="AA700" s="668"/>
      <c r="AB700" s="669"/>
      <c r="AC700" s="668"/>
      <c r="AD700" s="668"/>
      <c r="AE700" s="668"/>
      <c r="AF700" s="669"/>
      <c r="AG700" s="668"/>
      <c r="AH700" s="668"/>
      <c r="AI700" s="668"/>
      <c r="AJ700" s="669"/>
      <c r="AK700" s="668"/>
      <c r="AL700" s="668"/>
      <c r="AM700" s="668"/>
      <c r="AN700" s="669"/>
      <c r="AO700" s="668"/>
      <c r="AP700" s="668"/>
      <c r="AQ700" s="668"/>
      <c r="AR700" s="669"/>
      <c r="AS700" s="668"/>
      <c r="AT700" s="668"/>
      <c r="AU700" s="668"/>
      <c r="AV700" s="669"/>
      <c r="AW700" s="668"/>
      <c r="AX700" s="668"/>
      <c r="AY700" s="668"/>
      <c r="AZ700" s="669"/>
      <c r="BA700" s="670"/>
      <c r="BB700" s="670"/>
      <c r="BC700" s="670"/>
      <c r="BD700" s="671"/>
      <c r="BE700" s="666"/>
      <c r="BF700" s="666"/>
      <c r="BG700" s="666"/>
      <c r="BH700" s="672"/>
      <c r="BI700" s="1449"/>
      <c r="BJ700" s="1449"/>
      <c r="BK700" s="1449"/>
      <c r="BL700" s="1450"/>
      <c r="BM700" s="673"/>
      <c r="BN700" s="673"/>
      <c r="BO700" s="673"/>
      <c r="BP700" s="663"/>
      <c r="BQ700" s="662"/>
      <c r="BR700" s="662"/>
      <c r="BS700" s="662"/>
      <c r="BT700" s="663"/>
      <c r="BU700" s="662"/>
      <c r="BV700" s="662"/>
      <c r="BW700" s="2157"/>
      <c r="BX700" s="663"/>
      <c r="BY700" s="1723"/>
      <c r="BZ700" s="1723"/>
      <c r="CA700" s="662"/>
      <c r="CB700" s="648"/>
      <c r="CC700" s="662"/>
      <c r="CD700" s="662"/>
      <c r="CE700" s="662"/>
      <c r="CF700" s="663"/>
      <c r="CG700" s="405"/>
      <c r="CH700" s="675"/>
      <c r="CI700" s="666"/>
      <c r="CJ700" s="668"/>
      <c r="CK700" s="668"/>
      <c r="CL700" s="668"/>
      <c r="CM700" s="668"/>
      <c r="CN700" s="668"/>
      <c r="CO700" s="668"/>
      <c r="CP700" s="668"/>
      <c r="CQ700" s="662"/>
      <c r="CR700" s="662"/>
      <c r="CS700" s="662"/>
      <c r="CT700" s="668"/>
      <c r="CU700" s="662"/>
      <c r="CV700" s="676"/>
      <c r="CW700" s="662"/>
      <c r="CX700" s="512"/>
      <c r="CY700" s="662"/>
      <c r="CZ700" s="662"/>
      <c r="DA700" s="662"/>
      <c r="DB700" s="662"/>
      <c r="DC700" s="662"/>
      <c r="DD700" s="662"/>
      <c r="DE700" s="662"/>
      <c r="DF700" s="663"/>
      <c r="DG700" s="1180"/>
      <c r="DH700" s="1180"/>
    </row>
    <row r="701" spans="1:122" s="67" customFormat="1" ht="11.25" customHeight="1">
      <c r="A701" s="24"/>
      <c r="B701"/>
      <c r="C701"/>
      <c r="D701"/>
      <c r="E701"/>
      <c r="F701"/>
      <c r="G701"/>
      <c r="H701" s="1044"/>
      <c r="I701" s="665"/>
      <c r="J701" s="665"/>
      <c r="K701" s="665"/>
      <c r="L701" s="665"/>
      <c r="M701" s="666"/>
      <c r="N701" s="666"/>
      <c r="O701" s="666"/>
      <c r="P701" s="666"/>
      <c r="Q701" s="666"/>
      <c r="R701" s="666"/>
      <c r="S701" s="666"/>
      <c r="T701" s="666"/>
      <c r="U701" s="668"/>
      <c r="V701" s="668"/>
      <c r="W701" s="668"/>
      <c r="X701" s="668"/>
      <c r="Y701" s="668"/>
      <c r="Z701" s="668"/>
      <c r="AA701" s="668"/>
      <c r="AB701" s="668"/>
      <c r="AC701" s="668"/>
      <c r="AD701" s="668"/>
      <c r="AE701" s="668"/>
      <c r="AF701" s="668"/>
      <c r="AG701" s="668"/>
      <c r="AH701" s="668"/>
      <c r="AI701" s="668"/>
      <c r="AJ701" s="668"/>
      <c r="AK701" s="668"/>
      <c r="AL701" s="668"/>
      <c r="AM701" s="668"/>
      <c r="AN701" s="668"/>
      <c r="AO701" s="668"/>
      <c r="AP701" s="668"/>
      <c r="AQ701" s="668"/>
      <c r="AR701" s="668"/>
      <c r="AS701" s="668"/>
      <c r="AT701" s="668"/>
      <c r="AU701" s="668"/>
      <c r="AV701" s="668"/>
      <c r="AW701" s="668"/>
      <c r="AX701" s="668"/>
      <c r="AY701" s="668"/>
      <c r="AZ701" s="668"/>
      <c r="BA701" s="670"/>
      <c r="BB701" s="670"/>
      <c r="BC701" s="670"/>
      <c r="BD701" s="670"/>
      <c r="BE701" s="666"/>
      <c r="BF701" s="666"/>
      <c r="BG701" s="666"/>
      <c r="BH701" s="677"/>
      <c r="BI701" s="673"/>
      <c r="BJ701" s="673"/>
      <c r="BK701" s="673"/>
      <c r="BL701" s="673"/>
      <c r="BM701" s="673"/>
      <c r="BN701" s="673"/>
      <c r="BO701" s="673"/>
      <c r="BP701" s="662"/>
      <c r="BQ701" s="662"/>
      <c r="BR701" s="662"/>
      <c r="BS701" s="662"/>
      <c r="BT701" s="662"/>
      <c r="BU701" s="662"/>
      <c r="BV701" s="662"/>
      <c r="BW701" s="662"/>
      <c r="BX701" s="662"/>
      <c r="BY701" s="662"/>
      <c r="BZ701" s="662"/>
      <c r="CA701" s="662"/>
      <c r="CB701" s="662"/>
      <c r="CC701" s="662"/>
      <c r="CD701" s="662"/>
      <c r="CE701" s="662"/>
      <c r="CF701" s="662"/>
      <c r="CG701" s="404"/>
      <c r="CH701" s="666"/>
      <c r="CI701" s="666"/>
      <c r="CJ701" s="668"/>
      <c r="CK701" s="668"/>
      <c r="CL701" s="668"/>
      <c r="CM701" s="668"/>
      <c r="CN701" s="668"/>
      <c r="CO701" s="668"/>
      <c r="CP701" s="668"/>
      <c r="CQ701" s="662"/>
      <c r="CR701" s="662"/>
      <c r="CS701" s="662"/>
      <c r="CT701" s="668"/>
      <c r="CU701" s="662"/>
      <c r="CV701" s="676"/>
      <c r="CW701" s="662"/>
      <c r="CX701" s="662"/>
      <c r="CY701" s="662"/>
      <c r="CZ701" s="328"/>
      <c r="DA701" s="328"/>
      <c r="DB701" s="328"/>
      <c r="DC701" s="328"/>
      <c r="DD701" s="328"/>
      <c r="DE701" s="328"/>
      <c r="DF701" s="328"/>
      <c r="DG701" s="1179"/>
      <c r="DH701" s="1179"/>
    </row>
    <row r="702" spans="1:122" s="554" customFormat="1" ht="11.25" customHeight="1">
      <c r="A702" s="547"/>
      <c r="B702"/>
      <c r="C702"/>
      <c r="D702"/>
      <c r="E702"/>
      <c r="F702"/>
      <c r="G702"/>
      <c r="H702" s="1044"/>
      <c r="I702" s="652" t="s">
        <v>138</v>
      </c>
      <c r="J702" s="226"/>
      <c r="K702" s="226"/>
      <c r="L702" s="547"/>
      <c r="M702" s="551"/>
      <c r="N702" s="551"/>
      <c r="O702" s="551"/>
      <c r="P702" s="552"/>
      <c r="Q702" s="551"/>
      <c r="R702" s="551"/>
      <c r="S702" s="551"/>
      <c r="T702" s="552"/>
      <c r="U702" s="516"/>
      <c r="V702" s="516"/>
      <c r="W702" s="516"/>
      <c r="X702" s="602"/>
      <c r="Y702" s="516"/>
      <c r="Z702" s="516"/>
      <c r="AA702" s="516"/>
      <c r="AB702" s="602"/>
      <c r="AC702" s="516"/>
      <c r="AD702" s="516"/>
      <c r="AE702" s="516"/>
      <c r="AF702" s="602"/>
      <c r="AG702" s="516"/>
      <c r="AH702" s="516"/>
      <c r="AI702" s="516"/>
      <c r="AJ702" s="602"/>
      <c r="AK702" s="516"/>
      <c r="AL702" s="516"/>
      <c r="AM702" s="516"/>
      <c r="AN702" s="602"/>
      <c r="AO702" s="516"/>
      <c r="AP702" s="516"/>
      <c r="AQ702" s="516"/>
      <c r="AR702" s="602"/>
      <c r="AS702" s="516"/>
      <c r="AT702" s="516"/>
      <c r="AU702" s="516"/>
      <c r="AV702" s="602"/>
      <c r="AW702" s="645"/>
      <c r="AX702" s="645"/>
      <c r="AY702" s="645"/>
      <c r="AZ702" s="602"/>
      <c r="BA702" s="516">
        <v>28.956</v>
      </c>
      <c r="BB702" s="516">
        <f>55.461-BA702</f>
        <v>26.504999999999999</v>
      </c>
      <c r="BC702" s="516">
        <f>99.376-BB702-BA702</f>
        <v>43.915000000000006</v>
      </c>
      <c r="BD702" s="601">
        <f>+CR702-BC702-BB702-BA702</f>
        <v>133.386</v>
      </c>
      <c r="BE702" s="516">
        <v>173.52799999999999</v>
      </c>
      <c r="BF702" s="516">
        <v>189.06100000000001</v>
      </c>
      <c r="BG702" s="516">
        <v>205.256</v>
      </c>
      <c r="BH702" s="601">
        <f>+CS702-BG702-BF702-BE702</f>
        <v>-267.30600000000004</v>
      </c>
      <c r="BI702" s="516">
        <v>228.893</v>
      </c>
      <c r="BJ702" s="516">
        <f>247.037-BI702</f>
        <v>18.144000000000005</v>
      </c>
      <c r="BK702" s="516">
        <f>265.303-BJ702-BI702</f>
        <v>18.265999999999991</v>
      </c>
      <c r="BL702" s="602">
        <f>391.169-BK702-BJ702-BI702</f>
        <v>125.86600000000001</v>
      </c>
      <c r="BM702" s="516">
        <v>367.16</v>
      </c>
      <c r="BN702" s="516">
        <f>385.506-BM702</f>
        <v>18.345999999999947</v>
      </c>
      <c r="BO702" s="516">
        <f>412.185-BN702-BM702</f>
        <v>26.67900000000003</v>
      </c>
      <c r="BP702" s="1912">
        <f>+CU702-BO702-BN702-BM702</f>
        <v>79.34499999999997</v>
      </c>
      <c r="BQ702" s="516">
        <v>379.60300000000001</v>
      </c>
      <c r="BR702" s="516">
        <f>472.35-BQ702</f>
        <v>92.747000000000014</v>
      </c>
      <c r="BS702" s="516">
        <f>499.421-BR702-BQ702</f>
        <v>27.07099999999997</v>
      </c>
      <c r="BT702" s="1912">
        <f>+CV702-BS702-BR702-BQ702</f>
        <v>34.684000000000026</v>
      </c>
      <c r="BU702" s="516">
        <v>449.31400000000002</v>
      </c>
      <c r="BV702" s="516">
        <f>496.403-BU702</f>
        <v>47.088999999999999</v>
      </c>
      <c r="BW702" s="516">
        <f>612.612-BV702-BU702</f>
        <v>116.20899999999989</v>
      </c>
      <c r="BX702" s="1912">
        <f>+CW702-BW702-BV702-BU702</f>
        <v>23.938000000000102</v>
      </c>
      <c r="BY702" s="516">
        <v>536.19200000000001</v>
      </c>
      <c r="BZ702" s="516">
        <v>577.24699999999996</v>
      </c>
      <c r="CA702" s="516">
        <v>601.24800000000005</v>
      </c>
      <c r="CB702" s="1912">
        <f>+CX702-CA702-BZ702-BY702</f>
        <v>-1012.266</v>
      </c>
      <c r="CC702" s="516"/>
      <c r="CD702" s="516"/>
      <c r="CE702" s="516"/>
      <c r="CF702" s="602"/>
      <c r="CG702" s="552"/>
      <c r="CH702" s="553"/>
      <c r="CI702" s="551"/>
      <c r="CJ702" s="516"/>
      <c r="CK702" s="516"/>
      <c r="CL702" s="516"/>
      <c r="CM702" s="516"/>
      <c r="CN702" s="516"/>
      <c r="CO702" s="516"/>
      <c r="CP702" s="516">
        <v>95.512</v>
      </c>
      <c r="CQ702" s="516">
        <v>169.32</v>
      </c>
      <c r="CR702" s="516">
        <v>232.762</v>
      </c>
      <c r="CS702" s="516">
        <v>300.53899999999999</v>
      </c>
      <c r="CT702" s="517">
        <f>+SUM(BI702:BL702)</f>
        <v>391.16899999999998</v>
      </c>
      <c r="CU702" s="592">
        <v>491.53</v>
      </c>
      <c r="CV702" s="592">
        <v>534.10500000000002</v>
      </c>
      <c r="CW702" s="592">
        <v>636.54999999999995</v>
      </c>
      <c r="CX702" s="592">
        <v>702.42100000000005</v>
      </c>
      <c r="CY702" s="592"/>
      <c r="CZ702" s="1801"/>
      <c r="DA702" s="1801"/>
      <c r="DB702" s="1801"/>
      <c r="DC702" s="1801"/>
      <c r="DD702" s="1801"/>
      <c r="DE702" s="1801"/>
      <c r="DF702" s="1802"/>
      <c r="DG702" s="612"/>
      <c r="DH702" s="612"/>
    </row>
    <row r="703" spans="1:122" s="554" customFormat="1" ht="11.25" customHeight="1">
      <c r="A703" s="547"/>
      <c r="B703"/>
      <c r="C703"/>
      <c r="D703"/>
      <c r="E703"/>
      <c r="F703"/>
      <c r="G703"/>
      <c r="H703" s="1044"/>
      <c r="I703" s="652" t="s">
        <v>139</v>
      </c>
      <c r="J703" s="226"/>
      <c r="K703" s="226"/>
      <c r="L703" s="547"/>
      <c r="M703" s="551"/>
      <c r="N703" s="551"/>
      <c r="O703" s="551"/>
      <c r="P703" s="552"/>
      <c r="Q703" s="551"/>
      <c r="R703" s="551"/>
      <c r="S703" s="551"/>
      <c r="T703" s="552"/>
      <c r="U703" s="516"/>
      <c r="V703" s="516"/>
      <c r="W703" s="516"/>
      <c r="X703" s="602"/>
      <c r="Y703" s="516"/>
      <c r="Z703" s="516"/>
      <c r="AA703" s="516"/>
      <c r="AB703" s="602"/>
      <c r="AC703" s="516"/>
      <c r="AD703" s="516"/>
      <c r="AE703" s="516"/>
      <c r="AF703" s="602"/>
      <c r="AG703" s="516"/>
      <c r="AH703" s="516"/>
      <c r="AI703" s="516"/>
      <c r="AJ703" s="602"/>
      <c r="AK703" s="516"/>
      <c r="AL703" s="516"/>
      <c r="AM703" s="516"/>
      <c r="AN703" s="602"/>
      <c r="AO703" s="516"/>
      <c r="AP703" s="516"/>
      <c r="AQ703" s="516"/>
      <c r="AR703" s="602"/>
      <c r="AS703" s="516"/>
      <c r="AT703" s="516"/>
      <c r="AU703" s="516"/>
      <c r="AV703" s="602"/>
      <c r="AW703" s="645"/>
      <c r="AX703" s="645"/>
      <c r="AY703" s="645"/>
      <c r="AZ703" s="602"/>
      <c r="BA703" s="516">
        <v>3.601</v>
      </c>
      <c r="BB703" s="516">
        <f>3.717-BA703</f>
        <v>0.1160000000000001</v>
      </c>
      <c r="BC703" s="516">
        <f>7.443-BB703-BA703</f>
        <v>3.726</v>
      </c>
      <c r="BD703" s="601">
        <f>+CR703-BC703-BB703-BA703</f>
        <v>0.13000000000000034</v>
      </c>
      <c r="BE703" s="516">
        <v>3.9119999999999999</v>
      </c>
      <c r="BF703" s="516">
        <v>4.3490000000000002</v>
      </c>
      <c r="BG703" s="516">
        <v>13.462999999999999</v>
      </c>
      <c r="BH703" s="601">
        <f>+CS703-BG703-BF703-BE703</f>
        <v>-7.7909999999999995</v>
      </c>
      <c r="BI703" s="516">
        <v>9.0719999999999992</v>
      </c>
      <c r="BJ703" s="516">
        <f>9.54-BI703</f>
        <v>0.46799999999999997</v>
      </c>
      <c r="BK703" s="516">
        <f>18.614-BJ703-BI703</f>
        <v>9.0740000000000016</v>
      </c>
      <c r="BL703" s="602">
        <f>20.954-BK703-BJ703-BI703</f>
        <v>2.34</v>
      </c>
      <c r="BM703" s="516">
        <v>5.8209999999999997</v>
      </c>
      <c r="BN703" s="516">
        <f>8.08-BM703</f>
        <v>2.2590000000000003</v>
      </c>
      <c r="BO703" s="516">
        <f>14.531-BN703-BM703</f>
        <v>6.4510000000000005</v>
      </c>
      <c r="BP703" s="1912">
        <f>+CU703-BO703-BN703-BM703</f>
        <v>2.4189999999999987</v>
      </c>
      <c r="BQ703" s="516">
        <v>10.840999999999999</v>
      </c>
      <c r="BR703" s="516">
        <f>13.537-BQ703</f>
        <v>2.6960000000000015</v>
      </c>
      <c r="BS703" s="516">
        <f>50.4-BR703-BQ703</f>
        <v>36.862999999999992</v>
      </c>
      <c r="BT703" s="1912">
        <f>+CV703-BS703-BR703-BQ703</f>
        <v>3.8990000000000062</v>
      </c>
      <c r="BU703" s="516">
        <v>40.119</v>
      </c>
      <c r="BV703" s="516">
        <f>43.727-BU703</f>
        <v>3.607999999999997</v>
      </c>
      <c r="BW703" s="516">
        <f>87.427-BV703-BU703</f>
        <v>43.700000000000017</v>
      </c>
      <c r="BX703" s="1912">
        <f>+CW703-BW703-BV703-BU703</f>
        <v>38.484999999999985</v>
      </c>
      <c r="BY703" s="516">
        <v>38.496000000000002</v>
      </c>
      <c r="BZ703" s="516">
        <v>60.308</v>
      </c>
      <c r="CA703" s="516">
        <v>110.745</v>
      </c>
      <c r="CB703" s="1912">
        <f t="shared" ref="CB703:CB706" si="1257">+CX703-CA703-BZ703-BY703</f>
        <v>-54.695999999999998</v>
      </c>
      <c r="CC703" s="516"/>
      <c r="CD703" s="516"/>
      <c r="CE703" s="516"/>
      <c r="CF703" s="602"/>
      <c r="CG703" s="552"/>
      <c r="CH703" s="553"/>
      <c r="CI703" s="551"/>
      <c r="CJ703" s="516"/>
      <c r="CK703" s="516"/>
      <c r="CL703" s="516"/>
      <c r="CM703" s="516"/>
      <c r="CN703" s="516"/>
      <c r="CO703" s="516"/>
      <c r="CP703" s="516">
        <v>4.4480000000000004</v>
      </c>
      <c r="CQ703" s="516">
        <v>4.9009999999999998</v>
      </c>
      <c r="CR703" s="516">
        <v>7.5730000000000004</v>
      </c>
      <c r="CS703" s="516">
        <v>13.933</v>
      </c>
      <c r="CT703" s="517">
        <f>+SUM(BI703:BL703)</f>
        <v>20.954000000000001</v>
      </c>
      <c r="CU703" s="592">
        <v>16.95</v>
      </c>
      <c r="CV703" s="592">
        <v>54.298999999999999</v>
      </c>
      <c r="CW703" s="592">
        <v>125.91200000000001</v>
      </c>
      <c r="CX703" s="592">
        <v>154.85300000000001</v>
      </c>
      <c r="CY703" s="592"/>
      <c r="CZ703" s="592"/>
      <c r="DA703" s="592"/>
      <c r="DB703" s="592"/>
      <c r="DC703" s="592"/>
      <c r="DD703" s="592"/>
      <c r="DE703" s="592"/>
      <c r="DF703" s="593"/>
      <c r="DG703" s="612"/>
      <c r="DH703" s="612"/>
    </row>
    <row r="704" spans="1:122" s="554" customFormat="1" ht="11.25" customHeight="1">
      <c r="A704" s="547"/>
      <c r="B704"/>
      <c r="C704"/>
      <c r="D704"/>
      <c r="E704"/>
      <c r="F704"/>
      <c r="G704"/>
      <c r="H704" s="1044"/>
      <c r="I704" s="652" t="s">
        <v>227</v>
      </c>
      <c r="J704" s="226"/>
      <c r="K704" s="226"/>
      <c r="L704" s="547"/>
      <c r="M704" s="551"/>
      <c r="N704" s="551"/>
      <c r="O704" s="551"/>
      <c r="P704" s="552"/>
      <c r="Q704" s="551"/>
      <c r="R704" s="551"/>
      <c r="S704" s="551"/>
      <c r="T704" s="552"/>
      <c r="U704" s="516"/>
      <c r="V704" s="516"/>
      <c r="W704" s="516"/>
      <c r="X704" s="602"/>
      <c r="Y704" s="516"/>
      <c r="Z704" s="516"/>
      <c r="AA704" s="516"/>
      <c r="AB704" s="602"/>
      <c r="AC704" s="516"/>
      <c r="AD704" s="516"/>
      <c r="AE704" s="516"/>
      <c r="AF704" s="602"/>
      <c r="AG704" s="516"/>
      <c r="AH704" s="516"/>
      <c r="AI704" s="516"/>
      <c r="AJ704" s="602"/>
      <c r="AK704" s="516"/>
      <c r="AL704" s="516"/>
      <c r="AM704" s="516"/>
      <c r="AN704" s="602"/>
      <c r="AO704" s="516"/>
      <c r="AP704" s="516"/>
      <c r="AQ704" s="516"/>
      <c r="AR704" s="602"/>
      <c r="AS704" s="516"/>
      <c r="AT704" s="516"/>
      <c r="AU704" s="516"/>
      <c r="AV704" s="602"/>
      <c r="AW704" s="645"/>
      <c r="AX704" s="645"/>
      <c r="AY704" s="645"/>
      <c r="AZ704" s="602"/>
      <c r="BA704" s="516">
        <v>10.355</v>
      </c>
      <c r="BB704" s="516">
        <f>33.74-BA704</f>
        <v>23.385000000000002</v>
      </c>
      <c r="BC704" s="516">
        <f>41.327-BB704-BA704</f>
        <v>7.5869999999999962</v>
      </c>
      <c r="BD704" s="601">
        <f>+CR704-BC704-BB704-BA704</f>
        <v>50.415999999999997</v>
      </c>
      <c r="BE704" s="516">
        <v>52.213999999999999</v>
      </c>
      <c r="BF704" s="516"/>
      <c r="BG704" s="516"/>
      <c r="BH704" s="601">
        <f>+CS704-BG704-BF704-BE704</f>
        <v>32.478999999999999</v>
      </c>
      <c r="BI704" s="516">
        <v>42.768000000000001</v>
      </c>
      <c r="BJ704" s="516">
        <f>45.522-BI704</f>
        <v>2.7539999999999978</v>
      </c>
      <c r="BK704" s="516">
        <f>42.522-BJ704-BI704</f>
        <v>-3</v>
      </c>
      <c r="BL704" s="602">
        <f>42.522-BK704-BJ704-BI704</f>
        <v>0</v>
      </c>
      <c r="BM704" s="516">
        <v>0</v>
      </c>
      <c r="BN704" s="516">
        <f>0-BM704</f>
        <v>0</v>
      </c>
      <c r="BO704" s="516">
        <v>0</v>
      </c>
      <c r="BP704" s="1912">
        <f>+CU704-BO704-BN704-BM704</f>
        <v>0</v>
      </c>
      <c r="BQ704" s="516">
        <v>0</v>
      </c>
      <c r="BR704" s="516">
        <f>0-BQ704</f>
        <v>0</v>
      </c>
      <c r="BS704" s="516">
        <f>0-BR704-BQ704</f>
        <v>0</v>
      </c>
      <c r="BT704" s="1912">
        <f>+CV704-BS704-BR704-BQ704</f>
        <v>0</v>
      </c>
      <c r="BU704" s="516">
        <v>0</v>
      </c>
      <c r="BV704" s="516">
        <f>0-BU704</f>
        <v>0</v>
      </c>
      <c r="BW704" s="516">
        <f>0-BV704-BU704</f>
        <v>0</v>
      </c>
      <c r="BX704" s="1912">
        <f>+CW704-BW704-BV704-BU704</f>
        <v>0</v>
      </c>
      <c r="BY704" s="516">
        <v>1</v>
      </c>
      <c r="BZ704" s="516">
        <v>1</v>
      </c>
      <c r="CA704" s="516">
        <v>1</v>
      </c>
      <c r="CB704" s="1912">
        <f t="shared" si="1257"/>
        <v>-3</v>
      </c>
      <c r="CC704" s="516"/>
      <c r="CD704" s="516"/>
      <c r="CE704" s="516"/>
      <c r="CF704" s="602"/>
      <c r="CG704" s="552"/>
      <c r="CH704" s="553"/>
      <c r="CI704" s="551"/>
      <c r="CJ704" s="516"/>
      <c r="CK704" s="516"/>
      <c r="CL704" s="516"/>
      <c r="CM704" s="516"/>
      <c r="CN704" s="516"/>
      <c r="CO704" s="516"/>
      <c r="CP704" s="516">
        <v>0</v>
      </c>
      <c r="CQ704" s="516">
        <v>7.8760000000000003</v>
      </c>
      <c r="CR704" s="516">
        <v>91.742999999999995</v>
      </c>
      <c r="CS704" s="516">
        <v>84.692999999999998</v>
      </c>
      <c r="CT704" s="517">
        <f>+SUM(BI704:BL704)</f>
        <v>42.521999999999998</v>
      </c>
      <c r="CU704" s="592">
        <v>0</v>
      </c>
      <c r="CV704" s="592">
        <v>0</v>
      </c>
      <c r="CW704" s="592">
        <v>0</v>
      </c>
      <c r="CX704" s="592">
        <v>0</v>
      </c>
      <c r="CY704" s="592"/>
      <c r="CZ704" s="592"/>
      <c r="DA704" s="592"/>
      <c r="DB704" s="592"/>
      <c r="DC704" s="592"/>
      <c r="DD704" s="592"/>
      <c r="DE704" s="592"/>
      <c r="DF704" s="593"/>
      <c r="DG704" s="612"/>
      <c r="DH704" s="612"/>
    </row>
    <row r="705" spans="1:112" s="554" customFormat="1" ht="11.25" customHeight="1">
      <c r="A705" s="547"/>
      <c r="B705"/>
      <c r="C705"/>
      <c r="D705"/>
      <c r="E705"/>
      <c r="F705"/>
      <c r="G705"/>
      <c r="H705" s="1044"/>
      <c r="I705" s="652" t="s">
        <v>228</v>
      </c>
      <c r="J705" s="226"/>
      <c r="K705" s="226"/>
      <c r="L705" s="547"/>
      <c r="M705" s="551"/>
      <c r="N705" s="551"/>
      <c r="O705" s="551"/>
      <c r="P705" s="552"/>
      <c r="Q705" s="551"/>
      <c r="R705" s="551"/>
      <c r="S705" s="551"/>
      <c r="T705" s="552"/>
      <c r="U705" s="516"/>
      <c r="V705" s="516"/>
      <c r="W705" s="516"/>
      <c r="X705" s="602"/>
      <c r="Y705" s="516"/>
      <c r="Z705" s="516"/>
      <c r="AA705" s="516"/>
      <c r="AB705" s="602"/>
      <c r="AC705" s="516"/>
      <c r="AD705" s="516"/>
      <c r="AE705" s="516"/>
      <c r="AF705" s="602"/>
      <c r="AG705" s="516"/>
      <c r="AH705" s="516"/>
      <c r="AI705" s="516"/>
      <c r="AJ705" s="602"/>
      <c r="AK705" s="516"/>
      <c r="AL705" s="516"/>
      <c r="AM705" s="516"/>
      <c r="AN705" s="602"/>
      <c r="AO705" s="516"/>
      <c r="AP705" s="516"/>
      <c r="AQ705" s="516"/>
      <c r="AR705" s="602"/>
      <c r="AS705" s="516"/>
      <c r="AT705" s="516"/>
      <c r="AU705" s="516"/>
      <c r="AV705" s="602"/>
      <c r="AW705" s="645"/>
      <c r="AX705" s="645"/>
      <c r="AY705" s="645"/>
      <c r="AZ705" s="602"/>
      <c r="BA705" s="516"/>
      <c r="BB705" s="516"/>
      <c r="BC705" s="516"/>
      <c r="BD705" s="602"/>
      <c r="BE705" s="516"/>
      <c r="BF705" s="516"/>
      <c r="BG705" s="516"/>
      <c r="BH705" s="602"/>
      <c r="BI705" s="516">
        <v>0</v>
      </c>
      <c r="BJ705" s="516">
        <v>0</v>
      </c>
      <c r="BK705" s="516">
        <v>0</v>
      </c>
      <c r="BL705" s="602">
        <v>0</v>
      </c>
      <c r="BM705" s="516">
        <v>0</v>
      </c>
      <c r="BN705" s="516">
        <f>24.377-BM705</f>
        <v>24.376999999999999</v>
      </c>
      <c r="BO705" s="516">
        <f>13.31-BN705-BM705</f>
        <v>-11.066999999999998</v>
      </c>
      <c r="BP705" s="1912">
        <f>+CU705-BO705-BN705-BM705</f>
        <v>-2.610000000000003</v>
      </c>
      <c r="BQ705" s="516">
        <v>9.17</v>
      </c>
      <c r="BR705" s="516">
        <f>9.17-BQ705</f>
        <v>0</v>
      </c>
      <c r="BS705" s="516">
        <f>9.17-BR705-BQ705</f>
        <v>0</v>
      </c>
      <c r="BT705" s="1912">
        <f>+CV705-BS705-BR705-BQ705</f>
        <v>0</v>
      </c>
      <c r="BU705" s="516">
        <v>0</v>
      </c>
      <c r="BV705" s="516">
        <f>0-BU705</f>
        <v>0</v>
      </c>
      <c r="BW705" s="516">
        <f>0-BV705-BU705</f>
        <v>0</v>
      </c>
      <c r="BX705" s="1912">
        <f>+CW705-BW705-BV705-BU705</f>
        <v>0</v>
      </c>
      <c r="BY705" s="516">
        <f>0-BX705-BW705</f>
        <v>0</v>
      </c>
      <c r="BZ705" s="516">
        <f>0-BY705-BX705</f>
        <v>0</v>
      </c>
      <c r="CA705" s="516">
        <v>0</v>
      </c>
      <c r="CB705" s="1912">
        <f t="shared" si="1257"/>
        <v>0</v>
      </c>
      <c r="CC705" s="516"/>
      <c r="CD705" s="516"/>
      <c r="CE705" s="516"/>
      <c r="CF705" s="602"/>
      <c r="CG705" s="552"/>
      <c r="CH705" s="553"/>
      <c r="CI705" s="551"/>
      <c r="CJ705" s="516"/>
      <c r="CK705" s="516"/>
      <c r="CL705" s="516"/>
      <c r="CM705" s="516"/>
      <c r="CN705" s="516"/>
      <c r="CO705" s="516"/>
      <c r="CP705" s="645"/>
      <c r="CQ705" s="516"/>
      <c r="CR705" s="516"/>
      <c r="CS705" s="516"/>
      <c r="CT705" s="516">
        <v>0</v>
      </c>
      <c r="CU705" s="592">
        <v>10.7</v>
      </c>
      <c r="CV705" s="592">
        <v>9.17</v>
      </c>
      <c r="CW705" s="592">
        <v>0</v>
      </c>
      <c r="CX705" s="592">
        <v>0</v>
      </c>
      <c r="CY705" s="592"/>
      <c r="CZ705" s="592"/>
      <c r="DA705" s="592"/>
      <c r="DB705" s="592"/>
      <c r="DC705" s="592"/>
      <c r="DD705" s="592"/>
      <c r="DE705" s="592"/>
      <c r="DF705" s="593"/>
      <c r="DG705" s="612"/>
      <c r="DH705" s="612"/>
    </row>
    <row r="706" spans="1:112" s="554" customFormat="1" ht="11.25" customHeight="1">
      <c r="A706" s="547"/>
      <c r="B706"/>
      <c r="C706"/>
      <c r="D706"/>
      <c r="E706"/>
      <c r="F706"/>
      <c r="G706"/>
      <c r="H706" s="1044"/>
      <c r="I706" s="652" t="s">
        <v>229</v>
      </c>
      <c r="J706" s="226"/>
      <c r="K706" s="226"/>
      <c r="L706" s="547"/>
      <c r="M706" s="551"/>
      <c r="N706" s="551"/>
      <c r="O706" s="551"/>
      <c r="P706" s="552"/>
      <c r="Q706" s="551"/>
      <c r="R706" s="551"/>
      <c r="S706" s="551"/>
      <c r="T706" s="552"/>
      <c r="U706" s="516"/>
      <c r="V706" s="516"/>
      <c r="W706" s="516"/>
      <c r="X706" s="602"/>
      <c r="Y706" s="516"/>
      <c r="Z706" s="516"/>
      <c r="AA706" s="516"/>
      <c r="AB706" s="602"/>
      <c r="AC706" s="516"/>
      <c r="AD706" s="516"/>
      <c r="AE706" s="516"/>
      <c r="AF706" s="602"/>
      <c r="AG706" s="516"/>
      <c r="AH706" s="516"/>
      <c r="AI706" s="516"/>
      <c r="AJ706" s="602"/>
      <c r="AK706" s="516"/>
      <c r="AL706" s="516"/>
      <c r="AM706" s="516"/>
      <c r="AN706" s="602"/>
      <c r="AO706" s="516"/>
      <c r="AP706" s="516"/>
      <c r="AQ706" s="516"/>
      <c r="AR706" s="602"/>
      <c r="AS706" s="516"/>
      <c r="AT706" s="516"/>
      <c r="AU706" s="516"/>
      <c r="AV706" s="602"/>
      <c r="AW706" s="645"/>
      <c r="AX706" s="645"/>
      <c r="AY706" s="645"/>
      <c r="AZ706" s="602"/>
      <c r="BA706" s="516"/>
      <c r="BB706" s="516"/>
      <c r="BC706" s="516"/>
      <c r="BD706" s="602"/>
      <c r="BE706" s="516"/>
      <c r="BF706" s="516"/>
      <c r="BG706" s="516"/>
      <c r="BH706" s="602"/>
      <c r="BI706" s="516">
        <v>0</v>
      </c>
      <c r="BJ706" s="516">
        <v>0</v>
      </c>
      <c r="BK706" s="516">
        <v>0</v>
      </c>
      <c r="BL706" s="602">
        <v>1546.748</v>
      </c>
      <c r="BM706" s="516">
        <v>0</v>
      </c>
      <c r="BN706" s="516">
        <f>5.584-BM706</f>
        <v>5.5839999999999996</v>
      </c>
      <c r="BO706" s="516">
        <f>13.752-BN706-BM706</f>
        <v>8.168000000000001</v>
      </c>
      <c r="BP706" s="1912">
        <f>+CU706-BO706-BN706-BM706</f>
        <v>-1.0000000000012221E-3</v>
      </c>
      <c r="BQ706" s="516">
        <v>0</v>
      </c>
      <c r="BR706" s="516">
        <f>0-BQ706</f>
        <v>0</v>
      </c>
      <c r="BS706" s="516">
        <f>0-BR706-BQ706</f>
        <v>0</v>
      </c>
      <c r="BT706" s="1912">
        <f>+CV706-BS706-BR706-BQ706</f>
        <v>0</v>
      </c>
      <c r="BU706" s="516">
        <v>0</v>
      </c>
      <c r="BV706" s="516">
        <f>0-BU706</f>
        <v>0</v>
      </c>
      <c r="BW706" s="516">
        <f>0-BV706-BU706</f>
        <v>0</v>
      </c>
      <c r="BX706" s="1912">
        <f>+CW706-BW706-BV706-BU706</f>
        <v>0</v>
      </c>
      <c r="BY706" s="516">
        <f>0-BX706-BW706</f>
        <v>0</v>
      </c>
      <c r="BZ706" s="516">
        <f>0-BY706-BX706</f>
        <v>0</v>
      </c>
      <c r="CA706" s="516">
        <v>0</v>
      </c>
      <c r="CB706" s="1912">
        <f t="shared" si="1257"/>
        <v>1</v>
      </c>
      <c r="CC706" s="516"/>
      <c r="CD706" s="516"/>
      <c r="CE706" s="516"/>
      <c r="CF706" s="602"/>
      <c r="CG706" s="552"/>
      <c r="CH706" s="553"/>
      <c r="CI706" s="551"/>
      <c r="CJ706" s="516"/>
      <c r="CK706" s="516"/>
      <c r="CL706" s="516"/>
      <c r="CM706" s="516"/>
      <c r="CN706" s="516"/>
      <c r="CO706" s="516"/>
      <c r="CP706" s="645"/>
      <c r="CQ706" s="516"/>
      <c r="CR706" s="516"/>
      <c r="CS706" s="592"/>
      <c r="CT706" s="517">
        <f>+SUM(BI706:BL706)</f>
        <v>1546.748</v>
      </c>
      <c r="CU706" s="592">
        <v>13.750999999999999</v>
      </c>
      <c r="CV706" s="592">
        <v>0</v>
      </c>
      <c r="CW706" s="592">
        <v>0</v>
      </c>
      <c r="CX706" s="592">
        <v>1</v>
      </c>
      <c r="CY706" s="592"/>
      <c r="CZ706" s="592"/>
      <c r="DA706" s="592"/>
      <c r="DB706" s="592"/>
      <c r="DC706" s="592"/>
      <c r="DD706" s="592"/>
      <c r="DE706" s="592"/>
      <c r="DF706" s="593"/>
      <c r="DG706" s="612"/>
      <c r="DH706" s="612"/>
    </row>
    <row r="707" spans="1:112" s="26" customFormat="1" ht="11.25" customHeight="1">
      <c r="A707" s="24"/>
      <c r="B707"/>
      <c r="C707"/>
      <c r="D707"/>
      <c r="E707"/>
      <c r="F707"/>
      <c r="G707"/>
      <c r="H707" s="1044"/>
      <c r="I707" s="160"/>
      <c r="J707" s="24"/>
      <c r="K707" s="24"/>
      <c r="L707" s="24"/>
      <c r="M707" s="315"/>
      <c r="N707" s="315"/>
      <c r="O707" s="315"/>
      <c r="P707" s="316"/>
      <c r="Q707" s="315"/>
      <c r="R707" s="315"/>
      <c r="S707" s="315"/>
      <c r="T707" s="316"/>
      <c r="U707" s="317"/>
      <c r="V707" s="317"/>
      <c r="W707" s="317"/>
      <c r="X707" s="318"/>
      <c r="Y707" s="317"/>
      <c r="Z707" s="317"/>
      <c r="AA707" s="317"/>
      <c r="AB707" s="318"/>
      <c r="AC707" s="317"/>
      <c r="AD707" s="317"/>
      <c r="AE707" s="317"/>
      <c r="AF707" s="318"/>
      <c r="AG707" s="317"/>
      <c r="AH707" s="317"/>
      <c r="AI707" s="317"/>
      <c r="AJ707" s="318"/>
      <c r="AK707" s="317"/>
      <c r="AL707" s="317"/>
      <c r="AM707" s="317"/>
      <c r="AN707" s="318"/>
      <c r="AO707" s="317"/>
      <c r="AP707" s="317"/>
      <c r="AQ707" s="317"/>
      <c r="AR707" s="318"/>
      <c r="AS707" s="317"/>
      <c r="AT707" s="317"/>
      <c r="AU707" s="317"/>
      <c r="AV707" s="318"/>
      <c r="AW707" s="319"/>
      <c r="AX707" s="319"/>
      <c r="AY707" s="319"/>
      <c r="AZ707" s="318"/>
      <c r="BA707" s="317"/>
      <c r="BB707" s="317"/>
      <c r="BC707" s="317"/>
      <c r="BD707" s="318"/>
      <c r="BE707" s="317"/>
      <c r="BF707" s="317"/>
      <c r="BG707" s="317"/>
      <c r="BH707" s="318"/>
      <c r="BI707" s="317"/>
      <c r="BJ707" s="317"/>
      <c r="BK707" s="317"/>
      <c r="BL707" s="318"/>
      <c r="BM707" s="317"/>
      <c r="BN707" s="317"/>
      <c r="BO707" s="317"/>
      <c r="BP707" s="318"/>
      <c r="BQ707" s="317"/>
      <c r="BR707" s="317"/>
      <c r="BS707" s="317"/>
      <c r="BT707" s="318"/>
      <c r="BU707" s="317"/>
      <c r="BV707" s="317"/>
      <c r="BW707" s="317"/>
      <c r="BX707" s="318"/>
      <c r="BY707" s="317"/>
      <c r="BZ707" s="317"/>
      <c r="CA707" s="317"/>
      <c r="CB707" s="318"/>
      <c r="CC707" s="317"/>
      <c r="CD707" s="317"/>
      <c r="CE707" s="317"/>
      <c r="CF707" s="318"/>
      <c r="CG707" s="316"/>
      <c r="CH707" s="320"/>
      <c r="CI707" s="315"/>
      <c r="CJ707" s="317"/>
      <c r="CK707" s="317"/>
      <c r="CL707" s="317"/>
      <c r="CM707" s="317"/>
      <c r="CN707" s="317"/>
      <c r="CO707" s="317"/>
      <c r="CP707" s="319"/>
      <c r="CQ707" s="317"/>
      <c r="CR707" s="317"/>
      <c r="CS707" s="321"/>
      <c r="CT707" s="321"/>
      <c r="CU707" s="321"/>
      <c r="CV707" s="321"/>
      <c r="CW707" s="321"/>
      <c r="CX707" s="321"/>
      <c r="CY707" s="321"/>
      <c r="CZ707" s="321"/>
      <c r="DA707" s="321"/>
      <c r="DB707" s="321"/>
      <c r="DC707" s="321"/>
      <c r="DD707" s="321"/>
      <c r="DE707" s="321"/>
      <c r="DF707" s="322"/>
      <c r="DG707" s="94"/>
      <c r="DH707" s="94"/>
    </row>
    <row r="708" spans="1:112" s="26" customFormat="1" ht="11.25" customHeight="1">
      <c r="A708" s="24"/>
      <c r="B708"/>
      <c r="C708"/>
      <c r="D708"/>
      <c r="E708"/>
      <c r="F708"/>
      <c r="G708"/>
      <c r="H708" s="1044"/>
      <c r="I708" s="160"/>
      <c r="J708" s="24"/>
      <c r="K708" s="24"/>
      <c r="L708" s="24"/>
      <c r="M708" s="315"/>
      <c r="N708" s="315"/>
      <c r="O708" s="315"/>
      <c r="P708" s="316"/>
      <c r="Q708" s="315"/>
      <c r="R708" s="315"/>
      <c r="S708" s="315"/>
      <c r="T708" s="316"/>
      <c r="U708" s="317"/>
      <c r="V708" s="317"/>
      <c r="W708" s="317"/>
      <c r="X708" s="318"/>
      <c r="Y708" s="317"/>
      <c r="Z708" s="317"/>
      <c r="AA708" s="317"/>
      <c r="AB708" s="318"/>
      <c r="AC708" s="317"/>
      <c r="AD708" s="317"/>
      <c r="AE708" s="317"/>
      <c r="AF708" s="318"/>
      <c r="AG708" s="317"/>
      <c r="AH708" s="317"/>
      <c r="AI708" s="317"/>
      <c r="AJ708" s="318"/>
      <c r="AK708" s="317"/>
      <c r="AL708" s="317"/>
      <c r="AM708" s="317"/>
      <c r="AN708" s="318"/>
      <c r="AO708" s="317"/>
      <c r="AP708" s="317"/>
      <c r="AQ708" s="317"/>
      <c r="AR708" s="318"/>
      <c r="AS708" s="317"/>
      <c r="AT708" s="317"/>
      <c r="AU708" s="317"/>
      <c r="AV708" s="318"/>
      <c r="AW708" s="319"/>
      <c r="AX708" s="319"/>
      <c r="AY708" s="319"/>
      <c r="AZ708" s="318"/>
      <c r="BA708" s="317"/>
      <c r="BB708" s="317"/>
      <c r="BC708" s="317"/>
      <c r="BD708" s="318"/>
      <c r="BE708" s="317"/>
      <c r="BF708" s="317"/>
      <c r="BG708" s="317"/>
      <c r="BH708" s="318"/>
      <c r="BI708" s="317"/>
      <c r="BJ708" s="317"/>
      <c r="BK708" s="317"/>
      <c r="BL708" s="318"/>
      <c r="BM708" s="317"/>
      <c r="BN708" s="317"/>
      <c r="BO708" s="317"/>
      <c r="BP708" s="318"/>
      <c r="BQ708" s="317"/>
      <c r="BR708" s="317"/>
      <c r="BS708" s="317"/>
      <c r="BT708" s="318"/>
      <c r="BU708" s="317"/>
      <c r="BV708" s="317"/>
      <c r="BW708" s="317"/>
      <c r="BX708" s="318"/>
      <c r="BY708" s="317"/>
      <c r="BZ708" s="317"/>
      <c r="CA708" s="317"/>
      <c r="CB708" s="318"/>
      <c r="CC708" s="317"/>
      <c r="CD708" s="317"/>
      <c r="CE708" s="317"/>
      <c r="CF708" s="318"/>
      <c r="CG708" s="316"/>
      <c r="CH708" s="320"/>
      <c r="CI708" s="315"/>
      <c r="CJ708" s="317"/>
      <c r="CK708" s="317"/>
      <c r="CL708" s="317"/>
      <c r="CM708" s="317"/>
      <c r="CN708" s="317"/>
      <c r="CO708" s="317"/>
      <c r="CP708" s="319"/>
      <c r="CQ708" s="317"/>
      <c r="CR708" s="317"/>
      <c r="CS708" s="321"/>
      <c r="CT708" s="321"/>
      <c r="CU708" s="321"/>
      <c r="CV708" s="321"/>
      <c r="CW708" s="321"/>
      <c r="CX708" s="321"/>
      <c r="CY708" s="321"/>
      <c r="CZ708" s="321"/>
      <c r="DA708" s="321"/>
      <c r="DB708" s="321"/>
      <c r="DC708" s="321"/>
      <c r="DD708" s="321"/>
      <c r="DE708" s="321"/>
      <c r="DF708" s="322"/>
      <c r="DG708" s="94"/>
      <c r="DH708" s="94"/>
    </row>
    <row r="709" spans="1:112" s="3" customFormat="1" ht="11.25" customHeight="1">
      <c r="A709" s="24"/>
      <c r="B709"/>
      <c r="C709"/>
      <c r="D709"/>
      <c r="E709"/>
      <c r="F709"/>
      <c r="G709"/>
      <c r="H709" s="1044"/>
      <c r="I709" s="178" t="s">
        <v>390</v>
      </c>
      <c r="J709" s="8"/>
      <c r="K709" s="8"/>
      <c r="L709" s="8"/>
      <c r="M709" s="315"/>
      <c r="N709" s="315"/>
      <c r="O709" s="315"/>
      <c r="P709" s="316"/>
      <c r="Q709" s="315"/>
      <c r="R709" s="315"/>
      <c r="S709" s="315"/>
      <c r="T709" s="316"/>
      <c r="U709" s="317"/>
      <c r="V709" s="317"/>
      <c r="W709" s="317"/>
      <c r="X709" s="318"/>
      <c r="Y709" s="317"/>
      <c r="Z709" s="317"/>
      <c r="AA709" s="317"/>
      <c r="AB709" s="318"/>
      <c r="AC709" s="317"/>
      <c r="AD709" s="317"/>
      <c r="AE709" s="317"/>
      <c r="AF709" s="318"/>
      <c r="AG709" s="317"/>
      <c r="AH709" s="317"/>
      <c r="AI709" s="317"/>
      <c r="AJ709" s="318"/>
      <c r="AK709" s="317"/>
      <c r="AL709" s="317"/>
      <c r="AM709" s="317"/>
      <c r="AN709" s="318"/>
      <c r="AO709" s="317"/>
      <c r="AP709" s="317"/>
      <c r="AQ709" s="317"/>
      <c r="AR709" s="318"/>
      <c r="AS709" s="317"/>
      <c r="AT709" s="317"/>
      <c r="AU709" s="317"/>
      <c r="AV709" s="318"/>
      <c r="AW709" s="319"/>
      <c r="AX709" s="319"/>
      <c r="AY709" s="319"/>
      <c r="AZ709" s="318"/>
      <c r="BA709" s="317"/>
      <c r="BB709" s="317"/>
      <c r="BC709" s="317"/>
      <c r="BD709" s="318"/>
      <c r="BE709" s="317"/>
      <c r="BF709" s="317"/>
      <c r="BG709" s="317"/>
      <c r="BH709" s="318"/>
      <c r="BI709" s="317"/>
      <c r="BJ709" s="317"/>
      <c r="BK709" s="317"/>
      <c r="BL709" s="318"/>
      <c r="BM709" s="317"/>
      <c r="BN709" s="317"/>
      <c r="BO709" s="317"/>
      <c r="BP709" s="318"/>
      <c r="BQ709" s="317"/>
      <c r="BR709" s="317"/>
      <c r="BS709" s="317"/>
      <c r="BT709" s="318"/>
      <c r="BU709" s="317"/>
      <c r="BV709" s="317"/>
      <c r="BW709" s="317"/>
      <c r="BX709" s="318"/>
      <c r="BY709" s="317"/>
      <c r="BZ709" s="317"/>
      <c r="CA709" s="317"/>
      <c r="CB709" s="318"/>
      <c r="CC709" s="317"/>
      <c r="CD709" s="317"/>
      <c r="CE709" s="317"/>
      <c r="CF709" s="318"/>
      <c r="CG709" s="316"/>
      <c r="CH709" s="320"/>
      <c r="CI709" s="315"/>
      <c r="CJ709" s="317"/>
      <c r="CK709" s="317"/>
      <c r="CL709" s="317"/>
      <c r="CM709" s="317"/>
      <c r="CN709" s="317"/>
      <c r="CO709" s="317"/>
      <c r="CP709" s="319"/>
      <c r="CQ709" s="317"/>
      <c r="CR709" s="317"/>
      <c r="CS709" s="321"/>
      <c r="CT709" s="321"/>
      <c r="CU709" s="321"/>
      <c r="CV709" s="321"/>
      <c r="CW709" s="321"/>
      <c r="CX709" s="321"/>
      <c r="CY709" s="321"/>
      <c r="CZ709" s="321"/>
      <c r="DA709" s="321"/>
      <c r="DB709" s="321"/>
      <c r="DC709" s="321"/>
      <c r="DD709" s="321"/>
      <c r="DE709" s="321"/>
      <c r="DF709" s="322"/>
      <c r="DG709" s="1470"/>
      <c r="DH709" s="1470"/>
    </row>
    <row r="710" spans="1:112" s="554" customFormat="1" ht="11.25" customHeight="1">
      <c r="A710" s="547"/>
      <c r="B710"/>
      <c r="C710"/>
      <c r="D710"/>
      <c r="E710"/>
      <c r="F710"/>
      <c r="G710"/>
      <c r="H710" s="1044"/>
      <c r="I710" s="591" t="s">
        <v>230</v>
      </c>
      <c r="J710" s="547"/>
      <c r="K710" s="547"/>
      <c r="L710" s="547"/>
      <c r="M710" s="551"/>
      <c r="N710" s="551"/>
      <c r="O710" s="551"/>
      <c r="P710" s="552"/>
      <c r="Q710" s="551"/>
      <c r="R710" s="551"/>
      <c r="S710" s="551"/>
      <c r="T710" s="552"/>
      <c r="U710" s="516"/>
      <c r="V710" s="516"/>
      <c r="W710" s="516"/>
      <c r="X710" s="602"/>
      <c r="Y710" s="516"/>
      <c r="Z710" s="516"/>
      <c r="AA710" s="516"/>
      <c r="AB710" s="602"/>
      <c r="AC710" s="516"/>
      <c r="AD710" s="516"/>
      <c r="AE710" s="516"/>
      <c r="AF710" s="602"/>
      <c r="AG710" s="516"/>
      <c r="AH710" s="516"/>
      <c r="AI710" s="516"/>
      <c r="AJ710" s="602"/>
      <c r="AK710" s="516"/>
      <c r="AL710" s="516"/>
      <c r="AM710" s="516"/>
      <c r="AN710" s="602"/>
      <c r="AO710" s="516"/>
      <c r="AP710" s="516"/>
      <c r="AQ710" s="517">
        <f t="shared" ref="AQ710:BN710" si="1258">+AQ712-AQ711</f>
        <v>324.29999999999995</v>
      </c>
      <c r="AR710" s="601">
        <f t="shared" si="1258"/>
        <v>281.79999999999995</v>
      </c>
      <c r="AS710" s="517">
        <f t="shared" si="1258"/>
        <v>289.70000000000005</v>
      </c>
      <c r="AT710" s="517">
        <f t="shared" si="1258"/>
        <v>325.40000000000003</v>
      </c>
      <c r="AU710" s="517">
        <f t="shared" si="1258"/>
        <v>291.79999999999995</v>
      </c>
      <c r="AV710" s="601">
        <f t="shared" si="1258"/>
        <v>265.60000000000002</v>
      </c>
      <c r="AW710" s="517">
        <f t="shared" si="1258"/>
        <v>652.20000000000005</v>
      </c>
      <c r="AX710" s="517">
        <f t="shared" si="1258"/>
        <v>700</v>
      </c>
      <c r="AY710" s="517">
        <f t="shared" si="1258"/>
        <v>700</v>
      </c>
      <c r="AZ710" s="601">
        <f t="shared" si="1258"/>
        <v>751</v>
      </c>
      <c r="BA710" s="517">
        <f t="shared" si="1258"/>
        <v>845.58599999999979</v>
      </c>
      <c r="BB710" s="517">
        <f t="shared" si="1258"/>
        <v>949.41800000000012</v>
      </c>
      <c r="BC710" s="517">
        <f t="shared" si="1258"/>
        <v>1004.6330000000003</v>
      </c>
      <c r="BD710" s="601">
        <f t="shared" si="1258"/>
        <v>1057.663</v>
      </c>
      <c r="BE710" s="517">
        <f t="shared" si="1258"/>
        <v>1918.7030000000004</v>
      </c>
      <c r="BF710" s="517">
        <f t="shared" si="1258"/>
        <v>2042.3420000000001</v>
      </c>
      <c r="BG710" s="517">
        <f t="shared" si="1258"/>
        <v>2067.9970000000003</v>
      </c>
      <c r="BH710" s="601">
        <f t="shared" si="1258"/>
        <v>2083.1939999999995</v>
      </c>
      <c r="BI710" s="517">
        <f t="shared" si="1258"/>
        <v>2181.6170000000002</v>
      </c>
      <c r="BJ710" s="517">
        <f t="shared" si="1258"/>
        <v>2645.0739999999996</v>
      </c>
      <c r="BK710" s="517">
        <f t="shared" si="1258"/>
        <v>2183.62</v>
      </c>
      <c r="BL710" s="601">
        <f t="shared" si="1258"/>
        <v>1852.7139999999999</v>
      </c>
      <c r="BM710" s="517">
        <f t="shared" si="1258"/>
        <v>1810.5079999999998</v>
      </c>
      <c r="BN710" s="517">
        <f t="shared" si="1258"/>
        <v>1764.7060000000001</v>
      </c>
      <c r="BO710" s="517">
        <f t="shared" ref="BO710:CB710" si="1259">+BO712-BO711</f>
        <v>1602.259</v>
      </c>
      <c r="BP710" s="601">
        <f t="shared" si="1259"/>
        <v>1146.485999999999</v>
      </c>
      <c r="BQ710" s="517">
        <f t="shared" si="1259"/>
        <v>2509.0990000000002</v>
      </c>
      <c r="BR710" s="517">
        <f t="shared" si="1259"/>
        <v>1883.5439999999999</v>
      </c>
      <c r="BS710" s="517">
        <f t="shared" si="1259"/>
        <v>680.47199999999975</v>
      </c>
      <c r="BT710" s="601">
        <f t="shared" si="1259"/>
        <v>779.8739999999998</v>
      </c>
      <c r="BU710" s="517">
        <f t="shared" si="1259"/>
        <v>677.13999999999942</v>
      </c>
      <c r="BV710" s="517">
        <f t="shared" si="1259"/>
        <v>1625.3739999999998</v>
      </c>
      <c r="BW710" s="517">
        <f t="shared" si="1259"/>
        <v>1474.7330000000002</v>
      </c>
      <c r="BX710" s="601">
        <f t="shared" si="1259"/>
        <v>1291.021999999999</v>
      </c>
      <c r="BY710" s="517">
        <f t="shared" si="1259"/>
        <v>2210.8079999999991</v>
      </c>
      <c r="BZ710" s="517">
        <f t="shared" si="1259"/>
        <v>1919.7479999999996</v>
      </c>
      <c r="CA710" s="517">
        <f t="shared" si="1259"/>
        <v>2467.6419999999998</v>
      </c>
      <c r="CB710" s="601">
        <f t="shared" si="1259"/>
        <v>1623.0769999999975</v>
      </c>
      <c r="CC710" s="516"/>
      <c r="CD710" s="516"/>
      <c r="CE710" s="516"/>
      <c r="CF710" s="602"/>
      <c r="CG710" s="552"/>
      <c r="CH710" s="553"/>
      <c r="CI710" s="551"/>
      <c r="CJ710" s="516"/>
      <c r="CK710" s="592"/>
      <c r="CL710" s="592"/>
      <c r="CM710" s="592"/>
      <c r="CN710" s="592"/>
      <c r="CO710" s="615">
        <f>+AR710</f>
        <v>281.79999999999995</v>
      </c>
      <c r="CP710" s="615">
        <f>+AV710</f>
        <v>265.60000000000002</v>
      </c>
      <c r="CQ710" s="615">
        <f>+AZ710</f>
        <v>751</v>
      </c>
      <c r="CR710" s="615">
        <f>+BD710</f>
        <v>1057.663</v>
      </c>
      <c r="CS710" s="615">
        <f>+BH710</f>
        <v>2083.1939999999995</v>
      </c>
      <c r="CT710" s="615">
        <f>+BL710</f>
        <v>1852.7139999999999</v>
      </c>
      <c r="CU710" s="615">
        <f>+BP710</f>
        <v>1146.485999999999</v>
      </c>
      <c r="CV710" s="615">
        <f>BT710</f>
        <v>779.8739999999998</v>
      </c>
      <c r="CW710" s="615">
        <f>+BX710</f>
        <v>1291.021999999999</v>
      </c>
      <c r="CX710" s="615">
        <f>+CB710</f>
        <v>1623.0769999999975</v>
      </c>
      <c r="CY710" s="516"/>
      <c r="CZ710" s="516"/>
      <c r="DA710" s="516"/>
      <c r="DB710" s="516"/>
      <c r="DC710" s="516"/>
      <c r="DD710" s="516"/>
      <c r="DE710" s="516"/>
      <c r="DF710" s="602"/>
      <c r="DG710" s="612"/>
      <c r="DH710" s="612"/>
    </row>
    <row r="711" spans="1:112" s="554" customFormat="1" ht="11.25" customHeight="1">
      <c r="A711" s="547"/>
      <c r="B711"/>
      <c r="C711"/>
      <c r="D711"/>
      <c r="E711"/>
      <c r="F711"/>
      <c r="G711"/>
      <c r="H711" s="1044"/>
      <c r="I711" s="597" t="s">
        <v>231</v>
      </c>
      <c r="J711" s="560"/>
      <c r="K711" s="560"/>
      <c r="L711" s="560"/>
      <c r="M711" s="561"/>
      <c r="N711" s="561"/>
      <c r="O711" s="561"/>
      <c r="P711" s="562"/>
      <c r="Q711" s="561"/>
      <c r="R711" s="561"/>
      <c r="S711" s="561"/>
      <c r="T711" s="562"/>
      <c r="U711" s="511"/>
      <c r="V711" s="511"/>
      <c r="W711" s="511"/>
      <c r="X711" s="648"/>
      <c r="Y711" s="511"/>
      <c r="Z711" s="511"/>
      <c r="AA711" s="511"/>
      <c r="AB711" s="648"/>
      <c r="AC711" s="511"/>
      <c r="AD711" s="511"/>
      <c r="AE711" s="511"/>
      <c r="AF711" s="648"/>
      <c r="AG711" s="511"/>
      <c r="AH711" s="511"/>
      <c r="AI711" s="511"/>
      <c r="AJ711" s="648"/>
      <c r="AK711" s="511"/>
      <c r="AL711" s="511"/>
      <c r="AM711" s="511"/>
      <c r="AN711" s="648"/>
      <c r="AO711" s="511"/>
      <c r="AP711" s="511"/>
      <c r="AQ711" s="511">
        <v>127.9</v>
      </c>
      <c r="AR711" s="648">
        <v>181.6</v>
      </c>
      <c r="AS711" s="511">
        <v>207.4</v>
      </c>
      <c r="AT711" s="511">
        <v>264.2</v>
      </c>
      <c r="AU711" s="511">
        <v>427.5</v>
      </c>
      <c r="AV711" s="648">
        <v>534.6</v>
      </c>
      <c r="AW711" s="511">
        <v>547.79999999999995</v>
      </c>
      <c r="AX711" s="511">
        <v>500</v>
      </c>
      <c r="AY711" s="511">
        <v>800</v>
      </c>
      <c r="AZ711" s="648">
        <v>949</v>
      </c>
      <c r="BA711" s="511">
        <v>900</v>
      </c>
      <c r="BB711" s="511">
        <v>1000</v>
      </c>
      <c r="BC711" s="511">
        <v>1400</v>
      </c>
      <c r="BD711" s="648">
        <v>1600</v>
      </c>
      <c r="BE711" s="511">
        <v>1700</v>
      </c>
      <c r="BF711" s="511">
        <v>1900</v>
      </c>
      <c r="BG711" s="511">
        <v>2600</v>
      </c>
      <c r="BH711" s="648">
        <v>3100</v>
      </c>
      <c r="BI711" s="511">
        <v>3000</v>
      </c>
      <c r="BJ711" s="511">
        <v>3300</v>
      </c>
      <c r="BK711" s="511">
        <v>4400</v>
      </c>
      <c r="BL711" s="648">
        <v>4900</v>
      </c>
      <c r="BM711" s="511">
        <v>4900</v>
      </c>
      <c r="BN711" s="511">
        <v>5400</v>
      </c>
      <c r="BO711" s="511">
        <v>6600</v>
      </c>
      <c r="BP711" s="648">
        <v>6900</v>
      </c>
      <c r="BQ711" s="511">
        <v>7100</v>
      </c>
      <c r="BR711" s="511">
        <v>7700</v>
      </c>
      <c r="BS711" s="511">
        <v>8700</v>
      </c>
      <c r="BT711" s="648">
        <v>9800</v>
      </c>
      <c r="BU711" s="511">
        <v>10300</v>
      </c>
      <c r="BV711" s="511">
        <v>10700</v>
      </c>
      <c r="BW711" s="511">
        <v>12200</v>
      </c>
      <c r="BX711" s="648">
        <v>12600</v>
      </c>
      <c r="BY711" s="511">
        <v>13300</v>
      </c>
      <c r="BZ711" s="511">
        <v>14700</v>
      </c>
      <c r="CA711" s="511">
        <v>15900</v>
      </c>
      <c r="CB711" s="648">
        <v>16200</v>
      </c>
      <c r="CC711" s="511"/>
      <c r="CD711" s="511"/>
      <c r="CE711" s="511"/>
      <c r="CF711" s="648"/>
      <c r="CG711" s="552"/>
      <c r="CH711" s="567"/>
      <c r="CI711" s="561"/>
      <c r="CJ711" s="511"/>
      <c r="CK711" s="657"/>
      <c r="CL711" s="657"/>
      <c r="CM711" s="657"/>
      <c r="CN711" s="657"/>
      <c r="CO711" s="658">
        <f>+AR711</f>
        <v>181.6</v>
      </c>
      <c r="CP711" s="658">
        <f>+AV711</f>
        <v>534.6</v>
      </c>
      <c r="CQ711" s="658">
        <f>+AZ711</f>
        <v>949</v>
      </c>
      <c r="CR711" s="658">
        <f>+BD711</f>
        <v>1600</v>
      </c>
      <c r="CS711" s="658">
        <f>+BH711</f>
        <v>3100</v>
      </c>
      <c r="CT711" s="658">
        <f>+BL711</f>
        <v>4900</v>
      </c>
      <c r="CU711" s="658">
        <f>+BP711</f>
        <v>6900</v>
      </c>
      <c r="CV711" s="658">
        <f>BT711</f>
        <v>9800</v>
      </c>
      <c r="CW711" s="658">
        <f>+BX711</f>
        <v>12600</v>
      </c>
      <c r="CX711" s="658">
        <f>+CB711</f>
        <v>16200</v>
      </c>
      <c r="CY711" s="511"/>
      <c r="CZ711" s="511"/>
      <c r="DA711" s="511"/>
      <c r="DB711" s="511"/>
      <c r="DC711" s="511"/>
      <c r="DD711" s="511"/>
      <c r="DE711" s="511"/>
      <c r="DF711" s="648"/>
      <c r="DG711" s="612"/>
      <c r="DH711" s="612"/>
    </row>
    <row r="712" spans="1:112" s="584" customFormat="1" ht="11.25" customHeight="1">
      <c r="A712" s="542"/>
      <c r="B712"/>
      <c r="C712"/>
      <c r="D712"/>
      <c r="E712"/>
      <c r="F712"/>
      <c r="G712"/>
      <c r="H712" s="1052"/>
      <c r="I712" s="544" t="s">
        <v>5</v>
      </c>
      <c r="J712" s="542"/>
      <c r="K712" s="542"/>
      <c r="L712" s="542"/>
      <c r="M712" s="581"/>
      <c r="N712" s="581"/>
      <c r="O712" s="581"/>
      <c r="P712" s="582"/>
      <c r="Q712" s="581"/>
      <c r="R712" s="581"/>
      <c r="S712" s="581"/>
      <c r="T712" s="582"/>
      <c r="U712" s="600"/>
      <c r="V712" s="600"/>
      <c r="W712" s="600"/>
      <c r="X712" s="599"/>
      <c r="Y712" s="600"/>
      <c r="Z712" s="600"/>
      <c r="AA712" s="600"/>
      <c r="AB712" s="599"/>
      <c r="AC712" s="600"/>
      <c r="AD712" s="600"/>
      <c r="AE712" s="600"/>
      <c r="AF712" s="599"/>
      <c r="AG712" s="600"/>
      <c r="AH712" s="600"/>
      <c r="AI712" s="600"/>
      <c r="AJ712" s="599"/>
      <c r="AK712" s="600"/>
      <c r="AL712" s="600"/>
      <c r="AM712" s="600"/>
      <c r="AN712" s="599"/>
      <c r="AO712" s="600">
        <v>549.70000000000005</v>
      </c>
      <c r="AP712" s="600">
        <v>551.20000000000005</v>
      </c>
      <c r="AQ712" s="600">
        <v>452.2</v>
      </c>
      <c r="AR712" s="599">
        <v>463.4</v>
      </c>
      <c r="AS712" s="600">
        <v>497.1</v>
      </c>
      <c r="AT712" s="600">
        <v>589.6</v>
      </c>
      <c r="AU712" s="600">
        <v>719.3</v>
      </c>
      <c r="AV712" s="599">
        <v>800.2</v>
      </c>
      <c r="AW712" s="600">
        <v>1200</v>
      </c>
      <c r="AX712" s="600">
        <v>1200</v>
      </c>
      <c r="AY712" s="600">
        <v>1500</v>
      </c>
      <c r="AZ712" s="599">
        <v>1700</v>
      </c>
      <c r="BA712" s="514">
        <f t="shared" ref="BA712:BM712" si="1260">+BA587+BA589</f>
        <v>1745.5859999999998</v>
      </c>
      <c r="BB712" s="514">
        <f t="shared" si="1260"/>
        <v>1949.4180000000001</v>
      </c>
      <c r="BC712" s="514">
        <f t="shared" si="1260"/>
        <v>2404.6330000000003</v>
      </c>
      <c r="BD712" s="515">
        <f t="shared" si="1260"/>
        <v>2657.663</v>
      </c>
      <c r="BE712" s="514">
        <f t="shared" si="1260"/>
        <v>3618.7030000000004</v>
      </c>
      <c r="BF712" s="514">
        <f t="shared" si="1260"/>
        <v>3942.3420000000001</v>
      </c>
      <c r="BG712" s="514">
        <f t="shared" si="1260"/>
        <v>4667.9970000000003</v>
      </c>
      <c r="BH712" s="515">
        <f t="shared" si="1260"/>
        <v>5183.1939999999995</v>
      </c>
      <c r="BI712" s="514">
        <f t="shared" si="1260"/>
        <v>5181.6170000000002</v>
      </c>
      <c r="BJ712" s="514">
        <f t="shared" si="1260"/>
        <v>5945.0739999999996</v>
      </c>
      <c r="BK712" s="514">
        <f t="shared" si="1260"/>
        <v>6583.62</v>
      </c>
      <c r="BL712" s="515">
        <f t="shared" si="1260"/>
        <v>6752.7139999999999</v>
      </c>
      <c r="BM712" s="514">
        <f t="shared" si="1260"/>
        <v>6710.5079999999998</v>
      </c>
      <c r="BN712" s="514">
        <f>+BN587+BN589</f>
        <v>7164.7060000000001</v>
      </c>
      <c r="BO712" s="514">
        <f t="shared" ref="BO712:BT712" si="1261">+BO587+BO589+BO602</f>
        <v>8202.259</v>
      </c>
      <c r="BP712" s="515">
        <f t="shared" si="1261"/>
        <v>8046.485999999999</v>
      </c>
      <c r="BQ712" s="514">
        <f t="shared" si="1261"/>
        <v>9609.0990000000002</v>
      </c>
      <c r="BR712" s="514">
        <f t="shared" si="1261"/>
        <v>9583.5439999999999</v>
      </c>
      <c r="BS712" s="514">
        <f t="shared" si="1261"/>
        <v>9380.4719999999998</v>
      </c>
      <c r="BT712" s="515">
        <f t="shared" si="1261"/>
        <v>10579.874</v>
      </c>
      <c r="BU712" s="514">
        <f t="shared" ref="BU712:CB712" si="1262">+BU587+BU589+BU602</f>
        <v>10977.14</v>
      </c>
      <c r="BV712" s="514">
        <f t="shared" si="1262"/>
        <v>12325.374</v>
      </c>
      <c r="BW712" s="514">
        <f t="shared" si="1262"/>
        <v>13674.733</v>
      </c>
      <c r="BX712" s="515">
        <f t="shared" si="1262"/>
        <v>13891.021999999999</v>
      </c>
      <c r="BY712" s="514">
        <f t="shared" si="1262"/>
        <v>15510.807999999999</v>
      </c>
      <c r="BZ712" s="514">
        <f t="shared" si="1262"/>
        <v>16619.748</v>
      </c>
      <c r="CA712" s="514">
        <f t="shared" si="1262"/>
        <v>18367.642</v>
      </c>
      <c r="CB712" s="515">
        <f t="shared" si="1262"/>
        <v>17823.076999999997</v>
      </c>
      <c r="CC712" s="600"/>
      <c r="CD712" s="600"/>
      <c r="CE712" s="600"/>
      <c r="CF712" s="599"/>
      <c r="CG712" s="582"/>
      <c r="CH712" s="583"/>
      <c r="CI712" s="581"/>
      <c r="CJ712" s="600"/>
      <c r="CK712" s="600"/>
      <c r="CL712" s="600"/>
      <c r="CM712" s="600"/>
      <c r="CN712" s="600"/>
      <c r="CO712" s="514">
        <f t="shared" ref="CO712:CU712" si="1263">+SUM(CO710:CO711)</f>
        <v>463.4</v>
      </c>
      <c r="CP712" s="514">
        <f t="shared" si="1263"/>
        <v>800.2</v>
      </c>
      <c r="CQ712" s="514">
        <f t="shared" si="1263"/>
        <v>1700</v>
      </c>
      <c r="CR712" s="514">
        <f t="shared" si="1263"/>
        <v>2657.663</v>
      </c>
      <c r="CS712" s="514">
        <f t="shared" si="1263"/>
        <v>5183.1939999999995</v>
      </c>
      <c r="CT712" s="514">
        <f t="shared" si="1263"/>
        <v>6752.7139999999999</v>
      </c>
      <c r="CU712" s="514">
        <f t="shared" si="1263"/>
        <v>8046.485999999999</v>
      </c>
      <c r="CV712" s="514">
        <f>+SUM(CV710:CV711)</f>
        <v>10579.874</v>
      </c>
      <c r="CW712" s="514">
        <f>+SUM(CW710:CW711)</f>
        <v>13891.021999999999</v>
      </c>
      <c r="CX712" s="514">
        <f>+SUM(CX710:CX711)</f>
        <v>17823.076999999997</v>
      </c>
      <c r="CY712" s="600"/>
      <c r="CZ712" s="600"/>
      <c r="DA712" s="600"/>
      <c r="DB712" s="600"/>
      <c r="DC712" s="600"/>
      <c r="DD712" s="600"/>
      <c r="DE712" s="600"/>
      <c r="DF712" s="599"/>
      <c r="DG712" s="632"/>
      <c r="DH712" s="632"/>
    </row>
    <row r="713" spans="1:112" s="117" customFormat="1" ht="11.25" customHeight="1">
      <c r="A713" s="290"/>
      <c r="B713"/>
      <c r="C713"/>
      <c r="D713"/>
      <c r="E713"/>
      <c r="F713"/>
      <c r="G713"/>
      <c r="H713" s="1056"/>
      <c r="I713" s="229" t="s">
        <v>17</v>
      </c>
      <c r="J713" s="115"/>
      <c r="K713" s="115"/>
      <c r="L713" s="116"/>
      <c r="M713" s="503"/>
      <c r="N713" s="503"/>
      <c r="O713" s="503"/>
      <c r="P713" s="504"/>
      <c r="Q713" s="503"/>
      <c r="R713" s="503"/>
      <c r="S713" s="503"/>
      <c r="T713" s="504"/>
      <c r="U713" s="505"/>
      <c r="V713" s="505"/>
      <c r="W713" s="505"/>
      <c r="X713" s="506"/>
      <c r="Y713" s="505"/>
      <c r="Z713" s="505"/>
      <c r="AA713" s="505"/>
      <c r="AB713" s="506"/>
      <c r="AC713" s="505"/>
      <c r="AD713" s="505"/>
      <c r="AE713" s="505"/>
      <c r="AF713" s="506"/>
      <c r="AG713" s="505"/>
      <c r="AH713" s="505"/>
      <c r="AI713" s="505"/>
      <c r="AJ713" s="506"/>
      <c r="AK713" s="505"/>
      <c r="AL713" s="505"/>
      <c r="AM713" s="505"/>
      <c r="AN713" s="506"/>
      <c r="AO713" s="505"/>
      <c r="AP713" s="505"/>
      <c r="AQ713" s="505"/>
      <c r="AR713" s="506"/>
      <c r="AS713" s="505"/>
      <c r="AT713" s="505"/>
      <c r="AU713" s="505"/>
      <c r="AV713" s="506"/>
      <c r="AW713" s="505"/>
      <c r="AX713" s="505"/>
      <c r="AY713" s="505"/>
      <c r="AZ713" s="506"/>
      <c r="BA713" s="505">
        <f t="shared" ref="BA713:BM713" si="1264">+(BA710+BA711)-(BA587+BA589)</f>
        <v>0</v>
      </c>
      <c r="BB713" s="505">
        <f t="shared" si="1264"/>
        <v>0</v>
      </c>
      <c r="BC713" s="505">
        <f t="shared" si="1264"/>
        <v>0</v>
      </c>
      <c r="BD713" s="506">
        <f t="shared" si="1264"/>
        <v>0</v>
      </c>
      <c r="BE713" s="505">
        <f t="shared" si="1264"/>
        <v>0</v>
      </c>
      <c r="BF713" s="505">
        <f t="shared" si="1264"/>
        <v>0</v>
      </c>
      <c r="BG713" s="505">
        <f t="shared" si="1264"/>
        <v>0</v>
      </c>
      <c r="BH713" s="506">
        <f t="shared" si="1264"/>
        <v>0</v>
      </c>
      <c r="BI713" s="505">
        <f t="shared" si="1264"/>
        <v>0</v>
      </c>
      <c r="BJ713" s="505">
        <f t="shared" si="1264"/>
        <v>0</v>
      </c>
      <c r="BK713" s="505">
        <f t="shared" si="1264"/>
        <v>0</v>
      </c>
      <c r="BL713" s="506">
        <f>+(BL710+BL711)-(BL587+BL589)</f>
        <v>0</v>
      </c>
      <c r="BM713" s="505">
        <f t="shared" si="1264"/>
        <v>0</v>
      </c>
      <c r="BN713" s="505">
        <f>+(BN710+BN711)-(BN587+BN589)</f>
        <v>0</v>
      </c>
      <c r="BO713" s="505">
        <f t="shared" ref="BO713:BW713" si="1265">+(BO710+BO711)-(BO587+BO589+BO602)</f>
        <v>0</v>
      </c>
      <c r="BP713" s="506">
        <f t="shared" si="1265"/>
        <v>0</v>
      </c>
      <c r="BQ713" s="505">
        <f t="shared" si="1265"/>
        <v>0</v>
      </c>
      <c r="BR713" s="505">
        <f t="shared" si="1265"/>
        <v>0</v>
      </c>
      <c r="BS713" s="505">
        <f t="shared" si="1265"/>
        <v>0</v>
      </c>
      <c r="BT713" s="506">
        <f t="shared" si="1265"/>
        <v>0</v>
      </c>
      <c r="BU713" s="505">
        <f t="shared" si="1265"/>
        <v>0</v>
      </c>
      <c r="BV713" s="505">
        <f t="shared" si="1265"/>
        <v>0</v>
      </c>
      <c r="BW713" s="505">
        <f t="shared" si="1265"/>
        <v>0</v>
      </c>
      <c r="BX713" s="506"/>
      <c r="BY713" s="505"/>
      <c r="BZ713" s="505"/>
      <c r="CA713" s="505"/>
      <c r="CB713" s="506"/>
      <c r="CC713" s="505"/>
      <c r="CD713" s="505"/>
      <c r="CE713" s="505"/>
      <c r="CF713" s="506"/>
      <c r="CG713" s="504"/>
      <c r="CH713" s="510"/>
      <c r="CI713" s="503"/>
      <c r="CJ713" s="505"/>
      <c r="CK713" s="505"/>
      <c r="CL713" s="505"/>
      <c r="CM713" s="505"/>
      <c r="CN713" s="505"/>
      <c r="CO713" s="505"/>
      <c r="CP713" s="505"/>
      <c r="CQ713" s="505"/>
      <c r="CR713" s="505">
        <f>+(CR710+CR711)-(CR587+CR589)</f>
        <v>0</v>
      </c>
      <c r="CS713" s="505">
        <f>+(CS710+CS711)-(CS587+CS589)</f>
        <v>0</v>
      </c>
      <c r="CT713" s="505">
        <f>+(CT710+CT711)-(CT587+CT589)</f>
        <v>0</v>
      </c>
      <c r="CU713" s="505">
        <f>+(CU710+CU711)-(CU587+CU589+CU602)</f>
        <v>0</v>
      </c>
      <c r="CV713" s="505">
        <f>+(CV710+CV711)-(CV587+CV589+CV602)</f>
        <v>0</v>
      </c>
      <c r="CW713" s="505">
        <f>+(CW710+CW711)-(CW587+CW589+CW602)</f>
        <v>0</v>
      </c>
      <c r="CX713" s="505">
        <f>+(CX710+CX711)-(CX587+CX589+CX602)</f>
        <v>0</v>
      </c>
      <c r="CY713" s="505"/>
      <c r="CZ713" s="505"/>
      <c r="DA713" s="505"/>
      <c r="DB713" s="505"/>
      <c r="DC713" s="505"/>
      <c r="DD713" s="505"/>
      <c r="DE713" s="505"/>
      <c r="DF713" s="506"/>
      <c r="DG713" s="1470"/>
      <c r="DH713" s="1470"/>
    </row>
    <row r="714" spans="1:112" s="117" customFormat="1" ht="11.25" customHeight="1">
      <c r="A714" s="24"/>
      <c r="B714"/>
      <c r="C714"/>
      <c r="D714"/>
      <c r="E714"/>
      <c r="F714"/>
      <c r="G714"/>
      <c r="H714" s="1044"/>
      <c r="I714" s="229"/>
      <c r="J714" s="115"/>
      <c r="K714" s="115"/>
      <c r="L714" s="116"/>
      <c r="M714" s="315"/>
      <c r="N714" s="315"/>
      <c r="O714" s="315"/>
      <c r="P714" s="316"/>
      <c r="Q714" s="315"/>
      <c r="R714" s="315"/>
      <c r="S714" s="315"/>
      <c r="T714" s="316"/>
      <c r="U714" s="317"/>
      <c r="V714" s="317"/>
      <c r="W714" s="317"/>
      <c r="X714" s="318"/>
      <c r="Y714" s="317"/>
      <c r="Z714" s="317"/>
      <c r="AA714" s="317"/>
      <c r="AB714" s="318"/>
      <c r="AC714" s="317"/>
      <c r="AD714" s="317"/>
      <c r="AE714" s="317"/>
      <c r="AF714" s="318"/>
      <c r="AG714" s="317"/>
      <c r="AH714" s="317"/>
      <c r="AI714" s="317"/>
      <c r="AJ714" s="318"/>
      <c r="AK714" s="317"/>
      <c r="AL714" s="317"/>
      <c r="AM714" s="317"/>
      <c r="AN714" s="318"/>
      <c r="AO714" s="317"/>
      <c r="AP714" s="317"/>
      <c r="AQ714" s="317"/>
      <c r="AR714" s="318"/>
      <c r="AS714" s="317"/>
      <c r="AT714" s="317"/>
      <c r="AU714" s="317"/>
      <c r="AV714" s="318"/>
      <c r="AW714" s="317"/>
      <c r="AX714" s="317"/>
      <c r="AY714" s="317"/>
      <c r="AZ714" s="318"/>
      <c r="BA714" s="317"/>
      <c r="BB714" s="317"/>
      <c r="BC714" s="317"/>
      <c r="BD714" s="318"/>
      <c r="BE714" s="317"/>
      <c r="BF714" s="317"/>
      <c r="BG714" s="317"/>
      <c r="BH714" s="318"/>
      <c r="BI714" s="317"/>
      <c r="BJ714" s="317"/>
      <c r="BK714" s="317"/>
      <c r="BL714" s="318"/>
      <c r="BM714" s="317"/>
      <c r="BN714" s="317"/>
      <c r="BO714" s="317"/>
      <c r="BP714" s="318"/>
      <c r="BQ714" s="317"/>
      <c r="BR714" s="317"/>
      <c r="BS714" s="317"/>
      <c r="BT714" s="318"/>
      <c r="BU714" s="317"/>
      <c r="BV714" s="317"/>
      <c r="BW714" s="317"/>
      <c r="BX714" s="318"/>
      <c r="BY714" s="317"/>
      <c r="BZ714" s="317"/>
      <c r="CA714" s="317"/>
      <c r="CB714" s="318"/>
      <c r="CC714" s="317"/>
      <c r="CD714" s="317"/>
      <c r="CE714" s="317"/>
      <c r="CF714" s="318"/>
      <c r="CG714" s="316"/>
      <c r="CH714" s="320"/>
      <c r="CI714" s="315"/>
      <c r="CJ714" s="317"/>
      <c r="CK714" s="317"/>
      <c r="CL714" s="317"/>
      <c r="CM714" s="317"/>
      <c r="CN714" s="317"/>
      <c r="CO714" s="317"/>
      <c r="CP714" s="317"/>
      <c r="CQ714" s="317"/>
      <c r="CR714" s="317"/>
      <c r="CS714" s="317"/>
      <c r="CT714" s="317"/>
      <c r="CU714" s="317"/>
      <c r="CV714" s="317"/>
      <c r="CW714" s="317"/>
      <c r="CX714" s="317"/>
      <c r="CY714" s="317"/>
      <c r="CZ714" s="317"/>
      <c r="DA714" s="317"/>
      <c r="DB714" s="317"/>
      <c r="DC714" s="317"/>
      <c r="DD714" s="317"/>
      <c r="DE714" s="317"/>
      <c r="DF714" s="318"/>
      <c r="DG714" s="1470"/>
      <c r="DH714" s="1470"/>
    </row>
    <row r="715" spans="1:112" s="117" customFormat="1" ht="11.25" customHeight="1">
      <c r="A715" s="24"/>
      <c r="B715"/>
      <c r="C715"/>
      <c r="D715"/>
      <c r="E715"/>
      <c r="F715"/>
      <c r="G715"/>
      <c r="H715" s="1044"/>
      <c r="I715" s="178" t="s">
        <v>232</v>
      </c>
      <c r="J715" s="8"/>
      <c r="K715" s="8"/>
      <c r="L715" s="116"/>
      <c r="M715" s="315"/>
      <c r="N715" s="315"/>
      <c r="O715" s="315"/>
      <c r="P715" s="316"/>
      <c r="Q715" s="315"/>
      <c r="R715" s="315"/>
      <c r="S715" s="315"/>
      <c r="T715" s="316"/>
      <c r="U715" s="317"/>
      <c r="V715" s="317"/>
      <c r="W715" s="317"/>
      <c r="X715" s="318"/>
      <c r="Y715" s="317"/>
      <c r="Z715" s="317"/>
      <c r="AA715" s="317"/>
      <c r="AB715" s="318"/>
      <c r="AC715" s="317"/>
      <c r="AD715" s="317"/>
      <c r="AE715" s="317"/>
      <c r="AF715" s="318"/>
      <c r="AG715" s="317"/>
      <c r="AH715" s="317"/>
      <c r="AI715" s="317"/>
      <c r="AJ715" s="318"/>
      <c r="AK715" s="317"/>
      <c r="AL715" s="317"/>
      <c r="AM715" s="317"/>
      <c r="AN715" s="318"/>
      <c r="AO715" s="317"/>
      <c r="AP715" s="317"/>
      <c r="AQ715" s="317"/>
      <c r="AR715" s="318"/>
      <c r="AS715" s="317"/>
      <c r="AT715" s="317"/>
      <c r="AU715" s="317"/>
      <c r="AV715" s="318"/>
      <c r="AW715" s="317"/>
      <c r="AX715" s="317"/>
      <c r="AY715" s="317"/>
      <c r="AZ715" s="318"/>
      <c r="BA715" s="317"/>
      <c r="BB715" s="317"/>
      <c r="BC715" s="317"/>
      <c r="BD715" s="318"/>
      <c r="BE715" s="317"/>
      <c r="BF715" s="317"/>
      <c r="BG715" s="317"/>
      <c r="BH715" s="318"/>
      <c r="BI715" s="317"/>
      <c r="BJ715" s="317"/>
      <c r="BK715" s="317"/>
      <c r="BL715" s="318"/>
      <c r="BM715" s="317"/>
      <c r="BN715" s="317"/>
      <c r="BO715" s="317"/>
      <c r="BP715" s="318"/>
      <c r="BQ715" s="317"/>
      <c r="BR715" s="317"/>
      <c r="BS715" s="317"/>
      <c r="BT715" s="318"/>
      <c r="BU715" s="317"/>
      <c r="BV715" s="317"/>
      <c r="BW715" s="317"/>
      <c r="BX715" s="318"/>
      <c r="BY715" s="317"/>
      <c r="BZ715" s="317"/>
      <c r="CA715" s="317"/>
      <c r="CB715" s="318"/>
      <c r="CC715" s="317"/>
      <c r="CD715" s="317"/>
      <c r="CE715" s="317"/>
      <c r="CF715" s="318"/>
      <c r="CG715" s="316"/>
      <c r="CH715" s="320"/>
      <c r="CI715" s="315"/>
      <c r="CJ715" s="317"/>
      <c r="CK715" s="317"/>
      <c r="CL715" s="317"/>
      <c r="CM715" s="317"/>
      <c r="CN715" s="317"/>
      <c r="CO715" s="317"/>
      <c r="CP715" s="317"/>
      <c r="CQ715" s="317"/>
      <c r="CR715" s="317"/>
      <c r="CS715" s="317"/>
      <c r="CT715" s="317"/>
      <c r="CU715" s="317"/>
      <c r="CV715" s="317"/>
      <c r="CW715" s="317"/>
      <c r="CX715" s="317"/>
      <c r="CY715" s="317"/>
      <c r="CZ715" s="317"/>
      <c r="DA715" s="317"/>
      <c r="DB715" s="317"/>
      <c r="DC715" s="317"/>
      <c r="DD715" s="317"/>
      <c r="DE715" s="317"/>
      <c r="DF715" s="318"/>
      <c r="DG715" s="1470"/>
      <c r="DH715" s="1470"/>
    </row>
    <row r="716" spans="1:112" s="51" customFormat="1" ht="11.25" customHeight="1">
      <c r="A716" s="82"/>
      <c r="B716"/>
      <c r="C716"/>
      <c r="D716"/>
      <c r="E716"/>
      <c r="F716"/>
      <c r="G716"/>
      <c r="H716" s="1044"/>
      <c r="I716" s="259" t="s">
        <v>230</v>
      </c>
      <c r="J716" s="82"/>
      <c r="K716" s="82"/>
      <c r="L716" s="82"/>
      <c r="M716" s="336"/>
      <c r="N716" s="336"/>
      <c r="O716" s="336"/>
      <c r="P716" s="337"/>
      <c r="Q716" s="336"/>
      <c r="R716" s="336"/>
      <c r="S716" s="336"/>
      <c r="T716" s="337"/>
      <c r="U716" s="393"/>
      <c r="V716" s="393"/>
      <c r="W716" s="393"/>
      <c r="X716" s="472"/>
      <c r="Y716" s="393"/>
      <c r="Z716" s="393"/>
      <c r="AA716" s="393"/>
      <c r="AB716" s="472"/>
      <c r="AC716" s="393"/>
      <c r="AD716" s="393"/>
      <c r="AE716" s="393"/>
      <c r="AF716" s="472"/>
      <c r="AG716" s="393"/>
      <c r="AH716" s="393"/>
      <c r="AI716" s="393"/>
      <c r="AJ716" s="472"/>
      <c r="AK716" s="393"/>
      <c r="AL716" s="393"/>
      <c r="AM716" s="393"/>
      <c r="AN716" s="472"/>
      <c r="AO716" s="393"/>
      <c r="AP716" s="393"/>
      <c r="AQ716" s="391">
        <f t="shared" ref="AQ716:BO716" si="1266">+AQ710/AQ712</f>
        <v>0.71716054842989818</v>
      </c>
      <c r="AR716" s="392">
        <f t="shared" si="1266"/>
        <v>0.60811394044022438</v>
      </c>
      <c r="AS716" s="391">
        <f t="shared" si="1266"/>
        <v>0.5827801247233958</v>
      </c>
      <c r="AT716" s="391">
        <f t="shared" si="1266"/>
        <v>0.55189959294436908</v>
      </c>
      <c r="AU716" s="391">
        <f t="shared" si="1266"/>
        <v>0.40567218128736265</v>
      </c>
      <c r="AV716" s="392">
        <f t="shared" si="1266"/>
        <v>0.33191702074481383</v>
      </c>
      <c r="AW716" s="391">
        <f t="shared" si="1266"/>
        <v>0.54349999999999998</v>
      </c>
      <c r="AX716" s="391">
        <f t="shared" si="1266"/>
        <v>0.58333333333333337</v>
      </c>
      <c r="AY716" s="391">
        <f t="shared" si="1266"/>
        <v>0.46666666666666667</v>
      </c>
      <c r="AZ716" s="392">
        <f t="shared" si="1266"/>
        <v>0.44176470588235295</v>
      </c>
      <c r="BA716" s="391">
        <f t="shared" si="1266"/>
        <v>0.48441383008342176</v>
      </c>
      <c r="BB716" s="391">
        <f t="shared" si="1266"/>
        <v>0.48702638428495071</v>
      </c>
      <c r="BC716" s="391">
        <f t="shared" si="1266"/>
        <v>0.41779057344717474</v>
      </c>
      <c r="BD716" s="392">
        <f t="shared" si="1266"/>
        <v>0.39796731188265783</v>
      </c>
      <c r="BE716" s="391">
        <f t="shared" si="1266"/>
        <v>0.53021842356225424</v>
      </c>
      <c r="BF716" s="391">
        <f t="shared" si="1266"/>
        <v>0.5180529746024064</v>
      </c>
      <c r="BG716" s="391">
        <f t="shared" si="1266"/>
        <v>0.4430159231036353</v>
      </c>
      <c r="BH716" s="392">
        <f t="shared" si="1266"/>
        <v>0.40191318326113196</v>
      </c>
      <c r="BI716" s="391">
        <f t="shared" si="1266"/>
        <v>0.42103015332858451</v>
      </c>
      <c r="BJ716" s="391">
        <f t="shared" si="1266"/>
        <v>0.44491859983576315</v>
      </c>
      <c r="BK716" s="391">
        <f t="shared" si="1266"/>
        <v>0.33167467138139806</v>
      </c>
      <c r="BL716" s="392">
        <f t="shared" si="1266"/>
        <v>0.27436583275998361</v>
      </c>
      <c r="BM716" s="391">
        <f t="shared" si="1266"/>
        <v>0.26980192855742069</v>
      </c>
      <c r="BN716" s="391">
        <f t="shared" si="1266"/>
        <v>0.24630543109514894</v>
      </c>
      <c r="BO716" s="391">
        <f t="shared" si="1266"/>
        <v>0.19534362423815196</v>
      </c>
      <c r="BP716" s="392">
        <f t="shared" ref="BP716:BU716" si="1267">+BP710/BP712</f>
        <v>0.14248281796550682</v>
      </c>
      <c r="BQ716" s="391">
        <f t="shared" si="1267"/>
        <v>0.26111698922032128</v>
      </c>
      <c r="BR716" s="391">
        <f t="shared" si="1267"/>
        <v>0.19653940129037858</v>
      </c>
      <c r="BS716" s="391">
        <f t="shared" si="1267"/>
        <v>7.2541339071210895E-2</v>
      </c>
      <c r="BT716" s="392">
        <f t="shared" si="1267"/>
        <v>7.3712976165878713E-2</v>
      </c>
      <c r="BU716" s="391">
        <f t="shared" si="1267"/>
        <v>6.1686377325970106E-2</v>
      </c>
      <c r="BV716" s="391">
        <f t="shared" ref="BV716:CA716" si="1268">+BV710/BV712</f>
        <v>0.13187218497385961</v>
      </c>
      <c r="BW716" s="391">
        <f t="shared" si="1268"/>
        <v>0.10784364126158807</v>
      </c>
      <c r="BX716" s="392">
        <f t="shared" si="1268"/>
        <v>9.2939310009011511E-2</v>
      </c>
      <c r="BY716" s="391">
        <f t="shared" si="1268"/>
        <v>0.14253338704211924</v>
      </c>
      <c r="BZ716" s="391">
        <f t="shared" si="1268"/>
        <v>0.11551005466508876</v>
      </c>
      <c r="CA716" s="391">
        <f t="shared" si="1268"/>
        <v>0.13434723956401154</v>
      </c>
      <c r="CB716" s="392">
        <f t="shared" ref="CB716" si="1269">+CB710/CB712</f>
        <v>9.1066037587112361E-2</v>
      </c>
      <c r="CC716" s="393"/>
      <c r="CD716" s="393"/>
      <c r="CE716" s="393"/>
      <c r="CF716" s="472"/>
      <c r="CG716" s="337"/>
      <c r="CH716" s="367"/>
      <c r="CI716" s="336"/>
      <c r="CJ716" s="393"/>
      <c r="CK716" s="393"/>
      <c r="CL716" s="393"/>
      <c r="CM716" s="393"/>
      <c r="CN716" s="393"/>
      <c r="CO716" s="391">
        <f t="shared" ref="CO716:CT716" si="1270">+CO710/CO712</f>
        <v>0.60811394044022438</v>
      </c>
      <c r="CP716" s="391">
        <f t="shared" si="1270"/>
        <v>0.33191702074481383</v>
      </c>
      <c r="CQ716" s="391">
        <f t="shared" si="1270"/>
        <v>0.44176470588235295</v>
      </c>
      <c r="CR716" s="391">
        <f t="shared" si="1270"/>
        <v>0.39796731188265783</v>
      </c>
      <c r="CS716" s="391">
        <f t="shared" si="1270"/>
        <v>0.40191318326113196</v>
      </c>
      <c r="CT716" s="391">
        <f t="shared" si="1270"/>
        <v>0.27436583275998361</v>
      </c>
      <c r="CU716" s="391">
        <f>+CU710/CU712</f>
        <v>0.14248281796550682</v>
      </c>
      <c r="CV716" s="391">
        <f>+CV710/CV712</f>
        <v>7.3712976165878713E-2</v>
      </c>
      <c r="CW716" s="391">
        <f>+CW710/CW712</f>
        <v>9.2939310009011511E-2</v>
      </c>
      <c r="CX716" s="391">
        <f>+CX710/CX712</f>
        <v>9.1066037587112361E-2</v>
      </c>
      <c r="CY716" s="393"/>
      <c r="CZ716" s="393"/>
      <c r="DA716" s="393"/>
      <c r="DB716" s="393"/>
      <c r="DC716" s="393"/>
      <c r="DD716" s="393"/>
      <c r="DE716" s="393"/>
      <c r="DF716" s="472"/>
      <c r="DG716" s="308"/>
      <c r="DH716" s="308"/>
    </row>
    <row r="717" spans="1:112" s="51" customFormat="1" ht="11.25" customHeight="1">
      <c r="A717" s="82"/>
      <c r="B717"/>
      <c r="C717"/>
      <c r="D717"/>
      <c r="E717"/>
      <c r="F717"/>
      <c r="G717"/>
      <c r="H717" s="1044"/>
      <c r="I717" s="313" t="s">
        <v>231</v>
      </c>
      <c r="J717" s="314"/>
      <c r="K717" s="314"/>
      <c r="L717" s="314"/>
      <c r="M717" s="518"/>
      <c r="N717" s="518"/>
      <c r="O717" s="518"/>
      <c r="P717" s="519"/>
      <c r="Q717" s="518"/>
      <c r="R717" s="518"/>
      <c r="S717" s="518"/>
      <c r="T717" s="519"/>
      <c r="U717" s="520"/>
      <c r="V717" s="520"/>
      <c r="W717" s="520"/>
      <c r="X717" s="521"/>
      <c r="Y717" s="520"/>
      <c r="Z717" s="520"/>
      <c r="AA717" s="520"/>
      <c r="AB717" s="521"/>
      <c r="AC717" s="520"/>
      <c r="AD717" s="520"/>
      <c r="AE717" s="520"/>
      <c r="AF717" s="521"/>
      <c r="AG717" s="520"/>
      <c r="AH717" s="520"/>
      <c r="AI717" s="520"/>
      <c r="AJ717" s="521"/>
      <c r="AK717" s="520"/>
      <c r="AL717" s="520"/>
      <c r="AM717" s="520"/>
      <c r="AN717" s="521"/>
      <c r="AO717" s="520"/>
      <c r="AP717" s="520"/>
      <c r="AQ717" s="522">
        <f t="shared" ref="AQ717:BO717" si="1271">+AQ711/AQ712</f>
        <v>0.28283945157010176</v>
      </c>
      <c r="AR717" s="523">
        <f t="shared" si="1271"/>
        <v>0.39188605955977557</v>
      </c>
      <c r="AS717" s="522">
        <f t="shared" si="1271"/>
        <v>0.41721987527660431</v>
      </c>
      <c r="AT717" s="522">
        <f t="shared" si="1271"/>
        <v>0.44810040705563092</v>
      </c>
      <c r="AU717" s="522">
        <f t="shared" si="1271"/>
        <v>0.59432781871263729</v>
      </c>
      <c r="AV717" s="523">
        <f t="shared" si="1271"/>
        <v>0.66808297925518623</v>
      </c>
      <c r="AW717" s="522">
        <f t="shared" si="1271"/>
        <v>0.45649999999999996</v>
      </c>
      <c r="AX717" s="522">
        <f t="shared" si="1271"/>
        <v>0.41666666666666669</v>
      </c>
      <c r="AY717" s="522">
        <f t="shared" si="1271"/>
        <v>0.53333333333333333</v>
      </c>
      <c r="AZ717" s="523">
        <f t="shared" si="1271"/>
        <v>0.55823529411764705</v>
      </c>
      <c r="BA717" s="522">
        <f t="shared" si="1271"/>
        <v>0.51558616991657824</v>
      </c>
      <c r="BB717" s="522">
        <f t="shared" si="1271"/>
        <v>0.51297361571504929</v>
      </c>
      <c r="BC717" s="522">
        <f t="shared" si="1271"/>
        <v>0.58220942655282526</v>
      </c>
      <c r="BD717" s="523">
        <f t="shared" si="1271"/>
        <v>0.60203268811734223</v>
      </c>
      <c r="BE717" s="522">
        <f t="shared" si="1271"/>
        <v>0.46978157643774571</v>
      </c>
      <c r="BF717" s="522">
        <f t="shared" si="1271"/>
        <v>0.4819470253975936</v>
      </c>
      <c r="BG717" s="522">
        <f t="shared" si="1271"/>
        <v>0.55698407689636475</v>
      </c>
      <c r="BH717" s="523">
        <f t="shared" si="1271"/>
        <v>0.59808681673886799</v>
      </c>
      <c r="BI717" s="522">
        <f t="shared" si="1271"/>
        <v>0.57896984667141549</v>
      </c>
      <c r="BJ717" s="522">
        <f t="shared" si="1271"/>
        <v>0.55508140016423679</v>
      </c>
      <c r="BK717" s="522">
        <f t="shared" si="1271"/>
        <v>0.66832532861860194</v>
      </c>
      <c r="BL717" s="523">
        <f t="shared" si="1271"/>
        <v>0.72563416724001639</v>
      </c>
      <c r="BM717" s="522">
        <f t="shared" si="1271"/>
        <v>0.73019807144257931</v>
      </c>
      <c r="BN717" s="522">
        <f t="shared" si="1271"/>
        <v>0.75369456890485109</v>
      </c>
      <c r="BO717" s="522">
        <f t="shared" si="1271"/>
        <v>0.80465637576184801</v>
      </c>
      <c r="BP717" s="523">
        <f t="shared" ref="BP717:BU717" si="1272">+BP711/BP712</f>
        <v>0.85751718203449323</v>
      </c>
      <c r="BQ717" s="522">
        <f t="shared" si="1272"/>
        <v>0.73888301077967866</v>
      </c>
      <c r="BR717" s="522">
        <f t="shared" si="1272"/>
        <v>0.80346059870962139</v>
      </c>
      <c r="BS717" s="522">
        <f t="shared" si="1272"/>
        <v>0.92745866092878915</v>
      </c>
      <c r="BT717" s="523">
        <f t="shared" si="1272"/>
        <v>0.92628702383412131</v>
      </c>
      <c r="BU717" s="522">
        <f t="shared" si="1272"/>
        <v>0.93831362267402985</v>
      </c>
      <c r="BV717" s="522">
        <f t="shared" ref="BV717:CA717" si="1273">+BV711/BV712</f>
        <v>0.86812781502614045</v>
      </c>
      <c r="BW717" s="522">
        <f t="shared" si="1273"/>
        <v>0.89215635873841193</v>
      </c>
      <c r="BX717" s="523">
        <f t="shared" si="1273"/>
        <v>0.90706068999098843</v>
      </c>
      <c r="BY717" s="522">
        <f t="shared" si="1273"/>
        <v>0.85746661295788074</v>
      </c>
      <c r="BZ717" s="522">
        <f t="shared" si="1273"/>
        <v>0.88448994533491121</v>
      </c>
      <c r="CA717" s="522">
        <f t="shared" si="1273"/>
        <v>0.86565276043598849</v>
      </c>
      <c r="CB717" s="523">
        <f t="shared" ref="CB717" si="1274">+CB711/CB712</f>
        <v>0.9089339624128876</v>
      </c>
      <c r="CC717" s="520"/>
      <c r="CD717" s="520"/>
      <c r="CE717" s="520"/>
      <c r="CF717" s="521"/>
      <c r="CG717" s="337"/>
      <c r="CH717" s="524"/>
      <c r="CI717" s="518"/>
      <c r="CJ717" s="520"/>
      <c r="CK717" s="520"/>
      <c r="CL717" s="520"/>
      <c r="CM717" s="520"/>
      <c r="CN717" s="520"/>
      <c r="CO717" s="522">
        <f t="shared" ref="CO717:CT717" si="1275">+CO711/CO712</f>
        <v>0.39188605955977557</v>
      </c>
      <c r="CP717" s="522">
        <f t="shared" si="1275"/>
        <v>0.66808297925518623</v>
      </c>
      <c r="CQ717" s="522">
        <f t="shared" si="1275"/>
        <v>0.55823529411764705</v>
      </c>
      <c r="CR717" s="522">
        <f t="shared" si="1275"/>
        <v>0.60203268811734223</v>
      </c>
      <c r="CS717" s="522">
        <f t="shared" si="1275"/>
        <v>0.59808681673886799</v>
      </c>
      <c r="CT717" s="522">
        <f t="shared" si="1275"/>
        <v>0.72563416724001639</v>
      </c>
      <c r="CU717" s="522">
        <f>+CU711/CU712</f>
        <v>0.85751718203449323</v>
      </c>
      <c r="CV717" s="522">
        <f>+CV711/CV712</f>
        <v>0.92628702383412131</v>
      </c>
      <c r="CW717" s="522">
        <f>+CW711/CW712</f>
        <v>0.90706068999098843</v>
      </c>
      <c r="CX717" s="522">
        <f>+CX711/CX712</f>
        <v>0.9089339624128876</v>
      </c>
      <c r="CY717" s="520"/>
      <c r="CZ717" s="520"/>
      <c r="DA717" s="520"/>
      <c r="DB717" s="520"/>
      <c r="DC717" s="520"/>
      <c r="DD717" s="520"/>
      <c r="DE717" s="520"/>
      <c r="DF717" s="521"/>
      <c r="DG717" s="308"/>
      <c r="DH717" s="308"/>
    </row>
    <row r="718" spans="1:112" s="282" customFormat="1" ht="11.25" customHeight="1">
      <c r="A718" s="91"/>
      <c r="B718"/>
      <c r="C718"/>
      <c r="D718"/>
      <c r="E718"/>
      <c r="F718"/>
      <c r="G718"/>
      <c r="H718" s="1052"/>
      <c r="I718" s="263" t="s">
        <v>5</v>
      </c>
      <c r="J718" s="91"/>
      <c r="K718" s="91"/>
      <c r="L718" s="91"/>
      <c r="M718" s="343"/>
      <c r="N718" s="343"/>
      <c r="O718" s="343"/>
      <c r="P718" s="344"/>
      <c r="Q718" s="343"/>
      <c r="R718" s="343"/>
      <c r="S718" s="343"/>
      <c r="T718" s="344"/>
      <c r="U718" s="475"/>
      <c r="V718" s="475"/>
      <c r="W718" s="475"/>
      <c r="X718" s="476"/>
      <c r="Y718" s="475"/>
      <c r="Z718" s="475"/>
      <c r="AA718" s="475"/>
      <c r="AB718" s="476"/>
      <c r="AC718" s="475"/>
      <c r="AD718" s="475"/>
      <c r="AE718" s="475"/>
      <c r="AF718" s="476"/>
      <c r="AG718" s="475"/>
      <c r="AH718" s="475"/>
      <c r="AI718" s="475"/>
      <c r="AJ718" s="476"/>
      <c r="AK718" s="475"/>
      <c r="AL718" s="475"/>
      <c r="AM718" s="475"/>
      <c r="AN718" s="476"/>
      <c r="AO718" s="475"/>
      <c r="AP718" s="475"/>
      <c r="AQ718" s="525">
        <f t="shared" ref="AQ718:BO718" si="1276">+AQ717+AQ716</f>
        <v>1</v>
      </c>
      <c r="AR718" s="526">
        <f t="shared" si="1276"/>
        <v>1</v>
      </c>
      <c r="AS718" s="525">
        <f t="shared" si="1276"/>
        <v>1</v>
      </c>
      <c r="AT718" s="525">
        <f t="shared" si="1276"/>
        <v>1</v>
      </c>
      <c r="AU718" s="525">
        <f t="shared" si="1276"/>
        <v>1</v>
      </c>
      <c r="AV718" s="526">
        <f t="shared" si="1276"/>
        <v>1</v>
      </c>
      <c r="AW718" s="525">
        <f t="shared" si="1276"/>
        <v>1</v>
      </c>
      <c r="AX718" s="525">
        <f t="shared" si="1276"/>
        <v>1</v>
      </c>
      <c r="AY718" s="525">
        <f t="shared" si="1276"/>
        <v>1</v>
      </c>
      <c r="AZ718" s="526">
        <f t="shared" si="1276"/>
        <v>1</v>
      </c>
      <c r="BA718" s="525">
        <f t="shared" si="1276"/>
        <v>1</v>
      </c>
      <c r="BB718" s="525">
        <f t="shared" si="1276"/>
        <v>1</v>
      </c>
      <c r="BC718" s="525">
        <f t="shared" si="1276"/>
        <v>1</v>
      </c>
      <c r="BD718" s="526">
        <f t="shared" si="1276"/>
        <v>1</v>
      </c>
      <c r="BE718" s="525">
        <f t="shared" si="1276"/>
        <v>1</v>
      </c>
      <c r="BF718" s="525">
        <f t="shared" si="1276"/>
        <v>1</v>
      </c>
      <c r="BG718" s="525">
        <f t="shared" si="1276"/>
        <v>1</v>
      </c>
      <c r="BH718" s="526">
        <f t="shared" si="1276"/>
        <v>1</v>
      </c>
      <c r="BI718" s="525">
        <f t="shared" si="1276"/>
        <v>1</v>
      </c>
      <c r="BJ718" s="525">
        <f t="shared" si="1276"/>
        <v>1</v>
      </c>
      <c r="BK718" s="525">
        <f t="shared" si="1276"/>
        <v>1</v>
      </c>
      <c r="BL718" s="526">
        <f t="shared" si="1276"/>
        <v>1</v>
      </c>
      <c r="BM718" s="525">
        <f t="shared" si="1276"/>
        <v>1</v>
      </c>
      <c r="BN718" s="525">
        <f t="shared" si="1276"/>
        <v>1</v>
      </c>
      <c r="BO718" s="525">
        <f t="shared" si="1276"/>
        <v>1</v>
      </c>
      <c r="BP718" s="526">
        <f t="shared" ref="BP718:BU718" si="1277">+BP717+BP716</f>
        <v>1</v>
      </c>
      <c r="BQ718" s="525">
        <f t="shared" si="1277"/>
        <v>1</v>
      </c>
      <c r="BR718" s="525">
        <f t="shared" si="1277"/>
        <v>1</v>
      </c>
      <c r="BS718" s="525">
        <f t="shared" si="1277"/>
        <v>1</v>
      </c>
      <c r="BT718" s="526">
        <f t="shared" si="1277"/>
        <v>1</v>
      </c>
      <c r="BU718" s="525">
        <f t="shared" si="1277"/>
        <v>1</v>
      </c>
      <c r="BV718" s="525">
        <f t="shared" ref="BV718:CA718" si="1278">+BV717+BV716</f>
        <v>1</v>
      </c>
      <c r="BW718" s="525">
        <f t="shared" si="1278"/>
        <v>1</v>
      </c>
      <c r="BX718" s="526">
        <f t="shared" si="1278"/>
        <v>1</v>
      </c>
      <c r="BY718" s="525">
        <f t="shared" si="1278"/>
        <v>1</v>
      </c>
      <c r="BZ718" s="525">
        <f t="shared" si="1278"/>
        <v>1</v>
      </c>
      <c r="CA718" s="525">
        <f t="shared" si="1278"/>
        <v>1</v>
      </c>
      <c r="CB718" s="526">
        <f t="shared" ref="CB718" si="1279">+CB717+CB716</f>
        <v>1</v>
      </c>
      <c r="CC718" s="475"/>
      <c r="CD718" s="475"/>
      <c r="CE718" s="475"/>
      <c r="CF718" s="476"/>
      <c r="CG718" s="344"/>
      <c r="CH718" s="349"/>
      <c r="CI718" s="343"/>
      <c r="CJ718" s="475"/>
      <c r="CK718" s="475"/>
      <c r="CL718" s="475"/>
      <c r="CM718" s="475"/>
      <c r="CN718" s="475"/>
      <c r="CO718" s="525">
        <f t="shared" ref="CO718:CT718" si="1280">+CO717+CO716</f>
        <v>1</v>
      </c>
      <c r="CP718" s="525">
        <f t="shared" si="1280"/>
        <v>1</v>
      </c>
      <c r="CQ718" s="525">
        <f t="shared" si="1280"/>
        <v>1</v>
      </c>
      <c r="CR718" s="525">
        <f t="shared" si="1280"/>
        <v>1</v>
      </c>
      <c r="CS718" s="525">
        <f t="shared" si="1280"/>
        <v>1</v>
      </c>
      <c r="CT718" s="525">
        <f t="shared" si="1280"/>
        <v>1</v>
      </c>
      <c r="CU718" s="525">
        <f>+CU717+CU716</f>
        <v>1</v>
      </c>
      <c r="CV718" s="525">
        <f>+CV717+CV716</f>
        <v>1</v>
      </c>
      <c r="CW718" s="525">
        <f>+CW717+CW716</f>
        <v>1</v>
      </c>
      <c r="CX718" s="525">
        <f>+CX717+CX716</f>
        <v>1</v>
      </c>
      <c r="CY718" s="475"/>
      <c r="CZ718" s="475"/>
      <c r="DA718" s="475"/>
      <c r="DB718" s="475"/>
      <c r="DC718" s="475"/>
      <c r="DD718" s="475"/>
      <c r="DE718" s="475"/>
      <c r="DF718" s="476"/>
      <c r="DG718" s="1469"/>
      <c r="DH718" s="1469"/>
    </row>
    <row r="719" spans="1:112" s="68" customFormat="1" ht="11.25" customHeight="1">
      <c r="A719" s="24"/>
      <c r="B719"/>
      <c r="C719"/>
      <c r="D719"/>
      <c r="E719"/>
      <c r="F719"/>
      <c r="G719"/>
      <c r="H719" s="1044"/>
      <c r="I719" s="664"/>
      <c r="J719" s="665"/>
      <c r="K719" s="665"/>
      <c r="L719" s="665"/>
      <c r="M719" s="666"/>
      <c r="N719" s="666"/>
      <c r="O719" s="666"/>
      <c r="P719" s="667"/>
      <c r="Q719" s="666"/>
      <c r="R719" s="666"/>
      <c r="S719" s="666"/>
      <c r="T719" s="667"/>
      <c r="U719" s="668"/>
      <c r="V719" s="668"/>
      <c r="W719" s="668"/>
      <c r="X719" s="669"/>
      <c r="Y719" s="668"/>
      <c r="Z719" s="668"/>
      <c r="AA719" s="668"/>
      <c r="AB719" s="669"/>
      <c r="AC719" s="668"/>
      <c r="AD719" s="668"/>
      <c r="AE719" s="668"/>
      <c r="AF719" s="669"/>
      <c r="AG719" s="668"/>
      <c r="AH719" s="668"/>
      <c r="AI719" s="668"/>
      <c r="AJ719" s="669"/>
      <c r="AK719" s="668"/>
      <c r="AL719" s="668"/>
      <c r="AM719" s="668"/>
      <c r="AN719" s="669"/>
      <c r="AO719" s="668"/>
      <c r="AP719" s="668"/>
      <c r="AQ719" s="668"/>
      <c r="AR719" s="669"/>
      <c r="AS719" s="668"/>
      <c r="AT719" s="668"/>
      <c r="AU719" s="668"/>
      <c r="AV719" s="669"/>
      <c r="AW719" s="668"/>
      <c r="AX719" s="668"/>
      <c r="AY719" s="668"/>
      <c r="AZ719" s="669"/>
      <c r="BA719" s="670"/>
      <c r="BB719" s="670"/>
      <c r="BC719" s="670"/>
      <c r="BD719" s="671"/>
      <c r="BE719" s="666"/>
      <c r="BF719" s="666"/>
      <c r="BG719" s="666"/>
      <c r="BH719" s="672"/>
      <c r="BI719" s="673"/>
      <c r="BJ719" s="673"/>
      <c r="BK719" s="673"/>
      <c r="BL719" s="674"/>
      <c r="BM719" s="673"/>
      <c r="BN719" s="673"/>
      <c r="BO719" s="673"/>
      <c r="BP719" s="663"/>
      <c r="BQ719" s="662"/>
      <c r="BR719" s="662"/>
      <c r="BS719" s="662"/>
      <c r="BT719" s="663"/>
      <c r="BU719" s="662"/>
      <c r="BV719" s="662"/>
      <c r="BW719" s="662"/>
      <c r="BX719" s="663"/>
      <c r="BY719" s="662"/>
      <c r="BZ719" s="662"/>
      <c r="CA719" s="662"/>
      <c r="CB719" s="663"/>
      <c r="CC719" s="662"/>
      <c r="CD719" s="662"/>
      <c r="CE719" s="662"/>
      <c r="CF719" s="663"/>
      <c r="CG719" s="405"/>
      <c r="CH719" s="675"/>
      <c r="CI719" s="666"/>
      <c r="CJ719" s="668"/>
      <c r="CK719" s="668"/>
      <c r="CL719" s="668"/>
      <c r="CM719" s="668"/>
      <c r="CN719" s="668"/>
      <c r="CO719" s="668"/>
      <c r="CP719" s="668"/>
      <c r="CQ719" s="662"/>
      <c r="CR719" s="662"/>
      <c r="CS719" s="662"/>
      <c r="CT719" s="668"/>
      <c r="CU719" s="662"/>
      <c r="CV719" s="676"/>
      <c r="CW719" s="662"/>
      <c r="CX719" s="662"/>
      <c r="CY719" s="662"/>
      <c r="CZ719" s="662"/>
      <c r="DA719" s="662"/>
      <c r="DB719" s="662"/>
      <c r="DC719" s="662"/>
      <c r="DD719" s="662"/>
      <c r="DE719" s="662"/>
      <c r="DF719" s="663"/>
      <c r="DG719" s="1180"/>
      <c r="DH719" s="1180"/>
    </row>
    <row r="720" spans="1:112" ht="11.25" customHeight="1">
      <c r="CU720" s="33"/>
      <c r="CV720" s="33"/>
      <c r="CW720" s="33"/>
      <c r="CX720" s="33"/>
      <c r="CY720" s="33"/>
      <c r="CZ720" s="33"/>
      <c r="DA720" s="33"/>
      <c r="DB720" s="33"/>
      <c r="DC720" s="33"/>
      <c r="DD720" s="33"/>
      <c r="DE720" s="33"/>
      <c r="DF720" s="33"/>
    </row>
    <row r="721" spans="2:112" ht="11.25" customHeight="1">
      <c r="I721" s="226" t="s">
        <v>655</v>
      </c>
      <c r="BO721" s="1913">
        <v>0</v>
      </c>
      <c r="BP721" s="1913">
        <v>12.670999999999999</v>
      </c>
      <c r="BQ721" s="1913">
        <v>311.25400000000002</v>
      </c>
      <c r="CU721" s="33"/>
      <c r="CV721" s="33"/>
      <c r="CW721" s="33"/>
      <c r="CX721" s="33"/>
      <c r="CY721" s="33"/>
      <c r="CZ721" s="33"/>
      <c r="DA721" s="33"/>
      <c r="DB721" s="33"/>
      <c r="DC721" s="33"/>
      <c r="DD721" s="33"/>
      <c r="DE721" s="33"/>
      <c r="DF721" s="33"/>
    </row>
    <row r="722" spans="2:112" ht="11.25" customHeight="1">
      <c r="I722" s="226" t="s">
        <v>649</v>
      </c>
      <c r="BO722" s="1913">
        <v>231.99100000000001</v>
      </c>
      <c r="BP722" s="1913">
        <v>556.44799999999998</v>
      </c>
      <c r="BQ722" s="1913">
        <v>701.51700000000005</v>
      </c>
      <c r="BY722" s="514">
        <v>352.94100000000032</v>
      </c>
      <c r="BZ722" s="514">
        <v>200.4250000000003</v>
      </c>
      <c r="CA722" s="514">
        <v>212.49799999999891</v>
      </c>
      <c r="CB722" s="515">
        <v>-284.52999999999975</v>
      </c>
      <c r="CU722" s="33"/>
      <c r="CV722" s="33"/>
      <c r="CW722" s="33"/>
      <c r="CX722" s="33"/>
      <c r="CY722" s="33"/>
      <c r="CZ722" s="33"/>
      <c r="DA722" s="33"/>
      <c r="DB722" s="33"/>
      <c r="DC722" s="33"/>
      <c r="DD722" s="33"/>
      <c r="DE722" s="33"/>
      <c r="DF722" s="33"/>
    </row>
    <row r="723" spans="2:112" ht="11.25" customHeight="1">
      <c r="I723" s="226" t="s">
        <v>650</v>
      </c>
      <c r="BO723" s="1913">
        <v>1043.777</v>
      </c>
      <c r="BP723" s="1913">
        <v>2329.0329999999999</v>
      </c>
      <c r="BQ723" s="1913">
        <v>3042.6669999999999</v>
      </c>
      <c r="BY723" s="517">
        <v>2081.0750000000003</v>
      </c>
      <c r="BZ723" s="517">
        <v>2434.02</v>
      </c>
      <c r="CA723" s="517">
        <v>2634.2640000000001</v>
      </c>
      <c r="CB723" s="601">
        <v>2846.2999999999988</v>
      </c>
      <c r="CU723" s="33"/>
      <c r="CV723" s="33"/>
      <c r="CW723" s="33"/>
      <c r="CX723" s="33"/>
      <c r="CY723" s="33"/>
      <c r="CZ723" s="33"/>
      <c r="DA723" s="33"/>
      <c r="DB723" s="33"/>
      <c r="DC723" s="33"/>
      <c r="DD723" s="33"/>
      <c r="DE723" s="33"/>
      <c r="DF723" s="33"/>
    </row>
    <row r="724" spans="2:112" ht="11.25" customHeight="1">
      <c r="I724" s="226" t="s">
        <v>651</v>
      </c>
      <c r="BO724" s="1913">
        <v>70.245999999999995</v>
      </c>
      <c r="BP724" s="1913">
        <v>95.093999999999994</v>
      </c>
      <c r="BQ724" s="1913">
        <v>2.5459999999999998</v>
      </c>
      <c r="BY724" s="516">
        <v>2434.02</v>
      </c>
      <c r="BZ724" s="516">
        <v>2634.2640000000001</v>
      </c>
      <c r="CA724" s="516">
        <v>2846.2999999999988</v>
      </c>
      <c r="CB724" s="602">
        <v>2541.6039999999998</v>
      </c>
      <c r="CU724" s="33"/>
      <c r="CV724" s="33"/>
      <c r="CW724" s="33"/>
      <c r="CX724" s="33"/>
      <c r="CY724" s="33"/>
      <c r="CZ724" s="33"/>
      <c r="DA724" s="33"/>
      <c r="DB724" s="33"/>
      <c r="DC724" s="33"/>
      <c r="DD724" s="33"/>
      <c r="DE724" s="33"/>
      <c r="DF724" s="33"/>
    </row>
    <row r="725" spans="2:112" ht="11.25" customHeight="1">
      <c r="I725" s="226" t="s">
        <v>656</v>
      </c>
      <c r="BO725" s="1913">
        <v>0</v>
      </c>
      <c r="BP725" s="1913">
        <v>1.1020000000000001</v>
      </c>
      <c r="BQ725" s="1913">
        <v>1.107</v>
      </c>
      <c r="BY725" s="2124">
        <v>0</v>
      </c>
      <c r="BZ725" s="2125">
        <v>0</v>
      </c>
      <c r="CA725" s="2068">
        <v>0</v>
      </c>
      <c r="CB725" s="2156">
        <v>0</v>
      </c>
      <c r="CU725" s="33"/>
      <c r="CV725" s="33"/>
      <c r="CW725" s="33"/>
      <c r="CX725" s="33"/>
      <c r="CY725" s="33"/>
      <c r="CZ725" s="33"/>
      <c r="DA725" s="33"/>
      <c r="DB725" s="33"/>
      <c r="DC725" s="33"/>
      <c r="DD725" s="33"/>
      <c r="DE725" s="33"/>
      <c r="DF725" s="33"/>
    </row>
    <row r="726" spans="2:112" ht="11.25" customHeight="1">
      <c r="I726" s="226" t="s">
        <v>652</v>
      </c>
      <c r="BO726" s="1913">
        <v>479.5</v>
      </c>
      <c r="BP726" s="1913">
        <v>425.96100000000001</v>
      </c>
      <c r="BQ726" s="1913">
        <v>482.512</v>
      </c>
      <c r="CU726" s="33"/>
      <c r="CV726" s="33"/>
      <c r="CW726" s="33"/>
      <c r="CX726" s="33"/>
      <c r="CY726" s="33"/>
      <c r="CZ726" s="33"/>
      <c r="DA726" s="33"/>
      <c r="DB726" s="33"/>
      <c r="DC726" s="33"/>
      <c r="DD726" s="33"/>
      <c r="DE726" s="33"/>
      <c r="DF726" s="33"/>
    </row>
    <row r="727" spans="2:112" s="53" customFormat="1" ht="11.25" customHeight="1">
      <c r="B727"/>
      <c r="C727"/>
      <c r="D727"/>
      <c r="E727"/>
      <c r="F727"/>
      <c r="G727"/>
      <c r="H727" s="1829"/>
      <c r="I727" s="1830" t="s">
        <v>653</v>
      </c>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4"/>
      <c r="AR727" s="114"/>
      <c r="AS727" s="114"/>
      <c r="AT727" s="114"/>
      <c r="AU727" s="114"/>
      <c r="AV727" s="114"/>
      <c r="AW727" s="743"/>
      <c r="AX727" s="743"/>
      <c r="AY727" s="743"/>
      <c r="AZ727" s="114"/>
      <c r="BA727" s="114"/>
      <c r="BB727" s="114"/>
      <c r="BC727" s="114"/>
      <c r="BD727" s="114"/>
      <c r="BE727" s="114"/>
      <c r="BF727" s="114"/>
      <c r="BG727" s="114"/>
      <c r="BH727" s="114"/>
      <c r="BI727" s="114"/>
      <c r="BJ727" s="114"/>
      <c r="BK727" s="114"/>
      <c r="BL727" s="114"/>
      <c r="BM727" s="114"/>
      <c r="BN727" s="114"/>
      <c r="BO727" s="1914">
        <v>139.66800000000001</v>
      </c>
      <c r="BP727" s="1914">
        <v>335.34399999999999</v>
      </c>
      <c r="BQ727" s="1914">
        <v>432.041</v>
      </c>
      <c r="BR727" s="114"/>
      <c r="BS727" s="114"/>
      <c r="BT727" s="114"/>
      <c r="BU727" s="114"/>
      <c r="BV727" s="114"/>
      <c r="BW727" s="114"/>
      <c r="BX727" s="114"/>
      <c r="BY727" s="114"/>
      <c r="BZ727" s="114"/>
      <c r="CA727" s="114"/>
      <c r="CB727" s="114"/>
      <c r="CC727" s="114"/>
      <c r="CD727" s="114"/>
      <c r="CE727" s="114"/>
      <c r="CF727" s="114"/>
      <c r="CJ727" s="113"/>
      <c r="CK727" s="113"/>
      <c r="CL727" s="113"/>
      <c r="CM727" s="113"/>
      <c r="CN727" s="114"/>
      <c r="CO727" s="114"/>
      <c r="CP727" s="743"/>
      <c r="CQ727" s="114"/>
      <c r="CR727" s="114"/>
      <c r="CS727" s="1284"/>
      <c r="CT727" s="1284"/>
      <c r="CU727" s="114"/>
      <c r="CV727" s="114"/>
      <c r="CW727" s="114"/>
      <c r="CX727" s="114"/>
      <c r="CY727" s="114"/>
      <c r="CZ727" s="114"/>
      <c r="DA727" s="114"/>
      <c r="DB727" s="114"/>
      <c r="DC727" s="114"/>
      <c r="DD727" s="114"/>
      <c r="DE727" s="114"/>
      <c r="DF727" s="114"/>
      <c r="DG727" s="712"/>
      <c r="DH727" s="712"/>
    </row>
    <row r="728" spans="2:112" s="8" customFormat="1" ht="11.25" customHeight="1">
      <c r="B728"/>
      <c r="C728"/>
      <c r="D728"/>
      <c r="E728"/>
      <c r="F728"/>
      <c r="G728"/>
      <c r="H728" s="1052"/>
      <c r="I728" s="225" t="s">
        <v>654</v>
      </c>
      <c r="U728" s="103"/>
      <c r="V728" s="103"/>
      <c r="W728" s="103"/>
      <c r="X728" s="103"/>
      <c r="Y728" s="103"/>
      <c r="Z728" s="103"/>
      <c r="AA728" s="103"/>
      <c r="AB728" s="103"/>
      <c r="AC728" s="103"/>
      <c r="AD728" s="103"/>
      <c r="AE728" s="103"/>
      <c r="AF728" s="103"/>
      <c r="AG728" s="103"/>
      <c r="AH728" s="103"/>
      <c r="AI728" s="103"/>
      <c r="AJ728" s="103"/>
      <c r="AK728" s="103"/>
      <c r="AL728" s="103"/>
      <c r="AM728" s="103"/>
      <c r="AN728" s="103"/>
      <c r="AO728" s="103"/>
      <c r="AP728" s="103"/>
      <c r="AQ728" s="104"/>
      <c r="AR728" s="104"/>
      <c r="AS728" s="104"/>
      <c r="AT728" s="104"/>
      <c r="AU728" s="104"/>
      <c r="AV728" s="104"/>
      <c r="AW728" s="213"/>
      <c r="AX728" s="213"/>
      <c r="AY728" s="213"/>
      <c r="AZ728" s="104"/>
      <c r="BA728" s="104"/>
      <c r="BB728" s="104"/>
      <c r="BC728" s="104"/>
      <c r="BD728" s="104"/>
      <c r="BE728" s="104"/>
      <c r="BF728" s="104"/>
      <c r="BG728" s="104"/>
      <c r="BH728" s="104"/>
      <c r="BI728" s="104"/>
      <c r="BJ728" s="104"/>
      <c r="BK728" s="104"/>
      <c r="BL728" s="104"/>
      <c r="BM728" s="104"/>
      <c r="BN728" s="104"/>
      <c r="BO728" s="104">
        <f>+BO602</f>
        <v>1965.182</v>
      </c>
      <c r="BP728" s="104">
        <f>+BP602</f>
        <v>3755.6529999999998</v>
      </c>
      <c r="BQ728" s="104">
        <f>+BQ602</f>
        <v>4973.6440000000002</v>
      </c>
      <c r="BR728" s="104"/>
      <c r="BS728" s="104"/>
      <c r="BT728" s="104"/>
      <c r="BU728" s="104"/>
      <c r="BV728" s="104"/>
      <c r="BW728" s="104"/>
      <c r="BX728" s="104"/>
      <c r="BY728" s="104"/>
      <c r="BZ728" s="104"/>
      <c r="CA728" s="104"/>
      <c r="CB728" s="104"/>
      <c r="CC728" s="104"/>
      <c r="CD728" s="104"/>
      <c r="CE728" s="104"/>
      <c r="CF728" s="104"/>
      <c r="CJ728" s="103"/>
      <c r="CK728" s="103"/>
      <c r="CL728" s="103"/>
      <c r="CM728" s="103"/>
      <c r="CN728" s="104"/>
      <c r="CO728" s="104"/>
      <c r="CP728" s="213"/>
      <c r="CQ728" s="104"/>
      <c r="CR728" s="104"/>
      <c r="CS728" s="62"/>
      <c r="CT728" s="62"/>
      <c r="CU728" s="104"/>
      <c r="CV728" s="104"/>
      <c r="CW728" s="104"/>
      <c r="CX728" s="104"/>
      <c r="CY728" s="104"/>
      <c r="CZ728" s="104"/>
      <c r="DA728" s="104"/>
      <c r="DB728" s="104"/>
      <c r="DC728" s="104"/>
      <c r="DD728" s="104"/>
      <c r="DE728" s="104"/>
      <c r="DF728" s="104"/>
      <c r="DG728" s="289"/>
      <c r="DH728" s="289"/>
    </row>
    <row r="729" spans="2:112" ht="11.25" customHeight="1">
      <c r="CU729" s="33"/>
      <c r="CV729" s="33"/>
      <c r="CW729" s="33"/>
      <c r="CX729" s="33"/>
      <c r="CY729" s="33"/>
      <c r="CZ729" s="33"/>
      <c r="DA729" s="33"/>
      <c r="DB729" s="33"/>
      <c r="DC729" s="33"/>
      <c r="DD729" s="33"/>
      <c r="DE729" s="33"/>
      <c r="DF729" s="33"/>
    </row>
    <row r="730" spans="2:112" ht="11.25" customHeight="1">
      <c r="I730" s="225" t="s">
        <v>657</v>
      </c>
      <c r="BO730" s="104">
        <f>+BO722+BO723+BO724+BO725</f>
        <v>1346.0140000000001</v>
      </c>
      <c r="BP730" s="104">
        <f>+BP722+BP723+BP724+BP725</f>
        <v>2981.6769999999997</v>
      </c>
      <c r="BQ730" s="104">
        <f>+BQ722+BQ723+BQ724+BQ725</f>
        <v>3747.837</v>
      </c>
      <c r="CU730" s="33"/>
      <c r="CV730" s="33"/>
      <c r="CW730" s="33"/>
      <c r="CX730" s="33"/>
      <c r="CY730" s="33"/>
      <c r="CZ730" s="33"/>
      <c r="DA730" s="33"/>
      <c r="DB730" s="33"/>
      <c r="DC730" s="33"/>
      <c r="DD730" s="33"/>
      <c r="DE730" s="33"/>
      <c r="DF730" s="33"/>
    </row>
    <row r="731" spans="2:112" ht="11.25" customHeight="1">
      <c r="CU731" s="33"/>
      <c r="CV731" s="33"/>
      <c r="CW731" s="33"/>
      <c r="CX731" s="33"/>
      <c r="CY731" s="33"/>
      <c r="CZ731" s="33"/>
      <c r="DA731" s="33"/>
      <c r="DB731" s="33"/>
      <c r="DC731" s="33"/>
      <c r="DD731" s="33"/>
      <c r="DE731" s="33"/>
      <c r="DF731" s="33"/>
    </row>
    <row r="732" spans="2:112" ht="11.25" customHeight="1">
      <c r="CU732" s="33"/>
      <c r="CV732" s="33"/>
      <c r="CW732" s="33"/>
      <c r="CX732" s="33"/>
      <c r="CY732" s="33"/>
      <c r="CZ732" s="33"/>
      <c r="DA732" s="33"/>
      <c r="DB732" s="33"/>
      <c r="DC732" s="33"/>
      <c r="DD732" s="33"/>
      <c r="DE732" s="33"/>
      <c r="DF732" s="33"/>
    </row>
    <row r="733" spans="2:112" ht="11.25" customHeight="1">
      <c r="CU733" s="33"/>
      <c r="CV733" s="33"/>
      <c r="CW733" s="33"/>
      <c r="CX733" s="33"/>
      <c r="CY733" s="33"/>
      <c r="CZ733" s="33"/>
      <c r="DA733" s="33"/>
      <c r="DB733" s="33"/>
      <c r="DC733" s="33"/>
      <c r="DD733" s="33"/>
      <c r="DE733" s="33"/>
      <c r="DF733" s="33"/>
    </row>
    <row r="734" spans="2:112" ht="11.25" customHeight="1">
      <c r="CU734" s="33"/>
      <c r="CV734" s="33"/>
      <c r="CW734" s="33"/>
      <c r="CX734" s="33"/>
      <c r="CY734" s="33"/>
      <c r="CZ734" s="33"/>
      <c r="DA734" s="33"/>
      <c r="DB734" s="33"/>
      <c r="DC734" s="33"/>
      <c r="DD734" s="33"/>
      <c r="DE734" s="33"/>
      <c r="DF734" s="33"/>
    </row>
    <row r="735" spans="2:112" ht="11.25" customHeight="1">
      <c r="I735" s="125" t="s">
        <v>672</v>
      </c>
      <c r="CU735" s="33"/>
      <c r="CV735" s="33"/>
      <c r="CW735" s="33"/>
      <c r="CX735" s="33"/>
      <c r="CY735" s="33"/>
      <c r="CZ735" s="33"/>
      <c r="DA735" s="33"/>
      <c r="DB735" s="33"/>
      <c r="DC735" s="33"/>
      <c r="DD735" s="33"/>
      <c r="DE735" s="33"/>
      <c r="DF735" s="33"/>
    </row>
    <row r="736" spans="2:112">
      <c r="I736" s="24" t="s">
        <v>596</v>
      </c>
      <c r="CQ736" s="1915">
        <v>1640673</v>
      </c>
      <c r="CR736" s="1915">
        <v>1761065</v>
      </c>
      <c r="CS736" s="1915">
        <v>1661710</v>
      </c>
      <c r="CT736" s="1915">
        <v>1769696</v>
      </c>
      <c r="CU736" s="1915">
        <v>1798484</v>
      </c>
      <c r="CV736" s="1915">
        <v>1817360</v>
      </c>
    </row>
    <row r="737" spans="9:110">
      <c r="I737" s="24" t="s">
        <v>597</v>
      </c>
      <c r="CQ737" s="1915">
        <v>916617</v>
      </c>
      <c r="CR737" s="1915">
        <v>1638851</v>
      </c>
      <c r="CS737" s="1915">
        <v>2675976</v>
      </c>
      <c r="CT737" s="1915">
        <v>4103393</v>
      </c>
      <c r="CU737" s="1915">
        <v>5519207</v>
      </c>
      <c r="CV737" s="1915">
        <v>6205116</v>
      </c>
      <c r="CW737" s="517"/>
      <c r="CX737" s="517"/>
      <c r="CY737" s="517"/>
      <c r="CZ737" s="517"/>
      <c r="DA737" s="517"/>
      <c r="DB737" s="517"/>
      <c r="DC737" s="517"/>
      <c r="DD737" s="517"/>
      <c r="DE737" s="517"/>
      <c r="DF737" s="517"/>
    </row>
    <row r="738" spans="9:110">
      <c r="I738" s="24" t="s">
        <v>332</v>
      </c>
      <c r="CQ738" s="1915">
        <v>419709</v>
      </c>
      <c r="CR738" s="1915">
        <v>709393</v>
      </c>
      <c r="CS738" s="1915">
        <v>491376</v>
      </c>
      <c r="CT738" s="1916" t="s">
        <v>185</v>
      </c>
      <c r="CU738" s="1916" t="s">
        <v>185</v>
      </c>
      <c r="CV738" s="1916" t="s">
        <v>185</v>
      </c>
      <c r="CW738" s="517"/>
      <c r="CX738" s="517"/>
      <c r="CY738" s="517"/>
      <c r="CZ738" s="517"/>
      <c r="DA738" s="517"/>
      <c r="DB738" s="517"/>
      <c r="DC738" s="517"/>
      <c r="DD738" s="517"/>
      <c r="DE738" s="517"/>
      <c r="DF738" s="517"/>
    </row>
    <row r="739" spans="9:110">
      <c r="I739" s="24" t="s">
        <v>599</v>
      </c>
      <c r="CQ739" s="1915">
        <v>107906</v>
      </c>
      <c r="CR739" s="1915">
        <v>246301</v>
      </c>
      <c r="CS739" s="1915">
        <v>431894</v>
      </c>
      <c r="CT739" s="1916" t="s">
        <v>185</v>
      </c>
      <c r="CU739" s="1916" t="s">
        <v>185</v>
      </c>
      <c r="CV739" s="1916" t="s">
        <v>185</v>
      </c>
      <c r="CW739" s="517"/>
      <c r="CX739" s="517"/>
      <c r="CY739" s="517"/>
      <c r="CZ739" s="517"/>
      <c r="DA739" s="517"/>
      <c r="DB739" s="517"/>
      <c r="DC739" s="517"/>
      <c r="DD739" s="517"/>
      <c r="DE739" s="517"/>
      <c r="DF739" s="517"/>
    </row>
    <row r="740" spans="9:110">
      <c r="I740" s="24" t="s">
        <v>598</v>
      </c>
      <c r="CQ740" s="1918">
        <f>+CQ738+CQ739</f>
        <v>527615</v>
      </c>
      <c r="CR740" s="1918">
        <f>+CR738+CR739</f>
        <v>955694</v>
      </c>
      <c r="CS740" s="1918">
        <f>+CS738+CS739</f>
        <v>923270</v>
      </c>
      <c r="CT740" s="1917">
        <v>920217</v>
      </c>
      <c r="CU740" s="1917">
        <v>1124280</v>
      </c>
      <c r="CV740" s="1917">
        <v>1201511</v>
      </c>
      <c r="CW740" s="517"/>
      <c r="CX740" s="517"/>
      <c r="CY740" s="517"/>
      <c r="CZ740" s="517"/>
      <c r="DA740" s="517"/>
      <c r="DB740" s="517"/>
      <c r="DC740" s="517"/>
      <c r="DD740" s="517"/>
      <c r="DE740" s="517"/>
      <c r="DF740" s="517"/>
    </row>
    <row r="741" spans="9:110">
      <c r="CW741" s="33"/>
      <c r="CX741" s="33"/>
      <c r="CY741" s="33"/>
      <c r="CZ741" s="33"/>
      <c r="DA741" s="33"/>
      <c r="DB741" s="33"/>
      <c r="DC741" s="33"/>
      <c r="DD741" s="33"/>
      <c r="DE741" s="33"/>
      <c r="DF741" s="33"/>
    </row>
    <row r="742" spans="9:110">
      <c r="I742" s="24" t="s">
        <v>596</v>
      </c>
      <c r="CR742" s="735">
        <f>+CR736/CQ736-1</f>
        <v>7.3379643597474953E-2</v>
      </c>
      <c r="CS742" s="735">
        <f>+CS736/CR736-1</f>
        <v>-5.6417565507235645E-2</v>
      </c>
      <c r="CT742" s="735">
        <f t="shared" ref="CT742:CV743" si="1281">+CT736/CS736-1</f>
        <v>6.4984864988475666E-2</v>
      </c>
      <c r="CU742" s="735">
        <f t="shared" si="1281"/>
        <v>1.6267200694356498E-2</v>
      </c>
      <c r="CV742" s="735">
        <f t="shared" si="1281"/>
        <v>1.049550621523454E-2</v>
      </c>
    </row>
    <row r="743" spans="9:110">
      <c r="I743" s="24" t="s">
        <v>597</v>
      </c>
      <c r="CR743" s="735">
        <f>+CR737/CQ737-1</f>
        <v>0.78793432807813946</v>
      </c>
      <c r="CS743" s="735">
        <f>+CS737/CR737-1</f>
        <v>0.63283666422389828</v>
      </c>
      <c r="CT743" s="735">
        <f t="shared" si="1281"/>
        <v>0.53341920854297653</v>
      </c>
      <c r="CU743" s="735">
        <f t="shared" si="1281"/>
        <v>0.34503495034475118</v>
      </c>
      <c r="CV743" s="735">
        <f t="shared" si="1281"/>
        <v>0.12427673033462949</v>
      </c>
    </row>
    <row r="744" spans="9:110">
      <c r="I744" s="24" t="s">
        <v>332</v>
      </c>
      <c r="CR744" s="735">
        <f t="shared" ref="CR744:CS746" si="1282">+CR738/CQ738-1</f>
        <v>0.69020202092402116</v>
      </c>
      <c r="CS744" s="735">
        <f t="shared" si="1282"/>
        <v>-0.3073289417854419</v>
      </c>
      <c r="CT744" s="1916" t="s">
        <v>185</v>
      </c>
      <c r="CU744" s="1916" t="s">
        <v>185</v>
      </c>
      <c r="CV744" s="1916" t="s">
        <v>185</v>
      </c>
    </row>
    <row r="745" spans="9:110">
      <c r="I745" s="24" t="s">
        <v>599</v>
      </c>
      <c r="CR745" s="735">
        <f t="shared" si="1282"/>
        <v>1.2825514799918447</v>
      </c>
      <c r="CS745" s="735">
        <f t="shared" si="1282"/>
        <v>0.75352109816850121</v>
      </c>
      <c r="CT745" s="1916" t="s">
        <v>185</v>
      </c>
      <c r="CU745" s="1916" t="s">
        <v>185</v>
      </c>
      <c r="CV745" s="1916" t="s">
        <v>185</v>
      </c>
    </row>
    <row r="746" spans="9:110">
      <c r="I746" s="24" t="s">
        <v>598</v>
      </c>
      <c r="CR746" s="735">
        <f t="shared" si="1282"/>
        <v>0.81134728921656896</v>
      </c>
      <c r="CS746" s="735">
        <f t="shared" si="1282"/>
        <v>-3.3927177527534935E-2</v>
      </c>
      <c r="CT746" s="735">
        <f>+CT740/CS740-1</f>
        <v>-3.3067250100187184E-3</v>
      </c>
      <c r="CU746" s="735">
        <f>+CU740/CT740-1</f>
        <v>0.22175530336866189</v>
      </c>
      <c r="CV746" s="735">
        <f>+CV740/CU740-1</f>
        <v>6.8693741772512196E-2</v>
      </c>
    </row>
    <row r="748" spans="9:110">
      <c r="I748" s="1762" t="s">
        <v>632</v>
      </c>
      <c r="J748" s="1763"/>
      <c r="K748" s="1763"/>
      <c r="L748" s="1763"/>
      <c r="M748" s="1763"/>
      <c r="N748" s="1763"/>
      <c r="O748" s="1763"/>
      <c r="P748" s="1763"/>
      <c r="Q748" s="1763"/>
      <c r="R748" s="1763"/>
      <c r="S748" s="1763"/>
      <c r="T748" s="1763"/>
      <c r="U748" s="1764"/>
      <c r="V748" s="1764"/>
      <c r="W748" s="1764"/>
      <c r="X748" s="1764"/>
      <c r="Y748" s="1764"/>
      <c r="Z748" s="1764"/>
      <c r="AA748" s="1764"/>
      <c r="AB748" s="1764"/>
      <c r="AC748" s="1764"/>
      <c r="AD748" s="1764"/>
      <c r="AE748" s="1764"/>
      <c r="AF748" s="1764"/>
      <c r="AG748" s="1764"/>
      <c r="AH748" s="1764"/>
      <c r="AI748" s="1764"/>
      <c r="AJ748" s="1764"/>
      <c r="AK748" s="1764"/>
      <c r="AL748" s="1764"/>
      <c r="AM748" s="1764"/>
      <c r="AN748" s="1764"/>
      <c r="AO748" s="1764"/>
      <c r="AP748" s="1764"/>
      <c r="AQ748" s="1765"/>
      <c r="AR748" s="1765"/>
      <c r="AS748" s="1765"/>
      <c r="AT748" s="1765"/>
      <c r="AU748" s="1765"/>
      <c r="AV748" s="1765"/>
      <c r="AW748" s="1765"/>
      <c r="AX748" s="1765"/>
      <c r="AY748" s="1765"/>
      <c r="AZ748" s="1765"/>
      <c r="BA748" s="1765"/>
      <c r="BB748" s="1765"/>
      <c r="BC748" s="1765"/>
      <c r="BD748" s="1765"/>
      <c r="BE748" s="1765"/>
      <c r="BF748" s="1765"/>
      <c r="BG748" s="1765"/>
      <c r="BH748" s="1765"/>
      <c r="BI748" s="1765"/>
      <c r="BJ748" s="1765"/>
      <c r="BK748" s="1765"/>
      <c r="BL748" s="1765"/>
      <c r="BM748" s="1765"/>
      <c r="BN748" s="1765"/>
      <c r="BO748" s="1765"/>
      <c r="BP748" s="1765"/>
      <c r="BQ748" s="1765"/>
      <c r="BR748" s="1765"/>
      <c r="BS748" s="1765"/>
      <c r="BT748" s="1765"/>
      <c r="BU748" s="1765"/>
      <c r="BV748" s="1765"/>
      <c r="BW748" s="1765"/>
      <c r="BX748" s="1765"/>
      <c r="BY748" s="1765"/>
      <c r="BZ748" s="1765"/>
      <c r="CA748" s="1765"/>
      <c r="CB748" s="1765"/>
      <c r="CC748" s="1765"/>
      <c r="CD748" s="1765"/>
      <c r="CE748" s="1765"/>
      <c r="CF748" s="1765"/>
      <c r="CG748" s="1763"/>
      <c r="CH748" s="1763"/>
      <c r="CI748" s="1763"/>
      <c r="CJ748" s="1764"/>
      <c r="CK748" s="1764"/>
      <c r="CL748" s="1764"/>
      <c r="CM748" s="1764"/>
      <c r="CN748" s="1765"/>
      <c r="CO748" s="1765"/>
      <c r="CP748" s="1765"/>
      <c r="CQ748" s="1765"/>
      <c r="CR748" s="1765"/>
      <c r="CS748" s="1766"/>
      <c r="CT748" s="1766"/>
      <c r="CU748" s="1766"/>
      <c r="CV748" s="1766"/>
      <c r="CW748" s="1766"/>
      <c r="CX748" s="1766"/>
      <c r="CY748" s="1766"/>
      <c r="CZ748" s="1766"/>
      <c r="DA748" s="1766"/>
      <c r="DB748" s="1766"/>
      <c r="DC748" s="1766"/>
      <c r="DD748" s="1766"/>
      <c r="DE748" s="1766"/>
      <c r="DF748" s="1766"/>
    </row>
    <row r="749" spans="9:110" hidden="1" outlineLevel="1">
      <c r="I749" s="1763" t="s">
        <v>575</v>
      </c>
      <c r="J749" s="1763"/>
      <c r="K749" s="1763"/>
      <c r="L749" s="1763"/>
      <c r="M749" s="1764">
        <f t="shared" ref="M749:AR749" si="1283">+M143-M141-M142</f>
        <v>0</v>
      </c>
      <c r="N749" s="1764">
        <f t="shared" si="1283"/>
        <v>0</v>
      </c>
      <c r="O749" s="1764">
        <f t="shared" si="1283"/>
        <v>0</v>
      </c>
      <c r="P749" s="1764">
        <f t="shared" si="1283"/>
        <v>0</v>
      </c>
      <c r="Q749" s="1764">
        <f t="shared" si="1283"/>
        <v>0</v>
      </c>
      <c r="R749" s="1764">
        <f t="shared" si="1283"/>
        <v>0</v>
      </c>
      <c r="S749" s="1764">
        <f t="shared" si="1283"/>
        <v>0</v>
      </c>
      <c r="T749" s="1764">
        <f t="shared" si="1283"/>
        <v>0</v>
      </c>
      <c r="U749" s="1764">
        <f t="shared" si="1283"/>
        <v>0</v>
      </c>
      <c r="V749" s="1764">
        <f t="shared" si="1283"/>
        <v>0</v>
      </c>
      <c r="W749" s="1764">
        <f t="shared" si="1283"/>
        <v>0</v>
      </c>
      <c r="X749" s="1764">
        <f t="shared" si="1283"/>
        <v>0</v>
      </c>
      <c r="Y749" s="1764">
        <f t="shared" si="1283"/>
        <v>0</v>
      </c>
      <c r="Z749" s="1764">
        <f t="shared" si="1283"/>
        <v>0</v>
      </c>
      <c r="AA749" s="1764">
        <f t="shared" si="1283"/>
        <v>0</v>
      </c>
      <c r="AB749" s="1764">
        <f t="shared" si="1283"/>
        <v>0</v>
      </c>
      <c r="AC749" s="1764">
        <f t="shared" si="1283"/>
        <v>0</v>
      </c>
      <c r="AD749" s="1764">
        <f t="shared" si="1283"/>
        <v>0</v>
      </c>
      <c r="AE749" s="1764">
        <f t="shared" si="1283"/>
        <v>0</v>
      </c>
      <c r="AF749" s="1764">
        <f t="shared" si="1283"/>
        <v>0</v>
      </c>
      <c r="AG749" s="1764">
        <f t="shared" si="1283"/>
        <v>-0.16500000000000847</v>
      </c>
      <c r="AH749" s="1764">
        <f t="shared" si="1283"/>
        <v>13.404000000000007</v>
      </c>
      <c r="AI749" s="1764">
        <f t="shared" si="1283"/>
        <v>49.918000000000006</v>
      </c>
      <c r="AJ749" s="1764">
        <f t="shared" si="1283"/>
        <v>13.770999999999963</v>
      </c>
      <c r="AK749" s="1764">
        <f t="shared" si="1283"/>
        <v>24.356000000000041</v>
      </c>
      <c r="AL749" s="1764">
        <f t="shared" si="1283"/>
        <v>33.587999999999958</v>
      </c>
      <c r="AM749" s="1764">
        <f t="shared" si="1283"/>
        <v>106.88099999999999</v>
      </c>
      <c r="AN749" s="1764">
        <f t="shared" si="1283"/>
        <v>33.917000000000016</v>
      </c>
      <c r="AO749" s="1764">
        <f t="shared" si="1283"/>
        <v>18.664000000000019</v>
      </c>
      <c r="AP749" s="1764">
        <f t="shared" si="1283"/>
        <v>55.327000000000041</v>
      </c>
      <c r="AQ749" s="1764">
        <f t="shared" si="1283"/>
        <v>89.868000000000038</v>
      </c>
      <c r="AR749" s="1764">
        <f t="shared" si="1283"/>
        <v>34.192999999999998</v>
      </c>
      <c r="AS749" s="1764">
        <f t="shared" ref="AS749:BX749" si="1284">+AS143-AS141-AS142</f>
        <v>25.054000000000009</v>
      </c>
      <c r="AT749" s="1764">
        <f t="shared" si="1284"/>
        <v>66.977999999999966</v>
      </c>
      <c r="AU749" s="1764">
        <f t="shared" si="1284"/>
        <v>318.98199999999997</v>
      </c>
      <c r="AV749" s="1764">
        <f t="shared" si="1284"/>
        <v>78.455000000000069</v>
      </c>
      <c r="AW749" s="1764">
        <f t="shared" si="1284"/>
        <v>53.874999999999872</v>
      </c>
      <c r="AX749" s="1764">
        <f t="shared" si="1284"/>
        <v>115.52499999999984</v>
      </c>
      <c r="AY749" s="1764">
        <f t="shared" si="1284"/>
        <v>226.5799999999999</v>
      </c>
      <c r="AZ749" s="1764">
        <f t="shared" si="1284"/>
        <v>136.86400000000006</v>
      </c>
      <c r="BA749" s="1764">
        <f t="shared" si="1284"/>
        <v>104.01300000000003</v>
      </c>
      <c r="BB749" s="1764">
        <f t="shared" si="1284"/>
        <v>256.27700000000004</v>
      </c>
      <c r="BC749" s="1764">
        <f t="shared" si="1284"/>
        <v>472.88600000000019</v>
      </c>
      <c r="BD749" s="1764">
        <f t="shared" si="1284"/>
        <v>225.95500000000013</v>
      </c>
      <c r="BE749" s="1764">
        <f t="shared" si="1284"/>
        <v>181.816</v>
      </c>
      <c r="BF749" s="1764">
        <f t="shared" si="1284"/>
        <v>352.65400000000005</v>
      </c>
      <c r="BG749" s="1764">
        <f t="shared" si="1284"/>
        <v>599.96999999999991</v>
      </c>
      <c r="BH749" s="1764">
        <f t="shared" si="1284"/>
        <v>289.59500000000014</v>
      </c>
      <c r="BI749" s="1764">
        <f t="shared" si="1284"/>
        <v>244.29199999999994</v>
      </c>
      <c r="BJ749" s="1764">
        <f t="shared" si="1284"/>
        <v>437.44</v>
      </c>
      <c r="BK749" s="1764">
        <f t="shared" si="1284"/>
        <v>832.98899999999946</v>
      </c>
      <c r="BL749" s="1764">
        <f t="shared" si="1284"/>
        <v>378.077</v>
      </c>
      <c r="BM749" s="1764">
        <f t="shared" si="1284"/>
        <v>331.21800000000013</v>
      </c>
      <c r="BN749" s="1764">
        <f t="shared" si="1284"/>
        <v>576.45100000000014</v>
      </c>
      <c r="BO749" s="1764">
        <f t="shared" si="1284"/>
        <v>1062.2530000000002</v>
      </c>
      <c r="BP749" s="1764">
        <f t="shared" si="1284"/>
        <v>451.83099999999996</v>
      </c>
      <c r="BQ749" s="1764">
        <f t="shared" si="1284"/>
        <v>333.32699999999983</v>
      </c>
      <c r="BR749" s="1764">
        <f t="shared" si="1284"/>
        <v>517.03200000000015</v>
      </c>
      <c r="BS749" s="1764">
        <f t="shared" si="1284"/>
        <v>1196.732</v>
      </c>
      <c r="BT749" s="1764">
        <f t="shared" si="1284"/>
        <v>504.26899999999966</v>
      </c>
      <c r="BU749" s="1764">
        <f t="shared" si="1284"/>
        <v>374.42399999999952</v>
      </c>
      <c r="BV749" s="1764">
        <f t="shared" si="1284"/>
        <v>580.63800000000015</v>
      </c>
      <c r="BW749" s="1764">
        <f t="shared" si="1284"/>
        <v>506.01700000000034</v>
      </c>
      <c r="BX749" s="1764">
        <f t="shared" si="1284"/>
        <v>673.90799999999967</v>
      </c>
      <c r="BY749" s="1764">
        <f t="shared" ref="BY749:CF749" si="1285">+BY143-BY141-BY142</f>
        <v>455.62299999999982</v>
      </c>
      <c r="BZ749" s="1764">
        <f t="shared" si="1285"/>
        <v>721.23600000000044</v>
      </c>
      <c r="CA749" s="1764">
        <f t="shared" si="1285"/>
        <v>1720.4570000000006</v>
      </c>
      <c r="CB749" s="1764">
        <f t="shared" si="1285"/>
        <v>-555.45800000000031</v>
      </c>
      <c r="CC749" s="1764">
        <f t="shared" si="1285"/>
        <v>519.47269697734828</v>
      </c>
      <c r="CD749" s="1764">
        <f t="shared" si="1285"/>
        <v>882.43727307410677</v>
      </c>
      <c r="CE749" s="1764">
        <f t="shared" si="1285"/>
        <v>1961.734213156795</v>
      </c>
      <c r="CF749" s="1764">
        <f t="shared" si="1285"/>
        <v>1011.2590456727887</v>
      </c>
      <c r="CG749" s="1763"/>
      <c r="CH749" s="1764">
        <f t="shared" ref="CH749:DF749" si="1286">+CH143-CH141-CH142</f>
        <v>0</v>
      </c>
      <c r="CI749" s="1764">
        <f t="shared" si="1286"/>
        <v>0</v>
      </c>
      <c r="CJ749" s="1764">
        <f t="shared" si="1286"/>
        <v>0</v>
      </c>
      <c r="CK749" s="1764">
        <f t="shared" si="1286"/>
        <v>0</v>
      </c>
      <c r="CL749" s="1764">
        <f t="shared" si="1286"/>
        <v>0</v>
      </c>
      <c r="CM749" s="1764">
        <f t="shared" si="1286"/>
        <v>76.928000000000168</v>
      </c>
      <c r="CN749" s="1764">
        <f t="shared" si="1286"/>
        <v>198.74199999999976</v>
      </c>
      <c r="CO749" s="1764">
        <f t="shared" si="1286"/>
        <v>198.05200000000002</v>
      </c>
      <c r="CP749" s="1764">
        <f t="shared" si="1286"/>
        <v>489.46899999999971</v>
      </c>
      <c r="CQ749" s="1764">
        <f t="shared" si="1286"/>
        <v>532.84399999999982</v>
      </c>
      <c r="CR749" s="1764">
        <f t="shared" si="1286"/>
        <v>1059.1310000000008</v>
      </c>
      <c r="CS749" s="1764">
        <f t="shared" si="1286"/>
        <v>1424.035000000001</v>
      </c>
      <c r="CT749" s="1764">
        <f t="shared" si="1286"/>
        <v>1892.7980000000002</v>
      </c>
      <c r="CU749" s="1764">
        <f t="shared" si="1286"/>
        <v>2421.7529999999988</v>
      </c>
      <c r="CV749" s="1764">
        <f t="shared" si="1286"/>
        <v>2551.3599999999983</v>
      </c>
      <c r="CW749" s="1764">
        <f t="shared" si="1286"/>
        <v>2134.9870000000001</v>
      </c>
      <c r="CX749" s="1764">
        <f t="shared" si="1286"/>
        <v>2341.8579999999984</v>
      </c>
      <c r="CY749" s="1764">
        <f t="shared" si="1286"/>
        <v>4374.9032288810422</v>
      </c>
      <c r="CZ749" s="1764">
        <f t="shared" si="1286"/>
        <v>5061.4833456194519</v>
      </c>
      <c r="DA749" s="1764">
        <f t="shared" si="1286"/>
        <v>5782.722843959923</v>
      </c>
      <c r="DB749" s="1764">
        <f t="shared" si="1286"/>
        <v>6506.2291567471275</v>
      </c>
      <c r="DC749" s="1764">
        <f t="shared" si="1286"/>
        <v>7224.5505083979479</v>
      </c>
      <c r="DD749" s="1764">
        <f t="shared" si="1286"/>
        <v>7921.99046784648</v>
      </c>
      <c r="DE749" s="1764">
        <f t="shared" si="1286"/>
        <v>8617.0268170636082</v>
      </c>
      <c r="DF749" s="1764">
        <f t="shared" si="1286"/>
        <v>9393.355476953886</v>
      </c>
    </row>
    <row r="750" spans="9:110" hidden="1" outlineLevel="1">
      <c r="I750" s="1763" t="s">
        <v>576</v>
      </c>
      <c r="J750" s="1763"/>
      <c r="K750" s="1763"/>
      <c r="L750" s="1763"/>
      <c r="M750" s="1767"/>
      <c r="N750" s="1767"/>
      <c r="O750" s="1767"/>
      <c r="P750" s="1767"/>
      <c r="Q750" s="1767"/>
      <c r="R750" s="1767"/>
      <c r="S750" s="1767"/>
      <c r="T750" s="1767"/>
      <c r="U750" s="1767"/>
      <c r="V750" s="1767"/>
      <c r="W750" s="1767"/>
      <c r="X750" s="1767"/>
      <c r="Y750" s="1767"/>
      <c r="Z750" s="1767"/>
      <c r="AA750" s="1767"/>
      <c r="AB750" s="1767"/>
      <c r="AC750" s="1767"/>
      <c r="AD750" s="1767"/>
      <c r="AE750" s="1767"/>
      <c r="AF750" s="1767"/>
      <c r="AG750" s="1767">
        <f>+AJ750</f>
        <v>0.35156630911750364</v>
      </c>
      <c r="AH750" s="1767">
        <f>+AJ750</f>
        <v>0.35156630911750364</v>
      </c>
      <c r="AI750" s="1767">
        <f>+AJ750</f>
        <v>0.35156630911750364</v>
      </c>
      <c r="AJ750" s="1767">
        <f>+CM750</f>
        <v>0.35156630911750364</v>
      </c>
      <c r="AK750" s="1767">
        <f>+AN750</f>
        <v>0.34718009905147879</v>
      </c>
      <c r="AL750" s="1767">
        <f>+AN750</f>
        <v>0.34718009905147879</v>
      </c>
      <c r="AM750" s="1767">
        <f>+AN750</f>
        <v>0.34718009905147879</v>
      </c>
      <c r="AN750" s="1767">
        <f>+CN750</f>
        <v>0.34718009905147879</v>
      </c>
      <c r="AO750" s="1767">
        <f>+AR750</f>
        <v>0.36336538635663967</v>
      </c>
      <c r="AP750" s="1767">
        <f>+AR750</f>
        <v>0.36336538635663967</v>
      </c>
      <c r="AQ750" s="1767">
        <f>+AR750</f>
        <v>0.36336538635663967</v>
      </c>
      <c r="AR750" s="1767">
        <f>+CO750</f>
        <v>0.36336538635663967</v>
      </c>
      <c r="AS750" s="1767">
        <f>+AV750</f>
        <v>0.36181613467721152</v>
      </c>
      <c r="AT750" s="1767">
        <f>+AV750</f>
        <v>0.36181613467721152</v>
      </c>
      <c r="AU750" s="1767">
        <f>+AV750</f>
        <v>0.36181613467721152</v>
      </c>
      <c r="AV750" s="1767">
        <f>+CP750</f>
        <v>0.36181613467721152</v>
      </c>
      <c r="AW750" s="1767">
        <f>+AZ750</f>
        <v>0.3590608388506773</v>
      </c>
      <c r="AX750" s="1767">
        <f>+AZ750</f>
        <v>0.3590608388506773</v>
      </c>
      <c r="AY750" s="1767">
        <f>+AZ750</f>
        <v>0.3590608388506773</v>
      </c>
      <c r="AZ750" s="1767">
        <f>+CQ750</f>
        <v>0.3590608388506773</v>
      </c>
      <c r="BA750" s="1767">
        <f>+BD750</f>
        <v>0.35377841984977271</v>
      </c>
      <c r="BB750" s="1767">
        <f>+BD750</f>
        <v>0.35377841984977271</v>
      </c>
      <c r="BC750" s="1767">
        <f>+BD750</f>
        <v>0.35377841984977271</v>
      </c>
      <c r="BD750" s="1767">
        <f>+CR750</f>
        <v>0.35377841984977271</v>
      </c>
      <c r="BE750" s="1767">
        <f>+BH750</f>
        <v>0.34999991486313681</v>
      </c>
      <c r="BF750" s="1767">
        <f>+BH750</f>
        <v>0.34999991486313681</v>
      </c>
      <c r="BG750" s="1767">
        <f>+BH750</f>
        <v>0.34999991486313681</v>
      </c>
      <c r="BH750" s="1767">
        <f>+CS750</f>
        <v>0.34999991486313681</v>
      </c>
      <c r="BI750" s="1767">
        <f>+BL750</f>
        <v>0.35000002177191142</v>
      </c>
      <c r="BJ750" s="1767">
        <f>+BL750</f>
        <v>0.35000002177191142</v>
      </c>
      <c r="BK750" s="1767">
        <f>+BL750</f>
        <v>0.35000002177191142</v>
      </c>
      <c r="BL750" s="1767">
        <f>+CT750</f>
        <v>0.35000002177191142</v>
      </c>
      <c r="BM750" s="1767">
        <f>+BL750</f>
        <v>0.35000002177191142</v>
      </c>
      <c r="BN750" s="1767">
        <f t="shared" ref="BN750:CF750" si="1287">+BM750</f>
        <v>0.35000002177191142</v>
      </c>
      <c r="BO750" s="1767">
        <f t="shared" si="1287"/>
        <v>0.35000002177191142</v>
      </c>
      <c r="BP750" s="1767">
        <f t="shared" si="1287"/>
        <v>0.35000002177191142</v>
      </c>
      <c r="BQ750" s="1767">
        <f t="shared" si="1287"/>
        <v>0.35000002177191142</v>
      </c>
      <c r="BR750" s="1767">
        <f t="shared" si="1287"/>
        <v>0.35000002177191142</v>
      </c>
      <c r="BS750" s="1767">
        <f t="shared" si="1287"/>
        <v>0.35000002177191142</v>
      </c>
      <c r="BT750" s="1767">
        <f t="shared" si="1287"/>
        <v>0.35000002177191142</v>
      </c>
      <c r="BU750" s="1767">
        <f t="shared" si="1287"/>
        <v>0.35000002177191142</v>
      </c>
      <c r="BV750" s="1767">
        <f t="shared" si="1287"/>
        <v>0.35000002177191142</v>
      </c>
      <c r="BW750" s="1767">
        <f t="shared" si="1287"/>
        <v>0.35000002177191142</v>
      </c>
      <c r="BX750" s="1767">
        <f t="shared" si="1287"/>
        <v>0.35000002177191142</v>
      </c>
      <c r="BY750" s="1767">
        <f t="shared" si="1287"/>
        <v>0.35000002177191142</v>
      </c>
      <c r="BZ750" s="1767">
        <f t="shared" si="1287"/>
        <v>0.35000002177191142</v>
      </c>
      <c r="CA750" s="1767">
        <f t="shared" si="1287"/>
        <v>0.35000002177191142</v>
      </c>
      <c r="CB750" s="1767">
        <f t="shared" si="1287"/>
        <v>0.35000002177191142</v>
      </c>
      <c r="CC750" s="1767">
        <f t="shared" si="1287"/>
        <v>0.35000002177191142</v>
      </c>
      <c r="CD750" s="1767">
        <f t="shared" si="1287"/>
        <v>0.35000002177191142</v>
      </c>
      <c r="CE750" s="1767">
        <f t="shared" si="1287"/>
        <v>0.35000002177191142</v>
      </c>
      <c r="CF750" s="1767">
        <f t="shared" si="1287"/>
        <v>0.35000002177191142</v>
      </c>
      <c r="CG750" s="1763"/>
      <c r="CH750" s="1767"/>
      <c r="CI750" s="1767"/>
      <c r="CJ750" s="1767"/>
      <c r="CK750" s="1767"/>
      <c r="CL750" s="1767"/>
      <c r="CM750" s="1767">
        <f>(21.727+1.347)/65.632</f>
        <v>0.35156630911750364</v>
      </c>
      <c r="CN750" s="1767">
        <f>(50.758+1.327)/150.023</f>
        <v>0.34718009905147879</v>
      </c>
      <c r="CO750" s="1767">
        <f>(96.637+3.69)/276.105</f>
        <v>0.36336538635663967</v>
      </c>
      <c r="CP750" s="1767">
        <f>(154.806+5.226)/442.302</f>
        <v>0.36181613467721152</v>
      </c>
      <c r="CQ750" s="1767">
        <f>(261.199+6.762)/746.283</f>
        <v>0.3590608388506773</v>
      </c>
      <c r="CR750" s="1767">
        <f>(478.728+5.168)/1367.794</f>
        <v>0.35377841984977271</v>
      </c>
      <c r="CS750" s="1767">
        <f>(616.654)/1761.869</f>
        <v>0.34999991486313681</v>
      </c>
      <c r="CT750" s="1767">
        <f>(803.788)/2296.537</f>
        <v>0.35000002177191142</v>
      </c>
      <c r="CU750" s="1767">
        <f>+CT750</f>
        <v>0.35000002177191142</v>
      </c>
      <c r="CV750" s="1767">
        <f>+CU750</f>
        <v>0.35000002177191142</v>
      </c>
      <c r="CW750" s="1767">
        <f>+CV750</f>
        <v>0.35000002177191142</v>
      </c>
      <c r="CX750" s="1767">
        <f>+CW750</f>
        <v>0.35000002177191142</v>
      </c>
      <c r="CY750" s="1767">
        <f>+CX750</f>
        <v>0.35000002177191142</v>
      </c>
      <c r="CZ750" s="1767">
        <f t="shared" ref="CZ750:DF750" si="1288">+CY750</f>
        <v>0.35000002177191142</v>
      </c>
      <c r="DA750" s="1767">
        <f t="shared" si="1288"/>
        <v>0.35000002177191142</v>
      </c>
      <c r="DB750" s="1767">
        <f t="shared" si="1288"/>
        <v>0.35000002177191142</v>
      </c>
      <c r="DC750" s="1767">
        <f t="shared" si="1288"/>
        <v>0.35000002177191142</v>
      </c>
      <c r="DD750" s="1767">
        <f t="shared" si="1288"/>
        <v>0.35000002177191142</v>
      </c>
      <c r="DE750" s="1767">
        <f t="shared" si="1288"/>
        <v>0.35000002177191142</v>
      </c>
      <c r="DF750" s="1767">
        <f t="shared" si="1288"/>
        <v>0.35000002177191142</v>
      </c>
    </row>
    <row r="751" spans="9:110" hidden="1" outlineLevel="1">
      <c r="I751" s="1763" t="s">
        <v>577</v>
      </c>
      <c r="J751" s="1763"/>
      <c r="K751" s="1763"/>
      <c r="L751" s="1763"/>
      <c r="M751" s="1763">
        <v>0</v>
      </c>
      <c r="N751" s="1763">
        <v>0</v>
      </c>
      <c r="O751" s="1763">
        <v>0</v>
      </c>
      <c r="P751" s="1763">
        <v>0</v>
      </c>
      <c r="Q751" s="1763">
        <v>0</v>
      </c>
      <c r="R751" s="1763">
        <v>0</v>
      </c>
      <c r="S751" s="1763">
        <v>0</v>
      </c>
      <c r="T751" s="1763">
        <v>0</v>
      </c>
      <c r="U751" s="1763">
        <v>0</v>
      </c>
      <c r="V751" s="1763">
        <v>0</v>
      </c>
      <c r="W751" s="1763">
        <v>0</v>
      </c>
      <c r="X751" s="1763">
        <v>0</v>
      </c>
      <c r="Y751" s="1763">
        <v>0</v>
      </c>
      <c r="Z751" s="1763">
        <v>0</v>
      </c>
      <c r="AA751" s="1763">
        <v>0</v>
      </c>
      <c r="AB751" s="1763">
        <v>0</v>
      </c>
      <c r="AC751" s="1763">
        <v>0</v>
      </c>
      <c r="AD751" s="1763">
        <v>0</v>
      </c>
      <c r="AE751" s="1763">
        <v>0</v>
      </c>
      <c r="AF751" s="1763">
        <v>0</v>
      </c>
      <c r="AG751" s="1763">
        <v>0</v>
      </c>
      <c r="AH751" s="1763">
        <v>0</v>
      </c>
      <c r="AI751" s="1763">
        <v>0</v>
      </c>
      <c r="AJ751" s="1763">
        <v>0</v>
      </c>
      <c r="AK751" s="1763">
        <v>0</v>
      </c>
      <c r="AL751" s="1763">
        <v>0</v>
      </c>
      <c r="AM751" s="1763">
        <v>0</v>
      </c>
      <c r="AN751" s="1763">
        <v>0</v>
      </c>
      <c r="AO751" s="1763">
        <v>0</v>
      </c>
      <c r="AP751" s="1763">
        <v>0</v>
      </c>
      <c r="AQ751" s="1763">
        <v>0</v>
      </c>
      <c r="AR751" s="1763">
        <v>0</v>
      </c>
      <c r="AS751" s="1763">
        <v>0</v>
      </c>
      <c r="AT751" s="1763">
        <v>0</v>
      </c>
      <c r="AU751" s="1763">
        <v>0</v>
      </c>
      <c r="AV751" s="1763">
        <v>0</v>
      </c>
      <c r="AW751" s="1763">
        <v>0</v>
      </c>
      <c r="AX751" s="1763">
        <v>0</v>
      </c>
      <c r="AY751" s="1763">
        <v>0</v>
      </c>
      <c r="AZ751" s="1763">
        <v>0</v>
      </c>
      <c r="BA751" s="1763">
        <v>0</v>
      </c>
      <c r="BB751" s="1763">
        <v>0</v>
      </c>
      <c r="BC751" s="1763">
        <v>0</v>
      </c>
      <c r="BD751" s="1763">
        <v>0</v>
      </c>
      <c r="BE751" s="1763">
        <v>0</v>
      </c>
      <c r="BF751" s="1763">
        <v>0</v>
      </c>
      <c r="BG751" s="1763">
        <v>0</v>
      </c>
      <c r="BH751" s="1763">
        <v>0</v>
      </c>
      <c r="BI751" s="1763">
        <v>0</v>
      </c>
      <c r="BJ751" s="1763">
        <v>0</v>
      </c>
      <c r="BK751" s="1763">
        <v>0</v>
      </c>
      <c r="BL751" s="1763">
        <v>0</v>
      </c>
      <c r="BM751" s="1763">
        <v>0</v>
      </c>
      <c r="BN751" s="1763">
        <v>0</v>
      </c>
      <c r="BO751" s="1763">
        <v>0</v>
      </c>
      <c r="BP751" s="1763">
        <v>0</v>
      </c>
      <c r="BQ751" s="1763">
        <v>0</v>
      </c>
      <c r="BR751" s="1763">
        <v>0</v>
      </c>
      <c r="BS751" s="1763">
        <v>0</v>
      </c>
      <c r="BT751" s="1763">
        <v>0</v>
      </c>
      <c r="BU751" s="1763">
        <v>0</v>
      </c>
      <c r="BV751" s="1763">
        <v>0</v>
      </c>
      <c r="BW751" s="1763">
        <v>0</v>
      </c>
      <c r="BX751" s="1763">
        <v>0</v>
      </c>
      <c r="BY751" s="1763">
        <v>0</v>
      </c>
      <c r="BZ751" s="1763">
        <v>0</v>
      </c>
      <c r="CA751" s="1763">
        <v>0</v>
      </c>
      <c r="CB751" s="1763">
        <v>0</v>
      </c>
      <c r="CC751" s="1763">
        <v>0</v>
      </c>
      <c r="CD751" s="1763">
        <v>0</v>
      </c>
      <c r="CE751" s="1763">
        <v>0</v>
      </c>
      <c r="CF751" s="1763">
        <v>0</v>
      </c>
      <c r="CG751" s="1763"/>
      <c r="CH751" s="1763">
        <v>0</v>
      </c>
      <c r="CI751" s="1763">
        <v>0</v>
      </c>
      <c r="CJ751" s="1763">
        <v>0</v>
      </c>
      <c r="CK751" s="1763">
        <v>0</v>
      </c>
      <c r="CL751" s="1763">
        <v>0</v>
      </c>
      <c r="CM751" s="1763">
        <v>0</v>
      </c>
      <c r="CN751" s="1763">
        <v>0</v>
      </c>
      <c r="CO751" s="1763">
        <v>0</v>
      </c>
      <c r="CP751" s="1763">
        <v>0</v>
      </c>
      <c r="CQ751" s="1763">
        <v>0</v>
      </c>
      <c r="CR751" s="1763">
        <v>0</v>
      </c>
      <c r="CS751" s="1763">
        <v>0</v>
      </c>
      <c r="CT751" s="1763">
        <v>0</v>
      </c>
      <c r="CU751" s="1763">
        <v>0</v>
      </c>
      <c r="CV751" s="1763">
        <v>0</v>
      </c>
      <c r="CW751" s="1763">
        <v>0</v>
      </c>
      <c r="CX751" s="1763">
        <v>0</v>
      </c>
      <c r="CY751" s="1763">
        <v>0</v>
      </c>
      <c r="CZ751" s="1763">
        <v>0</v>
      </c>
      <c r="DA751" s="1763">
        <v>0</v>
      </c>
      <c r="DB751" s="1763">
        <v>0</v>
      </c>
      <c r="DC751" s="1763">
        <v>0</v>
      </c>
      <c r="DD751" s="1763">
        <v>0</v>
      </c>
      <c r="DE751" s="1763">
        <v>0</v>
      </c>
      <c r="DF751" s="1763">
        <v>0</v>
      </c>
    </row>
    <row r="752" spans="9:110" hidden="1" outlineLevel="1">
      <c r="I752" s="1763" t="s">
        <v>578</v>
      </c>
      <c r="J752" s="1763"/>
      <c r="K752" s="1763"/>
      <c r="L752" s="1763"/>
      <c r="M752" s="1768">
        <f t="shared" ref="M752:AR752" si="1289">+M128-M134</f>
        <v>0</v>
      </c>
      <c r="N752" s="1763">
        <f t="shared" si="1289"/>
        <v>0</v>
      </c>
      <c r="O752" s="1763">
        <f t="shared" si="1289"/>
        <v>0</v>
      </c>
      <c r="P752" s="1763">
        <f t="shared" si="1289"/>
        <v>0</v>
      </c>
      <c r="Q752" s="1763">
        <f t="shared" si="1289"/>
        <v>0</v>
      </c>
      <c r="R752" s="1763">
        <f t="shared" si="1289"/>
        <v>0</v>
      </c>
      <c r="S752" s="1763">
        <f t="shared" si="1289"/>
        <v>0</v>
      </c>
      <c r="T752" s="1763">
        <f t="shared" si="1289"/>
        <v>0</v>
      </c>
      <c r="U752" s="1764">
        <f t="shared" si="1289"/>
        <v>0</v>
      </c>
      <c r="V752" s="1764">
        <f t="shared" si="1289"/>
        <v>0</v>
      </c>
      <c r="W752" s="1764">
        <f t="shared" si="1289"/>
        <v>0</v>
      </c>
      <c r="X752" s="1764">
        <f t="shared" si="1289"/>
        <v>0</v>
      </c>
      <c r="Y752" s="1764">
        <f t="shared" si="1289"/>
        <v>0</v>
      </c>
      <c r="Z752" s="1764">
        <f t="shared" si="1289"/>
        <v>0</v>
      </c>
      <c r="AA752" s="1764">
        <f t="shared" si="1289"/>
        <v>0</v>
      </c>
      <c r="AB752" s="1764">
        <f t="shared" si="1289"/>
        <v>0</v>
      </c>
      <c r="AC752" s="1764">
        <f t="shared" si="1289"/>
        <v>0</v>
      </c>
      <c r="AD752" s="1764">
        <f t="shared" si="1289"/>
        <v>0</v>
      </c>
      <c r="AE752" s="1764">
        <f t="shared" si="1289"/>
        <v>0</v>
      </c>
      <c r="AF752" s="1764">
        <f t="shared" si="1289"/>
        <v>0</v>
      </c>
      <c r="AG752" s="1764">
        <f t="shared" si="1289"/>
        <v>1.0900000000000001</v>
      </c>
      <c r="AH752" s="1764">
        <f t="shared" si="1289"/>
        <v>-0.90299999999999958</v>
      </c>
      <c r="AI752" s="1764">
        <f t="shared" si="1289"/>
        <v>26.088000000000001</v>
      </c>
      <c r="AJ752" s="1764">
        <f t="shared" si="1289"/>
        <v>1.7740000000000002</v>
      </c>
      <c r="AK752" s="1764">
        <f t="shared" si="1289"/>
        <v>13.303000000000001</v>
      </c>
      <c r="AL752" s="1764">
        <f t="shared" si="1289"/>
        <v>-5.6</v>
      </c>
      <c r="AM752" s="1764">
        <f t="shared" si="1289"/>
        <v>42.746000000000002</v>
      </c>
      <c r="AN752" s="1764">
        <f t="shared" si="1289"/>
        <v>-1.7189999999999994</v>
      </c>
      <c r="AO752" s="1764">
        <f t="shared" si="1289"/>
        <v>-2.0750000000000002</v>
      </c>
      <c r="AP752" s="1764">
        <f t="shared" si="1289"/>
        <v>-7.9080000000000013</v>
      </c>
      <c r="AQ752" s="1765">
        <f t="shared" si="1289"/>
        <v>-11.619999999999997</v>
      </c>
      <c r="AR752" s="1765">
        <f t="shared" si="1289"/>
        <v>-6.7919999999999998</v>
      </c>
      <c r="AS752" s="1765">
        <f t="shared" ref="AS752:BX752" si="1290">+AS128-AS134</f>
        <v>-7.4320000000000004</v>
      </c>
      <c r="AT752" s="1765">
        <f t="shared" si="1290"/>
        <v>-9.7169999999999987</v>
      </c>
      <c r="AU752" s="1765">
        <f t="shared" si="1290"/>
        <v>171.529</v>
      </c>
      <c r="AV752" s="1765">
        <f t="shared" si="1290"/>
        <v>-2.9489999999999981</v>
      </c>
      <c r="AW752" s="1765">
        <f t="shared" si="1290"/>
        <v>-7.129999999999999</v>
      </c>
      <c r="AX752" s="1765">
        <f t="shared" si="1290"/>
        <v>-11.317</v>
      </c>
      <c r="AY752" s="1765">
        <f t="shared" si="1290"/>
        <v>-12.281000000000006</v>
      </c>
      <c r="AZ752" s="1765">
        <f t="shared" si="1290"/>
        <v>-3.6330000000000027</v>
      </c>
      <c r="BA752" s="1765">
        <f t="shared" si="1290"/>
        <v>-5.4469999999999992</v>
      </c>
      <c r="BB752" s="1765">
        <f t="shared" si="1290"/>
        <v>0.2710000000000008</v>
      </c>
      <c r="BC752" s="1765">
        <f t="shared" si="1290"/>
        <v>-16.325000000000003</v>
      </c>
      <c r="BD752" s="1765">
        <f t="shared" si="1290"/>
        <v>-13.045999999999999</v>
      </c>
      <c r="BE752" s="1765">
        <f t="shared" si="1290"/>
        <v>-7.4249999999999972</v>
      </c>
      <c r="BF752" s="1765">
        <f t="shared" si="1290"/>
        <v>-16.046999999999997</v>
      </c>
      <c r="BG752" s="1765">
        <f t="shared" si="1290"/>
        <v>-5.527000000000001</v>
      </c>
      <c r="BH752" s="1765">
        <f t="shared" si="1290"/>
        <v>-4.6280000000000001</v>
      </c>
      <c r="BI752" s="1765">
        <f t="shared" si="1290"/>
        <v>9.304000000000002</v>
      </c>
      <c r="BJ752" s="1765">
        <f t="shared" si="1290"/>
        <v>-2.1380000000000052</v>
      </c>
      <c r="BK752" s="1765">
        <f t="shared" si="1290"/>
        <v>-13.350999999999999</v>
      </c>
      <c r="BL752" s="1765">
        <f t="shared" si="1290"/>
        <v>13.406000000000006</v>
      </c>
      <c r="BM752" s="1765">
        <f t="shared" si="1290"/>
        <v>-8.4789999999999992</v>
      </c>
      <c r="BN752" s="1765">
        <f t="shared" si="1290"/>
        <v>-18.609000000000009</v>
      </c>
      <c r="BO752" s="1765">
        <f t="shared" si="1290"/>
        <v>-24.015999999999991</v>
      </c>
      <c r="BP752" s="1765">
        <f t="shared" si="1290"/>
        <v>4.2330000000000041</v>
      </c>
      <c r="BQ752" s="1765">
        <f t="shared" si="1290"/>
        <v>1.5100000000000051</v>
      </c>
      <c r="BR752" s="1765">
        <f t="shared" si="1290"/>
        <v>-17.557999999999993</v>
      </c>
      <c r="BS752" s="1765">
        <f t="shared" si="1290"/>
        <v>-4.9590000000000032</v>
      </c>
      <c r="BT752" s="1765">
        <f t="shared" si="1290"/>
        <v>-3.1500000000000057</v>
      </c>
      <c r="BU752" s="1765">
        <f t="shared" si="1290"/>
        <v>16.637</v>
      </c>
      <c r="BV752" s="1765">
        <f t="shared" si="1290"/>
        <v>4.9770000000000039</v>
      </c>
      <c r="BW752" s="1765">
        <f t="shared" si="1290"/>
        <v>-9.8770000000000095</v>
      </c>
      <c r="BX752" s="1765">
        <f t="shared" si="1290"/>
        <v>18.674639999999982</v>
      </c>
      <c r="BY752" s="1765">
        <f t="shared" ref="BY752:CF752" si="1291">+BY128-BY134</f>
        <v>14.259163672011425</v>
      </c>
      <c r="BZ752" s="1765">
        <f t="shared" si="1291"/>
        <v>8.1684791667118475</v>
      </c>
      <c r="CA752" s="1765">
        <f t="shared" si="1291"/>
        <v>-21.657884822141739</v>
      </c>
      <c r="CB752" s="1765">
        <f t="shared" si="1291"/>
        <v>-1336.3374427170538</v>
      </c>
      <c r="CC752" s="1765">
        <f t="shared" si="1291"/>
        <v>18.388080555016217</v>
      </c>
      <c r="CD752" s="1765">
        <f t="shared" si="1291"/>
        <v>11.907729796636772</v>
      </c>
      <c r="CE752" s="1765">
        <f t="shared" si="1291"/>
        <v>-13.007967354755408</v>
      </c>
      <c r="CF752" s="1765">
        <f t="shared" si="1291"/>
        <v>11.343606550027175</v>
      </c>
      <c r="CG752" s="1763"/>
      <c r="CH752" s="1765">
        <f t="shared" ref="CH752:DF752" si="1292">+CH128-CH134</f>
        <v>0</v>
      </c>
      <c r="CI752" s="1765">
        <f t="shared" si="1292"/>
        <v>0</v>
      </c>
      <c r="CJ752" s="1765">
        <f t="shared" si="1292"/>
        <v>0</v>
      </c>
      <c r="CK752" s="1765">
        <f t="shared" si="1292"/>
        <v>0</v>
      </c>
      <c r="CL752" s="1765">
        <f t="shared" si="1292"/>
        <v>0</v>
      </c>
      <c r="CM752" s="1765">
        <f t="shared" si="1292"/>
        <v>28.049000000000003</v>
      </c>
      <c r="CN752" s="1765">
        <f t="shared" si="1292"/>
        <v>48.730000000000004</v>
      </c>
      <c r="CO752" s="1765">
        <f t="shared" si="1292"/>
        <v>-28.394999999999996</v>
      </c>
      <c r="CP752" s="1765">
        <f t="shared" si="1292"/>
        <v>151.43100000000001</v>
      </c>
      <c r="CQ752" s="1765">
        <f t="shared" si="1292"/>
        <v>-34.360999999999962</v>
      </c>
      <c r="CR752" s="1765">
        <f t="shared" si="1292"/>
        <v>-34.546999999999969</v>
      </c>
      <c r="CS752" s="1765">
        <f t="shared" si="1292"/>
        <v>-33.626999999999953</v>
      </c>
      <c r="CT752" s="1765">
        <f t="shared" si="1292"/>
        <v>7.2209999999999468</v>
      </c>
      <c r="CU752" s="1765">
        <f t="shared" si="1292"/>
        <v>-46.871000000000095</v>
      </c>
      <c r="CV752" s="1765">
        <f t="shared" si="1292"/>
        <v>-24.156999999999925</v>
      </c>
      <c r="CW752" s="1765">
        <f t="shared" si="1292"/>
        <v>30.411640000000034</v>
      </c>
      <c r="CX752" s="1765">
        <f t="shared" si="1292"/>
        <v>-1335.567684700472</v>
      </c>
      <c r="CY752" s="1765">
        <f t="shared" si="1292"/>
        <v>28.631449546924841</v>
      </c>
      <c r="CZ752" s="1765">
        <f t="shared" si="1292"/>
        <v>-30.936384721601371</v>
      </c>
      <c r="DA752" s="1765">
        <f t="shared" si="1292"/>
        <v>-45.425729564690528</v>
      </c>
      <c r="DB752" s="1765">
        <f t="shared" si="1292"/>
        <v>-60.029432991357453</v>
      </c>
      <c r="DC752" s="1765">
        <f t="shared" si="1292"/>
        <v>-74.599846420750737</v>
      </c>
      <c r="DD752" s="1765">
        <f t="shared" si="1292"/>
        <v>-88.785488942810616</v>
      </c>
      <c r="DE752" s="1765">
        <f t="shared" si="1292"/>
        <v>-103.08422764884608</v>
      </c>
      <c r="DF752" s="1765">
        <f t="shared" si="1292"/>
        <v>-119.61379741213523</v>
      </c>
    </row>
    <row r="753" spans="9:110" hidden="1" outlineLevel="1">
      <c r="I753" s="1769" t="s">
        <v>579</v>
      </c>
      <c r="J753" s="1763"/>
      <c r="K753" s="1763"/>
      <c r="L753" s="1763"/>
      <c r="M753" s="1763"/>
      <c r="N753" s="1763"/>
      <c r="O753" s="1763"/>
      <c r="P753" s="1763"/>
      <c r="Q753" s="1763"/>
      <c r="R753" s="1763"/>
      <c r="S753" s="1763"/>
      <c r="T753" s="1763"/>
      <c r="U753" s="1764"/>
      <c r="V753" s="1764"/>
      <c r="W753" s="1764"/>
      <c r="X753" s="1764"/>
      <c r="Y753" s="1764"/>
      <c r="Z753" s="1764"/>
      <c r="AA753" s="1764"/>
      <c r="AB753" s="1764"/>
      <c r="AC753" s="1764"/>
      <c r="AD753" s="1764"/>
      <c r="AE753" s="1764"/>
      <c r="AF753" s="1764"/>
      <c r="AG753" s="1764"/>
      <c r="AH753" s="1764"/>
      <c r="AI753" s="1764"/>
      <c r="AJ753" s="1764"/>
      <c r="AK753" s="1764"/>
      <c r="AL753" s="1764"/>
      <c r="AM753" s="1764"/>
      <c r="AN753" s="1764"/>
      <c r="AO753" s="1764"/>
      <c r="AP753" s="1764"/>
      <c r="AQ753" s="1765"/>
      <c r="AR753" s="1765"/>
      <c r="AS753" s="1765"/>
      <c r="AT753" s="1765"/>
      <c r="AU753" s="1765"/>
      <c r="AV753" s="1765"/>
      <c r="AW753" s="1765"/>
      <c r="AX753" s="1765"/>
      <c r="AY753" s="1765"/>
      <c r="AZ753" s="1765"/>
      <c r="BA753" s="1765"/>
      <c r="BB753" s="1765"/>
      <c r="BC753" s="1765"/>
      <c r="BD753" s="1765"/>
      <c r="BE753" s="1765"/>
      <c r="BF753" s="1765"/>
      <c r="BG753" s="1765"/>
      <c r="BH753" s="1765"/>
      <c r="BI753" s="1765"/>
      <c r="BJ753" s="1765"/>
      <c r="BK753" s="1765"/>
      <c r="BL753" s="1765"/>
      <c r="BM753" s="1765"/>
      <c r="BN753" s="1765"/>
      <c r="BO753" s="1765"/>
      <c r="BP753" s="1765"/>
      <c r="BQ753" s="1765">
        <v>-16.404</v>
      </c>
      <c r="BR753" s="1765"/>
      <c r="BS753" s="1765">
        <v>-13.654999999999999</v>
      </c>
      <c r="BT753" s="1765"/>
      <c r="BU753" s="1765"/>
      <c r="BV753" s="1765"/>
      <c r="BW753" s="1765"/>
      <c r="BX753" s="1765"/>
      <c r="BY753" s="1765"/>
      <c r="BZ753" s="1765"/>
      <c r="CA753" s="1765"/>
      <c r="CB753" s="1765"/>
      <c r="CC753" s="1765"/>
      <c r="CD753" s="1765"/>
      <c r="CE753" s="1765"/>
      <c r="CF753" s="1765"/>
      <c r="CG753" s="1763"/>
      <c r="CH753" s="1763"/>
      <c r="CI753" s="1763"/>
      <c r="CJ753" s="1764"/>
      <c r="CK753" s="1764"/>
      <c r="CL753" s="1764"/>
      <c r="CM753" s="1764"/>
      <c r="CN753" s="1765"/>
      <c r="CO753" s="1765"/>
      <c r="CP753" s="1765"/>
      <c r="CQ753" s="1770">
        <f>+SUM(AW753:AZ753)</f>
        <v>0</v>
      </c>
      <c r="CR753" s="1770">
        <f>+SUM(BA753:BD753)</f>
        <v>0</v>
      </c>
      <c r="CS753" s="1770">
        <f>+SUM(BE753:BH753)</f>
        <v>0</v>
      </c>
      <c r="CT753" s="1771">
        <f>+SUM(BI753:BL753)</f>
        <v>0</v>
      </c>
      <c r="CU753" s="1771">
        <f>SUM(BM753:BP753)</f>
        <v>0</v>
      </c>
      <c r="CV753" s="1771">
        <f>SUM(BQ753:BT753)</f>
        <v>-30.058999999999997</v>
      </c>
      <c r="CW753" s="1771">
        <f>SUM(BU753:BX753)</f>
        <v>0</v>
      </c>
      <c r="CX753" s="1771">
        <f>SUM(BY753:CB753)</f>
        <v>0</v>
      </c>
      <c r="CY753" s="1765">
        <f>SUM(CC753:CF753)</f>
        <v>0</v>
      </c>
      <c r="CZ753" s="1765">
        <f t="shared" ref="CZ753:DF753" si="1293">SUM(CD753:CG753)</f>
        <v>0</v>
      </c>
      <c r="DA753" s="1765">
        <f t="shared" si="1293"/>
        <v>0</v>
      </c>
      <c r="DB753" s="1765">
        <f t="shared" si="1293"/>
        <v>0</v>
      </c>
      <c r="DC753" s="1765">
        <f t="shared" si="1293"/>
        <v>0</v>
      </c>
      <c r="DD753" s="1765">
        <f t="shared" si="1293"/>
        <v>0</v>
      </c>
      <c r="DE753" s="1765">
        <f t="shared" si="1293"/>
        <v>0</v>
      </c>
      <c r="DF753" s="1765">
        <f t="shared" si="1293"/>
        <v>0</v>
      </c>
    </row>
    <row r="754" spans="9:110" collapsed="1">
      <c r="CM754" s="38"/>
      <c r="CN754" s="38"/>
      <c r="CO754" s="38"/>
      <c r="CP754" s="38"/>
      <c r="CQ754" s="38"/>
      <c r="CR754" s="38"/>
    </row>
    <row r="755" spans="9:110">
      <c r="CM755" s="38"/>
      <c r="CN755" s="38"/>
      <c r="CO755" s="38"/>
      <c r="CP755" s="38"/>
      <c r="CQ755" s="38"/>
      <c r="CR755" s="38"/>
    </row>
  </sheetData>
  <conditionalFormatting sqref="A199 A229 CL199:CY199 DH199:IV199 DH229:IV229 CG229:CY229 BY199:CI199 H229:BT229 H199:BT199">
    <cfRule type="cellIs" dxfId="18" priority="38" stopIfTrue="1" operator="greaterThan">
      <formula>1</formula>
    </cfRule>
  </conditionalFormatting>
  <conditionalFormatting sqref="DG199 DG229">
    <cfRule type="cellIs" dxfId="17" priority="33" stopIfTrue="1" operator="greaterThan">
      <formula>1</formula>
    </cfRule>
  </conditionalFormatting>
  <conditionalFormatting sqref="BU229:BV229 BX229:CF229">
    <cfRule type="cellIs" dxfId="16" priority="32" stopIfTrue="1" operator="greaterThan">
      <formula>1</formula>
    </cfRule>
  </conditionalFormatting>
  <conditionalFormatting sqref="CZ199">
    <cfRule type="cellIs" dxfId="15" priority="31" stopIfTrue="1" operator="greaterThan">
      <formula>1</formula>
    </cfRule>
  </conditionalFormatting>
  <conditionalFormatting sqref="CZ229">
    <cfRule type="cellIs" dxfId="14" priority="30" stopIfTrue="1" operator="greaterThan">
      <formula>1</formula>
    </cfRule>
  </conditionalFormatting>
  <conditionalFormatting sqref="DA199">
    <cfRule type="cellIs" dxfId="13" priority="17" stopIfTrue="1" operator="greaterThan">
      <formula>1</formula>
    </cfRule>
  </conditionalFormatting>
  <conditionalFormatting sqref="DA229">
    <cfRule type="cellIs" dxfId="12" priority="16" stopIfTrue="1" operator="greaterThan">
      <formula>1</formula>
    </cfRule>
  </conditionalFormatting>
  <conditionalFormatting sqref="DB199">
    <cfRule type="cellIs" dxfId="11" priority="15" stopIfTrue="1" operator="greaterThan">
      <formula>1</formula>
    </cfRule>
  </conditionalFormatting>
  <conditionalFormatting sqref="DB229">
    <cfRule type="cellIs" dxfId="10" priority="14" stopIfTrue="1" operator="greaterThan">
      <formula>1</formula>
    </cfRule>
  </conditionalFormatting>
  <conditionalFormatting sqref="DC199">
    <cfRule type="cellIs" dxfId="9" priority="13" stopIfTrue="1" operator="greaterThan">
      <formula>1</formula>
    </cfRule>
  </conditionalFormatting>
  <conditionalFormatting sqref="DC229">
    <cfRule type="cellIs" dxfId="8" priority="12" stopIfTrue="1" operator="greaterThan">
      <formula>1</formula>
    </cfRule>
  </conditionalFormatting>
  <conditionalFormatting sqref="DD199">
    <cfRule type="cellIs" dxfId="7" priority="11" stopIfTrue="1" operator="greaterThan">
      <formula>1</formula>
    </cfRule>
  </conditionalFormatting>
  <conditionalFormatting sqref="DD229">
    <cfRule type="cellIs" dxfId="6" priority="10" stopIfTrue="1" operator="greaterThan">
      <formula>1</formula>
    </cfRule>
  </conditionalFormatting>
  <conditionalFormatting sqref="DE199">
    <cfRule type="cellIs" dxfId="5" priority="9" stopIfTrue="1" operator="greaterThan">
      <formula>1</formula>
    </cfRule>
  </conditionalFormatting>
  <conditionalFormatting sqref="DE229">
    <cfRule type="cellIs" dxfId="4" priority="8" stopIfTrue="1" operator="greaterThan">
      <formula>1</formula>
    </cfRule>
  </conditionalFormatting>
  <conditionalFormatting sqref="DF199">
    <cfRule type="cellIs" dxfId="3" priority="7" stopIfTrue="1" operator="greaterThan">
      <formula>1</formula>
    </cfRule>
  </conditionalFormatting>
  <conditionalFormatting sqref="DF229">
    <cfRule type="cellIs" dxfId="2" priority="6" stopIfTrue="1" operator="greaterThan">
      <formula>1</formula>
    </cfRule>
  </conditionalFormatting>
  <conditionalFormatting sqref="BW229">
    <cfRule type="cellIs" dxfId="1" priority="4" stopIfTrue="1" operator="greaterThan">
      <formula>1</formula>
    </cfRule>
  </conditionalFormatting>
  <conditionalFormatting sqref="BU199:BX199">
    <cfRule type="cellIs" dxfId="0" priority="1" stopIfTrue="1" operator="greaterThan">
      <formula>1</formula>
    </cfRule>
  </conditionalFormatting>
  <pageMargins left="0" right="0" top="0" bottom="0" header="0" footer="0"/>
  <pageSetup paperSize="5" scale="10" orientation="landscape" horizontalDpi="4294967292" verticalDpi="4294967292"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
  <sheetViews>
    <sheetView workbookViewId="0"/>
  </sheetViews>
  <sheetFormatPr defaultRowHeight="11.25"/>
  <sheetData>
    <row r="1" spans="1:12">
      <c r="A1" t="s">
        <v>756</v>
      </c>
    </row>
    <row r="2" spans="1:12">
      <c r="A2" s="1451" t="s">
        <v>753</v>
      </c>
      <c r="B2" s="1451" t="s">
        <v>757</v>
      </c>
      <c r="C2" s="1451" t="s">
        <v>754</v>
      </c>
      <c r="D2" s="1451" t="s">
        <v>603</v>
      </c>
      <c r="E2" s="1451" t="s">
        <v>580</v>
      </c>
      <c r="F2" s="1451" t="s">
        <v>603</v>
      </c>
      <c r="G2" s="1451" t="s">
        <v>582</v>
      </c>
      <c r="H2" s="1451" t="s">
        <v>745</v>
      </c>
      <c r="I2" s="1451" t="s">
        <v>581</v>
      </c>
      <c r="J2" s="1451" t="s">
        <v>574</v>
      </c>
      <c r="K2" s="1451" t="s">
        <v>755</v>
      </c>
      <c r="L2" s="1451" t="s">
        <v>757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70C0"/>
    <pageSetUpPr autoPageBreaks="0"/>
  </sheetPr>
  <dimension ref="A1:DG392"/>
  <sheetViews>
    <sheetView showGridLines="0" topLeftCell="H1" zoomScaleNormal="100" workbookViewId="0">
      <pane xSplit="5" ySplit="8" topLeftCell="BU93" activePane="bottomRight" state="frozen"/>
      <selection activeCell="H1" sqref="H1"/>
      <selection pane="topRight" activeCell="M1" sqref="M1"/>
      <selection pane="bottomLeft" activeCell="H9" sqref="H9"/>
      <selection pane="bottomRight" activeCell="CC111" sqref="CC111"/>
    </sheetView>
  </sheetViews>
  <sheetFormatPr defaultColWidth="10.6640625" defaultRowHeight="12.75" customHeight="1" outlineLevelRow="1" outlineLevelCol="1"/>
  <cols>
    <col min="1" max="1" width="2" style="24" hidden="1" customWidth="1" outlineLevel="1"/>
    <col min="2" max="2" width="39.83203125" style="24" hidden="1" customWidth="1" outlineLevel="1"/>
    <col min="3" max="7" width="6.6640625" style="24" hidden="1" customWidth="1" outlineLevel="1"/>
    <col min="8" max="8" width="2" style="24" customWidth="1" collapsed="1"/>
    <col min="9" max="9" width="11" style="24" customWidth="1"/>
    <col min="10" max="12" width="11.83203125" style="24" customWidth="1"/>
    <col min="13" max="13" width="1.83203125" style="24" hidden="1" customWidth="1" outlineLevel="1"/>
    <col min="14" max="28" width="9.33203125" style="24" hidden="1" customWidth="1" outlineLevel="1"/>
    <col min="29" max="32" width="9.33203125" style="93" hidden="1" customWidth="1" outlineLevel="1"/>
    <col min="33" max="42" width="9.33203125" style="30" hidden="1" customWidth="1" outlineLevel="1"/>
    <col min="43" max="43" width="9.33203125" style="33" hidden="1" customWidth="1" outlineLevel="1"/>
    <col min="44" max="48" width="9.33203125" style="2" hidden="1" customWidth="1" outlineLevel="1"/>
    <col min="49" max="49" width="9.6640625" style="31" hidden="1" customWidth="1" outlineLevel="1"/>
    <col min="50" max="51" width="9.33203125" style="31" hidden="1" customWidth="1" outlineLevel="1"/>
    <col min="52" max="52" width="9.33203125" style="2" hidden="1" customWidth="1" outlineLevel="1"/>
    <col min="53" max="53" width="10.5" style="2" hidden="1" customWidth="1" outlineLevel="1"/>
    <col min="54" max="56" width="9.33203125" style="2" hidden="1" customWidth="1" outlineLevel="1"/>
    <col min="57" max="57" width="11" style="2" hidden="1" customWidth="1" outlineLevel="1"/>
    <col min="58" max="60" width="10.83203125" style="2" hidden="1" customWidth="1" outlineLevel="1"/>
    <col min="61" max="61" width="12.83203125" style="2" bestFit="1" customWidth="1" collapsed="1"/>
    <col min="62" max="62" width="10.83203125" style="2" bestFit="1" customWidth="1"/>
    <col min="63" max="64" width="10.83203125" style="2" customWidth="1"/>
    <col min="65" max="65" width="11.33203125" style="2" bestFit="1" customWidth="1"/>
    <col min="66" max="66" width="11.5" style="2" bestFit="1" customWidth="1"/>
    <col min="67" max="67" width="10.83203125" style="2" customWidth="1"/>
    <col min="68" max="68" width="11.5" style="2" bestFit="1" customWidth="1"/>
    <col min="69" max="69" width="12" style="2" bestFit="1" customWidth="1"/>
    <col min="70" max="70" width="11.1640625" style="2" customWidth="1"/>
    <col min="71" max="73" width="11.1640625" style="2" bestFit="1" customWidth="1"/>
    <col min="74" max="74" width="11.1640625" style="2" customWidth="1"/>
    <col min="75" max="76" width="12" style="2" bestFit="1" customWidth="1"/>
    <col min="77" max="80" width="11.1640625" style="2" bestFit="1" customWidth="1"/>
    <col min="81" max="82" width="12" style="2" bestFit="1" customWidth="1"/>
    <col min="83" max="83" width="12.33203125" style="2" bestFit="1" customWidth="1"/>
    <col min="84" max="84" width="12" style="2" bestFit="1" customWidth="1"/>
    <col min="85" max="85" width="9.33203125" style="26" customWidth="1"/>
    <col min="86" max="90" width="9.33203125" style="24" hidden="1" customWidth="1" outlineLevel="1"/>
    <col min="91" max="91" width="9.33203125" style="28" hidden="1" customWidth="1" outlineLevel="1"/>
    <col min="92" max="93" width="9.33203125" style="2" hidden="1" customWidth="1" outlineLevel="1"/>
    <col min="94" max="94" width="9.33203125" style="31" hidden="1" customWidth="1" outlineLevel="1"/>
    <col min="95" max="95" width="9.33203125" style="2" hidden="1" customWidth="1" outlineLevel="1"/>
    <col min="96" max="96" width="10.1640625" style="2" hidden="1" customWidth="1" outlineLevel="1"/>
    <col min="97" max="97" width="11.5" style="29" hidden="1" customWidth="1" outlineLevel="1"/>
    <col min="98" max="98" width="11.1640625" style="29" customWidth="1" collapsed="1"/>
    <col min="99" max="99" width="11.1640625" style="29" customWidth="1"/>
    <col min="100" max="103" width="11.5" style="29" bestFit="1" customWidth="1"/>
    <col min="104" max="104" width="11.5" style="24" customWidth="1"/>
    <col min="105" max="105" width="12.1640625" style="24" customWidth="1"/>
    <col min="106" max="106" width="11.5" style="24" customWidth="1" outlineLevel="1"/>
    <col min="107" max="107" width="12" style="24" customWidth="1" outlineLevel="1"/>
    <col min="108" max="110" width="11.6640625" style="24" customWidth="1" outlineLevel="1"/>
    <col min="111" max="16384" width="10.6640625" style="24"/>
  </cols>
  <sheetData>
    <row r="1" spans="1:110" ht="11.25" customHeight="1">
      <c r="B1" s="25"/>
      <c r="C1" s="25"/>
      <c r="D1" s="25"/>
      <c r="E1" s="25"/>
      <c r="F1" s="25"/>
      <c r="G1" s="25"/>
      <c r="I1" s="266"/>
      <c r="J1" s="267"/>
      <c r="K1" s="20"/>
      <c r="L1" s="22"/>
      <c r="M1" s="33"/>
      <c r="N1" s="33"/>
      <c r="O1" s="33"/>
      <c r="P1" s="33"/>
      <c r="Q1" s="33"/>
      <c r="R1" s="33"/>
      <c r="S1" s="33"/>
      <c r="T1" s="33"/>
      <c r="U1" s="268"/>
      <c r="V1" s="268"/>
      <c r="W1" s="268"/>
      <c r="X1" s="268"/>
      <c r="Y1" s="268"/>
      <c r="Z1" s="268"/>
      <c r="AA1" s="268"/>
      <c r="AB1" s="268"/>
      <c r="AC1" s="268"/>
      <c r="AD1" s="268"/>
      <c r="AE1" s="268"/>
      <c r="AF1" s="268"/>
      <c r="AG1" s="268"/>
      <c r="AH1" s="268"/>
      <c r="AI1" s="268"/>
      <c r="AJ1" s="268"/>
      <c r="AK1" s="268"/>
      <c r="AL1" s="268"/>
      <c r="AM1" s="268"/>
      <c r="AN1" s="268"/>
      <c r="AO1" s="268"/>
      <c r="AP1" s="268"/>
      <c r="AQ1" s="268"/>
      <c r="AR1" s="268"/>
      <c r="AS1" s="268"/>
      <c r="AT1" s="268"/>
      <c r="AU1" s="268"/>
      <c r="AV1" s="268"/>
      <c r="AW1" s="268"/>
      <c r="AX1" s="268"/>
      <c r="AY1" s="268"/>
      <c r="AZ1" s="268"/>
      <c r="BA1" s="128"/>
      <c r="BB1" s="269"/>
      <c r="BC1" s="270"/>
      <c r="BD1" s="269"/>
      <c r="BE1" s="268"/>
      <c r="BF1" s="268"/>
      <c r="BG1" s="268"/>
      <c r="BH1" s="268"/>
      <c r="BI1" s="268"/>
      <c r="BJ1" s="268"/>
      <c r="BK1" s="268"/>
      <c r="BL1" s="268"/>
      <c r="BM1" s="268"/>
      <c r="BN1" s="268"/>
      <c r="BO1" s="268"/>
      <c r="BP1" s="268"/>
      <c r="BQ1" s="268"/>
      <c r="BR1" s="735"/>
      <c r="BS1" s="687"/>
      <c r="BT1" s="687"/>
      <c r="BU1" s="268"/>
      <c r="BV1" s="1419"/>
      <c r="BW1" s="33"/>
      <c r="BX1" s="33"/>
      <c r="BY1" s="33"/>
      <c r="BZ1" s="33"/>
      <c r="CA1" s="33"/>
      <c r="CB1" s="33"/>
      <c r="CC1" s="33"/>
      <c r="CD1" s="268"/>
      <c r="CE1" s="268"/>
      <c r="CF1" s="268"/>
      <c r="CG1" s="24"/>
      <c r="CH1" s="33"/>
      <c r="CI1" s="33"/>
      <c r="CJ1" s="268"/>
      <c r="CK1" s="268"/>
      <c r="CL1" s="268"/>
      <c r="CM1" s="268"/>
      <c r="CN1" s="268"/>
      <c r="CO1" s="268"/>
      <c r="CP1" s="268"/>
      <c r="CQ1" s="268"/>
      <c r="CR1" s="268"/>
      <c r="CS1" s="268"/>
      <c r="CT1" s="683"/>
      <c r="CU1" s="683"/>
      <c r="CV1" s="683"/>
      <c r="CW1" s="683"/>
      <c r="CX1" s="683"/>
      <c r="CY1" s="683"/>
      <c r="CZ1" s="683"/>
      <c r="DA1" s="683"/>
    </row>
    <row r="2" spans="1:110" ht="11.25" customHeight="1">
      <c r="I2" s="267"/>
      <c r="J2" s="267"/>
      <c r="K2" s="20"/>
      <c r="L2" s="20"/>
      <c r="M2" s="70"/>
      <c r="N2" s="70"/>
      <c r="O2" s="70"/>
      <c r="P2" s="70"/>
      <c r="Q2" s="70"/>
      <c r="R2" s="70"/>
      <c r="S2" s="70"/>
      <c r="T2" s="70"/>
      <c r="U2" s="268"/>
      <c r="V2" s="268"/>
      <c r="W2" s="268"/>
      <c r="X2" s="268"/>
      <c r="Y2" s="268"/>
      <c r="Z2" s="268"/>
      <c r="AA2" s="268"/>
      <c r="AB2" s="268"/>
      <c r="AC2" s="268"/>
      <c r="AD2" s="268"/>
      <c r="AE2" s="268"/>
      <c r="AF2" s="268"/>
      <c r="AG2" s="118"/>
      <c r="AH2" s="118"/>
      <c r="AI2" s="118"/>
      <c r="AJ2" s="118"/>
      <c r="AK2" s="118"/>
      <c r="AL2" s="118"/>
      <c r="AM2" s="118"/>
      <c r="AN2" s="118"/>
      <c r="AO2" s="118"/>
      <c r="AP2" s="118"/>
      <c r="AQ2" s="118"/>
      <c r="AR2" s="118"/>
      <c r="AS2" s="118"/>
      <c r="AT2" s="118"/>
      <c r="AU2" s="118"/>
      <c r="AV2" s="118"/>
      <c r="AW2" s="118"/>
      <c r="AX2" s="118"/>
      <c r="AZ2" s="118"/>
      <c r="BA2" s="118"/>
      <c r="BB2" s="118"/>
      <c r="BC2" s="118"/>
      <c r="BD2" s="118"/>
      <c r="BE2" s="118"/>
      <c r="BF2" s="118"/>
      <c r="BG2" s="104"/>
      <c r="BH2" s="118"/>
      <c r="BI2" s="118"/>
      <c r="BJ2" s="118"/>
      <c r="BK2" s="118"/>
      <c r="BL2" s="118"/>
      <c r="BM2" s="118"/>
      <c r="BN2" s="118"/>
      <c r="BO2" s="118"/>
      <c r="BP2" s="118"/>
      <c r="BQ2" s="1419"/>
      <c r="BR2" s="735"/>
      <c r="BS2" s="687"/>
      <c r="BT2" s="687"/>
      <c r="BU2" s="1214"/>
      <c r="BV2" s="1214"/>
      <c r="BW2" s="1214"/>
      <c r="BX2" s="2048"/>
      <c r="BY2" s="735"/>
      <c r="BZ2" s="853"/>
      <c r="CA2" s="33"/>
      <c r="CB2" s="735"/>
      <c r="CC2" s="853"/>
      <c r="CD2" s="268"/>
      <c r="CE2" s="104"/>
      <c r="CF2" s="268"/>
      <c r="CG2" s="24"/>
      <c r="CH2" s="70"/>
      <c r="CI2" s="70"/>
      <c r="CJ2" s="268"/>
      <c r="CK2" s="268"/>
      <c r="CL2" s="268"/>
      <c r="CM2" s="30"/>
      <c r="CN2" s="268"/>
      <c r="CO2" s="268"/>
      <c r="CP2" s="268"/>
      <c r="CQ2" s="33"/>
      <c r="CR2" s="33"/>
      <c r="CZ2" s="29"/>
      <c r="DA2" s="2131"/>
    </row>
    <row r="3" spans="1:110" ht="11.25" customHeight="1">
      <c r="I3" s="267"/>
      <c r="J3" s="267"/>
      <c r="K3" s="20"/>
      <c r="L3" s="1902">
        <f>+'Base DCF'!L1</f>
        <v>2240.0169399344527</v>
      </c>
      <c r="U3" s="30"/>
      <c r="V3" s="30"/>
      <c r="W3" s="30"/>
      <c r="X3" s="30"/>
      <c r="Y3" s="30"/>
      <c r="Z3" s="30"/>
      <c r="AA3" s="30"/>
      <c r="AB3" s="30"/>
      <c r="AC3" s="30"/>
      <c r="AD3" s="30"/>
      <c r="AE3" s="30"/>
      <c r="AF3" s="30"/>
      <c r="AG3" s="33"/>
      <c r="AH3" s="33"/>
      <c r="AI3" s="33"/>
      <c r="AJ3" s="33"/>
      <c r="AK3" s="33"/>
      <c r="AL3" s="33"/>
      <c r="AM3" s="33"/>
      <c r="AN3" s="33"/>
      <c r="AO3" s="33"/>
      <c r="AP3" s="33"/>
      <c r="AR3" s="33"/>
      <c r="AS3" s="33"/>
      <c r="AT3" s="33"/>
      <c r="AU3" s="33"/>
      <c r="AV3" s="33"/>
      <c r="AW3" s="33"/>
      <c r="AX3" s="33"/>
      <c r="AY3" s="33"/>
      <c r="AZ3" s="33"/>
      <c r="BA3" s="33"/>
      <c r="BB3" s="33"/>
      <c r="BC3" s="33"/>
      <c r="BD3" s="33"/>
      <c r="BE3" s="33"/>
      <c r="BF3" s="33"/>
      <c r="BG3" s="33"/>
      <c r="BH3" s="33"/>
      <c r="BI3" s="1831"/>
      <c r="BJ3" s="1831"/>
      <c r="BK3" s="1831"/>
      <c r="BL3" s="1831"/>
      <c r="BM3" s="735"/>
      <c r="BN3" s="735"/>
      <c r="BO3" s="853"/>
      <c r="BP3" s="33"/>
      <c r="BQ3" s="33"/>
      <c r="BR3" s="853"/>
      <c r="BS3" s="853"/>
      <c r="BT3" s="33"/>
      <c r="BU3" s="224"/>
      <c r="BV3" s="685"/>
      <c r="BW3" s="713"/>
      <c r="BX3" s="1419"/>
      <c r="BY3" s="1419"/>
      <c r="BZ3" s="2067"/>
      <c r="CA3" s="27"/>
      <c r="CB3" s="1850"/>
      <c r="CC3" s="1379"/>
      <c r="CD3" s="713"/>
      <c r="CE3" s="713"/>
      <c r="CF3" s="713"/>
      <c r="CG3" s="713"/>
      <c r="CH3" s="713"/>
      <c r="CI3" s="713"/>
      <c r="CJ3" s="713"/>
      <c r="CK3" s="713"/>
      <c r="CP3" s="713"/>
      <c r="CQ3" s="713"/>
      <c r="CR3" s="33"/>
      <c r="CU3" s="2020"/>
      <c r="CV3" s="2020"/>
      <c r="CW3" s="2020"/>
      <c r="CX3" s="2020"/>
      <c r="CY3" s="2020"/>
      <c r="CZ3" s="2020"/>
      <c r="DA3" s="1134"/>
      <c r="DB3" s="82"/>
      <c r="DC3" s="82"/>
      <c r="DD3" s="82"/>
      <c r="DE3" s="82"/>
      <c r="DF3" s="82"/>
    </row>
    <row r="4" spans="1:110" ht="11.25" customHeight="1">
      <c r="I4" s="267"/>
      <c r="J4" s="267"/>
      <c r="K4" s="20"/>
      <c r="L4" s="20"/>
      <c r="U4" s="30"/>
      <c r="V4" s="30"/>
      <c r="W4" s="30"/>
      <c r="X4" s="30"/>
      <c r="Y4" s="30"/>
      <c r="Z4" s="30"/>
      <c r="AA4" s="30"/>
      <c r="AB4" s="30"/>
      <c r="AC4" s="30"/>
      <c r="AD4" s="30"/>
      <c r="AE4" s="30"/>
      <c r="AF4" s="30"/>
      <c r="AG4" s="33"/>
      <c r="AH4" s="33"/>
      <c r="AI4" s="33"/>
      <c r="AJ4" s="33"/>
      <c r="AK4" s="33"/>
      <c r="AL4" s="33"/>
      <c r="AM4" s="33"/>
      <c r="AN4" s="33"/>
      <c r="AO4" s="33"/>
      <c r="AP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735"/>
      <c r="BS4" s="33"/>
      <c r="BT4" s="33"/>
      <c r="BU4" s="687"/>
      <c r="BV4" s="687"/>
      <c r="BW4" s="687"/>
      <c r="BX4" s="687"/>
      <c r="BY4" s="687"/>
      <c r="BZ4" s="688"/>
      <c r="CA4" s="688"/>
      <c r="CB4" s="687"/>
      <c r="CC4" s="33"/>
      <c r="CD4" s="33"/>
      <c r="CE4" s="33"/>
      <c r="CF4" s="33"/>
      <c r="CG4" s="24"/>
      <c r="CJ4" s="30"/>
      <c r="CK4" s="30"/>
      <c r="CL4" s="30"/>
      <c r="CM4" s="30"/>
      <c r="CN4" s="33"/>
      <c r="CO4" s="33"/>
      <c r="CP4" s="161"/>
      <c r="CQ4" s="33"/>
      <c r="CR4" s="33"/>
      <c r="CS4" s="38"/>
      <c r="CT4" s="684"/>
      <c r="CU4" s="685"/>
      <c r="CV4" s="685"/>
      <c r="CW4" s="685"/>
      <c r="CX4" s="685"/>
      <c r="CY4" s="685"/>
      <c r="CZ4" s="685"/>
      <c r="DA4" s="685"/>
      <c r="DB4" s="685"/>
      <c r="DC4" s="685"/>
      <c r="DD4" s="685"/>
    </row>
    <row r="5" spans="1:110" ht="11.25" hidden="1" customHeight="1" outlineLevel="1">
      <c r="I5" s="284"/>
      <c r="J5" s="271"/>
      <c r="K5" s="271"/>
      <c r="L5" s="271"/>
      <c r="M5" s="158" t="str">
        <f t="shared" ref="M5:BP5" si="0">+YEAR(M$6)&amp;"-Q"&amp;M8</f>
        <v>2001-Q1</v>
      </c>
      <c r="N5" s="158" t="str">
        <f t="shared" si="0"/>
        <v>2001-Q2</v>
      </c>
      <c r="O5" s="158" t="str">
        <f t="shared" si="0"/>
        <v>2001-Q3</v>
      </c>
      <c r="P5" s="158" t="str">
        <f t="shared" si="0"/>
        <v>2001-Q4</v>
      </c>
      <c r="Q5" s="158" t="str">
        <f t="shared" si="0"/>
        <v>2002-Q1</v>
      </c>
      <c r="R5" s="158" t="str">
        <f t="shared" si="0"/>
        <v>2002-Q2</v>
      </c>
      <c r="S5" s="158" t="str">
        <f t="shared" si="0"/>
        <v>2002-Q3</v>
      </c>
      <c r="T5" s="158" t="str">
        <f t="shared" si="0"/>
        <v>2002-Q4</v>
      </c>
      <c r="U5" s="158" t="str">
        <f t="shared" si="0"/>
        <v>2003-Q1</v>
      </c>
      <c r="V5" s="158" t="str">
        <f t="shared" si="0"/>
        <v>2003-Q2</v>
      </c>
      <c r="W5" s="158" t="str">
        <f t="shared" si="0"/>
        <v>2003-Q3</v>
      </c>
      <c r="X5" s="158" t="str">
        <f t="shared" si="0"/>
        <v>2003-Q4</v>
      </c>
      <c r="Y5" s="158" t="str">
        <f t="shared" si="0"/>
        <v>2004-Q1</v>
      </c>
      <c r="Z5" s="158" t="str">
        <f t="shared" si="0"/>
        <v>2004-Q2</v>
      </c>
      <c r="AA5" s="158" t="str">
        <f t="shared" si="0"/>
        <v>2004-Q3</v>
      </c>
      <c r="AB5" s="158" t="str">
        <f t="shared" si="0"/>
        <v>2004-Q4</v>
      </c>
      <c r="AC5" s="158" t="str">
        <f t="shared" si="0"/>
        <v>2005-Q1</v>
      </c>
      <c r="AD5" s="158" t="str">
        <f t="shared" si="0"/>
        <v>2005-Q2</v>
      </c>
      <c r="AE5" s="158" t="str">
        <f t="shared" si="0"/>
        <v>2005-Q3</v>
      </c>
      <c r="AF5" s="158" t="str">
        <f t="shared" si="0"/>
        <v>2005-Q4</v>
      </c>
      <c r="AG5" s="158" t="str">
        <f t="shared" si="0"/>
        <v>2006-Q1</v>
      </c>
      <c r="AH5" s="158" t="str">
        <f t="shared" si="0"/>
        <v>2006-Q2</v>
      </c>
      <c r="AI5" s="158" t="str">
        <f t="shared" si="0"/>
        <v>2006-Q3</v>
      </c>
      <c r="AJ5" s="158" t="str">
        <f t="shared" si="0"/>
        <v>2006-Q4</v>
      </c>
      <c r="AK5" s="158" t="str">
        <f t="shared" si="0"/>
        <v>2007-Q1</v>
      </c>
      <c r="AL5" s="158" t="str">
        <f t="shared" si="0"/>
        <v>2007-Q2</v>
      </c>
      <c r="AM5" s="158" t="str">
        <f t="shared" si="0"/>
        <v>2007-Q3</v>
      </c>
      <c r="AN5" s="158" t="str">
        <f t="shared" si="0"/>
        <v>2007-Q4</v>
      </c>
      <c r="AO5" s="158" t="str">
        <f t="shared" si="0"/>
        <v>2008-Q1</v>
      </c>
      <c r="AP5" s="158" t="str">
        <f t="shared" si="0"/>
        <v>2008-Q2</v>
      </c>
      <c r="AQ5" s="158" t="str">
        <f t="shared" si="0"/>
        <v>2008-Q3</v>
      </c>
      <c r="AR5" s="158" t="str">
        <f t="shared" si="0"/>
        <v>2008-Q4</v>
      </c>
      <c r="AS5" s="158" t="str">
        <f t="shared" si="0"/>
        <v>2009-Q1</v>
      </c>
      <c r="AT5" s="158" t="str">
        <f t="shared" si="0"/>
        <v>2009-Q2</v>
      </c>
      <c r="AU5" s="158" t="str">
        <f t="shared" si="0"/>
        <v>2009-Q3</v>
      </c>
      <c r="AV5" s="158" t="str">
        <f t="shared" si="0"/>
        <v>2009-Q4</v>
      </c>
      <c r="AW5" s="158" t="str">
        <f t="shared" si="0"/>
        <v>2010-Q1</v>
      </c>
      <c r="AX5" s="158" t="str">
        <f t="shared" si="0"/>
        <v>2010-Q2</v>
      </c>
      <c r="AY5" s="158" t="str">
        <f t="shared" si="0"/>
        <v>2010-Q3</v>
      </c>
      <c r="AZ5" s="158" t="str">
        <f t="shared" si="0"/>
        <v>2010-Q4</v>
      </c>
      <c r="BA5" s="158" t="str">
        <f t="shared" si="0"/>
        <v>2011-Q1</v>
      </c>
      <c r="BB5" s="158" t="str">
        <f t="shared" si="0"/>
        <v>2011-Q2</v>
      </c>
      <c r="BC5" s="158" t="str">
        <f t="shared" si="0"/>
        <v>2011-Q3</v>
      </c>
      <c r="BD5" s="158" t="str">
        <f t="shared" si="0"/>
        <v>2011-Q4</v>
      </c>
      <c r="BE5" s="158" t="str">
        <f t="shared" si="0"/>
        <v>2012-Q1</v>
      </c>
      <c r="BF5" s="158" t="str">
        <f t="shared" si="0"/>
        <v>2012-Q2</v>
      </c>
      <c r="BG5" s="158" t="str">
        <f t="shared" si="0"/>
        <v>2012-Q3</v>
      </c>
      <c r="BH5" s="158" t="str">
        <f t="shared" si="0"/>
        <v>2012-Q4</v>
      </c>
      <c r="BI5" s="158" t="str">
        <f t="shared" si="0"/>
        <v>2013-Q1</v>
      </c>
      <c r="BJ5" s="158" t="str">
        <f t="shared" si="0"/>
        <v>2013-Q2</v>
      </c>
      <c r="BK5" s="158" t="str">
        <f t="shared" si="0"/>
        <v>2013-Q3</v>
      </c>
      <c r="BL5" s="158" t="str">
        <f t="shared" si="0"/>
        <v>2013-Q4</v>
      </c>
      <c r="BM5" s="158" t="str">
        <f t="shared" si="0"/>
        <v>2014-Q1</v>
      </c>
      <c r="BN5" s="158" t="str">
        <f t="shared" si="0"/>
        <v>2014-Q2</v>
      </c>
      <c r="BO5" s="158" t="str">
        <f t="shared" si="0"/>
        <v>2014-Q3</v>
      </c>
      <c r="BP5" s="158" t="str">
        <f t="shared" si="0"/>
        <v>2014-Q4</v>
      </c>
      <c r="BQ5" s="158" t="str">
        <f>+YEAR(BQ$6)&amp;"-Q"&amp;BQ8</f>
        <v>2015-Q1</v>
      </c>
      <c r="BR5" s="158" t="str">
        <f>+YEAR(BR$6)&amp;"-Q"&amp;BR8</f>
        <v>2015-Q2</v>
      </c>
      <c r="BS5" s="158" t="str">
        <f>+YEAR(BS$6)&amp;"-Q"&amp;BS8</f>
        <v>2015-Q3</v>
      </c>
      <c r="BT5" s="158" t="str">
        <f>+YEAR(BT$6)&amp;"-Q"&amp;BT8</f>
        <v>2015-Q4</v>
      </c>
      <c r="BU5" s="158" t="str">
        <f t="shared" ref="BU5:CF5" si="1">+YEAR(BU$6)&amp;"-Q"&amp;BU8</f>
        <v>2016-Q1</v>
      </c>
      <c r="BV5" s="158" t="str">
        <f t="shared" si="1"/>
        <v>2016-Q2</v>
      </c>
      <c r="BW5" s="158" t="str">
        <f t="shared" si="1"/>
        <v>2016-Q3</v>
      </c>
      <c r="BX5" s="158" t="str">
        <f t="shared" si="1"/>
        <v>2016-Q4</v>
      </c>
      <c r="BY5" s="158" t="str">
        <f t="shared" si="1"/>
        <v>2017-Q1</v>
      </c>
      <c r="BZ5" s="158" t="str">
        <f t="shared" si="1"/>
        <v>2017-Q2</v>
      </c>
      <c r="CA5" s="158" t="str">
        <f t="shared" si="1"/>
        <v>2017-Q3</v>
      </c>
      <c r="CB5" s="158" t="str">
        <f t="shared" si="1"/>
        <v>2017-Q4</v>
      </c>
      <c r="CC5" s="158" t="str">
        <f t="shared" si="1"/>
        <v>2018-Q1</v>
      </c>
      <c r="CD5" s="158" t="str">
        <f t="shared" si="1"/>
        <v>2018-Q2</v>
      </c>
      <c r="CE5" s="158" t="str">
        <f t="shared" si="1"/>
        <v>2018-Q3</v>
      </c>
      <c r="CF5" s="158" t="str">
        <f t="shared" si="1"/>
        <v>2018-Q4</v>
      </c>
      <c r="CG5" s="24"/>
      <c r="CH5" s="158" t="str">
        <f t="shared" ref="CH5:DF5" si="2">+YEAR(CH$8)&amp;"-FY"</f>
        <v>2001-FY</v>
      </c>
      <c r="CI5" s="158" t="str">
        <f t="shared" si="2"/>
        <v>2002-FY</v>
      </c>
      <c r="CJ5" s="158" t="str">
        <f t="shared" si="2"/>
        <v>2003-FY</v>
      </c>
      <c r="CK5" s="158" t="str">
        <f t="shared" si="2"/>
        <v>2004-FY</v>
      </c>
      <c r="CL5" s="158" t="str">
        <f t="shared" si="2"/>
        <v>2005-FY</v>
      </c>
      <c r="CM5" s="158" t="str">
        <f t="shared" si="2"/>
        <v>2006-FY</v>
      </c>
      <c r="CN5" s="158" t="str">
        <f t="shared" si="2"/>
        <v>2007-FY</v>
      </c>
      <c r="CO5" s="158" t="str">
        <f t="shared" si="2"/>
        <v>2008-FY</v>
      </c>
      <c r="CP5" s="158" t="str">
        <f t="shared" si="2"/>
        <v>2009-FY</v>
      </c>
      <c r="CQ5" s="158" t="str">
        <f t="shared" si="2"/>
        <v>2010-FY</v>
      </c>
      <c r="CR5" s="158" t="str">
        <f t="shared" si="2"/>
        <v>2011-FY</v>
      </c>
      <c r="CS5" s="158" t="str">
        <f t="shared" si="2"/>
        <v>2012-FY</v>
      </c>
      <c r="CT5" s="158" t="str">
        <f t="shared" si="2"/>
        <v>2013-FY</v>
      </c>
      <c r="CU5" s="158" t="str">
        <f t="shared" si="2"/>
        <v>2014-FY</v>
      </c>
      <c r="CV5" s="158" t="str">
        <f t="shared" si="2"/>
        <v>2015-FY</v>
      </c>
      <c r="CW5" s="158" t="str">
        <f t="shared" si="2"/>
        <v>2016-FY</v>
      </c>
      <c r="CX5" s="158" t="str">
        <f t="shared" si="2"/>
        <v>2017-FY</v>
      </c>
      <c r="CY5" s="158" t="str">
        <f t="shared" si="2"/>
        <v>2018-FY</v>
      </c>
      <c r="CZ5" s="158" t="str">
        <f>+YEAR(CZ$8)&amp;"-FY"</f>
        <v>2019-FY</v>
      </c>
      <c r="DA5" s="158" t="str">
        <f t="shared" si="2"/>
        <v>2020-FY</v>
      </c>
      <c r="DB5" s="158" t="str">
        <f t="shared" si="2"/>
        <v>2021-FY</v>
      </c>
      <c r="DC5" s="158" t="str">
        <f t="shared" si="2"/>
        <v>2022-FY</v>
      </c>
      <c r="DD5" s="158" t="str">
        <f t="shared" si="2"/>
        <v>2023-FY</v>
      </c>
      <c r="DE5" s="158" t="str">
        <f t="shared" si="2"/>
        <v>2024-FY</v>
      </c>
      <c r="DF5" s="158" t="str">
        <f t="shared" si="2"/>
        <v>2025-FY</v>
      </c>
    </row>
    <row r="6" spans="1:110" ht="11.25" hidden="1" customHeight="1" outlineLevel="1">
      <c r="I6" s="284" t="s">
        <v>391</v>
      </c>
      <c r="J6" s="271"/>
      <c r="K6" s="271"/>
      <c r="L6" s="271"/>
      <c r="M6" s="272">
        <v>36981</v>
      </c>
      <c r="N6" s="272">
        <f t="shared" ref="N6:BY6" si="3">+EOMONTH(M6,3)</f>
        <v>37072</v>
      </c>
      <c r="O6" s="272">
        <f t="shared" si="3"/>
        <v>37164</v>
      </c>
      <c r="P6" s="272">
        <f t="shared" si="3"/>
        <v>37256</v>
      </c>
      <c r="Q6" s="272">
        <f t="shared" si="3"/>
        <v>37346</v>
      </c>
      <c r="R6" s="272">
        <f t="shared" si="3"/>
        <v>37437</v>
      </c>
      <c r="S6" s="272">
        <f t="shared" si="3"/>
        <v>37529</v>
      </c>
      <c r="T6" s="272">
        <f t="shared" si="3"/>
        <v>37621</v>
      </c>
      <c r="U6" s="272">
        <f t="shared" si="3"/>
        <v>37711</v>
      </c>
      <c r="V6" s="272">
        <f t="shared" si="3"/>
        <v>37802</v>
      </c>
      <c r="W6" s="272">
        <f t="shared" si="3"/>
        <v>37894</v>
      </c>
      <c r="X6" s="272">
        <f t="shared" si="3"/>
        <v>37986</v>
      </c>
      <c r="Y6" s="272">
        <f t="shared" si="3"/>
        <v>38077</v>
      </c>
      <c r="Z6" s="272">
        <f t="shared" si="3"/>
        <v>38168</v>
      </c>
      <c r="AA6" s="272">
        <f t="shared" si="3"/>
        <v>38260</v>
      </c>
      <c r="AB6" s="272">
        <f t="shared" si="3"/>
        <v>38352</v>
      </c>
      <c r="AC6" s="272">
        <f t="shared" si="3"/>
        <v>38442</v>
      </c>
      <c r="AD6" s="272">
        <f t="shared" si="3"/>
        <v>38533</v>
      </c>
      <c r="AE6" s="272">
        <f t="shared" si="3"/>
        <v>38625</v>
      </c>
      <c r="AF6" s="272">
        <f t="shared" si="3"/>
        <v>38717</v>
      </c>
      <c r="AG6" s="272">
        <f t="shared" si="3"/>
        <v>38807</v>
      </c>
      <c r="AH6" s="272">
        <f t="shared" si="3"/>
        <v>38898</v>
      </c>
      <c r="AI6" s="272">
        <f t="shared" si="3"/>
        <v>38990</v>
      </c>
      <c r="AJ6" s="272">
        <f t="shared" si="3"/>
        <v>39082</v>
      </c>
      <c r="AK6" s="272">
        <f t="shared" si="3"/>
        <v>39172</v>
      </c>
      <c r="AL6" s="272">
        <f t="shared" si="3"/>
        <v>39263</v>
      </c>
      <c r="AM6" s="272">
        <f t="shared" si="3"/>
        <v>39355</v>
      </c>
      <c r="AN6" s="272">
        <f t="shared" si="3"/>
        <v>39447</v>
      </c>
      <c r="AO6" s="272">
        <f t="shared" si="3"/>
        <v>39538</v>
      </c>
      <c r="AP6" s="272">
        <f t="shared" si="3"/>
        <v>39629</v>
      </c>
      <c r="AQ6" s="272">
        <f t="shared" si="3"/>
        <v>39721</v>
      </c>
      <c r="AR6" s="272">
        <f t="shared" si="3"/>
        <v>39813</v>
      </c>
      <c r="AS6" s="272">
        <f t="shared" si="3"/>
        <v>39903</v>
      </c>
      <c r="AT6" s="272">
        <f t="shared" si="3"/>
        <v>39994</v>
      </c>
      <c r="AU6" s="272">
        <f t="shared" si="3"/>
        <v>40086</v>
      </c>
      <c r="AV6" s="272">
        <f t="shared" si="3"/>
        <v>40178</v>
      </c>
      <c r="AW6" s="272">
        <f t="shared" si="3"/>
        <v>40268</v>
      </c>
      <c r="AX6" s="272">
        <f t="shared" si="3"/>
        <v>40359</v>
      </c>
      <c r="AY6" s="272">
        <f t="shared" si="3"/>
        <v>40451</v>
      </c>
      <c r="AZ6" s="272">
        <f t="shared" si="3"/>
        <v>40543</v>
      </c>
      <c r="BA6" s="272">
        <f t="shared" si="3"/>
        <v>40633</v>
      </c>
      <c r="BB6" s="272">
        <f t="shared" si="3"/>
        <v>40724</v>
      </c>
      <c r="BC6" s="272">
        <f t="shared" si="3"/>
        <v>40816</v>
      </c>
      <c r="BD6" s="272">
        <f t="shared" si="3"/>
        <v>40908</v>
      </c>
      <c r="BE6" s="272">
        <f t="shared" si="3"/>
        <v>40999</v>
      </c>
      <c r="BF6" s="272">
        <f t="shared" si="3"/>
        <v>41090</v>
      </c>
      <c r="BG6" s="272">
        <f t="shared" si="3"/>
        <v>41182</v>
      </c>
      <c r="BH6" s="272">
        <f t="shared" si="3"/>
        <v>41274</v>
      </c>
      <c r="BI6" s="272">
        <f t="shared" si="3"/>
        <v>41364</v>
      </c>
      <c r="BJ6" s="272">
        <f t="shared" si="3"/>
        <v>41455</v>
      </c>
      <c r="BK6" s="272">
        <f t="shared" si="3"/>
        <v>41547</v>
      </c>
      <c r="BL6" s="272">
        <f t="shared" si="3"/>
        <v>41639</v>
      </c>
      <c r="BM6" s="272">
        <f t="shared" si="3"/>
        <v>41729</v>
      </c>
      <c r="BN6" s="272">
        <f t="shared" si="3"/>
        <v>41820</v>
      </c>
      <c r="BO6" s="272">
        <f t="shared" si="3"/>
        <v>41912</v>
      </c>
      <c r="BP6" s="272">
        <f t="shared" si="3"/>
        <v>42004</v>
      </c>
      <c r="BQ6" s="272">
        <f t="shared" si="3"/>
        <v>42094</v>
      </c>
      <c r="BR6" s="272">
        <f t="shared" si="3"/>
        <v>42185</v>
      </c>
      <c r="BS6" s="272">
        <f t="shared" si="3"/>
        <v>42277</v>
      </c>
      <c r="BT6" s="272">
        <f t="shared" si="3"/>
        <v>42369</v>
      </c>
      <c r="BU6" s="272">
        <f t="shared" si="3"/>
        <v>42460</v>
      </c>
      <c r="BV6" s="272">
        <f t="shared" si="3"/>
        <v>42551</v>
      </c>
      <c r="BW6" s="272">
        <f t="shared" si="3"/>
        <v>42643</v>
      </c>
      <c r="BX6" s="272">
        <f t="shared" si="3"/>
        <v>42735</v>
      </c>
      <c r="BY6" s="272">
        <f t="shared" si="3"/>
        <v>42825</v>
      </c>
      <c r="BZ6" s="272">
        <f t="shared" ref="BZ6:CF6" si="4">+EOMONTH(BY6,3)</f>
        <v>42916</v>
      </c>
      <c r="CA6" s="272">
        <f t="shared" si="4"/>
        <v>43008</v>
      </c>
      <c r="CB6" s="272">
        <f t="shared" si="4"/>
        <v>43100</v>
      </c>
      <c r="CC6" s="272">
        <f t="shared" si="4"/>
        <v>43190</v>
      </c>
      <c r="CD6" s="272">
        <f t="shared" si="4"/>
        <v>43281</v>
      </c>
      <c r="CE6" s="272">
        <f t="shared" si="4"/>
        <v>43373</v>
      </c>
      <c r="CF6" s="272">
        <f t="shared" si="4"/>
        <v>43465</v>
      </c>
      <c r="CG6" s="24"/>
      <c r="CH6" s="159">
        <v>37256</v>
      </c>
      <c r="CI6" s="159">
        <v>37621</v>
      </c>
      <c r="CJ6" s="159">
        <v>37986</v>
      </c>
      <c r="CK6" s="159">
        <v>38352</v>
      </c>
      <c r="CL6" s="159">
        <v>38717</v>
      </c>
      <c r="CM6" s="159">
        <v>39082</v>
      </c>
      <c r="CN6" s="159">
        <f t="shared" ref="CN6:DF6" si="5">+EOMONTH(CM6,12)</f>
        <v>39447</v>
      </c>
      <c r="CO6" s="159">
        <f t="shared" si="5"/>
        <v>39813</v>
      </c>
      <c r="CP6" s="159">
        <f t="shared" si="5"/>
        <v>40178</v>
      </c>
      <c r="CQ6" s="159">
        <f t="shared" si="5"/>
        <v>40543</v>
      </c>
      <c r="CR6" s="159">
        <f t="shared" si="5"/>
        <v>40908</v>
      </c>
      <c r="CS6" s="159">
        <f t="shared" si="5"/>
        <v>41274</v>
      </c>
      <c r="CT6" s="159">
        <f t="shared" si="5"/>
        <v>41639</v>
      </c>
      <c r="CU6" s="159">
        <f t="shared" si="5"/>
        <v>42004</v>
      </c>
      <c r="CV6" s="159">
        <f t="shared" si="5"/>
        <v>42369</v>
      </c>
      <c r="CW6" s="159">
        <f t="shared" si="5"/>
        <v>42735</v>
      </c>
      <c r="CX6" s="159">
        <f t="shared" si="5"/>
        <v>43100</v>
      </c>
      <c r="CY6" s="159">
        <f t="shared" si="5"/>
        <v>43465</v>
      </c>
      <c r="CZ6" s="159">
        <f t="shared" si="5"/>
        <v>43830</v>
      </c>
      <c r="DA6" s="159">
        <f t="shared" si="5"/>
        <v>44196</v>
      </c>
      <c r="DB6" s="159">
        <f t="shared" si="5"/>
        <v>44561</v>
      </c>
      <c r="DC6" s="159">
        <f t="shared" si="5"/>
        <v>44926</v>
      </c>
      <c r="DD6" s="159">
        <f t="shared" si="5"/>
        <v>45291</v>
      </c>
      <c r="DE6" s="159">
        <f t="shared" si="5"/>
        <v>45657</v>
      </c>
      <c r="DF6" s="159">
        <f t="shared" si="5"/>
        <v>46022</v>
      </c>
    </row>
    <row r="7" spans="1:110" s="26" customFormat="1" ht="11.25" customHeight="1" collapsed="1">
      <c r="A7" s="24"/>
      <c r="B7" s="24"/>
      <c r="C7" s="24"/>
      <c r="D7" s="24"/>
      <c r="E7" s="24"/>
      <c r="F7" s="24"/>
      <c r="G7" s="24"/>
      <c r="H7" s="24"/>
      <c r="I7" s="137" t="s">
        <v>764</v>
      </c>
      <c r="J7" s="138"/>
      <c r="K7" s="138"/>
      <c r="L7" s="138"/>
      <c r="M7" s="141">
        <v>2001</v>
      </c>
      <c r="N7" s="142"/>
      <c r="O7" s="142"/>
      <c r="P7" s="143"/>
      <c r="Q7" s="238">
        <v>2002</v>
      </c>
      <c r="R7" s="142"/>
      <c r="S7" s="142"/>
      <c r="T7" s="143"/>
      <c r="U7" s="238">
        <v>2003</v>
      </c>
      <c r="V7" s="142"/>
      <c r="W7" s="142"/>
      <c r="X7" s="143"/>
      <c r="Y7" s="238">
        <v>2004</v>
      </c>
      <c r="Z7" s="142"/>
      <c r="AA7" s="142"/>
      <c r="AB7" s="143"/>
      <c r="AC7" s="238">
        <v>2005</v>
      </c>
      <c r="AD7" s="142"/>
      <c r="AE7" s="142"/>
      <c r="AF7" s="143"/>
      <c r="AG7" s="238">
        <v>2006</v>
      </c>
      <c r="AH7" s="142"/>
      <c r="AI7" s="142"/>
      <c r="AJ7" s="143"/>
      <c r="AK7" s="238">
        <v>2007</v>
      </c>
      <c r="AL7" s="142"/>
      <c r="AM7" s="142"/>
      <c r="AN7" s="143"/>
      <c r="AO7" s="238">
        <v>2008</v>
      </c>
      <c r="AP7" s="142"/>
      <c r="AQ7" s="142"/>
      <c r="AR7" s="143"/>
      <c r="AS7" s="238">
        <v>2009</v>
      </c>
      <c r="AT7" s="142"/>
      <c r="AU7" s="142"/>
      <c r="AV7" s="143"/>
      <c r="AW7" s="238">
        <v>2010</v>
      </c>
      <c r="AX7" s="142"/>
      <c r="AY7" s="142"/>
      <c r="AZ7" s="143"/>
      <c r="BA7" s="238">
        <v>2011</v>
      </c>
      <c r="BB7" s="142"/>
      <c r="BC7" s="142"/>
      <c r="BD7" s="143"/>
      <c r="BE7" s="142">
        <v>2012</v>
      </c>
      <c r="BF7" s="144"/>
      <c r="BG7" s="144"/>
      <c r="BH7" s="145"/>
      <c r="BI7" s="142">
        <v>2013</v>
      </c>
      <c r="BJ7" s="144"/>
      <c r="BK7" s="144"/>
      <c r="BL7" s="145"/>
      <c r="BM7" s="142" t="s">
        <v>526</v>
      </c>
      <c r="BN7" s="144"/>
      <c r="BO7" s="144"/>
      <c r="BP7" s="145"/>
      <c r="BQ7" s="142" t="s">
        <v>667</v>
      </c>
      <c r="BR7" s="144"/>
      <c r="BS7" s="144"/>
      <c r="BT7" s="145"/>
      <c r="BU7" s="142" t="s">
        <v>740</v>
      </c>
      <c r="BV7" s="144"/>
      <c r="BW7" s="144"/>
      <c r="BX7" s="144"/>
      <c r="BY7" s="142" t="s">
        <v>749</v>
      </c>
      <c r="BZ7" s="144"/>
      <c r="CA7" s="144"/>
      <c r="CB7" s="144"/>
      <c r="CC7" s="1655" t="s">
        <v>21</v>
      </c>
      <c r="CD7" s="146"/>
      <c r="CE7" s="146"/>
      <c r="CF7" s="147"/>
      <c r="CG7" s="234"/>
      <c r="CH7" s="153"/>
      <c r="CI7" s="154"/>
      <c r="CJ7" s="154"/>
      <c r="CK7" s="154"/>
      <c r="CL7" s="154"/>
      <c r="CM7" s="154"/>
      <c r="CN7" s="154"/>
      <c r="CO7" s="154"/>
      <c r="CP7" s="154"/>
      <c r="CQ7" s="154"/>
      <c r="CR7" s="154"/>
      <c r="CS7" s="154"/>
      <c r="CT7" s="154"/>
      <c r="CU7" s="154"/>
      <c r="CV7" s="154"/>
      <c r="CW7" s="154"/>
      <c r="CX7" s="154"/>
      <c r="CY7" s="154"/>
      <c r="CZ7" s="1736"/>
      <c r="DA7" s="1736"/>
      <c r="DB7" s="1736"/>
      <c r="DC7" s="1736"/>
      <c r="DD7" s="1736"/>
      <c r="DE7" s="1736"/>
      <c r="DF7" s="1737"/>
    </row>
    <row r="8" spans="1:110" s="32" customFormat="1" ht="11.25" customHeight="1" thickBot="1">
      <c r="A8" s="24"/>
      <c r="B8" s="24"/>
      <c r="C8" s="24"/>
      <c r="D8" s="24"/>
      <c r="E8" s="24"/>
      <c r="F8" s="24"/>
      <c r="G8" s="24"/>
      <c r="H8" s="24"/>
      <c r="I8" s="139" t="s">
        <v>392</v>
      </c>
      <c r="J8" s="140"/>
      <c r="K8" s="140"/>
      <c r="L8" s="140"/>
      <c r="M8" s="148">
        <v>1</v>
      </c>
      <c r="N8" s="149">
        <v>2</v>
      </c>
      <c r="O8" s="149">
        <v>3</v>
      </c>
      <c r="P8" s="150">
        <v>4</v>
      </c>
      <c r="Q8" s="149">
        <v>1</v>
      </c>
      <c r="R8" s="149">
        <v>2</v>
      </c>
      <c r="S8" s="149">
        <v>3</v>
      </c>
      <c r="T8" s="150">
        <v>4</v>
      </c>
      <c r="U8" s="149">
        <v>1</v>
      </c>
      <c r="V8" s="149">
        <v>2</v>
      </c>
      <c r="W8" s="149">
        <v>3</v>
      </c>
      <c r="X8" s="150">
        <v>4</v>
      </c>
      <c r="Y8" s="149">
        <v>1</v>
      </c>
      <c r="Z8" s="149">
        <v>2</v>
      </c>
      <c r="AA8" s="149">
        <v>3</v>
      </c>
      <c r="AB8" s="150">
        <v>4</v>
      </c>
      <c r="AC8" s="149">
        <v>1</v>
      </c>
      <c r="AD8" s="149">
        <v>2</v>
      </c>
      <c r="AE8" s="149">
        <v>3</v>
      </c>
      <c r="AF8" s="150">
        <v>4</v>
      </c>
      <c r="AG8" s="149">
        <v>1</v>
      </c>
      <c r="AH8" s="149">
        <v>2</v>
      </c>
      <c r="AI8" s="149">
        <v>3</v>
      </c>
      <c r="AJ8" s="150">
        <v>4</v>
      </c>
      <c r="AK8" s="149">
        <v>1</v>
      </c>
      <c r="AL8" s="149">
        <v>2</v>
      </c>
      <c r="AM8" s="149">
        <v>3</v>
      </c>
      <c r="AN8" s="150">
        <v>4</v>
      </c>
      <c r="AO8" s="149">
        <v>1</v>
      </c>
      <c r="AP8" s="149">
        <v>2</v>
      </c>
      <c r="AQ8" s="149">
        <v>3</v>
      </c>
      <c r="AR8" s="150">
        <v>4</v>
      </c>
      <c r="AS8" s="149">
        <v>1</v>
      </c>
      <c r="AT8" s="149">
        <v>2</v>
      </c>
      <c r="AU8" s="149">
        <v>3</v>
      </c>
      <c r="AV8" s="150">
        <v>4</v>
      </c>
      <c r="AW8" s="149">
        <v>1</v>
      </c>
      <c r="AX8" s="149">
        <v>2</v>
      </c>
      <c r="AY8" s="149">
        <v>3</v>
      </c>
      <c r="AZ8" s="150">
        <v>4</v>
      </c>
      <c r="BA8" s="149">
        <v>1</v>
      </c>
      <c r="BB8" s="149">
        <v>2</v>
      </c>
      <c r="BC8" s="149">
        <v>3</v>
      </c>
      <c r="BD8" s="150">
        <v>4</v>
      </c>
      <c r="BE8" s="149">
        <v>1</v>
      </c>
      <c r="BF8" s="149">
        <v>2</v>
      </c>
      <c r="BG8" s="149">
        <v>3</v>
      </c>
      <c r="BH8" s="150">
        <v>4</v>
      </c>
      <c r="BI8" s="149">
        <v>1</v>
      </c>
      <c r="BJ8" s="149">
        <v>2</v>
      </c>
      <c r="BK8" s="149">
        <v>3</v>
      </c>
      <c r="BL8" s="150">
        <v>4</v>
      </c>
      <c r="BM8" s="149">
        <v>1</v>
      </c>
      <c r="BN8" s="149">
        <v>2</v>
      </c>
      <c r="BO8" s="149">
        <v>3</v>
      </c>
      <c r="BP8" s="150">
        <v>4</v>
      </c>
      <c r="BQ8" s="149">
        <v>1</v>
      </c>
      <c r="BR8" s="149">
        <v>2</v>
      </c>
      <c r="BS8" s="149">
        <v>3</v>
      </c>
      <c r="BT8" s="150">
        <v>4</v>
      </c>
      <c r="BU8" s="149">
        <v>1</v>
      </c>
      <c r="BV8" s="149">
        <v>2</v>
      </c>
      <c r="BW8" s="149">
        <v>3</v>
      </c>
      <c r="BX8" s="149">
        <v>4</v>
      </c>
      <c r="BY8" s="149">
        <v>1</v>
      </c>
      <c r="BZ8" s="149">
        <v>2</v>
      </c>
      <c r="CA8" s="149">
        <v>3</v>
      </c>
      <c r="CB8" s="149">
        <v>4</v>
      </c>
      <c r="CC8" s="1656">
        <v>1</v>
      </c>
      <c r="CD8" s="152">
        <v>2</v>
      </c>
      <c r="CE8" s="152">
        <v>3</v>
      </c>
      <c r="CF8" s="151">
        <v>4</v>
      </c>
      <c r="CG8" s="256"/>
      <c r="CH8" s="155">
        <v>37256</v>
      </c>
      <c r="CI8" s="156">
        <v>37621</v>
      </c>
      <c r="CJ8" s="156">
        <v>37986</v>
      </c>
      <c r="CK8" s="156">
        <v>38352</v>
      </c>
      <c r="CL8" s="156">
        <v>38717</v>
      </c>
      <c r="CM8" s="156">
        <v>39082</v>
      </c>
      <c r="CN8" s="156">
        <v>39447</v>
      </c>
      <c r="CO8" s="156">
        <v>39813</v>
      </c>
      <c r="CP8" s="156">
        <v>40178</v>
      </c>
      <c r="CQ8" s="156">
        <v>40543</v>
      </c>
      <c r="CR8" s="156">
        <v>40908</v>
      </c>
      <c r="CS8" s="156">
        <v>41274</v>
      </c>
      <c r="CT8" s="156">
        <v>41639</v>
      </c>
      <c r="CU8" s="156">
        <v>42004</v>
      </c>
      <c r="CV8" s="156">
        <v>42369</v>
      </c>
      <c r="CW8" s="1531">
        <v>42735</v>
      </c>
      <c r="CX8" s="1531">
        <v>43100</v>
      </c>
      <c r="CY8" s="157">
        <v>43465</v>
      </c>
      <c r="CZ8" s="1734">
        <v>43830</v>
      </c>
      <c r="DA8" s="1734">
        <v>44196</v>
      </c>
      <c r="DB8" s="1734">
        <v>44561</v>
      </c>
      <c r="DC8" s="1734">
        <v>44926</v>
      </c>
      <c r="DD8" s="1734">
        <v>45291</v>
      </c>
      <c r="DE8" s="1734">
        <v>45657</v>
      </c>
      <c r="DF8" s="1735">
        <v>46022</v>
      </c>
    </row>
    <row r="9" spans="1:110" s="26" customFormat="1" ht="11.25" customHeight="1">
      <c r="A9" s="24"/>
      <c r="B9" s="24"/>
      <c r="C9" s="24"/>
      <c r="D9" s="24"/>
      <c r="E9" s="24"/>
      <c r="F9" s="24"/>
      <c r="G9" s="24"/>
      <c r="H9" s="24"/>
      <c r="I9" s="160"/>
      <c r="J9" s="24"/>
      <c r="K9" s="24"/>
      <c r="L9" s="24"/>
      <c r="M9" s="315"/>
      <c r="N9" s="315"/>
      <c r="O9" s="315"/>
      <c r="P9" s="316"/>
      <c r="Q9" s="315"/>
      <c r="R9" s="315"/>
      <c r="S9" s="315"/>
      <c r="T9" s="316"/>
      <c r="U9" s="317"/>
      <c r="V9" s="317"/>
      <c r="W9" s="317"/>
      <c r="X9" s="318"/>
      <c r="Y9" s="317"/>
      <c r="Z9" s="317"/>
      <c r="AA9" s="317"/>
      <c r="AB9" s="318"/>
      <c r="AC9" s="317"/>
      <c r="AD9" s="317"/>
      <c r="AE9" s="317"/>
      <c r="AF9" s="318"/>
      <c r="AG9" s="317"/>
      <c r="AH9" s="317"/>
      <c r="AI9" s="317"/>
      <c r="AJ9" s="318"/>
      <c r="AK9" s="317"/>
      <c r="AL9" s="317"/>
      <c r="AM9" s="317"/>
      <c r="AN9" s="318"/>
      <c r="AO9" s="317"/>
      <c r="AP9" s="317"/>
      <c r="AQ9" s="317"/>
      <c r="AR9" s="318"/>
      <c r="AS9" s="317"/>
      <c r="AT9" s="317"/>
      <c r="AU9" s="317"/>
      <c r="AV9" s="318"/>
      <c r="AW9" s="319"/>
      <c r="AX9" s="319"/>
      <c r="AY9" s="319"/>
      <c r="AZ9" s="318"/>
      <c r="BA9" s="317"/>
      <c r="BB9" s="317"/>
      <c r="BC9" s="317"/>
      <c r="BD9" s="318"/>
      <c r="BE9" s="317"/>
      <c r="BF9" s="317"/>
      <c r="BG9" s="317"/>
      <c r="BH9" s="318"/>
      <c r="BI9" s="317"/>
      <c r="BJ9" s="317"/>
      <c r="BK9" s="317"/>
      <c r="BL9" s="318"/>
      <c r="BM9" s="1589"/>
      <c r="BN9" s="1590"/>
      <c r="BO9" s="1590"/>
      <c r="BP9" s="1590"/>
      <c r="BQ9" s="1589"/>
      <c r="BR9" s="1590"/>
      <c r="BS9" s="1590"/>
      <c r="BT9" s="1591"/>
      <c r="BU9" s="1589"/>
      <c r="BV9" s="1590"/>
      <c r="BW9" s="1590"/>
      <c r="BX9" s="1590"/>
      <c r="BY9" s="390"/>
      <c r="BZ9" s="317"/>
      <c r="CA9" s="317"/>
      <c r="CB9" s="318"/>
      <c r="CC9" s="390"/>
      <c r="CD9" s="317"/>
      <c r="CE9" s="317"/>
      <c r="CF9" s="318"/>
      <c r="CG9" s="316"/>
      <c r="CH9" s="320"/>
      <c r="CI9" s="315"/>
      <c r="CJ9" s="317"/>
      <c r="CK9" s="317"/>
      <c r="CL9" s="317"/>
      <c r="CM9" s="317"/>
      <c r="CN9" s="317"/>
      <c r="CO9" s="317"/>
      <c r="CP9" s="319"/>
      <c r="CQ9" s="317"/>
      <c r="CR9" s="317"/>
      <c r="CS9" s="321"/>
      <c r="CT9" s="321"/>
      <c r="CU9" s="321"/>
      <c r="CV9" s="321"/>
      <c r="CW9" s="321"/>
      <c r="CX9" s="321"/>
      <c r="CY9" s="321"/>
      <c r="CZ9" s="1803"/>
      <c r="DA9" s="1803"/>
      <c r="DB9" s="1803"/>
      <c r="DC9" s="1803"/>
      <c r="DD9" s="1803"/>
      <c r="DE9" s="1803"/>
      <c r="DF9" s="1804"/>
    </row>
    <row r="10" spans="1:110" customFormat="1" ht="11.25" customHeight="1">
      <c r="A10" s="10"/>
      <c r="B10" s="10"/>
      <c r="C10" s="10"/>
      <c r="D10" s="10"/>
      <c r="E10" s="10"/>
      <c r="F10" s="10"/>
      <c r="G10" s="10"/>
      <c r="H10" s="11"/>
      <c r="I10" s="659" t="s">
        <v>361</v>
      </c>
      <c r="J10" s="660"/>
      <c r="K10" s="660"/>
      <c r="L10" s="660"/>
      <c r="M10" s="660"/>
      <c r="N10" s="660"/>
      <c r="O10" s="660"/>
      <c r="P10" s="661"/>
      <c r="Q10" s="660"/>
      <c r="R10" s="660"/>
      <c r="S10" s="660"/>
      <c r="T10" s="661"/>
      <c r="U10" s="659"/>
      <c r="V10" s="660"/>
      <c r="W10" s="660"/>
      <c r="X10" s="661"/>
      <c r="Y10" s="659"/>
      <c r="Z10" s="660"/>
      <c r="AA10" s="660"/>
      <c r="AB10" s="661"/>
      <c r="AC10" s="659"/>
      <c r="AD10" s="660"/>
      <c r="AE10" s="660"/>
      <c r="AF10" s="661"/>
      <c r="AG10" s="660"/>
      <c r="AH10" s="660"/>
      <c r="AI10" s="660"/>
      <c r="AJ10" s="661"/>
      <c r="AK10" s="660"/>
      <c r="AL10" s="660"/>
      <c r="AM10" s="660"/>
      <c r="AN10" s="661"/>
      <c r="AO10" s="660"/>
      <c r="AP10" s="660"/>
      <c r="AQ10" s="660"/>
      <c r="AR10" s="661"/>
      <c r="AS10" s="660"/>
      <c r="AT10" s="660"/>
      <c r="AU10" s="660"/>
      <c r="AV10" s="661"/>
      <c r="AW10" s="660"/>
      <c r="AX10" s="660"/>
      <c r="AY10" s="660"/>
      <c r="AZ10" s="661"/>
      <c r="BA10" s="660"/>
      <c r="BB10" s="660"/>
      <c r="BC10" s="660"/>
      <c r="BD10" s="661"/>
      <c r="BE10" s="660"/>
      <c r="BF10" s="660"/>
      <c r="BG10" s="660"/>
      <c r="BH10" s="661"/>
      <c r="BI10" s="660"/>
      <c r="BJ10" s="660"/>
      <c r="BK10" s="660"/>
      <c r="BL10" s="661"/>
      <c r="BM10" s="659"/>
      <c r="BN10" s="660"/>
      <c r="BO10" s="660"/>
      <c r="BP10" s="660"/>
      <c r="BQ10" s="659"/>
      <c r="BR10" s="660"/>
      <c r="BS10" s="660"/>
      <c r="BT10" s="661"/>
      <c r="BU10" s="659"/>
      <c r="BV10" s="660"/>
      <c r="BW10" s="660"/>
      <c r="BX10" s="660"/>
      <c r="BY10" s="659"/>
      <c r="BZ10" s="660"/>
      <c r="CA10" s="660"/>
      <c r="CB10" s="661"/>
      <c r="CC10" s="659"/>
      <c r="CD10" s="660"/>
      <c r="CE10" s="660"/>
      <c r="CF10" s="661"/>
      <c r="CG10" s="1657"/>
      <c r="CH10" s="734"/>
      <c r="CI10" s="661"/>
      <c r="CJ10" s="661"/>
      <c r="CK10" s="661"/>
      <c r="CL10" s="661"/>
      <c r="CM10" s="661"/>
      <c r="CN10" s="661"/>
      <c r="CO10" s="661"/>
      <c r="CP10" s="661"/>
      <c r="CQ10" s="661"/>
      <c r="CR10" s="661"/>
      <c r="CS10" s="661"/>
      <c r="CT10" s="661"/>
      <c r="CU10" s="661"/>
      <c r="CV10" s="661"/>
      <c r="CW10" s="661"/>
      <c r="CX10" s="661"/>
      <c r="CY10" s="660"/>
      <c r="CZ10" s="661"/>
      <c r="DA10" s="661"/>
      <c r="DB10" s="661"/>
      <c r="DC10" s="661"/>
      <c r="DD10" s="661"/>
      <c r="DE10" s="661"/>
      <c r="DF10" s="661"/>
    </row>
    <row r="11" spans="1:110" s="5" customFormat="1" ht="12.75" customHeight="1">
      <c r="A11" s="8"/>
      <c r="B11" s="8"/>
      <c r="C11" s="8"/>
      <c r="D11" s="8"/>
      <c r="E11" s="8"/>
      <c r="F11" s="8"/>
      <c r="G11" s="8"/>
      <c r="H11" s="8"/>
      <c r="I11" s="163" t="s">
        <v>233</v>
      </c>
      <c r="P11" s="737"/>
      <c r="T11" s="737"/>
      <c r="X11" s="737"/>
      <c r="AB11" s="737"/>
      <c r="AC11" s="796"/>
      <c r="AD11" s="796"/>
      <c r="AE11" s="796">
        <v>611</v>
      </c>
      <c r="AF11" s="952"/>
      <c r="AG11" s="713">
        <v>746.82099999999991</v>
      </c>
      <c r="AH11" s="713">
        <v>927.34999999999991</v>
      </c>
      <c r="AI11" s="713">
        <v>903.16799999999989</v>
      </c>
      <c r="AJ11" s="723">
        <v>742.41</v>
      </c>
      <c r="AK11" s="713">
        <v>998.49099999999999</v>
      </c>
      <c r="AL11" s="713">
        <v>1234.9110000000001</v>
      </c>
      <c r="AM11" s="713">
        <v>1390.683</v>
      </c>
      <c r="AN11" s="723">
        <v>1205.3309999999999</v>
      </c>
      <c r="AO11" s="713">
        <v>1758.6119999999999</v>
      </c>
      <c r="AP11" s="713">
        <v>2109.9650000000001</v>
      </c>
      <c r="AQ11" s="713">
        <v>2050.4270000000001</v>
      </c>
      <c r="AR11" s="723">
        <v>1481.1129999999998</v>
      </c>
      <c r="AS11" s="713">
        <v>1943.5839999999998</v>
      </c>
      <c r="AT11" s="713">
        <v>2379.1779999999999</v>
      </c>
      <c r="AU11" s="713">
        <v>2722.846</v>
      </c>
      <c r="AV11" s="723">
        <v>2264.4540000000002</v>
      </c>
      <c r="AW11" s="713">
        <v>2964.6950000000002</v>
      </c>
      <c r="AX11" s="713">
        <v>3410.1800000000003</v>
      </c>
      <c r="AY11" s="713">
        <v>4006</v>
      </c>
      <c r="AZ11" s="982">
        <v>3265</v>
      </c>
      <c r="BA11" s="821">
        <v>4665</v>
      </c>
      <c r="BB11" s="821">
        <v>5780</v>
      </c>
      <c r="BC11" s="821">
        <v>6257</v>
      </c>
      <c r="BD11" s="982">
        <v>4956</v>
      </c>
      <c r="BE11" s="821">
        <v>6711</v>
      </c>
      <c r="BF11" s="821">
        <v>7329</v>
      </c>
      <c r="BG11" s="821">
        <v>7832</v>
      </c>
      <c r="BH11" s="982">
        <v>6584</v>
      </c>
      <c r="BI11" s="821">
        <v>9153</v>
      </c>
      <c r="BJ11" s="821">
        <v>10117</v>
      </c>
      <c r="BK11" s="821">
        <v>10765</v>
      </c>
      <c r="BL11" s="982">
        <v>9138</v>
      </c>
      <c r="BM11" s="1641">
        <v>12280</v>
      </c>
      <c r="BN11" s="821">
        <v>13538</v>
      </c>
      <c r="BO11" s="821">
        <v>13823</v>
      </c>
      <c r="BP11" s="821">
        <v>10659</v>
      </c>
      <c r="BQ11" s="1641">
        <v>13775</v>
      </c>
      <c r="BR11" s="821">
        <v>14960</v>
      </c>
      <c r="BS11" s="821">
        <v>14778</v>
      </c>
      <c r="BT11" s="982">
        <v>12015</v>
      </c>
      <c r="BU11" s="1641">
        <v>16653</v>
      </c>
      <c r="BV11" s="821">
        <v>17862</v>
      </c>
      <c r="BW11" s="821">
        <v>18460</v>
      </c>
      <c r="BX11" s="821">
        <v>15112</v>
      </c>
      <c r="BY11" s="1641">
        <v>20687</v>
      </c>
      <c r="BZ11" s="2118">
        <v>20797</v>
      </c>
      <c r="CA11" s="2118">
        <v>21762</v>
      </c>
      <c r="CB11" s="821">
        <v>17980</v>
      </c>
      <c r="CC11" s="921">
        <f>+CC40+CC74</f>
        <v>24881.474049815144</v>
      </c>
      <c r="CD11" s="713">
        <f>+CD40+CD74</f>
        <v>25086.12790194053</v>
      </c>
      <c r="CE11" s="713">
        <f>+CE40+CE74</f>
        <v>24813.585995275425</v>
      </c>
      <c r="CF11" s="723">
        <f>+CF40+CF74</f>
        <v>22004.981225315398</v>
      </c>
      <c r="CG11" s="737"/>
      <c r="CH11" s="921"/>
      <c r="CI11" s="713"/>
      <c r="CJ11" s="713">
        <f>+(CK11)/(1+CK12)</f>
        <v>1109.7114986570136</v>
      </c>
      <c r="CK11" s="713">
        <f>+(CL11)/(1+CL12)</f>
        <v>1686.7614779586609</v>
      </c>
      <c r="CL11" s="713">
        <f>+(CM11)/(1+CM12)</f>
        <v>2226.5251509054324</v>
      </c>
      <c r="CM11" s="713">
        <v>3319.7489999999998</v>
      </c>
      <c r="CN11" s="713">
        <v>4829.4160000000002</v>
      </c>
      <c r="CO11" s="713">
        <v>7400.1170000000002</v>
      </c>
      <c r="CP11" s="713">
        <v>9310.0619999999999</v>
      </c>
      <c r="CQ11" s="713">
        <f>+SUM(AW11:AZ11)</f>
        <v>13645.875</v>
      </c>
      <c r="CR11" s="713">
        <f>+SUM(BA11:BD11)</f>
        <v>21658</v>
      </c>
      <c r="CS11" s="713">
        <f>+SUM(BE11:BH11)</f>
        <v>28456</v>
      </c>
      <c r="CT11" s="713">
        <f>+SUM(BI11:BL11)</f>
        <v>39173</v>
      </c>
      <c r="CU11" s="713">
        <f>+SUM(BM11:BP11)</f>
        <v>50300</v>
      </c>
      <c r="CV11" s="713">
        <f>+SUM(BQ11:BT11)</f>
        <v>55528</v>
      </c>
      <c r="CW11" s="713">
        <f>+SUM(BU11:BX11)</f>
        <v>68087</v>
      </c>
      <c r="CX11" s="713">
        <f>+SUM(BY11:CB11)</f>
        <v>81226</v>
      </c>
      <c r="CY11" s="1900">
        <f>+SUM(CC11:CF11)</f>
        <v>96786.16917234649</v>
      </c>
      <c r="CZ11" s="713">
        <f>+CZ40+CZ74</f>
        <v>110922.85145653768</v>
      </c>
      <c r="DA11" s="713">
        <f t="shared" ref="DA11:DF11" si="6">+DA40+DA74</f>
        <v>124828.89016710233</v>
      </c>
      <c r="DB11" s="713">
        <f t="shared" si="6"/>
        <v>138263.57556092652</v>
      </c>
      <c r="DC11" s="713">
        <f t="shared" si="6"/>
        <v>151436.90782473588</v>
      </c>
      <c r="DD11" s="713">
        <f t="shared" si="6"/>
        <v>164480.34456989294</v>
      </c>
      <c r="DE11" s="713">
        <f t="shared" si="6"/>
        <v>177276.69132531929</v>
      </c>
      <c r="DF11" s="723">
        <f t="shared" si="6"/>
        <v>191119.5238413497</v>
      </c>
    </row>
    <row r="12" spans="1:110" s="82" customFormat="1" ht="12.75" customHeight="1">
      <c r="I12" s="193" t="s">
        <v>376</v>
      </c>
      <c r="J12" s="83"/>
      <c r="K12" s="83"/>
      <c r="P12" s="1135"/>
      <c r="T12" s="1135"/>
      <c r="X12" s="1135"/>
      <c r="AB12" s="1135"/>
      <c r="AC12" s="307"/>
      <c r="AD12" s="307"/>
      <c r="AE12" s="307"/>
      <c r="AF12" s="1136"/>
      <c r="AG12" s="64"/>
      <c r="AH12" s="64"/>
      <c r="AI12" s="64"/>
      <c r="AJ12" s="180"/>
      <c r="AK12" s="1139">
        <f t="shared" ref="AK12:BD12" si="7">+AK11/AG11-1</f>
        <v>0.33698838141937637</v>
      </c>
      <c r="AL12" s="1139">
        <f t="shared" si="7"/>
        <v>0.33165579338976681</v>
      </c>
      <c r="AM12" s="1139">
        <f t="shared" si="7"/>
        <v>0.53978329613095255</v>
      </c>
      <c r="AN12" s="1140">
        <f t="shared" si="7"/>
        <v>0.6235382066513111</v>
      </c>
      <c r="AO12" s="1139">
        <f t="shared" si="7"/>
        <v>0.76126975606189728</v>
      </c>
      <c r="AP12" s="1139">
        <f t="shared" si="7"/>
        <v>0.70859681385946027</v>
      </c>
      <c r="AQ12" s="1139">
        <f t="shared" si="7"/>
        <v>0.47440286535464948</v>
      </c>
      <c r="AR12" s="1140">
        <f t="shared" si="7"/>
        <v>0.22880188097709264</v>
      </c>
      <c r="AS12" s="1139">
        <f t="shared" si="7"/>
        <v>0.1051806765790293</v>
      </c>
      <c r="AT12" s="1139">
        <f t="shared" si="7"/>
        <v>0.12759121596803724</v>
      </c>
      <c r="AU12" s="1139">
        <f t="shared" si="7"/>
        <v>0.32794096059015998</v>
      </c>
      <c r="AV12" s="1140">
        <f t="shared" si="7"/>
        <v>0.52888672235001688</v>
      </c>
      <c r="AW12" s="1139">
        <f t="shared" si="7"/>
        <v>0.52537528606944717</v>
      </c>
      <c r="AX12" s="1139">
        <f t="shared" si="7"/>
        <v>0.43334378512242488</v>
      </c>
      <c r="AY12" s="1139">
        <f t="shared" si="7"/>
        <v>0.47125470922703672</v>
      </c>
      <c r="AZ12" s="1140">
        <f t="shared" si="7"/>
        <v>0.44184867522148807</v>
      </c>
      <c r="BA12" s="1139">
        <f t="shared" si="7"/>
        <v>0.57351768057085128</v>
      </c>
      <c r="BB12" s="1139">
        <f t="shared" si="7"/>
        <v>0.69492519456450963</v>
      </c>
      <c r="BC12" s="1139">
        <f t="shared" si="7"/>
        <v>0.56190713929106351</v>
      </c>
      <c r="BD12" s="1140">
        <f t="shared" si="7"/>
        <v>0.51791730474732001</v>
      </c>
      <c r="BE12" s="1139">
        <f t="shared" ref="BE12:BL12" si="8">+BE11/BA11-1</f>
        <v>0.4385852090032154</v>
      </c>
      <c r="BF12" s="1139">
        <f t="shared" si="8"/>
        <v>0.26799307958477514</v>
      </c>
      <c r="BG12" s="1139">
        <f t="shared" si="8"/>
        <v>0.25171807575515426</v>
      </c>
      <c r="BH12" s="1140">
        <f t="shared" si="8"/>
        <v>0.32849071832122689</v>
      </c>
      <c r="BI12" s="1139">
        <f t="shared" si="8"/>
        <v>0.36388019669199823</v>
      </c>
      <c r="BJ12" s="1139">
        <f t="shared" si="8"/>
        <v>0.38040660390230596</v>
      </c>
      <c r="BK12" s="1139">
        <f t="shared" si="8"/>
        <v>0.37448927477017357</v>
      </c>
      <c r="BL12" s="1140">
        <f t="shared" si="8"/>
        <v>0.38791008505467794</v>
      </c>
      <c r="BM12" s="1592">
        <f t="shared" ref="BM12:CF12" si="9">+BM11/BI11-1</f>
        <v>0.34163662187261012</v>
      </c>
      <c r="BN12" s="1139">
        <f t="shared" si="9"/>
        <v>0.33814371849362468</v>
      </c>
      <c r="BO12" s="1139">
        <f t="shared" si="9"/>
        <v>0.2840687412912215</v>
      </c>
      <c r="BP12" s="1139">
        <f>+BP11/BL11-1</f>
        <v>0.16644780039395934</v>
      </c>
      <c r="BQ12" s="1592">
        <f>+BQ11/BM11-1</f>
        <v>0.12174267100977199</v>
      </c>
      <c r="BR12" s="1139">
        <f>+BR11/BN11-1</f>
        <v>0.10503767173880929</v>
      </c>
      <c r="BS12" s="1139">
        <f>+BS11/BO11-1</f>
        <v>6.9087752296896454E-2</v>
      </c>
      <c r="BT12" s="1140">
        <f>+BT11/BP11-1</f>
        <v>0.12721643681396011</v>
      </c>
      <c r="BU12" s="1592">
        <f t="shared" si="9"/>
        <v>0.20892921960072597</v>
      </c>
      <c r="BV12" s="1139">
        <f t="shared" si="9"/>
        <v>0.19398395721925143</v>
      </c>
      <c r="BW12" s="1139">
        <f t="shared" si="9"/>
        <v>0.24915414805792402</v>
      </c>
      <c r="BX12" s="1139">
        <f t="shared" si="9"/>
        <v>0.25776113191843519</v>
      </c>
      <c r="BY12" s="1592">
        <f t="shared" si="9"/>
        <v>0.2422386356812587</v>
      </c>
      <c r="BZ12" s="1139">
        <f t="shared" si="9"/>
        <v>0.16431530623670354</v>
      </c>
      <c r="CA12" s="1139">
        <f t="shared" si="9"/>
        <v>0.1788732394366197</v>
      </c>
      <c r="CB12" s="2132">
        <f>+CB11/BX11-1</f>
        <v>0.18978295394388556</v>
      </c>
      <c r="CC12" s="2133">
        <f t="shared" si="9"/>
        <v>0.20275893313748461</v>
      </c>
      <c r="CD12" s="2134">
        <f t="shared" si="9"/>
        <v>0.20623781804782082</v>
      </c>
      <c r="CE12" s="2134">
        <f t="shared" si="9"/>
        <v>0.14022543862124004</v>
      </c>
      <c r="CF12" s="2132">
        <f t="shared" si="9"/>
        <v>0.22385880007315895</v>
      </c>
      <c r="CG12" s="1135"/>
      <c r="CH12" s="259"/>
      <c r="CK12" s="1139">
        <v>0.52</v>
      </c>
      <c r="CL12" s="1139">
        <v>0.32</v>
      </c>
      <c r="CM12" s="1139">
        <v>0.49099999999999999</v>
      </c>
      <c r="CN12" s="1139">
        <f t="shared" ref="CN12:CX12" si="10">+CN11/CM11-1</f>
        <v>0.45475335635314607</v>
      </c>
      <c r="CO12" s="1139">
        <f t="shared" si="10"/>
        <v>0.53230059286671505</v>
      </c>
      <c r="CP12" s="1139">
        <f t="shared" si="10"/>
        <v>0.25809659495924175</v>
      </c>
      <c r="CQ12" s="1139">
        <f t="shared" si="10"/>
        <v>0.46571258064661647</v>
      </c>
      <c r="CR12" s="1139">
        <f t="shared" si="10"/>
        <v>0.58714629878992741</v>
      </c>
      <c r="CS12" s="1139">
        <f t="shared" si="10"/>
        <v>0.31387939791301145</v>
      </c>
      <c r="CT12" s="1139">
        <f t="shared" si="10"/>
        <v>0.37661653078436874</v>
      </c>
      <c r="CU12" s="1139">
        <f t="shared" si="10"/>
        <v>0.28404768590610874</v>
      </c>
      <c r="CV12" s="1139">
        <f t="shared" si="10"/>
        <v>0.10393638170974162</v>
      </c>
      <c r="CW12" s="1139">
        <f t="shared" si="10"/>
        <v>0.22617418239446763</v>
      </c>
      <c r="CX12" s="1139">
        <f t="shared" si="10"/>
        <v>0.19297369541909615</v>
      </c>
      <c r="CY12" s="1139">
        <f>+CY11/CX11-1</f>
        <v>0.19156636018450368</v>
      </c>
      <c r="CZ12" s="1139">
        <f>+CZ11/CY11-1</f>
        <v>0.14606097549969244</v>
      </c>
      <c r="DA12" s="1139">
        <f t="shared" ref="DA12:DF12" si="11">+DA11/CZ11-1</f>
        <v>0.12536676192473628</v>
      </c>
      <c r="DB12" s="1139">
        <f t="shared" si="11"/>
        <v>0.10762480845451594</v>
      </c>
      <c r="DC12" s="1139">
        <f t="shared" si="11"/>
        <v>9.5276953531441722E-2</v>
      </c>
      <c r="DD12" s="1139">
        <f t="shared" si="11"/>
        <v>8.6131161369543907E-2</v>
      </c>
      <c r="DE12" s="1139">
        <f t="shared" si="11"/>
        <v>7.7798637818324634E-2</v>
      </c>
      <c r="DF12" s="1140">
        <f t="shared" si="11"/>
        <v>7.8086027060531693E-2</v>
      </c>
    </row>
    <row r="13" spans="1:110" s="82" customFormat="1" ht="12.75" customHeight="1">
      <c r="I13" s="193" t="s">
        <v>234</v>
      </c>
      <c r="J13" s="83"/>
      <c r="K13" s="83"/>
      <c r="P13" s="1135"/>
      <c r="T13" s="1135"/>
      <c r="X13" s="1135"/>
      <c r="AB13" s="1135"/>
      <c r="AC13" s="307"/>
      <c r="AD13" s="307"/>
      <c r="AE13" s="307"/>
      <c r="AF13" s="1136"/>
      <c r="AG13" s="64"/>
      <c r="AH13" s="64"/>
      <c r="AI13" s="64"/>
      <c r="AJ13" s="180"/>
      <c r="AK13" s="64"/>
      <c r="AL13" s="64"/>
      <c r="AM13" s="64"/>
      <c r="AN13" s="180"/>
      <c r="AO13" s="64">
        <f t="shared" ref="AO13:BD13" si="12">+AO12+AK12</f>
        <v>1.0982581374812737</v>
      </c>
      <c r="AP13" s="64">
        <f t="shared" si="12"/>
        <v>1.0402526072492271</v>
      </c>
      <c r="AQ13" s="64">
        <f t="shared" si="12"/>
        <v>1.014186161485602</v>
      </c>
      <c r="AR13" s="180">
        <f t="shared" si="12"/>
        <v>0.85234008762840374</v>
      </c>
      <c r="AS13" s="64">
        <f t="shared" si="12"/>
        <v>0.86645043264092658</v>
      </c>
      <c r="AT13" s="64">
        <f t="shared" si="12"/>
        <v>0.83618802982749751</v>
      </c>
      <c r="AU13" s="64">
        <f t="shared" si="12"/>
        <v>0.80234382594480946</v>
      </c>
      <c r="AV13" s="180">
        <f t="shared" si="12"/>
        <v>0.75768860332710952</v>
      </c>
      <c r="AW13" s="64">
        <f t="shared" si="12"/>
        <v>0.63055596264847646</v>
      </c>
      <c r="AX13" s="64">
        <f t="shared" si="12"/>
        <v>0.56093500109046213</v>
      </c>
      <c r="AY13" s="64">
        <f t="shared" si="12"/>
        <v>0.7991956698171967</v>
      </c>
      <c r="AZ13" s="180">
        <f t="shared" si="12"/>
        <v>0.97073539757150495</v>
      </c>
      <c r="BA13" s="64">
        <f t="shared" si="12"/>
        <v>1.0988929666402985</v>
      </c>
      <c r="BB13" s="64">
        <f t="shared" si="12"/>
        <v>1.1282689796869345</v>
      </c>
      <c r="BC13" s="64">
        <f t="shared" si="12"/>
        <v>1.0331618485181002</v>
      </c>
      <c r="BD13" s="180">
        <f t="shared" si="12"/>
        <v>0.95976597996880808</v>
      </c>
      <c r="BE13" s="64">
        <f t="shared" ref="BE13:BL13" si="13">+BE12+BA12</f>
        <v>1.0121028895740667</v>
      </c>
      <c r="BF13" s="64">
        <f t="shared" si="13"/>
        <v>0.96291827414928477</v>
      </c>
      <c r="BG13" s="64">
        <f t="shared" si="13"/>
        <v>0.81362521504621776</v>
      </c>
      <c r="BH13" s="180">
        <f t="shared" si="13"/>
        <v>0.8464080230685469</v>
      </c>
      <c r="BI13" s="64">
        <f t="shared" si="13"/>
        <v>0.80246540569521363</v>
      </c>
      <c r="BJ13" s="64">
        <f t="shared" si="13"/>
        <v>0.6483996834870811</v>
      </c>
      <c r="BK13" s="64">
        <f t="shared" si="13"/>
        <v>0.62620735052532783</v>
      </c>
      <c r="BL13" s="180">
        <f t="shared" si="13"/>
        <v>0.71640080337590484</v>
      </c>
      <c r="BM13" s="1263">
        <f t="shared" ref="BM13:CF13" si="14">+BM12+BI12</f>
        <v>0.70551681856460835</v>
      </c>
      <c r="BN13" s="64">
        <f t="shared" si="14"/>
        <v>0.71855032239593064</v>
      </c>
      <c r="BO13" s="64">
        <f t="shared" si="14"/>
        <v>0.65855801606139508</v>
      </c>
      <c r="BP13" s="64">
        <f t="shared" si="14"/>
        <v>0.55435788544863729</v>
      </c>
      <c r="BQ13" s="1263">
        <f t="shared" si="14"/>
        <v>0.46337929288238211</v>
      </c>
      <c r="BR13" s="64">
        <f>+BR12+BN12</f>
        <v>0.44318139023243397</v>
      </c>
      <c r="BS13" s="64">
        <f>+BS12+BO12</f>
        <v>0.35315649358811796</v>
      </c>
      <c r="BT13" s="180">
        <f t="shared" si="14"/>
        <v>0.29366423720791945</v>
      </c>
      <c r="BU13" s="1263">
        <f t="shared" si="14"/>
        <v>0.33067189061049795</v>
      </c>
      <c r="BV13" s="64">
        <f t="shared" si="14"/>
        <v>0.29902162895806073</v>
      </c>
      <c r="BW13" s="64">
        <f>+BW12+BS12</f>
        <v>0.31824190035482047</v>
      </c>
      <c r="BX13" s="64">
        <f>+BX12+BT12</f>
        <v>0.3849775687323953</v>
      </c>
      <c r="BY13" s="1263">
        <f t="shared" si="14"/>
        <v>0.45116785528198466</v>
      </c>
      <c r="BZ13" s="64">
        <f t="shared" si="14"/>
        <v>0.35829926345595497</v>
      </c>
      <c r="CA13" s="64">
        <f t="shared" si="14"/>
        <v>0.42802738749454372</v>
      </c>
      <c r="CB13" s="180">
        <f t="shared" si="14"/>
        <v>0.44754408586232075</v>
      </c>
      <c r="CC13" s="1263">
        <f t="shared" si="14"/>
        <v>0.44499756881874331</v>
      </c>
      <c r="CD13" s="64">
        <f t="shared" si="14"/>
        <v>0.37055312428452436</v>
      </c>
      <c r="CE13" s="64">
        <f t="shared" si="14"/>
        <v>0.31909867805785974</v>
      </c>
      <c r="CF13" s="180">
        <f t="shared" si="14"/>
        <v>0.41364175401704451</v>
      </c>
      <c r="CG13" s="1135"/>
      <c r="CH13" s="259"/>
      <c r="CM13" s="721"/>
      <c r="CN13" s="64"/>
      <c r="CO13" s="64">
        <f t="shared" ref="CO13:CY13" si="15">+CO12+CN12</f>
        <v>0.98705394921986112</v>
      </c>
      <c r="CP13" s="64">
        <f t="shared" si="15"/>
        <v>0.7903971878259568</v>
      </c>
      <c r="CQ13" s="64">
        <f t="shared" si="15"/>
        <v>0.72380917560585822</v>
      </c>
      <c r="CR13" s="64">
        <f t="shared" si="15"/>
        <v>1.0528588794365439</v>
      </c>
      <c r="CS13" s="64">
        <f t="shared" si="15"/>
        <v>0.90102569670293886</v>
      </c>
      <c r="CT13" s="64">
        <f t="shared" si="15"/>
        <v>0.69049592869738019</v>
      </c>
      <c r="CU13" s="64">
        <f t="shared" si="15"/>
        <v>0.66066421669047748</v>
      </c>
      <c r="CV13" s="64">
        <f t="shared" si="15"/>
        <v>0.38798406761585036</v>
      </c>
      <c r="CW13" s="64">
        <f t="shared" si="15"/>
        <v>0.33011056410420925</v>
      </c>
      <c r="CX13" s="64">
        <f t="shared" si="15"/>
        <v>0.41914787781356377</v>
      </c>
      <c r="CY13" s="64">
        <f t="shared" si="15"/>
        <v>0.38454005560359983</v>
      </c>
      <c r="CZ13" s="64">
        <f>+CZ12+CY12</f>
        <v>0.33762733568419612</v>
      </c>
      <c r="DA13" s="64">
        <f t="shared" ref="DA13:DF13" si="16">+DA12+CZ12</f>
        <v>0.27142773742442872</v>
      </c>
      <c r="DB13" s="64">
        <f t="shared" si="16"/>
        <v>0.23299157037925222</v>
      </c>
      <c r="DC13" s="64">
        <f t="shared" si="16"/>
        <v>0.20290176198595766</v>
      </c>
      <c r="DD13" s="64">
        <f t="shared" si="16"/>
        <v>0.18140811490098563</v>
      </c>
      <c r="DE13" s="64">
        <f t="shared" si="16"/>
        <v>0.16392979918786854</v>
      </c>
      <c r="DF13" s="180">
        <f t="shared" si="16"/>
        <v>0.15588466487885633</v>
      </c>
    </row>
    <row r="14" spans="1:110" ht="12.75" customHeight="1">
      <c r="I14" s="185" t="s">
        <v>153</v>
      </c>
      <c r="J14" s="70"/>
      <c r="K14" s="70"/>
      <c r="P14" s="234"/>
      <c r="T14" s="234"/>
      <c r="X14" s="234"/>
      <c r="AB14" s="234"/>
      <c r="AF14" s="249"/>
      <c r="AJ14" s="179"/>
      <c r="AK14" s="715"/>
      <c r="AL14" s="715"/>
      <c r="AM14" s="715"/>
      <c r="AN14" s="727"/>
      <c r="AO14" s="800">
        <f t="shared" ref="AO14:BA14" si="17">+AO11-AN11</f>
        <v>553.28099999999995</v>
      </c>
      <c r="AP14" s="800">
        <f t="shared" si="17"/>
        <v>351.35300000000029</v>
      </c>
      <c r="AQ14" s="800">
        <f t="shared" si="17"/>
        <v>-59.538000000000011</v>
      </c>
      <c r="AR14" s="849">
        <f t="shared" si="17"/>
        <v>-569.31400000000031</v>
      </c>
      <c r="AS14" s="800">
        <f t="shared" si="17"/>
        <v>462.471</v>
      </c>
      <c r="AT14" s="800">
        <f t="shared" si="17"/>
        <v>435.59400000000005</v>
      </c>
      <c r="AU14" s="800">
        <f t="shared" si="17"/>
        <v>343.66800000000012</v>
      </c>
      <c r="AV14" s="849">
        <f t="shared" si="17"/>
        <v>-458.39199999999983</v>
      </c>
      <c r="AW14" s="800">
        <f t="shared" si="17"/>
        <v>700.24099999999999</v>
      </c>
      <c r="AX14" s="800">
        <f t="shared" si="17"/>
        <v>445.48500000000013</v>
      </c>
      <c r="AY14" s="800">
        <f t="shared" si="17"/>
        <v>595.81999999999971</v>
      </c>
      <c r="AZ14" s="849">
        <f t="shared" si="17"/>
        <v>-741</v>
      </c>
      <c r="BA14" s="800">
        <f t="shared" si="17"/>
        <v>1400</v>
      </c>
      <c r="BB14" s="800">
        <f t="shared" ref="BB14:BL14" si="18">+BB11-BA11</f>
        <v>1115</v>
      </c>
      <c r="BC14" s="800">
        <f t="shared" si="18"/>
        <v>477</v>
      </c>
      <c r="BD14" s="849">
        <f t="shared" si="18"/>
        <v>-1301</v>
      </c>
      <c r="BE14" s="800">
        <f t="shared" si="18"/>
        <v>1755</v>
      </c>
      <c r="BF14" s="800">
        <f t="shared" si="18"/>
        <v>618</v>
      </c>
      <c r="BG14" s="800">
        <f t="shared" si="18"/>
        <v>503</v>
      </c>
      <c r="BH14" s="849">
        <f t="shared" si="18"/>
        <v>-1248</v>
      </c>
      <c r="BI14" s="800">
        <f t="shared" si="18"/>
        <v>2569</v>
      </c>
      <c r="BJ14" s="800">
        <f t="shared" si="18"/>
        <v>964</v>
      </c>
      <c r="BK14" s="800">
        <f t="shared" si="18"/>
        <v>648</v>
      </c>
      <c r="BL14" s="849">
        <f t="shared" si="18"/>
        <v>-1627</v>
      </c>
      <c r="BM14" s="934">
        <f t="shared" ref="BM14:CF14" si="19">+BM11-BL11</f>
        <v>3142</v>
      </c>
      <c r="BN14" s="800">
        <f t="shared" si="19"/>
        <v>1258</v>
      </c>
      <c r="BO14" s="800">
        <f t="shared" ref="BO14:BT14" si="20">+BO11-BN11</f>
        <v>285</v>
      </c>
      <c r="BP14" s="800">
        <f t="shared" si="20"/>
        <v>-3164</v>
      </c>
      <c r="BQ14" s="934">
        <f>+BQ11-BP11</f>
        <v>3116</v>
      </c>
      <c r="BR14" s="800">
        <f>+BR11-BQ11</f>
        <v>1185</v>
      </c>
      <c r="BS14" s="800">
        <f>+BS11-BR11</f>
        <v>-182</v>
      </c>
      <c r="BT14" s="849">
        <f t="shared" si="20"/>
        <v>-2763</v>
      </c>
      <c r="BU14" s="934">
        <f>+BU11-BT11</f>
        <v>4638</v>
      </c>
      <c r="BV14" s="800">
        <f t="shared" si="19"/>
        <v>1209</v>
      </c>
      <c r="BW14" s="800">
        <f>+BW11-BV11</f>
        <v>598</v>
      </c>
      <c r="BX14" s="800">
        <f>+BX11-BW11</f>
        <v>-3348</v>
      </c>
      <c r="BY14" s="934">
        <f t="shared" si="19"/>
        <v>5575</v>
      </c>
      <c r="BZ14" s="800">
        <f t="shared" si="19"/>
        <v>110</v>
      </c>
      <c r="CA14" s="800">
        <f t="shared" si="19"/>
        <v>965</v>
      </c>
      <c r="CB14" s="849">
        <f t="shared" si="19"/>
        <v>-3782</v>
      </c>
      <c r="CC14" s="934">
        <f t="shared" si="19"/>
        <v>6901.4740498151441</v>
      </c>
      <c r="CD14" s="800">
        <f t="shared" si="19"/>
        <v>204.65385212538604</v>
      </c>
      <c r="CE14" s="800">
        <f t="shared" si="19"/>
        <v>-272.54190666510476</v>
      </c>
      <c r="CF14" s="849">
        <f t="shared" si="19"/>
        <v>-2808.6047699600276</v>
      </c>
      <c r="CG14" s="234"/>
      <c r="CH14" s="160"/>
      <c r="CM14" s="103"/>
      <c r="CN14" s="715"/>
      <c r="CO14" s="715"/>
      <c r="CP14" s="715"/>
      <c r="CQ14" s="715"/>
      <c r="CR14" s="715"/>
      <c r="CS14" s="715"/>
      <c r="CT14" s="715"/>
      <c r="CU14" s="715"/>
      <c r="CV14" s="715"/>
      <c r="CW14" s="715"/>
      <c r="CX14" s="715"/>
      <c r="CY14" s="715"/>
      <c r="DF14" s="234"/>
    </row>
    <row r="15" spans="1:110" s="8" customFormat="1" ht="12.75" customHeight="1">
      <c r="I15" s="163" t="s">
        <v>540</v>
      </c>
      <c r="J15" s="7"/>
      <c r="K15" s="7"/>
      <c r="P15" s="245"/>
      <c r="T15" s="245"/>
      <c r="X15" s="245"/>
      <c r="AB15" s="245"/>
      <c r="AC15" s="289"/>
      <c r="AD15" s="289"/>
      <c r="AE15" s="289"/>
      <c r="AF15" s="953"/>
      <c r="AG15" s="103"/>
      <c r="AH15" s="103"/>
      <c r="AI15" s="103"/>
      <c r="AJ15" s="202"/>
      <c r="AK15" s="1214"/>
      <c r="AL15" s="1214"/>
      <c r="AM15" s="1214"/>
      <c r="AN15" s="1389"/>
      <c r="AO15" s="112">
        <f>+AO74+((AK40*(1+AO43)))</f>
        <v>1630.4062499999998</v>
      </c>
      <c r="AP15" s="112">
        <f t="shared" ref="AP15:CF15" si="21">+AP74+((AL40*(1+AP43)))</f>
        <v>1942.8231920000003</v>
      </c>
      <c r="AQ15" s="112">
        <f t="shared" si="21"/>
        <v>1940.5046660000003</v>
      </c>
      <c r="AR15" s="214">
        <f t="shared" si="21"/>
        <v>1556.2967599999997</v>
      </c>
      <c r="AS15" s="112">
        <f t="shared" si="21"/>
        <v>2132.6473399999995</v>
      </c>
      <c r="AT15" s="112">
        <f t="shared" si="21"/>
        <v>2603.153644</v>
      </c>
      <c r="AU15" s="112">
        <f t="shared" si="21"/>
        <v>2856.2272499999999</v>
      </c>
      <c r="AV15" s="214">
        <f t="shared" si="21"/>
        <v>2173.7450500000004</v>
      </c>
      <c r="AW15" s="112">
        <f t="shared" si="21"/>
        <v>2877.0638559999998</v>
      </c>
      <c r="AX15" s="112">
        <f t="shared" si="21"/>
        <v>3517.8660940000004</v>
      </c>
      <c r="AY15" s="112">
        <f t="shared" si="21"/>
        <v>4189.9531800000004</v>
      </c>
      <c r="AZ15" s="214">
        <f t="shared" si="21"/>
        <v>3353.2354099999998</v>
      </c>
      <c r="BA15" s="112">
        <f t="shared" si="21"/>
        <v>4647.0894450000005</v>
      </c>
      <c r="BB15" s="112">
        <f t="shared" si="21"/>
        <v>5335.4972850000004</v>
      </c>
      <c r="BC15" s="112">
        <f t="shared" si="21"/>
        <v>5924.3899999999994</v>
      </c>
      <c r="BD15" s="214">
        <f t="shared" si="21"/>
        <v>4987.8469999999998</v>
      </c>
      <c r="BE15" s="112">
        <f t="shared" si="21"/>
        <v>6846.88</v>
      </c>
      <c r="BF15" s="112">
        <f t="shared" si="21"/>
        <v>7830.0960000000005</v>
      </c>
      <c r="BG15" s="112">
        <f t="shared" si="21"/>
        <v>8373.5339999999997</v>
      </c>
      <c r="BH15" s="214">
        <f t="shared" si="21"/>
        <v>6668.5119999999997</v>
      </c>
      <c r="BI15" s="112">
        <f t="shared" ref="BI15:BQ15" si="22">+BI74+((BE40*(1+BI43)))</f>
        <v>9164.93</v>
      </c>
      <c r="BJ15" s="112">
        <f t="shared" si="22"/>
        <v>10108.879999999999</v>
      </c>
      <c r="BK15" s="112">
        <f t="shared" si="22"/>
        <v>10712.93</v>
      </c>
      <c r="BL15" s="214">
        <f t="shared" si="22"/>
        <v>9180.48</v>
      </c>
      <c r="BM15" s="223">
        <f t="shared" si="22"/>
        <v>12377.539999999999</v>
      </c>
      <c r="BN15" s="112">
        <f t="shared" si="22"/>
        <v>13437.650000000001</v>
      </c>
      <c r="BO15" s="112">
        <f t="shared" si="22"/>
        <v>13859.28</v>
      </c>
      <c r="BP15" s="112">
        <f>+BP74+((BL40*(1+BP43)))</f>
        <v>11278.66</v>
      </c>
      <c r="BQ15" s="223">
        <f t="shared" si="22"/>
        <v>15401.470000000001</v>
      </c>
      <c r="BR15" s="112">
        <f>+BR74+((BN40*(1+BR43)))</f>
        <v>17054.599999999999</v>
      </c>
      <c r="BS15" s="112">
        <f>+BS74+((BO40*(1+BS43)))</f>
        <v>16800</v>
      </c>
      <c r="BT15" s="214">
        <f>+BT74+((BP40*(1+BT43)))</f>
        <v>13227.57</v>
      </c>
      <c r="BU15" s="223">
        <f>+BQ11*(1+BU16)</f>
        <v>17356.5</v>
      </c>
      <c r="BV15" s="112">
        <f>+BR11*(1+BV16)</f>
        <v>18101.599999999999</v>
      </c>
      <c r="BW15" s="112">
        <f>+BS11*(1+BW16)</f>
        <v>18620.28</v>
      </c>
      <c r="BX15" s="112">
        <f>+BT11*(1+BX16)</f>
        <v>15379.2</v>
      </c>
      <c r="BY15" s="223">
        <f>+BU11*(1+BY16)</f>
        <v>21149.31</v>
      </c>
      <c r="BZ15" s="112">
        <f>+BZ74+((BV40*(1+BZ43)))</f>
        <v>21272.279460198337</v>
      </c>
      <c r="CA15" s="112">
        <f t="shared" si="21"/>
        <v>21403.946569932883</v>
      </c>
      <c r="CB15" s="214">
        <f t="shared" si="21"/>
        <v>17194.913407572898</v>
      </c>
      <c r="CC15" s="223">
        <f>+CC74+((BY40*(1+CC43)))</f>
        <v>23620.051155374917</v>
      </c>
      <c r="CD15" s="112">
        <f>+CD74+((BZ40*(1+CD43)))</f>
        <v>24368.72009980421</v>
      </c>
      <c r="CE15" s="112">
        <f>+CE74+((CA40*(1+CE43)))</f>
        <v>24911.951727127544</v>
      </c>
      <c r="CF15" s="214">
        <f t="shared" si="21"/>
        <v>21351.663975984611</v>
      </c>
      <c r="CG15" s="245"/>
      <c r="CH15" s="178"/>
      <c r="CJ15" s="713"/>
      <c r="CK15" s="713"/>
      <c r="CL15" s="713"/>
      <c r="CM15" s="713"/>
      <c r="CN15" s="713"/>
      <c r="CO15" s="112">
        <f>+CO74+((CN40*(1+CO43)))</f>
        <v>7385.0801946068932</v>
      </c>
      <c r="CP15" s="112">
        <f>+CP74+((CO40*(1+CP43)))</f>
        <v>9725.2890541023771</v>
      </c>
      <c r="CQ15" s="112">
        <f t="shared" ref="CQ15:CW15" si="23">+CQ74+((CP40*(1+CQ43)))</f>
        <v>13836.016336049077</v>
      </c>
      <c r="CR15" s="112">
        <f t="shared" si="23"/>
        <v>21642.955253466018</v>
      </c>
      <c r="CS15" s="112">
        <f t="shared" si="23"/>
        <v>29585.327716281394</v>
      </c>
      <c r="CT15" s="112">
        <f t="shared" si="23"/>
        <v>39177.802662616203</v>
      </c>
      <c r="CU15" s="112">
        <f t="shared" si="23"/>
        <v>51052.013303707237</v>
      </c>
      <c r="CV15" s="112">
        <f t="shared" si="23"/>
        <v>62404.252503550451</v>
      </c>
      <c r="CW15" s="112">
        <f t="shared" si="23"/>
        <v>69471.351105843874</v>
      </c>
      <c r="CX15" s="112">
        <f t="shared" ref="CX15:DC15" si="24">+CX74+((CW40*(1+CX43)))</f>
        <v>79628.784055827506</v>
      </c>
      <c r="CY15" s="713">
        <f t="shared" si="24"/>
        <v>94325.310369671322</v>
      </c>
      <c r="CZ15" s="112">
        <f t="shared" si="24"/>
        <v>110905.56339634543</v>
      </c>
      <c r="DA15" s="112">
        <f t="shared" si="24"/>
        <v>124828.89016710232</v>
      </c>
      <c r="DB15" s="112">
        <f t="shared" si="24"/>
        <v>138263.57556092652</v>
      </c>
      <c r="DC15" s="112">
        <f t="shared" si="24"/>
        <v>151436.90782473588</v>
      </c>
      <c r="DD15" s="112">
        <f>+DD74+((DC40*(1+DD43)))</f>
        <v>164480.34456989294</v>
      </c>
      <c r="DE15" s="112">
        <f>+DE74+((DD40*(1+DE43)))</f>
        <v>177276.69132531929</v>
      </c>
      <c r="DF15" s="214">
        <f>+DF74+((DE40*(1+DF43)))</f>
        <v>191119.5238413497</v>
      </c>
    </row>
    <row r="16" spans="1:110" s="82" customFormat="1" ht="12.75" customHeight="1">
      <c r="I16" s="193" t="s">
        <v>539</v>
      </c>
      <c r="J16" s="83"/>
      <c r="K16" s="83"/>
      <c r="P16" s="1135"/>
      <c r="T16" s="1135"/>
      <c r="X16" s="1135"/>
      <c r="AB16" s="1135"/>
      <c r="AC16" s="307"/>
      <c r="AD16" s="307"/>
      <c r="AE16" s="307"/>
      <c r="AF16" s="1136"/>
      <c r="AG16" s="64"/>
      <c r="AH16" s="64"/>
      <c r="AI16" s="64"/>
      <c r="AJ16" s="180"/>
      <c r="AK16" s="1139"/>
      <c r="AL16" s="1139"/>
      <c r="AM16" s="1139"/>
      <c r="AN16" s="1140"/>
      <c r="AO16" s="1139">
        <f t="shared" ref="AO16:CF16" si="25">+AO15/AK11-1</f>
        <v>0.63287025120907425</v>
      </c>
      <c r="AP16" s="1139">
        <f t="shared" si="25"/>
        <v>0.57324956373374292</v>
      </c>
      <c r="AQ16" s="1139">
        <f t="shared" si="25"/>
        <v>0.3953608881391375</v>
      </c>
      <c r="AR16" s="1140">
        <f t="shared" si="25"/>
        <v>0.29117790880679228</v>
      </c>
      <c r="AS16" s="1139">
        <f t="shared" si="25"/>
        <v>0.21268781288880079</v>
      </c>
      <c r="AT16" s="1139">
        <f t="shared" si="25"/>
        <v>0.23374257108530228</v>
      </c>
      <c r="AU16" s="1139">
        <f t="shared" si="25"/>
        <v>0.39299143544247106</v>
      </c>
      <c r="AV16" s="1140">
        <f t="shared" si="25"/>
        <v>0.46764294824230213</v>
      </c>
      <c r="AW16" s="1139">
        <f t="shared" si="25"/>
        <v>0.48028788876632045</v>
      </c>
      <c r="AX16" s="1139">
        <f t="shared" si="25"/>
        <v>0.47860567557366474</v>
      </c>
      <c r="AY16" s="1139">
        <f t="shared" si="25"/>
        <v>0.53881386607982984</v>
      </c>
      <c r="AZ16" s="1140">
        <f t="shared" si="25"/>
        <v>0.48081409911616646</v>
      </c>
      <c r="BA16" s="1139">
        <f t="shared" si="25"/>
        <v>0.56747639976456266</v>
      </c>
      <c r="BB16" s="1139">
        <f t="shared" si="25"/>
        <v>0.56457937264308633</v>
      </c>
      <c r="BC16" s="1139">
        <f t="shared" si="25"/>
        <v>0.47887918122815765</v>
      </c>
      <c r="BD16" s="1140">
        <f t="shared" si="25"/>
        <v>0.52767136294027561</v>
      </c>
      <c r="BE16" s="1139">
        <f t="shared" si="25"/>
        <v>0.46771275455519823</v>
      </c>
      <c r="BF16" s="1139">
        <f t="shared" si="25"/>
        <v>0.35468788927335648</v>
      </c>
      <c r="BG16" s="1139">
        <f t="shared" si="25"/>
        <v>0.33826658142879973</v>
      </c>
      <c r="BH16" s="1140">
        <f t="shared" si="25"/>
        <v>0.34554317998385797</v>
      </c>
      <c r="BI16" s="1139">
        <f t="shared" si="25"/>
        <v>0.36565787513038295</v>
      </c>
      <c r="BJ16" s="1139">
        <f t="shared" si="25"/>
        <v>0.37929867649065341</v>
      </c>
      <c r="BK16" s="1139">
        <f t="shared" si="25"/>
        <v>0.36784090909090916</v>
      </c>
      <c r="BL16" s="1140">
        <f t="shared" si="25"/>
        <v>0.39436208991494515</v>
      </c>
      <c r="BM16" s="1592">
        <f t="shared" si="25"/>
        <v>0.35229323718999228</v>
      </c>
      <c r="BN16" s="1139">
        <f t="shared" si="25"/>
        <v>0.32822477018879126</v>
      </c>
      <c r="BO16" s="1139">
        <f t="shared" si="25"/>
        <v>0.28743892243381342</v>
      </c>
      <c r="BP16" s="1139">
        <f>+BP15/BL11-1</f>
        <v>0.23425913766688544</v>
      </c>
      <c r="BQ16" s="1592">
        <f>+BQ15/BM11-1</f>
        <v>0.25419136807817599</v>
      </c>
      <c r="BR16" s="1139">
        <f>+BR15/BN11-1</f>
        <v>0.25975771901314815</v>
      </c>
      <c r="BS16" s="1139">
        <f>+BS15/BO11-1</f>
        <v>0.21536569485639867</v>
      </c>
      <c r="BT16" s="1140">
        <f>+BT15/BP11-1</f>
        <v>0.24097663945961156</v>
      </c>
      <c r="BU16" s="2005">
        <v>0.26</v>
      </c>
      <c r="BV16" s="2006">
        <v>0.21</v>
      </c>
      <c r="BW16" s="2006">
        <v>0.26</v>
      </c>
      <c r="BX16" s="2006">
        <v>0.28000000000000003</v>
      </c>
      <c r="BY16" s="2005">
        <v>0.27</v>
      </c>
      <c r="BZ16" s="2006">
        <v>0.19</v>
      </c>
      <c r="CA16" s="2006">
        <v>0.16</v>
      </c>
      <c r="CB16" s="2006">
        <v>0.14000000000000001</v>
      </c>
      <c r="CC16" s="1592">
        <f t="shared" si="25"/>
        <v>0.14178233457605827</v>
      </c>
      <c r="CD16" s="1139">
        <f t="shared" si="25"/>
        <v>0.17174208298332494</v>
      </c>
      <c r="CE16" s="1139">
        <f t="shared" si="25"/>
        <v>0.14474550717431955</v>
      </c>
      <c r="CF16" s="1140">
        <f t="shared" si="25"/>
        <v>0.18752302424830991</v>
      </c>
      <c r="CG16" s="1135"/>
      <c r="CH16" s="259"/>
      <c r="CK16" s="1139"/>
      <c r="CL16" s="1139"/>
      <c r="CM16" s="1139"/>
      <c r="CN16" s="1139"/>
      <c r="CO16" s="1139">
        <f>+CO15/CN11-1</f>
        <v>0.52918700617360215</v>
      </c>
      <c r="CP16" s="1139">
        <f t="shared" ref="CP16:DF16" si="26">+CP15/CO11-1</f>
        <v>0.31420747186867137</v>
      </c>
      <c r="CQ16" s="1139">
        <f t="shared" si="26"/>
        <v>0.48613578900431342</v>
      </c>
      <c r="CR16" s="1139">
        <f t="shared" si="26"/>
        <v>0.58604378637984134</v>
      </c>
      <c r="CS16" s="1139">
        <f t="shared" si="26"/>
        <v>0.36602307305759507</v>
      </c>
      <c r="CT16" s="1139">
        <f t="shared" si="26"/>
        <v>0.37678530582710867</v>
      </c>
      <c r="CU16" s="1139">
        <f t="shared" si="26"/>
        <v>0.30324492134141479</v>
      </c>
      <c r="CV16" s="1139">
        <f t="shared" si="26"/>
        <v>0.24064120285388579</v>
      </c>
      <c r="CW16" s="1139">
        <f t="shared" si="26"/>
        <v>0.2511048679196779</v>
      </c>
      <c r="CX16" s="1139">
        <f t="shared" si="26"/>
        <v>0.16951523867739082</v>
      </c>
      <c r="CY16" s="1139">
        <f t="shared" si="26"/>
        <v>0.16126991812561653</v>
      </c>
      <c r="CZ16" s="1139">
        <f t="shared" si="26"/>
        <v>0.14588235431507401</v>
      </c>
      <c r="DA16" s="1139">
        <f t="shared" si="26"/>
        <v>0.12536676192473628</v>
      </c>
      <c r="DB16" s="1139">
        <f t="shared" si="26"/>
        <v>0.10762480845451594</v>
      </c>
      <c r="DC16" s="1139">
        <f t="shared" si="26"/>
        <v>9.5276953531441722E-2</v>
      </c>
      <c r="DD16" s="1139">
        <f t="shared" si="26"/>
        <v>8.6131161369543907E-2</v>
      </c>
      <c r="DE16" s="1139">
        <f t="shared" si="26"/>
        <v>7.7798637818324634E-2</v>
      </c>
      <c r="DF16" s="1140">
        <f t="shared" si="26"/>
        <v>7.8086027060531693E-2</v>
      </c>
    </row>
    <row r="17" spans="1:110" s="82" customFormat="1" ht="12.75" customHeight="1">
      <c r="I17" s="193" t="s">
        <v>234</v>
      </c>
      <c r="J17" s="83"/>
      <c r="K17" s="83"/>
      <c r="P17" s="1135"/>
      <c r="T17" s="1135"/>
      <c r="X17" s="1135"/>
      <c r="AB17" s="1135"/>
      <c r="AC17" s="307"/>
      <c r="AD17" s="307"/>
      <c r="AE17" s="307"/>
      <c r="AF17" s="1136"/>
      <c r="AG17" s="64"/>
      <c r="AH17" s="64"/>
      <c r="AI17" s="64"/>
      <c r="AJ17" s="180"/>
      <c r="AK17" s="64"/>
      <c r="AL17" s="64"/>
      <c r="AM17" s="64"/>
      <c r="AN17" s="180"/>
      <c r="AO17" s="64">
        <f t="shared" ref="AO17:CF17" si="27">+AO16+AK16</f>
        <v>0.63287025120907425</v>
      </c>
      <c r="AP17" s="64">
        <f t="shared" si="27"/>
        <v>0.57324956373374292</v>
      </c>
      <c r="AQ17" s="64">
        <f t="shared" si="27"/>
        <v>0.3953608881391375</v>
      </c>
      <c r="AR17" s="180">
        <f t="shared" si="27"/>
        <v>0.29117790880679228</v>
      </c>
      <c r="AS17" s="64">
        <f t="shared" si="27"/>
        <v>0.84555806409787504</v>
      </c>
      <c r="AT17" s="64">
        <f t="shared" si="27"/>
        <v>0.80699213481904519</v>
      </c>
      <c r="AU17" s="64">
        <f t="shared" si="27"/>
        <v>0.78835232358160856</v>
      </c>
      <c r="AV17" s="180">
        <f t="shared" si="27"/>
        <v>0.75882085704909441</v>
      </c>
      <c r="AW17" s="64">
        <f t="shared" si="27"/>
        <v>0.69297570165512123</v>
      </c>
      <c r="AX17" s="64">
        <f t="shared" si="27"/>
        <v>0.71234824665896701</v>
      </c>
      <c r="AY17" s="64">
        <f t="shared" si="27"/>
        <v>0.9318053015223009</v>
      </c>
      <c r="AZ17" s="180">
        <f t="shared" si="27"/>
        <v>0.94845704735846859</v>
      </c>
      <c r="BA17" s="64">
        <f t="shared" si="27"/>
        <v>1.0477642885308831</v>
      </c>
      <c r="BB17" s="64">
        <f t="shared" si="27"/>
        <v>1.0431850482167511</v>
      </c>
      <c r="BC17" s="64">
        <f t="shared" si="27"/>
        <v>1.0176930473079875</v>
      </c>
      <c r="BD17" s="180">
        <f t="shared" si="27"/>
        <v>1.0084854620564421</v>
      </c>
      <c r="BE17" s="64">
        <f t="shared" si="27"/>
        <v>1.0351891543197609</v>
      </c>
      <c r="BF17" s="64">
        <f t="shared" si="27"/>
        <v>0.91926726191644281</v>
      </c>
      <c r="BG17" s="64">
        <f t="shared" si="27"/>
        <v>0.81714576265695738</v>
      </c>
      <c r="BH17" s="180">
        <f t="shared" si="27"/>
        <v>0.87321454292413359</v>
      </c>
      <c r="BI17" s="64">
        <f t="shared" si="27"/>
        <v>0.83337062968558118</v>
      </c>
      <c r="BJ17" s="64">
        <f t="shared" si="27"/>
        <v>0.73398656576400989</v>
      </c>
      <c r="BK17" s="64">
        <f t="shared" si="27"/>
        <v>0.70610749051970889</v>
      </c>
      <c r="BL17" s="180">
        <f t="shared" si="27"/>
        <v>0.73990526989880312</v>
      </c>
      <c r="BM17" s="1263">
        <f t="shared" si="27"/>
        <v>0.71795111232037523</v>
      </c>
      <c r="BN17" s="64">
        <f t="shared" si="27"/>
        <v>0.70752344667944467</v>
      </c>
      <c r="BO17" s="64">
        <f t="shared" si="27"/>
        <v>0.65527983152472258</v>
      </c>
      <c r="BP17" s="64">
        <f t="shared" si="27"/>
        <v>0.62862122758183059</v>
      </c>
      <c r="BQ17" s="1263">
        <f t="shared" si="27"/>
        <v>0.60648460526816828</v>
      </c>
      <c r="BR17" s="64">
        <f t="shared" si="27"/>
        <v>0.58798248920193941</v>
      </c>
      <c r="BS17" s="64">
        <f t="shared" si="27"/>
        <v>0.50280461729021209</v>
      </c>
      <c r="BT17" s="180">
        <f t="shared" si="27"/>
        <v>0.47523577712649701</v>
      </c>
      <c r="BU17" s="1263">
        <f t="shared" si="27"/>
        <v>0.514191368078176</v>
      </c>
      <c r="BV17" s="64">
        <f t="shared" si="27"/>
        <v>0.46975771901314811</v>
      </c>
      <c r="BW17" s="1199">
        <f t="shared" si="27"/>
        <v>0.47536569485639868</v>
      </c>
      <c r="BX17" s="1199">
        <f t="shared" si="27"/>
        <v>0.52097663945961159</v>
      </c>
      <c r="BY17" s="1263">
        <f t="shared" si="27"/>
        <v>0.53</v>
      </c>
      <c r="BZ17" s="64">
        <f t="shared" si="27"/>
        <v>0.4</v>
      </c>
      <c r="CA17" s="64">
        <f t="shared" si="27"/>
        <v>0.42000000000000004</v>
      </c>
      <c r="CB17" s="180">
        <f t="shared" si="27"/>
        <v>0.42000000000000004</v>
      </c>
      <c r="CC17" s="1263">
        <f t="shared" si="27"/>
        <v>0.41178233457605828</v>
      </c>
      <c r="CD17" s="64">
        <f t="shared" si="27"/>
        <v>0.36174208298332494</v>
      </c>
      <c r="CE17" s="64">
        <f t="shared" si="27"/>
        <v>0.30474550717431959</v>
      </c>
      <c r="CF17" s="180">
        <f t="shared" si="27"/>
        <v>0.32752302424830992</v>
      </c>
      <c r="CG17" s="1135"/>
      <c r="CH17" s="259"/>
      <c r="CM17" s="721"/>
      <c r="CN17" s="64"/>
      <c r="CO17" s="64">
        <f t="shared" ref="CO17:DF17" si="28">+CO16+CN16</f>
        <v>0.52918700617360215</v>
      </c>
      <c r="CP17" s="64">
        <f t="shared" si="28"/>
        <v>0.84339447804227352</v>
      </c>
      <c r="CQ17" s="64">
        <f t="shared" si="28"/>
        <v>0.8003432608729848</v>
      </c>
      <c r="CR17" s="64">
        <f t="shared" si="28"/>
        <v>1.0721795753841548</v>
      </c>
      <c r="CS17" s="64">
        <f t="shared" si="28"/>
        <v>0.95206685943743641</v>
      </c>
      <c r="CT17" s="64">
        <f t="shared" si="28"/>
        <v>0.74280837888470375</v>
      </c>
      <c r="CU17" s="64">
        <f t="shared" si="28"/>
        <v>0.68003022716852346</v>
      </c>
      <c r="CV17" s="64">
        <f t="shared" si="28"/>
        <v>0.54388612419530058</v>
      </c>
      <c r="CW17" s="64">
        <f t="shared" si="28"/>
        <v>0.49174607077356369</v>
      </c>
      <c r="CX17" s="64">
        <f t="shared" si="28"/>
        <v>0.42062010659706872</v>
      </c>
      <c r="CY17" s="64">
        <f t="shared" si="28"/>
        <v>0.33078515680300735</v>
      </c>
      <c r="CZ17" s="64">
        <f t="shared" si="28"/>
        <v>0.30715227244069054</v>
      </c>
      <c r="DA17" s="64">
        <f t="shared" si="28"/>
        <v>0.2712491162398103</v>
      </c>
      <c r="DB17" s="64">
        <f t="shared" si="28"/>
        <v>0.23299157037925222</v>
      </c>
      <c r="DC17" s="64">
        <f t="shared" si="28"/>
        <v>0.20290176198595766</v>
      </c>
      <c r="DD17" s="64">
        <f t="shared" si="28"/>
        <v>0.18140811490098563</v>
      </c>
      <c r="DE17" s="64">
        <f t="shared" si="28"/>
        <v>0.16392979918786854</v>
      </c>
      <c r="DF17" s="180">
        <f t="shared" si="28"/>
        <v>0.15588466487885633</v>
      </c>
    </row>
    <row r="18" spans="1:110" s="8" customFormat="1" ht="12.75" customHeight="1">
      <c r="A18" s="24"/>
      <c r="B18" s="25"/>
      <c r="C18" s="25"/>
      <c r="D18" s="25"/>
      <c r="E18" s="25"/>
      <c r="F18" s="25"/>
      <c r="G18" s="25"/>
      <c r="H18" s="24"/>
      <c r="I18" s="193" t="s">
        <v>212</v>
      </c>
      <c r="P18" s="245"/>
      <c r="T18" s="245"/>
      <c r="X18" s="245"/>
      <c r="AB18" s="245"/>
      <c r="AC18" s="289"/>
      <c r="AD18" s="289"/>
      <c r="AE18" s="289"/>
      <c r="AF18" s="953"/>
      <c r="AG18" s="103"/>
      <c r="AH18" s="103"/>
      <c r="AI18" s="103"/>
      <c r="AJ18" s="202"/>
      <c r="AK18" s="103"/>
      <c r="AL18" s="103"/>
      <c r="AM18" s="103"/>
      <c r="AN18" s="202"/>
      <c r="AO18" s="1263">
        <f t="shared" ref="AO18:CF18" si="29">+AO12-AO16</f>
        <v>0.12839950485282303</v>
      </c>
      <c r="AP18" s="64">
        <f t="shared" si="29"/>
        <v>0.13534725012571736</v>
      </c>
      <c r="AQ18" s="64">
        <f t="shared" si="29"/>
        <v>7.9041977215511983E-2</v>
      </c>
      <c r="AR18" s="180">
        <f t="shared" si="29"/>
        <v>-6.2376027829699643E-2</v>
      </c>
      <c r="AS18" s="1263">
        <f t="shared" si="29"/>
        <v>-0.10750713630977149</v>
      </c>
      <c r="AT18" s="64">
        <f t="shared" si="29"/>
        <v>-0.10615135511726503</v>
      </c>
      <c r="AU18" s="64">
        <f t="shared" si="29"/>
        <v>-6.505047485231108E-2</v>
      </c>
      <c r="AV18" s="180">
        <f t="shared" si="29"/>
        <v>6.1243774107714755E-2</v>
      </c>
      <c r="AW18" s="1263">
        <f t="shared" si="29"/>
        <v>4.5087397303126719E-2</v>
      </c>
      <c r="AX18" s="64">
        <f t="shared" si="29"/>
        <v>-4.526189045123985E-2</v>
      </c>
      <c r="AY18" s="64">
        <f t="shared" si="29"/>
        <v>-6.7559156852793123E-2</v>
      </c>
      <c r="AZ18" s="180">
        <f t="shared" si="29"/>
        <v>-3.8965423894678386E-2</v>
      </c>
      <c r="BA18" s="1263">
        <f t="shared" si="29"/>
        <v>6.0412808062886292E-3</v>
      </c>
      <c r="BB18" s="64">
        <f t="shared" si="29"/>
        <v>0.1303458219214233</v>
      </c>
      <c r="BC18" s="64">
        <f t="shared" si="29"/>
        <v>8.302795806290586E-2</v>
      </c>
      <c r="BD18" s="180">
        <f t="shared" si="29"/>
        <v>-9.7540581929556058E-3</v>
      </c>
      <c r="BE18" s="1263">
        <f t="shared" si="29"/>
        <v>-2.9127545551982825E-2</v>
      </c>
      <c r="BF18" s="64">
        <f t="shared" si="29"/>
        <v>-8.6694809688581342E-2</v>
      </c>
      <c r="BG18" s="64">
        <f t="shared" si="29"/>
        <v>-8.6548505673645471E-2</v>
      </c>
      <c r="BH18" s="180">
        <f t="shared" si="29"/>
        <v>-1.705246166263108E-2</v>
      </c>
      <c r="BI18" s="1263">
        <f t="shared" si="29"/>
        <v>-1.7776784383847222E-3</v>
      </c>
      <c r="BJ18" s="64">
        <f t="shared" si="29"/>
        <v>1.1079274116525539E-3</v>
      </c>
      <c r="BK18" s="64">
        <f t="shared" si="29"/>
        <v>6.6483656792644119E-3</v>
      </c>
      <c r="BL18" s="180">
        <f t="shared" si="29"/>
        <v>-6.452004860267202E-3</v>
      </c>
      <c r="BM18" s="1263">
        <f t="shared" si="29"/>
        <v>-1.0656615317382157E-2</v>
      </c>
      <c r="BN18" s="64">
        <f t="shared" si="29"/>
        <v>9.9189483048334193E-3</v>
      </c>
      <c r="BO18" s="64">
        <f t="shared" si="29"/>
        <v>-3.3701811425919104E-3</v>
      </c>
      <c r="BP18" s="180">
        <f t="shared" si="29"/>
        <v>-6.7811337272926098E-2</v>
      </c>
      <c r="BQ18" s="1263">
        <f t="shared" si="29"/>
        <v>-0.13244869706840401</v>
      </c>
      <c r="BR18" s="64">
        <f t="shared" si="29"/>
        <v>-0.15472004727433886</v>
      </c>
      <c r="BS18" s="64">
        <f t="shared" si="29"/>
        <v>-0.14627794255950222</v>
      </c>
      <c r="BT18" s="180">
        <f t="shared" si="29"/>
        <v>-0.11376020264565145</v>
      </c>
      <c r="BU18" s="1263">
        <f t="shared" si="29"/>
        <v>-5.1070780399274041E-2</v>
      </c>
      <c r="BV18" s="64">
        <f t="shared" si="29"/>
        <v>-1.6016042780748557E-2</v>
      </c>
      <c r="BW18" s="64">
        <f t="shared" si="29"/>
        <v>-1.084585194207599E-2</v>
      </c>
      <c r="BX18" s="64">
        <f t="shared" si="29"/>
        <v>-2.2238868081564833E-2</v>
      </c>
      <c r="BY18" s="1263">
        <f t="shared" si="29"/>
        <v>-2.7761364318741322E-2</v>
      </c>
      <c r="BZ18" s="64">
        <f t="shared" si="29"/>
        <v>-2.5684693763296462E-2</v>
      </c>
      <c r="CA18" s="1199">
        <f t="shared" si="29"/>
        <v>1.8873239436619699E-2</v>
      </c>
      <c r="CB18" s="180">
        <f t="shared" si="29"/>
        <v>4.9782953943885544E-2</v>
      </c>
      <c r="CC18" s="1263">
        <f t="shared" si="29"/>
        <v>6.0976598561426343E-2</v>
      </c>
      <c r="CD18" s="64">
        <f t="shared" si="29"/>
        <v>3.449573506449588E-2</v>
      </c>
      <c r="CE18" s="64">
        <f t="shared" si="29"/>
        <v>-4.5200685530795148E-3</v>
      </c>
      <c r="CF18" s="180">
        <f t="shared" si="29"/>
        <v>3.6335775824849037E-2</v>
      </c>
      <c r="CG18" s="245"/>
      <c r="CH18" s="178"/>
      <c r="CM18" s="103"/>
      <c r="CN18" s="721"/>
      <c r="CO18" s="64">
        <f t="shared" ref="CO18:DF18" si="30">+CO12-CO16</f>
        <v>3.1135866931129019E-3</v>
      </c>
      <c r="CP18" s="64">
        <f t="shared" si="30"/>
        <v>-5.6110876909429619E-2</v>
      </c>
      <c r="CQ18" s="64">
        <f t="shared" si="30"/>
        <v>-2.0423208357696954E-2</v>
      </c>
      <c r="CR18" s="64">
        <f t="shared" si="30"/>
        <v>1.1025124100860761E-3</v>
      </c>
      <c r="CS18" s="64">
        <f t="shared" si="30"/>
        <v>-5.2143675144583623E-2</v>
      </c>
      <c r="CT18" s="64">
        <f t="shared" si="30"/>
        <v>-1.687750427399326E-4</v>
      </c>
      <c r="CU18" s="64">
        <f t="shared" si="30"/>
        <v>-1.9197235435306048E-2</v>
      </c>
      <c r="CV18" s="64">
        <f t="shared" si="30"/>
        <v>-0.13670482114414417</v>
      </c>
      <c r="CW18" s="64">
        <f t="shared" si="30"/>
        <v>-2.4930685525210272E-2</v>
      </c>
      <c r="CX18" s="64">
        <f t="shared" si="30"/>
        <v>2.3458456741705325E-2</v>
      </c>
      <c r="CY18" s="64">
        <f t="shared" si="30"/>
        <v>3.0296442058887152E-2</v>
      </c>
      <c r="CZ18" s="64">
        <f t="shared" si="30"/>
        <v>1.7862118461842158E-4</v>
      </c>
      <c r="DA18" s="64">
        <f t="shared" si="30"/>
        <v>0</v>
      </c>
      <c r="DB18" s="64">
        <f t="shared" si="30"/>
        <v>0</v>
      </c>
      <c r="DC18" s="64">
        <f t="shared" si="30"/>
        <v>0</v>
      </c>
      <c r="DD18" s="64">
        <f t="shared" si="30"/>
        <v>0</v>
      </c>
      <c r="DE18" s="64">
        <f t="shared" si="30"/>
        <v>0</v>
      </c>
      <c r="DF18" s="180">
        <f t="shared" si="30"/>
        <v>0</v>
      </c>
    </row>
    <row r="19" spans="1:110" s="82" customFormat="1" ht="12.75" customHeight="1">
      <c r="I19" s="185" t="s">
        <v>385</v>
      </c>
      <c r="J19" s="83"/>
      <c r="K19" s="83"/>
      <c r="P19" s="1135"/>
      <c r="T19" s="1135"/>
      <c r="X19" s="1135"/>
      <c r="AB19" s="1135"/>
      <c r="AC19" s="307"/>
      <c r="AD19" s="307"/>
      <c r="AE19" s="307"/>
      <c r="AF19" s="1136"/>
      <c r="AG19" s="64"/>
      <c r="AH19" s="64"/>
      <c r="AI19" s="64"/>
      <c r="AJ19" s="180"/>
      <c r="AK19" s="1139"/>
      <c r="AL19" s="1139"/>
      <c r="AM19" s="1139"/>
      <c r="AN19" s="1140"/>
      <c r="AO19" s="1616">
        <f t="shared" ref="AO19:CF19" si="31">+AO15-AK11</f>
        <v>631.91524999999979</v>
      </c>
      <c r="AP19" s="683">
        <f t="shared" si="31"/>
        <v>707.91219200000023</v>
      </c>
      <c r="AQ19" s="683">
        <f t="shared" si="31"/>
        <v>549.82166600000028</v>
      </c>
      <c r="AR19" s="1213">
        <f t="shared" si="31"/>
        <v>350.96575999999982</v>
      </c>
      <c r="AS19" s="1616">
        <f t="shared" si="31"/>
        <v>374.03533999999968</v>
      </c>
      <c r="AT19" s="683">
        <f t="shared" si="31"/>
        <v>493.18864399999984</v>
      </c>
      <c r="AU19" s="683">
        <f t="shared" si="31"/>
        <v>805.80024999999978</v>
      </c>
      <c r="AV19" s="1213">
        <f t="shared" si="31"/>
        <v>692.63205000000062</v>
      </c>
      <c r="AW19" s="1616">
        <f t="shared" si="31"/>
        <v>933.47985599999993</v>
      </c>
      <c r="AX19" s="683">
        <f t="shared" si="31"/>
        <v>1138.6880940000005</v>
      </c>
      <c r="AY19" s="683">
        <f t="shared" si="31"/>
        <v>1467.1071800000004</v>
      </c>
      <c r="AZ19" s="1213">
        <f t="shared" si="31"/>
        <v>1088.7814099999996</v>
      </c>
      <c r="BA19" s="1616">
        <f t="shared" si="31"/>
        <v>1682.3944450000004</v>
      </c>
      <c r="BB19" s="683">
        <f t="shared" si="31"/>
        <v>1925.3172850000001</v>
      </c>
      <c r="BC19" s="683">
        <f t="shared" si="31"/>
        <v>1918.3899999999994</v>
      </c>
      <c r="BD19" s="1213">
        <f t="shared" si="31"/>
        <v>1722.8469999999998</v>
      </c>
      <c r="BE19" s="1616">
        <f t="shared" si="31"/>
        <v>2181.88</v>
      </c>
      <c r="BF19" s="683">
        <f t="shared" si="31"/>
        <v>2050.0960000000005</v>
      </c>
      <c r="BG19" s="683">
        <f t="shared" si="31"/>
        <v>2116.5339999999997</v>
      </c>
      <c r="BH19" s="1213">
        <f t="shared" si="31"/>
        <v>1712.5119999999997</v>
      </c>
      <c r="BI19" s="1616">
        <f t="shared" si="31"/>
        <v>2453.9300000000003</v>
      </c>
      <c r="BJ19" s="683">
        <f t="shared" si="31"/>
        <v>2779.8799999999992</v>
      </c>
      <c r="BK19" s="683">
        <f t="shared" si="31"/>
        <v>2880.9300000000003</v>
      </c>
      <c r="BL19" s="1213">
        <f t="shared" si="31"/>
        <v>2596.4799999999996</v>
      </c>
      <c r="BM19" s="1616">
        <f t="shared" si="31"/>
        <v>3224.5399999999991</v>
      </c>
      <c r="BN19" s="683">
        <f t="shared" si="31"/>
        <v>3320.6500000000015</v>
      </c>
      <c r="BO19" s="683">
        <f t="shared" si="31"/>
        <v>3094.2800000000007</v>
      </c>
      <c r="BP19" s="1213">
        <f t="shared" si="31"/>
        <v>2140.66</v>
      </c>
      <c r="BQ19" s="1616">
        <f t="shared" si="31"/>
        <v>3121.4700000000012</v>
      </c>
      <c r="BR19" s="683">
        <f t="shared" si="31"/>
        <v>3516.5999999999985</v>
      </c>
      <c r="BS19" s="683">
        <f t="shared" si="31"/>
        <v>2977</v>
      </c>
      <c r="BT19" s="1213">
        <f t="shared" si="31"/>
        <v>2568.5699999999997</v>
      </c>
      <c r="BU19" s="1616">
        <f t="shared" si="31"/>
        <v>3581.5</v>
      </c>
      <c r="BV19" s="683">
        <f t="shared" si="31"/>
        <v>3141.5999999999985</v>
      </c>
      <c r="BW19" s="683">
        <f t="shared" si="31"/>
        <v>3842.2799999999988</v>
      </c>
      <c r="BX19" s="683">
        <f>+BX15-BT11</f>
        <v>3364.2000000000007</v>
      </c>
      <c r="BY19" s="1616">
        <f t="shared" si="31"/>
        <v>4496.3100000000013</v>
      </c>
      <c r="BZ19" s="683">
        <f t="shared" si="31"/>
        <v>3410.2794601983369</v>
      </c>
      <c r="CA19" s="683">
        <f t="shared" si="31"/>
        <v>2943.946569932883</v>
      </c>
      <c r="CB19" s="1213">
        <f t="shared" si="31"/>
        <v>2082.913407572898</v>
      </c>
      <c r="CC19" s="1616">
        <f t="shared" si="31"/>
        <v>2933.0511553749166</v>
      </c>
      <c r="CD19" s="683">
        <f t="shared" si="31"/>
        <v>3571.7200998042099</v>
      </c>
      <c r="CE19" s="683">
        <f t="shared" si="31"/>
        <v>3149.9517271275436</v>
      </c>
      <c r="CF19" s="1213">
        <f t="shared" si="31"/>
        <v>3371.6639759846112</v>
      </c>
      <c r="CG19" s="1135"/>
      <c r="CH19" s="259"/>
      <c r="CK19" s="1139"/>
      <c r="CL19" s="1139"/>
      <c r="CM19" s="1139"/>
      <c r="CN19" s="1139"/>
      <c r="CO19" s="683">
        <f>+CO15-CN11</f>
        <v>2555.664194606893</v>
      </c>
      <c r="CP19" s="683">
        <f t="shared" ref="CP19:DF19" si="32">+CP15-CO11</f>
        <v>2325.1720541023769</v>
      </c>
      <c r="CQ19" s="683">
        <f t="shared" si="32"/>
        <v>4525.954336049077</v>
      </c>
      <c r="CR19" s="683">
        <f t="shared" si="32"/>
        <v>7997.0802534660179</v>
      </c>
      <c r="CS19" s="683">
        <f t="shared" si="32"/>
        <v>7927.3277162813938</v>
      </c>
      <c r="CT19" s="683">
        <f t="shared" si="32"/>
        <v>10721.802662616203</v>
      </c>
      <c r="CU19" s="683">
        <f t="shared" si="32"/>
        <v>11879.013303707237</v>
      </c>
      <c r="CV19" s="683">
        <f t="shared" si="32"/>
        <v>12104.252503550451</v>
      </c>
      <c r="CW19" s="683">
        <f t="shared" si="32"/>
        <v>13943.351105843874</v>
      </c>
      <c r="CX19" s="683">
        <f t="shared" si="32"/>
        <v>11541.784055827506</v>
      </c>
      <c r="CY19" s="683">
        <f t="shared" si="32"/>
        <v>13099.310369671322</v>
      </c>
      <c r="CZ19" s="683">
        <f t="shared" si="32"/>
        <v>14119.394223998941</v>
      </c>
      <c r="DA19" s="683">
        <f t="shared" si="32"/>
        <v>13906.038710564637</v>
      </c>
      <c r="DB19" s="683">
        <f t="shared" si="32"/>
        <v>13434.685393824184</v>
      </c>
      <c r="DC19" s="683">
        <f t="shared" si="32"/>
        <v>13173.332263809367</v>
      </c>
      <c r="DD19" s="683">
        <f t="shared" si="32"/>
        <v>13043.436745157058</v>
      </c>
      <c r="DE19" s="683">
        <f t="shared" si="32"/>
        <v>12796.346755426348</v>
      </c>
      <c r="DF19" s="1213">
        <f t="shared" si="32"/>
        <v>13842.832516030408</v>
      </c>
    </row>
    <row r="20" spans="1:110" s="8" customFormat="1" ht="12.75" customHeight="1">
      <c r="A20" s="24"/>
      <c r="B20" s="25"/>
      <c r="C20" s="25"/>
      <c r="D20" s="25"/>
      <c r="E20" s="25"/>
      <c r="F20" s="25"/>
      <c r="G20" s="25"/>
      <c r="H20" s="24"/>
      <c r="I20" s="178"/>
      <c r="P20" s="245"/>
      <c r="T20" s="245"/>
      <c r="X20" s="245"/>
      <c r="AB20" s="245"/>
      <c r="AC20" s="289"/>
      <c r="AD20" s="289"/>
      <c r="AE20" s="289"/>
      <c r="AF20" s="953"/>
      <c r="AG20" s="103"/>
      <c r="AH20" s="103"/>
      <c r="AI20" s="103"/>
      <c r="AJ20" s="202"/>
      <c r="AK20" s="103"/>
      <c r="AL20" s="103"/>
      <c r="AM20" s="103"/>
      <c r="AN20" s="202"/>
      <c r="AO20" s="103"/>
      <c r="AP20" s="103"/>
      <c r="AQ20" s="103"/>
      <c r="AR20" s="202"/>
      <c r="AS20" s="103"/>
      <c r="AT20" s="103"/>
      <c r="AU20" s="103"/>
      <c r="AV20" s="202"/>
      <c r="AW20" s="103"/>
      <c r="AX20" s="103"/>
      <c r="AY20" s="103"/>
      <c r="AZ20" s="202"/>
      <c r="BA20" s="103"/>
      <c r="BB20" s="103"/>
      <c r="BC20" s="103"/>
      <c r="BD20" s="202"/>
      <c r="BE20" s="721"/>
      <c r="BF20" s="721"/>
      <c r="BG20" s="721"/>
      <c r="BH20" s="731"/>
      <c r="BI20" s="797"/>
      <c r="BJ20" s="62"/>
      <c r="BK20" s="798"/>
      <c r="BL20" s="906"/>
      <c r="BM20" s="1265"/>
      <c r="BN20" s="798"/>
      <c r="BO20" s="1214"/>
      <c r="BP20" s="1214"/>
      <c r="BQ20" s="223"/>
      <c r="BR20" s="1214"/>
      <c r="BS20" s="1214"/>
      <c r="BT20" s="1214"/>
      <c r="BU20" s="1418"/>
      <c r="BV20" s="103"/>
      <c r="BW20" s="1214"/>
      <c r="BX20" s="1214"/>
      <c r="BY20" s="1722"/>
      <c r="BZ20" s="103"/>
      <c r="CA20" s="1214"/>
      <c r="CB20" s="1214"/>
      <c r="CC20" s="265"/>
      <c r="CD20" s="103"/>
      <c r="CE20" s="103"/>
      <c r="CF20" s="202"/>
      <c r="CG20" s="245"/>
      <c r="CH20" s="178"/>
      <c r="CM20" s="103"/>
      <c r="CN20" s="721"/>
      <c r="CO20" s="721"/>
      <c r="CP20" s="103"/>
      <c r="CQ20" s="103"/>
      <c r="CR20" s="103"/>
      <c r="CS20" s="799"/>
      <c r="CT20" s="721"/>
      <c r="CU20" s="103"/>
      <c r="CV20" s="103"/>
      <c r="CW20" s="103"/>
      <c r="CX20" s="103"/>
      <c r="CY20" s="103"/>
      <c r="DF20" s="245"/>
    </row>
    <row r="21" spans="1:110" ht="12.75" customHeight="1" outlineLevel="1">
      <c r="B21" s="25"/>
      <c r="C21" s="25"/>
      <c r="D21" s="25"/>
      <c r="E21" s="25"/>
      <c r="F21" s="25"/>
      <c r="G21" s="25"/>
      <c r="I21" s="160" t="s">
        <v>567</v>
      </c>
      <c r="P21" s="234"/>
      <c r="T21" s="234"/>
      <c r="X21" s="234"/>
      <c r="AB21" s="234"/>
      <c r="AF21" s="249"/>
      <c r="AG21" s="1217"/>
      <c r="AH21" s="1217"/>
      <c r="AI21" s="1217"/>
      <c r="AJ21" s="1218"/>
      <c r="AK21" s="1217"/>
      <c r="AL21" s="1217"/>
      <c r="AM21" s="1217"/>
      <c r="AN21" s="1218"/>
      <c r="AO21" s="1217"/>
      <c r="AP21" s="1217"/>
      <c r="AQ21" s="1217"/>
      <c r="AR21" s="1218"/>
      <c r="AS21" s="1217"/>
      <c r="AT21" s="1217"/>
      <c r="AU21" s="1217"/>
      <c r="AV21" s="1218"/>
      <c r="AW21" s="1217"/>
      <c r="AX21" s="1217"/>
      <c r="AY21" s="1217"/>
      <c r="AZ21" s="1218"/>
      <c r="BA21" s="1217"/>
      <c r="BB21" s="1988"/>
      <c r="BC21" s="1988"/>
      <c r="BD21" s="1218"/>
      <c r="BE21" s="1987"/>
      <c r="BF21" s="1988"/>
      <c r="BG21" s="1987">
        <v>0.27</v>
      </c>
      <c r="BH21" s="1989">
        <v>0.28999999999999998</v>
      </c>
      <c r="BI21" s="1987">
        <v>0.36</v>
      </c>
      <c r="BJ21" s="1988">
        <v>0.34</v>
      </c>
      <c r="BK21" s="1988">
        <v>0.34</v>
      </c>
      <c r="BL21" s="1989">
        <v>0.34</v>
      </c>
      <c r="BM21" s="1987">
        <v>0.33</v>
      </c>
      <c r="BN21" s="1988">
        <v>0.32</v>
      </c>
      <c r="BO21" s="1988">
        <v>0.28999999999999998</v>
      </c>
      <c r="BP21" s="1989">
        <v>0.15</v>
      </c>
      <c r="BQ21" s="1987">
        <v>0.21</v>
      </c>
      <c r="BR21" s="1988">
        <v>0.22</v>
      </c>
      <c r="BS21" s="1988">
        <v>0.2</v>
      </c>
      <c r="BT21" s="1989">
        <v>0.2</v>
      </c>
      <c r="BU21" s="1987">
        <v>0.25</v>
      </c>
      <c r="BV21" s="1988">
        <v>0.18</v>
      </c>
      <c r="BW21" s="1988">
        <v>0.2</v>
      </c>
      <c r="BX21" s="1989">
        <v>0.22</v>
      </c>
      <c r="BY21" s="1987">
        <v>0.24</v>
      </c>
      <c r="BZ21" s="1988">
        <v>0.2</v>
      </c>
      <c r="CA21" s="1988">
        <v>0.14000000000000001</v>
      </c>
      <c r="CB21" s="1989">
        <v>0.105</v>
      </c>
      <c r="CC21" s="1987">
        <v>0.1</v>
      </c>
      <c r="CD21" s="1217"/>
      <c r="CE21" s="30"/>
      <c r="CF21" s="1218"/>
      <c r="CG21" s="234"/>
      <c r="CH21" s="160"/>
      <c r="CM21" s="1217"/>
      <c r="CN21" s="1199"/>
      <c r="CO21" s="1199"/>
      <c r="CP21" s="1217"/>
      <c r="CQ21" s="1217"/>
      <c r="CR21" s="1217"/>
      <c r="CS21" s="1926"/>
      <c r="CT21" s="1199"/>
      <c r="CU21" s="1217"/>
      <c r="CV21" s="1217"/>
      <c r="CW21" s="1217"/>
      <c r="CX21" s="1217"/>
      <c r="CY21" s="1217"/>
      <c r="DF21" s="234"/>
    </row>
    <row r="22" spans="1:110" ht="12.75" customHeight="1" outlineLevel="1">
      <c r="B22" s="25"/>
      <c r="C22" s="25"/>
      <c r="D22" s="25"/>
      <c r="E22" s="25"/>
      <c r="F22" s="25"/>
      <c r="G22" s="25"/>
      <c r="I22" s="160" t="s">
        <v>570</v>
      </c>
      <c r="P22" s="234"/>
      <c r="T22" s="234"/>
      <c r="X22" s="234"/>
      <c r="AB22" s="234"/>
      <c r="AF22" s="249"/>
      <c r="AG22" s="1217"/>
      <c r="AH22" s="1217"/>
      <c r="AI22" s="1217"/>
      <c r="AJ22" s="1218"/>
      <c r="AK22" s="1217"/>
      <c r="AL22" s="1217"/>
      <c r="AM22" s="1217"/>
      <c r="AN22" s="1218"/>
      <c r="AO22" s="1217"/>
      <c r="AP22" s="1217"/>
      <c r="AQ22" s="1217"/>
      <c r="AR22" s="1218"/>
      <c r="AS22" s="1217"/>
      <c r="AT22" s="1217"/>
      <c r="AU22" s="1217"/>
      <c r="AV22" s="1218"/>
      <c r="AW22" s="1217"/>
      <c r="AX22" s="1217"/>
      <c r="AY22" s="1217"/>
      <c r="AZ22" s="1218"/>
      <c r="BA22" s="1217"/>
      <c r="BB22" s="1217"/>
      <c r="BC22" s="1217"/>
      <c r="BD22" s="1218"/>
      <c r="BE22" s="1199"/>
      <c r="BF22" s="1199"/>
      <c r="BG22" s="1418">
        <f t="shared" ref="BG22:BU22" si="33">+(BG16-BG21)*10000</f>
        <v>682.66581428799714</v>
      </c>
      <c r="BH22" s="1418">
        <f t="shared" si="33"/>
        <v>555.43179983857988</v>
      </c>
      <c r="BI22" s="1418">
        <f t="shared" si="33"/>
        <v>56.578751303829613</v>
      </c>
      <c r="BJ22" s="1419">
        <f t="shared" si="33"/>
        <v>392.98676490653384</v>
      </c>
      <c r="BK22" s="1419">
        <f t="shared" si="33"/>
        <v>278.40909090909139</v>
      </c>
      <c r="BL22" s="1417">
        <f t="shared" si="33"/>
        <v>543.62089914945125</v>
      </c>
      <c r="BM22" s="1418">
        <f t="shared" si="33"/>
        <v>222.93237189992266</v>
      </c>
      <c r="BN22" s="1419">
        <f t="shared" si="33"/>
        <v>82.247701887912527</v>
      </c>
      <c r="BO22" s="1419">
        <f t="shared" si="33"/>
        <v>-25.610775661865649</v>
      </c>
      <c r="BP22" s="1417">
        <f t="shared" si="33"/>
        <v>842.59137666885442</v>
      </c>
      <c r="BQ22" s="1418">
        <f t="shared" si="33"/>
        <v>441.91368078176004</v>
      </c>
      <c r="BR22" s="1419">
        <f t="shared" si="33"/>
        <v>397.57719013148147</v>
      </c>
      <c r="BS22" s="1419">
        <f t="shared" si="33"/>
        <v>153.65694856398659</v>
      </c>
      <c r="BT22" s="1417">
        <f t="shared" si="33"/>
        <v>409.7663945961155</v>
      </c>
      <c r="BU22" s="1418">
        <f t="shared" si="33"/>
        <v>100.00000000000009</v>
      </c>
      <c r="BV22" s="1419">
        <f t="shared" ref="BV22:CC22" si="34">+(BV16-BV21)*10000</f>
        <v>300</v>
      </c>
      <c r="BW22" s="1419">
        <f t="shared" si="34"/>
        <v>600</v>
      </c>
      <c r="BX22" s="1419">
        <f t="shared" si="34"/>
        <v>600.00000000000023</v>
      </c>
      <c r="BY22" s="1418">
        <f t="shared" si="34"/>
        <v>300.00000000000028</v>
      </c>
      <c r="BZ22" s="1419">
        <f t="shared" si="34"/>
        <v>-100.00000000000009</v>
      </c>
      <c r="CA22" s="1419">
        <f t="shared" si="34"/>
        <v>199.99999999999989</v>
      </c>
      <c r="CB22" s="1419">
        <f t="shared" si="34"/>
        <v>350.00000000000017</v>
      </c>
      <c r="CC22" s="1418">
        <f t="shared" si="34"/>
        <v>417.82334576058258</v>
      </c>
      <c r="CD22" s="1217"/>
      <c r="CE22" s="1217"/>
      <c r="CF22" s="1218"/>
      <c r="CG22" s="234"/>
      <c r="CH22" s="160"/>
      <c r="CM22" s="1217"/>
      <c r="CN22" s="1199"/>
      <c r="CO22" s="1199"/>
      <c r="CP22" s="1217"/>
      <c r="CQ22" s="1217"/>
      <c r="CR22" s="1217"/>
      <c r="CS22" s="1926"/>
      <c r="CT22" s="1199"/>
      <c r="CU22" s="1217"/>
      <c r="CV22" s="1217"/>
      <c r="CW22" s="1217"/>
      <c r="CX22" s="1217"/>
      <c r="CY22" s="1217"/>
      <c r="DF22" s="234"/>
    </row>
    <row r="23" spans="1:110" s="8" customFormat="1" ht="12.75" customHeight="1">
      <c r="A23" s="24"/>
      <c r="B23" s="25"/>
      <c r="C23" s="25"/>
      <c r="D23" s="25"/>
      <c r="E23" s="25"/>
      <c r="F23" s="25"/>
      <c r="G23" s="25"/>
      <c r="H23" s="24"/>
      <c r="I23" s="178"/>
      <c r="P23" s="245"/>
      <c r="T23" s="245"/>
      <c r="X23" s="245"/>
      <c r="AB23" s="245"/>
      <c r="AC23" s="289"/>
      <c r="AD23" s="289"/>
      <c r="AE23" s="289"/>
      <c r="AF23" s="953"/>
      <c r="AG23" s="103"/>
      <c r="AH23" s="103"/>
      <c r="AI23" s="103"/>
      <c r="AJ23" s="202"/>
      <c r="AK23" s="103"/>
      <c r="AL23" s="103"/>
      <c r="AM23" s="103"/>
      <c r="AN23" s="202"/>
      <c r="AO23" s="103"/>
      <c r="AP23" s="103"/>
      <c r="AQ23" s="103"/>
      <c r="AR23" s="202"/>
      <c r="AS23" s="103"/>
      <c r="AT23" s="103"/>
      <c r="AU23" s="103"/>
      <c r="AV23" s="202"/>
      <c r="AW23" s="103"/>
      <c r="AX23" s="103"/>
      <c r="AY23" s="103"/>
      <c r="AZ23" s="202"/>
      <c r="BA23" s="103"/>
      <c r="BB23" s="103"/>
      <c r="BC23" s="103"/>
      <c r="BD23" s="202"/>
      <c r="BE23" s="721"/>
      <c r="BF23" s="721"/>
      <c r="BG23" s="721"/>
      <c r="BH23" s="731"/>
      <c r="BI23" s="797"/>
      <c r="BJ23" s="62"/>
      <c r="BK23" s="798"/>
      <c r="BL23" s="906"/>
      <c r="BM23" s="1265"/>
      <c r="BN23" s="798"/>
      <c r="BO23" s="798"/>
      <c r="BP23" s="103"/>
      <c r="BQ23" s="223"/>
      <c r="BR23" s="1214"/>
      <c r="BS23" s="1214"/>
      <c r="BT23" s="1389"/>
      <c r="BU23" s="1263"/>
      <c r="BV23" s="103"/>
      <c r="BW23" s="103"/>
      <c r="BX23" s="103"/>
      <c r="BY23" s="265"/>
      <c r="BZ23" s="103"/>
      <c r="CA23" s="103"/>
      <c r="CB23" s="202"/>
      <c r="CC23" s="265"/>
      <c r="CD23" s="103"/>
      <c r="CE23" s="103"/>
      <c r="CF23" s="202"/>
      <c r="CG23" s="245"/>
      <c r="CH23" s="178"/>
      <c r="CM23" s="103"/>
      <c r="CN23" s="721"/>
      <c r="CO23" s="721"/>
      <c r="CP23" s="103"/>
      <c r="CQ23" s="103"/>
      <c r="CR23" s="103"/>
      <c r="CS23" s="799"/>
      <c r="CT23" s="721"/>
      <c r="CU23" s="103"/>
      <c r="CV23" s="103"/>
      <c r="CW23" s="103"/>
      <c r="CX23" s="103"/>
      <c r="CY23" s="103"/>
      <c r="DF23" s="245"/>
    </row>
    <row r="24" spans="1:110" s="88" customFormat="1" ht="12.75" customHeight="1">
      <c r="A24" s="24"/>
      <c r="B24" s="25"/>
      <c r="C24" s="25"/>
      <c r="D24" s="25"/>
      <c r="E24" s="25"/>
      <c r="F24" s="25"/>
      <c r="G24" s="25"/>
      <c r="H24" s="24"/>
      <c r="I24" s="197" t="s">
        <v>258</v>
      </c>
      <c r="J24" s="87"/>
      <c r="K24" s="87"/>
      <c r="L24" s="84"/>
      <c r="M24" s="84"/>
      <c r="N24" s="84"/>
      <c r="O24" s="84"/>
      <c r="P24" s="248"/>
      <c r="Q24" s="84"/>
      <c r="R24" s="84"/>
      <c r="S24" s="84"/>
      <c r="T24" s="248"/>
      <c r="U24" s="84"/>
      <c r="V24" s="84"/>
      <c r="W24" s="84"/>
      <c r="X24" s="248"/>
      <c r="Y24" s="84"/>
      <c r="Z24" s="84"/>
      <c r="AA24" s="84"/>
      <c r="AB24" s="248"/>
      <c r="AC24" s="793"/>
      <c r="AD24" s="793"/>
      <c r="AE24" s="793"/>
      <c r="AF24" s="954"/>
      <c r="AG24" s="794"/>
      <c r="AH24" s="794"/>
      <c r="AI24" s="794"/>
      <c r="AJ24" s="966"/>
      <c r="AK24" s="794"/>
      <c r="AL24" s="794"/>
      <c r="AM24" s="794"/>
      <c r="AN24" s="966"/>
      <c r="AO24" s="794"/>
      <c r="AP24" s="794"/>
      <c r="AQ24" s="795"/>
      <c r="AR24" s="850"/>
      <c r="AS24" s="795"/>
      <c r="AT24" s="795"/>
      <c r="AU24" s="795"/>
      <c r="AV24" s="850"/>
      <c r="AW24" s="795"/>
      <c r="AX24" s="795"/>
      <c r="AY24" s="795"/>
      <c r="AZ24" s="850"/>
      <c r="BA24" s="795"/>
      <c r="BB24" s="795"/>
      <c r="BC24" s="795"/>
      <c r="BD24" s="850"/>
      <c r="BE24" s="795"/>
      <c r="BF24" s="795"/>
      <c r="BG24" s="795"/>
      <c r="BH24" s="850"/>
      <c r="BI24" s="795"/>
      <c r="BJ24" s="795"/>
      <c r="BK24" s="795"/>
      <c r="BL24" s="850"/>
      <c r="BM24" s="1593"/>
      <c r="BN24" s="795"/>
      <c r="BO24" s="795"/>
      <c r="BP24" s="795"/>
      <c r="BQ24" s="1593"/>
      <c r="BR24" s="795"/>
      <c r="BS24" s="795"/>
      <c r="BT24" s="850"/>
      <c r="BU24" s="1593"/>
      <c r="BV24" s="795"/>
      <c r="BW24" s="795"/>
      <c r="BX24" s="850"/>
      <c r="BY24" s="1593"/>
      <c r="BZ24" s="795"/>
      <c r="CA24" s="795"/>
      <c r="CB24" s="850"/>
      <c r="CC24" s="1593"/>
      <c r="CD24" s="795"/>
      <c r="CE24" s="795"/>
      <c r="CF24" s="850"/>
      <c r="CG24" s="1658"/>
      <c r="CH24" s="260"/>
      <c r="CI24" s="84"/>
      <c r="CJ24" s="84"/>
      <c r="CK24" s="84"/>
      <c r="CL24" s="84"/>
      <c r="CM24" s="794"/>
      <c r="CN24" s="795"/>
      <c r="CO24" s="795"/>
      <c r="CP24" s="795"/>
      <c r="CQ24" s="795"/>
      <c r="CR24" s="795"/>
      <c r="CS24" s="795"/>
      <c r="CT24" s="261"/>
      <c r="CU24" s="261"/>
      <c r="CV24" s="261"/>
      <c r="CW24" s="261"/>
      <c r="CX24" s="261"/>
      <c r="CY24" s="261"/>
      <c r="CZ24" s="261"/>
      <c r="DA24" s="261"/>
      <c r="DB24" s="261"/>
      <c r="DC24" s="261"/>
      <c r="DD24" s="261"/>
      <c r="DE24" s="261"/>
      <c r="DF24" s="262"/>
    </row>
    <row r="25" spans="1:110" s="8" customFormat="1" ht="12.75" customHeight="1">
      <c r="A25" s="24"/>
      <c r="B25" s="24"/>
      <c r="C25" s="24"/>
      <c r="D25" s="24"/>
      <c r="E25" s="24"/>
      <c r="F25" s="24"/>
      <c r="G25" s="24"/>
      <c r="H25" s="34"/>
      <c r="I25" s="190" t="s">
        <v>397</v>
      </c>
      <c r="J25" s="79"/>
      <c r="K25" s="79"/>
      <c r="P25" s="245"/>
      <c r="T25" s="245"/>
      <c r="X25" s="245"/>
      <c r="AB25" s="245"/>
      <c r="AC25" s="289"/>
      <c r="AD25" s="289"/>
      <c r="AE25" s="289"/>
      <c r="AF25" s="953"/>
      <c r="AG25" s="103">
        <f t="shared" ref="AG25:AW25" si="35">+AG40-AG29</f>
        <v>272.81400000000002</v>
      </c>
      <c r="AH25" s="103">
        <f t="shared" si="35"/>
        <v>356.59300000000002</v>
      </c>
      <c r="AI25" s="103">
        <f t="shared" si="35"/>
        <v>398.416</v>
      </c>
      <c r="AJ25" s="202">
        <f t="shared" si="35"/>
        <v>319.13600000000002</v>
      </c>
      <c r="AK25" s="103">
        <f t="shared" si="35"/>
        <v>519.67899999999997</v>
      </c>
      <c r="AL25" s="103">
        <f t="shared" si="35"/>
        <v>687.12400000000002</v>
      </c>
      <c r="AM25" s="103">
        <f t="shared" si="35"/>
        <v>788.47799999999995</v>
      </c>
      <c r="AN25" s="202">
        <f t="shared" si="35"/>
        <v>666.36</v>
      </c>
      <c r="AO25" s="103">
        <f t="shared" si="35"/>
        <v>1013.044</v>
      </c>
      <c r="AP25" s="103">
        <f t="shared" si="35"/>
        <v>1213.481</v>
      </c>
      <c r="AQ25" s="103">
        <f t="shared" si="35"/>
        <v>1218.4499999999998</v>
      </c>
      <c r="AR25" s="202">
        <f t="shared" si="35"/>
        <v>754.69</v>
      </c>
      <c r="AS25" s="103">
        <f t="shared" si="35"/>
        <v>1034.617</v>
      </c>
      <c r="AT25" s="103">
        <f t="shared" si="35"/>
        <v>1357.8440000000001</v>
      </c>
      <c r="AU25" s="103">
        <f t="shared" si="35"/>
        <v>1646.3710000000001</v>
      </c>
      <c r="AV25" s="202">
        <f t="shared" si="35"/>
        <v>1350.971</v>
      </c>
      <c r="AW25" s="103">
        <f t="shared" si="35"/>
        <v>1818.1017999999999</v>
      </c>
      <c r="AX25" s="103">
        <f t="shared" ref="AX25:BM25" si="36">+AX40-AX29-AX35</f>
        <v>2058.8519999999999</v>
      </c>
      <c r="AY25" s="103">
        <f t="shared" si="36"/>
        <v>2593.136</v>
      </c>
      <c r="AZ25" s="202">
        <f t="shared" si="36"/>
        <v>2092.6750000000002</v>
      </c>
      <c r="BA25" s="103">
        <f t="shared" si="36"/>
        <v>3094.3649600000003</v>
      </c>
      <c r="BB25" s="103">
        <f t="shared" si="36"/>
        <v>3980.4500499999999</v>
      </c>
      <c r="BC25" s="103">
        <f t="shared" si="36"/>
        <v>4396.692</v>
      </c>
      <c r="BD25" s="202">
        <f t="shared" si="36"/>
        <v>3365.85</v>
      </c>
      <c r="BE25" s="103">
        <f t="shared" si="36"/>
        <v>4700.2204320000001</v>
      </c>
      <c r="BF25" s="103">
        <f t="shared" si="36"/>
        <v>5126.3650850000004</v>
      </c>
      <c r="BG25" s="103">
        <f t="shared" si="36"/>
        <v>5492.3369600000005</v>
      </c>
      <c r="BH25" s="202">
        <f t="shared" si="36"/>
        <v>4631.71</v>
      </c>
      <c r="BI25" s="103">
        <f>+BI40-BI29-BI35</f>
        <v>6708.3850220800005</v>
      </c>
      <c r="BJ25" s="103">
        <f t="shared" si="36"/>
        <v>7356.5476275000001</v>
      </c>
      <c r="BK25" s="103">
        <f t="shared" si="36"/>
        <v>7785.3004928000009</v>
      </c>
      <c r="BL25" s="202">
        <f t="shared" si="36"/>
        <v>6602.5709999999999</v>
      </c>
      <c r="BM25" s="265">
        <f t="shared" si="36"/>
        <v>9259.6664887039988</v>
      </c>
      <c r="BN25" s="103">
        <f t="shared" ref="BN25:BT25" si="37">+BN40-BN29-BN35</f>
        <v>10115.21191575</v>
      </c>
      <c r="BO25" s="103">
        <f t="shared" si="37"/>
        <v>10276.262704639999</v>
      </c>
      <c r="BP25" s="103">
        <f t="shared" si="37"/>
        <v>7753.4647999999997</v>
      </c>
      <c r="BQ25" s="265">
        <f t="shared" si="37"/>
        <v>10443.9997864448</v>
      </c>
      <c r="BR25" s="103">
        <f t="shared" si="37"/>
        <v>11211.8542989</v>
      </c>
      <c r="BS25" s="103">
        <f t="shared" si="37"/>
        <v>11273.822200576</v>
      </c>
      <c r="BT25" s="202">
        <f t="shared" si="37"/>
        <v>9055.9977799999997</v>
      </c>
      <c r="BU25" s="265">
        <f t="shared" ref="BU25:CF25" si="38">+BU154-BU29</f>
        <v>12941.726138473983</v>
      </c>
      <c r="BV25" s="103">
        <f t="shared" si="38"/>
        <v>13659.266166986999</v>
      </c>
      <c r="BW25" s="103">
        <f t="shared" si="38"/>
        <v>14373.26815628288</v>
      </c>
      <c r="BX25" s="202">
        <f>+BX154-BX29</f>
        <v>11598.385905999998</v>
      </c>
      <c r="BY25" s="265">
        <f>+BY154-BY29</f>
        <v>16469.210514955394</v>
      </c>
      <c r="BZ25" s="103">
        <f t="shared" si="38"/>
        <v>16014.094192368852</v>
      </c>
      <c r="CA25" s="103">
        <f t="shared" si="38"/>
        <v>17162.050845055357</v>
      </c>
      <c r="CB25" s="202">
        <f>+CB154-CB29</f>
        <v>13939.875189079999</v>
      </c>
      <c r="CC25" s="265">
        <f>+CC154-CC29</f>
        <v>20259.534066943394</v>
      </c>
      <c r="CD25" s="103">
        <f t="shared" si="38"/>
        <v>19839.416289284698</v>
      </c>
      <c r="CE25" s="103">
        <f t="shared" si="38"/>
        <v>19810.211240681154</v>
      </c>
      <c r="CF25" s="202">
        <f t="shared" si="38"/>
        <v>17553.571726699396</v>
      </c>
      <c r="CG25" s="245"/>
      <c r="CH25" s="178"/>
      <c r="CL25" s="103">
        <f>+CL40-CL29</f>
        <v>472.61719298245617</v>
      </c>
      <c r="CM25" s="103">
        <f>+SUM(AG25:AJ25)</f>
        <v>1346.9590000000001</v>
      </c>
      <c r="CN25" s="103">
        <f>+SUM(AK25:AN25)</f>
        <v>2661.6410000000001</v>
      </c>
      <c r="CO25" s="103">
        <f>+CO40-CO29</f>
        <v>4199.665</v>
      </c>
      <c r="CP25" s="103">
        <f>+CP40-CP29</f>
        <v>5389.8030000000008</v>
      </c>
      <c r="CQ25" s="103">
        <f>+SUM(AW25:AZ25)</f>
        <v>8562.7648000000008</v>
      </c>
      <c r="CR25" s="104">
        <f>+SUM(BA25:BD25)</f>
        <v>14837.357010000002</v>
      </c>
      <c r="CS25" s="104">
        <f>+SUM(BE25:BH25)</f>
        <v>19950.632476999999</v>
      </c>
      <c r="CT25" s="104">
        <f>+SUM(BI25:BL25)</f>
        <v>28452.804142380002</v>
      </c>
      <c r="CU25" s="213">
        <f>+SUM(BM25:BP25)</f>
        <v>37404.605909094003</v>
      </c>
      <c r="CV25" s="213">
        <f>+SUM(BQ25:BT25)</f>
        <v>41985.674065920794</v>
      </c>
      <c r="CW25" s="213">
        <f>+SUM(BU25:BX25)</f>
        <v>52572.646367743859</v>
      </c>
      <c r="CX25" s="213">
        <f>+SUM(BY25:CB25)</f>
        <v>63585.2307414596</v>
      </c>
      <c r="CY25" s="213">
        <f>+SUM(CC25:CF25)</f>
        <v>77462.733323608642</v>
      </c>
      <c r="CZ25" s="103">
        <f t="shared" ref="CZ25:DF25" si="39">+CZ154-CZ29</f>
        <v>90008.38687340969</v>
      </c>
      <c r="DA25" s="103">
        <f t="shared" si="39"/>
        <v>102451.01707138239</v>
      </c>
      <c r="DB25" s="103">
        <f t="shared" si="39"/>
        <v>114551.58423561105</v>
      </c>
      <c r="DC25" s="103">
        <f t="shared" si="39"/>
        <v>126502.75271608696</v>
      </c>
      <c r="DD25" s="103">
        <f t="shared" si="39"/>
        <v>138260.43544710946</v>
      </c>
      <c r="DE25" s="103">
        <f t="shared" si="39"/>
        <v>149701.24736258807</v>
      </c>
      <c r="DF25" s="202">
        <f t="shared" si="39"/>
        <v>162088.49879497199</v>
      </c>
    </row>
    <row r="26" spans="1:110" s="82" customFormat="1" ht="12.75" customHeight="1">
      <c r="A26" s="1137"/>
      <c r="B26" s="1137"/>
      <c r="C26" s="1137"/>
      <c r="D26" s="1137"/>
      <c r="E26" s="1137"/>
      <c r="F26" s="1137"/>
      <c r="G26" s="1137"/>
      <c r="H26" s="1138"/>
      <c r="I26" s="193" t="s">
        <v>376</v>
      </c>
      <c r="J26" s="83"/>
      <c r="K26" s="83"/>
      <c r="P26" s="1135"/>
      <c r="T26" s="1135"/>
      <c r="X26" s="1135"/>
      <c r="AB26" s="1135"/>
      <c r="AC26" s="307"/>
      <c r="AD26" s="307"/>
      <c r="AE26" s="307"/>
      <c r="AF26" s="1136"/>
      <c r="AG26" s="64"/>
      <c r="AH26" s="64"/>
      <c r="AI26" s="64"/>
      <c r="AJ26" s="180"/>
      <c r="AK26" s="64">
        <f t="shared" ref="AK26:BD26" si="40">+AK25/AG25-1</f>
        <v>0.90488391358214737</v>
      </c>
      <c r="AL26" s="64">
        <f t="shared" si="40"/>
        <v>0.92691387660442004</v>
      </c>
      <c r="AM26" s="64">
        <f t="shared" si="40"/>
        <v>0.97903196658768721</v>
      </c>
      <c r="AN26" s="180">
        <f t="shared" si="40"/>
        <v>1.0880126341121024</v>
      </c>
      <c r="AO26" s="64">
        <f t="shared" si="40"/>
        <v>0.94936489640720523</v>
      </c>
      <c r="AP26" s="64">
        <f t="shared" si="40"/>
        <v>0.76602913011334195</v>
      </c>
      <c r="AQ26" s="64">
        <f t="shared" si="40"/>
        <v>0.54531895626764459</v>
      </c>
      <c r="AR26" s="180">
        <f t="shared" si="40"/>
        <v>0.13255597574884459</v>
      </c>
      <c r="AS26" s="64">
        <f t="shared" si="40"/>
        <v>2.1295225084004166E-2</v>
      </c>
      <c r="AT26" s="64">
        <f t="shared" si="40"/>
        <v>0.1189660159491579</v>
      </c>
      <c r="AU26" s="64">
        <f t="shared" si="40"/>
        <v>0.35120111617218619</v>
      </c>
      <c r="AV26" s="180">
        <f t="shared" si="40"/>
        <v>0.79010057109541654</v>
      </c>
      <c r="AW26" s="64">
        <f t="shared" si="40"/>
        <v>0.75727037154811883</v>
      </c>
      <c r="AX26" s="64">
        <f t="shared" si="40"/>
        <v>0.51626549147030132</v>
      </c>
      <c r="AY26" s="64">
        <f t="shared" si="40"/>
        <v>0.57506175704018103</v>
      </c>
      <c r="AZ26" s="180">
        <f t="shared" si="40"/>
        <v>0.54901548589866112</v>
      </c>
      <c r="BA26" s="64">
        <f t="shared" si="40"/>
        <v>0.7019756319475623</v>
      </c>
      <c r="BB26" s="64">
        <f t="shared" si="40"/>
        <v>0.93333471759990538</v>
      </c>
      <c r="BC26" s="64">
        <f t="shared" si="40"/>
        <v>0.69551153506796415</v>
      </c>
      <c r="BD26" s="180">
        <f t="shared" si="40"/>
        <v>0.60839595254877121</v>
      </c>
      <c r="BE26" s="64">
        <f t="shared" ref="BE26:BL26" si="41">+BE25/BA25-1</f>
        <v>0.51896123849592701</v>
      </c>
      <c r="BF26" s="64">
        <f t="shared" si="41"/>
        <v>0.28788579698418792</v>
      </c>
      <c r="BG26" s="64">
        <f t="shared" si="41"/>
        <v>0.24919756944539229</v>
      </c>
      <c r="BH26" s="180">
        <f t="shared" si="41"/>
        <v>0.37608924937237265</v>
      </c>
      <c r="BI26" s="64">
        <f t="shared" si="41"/>
        <v>0.4272490235581361</v>
      </c>
      <c r="BJ26" s="64">
        <f t="shared" si="41"/>
        <v>0.43504169241196355</v>
      </c>
      <c r="BK26" s="64">
        <f t="shared" si="41"/>
        <v>0.41748413280164076</v>
      </c>
      <c r="BL26" s="180">
        <f t="shared" si="41"/>
        <v>0.42551476668444255</v>
      </c>
      <c r="BM26" s="1263">
        <f t="shared" ref="BM26:CF26" si="42">+BM25/BI25-1</f>
        <v>0.38031231931779441</v>
      </c>
      <c r="BN26" s="64">
        <f t="shared" si="42"/>
        <v>0.37499441693786539</v>
      </c>
      <c r="BO26" s="64">
        <f t="shared" si="42"/>
        <v>0.31995710559196655</v>
      </c>
      <c r="BP26" s="64">
        <f>+BP25/BL25-1</f>
        <v>0.17430994683737588</v>
      </c>
      <c r="BQ26" s="1263">
        <f>+BQ25/BM25-1</f>
        <v>0.12790237090996603</v>
      </c>
      <c r="BR26" s="64">
        <f>+BR25/BN25-1</f>
        <v>0.10841516641311899</v>
      </c>
      <c r="BS26" s="64">
        <f t="shared" si="42"/>
        <v>9.7074152793464208E-2</v>
      </c>
      <c r="BT26" s="180">
        <f t="shared" si="42"/>
        <v>0.16799366652183689</v>
      </c>
      <c r="BU26" s="1263">
        <f t="shared" si="42"/>
        <v>0.23915419409247463</v>
      </c>
      <c r="BV26" s="64">
        <f t="shared" si="42"/>
        <v>0.21828787663848925</v>
      </c>
      <c r="BW26" s="64">
        <f t="shared" si="42"/>
        <v>0.27492414733563253</v>
      </c>
      <c r="BX26" s="180">
        <f t="shared" si="42"/>
        <v>0.28074080711623117</v>
      </c>
      <c r="BY26" s="1263">
        <f t="shared" si="42"/>
        <v>0.27256676109029088</v>
      </c>
      <c r="BZ26" s="64">
        <f t="shared" si="42"/>
        <v>0.17239784309007922</v>
      </c>
      <c r="CA26" s="64">
        <f t="shared" si="42"/>
        <v>0.19402564945213507</v>
      </c>
      <c r="CB26" s="180">
        <f t="shared" si="42"/>
        <v>0.20188061529050505</v>
      </c>
      <c r="CC26" s="1263">
        <f t="shared" si="42"/>
        <v>0.23014603818113044</v>
      </c>
      <c r="CD26" s="64">
        <f t="shared" si="42"/>
        <v>0.23887221162585126</v>
      </c>
      <c r="CE26" s="64">
        <f t="shared" si="42"/>
        <v>0.15430326011350637</v>
      </c>
      <c r="CF26" s="180">
        <f t="shared" si="42"/>
        <v>0.25923449733970627</v>
      </c>
      <c r="CG26" s="1135"/>
      <c r="CH26" s="259"/>
      <c r="CM26" s="64">
        <f t="shared" ref="CM26:CX26" si="43">+CM25/CL25-1</f>
        <v>1.85</v>
      </c>
      <c r="CN26" s="64">
        <f t="shared" si="43"/>
        <v>0.97603713253335855</v>
      </c>
      <c r="CO26" s="64">
        <f t="shared" si="43"/>
        <v>0.57784802683757874</v>
      </c>
      <c r="CP26" s="64">
        <f t="shared" si="43"/>
        <v>0.28338879410619677</v>
      </c>
      <c r="CQ26" s="64">
        <f t="shared" si="43"/>
        <v>0.58869717501734287</v>
      </c>
      <c r="CR26" s="64">
        <f t="shared" si="43"/>
        <v>0.73277642870676529</v>
      </c>
      <c r="CS26" s="64">
        <f t="shared" si="43"/>
        <v>0.34462171824495291</v>
      </c>
      <c r="CT26" s="64">
        <f t="shared" si="43"/>
        <v>0.42616050770228431</v>
      </c>
      <c r="CU26" s="64">
        <f t="shared" si="43"/>
        <v>0.314619315618893</v>
      </c>
      <c r="CV26" s="64">
        <f>+CV25/CU25-1</f>
        <v>0.12247337047101503</v>
      </c>
      <c r="CW26" s="64">
        <f t="shared" si="43"/>
        <v>0.25215677817154236</v>
      </c>
      <c r="CX26" s="64">
        <f t="shared" si="43"/>
        <v>0.20947365473449997</v>
      </c>
      <c r="CY26" s="64">
        <f>+CY25/CX25-1</f>
        <v>0.21825040847261512</v>
      </c>
      <c r="CZ26" s="64">
        <f>+CZ25/CY25-1</f>
        <v>0.16195727947515448</v>
      </c>
      <c r="DA26" s="64">
        <f t="shared" ref="DA26:DF26" si="44">+DA25/CZ25-1</f>
        <v>0.13823856454035077</v>
      </c>
      <c r="DB26" s="64">
        <f t="shared" si="44"/>
        <v>0.11811075682926253</v>
      </c>
      <c r="DC26" s="64">
        <f t="shared" si="44"/>
        <v>0.10433001481581083</v>
      </c>
      <c r="DD26" s="64">
        <f t="shared" si="44"/>
        <v>9.2944086026416572E-2</v>
      </c>
      <c r="DE26" s="64">
        <f t="shared" si="44"/>
        <v>8.2748270526424195E-2</v>
      </c>
      <c r="DF26" s="180">
        <f t="shared" si="44"/>
        <v>8.2746481078952216E-2</v>
      </c>
    </row>
    <row r="27" spans="1:110" s="82" customFormat="1" ht="12.75" customHeight="1">
      <c r="H27" s="292"/>
      <c r="I27" s="193" t="s">
        <v>234</v>
      </c>
      <c r="J27" s="83"/>
      <c r="K27" s="83"/>
      <c r="P27" s="1135"/>
      <c r="T27" s="1135"/>
      <c r="X27" s="1135"/>
      <c r="AB27" s="1135"/>
      <c r="AC27" s="307"/>
      <c r="AD27" s="307"/>
      <c r="AE27" s="307"/>
      <c r="AF27" s="1136"/>
      <c r="AG27" s="64"/>
      <c r="AH27" s="64"/>
      <c r="AI27" s="64"/>
      <c r="AJ27" s="180"/>
      <c r="AK27" s="64"/>
      <c r="AL27" s="64"/>
      <c r="AM27" s="64"/>
      <c r="AN27" s="180"/>
      <c r="AO27" s="64">
        <f t="shared" ref="AO27:CF27" si="45">+AO26+AK26</f>
        <v>1.8542488099893526</v>
      </c>
      <c r="AP27" s="64">
        <f t="shared" si="45"/>
        <v>1.692943006717762</v>
      </c>
      <c r="AQ27" s="64">
        <f t="shared" si="45"/>
        <v>1.5243509228553318</v>
      </c>
      <c r="AR27" s="180">
        <f t="shared" si="45"/>
        <v>1.220568609860947</v>
      </c>
      <c r="AS27" s="64">
        <f t="shared" si="45"/>
        <v>0.97066012149120939</v>
      </c>
      <c r="AT27" s="64">
        <f t="shared" si="45"/>
        <v>0.88499514606249985</v>
      </c>
      <c r="AU27" s="64">
        <f t="shared" si="45"/>
        <v>0.89652007243983078</v>
      </c>
      <c r="AV27" s="180">
        <f t="shared" si="45"/>
        <v>0.92265654684426113</v>
      </c>
      <c r="AW27" s="64">
        <f t="shared" si="45"/>
        <v>0.77856559663212299</v>
      </c>
      <c r="AX27" s="64">
        <f t="shared" si="45"/>
        <v>0.63523150741945922</v>
      </c>
      <c r="AY27" s="64">
        <f t="shared" si="45"/>
        <v>0.92626287321236722</v>
      </c>
      <c r="AZ27" s="180">
        <f t="shared" si="45"/>
        <v>1.3391160569940777</v>
      </c>
      <c r="BA27" s="64">
        <f t="shared" si="45"/>
        <v>1.4592460034956811</v>
      </c>
      <c r="BB27" s="64">
        <f t="shared" si="45"/>
        <v>1.4496002090702067</v>
      </c>
      <c r="BC27" s="64">
        <f t="shared" si="45"/>
        <v>1.2705732921081452</v>
      </c>
      <c r="BD27" s="180">
        <f t="shared" si="45"/>
        <v>1.1574114384474323</v>
      </c>
      <c r="BE27" s="64">
        <f t="shared" si="45"/>
        <v>1.2209368704434893</v>
      </c>
      <c r="BF27" s="64">
        <f t="shared" si="45"/>
        <v>1.2212205145840933</v>
      </c>
      <c r="BG27" s="64">
        <f t="shared" si="45"/>
        <v>0.94470910451335643</v>
      </c>
      <c r="BH27" s="180">
        <f t="shared" si="45"/>
        <v>0.98448520192114386</v>
      </c>
      <c r="BI27" s="64">
        <f t="shared" si="45"/>
        <v>0.94621026205406311</v>
      </c>
      <c r="BJ27" s="64">
        <f t="shared" si="45"/>
        <v>0.72292748939615148</v>
      </c>
      <c r="BK27" s="64">
        <f t="shared" si="45"/>
        <v>0.66668170224703305</v>
      </c>
      <c r="BL27" s="180">
        <f t="shared" si="45"/>
        <v>0.80160401605681519</v>
      </c>
      <c r="BM27" s="1263">
        <f t="shared" si="45"/>
        <v>0.80756134287593051</v>
      </c>
      <c r="BN27" s="64">
        <f t="shared" si="45"/>
        <v>0.81003610934982895</v>
      </c>
      <c r="BO27" s="64">
        <f t="shared" si="45"/>
        <v>0.73744123839360731</v>
      </c>
      <c r="BP27" s="64">
        <f t="shared" si="45"/>
        <v>0.59982471352181843</v>
      </c>
      <c r="BQ27" s="1263">
        <f t="shared" si="45"/>
        <v>0.50821469022776045</v>
      </c>
      <c r="BR27" s="64">
        <f t="shared" si="45"/>
        <v>0.48340958335098438</v>
      </c>
      <c r="BS27" s="64">
        <f t="shared" si="45"/>
        <v>0.41703125838543076</v>
      </c>
      <c r="BT27" s="180">
        <f>+BT26+BP26</f>
        <v>0.34230361335921278</v>
      </c>
      <c r="BU27" s="1263">
        <f t="shared" si="45"/>
        <v>0.36705656500244066</v>
      </c>
      <c r="BV27" s="64">
        <f t="shared" si="45"/>
        <v>0.32670304305160824</v>
      </c>
      <c r="BW27" s="64">
        <f t="shared" si="45"/>
        <v>0.37199830012909674</v>
      </c>
      <c r="BX27" s="180">
        <f t="shared" si="45"/>
        <v>0.44873447363806807</v>
      </c>
      <c r="BY27" s="1263">
        <f t="shared" si="45"/>
        <v>0.5117209551827655</v>
      </c>
      <c r="BZ27" s="64">
        <f t="shared" si="45"/>
        <v>0.39068571972856847</v>
      </c>
      <c r="CA27" s="64">
        <f t="shared" si="45"/>
        <v>0.4689497967877676</v>
      </c>
      <c r="CB27" s="180">
        <f t="shared" si="45"/>
        <v>0.48262142240673622</v>
      </c>
      <c r="CC27" s="1263">
        <f t="shared" si="45"/>
        <v>0.50271279927142132</v>
      </c>
      <c r="CD27" s="64">
        <f t="shared" si="45"/>
        <v>0.41127005471593048</v>
      </c>
      <c r="CE27" s="64">
        <f t="shared" si="45"/>
        <v>0.34832890956564144</v>
      </c>
      <c r="CF27" s="180">
        <f t="shared" si="45"/>
        <v>0.46111511263021132</v>
      </c>
      <c r="CG27" s="1135"/>
      <c r="CH27" s="259"/>
      <c r="CM27" s="721"/>
      <c r="CN27" s="64"/>
      <c r="CO27" s="64">
        <f t="shared" ref="CO27:CX27" si="46">+CO26+CN26</f>
        <v>1.5538851593709373</v>
      </c>
      <c r="CP27" s="64">
        <f t="shared" si="46"/>
        <v>0.86123682094377552</v>
      </c>
      <c r="CQ27" s="64">
        <f t="shared" si="46"/>
        <v>0.87208596912353964</v>
      </c>
      <c r="CR27" s="64">
        <f t="shared" si="46"/>
        <v>1.3214736037241082</v>
      </c>
      <c r="CS27" s="64">
        <f t="shared" si="46"/>
        <v>1.0773981469517182</v>
      </c>
      <c r="CT27" s="64">
        <f t="shared" si="46"/>
        <v>0.77078222594723722</v>
      </c>
      <c r="CU27" s="64">
        <f t="shared" si="46"/>
        <v>0.74077982332117731</v>
      </c>
      <c r="CV27" s="64">
        <f t="shared" si="46"/>
        <v>0.43709268608990803</v>
      </c>
      <c r="CW27" s="64">
        <f t="shared" si="46"/>
        <v>0.37463014864255739</v>
      </c>
      <c r="CX27" s="64">
        <f t="shared" si="46"/>
        <v>0.46163043290604233</v>
      </c>
      <c r="CY27" s="64">
        <f>+CY26+CX26</f>
        <v>0.42772406320711509</v>
      </c>
      <c r="CZ27" s="64">
        <f>+CZ26+CY26</f>
        <v>0.3802076879477696</v>
      </c>
      <c r="DA27" s="64">
        <f t="shared" ref="DA27:DF27" si="47">+DA26+CZ26</f>
        <v>0.30019584401550525</v>
      </c>
      <c r="DB27" s="64">
        <f t="shared" si="47"/>
        <v>0.2563493213696133</v>
      </c>
      <c r="DC27" s="64">
        <f t="shared" si="47"/>
        <v>0.22244077164507337</v>
      </c>
      <c r="DD27" s="64">
        <f t="shared" si="47"/>
        <v>0.19727410084222741</v>
      </c>
      <c r="DE27" s="64">
        <f t="shared" si="47"/>
        <v>0.17569235655284077</v>
      </c>
      <c r="DF27" s="180">
        <f t="shared" si="47"/>
        <v>0.16549475160537641</v>
      </c>
    </row>
    <row r="28" spans="1:110" ht="12.75" customHeight="1">
      <c r="H28" s="34"/>
      <c r="I28" s="160"/>
      <c r="P28" s="234"/>
      <c r="T28" s="234"/>
      <c r="X28" s="234"/>
      <c r="AB28" s="234"/>
      <c r="AF28" s="249"/>
      <c r="AG28" s="64"/>
      <c r="AH28" s="64"/>
      <c r="AI28" s="64"/>
      <c r="AJ28" s="180"/>
      <c r="AK28" s="64"/>
      <c r="AL28" s="64"/>
      <c r="AM28" s="64"/>
      <c r="AN28" s="179"/>
      <c r="AO28" s="64"/>
      <c r="AP28" s="64"/>
      <c r="AQ28" s="64"/>
      <c r="AR28" s="180"/>
      <c r="AS28" s="855"/>
      <c r="AT28" s="855"/>
      <c r="AU28" s="855"/>
      <c r="AV28" s="977"/>
      <c r="AW28" s="855"/>
      <c r="AX28" s="855"/>
      <c r="AY28" s="856"/>
      <c r="AZ28" s="981"/>
      <c r="BA28" s="855"/>
      <c r="BB28" s="855"/>
      <c r="BC28" s="855"/>
      <c r="BD28" s="977"/>
      <c r="BE28" s="715"/>
      <c r="BF28" s="715"/>
      <c r="BG28" s="103"/>
      <c r="BH28" s="727"/>
      <c r="BI28" s="853"/>
      <c r="BJ28" s="853"/>
      <c r="BK28" s="103"/>
      <c r="BL28" s="854"/>
      <c r="BM28" s="1596"/>
      <c r="BN28" s="853"/>
      <c r="BO28" s="853"/>
      <c r="BP28" s="857"/>
      <c r="BQ28" s="1594"/>
      <c r="BR28" s="857"/>
      <c r="BS28" s="857"/>
      <c r="BT28" s="858"/>
      <c r="BU28" s="1594"/>
      <c r="BV28" s="857"/>
      <c r="BW28" s="857"/>
      <c r="BX28" s="858"/>
      <c r="BY28" s="1594"/>
      <c r="BZ28" s="857"/>
      <c r="CA28" s="857"/>
      <c r="CB28" s="858"/>
      <c r="CC28" s="1594"/>
      <c r="CD28" s="857"/>
      <c r="CE28" s="857"/>
      <c r="CF28" s="858"/>
      <c r="CG28" s="234"/>
      <c r="CH28" s="160"/>
      <c r="CM28" s="64"/>
      <c r="CN28" s="30"/>
      <c r="CO28" s="104"/>
      <c r="CP28" s="104"/>
      <c r="CQ28" s="104"/>
      <c r="CR28" s="104"/>
      <c r="CS28" s="33"/>
      <c r="CT28" s="853"/>
      <c r="CU28" s="857"/>
      <c r="CV28" s="857"/>
      <c r="CW28" s="857"/>
      <c r="CX28" s="857"/>
      <c r="CY28" s="857"/>
      <c r="DF28" s="234"/>
    </row>
    <row r="29" spans="1:110" s="8" customFormat="1" ht="12.75" customHeight="1">
      <c r="H29" s="23"/>
      <c r="I29" s="190" t="s">
        <v>260</v>
      </c>
      <c r="J29" s="79"/>
      <c r="K29" s="79"/>
      <c r="P29" s="245"/>
      <c r="T29" s="245"/>
      <c r="X29" s="245"/>
      <c r="AB29" s="245"/>
      <c r="AC29" s="289"/>
      <c r="AD29" s="289"/>
      <c r="AE29" s="289"/>
      <c r="AF29" s="953"/>
      <c r="AG29" s="721"/>
      <c r="AH29" s="721"/>
      <c r="AI29" s="721"/>
      <c r="AJ29" s="731"/>
      <c r="AK29" s="103">
        <v>0</v>
      </c>
      <c r="AL29" s="103">
        <v>0</v>
      </c>
      <c r="AM29" s="103">
        <v>0</v>
      </c>
      <c r="AN29" s="202">
        <v>13.4</v>
      </c>
      <c r="AO29" s="103">
        <v>24.6</v>
      </c>
      <c r="AP29" s="103">
        <v>24.2</v>
      </c>
      <c r="AQ29" s="103">
        <v>32.4</v>
      </c>
      <c r="AR29" s="202">
        <v>37.5</v>
      </c>
      <c r="AS29" s="104">
        <f t="shared" ref="AS29:BN29" si="48">+AS214</f>
        <v>57.81</v>
      </c>
      <c r="AT29" s="104">
        <f t="shared" si="48"/>
        <v>56.87</v>
      </c>
      <c r="AU29" s="104">
        <f t="shared" si="48"/>
        <v>77.759999999999991</v>
      </c>
      <c r="AV29" s="212">
        <f t="shared" si="48"/>
        <v>82.5</v>
      </c>
      <c r="AW29" s="104">
        <f t="shared" si="48"/>
        <v>157.2432</v>
      </c>
      <c r="AX29" s="104">
        <f t="shared" si="48"/>
        <v>153.54900000000001</v>
      </c>
      <c r="AY29" s="104">
        <f t="shared" si="48"/>
        <v>206.06399999999996</v>
      </c>
      <c r="AZ29" s="212">
        <f t="shared" si="48"/>
        <v>215.32500000000002</v>
      </c>
      <c r="BA29" s="104">
        <f t="shared" si="48"/>
        <v>345.93504000000001</v>
      </c>
      <c r="BB29" s="104">
        <f t="shared" si="48"/>
        <v>391.54994999999997</v>
      </c>
      <c r="BC29" s="104">
        <f t="shared" si="48"/>
        <v>412.12799999999993</v>
      </c>
      <c r="BD29" s="212">
        <f t="shared" si="48"/>
        <v>430.65000000000003</v>
      </c>
      <c r="BE29" s="104">
        <f t="shared" si="48"/>
        <v>588.08956799999999</v>
      </c>
      <c r="BF29" s="104">
        <f t="shared" si="48"/>
        <v>665.63491499999998</v>
      </c>
      <c r="BG29" s="104">
        <f t="shared" si="48"/>
        <v>692.3750399999999</v>
      </c>
      <c r="BH29" s="212">
        <f t="shared" si="48"/>
        <v>689.04000000000008</v>
      </c>
      <c r="BI29" s="104">
        <f t="shared" si="48"/>
        <v>846.84897791999992</v>
      </c>
      <c r="BJ29" s="104">
        <f t="shared" si="48"/>
        <v>998.45237249999991</v>
      </c>
      <c r="BK29" s="104">
        <f t="shared" si="48"/>
        <v>990.09630719999984</v>
      </c>
      <c r="BL29" s="212">
        <f t="shared" si="48"/>
        <v>930.20400000000018</v>
      </c>
      <c r="BM29" s="851">
        <f t="shared" si="48"/>
        <v>1100.9036712959999</v>
      </c>
      <c r="BN29" s="104">
        <f t="shared" si="48"/>
        <v>1297.9880842499999</v>
      </c>
      <c r="BO29" s="104">
        <f t="shared" ref="BO29:BT29" si="49">+BO214</f>
        <v>1287.1251993599999</v>
      </c>
      <c r="BP29" s="104">
        <f t="shared" si="49"/>
        <v>1209.2652000000003</v>
      </c>
      <c r="BQ29" s="851">
        <f t="shared" si="49"/>
        <v>1321.0844055551997</v>
      </c>
      <c r="BR29" s="104">
        <f t="shared" si="49"/>
        <v>1557.5857010999998</v>
      </c>
      <c r="BS29" s="104">
        <f t="shared" si="49"/>
        <v>1158.4126794239999</v>
      </c>
      <c r="BT29" s="212">
        <f t="shared" si="49"/>
        <v>1330.1917200000005</v>
      </c>
      <c r="BU29" s="851">
        <f t="shared" ref="BU29:CF29" si="50">+BU214</f>
        <v>1690.9880391106558</v>
      </c>
      <c r="BV29" s="104">
        <f t="shared" si="50"/>
        <v>1946.9821263749998</v>
      </c>
      <c r="BW29" s="104">
        <f t="shared" si="50"/>
        <v>1482.7682296627199</v>
      </c>
      <c r="BX29" s="212">
        <f t="shared" si="50"/>
        <v>1702.6454016000007</v>
      </c>
      <c r="BY29" s="851">
        <f t="shared" si="50"/>
        <v>2113.7350488883199</v>
      </c>
      <c r="BZ29" s="104">
        <f t="shared" si="50"/>
        <v>2433.7276579687496</v>
      </c>
      <c r="CA29" s="104">
        <f t="shared" si="50"/>
        <v>1853.4602870783999</v>
      </c>
      <c r="CB29" s="212">
        <f t="shared" si="50"/>
        <v>2128.3067520000009</v>
      </c>
      <c r="CC29" s="851">
        <f t="shared" si="50"/>
        <v>2430.7953062215674</v>
      </c>
      <c r="CD29" s="104">
        <f t="shared" si="50"/>
        <v>2798.7868066640617</v>
      </c>
      <c r="CE29" s="104">
        <f t="shared" si="50"/>
        <v>2131.4793301401596</v>
      </c>
      <c r="CF29" s="212">
        <f t="shared" si="50"/>
        <v>2447.5527648000007</v>
      </c>
      <c r="CG29" s="245"/>
      <c r="CH29" s="178"/>
      <c r="CM29" s="721"/>
      <c r="CN29" s="721"/>
      <c r="CO29" s="103">
        <f>+SUM(AO29:AR29)</f>
        <v>118.69999999999999</v>
      </c>
      <c r="CP29" s="103">
        <f>+SUM(AS29:AV29)</f>
        <v>274.94</v>
      </c>
      <c r="CQ29" s="103">
        <f>+SUM(AW29:AZ29)</f>
        <v>732.18119999999999</v>
      </c>
      <c r="CR29" s="103">
        <f>+SUM(BA29:BD29)</f>
        <v>1580.2629899999999</v>
      </c>
      <c r="CS29" s="103">
        <f>+SUM(BE29:BH29)</f>
        <v>2635.1395229999998</v>
      </c>
      <c r="CT29" s="103">
        <f>+SUM(BI29:BL29)</f>
        <v>3765.60165762</v>
      </c>
      <c r="CU29" s="103">
        <f>+SUM(BM29:BP29)</f>
        <v>4895.282154906</v>
      </c>
      <c r="CV29" s="103">
        <f>+SUM(BQ29:BT29)</f>
        <v>5367.2745060792004</v>
      </c>
      <c r="CW29" s="103">
        <f>+SUM(BU29:BX29)</f>
        <v>6823.383796748376</v>
      </c>
      <c r="CX29" s="103">
        <f>+SUM(BY29:CB29)</f>
        <v>8529.2297459354704</v>
      </c>
      <c r="CY29" s="103">
        <f>+SUM(CC29:CF29)</f>
        <v>9808.6142078257908</v>
      </c>
      <c r="CZ29" s="104">
        <f>+CZ214</f>
        <v>11059.212519323579</v>
      </c>
      <c r="DA29" s="104">
        <f t="shared" ref="DA29:DF29" si="51">+DA214</f>
        <v>12257.754676105271</v>
      </c>
      <c r="DB29" s="104">
        <f t="shared" si="51"/>
        <v>13402.322518986601</v>
      </c>
      <c r="DC29" s="104">
        <f t="shared" si="51"/>
        <v>14452.729546412174</v>
      </c>
      <c r="DD29" s="104">
        <f t="shared" si="51"/>
        <v>15585.462224612227</v>
      </c>
      <c r="DE29" s="104">
        <f t="shared" si="51"/>
        <v>16806.972826466208</v>
      </c>
      <c r="DF29" s="212">
        <f t="shared" si="51"/>
        <v>18124.219321740497</v>
      </c>
    </row>
    <row r="30" spans="1:110" s="82" customFormat="1" ht="12.75" customHeight="1">
      <c r="A30" s="298"/>
      <c r="B30" s="299"/>
      <c r="C30" s="299"/>
      <c r="D30" s="299"/>
      <c r="E30" s="299"/>
      <c r="F30" s="298"/>
      <c r="G30" s="298"/>
      <c r="H30" s="298"/>
      <c r="I30" s="193" t="s">
        <v>376</v>
      </c>
      <c r="J30" s="83"/>
      <c r="K30" s="83"/>
      <c r="P30" s="1135"/>
      <c r="T30" s="1135"/>
      <c r="X30" s="1135"/>
      <c r="AB30" s="1135"/>
      <c r="AC30" s="307"/>
      <c r="AD30" s="307"/>
      <c r="AE30" s="307"/>
      <c r="AF30" s="1136"/>
      <c r="AG30" s="64"/>
      <c r="AH30" s="64"/>
      <c r="AI30" s="64"/>
      <c r="AJ30" s="180"/>
      <c r="AK30" s="64"/>
      <c r="AL30" s="64"/>
      <c r="AM30" s="64"/>
      <c r="AN30" s="180"/>
      <c r="AO30" s="64"/>
      <c r="AP30" s="64"/>
      <c r="AQ30" s="64"/>
      <c r="AR30" s="180">
        <f t="shared" ref="AR30:BD30" si="52">+AR29/AN29-1</f>
        <v>1.7985074626865671</v>
      </c>
      <c r="AS30" s="64">
        <f t="shared" si="52"/>
        <v>1.35</v>
      </c>
      <c r="AT30" s="64">
        <f t="shared" si="52"/>
        <v>1.35</v>
      </c>
      <c r="AU30" s="64">
        <f t="shared" si="52"/>
        <v>1.4</v>
      </c>
      <c r="AV30" s="180">
        <f t="shared" si="52"/>
        <v>1.2000000000000002</v>
      </c>
      <c r="AW30" s="64">
        <f t="shared" si="52"/>
        <v>1.7199999999999998</v>
      </c>
      <c r="AX30" s="64">
        <f t="shared" si="52"/>
        <v>1.7000000000000002</v>
      </c>
      <c r="AY30" s="64">
        <f t="shared" si="52"/>
        <v>1.65</v>
      </c>
      <c r="AZ30" s="180">
        <f t="shared" si="52"/>
        <v>1.6100000000000003</v>
      </c>
      <c r="BA30" s="64">
        <f t="shared" si="52"/>
        <v>1.2000000000000002</v>
      </c>
      <c r="BB30" s="64">
        <f t="shared" si="52"/>
        <v>1.5499999999999998</v>
      </c>
      <c r="BC30" s="64">
        <f t="shared" si="52"/>
        <v>1</v>
      </c>
      <c r="BD30" s="180">
        <f t="shared" si="52"/>
        <v>1</v>
      </c>
      <c r="BE30" s="64">
        <f t="shared" ref="BE30:BL30" si="53">+BE29/BA29-1</f>
        <v>0.7</v>
      </c>
      <c r="BF30" s="64">
        <f t="shared" si="53"/>
        <v>0.70000000000000018</v>
      </c>
      <c r="BG30" s="64">
        <f t="shared" si="53"/>
        <v>0.67999999999999994</v>
      </c>
      <c r="BH30" s="180">
        <f t="shared" si="53"/>
        <v>0.60000000000000009</v>
      </c>
      <c r="BI30" s="64">
        <f t="shared" si="53"/>
        <v>0.43999999999999995</v>
      </c>
      <c r="BJ30" s="64">
        <f t="shared" si="53"/>
        <v>0.5</v>
      </c>
      <c r="BK30" s="64">
        <f t="shared" si="53"/>
        <v>0.42999999999999994</v>
      </c>
      <c r="BL30" s="180">
        <f t="shared" si="53"/>
        <v>0.35000000000000009</v>
      </c>
      <c r="BM30" s="1263">
        <f t="shared" ref="BM30:CF30" si="54">+BM29/BI29-1</f>
        <v>0.30000000000000004</v>
      </c>
      <c r="BN30" s="64">
        <f t="shared" si="54"/>
        <v>0.30000000000000004</v>
      </c>
      <c r="BO30" s="64">
        <f t="shared" si="54"/>
        <v>0.30000000000000004</v>
      </c>
      <c r="BP30" s="64">
        <f t="shared" si="54"/>
        <v>0.30000000000000004</v>
      </c>
      <c r="BQ30" s="1263">
        <f>+BQ29/BM29-1</f>
        <v>0.19999999999999996</v>
      </c>
      <c r="BR30" s="64">
        <f t="shared" si="54"/>
        <v>0.19999999999999996</v>
      </c>
      <c r="BS30" s="64">
        <f t="shared" si="54"/>
        <v>-0.10000000000000009</v>
      </c>
      <c r="BT30" s="180">
        <f t="shared" si="54"/>
        <v>0.10000000000000009</v>
      </c>
      <c r="BU30" s="1263">
        <f t="shared" si="54"/>
        <v>0.28000000000000003</v>
      </c>
      <c r="BV30" s="64">
        <f t="shared" si="54"/>
        <v>0.25</v>
      </c>
      <c r="BW30" s="64">
        <f t="shared" si="54"/>
        <v>0.28000000000000003</v>
      </c>
      <c r="BX30" s="180">
        <f t="shared" si="54"/>
        <v>0.28000000000000003</v>
      </c>
      <c r="BY30" s="1263">
        <f t="shared" si="54"/>
        <v>0.25</v>
      </c>
      <c r="BZ30" s="64">
        <f t="shared" si="54"/>
        <v>0.25</v>
      </c>
      <c r="CA30" s="64">
        <f t="shared" si="54"/>
        <v>0.25</v>
      </c>
      <c r="CB30" s="180">
        <f t="shared" si="54"/>
        <v>0.25</v>
      </c>
      <c r="CC30" s="1263">
        <f t="shared" si="54"/>
        <v>0.14999999999999991</v>
      </c>
      <c r="CD30" s="64">
        <f t="shared" si="54"/>
        <v>0.14999999999999991</v>
      </c>
      <c r="CE30" s="64">
        <f t="shared" si="54"/>
        <v>0.14999999999999991</v>
      </c>
      <c r="CF30" s="180">
        <f t="shared" si="54"/>
        <v>0.14999999999999991</v>
      </c>
      <c r="CG30" s="1135"/>
      <c r="CH30" s="259"/>
      <c r="CM30" s="721"/>
      <c r="CN30" s="64"/>
      <c r="CO30" s="64"/>
      <c r="CP30" s="64">
        <f t="shared" ref="CP30:CX30" si="55">+CP29/CO29-1</f>
        <v>1.3162594776748104</v>
      </c>
      <c r="CQ30" s="64">
        <f t="shared" si="55"/>
        <v>1.6630581217720231</v>
      </c>
      <c r="CR30" s="64">
        <f t="shared" si="55"/>
        <v>1.1582949548554375</v>
      </c>
      <c r="CS30" s="64">
        <f t="shared" si="55"/>
        <v>0.66753226499343632</v>
      </c>
      <c r="CT30" s="64">
        <f t="shared" si="55"/>
        <v>0.4289951726476382</v>
      </c>
      <c r="CU30" s="64">
        <f t="shared" si="55"/>
        <v>0.30000000000000004</v>
      </c>
      <c r="CV30" s="64">
        <f t="shared" si="55"/>
        <v>9.6417803149543513E-2</v>
      </c>
      <c r="CW30" s="64">
        <f t="shared" si="55"/>
        <v>0.27129398524706061</v>
      </c>
      <c r="CX30" s="64">
        <f t="shared" si="55"/>
        <v>0.25</v>
      </c>
      <c r="CY30" s="64">
        <f t="shared" ref="CY30:DF30" si="56">+CY29/CX29-1</f>
        <v>0.14999999999999991</v>
      </c>
      <c r="CZ30" s="64">
        <f t="shared" si="56"/>
        <v>0.12749999999999995</v>
      </c>
      <c r="DA30" s="64">
        <f t="shared" si="56"/>
        <v>0.10837499999999989</v>
      </c>
      <c r="DB30" s="64">
        <f t="shared" si="56"/>
        <v>9.3374999999999986E-2</v>
      </c>
      <c r="DC30" s="64">
        <f t="shared" si="56"/>
        <v>7.8374999999999861E-2</v>
      </c>
      <c r="DD30" s="64">
        <f t="shared" si="56"/>
        <v>7.8374999999999861E-2</v>
      </c>
      <c r="DE30" s="64">
        <f t="shared" si="56"/>
        <v>7.8374999999999861E-2</v>
      </c>
      <c r="DF30" s="180">
        <f t="shared" si="56"/>
        <v>7.8374999999999861E-2</v>
      </c>
    </row>
    <row r="31" spans="1:110" ht="12.75" customHeight="1">
      <c r="A31" s="12"/>
      <c r="B31" s="13"/>
      <c r="C31" s="13"/>
      <c r="D31" s="13"/>
      <c r="E31" s="13"/>
      <c r="F31" s="12"/>
      <c r="G31" s="12"/>
      <c r="H31" s="12"/>
      <c r="I31" s="185" t="s">
        <v>385</v>
      </c>
      <c r="J31" s="70"/>
      <c r="K31" s="70"/>
      <c r="P31" s="234"/>
      <c r="T31" s="234"/>
      <c r="X31" s="234"/>
      <c r="AB31" s="234"/>
      <c r="AF31" s="249"/>
      <c r="AJ31" s="179"/>
      <c r="AK31" s="715"/>
      <c r="AL31" s="715"/>
      <c r="AM31" s="715"/>
      <c r="AN31" s="727"/>
      <c r="AO31" s="715"/>
      <c r="AP31" s="715"/>
      <c r="AQ31" s="715"/>
      <c r="AR31" s="727"/>
      <c r="AS31" s="33">
        <f t="shared" ref="AS31:BD31" si="57">+AS29-AO29</f>
        <v>33.21</v>
      </c>
      <c r="AT31" s="33">
        <f t="shared" si="57"/>
        <v>32.67</v>
      </c>
      <c r="AU31" s="33">
        <f t="shared" si="57"/>
        <v>45.359999999999992</v>
      </c>
      <c r="AV31" s="162">
        <f t="shared" si="57"/>
        <v>45</v>
      </c>
      <c r="AW31" s="33">
        <f t="shared" si="57"/>
        <v>99.433199999999999</v>
      </c>
      <c r="AX31" s="33">
        <f t="shared" si="57"/>
        <v>96.679000000000002</v>
      </c>
      <c r="AY31" s="33">
        <f t="shared" si="57"/>
        <v>128.30399999999997</v>
      </c>
      <c r="AZ31" s="162">
        <f t="shared" si="57"/>
        <v>132.82500000000002</v>
      </c>
      <c r="BA31" s="33">
        <f t="shared" si="57"/>
        <v>188.69184000000001</v>
      </c>
      <c r="BB31" s="33">
        <f t="shared" si="57"/>
        <v>238.00094999999996</v>
      </c>
      <c r="BC31" s="33">
        <f t="shared" si="57"/>
        <v>206.06399999999996</v>
      </c>
      <c r="BD31" s="162">
        <f t="shared" si="57"/>
        <v>215.32500000000002</v>
      </c>
      <c r="BE31" s="33">
        <f t="shared" ref="BE31:BL31" si="58">+BE29-BA29</f>
        <v>242.15452799999997</v>
      </c>
      <c r="BF31" s="33">
        <f t="shared" si="58"/>
        <v>274.08496500000001</v>
      </c>
      <c r="BG31" s="33">
        <f t="shared" si="58"/>
        <v>280.24703999999997</v>
      </c>
      <c r="BH31" s="162">
        <f t="shared" si="58"/>
        <v>258.39000000000004</v>
      </c>
      <c r="BI31" s="33">
        <f t="shared" si="58"/>
        <v>258.75940991999994</v>
      </c>
      <c r="BJ31" s="33">
        <f t="shared" si="58"/>
        <v>332.81745749999993</v>
      </c>
      <c r="BK31" s="33">
        <f t="shared" si="58"/>
        <v>297.72126719999994</v>
      </c>
      <c r="BL31" s="162">
        <f t="shared" si="58"/>
        <v>241.1640000000001</v>
      </c>
      <c r="BM31" s="1595">
        <f t="shared" ref="BM31:CF31" si="59">+BM29-BI29</f>
        <v>254.05469337599993</v>
      </c>
      <c r="BN31" s="33">
        <f t="shared" si="59"/>
        <v>299.53571175000002</v>
      </c>
      <c r="BO31" s="33">
        <f t="shared" si="59"/>
        <v>297.02889216000005</v>
      </c>
      <c r="BP31" s="33">
        <f t="shared" si="59"/>
        <v>279.0612000000001</v>
      </c>
      <c r="BQ31" s="1595">
        <f t="shared" si="59"/>
        <v>220.18073425919988</v>
      </c>
      <c r="BR31" s="33">
        <f t="shared" si="59"/>
        <v>259.59761684999989</v>
      </c>
      <c r="BS31" s="33">
        <f t="shared" si="59"/>
        <v>-128.71251993600004</v>
      </c>
      <c r="BT31" s="162">
        <f t="shared" si="59"/>
        <v>120.92652000000021</v>
      </c>
      <c r="BU31" s="1595">
        <f t="shared" si="59"/>
        <v>369.90363355545605</v>
      </c>
      <c r="BV31" s="33">
        <f t="shared" si="59"/>
        <v>389.39642527499996</v>
      </c>
      <c r="BW31" s="33">
        <f t="shared" si="59"/>
        <v>324.35555023872007</v>
      </c>
      <c r="BX31" s="162">
        <f t="shared" si="59"/>
        <v>372.45368160000021</v>
      </c>
      <c r="BY31" s="1595">
        <f t="shared" si="59"/>
        <v>422.74700977766406</v>
      </c>
      <c r="BZ31" s="33">
        <f t="shared" si="59"/>
        <v>486.74553159374977</v>
      </c>
      <c r="CA31" s="33">
        <f t="shared" si="59"/>
        <v>370.69205741567998</v>
      </c>
      <c r="CB31" s="162">
        <f t="shared" si="59"/>
        <v>425.66135040000017</v>
      </c>
      <c r="CC31" s="1595">
        <f t="shared" si="59"/>
        <v>317.06025733324759</v>
      </c>
      <c r="CD31" s="33">
        <f t="shared" si="59"/>
        <v>365.05914869531216</v>
      </c>
      <c r="CE31" s="33">
        <f t="shared" si="59"/>
        <v>278.0190430617597</v>
      </c>
      <c r="CF31" s="162">
        <f t="shared" si="59"/>
        <v>319.24601279999979</v>
      </c>
      <c r="CG31" s="234"/>
      <c r="CH31" s="160"/>
      <c r="CM31" s="103"/>
      <c r="CN31" s="715"/>
      <c r="CO31" s="715"/>
      <c r="CP31" s="33">
        <f t="shared" ref="CP31:CY31" si="60">+CP29-CO29</f>
        <v>156.24</v>
      </c>
      <c r="CQ31" s="33">
        <f t="shared" si="60"/>
        <v>457.24119999999999</v>
      </c>
      <c r="CR31" s="33">
        <f t="shared" si="60"/>
        <v>848.08178999999996</v>
      </c>
      <c r="CS31" s="33">
        <f t="shared" si="60"/>
        <v>1054.8765329999999</v>
      </c>
      <c r="CT31" s="33">
        <f t="shared" si="60"/>
        <v>1130.4621346200001</v>
      </c>
      <c r="CU31" s="33">
        <f t="shared" si="60"/>
        <v>1129.680497286</v>
      </c>
      <c r="CV31" s="33">
        <f t="shared" si="60"/>
        <v>471.9923511732004</v>
      </c>
      <c r="CW31" s="33">
        <f t="shared" si="60"/>
        <v>1456.1092906691756</v>
      </c>
      <c r="CX31" s="33">
        <f t="shared" si="60"/>
        <v>1705.8459491870944</v>
      </c>
      <c r="CY31" s="33">
        <f t="shared" si="60"/>
        <v>1279.3844618903204</v>
      </c>
      <c r="CZ31" s="33">
        <f t="shared" ref="CZ31:DF31" si="61">+CZ29-CY29</f>
        <v>1250.598311497788</v>
      </c>
      <c r="DA31" s="33">
        <f t="shared" si="61"/>
        <v>1198.542156781692</v>
      </c>
      <c r="DB31" s="33">
        <f t="shared" si="61"/>
        <v>1144.5678428813299</v>
      </c>
      <c r="DC31" s="33">
        <f t="shared" si="61"/>
        <v>1050.4070274255737</v>
      </c>
      <c r="DD31" s="33">
        <f t="shared" si="61"/>
        <v>1132.7326782000528</v>
      </c>
      <c r="DE31" s="33">
        <f t="shared" si="61"/>
        <v>1221.5106018539809</v>
      </c>
      <c r="DF31" s="162">
        <f t="shared" si="61"/>
        <v>1317.2464952742885</v>
      </c>
    </row>
    <row r="32" spans="1:110" ht="12.75" customHeight="1">
      <c r="A32" s="12"/>
      <c r="B32" s="13"/>
      <c r="C32" s="13"/>
      <c r="D32" s="13"/>
      <c r="E32" s="13"/>
      <c r="F32" s="12"/>
      <c r="G32" s="12"/>
      <c r="H32" s="12"/>
      <c r="I32" s="185" t="s">
        <v>236</v>
      </c>
      <c r="J32" s="70"/>
      <c r="K32" s="70"/>
      <c r="P32" s="234"/>
      <c r="T32" s="234"/>
      <c r="X32" s="234"/>
      <c r="AB32" s="234"/>
      <c r="AF32" s="249"/>
      <c r="AG32" s="64"/>
      <c r="AH32" s="64"/>
      <c r="AI32" s="64"/>
      <c r="AJ32" s="180"/>
      <c r="AK32" s="64"/>
      <c r="AL32" s="64"/>
      <c r="AM32" s="64"/>
      <c r="AN32" s="180">
        <f>+AN29/Model!AN$12</f>
        <v>1.1117278158447763E-2</v>
      </c>
      <c r="AO32" s="64">
        <f>+AO29/Model!AO$12</f>
        <v>1.3988304412798276E-2</v>
      </c>
      <c r="AP32" s="64">
        <f>+AP29/Model!AP$12</f>
        <v>1.1469384563251047E-2</v>
      </c>
      <c r="AQ32" s="64">
        <f>+AQ29/Model!AQ$12</f>
        <v>1.5801586693893515E-2</v>
      </c>
      <c r="AR32" s="180">
        <f>+AR29/Model!AR$12</f>
        <v>2.5318797417887767E-2</v>
      </c>
      <c r="AS32" s="64">
        <f>+AS29/Model!AS$12</f>
        <v>2.9744019296310327E-2</v>
      </c>
      <c r="AT32" s="64">
        <f>+AT29/Model!AT$12</f>
        <v>2.3903213630926311E-2</v>
      </c>
      <c r="AU32" s="64">
        <f>+AU29/Model!AU$12</f>
        <v>2.8558354016349066E-2</v>
      </c>
      <c r="AV32" s="180">
        <f>+AV29/Model!AV$12</f>
        <v>3.643262349334541E-2</v>
      </c>
      <c r="AW32" s="64">
        <f>+AW29/Model!AW$12</f>
        <v>5.3038575637628829E-2</v>
      </c>
      <c r="AX32" s="64">
        <f>+AX29/Model!AX$12</f>
        <v>4.5026655484461227E-2</v>
      </c>
      <c r="AY32" s="64">
        <f>+AY29/Model!AY$12</f>
        <v>5.1438841737393902E-2</v>
      </c>
      <c r="AZ32" s="180">
        <f>+AZ29/Model!AZ$12</f>
        <v>6.5949464012251158E-2</v>
      </c>
      <c r="BA32" s="64">
        <f>+BA29/Model!BA$12</f>
        <v>7.4155421221864956E-2</v>
      </c>
      <c r="BB32" s="64">
        <f>+BB29/Model!BB$12</f>
        <v>6.774220588235294E-2</v>
      </c>
      <c r="BC32" s="64">
        <f>+BC29/Model!BC$12</f>
        <v>6.5866709285600122E-2</v>
      </c>
      <c r="BD32" s="180">
        <f>+BD29/Model!BD$12</f>
        <v>8.6894673123486685E-2</v>
      </c>
      <c r="BE32" s="64">
        <f>+BE29/Model!BE$12</f>
        <v>8.7630691104157346E-2</v>
      </c>
      <c r="BF32" s="64">
        <f>+BF29/Model!BF$12</f>
        <v>9.0822065083913217E-2</v>
      </c>
      <c r="BG32" s="64">
        <f>+BG29/Model!BG$12</f>
        <v>8.8403350357507654E-2</v>
      </c>
      <c r="BH32" s="180">
        <f>+BH29/Model!BH$12</f>
        <v>0.10465370595382747</v>
      </c>
      <c r="BI32" s="64">
        <f>+BI29/Model!BI$12</f>
        <v>9.2521465958702059E-2</v>
      </c>
      <c r="BJ32" s="64">
        <f>+BJ29/Model!BJ$12</f>
        <v>9.8690557724621916E-2</v>
      </c>
      <c r="BK32" s="64">
        <f>+BK29/Model!BK$12</f>
        <v>9.1973646744078014E-2</v>
      </c>
      <c r="BL32" s="180">
        <f>+BL29/Model!BL$12</f>
        <v>0.10180628214950205</v>
      </c>
      <c r="BM32" s="1263">
        <f>+BM29/Model!BM$12</f>
        <v>8.9650136099022795E-2</v>
      </c>
      <c r="BN32" s="64">
        <f>+BN29/Model!BN$12</f>
        <v>9.5877388406707037E-2</v>
      </c>
      <c r="BO32" s="64">
        <f>+BO29/Model!BO$12</f>
        <v>9.3114750731389709E-2</v>
      </c>
      <c r="BP32" s="64">
        <f>+BP29/Model!BP$12</f>
        <v>0.11345015479876164</v>
      </c>
      <c r="BQ32" s="1263">
        <f>+BQ29/Model!BQ$12</f>
        <v>9.5897532342857125E-2</v>
      </c>
      <c r="BR32" s="64">
        <f>+BR29/Model!BR$12</f>
        <v>0.10411669124999999</v>
      </c>
      <c r="BS32" s="64">
        <f>+BS29/Model!BS$12</f>
        <v>7.8387649169305712E-2</v>
      </c>
      <c r="BT32" s="180">
        <f>+BT29/Model!BT$12</f>
        <v>0.11072013650740807</v>
      </c>
      <c r="BU32" s="1263">
        <f>+BU29/Model!BU$12</f>
        <v>0.10154254723537236</v>
      </c>
      <c r="BV32" s="64">
        <f>+BV29/Model!BV$12</f>
        <v>0.10900135070960698</v>
      </c>
      <c r="BW32" s="64">
        <f>+BW29/Model!BW$12</f>
        <v>8.0323306048901408E-2</v>
      </c>
      <c r="BX32" s="64">
        <f>+BX29/Model!BX$12</f>
        <v>0.11266843578613027</v>
      </c>
      <c r="BY32" s="1263">
        <f>+BY29/Model!BY$12</f>
        <v>0.10217697340785613</v>
      </c>
      <c r="BZ32" s="64">
        <f>+BZ29/Model!BZ$12</f>
        <v>0.117023015721919</v>
      </c>
      <c r="CA32" s="64">
        <f>+CA29/Model!CA$12</f>
        <v>8.5169574812903229E-2</v>
      </c>
      <c r="CB32" s="180">
        <f>+CB29/Model!CB$12</f>
        <v>0.11837078709677425</v>
      </c>
      <c r="CC32" s="1263">
        <f>+CC29/Model!CC$12</f>
        <v>9.7694987899626745E-2</v>
      </c>
      <c r="CD32" s="64">
        <f>+CD29/Model!CD$12</f>
        <v>0.11156711062003165</v>
      </c>
      <c r="CE32" s="64">
        <f>+CE29/Model!CE$12</f>
        <v>8.5899689409906291E-2</v>
      </c>
      <c r="CF32" s="180">
        <f>+CF29/Model!CF$12</f>
        <v>0.11122721440835584</v>
      </c>
      <c r="CG32" s="234"/>
      <c r="CH32" s="160"/>
      <c r="CM32" s="64"/>
      <c r="CN32" s="64">
        <f>+CN29/Model!CN$12</f>
        <v>0</v>
      </c>
      <c r="CO32" s="64">
        <f>+CO29/Model!CO$12</f>
        <v>1.6040286930598526E-2</v>
      </c>
      <c r="CP32" s="64">
        <f>+CP29/Model!CP$12</f>
        <v>2.9531489693623951E-2</v>
      </c>
      <c r="CQ32" s="64">
        <f>+CQ29/Model!CQ$12</f>
        <v>5.3655863035532714E-2</v>
      </c>
      <c r="CR32" s="64">
        <f>+CR29/Model!CR$12</f>
        <v>7.2964400683350264E-2</v>
      </c>
      <c r="CS32" s="64">
        <f>+CS29/Model!CS$12</f>
        <v>9.2604003479055383E-2</v>
      </c>
      <c r="CT32" s="64">
        <f>+CT29/Model!CT$12</f>
        <v>9.6129931012457884E-2</v>
      </c>
      <c r="CU32" s="64">
        <f>+CU29/Model!CU$12</f>
        <v>9.7321712821192841E-2</v>
      </c>
      <c r="CV32" s="64">
        <f>+CV29/Model!CV$12</f>
        <v>9.6658883915847871E-2</v>
      </c>
      <c r="CW32" s="64">
        <f>+CW29/Model!CW$12</f>
        <v>0.10021566226663498</v>
      </c>
      <c r="CX32" s="64">
        <f>+CX29/Model!CX$12</f>
        <v>0.10500615253657043</v>
      </c>
      <c r="CY32" s="64">
        <f>+CY29/Model!CY$12</f>
        <v>0.10134313912517455</v>
      </c>
      <c r="CZ32" s="64"/>
      <c r="DF32" s="234"/>
    </row>
    <row r="33" spans="1:110" ht="12.75" customHeight="1">
      <c r="A33" s="12"/>
      <c r="B33" s="13"/>
      <c r="C33" s="13"/>
      <c r="D33" s="13"/>
      <c r="E33" s="13"/>
      <c r="F33" s="12"/>
      <c r="G33" s="12"/>
      <c r="H33" s="12"/>
      <c r="I33" s="185" t="s">
        <v>261</v>
      </c>
      <c r="J33" s="70"/>
      <c r="K33" s="70"/>
      <c r="P33" s="234"/>
      <c r="T33" s="234"/>
      <c r="X33" s="234"/>
      <c r="AB33" s="234"/>
      <c r="AF33" s="249"/>
      <c r="AG33" s="64"/>
      <c r="AH33" s="64"/>
      <c r="AI33" s="64"/>
      <c r="AJ33" s="180"/>
      <c r="AK33" s="64"/>
      <c r="AL33" s="64"/>
      <c r="AM33" s="64"/>
      <c r="AN33" s="180"/>
      <c r="AO33" s="64">
        <f>+AO29/$CO$29</f>
        <v>0.20724515585509692</v>
      </c>
      <c r="AP33" s="64">
        <f>+AP29/$CO$29</f>
        <v>0.20387531592249369</v>
      </c>
      <c r="AQ33" s="64">
        <f>+AQ29/$CO$29</f>
        <v>0.27295703454085934</v>
      </c>
      <c r="AR33" s="180">
        <f>+AR29/$CO$29</f>
        <v>0.31592249368155018</v>
      </c>
      <c r="AS33" s="64">
        <f>+AS29/$CP$29</f>
        <v>0.21026405761257003</v>
      </c>
      <c r="AT33" s="64">
        <f>+AT29/$CP$29</f>
        <v>0.20684512984651196</v>
      </c>
      <c r="AU33" s="64">
        <f>+AU29/$CP$29</f>
        <v>0.28282534371135515</v>
      </c>
      <c r="AV33" s="180">
        <f>+AV29/$CP$29</f>
        <v>0.30006546882956281</v>
      </c>
      <c r="AW33" s="64">
        <f>+AW29/$CQ$29</f>
        <v>0.21475995286412708</v>
      </c>
      <c r="AX33" s="64">
        <f>+AX29/$CQ$29</f>
        <v>0.20971448051384003</v>
      </c>
      <c r="AY33" s="64">
        <f>+AY29/$CQ$29</f>
        <v>0.28143852915098061</v>
      </c>
      <c r="AZ33" s="180">
        <f>+AZ29/$CQ$29</f>
        <v>0.29408703747105225</v>
      </c>
      <c r="BA33" s="64">
        <f>+BA29/$CR$29</f>
        <v>0.21890979045203104</v>
      </c>
      <c r="BB33" s="64">
        <f>+BB29/$CR$29</f>
        <v>0.24777518202840401</v>
      </c>
      <c r="BC33" s="64">
        <f>+BC29/$CR$29</f>
        <v>0.26079709681741009</v>
      </c>
      <c r="BD33" s="180">
        <f>+BD29/$CR$29</f>
        <v>0.27251793070215485</v>
      </c>
      <c r="BE33" s="64">
        <f>+BE29/$CS$29</f>
        <v>0.22317207983374018</v>
      </c>
      <c r="BF33" s="64">
        <f>+BF29/$CS$29</f>
        <v>0.25259949584840258</v>
      </c>
      <c r="BG33" s="64">
        <f>+BG29/$CS$29</f>
        <v>0.26274701356676511</v>
      </c>
      <c r="BH33" s="180">
        <f>+BH29/$CS$29</f>
        <v>0.26148141075109216</v>
      </c>
      <c r="BI33" s="64">
        <f>+BI29/$CT$29</f>
        <v>0.22489074918647659</v>
      </c>
      <c r="BJ33" s="64">
        <f>+BJ29/$CT$29</f>
        <v>0.26515082137791995</v>
      </c>
      <c r="BK33" s="64">
        <f>+BK29/$CT$29</f>
        <v>0.26293176953448055</v>
      </c>
      <c r="BL33" s="180">
        <f>+BL29/$CT$29</f>
        <v>0.24702665990112285</v>
      </c>
      <c r="BM33" s="1263">
        <f>+BM29/$CU$29</f>
        <v>0.22489074918647659</v>
      </c>
      <c r="BN33" s="64">
        <f>+BN29/$CU$29</f>
        <v>0.26515082137791995</v>
      </c>
      <c r="BO33" s="64">
        <f>+BO29/$CU$29</f>
        <v>0.26293176953448061</v>
      </c>
      <c r="BP33" s="64">
        <f>+BP29/$CU$29</f>
        <v>0.24702665990112285</v>
      </c>
      <c r="BQ33" s="1263">
        <f>+BQ29/$CV$29</f>
        <v>0.24613691810599292</v>
      </c>
      <c r="BR33" s="64">
        <f>+BR29/$CV$29</f>
        <v>0.29020049176464013</v>
      </c>
      <c r="BS33" s="64">
        <f>+BS29/$CV$29</f>
        <v>0.21582884909499842</v>
      </c>
      <c r="BT33" s="180">
        <f>+BT29/$CV$29</f>
        <v>0.24783374103436848</v>
      </c>
      <c r="BU33" s="1263">
        <f>+BU29/$CW$29</f>
        <v>0.24782250119310031</v>
      </c>
      <c r="BV33" s="64">
        <f>+BV29/$CW$29</f>
        <v>0.28533967667227178</v>
      </c>
      <c r="BW33" s="64">
        <f>+BW29/$CW$29</f>
        <v>0.21730687791141401</v>
      </c>
      <c r="BX33" s="64">
        <f>+BX29/$CW$29</f>
        <v>0.24953094422321392</v>
      </c>
      <c r="BY33" s="1263">
        <f>+BY29/$CX$29</f>
        <v>0.24782250119310031</v>
      </c>
      <c r="BZ33" s="64">
        <f>+BZ29/$CX$29</f>
        <v>0.28533967667227172</v>
      </c>
      <c r="CA33" s="64">
        <f>+CA29/$CX$29</f>
        <v>0.21730687791141401</v>
      </c>
      <c r="CB33" s="180">
        <f>+CB29/$CX$29</f>
        <v>0.24953094422321392</v>
      </c>
      <c r="CC33" s="1263">
        <f>+CC29/$CY$29</f>
        <v>0.24782250119310029</v>
      </c>
      <c r="CD33" s="64">
        <f>+CD29/$CY$29</f>
        <v>0.28533967667227172</v>
      </c>
      <c r="CE33" s="64">
        <f>+CE29/$CY$29</f>
        <v>0.21730687791141398</v>
      </c>
      <c r="CF33" s="180">
        <f>+CF29/$CY$29</f>
        <v>0.2495309442232139</v>
      </c>
      <c r="CG33" s="234"/>
      <c r="CH33" s="160"/>
      <c r="CM33" s="64"/>
      <c r="CN33" s="64"/>
      <c r="CO33" s="104"/>
      <c r="CP33" s="64"/>
      <c r="CQ33" s="104"/>
      <c r="CR33" s="104"/>
      <c r="CS33" s="853"/>
      <c r="CT33" s="853"/>
      <c r="CU33" s="853"/>
      <c r="CV33" s="853"/>
      <c r="CW33" s="853"/>
      <c r="CX33" s="853"/>
      <c r="CY33" s="853"/>
      <c r="DF33" s="234"/>
    </row>
    <row r="34" spans="1:110" ht="12.75" customHeight="1">
      <c r="A34" s="14"/>
      <c r="B34" s="15"/>
      <c r="C34" s="15"/>
      <c r="D34" s="15"/>
      <c r="E34" s="15"/>
      <c r="F34" s="14"/>
      <c r="G34" s="14"/>
      <c r="H34" s="14"/>
      <c r="I34" s="185"/>
      <c r="J34" s="70"/>
      <c r="K34" s="70"/>
      <c r="P34" s="234"/>
      <c r="T34" s="234"/>
      <c r="X34" s="234"/>
      <c r="AB34" s="234"/>
      <c r="AF34" s="249"/>
      <c r="AG34" s="64"/>
      <c r="AH34" s="64"/>
      <c r="AI34" s="64"/>
      <c r="AJ34" s="180"/>
      <c r="AK34" s="64"/>
      <c r="AL34" s="64"/>
      <c r="AM34" s="64"/>
      <c r="AN34" s="180"/>
      <c r="AO34" s="64"/>
      <c r="AP34" s="64"/>
      <c r="AQ34" s="64"/>
      <c r="AR34" s="180"/>
      <c r="AS34" s="64"/>
      <c r="AT34" s="64"/>
      <c r="AU34" s="64"/>
      <c r="AV34" s="180"/>
      <c r="AW34" s="64"/>
      <c r="AX34" s="64"/>
      <c r="AY34" s="64"/>
      <c r="AZ34" s="180"/>
      <c r="BA34" s="64"/>
      <c r="BB34" s="64"/>
      <c r="BC34" s="64"/>
      <c r="BD34" s="180"/>
      <c r="BE34" s="715"/>
      <c r="BF34" s="715"/>
      <c r="BG34" s="715"/>
      <c r="BH34" s="727"/>
      <c r="BI34" s="64"/>
      <c r="BJ34" s="64"/>
      <c r="BK34" s="64"/>
      <c r="BL34" s="180"/>
      <c r="BM34" s="1263"/>
      <c r="BN34" s="64"/>
      <c r="BO34" s="64"/>
      <c r="BP34" s="64"/>
      <c r="BQ34" s="1263"/>
      <c r="BR34" s="64"/>
      <c r="BS34" s="64"/>
      <c r="BT34" s="180"/>
      <c r="BU34" s="1263"/>
      <c r="BV34" s="64"/>
      <c r="BW34" s="64"/>
      <c r="BX34" s="64"/>
      <c r="BY34" s="1263"/>
      <c r="BZ34" s="64"/>
      <c r="CA34" s="64"/>
      <c r="CB34" s="180"/>
      <c r="CC34" s="1263"/>
      <c r="CD34" s="64"/>
      <c r="CE34" s="64"/>
      <c r="CF34" s="180"/>
      <c r="CG34" s="234"/>
      <c r="CH34" s="160"/>
      <c r="CM34" s="64"/>
      <c r="CN34" s="64"/>
      <c r="CO34" s="104"/>
      <c r="CP34" s="64"/>
      <c r="CQ34" s="104"/>
      <c r="CR34" s="120"/>
      <c r="CS34" s="853"/>
      <c r="CT34" s="853"/>
      <c r="CU34" s="853"/>
      <c r="CV34" s="853"/>
      <c r="CW34" s="853"/>
      <c r="CX34" s="853"/>
      <c r="CY34" s="853"/>
      <c r="DF34" s="234"/>
    </row>
    <row r="35" spans="1:110" s="8" customFormat="1" ht="12.75" customHeight="1">
      <c r="A35" s="14"/>
      <c r="B35" s="15"/>
      <c r="C35" s="15"/>
      <c r="D35" s="15"/>
      <c r="E35" s="15"/>
      <c r="F35" s="14"/>
      <c r="G35" s="14"/>
      <c r="H35" s="14"/>
      <c r="I35" s="190" t="s">
        <v>262</v>
      </c>
      <c r="J35" s="79"/>
      <c r="K35" s="79"/>
      <c r="P35" s="245"/>
      <c r="T35" s="245"/>
      <c r="X35" s="245"/>
      <c r="AB35" s="245"/>
      <c r="AC35" s="289"/>
      <c r="AD35" s="289"/>
      <c r="AE35" s="289"/>
      <c r="AF35" s="953"/>
      <c r="AG35" s="721"/>
      <c r="AH35" s="721"/>
      <c r="AI35" s="721"/>
      <c r="AJ35" s="731"/>
      <c r="AK35" s="721"/>
      <c r="AL35" s="721"/>
      <c r="AM35" s="721"/>
      <c r="AN35" s="731"/>
      <c r="AO35" s="721"/>
      <c r="AP35" s="721"/>
      <c r="AQ35" s="721"/>
      <c r="AR35" s="731"/>
      <c r="AS35" s="721"/>
      <c r="AT35" s="721"/>
      <c r="AU35" s="721"/>
      <c r="AV35" s="731"/>
      <c r="AW35" s="1259"/>
      <c r="AX35" s="1210">
        <v>43.9</v>
      </c>
      <c r="AY35" s="1210">
        <v>85.8</v>
      </c>
      <c r="AZ35" s="278">
        <v>55</v>
      </c>
      <c r="BA35" s="1210">
        <v>95.7</v>
      </c>
      <c r="BB35" s="1210">
        <v>100</v>
      </c>
      <c r="BC35" s="104">
        <f t="shared" ref="BC35:BL35" si="62">+AY35*(1+BC36)</f>
        <v>180.18</v>
      </c>
      <c r="BD35" s="212">
        <f t="shared" si="62"/>
        <v>115.5</v>
      </c>
      <c r="BE35" s="104">
        <f t="shared" si="62"/>
        <v>162.69</v>
      </c>
      <c r="BF35" s="104">
        <f t="shared" si="62"/>
        <v>160</v>
      </c>
      <c r="BG35" s="104">
        <f t="shared" si="62"/>
        <v>288.28800000000001</v>
      </c>
      <c r="BH35" s="212">
        <f t="shared" si="62"/>
        <v>173.25</v>
      </c>
      <c r="BI35" s="104">
        <f t="shared" si="62"/>
        <v>227.76599999999999</v>
      </c>
      <c r="BJ35" s="104">
        <f t="shared" si="62"/>
        <v>224</v>
      </c>
      <c r="BK35" s="104">
        <f t="shared" si="62"/>
        <v>403.60320000000002</v>
      </c>
      <c r="BL35" s="212">
        <f t="shared" si="62"/>
        <v>225.22499999999999</v>
      </c>
      <c r="BM35" s="851">
        <f>+BI35*(1+BM36)</f>
        <v>282.42984000000001</v>
      </c>
      <c r="BN35" s="104">
        <f t="shared" ref="BN35:CF35" si="63">+BJ35*(1+BN36)</f>
        <v>268.8</v>
      </c>
      <c r="BO35" s="104">
        <f>+BK35*(1+BO36)</f>
        <v>516.61209600000007</v>
      </c>
      <c r="BP35" s="104">
        <f>+BL35*(1+BP36)</f>
        <v>270.27</v>
      </c>
      <c r="BQ35" s="851">
        <f>+BM35*(1+BQ36)</f>
        <v>338.91580800000003</v>
      </c>
      <c r="BR35" s="104">
        <f>+BN35*(1+BR36)</f>
        <v>322.56</v>
      </c>
      <c r="BS35" s="104">
        <f>+BO35*(1+BS36)</f>
        <v>645.76512000000002</v>
      </c>
      <c r="BT35" s="212">
        <f t="shared" si="63"/>
        <v>310.81049999999993</v>
      </c>
      <c r="BU35" s="851">
        <f t="shared" si="63"/>
        <v>379.58570496000004</v>
      </c>
      <c r="BV35" s="104">
        <f t="shared" si="63"/>
        <v>361.26720000000006</v>
      </c>
      <c r="BW35" s="104">
        <f t="shared" si="63"/>
        <v>723.25693440000009</v>
      </c>
      <c r="BX35" s="104">
        <f t="shared" si="63"/>
        <v>348.10775999999998</v>
      </c>
      <c r="BY35" s="851">
        <f t="shared" si="63"/>
        <v>417.54427545600009</v>
      </c>
      <c r="BZ35" s="104">
        <f t="shared" si="63"/>
        <v>397.39392000000009</v>
      </c>
      <c r="CA35" s="104">
        <f t="shared" si="63"/>
        <v>795.58262784000021</v>
      </c>
      <c r="CB35" s="212">
        <f t="shared" si="63"/>
        <v>382.91853600000002</v>
      </c>
      <c r="CC35" s="851">
        <f t="shared" si="63"/>
        <v>438.42148922880011</v>
      </c>
      <c r="CD35" s="104">
        <f t="shared" si="63"/>
        <v>417.26361600000013</v>
      </c>
      <c r="CE35" s="104">
        <f>+CA35*(1+CE36)</f>
        <v>835.36175923200028</v>
      </c>
      <c r="CF35" s="212">
        <f t="shared" si="63"/>
        <v>402.06446280000006</v>
      </c>
      <c r="CG35" s="245"/>
      <c r="CH35" s="178"/>
      <c r="CM35" s="721"/>
      <c r="CN35" s="721"/>
      <c r="CO35" s="721"/>
      <c r="CP35" s="103"/>
      <c r="CQ35" s="104">
        <f>+SUM(AW35:AZ35)</f>
        <v>184.7</v>
      </c>
      <c r="CR35" s="104">
        <f>+SUM(BA35:BD35)</f>
        <v>491.38</v>
      </c>
      <c r="CS35" s="104">
        <f>+SUM(BE35:BH35)</f>
        <v>784.22800000000007</v>
      </c>
      <c r="CT35" s="104">
        <f>+SUM(BI35:BL35)</f>
        <v>1080.5942</v>
      </c>
      <c r="CU35" s="104">
        <f>+SUM(BM35:BP35)</f>
        <v>1338.111936</v>
      </c>
      <c r="CV35" s="104">
        <f>+SUM(BQ35:BT35)</f>
        <v>1618.0514280000002</v>
      </c>
      <c r="CW35" s="104">
        <f>+SUM(BU35:BX35)</f>
        <v>1812.2175993600003</v>
      </c>
      <c r="CX35" s="104">
        <f>+SUM(BY35:CB35)</f>
        <v>1993.4393592960005</v>
      </c>
      <c r="CY35" s="104">
        <f>+SUM(CC35:CF35)</f>
        <v>2093.1113272608004</v>
      </c>
      <c r="CZ35" s="104">
        <f t="shared" ref="CZ35:DF35" si="64">+CY35*(1+CZ36)</f>
        <v>2176.8357803512326</v>
      </c>
      <c r="DA35" s="104">
        <f t="shared" si="64"/>
        <v>2242.1408537617699</v>
      </c>
      <c r="DB35" s="104">
        <f t="shared" si="64"/>
        <v>2286.9836708370053</v>
      </c>
      <c r="DC35" s="104">
        <f t="shared" si="64"/>
        <v>2309.8535075453756</v>
      </c>
      <c r="DD35" s="104">
        <f t="shared" si="64"/>
        <v>2309.8535075453756</v>
      </c>
      <c r="DE35" s="104">
        <f t="shared" si="64"/>
        <v>2286.754972469922</v>
      </c>
      <c r="DF35" s="212">
        <f t="shared" si="64"/>
        <v>2263.8874227452229</v>
      </c>
    </row>
    <row r="36" spans="1:110" ht="12.75" customHeight="1">
      <c r="A36" s="16"/>
      <c r="B36" s="17"/>
      <c r="C36" s="17"/>
      <c r="D36" s="17"/>
      <c r="E36" s="17"/>
      <c r="F36" s="16"/>
      <c r="G36" s="16"/>
      <c r="H36" s="16"/>
      <c r="I36" s="185" t="s">
        <v>376</v>
      </c>
      <c r="J36" s="70"/>
      <c r="K36" s="70"/>
      <c r="P36" s="234"/>
      <c r="T36" s="234"/>
      <c r="X36" s="234"/>
      <c r="AB36" s="234"/>
      <c r="AF36" s="249"/>
      <c r="AG36" s="64"/>
      <c r="AH36" s="64"/>
      <c r="AI36" s="64"/>
      <c r="AJ36" s="180"/>
      <c r="AK36" s="64"/>
      <c r="AL36" s="64"/>
      <c r="AM36" s="64"/>
      <c r="AN36" s="180"/>
      <c r="AO36" s="64"/>
      <c r="AP36" s="103"/>
      <c r="AQ36" s="103" t="s">
        <v>263</v>
      </c>
      <c r="AR36" s="202"/>
      <c r="AS36" s="64"/>
      <c r="AT36" s="64"/>
      <c r="AU36" s="64"/>
      <c r="AV36" s="180"/>
      <c r="AW36" s="733"/>
      <c r="AX36" s="33"/>
      <c r="AY36" s="33"/>
      <c r="AZ36" s="739"/>
      <c r="BA36" s="859"/>
      <c r="BB36" s="859">
        <f>+BB35/AX35-1</f>
        <v>1.2779043280182232</v>
      </c>
      <c r="BC36" s="1408">
        <v>1.1000000000000001</v>
      </c>
      <c r="BD36" s="1409">
        <v>1.1000000000000001</v>
      </c>
      <c r="BE36" s="1249">
        <v>0.7</v>
      </c>
      <c r="BF36" s="1142">
        <v>0.6</v>
      </c>
      <c r="BG36" s="1280">
        <v>0.6</v>
      </c>
      <c r="BH36" s="1143">
        <v>0.5</v>
      </c>
      <c r="BI36" s="1249">
        <v>0.4</v>
      </c>
      <c r="BJ36" s="1142">
        <v>0.4</v>
      </c>
      <c r="BK36" s="1280">
        <v>0.4</v>
      </c>
      <c r="BL36" s="1143">
        <v>0.3</v>
      </c>
      <c r="BM36" s="1249">
        <v>0.24</v>
      </c>
      <c r="BN36" s="1142">
        <v>0.2</v>
      </c>
      <c r="BO36" s="1280">
        <v>0.28000000000000003</v>
      </c>
      <c r="BP36" s="1142">
        <v>0.2</v>
      </c>
      <c r="BQ36" s="1249">
        <v>0.2</v>
      </c>
      <c r="BR36" s="1142">
        <v>0.2</v>
      </c>
      <c r="BS36" s="1142">
        <v>0.25</v>
      </c>
      <c r="BT36" s="1142">
        <v>0.15</v>
      </c>
      <c r="BU36" s="1393">
        <v>0.12</v>
      </c>
      <c r="BV36" s="1142">
        <v>0.12</v>
      </c>
      <c r="BW36" s="1142">
        <v>0.12</v>
      </c>
      <c r="BX36" s="1142">
        <v>0.12</v>
      </c>
      <c r="BY36" s="1249">
        <v>0.1</v>
      </c>
      <c r="BZ36" s="1142">
        <v>0.1</v>
      </c>
      <c r="CA36" s="1142">
        <v>0.1</v>
      </c>
      <c r="CB36" s="1279">
        <v>0.1</v>
      </c>
      <c r="CC36" s="1318">
        <v>0.05</v>
      </c>
      <c r="CD36" s="1319">
        <v>0.05</v>
      </c>
      <c r="CE36" s="1319">
        <v>0.05</v>
      </c>
      <c r="CF36" s="1317">
        <v>0.05</v>
      </c>
      <c r="CG36" s="234"/>
      <c r="CH36" s="160"/>
      <c r="CM36" s="64"/>
      <c r="CN36" s="64"/>
      <c r="CO36" s="103" t="s">
        <v>373</v>
      </c>
      <c r="CP36" s="64"/>
      <c r="CQ36" s="733"/>
      <c r="CR36" s="733">
        <f t="shared" ref="CR36:CY36" si="65">+CR35/CQ35-1</f>
        <v>1.6604223064428805</v>
      </c>
      <c r="CS36" s="733">
        <f t="shared" si="65"/>
        <v>0.59597053197118344</v>
      </c>
      <c r="CT36" s="853">
        <f t="shared" si="65"/>
        <v>0.37790821036739297</v>
      </c>
      <c r="CU36" s="733">
        <f t="shared" si="65"/>
        <v>0.23831123283837718</v>
      </c>
      <c r="CV36" s="733">
        <f t="shared" si="65"/>
        <v>0.20920483889921759</v>
      </c>
      <c r="CW36" s="733">
        <f t="shared" si="65"/>
        <v>0.12000000000000011</v>
      </c>
      <c r="CX36" s="733">
        <f t="shared" si="65"/>
        <v>0.10000000000000009</v>
      </c>
      <c r="CY36" s="733">
        <f t="shared" si="65"/>
        <v>5.0000000000000044E-2</v>
      </c>
      <c r="CZ36" s="1319">
        <f t="shared" ref="CZ36:DE36" si="66">+CY36-1%</f>
        <v>4.0000000000000042E-2</v>
      </c>
      <c r="DA36" s="1319">
        <f t="shared" si="66"/>
        <v>3.0000000000000041E-2</v>
      </c>
      <c r="DB36" s="1319">
        <f t="shared" si="66"/>
        <v>2.0000000000000039E-2</v>
      </c>
      <c r="DC36" s="1319">
        <f t="shared" si="66"/>
        <v>1.0000000000000038E-2</v>
      </c>
      <c r="DD36" s="1319">
        <f t="shared" si="66"/>
        <v>3.8163916471489756E-17</v>
      </c>
      <c r="DE36" s="1319">
        <f t="shared" si="66"/>
        <v>-9.999999999999962E-3</v>
      </c>
      <c r="DF36" s="1317">
        <f>+DE36</f>
        <v>-9.999999999999962E-3</v>
      </c>
    </row>
    <row r="37" spans="1:110" ht="12.75" customHeight="1">
      <c r="A37" s="12"/>
      <c r="B37" s="13"/>
      <c r="C37" s="13"/>
      <c r="D37" s="13"/>
      <c r="E37" s="13"/>
      <c r="F37" s="12"/>
      <c r="G37" s="12"/>
      <c r="H37" s="12"/>
      <c r="I37" s="185" t="s">
        <v>385</v>
      </c>
      <c r="J37" s="70"/>
      <c r="K37" s="70"/>
      <c r="P37" s="234"/>
      <c r="T37" s="234"/>
      <c r="X37" s="234"/>
      <c r="AB37" s="234"/>
      <c r="AF37" s="249"/>
      <c r="AJ37" s="179"/>
      <c r="AK37" s="715"/>
      <c r="AL37" s="715"/>
      <c r="AM37" s="715"/>
      <c r="AN37" s="727"/>
      <c r="AO37" s="715"/>
      <c r="AP37" s="103"/>
      <c r="AQ37" s="103" t="s">
        <v>264</v>
      </c>
      <c r="AR37" s="202"/>
      <c r="AS37" s="33">
        <f t="shared" ref="AS37:BB37" si="67">+AS35-AO35</f>
        <v>0</v>
      </c>
      <c r="AT37" s="33">
        <f t="shared" si="67"/>
        <v>0</v>
      </c>
      <c r="AU37" s="33">
        <f t="shared" si="67"/>
        <v>0</v>
      </c>
      <c r="AV37" s="162">
        <f t="shared" si="67"/>
        <v>0</v>
      </c>
      <c r="AW37" s="33">
        <f t="shared" si="67"/>
        <v>0</v>
      </c>
      <c r="AX37" s="33">
        <f t="shared" si="67"/>
        <v>43.9</v>
      </c>
      <c r="AY37" s="33">
        <f t="shared" si="67"/>
        <v>85.8</v>
      </c>
      <c r="AZ37" s="162">
        <f t="shared" si="67"/>
        <v>55</v>
      </c>
      <c r="BA37" s="33">
        <f t="shared" si="67"/>
        <v>95.7</v>
      </c>
      <c r="BB37" s="33">
        <f t="shared" si="67"/>
        <v>56.1</v>
      </c>
      <c r="BC37" s="33">
        <f>+BC35-AY35</f>
        <v>94.38000000000001</v>
      </c>
      <c r="BD37" s="162">
        <f>+BD35-AZ35</f>
        <v>60.5</v>
      </c>
      <c r="BE37" s="33">
        <f t="shared" ref="BE37:BL37" si="68">+BE35-BA35</f>
        <v>66.989999999999995</v>
      </c>
      <c r="BF37" s="33">
        <f t="shared" si="68"/>
        <v>60</v>
      </c>
      <c r="BG37" s="33">
        <f t="shared" si="68"/>
        <v>108.108</v>
      </c>
      <c r="BH37" s="162">
        <f t="shared" si="68"/>
        <v>57.75</v>
      </c>
      <c r="BI37" s="33">
        <f t="shared" si="68"/>
        <v>65.075999999999993</v>
      </c>
      <c r="BJ37" s="33">
        <f t="shared" si="68"/>
        <v>64</v>
      </c>
      <c r="BK37" s="33">
        <f t="shared" si="68"/>
        <v>115.3152</v>
      </c>
      <c r="BL37" s="162">
        <f t="shared" si="68"/>
        <v>51.974999999999994</v>
      </c>
      <c r="BM37" s="1595">
        <f t="shared" ref="BM37:CF37" si="69">+BM35-BI35</f>
        <v>54.663840000000022</v>
      </c>
      <c r="BN37" s="33">
        <f t="shared" si="69"/>
        <v>44.800000000000011</v>
      </c>
      <c r="BO37" s="33">
        <f>+BO35-BK35</f>
        <v>113.00889600000005</v>
      </c>
      <c r="BP37" s="33">
        <f>+BP35-BL35</f>
        <v>45.044999999999987</v>
      </c>
      <c r="BQ37" s="1595">
        <f>+BQ35-BM35</f>
        <v>56.485968000000014</v>
      </c>
      <c r="BR37" s="33">
        <f>+BR35-BN35</f>
        <v>53.759999999999991</v>
      </c>
      <c r="BS37" s="33">
        <f>+BS35-BO35</f>
        <v>129.15302399999996</v>
      </c>
      <c r="BT37" s="162">
        <f t="shared" si="69"/>
        <v>40.540499999999952</v>
      </c>
      <c r="BU37" s="1595">
        <f t="shared" si="69"/>
        <v>40.669896960000017</v>
      </c>
      <c r="BV37" s="33">
        <f t="shared" si="69"/>
        <v>38.707200000000057</v>
      </c>
      <c r="BW37" s="33">
        <f t="shared" si="69"/>
        <v>77.491814400000067</v>
      </c>
      <c r="BX37" s="33">
        <f t="shared" si="69"/>
        <v>37.297260000000051</v>
      </c>
      <c r="BY37" s="1595">
        <f t="shared" si="69"/>
        <v>37.95857049600005</v>
      </c>
      <c r="BZ37" s="33">
        <f t="shared" si="69"/>
        <v>36.126720000000034</v>
      </c>
      <c r="CA37" s="33">
        <f t="shared" si="69"/>
        <v>72.325693440000123</v>
      </c>
      <c r="CB37" s="162">
        <f t="shared" si="69"/>
        <v>34.810776000000033</v>
      </c>
      <c r="CC37" s="1595">
        <f t="shared" si="69"/>
        <v>20.877213772800019</v>
      </c>
      <c r="CD37" s="33">
        <f t="shared" si="69"/>
        <v>19.869696000000033</v>
      </c>
      <c r="CE37" s="33">
        <f t="shared" si="69"/>
        <v>39.779131392000068</v>
      </c>
      <c r="CF37" s="162">
        <f t="shared" si="69"/>
        <v>19.145926800000041</v>
      </c>
      <c r="CG37" s="234"/>
      <c r="CH37" s="160"/>
      <c r="CM37" s="103"/>
      <c r="CN37" s="715"/>
      <c r="CO37" s="103" t="s">
        <v>374</v>
      </c>
      <c r="CP37" s="33">
        <f t="shared" ref="CP37:CW37" si="70">+CP35-CO35</f>
        <v>0</v>
      </c>
      <c r="CQ37" s="33">
        <f t="shared" si="70"/>
        <v>184.7</v>
      </c>
      <c r="CR37" s="33">
        <f t="shared" si="70"/>
        <v>306.68</v>
      </c>
      <c r="CS37" s="33">
        <f t="shared" si="70"/>
        <v>292.84800000000007</v>
      </c>
      <c r="CT37" s="33">
        <f t="shared" si="70"/>
        <v>296.36619999999994</v>
      </c>
      <c r="CU37" s="33">
        <f t="shared" si="70"/>
        <v>257.51773600000001</v>
      </c>
      <c r="CV37" s="33">
        <f t="shared" si="70"/>
        <v>279.9394920000002</v>
      </c>
      <c r="CW37" s="33">
        <f t="shared" si="70"/>
        <v>194.16617136000013</v>
      </c>
      <c r="CX37" s="33">
        <f t="shared" ref="CX37:DF37" si="71">+CX35-CW35</f>
        <v>181.22175993600013</v>
      </c>
      <c r="CY37" s="33">
        <f t="shared" si="71"/>
        <v>99.671967964799933</v>
      </c>
      <c r="CZ37" s="33">
        <f t="shared" si="71"/>
        <v>83.724453090432235</v>
      </c>
      <c r="DA37" s="33">
        <f t="shared" si="71"/>
        <v>65.305073410537261</v>
      </c>
      <c r="DB37" s="33">
        <f t="shared" si="71"/>
        <v>44.842817075235416</v>
      </c>
      <c r="DC37" s="33">
        <f t="shared" si="71"/>
        <v>22.869836708370258</v>
      </c>
      <c r="DD37" s="33">
        <f t="shared" si="71"/>
        <v>0</v>
      </c>
      <c r="DE37" s="33">
        <f t="shared" si="71"/>
        <v>-23.098535075453583</v>
      </c>
      <c r="DF37" s="162">
        <f t="shared" si="71"/>
        <v>-22.867549724699074</v>
      </c>
    </row>
    <row r="38" spans="1:110" ht="12.75" customHeight="1">
      <c r="A38" s="12"/>
      <c r="B38" s="13"/>
      <c r="C38" s="13"/>
      <c r="D38" s="13"/>
      <c r="E38" s="13"/>
      <c r="F38" s="12"/>
      <c r="G38" s="12"/>
      <c r="H38" s="12"/>
      <c r="I38" s="185" t="s">
        <v>236</v>
      </c>
      <c r="J38" s="70"/>
      <c r="K38" s="70"/>
      <c r="P38" s="234"/>
      <c r="T38" s="234"/>
      <c r="X38" s="234"/>
      <c r="AB38" s="234"/>
      <c r="AF38" s="249"/>
      <c r="AJ38" s="179"/>
      <c r="AN38" s="885"/>
      <c r="AO38" s="860"/>
      <c r="AP38" s="860"/>
      <c r="AQ38" s="860"/>
      <c r="AR38" s="885"/>
      <c r="AS38" s="860"/>
      <c r="AT38" s="860"/>
      <c r="AU38" s="860"/>
      <c r="AV38" s="885"/>
      <c r="AW38" s="860"/>
      <c r="AX38" s="64">
        <f>+AX35/Model!AX$12</f>
        <v>1.2873220768405186E-2</v>
      </c>
      <c r="AY38" s="64">
        <f>+AY35/Model!AY$12</f>
        <v>2.1417873190214678E-2</v>
      </c>
      <c r="AZ38" s="180">
        <f>+AZ35/Model!AZ$12</f>
        <v>1.6845329249617153E-2</v>
      </c>
      <c r="BA38" s="64">
        <f>+BA35/Model!BA$12</f>
        <v>2.0514469453376205E-2</v>
      </c>
      <c r="BB38" s="64">
        <f>+BB35/Model!BB$12</f>
        <v>1.7301038062283738E-2</v>
      </c>
      <c r="BC38" s="64">
        <f>+BC35/Model!BC$12</f>
        <v>2.8796547866389646E-2</v>
      </c>
      <c r="BD38" s="180">
        <f>+BD35/Model!BD$12</f>
        <v>2.3305084745762712E-2</v>
      </c>
      <c r="BE38" s="64">
        <f>+BE35/Model!BE$12</f>
        <v>2.4242288779615557E-2</v>
      </c>
      <c r="BF38" s="64">
        <f>+BF35/Model!BF$12</f>
        <v>2.1831082003001774E-2</v>
      </c>
      <c r="BG38" s="64">
        <f>+BG35/Model!BG$12</f>
        <v>3.6808988764044946E-2</v>
      </c>
      <c r="BH38" s="180">
        <f>+BH35/Model!BH$12</f>
        <v>2.6313791008505467E-2</v>
      </c>
      <c r="BI38" s="64">
        <f>+BI35/Model!BI$12</f>
        <v>2.4884300229432971E-2</v>
      </c>
      <c r="BJ38" s="64">
        <f>+BJ35/Model!BJ$12</f>
        <v>2.2140950874765246E-2</v>
      </c>
      <c r="BK38" s="64">
        <f>+BK35/Model!BK$12</f>
        <v>3.7492169066418952E-2</v>
      </c>
      <c r="BL38" s="180">
        <f>+BL35/Model!BL$12</f>
        <v>2.4649775637517784E-2</v>
      </c>
      <c r="BM38" s="1263">
        <f>+BM35/Model!BM$12</f>
        <v>2.2999172638436483E-2</v>
      </c>
      <c r="BN38" s="64">
        <f>+BN35/Model!BN$12</f>
        <v>1.9855222337125129E-2</v>
      </c>
      <c r="BO38" s="64">
        <f>+BO35/Model!BO$12</f>
        <v>3.7373370180134563E-2</v>
      </c>
      <c r="BP38" s="64">
        <f>+BP35/Model!BP$12</f>
        <v>2.5356037151702784E-2</v>
      </c>
      <c r="BQ38" s="1263">
        <f>+BQ35/Model!BQ$12</f>
        <v>2.4601902439024392E-2</v>
      </c>
      <c r="BR38" s="64">
        <f>+BR35/Model!BR$12</f>
        <v>2.1561497326203209E-2</v>
      </c>
      <c r="BS38" s="64">
        <f>+BS35/Model!BS$12</f>
        <v>4.3697734470158345E-2</v>
      </c>
      <c r="BT38" s="180">
        <f>+BT35/Model!BT$12</f>
        <v>2.5870692525387044E-2</v>
      </c>
      <c r="BU38" s="1263">
        <f>+BU35/Model!BU$12</f>
        <v>2.2793833240857507E-2</v>
      </c>
      <c r="BV38" s="64">
        <f>+BV35/Model!BV$12</f>
        <v>2.0225461874370174E-2</v>
      </c>
      <c r="BW38" s="64">
        <f>+BW35/Model!BW$12</f>
        <v>3.9179682253521135E-2</v>
      </c>
      <c r="BX38" s="64">
        <f>+BX35/Model!BX$12</f>
        <v>2.3035187930121756E-2</v>
      </c>
      <c r="BY38" s="1263">
        <f>+BY35/Model!BY$12</f>
        <v>2.018389691381061E-2</v>
      </c>
      <c r="BZ38" s="64">
        <f>+BZ35/Model!BZ$12</f>
        <v>1.9108232918209362E-2</v>
      </c>
      <c r="CA38" s="64">
        <f>+CA35/Model!CA$12</f>
        <v>3.6558341505376353E-2</v>
      </c>
      <c r="CB38" s="180">
        <f>+CB35/Model!CB$12</f>
        <v>2.1296915239154616E-2</v>
      </c>
      <c r="CC38" s="1263">
        <f>+CC35/Model!CC$12</f>
        <v>1.7620398548375285E-2</v>
      </c>
      <c r="CD38" s="64">
        <f>+CD35/Model!CD$12</f>
        <v>1.663324119334187E-2</v>
      </c>
      <c r="CE38" s="64">
        <f>+CE35/Model!CE$12</f>
        <v>3.3665499190284526E-2</v>
      </c>
      <c r="CF38" s="180">
        <f>+CF35/Model!CF$12</f>
        <v>1.8271520374552704E-2</v>
      </c>
      <c r="CG38" s="234"/>
      <c r="CH38" s="160"/>
      <c r="CM38" s="30"/>
      <c r="CN38" s="860"/>
      <c r="CO38" s="889"/>
      <c r="CP38" s="889"/>
      <c r="CQ38" s="64">
        <f>+CQ35/Model!CQ$12</f>
        <v>1.3535225846638636E-2</v>
      </c>
      <c r="CR38" s="64">
        <f>+CR35/Model!CR$12</f>
        <v>2.2688152183950504E-2</v>
      </c>
      <c r="CS38" s="64">
        <f>+CS35/Model!CS$12</f>
        <v>2.7559319651391623E-2</v>
      </c>
      <c r="CT38" s="64">
        <f>+CT35/Model!CT$12</f>
        <v>2.7585882773409579E-2</v>
      </c>
      <c r="CU38" s="64">
        <f>+CU35/Model!CU$12</f>
        <v>2.6602622982107357E-2</v>
      </c>
      <c r="CV38" s="64">
        <f>+CV35/Model!CV$12</f>
        <v>2.9139378835902612E-2</v>
      </c>
      <c r="CW38" s="64">
        <f>+CW35/Model!CW$12</f>
        <v>2.6616205727378214E-2</v>
      </c>
      <c r="CX38" s="64">
        <f>+CX35/Model!CX$12</f>
        <v>2.4541887564277453E-2</v>
      </c>
      <c r="CY38" s="64">
        <f>+CY35/Model!CY$12</f>
        <v>2.1626140854212453E-2</v>
      </c>
      <c r="CZ38" s="64">
        <f>+CZ35/Model!CZ$12</f>
        <v>1.9624773000035713E-2</v>
      </c>
      <c r="DA38" s="64">
        <f>+DA35/Model!DA$12</f>
        <v>1.796171423746799E-2</v>
      </c>
      <c r="DB38" s="64">
        <f>+DB35/Model!DB$12</f>
        <v>1.6540753134430802E-2</v>
      </c>
      <c r="DC38" s="64">
        <f>+DC35/Model!DC$12</f>
        <v>1.5252909879926124E-2</v>
      </c>
      <c r="DD38" s="64">
        <f>+DD35/Model!DD$12</f>
        <v>1.4043340641007991E-2</v>
      </c>
      <c r="DE38" s="64">
        <f>+DE35/Model!DE$12</f>
        <v>1.2899354987811189E-2</v>
      </c>
      <c r="DF38" s="180">
        <f>+DF35/Model!DF$12</f>
        <v>1.1845401125133083E-2</v>
      </c>
    </row>
    <row r="39" spans="1:110" ht="12.75" customHeight="1">
      <c r="A39" s="12"/>
      <c r="B39" s="13"/>
      <c r="C39" s="13"/>
      <c r="D39" s="13"/>
      <c r="E39" s="13"/>
      <c r="F39" s="12"/>
      <c r="G39" s="12"/>
      <c r="H39" s="12"/>
      <c r="I39" s="185"/>
      <c r="J39" s="70"/>
      <c r="K39" s="70"/>
      <c r="P39" s="234"/>
      <c r="T39" s="234"/>
      <c r="X39" s="234"/>
      <c r="AB39" s="234"/>
      <c r="AF39" s="249"/>
      <c r="AJ39" s="179"/>
      <c r="AN39" s="885"/>
      <c r="AO39" s="860"/>
      <c r="AP39" s="860"/>
      <c r="AQ39" s="860"/>
      <c r="AR39" s="885"/>
      <c r="AS39" s="860"/>
      <c r="AT39" s="860"/>
      <c r="AU39" s="860"/>
      <c r="AV39" s="885"/>
      <c r="AW39" s="860"/>
      <c r="AX39" s="64"/>
      <c r="AY39" s="64"/>
      <c r="AZ39" s="180"/>
      <c r="BA39" s="64"/>
      <c r="BB39" s="64"/>
      <c r="BC39" s="64"/>
      <c r="BD39" s="180"/>
      <c r="BE39" s="64"/>
      <c r="BF39" s="64"/>
      <c r="BG39" s="64"/>
      <c r="BH39" s="180"/>
      <c r="BI39" s="64"/>
      <c r="BJ39" s="64"/>
      <c r="BK39" s="64"/>
      <c r="BL39" s="180"/>
      <c r="BM39" s="1263"/>
      <c r="BN39" s="64"/>
      <c r="BO39" s="64"/>
      <c r="BP39" s="180"/>
      <c r="BQ39" s="1263"/>
      <c r="BR39" s="64"/>
      <c r="BS39" s="64"/>
      <c r="BT39" s="64"/>
      <c r="BU39" s="1263"/>
      <c r="BV39" s="64"/>
      <c r="BW39" s="64"/>
      <c r="BX39" s="64"/>
      <c r="BY39" s="1263"/>
      <c r="BZ39" s="64"/>
      <c r="CA39" s="64"/>
      <c r="CB39" s="180"/>
      <c r="CC39" s="1263"/>
      <c r="CD39" s="64"/>
      <c r="CE39" s="64"/>
      <c r="CF39" s="180"/>
      <c r="CG39" s="234"/>
      <c r="CH39" s="160"/>
      <c r="CM39" s="30"/>
      <c r="CN39" s="860"/>
      <c r="CO39" s="889"/>
      <c r="CP39" s="889"/>
      <c r="CQ39" s="103"/>
      <c r="CR39" s="103"/>
      <c r="CS39" s="103"/>
      <c r="CT39" s="103"/>
      <c r="CU39" s="103"/>
      <c r="CV39" s="103"/>
      <c r="CW39" s="103"/>
      <c r="CX39" s="103"/>
      <c r="CY39" s="64"/>
      <c r="DF39" s="234"/>
    </row>
    <row r="40" spans="1:110" s="104" customFormat="1" ht="12.75" customHeight="1">
      <c r="A40" s="24"/>
      <c r="B40" s="25"/>
      <c r="C40" s="25"/>
      <c r="D40" s="25"/>
      <c r="E40" s="25"/>
      <c r="F40" s="25"/>
      <c r="G40" s="25"/>
      <c r="H40" s="24"/>
      <c r="I40" s="190" t="s">
        <v>259</v>
      </c>
      <c r="P40" s="212"/>
      <c r="T40" s="212"/>
      <c r="X40" s="212"/>
      <c r="AB40" s="212"/>
      <c r="AC40" s="103">
        <f>FX!AC40</f>
        <v>71.902000000000001</v>
      </c>
      <c r="AD40" s="103">
        <f>FX!AD40</f>
        <v>77.515000000000001</v>
      </c>
      <c r="AE40" s="103">
        <f>FX!AE40</f>
        <v>164.822</v>
      </c>
      <c r="AF40" s="202">
        <f>FX!AF40</f>
        <v>158.46</v>
      </c>
      <c r="AG40" s="572">
        <v>272.81400000000002</v>
      </c>
      <c r="AH40" s="572">
        <v>356.59300000000002</v>
      </c>
      <c r="AI40" s="572">
        <v>398.416</v>
      </c>
      <c r="AJ40" s="573">
        <v>319.13600000000002</v>
      </c>
      <c r="AK40" s="572">
        <v>519.67899999999997</v>
      </c>
      <c r="AL40" s="572">
        <v>687.12400000000002</v>
      </c>
      <c r="AM40" s="572">
        <v>788.47799999999995</v>
      </c>
      <c r="AN40" s="573">
        <v>679.76</v>
      </c>
      <c r="AO40" s="572">
        <v>1037.644</v>
      </c>
      <c r="AP40" s="572">
        <v>1237.681</v>
      </c>
      <c r="AQ40" s="572">
        <v>1250.8499999999999</v>
      </c>
      <c r="AR40" s="573">
        <v>792.19</v>
      </c>
      <c r="AS40" s="572">
        <v>1092.4269999999999</v>
      </c>
      <c r="AT40" s="572">
        <v>1414.7139999999999</v>
      </c>
      <c r="AU40" s="572">
        <v>1724.1310000000001</v>
      </c>
      <c r="AV40" s="573">
        <v>1433.471</v>
      </c>
      <c r="AW40" s="574">
        <v>1975.345</v>
      </c>
      <c r="AX40" s="572">
        <v>2256.3009999999999</v>
      </c>
      <c r="AY40" s="572">
        <v>2885</v>
      </c>
      <c r="AZ40" s="931">
        <v>2363</v>
      </c>
      <c r="BA40" s="852">
        <v>3536</v>
      </c>
      <c r="BB40" s="852">
        <v>4472</v>
      </c>
      <c r="BC40" s="852">
        <v>4989</v>
      </c>
      <c r="BD40" s="931">
        <v>3912</v>
      </c>
      <c r="BE40" s="852">
        <v>5451</v>
      </c>
      <c r="BF40" s="852">
        <v>5952</v>
      </c>
      <c r="BG40" s="852">
        <v>6473</v>
      </c>
      <c r="BH40" s="931">
        <v>5494</v>
      </c>
      <c r="BI40" s="852">
        <v>7783</v>
      </c>
      <c r="BJ40" s="852">
        <v>8579</v>
      </c>
      <c r="BK40" s="852">
        <v>9179</v>
      </c>
      <c r="BL40" s="931">
        <v>7758</v>
      </c>
      <c r="BM40" s="1266">
        <v>10643</v>
      </c>
      <c r="BN40" s="852">
        <v>11682</v>
      </c>
      <c r="BO40" s="852">
        <v>12080</v>
      </c>
      <c r="BP40" s="852">
        <v>9233</v>
      </c>
      <c r="BQ40" s="1266">
        <v>12104</v>
      </c>
      <c r="BR40" s="852">
        <v>13092</v>
      </c>
      <c r="BS40" s="852">
        <v>13078</v>
      </c>
      <c r="BT40" s="931">
        <v>10697</v>
      </c>
      <c r="BU40" s="851">
        <f>+BU11-BU74</f>
        <v>15012.299882544639</v>
      </c>
      <c r="BV40" s="104">
        <f>+BV11-BV74</f>
        <v>15967.515493362</v>
      </c>
      <c r="BW40" s="104">
        <f>+BW11-BW74</f>
        <v>16579.293320345601</v>
      </c>
      <c r="BX40" s="104">
        <f>+BX11-BX74</f>
        <v>13649.139067599999</v>
      </c>
      <c r="BY40" s="851">
        <f>+BY11-BY74</f>
        <v>19000.489839299713</v>
      </c>
      <c r="BZ40" s="104">
        <f t="shared" ref="BZ40:CB40" si="72">+BZ11-BZ74</f>
        <v>18845.2157703376</v>
      </c>
      <c r="CA40" s="104">
        <f t="shared" si="72"/>
        <v>19811.093759973759</v>
      </c>
      <c r="CB40" s="104">
        <f t="shared" si="72"/>
        <v>16451.100477079999</v>
      </c>
      <c r="CC40" s="851">
        <f>+CC25+CC29+CC35</f>
        <v>23128.750862393761</v>
      </c>
      <c r="CD40" s="104">
        <f t="shared" ref="CD40:CF40" si="73">+CD25+CD29+CD35</f>
        <v>23055.46671194876</v>
      </c>
      <c r="CE40" s="104">
        <f t="shared" si="73"/>
        <v>22777.052330053313</v>
      </c>
      <c r="CF40" s="212">
        <f t="shared" si="73"/>
        <v>20403.188954299396</v>
      </c>
      <c r="CG40" s="212"/>
      <c r="CH40" s="265"/>
      <c r="CI40" s="103"/>
      <c r="CJ40" s="103">
        <f>+(CK40)/(1+CK41)</f>
        <v>9.2585026631322958</v>
      </c>
      <c r="CK40" s="103">
        <f>+CL40/(1+CL41)</f>
        <v>65.170600245788222</v>
      </c>
      <c r="CL40" s="103">
        <f>+CM40/(1+CM41)</f>
        <v>472.61719298245617</v>
      </c>
      <c r="CM40" s="103">
        <f>+SUM(AG40:AJ40)</f>
        <v>1346.9590000000001</v>
      </c>
      <c r="CN40" s="103">
        <f>+SUM(AK40:AN40)</f>
        <v>2675.0410000000002</v>
      </c>
      <c r="CO40" s="103">
        <f>+SUM(AO40:AR40)</f>
        <v>4318.3649999999998</v>
      </c>
      <c r="CP40" s="103">
        <f>+SUM(AS40:AV40)</f>
        <v>5664.7430000000004</v>
      </c>
      <c r="CQ40" s="103">
        <f>+SUM(AW40:AZ40)</f>
        <v>9479.6460000000006</v>
      </c>
      <c r="CR40" s="103">
        <f>+SUM(BA40:BD40)</f>
        <v>16909</v>
      </c>
      <c r="CS40" s="103">
        <f>+SUM(BE40:BH40)</f>
        <v>23370</v>
      </c>
      <c r="CT40" s="103">
        <f>+SUM(BI40:BL40)</f>
        <v>33299</v>
      </c>
      <c r="CU40" s="103">
        <f>+SUM(BM40:BP40)</f>
        <v>43638</v>
      </c>
      <c r="CV40" s="103">
        <f>+SUM(BQ40:BT40)</f>
        <v>48971</v>
      </c>
      <c r="CW40" s="103">
        <f>+SUM(BU40:BX40)</f>
        <v>61208.24776385224</v>
      </c>
      <c r="CX40" s="103">
        <f>+SUM(BY40:CB40)</f>
        <v>74107.899846691071</v>
      </c>
      <c r="CY40" s="103">
        <f>+SUM(CC40:CF40)</f>
        <v>89364.45885869523</v>
      </c>
      <c r="CZ40" s="104">
        <f t="shared" ref="CZ40:DF40" si="74">+CZ25+CZ29+CZ35</f>
        <v>103244.43517308451</v>
      </c>
      <c r="DA40" s="104">
        <f t="shared" si="74"/>
        <v>116950.91260124942</v>
      </c>
      <c r="DB40" s="104">
        <f t="shared" si="74"/>
        <v>130240.89042543466</v>
      </c>
      <c r="DC40" s="104">
        <f t="shared" si="74"/>
        <v>143265.3357700445</v>
      </c>
      <c r="DD40" s="104">
        <f t="shared" si="74"/>
        <v>156155.75117926704</v>
      </c>
      <c r="DE40" s="104">
        <f t="shared" si="74"/>
        <v>168794.9751615242</v>
      </c>
      <c r="DF40" s="212">
        <f t="shared" si="74"/>
        <v>182476.60553945773</v>
      </c>
    </row>
    <row r="41" spans="1:110" s="82" customFormat="1" ht="12.75" customHeight="1">
      <c r="A41" s="1137"/>
      <c r="B41" s="1137"/>
      <c r="C41" s="1137"/>
      <c r="D41" s="1137"/>
      <c r="E41" s="1137"/>
      <c r="F41" s="1137"/>
      <c r="G41" s="1137"/>
      <c r="H41" s="1138"/>
      <c r="I41" s="193" t="s">
        <v>376</v>
      </c>
      <c r="J41" s="83"/>
      <c r="K41" s="83"/>
      <c r="P41" s="1135"/>
      <c r="T41" s="1135"/>
      <c r="X41" s="1135"/>
      <c r="AB41" s="1135"/>
      <c r="AC41" s="307"/>
      <c r="AD41" s="307"/>
      <c r="AE41" s="307"/>
      <c r="AF41" s="1136"/>
      <c r="AG41" s="64"/>
      <c r="AH41" s="64"/>
      <c r="AI41" s="64"/>
      <c r="AJ41" s="180"/>
      <c r="AK41" s="64">
        <f t="shared" ref="AK41:BD41" si="75">+AK40/AG40-1</f>
        <v>0.90488391358214737</v>
      </c>
      <c r="AL41" s="64">
        <f t="shared" si="75"/>
        <v>0.92691387660442004</v>
      </c>
      <c r="AM41" s="64">
        <f t="shared" si="75"/>
        <v>0.97903196658768721</v>
      </c>
      <c r="AN41" s="180">
        <f t="shared" si="75"/>
        <v>1.1300010027073095</v>
      </c>
      <c r="AO41" s="64">
        <f t="shared" si="75"/>
        <v>0.99670181015588488</v>
      </c>
      <c r="AP41" s="64">
        <f t="shared" si="75"/>
        <v>0.80124839184775953</v>
      </c>
      <c r="AQ41" s="64">
        <f t="shared" si="75"/>
        <v>0.58641078127734692</v>
      </c>
      <c r="AR41" s="180">
        <f t="shared" si="75"/>
        <v>0.16539661056843591</v>
      </c>
      <c r="AS41" s="64">
        <f t="shared" si="75"/>
        <v>5.2795563796446565E-2</v>
      </c>
      <c r="AT41" s="64">
        <f t="shared" si="75"/>
        <v>0.14303604886881183</v>
      </c>
      <c r="AU41" s="64">
        <f t="shared" si="75"/>
        <v>0.37836751009313674</v>
      </c>
      <c r="AV41" s="180">
        <f t="shared" si="75"/>
        <v>0.80950403312336672</v>
      </c>
      <c r="AW41" s="64">
        <f t="shared" si="75"/>
        <v>0.80821693348846213</v>
      </c>
      <c r="AX41" s="64">
        <f t="shared" si="75"/>
        <v>0.59488136824828208</v>
      </c>
      <c r="AY41" s="64">
        <f t="shared" si="75"/>
        <v>0.67330672669304126</v>
      </c>
      <c r="AZ41" s="180">
        <f t="shared" si="75"/>
        <v>0.64844632364379895</v>
      </c>
      <c r="BA41" s="64">
        <f t="shared" si="75"/>
        <v>0.7900670515783319</v>
      </c>
      <c r="BB41" s="64">
        <f t="shared" si="75"/>
        <v>0.98200506049503145</v>
      </c>
      <c r="BC41" s="64">
        <f t="shared" si="75"/>
        <v>0.72928942807625652</v>
      </c>
      <c r="BD41" s="180">
        <f t="shared" si="75"/>
        <v>0.65552264071096067</v>
      </c>
      <c r="BE41" s="64">
        <f t="shared" ref="BE41:BL41" si="76">+BE40/BA40-1</f>
        <v>0.54157239819004532</v>
      </c>
      <c r="BF41" s="64">
        <f t="shared" si="76"/>
        <v>0.33094812164579612</v>
      </c>
      <c r="BG41" s="64">
        <f t="shared" si="76"/>
        <v>0.29745439967929443</v>
      </c>
      <c r="BH41" s="180">
        <f t="shared" si="76"/>
        <v>0.40439672801635984</v>
      </c>
      <c r="BI41" s="64">
        <f t="shared" si="76"/>
        <v>0.42781141075032103</v>
      </c>
      <c r="BJ41" s="64">
        <f t="shared" si="76"/>
        <v>0.441364247311828</v>
      </c>
      <c r="BK41" s="64">
        <f t="shared" si="76"/>
        <v>0.41804418353159267</v>
      </c>
      <c r="BL41" s="180">
        <f t="shared" si="76"/>
        <v>0.4120859119038951</v>
      </c>
      <c r="BM41" s="1263">
        <f>+BM40/BI40-1</f>
        <v>0.36746755749710913</v>
      </c>
      <c r="BN41" s="64">
        <f t="shared" ref="BN41:CF41" si="77">+BN40/BJ40-1</f>
        <v>0.36169716750203995</v>
      </c>
      <c r="BO41" s="64">
        <f>+BO40/BK40-1</f>
        <v>0.31604749972763924</v>
      </c>
      <c r="BP41" s="64">
        <f>+BP40/BL40-1</f>
        <v>0.1901263212168085</v>
      </c>
      <c r="BQ41" s="1263">
        <f>+BQ40/BM40-1</f>
        <v>0.1372733251902658</v>
      </c>
      <c r="BR41" s="64">
        <f>+BR40/BN40-1</f>
        <v>0.12069851052901903</v>
      </c>
      <c r="BS41" s="1139">
        <f>+BS40/BO40-1</f>
        <v>8.2615894039735016E-2</v>
      </c>
      <c r="BT41" s="180">
        <f t="shared" si="77"/>
        <v>0.15856168092710932</v>
      </c>
      <c r="BU41" s="1263">
        <f t="shared" si="77"/>
        <v>0.24027593213356235</v>
      </c>
      <c r="BV41" s="64">
        <f>+BV40/BR40-1</f>
        <v>0.21963913025985327</v>
      </c>
      <c r="BW41" s="64">
        <f>+BW40/BS40-1</f>
        <v>0.26772391193956269</v>
      </c>
      <c r="BX41" s="64">
        <f>+BX40/BT40-1</f>
        <v>0.27597822451154519</v>
      </c>
      <c r="BY41" s="1263">
        <f>+BY40/BU40-1</f>
        <v>0.26566149010867357</v>
      </c>
      <c r="BZ41" s="64">
        <f t="shared" si="77"/>
        <v>0.18022216907645494</v>
      </c>
      <c r="CA41" s="64">
        <f t="shared" si="77"/>
        <v>0.19492992717983881</v>
      </c>
      <c r="CB41" s="180">
        <f t="shared" si="77"/>
        <v>0.20528484585018481</v>
      </c>
      <c r="CC41" s="1263">
        <f t="shared" si="77"/>
        <v>0.21727129447764804</v>
      </c>
      <c r="CD41" s="64">
        <f t="shared" si="77"/>
        <v>0.2234121908138671</v>
      </c>
      <c r="CE41" s="64">
        <f t="shared" si="77"/>
        <v>0.14971200510251292</v>
      </c>
      <c r="CF41" s="180">
        <f t="shared" si="77"/>
        <v>0.24023246850419055</v>
      </c>
      <c r="CG41" s="1135"/>
      <c r="CH41" s="259"/>
      <c r="CK41" s="64">
        <v>6.0389999999999997</v>
      </c>
      <c r="CL41" s="64">
        <v>6.2519999999999998</v>
      </c>
      <c r="CM41" s="64">
        <v>1.85</v>
      </c>
      <c r="CN41" s="64">
        <f t="shared" ref="CN41:CT41" si="78">+CN40/CM40-1</f>
        <v>0.98598546800607889</v>
      </c>
      <c r="CO41" s="64">
        <f t="shared" si="78"/>
        <v>0.61431731326734784</v>
      </c>
      <c r="CP41" s="64">
        <f t="shared" si="78"/>
        <v>0.31177957398228284</v>
      </c>
      <c r="CQ41" s="64">
        <f t="shared" si="78"/>
        <v>0.67344679184916245</v>
      </c>
      <c r="CR41" s="64">
        <f t="shared" si="78"/>
        <v>0.7837163961607847</v>
      </c>
      <c r="CS41" s="64">
        <f t="shared" si="78"/>
        <v>0.38210420486131635</v>
      </c>
      <c r="CT41" s="64">
        <f t="shared" si="78"/>
        <v>0.42486093281985449</v>
      </c>
      <c r="CU41" s="64">
        <f t="shared" ref="CU41:DA41" si="79">+CU40/CT40-1</f>
        <v>0.3104898044986335</v>
      </c>
      <c r="CV41" s="64">
        <f t="shared" si="79"/>
        <v>0.1222100004583162</v>
      </c>
      <c r="CW41" s="64">
        <f t="shared" si="79"/>
        <v>0.24988764296935417</v>
      </c>
      <c r="CX41" s="64">
        <f t="shared" si="79"/>
        <v>0.2107502265480139</v>
      </c>
      <c r="CY41" s="64">
        <f t="shared" si="79"/>
        <v>0.20586953676417497</v>
      </c>
      <c r="CZ41" s="64">
        <f t="shared" si="79"/>
        <v>0.15531875302167442</v>
      </c>
      <c r="DA41" s="64">
        <f t="shared" si="79"/>
        <v>0.13275754189740718</v>
      </c>
      <c r="DB41" s="64">
        <f>+DB40/DA40-1</f>
        <v>0.11363723060031306</v>
      </c>
      <c r="DC41" s="64">
        <f>+DC40/DB40-1</f>
        <v>0.10000273571583573</v>
      </c>
      <c r="DD41" s="64">
        <f>+DD40/DC40-1</f>
        <v>8.9975815433211093E-2</v>
      </c>
      <c r="DE41" s="64">
        <f>+DE40/DD40-1</f>
        <v>8.0939855796584137E-2</v>
      </c>
      <c r="DF41" s="180">
        <f>+DF40/DE40-1</f>
        <v>8.1054725502588187E-2</v>
      </c>
    </row>
    <row r="42" spans="1:110" s="82" customFormat="1" ht="12.75" customHeight="1">
      <c r="A42" s="1137"/>
      <c r="B42" s="1137"/>
      <c r="C42" s="1137"/>
      <c r="D42" s="1137"/>
      <c r="E42" s="1137"/>
      <c r="F42" s="1137"/>
      <c r="G42" s="1137"/>
      <c r="H42" s="1138"/>
      <c r="I42" s="193" t="s">
        <v>212</v>
      </c>
      <c r="J42" s="83"/>
      <c r="K42" s="83"/>
      <c r="P42" s="1135"/>
      <c r="T42" s="1135"/>
      <c r="X42" s="1135"/>
      <c r="AB42" s="1135"/>
      <c r="AC42" s="307"/>
      <c r="AD42" s="307"/>
      <c r="AE42" s="307"/>
      <c r="AF42" s="1136"/>
      <c r="AG42" s="1199"/>
      <c r="AH42" s="1199"/>
      <c r="AI42" s="1199"/>
      <c r="AJ42" s="1200"/>
      <c r="AK42" s="391">
        <f>+AK41-AK43</f>
        <v>0.15988391358214737</v>
      </c>
      <c r="AL42" s="391">
        <f t="shared" ref="AL42:BL42" si="80">+AL41-AL43</f>
        <v>0.13091387660442</v>
      </c>
      <c r="AM42" s="391">
        <f t="shared" si="80"/>
        <v>0.11503196658768722</v>
      </c>
      <c r="AN42" s="392">
        <f t="shared" si="80"/>
        <v>0.2310010027073095</v>
      </c>
      <c r="AO42" s="391">
        <f t="shared" si="80"/>
        <v>0.24670181015588488</v>
      </c>
      <c r="AP42" s="391">
        <f t="shared" si="80"/>
        <v>0.24324839184775948</v>
      </c>
      <c r="AQ42" s="391">
        <f t="shared" si="80"/>
        <v>0.13941078127734691</v>
      </c>
      <c r="AR42" s="392">
        <f t="shared" si="80"/>
        <v>-0.11060338943156411</v>
      </c>
      <c r="AS42" s="391">
        <f t="shared" si="80"/>
        <v>-0.18220443620355342</v>
      </c>
      <c r="AT42" s="391">
        <f t="shared" si="80"/>
        <v>-0.18096395113118818</v>
      </c>
      <c r="AU42" s="391">
        <f t="shared" si="80"/>
        <v>-0.10663248990686325</v>
      </c>
      <c r="AV42" s="392">
        <f t="shared" si="80"/>
        <v>0.11450403312336677</v>
      </c>
      <c r="AW42" s="391">
        <f t="shared" si="80"/>
        <v>8.021693348846215E-2</v>
      </c>
      <c r="AX42" s="391">
        <f t="shared" si="80"/>
        <v>-7.6118631751717958E-2</v>
      </c>
      <c r="AY42" s="391">
        <f t="shared" si="80"/>
        <v>-0.10669327330695877</v>
      </c>
      <c r="AZ42" s="392">
        <f t="shared" si="80"/>
        <v>-6.1553676356201015E-2</v>
      </c>
      <c r="BA42" s="391">
        <f t="shared" si="80"/>
        <v>9.067051578331875E-3</v>
      </c>
      <c r="BB42" s="391">
        <f t="shared" si="80"/>
        <v>0.19700506049503141</v>
      </c>
      <c r="BC42" s="391">
        <f t="shared" si="80"/>
        <v>0.11528942807625653</v>
      </c>
      <c r="BD42" s="392">
        <f t="shared" si="80"/>
        <v>-1.347735928903937E-2</v>
      </c>
      <c r="BE42" s="391">
        <f t="shared" si="80"/>
        <v>-3.8427601809954637E-2</v>
      </c>
      <c r="BF42" s="391">
        <f t="shared" si="80"/>
        <v>-0.11205187835420388</v>
      </c>
      <c r="BG42" s="391">
        <f t="shared" si="80"/>
        <v>-0.10854560032070559</v>
      </c>
      <c r="BH42" s="392">
        <f t="shared" si="80"/>
        <v>-2.1603271983640149E-2</v>
      </c>
      <c r="BI42" s="391">
        <f t="shared" si="80"/>
        <v>-2.1885892496789627E-3</v>
      </c>
      <c r="BJ42" s="391">
        <f t="shared" si="80"/>
        <v>1.364247311827993E-3</v>
      </c>
      <c r="BK42" s="391">
        <f t="shared" si="80"/>
        <v>8.0441835315926968E-3</v>
      </c>
      <c r="BL42" s="392">
        <f t="shared" si="80"/>
        <v>-7.9140880961048876E-3</v>
      </c>
      <c r="BM42" s="1405">
        <f t="shared" ref="BM42:BS42" si="81">+BM41-BM43</f>
        <v>-1.2532442502890873E-2</v>
      </c>
      <c r="BN42" s="391">
        <f t="shared" si="81"/>
        <v>1.1697167502039973E-2</v>
      </c>
      <c r="BO42" s="391">
        <f t="shared" si="81"/>
        <v>-3.9525002723607705E-3</v>
      </c>
      <c r="BP42" s="391">
        <f t="shared" si="81"/>
        <v>-7.9873678783191515E-2</v>
      </c>
      <c r="BQ42" s="1405">
        <f t="shared" si="81"/>
        <v>-0.15272667480973418</v>
      </c>
      <c r="BR42" s="391">
        <f t="shared" si="81"/>
        <v>-0.17930148947098096</v>
      </c>
      <c r="BS42" s="391">
        <f t="shared" si="81"/>
        <v>-0.16738410596026498</v>
      </c>
      <c r="BT42" s="391">
        <f>+BT41-BT43</f>
        <v>-0.13143831907289066</v>
      </c>
      <c r="BU42" s="1986">
        <f t="shared" ref="BU42:CB42" si="82">+(BQ42/BQ18)*BU18</f>
        <v>-5.8889748581603472E-2</v>
      </c>
      <c r="BV42" s="1201">
        <f t="shared" si="82"/>
        <v>-1.8560622082329566E-2</v>
      </c>
      <c r="BW42" s="1201">
        <f t="shared" si="82"/>
        <v>-1.241077908901627E-2</v>
      </c>
      <c r="BX42" s="1201">
        <f t="shared" si="82"/>
        <v>-2.5694745356858568E-2</v>
      </c>
      <c r="BY42" s="1986">
        <f t="shared" si="82"/>
        <v>-3.2011646429358519E-2</v>
      </c>
      <c r="BZ42" s="1201">
        <f t="shared" si="82"/>
        <v>-2.976539840502547E-2</v>
      </c>
      <c r="CA42" s="1201">
        <f t="shared" si="82"/>
        <v>2.1596422908310788E-2</v>
      </c>
      <c r="CB42" s="1201">
        <f t="shared" si="82"/>
        <v>5.7519129121537067E-2</v>
      </c>
      <c r="CC42" s="1278">
        <f>+FX!CC31</f>
        <v>6.638896707974129E-2</v>
      </c>
      <c r="CD42" s="1186">
        <f>+FX!CD31</f>
        <v>3.8068431313242002E-2</v>
      </c>
      <c r="CE42" s="1186">
        <f>+FX!CE31</f>
        <v>-4.9651843075346758E-3</v>
      </c>
      <c r="CF42" s="1187">
        <f>+FX!CF31</f>
        <v>3.971267759509467E-2</v>
      </c>
      <c r="CG42" s="1135"/>
      <c r="CH42" s="259"/>
      <c r="CK42" s="1199"/>
      <c r="CL42" s="1199"/>
      <c r="CM42" s="1199"/>
      <c r="CN42" s="1199"/>
      <c r="CO42" s="1386">
        <f>+FX!CO31</f>
        <v>5.6211495050382254E-3</v>
      </c>
      <c r="CP42" s="1386">
        <f>+FX!CP31</f>
        <v>-9.6153765163986105E-2</v>
      </c>
      <c r="CQ42" s="1386">
        <f>+FX!CQ31</f>
        <v>-3.3565748004645068E-2</v>
      </c>
      <c r="CR42" s="1386">
        <f>+FX!CR31</f>
        <v>1.5870578430861038E-3</v>
      </c>
      <c r="CS42" s="1386">
        <f>+FX!CS31</f>
        <v>-6.6788557352971623E-2</v>
      </c>
      <c r="CT42" s="1386">
        <f>+FX!CT31</f>
        <v>-2.4829536226811388E-4</v>
      </c>
      <c r="CU42" s="1386">
        <f>+FX!CU31</f>
        <v>-2.2583660281306872E-2</v>
      </c>
      <c r="CV42" s="1386">
        <f>+FX!CV31</f>
        <v>-0.15757487748179211</v>
      </c>
      <c r="CW42" s="1386">
        <f>+FX!CW31</f>
        <v>-2.8268793895241506E-2</v>
      </c>
      <c r="CX42" s="1386">
        <f>+FX!CX31</f>
        <v>2.6094783015758072E-2</v>
      </c>
      <c r="CY42" s="1386">
        <f>+FX!CY31</f>
        <v>3.3206430188495561E-2</v>
      </c>
      <c r="CZ42" s="1386">
        <f>+FX!CZ31</f>
        <v>1.9345565802142417E-4</v>
      </c>
      <c r="DA42" s="1386">
        <f>+FX!DA31</f>
        <v>0</v>
      </c>
      <c r="DB42" s="1386">
        <f>+FX!DB31</f>
        <v>0</v>
      </c>
      <c r="DC42" s="1386">
        <f>+FX!DC31</f>
        <v>0</v>
      </c>
      <c r="DD42" s="1386">
        <f>+FX!DD31</f>
        <v>0</v>
      </c>
      <c r="DE42" s="1386">
        <f>+FX!DE31</f>
        <v>0</v>
      </c>
      <c r="DF42" s="1387">
        <f>+FX!DF31</f>
        <v>0</v>
      </c>
    </row>
    <row r="43" spans="1:110" s="82" customFormat="1" ht="12.75" customHeight="1">
      <c r="I43" s="193" t="s">
        <v>379</v>
      </c>
      <c r="J43" s="83"/>
      <c r="K43" s="83"/>
      <c r="P43" s="1135"/>
      <c r="T43" s="1135"/>
      <c r="X43" s="1135"/>
      <c r="AB43" s="1135"/>
      <c r="AC43" s="307"/>
      <c r="AD43" s="307"/>
      <c r="AE43" s="307"/>
      <c r="AF43" s="1136"/>
      <c r="AG43" s="393">
        <v>3.1379999999999999</v>
      </c>
      <c r="AH43" s="393">
        <v>3.6150000000000002</v>
      </c>
      <c r="AI43" s="393">
        <v>1.3180000000000001</v>
      </c>
      <c r="AJ43" s="472">
        <v>0.86299999999999999</v>
      </c>
      <c r="AK43" s="393">
        <v>0.745</v>
      </c>
      <c r="AL43" s="393">
        <v>0.79600000000000004</v>
      </c>
      <c r="AM43" s="393">
        <v>0.86399999999999999</v>
      </c>
      <c r="AN43" s="472">
        <v>0.89900000000000002</v>
      </c>
      <c r="AO43" s="393">
        <v>0.75</v>
      </c>
      <c r="AP43" s="393">
        <v>0.55800000000000005</v>
      </c>
      <c r="AQ43" s="393">
        <v>0.44700000000000001</v>
      </c>
      <c r="AR43" s="472">
        <v>0.27600000000000002</v>
      </c>
      <c r="AS43" s="393">
        <v>0.23499999999999999</v>
      </c>
      <c r="AT43" s="393">
        <v>0.32400000000000001</v>
      </c>
      <c r="AU43" s="393">
        <v>0.48499999999999999</v>
      </c>
      <c r="AV43" s="472">
        <v>0.69499999999999995</v>
      </c>
      <c r="AW43" s="393">
        <v>0.72799999999999998</v>
      </c>
      <c r="AX43" s="393">
        <v>0.67100000000000004</v>
      </c>
      <c r="AY43" s="393">
        <v>0.78</v>
      </c>
      <c r="AZ43" s="472">
        <v>0.71</v>
      </c>
      <c r="BA43" s="1186">
        <v>0.78100000000000003</v>
      </c>
      <c r="BB43" s="1186">
        <v>0.78500000000000003</v>
      </c>
      <c r="BC43" s="1186">
        <v>0.61399999999999999</v>
      </c>
      <c r="BD43" s="1187">
        <v>0.66900000000000004</v>
      </c>
      <c r="BE43" s="1186">
        <v>0.57999999999999996</v>
      </c>
      <c r="BF43" s="1186">
        <v>0.443</v>
      </c>
      <c r="BG43" s="1186">
        <v>0.40600000000000003</v>
      </c>
      <c r="BH43" s="1187">
        <v>0.42599999999999999</v>
      </c>
      <c r="BI43" s="1186">
        <v>0.43</v>
      </c>
      <c r="BJ43" s="1186">
        <v>0.44</v>
      </c>
      <c r="BK43" s="1186">
        <v>0.41</v>
      </c>
      <c r="BL43" s="1187">
        <v>0.42</v>
      </c>
      <c r="BM43" s="1278">
        <v>0.38</v>
      </c>
      <c r="BN43" s="1186">
        <v>0.35</v>
      </c>
      <c r="BO43" s="1186">
        <v>0.32</v>
      </c>
      <c r="BP43" s="1186">
        <v>0.27</v>
      </c>
      <c r="BQ43" s="1278">
        <v>0.28999999999999998</v>
      </c>
      <c r="BR43" s="1186">
        <v>0.3</v>
      </c>
      <c r="BS43" s="1186">
        <v>0.25</v>
      </c>
      <c r="BT43" s="1186">
        <v>0.28999999999999998</v>
      </c>
      <c r="BU43" s="1262">
        <f>+BU41-BU42</f>
        <v>0.2991656807151658</v>
      </c>
      <c r="BV43" s="64">
        <f>+BV41-BV42</f>
        <v>0.23819975234218282</v>
      </c>
      <c r="BW43" s="64">
        <f>+BW41-BW42</f>
        <v>0.28013469102857896</v>
      </c>
      <c r="BX43" s="64">
        <f>+BX41-BX42</f>
        <v>0.30167296986840375</v>
      </c>
      <c r="BY43" s="1263">
        <f>+BY41-BY42</f>
        <v>0.29767313653803207</v>
      </c>
      <c r="BZ43" s="64">
        <f t="shared" ref="BZ43:CF43" si="83">+BZ41-BZ42</f>
        <v>0.2099875674814804</v>
      </c>
      <c r="CA43" s="64">
        <f t="shared" si="83"/>
        <v>0.17333350427152802</v>
      </c>
      <c r="CB43" s="180">
        <f t="shared" si="83"/>
        <v>0.14776571672864774</v>
      </c>
      <c r="CC43" s="1263">
        <f>+CC41-CC42</f>
        <v>0.15088232739790675</v>
      </c>
      <c r="CD43" s="64">
        <f t="shared" si="83"/>
        <v>0.18534375950062509</v>
      </c>
      <c r="CE43" s="64">
        <f t="shared" si="83"/>
        <v>0.1546771894100476</v>
      </c>
      <c r="CF43" s="180">
        <f t="shared" si="83"/>
        <v>0.20051979090909589</v>
      </c>
      <c r="CG43" s="1135"/>
      <c r="CH43" s="259"/>
      <c r="CK43" s="64"/>
      <c r="CL43" s="64"/>
      <c r="CM43" s="64"/>
      <c r="CN43" s="64"/>
      <c r="CO43" s="64">
        <f t="shared" ref="CO43:CU43" si="84">+CO41-CO42</f>
        <v>0.60869616376230962</v>
      </c>
      <c r="CP43" s="64">
        <f t="shared" si="84"/>
        <v>0.40793333914626895</v>
      </c>
      <c r="CQ43" s="64">
        <f t="shared" si="84"/>
        <v>0.70701253985380752</v>
      </c>
      <c r="CR43" s="64">
        <f t="shared" si="84"/>
        <v>0.7821293383176986</v>
      </c>
      <c r="CS43" s="64">
        <f t="shared" si="84"/>
        <v>0.44889276221428798</v>
      </c>
      <c r="CT43" s="64">
        <f t="shared" si="84"/>
        <v>0.4251092281821226</v>
      </c>
      <c r="CU43" s="64">
        <f t="shared" si="84"/>
        <v>0.33307346477994038</v>
      </c>
      <c r="CV43" s="64">
        <f t="shared" ref="CV43:DA43" si="85">+CV41-CV42</f>
        <v>0.27978487794010831</v>
      </c>
      <c r="CW43" s="64">
        <f t="shared" si="85"/>
        <v>0.27815643686459568</v>
      </c>
      <c r="CX43" s="64">
        <f t="shared" si="85"/>
        <v>0.18465544353225583</v>
      </c>
      <c r="CY43" s="64">
        <f t="shared" si="85"/>
        <v>0.1726631065756794</v>
      </c>
      <c r="CZ43" s="64">
        <f t="shared" si="85"/>
        <v>0.15512529736365299</v>
      </c>
      <c r="DA43" s="64">
        <f t="shared" si="85"/>
        <v>0.13275754189740718</v>
      </c>
      <c r="DB43" s="64">
        <f>+DB41-DB42</f>
        <v>0.11363723060031306</v>
      </c>
      <c r="DC43" s="64">
        <f>+DC41-DC42</f>
        <v>0.10000273571583573</v>
      </c>
      <c r="DD43" s="64">
        <f>+DD41-DD42</f>
        <v>8.9975815433211093E-2</v>
      </c>
      <c r="DE43" s="64">
        <f>+DE41-DE42</f>
        <v>8.0939855796584137E-2</v>
      </c>
      <c r="DF43" s="180">
        <f>+DF41-DF42</f>
        <v>8.1054725502588187E-2</v>
      </c>
    </row>
    <row r="44" spans="1:110" s="82" customFormat="1" ht="12.75" customHeight="1">
      <c r="I44" s="193" t="s">
        <v>606</v>
      </c>
      <c r="J44" s="83"/>
      <c r="K44" s="83"/>
      <c r="P44" s="1135"/>
      <c r="T44" s="1135"/>
      <c r="X44" s="1135"/>
      <c r="AB44" s="1135"/>
      <c r="AC44" s="307"/>
      <c r="AD44" s="307"/>
      <c r="AE44" s="307"/>
      <c r="AF44" s="1136"/>
      <c r="AG44" s="64"/>
      <c r="AH44" s="64"/>
      <c r="AI44" s="64"/>
      <c r="AJ44" s="180"/>
      <c r="AK44" s="64">
        <f t="shared" ref="AK44:AR44" si="86">+AK43+AG43</f>
        <v>3.883</v>
      </c>
      <c r="AL44" s="64">
        <f t="shared" si="86"/>
        <v>4.4110000000000005</v>
      </c>
      <c r="AM44" s="64">
        <f t="shared" si="86"/>
        <v>2.1819999999999999</v>
      </c>
      <c r="AN44" s="180">
        <f t="shared" si="86"/>
        <v>1.762</v>
      </c>
      <c r="AO44" s="64">
        <f t="shared" si="86"/>
        <v>1.4950000000000001</v>
      </c>
      <c r="AP44" s="64">
        <f t="shared" si="86"/>
        <v>1.3540000000000001</v>
      </c>
      <c r="AQ44" s="64">
        <f t="shared" si="86"/>
        <v>1.3109999999999999</v>
      </c>
      <c r="AR44" s="180">
        <f t="shared" si="86"/>
        <v>1.175</v>
      </c>
      <c r="AS44" s="64">
        <f t="shared" ref="AS44:CF44" si="87">+AS43+AO43</f>
        <v>0.98499999999999999</v>
      </c>
      <c r="AT44" s="64">
        <f t="shared" si="87"/>
        <v>0.88200000000000012</v>
      </c>
      <c r="AU44" s="64">
        <f t="shared" si="87"/>
        <v>0.93199999999999994</v>
      </c>
      <c r="AV44" s="180">
        <f t="shared" si="87"/>
        <v>0.97099999999999997</v>
      </c>
      <c r="AW44" s="64">
        <f t="shared" si="87"/>
        <v>0.96299999999999997</v>
      </c>
      <c r="AX44" s="64">
        <f t="shared" si="87"/>
        <v>0.99500000000000011</v>
      </c>
      <c r="AY44" s="64">
        <f t="shared" si="87"/>
        <v>1.2650000000000001</v>
      </c>
      <c r="AZ44" s="180">
        <f t="shared" si="87"/>
        <v>1.4049999999999998</v>
      </c>
      <c r="BA44" s="64">
        <f t="shared" si="87"/>
        <v>1.5089999999999999</v>
      </c>
      <c r="BB44" s="64">
        <f t="shared" si="87"/>
        <v>1.456</v>
      </c>
      <c r="BC44" s="64">
        <f t="shared" si="87"/>
        <v>1.3940000000000001</v>
      </c>
      <c r="BD44" s="180">
        <f t="shared" si="87"/>
        <v>1.379</v>
      </c>
      <c r="BE44" s="64">
        <f t="shared" si="87"/>
        <v>1.361</v>
      </c>
      <c r="BF44" s="64">
        <f t="shared" si="87"/>
        <v>1.228</v>
      </c>
      <c r="BG44" s="64">
        <f t="shared" si="87"/>
        <v>1.02</v>
      </c>
      <c r="BH44" s="180">
        <f t="shared" si="87"/>
        <v>1.095</v>
      </c>
      <c r="BI44" s="64">
        <f t="shared" si="87"/>
        <v>1.01</v>
      </c>
      <c r="BJ44" s="64">
        <f t="shared" si="87"/>
        <v>0.88300000000000001</v>
      </c>
      <c r="BK44" s="64">
        <f t="shared" si="87"/>
        <v>0.81600000000000006</v>
      </c>
      <c r="BL44" s="180">
        <f t="shared" si="87"/>
        <v>0.84599999999999997</v>
      </c>
      <c r="BM44" s="64">
        <f t="shared" ref="BM44:BR44" si="88">+BM43+BI43</f>
        <v>0.81</v>
      </c>
      <c r="BN44" s="64">
        <f t="shared" si="88"/>
        <v>0.79</v>
      </c>
      <c r="BO44" s="64">
        <f t="shared" si="88"/>
        <v>0.73</v>
      </c>
      <c r="BP44" s="180">
        <f t="shared" si="88"/>
        <v>0.69</v>
      </c>
      <c r="BQ44" s="64">
        <f t="shared" si="88"/>
        <v>0.66999999999999993</v>
      </c>
      <c r="BR44" s="64">
        <f t="shared" si="88"/>
        <v>0.64999999999999991</v>
      </c>
      <c r="BS44" s="64">
        <f t="shared" si="87"/>
        <v>0.57000000000000006</v>
      </c>
      <c r="BT44" s="180">
        <f t="shared" si="87"/>
        <v>0.56000000000000005</v>
      </c>
      <c r="BU44" s="64">
        <f t="shared" si="87"/>
        <v>0.58916568071516573</v>
      </c>
      <c r="BV44" s="64">
        <f t="shared" si="87"/>
        <v>0.53819975234218287</v>
      </c>
      <c r="BW44" s="64">
        <f t="shared" si="87"/>
        <v>0.53013469102857891</v>
      </c>
      <c r="BX44" s="64">
        <f t="shared" si="87"/>
        <v>0.59167296986840379</v>
      </c>
      <c r="BY44" s="1263">
        <f t="shared" si="87"/>
        <v>0.59683881725319787</v>
      </c>
      <c r="BZ44" s="64">
        <f t="shared" si="87"/>
        <v>0.44818731982366322</v>
      </c>
      <c r="CA44" s="64">
        <f t="shared" si="87"/>
        <v>0.45346819530010696</v>
      </c>
      <c r="CB44" s="180">
        <f t="shared" si="87"/>
        <v>0.4494386865970515</v>
      </c>
      <c r="CC44" s="64">
        <f t="shared" si="87"/>
        <v>0.44855546393593881</v>
      </c>
      <c r="CD44" s="64">
        <f t="shared" si="87"/>
        <v>0.39533132698210549</v>
      </c>
      <c r="CE44" s="64">
        <f t="shared" si="87"/>
        <v>0.32801069368157565</v>
      </c>
      <c r="CF44" s="180">
        <f t="shared" si="87"/>
        <v>0.34828550763774363</v>
      </c>
      <c r="CG44" s="1135"/>
      <c r="CH44" s="259"/>
      <c r="CM44" s="721"/>
      <c r="CN44" s="64"/>
      <c r="CO44" s="64"/>
      <c r="CP44" s="64">
        <f t="shared" ref="CP44:CZ44" si="89">+CP43+CO43</f>
        <v>1.0166295029085786</v>
      </c>
      <c r="CQ44" s="64">
        <f t="shared" si="89"/>
        <v>1.1149458790000764</v>
      </c>
      <c r="CR44" s="64">
        <f t="shared" si="89"/>
        <v>1.4891418781715062</v>
      </c>
      <c r="CS44" s="64">
        <f t="shared" si="89"/>
        <v>1.2310221005319866</v>
      </c>
      <c r="CT44" s="64">
        <f t="shared" si="89"/>
        <v>0.87400199039641058</v>
      </c>
      <c r="CU44" s="64">
        <f t="shared" si="89"/>
        <v>0.75818269296206298</v>
      </c>
      <c r="CV44" s="64">
        <f t="shared" si="89"/>
        <v>0.61285834272004869</v>
      </c>
      <c r="CW44" s="64">
        <f t="shared" si="89"/>
        <v>0.55794131480470399</v>
      </c>
      <c r="CX44" s="64">
        <f t="shared" si="89"/>
        <v>0.4628118803968515</v>
      </c>
      <c r="CY44" s="64">
        <f t="shared" si="89"/>
        <v>0.35731855010793523</v>
      </c>
      <c r="CZ44" s="64">
        <f t="shared" si="89"/>
        <v>0.3277884039393324</v>
      </c>
      <c r="DA44" s="64">
        <f t="shared" ref="DA44:DF44" si="90">+DA43+CZ43</f>
        <v>0.28788283926106017</v>
      </c>
      <c r="DB44" s="64">
        <f t="shared" si="90"/>
        <v>0.24639477249772024</v>
      </c>
      <c r="DC44" s="64">
        <f t="shared" si="90"/>
        <v>0.21363996631614879</v>
      </c>
      <c r="DD44" s="64">
        <f t="shared" si="90"/>
        <v>0.18997855114904683</v>
      </c>
      <c r="DE44" s="64">
        <f t="shared" si="90"/>
        <v>0.17091567122979523</v>
      </c>
      <c r="DF44" s="180">
        <f t="shared" si="90"/>
        <v>0.16199458129917232</v>
      </c>
    </row>
    <row r="45" spans="1:110" s="82" customFormat="1" ht="12.75" customHeight="1">
      <c r="I45" s="1368" t="s">
        <v>607</v>
      </c>
      <c r="J45" s="83"/>
      <c r="K45" s="83"/>
      <c r="P45" s="1135"/>
      <c r="T45" s="1135"/>
      <c r="X45" s="1135"/>
      <c r="AB45" s="1135"/>
      <c r="AC45" s="307"/>
      <c r="AD45" s="307"/>
      <c r="AE45" s="307"/>
      <c r="AF45" s="1136"/>
      <c r="AG45" s="64"/>
      <c r="AH45" s="64"/>
      <c r="AI45" s="64"/>
      <c r="AJ45" s="180"/>
      <c r="AK45" s="1264"/>
      <c r="AL45" s="833">
        <f t="shared" ref="AL45:CF45" si="91">+(AL44-AK44)*10000</f>
        <v>5280.0000000000045</v>
      </c>
      <c r="AM45" s="833">
        <f t="shared" si="91"/>
        <v>-22290.000000000004</v>
      </c>
      <c r="AN45" s="864">
        <f t="shared" si="91"/>
        <v>-4199.9999999999991</v>
      </c>
      <c r="AO45" s="1264">
        <f t="shared" si="91"/>
        <v>-2669.9999999999991</v>
      </c>
      <c r="AP45" s="833">
        <f t="shared" si="91"/>
        <v>-1410.0000000000002</v>
      </c>
      <c r="AQ45" s="833">
        <f t="shared" si="91"/>
        <v>-430.00000000000148</v>
      </c>
      <c r="AR45" s="864">
        <f t="shared" si="91"/>
        <v>-1359.9999999999991</v>
      </c>
      <c r="AS45" s="1264">
        <f t="shared" si="91"/>
        <v>-1900.0000000000007</v>
      </c>
      <c r="AT45" s="833">
        <f t="shared" si="91"/>
        <v>-1029.9999999999986</v>
      </c>
      <c r="AU45" s="833">
        <f t="shared" si="91"/>
        <v>499.99999999999824</v>
      </c>
      <c r="AV45" s="864">
        <f t="shared" si="91"/>
        <v>390.00000000000034</v>
      </c>
      <c r="AW45" s="1264">
        <f t="shared" si="91"/>
        <v>-80.000000000000071</v>
      </c>
      <c r="AX45" s="833">
        <f t="shared" si="91"/>
        <v>320.00000000000142</v>
      </c>
      <c r="AY45" s="833">
        <f t="shared" si="91"/>
        <v>2700</v>
      </c>
      <c r="AZ45" s="864">
        <f t="shared" si="91"/>
        <v>1399.9999999999968</v>
      </c>
      <c r="BA45" s="1264">
        <f t="shared" si="91"/>
        <v>1040.0000000000009</v>
      </c>
      <c r="BB45" s="833">
        <f t="shared" si="91"/>
        <v>-529.99999999999932</v>
      </c>
      <c r="BC45" s="833">
        <f t="shared" si="91"/>
        <v>-619.99999999999829</v>
      </c>
      <c r="BD45" s="864">
        <f t="shared" si="91"/>
        <v>-150.00000000000125</v>
      </c>
      <c r="BE45" s="1264">
        <f t="shared" si="91"/>
        <v>-180.00000000000017</v>
      </c>
      <c r="BF45" s="833">
        <f t="shared" si="91"/>
        <v>-1330</v>
      </c>
      <c r="BG45" s="833">
        <f t="shared" si="91"/>
        <v>-2079.9999999999995</v>
      </c>
      <c r="BH45" s="864">
        <f t="shared" si="91"/>
        <v>749.99999999999955</v>
      </c>
      <c r="BI45" s="1264">
        <f t="shared" si="91"/>
        <v>-849.99999999999966</v>
      </c>
      <c r="BJ45" s="833">
        <f t="shared" si="91"/>
        <v>-1270</v>
      </c>
      <c r="BK45" s="833">
        <f t="shared" si="91"/>
        <v>-669.99999999999943</v>
      </c>
      <c r="BL45" s="864">
        <f t="shared" si="91"/>
        <v>299.99999999999915</v>
      </c>
      <c r="BM45" s="1264">
        <f t="shared" si="91"/>
        <v>-359.9999999999992</v>
      </c>
      <c r="BN45" s="833">
        <f t="shared" si="91"/>
        <v>-200.00000000000017</v>
      </c>
      <c r="BO45" s="833">
        <f t="shared" si="91"/>
        <v>-600.00000000000057</v>
      </c>
      <c r="BP45" s="864">
        <f t="shared" si="91"/>
        <v>-400.00000000000034</v>
      </c>
      <c r="BQ45" s="1264">
        <f t="shared" si="91"/>
        <v>-200.00000000000017</v>
      </c>
      <c r="BR45" s="833">
        <f t="shared" si="91"/>
        <v>-200.00000000000017</v>
      </c>
      <c r="BS45" s="833">
        <f t="shared" si="91"/>
        <v>-799.99999999999852</v>
      </c>
      <c r="BT45" s="864">
        <f t="shared" si="91"/>
        <v>-100.00000000000009</v>
      </c>
      <c r="BU45" s="1264">
        <f t="shared" si="91"/>
        <v>291.65680715165678</v>
      </c>
      <c r="BV45" s="833">
        <f t="shared" si="91"/>
        <v>-509.65928372982859</v>
      </c>
      <c r="BW45" s="833">
        <f t="shared" si="91"/>
        <v>-80.65061313603961</v>
      </c>
      <c r="BX45" s="833">
        <f t="shared" si="91"/>
        <v>615.38278839824875</v>
      </c>
      <c r="BY45" s="1264">
        <f t="shared" si="91"/>
        <v>51.658473847940868</v>
      </c>
      <c r="BZ45" s="833">
        <f t="shared" si="91"/>
        <v>-1486.5149742953465</v>
      </c>
      <c r="CA45" s="833">
        <f t="shared" si="91"/>
        <v>52.80875476443736</v>
      </c>
      <c r="CB45" s="864">
        <f t="shared" si="91"/>
        <v>-40.295087030554619</v>
      </c>
      <c r="CC45" s="1264">
        <f t="shared" si="91"/>
        <v>-8.8322266111268135</v>
      </c>
      <c r="CD45" s="833">
        <f t="shared" si="91"/>
        <v>-532.24136953833317</v>
      </c>
      <c r="CE45" s="833">
        <f t="shared" si="91"/>
        <v>-673.20633300529846</v>
      </c>
      <c r="CF45" s="864">
        <f t="shared" si="91"/>
        <v>202.74813956167981</v>
      </c>
      <c r="CG45" s="1135"/>
      <c r="CH45" s="259"/>
      <c r="CM45" s="721"/>
      <c r="CN45" s="64"/>
      <c r="CO45" s="64"/>
      <c r="CP45" s="64"/>
      <c r="CQ45" s="64"/>
      <c r="CR45" s="64"/>
      <c r="CS45" s="64"/>
      <c r="CT45" s="64"/>
      <c r="CU45" s="64"/>
      <c r="CV45" s="64"/>
      <c r="CW45" s="64"/>
      <c r="CX45" s="64"/>
      <c r="CY45" s="64"/>
      <c r="DF45" s="1135"/>
    </row>
    <row r="46" spans="1:110" ht="12.75" customHeight="1">
      <c r="I46" s="185" t="s">
        <v>236</v>
      </c>
      <c r="J46" s="70"/>
      <c r="K46" s="70"/>
      <c r="P46" s="234"/>
      <c r="T46" s="234"/>
      <c r="X46" s="234"/>
      <c r="AB46" s="234"/>
      <c r="AF46" s="249"/>
      <c r="AG46" s="64">
        <f>+AG40/Model!AG$12</f>
        <v>0.36530038657188274</v>
      </c>
      <c r="AH46" s="64">
        <f>+AH40/Model!AH$12</f>
        <v>0.38452903434517716</v>
      </c>
      <c r="AI46" s="64">
        <f>+AI40/Model!AI$12</f>
        <v>0.44113166099773249</v>
      </c>
      <c r="AJ46" s="180">
        <f>+AJ40/Model!AJ$12</f>
        <v>0.42986489944909151</v>
      </c>
      <c r="AK46" s="64">
        <f>+AK40/Model!AK$12</f>
        <v>0.52046438075055257</v>
      </c>
      <c r="AL46" s="64">
        <f>+AL40/Model!AL$12</f>
        <v>0.5564158064832202</v>
      </c>
      <c r="AM46" s="64">
        <f>+AM40/Model!AM$12</f>
        <v>0.56697176854826004</v>
      </c>
      <c r="AN46" s="180">
        <f>+AN40/Model!AN$12</f>
        <v>0.56396126873033225</v>
      </c>
      <c r="AO46" s="64">
        <f>+AO40/Model!AO$12</f>
        <v>0.59003577821600217</v>
      </c>
      <c r="AP46" s="64">
        <f>+AP40/Model!AP$12</f>
        <v>0.58658840312517035</v>
      </c>
      <c r="AQ46" s="64">
        <f>+AQ40/Model!AQ$12</f>
        <v>0.61004366407582411</v>
      </c>
      <c r="AR46" s="180">
        <f>+AR40/Model!AR$12</f>
        <v>0.534861283372707</v>
      </c>
      <c r="AS46" s="64">
        <f>+AS40/Model!AS$12</f>
        <v>0.56206832326259115</v>
      </c>
      <c r="AT46" s="64">
        <f>+AT40/Model!AT$12</f>
        <v>0.59462301685708263</v>
      </c>
      <c r="AU46" s="64">
        <f>+AU40/Model!AU$12</f>
        <v>0.63320914954426366</v>
      </c>
      <c r="AV46" s="180">
        <f>+AV40/Model!AV$12</f>
        <v>0.63303162705005267</v>
      </c>
      <c r="AW46" s="64">
        <f>+AW40/Model!AW$12</f>
        <v>0.66628944967357517</v>
      </c>
      <c r="AX46" s="64">
        <f>+AX40/Model!AX$12</f>
        <v>0.66163692239119332</v>
      </c>
      <c r="AY46" s="64">
        <f>+AY40/Model!AY$12</f>
        <v>0.72016974538192713</v>
      </c>
      <c r="AZ46" s="180">
        <f>+AZ40/Model!AZ$12</f>
        <v>0.72373660030627873</v>
      </c>
      <c r="BA46" s="64">
        <f>+BA40/Model!BA$12</f>
        <v>0.75798499464094315</v>
      </c>
      <c r="BB46" s="64">
        <f>+BB40/Model!BB$12</f>
        <v>0.77370242214532869</v>
      </c>
      <c r="BC46" s="64">
        <f>+BC40/Model!BC$12</f>
        <v>0.79734697139204092</v>
      </c>
      <c r="BD46" s="180">
        <f>+BD40/Model!BD$12</f>
        <v>0.78934624697336564</v>
      </c>
      <c r="BE46" s="64">
        <f>+BE40/Model!BE$12</f>
        <v>0.81224854716137684</v>
      </c>
      <c r="BF46" s="64">
        <f>+BF40/Model!BF$12</f>
        <v>0.81211625051166603</v>
      </c>
      <c r="BG46" s="64">
        <f>+BG40/Model!BG$12</f>
        <v>0.82648110316649648</v>
      </c>
      <c r="BH46" s="180">
        <f>+BH40/Model!BH$12</f>
        <v>0.83444714459295266</v>
      </c>
      <c r="BI46" s="64">
        <f>+BI40/Model!BI$12</f>
        <v>0.85032229869987985</v>
      </c>
      <c r="BJ46" s="64">
        <f>+BJ40/Model!BJ$12</f>
        <v>0.84797864979737081</v>
      </c>
      <c r="BK46" s="64">
        <f>+BK40/Model!BK$12</f>
        <v>0.85267069205759405</v>
      </c>
      <c r="BL46" s="180">
        <f>+BL40/Model!BL$12</f>
        <v>0.8490751887928204</v>
      </c>
      <c r="BM46" s="1263">
        <f>+BM40/Model!BM$12</f>
        <v>0.86669381107491861</v>
      </c>
      <c r="BN46" s="64">
        <f>+BN40/Model!BN$12</f>
        <v>0.86290441719604083</v>
      </c>
      <c r="BO46" s="64">
        <f>+BO40/Model!BO$12</f>
        <v>0.87390580915864868</v>
      </c>
      <c r="BP46" s="64">
        <f>+BP40/Model!BP$12</f>
        <v>0.86621634299652872</v>
      </c>
      <c r="BQ46" s="1263">
        <f>+BQ40/Model!BQ$12</f>
        <v>0.87862950058072009</v>
      </c>
      <c r="BR46" s="64">
        <f>+BR40/Model!BR$12</f>
        <v>0.87513368983957218</v>
      </c>
      <c r="BS46" s="64">
        <f>+BS40/Model!BS$12</f>
        <v>0.88496413587765599</v>
      </c>
      <c r="BT46" s="180">
        <f>+BT40/Model!BT$12</f>
        <v>0.89037789245879806</v>
      </c>
      <c r="BU46" s="1263">
        <f>+BU40/Model!BU$12</f>
        <v>0.90147720426017175</v>
      </c>
      <c r="BV46" s="64">
        <f>+BV40/Model!BV$12</f>
        <v>0.89393771656936516</v>
      </c>
      <c r="BW46" s="64">
        <f>+BW40/Model!BW$12</f>
        <v>0.89811989817690152</v>
      </c>
      <c r="BX46" s="64">
        <f>+BX40/Model!BX$12</f>
        <v>0.90319872072525142</v>
      </c>
      <c r="BY46" s="1263">
        <f>+BY40/Model!BY$12</f>
        <v>0.91847487984239928</v>
      </c>
      <c r="BZ46" s="64">
        <f>+BZ40/Model!BZ$12</f>
        <v>0.90615068376869734</v>
      </c>
      <c r="CA46" s="64">
        <f>+CA40/Model!CA$12</f>
        <v>0.91035262200044842</v>
      </c>
      <c r="CB46" s="180">
        <f>+CB40/Model!CB$12</f>
        <v>0.91496665612235817</v>
      </c>
      <c r="CC46" s="1263">
        <f>+CC40/Model!CC$12</f>
        <v>0.92955710003706937</v>
      </c>
      <c r="CD46" s="64">
        <f>+CD40/Model!CD$12</f>
        <v>0.91905242618831229</v>
      </c>
      <c r="CE46" s="64">
        <f>+CE40/Model!CE$12</f>
        <v>0.91792666865603889</v>
      </c>
      <c r="CF46" s="180">
        <f>+CF40/Model!CF$12</f>
        <v>0.92720774198283629</v>
      </c>
      <c r="CG46" s="234"/>
      <c r="CH46" s="160"/>
      <c r="CM46" s="64">
        <f>+CM40/Model!CM$12</f>
        <v>0.40574121718238343</v>
      </c>
      <c r="CN46" s="64">
        <f>+CN40/Model!CN$12</f>
        <v>0.55390568963203834</v>
      </c>
      <c r="CO46" s="64">
        <f>+CO40/Model!CO$12</f>
        <v>0.58355361138209028</v>
      </c>
      <c r="CP46" s="64">
        <f>+CP40/Model!CP$12</f>
        <v>0.6084538427348819</v>
      </c>
      <c r="CQ46" s="64">
        <f>+CQ40/Model!CQ$12</f>
        <v>0.69468949407788072</v>
      </c>
      <c r="CR46" s="64">
        <f>+CR40/Model!CR$12</f>
        <v>0.78072767568565893</v>
      </c>
      <c r="CS46" s="64">
        <f>+CS40/Model!CS$12</f>
        <v>0.82126792240652235</v>
      </c>
      <c r="CT46" s="64">
        <f>+CT40/Model!CT$12</f>
        <v>0.85007147962830598</v>
      </c>
      <c r="CU46" s="64">
        <f>+CU40/Model!CU$12</f>
        <v>0.8675546719681908</v>
      </c>
      <c r="CV46" s="64">
        <f>+CV40/Model!CV$12</f>
        <v>0.88191543005330642</v>
      </c>
      <c r="CW46" s="64">
        <f>+CW40/Model!CW$12</f>
        <v>0.89897113639684878</v>
      </c>
      <c r="CX46" s="64">
        <f>+CX40/Model!CX$12</f>
        <v>0.91236672797738494</v>
      </c>
      <c r="CY46" s="64">
        <f>+CY40/Model!CY$12</f>
        <v>0.92331848261877714</v>
      </c>
      <c r="CZ46" s="64">
        <f>+CZ40/Model!CZ$12</f>
        <v>0.93077696630922102</v>
      </c>
      <c r="DA46" s="64">
        <f>+DA40/Model!DA$12</f>
        <v>0.9368897892522553</v>
      </c>
      <c r="DB46" s="64">
        <f>+DB40/Model!DB$12</f>
        <v>0.94197542553818425</v>
      </c>
      <c r="DC46" s="64">
        <f>+DC40/Model!DC$12</f>
        <v>0.94603975891961112</v>
      </c>
      <c r="DD46" s="64">
        <f>+DD40/Model!DD$12</f>
        <v>0.94938852169604671</v>
      </c>
      <c r="DE46" s="64">
        <f>+DE40/Model!DE$12</f>
        <v>0.95215549150660561</v>
      </c>
      <c r="DF46" s="180">
        <f>+DF40/Model!DF$12</f>
        <v>0.95477741819267747</v>
      </c>
    </row>
    <row r="47" spans="1:110" ht="12.75" customHeight="1">
      <c r="I47" s="728" t="s">
        <v>620</v>
      </c>
      <c r="J47" s="70"/>
      <c r="K47" s="70"/>
      <c r="P47" s="234"/>
      <c r="T47" s="234"/>
      <c r="X47" s="234"/>
      <c r="AB47" s="234"/>
      <c r="AF47" s="249"/>
      <c r="AG47" s="64"/>
      <c r="AH47" s="64"/>
      <c r="AI47" s="64"/>
      <c r="AJ47" s="180"/>
      <c r="AK47" s="64"/>
      <c r="AL47" s="64"/>
      <c r="AM47" s="64"/>
      <c r="AN47" s="180"/>
      <c r="AO47" s="64"/>
      <c r="AP47" s="64"/>
      <c r="AQ47" s="64"/>
      <c r="AR47" s="180"/>
      <c r="AS47" s="104">
        <f t="shared" ref="AS47:CF47" si="92">+AO40*AS43</f>
        <v>243.84634</v>
      </c>
      <c r="AT47" s="104">
        <f t="shared" si="92"/>
        <v>401.008644</v>
      </c>
      <c r="AU47" s="104">
        <f t="shared" si="92"/>
        <v>606.66224999999997</v>
      </c>
      <c r="AV47" s="104">
        <f t="shared" si="92"/>
        <v>550.57204999999999</v>
      </c>
      <c r="AW47" s="104">
        <f t="shared" si="92"/>
        <v>795.28685599999994</v>
      </c>
      <c r="AX47" s="104">
        <f t="shared" si="92"/>
        <v>949.27309400000001</v>
      </c>
      <c r="AY47" s="104">
        <f t="shared" si="92"/>
        <v>1344.8221800000001</v>
      </c>
      <c r="AZ47" s="104">
        <f t="shared" si="92"/>
        <v>1017.76441</v>
      </c>
      <c r="BA47" s="104">
        <f t="shared" si="92"/>
        <v>1542.744445</v>
      </c>
      <c r="BB47" s="104">
        <f t="shared" si="92"/>
        <v>1771.196285</v>
      </c>
      <c r="BC47" s="104">
        <f t="shared" si="92"/>
        <v>1771.3899999999999</v>
      </c>
      <c r="BD47" s="104">
        <f t="shared" si="92"/>
        <v>1580.847</v>
      </c>
      <c r="BE47" s="104">
        <f t="shared" si="92"/>
        <v>2050.8799999999997</v>
      </c>
      <c r="BF47" s="104">
        <f t="shared" si="92"/>
        <v>1981.096</v>
      </c>
      <c r="BG47" s="104">
        <f t="shared" si="92"/>
        <v>2025.5340000000001</v>
      </c>
      <c r="BH47" s="104">
        <f t="shared" si="92"/>
        <v>1666.5119999999999</v>
      </c>
      <c r="BI47" s="851">
        <f t="shared" si="92"/>
        <v>2343.9299999999998</v>
      </c>
      <c r="BJ47" s="104">
        <f t="shared" si="92"/>
        <v>2618.88</v>
      </c>
      <c r="BK47" s="104">
        <f t="shared" si="92"/>
        <v>2653.93</v>
      </c>
      <c r="BL47" s="212">
        <f t="shared" si="92"/>
        <v>2307.48</v>
      </c>
      <c r="BM47" s="851">
        <f>+BI40*BM43</f>
        <v>2957.54</v>
      </c>
      <c r="BN47" s="104">
        <f t="shared" si="92"/>
        <v>3002.6499999999996</v>
      </c>
      <c r="BO47" s="104">
        <f t="shared" si="92"/>
        <v>2937.28</v>
      </c>
      <c r="BP47" s="212">
        <f t="shared" si="92"/>
        <v>2094.6600000000003</v>
      </c>
      <c r="BQ47" s="851">
        <f t="shared" si="92"/>
        <v>3086.47</v>
      </c>
      <c r="BR47" s="104">
        <f>+BN40*BR43</f>
        <v>3504.6</v>
      </c>
      <c r="BS47" s="104">
        <f t="shared" si="92"/>
        <v>3020</v>
      </c>
      <c r="BT47" s="212">
        <f t="shared" si="92"/>
        <v>2677.5699999999997</v>
      </c>
      <c r="BU47" s="851">
        <f t="shared" si="92"/>
        <v>3621.1013993763668</v>
      </c>
      <c r="BV47" s="104">
        <f t="shared" si="92"/>
        <v>3118.5111576638574</v>
      </c>
      <c r="BW47" s="104">
        <f>+BS40*BW43</f>
        <v>3663.6014892717558</v>
      </c>
      <c r="BX47" s="104">
        <f t="shared" si="92"/>
        <v>3226.9957586823148</v>
      </c>
      <c r="BY47" s="851">
        <f t="shared" si="92"/>
        <v>4468.7583926865937</v>
      </c>
      <c r="BZ47" s="104">
        <f t="shared" si="92"/>
        <v>3352.9797371739369</v>
      </c>
      <c r="CA47" s="104">
        <f t="shared" si="92"/>
        <v>2873.7470095610402</v>
      </c>
      <c r="CB47" s="212">
        <f t="shared" si="92"/>
        <v>2016.8748170529007</v>
      </c>
      <c r="CC47" s="851">
        <f t="shared" si="92"/>
        <v>2866.8381286538197</v>
      </c>
      <c r="CD47" s="104">
        <f t="shared" si="92"/>
        <v>3492.8431394748395</v>
      </c>
      <c r="CE47" s="104">
        <f t="shared" si="92"/>
        <v>3064.3243019316733</v>
      </c>
      <c r="CF47" s="212">
        <f t="shared" si="92"/>
        <v>3298.7712278886088</v>
      </c>
      <c r="CG47" s="234"/>
      <c r="CH47" s="160"/>
      <c r="CM47" s="64"/>
      <c r="CN47" s="104">
        <f t="shared" ref="CN47:DF47" si="93">+CM40*CN43</f>
        <v>0</v>
      </c>
      <c r="CO47" s="104">
        <f t="shared" si="93"/>
        <v>1628.2871946068926</v>
      </c>
      <c r="CP47" s="104">
        <f t="shared" si="93"/>
        <v>1761.6050541023776</v>
      </c>
      <c r="CQ47" s="104">
        <f t="shared" si="93"/>
        <v>4005.0443360490776</v>
      </c>
      <c r="CR47" s="104">
        <f t="shared" si="93"/>
        <v>7414.3092534660191</v>
      </c>
      <c r="CS47" s="104">
        <f t="shared" si="93"/>
        <v>7590.3277162813956</v>
      </c>
      <c r="CT47" s="104">
        <f t="shared" si="93"/>
        <v>9934.8026626162045</v>
      </c>
      <c r="CU47" s="104">
        <f t="shared" si="93"/>
        <v>11091.013303707234</v>
      </c>
      <c r="CV47" s="104">
        <f t="shared" si="93"/>
        <v>12209.252503550446</v>
      </c>
      <c r="CW47" s="104">
        <f t="shared" si="93"/>
        <v>13621.598869696116</v>
      </c>
      <c r="CX47" s="104">
        <f>+CW40*CX43</f>
        <v>11302.43613866634</v>
      </c>
      <c r="CY47" s="104">
        <f t="shared" si="93"/>
        <v>12795.700209328996</v>
      </c>
      <c r="CZ47" s="104">
        <f>+CY40*CZ43</f>
        <v>13862.688254197032</v>
      </c>
      <c r="DA47" s="104">
        <f>+CZ40*DA43</f>
        <v>13706.477428164906</v>
      </c>
      <c r="DB47" s="104">
        <f>+DA40*DB43</f>
        <v>13289.977824185238</v>
      </c>
      <c r="DC47" s="104">
        <f>+DB40*DC43</f>
        <v>13024.445344609863</v>
      </c>
      <c r="DD47" s="104">
        <f t="shared" si="93"/>
        <v>12890.41540922254</v>
      </c>
      <c r="DE47" s="104">
        <f t="shared" si="93"/>
        <v>12639.223982257148</v>
      </c>
      <c r="DF47" s="212">
        <f t="shared" si="93"/>
        <v>13681.630377933536</v>
      </c>
    </row>
    <row r="48" spans="1:110" ht="12.75" customHeight="1">
      <c r="I48" s="1861" t="s">
        <v>375</v>
      </c>
      <c r="J48" s="70"/>
      <c r="K48" s="70"/>
      <c r="P48" s="234"/>
      <c r="T48" s="234"/>
      <c r="X48" s="234"/>
      <c r="AB48" s="234"/>
      <c r="AF48" s="249"/>
      <c r="AG48" s="1199"/>
      <c r="AH48" s="1199"/>
      <c r="AI48" s="1199"/>
      <c r="AJ48" s="1200"/>
      <c r="AK48" s="1199"/>
      <c r="AL48" s="1199"/>
      <c r="AM48" s="1199"/>
      <c r="AN48" s="1200"/>
      <c r="AO48" s="1193"/>
      <c r="AP48" s="1193"/>
      <c r="AQ48" s="1193"/>
      <c r="AR48" s="1452"/>
      <c r="AS48" s="1199"/>
      <c r="AT48" s="1199"/>
      <c r="AU48" s="1199"/>
      <c r="AV48" s="1200"/>
      <c r="AW48" s="1665">
        <f t="shared" ref="AW48:CF48" si="94">+AW47/AV47-1</f>
        <v>0.44447371783584</v>
      </c>
      <c r="AX48" s="1665">
        <f t="shared" si="94"/>
        <v>0.19362351689614754</v>
      </c>
      <c r="AY48" s="1665">
        <f t="shared" si="94"/>
        <v>0.41668629238531874</v>
      </c>
      <c r="AZ48" s="1665">
        <f t="shared" si="94"/>
        <v>-0.24319778098841294</v>
      </c>
      <c r="BA48" s="1665">
        <f t="shared" si="94"/>
        <v>0.51581685293947355</v>
      </c>
      <c r="BB48" s="1665">
        <f t="shared" si="94"/>
        <v>0.14808145363310632</v>
      </c>
      <c r="BC48" s="1665">
        <f t="shared" si="94"/>
        <v>1.0936958350726833E-4</v>
      </c>
      <c r="BD48" s="1665">
        <f t="shared" si="94"/>
        <v>-0.10756693895754177</v>
      </c>
      <c r="BE48" s="1665">
        <f t="shared" si="94"/>
        <v>0.2973298491251839</v>
      </c>
      <c r="BF48" s="1665">
        <f t="shared" si="94"/>
        <v>-3.4026369168356885E-2</v>
      </c>
      <c r="BG48" s="1665">
        <f t="shared" si="94"/>
        <v>2.2431017981965562E-2</v>
      </c>
      <c r="BH48" s="1665">
        <f t="shared" si="94"/>
        <v>-0.17724807384126862</v>
      </c>
      <c r="BI48" s="1665">
        <f t="shared" si="94"/>
        <v>0.40648852213485398</v>
      </c>
      <c r="BJ48" s="1665">
        <f t="shared" si="94"/>
        <v>0.11730299113028142</v>
      </c>
      <c r="BK48" s="1665">
        <f t="shared" si="94"/>
        <v>1.3383583822091705E-2</v>
      </c>
      <c r="BL48" s="1862">
        <f t="shared" si="94"/>
        <v>-0.13054225243318396</v>
      </c>
      <c r="BM48" s="1718">
        <f t="shared" si="94"/>
        <v>0.28171858477646605</v>
      </c>
      <c r="BN48" s="1665">
        <f t="shared" si="94"/>
        <v>1.5252540963097694E-2</v>
      </c>
      <c r="BO48" s="1665">
        <f t="shared" si="94"/>
        <v>-2.1770769153913849E-2</v>
      </c>
      <c r="BP48" s="1862">
        <f t="shared" si="94"/>
        <v>-0.28687084649743977</v>
      </c>
      <c r="BQ48" s="1718">
        <f t="shared" si="94"/>
        <v>0.47349450507480895</v>
      </c>
      <c r="BR48" s="1665">
        <f t="shared" si="94"/>
        <v>0.13547191451723162</v>
      </c>
      <c r="BS48" s="1665">
        <f t="shared" si="94"/>
        <v>-0.13827540946185013</v>
      </c>
      <c r="BT48" s="1862">
        <f t="shared" si="94"/>
        <v>-0.11338741721854317</v>
      </c>
      <c r="BU48" s="1718">
        <f t="shared" si="94"/>
        <v>0.35238346686598931</v>
      </c>
      <c r="BV48" s="1665">
        <f t="shared" si="94"/>
        <v>-0.13879485446032147</v>
      </c>
      <c r="BW48" s="1665">
        <f t="shared" si="94"/>
        <v>0.17479184907461964</v>
      </c>
      <c r="BX48" s="1862">
        <f t="shared" si="94"/>
        <v>-0.11917391448495906</v>
      </c>
      <c r="BY48" s="1718">
        <f t="shared" si="94"/>
        <v>0.38480454480402848</v>
      </c>
      <c r="BZ48" s="1665">
        <f t="shared" si="94"/>
        <v>-0.24968426517278253</v>
      </c>
      <c r="CA48" s="1665">
        <f t="shared" si="94"/>
        <v>-0.14292741536720965</v>
      </c>
      <c r="CB48" s="1862">
        <f t="shared" si="94"/>
        <v>-0.29817245208339516</v>
      </c>
      <c r="CC48" s="1718">
        <f t="shared" si="94"/>
        <v>0.42142591320709877</v>
      </c>
      <c r="CD48" s="1665">
        <f t="shared" si="94"/>
        <v>0.21836078031896866</v>
      </c>
      <c r="CE48" s="1665">
        <f t="shared" si="94"/>
        <v>-0.12268482162860472</v>
      </c>
      <c r="CF48" s="1862">
        <f t="shared" si="94"/>
        <v>7.6508522877015928E-2</v>
      </c>
      <c r="CG48" s="234"/>
      <c r="CH48" s="160"/>
      <c r="CM48" s="1199"/>
      <c r="CN48" s="1199"/>
      <c r="CO48" s="1193"/>
      <c r="CP48" s="1199"/>
      <c r="CQ48" s="1860"/>
      <c r="CR48" s="1832"/>
      <c r="CS48" s="1832"/>
      <c r="CT48" s="1207"/>
      <c r="CU48" s="1860"/>
      <c r="CV48" s="1860"/>
      <c r="CW48" s="1665"/>
      <c r="CX48" s="1860"/>
      <c r="CY48" s="1860"/>
      <c r="DF48" s="234"/>
    </row>
    <row r="49" spans="1:110" ht="12.75" customHeight="1">
      <c r="I49" s="185"/>
      <c r="J49" s="70"/>
      <c r="K49" s="70"/>
      <c r="P49" s="234"/>
      <c r="T49" s="234"/>
      <c r="X49" s="234"/>
      <c r="AB49" s="234"/>
      <c r="AF49" s="249"/>
      <c r="AG49" s="64"/>
      <c r="AH49" s="64"/>
      <c r="AI49" s="64"/>
      <c r="AJ49" s="180"/>
      <c r="AK49" s="64"/>
      <c r="AL49" s="64"/>
      <c r="AM49" s="64"/>
      <c r="AN49" s="180"/>
      <c r="AO49" s="800"/>
      <c r="AP49" s="800"/>
      <c r="AQ49" s="800"/>
      <c r="AR49" s="849"/>
      <c r="AS49" s="64"/>
      <c r="AT49" s="64"/>
      <c r="AU49" s="64"/>
      <c r="AV49" s="180"/>
      <c r="AW49" s="1214"/>
      <c r="AX49" s="1214"/>
      <c r="AY49" s="1214"/>
      <c r="AZ49" s="1214"/>
      <c r="BA49" s="1214"/>
      <c r="BB49" s="1214"/>
      <c r="BC49" s="1214"/>
      <c r="BD49" s="1214"/>
      <c r="BE49" s="1214"/>
      <c r="BF49" s="1214"/>
      <c r="BG49" s="1214"/>
      <c r="BH49" s="1214"/>
      <c r="BI49" s="1214"/>
      <c r="BJ49" s="1214"/>
      <c r="BK49" s="1214"/>
      <c r="BL49" s="1389"/>
      <c r="BM49" s="1722"/>
      <c r="BN49" s="1214"/>
      <c r="BO49" s="1214"/>
      <c r="BP49" s="1389"/>
      <c r="BQ49" s="1722"/>
      <c r="BR49" s="1214"/>
      <c r="BS49" s="1214"/>
      <c r="BT49" s="1389"/>
      <c r="BU49" s="1722"/>
      <c r="BV49" s="1214"/>
      <c r="BW49" s="1214"/>
      <c r="BX49" s="1389"/>
      <c r="BY49" s="1722"/>
      <c r="BZ49" s="1214"/>
      <c r="CA49" s="1214"/>
      <c r="CB49" s="1389"/>
      <c r="CC49" s="1722"/>
      <c r="CD49" s="1214"/>
      <c r="CE49" s="1214"/>
      <c r="CF49" s="1389"/>
      <c r="CG49" s="234"/>
      <c r="CH49" s="160"/>
      <c r="CM49" s="64"/>
      <c r="CN49" s="64"/>
      <c r="CO49" s="800"/>
      <c r="CP49" s="64"/>
      <c r="CQ49" s="733"/>
      <c r="CR49" s="853"/>
      <c r="CS49" s="853"/>
      <c r="CT49" s="104"/>
      <c r="CU49" s="733"/>
      <c r="CV49" s="733"/>
      <c r="CW49" s="1214"/>
      <c r="CX49" s="733"/>
      <c r="CY49" s="733"/>
      <c r="DF49" s="234"/>
    </row>
    <row r="50" spans="1:110" s="5" customFormat="1" ht="12.75" customHeight="1">
      <c r="A50" s="12"/>
      <c r="B50" s="13"/>
      <c r="C50" s="13"/>
      <c r="D50" s="13"/>
      <c r="E50" s="13"/>
      <c r="F50" s="12"/>
      <c r="G50" s="12"/>
      <c r="H50" s="12"/>
      <c r="I50" s="861" t="s">
        <v>265</v>
      </c>
      <c r="J50" s="801"/>
      <c r="K50" s="801"/>
      <c r="P50" s="737"/>
      <c r="T50" s="737"/>
      <c r="X50" s="737"/>
      <c r="AB50" s="737"/>
      <c r="AC50" s="796"/>
      <c r="AD50" s="796"/>
      <c r="AE50" s="796"/>
      <c r="AF50" s="952"/>
      <c r="AG50" s="713"/>
      <c r="AH50" s="713"/>
      <c r="AI50" s="713"/>
      <c r="AJ50" s="723"/>
      <c r="AK50" s="713"/>
      <c r="AL50" s="713"/>
      <c r="AM50" s="713"/>
      <c r="AN50" s="969"/>
      <c r="AO50" s="862"/>
      <c r="AP50" s="862"/>
      <c r="AQ50" s="862"/>
      <c r="AR50" s="969"/>
      <c r="AS50" s="862"/>
      <c r="AT50" s="862"/>
      <c r="AU50" s="862"/>
      <c r="AV50" s="969"/>
      <c r="AW50" s="862"/>
      <c r="AX50" s="713"/>
      <c r="AY50" s="713"/>
      <c r="AZ50" s="969"/>
      <c r="BA50" s="862"/>
      <c r="BB50" s="713"/>
      <c r="BC50" s="713"/>
      <c r="BD50" s="969"/>
      <c r="BE50" s="862"/>
      <c r="BG50" s="713"/>
      <c r="BH50" s="969"/>
      <c r="BI50" s="862"/>
      <c r="BJ50" s="713"/>
      <c r="BK50" s="713"/>
      <c r="BL50" s="969"/>
      <c r="BM50" s="1642"/>
      <c r="BN50" s="104"/>
      <c r="BO50" s="33"/>
      <c r="BP50" s="180"/>
      <c r="BQ50" s="1642"/>
      <c r="BR50" s="104"/>
      <c r="BS50" s="33"/>
      <c r="BT50" s="180"/>
      <c r="BU50" s="1642"/>
      <c r="BV50" s="104"/>
      <c r="BW50" s="33"/>
      <c r="BX50" s="180"/>
      <c r="BY50" s="1642"/>
      <c r="BZ50" s="104"/>
      <c r="CA50" s="33"/>
      <c r="CB50" s="180"/>
      <c r="CC50" s="1642"/>
      <c r="CD50" s="104"/>
      <c r="CE50" s="33"/>
      <c r="CF50" s="180"/>
      <c r="CG50" s="737"/>
      <c r="CH50" s="163"/>
      <c r="CM50" s="713"/>
      <c r="CN50" s="862"/>
      <c r="CO50" s="726"/>
      <c r="CP50" s="726"/>
      <c r="CQ50" s="713"/>
      <c r="CR50" s="112">
        <v>1000</v>
      </c>
      <c r="CS50" s="112">
        <v>3000</v>
      </c>
      <c r="CT50" s="112">
        <v>8000</v>
      </c>
      <c r="CU50" s="713"/>
      <c r="CV50" s="713"/>
      <c r="CW50" s="713"/>
      <c r="CX50" s="713"/>
      <c r="CY50" s="713"/>
      <c r="DF50" s="737"/>
    </row>
    <row r="51" spans="1:110" ht="12.75" customHeight="1">
      <c r="A51" s="12"/>
      <c r="B51" s="13"/>
      <c r="C51" s="13"/>
      <c r="D51" s="13"/>
      <c r="E51" s="13"/>
      <c r="F51" s="12"/>
      <c r="G51" s="12"/>
      <c r="H51" s="12"/>
      <c r="I51" s="185" t="s">
        <v>266</v>
      </c>
      <c r="J51" s="70"/>
      <c r="K51" s="70"/>
      <c r="P51" s="234"/>
      <c r="T51" s="234"/>
      <c r="X51" s="234"/>
      <c r="AB51" s="234"/>
      <c r="AF51" s="249"/>
      <c r="AJ51" s="179"/>
      <c r="AN51" s="885"/>
      <c r="AO51" s="860"/>
      <c r="AP51" s="860"/>
      <c r="AQ51" s="860"/>
      <c r="AR51" s="885"/>
      <c r="AS51" s="860"/>
      <c r="AT51" s="860"/>
      <c r="AU51" s="860"/>
      <c r="AV51" s="885"/>
      <c r="AW51" s="860"/>
      <c r="AX51" s="64"/>
      <c r="AY51" s="64"/>
      <c r="AZ51" s="885"/>
      <c r="BA51" s="860"/>
      <c r="BB51" s="64"/>
      <c r="BC51" s="64"/>
      <c r="BD51" s="885"/>
      <c r="BE51" s="860"/>
      <c r="BF51" s="64"/>
      <c r="BG51" s="64"/>
      <c r="BH51" s="885"/>
      <c r="BI51" s="860"/>
      <c r="BJ51" s="64"/>
      <c r="BL51" s="885"/>
      <c r="BM51" s="1642"/>
      <c r="BN51" s="104"/>
      <c r="BO51" s="33"/>
      <c r="BP51" s="64"/>
      <c r="BQ51" s="1596"/>
      <c r="BR51" s="1850"/>
      <c r="BS51" s="1850"/>
      <c r="BT51" s="180"/>
      <c r="BU51" s="1263"/>
      <c r="BV51" s="64"/>
      <c r="BW51" s="64"/>
      <c r="BX51" s="180"/>
      <c r="BY51" s="1263"/>
      <c r="BZ51" s="64"/>
      <c r="CA51" s="64"/>
      <c r="CB51" s="180"/>
      <c r="CC51" s="1263"/>
      <c r="CD51" s="64"/>
      <c r="CE51" s="64"/>
      <c r="CF51" s="180"/>
      <c r="CG51" s="234"/>
      <c r="CH51" s="160"/>
      <c r="CM51" s="30"/>
      <c r="CN51" s="860"/>
      <c r="CO51" s="889"/>
      <c r="CP51" s="889"/>
      <c r="CQ51" s="64"/>
      <c r="CR51" s="64">
        <f>+CR50/CR25</f>
        <v>6.7397448165871149E-2</v>
      </c>
      <c r="CS51" s="64">
        <f>+CS50/CS25</f>
        <v>0.1503711726161332</v>
      </c>
      <c r="CT51" s="64">
        <f>+CT50/CT25</f>
        <v>0.28116736613963916</v>
      </c>
      <c r="CU51" s="64"/>
      <c r="CV51" s="64"/>
      <c r="CW51" s="64"/>
      <c r="CX51" s="64"/>
      <c r="CY51" s="64"/>
      <c r="DF51" s="234"/>
    </row>
    <row r="52" spans="1:110" ht="12.75" customHeight="1">
      <c r="H52" s="34"/>
      <c r="I52" s="185" t="s">
        <v>376</v>
      </c>
      <c r="J52" s="70"/>
      <c r="K52" s="70"/>
      <c r="P52" s="234"/>
      <c r="T52" s="234"/>
      <c r="X52" s="234"/>
      <c r="AB52" s="234"/>
      <c r="AF52" s="249"/>
      <c r="AJ52" s="179"/>
      <c r="AN52" s="885"/>
      <c r="AO52" s="860"/>
      <c r="AP52" s="860"/>
      <c r="AQ52" s="860"/>
      <c r="AR52" s="885"/>
      <c r="AS52" s="860"/>
      <c r="AT52" s="860"/>
      <c r="AU52" s="860"/>
      <c r="AV52" s="885"/>
      <c r="AW52" s="860"/>
      <c r="AX52" s="64"/>
      <c r="AY52" s="396"/>
      <c r="AZ52" s="885"/>
      <c r="BA52" s="860"/>
      <c r="BB52" s="396"/>
      <c r="BC52" s="396"/>
      <c r="BD52" s="885"/>
      <c r="BE52" s="860"/>
      <c r="BF52" s="396"/>
      <c r="BG52" s="396"/>
      <c r="BH52" s="885"/>
      <c r="BI52" s="860"/>
      <c r="BJ52" s="396"/>
      <c r="BK52" s="396"/>
      <c r="BL52" s="885"/>
      <c r="BM52" s="1642"/>
      <c r="BN52" s="396"/>
      <c r="BO52" s="396"/>
      <c r="BP52" s="713"/>
      <c r="BQ52" s="1722"/>
      <c r="BR52" s="1850"/>
      <c r="BS52" s="1850"/>
      <c r="BT52" s="723"/>
      <c r="BU52" s="921"/>
      <c r="BV52" s="64"/>
      <c r="BW52" s="64"/>
      <c r="BX52" s="180"/>
      <c r="BY52" s="1263"/>
      <c r="BZ52" s="64"/>
      <c r="CA52" s="64"/>
      <c r="CB52" s="180"/>
      <c r="CC52" s="1263"/>
      <c r="CD52" s="64"/>
      <c r="CE52" s="64"/>
      <c r="CF52" s="180"/>
      <c r="CG52" s="234"/>
      <c r="CH52" s="160"/>
      <c r="CM52" s="30"/>
      <c r="CN52" s="860"/>
      <c r="CO52" s="889"/>
      <c r="CP52" s="889"/>
      <c r="CQ52" s="64"/>
      <c r="CR52" s="64"/>
      <c r="CS52" s="64">
        <f>+CS50/CR50-1</f>
        <v>2</v>
      </c>
      <c r="CT52" s="64">
        <f>+CT50/CS50-1</f>
        <v>1.6666666666666665</v>
      </c>
      <c r="CU52" s="64"/>
      <c r="CV52" s="64"/>
      <c r="CW52" s="64"/>
      <c r="CX52" s="64"/>
      <c r="CY52" s="64"/>
      <c r="DF52" s="234"/>
    </row>
    <row r="53" spans="1:110" ht="12.75" customHeight="1">
      <c r="A53" s="12"/>
      <c r="B53" s="13"/>
      <c r="C53" s="13"/>
      <c r="D53" s="13"/>
      <c r="E53" s="13"/>
      <c r="F53" s="12"/>
      <c r="G53" s="12"/>
      <c r="H53" s="12"/>
      <c r="I53" s="185" t="s">
        <v>385</v>
      </c>
      <c r="J53" s="70"/>
      <c r="K53" s="70"/>
      <c r="P53" s="234"/>
      <c r="T53" s="234"/>
      <c r="X53" s="234"/>
      <c r="AB53" s="234"/>
      <c r="AF53" s="249"/>
      <c r="AJ53" s="179"/>
      <c r="AN53" s="885"/>
      <c r="AO53" s="860"/>
      <c r="AP53" s="860"/>
      <c r="AQ53" s="860"/>
      <c r="AR53" s="885"/>
      <c r="AS53" s="860"/>
      <c r="AT53" s="860"/>
      <c r="AU53" s="860"/>
      <c r="AV53" s="885"/>
      <c r="AW53" s="860"/>
      <c r="AX53" s="64"/>
      <c r="AY53" s="64"/>
      <c r="AZ53" s="885"/>
      <c r="BA53" s="860"/>
      <c r="BB53" s="64"/>
      <c r="BC53" s="64"/>
      <c r="BD53" s="885"/>
      <c r="BE53" s="860"/>
      <c r="BF53" s="64"/>
      <c r="BG53" s="64"/>
      <c r="BH53" s="885"/>
      <c r="BI53" s="860"/>
      <c r="BJ53" s="64"/>
      <c r="BK53" s="64"/>
      <c r="BL53" s="885"/>
      <c r="BM53" s="1642"/>
      <c r="BN53" s="64"/>
      <c r="BO53" s="64"/>
      <c r="BP53" s="713"/>
      <c r="BQ53" s="1722"/>
      <c r="BR53" s="1850"/>
      <c r="BS53" s="1850"/>
      <c r="BT53" s="723"/>
      <c r="BU53" s="921"/>
      <c r="BV53" s="64"/>
      <c r="BW53" s="64"/>
      <c r="BX53" s="180"/>
      <c r="BY53" s="1263"/>
      <c r="BZ53" s="64"/>
      <c r="CA53" s="64"/>
      <c r="CB53" s="180"/>
      <c r="CC53" s="1263"/>
      <c r="CD53" s="64"/>
      <c r="CE53" s="64"/>
      <c r="CF53" s="180"/>
      <c r="CG53" s="234"/>
      <c r="CH53" s="160"/>
      <c r="CM53" s="30"/>
      <c r="CN53" s="860"/>
      <c r="CO53" s="889"/>
      <c r="CP53" s="889"/>
      <c r="CQ53" s="64"/>
      <c r="CR53" s="64"/>
      <c r="CS53" s="111">
        <f>+(CS50-CR50)</f>
        <v>2000</v>
      </c>
      <c r="CT53" s="111">
        <f>+(CT50-CS50)</f>
        <v>5000</v>
      </c>
      <c r="CU53" s="64"/>
      <c r="CV53" s="64"/>
      <c r="CW53" s="64"/>
      <c r="CX53" s="64"/>
      <c r="CY53" s="64"/>
      <c r="DF53" s="234"/>
    </row>
    <row r="54" spans="1:110" ht="12.75" customHeight="1">
      <c r="A54" s="14"/>
      <c r="B54" s="14"/>
      <c r="C54" s="14"/>
      <c r="D54" s="14"/>
      <c r="E54" s="14"/>
      <c r="F54" s="14"/>
      <c r="G54" s="14"/>
      <c r="H54" s="14"/>
      <c r="I54" s="185"/>
      <c r="J54" s="70"/>
      <c r="K54" s="70"/>
      <c r="P54" s="234"/>
      <c r="T54" s="234"/>
      <c r="X54" s="234"/>
      <c r="AB54" s="234"/>
      <c r="AF54" s="249"/>
      <c r="AJ54" s="179"/>
      <c r="AN54" s="885"/>
      <c r="AO54" s="860"/>
      <c r="AP54" s="860"/>
      <c r="AQ54" s="860"/>
      <c r="AR54" s="885"/>
      <c r="AS54" s="860"/>
      <c r="AT54" s="860"/>
      <c r="AU54" s="860"/>
      <c r="AV54" s="885"/>
      <c r="AW54" s="860"/>
      <c r="AX54" s="64"/>
      <c r="AY54" s="64"/>
      <c r="AZ54" s="885"/>
      <c r="BA54" s="860"/>
      <c r="BB54" s="64"/>
      <c r="BC54" s="64"/>
      <c r="BD54" s="885"/>
      <c r="BE54" s="860"/>
      <c r="BF54" s="64"/>
      <c r="BG54" s="64"/>
      <c r="BH54" s="885"/>
      <c r="BI54" s="860"/>
      <c r="BJ54" s="38"/>
      <c r="BK54" s="38"/>
      <c r="BL54" s="885"/>
      <c r="BM54" s="1642"/>
      <c r="BN54" s="64"/>
      <c r="BO54" s="64"/>
      <c r="BP54" s="64"/>
      <c r="BQ54" s="1263"/>
      <c r="BR54" s="64"/>
      <c r="BS54" s="64"/>
      <c r="BT54" s="180"/>
      <c r="BU54" s="1263"/>
      <c r="BV54" s="64"/>
      <c r="BW54" s="64"/>
      <c r="BX54" s="180"/>
      <c r="BY54" s="1263"/>
      <c r="BZ54" s="64"/>
      <c r="CA54" s="64"/>
      <c r="CB54" s="180"/>
      <c r="CC54" s="1263"/>
      <c r="CD54" s="64"/>
      <c r="CE54" s="64"/>
      <c r="CF54" s="180"/>
      <c r="CG54" s="234"/>
      <c r="CH54" s="160"/>
      <c r="CM54" s="30"/>
      <c r="CN54" s="860"/>
      <c r="CO54" s="889"/>
      <c r="CP54" s="889"/>
      <c r="CQ54" s="64"/>
      <c r="CR54" s="64"/>
      <c r="CS54" s="64"/>
      <c r="CT54" s="64"/>
      <c r="CU54" s="64"/>
      <c r="CV54" s="64"/>
      <c r="CW54" s="64"/>
      <c r="CX54" s="64"/>
      <c r="CY54" s="64"/>
      <c r="DF54" s="234"/>
    </row>
    <row r="55" spans="1:110" ht="12.75" customHeight="1">
      <c r="B55" s="34"/>
      <c r="C55" s="34"/>
      <c r="D55" s="34"/>
      <c r="E55" s="34"/>
      <c r="I55" s="285" t="s">
        <v>489</v>
      </c>
      <c r="J55" s="802"/>
      <c r="K55" s="802"/>
      <c r="L55" s="802"/>
      <c r="M55" s="802"/>
      <c r="N55" s="802"/>
      <c r="O55" s="802"/>
      <c r="P55" s="863"/>
      <c r="Q55" s="802"/>
      <c r="R55" s="802"/>
      <c r="S55" s="802"/>
      <c r="T55" s="863"/>
      <c r="U55" s="802"/>
      <c r="V55" s="802"/>
      <c r="W55" s="802"/>
      <c r="X55" s="863"/>
      <c r="Y55" s="802"/>
      <c r="Z55" s="802"/>
      <c r="AA55" s="802"/>
      <c r="AB55" s="863"/>
      <c r="AC55" s="802"/>
      <c r="AD55" s="802"/>
      <c r="AE55" s="802"/>
      <c r="AF55" s="863"/>
      <c r="AG55" s="802"/>
      <c r="AH55" s="802"/>
      <c r="AI55" s="802"/>
      <c r="AJ55" s="863"/>
      <c r="AK55" s="802"/>
      <c r="AL55" s="802"/>
      <c r="AM55" s="802"/>
      <c r="AN55" s="863"/>
      <c r="AO55" s="802"/>
      <c r="AP55" s="802"/>
      <c r="AQ55" s="802"/>
      <c r="AR55" s="863"/>
      <c r="AS55" s="802"/>
      <c r="AT55" s="802"/>
      <c r="AU55" s="802"/>
      <c r="AV55" s="863"/>
      <c r="AW55" s="802"/>
      <c r="AX55" s="802"/>
      <c r="AY55" s="802"/>
      <c r="AZ55" s="863"/>
      <c r="BA55" s="802"/>
      <c r="BB55" s="802"/>
      <c r="BC55" s="802"/>
      <c r="BD55" s="863"/>
      <c r="BE55" s="802"/>
      <c r="BF55" s="802"/>
      <c r="BG55" s="802"/>
      <c r="BH55" s="863"/>
      <c r="BI55" s="802"/>
      <c r="BJ55" s="802"/>
      <c r="BK55" s="802"/>
      <c r="BL55" s="863"/>
      <c r="BM55" s="802"/>
      <c r="BN55" s="802"/>
      <c r="BO55" s="802"/>
      <c r="BP55" s="802"/>
      <c r="BQ55" s="285"/>
      <c r="BR55" s="802"/>
      <c r="BS55" s="802"/>
      <c r="BT55" s="863"/>
      <c r="BU55" s="285"/>
      <c r="BV55" s="802"/>
      <c r="BW55" s="802"/>
      <c r="BX55" s="863"/>
      <c r="BY55" s="285"/>
      <c r="BZ55" s="802"/>
      <c r="CA55" s="802"/>
      <c r="CB55" s="863"/>
      <c r="CC55" s="285"/>
      <c r="CD55" s="802"/>
      <c r="CE55" s="802"/>
      <c r="CF55" s="863"/>
      <c r="CG55" s="863"/>
      <c r="CH55" s="285"/>
      <c r="CI55" s="802"/>
      <c r="CJ55" s="802"/>
      <c r="CK55" s="802"/>
      <c r="CL55" s="802"/>
      <c r="CM55" s="802"/>
      <c r="CN55" s="802"/>
      <c r="CO55" s="802"/>
      <c r="CP55" s="802"/>
      <c r="CQ55" s="802"/>
      <c r="CR55" s="802"/>
      <c r="CS55" s="802"/>
      <c r="CT55" s="802"/>
      <c r="CU55" s="802"/>
      <c r="CV55" s="802"/>
      <c r="CW55" s="802"/>
      <c r="CX55" s="802"/>
      <c r="CY55" s="802"/>
      <c r="CZ55" s="802"/>
      <c r="DA55" s="802"/>
      <c r="DB55" s="802"/>
      <c r="DC55" s="802"/>
      <c r="DD55" s="802"/>
      <c r="DE55" s="802"/>
      <c r="DF55" s="863"/>
    </row>
    <row r="56" spans="1:110" s="8" customFormat="1" ht="12.75" customHeight="1">
      <c r="A56" s="24"/>
      <c r="B56" s="24"/>
      <c r="C56" s="24"/>
      <c r="D56" s="24"/>
      <c r="E56" s="24"/>
      <c r="F56" s="24"/>
      <c r="G56" s="24"/>
      <c r="H56" s="24"/>
      <c r="I56" s="190" t="s">
        <v>240</v>
      </c>
      <c r="J56" s="79"/>
      <c r="K56" s="79"/>
      <c r="P56" s="245"/>
      <c r="T56" s="245"/>
      <c r="X56" s="245"/>
      <c r="AB56" s="245"/>
      <c r="AC56" s="289"/>
      <c r="AD56" s="289"/>
      <c r="AE56" s="289"/>
      <c r="AF56" s="953"/>
      <c r="AG56" s="713">
        <f>+'Bookings and Drivers'!AG86-AG29</f>
        <v>266.315</v>
      </c>
      <c r="AH56" s="713">
        <f>+'Bookings and Drivers'!AH86-AH29</f>
        <v>318.06599999999997</v>
      </c>
      <c r="AI56" s="713">
        <f>+'Bookings and Drivers'!AI86-AI29</f>
        <v>302.762</v>
      </c>
      <c r="AJ56" s="723">
        <f>+'Bookings and Drivers'!AJ86-AJ29</f>
        <v>251.34</v>
      </c>
      <c r="AK56" s="713">
        <f>+'Bookings and Drivers'!AK86-AK29</f>
        <v>287.96300000000002</v>
      </c>
      <c r="AL56" s="713">
        <f>+'Bookings and Drivers'!AL86-AL29</f>
        <v>315.65100000000001</v>
      </c>
      <c r="AM56" s="713">
        <f>+'Bookings and Drivers'!AM86-AM29</f>
        <v>348.06400000000002</v>
      </c>
      <c r="AN56" s="723">
        <f>+'Bookings and Drivers'!AN86-AN29</f>
        <v>279.233</v>
      </c>
      <c r="AO56" s="713">
        <f>+'Bookings and Drivers'!AO86-AO29</f>
        <v>363.89299999999997</v>
      </c>
      <c r="AP56" s="713">
        <f>+'Bookings and Drivers'!AP86-AP29</f>
        <v>428.99</v>
      </c>
      <c r="AQ56" s="713">
        <f>+'Bookings and Drivers'!AQ86-AQ29</f>
        <v>414.334</v>
      </c>
      <c r="AR56" s="723">
        <f>+'Bookings and Drivers'!AR86-AR29</f>
        <v>335.589</v>
      </c>
      <c r="AS56" s="713">
        <f>+'Bookings and Drivers'!AS86-AS29</f>
        <v>415.81799999999998</v>
      </c>
      <c r="AT56" s="713">
        <f>+'Bookings and Drivers'!AT86-AT29</f>
        <v>497.68999999999994</v>
      </c>
      <c r="AU56" s="713">
        <f>+'Bookings and Drivers'!AU86-AU29</f>
        <v>514.51499999999999</v>
      </c>
      <c r="AV56" s="723">
        <f>+'Bookings and Drivers'!AV86-AV29</f>
        <v>415.65899999999999</v>
      </c>
      <c r="AW56" s="713">
        <f>+'Bookings and Drivers'!AW86-AW29</f>
        <v>433.88679999999999</v>
      </c>
      <c r="AX56" s="713">
        <f>+'Bookings and Drivers'!AX86-AX29-AX35</f>
        <v>529.76600000000008</v>
      </c>
      <c r="AY56" s="713">
        <f>+'Bookings and Drivers'!AY86-AY29-AY35</f>
        <v>546.13600000000008</v>
      </c>
      <c r="AZ56" s="723">
        <f>+'Bookings and Drivers'!AZ86-AZ29-AZ35</f>
        <v>437.67499999999995</v>
      </c>
      <c r="BA56" s="713">
        <f t="shared" ref="BA56:BN56" si="95">BA86-BA29-BA35</f>
        <v>442.36495999999994</v>
      </c>
      <c r="BB56" s="713">
        <f t="shared" si="95"/>
        <v>563.45005000000003</v>
      </c>
      <c r="BC56" s="713">
        <f t="shared" si="95"/>
        <v>543.69200000000001</v>
      </c>
      <c r="BD56" s="723">
        <f t="shared" si="95"/>
        <v>426.84999999999991</v>
      </c>
      <c r="BE56" s="713">
        <f t="shared" si="95"/>
        <v>433.22043200000002</v>
      </c>
      <c r="BF56" s="713">
        <f t="shared" si="95"/>
        <v>472.36508500000002</v>
      </c>
      <c r="BG56" s="713">
        <f t="shared" si="95"/>
        <v>427.33696000000009</v>
      </c>
      <c r="BH56" s="723">
        <f t="shared" si="95"/>
        <v>419.70999999999992</v>
      </c>
      <c r="BI56" s="713">
        <f t="shared" si="95"/>
        <v>430.38502208000011</v>
      </c>
      <c r="BJ56" s="713">
        <f t="shared" si="95"/>
        <v>469.54762750000009</v>
      </c>
      <c r="BK56" s="713">
        <f t="shared" si="95"/>
        <v>348.30049280000014</v>
      </c>
      <c r="BL56" s="723">
        <f t="shared" si="95"/>
        <v>406.5709999999998</v>
      </c>
      <c r="BM56" s="921">
        <f t="shared" si="95"/>
        <v>380.66648870400013</v>
      </c>
      <c r="BN56" s="713">
        <f t="shared" si="95"/>
        <v>390.21191575000006</v>
      </c>
      <c r="BO56" s="713">
        <f t="shared" ref="BO56:BT56" si="96">BO86-BO29-BO35</f>
        <v>198.26270464000004</v>
      </c>
      <c r="BP56" s="713">
        <f t="shared" si="96"/>
        <v>205.46479999999974</v>
      </c>
      <c r="BQ56" s="921">
        <f t="shared" si="96"/>
        <v>206.99978644480024</v>
      </c>
      <c r="BR56" s="713">
        <f t="shared" si="96"/>
        <v>213.85429890000017</v>
      </c>
      <c r="BS56" s="713">
        <f t="shared" si="96"/>
        <v>123.82220057600011</v>
      </c>
      <c r="BT56" s="723">
        <f t="shared" si="96"/>
        <v>28.99777999999958</v>
      </c>
      <c r="BU56" s="921">
        <f t="shared" ref="BU56:CF56" si="97">+BQ56*(1+BU57)</f>
        <v>103.49989322240012</v>
      </c>
      <c r="BV56" s="713">
        <f t="shared" si="97"/>
        <v>106.92714945000009</v>
      </c>
      <c r="BW56" s="713">
        <f t="shared" si="97"/>
        <v>68.102210316800068</v>
      </c>
      <c r="BX56" s="723">
        <f t="shared" si="97"/>
        <v>20.298445999999704</v>
      </c>
      <c r="BY56" s="921">
        <f t="shared" si="97"/>
        <v>72.449925255680071</v>
      </c>
      <c r="BZ56" s="713">
        <f t="shared" si="97"/>
        <v>74.849004615000055</v>
      </c>
      <c r="CA56" s="713">
        <f t="shared" si="97"/>
        <v>47.671547221760044</v>
      </c>
      <c r="CB56" s="723">
        <f t="shared" si="97"/>
        <v>14.208912199999791</v>
      </c>
      <c r="CC56" s="921">
        <f t="shared" si="97"/>
        <v>57.959940204544061</v>
      </c>
      <c r="CD56" s="713">
        <f t="shared" si="97"/>
        <v>59.879203692000047</v>
      </c>
      <c r="CE56" s="713">
        <f>+CA56*(1+CE57)</f>
        <v>38.137237777408039</v>
      </c>
      <c r="CF56" s="723">
        <f t="shared" si="97"/>
        <v>11.367129759999834</v>
      </c>
      <c r="CG56" s="245"/>
      <c r="CH56" s="178"/>
      <c r="CM56" s="713">
        <f>+'Bookings and Drivers'!CM86-CM29</f>
        <v>1138.4829999999999</v>
      </c>
      <c r="CN56" s="713">
        <f>+'Bookings and Drivers'!CN86-CN29</f>
        <v>1244.3110000000001</v>
      </c>
      <c r="CO56" s="713">
        <f>+'Bookings and Drivers'!CO86-CO29</f>
        <v>1542.8059999999998</v>
      </c>
      <c r="CP56" s="713">
        <f>+'Bookings and Drivers'!CP86-CP29</f>
        <v>1843.6819999999998</v>
      </c>
      <c r="CQ56" s="713">
        <f>+SUM(AW56:AZ56)</f>
        <v>1947.4638000000002</v>
      </c>
      <c r="CR56" s="713">
        <f>+SUM(BA56:BD56)</f>
        <v>1976.3570099999999</v>
      </c>
      <c r="CS56" s="713">
        <f>+SUM(BE56:BH56)</f>
        <v>1752.6324770000001</v>
      </c>
      <c r="CT56" s="713">
        <f>+SUM(BI56:BL56)</f>
        <v>1654.80414238</v>
      </c>
      <c r="CU56" s="713">
        <f>+SUM(BM56:BP56)</f>
        <v>1174.605909094</v>
      </c>
      <c r="CV56" s="713">
        <f>+SUM(BQ56:BT56)</f>
        <v>573.6740659208001</v>
      </c>
      <c r="CW56" s="713">
        <f>+SUM(BU56:BX56)</f>
        <v>298.82769898919997</v>
      </c>
      <c r="CX56" s="713">
        <f>+SUM(BY56:CB56)</f>
        <v>209.17938929243996</v>
      </c>
      <c r="CY56" s="713">
        <f>+SUM(CC56:CF56)</f>
        <v>167.34351143395199</v>
      </c>
      <c r="CZ56" s="713">
        <f t="shared" ref="CZ56:DF56" si="98">+CY56*(1+CZ57)</f>
        <v>133.87480914716159</v>
      </c>
      <c r="DA56" s="713">
        <f t="shared" si="98"/>
        <v>107.09984731772927</v>
      </c>
      <c r="DB56" s="713">
        <f t="shared" si="98"/>
        <v>96.389862585956351</v>
      </c>
      <c r="DC56" s="713">
        <f t="shared" si="98"/>
        <v>86.750876327360714</v>
      </c>
      <c r="DD56" s="713">
        <f t="shared" si="98"/>
        <v>78.075788694624649</v>
      </c>
      <c r="DE56" s="713">
        <f t="shared" si="98"/>
        <v>70.268209825162188</v>
      </c>
      <c r="DF56" s="723">
        <f t="shared" si="98"/>
        <v>63.241388842645968</v>
      </c>
    </row>
    <row r="57" spans="1:110" ht="12.75" customHeight="1">
      <c r="I57" s="185" t="s">
        <v>376</v>
      </c>
      <c r="J57" s="70"/>
      <c r="K57" s="70"/>
      <c r="P57" s="234"/>
      <c r="T57" s="234"/>
      <c r="X57" s="234"/>
      <c r="AB57" s="234"/>
      <c r="AF57" s="249"/>
      <c r="AG57" s="1199"/>
      <c r="AH57" s="1199"/>
      <c r="AI57" s="1199"/>
      <c r="AJ57" s="1200"/>
      <c r="AK57" s="1199">
        <f t="shared" ref="AK57:BD57" si="99">+AK56/AG56-1</f>
        <v>8.128719749169222E-2</v>
      </c>
      <c r="AL57" s="1199">
        <f t="shared" si="99"/>
        <v>-7.5927637660107017E-3</v>
      </c>
      <c r="AM57" s="1199">
        <f t="shared" si="99"/>
        <v>0.14962908158883881</v>
      </c>
      <c r="AN57" s="1200">
        <f t="shared" si="99"/>
        <v>0.11097716240948508</v>
      </c>
      <c r="AO57" s="1199">
        <f t="shared" si="99"/>
        <v>0.26367970885148417</v>
      </c>
      <c r="AP57" s="1199">
        <f t="shared" si="99"/>
        <v>0.35906428302143811</v>
      </c>
      <c r="AQ57" s="1199">
        <f t="shared" si="99"/>
        <v>0.19039601912291992</v>
      </c>
      <c r="AR57" s="1200">
        <f t="shared" si="99"/>
        <v>0.20182428294649979</v>
      </c>
      <c r="AS57" s="1199">
        <f t="shared" si="99"/>
        <v>0.14269304438392605</v>
      </c>
      <c r="AT57" s="1199">
        <f t="shared" si="99"/>
        <v>0.16014359309074777</v>
      </c>
      <c r="AU57" s="1199">
        <f t="shared" si="99"/>
        <v>0.24178802608523564</v>
      </c>
      <c r="AV57" s="1200">
        <f t="shared" si="99"/>
        <v>0.23859542476064477</v>
      </c>
      <c r="AW57" s="1199">
        <f t="shared" si="99"/>
        <v>4.3453626346141805E-2</v>
      </c>
      <c r="AX57" s="1199">
        <f t="shared" si="99"/>
        <v>6.4449757881412495E-2</v>
      </c>
      <c r="AY57" s="1199">
        <f t="shared" si="99"/>
        <v>6.1457877807255645E-2</v>
      </c>
      <c r="AZ57" s="1200">
        <f t="shared" si="99"/>
        <v>5.296649416949939E-2</v>
      </c>
      <c r="BA57" s="1199">
        <f t="shared" si="99"/>
        <v>1.9540027491041334E-2</v>
      </c>
      <c r="BB57" s="1199">
        <f t="shared" si="99"/>
        <v>6.3582883763774856E-2</v>
      </c>
      <c r="BC57" s="1199">
        <f t="shared" si="99"/>
        <v>-4.4750758052940487E-3</v>
      </c>
      <c r="BD57" s="1200">
        <f t="shared" si="99"/>
        <v>-2.4732963957274312E-2</v>
      </c>
      <c r="BE57" s="1199">
        <f t="shared" ref="BE57:BQ57" si="100">+BE56/BA56-1</f>
        <v>-2.0671908552612139E-2</v>
      </c>
      <c r="BF57" s="1199">
        <f t="shared" si="100"/>
        <v>-0.1616557936235874</v>
      </c>
      <c r="BG57" s="1199">
        <f t="shared" si="100"/>
        <v>-0.21400910809796703</v>
      </c>
      <c r="BH57" s="1200">
        <f t="shared" si="100"/>
        <v>-1.6727187536605292E-2</v>
      </c>
      <c r="BI57" s="1199">
        <f t="shared" si="100"/>
        <v>-6.5449588951980164E-3</v>
      </c>
      <c r="BJ57" s="1199">
        <f t="shared" si="100"/>
        <v>-5.9645761074824666E-3</v>
      </c>
      <c r="BK57" s="1199">
        <f t="shared" si="100"/>
        <v>-0.18495116172492998</v>
      </c>
      <c r="BL57" s="1200">
        <f t="shared" si="100"/>
        <v>-3.1304948655023979E-2</v>
      </c>
      <c r="BM57" s="1262">
        <f t="shared" si="100"/>
        <v>-0.11552105864585194</v>
      </c>
      <c r="BN57" s="1199">
        <f t="shared" si="100"/>
        <v>-0.16896201173969305</v>
      </c>
      <c r="BO57" s="1199">
        <f>+BO56/BK56-1</f>
        <v>-0.43077110501291849</v>
      </c>
      <c r="BP57" s="1199">
        <f t="shared" si="100"/>
        <v>-0.4946398046097733</v>
      </c>
      <c r="BQ57" s="1262">
        <f t="shared" si="100"/>
        <v>-0.45621746965554466</v>
      </c>
      <c r="BR57" s="1199">
        <f>+BR56/BN56-1</f>
        <v>-0.45195343794418674</v>
      </c>
      <c r="BS57" s="1199">
        <f>+BS56/BO56-1</f>
        <v>-0.37546397946687426</v>
      </c>
      <c r="BT57" s="1200">
        <f>+BT56/BP56-1</f>
        <v>-0.85886740697190167</v>
      </c>
      <c r="BU57" s="1691">
        <v>-0.5</v>
      </c>
      <c r="BV57" s="770">
        <v>-0.5</v>
      </c>
      <c r="BW57" s="770">
        <v>-0.45</v>
      </c>
      <c r="BX57" s="779">
        <v>-0.3</v>
      </c>
      <c r="BY57" s="770">
        <v>-0.3</v>
      </c>
      <c r="BZ57" s="770">
        <v>-0.3</v>
      </c>
      <c r="CA57" s="770">
        <v>-0.3</v>
      </c>
      <c r="CB57" s="779">
        <v>-0.3</v>
      </c>
      <c r="CC57" s="1369">
        <v>-0.2</v>
      </c>
      <c r="CD57" s="1321">
        <v>-0.2</v>
      </c>
      <c r="CE57" s="1321">
        <v>-0.2</v>
      </c>
      <c r="CF57" s="1320">
        <v>-0.2</v>
      </c>
      <c r="CG57" s="234"/>
      <c r="CH57" s="160"/>
      <c r="CM57" s="1199"/>
      <c r="CN57" s="1199">
        <f t="shared" ref="CN57:CY57" si="101">+CN56/CM56-1</f>
        <v>9.2955274694483947E-2</v>
      </c>
      <c r="CO57" s="1199">
        <f t="shared" si="101"/>
        <v>0.23988777725182819</v>
      </c>
      <c r="CP57" s="1199">
        <f t="shared" si="101"/>
        <v>0.19501868673054168</v>
      </c>
      <c r="CQ57" s="1199">
        <f t="shared" si="101"/>
        <v>5.6290509968639046E-2</v>
      </c>
      <c r="CR57" s="1199">
        <f t="shared" si="101"/>
        <v>1.4836327124539972E-2</v>
      </c>
      <c r="CS57" s="1199">
        <f t="shared" si="101"/>
        <v>-0.11320046523375848</v>
      </c>
      <c r="CT57" s="1199">
        <f t="shared" si="101"/>
        <v>-5.5817940100855501E-2</v>
      </c>
      <c r="CU57" s="1199">
        <f t="shared" si="101"/>
        <v>-0.29018433117732068</v>
      </c>
      <c r="CV57" s="1199">
        <f t="shared" si="101"/>
        <v>-0.51160294573753018</v>
      </c>
      <c r="CW57" s="1199">
        <f t="shared" si="101"/>
        <v>-0.47909846942522361</v>
      </c>
      <c r="CX57" s="1199">
        <f t="shared" si="101"/>
        <v>-0.30000000000000004</v>
      </c>
      <c r="CY57" s="1199">
        <f t="shared" si="101"/>
        <v>-0.19999999999999996</v>
      </c>
      <c r="CZ57" s="1321">
        <f>+CY57</f>
        <v>-0.19999999999999996</v>
      </c>
      <c r="DA57" s="1321">
        <f>+CZ57</f>
        <v>-0.19999999999999996</v>
      </c>
      <c r="DB57" s="1321">
        <v>-0.1</v>
      </c>
      <c r="DC57" s="1321">
        <v>-0.1</v>
      </c>
      <c r="DD57" s="1321">
        <v>-0.1</v>
      </c>
      <c r="DE57" s="1321">
        <v>-0.1</v>
      </c>
      <c r="DF57" s="1320">
        <v>-0.1</v>
      </c>
    </row>
    <row r="58" spans="1:110" ht="12.75" customHeight="1">
      <c r="I58" s="193" t="s">
        <v>234</v>
      </c>
      <c r="J58" s="70"/>
      <c r="K58" s="70"/>
      <c r="P58" s="234"/>
      <c r="T58" s="234"/>
      <c r="X58" s="234"/>
      <c r="AB58" s="234"/>
      <c r="AF58" s="249"/>
      <c r="AG58" s="1199"/>
      <c r="AH58" s="1199"/>
      <c r="AI58" s="1199"/>
      <c r="AJ58" s="1200"/>
      <c r="AK58" s="1199"/>
      <c r="AL58" s="1199"/>
      <c r="AM58" s="1199"/>
      <c r="AN58" s="1200"/>
      <c r="AO58" s="1263">
        <f t="shared" ref="AO58:CF58" si="102">+AO57+AK57</f>
        <v>0.34496690634317639</v>
      </c>
      <c r="AP58" s="64">
        <f t="shared" si="102"/>
        <v>0.35147151925542741</v>
      </c>
      <c r="AQ58" s="64">
        <f t="shared" si="102"/>
        <v>0.34002510071175873</v>
      </c>
      <c r="AR58" s="180">
        <f t="shared" si="102"/>
        <v>0.31280144535598486</v>
      </c>
      <c r="AS58" s="1263">
        <f t="shared" si="102"/>
        <v>0.40637275323541022</v>
      </c>
      <c r="AT58" s="64">
        <f t="shared" si="102"/>
        <v>0.51920787611218588</v>
      </c>
      <c r="AU58" s="64">
        <f t="shared" si="102"/>
        <v>0.43218404520815557</v>
      </c>
      <c r="AV58" s="180">
        <f t="shared" si="102"/>
        <v>0.44041970770714456</v>
      </c>
      <c r="AW58" s="1263">
        <f t="shared" si="102"/>
        <v>0.18614667073006785</v>
      </c>
      <c r="AX58" s="64">
        <f t="shared" si="102"/>
        <v>0.22459335097216027</v>
      </c>
      <c r="AY58" s="64">
        <f t="shared" si="102"/>
        <v>0.30324590389249129</v>
      </c>
      <c r="AZ58" s="180">
        <f t="shared" si="102"/>
        <v>0.29156191893014416</v>
      </c>
      <c r="BA58" s="1263">
        <f t="shared" si="102"/>
        <v>6.2993653837183139E-2</v>
      </c>
      <c r="BB58" s="64">
        <f t="shared" si="102"/>
        <v>0.12803264164518735</v>
      </c>
      <c r="BC58" s="64">
        <f t="shared" si="102"/>
        <v>5.6982802001961597E-2</v>
      </c>
      <c r="BD58" s="180">
        <f t="shared" si="102"/>
        <v>2.8233530212225078E-2</v>
      </c>
      <c r="BE58" s="1263">
        <f t="shared" si="102"/>
        <v>-1.1318810615708053E-3</v>
      </c>
      <c r="BF58" s="64">
        <f t="shared" si="102"/>
        <v>-9.807290985981254E-2</v>
      </c>
      <c r="BG58" s="64">
        <f t="shared" si="102"/>
        <v>-0.21848418390326108</v>
      </c>
      <c r="BH58" s="180">
        <f t="shared" si="102"/>
        <v>-4.1460151493879605E-2</v>
      </c>
      <c r="BI58" s="1263">
        <f t="shared" si="102"/>
        <v>-2.7216867447810156E-2</v>
      </c>
      <c r="BJ58" s="64">
        <f t="shared" si="102"/>
        <v>-0.16762036973106986</v>
      </c>
      <c r="BK58" s="64">
        <f>+BK57+BG57</f>
        <v>-0.39896026982289701</v>
      </c>
      <c r="BL58" s="180">
        <f t="shared" si="102"/>
        <v>-4.8032136191629271E-2</v>
      </c>
      <c r="BM58" s="1263">
        <f t="shared" ref="BM58:BR58" si="103">+BM57+BI57</f>
        <v>-0.12206601754104995</v>
      </c>
      <c r="BN58" s="64">
        <f t="shared" si="103"/>
        <v>-0.17492658784717552</v>
      </c>
      <c r="BO58" s="64">
        <f t="shared" si="103"/>
        <v>-0.61572226673784847</v>
      </c>
      <c r="BP58" s="64">
        <f t="shared" si="103"/>
        <v>-0.52594475326479728</v>
      </c>
      <c r="BQ58" s="1263">
        <f t="shared" si="103"/>
        <v>-0.5717385283013966</v>
      </c>
      <c r="BR58" s="64">
        <f t="shared" si="103"/>
        <v>-0.62091544968387979</v>
      </c>
      <c r="BS58" s="64">
        <f t="shared" si="102"/>
        <v>-0.80623508447979275</v>
      </c>
      <c r="BT58" s="180">
        <f t="shared" si="102"/>
        <v>-1.3535072115816749</v>
      </c>
      <c r="BU58" s="1263">
        <f t="shared" si="102"/>
        <v>-0.95621746965554466</v>
      </c>
      <c r="BV58" s="64">
        <f t="shared" si="102"/>
        <v>-0.95195343794418674</v>
      </c>
      <c r="BW58" s="64">
        <f t="shared" si="102"/>
        <v>-0.82546397946687433</v>
      </c>
      <c r="BX58" s="180">
        <f t="shared" si="102"/>
        <v>-1.1588674069719016</v>
      </c>
      <c r="BY58" s="1263">
        <f t="shared" si="102"/>
        <v>-0.8</v>
      </c>
      <c r="BZ58" s="64">
        <f t="shared" si="102"/>
        <v>-0.8</v>
      </c>
      <c r="CA58" s="64">
        <f t="shared" si="102"/>
        <v>-0.75</v>
      </c>
      <c r="CB58" s="180">
        <f t="shared" si="102"/>
        <v>-0.6</v>
      </c>
      <c r="CC58" s="1263">
        <f t="shared" si="102"/>
        <v>-0.5</v>
      </c>
      <c r="CD58" s="64">
        <f t="shared" si="102"/>
        <v>-0.5</v>
      </c>
      <c r="CE58" s="64">
        <f t="shared" si="102"/>
        <v>-0.5</v>
      </c>
      <c r="CF58" s="180">
        <f t="shared" si="102"/>
        <v>-0.5</v>
      </c>
      <c r="CG58" s="234"/>
      <c r="CH58" s="160"/>
      <c r="CM58" s="1199"/>
      <c r="CN58" s="1199"/>
      <c r="CO58" s="1199">
        <f t="shared" ref="CO58:CY58" si="104">+CO57+CN57</f>
        <v>0.33284305194631214</v>
      </c>
      <c r="CP58" s="1199">
        <f t="shared" si="104"/>
        <v>0.43490646398236987</v>
      </c>
      <c r="CQ58" s="1199">
        <f t="shared" si="104"/>
        <v>0.25130919669918073</v>
      </c>
      <c r="CR58" s="1199">
        <f t="shared" si="104"/>
        <v>7.1126837093179018E-2</v>
      </c>
      <c r="CS58" s="1199">
        <f t="shared" si="104"/>
        <v>-9.8364138109218513E-2</v>
      </c>
      <c r="CT58" s="1199">
        <f t="shared" si="104"/>
        <v>-0.16901840533461399</v>
      </c>
      <c r="CU58" s="1199">
        <f t="shared" si="104"/>
        <v>-0.34600227127817618</v>
      </c>
      <c r="CV58" s="1199">
        <f t="shared" si="104"/>
        <v>-0.80178727691485085</v>
      </c>
      <c r="CW58" s="1199">
        <f t="shared" si="104"/>
        <v>-0.99070141516275378</v>
      </c>
      <c r="CX58" s="1199">
        <f>+CX57+CW57</f>
        <v>-0.77909846942522365</v>
      </c>
      <c r="CY58" s="64">
        <f t="shared" si="104"/>
        <v>-0.5</v>
      </c>
      <c r="CZ58" s="1199">
        <f t="shared" ref="CZ58:DF58" si="105">+CZ57+CY57</f>
        <v>-0.39999999999999991</v>
      </c>
      <c r="DA58" s="1199">
        <f t="shared" si="105"/>
        <v>-0.39999999999999991</v>
      </c>
      <c r="DB58" s="1199">
        <f t="shared" si="105"/>
        <v>-0.29999999999999993</v>
      </c>
      <c r="DC58" s="1199">
        <f t="shared" si="105"/>
        <v>-0.2</v>
      </c>
      <c r="DD58" s="1199">
        <f t="shared" si="105"/>
        <v>-0.2</v>
      </c>
      <c r="DE58" s="1199">
        <f t="shared" si="105"/>
        <v>-0.2</v>
      </c>
      <c r="DF58" s="1200">
        <f t="shared" si="105"/>
        <v>-0.2</v>
      </c>
    </row>
    <row r="59" spans="1:110" ht="12.75" customHeight="1">
      <c r="A59" s="12"/>
      <c r="B59" s="13"/>
      <c r="C59" s="13"/>
      <c r="D59" s="13"/>
      <c r="E59" s="13"/>
      <c r="F59" s="12"/>
      <c r="G59" s="12"/>
      <c r="H59" s="12"/>
      <c r="I59" s="185" t="s">
        <v>386</v>
      </c>
      <c r="J59" s="70"/>
      <c r="K59" s="70"/>
      <c r="P59" s="234"/>
      <c r="T59" s="234"/>
      <c r="X59" s="234"/>
      <c r="AB59" s="234"/>
      <c r="AF59" s="249"/>
      <c r="AG59" s="64"/>
      <c r="AH59" s="64"/>
      <c r="AI59" s="64"/>
      <c r="AJ59" s="180"/>
      <c r="AK59" s="800">
        <f t="shared" ref="AK59:CF59" si="106">+AK56-AG56</f>
        <v>21.648000000000025</v>
      </c>
      <c r="AL59" s="800">
        <f t="shared" si="106"/>
        <v>-2.4149999999999636</v>
      </c>
      <c r="AM59" s="800">
        <f t="shared" si="106"/>
        <v>45.302000000000021</v>
      </c>
      <c r="AN59" s="849">
        <f t="shared" si="106"/>
        <v>27.893000000000001</v>
      </c>
      <c r="AO59" s="800">
        <f t="shared" si="106"/>
        <v>75.92999999999995</v>
      </c>
      <c r="AP59" s="800">
        <f t="shared" si="106"/>
        <v>113.339</v>
      </c>
      <c r="AQ59" s="800">
        <f t="shared" si="106"/>
        <v>66.269999999999982</v>
      </c>
      <c r="AR59" s="849">
        <f t="shared" si="106"/>
        <v>56.355999999999995</v>
      </c>
      <c r="AS59" s="800">
        <f t="shared" si="106"/>
        <v>51.925000000000011</v>
      </c>
      <c r="AT59" s="800">
        <f t="shared" si="106"/>
        <v>68.699999999999932</v>
      </c>
      <c r="AU59" s="800">
        <f t="shared" si="106"/>
        <v>100.18099999999998</v>
      </c>
      <c r="AV59" s="849">
        <f t="shared" si="106"/>
        <v>80.069999999999993</v>
      </c>
      <c r="AW59" s="800">
        <f t="shared" si="106"/>
        <v>18.06880000000001</v>
      </c>
      <c r="AX59" s="800">
        <f t="shared" si="106"/>
        <v>32.076000000000136</v>
      </c>
      <c r="AY59" s="800">
        <f t="shared" si="106"/>
        <v>31.621000000000095</v>
      </c>
      <c r="AZ59" s="849">
        <f t="shared" si="106"/>
        <v>22.015999999999963</v>
      </c>
      <c r="BA59" s="800">
        <f t="shared" si="106"/>
        <v>8.4781599999999457</v>
      </c>
      <c r="BB59" s="800">
        <f t="shared" si="106"/>
        <v>33.684049999999957</v>
      </c>
      <c r="BC59" s="800">
        <f t="shared" si="106"/>
        <v>-2.4440000000000737</v>
      </c>
      <c r="BD59" s="849">
        <f t="shared" si="106"/>
        <v>-10.825000000000045</v>
      </c>
      <c r="BE59" s="800">
        <f t="shared" si="106"/>
        <v>-9.1445279999999229</v>
      </c>
      <c r="BF59" s="800">
        <f t="shared" si="106"/>
        <v>-91.084965000000011</v>
      </c>
      <c r="BG59" s="800">
        <f t="shared" si="106"/>
        <v>-116.35503999999992</v>
      </c>
      <c r="BH59" s="849">
        <f t="shared" si="106"/>
        <v>-7.1399999999999864</v>
      </c>
      <c r="BI59" s="800">
        <f t="shared" si="106"/>
        <v>-2.8354099199999041</v>
      </c>
      <c r="BJ59" s="800">
        <f t="shared" si="106"/>
        <v>-2.8174574999999322</v>
      </c>
      <c r="BK59" s="800">
        <f t="shared" si="106"/>
        <v>-79.036467199999947</v>
      </c>
      <c r="BL59" s="849">
        <f t="shared" si="106"/>
        <v>-13.139000000000124</v>
      </c>
      <c r="BM59" s="934">
        <f t="shared" si="106"/>
        <v>-49.718533375999982</v>
      </c>
      <c r="BN59" s="800">
        <f t="shared" si="106"/>
        <v>-79.33571175000003</v>
      </c>
      <c r="BO59" s="800">
        <f t="shared" si="106"/>
        <v>-150.0377881600001</v>
      </c>
      <c r="BP59" s="800">
        <f t="shared" si="106"/>
        <v>-201.10620000000006</v>
      </c>
      <c r="BQ59" s="934">
        <f t="shared" si="106"/>
        <v>-173.66670225919989</v>
      </c>
      <c r="BR59" s="800">
        <f t="shared" si="106"/>
        <v>-176.35761684999989</v>
      </c>
      <c r="BS59" s="800">
        <f t="shared" si="106"/>
        <v>-74.440504063999924</v>
      </c>
      <c r="BT59" s="849">
        <f t="shared" si="106"/>
        <v>-176.46702000000016</v>
      </c>
      <c r="BU59" s="934">
        <f t="shared" si="106"/>
        <v>-103.49989322240012</v>
      </c>
      <c r="BV59" s="800">
        <f t="shared" si="106"/>
        <v>-106.92714945000009</v>
      </c>
      <c r="BW59" s="800">
        <f t="shared" si="106"/>
        <v>-55.719990259200046</v>
      </c>
      <c r="BX59" s="849">
        <f t="shared" si="106"/>
        <v>-8.699333999999876</v>
      </c>
      <c r="BY59" s="934">
        <f t="shared" si="106"/>
        <v>-31.049967966720047</v>
      </c>
      <c r="BZ59" s="800">
        <f t="shared" si="106"/>
        <v>-32.078144835000032</v>
      </c>
      <c r="CA59" s="800">
        <f t="shared" si="106"/>
        <v>-20.430663095040025</v>
      </c>
      <c r="CB59" s="849">
        <f t="shared" si="106"/>
        <v>-6.0895337999999128</v>
      </c>
      <c r="CC59" s="934">
        <f t="shared" si="106"/>
        <v>-14.48998505113601</v>
      </c>
      <c r="CD59" s="800">
        <f t="shared" si="106"/>
        <v>-14.969800923000008</v>
      </c>
      <c r="CE59" s="800">
        <f t="shared" si="106"/>
        <v>-9.5343094443520044</v>
      </c>
      <c r="CF59" s="849">
        <f t="shared" si="106"/>
        <v>-2.8417824399999567</v>
      </c>
      <c r="CG59" s="234"/>
      <c r="CH59" s="160"/>
      <c r="CM59" s="64"/>
      <c r="CN59" s="800">
        <f t="shared" ref="CN59:CY59" si="107">+CN56-CM56</f>
        <v>105.8280000000002</v>
      </c>
      <c r="CO59" s="800">
        <f t="shared" si="107"/>
        <v>298.49499999999966</v>
      </c>
      <c r="CP59" s="800">
        <f t="shared" si="107"/>
        <v>300.87599999999998</v>
      </c>
      <c r="CQ59" s="800">
        <f t="shared" si="107"/>
        <v>103.78180000000043</v>
      </c>
      <c r="CR59" s="800">
        <f t="shared" si="107"/>
        <v>28.893209999999726</v>
      </c>
      <c r="CS59" s="800">
        <f t="shared" si="107"/>
        <v>-223.72453299999984</v>
      </c>
      <c r="CT59" s="800">
        <f t="shared" si="107"/>
        <v>-97.828334620000078</v>
      </c>
      <c r="CU59" s="800">
        <f>+CU56-CT56</f>
        <v>-480.198233286</v>
      </c>
      <c r="CV59" s="800">
        <f>+CV56-CU56</f>
        <v>-600.93184317319992</v>
      </c>
      <c r="CW59" s="800">
        <f>+CW56-CV56</f>
        <v>-274.84636693160013</v>
      </c>
      <c r="CX59" s="800">
        <f>+CX56-CW56</f>
        <v>-89.648309696760009</v>
      </c>
      <c r="CY59" s="800">
        <f t="shared" si="107"/>
        <v>-41.835877858487976</v>
      </c>
      <c r="CZ59" s="800">
        <f>+CZ56-CY56</f>
        <v>-33.468702286790403</v>
      </c>
      <c r="DA59" s="800">
        <f t="shared" ref="DA59:DF59" si="108">+DA56-CZ56</f>
        <v>-26.774961829432314</v>
      </c>
      <c r="DB59" s="800">
        <f t="shared" si="108"/>
        <v>-10.70998473177292</v>
      </c>
      <c r="DC59" s="800">
        <f t="shared" si="108"/>
        <v>-9.6389862585956365</v>
      </c>
      <c r="DD59" s="800">
        <f t="shared" si="108"/>
        <v>-8.6750876327360658</v>
      </c>
      <c r="DE59" s="800">
        <f t="shared" si="108"/>
        <v>-7.8075788694624606</v>
      </c>
      <c r="DF59" s="849">
        <f t="shared" si="108"/>
        <v>-7.0268209825162202</v>
      </c>
    </row>
    <row r="60" spans="1:110" ht="12.75" customHeight="1">
      <c r="A60" s="66"/>
      <c r="B60" s="66"/>
      <c r="C60" s="66"/>
      <c r="D60" s="66"/>
      <c r="E60" s="66"/>
      <c r="F60" s="66"/>
      <c r="G60" s="66"/>
      <c r="H60" s="709"/>
      <c r="I60" s="185" t="s">
        <v>241</v>
      </c>
      <c r="J60" s="70"/>
      <c r="K60" s="70"/>
      <c r="P60" s="234"/>
      <c r="T60" s="234"/>
      <c r="X60" s="234"/>
      <c r="AB60" s="234"/>
      <c r="AF60" s="249"/>
      <c r="AG60" s="64">
        <f t="shared" ref="AG60:BL60" si="109">+AG56/AG74</f>
        <v>0.56183769438004094</v>
      </c>
      <c r="AH60" s="64">
        <f t="shared" si="109"/>
        <v>0.55727043207529658</v>
      </c>
      <c r="AI60" s="64">
        <f t="shared" si="109"/>
        <v>0.599823279551146</v>
      </c>
      <c r="AJ60" s="180">
        <f t="shared" si="109"/>
        <v>0.59379976091137188</v>
      </c>
      <c r="AK60" s="64">
        <f t="shared" si="109"/>
        <v>0.60141140990618447</v>
      </c>
      <c r="AL60" s="64">
        <f t="shared" si="109"/>
        <v>0.57622944684704092</v>
      </c>
      <c r="AM60" s="64">
        <f t="shared" si="109"/>
        <v>0.57798258068265784</v>
      </c>
      <c r="AN60" s="180">
        <f t="shared" si="109"/>
        <v>0.53129453489633194</v>
      </c>
      <c r="AO60" s="64">
        <f t="shared" si="109"/>
        <v>0.50472836519790065</v>
      </c>
      <c r="AP60" s="64">
        <f t="shared" si="109"/>
        <v>0.49180083550770159</v>
      </c>
      <c r="AQ60" s="64">
        <f t="shared" si="109"/>
        <v>0.51819149375232143</v>
      </c>
      <c r="AR60" s="180">
        <f t="shared" si="109"/>
        <v>0.48712120222434163</v>
      </c>
      <c r="AS60" s="64">
        <f t="shared" si="109"/>
        <v>0.48853266788618316</v>
      </c>
      <c r="AT60" s="64">
        <f t="shared" si="109"/>
        <v>0.51602755520164567</v>
      </c>
      <c r="AU60" s="64">
        <f t="shared" si="109"/>
        <v>0.5151770024481459</v>
      </c>
      <c r="AV60" s="180">
        <f t="shared" si="109"/>
        <v>0.50020156850380804</v>
      </c>
      <c r="AW60" s="64">
        <f t="shared" si="109"/>
        <v>0.43855743670086411</v>
      </c>
      <c r="AX60" s="64">
        <f t="shared" si="109"/>
        <v>0.45911746378953072</v>
      </c>
      <c r="AY60" s="64">
        <f t="shared" si="109"/>
        <v>0.48718644067796618</v>
      </c>
      <c r="AZ60" s="180">
        <f t="shared" si="109"/>
        <v>0.48522727272727267</v>
      </c>
      <c r="BA60" s="64">
        <f t="shared" si="109"/>
        <v>0.39182015943312659</v>
      </c>
      <c r="BB60" s="64">
        <f t="shared" si="109"/>
        <v>0.43077220948012235</v>
      </c>
      <c r="BC60" s="64">
        <f t="shared" si="109"/>
        <v>0.42877917981072555</v>
      </c>
      <c r="BD60" s="180">
        <f t="shared" si="109"/>
        <v>0.40886015325670488</v>
      </c>
      <c r="BE60" s="64">
        <f t="shared" si="109"/>
        <v>0.34382573968253971</v>
      </c>
      <c r="BF60" s="64">
        <f t="shared" si="109"/>
        <v>0.34303927741466961</v>
      </c>
      <c r="BG60" s="64">
        <f t="shared" si="109"/>
        <v>0.31444956585724804</v>
      </c>
      <c r="BH60" s="180">
        <f t="shared" si="109"/>
        <v>0.38505504587155959</v>
      </c>
      <c r="BI60" s="64">
        <f t="shared" si="109"/>
        <v>0.31414965115328475</v>
      </c>
      <c r="BJ60" s="64">
        <f t="shared" si="109"/>
        <v>0.30529754713914181</v>
      </c>
      <c r="BK60" s="64">
        <f t="shared" si="109"/>
        <v>0.21960939016393452</v>
      </c>
      <c r="BL60" s="180">
        <f t="shared" si="109"/>
        <v>0.2948303118201594</v>
      </c>
      <c r="BM60" s="1263">
        <f t="shared" ref="BM60:CF60" si="110">+BM56/BM74</f>
        <v>0.23253908900671968</v>
      </c>
      <c r="BN60" s="64">
        <f t="shared" si="110"/>
        <v>0.21024348908943968</v>
      </c>
      <c r="BO60" s="64">
        <f t="shared" si="110"/>
        <v>0.11374796594377512</v>
      </c>
      <c r="BP60" s="64">
        <f t="shared" si="110"/>
        <v>0.14408471248246826</v>
      </c>
      <c r="BQ60" s="1263">
        <f t="shared" si="110"/>
        <v>0.1238037000267944</v>
      </c>
      <c r="BR60" s="64">
        <f t="shared" si="110"/>
        <v>0.11448302938972173</v>
      </c>
      <c r="BS60" s="64">
        <f t="shared" si="110"/>
        <v>7.2836588574117719E-2</v>
      </c>
      <c r="BT60" s="180">
        <f t="shared" si="110"/>
        <v>2.2018056188306438E-2</v>
      </c>
      <c r="BU60" s="1263">
        <f t="shared" si="110"/>
        <v>6.3082760902658436E-2</v>
      </c>
      <c r="BV60" s="64">
        <f t="shared" si="110"/>
        <v>5.6441290005456772E-2</v>
      </c>
      <c r="BW60" s="64">
        <f>+BW56/BW74</f>
        <v>3.6210968490479639E-2</v>
      </c>
      <c r="BX60" s="180">
        <f t="shared" si="110"/>
        <v>1.3875854874801835E-2</v>
      </c>
      <c r="BY60" s="1263">
        <f t="shared" si="110"/>
        <v>4.2958487262001875E-2</v>
      </c>
      <c r="BZ60" s="64">
        <f t="shared" si="110"/>
        <v>3.8349015981109069E-2</v>
      </c>
      <c r="CA60" s="64">
        <f t="shared" si="110"/>
        <v>2.4435591133851135E-2</v>
      </c>
      <c r="CB60" s="180">
        <f t="shared" si="110"/>
        <v>9.2935552578776431E-3</v>
      </c>
      <c r="CC60" s="1263">
        <f t="shared" si="110"/>
        <v>3.3068507691631034E-2</v>
      </c>
      <c r="CD60" s="64">
        <f t="shared" si="110"/>
        <v>2.9487540308111522E-2</v>
      </c>
      <c r="CE60" s="64">
        <f t="shared" si="110"/>
        <v>1.8726544239693992E-2</v>
      </c>
      <c r="CF60" s="180">
        <f t="shared" si="110"/>
        <v>7.0965068103305169E-3</v>
      </c>
      <c r="CG60" s="234"/>
      <c r="CH60" s="160"/>
      <c r="CM60" s="64">
        <f t="shared" ref="CM60:CW60" si="111">+CM56/CM74</f>
        <v>0.57709284819975781</v>
      </c>
      <c r="CN60" s="64">
        <f t="shared" si="111"/>
        <v>0.57757400638236156</v>
      </c>
      <c r="CO60" s="64">
        <f t="shared" si="111"/>
        <v>0.50062626713635616</v>
      </c>
      <c r="CP60" s="64">
        <f t="shared" si="111"/>
        <v>0.50576698500186124</v>
      </c>
      <c r="CQ60" s="64">
        <f t="shared" si="111"/>
        <v>0.46744041194087027</v>
      </c>
      <c r="CR60" s="64">
        <f t="shared" si="111"/>
        <v>0.41616277321541378</v>
      </c>
      <c r="CS60" s="64">
        <f t="shared" si="111"/>
        <v>0.34459938596146283</v>
      </c>
      <c r="CT60" s="64">
        <f t="shared" si="111"/>
        <v>0.2817647100936489</v>
      </c>
      <c r="CU60" s="64">
        <f t="shared" si="111"/>
        <v>0.17631430637856499</v>
      </c>
      <c r="CV60" s="64">
        <f t="shared" si="111"/>
        <v>8.7490325746652442E-2</v>
      </c>
      <c r="CW60" s="64">
        <f t="shared" si="111"/>
        <v>4.3442137284559243E-2</v>
      </c>
      <c r="CX60" s="64">
        <f>+CX56/CX74</f>
        <v>2.9386969105120075E-2</v>
      </c>
      <c r="CY60" s="64">
        <f>+CY56/CY74</f>
        <v>2.2547836598545951E-2</v>
      </c>
      <c r="CZ60" s="64">
        <f>+CZ56/CZ74</f>
        <v>1.7435211143170121E-2</v>
      </c>
      <c r="DA60" s="64">
        <f t="shared" ref="DA60:DF60" si="112">+DA56/DA74</f>
        <v>1.3594840353690954E-2</v>
      </c>
      <c r="DB60" s="64">
        <f t="shared" si="112"/>
        <v>1.2014663539459344E-2</v>
      </c>
      <c r="DC60" s="64">
        <f t="shared" si="112"/>
        <v>1.0616179573128316E-2</v>
      </c>
      <c r="DD60" s="64">
        <f t="shared" si="112"/>
        <v>9.3789312019183484E-3</v>
      </c>
      <c r="DE60" s="64">
        <f t="shared" si="112"/>
        <v>8.2846688651417016E-3</v>
      </c>
      <c r="DF60" s="180">
        <f t="shared" si="112"/>
        <v>7.3171337080442204E-3</v>
      </c>
    </row>
    <row r="61" spans="1:110" s="48" customFormat="1" ht="12.75" customHeight="1">
      <c r="A61" s="12"/>
      <c r="B61" s="12"/>
      <c r="C61" s="12"/>
      <c r="D61" s="12"/>
      <c r="E61" s="12"/>
      <c r="F61" s="12"/>
      <c r="G61" s="12"/>
      <c r="H61" s="12"/>
      <c r="I61" s="1368" t="s">
        <v>384</v>
      </c>
      <c r="J61" s="85"/>
      <c r="K61" s="85"/>
      <c r="P61" s="243"/>
      <c r="T61" s="243"/>
      <c r="X61" s="243"/>
      <c r="AB61" s="243"/>
      <c r="AC61" s="60"/>
      <c r="AD61" s="60"/>
      <c r="AE61" s="60"/>
      <c r="AF61" s="247"/>
      <c r="AG61" s="206"/>
      <c r="AH61" s="206"/>
      <c r="AI61" s="206"/>
      <c r="AJ61" s="207"/>
      <c r="AK61" s="48">
        <f t="shared" ref="AK61:BD61" si="113">+(AK60-AG60)*10000</f>
        <v>395.73715526143525</v>
      </c>
      <c r="AL61" s="48">
        <f t="shared" si="113"/>
        <v>189.5901477174433</v>
      </c>
      <c r="AM61" s="48">
        <f t="shared" si="113"/>
        <v>-218.40698868488161</v>
      </c>
      <c r="AN61" s="243">
        <f t="shared" si="113"/>
        <v>-625.05226015039943</v>
      </c>
      <c r="AO61" s="48">
        <f t="shared" si="113"/>
        <v>-966.83044708283819</v>
      </c>
      <c r="AP61" s="48">
        <f t="shared" si="113"/>
        <v>-844.28611339339318</v>
      </c>
      <c r="AQ61" s="48">
        <f t="shared" si="113"/>
        <v>-597.91086930336417</v>
      </c>
      <c r="AR61" s="243">
        <f t="shared" si="113"/>
        <v>-441.73332671990306</v>
      </c>
      <c r="AS61" s="48">
        <f t="shared" si="113"/>
        <v>-161.95697311717495</v>
      </c>
      <c r="AT61" s="48">
        <f t="shared" si="113"/>
        <v>242.26719693944077</v>
      </c>
      <c r="AU61" s="48">
        <f t="shared" si="113"/>
        <v>-30.14491304175526</v>
      </c>
      <c r="AV61" s="243">
        <f t="shared" si="113"/>
        <v>130.80366279466404</v>
      </c>
      <c r="AW61" s="48">
        <f t="shared" si="113"/>
        <v>-499.75231185319046</v>
      </c>
      <c r="AX61" s="48">
        <f t="shared" si="113"/>
        <v>-569.10091412114946</v>
      </c>
      <c r="AY61" s="48">
        <f t="shared" si="113"/>
        <v>-279.90561770179721</v>
      </c>
      <c r="AZ61" s="243">
        <f t="shared" si="113"/>
        <v>-149.74295776535362</v>
      </c>
      <c r="BA61" s="48">
        <f t="shared" si="113"/>
        <v>-467.37277267737522</v>
      </c>
      <c r="BB61" s="48">
        <f t="shared" si="113"/>
        <v>-283.45254309408375</v>
      </c>
      <c r="BC61" s="48">
        <f t="shared" si="113"/>
        <v>-584.07260867240632</v>
      </c>
      <c r="BD61" s="243">
        <f t="shared" si="113"/>
        <v>-763.67119470567786</v>
      </c>
      <c r="BE61" s="48">
        <f t="shared" ref="BE61:BL61" si="114">+(BE60-BA60)*10000</f>
        <v>-479.94419750586883</v>
      </c>
      <c r="BF61" s="48">
        <f t="shared" si="114"/>
        <v>-877.32932065452735</v>
      </c>
      <c r="BG61" s="48">
        <f t="shared" si="114"/>
        <v>-1143.2961395347752</v>
      </c>
      <c r="BH61" s="864">
        <f t="shared" si="114"/>
        <v>-238.05107385145297</v>
      </c>
      <c r="BI61" s="833">
        <f t="shared" si="114"/>
        <v>-296.76088529254963</v>
      </c>
      <c r="BJ61" s="833">
        <f t="shared" si="114"/>
        <v>-377.41730275527794</v>
      </c>
      <c r="BK61" s="833">
        <f t="shared" si="114"/>
        <v>-948.40175693313518</v>
      </c>
      <c r="BL61" s="864">
        <f t="shared" si="114"/>
        <v>-902.24734051400196</v>
      </c>
      <c r="BM61" s="1264">
        <f t="shared" ref="BM61:CF61" si="115">+(BM60-BI60)*10000</f>
        <v>-816.10562146565064</v>
      </c>
      <c r="BN61" s="833">
        <f t="shared" si="115"/>
        <v>-950.54058049702132</v>
      </c>
      <c r="BO61" s="833">
        <f t="shared" si="115"/>
        <v>-1058.6142422015939</v>
      </c>
      <c r="BP61" s="833">
        <f t="shared" si="115"/>
        <v>-1507.4559933769112</v>
      </c>
      <c r="BQ61" s="1264">
        <f t="shared" si="115"/>
        <v>-1087.3538897992528</v>
      </c>
      <c r="BR61" s="833">
        <f t="shared" si="115"/>
        <v>-957.60459699717956</v>
      </c>
      <c r="BS61" s="833">
        <f t="shared" si="115"/>
        <v>-409.11377369657401</v>
      </c>
      <c r="BT61" s="864">
        <f t="shared" si="115"/>
        <v>-1220.6665629416184</v>
      </c>
      <c r="BU61" s="1264">
        <f t="shared" si="115"/>
        <v>-607.20939124135964</v>
      </c>
      <c r="BV61" s="833">
        <f t="shared" si="115"/>
        <v>-580.41739384264952</v>
      </c>
      <c r="BW61" s="833">
        <f t="shared" si="115"/>
        <v>-366.2562008363808</v>
      </c>
      <c r="BX61" s="864">
        <f t="shared" si="115"/>
        <v>-81.422013135046029</v>
      </c>
      <c r="BY61" s="1264">
        <f t="shared" si="115"/>
        <v>-201.2427364065656</v>
      </c>
      <c r="BZ61" s="833">
        <f t="shared" si="115"/>
        <v>-180.92274024347702</v>
      </c>
      <c r="CA61" s="833">
        <f t="shared" si="115"/>
        <v>-117.75377356628505</v>
      </c>
      <c r="CB61" s="864">
        <f t="shared" si="115"/>
        <v>-45.822996169241918</v>
      </c>
      <c r="CC61" s="1264">
        <f t="shared" si="115"/>
        <v>-98.899795703708406</v>
      </c>
      <c r="CD61" s="833">
        <f t="shared" si="115"/>
        <v>-88.614756729975468</v>
      </c>
      <c r="CE61" s="833">
        <f t="shared" si="115"/>
        <v>-57.09046894157143</v>
      </c>
      <c r="CF61" s="864">
        <f t="shared" si="115"/>
        <v>-21.970484475471263</v>
      </c>
      <c r="CG61" s="243"/>
      <c r="CH61" s="177"/>
      <c r="CM61" s="206"/>
      <c r="CN61" s="48">
        <f t="shared" ref="CN61:CY61" si="116">+(CN60-CM60)*10000</f>
        <v>4.8115818260374699</v>
      </c>
      <c r="CO61" s="48">
        <f t="shared" si="116"/>
        <v>-769.47739246005403</v>
      </c>
      <c r="CP61" s="48">
        <f t="shared" si="116"/>
        <v>51.407178655050735</v>
      </c>
      <c r="CQ61" s="48">
        <f t="shared" si="116"/>
        <v>-383.26573060990967</v>
      </c>
      <c r="CR61" s="48">
        <f t="shared" si="116"/>
        <v>-512.77638725456484</v>
      </c>
      <c r="CS61" s="833">
        <f t="shared" si="116"/>
        <v>-715.63387253950953</v>
      </c>
      <c r="CT61" s="833">
        <f t="shared" si="116"/>
        <v>-628.34675867813939</v>
      </c>
      <c r="CU61" s="833">
        <f t="shared" si="116"/>
        <v>-1054.5040371508392</v>
      </c>
      <c r="CV61" s="833">
        <f t="shared" si="116"/>
        <v>-888.23980631912548</v>
      </c>
      <c r="CW61" s="833">
        <f t="shared" si="116"/>
        <v>-440.48188462093196</v>
      </c>
      <c r="CX61" s="833">
        <f t="shared" si="116"/>
        <v>-140.55168179439167</v>
      </c>
      <c r="CY61" s="833">
        <f t="shared" si="116"/>
        <v>-68.391325065741242</v>
      </c>
      <c r="CZ61" s="833">
        <f>+(CZ60-CY60)*10000</f>
        <v>-51.126254553758301</v>
      </c>
      <c r="DA61" s="833">
        <f t="shared" ref="DA61:DF61" si="117">+(DA60-CZ60)*10000</f>
        <v>-38.403707894791673</v>
      </c>
      <c r="DB61" s="833">
        <f t="shared" si="117"/>
        <v>-15.801768142316101</v>
      </c>
      <c r="DC61" s="833">
        <f t="shared" si="117"/>
        <v>-13.98483966331028</v>
      </c>
      <c r="DD61" s="833">
        <f t="shared" si="117"/>
        <v>-12.372483712099671</v>
      </c>
      <c r="DE61" s="833">
        <f t="shared" si="117"/>
        <v>-10.942623367766469</v>
      </c>
      <c r="DF61" s="864">
        <f t="shared" si="117"/>
        <v>-9.6753515709748115</v>
      </c>
    </row>
    <row r="62" spans="1:110" ht="12.75" customHeight="1">
      <c r="A62" s="12"/>
      <c r="B62" s="13"/>
      <c r="C62" s="13"/>
      <c r="D62" s="13"/>
      <c r="E62" s="13"/>
      <c r="F62" s="12"/>
      <c r="G62" s="12"/>
      <c r="H62" s="12"/>
      <c r="I62" s="185"/>
      <c r="J62" s="70"/>
      <c r="K62" s="70"/>
      <c r="P62" s="234"/>
      <c r="T62" s="234"/>
      <c r="X62" s="234"/>
      <c r="AB62" s="234"/>
      <c r="AF62" s="249"/>
      <c r="AG62" s="64"/>
      <c r="AH62" s="64"/>
      <c r="AI62" s="64"/>
      <c r="AJ62" s="180"/>
      <c r="AK62" s="64"/>
      <c r="AL62" s="64"/>
      <c r="AM62" s="64"/>
      <c r="AN62" s="180"/>
      <c r="AO62" s="64"/>
      <c r="AP62" s="64"/>
      <c r="AQ62" s="64"/>
      <c r="AR62" s="180"/>
      <c r="AS62" s="64"/>
      <c r="AT62" s="64"/>
      <c r="AU62" s="64"/>
      <c r="AV62" s="180"/>
      <c r="AW62" s="64"/>
      <c r="AX62" s="64"/>
      <c r="AY62" s="64"/>
      <c r="AZ62" s="180"/>
      <c r="BA62" s="24"/>
      <c r="BB62" s="64"/>
      <c r="BC62" s="64"/>
      <c r="BD62" s="731"/>
      <c r="BE62" s="64"/>
      <c r="BF62" s="64"/>
      <c r="BG62" s="64"/>
      <c r="BH62" s="180"/>
      <c r="BI62" s="64"/>
      <c r="BJ62" s="64"/>
      <c r="BK62" s="64"/>
      <c r="BL62" s="180"/>
      <c r="BM62" s="1263"/>
      <c r="BN62" s="64"/>
      <c r="BO62" s="64"/>
      <c r="BP62" s="64"/>
      <c r="BQ62" s="1263"/>
      <c r="BR62" s="64"/>
      <c r="BS62" s="64"/>
      <c r="BT62" s="180"/>
      <c r="BU62" s="1263"/>
      <c r="BV62" s="64"/>
      <c r="BW62" s="64"/>
      <c r="BX62" s="180"/>
      <c r="BY62" s="1263"/>
      <c r="BZ62" s="64"/>
      <c r="CA62" s="64"/>
      <c r="CB62" s="180"/>
      <c r="CC62" s="1263"/>
      <c r="CD62" s="64"/>
      <c r="CE62" s="64"/>
      <c r="CF62" s="180"/>
      <c r="CG62" s="234"/>
      <c r="CH62" s="160"/>
      <c r="CM62" s="64"/>
      <c r="CN62" s="64"/>
      <c r="CO62" s="64"/>
      <c r="CP62" s="64"/>
      <c r="CQ62" s="64"/>
      <c r="CR62" s="64"/>
      <c r="CS62" s="64"/>
      <c r="CT62" s="64"/>
      <c r="CU62" s="64"/>
      <c r="CV62" s="64"/>
      <c r="CW62" s="64"/>
      <c r="CX62" s="64"/>
      <c r="CY62" s="64"/>
      <c r="DF62" s="234"/>
    </row>
    <row r="63" spans="1:110" s="8" customFormat="1" ht="12.75" customHeight="1">
      <c r="A63" s="12"/>
      <c r="B63" s="13"/>
      <c r="C63" s="13"/>
      <c r="D63" s="13"/>
      <c r="E63" s="13"/>
      <c r="F63" s="12"/>
      <c r="G63" s="12"/>
      <c r="H63" s="12"/>
      <c r="I63" s="190" t="s">
        <v>242</v>
      </c>
      <c r="J63" s="79"/>
      <c r="K63" s="79"/>
      <c r="P63" s="245"/>
      <c r="T63" s="245"/>
      <c r="X63" s="245"/>
      <c r="AB63" s="245"/>
      <c r="AC63" s="289"/>
      <c r="AD63" s="289"/>
      <c r="AE63" s="289"/>
      <c r="AF63" s="953"/>
      <c r="AG63" s="713">
        <f>+'Bookings and Drivers'!AG92-AG25</f>
        <v>207.69199999999995</v>
      </c>
      <c r="AH63" s="713">
        <f>+'Bookings and Drivers'!AH92-AH25</f>
        <v>252.69099999999997</v>
      </c>
      <c r="AI63" s="713">
        <f>+'Bookings and Drivers'!AI92-AI25</f>
        <v>201.98999999999995</v>
      </c>
      <c r="AJ63" s="723">
        <f>+'Bookings and Drivers'!AJ92-AJ25</f>
        <v>171.93399999999997</v>
      </c>
      <c r="AK63" s="713">
        <f>+'Bookings and Drivers'!AK92-AK25</f>
        <v>190.84900000000005</v>
      </c>
      <c r="AL63" s="713">
        <f>+'Bookings and Drivers'!AL92-AL25</f>
        <v>232.13599999999997</v>
      </c>
      <c r="AM63" s="713">
        <f>+'Bookings and Drivers'!AM92-AM25</f>
        <v>254.14099999999996</v>
      </c>
      <c r="AN63" s="723">
        <f>+'Bookings and Drivers'!AN92-AN25</f>
        <v>246.33799999999997</v>
      </c>
      <c r="AO63" s="713">
        <f>+'Bookings and Drivers'!AO92-AO25</f>
        <v>357.07499999999993</v>
      </c>
      <c r="AP63" s="713">
        <f>+'Bookings and Drivers'!AP92-AP25</f>
        <v>443.2940000000001</v>
      </c>
      <c r="AQ63" s="713">
        <f>+'Bookings and Drivers'!AQ92-AQ25</f>
        <v>385.24300000000017</v>
      </c>
      <c r="AR63" s="723">
        <f>+'Bookings and Drivers'!AR92-AR25</f>
        <v>353.33399999999983</v>
      </c>
      <c r="AS63" s="713">
        <f>+'Bookings and Drivers'!AS92-AS25</f>
        <v>435.33899999999994</v>
      </c>
      <c r="AT63" s="713">
        <f>+'Bookings and Drivers'!AT92-AT25</f>
        <v>466.77399999999989</v>
      </c>
      <c r="AU63" s="713">
        <f>+'Bookings and Drivers'!AU92-AU25</f>
        <v>484.19999999999982</v>
      </c>
      <c r="AV63" s="723">
        <f>+'Bookings and Drivers'!AV92-AV25</f>
        <v>415.32400000000007</v>
      </c>
      <c r="AW63" s="713">
        <f>+'Bookings and Drivers'!AW92-AW25</f>
        <v>555.46320000000014</v>
      </c>
      <c r="AX63" s="713">
        <f>+'Bookings and Drivers'!AX92-AX25</f>
        <v>624.11300000000028</v>
      </c>
      <c r="AY63" s="713">
        <f>+'Bookings and Drivers'!AY92-AY25</f>
        <v>574.86400000000003</v>
      </c>
      <c r="AZ63" s="723">
        <f>+'Bookings and Drivers'!AZ92-AZ25</f>
        <v>464.32499999999982</v>
      </c>
      <c r="BA63" s="713">
        <f t="shared" ref="BA63:BP63" si="118">+BA92-BA25</f>
        <v>686.63503999999966</v>
      </c>
      <c r="BB63" s="713">
        <f t="shared" si="118"/>
        <v>744.54995000000008</v>
      </c>
      <c r="BC63" s="713">
        <f t="shared" si="118"/>
        <v>724.30799999999999</v>
      </c>
      <c r="BD63" s="723">
        <f t="shared" si="118"/>
        <v>616.15000000000009</v>
      </c>
      <c r="BE63" s="713">
        <f t="shared" si="118"/>
        <v>827.77956799999993</v>
      </c>
      <c r="BF63" s="713">
        <f t="shared" si="118"/>
        <v>904.63491499999964</v>
      </c>
      <c r="BG63" s="713">
        <f t="shared" si="118"/>
        <v>930.66303999999946</v>
      </c>
      <c r="BH63" s="723">
        <f t="shared" si="118"/>
        <v>670.29</v>
      </c>
      <c r="BI63" s="713">
        <f t="shared" si="118"/>
        <v>939.61497791999955</v>
      </c>
      <c r="BJ63" s="713">
        <f t="shared" si="118"/>
        <v>1068.4523724999999</v>
      </c>
      <c r="BK63" s="713">
        <f t="shared" si="118"/>
        <v>1237.6995071999991</v>
      </c>
      <c r="BL63" s="723">
        <f t="shared" si="118"/>
        <v>973.42900000000009</v>
      </c>
      <c r="BM63" s="921">
        <f t="shared" si="118"/>
        <v>1256.3335112960012</v>
      </c>
      <c r="BN63" s="713">
        <f t="shared" si="118"/>
        <v>1465.7880842499999</v>
      </c>
      <c r="BO63" s="713">
        <f t="shared" si="118"/>
        <v>1544.7372953600006</v>
      </c>
      <c r="BP63" s="713">
        <f t="shared" si="118"/>
        <v>1220.5352000000003</v>
      </c>
      <c r="BQ63" s="921">
        <f>+BQ92-BQ25</f>
        <v>1464.0002135552004</v>
      </c>
      <c r="BR63" s="713">
        <f>+BR92-BR25</f>
        <v>1655.1457011000002</v>
      </c>
      <c r="BS63" s="713">
        <f>+BS92-BS25</f>
        <v>1576.1777994240001</v>
      </c>
      <c r="BT63" s="723">
        <f>+BT92-BT25</f>
        <v>1288.0022200000003</v>
      </c>
      <c r="BU63" s="921">
        <f t="shared" ref="BU63:CF63" si="119">+BQ63*(1+BU64)</f>
        <v>1537.2002242329604</v>
      </c>
      <c r="BV63" s="713">
        <f t="shared" si="119"/>
        <v>1787.5573571880004</v>
      </c>
      <c r="BW63" s="713">
        <f t="shared" si="119"/>
        <v>1812.6044693376</v>
      </c>
      <c r="BX63" s="723">
        <f t="shared" si="119"/>
        <v>1442.5624864000006</v>
      </c>
      <c r="BY63" s="921">
        <f t="shared" si="119"/>
        <v>1614.0602354446085</v>
      </c>
      <c r="BZ63" s="713">
        <f t="shared" si="119"/>
        <v>1876.9352250474005</v>
      </c>
      <c r="CA63" s="713">
        <f t="shared" si="119"/>
        <v>1903.2346928044801</v>
      </c>
      <c r="CB63" s="723">
        <f t="shared" si="119"/>
        <v>1514.6906107200007</v>
      </c>
      <c r="CC63" s="921">
        <f t="shared" si="119"/>
        <v>1694.7632472168389</v>
      </c>
      <c r="CD63" s="713">
        <f t="shared" si="119"/>
        <v>1970.7819862997706</v>
      </c>
      <c r="CE63" s="713">
        <f>+CA63*(1+CE64)</f>
        <v>1998.3964274447042</v>
      </c>
      <c r="CF63" s="723">
        <f t="shared" si="119"/>
        <v>1590.4251412560009</v>
      </c>
      <c r="CG63" s="245"/>
      <c r="CH63" s="178"/>
      <c r="CM63" s="713">
        <f>+'Bookings and Drivers'!CM92-CM25</f>
        <v>834.30700000000002</v>
      </c>
      <c r="CN63" s="713">
        <f>+'Bookings and Drivers'!CN92-CN25</f>
        <v>923.46399999999994</v>
      </c>
      <c r="CO63" s="713">
        <f>+'Bookings and Drivers'!CO92-CO25</f>
        <v>1538.9460000000008</v>
      </c>
      <c r="CP63" s="713">
        <f>+'Bookings and Drivers'!CP92-CP25</f>
        <v>1801.6369999999988</v>
      </c>
      <c r="CQ63" s="713">
        <f>+SUM(AW63:AZ63)</f>
        <v>2218.7652000000003</v>
      </c>
      <c r="CR63" s="713">
        <f>+SUM(BA63:BD63)</f>
        <v>2771.6429899999998</v>
      </c>
      <c r="CS63" s="713">
        <f>+SUM(BE63:BH63)</f>
        <v>3333.367522999999</v>
      </c>
      <c r="CT63" s="713">
        <f>+SUM(BI63:BL63)</f>
        <v>4219.1958576199986</v>
      </c>
      <c r="CU63" s="713">
        <f>+SUM(BM63:BP63)</f>
        <v>5487.394090906002</v>
      </c>
      <c r="CV63" s="713">
        <f>+SUM(BQ63:BT63)</f>
        <v>5983.325934079201</v>
      </c>
      <c r="CW63" s="713">
        <f>+SUM(BU63:BX63)</f>
        <v>6579.9245371585621</v>
      </c>
      <c r="CX63" s="713">
        <f>+SUM(BY63:CB63)</f>
        <v>6908.9207640164896</v>
      </c>
      <c r="CY63" s="713">
        <f>+SUM(CC63:CF63)</f>
        <v>7254.3668022173142</v>
      </c>
      <c r="CZ63" s="713">
        <f>+CY63*(1+CZ64)</f>
        <v>7544.5414743060073</v>
      </c>
      <c r="DA63" s="713">
        <f t="shared" ref="DA63:DF63" si="120">+CZ63*(1+DA64)</f>
        <v>7770.8777185351873</v>
      </c>
      <c r="DB63" s="713">
        <f t="shared" si="120"/>
        <v>7926.2952729058916</v>
      </c>
      <c r="DC63" s="713">
        <f t="shared" si="120"/>
        <v>8084.8211783640099</v>
      </c>
      <c r="DD63" s="713">
        <f t="shared" si="120"/>
        <v>8246.5176019312894</v>
      </c>
      <c r="DE63" s="713">
        <f t="shared" si="120"/>
        <v>8411.447953969915</v>
      </c>
      <c r="DF63" s="723">
        <f t="shared" si="120"/>
        <v>8579.676913049314</v>
      </c>
    </row>
    <row r="64" spans="1:110" ht="12.75" customHeight="1">
      <c r="A64" s="12"/>
      <c r="B64" s="13"/>
      <c r="C64" s="13"/>
      <c r="D64" s="13"/>
      <c r="E64" s="13"/>
      <c r="F64" s="12"/>
      <c r="G64" s="12"/>
      <c r="H64" s="12"/>
      <c r="I64" s="185" t="s">
        <v>376</v>
      </c>
      <c r="J64" s="70"/>
      <c r="K64" s="70"/>
      <c r="P64" s="234"/>
      <c r="T64" s="234"/>
      <c r="X64" s="234"/>
      <c r="AB64" s="234"/>
      <c r="AF64" s="249"/>
      <c r="AG64" s="1199"/>
      <c r="AH64" s="1199"/>
      <c r="AI64" s="1199"/>
      <c r="AJ64" s="1200"/>
      <c r="AK64" s="1199">
        <f t="shared" ref="AK64:BD64" si="121">+AK63/AG63-1</f>
        <v>-8.1096046068215966E-2</v>
      </c>
      <c r="AL64" s="1199">
        <f t="shared" si="121"/>
        <v>-8.134440878385063E-2</v>
      </c>
      <c r="AM64" s="1199">
        <f t="shared" si="121"/>
        <v>0.25818604881429774</v>
      </c>
      <c r="AN64" s="1200">
        <f t="shared" si="121"/>
        <v>0.43274744960275457</v>
      </c>
      <c r="AO64" s="1199">
        <f t="shared" si="121"/>
        <v>0.87098177092884876</v>
      </c>
      <c r="AP64" s="1199">
        <f t="shared" si="121"/>
        <v>0.90963056139504506</v>
      </c>
      <c r="AQ64" s="1199">
        <f t="shared" si="121"/>
        <v>0.51586324127157845</v>
      </c>
      <c r="AR64" s="1200">
        <f t="shared" si="121"/>
        <v>0.43434630467081758</v>
      </c>
      <c r="AS64" s="1199">
        <f t="shared" si="121"/>
        <v>0.21918084436042862</v>
      </c>
      <c r="AT64" s="1199">
        <f t="shared" si="121"/>
        <v>5.2967105352203614E-2</v>
      </c>
      <c r="AU64" s="1199">
        <f t="shared" si="121"/>
        <v>0.25686904109873399</v>
      </c>
      <c r="AV64" s="1200">
        <f t="shared" si="121"/>
        <v>0.17544306520176445</v>
      </c>
      <c r="AW64" s="1199">
        <f t="shared" si="121"/>
        <v>0.27593254911689558</v>
      </c>
      <c r="AX64" s="1199">
        <f t="shared" si="121"/>
        <v>0.33707747218139916</v>
      </c>
      <c r="AY64" s="1199">
        <f t="shared" si="121"/>
        <v>0.18724494010739412</v>
      </c>
      <c r="AZ64" s="1200">
        <f t="shared" si="121"/>
        <v>0.11798258708863374</v>
      </c>
      <c r="BA64" s="1199">
        <f t="shared" si="121"/>
        <v>0.23614856933816575</v>
      </c>
      <c r="BB64" s="1199">
        <f t="shared" si="121"/>
        <v>0.19297298726352397</v>
      </c>
      <c r="BC64" s="1199">
        <f t="shared" si="121"/>
        <v>0.25996409585571545</v>
      </c>
      <c r="BD64" s="1200">
        <f t="shared" si="121"/>
        <v>0.32698002476713572</v>
      </c>
      <c r="BE64" s="1199">
        <f t="shared" ref="BE64:BJ64" si="122">+BE63/BA63-1</f>
        <v>0.2055597512180567</v>
      </c>
      <c r="BF64" s="1199">
        <f t="shared" si="122"/>
        <v>0.21500903330931598</v>
      </c>
      <c r="BG64" s="1199">
        <f t="shared" si="122"/>
        <v>0.2848995731097812</v>
      </c>
      <c r="BH64" s="1200">
        <f>+BH63/BD63-1</f>
        <v>8.786821390895061E-2</v>
      </c>
      <c r="BI64" s="1199">
        <f t="shared" si="122"/>
        <v>0.13510288758419753</v>
      </c>
      <c r="BJ64" s="1199">
        <f t="shared" si="122"/>
        <v>0.18108681721620301</v>
      </c>
      <c r="BK64" s="1199">
        <f t="shared" ref="BK64:BS64" si="123">+BK63/BG63-1</f>
        <v>0.32991152974120452</v>
      </c>
      <c r="BL64" s="1200">
        <f t="shared" si="123"/>
        <v>0.45225051843232045</v>
      </c>
      <c r="BM64" s="1262">
        <f t="shared" si="123"/>
        <v>0.33707267425335541</v>
      </c>
      <c r="BN64" s="1199">
        <f t="shared" si="123"/>
        <v>0.37187966630679181</v>
      </c>
      <c r="BO64" s="1199">
        <f t="shared" si="123"/>
        <v>0.24807135041574147</v>
      </c>
      <c r="BP64" s="1199">
        <f t="shared" si="123"/>
        <v>0.2538512824253234</v>
      </c>
      <c r="BQ64" s="1262">
        <f t="shared" si="123"/>
        <v>0.16529583935477099</v>
      </c>
      <c r="BR64" s="1199">
        <f t="shared" si="123"/>
        <v>0.12918485208377795</v>
      </c>
      <c r="BS64" s="1199">
        <f t="shared" si="123"/>
        <v>2.0353301599203233E-2</v>
      </c>
      <c r="BT64" s="1200">
        <f>+BT63/BP63-1</f>
        <v>5.5276586861239263E-2</v>
      </c>
      <c r="BU64" s="1691">
        <v>0.05</v>
      </c>
      <c r="BV64" s="770">
        <v>0.08</v>
      </c>
      <c r="BW64" s="770">
        <v>0.15</v>
      </c>
      <c r="BX64" s="779">
        <v>0.12</v>
      </c>
      <c r="BY64" s="770">
        <v>0.05</v>
      </c>
      <c r="BZ64" s="770">
        <v>0.05</v>
      </c>
      <c r="CA64" s="770">
        <v>0.05</v>
      </c>
      <c r="CB64" s="779">
        <v>0.05</v>
      </c>
      <c r="CC64" s="1369">
        <v>0.05</v>
      </c>
      <c r="CD64" s="1321">
        <v>0.05</v>
      </c>
      <c r="CE64" s="1321">
        <v>0.05</v>
      </c>
      <c r="CF64" s="1320">
        <v>0.05</v>
      </c>
      <c r="CG64" s="234"/>
      <c r="CH64" s="160"/>
      <c r="CM64" s="1199"/>
      <c r="CN64" s="1199">
        <f t="shared" ref="CN64:CY64" si="124">+CN63/CM63-1</f>
        <v>0.10686354063911718</v>
      </c>
      <c r="CO64" s="1199">
        <f t="shared" si="124"/>
        <v>0.66649268406781514</v>
      </c>
      <c r="CP64" s="1199">
        <f t="shared" si="124"/>
        <v>0.17069539801916234</v>
      </c>
      <c r="CQ64" s="1199">
        <f t="shared" si="124"/>
        <v>0.23152732764702422</v>
      </c>
      <c r="CR64" s="1199">
        <f t="shared" si="124"/>
        <v>0.24918264897971154</v>
      </c>
      <c r="CS64" s="1199">
        <f t="shared" si="124"/>
        <v>0.20266842989038758</v>
      </c>
      <c r="CT64" s="1199">
        <f t="shared" si="124"/>
        <v>0.26574577465816396</v>
      </c>
      <c r="CU64" s="1199">
        <f t="shared" si="124"/>
        <v>0.30057818505760947</v>
      </c>
      <c r="CV64" s="1199">
        <f t="shared" si="124"/>
        <v>9.0376567630723548E-2</v>
      </c>
      <c r="CW64" s="1199">
        <f t="shared" si="124"/>
        <v>9.971019624408517E-2</v>
      </c>
      <c r="CX64" s="1199">
        <f t="shared" si="124"/>
        <v>4.9999999999999822E-2</v>
      </c>
      <c r="CY64" s="1199">
        <f t="shared" si="124"/>
        <v>5.0000000000000044E-2</v>
      </c>
      <c r="CZ64" s="1321">
        <f>+CY64-1%</f>
        <v>4.0000000000000042E-2</v>
      </c>
      <c r="DA64" s="1321">
        <f>+CZ64-1%</f>
        <v>3.0000000000000041E-2</v>
      </c>
      <c r="DB64" s="1321">
        <f>+DA64-1%</f>
        <v>2.0000000000000039E-2</v>
      </c>
      <c r="DC64" s="1321">
        <f>+DB64</f>
        <v>2.0000000000000039E-2</v>
      </c>
      <c r="DD64" s="1321">
        <f>+DC64</f>
        <v>2.0000000000000039E-2</v>
      </c>
      <c r="DE64" s="1321">
        <f>+DD64</f>
        <v>2.0000000000000039E-2</v>
      </c>
      <c r="DF64" s="1320">
        <f>+DE64</f>
        <v>2.0000000000000039E-2</v>
      </c>
    </row>
    <row r="65" spans="1:110" ht="12.75" customHeight="1">
      <c r="I65" s="193" t="s">
        <v>234</v>
      </c>
      <c r="J65" s="70"/>
      <c r="K65" s="70"/>
      <c r="P65" s="234"/>
      <c r="T65" s="234"/>
      <c r="X65" s="234"/>
      <c r="AB65" s="234"/>
      <c r="AF65" s="249"/>
      <c r="AG65" s="1199"/>
      <c r="AH65" s="1199"/>
      <c r="AI65" s="1199"/>
      <c r="AJ65" s="1200"/>
      <c r="AK65" s="1199"/>
      <c r="AL65" s="1199"/>
      <c r="AM65" s="1199"/>
      <c r="AN65" s="1200"/>
      <c r="AO65" s="1263">
        <f t="shared" ref="AO65:CF65" si="125">+AO64+AK64</f>
        <v>0.7898857248606328</v>
      </c>
      <c r="AP65" s="64">
        <f t="shared" si="125"/>
        <v>0.82828615261119443</v>
      </c>
      <c r="AQ65" s="64">
        <f t="shared" si="125"/>
        <v>0.7740492900858762</v>
      </c>
      <c r="AR65" s="180">
        <f t="shared" si="125"/>
        <v>0.86709375427357216</v>
      </c>
      <c r="AS65" s="1263">
        <f t="shared" si="125"/>
        <v>1.0901626152892774</v>
      </c>
      <c r="AT65" s="64">
        <f t="shared" si="125"/>
        <v>0.96259766674724867</v>
      </c>
      <c r="AU65" s="64">
        <f t="shared" si="125"/>
        <v>0.77273228237031244</v>
      </c>
      <c r="AV65" s="180">
        <f t="shared" si="125"/>
        <v>0.60978936987258203</v>
      </c>
      <c r="AW65" s="1263">
        <f t="shared" si="125"/>
        <v>0.49511339347732419</v>
      </c>
      <c r="AX65" s="64">
        <f t="shared" si="125"/>
        <v>0.39004457753360278</v>
      </c>
      <c r="AY65" s="64">
        <f t="shared" si="125"/>
        <v>0.44411398120612811</v>
      </c>
      <c r="AZ65" s="180">
        <f t="shared" si="125"/>
        <v>0.29342565229039819</v>
      </c>
      <c r="BA65" s="1263">
        <f t="shared" si="125"/>
        <v>0.51208111845506132</v>
      </c>
      <c r="BB65" s="64">
        <f t="shared" si="125"/>
        <v>0.53005045944492313</v>
      </c>
      <c r="BC65" s="64">
        <f t="shared" si="125"/>
        <v>0.44720903596310957</v>
      </c>
      <c r="BD65" s="180">
        <f t="shared" si="125"/>
        <v>0.44496261185576946</v>
      </c>
      <c r="BE65" s="1263">
        <f t="shared" si="125"/>
        <v>0.44170832055622244</v>
      </c>
      <c r="BF65" s="64">
        <f t="shared" si="125"/>
        <v>0.40798202057283994</v>
      </c>
      <c r="BG65" s="64">
        <f t="shared" si="125"/>
        <v>0.54486366896549665</v>
      </c>
      <c r="BH65" s="180">
        <f t="shared" si="125"/>
        <v>0.41484823867608633</v>
      </c>
      <c r="BI65" s="1263">
        <f t="shared" si="125"/>
        <v>0.34066263880225423</v>
      </c>
      <c r="BJ65" s="64">
        <f t="shared" si="125"/>
        <v>0.39609585052551899</v>
      </c>
      <c r="BK65" s="64">
        <f t="shared" si="125"/>
        <v>0.61481110285098572</v>
      </c>
      <c r="BL65" s="180">
        <f t="shared" si="125"/>
        <v>0.54011873234127106</v>
      </c>
      <c r="BM65" s="1263">
        <f t="shared" si="125"/>
        <v>0.47217556183755294</v>
      </c>
      <c r="BN65" s="64">
        <f t="shared" si="125"/>
        <v>0.55296648352299482</v>
      </c>
      <c r="BO65" s="64">
        <f t="shared" si="125"/>
        <v>0.57798288015694599</v>
      </c>
      <c r="BP65" s="64">
        <f t="shared" si="125"/>
        <v>0.70610180085764385</v>
      </c>
      <c r="BQ65" s="1263">
        <f t="shared" si="125"/>
        <v>0.5023685136081264</v>
      </c>
      <c r="BR65" s="64">
        <f t="shared" ref="BR65:BW65" si="126">+BR64+BN64</f>
        <v>0.50106451839056976</v>
      </c>
      <c r="BS65" s="64">
        <f t="shared" si="126"/>
        <v>0.2684246520149447</v>
      </c>
      <c r="BT65" s="180">
        <f>+BT64+BP64</f>
        <v>0.30912786928656266</v>
      </c>
      <c r="BU65" s="1263">
        <f>+BU64+BQ64</f>
        <v>0.21529583935477098</v>
      </c>
      <c r="BV65" s="64">
        <f t="shared" si="126"/>
        <v>0.20918485208377796</v>
      </c>
      <c r="BW65" s="64">
        <f t="shared" si="126"/>
        <v>0.17035330159920323</v>
      </c>
      <c r="BX65" s="180">
        <f t="shared" si="125"/>
        <v>0.17527658686123926</v>
      </c>
      <c r="BY65" s="1263">
        <f t="shared" si="125"/>
        <v>0.1</v>
      </c>
      <c r="BZ65" s="64">
        <f t="shared" si="125"/>
        <v>0.13</v>
      </c>
      <c r="CA65" s="64">
        <f t="shared" si="125"/>
        <v>0.2</v>
      </c>
      <c r="CB65" s="180">
        <f t="shared" si="125"/>
        <v>0.16999999999999998</v>
      </c>
      <c r="CC65" s="1263">
        <f t="shared" si="125"/>
        <v>0.1</v>
      </c>
      <c r="CD65" s="64">
        <f t="shared" si="125"/>
        <v>0.1</v>
      </c>
      <c r="CE65" s="64">
        <f t="shared" si="125"/>
        <v>0.1</v>
      </c>
      <c r="CF65" s="180">
        <f t="shared" si="125"/>
        <v>0.1</v>
      </c>
      <c r="CG65" s="234"/>
      <c r="CH65" s="160"/>
      <c r="CM65" s="1199"/>
      <c r="CN65" s="1199"/>
      <c r="CO65" s="1199">
        <f t="shared" ref="CO65:CX65" si="127">+CO64+CN64</f>
        <v>0.77335622470693233</v>
      </c>
      <c r="CP65" s="1199">
        <f t="shared" si="127"/>
        <v>0.83718808208697748</v>
      </c>
      <c r="CQ65" s="1199">
        <f t="shared" si="127"/>
        <v>0.40222272566618655</v>
      </c>
      <c r="CR65" s="1199">
        <f t="shared" si="127"/>
        <v>0.48070997662673576</v>
      </c>
      <c r="CS65" s="1199">
        <f t="shared" si="127"/>
        <v>0.45185107887009912</v>
      </c>
      <c r="CT65" s="1199">
        <f t="shared" si="127"/>
        <v>0.46841420454855154</v>
      </c>
      <c r="CU65" s="1199">
        <f t="shared" si="127"/>
        <v>0.56632395971577343</v>
      </c>
      <c r="CV65" s="1199">
        <f t="shared" si="127"/>
        <v>0.39095475268833302</v>
      </c>
      <c r="CW65" s="1199">
        <f t="shared" si="127"/>
        <v>0.19008676387480872</v>
      </c>
      <c r="CX65" s="1199">
        <f t="shared" si="127"/>
        <v>0.14971019624408499</v>
      </c>
      <c r="CY65" s="1199">
        <f>+CY64+CX64</f>
        <v>9.9999999999999867E-2</v>
      </c>
      <c r="CZ65" s="1199">
        <f>+CZ64+CY64</f>
        <v>9.000000000000008E-2</v>
      </c>
      <c r="DA65" s="1199">
        <f t="shared" ref="DA65:DF65" si="128">+DA64+CZ64</f>
        <v>7.000000000000009E-2</v>
      </c>
      <c r="DB65" s="1199">
        <f t="shared" si="128"/>
        <v>5.0000000000000079E-2</v>
      </c>
      <c r="DC65" s="1199">
        <f t="shared" si="128"/>
        <v>4.0000000000000077E-2</v>
      </c>
      <c r="DD65" s="1199">
        <f t="shared" si="128"/>
        <v>4.0000000000000077E-2</v>
      </c>
      <c r="DE65" s="1199">
        <f t="shared" si="128"/>
        <v>4.0000000000000077E-2</v>
      </c>
      <c r="DF65" s="1200">
        <f t="shared" si="128"/>
        <v>4.0000000000000077E-2</v>
      </c>
    </row>
    <row r="66" spans="1:110" ht="12.75" customHeight="1">
      <c r="A66" s="12"/>
      <c r="B66" s="13"/>
      <c r="C66" s="13"/>
      <c r="D66" s="13"/>
      <c r="E66" s="13"/>
      <c r="F66" s="12"/>
      <c r="G66" s="12"/>
      <c r="H66" s="12"/>
      <c r="I66" s="185" t="s">
        <v>386</v>
      </c>
      <c r="J66" s="70"/>
      <c r="K66" s="70"/>
      <c r="P66" s="234"/>
      <c r="T66" s="234"/>
      <c r="X66" s="234"/>
      <c r="AB66" s="234"/>
      <c r="AF66" s="249"/>
      <c r="AG66" s="64"/>
      <c r="AH66" s="64"/>
      <c r="AI66" s="64"/>
      <c r="AJ66" s="180"/>
      <c r="AK66" s="800">
        <f t="shared" ref="AK66:BD66" si="129">+AK63-AG63</f>
        <v>-16.842999999999904</v>
      </c>
      <c r="AL66" s="800">
        <f t="shared" si="129"/>
        <v>-20.555000000000007</v>
      </c>
      <c r="AM66" s="800">
        <f t="shared" si="129"/>
        <v>52.15100000000001</v>
      </c>
      <c r="AN66" s="849">
        <f t="shared" si="129"/>
        <v>74.403999999999996</v>
      </c>
      <c r="AO66" s="800">
        <f t="shared" si="129"/>
        <v>166.22599999999989</v>
      </c>
      <c r="AP66" s="800">
        <f t="shared" si="129"/>
        <v>211.15800000000013</v>
      </c>
      <c r="AQ66" s="800">
        <f t="shared" si="129"/>
        <v>131.1020000000002</v>
      </c>
      <c r="AR66" s="849">
        <f t="shared" si="129"/>
        <v>106.99599999999987</v>
      </c>
      <c r="AS66" s="800">
        <f t="shared" si="129"/>
        <v>78.26400000000001</v>
      </c>
      <c r="AT66" s="800">
        <f t="shared" si="129"/>
        <v>23.479999999999791</v>
      </c>
      <c r="AU66" s="800">
        <f t="shared" si="129"/>
        <v>98.956999999999653</v>
      </c>
      <c r="AV66" s="849">
        <f t="shared" si="129"/>
        <v>61.990000000000236</v>
      </c>
      <c r="AW66" s="800">
        <f t="shared" si="129"/>
        <v>120.1242000000002</v>
      </c>
      <c r="AX66" s="800">
        <f t="shared" si="129"/>
        <v>157.3390000000004</v>
      </c>
      <c r="AY66" s="800">
        <f t="shared" si="129"/>
        <v>90.664000000000215</v>
      </c>
      <c r="AZ66" s="849">
        <f t="shared" si="129"/>
        <v>49.000999999999749</v>
      </c>
      <c r="BA66" s="800">
        <f t="shared" si="129"/>
        <v>131.17183999999952</v>
      </c>
      <c r="BB66" s="800">
        <f t="shared" si="129"/>
        <v>120.4369499999998</v>
      </c>
      <c r="BC66" s="800">
        <f t="shared" si="129"/>
        <v>149.44399999999996</v>
      </c>
      <c r="BD66" s="849">
        <f t="shared" si="129"/>
        <v>151.82500000000027</v>
      </c>
      <c r="BE66" s="800">
        <f t="shared" ref="BE66:BL66" si="130">+BE63-BA63</f>
        <v>141.14452800000026</v>
      </c>
      <c r="BF66" s="800">
        <f t="shared" si="130"/>
        <v>160.08496499999956</v>
      </c>
      <c r="BG66" s="800">
        <f t="shared" si="130"/>
        <v>206.35503999999946</v>
      </c>
      <c r="BH66" s="849">
        <f t="shared" si="130"/>
        <v>54.139999999999873</v>
      </c>
      <c r="BI66" s="800">
        <f t="shared" si="130"/>
        <v>111.83540991999962</v>
      </c>
      <c r="BJ66" s="800">
        <f t="shared" si="130"/>
        <v>163.81745750000027</v>
      </c>
      <c r="BK66" s="800">
        <f t="shared" si="130"/>
        <v>307.03646719999961</v>
      </c>
      <c r="BL66" s="849">
        <f t="shared" si="130"/>
        <v>303.13900000000012</v>
      </c>
      <c r="BM66" s="934">
        <f>+BM63-BI63</f>
        <v>316.71853337600169</v>
      </c>
      <c r="BN66" s="800">
        <f>+BN63-BJ63</f>
        <v>397.33571174999997</v>
      </c>
      <c r="BO66" s="800">
        <f>+BO63-BK63</f>
        <v>307.03778816000158</v>
      </c>
      <c r="BP66" s="800">
        <f t="shared" ref="BP66:CF66" si="131">+BP63-BL63</f>
        <v>247.10620000000017</v>
      </c>
      <c r="BQ66" s="934">
        <f>+BQ63-BM63</f>
        <v>207.66670225919916</v>
      </c>
      <c r="BR66" s="800">
        <f>+BR63-BN63</f>
        <v>189.35761685000034</v>
      </c>
      <c r="BS66" s="800">
        <f>+BS63-BO63</f>
        <v>31.44050406399947</v>
      </c>
      <c r="BT66" s="849">
        <f>+BT63-BP63</f>
        <v>67.467020000000048</v>
      </c>
      <c r="BU66" s="934">
        <f>+BU63-BQ63</f>
        <v>73.200010677760019</v>
      </c>
      <c r="BV66" s="800">
        <f t="shared" si="131"/>
        <v>132.4116560880002</v>
      </c>
      <c r="BW66" s="800">
        <f t="shared" si="131"/>
        <v>236.42666991359988</v>
      </c>
      <c r="BX66" s="849">
        <f t="shared" si="131"/>
        <v>154.56026640000027</v>
      </c>
      <c r="BY66" s="934">
        <f t="shared" si="131"/>
        <v>76.860011211648043</v>
      </c>
      <c r="BZ66" s="800">
        <f t="shared" si="131"/>
        <v>89.377867859400112</v>
      </c>
      <c r="CA66" s="800">
        <f t="shared" si="131"/>
        <v>90.630223466880125</v>
      </c>
      <c r="CB66" s="849">
        <f t="shared" si="131"/>
        <v>72.128124320000097</v>
      </c>
      <c r="CC66" s="934">
        <f t="shared" si="131"/>
        <v>80.703011772230411</v>
      </c>
      <c r="CD66" s="800">
        <f t="shared" si="131"/>
        <v>93.846761252370015</v>
      </c>
      <c r="CE66" s="800">
        <f t="shared" si="131"/>
        <v>95.16173464022404</v>
      </c>
      <c r="CF66" s="849">
        <f t="shared" si="131"/>
        <v>75.734530536000193</v>
      </c>
      <c r="CG66" s="234"/>
      <c r="CH66" s="160"/>
      <c r="CM66" s="64"/>
      <c r="CN66" s="800">
        <f t="shared" ref="CN66:CY66" si="132">+CN63-CM63</f>
        <v>89.156999999999925</v>
      </c>
      <c r="CO66" s="800">
        <f t="shared" si="132"/>
        <v>615.48200000000088</v>
      </c>
      <c r="CP66" s="800">
        <f t="shared" si="132"/>
        <v>262.69099999999798</v>
      </c>
      <c r="CQ66" s="800">
        <f t="shared" si="132"/>
        <v>417.12820000000147</v>
      </c>
      <c r="CR66" s="800">
        <f t="shared" si="132"/>
        <v>552.87778999999955</v>
      </c>
      <c r="CS66" s="800">
        <f t="shared" si="132"/>
        <v>561.72453299999916</v>
      </c>
      <c r="CT66" s="800">
        <f t="shared" si="132"/>
        <v>885.82833461999962</v>
      </c>
      <c r="CU66" s="800">
        <f>+CU63-CT63</f>
        <v>1268.1982332860034</v>
      </c>
      <c r="CV66" s="800">
        <f>+CV63-CU63</f>
        <v>495.93184317319901</v>
      </c>
      <c r="CW66" s="800">
        <f>+CW63-CV63</f>
        <v>596.59860307936106</v>
      </c>
      <c r="CX66" s="800">
        <f t="shared" si="132"/>
        <v>328.99622685792747</v>
      </c>
      <c r="CY66" s="800">
        <f t="shared" si="132"/>
        <v>345.44603820082466</v>
      </c>
      <c r="CZ66" s="800">
        <f>+CZ63-CY63</f>
        <v>290.17467208869311</v>
      </c>
      <c r="DA66" s="800">
        <f t="shared" ref="DA66:DF66" si="133">+DA63-CZ63</f>
        <v>226.33624422918001</v>
      </c>
      <c r="DB66" s="800">
        <f t="shared" si="133"/>
        <v>155.41755437070424</v>
      </c>
      <c r="DC66" s="800">
        <f t="shared" si="133"/>
        <v>158.52590545811836</v>
      </c>
      <c r="DD66" s="800">
        <f t="shared" si="133"/>
        <v>161.69642356727945</v>
      </c>
      <c r="DE66" s="800">
        <f t="shared" si="133"/>
        <v>164.93035203862564</v>
      </c>
      <c r="DF66" s="849">
        <f t="shared" si="133"/>
        <v>168.22895907939892</v>
      </c>
    </row>
    <row r="67" spans="1:110" ht="12.75" customHeight="1">
      <c r="A67" s="12"/>
      <c r="B67" s="13"/>
      <c r="C67" s="13"/>
      <c r="D67" s="13"/>
      <c r="E67" s="13"/>
      <c r="F67" s="12"/>
      <c r="G67" s="12"/>
      <c r="H67" s="12"/>
      <c r="I67" s="185" t="s">
        <v>241</v>
      </c>
      <c r="J67" s="70"/>
      <c r="K67" s="70"/>
      <c r="P67" s="234"/>
      <c r="T67" s="234"/>
      <c r="X67" s="234"/>
      <c r="AB67" s="234"/>
      <c r="AF67" s="249"/>
      <c r="AG67" s="64">
        <f t="shared" ref="AG67:BO67" si="134">+AG63/AG74</f>
        <v>0.43816230561995917</v>
      </c>
      <c r="AH67" s="64">
        <f t="shared" si="134"/>
        <v>0.44272956792470358</v>
      </c>
      <c r="AI67" s="64">
        <f t="shared" si="134"/>
        <v>0.40017672044885411</v>
      </c>
      <c r="AJ67" s="180">
        <f t="shared" si="134"/>
        <v>0.40620023908862812</v>
      </c>
      <c r="AK67" s="64">
        <f t="shared" si="134"/>
        <v>0.39858859009381559</v>
      </c>
      <c r="AL67" s="64">
        <f t="shared" si="134"/>
        <v>0.42377055315295903</v>
      </c>
      <c r="AM67" s="64">
        <f t="shared" si="134"/>
        <v>0.42201741931734199</v>
      </c>
      <c r="AN67" s="180">
        <f t="shared" si="134"/>
        <v>0.46870546510366823</v>
      </c>
      <c r="AO67" s="64">
        <f t="shared" si="134"/>
        <v>0.4952716348020994</v>
      </c>
      <c r="AP67" s="64">
        <f t="shared" si="134"/>
        <v>0.50819916449229841</v>
      </c>
      <c r="AQ67" s="64">
        <f t="shared" si="134"/>
        <v>0.48180850624767851</v>
      </c>
      <c r="AR67" s="180">
        <f t="shared" si="134"/>
        <v>0.51287879777565848</v>
      </c>
      <c r="AS67" s="64">
        <f t="shared" si="134"/>
        <v>0.51146733211381679</v>
      </c>
      <c r="AT67" s="64">
        <f t="shared" si="134"/>
        <v>0.48397244479835422</v>
      </c>
      <c r="AU67" s="64">
        <f t="shared" si="134"/>
        <v>0.48482299755185398</v>
      </c>
      <c r="AV67" s="180">
        <f t="shared" si="134"/>
        <v>0.49979843149619185</v>
      </c>
      <c r="AW67" s="64">
        <f t="shared" si="134"/>
        <v>0.56144256329913589</v>
      </c>
      <c r="AX67" s="64">
        <f t="shared" si="134"/>
        <v>0.54088253621046933</v>
      </c>
      <c r="AY67" s="64">
        <f t="shared" si="134"/>
        <v>0.51281355932203387</v>
      </c>
      <c r="AZ67" s="180">
        <f t="shared" si="134"/>
        <v>0.51477272727272705</v>
      </c>
      <c r="BA67" s="64">
        <f t="shared" si="134"/>
        <v>0.60817984056687302</v>
      </c>
      <c r="BB67" s="64">
        <f t="shared" si="134"/>
        <v>0.56922779051987771</v>
      </c>
      <c r="BC67" s="64">
        <f t="shared" si="134"/>
        <v>0.57122082018927445</v>
      </c>
      <c r="BD67" s="180">
        <f t="shared" si="134"/>
        <v>0.59018199233716484</v>
      </c>
      <c r="BE67" s="64">
        <f t="shared" si="134"/>
        <v>0.65696791111111108</v>
      </c>
      <c r="BF67" s="64">
        <f t="shared" si="134"/>
        <v>0.65696072258533011</v>
      </c>
      <c r="BG67" s="64">
        <f t="shared" si="134"/>
        <v>0.68481459896983032</v>
      </c>
      <c r="BH67" s="180">
        <f t="shared" si="134"/>
        <v>0.6149449541284403</v>
      </c>
      <c r="BI67" s="64">
        <f t="shared" si="134"/>
        <v>0.68585034884671503</v>
      </c>
      <c r="BJ67" s="64">
        <f t="shared" si="134"/>
        <v>0.69470245286085819</v>
      </c>
      <c r="BK67" s="64">
        <f t="shared" si="134"/>
        <v>0.78039060983606501</v>
      </c>
      <c r="BL67" s="180">
        <f t="shared" si="134"/>
        <v>0.70589485134155194</v>
      </c>
      <c r="BM67" s="1263">
        <f t="shared" si="134"/>
        <v>0.76746091099328118</v>
      </c>
      <c r="BN67" s="64">
        <f t="shared" si="134"/>
        <v>0.78975651091056032</v>
      </c>
      <c r="BO67" s="64">
        <f t="shared" si="134"/>
        <v>0.88625203405622532</v>
      </c>
      <c r="BP67" s="64">
        <f t="shared" ref="BP67:CF67" si="135">1-BP60</f>
        <v>0.85591528751753176</v>
      </c>
      <c r="BQ67" s="1263">
        <f t="shared" si="135"/>
        <v>0.87619629997320558</v>
      </c>
      <c r="BR67" s="64">
        <f t="shared" si="135"/>
        <v>0.88551697061027823</v>
      </c>
      <c r="BS67" s="64">
        <f t="shared" si="135"/>
        <v>0.92716341142588232</v>
      </c>
      <c r="BT67" s="180">
        <f t="shared" si="135"/>
        <v>0.97798194381169357</v>
      </c>
      <c r="BU67" s="1263">
        <f t="shared" si="135"/>
        <v>0.93691723909734159</v>
      </c>
      <c r="BV67" s="64">
        <f t="shared" si="135"/>
        <v>0.94355870999454328</v>
      </c>
      <c r="BW67" s="64">
        <f>1-BW60</f>
        <v>0.96378903150952033</v>
      </c>
      <c r="BX67" s="180">
        <f t="shared" si="135"/>
        <v>0.98612414512519819</v>
      </c>
      <c r="BY67" s="1263">
        <f t="shared" si="135"/>
        <v>0.95704151273799809</v>
      </c>
      <c r="BZ67" s="64">
        <f t="shared" si="135"/>
        <v>0.96165098401889093</v>
      </c>
      <c r="CA67" s="64">
        <f t="shared" si="135"/>
        <v>0.97556440886614881</v>
      </c>
      <c r="CB67" s="180">
        <f t="shared" si="135"/>
        <v>0.99070644474212233</v>
      </c>
      <c r="CC67" s="1263">
        <f t="shared" si="135"/>
        <v>0.96693149230836895</v>
      </c>
      <c r="CD67" s="64">
        <f t="shared" si="135"/>
        <v>0.97051245969188848</v>
      </c>
      <c r="CE67" s="64">
        <f t="shared" si="135"/>
        <v>0.981273455760306</v>
      </c>
      <c r="CF67" s="180">
        <f t="shared" si="135"/>
        <v>0.99290349318966953</v>
      </c>
      <c r="CG67" s="234"/>
      <c r="CH67" s="160"/>
      <c r="CM67" s="64">
        <f t="shared" ref="CM67:CS67" si="136">+CM63/CM74</f>
        <v>0.42290715180024241</v>
      </c>
      <c r="CN67" s="64">
        <f t="shared" si="136"/>
        <v>0.42864589498114297</v>
      </c>
      <c r="CO67" s="64">
        <f t="shared" si="136"/>
        <v>0.49937373286364406</v>
      </c>
      <c r="CP67" s="64">
        <f t="shared" si="136"/>
        <v>0.49423301499813838</v>
      </c>
      <c r="CQ67" s="64">
        <f t="shared" si="136"/>
        <v>0.53255958805912973</v>
      </c>
      <c r="CR67" s="64">
        <f t="shared" si="136"/>
        <v>0.58362665613813436</v>
      </c>
      <c r="CS67" s="64">
        <f t="shared" si="136"/>
        <v>0.655400614038537</v>
      </c>
      <c r="CT67" s="64">
        <f>1-CT60</f>
        <v>0.7182352899063511</v>
      </c>
      <c r="CU67" s="64">
        <f t="shared" ref="CU67:CZ67" si="137">+CU63/CU74</f>
        <v>0.82368569362143529</v>
      </c>
      <c r="CV67" s="64">
        <f t="shared" si="137"/>
        <v>0.91250967425334772</v>
      </c>
      <c r="CW67" s="64">
        <f t="shared" si="137"/>
        <v>0.95655786271544074</v>
      </c>
      <c r="CX67" s="64">
        <f t="shared" si="137"/>
        <v>0.97061303089487994</v>
      </c>
      <c r="CY67" s="64">
        <f t="shared" si="137"/>
        <v>0.97745216340145391</v>
      </c>
      <c r="CZ67" s="64">
        <f t="shared" si="137"/>
        <v>0.98256478885682985</v>
      </c>
      <c r="DA67" s="64">
        <f t="shared" ref="DA67:DF67" si="138">+DA63/DA74</f>
        <v>0.98640515964630904</v>
      </c>
      <c r="DB67" s="64">
        <f t="shared" si="138"/>
        <v>0.98798533646054065</v>
      </c>
      <c r="DC67" s="64">
        <f t="shared" si="138"/>
        <v>0.98938382042687167</v>
      </c>
      <c r="DD67" s="64">
        <f t="shared" si="138"/>
        <v>0.99062106879808165</v>
      </c>
      <c r="DE67" s="64">
        <f t="shared" si="138"/>
        <v>0.99171533113485821</v>
      </c>
      <c r="DF67" s="180">
        <f t="shared" si="138"/>
        <v>0.9926828662919559</v>
      </c>
    </row>
    <row r="68" spans="1:110" s="48" customFormat="1" ht="12.75" customHeight="1">
      <c r="A68" s="12"/>
      <c r="B68" s="12"/>
      <c r="C68" s="12"/>
      <c r="D68" s="12"/>
      <c r="E68" s="12"/>
      <c r="F68" s="12"/>
      <c r="G68" s="12"/>
      <c r="H68" s="12"/>
      <c r="I68" s="1368" t="s">
        <v>384</v>
      </c>
      <c r="J68" s="85"/>
      <c r="K68" s="85"/>
      <c r="P68" s="243"/>
      <c r="T68" s="243"/>
      <c r="X68" s="243"/>
      <c r="AB68" s="243"/>
      <c r="AC68" s="60"/>
      <c r="AD68" s="60"/>
      <c r="AE68" s="60"/>
      <c r="AF68" s="247"/>
      <c r="AG68" s="206"/>
      <c r="AH68" s="206"/>
      <c r="AI68" s="206"/>
      <c r="AJ68" s="207"/>
      <c r="AK68" s="48">
        <f t="shared" ref="AK68:CF68" si="139">+(AK67-AG67)*10000</f>
        <v>-395.73715526143582</v>
      </c>
      <c r="AL68" s="48">
        <f t="shared" si="139"/>
        <v>-189.59014771744555</v>
      </c>
      <c r="AM68" s="48">
        <f t="shared" si="139"/>
        <v>218.40698868487885</v>
      </c>
      <c r="AN68" s="243">
        <f t="shared" si="139"/>
        <v>625.05226015040103</v>
      </c>
      <c r="AO68" s="48">
        <f t="shared" si="139"/>
        <v>966.83044708283819</v>
      </c>
      <c r="AP68" s="48">
        <f t="shared" si="139"/>
        <v>844.28611339339375</v>
      </c>
      <c r="AQ68" s="48">
        <f t="shared" si="139"/>
        <v>597.91086930336519</v>
      </c>
      <c r="AR68" s="243">
        <f t="shared" si="139"/>
        <v>441.73332671990249</v>
      </c>
      <c r="AS68" s="48">
        <f t="shared" si="139"/>
        <v>161.95697311717382</v>
      </c>
      <c r="AT68" s="48">
        <f t="shared" si="139"/>
        <v>-242.26719693944187</v>
      </c>
      <c r="AU68" s="48">
        <f t="shared" si="139"/>
        <v>30.144913041754705</v>
      </c>
      <c r="AV68" s="243">
        <f t="shared" si="139"/>
        <v>-130.80366279466625</v>
      </c>
      <c r="AW68" s="48">
        <f t="shared" si="139"/>
        <v>499.75231185319103</v>
      </c>
      <c r="AX68" s="48">
        <f t="shared" si="139"/>
        <v>569.10091412115116</v>
      </c>
      <c r="AY68" s="48">
        <f t="shared" si="139"/>
        <v>279.90561770179892</v>
      </c>
      <c r="AZ68" s="243">
        <f t="shared" si="139"/>
        <v>149.74295776535195</v>
      </c>
      <c r="BA68" s="48">
        <f t="shared" si="139"/>
        <v>467.3727726773713</v>
      </c>
      <c r="BB68" s="48">
        <f t="shared" si="139"/>
        <v>283.45254309408375</v>
      </c>
      <c r="BC68" s="48">
        <f t="shared" si="139"/>
        <v>584.07260867240575</v>
      </c>
      <c r="BD68" s="243">
        <f t="shared" si="139"/>
        <v>754.09265064437795</v>
      </c>
      <c r="BE68" s="48">
        <f t="shared" si="139"/>
        <v>487.88070544238059</v>
      </c>
      <c r="BF68" s="48">
        <f t="shared" si="139"/>
        <v>877.32932065452405</v>
      </c>
      <c r="BG68" s="48">
        <f t="shared" si="139"/>
        <v>1135.9377878055589</v>
      </c>
      <c r="BH68" s="864">
        <f t="shared" si="139"/>
        <v>247.62961791275461</v>
      </c>
      <c r="BI68" s="833">
        <f t="shared" si="139"/>
        <v>288.82437735603952</v>
      </c>
      <c r="BJ68" s="833">
        <f t="shared" si="139"/>
        <v>377.41730275528073</v>
      </c>
      <c r="BK68" s="833">
        <f t="shared" si="139"/>
        <v>955.76010866234685</v>
      </c>
      <c r="BL68" s="864">
        <f t="shared" si="139"/>
        <v>909.49897213111637</v>
      </c>
      <c r="BM68" s="1264">
        <f t="shared" si="139"/>
        <v>816.10562146566144</v>
      </c>
      <c r="BN68" s="833">
        <f t="shared" si="139"/>
        <v>950.54058049702132</v>
      </c>
      <c r="BO68" s="833">
        <f t="shared" si="139"/>
        <v>1058.6142422016032</v>
      </c>
      <c r="BP68" s="833">
        <f t="shared" si="139"/>
        <v>1500.2043617597983</v>
      </c>
      <c r="BQ68" s="1264">
        <f t="shared" si="139"/>
        <v>1087.3538897992441</v>
      </c>
      <c r="BR68" s="833">
        <f t="shared" si="139"/>
        <v>957.6045969971791</v>
      </c>
      <c r="BS68" s="833">
        <f t="shared" si="139"/>
        <v>409.11377369656998</v>
      </c>
      <c r="BT68" s="864">
        <f t="shared" si="139"/>
        <v>1220.6665629416179</v>
      </c>
      <c r="BU68" s="1264">
        <f t="shared" si="139"/>
        <v>607.20939124136009</v>
      </c>
      <c r="BV68" s="833">
        <f t="shared" si="139"/>
        <v>580.41739384265043</v>
      </c>
      <c r="BW68" s="833">
        <f t="shared" si="139"/>
        <v>366.25620083638012</v>
      </c>
      <c r="BX68" s="864">
        <f t="shared" si="139"/>
        <v>81.422013135046271</v>
      </c>
      <c r="BY68" s="1264">
        <f t="shared" si="139"/>
        <v>201.24273640656497</v>
      </c>
      <c r="BZ68" s="833">
        <f t="shared" si="139"/>
        <v>180.92274024347654</v>
      </c>
      <c r="CA68" s="833">
        <f t="shared" si="139"/>
        <v>117.75377356628481</v>
      </c>
      <c r="CB68" s="864">
        <f t="shared" si="139"/>
        <v>45.82299616924135</v>
      </c>
      <c r="CC68" s="1264">
        <f t="shared" si="139"/>
        <v>98.899795703708548</v>
      </c>
      <c r="CD68" s="833">
        <f t="shared" si="139"/>
        <v>88.614756729975539</v>
      </c>
      <c r="CE68" s="833">
        <f t="shared" si="139"/>
        <v>57.090468941571885</v>
      </c>
      <c r="CF68" s="864">
        <f t="shared" si="139"/>
        <v>21.970484475472006</v>
      </c>
      <c r="CG68" s="243"/>
      <c r="CH68" s="177"/>
      <c r="CM68" s="206"/>
      <c r="CN68" s="48">
        <f t="shared" ref="CN68:CY68" si="140">+(CN67-CM67)*10000</f>
        <v>57.387431809005626</v>
      </c>
      <c r="CO68" s="48">
        <f t="shared" si="140"/>
        <v>707.27837882501092</v>
      </c>
      <c r="CP68" s="48">
        <f t="shared" si="140"/>
        <v>-51.407178655056839</v>
      </c>
      <c r="CQ68" s="48">
        <f t="shared" si="140"/>
        <v>383.26573060991353</v>
      </c>
      <c r="CR68" s="48">
        <f t="shared" si="140"/>
        <v>510.67068079004628</v>
      </c>
      <c r="CS68" s="833">
        <f t="shared" si="140"/>
        <v>717.73957900402638</v>
      </c>
      <c r="CT68" s="833">
        <f t="shared" si="140"/>
        <v>628.3467586781411</v>
      </c>
      <c r="CU68" s="833">
        <f t="shared" si="140"/>
        <v>1054.5040371508419</v>
      </c>
      <c r="CV68" s="833">
        <f t="shared" si="140"/>
        <v>888.23980631912434</v>
      </c>
      <c r="CW68" s="833">
        <f t="shared" si="140"/>
        <v>440.4818846209302</v>
      </c>
      <c r="CX68" s="833">
        <f t="shared" si="140"/>
        <v>140.55168179439192</v>
      </c>
      <c r="CY68" s="833">
        <f t="shared" si="140"/>
        <v>68.39132506573975</v>
      </c>
      <c r="CZ68" s="833">
        <f>+(CZ67-CY67)*10000</f>
        <v>51.126254553759409</v>
      </c>
      <c r="DA68" s="833">
        <f t="shared" ref="DA68:DF68" si="141">+(DA67-CZ67)*10000</f>
        <v>38.403707894791864</v>
      </c>
      <c r="DB68" s="833">
        <f t="shared" si="141"/>
        <v>15.801768142316153</v>
      </c>
      <c r="DC68" s="833">
        <f t="shared" si="141"/>
        <v>13.984839663310211</v>
      </c>
      <c r="DD68" s="833">
        <f t="shared" si="141"/>
        <v>12.372483712099758</v>
      </c>
      <c r="DE68" s="833">
        <f t="shared" si="141"/>
        <v>10.942623367765636</v>
      </c>
      <c r="DF68" s="864">
        <f t="shared" si="141"/>
        <v>9.6753515709768756</v>
      </c>
    </row>
    <row r="69" spans="1:110" ht="12.75" customHeight="1">
      <c r="A69" s="12"/>
      <c r="B69" s="13"/>
      <c r="C69" s="13"/>
      <c r="D69" s="13"/>
      <c r="E69" s="13"/>
      <c r="F69" s="12"/>
      <c r="G69" s="12"/>
      <c r="H69" s="12"/>
      <c r="I69" s="185"/>
      <c r="J69" s="70"/>
      <c r="K69" s="70"/>
      <c r="P69" s="234"/>
      <c r="T69" s="234"/>
      <c r="X69" s="234"/>
      <c r="AB69" s="234"/>
      <c r="AF69" s="249"/>
      <c r="AG69" s="64"/>
      <c r="AH69" s="64"/>
      <c r="AI69" s="64"/>
      <c r="AJ69" s="180"/>
      <c r="AK69" s="64"/>
      <c r="AL69" s="64"/>
      <c r="AM69" s="64"/>
      <c r="AN69" s="180"/>
      <c r="AO69" s="64"/>
      <c r="AP69" s="64"/>
      <c r="AQ69" s="64"/>
      <c r="AR69" s="180"/>
      <c r="AS69" s="64"/>
      <c r="AT69" s="64"/>
      <c r="AU69" s="64"/>
      <c r="AV69" s="180"/>
      <c r="AW69" s="64"/>
      <c r="AX69" s="64"/>
      <c r="AY69" s="64"/>
      <c r="AZ69" s="180"/>
      <c r="BA69" s="64"/>
      <c r="BB69" s="64"/>
      <c r="BC69" s="64"/>
      <c r="BD69" s="180"/>
      <c r="BE69" s="64"/>
      <c r="BF69" s="64"/>
      <c r="BG69" s="64"/>
      <c r="BH69" s="180"/>
      <c r="BI69" s="64"/>
      <c r="BJ69" s="64"/>
      <c r="BK69" s="64"/>
      <c r="BL69" s="180"/>
      <c r="BM69" s="1263"/>
      <c r="BN69" s="64"/>
      <c r="BO69" s="64"/>
      <c r="BP69" s="64"/>
      <c r="BQ69" s="1263"/>
      <c r="BR69" s="800"/>
      <c r="BS69" s="64"/>
      <c r="BT69" s="180"/>
      <c r="BU69" s="1263"/>
      <c r="BV69" s="64"/>
      <c r="BW69" s="64"/>
      <c r="BX69" s="180"/>
      <c r="BY69" s="1263"/>
      <c r="BZ69" s="64"/>
      <c r="CA69" s="64"/>
      <c r="CB69" s="180"/>
      <c r="CC69" s="1263"/>
      <c r="CD69" s="64"/>
      <c r="CE69" s="64"/>
      <c r="CF69" s="180"/>
      <c r="CG69" s="234"/>
      <c r="CH69" s="160"/>
      <c r="CM69" s="64"/>
      <c r="CN69" s="64"/>
      <c r="CO69" s="64"/>
      <c r="CP69" s="64"/>
      <c r="CQ69" s="64"/>
      <c r="CR69" s="64"/>
      <c r="CS69" s="64"/>
      <c r="CT69" s="64"/>
      <c r="CU69" s="64"/>
      <c r="CV69" s="64"/>
      <c r="CW69" s="64"/>
      <c r="CX69" s="64"/>
      <c r="CY69" s="64"/>
      <c r="DF69" s="234"/>
    </row>
    <row r="70" spans="1:110" ht="12.75" customHeight="1">
      <c r="A70" s="12"/>
      <c r="B70" s="12"/>
      <c r="C70" s="12"/>
      <c r="D70" s="12"/>
      <c r="E70" s="12"/>
      <c r="F70" s="12"/>
      <c r="G70" s="12"/>
      <c r="H70" s="12"/>
      <c r="I70" s="184" t="s">
        <v>498</v>
      </c>
      <c r="J70" s="70"/>
      <c r="K70" s="70"/>
      <c r="P70" s="234"/>
      <c r="T70" s="234"/>
      <c r="X70" s="234"/>
      <c r="AB70" s="234"/>
      <c r="AF70" s="249"/>
      <c r="AG70" s="800">
        <f t="shared" ref="AG70:BL70" si="142">+AG63-AG335</f>
        <v>7.4919999999999618</v>
      </c>
      <c r="AH70" s="800">
        <f t="shared" si="142"/>
        <v>14.600999999999971</v>
      </c>
      <c r="AI70" s="800">
        <f t="shared" si="142"/>
        <v>12.17999999999995</v>
      </c>
      <c r="AJ70" s="849">
        <f t="shared" si="142"/>
        <v>19.053999999999974</v>
      </c>
      <c r="AK70" s="800">
        <f t="shared" si="142"/>
        <v>11.609500000000054</v>
      </c>
      <c r="AL70" s="800">
        <f t="shared" si="142"/>
        <v>12.982999999999976</v>
      </c>
      <c r="AM70" s="800">
        <f t="shared" si="142"/>
        <v>16.057699999999983</v>
      </c>
      <c r="AN70" s="849">
        <f t="shared" si="142"/>
        <v>28.613999999999947</v>
      </c>
      <c r="AO70" s="800">
        <f t="shared" si="142"/>
        <v>17.853749999999991</v>
      </c>
      <c r="AP70" s="800">
        <f t="shared" si="142"/>
        <v>22.164700000000039</v>
      </c>
      <c r="AQ70" s="800">
        <f t="shared" si="142"/>
        <v>19.26215000000002</v>
      </c>
      <c r="AR70" s="849">
        <f t="shared" si="142"/>
        <v>17.666699999999992</v>
      </c>
      <c r="AS70" s="800">
        <f t="shared" si="142"/>
        <v>43.53389999999996</v>
      </c>
      <c r="AT70" s="800">
        <f t="shared" si="142"/>
        <v>46.677399999999977</v>
      </c>
      <c r="AU70" s="800">
        <f t="shared" si="142"/>
        <v>48.419999999999959</v>
      </c>
      <c r="AV70" s="849">
        <f t="shared" si="142"/>
        <v>41.532399999999996</v>
      </c>
      <c r="AW70" s="800">
        <f t="shared" si="142"/>
        <v>55.54631999999998</v>
      </c>
      <c r="AX70" s="800">
        <f t="shared" si="142"/>
        <v>62.411299999999983</v>
      </c>
      <c r="AY70" s="800">
        <f t="shared" si="142"/>
        <v>57.486400000000003</v>
      </c>
      <c r="AZ70" s="849">
        <f t="shared" si="142"/>
        <v>46.432499999999948</v>
      </c>
      <c r="BA70" s="800">
        <f t="shared" si="142"/>
        <v>168.17224754716938</v>
      </c>
      <c r="BB70" s="800">
        <f t="shared" si="142"/>
        <v>154.60739785276076</v>
      </c>
      <c r="BC70" s="800">
        <f t="shared" si="142"/>
        <v>208.42185365853652</v>
      </c>
      <c r="BD70" s="849">
        <f t="shared" si="142"/>
        <v>175.92760581818192</v>
      </c>
      <c r="BE70" s="800">
        <f t="shared" si="142"/>
        <v>283.3936359245281</v>
      </c>
      <c r="BF70" s="800">
        <f t="shared" si="142"/>
        <v>273.39638420245353</v>
      </c>
      <c r="BG70" s="800">
        <f t="shared" si="142"/>
        <v>355.12755798780427</v>
      </c>
      <c r="BH70" s="849">
        <f t="shared" si="142"/>
        <v>212.45871005090902</v>
      </c>
      <c r="BI70" s="800">
        <f t="shared" si="142"/>
        <v>343.85262350490507</v>
      </c>
      <c r="BJ70" s="800">
        <f t="shared" si="142"/>
        <v>393.02714454662555</v>
      </c>
      <c r="BK70" s="800">
        <f t="shared" si="142"/>
        <v>597.83947131585273</v>
      </c>
      <c r="BL70" s="849">
        <f t="shared" si="142"/>
        <v>361.24316086807278</v>
      </c>
      <c r="BM70" s="934">
        <f t="shared" ref="BM70:CF70" si="143">+BM63-BM335</f>
        <v>534.40971712241617</v>
      </c>
      <c r="BN70" s="800">
        <f t="shared" si="143"/>
        <v>573.03485647868683</v>
      </c>
      <c r="BO70" s="800">
        <f t="shared" si="143"/>
        <v>798.23392016182981</v>
      </c>
      <c r="BP70" s="800">
        <f t="shared" si="143"/>
        <v>619.23266467486269</v>
      </c>
      <c r="BQ70" s="934">
        <f t="shared" si="143"/>
        <v>720.41870555640776</v>
      </c>
      <c r="BR70" s="800">
        <f t="shared" si="143"/>
        <v>699.89974738469516</v>
      </c>
      <c r="BS70" s="800">
        <f t="shared" si="143"/>
        <v>792.34925546592069</v>
      </c>
      <c r="BT70" s="849">
        <f t="shared" si="143"/>
        <v>662.64758326185722</v>
      </c>
      <c r="BU70" s="934">
        <f t="shared" si="143"/>
        <v>847.90016631807964</v>
      </c>
      <c r="BV70" s="800">
        <f t="shared" si="143"/>
        <v>814.11624244954658</v>
      </c>
      <c r="BW70" s="800">
        <f t="shared" si="143"/>
        <v>1030.7354967394158</v>
      </c>
      <c r="BX70" s="849">
        <f>+BX63-BX335</f>
        <v>830.45065373395937</v>
      </c>
      <c r="BY70" s="934">
        <f t="shared" si="143"/>
        <v>904.0811757922811</v>
      </c>
      <c r="BZ70" s="800">
        <f t="shared" si="143"/>
        <v>939.51143155426939</v>
      </c>
      <c r="CA70" s="800">
        <f t="shared" si="143"/>
        <v>1168.6893685477648</v>
      </c>
      <c r="CB70" s="849">
        <f t="shared" si="143"/>
        <v>878.09430474731778</v>
      </c>
      <c r="CC70" s="934">
        <f t="shared" si="143"/>
        <v>948.85924714610383</v>
      </c>
      <c r="CD70" s="800">
        <f t="shared" si="143"/>
        <v>947.67765808136721</v>
      </c>
      <c r="CE70" s="800">
        <f t="shared" si="143"/>
        <v>1211.6983851657619</v>
      </c>
      <c r="CF70" s="849">
        <f t="shared" si="143"/>
        <v>915.12377988017886</v>
      </c>
      <c r="CG70" s="234"/>
      <c r="CH70" s="160"/>
      <c r="CM70" s="800">
        <f t="shared" ref="CM70:DF70" si="144">+CM63-CM335</f>
        <v>53.327000000000112</v>
      </c>
      <c r="CN70" s="800">
        <f t="shared" si="144"/>
        <v>69.26419999999996</v>
      </c>
      <c r="CO70" s="800">
        <f t="shared" si="144"/>
        <v>76.947300000000951</v>
      </c>
      <c r="CP70" s="800">
        <f t="shared" si="144"/>
        <v>180.16369999999915</v>
      </c>
      <c r="CQ70" s="800">
        <f t="shared" si="144"/>
        <v>221.8765199999998</v>
      </c>
      <c r="CR70" s="800">
        <f t="shared" si="144"/>
        <v>707.1291048766484</v>
      </c>
      <c r="CS70" s="800">
        <f t="shared" si="144"/>
        <v>1124.3762881656949</v>
      </c>
      <c r="CT70" s="800">
        <f t="shared" si="144"/>
        <v>1695.9624002354562</v>
      </c>
      <c r="CU70" s="800">
        <f t="shared" si="144"/>
        <v>2524.9111584377952</v>
      </c>
      <c r="CV70" s="800">
        <f t="shared" si="144"/>
        <v>2875.3152916688805</v>
      </c>
      <c r="CW70" s="800">
        <f t="shared" si="144"/>
        <v>3523.2025592410023</v>
      </c>
      <c r="CX70" s="800">
        <f t="shared" si="144"/>
        <v>3890.376280641633</v>
      </c>
      <c r="CY70" s="800">
        <f t="shared" si="144"/>
        <v>4023.3590702734118</v>
      </c>
      <c r="CZ70" s="800">
        <f t="shared" si="144"/>
        <v>4086.1160572289691</v>
      </c>
      <c r="DA70" s="800">
        <f t="shared" si="144"/>
        <v>4069.027596905039</v>
      </c>
      <c r="DB70" s="800">
        <f t="shared" si="144"/>
        <v>3963.8867573580519</v>
      </c>
      <c r="DC70" s="800">
        <f t="shared" si="144"/>
        <v>3843.5146078073194</v>
      </c>
      <c r="DD70" s="800">
        <f t="shared" si="144"/>
        <v>3706.6824600314249</v>
      </c>
      <c r="DE70" s="800">
        <f t="shared" si="144"/>
        <v>3552.0720110222701</v>
      </c>
      <c r="DF70" s="849">
        <f t="shared" si="144"/>
        <v>3378.2689727124452</v>
      </c>
    </row>
    <row r="71" spans="1:110" ht="12.75" customHeight="1">
      <c r="A71" s="12"/>
      <c r="B71" s="13"/>
      <c r="C71" s="13"/>
      <c r="D71" s="13"/>
      <c r="E71" s="13"/>
      <c r="F71" s="12"/>
      <c r="G71" s="12"/>
      <c r="H71" s="12"/>
      <c r="I71" s="185" t="s">
        <v>376</v>
      </c>
      <c r="J71" s="70"/>
      <c r="K71" s="70"/>
      <c r="P71" s="234"/>
      <c r="T71" s="234"/>
      <c r="X71" s="234"/>
      <c r="AB71" s="234"/>
      <c r="AF71" s="249"/>
      <c r="AG71" s="64"/>
      <c r="AH71" s="64"/>
      <c r="AI71" s="64"/>
      <c r="AJ71" s="180"/>
      <c r="AK71" s="64">
        <f t="shared" ref="AK71:BD71" si="145">+AK70/AG70-1</f>
        <v>0.54958622530700918</v>
      </c>
      <c r="AL71" s="64">
        <f t="shared" si="145"/>
        <v>-0.11081432778576794</v>
      </c>
      <c r="AM71" s="64">
        <f t="shared" si="145"/>
        <v>0.31836617405583323</v>
      </c>
      <c r="AN71" s="180">
        <f t="shared" si="145"/>
        <v>0.50173191980686394</v>
      </c>
      <c r="AO71" s="64">
        <f t="shared" si="145"/>
        <v>0.53785692751625036</v>
      </c>
      <c r="AP71" s="64">
        <f t="shared" si="145"/>
        <v>0.70720942771316953</v>
      </c>
      <c r="AQ71" s="64">
        <f t="shared" si="145"/>
        <v>0.19955846727738336</v>
      </c>
      <c r="AR71" s="180">
        <f>+AR70/AN70-1</f>
        <v>-0.38258544768295155</v>
      </c>
      <c r="AS71" s="64">
        <f t="shared" si="145"/>
        <v>1.4383616887208559</v>
      </c>
      <c r="AT71" s="64">
        <f t="shared" si="145"/>
        <v>1.1059342107044037</v>
      </c>
      <c r="AU71" s="64">
        <f t="shared" si="145"/>
        <v>1.5137380821974653</v>
      </c>
      <c r="AV71" s="180">
        <f t="shared" si="145"/>
        <v>1.3508861304035285</v>
      </c>
      <c r="AW71" s="64">
        <f t="shared" si="145"/>
        <v>0.2759325491168958</v>
      </c>
      <c r="AX71" s="64">
        <f t="shared" si="145"/>
        <v>0.3370774721813985</v>
      </c>
      <c r="AY71" s="64">
        <f t="shared" si="145"/>
        <v>0.18724494010739479</v>
      </c>
      <c r="AZ71" s="180">
        <f t="shared" si="145"/>
        <v>0.1179825870886333</v>
      </c>
      <c r="BA71" s="64">
        <f t="shared" si="145"/>
        <v>2.0276037646988936</v>
      </c>
      <c r="BB71" s="64">
        <f t="shared" si="145"/>
        <v>1.4772340562167554</v>
      </c>
      <c r="BC71" s="64">
        <f t="shared" si="145"/>
        <v>2.6255854194824604</v>
      </c>
      <c r="BD71" s="180">
        <f t="shared" si="145"/>
        <v>2.7888893731369646</v>
      </c>
      <c r="BE71" s="64">
        <f t="shared" ref="BE71:BL71" si="146">+BE70/BA70-1</f>
        <v>0.68513913596261555</v>
      </c>
      <c r="BF71" s="64">
        <f t="shared" si="146"/>
        <v>0.76832666482635337</v>
      </c>
      <c r="BG71" s="64">
        <f t="shared" si="146"/>
        <v>0.70388830035846373</v>
      </c>
      <c r="BH71" s="180">
        <f t="shared" si="146"/>
        <v>0.20764850441085048</v>
      </c>
      <c r="BI71" s="64">
        <f t="shared" si="146"/>
        <v>0.21333925648379104</v>
      </c>
      <c r="BJ71" s="64">
        <f t="shared" si="146"/>
        <v>0.43757257687645157</v>
      </c>
      <c r="BK71" s="64">
        <f t="shared" si="146"/>
        <v>0.68344995444252077</v>
      </c>
      <c r="BL71" s="180">
        <f t="shared" si="146"/>
        <v>0.70029819338313914</v>
      </c>
      <c r="BM71" s="1263">
        <f t="shared" ref="BM71:CF71" si="147">+BM70/BI70-1</f>
        <v>0.55418246246067326</v>
      </c>
      <c r="BN71" s="64">
        <f t="shared" si="147"/>
        <v>0.45800325608478842</v>
      </c>
      <c r="BO71" s="64">
        <f t="shared" si="147"/>
        <v>0.33519775535212859</v>
      </c>
      <c r="BP71" s="64">
        <f t="shared" si="147"/>
        <v>0.71417131659139854</v>
      </c>
      <c r="BQ71" s="1263">
        <f t="shared" si="147"/>
        <v>0.34806438295242081</v>
      </c>
      <c r="BR71" s="64">
        <f t="shared" si="147"/>
        <v>0.22139122859924476</v>
      </c>
      <c r="BS71" s="64">
        <f t="shared" si="147"/>
        <v>-7.3721055285599357E-3</v>
      </c>
      <c r="BT71" s="180">
        <f t="shared" si="147"/>
        <v>7.0110834042952375E-2</v>
      </c>
      <c r="BU71" s="1263">
        <f t="shared" si="147"/>
        <v>0.17695467896438499</v>
      </c>
      <c r="BV71" s="64">
        <f t="shared" si="147"/>
        <v>0.16318979324059257</v>
      </c>
      <c r="BW71" s="64">
        <f t="shared" si="147"/>
        <v>0.30086005587689768</v>
      </c>
      <c r="BX71" s="180">
        <f t="shared" si="147"/>
        <v>0.25323124193119062</v>
      </c>
      <c r="BY71" s="1263">
        <f t="shared" si="147"/>
        <v>6.6258990982584365E-2</v>
      </c>
      <c r="BZ71" s="64">
        <f t="shared" si="147"/>
        <v>0.15402614831443318</v>
      </c>
      <c r="CA71" s="64">
        <f t="shared" si="147"/>
        <v>0.13384022597916378</v>
      </c>
      <c r="CB71" s="180">
        <f t="shared" si="147"/>
        <v>5.7370839313736433E-2</v>
      </c>
      <c r="CC71" s="1263">
        <f t="shared" si="147"/>
        <v>4.9528817270840797E-2</v>
      </c>
      <c r="CD71" s="64">
        <f t="shared" si="147"/>
        <v>8.6919927239077488E-3</v>
      </c>
      <c r="CE71" s="64">
        <f>+CE70/CA70-1</f>
        <v>3.6801067739189675E-2</v>
      </c>
      <c r="CF71" s="180">
        <f t="shared" si="147"/>
        <v>4.2170271385049807E-2</v>
      </c>
      <c r="CG71" s="234"/>
      <c r="CH71" s="160"/>
      <c r="CM71" s="64"/>
      <c r="CN71" s="64">
        <f t="shared" ref="CN71:DF71" si="148">+CN70/CM70-1</f>
        <v>0.2988579893862362</v>
      </c>
      <c r="CO71" s="64">
        <f t="shared" si="148"/>
        <v>0.11092454687993203</v>
      </c>
      <c r="CP71" s="64">
        <f t="shared" si="148"/>
        <v>1.3413907960382878</v>
      </c>
      <c r="CQ71" s="64">
        <f t="shared" si="148"/>
        <v>0.23152732764702799</v>
      </c>
      <c r="CR71" s="64">
        <f t="shared" si="148"/>
        <v>2.1870389209126277</v>
      </c>
      <c r="CS71" s="64">
        <f t="shared" si="148"/>
        <v>0.59005799706381912</v>
      </c>
      <c r="CT71" s="64">
        <f t="shared" si="148"/>
        <v>0.50835838329732641</v>
      </c>
      <c r="CU71" s="64">
        <f t="shared" si="148"/>
        <v>0.48877779253080922</v>
      </c>
      <c r="CV71" s="64">
        <f t="shared" si="148"/>
        <v>0.13877879705196694</v>
      </c>
      <c r="CW71" s="64">
        <f t="shared" si="148"/>
        <v>0.22532738216547976</v>
      </c>
      <c r="CX71" s="64">
        <f>+CX70/CW70-1</f>
        <v>0.10421589880989712</v>
      </c>
      <c r="CY71" s="64">
        <f t="shared" si="148"/>
        <v>3.4182500621725564E-2</v>
      </c>
      <c r="CZ71" s="64">
        <f t="shared" si="148"/>
        <v>1.5598157126774259E-2</v>
      </c>
      <c r="DA71" s="64">
        <f>+DA70/CZ70-1</f>
        <v>-4.1820790414648368E-3</v>
      </c>
      <c r="DB71" s="64">
        <f t="shared" si="148"/>
        <v>-2.5839303627962273E-2</v>
      </c>
      <c r="DC71" s="64">
        <f t="shared" si="148"/>
        <v>-3.0367201920511233E-2</v>
      </c>
      <c r="DD71" s="64">
        <f t="shared" si="148"/>
        <v>-3.5600787752425256E-2</v>
      </c>
      <c r="DE71" s="64">
        <f t="shared" si="148"/>
        <v>-4.1711274347423832E-2</v>
      </c>
      <c r="DF71" s="180">
        <f t="shared" si="148"/>
        <v>-4.8930043583155003E-2</v>
      </c>
    </row>
    <row r="72" spans="1:110" ht="12.75" customHeight="1">
      <c r="A72" s="66"/>
      <c r="B72" s="66"/>
      <c r="C72" s="66"/>
      <c r="D72" s="66"/>
      <c r="E72" s="66"/>
      <c r="F72" s="66"/>
      <c r="G72" s="66"/>
      <c r="H72" s="709"/>
      <c r="I72" s="185" t="s">
        <v>630</v>
      </c>
      <c r="J72" s="70"/>
      <c r="K72" s="70"/>
      <c r="P72" s="234"/>
      <c r="T72" s="234"/>
      <c r="X72" s="234"/>
      <c r="AB72" s="234"/>
      <c r="AF72" s="249"/>
      <c r="AG72" s="800"/>
      <c r="AH72" s="800"/>
      <c r="AI72" s="800"/>
      <c r="AJ72" s="849"/>
      <c r="AK72" s="800">
        <f t="shared" ref="AK72:BD72" si="149">+AK70-AG70</f>
        <v>4.1175000000000921</v>
      </c>
      <c r="AL72" s="800">
        <f t="shared" si="149"/>
        <v>-1.617999999999995</v>
      </c>
      <c r="AM72" s="800">
        <f t="shared" si="149"/>
        <v>3.8777000000000328</v>
      </c>
      <c r="AN72" s="849">
        <f t="shared" si="149"/>
        <v>9.5599999999999739</v>
      </c>
      <c r="AO72" s="800">
        <f t="shared" si="149"/>
        <v>6.244249999999937</v>
      </c>
      <c r="AP72" s="800">
        <f t="shared" si="149"/>
        <v>9.1817000000000633</v>
      </c>
      <c r="AQ72" s="800">
        <f t="shared" si="149"/>
        <v>3.2044500000000369</v>
      </c>
      <c r="AR72" s="849">
        <f t="shared" si="149"/>
        <v>-10.947299999999956</v>
      </c>
      <c r="AS72" s="800">
        <f t="shared" si="149"/>
        <v>25.680149999999969</v>
      </c>
      <c r="AT72" s="800">
        <f t="shared" si="149"/>
        <v>24.512699999999938</v>
      </c>
      <c r="AU72" s="800">
        <f t="shared" si="149"/>
        <v>29.157849999999939</v>
      </c>
      <c r="AV72" s="849">
        <f t="shared" si="149"/>
        <v>23.865700000000004</v>
      </c>
      <c r="AW72" s="800">
        <f t="shared" si="149"/>
        <v>12.01242000000002</v>
      </c>
      <c r="AX72" s="800">
        <f t="shared" si="149"/>
        <v>15.733900000000006</v>
      </c>
      <c r="AY72" s="800">
        <f t="shared" si="149"/>
        <v>9.0664000000000442</v>
      </c>
      <c r="AZ72" s="849">
        <f t="shared" si="149"/>
        <v>4.9000999999999522</v>
      </c>
      <c r="BA72" s="800">
        <f t="shared" si="149"/>
        <v>112.6259275471694</v>
      </c>
      <c r="BB72" s="800">
        <f t="shared" si="149"/>
        <v>92.196097852760772</v>
      </c>
      <c r="BC72" s="800">
        <f t="shared" si="149"/>
        <v>150.93545365853652</v>
      </c>
      <c r="BD72" s="849">
        <f t="shared" si="149"/>
        <v>129.49510581818197</v>
      </c>
      <c r="BE72" s="800">
        <f t="shared" ref="BE72:BL72" si="150">+BE70-BA70</f>
        <v>115.22138837735872</v>
      </c>
      <c r="BF72" s="800">
        <f t="shared" si="150"/>
        <v>118.78898634969278</v>
      </c>
      <c r="BG72" s="800">
        <f t="shared" si="150"/>
        <v>146.70570432926775</v>
      </c>
      <c r="BH72" s="849">
        <f t="shared" si="150"/>
        <v>36.531104232727102</v>
      </c>
      <c r="BI72" s="800">
        <f t="shared" si="150"/>
        <v>60.45898758037697</v>
      </c>
      <c r="BJ72" s="800">
        <f t="shared" si="150"/>
        <v>119.63076034417202</v>
      </c>
      <c r="BK72" s="800">
        <f t="shared" si="150"/>
        <v>242.71191332804847</v>
      </c>
      <c r="BL72" s="849">
        <f t="shared" si="150"/>
        <v>148.78445081716376</v>
      </c>
      <c r="BM72" s="934">
        <f t="shared" ref="BM72:CF72" si="151">+BM70-BI70</f>
        <v>190.5570936175111</v>
      </c>
      <c r="BN72" s="800">
        <f t="shared" si="151"/>
        <v>180.00771193206128</v>
      </c>
      <c r="BO72" s="800">
        <f t="shared" si="151"/>
        <v>200.39444884597708</v>
      </c>
      <c r="BP72" s="800">
        <f t="shared" si="151"/>
        <v>257.98950380678991</v>
      </c>
      <c r="BQ72" s="934">
        <f t="shared" si="151"/>
        <v>186.00898843399159</v>
      </c>
      <c r="BR72" s="800">
        <f t="shared" si="151"/>
        <v>126.86489090600833</v>
      </c>
      <c r="BS72" s="800">
        <f t="shared" si="151"/>
        <v>-5.8846646959091231</v>
      </c>
      <c r="BT72" s="849">
        <f t="shared" si="151"/>
        <v>43.414918586994531</v>
      </c>
      <c r="BU72" s="934">
        <f t="shared" si="151"/>
        <v>127.48146076167188</v>
      </c>
      <c r="BV72" s="800">
        <f t="shared" si="151"/>
        <v>114.21649506485142</v>
      </c>
      <c r="BW72" s="800">
        <f t="shared" si="151"/>
        <v>238.3862412734951</v>
      </c>
      <c r="BX72" s="849">
        <f t="shared" si="151"/>
        <v>167.80307047210215</v>
      </c>
      <c r="BY72" s="934">
        <f t="shared" si="151"/>
        <v>56.18100947420146</v>
      </c>
      <c r="BZ72" s="800">
        <f t="shared" si="151"/>
        <v>125.39518910472282</v>
      </c>
      <c r="CA72" s="800">
        <f t="shared" si="151"/>
        <v>137.95387180834905</v>
      </c>
      <c r="CB72" s="849">
        <f t="shared" si="151"/>
        <v>47.643651013358408</v>
      </c>
      <c r="CC72" s="934">
        <f t="shared" si="151"/>
        <v>44.778071353822725</v>
      </c>
      <c r="CD72" s="800">
        <f t="shared" si="151"/>
        <v>8.1662265270978196</v>
      </c>
      <c r="CE72" s="800">
        <f>+CE70-CA70</f>
        <v>43.009016617997077</v>
      </c>
      <c r="CF72" s="849">
        <f t="shared" si="151"/>
        <v>37.02947513286108</v>
      </c>
      <c r="CG72" s="234"/>
      <c r="CH72" s="160"/>
      <c r="CM72" s="800"/>
      <c r="CN72" s="800">
        <f t="shared" ref="CN72:DF72" si="152">+CN70-CM70</f>
        <v>15.937199999999848</v>
      </c>
      <c r="CO72" s="800">
        <f t="shared" si="152"/>
        <v>7.6831000000009908</v>
      </c>
      <c r="CP72" s="800">
        <f t="shared" si="152"/>
        <v>103.2163999999982</v>
      </c>
      <c r="CQ72" s="800">
        <f t="shared" si="152"/>
        <v>41.712820000000647</v>
      </c>
      <c r="CR72" s="800">
        <f t="shared" si="152"/>
        <v>485.2525848766486</v>
      </c>
      <c r="CS72" s="800">
        <f t="shared" si="152"/>
        <v>417.24718328904646</v>
      </c>
      <c r="CT72" s="800">
        <f t="shared" si="152"/>
        <v>571.58611206976138</v>
      </c>
      <c r="CU72" s="800">
        <f t="shared" si="152"/>
        <v>828.94875820233892</v>
      </c>
      <c r="CV72" s="800">
        <f t="shared" si="152"/>
        <v>350.40413323108532</v>
      </c>
      <c r="CW72" s="800">
        <f t="shared" si="152"/>
        <v>647.8872675721218</v>
      </c>
      <c r="CX72" s="800">
        <f>+CX70-CW70</f>
        <v>367.17372140063071</v>
      </c>
      <c r="CY72" s="800">
        <f t="shared" si="152"/>
        <v>132.98278963177881</v>
      </c>
      <c r="CZ72" s="800">
        <f t="shared" si="152"/>
        <v>62.756986955557295</v>
      </c>
      <c r="DA72" s="800">
        <f>+DA70-CZ70</f>
        <v>-17.088460323930121</v>
      </c>
      <c r="DB72" s="800">
        <f t="shared" si="152"/>
        <v>-105.14083954698708</v>
      </c>
      <c r="DC72" s="800">
        <f t="shared" si="152"/>
        <v>-120.3721495507325</v>
      </c>
      <c r="DD72" s="800">
        <f t="shared" si="152"/>
        <v>-136.83214777589455</v>
      </c>
      <c r="DE72" s="800">
        <f t="shared" si="152"/>
        <v>-154.61044900915476</v>
      </c>
      <c r="DF72" s="849">
        <f t="shared" si="152"/>
        <v>-173.80303830982484</v>
      </c>
    </row>
    <row r="73" spans="1:110" s="8" customFormat="1" ht="12.75" customHeight="1">
      <c r="A73" s="12"/>
      <c r="B73" s="12"/>
      <c r="C73" s="12"/>
      <c r="D73" s="12"/>
      <c r="E73" s="12"/>
      <c r="F73" s="12"/>
      <c r="G73" s="12"/>
      <c r="H73" s="12"/>
      <c r="I73" s="178"/>
      <c r="P73" s="245"/>
      <c r="T73" s="245"/>
      <c r="X73" s="245"/>
      <c r="AB73" s="245"/>
      <c r="AC73" s="289"/>
      <c r="AD73" s="289"/>
      <c r="AE73" s="289"/>
      <c r="AF73" s="953"/>
      <c r="AG73" s="103"/>
      <c r="AH73" s="103"/>
      <c r="AI73" s="103"/>
      <c r="AJ73" s="202"/>
      <c r="AK73" s="103"/>
      <c r="AL73" s="103"/>
      <c r="AM73" s="103"/>
      <c r="AN73" s="202"/>
      <c r="AO73" s="103"/>
      <c r="AP73" s="103"/>
      <c r="AQ73" s="103"/>
      <c r="AR73" s="202"/>
      <c r="AS73" s="103"/>
      <c r="AT73" s="103"/>
      <c r="AU73" s="103"/>
      <c r="AV73" s="202"/>
      <c r="AW73" s="103"/>
      <c r="AX73" s="103"/>
      <c r="AY73" s="103"/>
      <c r="AZ73" s="202"/>
      <c r="BA73" s="103"/>
      <c r="BB73" s="103"/>
      <c r="BC73" s="103"/>
      <c r="BD73" s="202"/>
      <c r="BE73" s="721"/>
      <c r="BF73" s="721"/>
      <c r="BG73" s="721"/>
      <c r="BH73" s="731"/>
      <c r="BI73" s="797"/>
      <c r="BJ73" s="62"/>
      <c r="BK73" s="798"/>
      <c r="BL73" s="906"/>
      <c r="BM73" s="265"/>
      <c r="BN73" s="103"/>
      <c r="BO73" s="103"/>
      <c r="BP73" s="202"/>
      <c r="BQ73" s="265"/>
      <c r="BR73" s="103"/>
      <c r="BS73" s="103"/>
      <c r="BT73" s="202"/>
      <c r="BU73" s="265"/>
      <c r="BV73" s="103"/>
      <c r="BW73" s="103"/>
      <c r="BX73" s="202"/>
      <c r="BY73" s="265"/>
      <c r="BZ73" s="103"/>
      <c r="CA73" s="103"/>
      <c r="CB73" s="202"/>
      <c r="CC73" s="265"/>
      <c r="CD73" s="103"/>
      <c r="CE73" s="103"/>
      <c r="CF73" s="202"/>
      <c r="CG73" s="245"/>
      <c r="CH73" s="178"/>
      <c r="CM73" s="103"/>
      <c r="CN73" s="721"/>
      <c r="CO73" s="721"/>
      <c r="CP73" s="103"/>
      <c r="CQ73" s="103"/>
      <c r="CR73" s="103"/>
      <c r="CS73" s="103"/>
      <c r="CT73" s="103"/>
      <c r="CU73" s="103"/>
      <c r="CV73" s="1214">
        <f>+CV74/CV11</f>
        <v>0.11808456994669356</v>
      </c>
      <c r="CW73" s="103"/>
      <c r="CX73" s="103"/>
      <c r="CY73" s="103"/>
      <c r="DF73" s="245"/>
    </row>
    <row r="74" spans="1:110" s="8" customFormat="1" ht="12.75" customHeight="1">
      <c r="A74" s="18"/>
      <c r="B74" s="19"/>
      <c r="C74" s="19"/>
      <c r="D74" s="19"/>
      <c r="E74" s="19"/>
      <c r="F74" s="18"/>
      <c r="G74" s="18"/>
      <c r="H74" s="18"/>
      <c r="I74" s="178" t="s">
        <v>239</v>
      </c>
      <c r="P74" s="245"/>
      <c r="T74" s="245"/>
      <c r="X74" s="245"/>
      <c r="AB74" s="245"/>
      <c r="AC74" s="289"/>
      <c r="AD74" s="289"/>
      <c r="AE74" s="289"/>
      <c r="AF74" s="953"/>
      <c r="AG74" s="104">
        <f t="shared" ref="AG74:AY74" si="153">+AG11-AG40</f>
        <v>474.00699999999989</v>
      </c>
      <c r="AH74" s="104">
        <f t="shared" si="153"/>
        <v>570.75699999999983</v>
      </c>
      <c r="AI74" s="104">
        <f t="shared" si="153"/>
        <v>504.7519999999999</v>
      </c>
      <c r="AJ74" s="212">
        <f t="shared" si="153"/>
        <v>423.27399999999994</v>
      </c>
      <c r="AK74" s="104">
        <f t="shared" si="153"/>
        <v>478.81200000000001</v>
      </c>
      <c r="AL74" s="104">
        <f t="shared" si="153"/>
        <v>547.78700000000003</v>
      </c>
      <c r="AM74" s="104">
        <f t="shared" si="153"/>
        <v>602.20500000000004</v>
      </c>
      <c r="AN74" s="212">
        <f t="shared" si="153"/>
        <v>525.57099999999991</v>
      </c>
      <c r="AO74" s="104">
        <f t="shared" si="153"/>
        <v>720.96799999999985</v>
      </c>
      <c r="AP74" s="104">
        <f t="shared" si="153"/>
        <v>872.28400000000011</v>
      </c>
      <c r="AQ74" s="104">
        <f t="shared" si="153"/>
        <v>799.57700000000023</v>
      </c>
      <c r="AR74" s="212">
        <f t="shared" si="153"/>
        <v>688.92299999999977</v>
      </c>
      <c r="AS74" s="104">
        <f t="shared" si="153"/>
        <v>851.15699999999993</v>
      </c>
      <c r="AT74" s="104">
        <f t="shared" si="153"/>
        <v>964.46399999999994</v>
      </c>
      <c r="AU74" s="104">
        <f t="shared" si="153"/>
        <v>998.71499999999992</v>
      </c>
      <c r="AV74" s="212">
        <f t="shared" si="153"/>
        <v>830.98300000000017</v>
      </c>
      <c r="AW74" s="104">
        <f t="shared" si="153"/>
        <v>989.35000000000014</v>
      </c>
      <c r="AX74" s="104">
        <f t="shared" si="153"/>
        <v>1153.8790000000004</v>
      </c>
      <c r="AY74" s="104">
        <f t="shared" si="153"/>
        <v>1121</v>
      </c>
      <c r="AZ74" s="931">
        <v>902</v>
      </c>
      <c r="BA74" s="852">
        <v>1129</v>
      </c>
      <c r="BB74" s="852">
        <v>1308</v>
      </c>
      <c r="BC74" s="852">
        <v>1268</v>
      </c>
      <c r="BD74" s="931">
        <v>1044</v>
      </c>
      <c r="BE74" s="852">
        <v>1260</v>
      </c>
      <c r="BF74" s="852">
        <v>1377</v>
      </c>
      <c r="BG74" s="852">
        <v>1359</v>
      </c>
      <c r="BH74" s="931">
        <v>1090</v>
      </c>
      <c r="BI74" s="852">
        <v>1370</v>
      </c>
      <c r="BJ74" s="852">
        <v>1538</v>
      </c>
      <c r="BK74" s="852">
        <v>1586</v>
      </c>
      <c r="BL74" s="931">
        <v>1379</v>
      </c>
      <c r="BM74" s="1266">
        <v>1637</v>
      </c>
      <c r="BN74" s="852">
        <v>1856</v>
      </c>
      <c r="BO74" s="852">
        <v>1743</v>
      </c>
      <c r="BP74" s="852">
        <v>1426</v>
      </c>
      <c r="BQ74" s="1266">
        <v>1672</v>
      </c>
      <c r="BR74" s="852">
        <v>1868</v>
      </c>
      <c r="BS74" s="852">
        <v>1700</v>
      </c>
      <c r="BT74" s="931">
        <v>1317</v>
      </c>
      <c r="BU74" s="851">
        <f>+BU56+BU63</f>
        <v>1640.7001174553604</v>
      </c>
      <c r="BV74" s="104">
        <f>+BV56+BV63</f>
        <v>1894.4845066380005</v>
      </c>
      <c r="BW74" s="104">
        <f>+BW56+BW63</f>
        <v>1880.7066796544</v>
      </c>
      <c r="BX74" s="212">
        <f t="shared" ref="BX74:CF74" si="154">+BX56+BX63</f>
        <v>1462.8609324000004</v>
      </c>
      <c r="BY74" s="104">
        <f t="shared" si="154"/>
        <v>1686.5101607002885</v>
      </c>
      <c r="BZ74" s="104">
        <f t="shared" si="154"/>
        <v>1951.7842296624005</v>
      </c>
      <c r="CA74" s="104">
        <f t="shared" si="154"/>
        <v>1950.9062400262401</v>
      </c>
      <c r="CB74" s="212">
        <f t="shared" si="154"/>
        <v>1528.8995229200004</v>
      </c>
      <c r="CC74" s="851">
        <f t="shared" si="154"/>
        <v>1752.7231874213828</v>
      </c>
      <c r="CD74" s="104">
        <f t="shared" si="154"/>
        <v>2030.6611899917707</v>
      </c>
      <c r="CE74" s="104">
        <f>+CE56+CE63</f>
        <v>2036.5336652221122</v>
      </c>
      <c r="CF74" s="212">
        <f t="shared" si="154"/>
        <v>1601.7922710160008</v>
      </c>
      <c r="CG74" s="245"/>
      <c r="CH74" s="265"/>
      <c r="CI74" s="103"/>
      <c r="CJ74" s="103">
        <f>+(CK74)/(1+CK75)</f>
        <v>1101.2854326449076</v>
      </c>
      <c r="CK74" s="103">
        <f>+(CL74)/(1+CL75)</f>
        <v>1622.1934422859488</v>
      </c>
      <c r="CL74" s="103">
        <f>+(CM74)/(1+CM75)</f>
        <v>1753.5911111111106</v>
      </c>
      <c r="CM74" s="103">
        <f>+SUM(AG74:AJ74)</f>
        <v>1972.7899999999995</v>
      </c>
      <c r="CN74" s="103">
        <f>+SUM(AK74:AN74)</f>
        <v>2154.375</v>
      </c>
      <c r="CO74" s="103">
        <f>+SUM(AO74:AR74)</f>
        <v>3081.752</v>
      </c>
      <c r="CP74" s="103">
        <f>+SUM(AS74:AV74)</f>
        <v>3645.319</v>
      </c>
      <c r="CQ74" s="103">
        <f>+SUM(AW74:AZ74)</f>
        <v>4166.2290000000003</v>
      </c>
      <c r="CR74" s="103">
        <f>+SUM(BA74:BD74)</f>
        <v>4749</v>
      </c>
      <c r="CS74" s="103">
        <f>+SUM(BE74:BH74)</f>
        <v>5086</v>
      </c>
      <c r="CT74" s="103">
        <f>+SUM(BI74:BL74)</f>
        <v>5873</v>
      </c>
      <c r="CU74" s="103">
        <f>+SUM(BM74:BP74)</f>
        <v>6662</v>
      </c>
      <c r="CV74" s="103">
        <f>+SUM(BQ74:BT74)</f>
        <v>6557</v>
      </c>
      <c r="CW74" s="103">
        <f>+SUM(BU74:BX74)</f>
        <v>6878.7522361477622</v>
      </c>
      <c r="CX74" s="103">
        <f>+SUM(BY74:CB74)</f>
        <v>7118.1001533089293</v>
      </c>
      <c r="CY74" s="103">
        <f>+SUM(CC74:CF74)</f>
        <v>7421.7103136512669</v>
      </c>
      <c r="CZ74" s="104">
        <f>+CZ56+CZ63</f>
        <v>7678.4162834531689</v>
      </c>
      <c r="DA74" s="104">
        <f t="shared" ref="DA74:DF74" si="155">+DA56+DA63</f>
        <v>7877.977565852917</v>
      </c>
      <c r="DB74" s="104">
        <f t="shared" si="155"/>
        <v>8022.6851354918481</v>
      </c>
      <c r="DC74" s="104">
        <f t="shared" si="155"/>
        <v>8171.5720546913708</v>
      </c>
      <c r="DD74" s="104">
        <f t="shared" si="155"/>
        <v>8324.5933906259143</v>
      </c>
      <c r="DE74" s="104">
        <f t="shared" si="155"/>
        <v>8481.7161637950776</v>
      </c>
      <c r="DF74" s="212">
        <f t="shared" si="155"/>
        <v>8642.9183018919593</v>
      </c>
    </row>
    <row r="75" spans="1:110" s="82" customFormat="1" ht="12.75" customHeight="1">
      <c r="A75" s="300"/>
      <c r="B75" s="301"/>
      <c r="C75" s="301"/>
      <c r="D75" s="301"/>
      <c r="E75" s="301"/>
      <c r="F75" s="300"/>
      <c r="G75" s="300"/>
      <c r="H75" s="300"/>
      <c r="I75" s="193" t="s">
        <v>376</v>
      </c>
      <c r="J75" s="83"/>
      <c r="K75" s="83"/>
      <c r="P75" s="1135"/>
      <c r="T75" s="1135"/>
      <c r="X75" s="1135"/>
      <c r="AB75" s="1135"/>
      <c r="AC75" s="307"/>
      <c r="AD75" s="307"/>
      <c r="AE75" s="307"/>
      <c r="AF75" s="1136"/>
      <c r="AG75" s="64"/>
      <c r="AH75" s="64"/>
      <c r="AI75" s="64"/>
      <c r="AJ75" s="180"/>
      <c r="AK75" s="64">
        <f t="shared" ref="AK75:BD75" si="156">+AK74/AG74-1</f>
        <v>1.0136981099435394E-2</v>
      </c>
      <c r="AL75" s="64">
        <f t="shared" si="156"/>
        <v>-4.0244797698494872E-2</v>
      </c>
      <c r="AM75" s="64">
        <f t="shared" si="156"/>
        <v>0.19307105271499703</v>
      </c>
      <c r="AN75" s="180">
        <f t="shared" si="156"/>
        <v>0.24168032999900779</v>
      </c>
      <c r="AO75" s="64">
        <f t="shared" si="156"/>
        <v>0.50574338153596776</v>
      </c>
      <c r="AP75" s="64">
        <f t="shared" si="156"/>
        <v>0.5923780593551875</v>
      </c>
      <c r="AQ75" s="64">
        <f t="shared" si="156"/>
        <v>0.32774885628648076</v>
      </c>
      <c r="AR75" s="180">
        <f t="shared" si="156"/>
        <v>0.31080862528564146</v>
      </c>
      <c r="AS75" s="64">
        <f t="shared" si="156"/>
        <v>0.18057528212070451</v>
      </c>
      <c r="AT75" s="64">
        <f t="shared" si="156"/>
        <v>0.10567659156880072</v>
      </c>
      <c r="AU75" s="64">
        <f t="shared" si="156"/>
        <v>0.24905418740158813</v>
      </c>
      <c r="AV75" s="180">
        <f t="shared" si="156"/>
        <v>0.20620591851339043</v>
      </c>
      <c r="AW75" s="64">
        <f t="shared" si="156"/>
        <v>0.16235900074839327</v>
      </c>
      <c r="AX75" s="64">
        <f t="shared" si="156"/>
        <v>0.1963940592909641</v>
      </c>
      <c r="AY75" s="64">
        <f t="shared" si="156"/>
        <v>0.1224423384048503</v>
      </c>
      <c r="AZ75" s="180">
        <f t="shared" si="156"/>
        <v>8.5461435432493627E-2</v>
      </c>
      <c r="BA75" s="64">
        <f t="shared" si="156"/>
        <v>0.14115328245817937</v>
      </c>
      <c r="BB75" s="64">
        <f t="shared" si="156"/>
        <v>0.13356773110525411</v>
      </c>
      <c r="BC75" s="64">
        <f t="shared" si="156"/>
        <v>0.13113291703835861</v>
      </c>
      <c r="BD75" s="180">
        <f t="shared" si="156"/>
        <v>0.15742793791574283</v>
      </c>
      <c r="BE75" s="64">
        <f t="shared" ref="BE75:BL75" si="157">+BE74/BA74-1</f>
        <v>0.11603188662533226</v>
      </c>
      <c r="BF75" s="64">
        <f t="shared" si="157"/>
        <v>5.2752293577981613E-2</v>
      </c>
      <c r="BG75" s="64">
        <f t="shared" si="157"/>
        <v>7.1766561514195581E-2</v>
      </c>
      <c r="BH75" s="180">
        <f t="shared" si="157"/>
        <v>4.4061302681992265E-2</v>
      </c>
      <c r="BI75" s="64">
        <f t="shared" si="157"/>
        <v>8.7301587301587213E-2</v>
      </c>
      <c r="BJ75" s="64">
        <f t="shared" si="157"/>
        <v>0.11692084241103839</v>
      </c>
      <c r="BK75" s="64">
        <f t="shared" si="157"/>
        <v>0.16703458425312734</v>
      </c>
      <c r="BL75" s="180">
        <f t="shared" si="157"/>
        <v>0.26513761467889907</v>
      </c>
      <c r="BM75" s="1263">
        <f t="shared" ref="BM75:CF75" si="158">+BM74/BI74-1</f>
        <v>0.19489051094890519</v>
      </c>
      <c r="BN75" s="64">
        <f t="shared" si="158"/>
        <v>0.2067620286085825</v>
      </c>
      <c r="BO75" s="64">
        <f t="shared" si="158"/>
        <v>9.8991172761664581E-2</v>
      </c>
      <c r="BP75" s="1250">
        <f>+BP74/BL74-1</f>
        <v>3.4082668600435184E-2</v>
      </c>
      <c r="BQ75" s="1597">
        <f t="shared" si="158"/>
        <v>2.138057422113615E-2</v>
      </c>
      <c r="BR75" s="1250">
        <f>+BR74/BN74-1</f>
        <v>6.4655172413792261E-3</v>
      </c>
      <c r="BS75" s="1250">
        <f>+BS74/BO74-1</f>
        <v>-2.4670109007458363E-2</v>
      </c>
      <c r="BT75" s="1267">
        <f t="shared" si="158"/>
        <v>-7.6437587657783967E-2</v>
      </c>
      <c r="BU75" s="1597">
        <f t="shared" si="158"/>
        <v>-1.8720025445358557E-2</v>
      </c>
      <c r="BV75" s="1250">
        <f t="shared" si="158"/>
        <v>1.4178001412205932E-2</v>
      </c>
      <c r="BW75" s="1250">
        <f t="shared" si="158"/>
        <v>0.10629804685552946</v>
      </c>
      <c r="BX75" s="1267">
        <f t="shared" si="158"/>
        <v>0.11075241640091149</v>
      </c>
      <c r="BY75" s="1597">
        <f t="shared" si="158"/>
        <v>2.7921033684069618E-2</v>
      </c>
      <c r="BZ75" s="1250">
        <f t="shared" si="158"/>
        <v>3.0245548498090136E-2</v>
      </c>
      <c r="CA75" s="1250">
        <f t="shared" si="158"/>
        <v>3.7326161028332194E-2</v>
      </c>
      <c r="CB75" s="1267">
        <f t="shared" si="158"/>
        <v>4.5143450793819317E-2</v>
      </c>
      <c r="CC75" s="1597">
        <f t="shared" si="158"/>
        <v>3.9260378184499567E-2</v>
      </c>
      <c r="CD75" s="1250">
        <f t="shared" si="158"/>
        <v>4.0412746004722777E-2</v>
      </c>
      <c r="CE75" s="1250">
        <f t="shared" si="158"/>
        <v>4.3891102216537359E-2</v>
      </c>
      <c r="CF75" s="1267">
        <f t="shared" si="158"/>
        <v>4.7676611185530682E-2</v>
      </c>
      <c r="CG75" s="1135"/>
      <c r="CH75" s="259"/>
      <c r="CK75" s="1139">
        <v>0.47299999999999998</v>
      </c>
      <c r="CL75" s="1139">
        <v>8.1000000000000003E-2</v>
      </c>
      <c r="CM75" s="64">
        <v>0.125</v>
      </c>
      <c r="CN75" s="64">
        <f t="shared" ref="CN75:CT75" si="159">+CN74/CM74-1</f>
        <v>9.2044769083379663E-2</v>
      </c>
      <c r="CO75" s="64">
        <f t="shared" si="159"/>
        <v>0.43046219901363503</v>
      </c>
      <c r="CP75" s="64">
        <f t="shared" si="159"/>
        <v>0.18287227525122063</v>
      </c>
      <c r="CQ75" s="64">
        <f t="shared" si="159"/>
        <v>0.14289833070850588</v>
      </c>
      <c r="CR75" s="64">
        <f t="shared" si="159"/>
        <v>0.13987973296715084</v>
      </c>
      <c r="CS75" s="64">
        <f t="shared" si="159"/>
        <v>7.0962307854285145E-2</v>
      </c>
      <c r="CT75" s="64">
        <f t="shared" si="159"/>
        <v>0.15473849783720017</v>
      </c>
      <c r="CU75" s="64">
        <f t="shared" ref="CU75:CZ75" si="160">+CU74/CT74-1</f>
        <v>0.13434360633407127</v>
      </c>
      <c r="CV75" s="64">
        <f t="shared" si="160"/>
        <v>-1.5761032722906076E-2</v>
      </c>
      <c r="CW75" s="64">
        <f t="shared" si="160"/>
        <v>4.9070037539692191E-2</v>
      </c>
      <c r="CX75" s="64">
        <f t="shared" si="160"/>
        <v>3.4795251950404005E-2</v>
      </c>
      <c r="CY75" s="64">
        <f t="shared" si="160"/>
        <v>4.2653257723720195E-2</v>
      </c>
      <c r="CZ75" s="64">
        <f t="shared" si="160"/>
        <v>3.4588519216348868E-2</v>
      </c>
      <c r="DA75" s="64">
        <f t="shared" ref="DA75:DF75" si="161">+DA74/CZ74-1</f>
        <v>2.5989901437070806E-2</v>
      </c>
      <c r="DB75" s="64">
        <f t="shared" si="161"/>
        <v>1.8368619157557164E-2</v>
      </c>
      <c r="DC75" s="64">
        <f t="shared" si="161"/>
        <v>1.8558240375264878E-2</v>
      </c>
      <c r="DD75" s="64">
        <f t="shared" si="161"/>
        <v>1.8726058451224548E-2</v>
      </c>
      <c r="DE75" s="64">
        <f t="shared" si="161"/>
        <v>1.8874528255769851E-2</v>
      </c>
      <c r="DF75" s="180">
        <f t="shared" si="161"/>
        <v>1.9005839736182972E-2</v>
      </c>
    </row>
    <row r="76" spans="1:110" s="82" customFormat="1" ht="12.75" customHeight="1">
      <c r="A76" s="296"/>
      <c r="B76" s="297"/>
      <c r="C76" s="297"/>
      <c r="D76" s="297"/>
      <c r="E76" s="297"/>
      <c r="F76" s="296"/>
      <c r="G76" s="296"/>
      <c r="H76" s="296"/>
      <c r="I76" s="193" t="s">
        <v>234</v>
      </c>
      <c r="J76" s="83"/>
      <c r="K76" s="83"/>
      <c r="P76" s="1135"/>
      <c r="T76" s="1135"/>
      <c r="X76" s="1135"/>
      <c r="AB76" s="1135"/>
      <c r="AC76" s="307"/>
      <c r="AD76" s="307"/>
      <c r="AE76" s="307"/>
      <c r="AF76" s="1136"/>
      <c r="AG76" s="64"/>
      <c r="AH76" s="64"/>
      <c r="AI76" s="64"/>
      <c r="AJ76" s="180"/>
      <c r="AK76" s="64"/>
      <c r="AL76" s="64"/>
      <c r="AM76" s="64"/>
      <c r="AN76" s="180"/>
      <c r="AO76" s="64">
        <f t="shared" ref="AO76:BD76" si="162">+AO75+AK75</f>
        <v>0.51588036263540316</v>
      </c>
      <c r="AP76" s="64">
        <f t="shared" si="162"/>
        <v>0.55213326165669263</v>
      </c>
      <c r="AQ76" s="64">
        <f t="shared" si="162"/>
        <v>0.52081990900147779</v>
      </c>
      <c r="AR76" s="180">
        <f t="shared" si="162"/>
        <v>0.55248895528464925</v>
      </c>
      <c r="AS76" s="64">
        <f t="shared" si="162"/>
        <v>0.68631866365667227</v>
      </c>
      <c r="AT76" s="64">
        <f t="shared" si="162"/>
        <v>0.69805465092398822</v>
      </c>
      <c r="AU76" s="64">
        <f t="shared" si="162"/>
        <v>0.57680304368806889</v>
      </c>
      <c r="AV76" s="180">
        <f t="shared" si="162"/>
        <v>0.51701454379903189</v>
      </c>
      <c r="AW76" s="64">
        <f t="shared" si="162"/>
        <v>0.34293428286909777</v>
      </c>
      <c r="AX76" s="64">
        <f t="shared" si="162"/>
        <v>0.30207065085976481</v>
      </c>
      <c r="AY76" s="64">
        <f t="shared" si="162"/>
        <v>0.37149652580643844</v>
      </c>
      <c r="AZ76" s="180">
        <f t="shared" si="162"/>
        <v>0.29166735394588406</v>
      </c>
      <c r="BA76" s="64">
        <f t="shared" si="162"/>
        <v>0.30351228320657264</v>
      </c>
      <c r="BB76" s="64">
        <f t="shared" si="162"/>
        <v>0.3299617903962182</v>
      </c>
      <c r="BC76" s="64">
        <f t="shared" si="162"/>
        <v>0.25357525544320891</v>
      </c>
      <c r="BD76" s="180">
        <f t="shared" si="162"/>
        <v>0.24288937334823646</v>
      </c>
      <c r="BE76" s="64">
        <f t="shared" ref="BE76:BL76" si="163">+BE75+BA75</f>
        <v>0.25718516908351163</v>
      </c>
      <c r="BF76" s="64">
        <f t="shared" si="163"/>
        <v>0.18632002468323572</v>
      </c>
      <c r="BG76" s="64">
        <f t="shared" si="163"/>
        <v>0.20289947855255419</v>
      </c>
      <c r="BH76" s="180">
        <f t="shared" si="163"/>
        <v>0.2014892405977351</v>
      </c>
      <c r="BI76" s="64">
        <f t="shared" si="163"/>
        <v>0.20333347392691947</v>
      </c>
      <c r="BJ76" s="64">
        <f t="shared" si="163"/>
        <v>0.16967313598902001</v>
      </c>
      <c r="BK76" s="64">
        <f t="shared" si="163"/>
        <v>0.23880114576732292</v>
      </c>
      <c r="BL76" s="180">
        <f t="shared" si="163"/>
        <v>0.30919891736089133</v>
      </c>
      <c r="BM76" s="1263">
        <f t="shared" ref="BM76:CF76" si="164">+BM75+BI75</f>
        <v>0.28219209825049241</v>
      </c>
      <c r="BN76" s="64">
        <f t="shared" si="164"/>
        <v>0.3236828710196209</v>
      </c>
      <c r="BO76" s="64">
        <f t="shared" si="164"/>
        <v>0.26602575701479192</v>
      </c>
      <c r="BP76" s="64">
        <f t="shared" si="164"/>
        <v>0.29922028327933425</v>
      </c>
      <c r="BQ76" s="1263">
        <f t="shared" ref="BQ76:BX76" si="165">+BQ75+BM75</f>
        <v>0.21627108517004134</v>
      </c>
      <c r="BR76" s="64">
        <f t="shared" si="165"/>
        <v>0.21322754584996173</v>
      </c>
      <c r="BS76" s="64">
        <f t="shared" si="165"/>
        <v>7.4321063754206218E-2</v>
      </c>
      <c r="BT76" s="180">
        <f t="shared" si="165"/>
        <v>-4.2354919057348783E-2</v>
      </c>
      <c r="BU76" s="1263">
        <f t="shared" si="165"/>
        <v>2.6605487757775936E-3</v>
      </c>
      <c r="BV76" s="64">
        <f t="shared" si="165"/>
        <v>2.0643518653585158E-2</v>
      </c>
      <c r="BW76" s="64">
        <f t="shared" si="165"/>
        <v>8.1627937848071097E-2</v>
      </c>
      <c r="BX76" s="180">
        <f t="shared" si="165"/>
        <v>3.4314828743127523E-2</v>
      </c>
      <c r="BY76" s="1263">
        <f t="shared" si="164"/>
        <v>9.2010082387110614E-3</v>
      </c>
      <c r="BZ76" s="64">
        <f t="shared" si="164"/>
        <v>4.4423549910296067E-2</v>
      </c>
      <c r="CA76" s="64">
        <f t="shared" si="164"/>
        <v>0.14362420788386165</v>
      </c>
      <c r="CB76" s="180">
        <f t="shared" si="164"/>
        <v>0.15589586719473081</v>
      </c>
      <c r="CC76" s="1263">
        <f t="shared" si="164"/>
        <v>6.7181411868569185E-2</v>
      </c>
      <c r="CD76" s="64">
        <f t="shared" si="164"/>
        <v>7.0658294502812913E-2</v>
      </c>
      <c r="CE76" s="64">
        <f t="shared" si="164"/>
        <v>8.1217263244869553E-2</v>
      </c>
      <c r="CF76" s="180">
        <f t="shared" si="164"/>
        <v>9.2820061979349999E-2</v>
      </c>
      <c r="CG76" s="1135"/>
      <c r="CH76" s="259"/>
      <c r="CM76" s="721"/>
      <c r="CN76" s="64"/>
      <c r="CO76" s="64">
        <f t="shared" ref="CO76:CY76" si="166">+CO75+CN75</f>
        <v>0.52250696809701469</v>
      </c>
      <c r="CP76" s="64">
        <f t="shared" si="166"/>
        <v>0.61333447426485566</v>
      </c>
      <c r="CQ76" s="64">
        <f t="shared" si="166"/>
        <v>0.32577060595972651</v>
      </c>
      <c r="CR76" s="64">
        <f t="shared" si="166"/>
        <v>0.28277806367565672</v>
      </c>
      <c r="CS76" s="64">
        <f t="shared" si="166"/>
        <v>0.21084204082143598</v>
      </c>
      <c r="CT76" s="64">
        <f t="shared" si="166"/>
        <v>0.22570080569148532</v>
      </c>
      <c r="CU76" s="64">
        <f t="shared" si="166"/>
        <v>0.28908210417127145</v>
      </c>
      <c r="CV76" s="64">
        <f t="shared" si="166"/>
        <v>0.1185825736111652</v>
      </c>
      <c r="CW76" s="64">
        <f t="shared" si="166"/>
        <v>3.3309004816786114E-2</v>
      </c>
      <c r="CX76" s="64">
        <f t="shared" si="166"/>
        <v>8.3865289490096195E-2</v>
      </c>
      <c r="CY76" s="64">
        <f t="shared" si="166"/>
        <v>7.74485096741242E-2</v>
      </c>
      <c r="CZ76" s="64">
        <f t="shared" ref="CZ76:DF76" si="167">+CZ75+CY75</f>
        <v>7.7241776940069062E-2</v>
      </c>
      <c r="DA76" s="64">
        <f t="shared" si="167"/>
        <v>6.0578420653419673E-2</v>
      </c>
      <c r="DB76" s="64">
        <f t="shared" si="167"/>
        <v>4.435852059462797E-2</v>
      </c>
      <c r="DC76" s="64">
        <f t="shared" si="167"/>
        <v>3.6926859532822043E-2</v>
      </c>
      <c r="DD76" s="64">
        <f t="shared" si="167"/>
        <v>3.7284298826489426E-2</v>
      </c>
      <c r="DE76" s="64">
        <f t="shared" si="167"/>
        <v>3.7600586706994399E-2</v>
      </c>
      <c r="DF76" s="180">
        <f t="shared" si="167"/>
        <v>3.7880367991952824E-2</v>
      </c>
    </row>
    <row r="77" spans="1:110" s="82" customFormat="1" ht="12.75" customHeight="1">
      <c r="A77" s="296"/>
      <c r="B77" s="297"/>
      <c r="C77" s="297"/>
      <c r="D77" s="297"/>
      <c r="E77" s="297"/>
      <c r="F77" s="296"/>
      <c r="G77" s="296"/>
      <c r="H77" s="296"/>
      <c r="I77" s="193" t="s">
        <v>236</v>
      </c>
      <c r="J77" s="83"/>
      <c r="K77" s="83"/>
      <c r="P77" s="1135"/>
      <c r="T77" s="1135"/>
      <c r="X77" s="1135"/>
      <c r="AB77" s="1135"/>
      <c r="AC77" s="307"/>
      <c r="AD77" s="307"/>
      <c r="AE77" s="307"/>
      <c r="AF77" s="1136"/>
      <c r="AG77" s="64">
        <f>+AG74/Model!AG$12</f>
        <v>0.6346996134281172</v>
      </c>
      <c r="AH77" s="64">
        <f>+AH74/Model!AH12</f>
        <v>0.61547096565482273</v>
      </c>
      <c r="AI77" s="64">
        <f>+AI74/Model!AI12</f>
        <v>0.55886833900226751</v>
      </c>
      <c r="AJ77" s="180">
        <f>+AJ74/Model!AJ12</f>
        <v>0.57013510055090844</v>
      </c>
      <c r="AK77" s="64">
        <f>+AK74/Model!AK12</f>
        <v>0.47953561924944743</v>
      </c>
      <c r="AL77" s="64">
        <f>+AL74/Model!AL12</f>
        <v>0.44358419351677975</v>
      </c>
      <c r="AM77" s="64">
        <f>+AM74/Model!AM12</f>
        <v>0.43302823145173991</v>
      </c>
      <c r="AN77" s="180">
        <f>+AN74/Model!AN12</f>
        <v>0.4360387312696678</v>
      </c>
      <c r="AO77" s="64">
        <f>+AO74/Model!AO12</f>
        <v>0.40996422178399777</v>
      </c>
      <c r="AP77" s="64">
        <f>+AP74/Model!AP12</f>
        <v>0.4134115968748297</v>
      </c>
      <c r="AQ77" s="64">
        <f>+AQ74/Model!AQ12</f>
        <v>0.38995633592417589</v>
      </c>
      <c r="AR77" s="180">
        <f>+AR74/Model!AR12</f>
        <v>0.465138716627293</v>
      </c>
      <c r="AS77" s="64">
        <f>+AS74/Model!AS12</f>
        <v>0.43793167673740885</v>
      </c>
      <c r="AT77" s="64">
        <f>+AT74/Model!AT12</f>
        <v>0.40537698314291742</v>
      </c>
      <c r="AU77" s="64">
        <f>+AU74/Model!AU12</f>
        <v>0.36679085045573634</v>
      </c>
      <c r="AV77" s="180">
        <f>+AV74/Model!AV12</f>
        <v>0.36696837294994739</v>
      </c>
      <c r="AW77" s="64">
        <f>+AW74/Model!AW12</f>
        <v>0.33371055032642483</v>
      </c>
      <c r="AX77" s="64">
        <f>+AX74/Model!AX12</f>
        <v>0.33836307760880663</v>
      </c>
      <c r="AY77" s="64">
        <f>+AY74/Model!AY12</f>
        <v>0.27983025461807287</v>
      </c>
      <c r="AZ77" s="180">
        <f>+AZ74/Model!AZ12</f>
        <v>0.27626339969372127</v>
      </c>
      <c r="BA77" s="64">
        <f>+BA74/Model!BA12</f>
        <v>0.24201500535905682</v>
      </c>
      <c r="BB77" s="64">
        <f>+BB74/Model!BB12</f>
        <v>0.22629757785467128</v>
      </c>
      <c r="BC77" s="64">
        <f>+BC74/Model!BC12</f>
        <v>0.20265302860795908</v>
      </c>
      <c r="BD77" s="180">
        <f>+BD74/Model!BD12</f>
        <v>0.21065375302663439</v>
      </c>
      <c r="BE77" s="64">
        <f>+BE74/Model!BE12</f>
        <v>0.18775145283862316</v>
      </c>
      <c r="BF77" s="64">
        <f>+BF74/Model!BF12</f>
        <v>0.18788374948833403</v>
      </c>
      <c r="BG77" s="64">
        <f>+BG74/Model!BG12</f>
        <v>0.17351889683350358</v>
      </c>
      <c r="BH77" s="180">
        <f>+BH74/Model!BH12</f>
        <v>0.16555285540704739</v>
      </c>
      <c r="BI77" s="64">
        <f>+BI74/Model!BI12</f>
        <v>0.14967770130012018</v>
      </c>
      <c r="BJ77" s="64">
        <f>+BJ74/Model!BJ12</f>
        <v>0.15202135020262925</v>
      </c>
      <c r="BK77" s="64">
        <f>+BK74/Model!BK12</f>
        <v>0.14732930794240595</v>
      </c>
      <c r="BL77" s="180">
        <f>+BL74/Model!BL12</f>
        <v>0.1509248112071796</v>
      </c>
      <c r="BM77" s="1263">
        <f>+BM74/Model!BM12</f>
        <v>0.13330618892508142</v>
      </c>
      <c r="BN77" s="64">
        <f>+BN74/Model!BN12</f>
        <v>0.13709558280395923</v>
      </c>
      <c r="BO77" s="64">
        <f>+BO74/Model!BO12</f>
        <v>0.12609419084135137</v>
      </c>
      <c r="BP77" s="64">
        <f>+BP74/Model!BP12</f>
        <v>0.13378365700347125</v>
      </c>
      <c r="BQ77" s="1263">
        <f>+BQ74/Model!BQ12</f>
        <v>0.12137049941927991</v>
      </c>
      <c r="BR77" s="64">
        <f>+BR74/Model!BR12</f>
        <v>0.1248663101604278</v>
      </c>
      <c r="BS77" s="64">
        <f>+BS74/Model!BS12</f>
        <v>0.11503586412234403</v>
      </c>
      <c r="BT77" s="180">
        <f>+BT74/Model!BT12</f>
        <v>0.10962210754120193</v>
      </c>
      <c r="BU77" s="1263">
        <f>+BU74/Model!BU12</f>
        <v>9.8522795739828292E-2</v>
      </c>
      <c r="BV77" s="64">
        <f>+BV74/Model!BV12</f>
        <v>0.1060622834306349</v>
      </c>
      <c r="BW77" s="64">
        <f>+BW74/Model!BW12</f>
        <v>0.10188010182309859</v>
      </c>
      <c r="BX77" s="180">
        <f>+BX74/Model!BX12</f>
        <v>9.6801279274748575E-2</v>
      </c>
      <c r="BY77" s="1263">
        <f>+BY74/Model!BY12</f>
        <v>8.1525120157600828E-2</v>
      </c>
      <c r="BZ77" s="64">
        <f>+BZ74/Model!BZ12</f>
        <v>9.3849316231302618E-2</v>
      </c>
      <c r="CA77" s="64">
        <f>+CA74/Model!CA12</f>
        <v>8.9647377999551511E-2</v>
      </c>
      <c r="CB77" s="180">
        <f>+CB74/Model!CB12</f>
        <v>8.5033343877641845E-2</v>
      </c>
      <c r="CC77" s="1263">
        <f>+CC74/Model!CC12</f>
        <v>7.0442899962930641E-2</v>
      </c>
      <c r="CD77" s="64">
        <f>+CD74/Model!CD12</f>
        <v>8.0947573811687754E-2</v>
      </c>
      <c r="CE77" s="64">
        <f>+CE74/Model!CE12</f>
        <v>8.2073331343961081E-2</v>
      </c>
      <c r="CF77" s="180">
        <f>+CF74/Model!CF12</f>
        <v>7.2792258017163672E-2</v>
      </c>
      <c r="CG77" s="1135"/>
      <c r="CH77" s="259"/>
      <c r="CM77" s="64">
        <f>+CM74/Model!CM12</f>
        <v>0.59425878281761657</v>
      </c>
      <c r="CN77" s="64">
        <f>+CN74/Model!CN12</f>
        <v>0.44609431036796166</v>
      </c>
      <c r="CO77" s="64">
        <f>+CO74/Model!CO12</f>
        <v>0.41644638861790967</v>
      </c>
      <c r="CP77" s="64">
        <f>+CP74/Model!CP12</f>
        <v>0.3915461572651181</v>
      </c>
      <c r="CQ77" s="64">
        <f>+CQ74/Model!CQ12</f>
        <v>0.30531050592211934</v>
      </c>
      <c r="CR77" s="64">
        <f>+CR74/Model!CR12</f>
        <v>0.21927232431434113</v>
      </c>
      <c r="CS77" s="64">
        <f>+CS74/Model!CS12</f>
        <v>0.17873207759347765</v>
      </c>
      <c r="CT77" s="64">
        <f>+CT74/Model!CT12</f>
        <v>0.14992852037169407</v>
      </c>
      <c r="CU77" s="64">
        <f>+CU74/Model!CU12</f>
        <v>0.13244532803180914</v>
      </c>
      <c r="CV77" s="64">
        <f>+CV74/Model!CV12</f>
        <v>0.11808456994669356</v>
      </c>
      <c r="CW77" s="64">
        <f>+CW74/Model!CW12</f>
        <v>0.10102886360315129</v>
      </c>
      <c r="CX77" s="64">
        <f>+CX74/Model!CX12</f>
        <v>8.7633272022615047E-2</v>
      </c>
      <c r="CY77" s="64">
        <f>+CY74/Model!CY12</f>
        <v>7.6681517381222891E-2</v>
      </c>
      <c r="CZ77" s="64">
        <f>+CZ74/Model!CZ12</f>
        <v>6.9223033690778882E-2</v>
      </c>
      <c r="DA77" s="64">
        <f>+DA74/Model!DA12</f>
        <v>6.3110210747744797E-2</v>
      </c>
      <c r="DB77" s="64">
        <f>+DB74/Model!DB12</f>
        <v>5.8024574461815595E-2</v>
      </c>
      <c r="DC77" s="64">
        <f>+DC74/Model!DC12</f>
        <v>5.3960241080388834E-2</v>
      </c>
      <c r="DD77" s="64">
        <f>+DD74/Model!DD12</f>
        <v>5.0611478303953392E-2</v>
      </c>
      <c r="DE77" s="64">
        <f>+DE74/Model!DE12</f>
        <v>4.7844508493394299E-2</v>
      </c>
      <c r="DF77" s="180">
        <f>+DF74/Model!DF12</f>
        <v>4.5222581807322498E-2</v>
      </c>
    </row>
    <row r="78" spans="1:110" s="82" customFormat="1" ht="12.75" customHeight="1">
      <c r="A78" s="296"/>
      <c r="B78" s="297"/>
      <c r="C78" s="297"/>
      <c r="D78" s="297"/>
      <c r="E78" s="297"/>
      <c r="F78" s="296"/>
      <c r="G78" s="296"/>
      <c r="H78" s="296"/>
      <c r="I78" s="185" t="s">
        <v>630</v>
      </c>
      <c r="J78" s="83"/>
      <c r="K78" s="83"/>
      <c r="P78" s="1135"/>
      <c r="T78" s="1135"/>
      <c r="X78" s="1135"/>
      <c r="AB78" s="1135"/>
      <c r="AC78" s="307"/>
      <c r="AD78" s="307"/>
      <c r="AE78" s="307"/>
      <c r="AF78" s="1136"/>
      <c r="AG78" s="64"/>
      <c r="AH78" s="64"/>
      <c r="AI78" s="64"/>
      <c r="AJ78" s="180"/>
      <c r="AK78" s="800">
        <f t="shared" ref="AK78:BT78" si="168">+AK74-AG74</f>
        <v>4.8050000000001205</v>
      </c>
      <c r="AL78" s="800">
        <f t="shared" si="168"/>
        <v>-22.9699999999998</v>
      </c>
      <c r="AM78" s="800">
        <f t="shared" si="168"/>
        <v>97.453000000000145</v>
      </c>
      <c r="AN78" s="849">
        <f t="shared" si="168"/>
        <v>102.29699999999997</v>
      </c>
      <c r="AO78" s="800">
        <f t="shared" si="168"/>
        <v>242.15599999999984</v>
      </c>
      <c r="AP78" s="800">
        <f t="shared" si="168"/>
        <v>324.49700000000007</v>
      </c>
      <c r="AQ78" s="800">
        <f t="shared" si="168"/>
        <v>197.37200000000018</v>
      </c>
      <c r="AR78" s="849">
        <f t="shared" si="168"/>
        <v>163.35199999999986</v>
      </c>
      <c r="AS78" s="800">
        <f t="shared" si="168"/>
        <v>130.18900000000008</v>
      </c>
      <c r="AT78" s="800">
        <f t="shared" si="168"/>
        <v>92.179999999999836</v>
      </c>
      <c r="AU78" s="800">
        <f t="shared" si="168"/>
        <v>199.13799999999969</v>
      </c>
      <c r="AV78" s="849">
        <f t="shared" si="168"/>
        <v>142.0600000000004</v>
      </c>
      <c r="AW78" s="800">
        <f t="shared" si="168"/>
        <v>138.19300000000021</v>
      </c>
      <c r="AX78" s="800">
        <f t="shared" si="168"/>
        <v>189.41500000000042</v>
      </c>
      <c r="AY78" s="800">
        <f t="shared" si="168"/>
        <v>122.28500000000008</v>
      </c>
      <c r="AZ78" s="849">
        <f t="shared" si="168"/>
        <v>71.016999999999825</v>
      </c>
      <c r="BA78" s="800">
        <f t="shared" si="168"/>
        <v>139.64999999999986</v>
      </c>
      <c r="BB78" s="800">
        <f t="shared" si="168"/>
        <v>154.12099999999964</v>
      </c>
      <c r="BC78" s="800">
        <f t="shared" si="168"/>
        <v>147</v>
      </c>
      <c r="BD78" s="849">
        <f t="shared" si="168"/>
        <v>142</v>
      </c>
      <c r="BE78" s="800">
        <f t="shared" si="168"/>
        <v>131</v>
      </c>
      <c r="BF78" s="800">
        <f t="shared" si="168"/>
        <v>69</v>
      </c>
      <c r="BG78" s="800">
        <f t="shared" si="168"/>
        <v>91</v>
      </c>
      <c r="BH78" s="849">
        <f t="shared" si="168"/>
        <v>46</v>
      </c>
      <c r="BI78" s="800">
        <f t="shared" si="168"/>
        <v>110</v>
      </c>
      <c r="BJ78" s="800">
        <f t="shared" si="168"/>
        <v>161</v>
      </c>
      <c r="BK78" s="800">
        <f t="shared" si="168"/>
        <v>227</v>
      </c>
      <c r="BL78" s="849">
        <f t="shared" si="168"/>
        <v>289</v>
      </c>
      <c r="BM78" s="800">
        <f t="shared" si="168"/>
        <v>267</v>
      </c>
      <c r="BN78" s="800">
        <f t="shared" si="168"/>
        <v>318</v>
      </c>
      <c r="BO78" s="800">
        <f t="shared" si="168"/>
        <v>157</v>
      </c>
      <c r="BP78" s="800">
        <f t="shared" si="168"/>
        <v>47</v>
      </c>
      <c r="BQ78" s="934">
        <f>+BQ74-BM74</f>
        <v>35</v>
      </c>
      <c r="BR78" s="800">
        <f t="shared" si="168"/>
        <v>12</v>
      </c>
      <c r="BS78" s="800">
        <f>+BS74-BO74</f>
        <v>-43</v>
      </c>
      <c r="BT78" s="849">
        <f t="shared" si="168"/>
        <v>-109</v>
      </c>
      <c r="BU78" s="934">
        <f t="shared" ref="BU78:CF78" si="169">+BU74-BQ74</f>
        <v>-31.299882544639559</v>
      </c>
      <c r="BV78" s="800">
        <f>+BV74-BR74</f>
        <v>26.484506638000539</v>
      </c>
      <c r="BW78" s="800">
        <f>+BW74-BS74</f>
        <v>180.70667965439998</v>
      </c>
      <c r="BX78" s="849">
        <f t="shared" si="169"/>
        <v>145.86093240000037</v>
      </c>
      <c r="BY78" s="934">
        <f t="shared" si="169"/>
        <v>45.810043244928011</v>
      </c>
      <c r="BZ78" s="800">
        <f t="shared" si="169"/>
        <v>57.299723024400009</v>
      </c>
      <c r="CA78" s="800">
        <f t="shared" si="169"/>
        <v>70.199560371840107</v>
      </c>
      <c r="CB78" s="849">
        <f t="shared" si="169"/>
        <v>66.038590520000071</v>
      </c>
      <c r="CC78" s="934">
        <f t="shared" si="169"/>
        <v>66.213026721094366</v>
      </c>
      <c r="CD78" s="800">
        <f t="shared" si="169"/>
        <v>78.876960329370149</v>
      </c>
      <c r="CE78" s="800">
        <f t="shared" si="169"/>
        <v>85.627425195872092</v>
      </c>
      <c r="CF78" s="849">
        <f t="shared" si="169"/>
        <v>72.892748096000332</v>
      </c>
      <c r="CG78" s="1135"/>
      <c r="CH78" s="259"/>
      <c r="CK78" s="800">
        <f t="shared" ref="CK78:CP78" si="170">+CK74-CJ74</f>
        <v>520.90800964104119</v>
      </c>
      <c r="CL78" s="800">
        <f t="shared" si="170"/>
        <v>131.39766882516187</v>
      </c>
      <c r="CM78" s="800">
        <f t="shared" si="170"/>
        <v>219.19888888888886</v>
      </c>
      <c r="CN78" s="800">
        <f t="shared" si="170"/>
        <v>181.58500000000049</v>
      </c>
      <c r="CO78" s="800">
        <f t="shared" si="170"/>
        <v>927.37699999999995</v>
      </c>
      <c r="CP78" s="800">
        <f t="shared" si="170"/>
        <v>563.56700000000001</v>
      </c>
      <c r="CQ78" s="800">
        <f t="shared" ref="CQ78:DF78" si="171">+CQ74-CP74</f>
        <v>520.91000000000031</v>
      </c>
      <c r="CR78" s="800">
        <f t="shared" si="171"/>
        <v>582.77099999999973</v>
      </c>
      <c r="CS78" s="800">
        <f t="shared" si="171"/>
        <v>337</v>
      </c>
      <c r="CT78" s="800">
        <f>+CT74-CS74</f>
        <v>787</v>
      </c>
      <c r="CU78" s="800">
        <f t="shared" si="171"/>
        <v>789</v>
      </c>
      <c r="CV78" s="800">
        <f t="shared" si="171"/>
        <v>-105</v>
      </c>
      <c r="CW78" s="800">
        <f t="shared" si="171"/>
        <v>321.75223614776223</v>
      </c>
      <c r="CX78" s="800">
        <f t="shared" si="171"/>
        <v>239.34791716116706</v>
      </c>
      <c r="CY78" s="800">
        <f t="shared" si="171"/>
        <v>303.61016034233762</v>
      </c>
      <c r="CZ78" s="800">
        <f>+CZ74-CY74</f>
        <v>256.70596980190203</v>
      </c>
      <c r="DA78" s="800">
        <f>+DA74-CZ74</f>
        <v>199.56128239974805</v>
      </c>
      <c r="DB78" s="800">
        <f t="shared" si="171"/>
        <v>144.70756963893109</v>
      </c>
      <c r="DC78" s="800">
        <f t="shared" si="171"/>
        <v>148.88691919952271</v>
      </c>
      <c r="DD78" s="800">
        <f t="shared" si="171"/>
        <v>153.02133593454346</v>
      </c>
      <c r="DE78" s="800">
        <f t="shared" si="171"/>
        <v>157.12277316916334</v>
      </c>
      <c r="DF78" s="849">
        <f t="shared" si="171"/>
        <v>161.20213809688175</v>
      </c>
    </row>
    <row r="79" spans="1:110" ht="12.75" customHeight="1">
      <c r="A79" s="12"/>
      <c r="B79" s="13"/>
      <c r="C79" s="13"/>
      <c r="D79" s="13"/>
      <c r="E79" s="13"/>
      <c r="F79" s="12"/>
      <c r="G79" s="12"/>
      <c r="H79" s="12"/>
      <c r="I79" s="185"/>
      <c r="J79" s="70"/>
      <c r="K79" s="70"/>
      <c r="P79" s="234"/>
      <c r="T79" s="234"/>
      <c r="X79" s="234"/>
      <c r="AB79" s="234"/>
      <c r="AF79" s="249"/>
      <c r="AG79" s="64"/>
      <c r="AH79" s="64"/>
      <c r="AI79" s="64"/>
      <c r="AJ79" s="180"/>
      <c r="AK79" s="64"/>
      <c r="AL79" s="64"/>
      <c r="AM79" s="64"/>
      <c r="AN79" s="180"/>
      <c r="AO79" s="64"/>
      <c r="AP79" s="64"/>
      <c r="AQ79" s="64"/>
      <c r="AR79" s="180"/>
      <c r="AS79" s="64"/>
      <c r="AT79" s="64"/>
      <c r="AU79" s="64"/>
      <c r="AV79" s="180"/>
      <c r="AW79" s="64"/>
      <c r="AX79" s="64"/>
      <c r="AY79" s="64"/>
      <c r="AZ79" s="180"/>
      <c r="BA79" s="64"/>
      <c r="BB79" s="64"/>
      <c r="BC79" s="64"/>
      <c r="BD79" s="180"/>
      <c r="BE79" s="64"/>
      <c r="BF79" s="64"/>
      <c r="BG79" s="64"/>
      <c r="BH79" s="180"/>
      <c r="BI79" s="38"/>
      <c r="BJ79" s="38"/>
      <c r="BK79" s="38"/>
      <c r="BL79" s="216"/>
      <c r="BM79" s="38"/>
      <c r="BN79" s="38"/>
      <c r="BO79" s="38"/>
      <c r="BP79" s="216"/>
      <c r="BQ79" s="38"/>
      <c r="BR79" s="33"/>
      <c r="BS79" s="33"/>
      <c r="BT79" s="162"/>
      <c r="BU79" s="1595"/>
      <c r="BV79" s="33"/>
      <c r="BW79" s="33"/>
      <c r="BX79" s="162"/>
      <c r="BY79" s="1595"/>
      <c r="BZ79" s="33"/>
      <c r="CA79" s="33"/>
      <c r="CB79" s="162"/>
      <c r="CC79" s="1595"/>
      <c r="CD79" s="33"/>
      <c r="CE79" s="33"/>
      <c r="CF79" s="162"/>
      <c r="CG79" s="234"/>
      <c r="CH79" s="160"/>
      <c r="CM79" s="64"/>
      <c r="CN79" s="64"/>
      <c r="CO79" s="64"/>
      <c r="CP79" s="64"/>
      <c r="CQ79" s="64"/>
      <c r="CR79" s="64"/>
      <c r="CS79" s="64"/>
      <c r="CT79" s="64"/>
      <c r="CU79" s="30"/>
      <c r="CV79" s="30"/>
      <c r="CW79" s="30"/>
      <c r="CX79" s="30"/>
      <c r="CY79" s="30"/>
      <c r="DF79" s="234"/>
    </row>
    <row r="80" spans="1:110" s="8" customFormat="1" ht="12.75" customHeight="1">
      <c r="B80" s="34"/>
      <c r="C80" s="34"/>
      <c r="D80" s="34"/>
      <c r="E80" s="34"/>
      <c r="F80" s="23"/>
      <c r="I80" s="724" t="s">
        <v>398</v>
      </c>
      <c r="J80" s="716"/>
      <c r="K80" s="716"/>
      <c r="P80" s="245"/>
      <c r="T80" s="245"/>
      <c r="X80" s="245"/>
      <c r="AB80" s="245"/>
      <c r="AC80" s="289"/>
      <c r="AD80" s="289"/>
      <c r="AE80" s="289"/>
      <c r="AF80" s="953"/>
      <c r="AG80" s="719"/>
      <c r="AH80" s="719"/>
      <c r="AI80" s="719"/>
      <c r="AJ80" s="729"/>
      <c r="AK80" s="719"/>
      <c r="AL80" s="719"/>
      <c r="AM80" s="719"/>
      <c r="AN80" s="729"/>
      <c r="AO80" s="719"/>
      <c r="AP80" s="719"/>
      <c r="AQ80" s="719"/>
      <c r="AR80" s="729"/>
      <c r="AS80" s="719"/>
      <c r="AT80" s="719"/>
      <c r="AU80" s="719"/>
      <c r="AV80" s="729"/>
      <c r="AW80" s="719"/>
      <c r="AX80" s="719"/>
      <c r="AY80" s="719"/>
      <c r="AZ80" s="729"/>
      <c r="BA80" s="719"/>
      <c r="BB80" s="719"/>
      <c r="BC80" s="719"/>
      <c r="BD80" s="729"/>
      <c r="BE80" s="719"/>
      <c r="BF80" s="719"/>
      <c r="BG80" s="719"/>
      <c r="BH80" s="729"/>
      <c r="BI80" s="808"/>
      <c r="BJ80" s="808"/>
      <c r="BK80" s="808"/>
      <c r="BL80" s="991"/>
      <c r="BM80" s="808"/>
      <c r="BN80" s="808"/>
      <c r="BO80" s="808"/>
      <c r="BP80" s="991"/>
      <c r="BQ80" s="808"/>
      <c r="BR80" s="719"/>
      <c r="BS80" s="719"/>
      <c r="BT80" s="729"/>
      <c r="BU80" s="1598"/>
      <c r="BV80" s="719"/>
      <c r="BW80" s="719"/>
      <c r="BX80" s="729"/>
      <c r="BY80" s="1598"/>
      <c r="BZ80" s="719"/>
      <c r="CA80" s="719"/>
      <c r="CB80" s="729"/>
      <c r="CC80" s="1598"/>
      <c r="CD80" s="719"/>
      <c r="CE80" s="719"/>
      <c r="CF80" s="729"/>
      <c r="CG80" s="245"/>
      <c r="CH80" s="178"/>
      <c r="CM80" s="719"/>
      <c r="CN80" s="719"/>
      <c r="CO80" s="719"/>
      <c r="CP80" s="719"/>
      <c r="CQ80" s="719"/>
      <c r="CR80" s="719"/>
      <c r="CS80" s="719"/>
      <c r="CT80" s="713"/>
      <c r="CU80" s="719"/>
      <c r="CV80" s="719"/>
      <c r="CW80" s="719"/>
      <c r="CX80" s="719"/>
      <c r="CY80" s="719"/>
      <c r="DF80" s="245"/>
    </row>
    <row r="81" spans="1:111" s="36" customFormat="1" ht="12.75" customHeight="1">
      <c r="A81" s="24"/>
      <c r="B81" s="34"/>
      <c r="C81" s="34"/>
      <c r="D81" s="34"/>
      <c r="E81" s="34"/>
      <c r="F81" s="34"/>
      <c r="G81" s="24"/>
      <c r="H81" s="24"/>
      <c r="I81" s="164" t="s">
        <v>278</v>
      </c>
      <c r="J81" s="35"/>
      <c r="K81" s="35"/>
      <c r="P81" s="240"/>
      <c r="T81" s="240"/>
      <c r="X81" s="240"/>
      <c r="AB81" s="240"/>
      <c r="AC81" s="121"/>
      <c r="AD81" s="121"/>
      <c r="AE81" s="121"/>
      <c r="AF81" s="235"/>
      <c r="AG81" s="121"/>
      <c r="AH81" s="121"/>
      <c r="AI81" s="121" t="s">
        <v>276</v>
      </c>
      <c r="AJ81" s="235"/>
      <c r="AK81" s="121"/>
      <c r="AL81" s="121" t="s">
        <v>276</v>
      </c>
      <c r="AM81" s="121" t="s">
        <v>276</v>
      </c>
      <c r="AN81" s="235"/>
      <c r="AO81" s="121" t="s">
        <v>276</v>
      </c>
      <c r="AP81" s="121"/>
      <c r="AQ81" s="121"/>
      <c r="AR81" s="235"/>
      <c r="AS81" s="121" t="s">
        <v>276</v>
      </c>
      <c r="AT81" s="121" t="s">
        <v>276</v>
      </c>
      <c r="AU81" s="121" t="s">
        <v>276</v>
      </c>
      <c r="AV81" s="235" t="s">
        <v>276</v>
      </c>
      <c r="AW81" s="121" t="s">
        <v>276</v>
      </c>
      <c r="AX81" s="121" t="s">
        <v>276</v>
      </c>
      <c r="AY81" s="121" t="s">
        <v>276</v>
      </c>
      <c r="AZ81" s="235" t="s">
        <v>276</v>
      </c>
      <c r="BA81" s="121" t="s">
        <v>276</v>
      </c>
      <c r="BB81" s="121" t="s">
        <v>276</v>
      </c>
      <c r="BC81" s="121" t="s">
        <v>277</v>
      </c>
      <c r="BD81" s="235" t="s">
        <v>277</v>
      </c>
      <c r="BE81" s="121" t="s">
        <v>279</v>
      </c>
      <c r="BF81" s="121" t="s">
        <v>277</v>
      </c>
      <c r="BG81" s="121" t="s">
        <v>277</v>
      </c>
      <c r="BH81" s="235" t="s">
        <v>280</v>
      </c>
      <c r="BI81" s="203" t="s">
        <v>281</v>
      </c>
      <c r="BJ81" s="121" t="s">
        <v>276</v>
      </c>
      <c r="BK81" s="121" t="s">
        <v>277</v>
      </c>
      <c r="BL81" s="235"/>
      <c r="BM81" s="121" t="s">
        <v>277</v>
      </c>
      <c r="BN81" s="121" t="s">
        <v>277</v>
      </c>
      <c r="BO81" s="121" t="s">
        <v>277</v>
      </c>
      <c r="BP81" s="1664"/>
      <c r="BQ81" s="1599" t="s">
        <v>277</v>
      </c>
      <c r="BR81" s="121" t="s">
        <v>277</v>
      </c>
      <c r="BS81" s="121" t="s">
        <v>277</v>
      </c>
      <c r="BT81" s="1664"/>
      <c r="BU81" s="2008"/>
      <c r="BV81" s="1664"/>
      <c r="BW81" s="121"/>
      <c r="BX81" s="235"/>
      <c r="BY81" s="1599"/>
      <c r="BZ81" s="121"/>
      <c r="CA81" s="121"/>
      <c r="CB81" s="235"/>
      <c r="CC81" s="1599"/>
      <c r="CD81" s="121"/>
      <c r="CE81" s="121"/>
      <c r="CF81" s="235"/>
      <c r="CG81" s="240"/>
      <c r="CH81" s="257"/>
      <c r="CM81" s="121"/>
      <c r="CN81" s="121"/>
      <c r="CO81" s="121"/>
      <c r="CP81" s="121" t="s">
        <v>276</v>
      </c>
      <c r="CQ81" s="121" t="s">
        <v>276</v>
      </c>
      <c r="CR81" s="121" t="s">
        <v>279</v>
      </c>
      <c r="CS81" s="121" t="s">
        <v>277</v>
      </c>
      <c r="CT81" s="713"/>
      <c r="CU81" s="121"/>
      <c r="CV81" s="121"/>
      <c r="CW81" s="121"/>
      <c r="CX81" s="121"/>
      <c r="CY81" s="121"/>
      <c r="DF81" s="240"/>
    </row>
    <row r="82" spans="1:111" s="36" customFormat="1" ht="12.75" customHeight="1">
      <c r="A82" s="24"/>
      <c r="B82" s="34"/>
      <c r="C82" s="34"/>
      <c r="D82" s="34"/>
      <c r="E82" s="34"/>
      <c r="F82" s="34"/>
      <c r="G82" s="24"/>
      <c r="H82" s="24"/>
      <c r="I82" s="164" t="s">
        <v>275</v>
      </c>
      <c r="J82" s="35"/>
      <c r="K82" s="35"/>
      <c r="P82" s="240"/>
      <c r="T82" s="240"/>
      <c r="X82" s="240"/>
      <c r="AB82" s="240"/>
      <c r="AC82" s="121"/>
      <c r="AD82" s="121"/>
      <c r="AE82" s="121"/>
      <c r="AF82" s="235"/>
      <c r="AG82" s="121"/>
      <c r="AH82" s="121" t="s">
        <v>276</v>
      </c>
      <c r="AI82" s="121" t="s">
        <v>276</v>
      </c>
      <c r="AJ82" s="235"/>
      <c r="AK82" s="121"/>
      <c r="AL82" s="121" t="s">
        <v>277</v>
      </c>
      <c r="AM82" s="121" t="s">
        <v>185</v>
      </c>
      <c r="AN82" s="235"/>
      <c r="AO82" s="121" t="s">
        <v>185</v>
      </c>
      <c r="AP82" s="121"/>
      <c r="AQ82" s="121"/>
      <c r="AR82" s="235"/>
      <c r="AS82" s="121" t="s">
        <v>276</v>
      </c>
      <c r="AT82" s="121" t="s">
        <v>276</v>
      </c>
      <c r="AU82" s="121" t="s">
        <v>276</v>
      </c>
      <c r="AV82" s="235" t="s">
        <v>276</v>
      </c>
      <c r="AW82" s="121" t="s">
        <v>276</v>
      </c>
      <c r="AX82" s="121" t="s">
        <v>276</v>
      </c>
      <c r="AY82" s="121" t="s">
        <v>276</v>
      </c>
      <c r="AZ82" s="235" t="s">
        <v>276</v>
      </c>
      <c r="BA82" s="121" t="s">
        <v>276</v>
      </c>
      <c r="BB82" s="121" t="s">
        <v>276</v>
      </c>
      <c r="BC82" s="121" t="s">
        <v>276</v>
      </c>
      <c r="BD82" s="235" t="s">
        <v>276</v>
      </c>
      <c r="BE82" s="121" t="s">
        <v>276</v>
      </c>
      <c r="BF82" s="121" t="s">
        <v>276</v>
      </c>
      <c r="BG82" s="203" t="s">
        <v>277</v>
      </c>
      <c r="BH82" s="729"/>
      <c r="BI82" s="203" t="s">
        <v>276</v>
      </c>
      <c r="BJ82" s="121" t="s">
        <v>276</v>
      </c>
      <c r="BK82" s="121" t="s">
        <v>276</v>
      </c>
      <c r="BL82" s="235"/>
      <c r="BM82" s="121" t="s">
        <v>276</v>
      </c>
      <c r="BN82" s="121" t="s">
        <v>276</v>
      </c>
      <c r="BO82" s="121" t="s">
        <v>276</v>
      </c>
      <c r="BP82" s="1664"/>
      <c r="BQ82" s="1599" t="s">
        <v>276</v>
      </c>
      <c r="BR82" s="121" t="s">
        <v>276</v>
      </c>
      <c r="BS82" s="121" t="s">
        <v>276</v>
      </c>
      <c r="BT82" s="1664"/>
      <c r="BU82" s="2008"/>
      <c r="BV82" s="1664"/>
      <c r="BW82" s="104"/>
      <c r="BX82" s="235"/>
      <c r="BY82" s="1599"/>
      <c r="BZ82" s="121"/>
      <c r="CA82" s="121"/>
      <c r="CB82" s="235"/>
      <c r="CC82" s="1599"/>
      <c r="CD82" s="121"/>
      <c r="CE82" s="121"/>
      <c r="CF82" s="235"/>
      <c r="CG82" s="240"/>
      <c r="CH82" s="257"/>
      <c r="CM82" s="121"/>
      <c r="CN82" s="121"/>
      <c r="CO82" s="121"/>
      <c r="CP82" s="121" t="s">
        <v>276</v>
      </c>
      <c r="CQ82" s="121" t="s">
        <v>276</v>
      </c>
      <c r="CR82" s="121" t="s">
        <v>276</v>
      </c>
      <c r="CS82" s="62"/>
      <c r="CT82" s="713"/>
      <c r="CU82" s="121"/>
      <c r="CV82" s="121"/>
      <c r="CW82" s="121"/>
      <c r="CX82" s="121"/>
      <c r="CY82" s="121"/>
      <c r="DF82" s="240"/>
    </row>
    <row r="83" spans="1:111" s="8" customFormat="1" ht="12.75" customHeight="1">
      <c r="A83" s="24"/>
      <c r="B83" s="34"/>
      <c r="C83" s="34"/>
      <c r="D83" s="34"/>
      <c r="E83" s="34"/>
      <c r="F83" s="34"/>
      <c r="G83" s="24"/>
      <c r="H83" s="24"/>
      <c r="I83" s="728" t="s">
        <v>5</v>
      </c>
      <c r="J83" s="7"/>
      <c r="K83" s="7"/>
      <c r="P83" s="245"/>
      <c r="T83" s="245"/>
      <c r="X83" s="245"/>
      <c r="AB83" s="245"/>
      <c r="AC83" s="289"/>
      <c r="AD83" s="289"/>
      <c r="AE83" s="289"/>
      <c r="AF83" s="953"/>
      <c r="AG83" s="719"/>
      <c r="AH83" s="719"/>
      <c r="AI83" s="719"/>
      <c r="AJ83" s="729"/>
      <c r="AK83" s="719"/>
      <c r="AL83" s="719"/>
      <c r="AM83" s="719"/>
      <c r="AN83" s="729"/>
      <c r="AO83" s="203"/>
      <c r="AP83" s="719"/>
      <c r="AQ83" s="719"/>
      <c r="AR83" s="729"/>
      <c r="AS83" s="719"/>
      <c r="AT83" s="719"/>
      <c r="AU83" s="719"/>
      <c r="AV83" s="729"/>
      <c r="AW83" s="719"/>
      <c r="AX83" s="719"/>
      <c r="AY83" s="719"/>
      <c r="AZ83" s="729"/>
      <c r="BA83" s="121" t="s">
        <v>276</v>
      </c>
      <c r="BB83" s="121" t="s">
        <v>276</v>
      </c>
      <c r="BC83" s="121" t="s">
        <v>276</v>
      </c>
      <c r="BD83" s="235" t="s">
        <v>276</v>
      </c>
      <c r="BE83" s="121" t="s">
        <v>276</v>
      </c>
      <c r="BF83" s="121" t="s">
        <v>277</v>
      </c>
      <c r="BG83" s="121" t="s">
        <v>277</v>
      </c>
      <c r="BH83" s="729"/>
      <c r="BI83" s="808"/>
      <c r="BJ83" s="808"/>
      <c r="BK83" s="808"/>
      <c r="BL83" s="991"/>
      <c r="BM83" s="808"/>
      <c r="BN83" s="808"/>
      <c r="BO83" s="808"/>
      <c r="BP83" s="713"/>
      <c r="BQ83" s="1598"/>
      <c r="BR83" s="719"/>
      <c r="BS83" s="719"/>
      <c r="BT83" s="729"/>
      <c r="BU83" s="1598"/>
      <c r="BV83" s="719"/>
      <c r="BW83" s="719"/>
      <c r="BX83" s="729"/>
      <c r="BY83" s="1598"/>
      <c r="BZ83" s="719"/>
      <c r="CA83" s="719"/>
      <c r="CB83" s="729"/>
      <c r="CC83" s="1598"/>
      <c r="CD83" s="719"/>
      <c r="CE83" s="719"/>
      <c r="CF83" s="729"/>
      <c r="CG83" s="245"/>
      <c r="CH83" s="178"/>
      <c r="CM83" s="719"/>
      <c r="CN83" s="719"/>
      <c r="CO83" s="719"/>
      <c r="CP83" s="719"/>
      <c r="CQ83" s="719"/>
      <c r="CR83" s="121" t="s">
        <v>276</v>
      </c>
      <c r="CS83" s="719"/>
      <c r="CT83" s="713"/>
      <c r="CU83" s="719"/>
      <c r="CV83" s="719"/>
      <c r="CW83" s="719"/>
      <c r="CX83" s="719"/>
      <c r="CY83" s="719"/>
      <c r="DF83" s="245"/>
    </row>
    <row r="84" spans="1:111" s="8" customFormat="1" ht="12.75" customHeight="1">
      <c r="A84" s="24"/>
      <c r="B84" s="34"/>
      <c r="C84" s="34"/>
      <c r="D84" s="34"/>
      <c r="E84" s="34"/>
      <c r="F84" s="34"/>
      <c r="G84" s="24"/>
      <c r="H84" s="24"/>
      <c r="I84" s="728"/>
      <c r="J84" s="7"/>
      <c r="K84" s="7"/>
      <c r="P84" s="245"/>
      <c r="T84" s="245"/>
      <c r="X84" s="245"/>
      <c r="AB84" s="245"/>
      <c r="AC84" s="289"/>
      <c r="AD84" s="289"/>
      <c r="AE84" s="289"/>
      <c r="AF84" s="953"/>
      <c r="AG84" s="719"/>
      <c r="AH84" s="719"/>
      <c r="AI84" s="719"/>
      <c r="AJ84" s="729"/>
      <c r="AK84" s="719"/>
      <c r="AL84" s="719"/>
      <c r="AM84" s="719"/>
      <c r="AN84" s="729"/>
      <c r="AO84" s="203"/>
      <c r="AP84" s="719"/>
      <c r="AQ84" s="719"/>
      <c r="AR84" s="729"/>
      <c r="AS84" s="719"/>
      <c r="AT84" s="719"/>
      <c r="AU84" s="719"/>
      <c r="AV84" s="729"/>
      <c r="AW84" s="719"/>
      <c r="AX84" s="719"/>
      <c r="AY84" s="719"/>
      <c r="AZ84" s="729"/>
      <c r="BA84" s="121"/>
      <c r="BB84" s="121"/>
      <c r="BC84" s="121"/>
      <c r="BD84" s="235"/>
      <c r="BE84" s="121"/>
      <c r="BF84" s="121"/>
      <c r="BG84" s="121"/>
      <c r="BH84" s="729"/>
      <c r="BI84" s="808"/>
      <c r="BJ84" s="808"/>
      <c r="BK84" s="808"/>
      <c r="BL84" s="991"/>
      <c r="BM84" s="808"/>
      <c r="BN84" s="808"/>
      <c r="BO84" s="808"/>
      <c r="BP84" s="713"/>
      <c r="BQ84" s="1598"/>
      <c r="BR84" s="719"/>
      <c r="BS84" s="719"/>
      <c r="BT84" s="729"/>
      <c r="BU84" s="1598"/>
      <c r="BV84" s="719"/>
      <c r="BW84" s="719"/>
      <c r="BX84" s="729"/>
      <c r="BY84" s="1598"/>
      <c r="BZ84" s="719"/>
      <c r="CA84" s="719"/>
      <c r="CB84" s="729"/>
      <c r="CC84" s="1598"/>
      <c r="CD84" s="719"/>
      <c r="CE84" s="719"/>
      <c r="CF84" s="729"/>
      <c r="CG84" s="245"/>
      <c r="CH84" s="178"/>
      <c r="CM84" s="719"/>
      <c r="CN84" s="719"/>
      <c r="CO84" s="719"/>
      <c r="CP84" s="719"/>
      <c r="CQ84" s="719"/>
      <c r="CR84" s="121"/>
      <c r="CS84" s="719"/>
      <c r="CT84" s="713"/>
      <c r="CU84" s="719"/>
      <c r="CV84" s="719"/>
      <c r="CW84" s="719"/>
      <c r="CX84" s="719"/>
      <c r="CY84" s="719"/>
      <c r="DF84" s="245"/>
    </row>
    <row r="85" spans="1:111" s="88" customFormat="1" ht="11.25">
      <c r="A85" s="12"/>
      <c r="B85" s="12"/>
      <c r="C85" s="12"/>
      <c r="D85" s="12"/>
      <c r="E85" s="12"/>
      <c r="F85" s="12"/>
      <c r="G85" s="12"/>
      <c r="H85" s="12"/>
      <c r="I85" s="197" t="s">
        <v>363</v>
      </c>
      <c r="J85" s="87"/>
      <c r="K85" s="87"/>
      <c r="L85" s="84"/>
      <c r="M85" s="84"/>
      <c r="N85" s="84"/>
      <c r="O85" s="84"/>
      <c r="P85" s="248"/>
      <c r="Q85" s="84"/>
      <c r="R85" s="84"/>
      <c r="S85" s="84"/>
      <c r="T85" s="248"/>
      <c r="U85" s="84"/>
      <c r="V85" s="84"/>
      <c r="W85" s="84"/>
      <c r="X85" s="248"/>
      <c r="Y85" s="84"/>
      <c r="Z85" s="84"/>
      <c r="AA85" s="84"/>
      <c r="AB85" s="248"/>
      <c r="AC85" s="793"/>
      <c r="AD85" s="793"/>
      <c r="AE85" s="793"/>
      <c r="AF85" s="954"/>
      <c r="AG85" s="794"/>
      <c r="AH85" s="794"/>
      <c r="AI85" s="794"/>
      <c r="AJ85" s="966"/>
      <c r="AK85" s="794"/>
      <c r="AL85" s="794"/>
      <c r="AM85" s="794"/>
      <c r="AN85" s="966"/>
      <c r="AO85" s="794"/>
      <c r="AP85" s="794"/>
      <c r="AQ85" s="795"/>
      <c r="AR85" s="850"/>
      <c r="AS85" s="795"/>
      <c r="AT85" s="795"/>
      <c r="AU85" s="795"/>
      <c r="AV85" s="850"/>
      <c r="AW85" s="795"/>
      <c r="AX85" s="795"/>
      <c r="AY85" s="795"/>
      <c r="AZ85" s="850"/>
      <c r="BA85" s="795"/>
      <c r="BB85" s="795"/>
      <c r="BC85" s="795"/>
      <c r="BD85" s="850"/>
      <c r="BE85" s="795"/>
      <c r="BF85" s="795"/>
      <c r="BG85" s="795"/>
      <c r="BH85" s="850"/>
      <c r="BI85" s="795"/>
      <c r="BJ85" s="795"/>
      <c r="BK85" s="795"/>
      <c r="BL85" s="850"/>
      <c r="BM85" s="795"/>
      <c r="BN85" s="795"/>
      <c r="BO85" s="795"/>
      <c r="BP85" s="795"/>
      <c r="BQ85" s="1593"/>
      <c r="BR85" s="795"/>
      <c r="BS85" s="795"/>
      <c r="BT85" s="850"/>
      <c r="BU85" s="1593"/>
      <c r="BV85" s="795"/>
      <c r="BW85" s="795"/>
      <c r="BX85" s="850"/>
      <c r="BY85" s="1593"/>
      <c r="BZ85" s="795"/>
      <c r="CA85" s="795"/>
      <c r="CB85" s="850"/>
      <c r="CC85" s="1593"/>
      <c r="CD85" s="795"/>
      <c r="CE85" s="795"/>
      <c r="CF85" s="850"/>
      <c r="CG85" s="1658"/>
      <c r="CH85" s="260"/>
      <c r="CI85" s="84"/>
      <c r="CJ85" s="84"/>
      <c r="CK85" s="84"/>
      <c r="CL85" s="84"/>
      <c r="CM85" s="794"/>
      <c r="CN85" s="795"/>
      <c r="CO85" s="795"/>
      <c r="CP85" s="795"/>
      <c r="CQ85" s="795"/>
      <c r="CR85" s="922"/>
      <c r="CS85" s="795"/>
      <c r="CT85" s="261"/>
      <c r="CU85" s="261"/>
      <c r="CV85" s="261"/>
      <c r="CW85" s="261"/>
      <c r="CX85" s="261"/>
      <c r="CY85" s="261"/>
      <c r="CZ85" s="261"/>
      <c r="DA85" s="261"/>
      <c r="DB85" s="261"/>
      <c r="DC85" s="261"/>
      <c r="DD85" s="261"/>
      <c r="DE85" s="261"/>
      <c r="DF85" s="262"/>
    </row>
    <row r="86" spans="1:111" s="8" customFormat="1" ht="12.75" customHeight="1">
      <c r="A86" s="14"/>
      <c r="B86" s="15"/>
      <c r="C86" s="15"/>
      <c r="D86" s="15"/>
      <c r="E86" s="15"/>
      <c r="F86" s="14"/>
      <c r="G86" s="14"/>
      <c r="H86" s="14"/>
      <c r="I86" s="178" t="s">
        <v>235</v>
      </c>
      <c r="P86" s="245"/>
      <c r="T86" s="245"/>
      <c r="X86" s="245"/>
      <c r="AB86" s="245"/>
      <c r="AC86" s="289"/>
      <c r="AD86" s="289"/>
      <c r="AE86" s="289"/>
      <c r="AF86" s="953"/>
      <c r="AG86" s="103">
        <v>266.315</v>
      </c>
      <c r="AH86" s="103">
        <v>318.06599999999997</v>
      </c>
      <c r="AI86" s="103">
        <v>302.762</v>
      </c>
      <c r="AJ86" s="202">
        <v>251.34</v>
      </c>
      <c r="AK86" s="103">
        <v>287.96300000000002</v>
      </c>
      <c r="AL86" s="103">
        <v>315.65100000000001</v>
      </c>
      <c r="AM86" s="103">
        <v>348.06400000000002</v>
      </c>
      <c r="AN86" s="202">
        <v>292.63299999999998</v>
      </c>
      <c r="AO86" s="103">
        <v>388.49299999999999</v>
      </c>
      <c r="AP86" s="103">
        <v>453.19</v>
      </c>
      <c r="AQ86" s="104">
        <v>446.73399999999998</v>
      </c>
      <c r="AR86" s="212">
        <v>373.089</v>
      </c>
      <c r="AS86" s="104">
        <v>473.62799999999999</v>
      </c>
      <c r="AT86" s="104">
        <v>554.55999999999995</v>
      </c>
      <c r="AU86" s="104">
        <v>592.27499999999998</v>
      </c>
      <c r="AV86" s="212">
        <v>498.15899999999999</v>
      </c>
      <c r="AW86" s="104">
        <v>591.13</v>
      </c>
      <c r="AX86" s="104">
        <v>727.21500000000003</v>
      </c>
      <c r="AY86" s="104">
        <v>838</v>
      </c>
      <c r="AZ86" s="931">
        <v>708</v>
      </c>
      <c r="BA86" s="1715">
        <v>884</v>
      </c>
      <c r="BB86" s="1715">
        <v>1055</v>
      </c>
      <c r="BC86" s="1715">
        <v>1136</v>
      </c>
      <c r="BD86" s="1716">
        <v>973</v>
      </c>
      <c r="BE86" s="1715">
        <v>1184</v>
      </c>
      <c r="BF86" s="1715">
        <v>1298</v>
      </c>
      <c r="BG86" s="1715">
        <v>1408</v>
      </c>
      <c r="BH86" s="1716">
        <v>1282</v>
      </c>
      <c r="BI86" s="1715">
        <v>1505</v>
      </c>
      <c r="BJ86" s="1715">
        <v>1692</v>
      </c>
      <c r="BK86" s="1715">
        <v>1742</v>
      </c>
      <c r="BL86" s="1715">
        <v>1562</v>
      </c>
      <c r="BM86" s="1717">
        <v>1764</v>
      </c>
      <c r="BN86" s="1715">
        <v>1957</v>
      </c>
      <c r="BO86" s="1715">
        <v>2002</v>
      </c>
      <c r="BP86" s="1715">
        <v>1685</v>
      </c>
      <c r="BQ86" s="1717">
        <v>1867</v>
      </c>
      <c r="BR86" s="1715">
        <v>2094</v>
      </c>
      <c r="BS86" s="1715">
        <v>1928</v>
      </c>
      <c r="BT86" s="1716">
        <v>1670</v>
      </c>
      <c r="BU86" s="1717">
        <v>2119</v>
      </c>
      <c r="BV86" s="1715">
        <v>2494</v>
      </c>
      <c r="BW86" s="1715">
        <v>2703</v>
      </c>
      <c r="BX86" s="1716">
        <v>2134</v>
      </c>
      <c r="BY86" s="1717">
        <v>2546</v>
      </c>
      <c r="BZ86" s="1715">
        <v>2850</v>
      </c>
      <c r="CA86" s="1715">
        <v>3168</v>
      </c>
      <c r="CB86" s="1716">
        <v>2965</v>
      </c>
      <c r="CC86" s="851">
        <f>+CC56+CC29+CC35</f>
        <v>2927.1767356549117</v>
      </c>
      <c r="CD86" s="104">
        <f>+CD56+CD29+CD35</f>
        <v>3275.9296263560618</v>
      </c>
      <c r="CE86" s="104">
        <f>+CE56+CE29+CE35</f>
        <v>3004.978327149568</v>
      </c>
      <c r="CF86" s="212">
        <f>+CF56+CF29+CF35</f>
        <v>2860.9843573600006</v>
      </c>
      <c r="CG86" s="245"/>
      <c r="CH86" s="178"/>
      <c r="CM86" s="103">
        <f>+SUM(AG86:AJ86)</f>
        <v>1138.4829999999999</v>
      </c>
      <c r="CN86" s="103">
        <f>+SUM(AK86:AN86)</f>
        <v>1244.3110000000001</v>
      </c>
      <c r="CO86" s="103">
        <f>+SUM(AO86:AR86)</f>
        <v>1661.5059999999999</v>
      </c>
      <c r="CP86" s="103">
        <f>+SUM(AS86:AV86)</f>
        <v>2118.6219999999998</v>
      </c>
      <c r="CQ86" s="103">
        <f>+SUM(AW86:AZ86)</f>
        <v>2864.3450000000003</v>
      </c>
      <c r="CR86" s="103">
        <f>+SUM(BA86:BD86)</f>
        <v>4048</v>
      </c>
      <c r="CS86" s="713">
        <f>+SUM(BE86:BH86)</f>
        <v>5172</v>
      </c>
      <c r="CT86" s="103">
        <f>+SUM(BI86:BL86)</f>
        <v>6501</v>
      </c>
      <c r="CU86" s="103">
        <f>+SUM(BM86:BP86)</f>
        <v>7408</v>
      </c>
      <c r="CV86" s="103">
        <f>+SUM(BQ86:BT86)</f>
        <v>7559</v>
      </c>
      <c r="CW86" s="103">
        <f>+SUM(BU86:BX86)</f>
        <v>9450</v>
      </c>
      <c r="CX86" s="103">
        <f>+SUM(BY86:CB86)</f>
        <v>11529</v>
      </c>
      <c r="CY86" s="103">
        <f>+SUM(CC86:CF86)</f>
        <v>12069.069046520543</v>
      </c>
      <c r="CZ86" s="104">
        <f>+CZ56+CZ29+CZ35</f>
        <v>13369.923108821971</v>
      </c>
      <c r="DA86" s="104">
        <f t="shared" ref="DA86:DF86" si="172">+DA56+DA29+DA35</f>
        <v>14606.99537718477</v>
      </c>
      <c r="DB86" s="104">
        <f t="shared" si="172"/>
        <v>15785.696052409563</v>
      </c>
      <c r="DC86" s="104">
        <f t="shared" si="172"/>
        <v>16849.333930284909</v>
      </c>
      <c r="DD86" s="104">
        <f t="shared" si="172"/>
        <v>17973.391520852227</v>
      </c>
      <c r="DE86" s="104">
        <f t="shared" si="172"/>
        <v>19163.996008761293</v>
      </c>
      <c r="DF86" s="212">
        <f t="shared" si="172"/>
        <v>20451.348133328363</v>
      </c>
    </row>
    <row r="87" spans="1:111" s="82" customFormat="1" ht="12.75" customHeight="1">
      <c r="A87" s="296"/>
      <c r="B87" s="297"/>
      <c r="C87" s="297"/>
      <c r="D87" s="297"/>
      <c r="E87" s="297"/>
      <c r="F87" s="296"/>
      <c r="G87" s="296"/>
      <c r="H87" s="296"/>
      <c r="I87" s="193" t="s">
        <v>376</v>
      </c>
      <c r="J87" s="83"/>
      <c r="K87" s="83"/>
      <c r="P87" s="1135"/>
      <c r="T87" s="1135"/>
      <c r="X87" s="1135"/>
      <c r="AB87" s="1135"/>
      <c r="AC87" s="307"/>
      <c r="AD87" s="307"/>
      <c r="AE87" s="307"/>
      <c r="AF87" s="1136"/>
      <c r="AG87" s="64"/>
      <c r="AH87" s="64"/>
      <c r="AI87" s="64"/>
      <c r="AJ87" s="180"/>
      <c r="AK87" s="1139">
        <f t="shared" ref="AK87:BD87" si="173">+AK86/AG86-1</f>
        <v>8.128719749169222E-2</v>
      </c>
      <c r="AL87" s="1139">
        <f t="shared" si="173"/>
        <v>-7.5927637660107017E-3</v>
      </c>
      <c r="AM87" s="1139">
        <f t="shared" si="173"/>
        <v>0.14962908158883881</v>
      </c>
      <c r="AN87" s="1140">
        <f t="shared" si="173"/>
        <v>0.1642913981061509</v>
      </c>
      <c r="AO87" s="1139">
        <f t="shared" si="173"/>
        <v>0.34910735059712517</v>
      </c>
      <c r="AP87" s="1139">
        <f t="shared" si="173"/>
        <v>0.43573123481313214</v>
      </c>
      <c r="AQ87" s="1139">
        <f t="shared" si="173"/>
        <v>0.28348234807391726</v>
      </c>
      <c r="AR87" s="1140">
        <f t="shared" si="173"/>
        <v>0.27493823321361566</v>
      </c>
      <c r="AS87" s="1139">
        <f t="shared" si="173"/>
        <v>0.21914165763604498</v>
      </c>
      <c r="AT87" s="1139">
        <f t="shared" si="173"/>
        <v>0.22368101679207375</v>
      </c>
      <c r="AU87" s="1139">
        <f t="shared" si="173"/>
        <v>0.32578894823317683</v>
      </c>
      <c r="AV87" s="1140">
        <f t="shared" si="173"/>
        <v>0.33522832353674326</v>
      </c>
      <c r="AW87" s="1139">
        <f t="shared" si="173"/>
        <v>0.24808921769827808</v>
      </c>
      <c r="AX87" s="1139">
        <f t="shared" si="173"/>
        <v>0.31133691575302969</v>
      </c>
      <c r="AY87" s="1139">
        <f t="shared" si="173"/>
        <v>0.41488328901270521</v>
      </c>
      <c r="AZ87" s="1140">
        <f t="shared" si="173"/>
        <v>0.42123297983174046</v>
      </c>
      <c r="BA87" s="1139">
        <f t="shared" si="173"/>
        <v>0.49544093515808707</v>
      </c>
      <c r="BB87" s="1139">
        <f t="shared" si="173"/>
        <v>0.45074015249960464</v>
      </c>
      <c r="BC87" s="1139">
        <f t="shared" si="173"/>
        <v>0.35560859188544147</v>
      </c>
      <c r="BD87" s="1140">
        <f t="shared" si="173"/>
        <v>0.37429378531073443</v>
      </c>
      <c r="BE87" s="1139">
        <f t="shared" ref="BE87:BL87" si="174">+BE86/BA86-1</f>
        <v>0.33936651583710398</v>
      </c>
      <c r="BF87" s="1139">
        <f t="shared" si="174"/>
        <v>0.23033175355450242</v>
      </c>
      <c r="BG87" s="1139">
        <f t="shared" si="174"/>
        <v>0.23943661971830976</v>
      </c>
      <c r="BH87" s="1140">
        <f t="shared" si="174"/>
        <v>0.31757451181911622</v>
      </c>
      <c r="BI87" s="1139">
        <f t="shared" si="174"/>
        <v>0.27111486486486491</v>
      </c>
      <c r="BJ87" s="1139">
        <f t="shared" si="174"/>
        <v>0.30354391371340528</v>
      </c>
      <c r="BK87" s="1139">
        <f t="shared" si="174"/>
        <v>0.23721590909090917</v>
      </c>
      <c r="BL87" s="1139">
        <f t="shared" si="174"/>
        <v>0.21840873634945401</v>
      </c>
      <c r="BM87" s="1592">
        <f t="shared" ref="BM87:CF87" si="175">+BM86/BI86-1</f>
        <v>0.17209302325581399</v>
      </c>
      <c r="BN87" s="1139">
        <f t="shared" si="175"/>
        <v>0.15661938534278952</v>
      </c>
      <c r="BO87" s="1139">
        <f t="shared" si="175"/>
        <v>0.14925373134328357</v>
      </c>
      <c r="BP87" s="1139">
        <f t="shared" si="175"/>
        <v>7.8745198463508359E-2</v>
      </c>
      <c r="BQ87" s="1592">
        <f t="shared" si="175"/>
        <v>5.8390022675737008E-2</v>
      </c>
      <c r="BR87" s="1139">
        <f t="shared" si="175"/>
        <v>7.0005109862033787E-2</v>
      </c>
      <c r="BS87" s="1139">
        <f t="shared" si="175"/>
        <v>-3.6963036963036933E-2</v>
      </c>
      <c r="BT87" s="1140">
        <f t="shared" si="175"/>
        <v>-8.9020771513352859E-3</v>
      </c>
      <c r="BU87" s="1592">
        <f t="shared" si="175"/>
        <v>0.13497589716122116</v>
      </c>
      <c r="BV87" s="1139">
        <f t="shared" si="175"/>
        <v>0.19102196752626543</v>
      </c>
      <c r="BW87" s="1139">
        <f t="shared" si="175"/>
        <v>0.40197095435684638</v>
      </c>
      <c r="BX87" s="1140">
        <f t="shared" si="175"/>
        <v>0.27784431137724552</v>
      </c>
      <c r="BY87" s="1592">
        <f t="shared" si="175"/>
        <v>0.2015101462954223</v>
      </c>
      <c r="BZ87" s="1139">
        <f t="shared" si="175"/>
        <v>0.14274258219727343</v>
      </c>
      <c r="CA87" s="1139">
        <f t="shared" si="175"/>
        <v>0.17203107658157601</v>
      </c>
      <c r="CB87" s="1140">
        <f t="shared" si="175"/>
        <v>0.38940955951265233</v>
      </c>
      <c r="CC87" s="1592">
        <f t="shared" si="175"/>
        <v>0.14971592130986311</v>
      </c>
      <c r="CD87" s="1139">
        <f t="shared" si="175"/>
        <v>0.14944899170388126</v>
      </c>
      <c r="CE87" s="1139">
        <f>+CE86/CA86-1</f>
        <v>-5.1458861379555576E-2</v>
      </c>
      <c r="CF87" s="1140">
        <f t="shared" si="175"/>
        <v>-3.5081161092748503E-2</v>
      </c>
      <c r="CG87" s="1135"/>
      <c r="CH87" s="259"/>
      <c r="CM87" s="64"/>
      <c r="CN87" s="1139">
        <f t="shared" ref="CN87:CY87" si="176">+CN86/CM86-1</f>
        <v>9.2955274694483947E-2</v>
      </c>
      <c r="CO87" s="1139">
        <f t="shared" si="176"/>
        <v>0.33528193514322346</v>
      </c>
      <c r="CP87" s="1139">
        <f t="shared" si="176"/>
        <v>0.27512148616977616</v>
      </c>
      <c r="CQ87" s="1139">
        <f t="shared" si="176"/>
        <v>0.35198492227495071</v>
      </c>
      <c r="CR87" s="1139">
        <f t="shared" si="176"/>
        <v>0.41323758136676969</v>
      </c>
      <c r="CS87" s="1139">
        <f t="shared" si="176"/>
        <v>0.27766798418972338</v>
      </c>
      <c r="CT87" s="1139">
        <f t="shared" si="176"/>
        <v>0.25696055684454766</v>
      </c>
      <c r="CU87" s="1139">
        <f t="shared" si="176"/>
        <v>0.13951699738501766</v>
      </c>
      <c r="CV87" s="1139">
        <f t="shared" si="176"/>
        <v>2.0383369330453593E-2</v>
      </c>
      <c r="CW87" s="1139">
        <f t="shared" si="176"/>
        <v>0.25016536578912563</v>
      </c>
      <c r="CX87" s="1139">
        <f t="shared" si="176"/>
        <v>0.21999999999999997</v>
      </c>
      <c r="CY87" s="1139">
        <f t="shared" si="176"/>
        <v>4.684439643685856E-2</v>
      </c>
      <c r="CZ87" s="1139">
        <f>+CZ86/CY86-1</f>
        <v>0.10778412628904954</v>
      </c>
      <c r="DA87" s="1139">
        <f t="shared" ref="DA87:DF87" si="177">+DA86/CZ86-1</f>
        <v>9.2526505821602933E-2</v>
      </c>
      <c r="DB87" s="1139">
        <f t="shared" si="177"/>
        <v>8.0694259482401831E-2</v>
      </c>
      <c r="DC87" s="1139">
        <f t="shared" si="177"/>
        <v>6.7379852896191528E-2</v>
      </c>
      <c r="DD87" s="1139">
        <f t="shared" si="177"/>
        <v>6.6712286385810282E-2</v>
      </c>
      <c r="DE87" s="1139">
        <f t="shared" si="177"/>
        <v>6.6242616844336855E-2</v>
      </c>
      <c r="DF87" s="1140">
        <f t="shared" si="177"/>
        <v>6.7175557956624887E-2</v>
      </c>
    </row>
    <row r="88" spans="1:111" s="82" customFormat="1" ht="12.75" customHeight="1">
      <c r="I88" s="193" t="s">
        <v>234</v>
      </c>
      <c r="J88" s="83"/>
      <c r="K88" s="83"/>
      <c r="P88" s="1135"/>
      <c r="T88" s="1135"/>
      <c r="X88" s="1135"/>
      <c r="AB88" s="1135"/>
      <c r="AC88" s="307"/>
      <c r="AD88" s="307"/>
      <c r="AE88" s="307"/>
      <c r="AF88" s="1136"/>
      <c r="AG88" s="64"/>
      <c r="AH88" s="64"/>
      <c r="AI88" s="64"/>
      <c r="AJ88" s="180"/>
      <c r="AK88" s="64"/>
      <c r="AL88" s="64"/>
      <c r="AM88" s="64"/>
      <c r="AN88" s="180"/>
      <c r="AO88" s="64">
        <f t="shared" ref="AO88:BD88" si="178">+AO87+AK87</f>
        <v>0.43039454808881739</v>
      </c>
      <c r="AP88" s="64">
        <f t="shared" si="178"/>
        <v>0.42813847104712144</v>
      </c>
      <c r="AQ88" s="64">
        <f t="shared" si="178"/>
        <v>0.43311142966275606</v>
      </c>
      <c r="AR88" s="180">
        <f t="shared" si="178"/>
        <v>0.43922963131976656</v>
      </c>
      <c r="AS88" s="64">
        <f t="shared" si="178"/>
        <v>0.56824900823317015</v>
      </c>
      <c r="AT88" s="64">
        <f t="shared" si="178"/>
        <v>0.65941225160520589</v>
      </c>
      <c r="AU88" s="64">
        <f t="shared" si="178"/>
        <v>0.60927129630709409</v>
      </c>
      <c r="AV88" s="180">
        <f t="shared" si="178"/>
        <v>0.61016655675035891</v>
      </c>
      <c r="AW88" s="64">
        <f t="shared" si="178"/>
        <v>0.46723087533432306</v>
      </c>
      <c r="AX88" s="64">
        <f t="shared" si="178"/>
        <v>0.53501793254510344</v>
      </c>
      <c r="AY88" s="64">
        <f t="shared" si="178"/>
        <v>0.74067223724588205</v>
      </c>
      <c r="AZ88" s="180">
        <f t="shared" si="178"/>
        <v>0.75646130336848372</v>
      </c>
      <c r="BA88" s="64">
        <f t="shared" si="178"/>
        <v>0.74353015285636515</v>
      </c>
      <c r="BB88" s="64">
        <f t="shared" si="178"/>
        <v>0.76207706825263433</v>
      </c>
      <c r="BC88" s="64">
        <f t="shared" si="178"/>
        <v>0.77049188089814669</v>
      </c>
      <c r="BD88" s="180">
        <f t="shared" si="178"/>
        <v>0.79552676514247489</v>
      </c>
      <c r="BE88" s="64">
        <f t="shared" ref="BE88:BL88" si="179">+BE87+BA87</f>
        <v>0.83480745099519105</v>
      </c>
      <c r="BF88" s="64">
        <f t="shared" si="179"/>
        <v>0.68107190605410706</v>
      </c>
      <c r="BG88" s="64">
        <f t="shared" si="179"/>
        <v>0.59504521160375123</v>
      </c>
      <c r="BH88" s="180">
        <f t="shared" si="179"/>
        <v>0.69186829712985065</v>
      </c>
      <c r="BI88" s="64">
        <f t="shared" si="179"/>
        <v>0.61048138070196889</v>
      </c>
      <c r="BJ88" s="64">
        <f t="shared" si="179"/>
        <v>0.53387566726790769</v>
      </c>
      <c r="BK88" s="64">
        <f t="shared" si="179"/>
        <v>0.47665252880921893</v>
      </c>
      <c r="BL88" s="64">
        <f t="shared" si="179"/>
        <v>0.53598324816857024</v>
      </c>
      <c r="BM88" s="1263">
        <f t="shared" ref="BM88:CF88" si="180">+BM87+BI87</f>
        <v>0.44320788812067891</v>
      </c>
      <c r="BN88" s="64">
        <f t="shared" si="180"/>
        <v>0.4601632990561948</v>
      </c>
      <c r="BO88" s="64">
        <f t="shared" si="180"/>
        <v>0.38646964043419274</v>
      </c>
      <c r="BP88" s="64">
        <f t="shared" si="180"/>
        <v>0.29715393481296237</v>
      </c>
      <c r="BQ88" s="1263">
        <f t="shared" si="180"/>
        <v>0.230483045931551</v>
      </c>
      <c r="BR88" s="64">
        <f t="shared" si="180"/>
        <v>0.22662449520482331</v>
      </c>
      <c r="BS88" s="64">
        <f t="shared" si="180"/>
        <v>0.11229069438024664</v>
      </c>
      <c r="BT88" s="180">
        <f t="shared" si="180"/>
        <v>6.9843121312173073E-2</v>
      </c>
      <c r="BU88" s="1263">
        <f t="shared" si="180"/>
        <v>0.19336591983695817</v>
      </c>
      <c r="BV88" s="64">
        <f t="shared" si="180"/>
        <v>0.26102707738829922</v>
      </c>
      <c r="BW88" s="64">
        <f t="shared" si="180"/>
        <v>0.36500791739380944</v>
      </c>
      <c r="BX88" s="180">
        <f t="shared" si="180"/>
        <v>0.26894223422591024</v>
      </c>
      <c r="BY88" s="1263">
        <f t="shared" si="180"/>
        <v>0.33648604345664346</v>
      </c>
      <c r="BZ88" s="64">
        <f t="shared" si="180"/>
        <v>0.33376454972353886</v>
      </c>
      <c r="CA88" s="64">
        <f t="shared" si="180"/>
        <v>0.57400203093842239</v>
      </c>
      <c r="CB88" s="180">
        <f t="shared" si="180"/>
        <v>0.66725387088989785</v>
      </c>
      <c r="CC88" s="1263">
        <f t="shared" si="180"/>
        <v>0.35122606760528541</v>
      </c>
      <c r="CD88" s="64">
        <f t="shared" si="180"/>
        <v>0.29219157390115469</v>
      </c>
      <c r="CE88" s="64">
        <f t="shared" si="180"/>
        <v>0.12057221520202044</v>
      </c>
      <c r="CF88" s="180">
        <f t="shared" si="180"/>
        <v>0.35432839841990382</v>
      </c>
      <c r="CG88" s="1135"/>
      <c r="CH88" s="259"/>
      <c r="CM88" s="721"/>
      <c r="CN88" s="64"/>
      <c r="CO88" s="64">
        <f t="shared" ref="CO88:CY88" si="181">+CO87+CN87</f>
        <v>0.42823720983770741</v>
      </c>
      <c r="CP88" s="64">
        <f t="shared" si="181"/>
        <v>0.61040342131299963</v>
      </c>
      <c r="CQ88" s="64">
        <f t="shared" si="181"/>
        <v>0.62710640844472687</v>
      </c>
      <c r="CR88" s="64">
        <f t="shared" si="181"/>
        <v>0.7652225036417204</v>
      </c>
      <c r="CS88" s="64">
        <f t="shared" si="181"/>
        <v>0.69090556555649307</v>
      </c>
      <c r="CT88" s="64">
        <f t="shared" si="181"/>
        <v>0.53462854103427104</v>
      </c>
      <c r="CU88" s="64">
        <f t="shared" si="181"/>
        <v>0.39647755422956532</v>
      </c>
      <c r="CV88" s="64">
        <f t="shared" si="181"/>
        <v>0.15990036671547125</v>
      </c>
      <c r="CW88" s="64">
        <f t="shared" si="181"/>
        <v>0.27054873511957922</v>
      </c>
      <c r="CX88" s="64">
        <f t="shared" si="181"/>
        <v>0.4701653657891256</v>
      </c>
      <c r="CY88" s="64">
        <f t="shared" si="181"/>
        <v>0.26684439643685853</v>
      </c>
      <c r="CZ88" s="64">
        <f>+CZ87+CY87</f>
        <v>0.1546285227259081</v>
      </c>
      <c r="DA88" s="64">
        <f t="shared" ref="DA88:DF88" si="182">+DA87+CZ87</f>
        <v>0.20031063211065248</v>
      </c>
      <c r="DB88" s="64">
        <f t="shared" si="182"/>
        <v>0.17322076530400476</v>
      </c>
      <c r="DC88" s="64">
        <f t="shared" si="182"/>
        <v>0.14807411237859336</v>
      </c>
      <c r="DD88" s="64">
        <f t="shared" si="182"/>
        <v>0.13409213928200181</v>
      </c>
      <c r="DE88" s="64">
        <f t="shared" si="182"/>
        <v>0.13295490323014714</v>
      </c>
      <c r="DF88" s="180">
        <f t="shared" si="182"/>
        <v>0.13341817480096174</v>
      </c>
    </row>
    <row r="89" spans="1:111" s="82" customFormat="1" ht="12.75" customHeight="1">
      <c r="I89" s="193" t="s">
        <v>236</v>
      </c>
      <c r="J89" s="83"/>
      <c r="K89" s="83"/>
      <c r="P89" s="1135"/>
      <c r="T89" s="1135"/>
      <c r="X89" s="1135"/>
      <c r="AB89" s="1135"/>
      <c r="AC89" s="307"/>
      <c r="AD89" s="307"/>
      <c r="AE89" s="307"/>
      <c r="AF89" s="1136"/>
      <c r="AG89" s="64">
        <f>+AG86/Model!AG12</f>
        <v>0.35659816743235667</v>
      </c>
      <c r="AH89" s="64">
        <f>+AH86/Model!AH12</f>
        <v>0.34298377096026311</v>
      </c>
      <c r="AI89" s="64">
        <f>+AI86/Model!AI12</f>
        <v>0.33522223993764177</v>
      </c>
      <c r="AJ89" s="180">
        <f>+AJ86/Model!AJ12</f>
        <v>0.33854608639431044</v>
      </c>
      <c r="AK89" s="64">
        <f>+AK86/Model!AK12</f>
        <v>0.28839819287304547</v>
      </c>
      <c r="AL89" s="64">
        <f>+AL86/Model!AL12</f>
        <v>0.25560627446026474</v>
      </c>
      <c r="AM89" s="64">
        <f>+AM86/Model!AM12</f>
        <v>0.25028277472292393</v>
      </c>
      <c r="AN89" s="180">
        <f>+AN86/Model!AN12</f>
        <v>0.24278227308515254</v>
      </c>
      <c r="AO89" s="64">
        <f>+AO86/Model!AO12</f>
        <v>0.22090887586346505</v>
      </c>
      <c r="AP89" s="64">
        <f>+AP86/Model!AP12</f>
        <v>0.2147855533148654</v>
      </c>
      <c r="AQ89" s="64">
        <f>+AQ86/Model!AQ12</f>
        <v>0.21787364290462424</v>
      </c>
      <c r="AR89" s="180">
        <f>+AR86/Model!AR12</f>
        <v>0.2518977282624621</v>
      </c>
      <c r="AS89" s="64">
        <f>+AS86/Model!AS12</f>
        <v>0.2436879496847062</v>
      </c>
      <c r="AT89" s="64">
        <f>+AT86/Model!AT12</f>
        <v>0.23308890717718472</v>
      </c>
      <c r="AU89" s="64">
        <f>+AU86/Model!AU12</f>
        <v>0.21752056487954147</v>
      </c>
      <c r="AV89" s="180">
        <f>+AV86/Model!AV12</f>
        <v>0.21999077923419949</v>
      </c>
      <c r="AW89" s="64">
        <f>+AW86/Model!AW12</f>
        <v>0.19938981918882043</v>
      </c>
      <c r="AX89" s="64">
        <f>+AX86/Model!AX12</f>
        <v>0.21324827428464185</v>
      </c>
      <c r="AY89" s="64">
        <f>+AY86/Model!AY12</f>
        <v>0.2091862206689965</v>
      </c>
      <c r="AZ89" s="180">
        <f>+AZ86/Model!AZ12</f>
        <v>0.21684532924961716</v>
      </c>
      <c r="BA89" s="64">
        <f>+BA86/Model!BA12</f>
        <v>0.18949624866023579</v>
      </c>
      <c r="BB89" s="64">
        <f>+BB86/Model!BB12</f>
        <v>0.18252595155709342</v>
      </c>
      <c r="BC89" s="64">
        <f>+BC86/Model!BC12</f>
        <v>0.18155665654466996</v>
      </c>
      <c r="BD89" s="180">
        <f>+BD86/Model!BD12</f>
        <v>0.1963276836158192</v>
      </c>
      <c r="BE89" s="64">
        <f>+BE86/Model!BE12</f>
        <v>0.17642676203248397</v>
      </c>
      <c r="BF89" s="64">
        <f>+BF86/Model!BF12</f>
        <v>0.17710465274935189</v>
      </c>
      <c r="BG89" s="64">
        <f>+BG86/Model!BG12</f>
        <v>0.1797752808988764</v>
      </c>
      <c r="BH89" s="180">
        <f>+BH86/Model!BH12</f>
        <v>0.19471445929526124</v>
      </c>
      <c r="BI89" s="64">
        <f>+BI86/Model!BI12</f>
        <v>0.16442696383699335</v>
      </c>
      <c r="BJ89" s="64">
        <f>+BJ86/Model!BJ12</f>
        <v>0.16724325392903033</v>
      </c>
      <c r="BK89" s="64">
        <f>+BK86/Model!BK12</f>
        <v>0.16182071528100325</v>
      </c>
      <c r="BL89" s="64">
        <f>+BL86/Model!BL12</f>
        <v>0.17095326693663129</v>
      </c>
      <c r="BM89" s="1263">
        <f>+BM86/Model!BM12</f>
        <v>0.14364820846905538</v>
      </c>
      <c r="BN89" s="64">
        <f>+BN86/Model!BN12</f>
        <v>0.14455606441128674</v>
      </c>
      <c r="BO89" s="64">
        <f>+BO86/Model!BO12</f>
        <v>0.14483107863705419</v>
      </c>
      <c r="BP89" s="64">
        <f>+BP86/Model!BP12</f>
        <v>0.15808237170466272</v>
      </c>
      <c r="BQ89" s="1263">
        <f>+BQ86/Model!BQ12</f>
        <v>0.13552555168408828</v>
      </c>
      <c r="BR89" s="64">
        <f>+BR86/Model!BR12</f>
        <v>0.13997326203208557</v>
      </c>
      <c r="BS89" s="64">
        <f>+BS86/Model!BS12</f>
        <v>0.13046420354581134</v>
      </c>
      <c r="BT89" s="180">
        <f>+BT86/Model!BT12</f>
        <v>0.13900449475611787</v>
      </c>
      <c r="BU89" s="1263">
        <f>+BU86/Model!BU12</f>
        <v>0.12724434035909446</v>
      </c>
      <c r="BV89" s="64">
        <f>+BV86/Model!BV12</f>
        <v>0.1396260217220916</v>
      </c>
      <c r="BW89" s="64">
        <f>+BW86/Model!BW12</f>
        <v>0.14642470205850489</v>
      </c>
      <c r="BX89" s="180">
        <f>+BX86/Model!BX12</f>
        <v>0.14121228163049232</v>
      </c>
      <c r="BY89" s="1263">
        <f>+BY86/Model!BY12</f>
        <v>0.12307246096582394</v>
      </c>
      <c r="BZ89" s="64">
        <f>+BZ86/Model!BZ12</f>
        <v>0.13703899600903977</v>
      </c>
      <c r="CA89" s="64">
        <f>+CA86/Model!CA12</f>
        <v>0.14557485525227462</v>
      </c>
      <c r="CB89" s="180">
        <f>+CB86/Model!CB12</f>
        <v>0.16490545050055616</v>
      </c>
      <c r="CC89" s="1263">
        <f>+CC86/Model!CC12</f>
        <v>0.117644828027247</v>
      </c>
      <c r="CD89" s="64">
        <f>+CD86/Model!CD12</f>
        <v>0.13058729665898949</v>
      </c>
      <c r="CE89" s="64">
        <f>+CE86/Model!CE12</f>
        <v>0.12110213847050258</v>
      </c>
      <c r="CF89" s="180">
        <f>+CF86/Model!CF12</f>
        <v>0.13001530553766669</v>
      </c>
      <c r="CG89" s="1135"/>
      <c r="CH89" s="259"/>
      <c r="CM89" s="64">
        <f>+CM86/Model!CM12</f>
        <v>0.34294249354393963</v>
      </c>
      <c r="CN89" s="64">
        <f>+CN86/Model!CN12</f>
        <v>0.25765247806360025</v>
      </c>
      <c r="CO89" s="64">
        <f>+CO86/Model!CO12</f>
        <v>0.22452428792679896</v>
      </c>
      <c r="CP89" s="64">
        <f>+CP86/Model!CP12</f>
        <v>0.22756260914266735</v>
      </c>
      <c r="CQ89" s="64">
        <f>+CQ86/Model!CQ12</f>
        <v>0.20990555754028234</v>
      </c>
      <c r="CR89" s="64">
        <f>+CR86/Model!CR12</f>
        <v>0.18690553144334657</v>
      </c>
      <c r="CS89" s="64">
        <f>+CS86/Model!CS12</f>
        <v>0.18175428732077595</v>
      </c>
      <c r="CT89" s="64">
        <f>+CT86/Model!CT12</f>
        <v>0.16596037986316756</v>
      </c>
      <c r="CU89" s="64">
        <f>+CU86/Model!CU12</f>
        <v>0.14727634194831013</v>
      </c>
      <c r="CV89" s="64">
        <f>+CV86/Model!CV12</f>
        <v>0.13612952024204006</v>
      </c>
      <c r="CW89" s="64">
        <f>+CW86/Model!CW12</f>
        <v>0.13879301481927533</v>
      </c>
      <c r="CX89" s="64">
        <f>+CX86/Model!CX12</f>
        <v>0.14193731071331839</v>
      </c>
      <c r="CY89" s="64">
        <f>+CY86/Model!CY12</f>
        <v>0.12469828230342737</v>
      </c>
      <c r="CZ89" s="64">
        <f>+CZ86/Model!CZ12</f>
        <v>0.12053353238994796</v>
      </c>
      <c r="DA89" s="64">
        <f>+DA86/Model!DA12</f>
        <v>0.11701614392013819</v>
      </c>
      <c r="DB89" s="64">
        <f>+DB86/Model!DB12</f>
        <v>0.11417103881747596</v>
      </c>
      <c r="DC89" s="64">
        <f>+DC86/Model!DC12</f>
        <v>0.11126306111443672</v>
      </c>
      <c r="DD89" s="64">
        <f>+DD86/Model!DD12</f>
        <v>0.10927379540608124</v>
      </c>
      <c r="DE89" s="64">
        <f>+DE86/Model!DE12</f>
        <v>0.1081021755623449</v>
      </c>
      <c r="DF89" s="180">
        <f>+DF86/Model!DF12</f>
        <v>0.10700815762970003</v>
      </c>
      <c r="DG89" s="64"/>
    </row>
    <row r="90" spans="1:111" ht="12.75" customHeight="1">
      <c r="I90" s="185" t="s">
        <v>153</v>
      </c>
      <c r="J90" s="70"/>
      <c r="K90" s="70"/>
      <c r="P90" s="234"/>
      <c r="T90" s="234"/>
      <c r="X90" s="234"/>
      <c r="AB90" s="234"/>
      <c r="AF90" s="249"/>
      <c r="AJ90" s="179"/>
      <c r="AK90" s="715"/>
      <c r="AL90" s="715"/>
      <c r="AM90" s="715"/>
      <c r="AN90" s="727"/>
      <c r="AO90" s="800">
        <f t="shared" ref="AO90:BA90" si="183">+AO86-AN86</f>
        <v>95.860000000000014</v>
      </c>
      <c r="AP90" s="800">
        <f t="shared" si="183"/>
        <v>64.697000000000003</v>
      </c>
      <c r="AQ90" s="800">
        <f t="shared" si="183"/>
        <v>-6.4560000000000173</v>
      </c>
      <c r="AR90" s="849">
        <f t="shared" si="183"/>
        <v>-73.644999999999982</v>
      </c>
      <c r="AS90" s="800">
        <f t="shared" si="183"/>
        <v>100.53899999999999</v>
      </c>
      <c r="AT90" s="800">
        <f t="shared" si="183"/>
        <v>80.93199999999996</v>
      </c>
      <c r="AU90" s="800">
        <f t="shared" si="183"/>
        <v>37.715000000000032</v>
      </c>
      <c r="AV90" s="849">
        <f t="shared" si="183"/>
        <v>-94.115999999999985</v>
      </c>
      <c r="AW90" s="800">
        <f t="shared" si="183"/>
        <v>92.971000000000004</v>
      </c>
      <c r="AX90" s="800">
        <f t="shared" si="183"/>
        <v>136.08500000000004</v>
      </c>
      <c r="AY90" s="800">
        <f t="shared" si="183"/>
        <v>110.78499999999997</v>
      </c>
      <c r="AZ90" s="849">
        <f t="shared" si="183"/>
        <v>-130</v>
      </c>
      <c r="BA90" s="800">
        <f t="shared" si="183"/>
        <v>176</v>
      </c>
      <c r="BB90" s="800">
        <f t="shared" ref="BB90:BL90" si="184">+BB86-BA86</f>
        <v>171</v>
      </c>
      <c r="BC90" s="800">
        <f t="shared" si="184"/>
        <v>81</v>
      </c>
      <c r="BD90" s="849">
        <f t="shared" si="184"/>
        <v>-163</v>
      </c>
      <c r="BE90" s="800">
        <f t="shared" si="184"/>
        <v>211</v>
      </c>
      <c r="BF90" s="800">
        <f t="shared" si="184"/>
        <v>114</v>
      </c>
      <c r="BG90" s="800">
        <f t="shared" si="184"/>
        <v>110</v>
      </c>
      <c r="BH90" s="849">
        <f t="shared" si="184"/>
        <v>-126</v>
      </c>
      <c r="BI90" s="800">
        <f t="shared" si="184"/>
        <v>223</v>
      </c>
      <c r="BJ90" s="800">
        <f t="shared" si="184"/>
        <v>187</v>
      </c>
      <c r="BK90" s="800">
        <f t="shared" si="184"/>
        <v>50</v>
      </c>
      <c r="BL90" s="800">
        <f t="shared" si="184"/>
        <v>-180</v>
      </c>
      <c r="BM90" s="934">
        <f t="shared" ref="BM90:CF90" si="185">+BM86-BL86</f>
        <v>202</v>
      </c>
      <c r="BN90" s="800">
        <f t="shared" si="185"/>
        <v>193</v>
      </c>
      <c r="BO90" s="800">
        <f t="shared" si="185"/>
        <v>45</v>
      </c>
      <c r="BP90" s="800">
        <f t="shared" si="185"/>
        <v>-317</v>
      </c>
      <c r="BQ90" s="934">
        <f t="shared" si="185"/>
        <v>182</v>
      </c>
      <c r="BR90" s="800">
        <f t="shared" si="185"/>
        <v>227</v>
      </c>
      <c r="BS90" s="800">
        <f t="shared" si="185"/>
        <v>-166</v>
      </c>
      <c r="BT90" s="849">
        <f t="shared" si="185"/>
        <v>-258</v>
      </c>
      <c r="BU90" s="934">
        <f t="shared" si="185"/>
        <v>449</v>
      </c>
      <c r="BV90" s="800">
        <f t="shared" si="185"/>
        <v>375</v>
      </c>
      <c r="BW90" s="800">
        <f t="shared" si="185"/>
        <v>209</v>
      </c>
      <c r="BX90" s="849">
        <f t="shared" si="185"/>
        <v>-569</v>
      </c>
      <c r="BY90" s="934">
        <f t="shared" si="185"/>
        <v>412</v>
      </c>
      <c r="BZ90" s="800">
        <f t="shared" si="185"/>
        <v>304</v>
      </c>
      <c r="CA90" s="800">
        <f t="shared" si="185"/>
        <v>318</v>
      </c>
      <c r="CB90" s="849">
        <f t="shared" si="185"/>
        <v>-203</v>
      </c>
      <c r="CC90" s="934">
        <f t="shared" si="185"/>
        <v>-37.823264345088319</v>
      </c>
      <c r="CD90" s="800">
        <f t="shared" si="185"/>
        <v>348.75289070115014</v>
      </c>
      <c r="CE90" s="800">
        <f t="shared" si="185"/>
        <v>-270.95129920649379</v>
      </c>
      <c r="CF90" s="849">
        <f t="shared" si="185"/>
        <v>-143.99396978956747</v>
      </c>
      <c r="CG90" s="234"/>
      <c r="CH90" s="160"/>
      <c r="CM90" s="103"/>
      <c r="CN90" s="715"/>
      <c r="CO90" s="715"/>
      <c r="CP90" s="715"/>
      <c r="CQ90" s="715"/>
      <c r="CR90" s="715"/>
      <c r="CS90" s="715"/>
      <c r="CT90" s="715"/>
      <c r="CU90" s="715"/>
      <c r="CV90" s="715"/>
      <c r="CW90" s="715"/>
      <c r="CX90" s="715"/>
      <c r="CY90" s="715"/>
      <c r="CZ90" s="800"/>
      <c r="DF90" s="234"/>
    </row>
    <row r="91" spans="1:111" s="8" customFormat="1" ht="12.75" customHeight="1">
      <c r="A91" s="24"/>
      <c r="B91" s="24"/>
      <c r="C91" s="24"/>
      <c r="D91" s="24"/>
      <c r="E91" s="24"/>
      <c r="F91" s="24"/>
      <c r="G91" s="24"/>
      <c r="H91" s="34"/>
      <c r="I91" s="167"/>
      <c r="J91" s="46"/>
      <c r="K91" s="46"/>
      <c r="P91" s="245"/>
      <c r="T91" s="245"/>
      <c r="X91" s="245"/>
      <c r="AB91" s="245"/>
      <c r="AC91" s="289"/>
      <c r="AD91" s="289"/>
      <c r="AE91" s="289"/>
      <c r="AF91" s="953"/>
      <c r="AG91" s="103"/>
      <c r="AH91" s="103"/>
      <c r="AI91" s="103"/>
      <c r="AJ91" s="202"/>
      <c r="AK91" s="103"/>
      <c r="AL91" s="103"/>
      <c r="AM91" s="103"/>
      <c r="AN91" s="202"/>
      <c r="AO91" s="103"/>
      <c r="AP91" s="103"/>
      <c r="AQ91" s="103"/>
      <c r="AR91" s="202"/>
      <c r="AS91" s="103"/>
      <c r="AT91" s="103"/>
      <c r="AU91" s="103"/>
      <c r="AV91" s="202"/>
      <c r="AW91" s="103"/>
      <c r="AX91" s="103"/>
      <c r="AY91" s="103"/>
      <c r="AZ91" s="202"/>
      <c r="BA91" s="103"/>
      <c r="BB91" s="103"/>
      <c r="BC91" s="103"/>
      <c r="BD91" s="202"/>
      <c r="BE91" s="103"/>
      <c r="BF91" s="103"/>
      <c r="BG91" s="103"/>
      <c r="BH91" s="202"/>
      <c r="BI91" s="62"/>
      <c r="BJ91" s="62"/>
      <c r="BK91" s="62"/>
      <c r="BL91" s="62"/>
      <c r="BM91" s="1629"/>
      <c r="BN91" s="62"/>
      <c r="BO91" s="62"/>
      <c r="BP91" s="103"/>
      <c r="BQ91" s="265"/>
      <c r="BR91" s="103"/>
      <c r="BS91" s="103"/>
      <c r="BT91" s="202"/>
      <c r="BU91" s="265"/>
      <c r="BV91" s="103"/>
      <c r="BW91" s="103"/>
      <c r="BX91" s="202"/>
      <c r="BY91" s="265"/>
      <c r="BZ91" s="103"/>
      <c r="CA91" s="103"/>
      <c r="CB91" s="202"/>
      <c r="CC91" s="265"/>
      <c r="CD91" s="103"/>
      <c r="CE91" s="103"/>
      <c r="CF91" s="202"/>
      <c r="CG91" s="245"/>
      <c r="CH91" s="178"/>
      <c r="CM91" s="103"/>
      <c r="CN91" s="103"/>
      <c r="CO91" s="103"/>
      <c r="CP91" s="103"/>
      <c r="CQ91" s="103"/>
      <c r="CR91" s="103"/>
      <c r="CS91" s="103"/>
      <c r="CT91" s="103"/>
      <c r="CU91" s="103"/>
      <c r="CV91" s="103"/>
      <c r="CW91" s="103"/>
      <c r="CX91" s="103"/>
      <c r="CY91" s="103"/>
      <c r="CZ91" s="103"/>
      <c r="DF91" s="245"/>
    </row>
    <row r="92" spans="1:111" s="5" customFormat="1" ht="12.75" customHeight="1">
      <c r="A92" s="8"/>
      <c r="B92" s="8"/>
      <c r="C92" s="8"/>
      <c r="D92" s="8"/>
      <c r="E92" s="8"/>
      <c r="F92" s="8"/>
      <c r="G92" s="8"/>
      <c r="H92" s="8"/>
      <c r="I92" s="163" t="s">
        <v>237</v>
      </c>
      <c r="P92" s="737"/>
      <c r="T92" s="737"/>
      <c r="X92" s="737"/>
      <c r="AB92" s="737"/>
      <c r="AC92" s="796"/>
      <c r="AD92" s="796"/>
      <c r="AE92" s="796"/>
      <c r="AF92" s="952"/>
      <c r="AG92" s="713">
        <v>480.50599999999997</v>
      </c>
      <c r="AH92" s="713">
        <v>609.28399999999999</v>
      </c>
      <c r="AI92" s="713">
        <v>600.40599999999995</v>
      </c>
      <c r="AJ92" s="723">
        <v>491.07</v>
      </c>
      <c r="AK92" s="713">
        <v>710.52800000000002</v>
      </c>
      <c r="AL92" s="713">
        <v>919.26</v>
      </c>
      <c r="AM92" s="713">
        <v>1042.6189999999999</v>
      </c>
      <c r="AN92" s="723">
        <v>912.69799999999998</v>
      </c>
      <c r="AO92" s="713">
        <v>1370.1189999999999</v>
      </c>
      <c r="AP92" s="713">
        <v>1656.7750000000001</v>
      </c>
      <c r="AQ92" s="112">
        <v>1603.693</v>
      </c>
      <c r="AR92" s="214">
        <v>1108.0239999999999</v>
      </c>
      <c r="AS92" s="112">
        <v>1469.9559999999999</v>
      </c>
      <c r="AT92" s="112">
        <v>1824.6179999999999</v>
      </c>
      <c r="AU92" s="112">
        <v>2130.5709999999999</v>
      </c>
      <c r="AV92" s="214">
        <v>1766.2950000000001</v>
      </c>
      <c r="AW92" s="112">
        <v>2373.5650000000001</v>
      </c>
      <c r="AX92" s="112">
        <v>2682.9650000000001</v>
      </c>
      <c r="AY92" s="112">
        <v>3168</v>
      </c>
      <c r="AZ92" s="982">
        <v>2557</v>
      </c>
      <c r="BA92" s="821">
        <v>3781</v>
      </c>
      <c r="BB92" s="821">
        <v>4725</v>
      </c>
      <c r="BC92" s="821">
        <v>5121</v>
      </c>
      <c r="BD92" s="982">
        <v>3982</v>
      </c>
      <c r="BE92" s="821">
        <v>5528</v>
      </c>
      <c r="BF92" s="821">
        <v>6031</v>
      </c>
      <c r="BG92" s="821">
        <v>6423</v>
      </c>
      <c r="BH92" s="982">
        <v>5302</v>
      </c>
      <c r="BI92" s="821">
        <v>7648</v>
      </c>
      <c r="BJ92" s="821">
        <v>8425</v>
      </c>
      <c r="BK92" s="821">
        <v>9023</v>
      </c>
      <c r="BL92" s="821">
        <v>7576</v>
      </c>
      <c r="BM92" s="1641">
        <v>10516</v>
      </c>
      <c r="BN92" s="821">
        <v>11581</v>
      </c>
      <c r="BO92" s="821">
        <v>11821</v>
      </c>
      <c r="BP92" s="821">
        <v>8974</v>
      </c>
      <c r="BQ92" s="1641">
        <v>11908</v>
      </c>
      <c r="BR92" s="821">
        <v>12867</v>
      </c>
      <c r="BS92" s="821">
        <v>12850</v>
      </c>
      <c r="BT92" s="982">
        <v>10344</v>
      </c>
      <c r="BU92" s="1641">
        <v>14534</v>
      </c>
      <c r="BV92" s="821">
        <v>15369</v>
      </c>
      <c r="BW92" s="821">
        <v>15757</v>
      </c>
      <c r="BX92" s="982">
        <v>12978</v>
      </c>
      <c r="BY92" s="1641">
        <v>18140</v>
      </c>
      <c r="BZ92" s="821">
        <v>17947</v>
      </c>
      <c r="CA92" s="821">
        <v>18594</v>
      </c>
      <c r="CB92" s="982">
        <v>15015</v>
      </c>
      <c r="CC92" s="223">
        <f>+CC63+CC25</f>
        <v>21954.297314160234</v>
      </c>
      <c r="CD92" s="112">
        <f>+CD63+CD25</f>
        <v>21810.198275584469</v>
      </c>
      <c r="CE92" s="112">
        <f>+CE63+CE25</f>
        <v>21808.607668125856</v>
      </c>
      <c r="CF92" s="214">
        <f>+CF63+CF25</f>
        <v>19143.996867955397</v>
      </c>
      <c r="CG92" s="737"/>
      <c r="CH92" s="163"/>
      <c r="CM92" s="713">
        <f>+SUM(AG92:AJ92)</f>
        <v>2181.2660000000001</v>
      </c>
      <c r="CN92" s="713">
        <f>+SUM(AK92:AN92)</f>
        <v>3585.105</v>
      </c>
      <c r="CO92" s="713">
        <f>+SUM(AO92:AR92)</f>
        <v>5738.6110000000008</v>
      </c>
      <c r="CP92" s="713">
        <f>+SUM(AS92:AV92)</f>
        <v>7191.44</v>
      </c>
      <c r="CQ92" s="713">
        <f>+SUM(AW92:AZ92)</f>
        <v>10781.53</v>
      </c>
      <c r="CR92" s="713">
        <f>+SUM(BA92:BD92)</f>
        <v>17609</v>
      </c>
      <c r="CS92" s="713">
        <f>+SUM(BE92:BH92)</f>
        <v>23284</v>
      </c>
      <c r="CT92" s="713">
        <f>+SUM(BI92:BL92)</f>
        <v>32672</v>
      </c>
      <c r="CU92" s="713">
        <f>+SUM(BM92:BP92)</f>
        <v>42892</v>
      </c>
      <c r="CV92" s="713">
        <f>+SUM(BQ92:BT92)</f>
        <v>47969</v>
      </c>
      <c r="CW92" s="713">
        <f>+SUM(BU92:BX92)</f>
        <v>58638</v>
      </c>
      <c r="CX92" s="713">
        <f>+SUM(BY92:CB92)</f>
        <v>69696</v>
      </c>
      <c r="CY92" s="713">
        <f>+SUM(CC92:CF92)</f>
        <v>84717.100125825964</v>
      </c>
      <c r="CZ92" s="112">
        <f>+CZ63+CZ25</f>
        <v>97552.928347715701</v>
      </c>
      <c r="DA92" s="112">
        <f t="shared" ref="DA92:DF92" si="186">+DA63+DA25</f>
        <v>110221.89478991758</v>
      </c>
      <c r="DB92" s="112">
        <f t="shared" si="186"/>
        <v>122477.87950851694</v>
      </c>
      <c r="DC92" s="112">
        <f t="shared" si="186"/>
        <v>134587.57389445096</v>
      </c>
      <c r="DD92" s="112">
        <f t="shared" si="186"/>
        <v>146506.95304904075</v>
      </c>
      <c r="DE92" s="112">
        <f t="shared" si="186"/>
        <v>158112.69531655798</v>
      </c>
      <c r="DF92" s="214">
        <f t="shared" si="186"/>
        <v>170668.1757080213</v>
      </c>
    </row>
    <row r="93" spans="1:111" s="82" customFormat="1" ht="12.75" customHeight="1">
      <c r="I93" s="193" t="s">
        <v>376</v>
      </c>
      <c r="J93" s="83"/>
      <c r="K93" s="83"/>
      <c r="P93" s="1135"/>
      <c r="T93" s="1135"/>
      <c r="X93" s="1135"/>
      <c r="AB93" s="1135"/>
      <c r="AC93" s="307"/>
      <c r="AD93" s="307"/>
      <c r="AE93" s="307"/>
      <c r="AF93" s="1136"/>
      <c r="AG93" s="64"/>
      <c r="AH93" s="64"/>
      <c r="AI93" s="64"/>
      <c r="AJ93" s="180"/>
      <c r="AK93" s="1139">
        <f t="shared" ref="AK93:BD93" si="187">+AK92/AG92-1</f>
        <v>0.47870786212867289</v>
      </c>
      <c r="AL93" s="1139">
        <f t="shared" si="187"/>
        <v>0.50875453811358917</v>
      </c>
      <c r="AM93" s="1139">
        <f t="shared" si="187"/>
        <v>0.7365232859098676</v>
      </c>
      <c r="AN93" s="1140">
        <f t="shared" si="187"/>
        <v>0.85859042499032734</v>
      </c>
      <c r="AO93" s="1139">
        <f t="shared" si="187"/>
        <v>0.92831105881823084</v>
      </c>
      <c r="AP93" s="1139">
        <f t="shared" si="187"/>
        <v>0.80229206100559147</v>
      </c>
      <c r="AQ93" s="1139">
        <f t="shared" si="187"/>
        <v>0.5381390517533251</v>
      </c>
      <c r="AR93" s="1140">
        <f t="shared" si="187"/>
        <v>0.21400945329123089</v>
      </c>
      <c r="AS93" s="1139">
        <f t="shared" si="187"/>
        <v>7.2867393270219516E-2</v>
      </c>
      <c r="AT93" s="1139">
        <f t="shared" si="187"/>
        <v>0.10130705738558343</v>
      </c>
      <c r="AU93" s="1139">
        <f t="shared" si="187"/>
        <v>0.32854043760245877</v>
      </c>
      <c r="AV93" s="1140">
        <f t="shared" si="187"/>
        <v>0.59409453224839925</v>
      </c>
      <c r="AW93" s="1139">
        <f t="shared" si="187"/>
        <v>0.61471839973441389</v>
      </c>
      <c r="AX93" s="1139">
        <f t="shared" si="187"/>
        <v>0.47042559045235777</v>
      </c>
      <c r="AY93" s="1139">
        <f t="shared" si="187"/>
        <v>0.48692533597800791</v>
      </c>
      <c r="AZ93" s="1140">
        <f t="shared" si="187"/>
        <v>0.44766304609365926</v>
      </c>
      <c r="BA93" s="1139">
        <f t="shared" si="187"/>
        <v>0.59296248470128265</v>
      </c>
      <c r="BB93" s="1139">
        <f t="shared" si="187"/>
        <v>0.76111130782548408</v>
      </c>
      <c r="BC93" s="1139">
        <f t="shared" si="187"/>
        <v>0.61647727272727271</v>
      </c>
      <c r="BD93" s="1140">
        <f t="shared" si="187"/>
        <v>0.5572937035588581</v>
      </c>
      <c r="BE93" s="1139">
        <f t="shared" ref="BE93:BL93" si="188">+BE92/BA92-1</f>
        <v>0.46204707749272678</v>
      </c>
      <c r="BF93" s="1139">
        <f t="shared" si="188"/>
        <v>0.27640211640211643</v>
      </c>
      <c r="BG93" s="1139">
        <f t="shared" si="188"/>
        <v>0.25424721734036315</v>
      </c>
      <c r="BH93" s="1140">
        <f t="shared" si="188"/>
        <v>0.33149171270718236</v>
      </c>
      <c r="BI93" s="1139">
        <f t="shared" si="188"/>
        <v>0.38350217076700432</v>
      </c>
      <c r="BJ93" s="1139">
        <f t="shared" si="188"/>
        <v>0.39694909633559949</v>
      </c>
      <c r="BK93" s="1139">
        <f t="shared" si="188"/>
        <v>0.40479526700918567</v>
      </c>
      <c r="BL93" s="1139">
        <f t="shared" si="188"/>
        <v>0.42889475669558652</v>
      </c>
      <c r="BM93" s="1592">
        <f t="shared" ref="BM93:CF93" si="189">+BM92/BI92-1</f>
        <v>0.375</v>
      </c>
      <c r="BN93" s="1139">
        <f t="shared" si="189"/>
        <v>0.3745994065281899</v>
      </c>
      <c r="BO93" s="1139">
        <f t="shared" si="189"/>
        <v>0.31009642025933726</v>
      </c>
      <c r="BP93" s="1139">
        <f t="shared" si="189"/>
        <v>0.18453009503695883</v>
      </c>
      <c r="BQ93" s="1592">
        <f t="shared" si="189"/>
        <v>0.13236972232788125</v>
      </c>
      <c r="BR93" s="1139">
        <f t="shared" si="189"/>
        <v>0.11104395129954225</v>
      </c>
      <c r="BS93" s="1139">
        <f t="shared" si="189"/>
        <v>8.7048473056424935E-2</v>
      </c>
      <c r="BT93" s="1140">
        <f t="shared" si="189"/>
        <v>0.15266324938711828</v>
      </c>
      <c r="BU93" s="1592">
        <f t="shared" si="189"/>
        <v>0.22052401746724892</v>
      </c>
      <c r="BV93" s="1139">
        <f t="shared" si="189"/>
        <v>0.19445092096059691</v>
      </c>
      <c r="BW93" s="1139">
        <f t="shared" si="189"/>
        <v>0.22622568093385209</v>
      </c>
      <c r="BX93" s="1140">
        <f t="shared" si="189"/>
        <v>0.25464037122969829</v>
      </c>
      <c r="BY93" s="1592">
        <f t="shared" si="189"/>
        <v>0.24810788495940561</v>
      </c>
      <c r="BZ93" s="1139">
        <f t="shared" si="189"/>
        <v>0.16774025636020551</v>
      </c>
      <c r="CA93" s="1139">
        <f t="shared" si="189"/>
        <v>0.1800469632544266</v>
      </c>
      <c r="CB93" s="1140">
        <f t="shared" si="189"/>
        <v>0.15695792880258908</v>
      </c>
      <c r="CC93" s="1592">
        <f t="shared" si="189"/>
        <v>0.21026997321721241</v>
      </c>
      <c r="CD93" s="1139">
        <f t="shared" si="189"/>
        <v>0.21525593556496747</v>
      </c>
      <c r="CE93" s="1139">
        <f t="shared" si="189"/>
        <v>0.17288413833095917</v>
      </c>
      <c r="CF93" s="1140">
        <f t="shared" si="189"/>
        <v>0.27499146639729588</v>
      </c>
      <c r="CG93" s="1135"/>
      <c r="CH93" s="259"/>
      <c r="CM93" s="721"/>
      <c r="CN93" s="1139">
        <f t="shared" ref="CN93:CY93" si="190">+CN92/CM92-1</f>
        <v>0.64358909000552877</v>
      </c>
      <c r="CO93" s="1139">
        <f t="shared" si="190"/>
        <v>0.60068143052992884</v>
      </c>
      <c r="CP93" s="1139">
        <f t="shared" si="190"/>
        <v>0.25316736053375966</v>
      </c>
      <c r="CQ93" s="1139">
        <f t="shared" si="190"/>
        <v>0.49921712480393365</v>
      </c>
      <c r="CR93" s="1139">
        <f t="shared" si="190"/>
        <v>0.63325613340592657</v>
      </c>
      <c r="CS93" s="1139">
        <f t="shared" si="190"/>
        <v>0.32227838037367262</v>
      </c>
      <c r="CT93" s="1139">
        <f t="shared" si="190"/>
        <v>0.40319532726335683</v>
      </c>
      <c r="CU93" s="1139">
        <f t="shared" si="190"/>
        <v>0.31280607247796288</v>
      </c>
      <c r="CV93" s="1139">
        <f t="shared" si="190"/>
        <v>0.11836706145668185</v>
      </c>
      <c r="CW93" s="1139">
        <f t="shared" si="190"/>
        <v>0.22241447601576025</v>
      </c>
      <c r="CX93" s="1139">
        <f t="shared" si="190"/>
        <v>0.18858078379208032</v>
      </c>
      <c r="CY93" s="1139">
        <f t="shared" si="190"/>
        <v>0.21552313082280139</v>
      </c>
      <c r="CZ93" s="1139">
        <f>+CZ92/CY92-1</f>
        <v>0.15151401786446117</v>
      </c>
      <c r="DA93" s="1139">
        <f t="shared" ref="DA93:DF93" si="191">+DA92/CZ92-1</f>
        <v>0.12986761808979086</v>
      </c>
      <c r="DB93" s="1139">
        <f t="shared" si="191"/>
        <v>0.11119374006370708</v>
      </c>
      <c r="DC93" s="1139">
        <f t="shared" si="191"/>
        <v>9.8872501994059503E-2</v>
      </c>
      <c r="DD93" s="1139">
        <f t="shared" si="191"/>
        <v>8.8562255858311678E-2</v>
      </c>
      <c r="DE93" s="1139">
        <f t="shared" si="191"/>
        <v>7.9216324044582453E-2</v>
      </c>
      <c r="DF93" s="1140">
        <f t="shared" si="191"/>
        <v>7.9408426795368747E-2</v>
      </c>
    </row>
    <row r="94" spans="1:111" s="82" customFormat="1" ht="12.75" customHeight="1">
      <c r="H94" s="292"/>
      <c r="I94" s="193" t="s">
        <v>234</v>
      </c>
      <c r="J94" s="83"/>
      <c r="K94" s="83"/>
      <c r="P94" s="1135"/>
      <c r="T94" s="1135"/>
      <c r="X94" s="1135"/>
      <c r="AB94" s="1135"/>
      <c r="AC94" s="307"/>
      <c r="AD94" s="307"/>
      <c r="AE94" s="307"/>
      <c r="AF94" s="1136"/>
      <c r="AG94" s="64"/>
      <c r="AH94" s="64"/>
      <c r="AI94" s="64"/>
      <c r="AJ94" s="180"/>
      <c r="AK94" s="64"/>
      <c r="AL94" s="64"/>
      <c r="AM94" s="64"/>
      <c r="AN94" s="180"/>
      <c r="AO94" s="64">
        <f t="shared" ref="AO94:BD94" si="192">+AO93+AK93</f>
        <v>1.4070189209469037</v>
      </c>
      <c r="AP94" s="64">
        <f t="shared" si="192"/>
        <v>1.3110465991191806</v>
      </c>
      <c r="AQ94" s="64">
        <f t="shared" si="192"/>
        <v>1.2746623376631927</v>
      </c>
      <c r="AR94" s="180">
        <f t="shared" si="192"/>
        <v>1.0725998782815582</v>
      </c>
      <c r="AS94" s="64">
        <f t="shared" si="192"/>
        <v>1.0011784520884504</v>
      </c>
      <c r="AT94" s="64">
        <f t="shared" si="192"/>
        <v>0.9035991183911749</v>
      </c>
      <c r="AU94" s="64">
        <f t="shared" si="192"/>
        <v>0.86667948935578387</v>
      </c>
      <c r="AV94" s="180">
        <f t="shared" si="192"/>
        <v>0.80810398553963014</v>
      </c>
      <c r="AW94" s="64">
        <f t="shared" si="192"/>
        <v>0.68758579300463341</v>
      </c>
      <c r="AX94" s="64">
        <f t="shared" si="192"/>
        <v>0.5717326478379412</v>
      </c>
      <c r="AY94" s="64">
        <f t="shared" si="192"/>
        <v>0.81546577358046668</v>
      </c>
      <c r="AZ94" s="180">
        <f t="shared" si="192"/>
        <v>1.0417575783420585</v>
      </c>
      <c r="BA94" s="64">
        <f t="shared" si="192"/>
        <v>1.2076808844356965</v>
      </c>
      <c r="BB94" s="64">
        <f t="shared" si="192"/>
        <v>1.2315368982778419</v>
      </c>
      <c r="BC94" s="64">
        <f t="shared" si="192"/>
        <v>1.1034026087052806</v>
      </c>
      <c r="BD94" s="180">
        <f t="shared" si="192"/>
        <v>1.0049567496525174</v>
      </c>
      <c r="BE94" s="64">
        <f t="shared" ref="BE94:BL94" si="193">+BE93+BA93</f>
        <v>1.0550095621940094</v>
      </c>
      <c r="BF94" s="64">
        <f t="shared" si="193"/>
        <v>1.0375134242276005</v>
      </c>
      <c r="BG94" s="64">
        <f t="shared" si="193"/>
        <v>0.87072449006763586</v>
      </c>
      <c r="BH94" s="180">
        <f t="shared" si="193"/>
        <v>0.88878541626604046</v>
      </c>
      <c r="BI94" s="64">
        <f t="shared" si="193"/>
        <v>0.8455492482597311</v>
      </c>
      <c r="BJ94" s="64">
        <f t="shared" si="193"/>
        <v>0.67335121273771592</v>
      </c>
      <c r="BK94" s="64">
        <f t="shared" si="193"/>
        <v>0.65904248434954882</v>
      </c>
      <c r="BL94" s="64">
        <f t="shared" si="193"/>
        <v>0.76038646940276888</v>
      </c>
      <c r="BM94" s="1263">
        <f t="shared" ref="BM94:CF94" si="194">+BM93+BI93</f>
        <v>0.75850217076700432</v>
      </c>
      <c r="BN94" s="64">
        <f t="shared" si="194"/>
        <v>0.7715485028637894</v>
      </c>
      <c r="BO94" s="64">
        <f t="shared" si="194"/>
        <v>0.71489168726852292</v>
      </c>
      <c r="BP94" s="64">
        <f t="shared" si="194"/>
        <v>0.61342485173254535</v>
      </c>
      <c r="BQ94" s="1263">
        <f t="shared" si="194"/>
        <v>0.50736972232788125</v>
      </c>
      <c r="BR94" s="64">
        <f t="shared" si="194"/>
        <v>0.48564335782773216</v>
      </c>
      <c r="BS94" s="64">
        <f t="shared" si="194"/>
        <v>0.39714489331576219</v>
      </c>
      <c r="BT94" s="180">
        <f t="shared" si="194"/>
        <v>0.33719334442407711</v>
      </c>
      <c r="BU94" s="1263">
        <f t="shared" si="194"/>
        <v>0.35289373979513017</v>
      </c>
      <c r="BV94" s="64">
        <f t="shared" si="194"/>
        <v>0.30549487226013916</v>
      </c>
      <c r="BW94" s="64">
        <f t="shared" si="194"/>
        <v>0.31327415399027703</v>
      </c>
      <c r="BX94" s="180">
        <f t="shared" si="194"/>
        <v>0.40730362061681658</v>
      </c>
      <c r="BY94" s="1263">
        <f t="shared" si="194"/>
        <v>0.46863190242665453</v>
      </c>
      <c r="BZ94" s="64">
        <f t="shared" si="194"/>
        <v>0.36219117732080242</v>
      </c>
      <c r="CA94" s="64">
        <f t="shared" si="194"/>
        <v>0.40627264418827869</v>
      </c>
      <c r="CB94" s="180">
        <f t="shared" si="194"/>
        <v>0.41159830003228737</v>
      </c>
      <c r="CC94" s="1263">
        <f t="shared" si="194"/>
        <v>0.45837785817661802</v>
      </c>
      <c r="CD94" s="64">
        <f t="shared" si="194"/>
        <v>0.38299619192517298</v>
      </c>
      <c r="CE94" s="64">
        <f t="shared" si="194"/>
        <v>0.35293110158538576</v>
      </c>
      <c r="CF94" s="180">
        <f t="shared" si="194"/>
        <v>0.43194939519988496</v>
      </c>
      <c r="CG94" s="1135"/>
      <c r="CH94" s="259"/>
      <c r="CM94" s="721"/>
      <c r="CN94" s="64"/>
      <c r="CO94" s="64">
        <f t="shared" ref="CO94:CY94" si="195">+CO93+CN93</f>
        <v>1.2442705205354576</v>
      </c>
      <c r="CP94" s="64">
        <f t="shared" si="195"/>
        <v>0.85384879106368849</v>
      </c>
      <c r="CQ94" s="64">
        <f t="shared" si="195"/>
        <v>0.75238448533769331</v>
      </c>
      <c r="CR94" s="64">
        <f t="shared" si="195"/>
        <v>1.1324732582098602</v>
      </c>
      <c r="CS94" s="64">
        <f t="shared" si="195"/>
        <v>0.95553451377959919</v>
      </c>
      <c r="CT94" s="64">
        <f t="shared" si="195"/>
        <v>0.72547370763702945</v>
      </c>
      <c r="CU94" s="64">
        <f t="shared" si="195"/>
        <v>0.71600139974131971</v>
      </c>
      <c r="CV94" s="64">
        <f t="shared" si="195"/>
        <v>0.43117313393464474</v>
      </c>
      <c r="CW94" s="64">
        <f t="shared" si="195"/>
        <v>0.34078153747244211</v>
      </c>
      <c r="CX94" s="64">
        <f t="shared" si="195"/>
        <v>0.41099525980784057</v>
      </c>
      <c r="CY94" s="64">
        <f t="shared" si="195"/>
        <v>0.40410391461488171</v>
      </c>
      <c r="CZ94" s="64">
        <f>+CZ93+CY93</f>
        <v>0.36703714868726256</v>
      </c>
      <c r="DA94" s="64">
        <f t="shared" ref="DA94:DF94" si="196">+DA93+CZ93</f>
        <v>0.28138163595425203</v>
      </c>
      <c r="DB94" s="64">
        <f t="shared" si="196"/>
        <v>0.24106135815349794</v>
      </c>
      <c r="DC94" s="64">
        <f t="shared" si="196"/>
        <v>0.21006624205776658</v>
      </c>
      <c r="DD94" s="64">
        <f t="shared" si="196"/>
        <v>0.18743475785237118</v>
      </c>
      <c r="DE94" s="64">
        <f t="shared" si="196"/>
        <v>0.16777857990289413</v>
      </c>
      <c r="DF94" s="180">
        <f t="shared" si="196"/>
        <v>0.1586247508399512</v>
      </c>
    </row>
    <row r="95" spans="1:111" ht="12.75" customHeight="1">
      <c r="H95" s="34"/>
      <c r="I95" s="185" t="s">
        <v>153</v>
      </c>
      <c r="J95" s="70"/>
      <c r="K95" s="70"/>
      <c r="P95" s="234"/>
      <c r="T95" s="234"/>
      <c r="X95" s="234"/>
      <c r="AB95" s="234"/>
      <c r="AF95" s="249"/>
      <c r="AJ95" s="179"/>
      <c r="AK95" s="715"/>
      <c r="AL95" s="715"/>
      <c r="AM95" s="715"/>
      <c r="AN95" s="727"/>
      <c r="AO95" s="800">
        <f t="shared" ref="AO95:BA95" si="197">+AO92-AN92</f>
        <v>457.42099999999994</v>
      </c>
      <c r="AP95" s="800">
        <f t="shared" si="197"/>
        <v>286.65600000000018</v>
      </c>
      <c r="AQ95" s="800">
        <f t="shared" si="197"/>
        <v>-53.082000000000107</v>
      </c>
      <c r="AR95" s="849">
        <f t="shared" si="197"/>
        <v>-495.6690000000001</v>
      </c>
      <c r="AS95" s="800">
        <f t="shared" si="197"/>
        <v>361.93200000000002</v>
      </c>
      <c r="AT95" s="800">
        <f t="shared" si="197"/>
        <v>354.66200000000003</v>
      </c>
      <c r="AU95" s="800">
        <f t="shared" si="197"/>
        <v>305.95299999999997</v>
      </c>
      <c r="AV95" s="849">
        <f t="shared" si="197"/>
        <v>-364.27599999999984</v>
      </c>
      <c r="AW95" s="800">
        <f t="shared" si="197"/>
        <v>607.27</v>
      </c>
      <c r="AX95" s="800">
        <f t="shared" si="197"/>
        <v>309.40000000000009</v>
      </c>
      <c r="AY95" s="800">
        <f t="shared" si="197"/>
        <v>485.03499999999985</v>
      </c>
      <c r="AZ95" s="849">
        <f t="shared" si="197"/>
        <v>-611</v>
      </c>
      <c r="BA95" s="800">
        <f t="shared" si="197"/>
        <v>1224</v>
      </c>
      <c r="BB95" s="800">
        <f t="shared" ref="BB95:BL95" si="198">+BB92-BA92</f>
        <v>944</v>
      </c>
      <c r="BC95" s="800">
        <f t="shared" si="198"/>
        <v>396</v>
      </c>
      <c r="BD95" s="849">
        <f t="shared" si="198"/>
        <v>-1139</v>
      </c>
      <c r="BE95" s="800">
        <f t="shared" si="198"/>
        <v>1546</v>
      </c>
      <c r="BF95" s="800">
        <f t="shared" si="198"/>
        <v>503</v>
      </c>
      <c r="BG95" s="800">
        <f t="shared" si="198"/>
        <v>392</v>
      </c>
      <c r="BH95" s="849">
        <f t="shared" si="198"/>
        <v>-1121</v>
      </c>
      <c r="BI95" s="800">
        <f t="shared" si="198"/>
        <v>2346</v>
      </c>
      <c r="BJ95" s="800">
        <f t="shared" si="198"/>
        <v>777</v>
      </c>
      <c r="BK95" s="800">
        <f t="shared" si="198"/>
        <v>598</v>
      </c>
      <c r="BL95" s="800">
        <f t="shared" si="198"/>
        <v>-1447</v>
      </c>
      <c r="BM95" s="934">
        <f t="shared" ref="BM95:CF95" si="199">+BM92-BL92</f>
        <v>2940</v>
      </c>
      <c r="BN95" s="800">
        <f t="shared" si="199"/>
        <v>1065</v>
      </c>
      <c r="BO95" s="800">
        <f t="shared" si="199"/>
        <v>240</v>
      </c>
      <c r="BP95" s="800">
        <f t="shared" si="199"/>
        <v>-2847</v>
      </c>
      <c r="BQ95" s="934">
        <f t="shared" si="199"/>
        <v>2934</v>
      </c>
      <c r="BR95" s="800">
        <f t="shared" si="199"/>
        <v>959</v>
      </c>
      <c r="BS95" s="800">
        <f t="shared" si="199"/>
        <v>-17</v>
      </c>
      <c r="BT95" s="849">
        <f t="shared" si="199"/>
        <v>-2506</v>
      </c>
      <c r="BU95" s="934">
        <f t="shared" si="199"/>
        <v>4190</v>
      </c>
      <c r="BV95" s="800">
        <f t="shared" si="199"/>
        <v>835</v>
      </c>
      <c r="BW95" s="800">
        <f t="shared" si="199"/>
        <v>388</v>
      </c>
      <c r="BX95" s="849">
        <f t="shared" si="199"/>
        <v>-2779</v>
      </c>
      <c r="BY95" s="934">
        <f t="shared" si="199"/>
        <v>5162</v>
      </c>
      <c r="BZ95" s="800">
        <f t="shared" si="199"/>
        <v>-193</v>
      </c>
      <c r="CA95" s="800">
        <f t="shared" si="199"/>
        <v>647</v>
      </c>
      <c r="CB95" s="849">
        <f t="shared" si="199"/>
        <v>-3579</v>
      </c>
      <c r="CC95" s="934">
        <f t="shared" si="199"/>
        <v>6939.2973141602342</v>
      </c>
      <c r="CD95" s="800">
        <f t="shared" si="199"/>
        <v>-144.09903857576501</v>
      </c>
      <c r="CE95" s="800">
        <f t="shared" si="199"/>
        <v>-1.5906074586127943</v>
      </c>
      <c r="CF95" s="849">
        <f t="shared" si="199"/>
        <v>-2664.6108001704597</v>
      </c>
      <c r="CG95" s="234"/>
      <c r="CH95" s="160"/>
      <c r="CM95" s="103"/>
      <c r="CN95" s="715"/>
      <c r="CO95" s="715"/>
      <c r="CP95" s="715"/>
      <c r="CQ95" s="715"/>
      <c r="CR95" s="715"/>
      <c r="CS95" s="715"/>
      <c r="CT95" s="715"/>
      <c r="CU95" s="715"/>
      <c r="CV95" s="715"/>
      <c r="CW95" s="715"/>
      <c r="CX95" s="715"/>
      <c r="CY95" s="715"/>
      <c r="CZ95" s="800"/>
      <c r="DA95" s="800"/>
      <c r="DB95" s="800"/>
      <c r="DC95" s="800"/>
      <c r="DD95" s="800"/>
      <c r="DE95" s="800"/>
      <c r="DF95" s="849"/>
    </row>
    <row r="96" spans="1:111" s="82" customFormat="1" ht="12.75" customHeight="1">
      <c r="I96" s="193" t="s">
        <v>236</v>
      </c>
      <c r="J96" s="83"/>
      <c r="K96" s="83"/>
      <c r="P96" s="1135"/>
      <c r="T96" s="1135"/>
      <c r="X96" s="1135"/>
      <c r="AB96" s="1135"/>
      <c r="AC96" s="307"/>
      <c r="AD96" s="307"/>
      <c r="AE96" s="307"/>
      <c r="AF96" s="1136"/>
      <c r="AG96" s="64"/>
      <c r="AH96" s="64"/>
      <c r="AI96" s="64"/>
      <c r="AJ96" s="180"/>
      <c r="AK96" s="64">
        <f>+AK92/Model!AK12</f>
        <v>0.71160180712695464</v>
      </c>
      <c r="AL96" s="64">
        <f>+AL92/Model!AL12</f>
        <v>0.74439372553973526</v>
      </c>
      <c r="AM96" s="64">
        <f>+AM92/Model!AM12</f>
        <v>0.74971722527707607</v>
      </c>
      <c r="AN96" s="180">
        <f>+AN92/Model!AN12</f>
        <v>0.75721772691484746</v>
      </c>
      <c r="AO96" s="64">
        <f>+AO92/Model!AO12</f>
        <v>0.77909112413653492</v>
      </c>
      <c r="AP96" s="64">
        <f>+AP92/Model!AP12</f>
        <v>0.78521444668513463</v>
      </c>
      <c r="AQ96" s="64">
        <f>+AQ92/Model!AQ12</f>
        <v>0.7821263570953757</v>
      </c>
      <c r="AR96" s="180">
        <f>+AR92/Model!AR12</f>
        <v>0.74810227173753796</v>
      </c>
      <c r="AS96" s="64">
        <f>+AS92/Model!AS12</f>
        <v>0.7563120503152938</v>
      </c>
      <c r="AT96" s="64">
        <f>+AT92/Model!AT12</f>
        <v>0.76691109282281533</v>
      </c>
      <c r="AU96" s="64">
        <f>+AU92/Model!AU12</f>
        <v>0.78247943512045848</v>
      </c>
      <c r="AV96" s="180">
        <f>+AV92/Model!AV12</f>
        <v>0.78000922076580048</v>
      </c>
      <c r="AW96" s="64">
        <f>+AW92/Model!AW12</f>
        <v>0.80061018081117952</v>
      </c>
      <c r="AX96" s="64">
        <f>+AX92/Model!AX12</f>
        <v>0.78675172571535812</v>
      </c>
      <c r="AY96" s="64">
        <f>+AY92/Model!AY12</f>
        <v>0.7908137793310035</v>
      </c>
      <c r="AZ96" s="180">
        <f>+AZ92/Model!AZ12</f>
        <v>0.78315467075038281</v>
      </c>
      <c r="BA96" s="64">
        <f>+BA92/Model!BA12</f>
        <v>0.81050375133976416</v>
      </c>
      <c r="BB96" s="64">
        <f>+BB92/Model!BB12</f>
        <v>0.81747404844290661</v>
      </c>
      <c r="BC96" s="64">
        <f>+BC92/Model!BC12</f>
        <v>0.81844334345532999</v>
      </c>
      <c r="BD96" s="180">
        <f>+BD92/Model!BD12</f>
        <v>0.8034705407586763</v>
      </c>
      <c r="BE96" s="64">
        <f>+BE92/Model!BE12</f>
        <v>0.82372224705707053</v>
      </c>
      <c r="BF96" s="64">
        <f>+BF92/Model!BF12</f>
        <v>0.82289534725064806</v>
      </c>
      <c r="BG96" s="64">
        <f>+BG92/Model!BG12</f>
        <v>0.82009703779366705</v>
      </c>
      <c r="BH96" s="180">
        <f>+BH92/Model!BH12</f>
        <v>0.80528554070473879</v>
      </c>
      <c r="BI96" s="64">
        <f>+BI92/Model!BI12</f>
        <v>0.83557303616300671</v>
      </c>
      <c r="BJ96" s="64">
        <f>+BJ92/Model!BJ12</f>
        <v>0.83275674607096961</v>
      </c>
      <c r="BK96" s="64">
        <f>+BK92/Model!BK12</f>
        <v>0.83817928471899672</v>
      </c>
      <c r="BL96" s="64">
        <f>+BL92/Model!BL12</f>
        <v>0.82915617817664444</v>
      </c>
      <c r="BM96" s="1263">
        <f>+BM92/Model!BM12</f>
        <v>0.85635179153094465</v>
      </c>
      <c r="BN96" s="64">
        <f>+BN92/Model!BN12</f>
        <v>0.85544393558871323</v>
      </c>
      <c r="BO96" s="64">
        <f>+BO92/Model!BO12</f>
        <v>0.85516892136294587</v>
      </c>
      <c r="BP96" s="64">
        <f>+BP92/Model!BP12</f>
        <v>0.84191762829533723</v>
      </c>
      <c r="BQ96" s="1263">
        <f>+BQ92/Model!BQ12</f>
        <v>0.86440185830429728</v>
      </c>
      <c r="BR96" s="64">
        <f>+BR92/Model!BR12</f>
        <v>0.86009358288770055</v>
      </c>
      <c r="BS96" s="64">
        <f>+BS92/Model!BS12</f>
        <v>0.86953579645418866</v>
      </c>
      <c r="BT96" s="180">
        <f>+BT92/Model!BT12</f>
        <v>0.86099550524388213</v>
      </c>
      <c r="BU96" s="1263">
        <f>+BU92/Model!BU12</f>
        <v>0.87275565964090551</v>
      </c>
      <c r="BV96" s="64">
        <f>+BV92/Model!BV12</f>
        <v>0.86042996305005037</v>
      </c>
      <c r="BW96" s="64">
        <f>+BW92/Model!BW12</f>
        <v>0.85357529794149511</v>
      </c>
      <c r="BX96" s="180">
        <f>+BX92/Model!BX12</f>
        <v>0.85878771836950762</v>
      </c>
      <c r="BY96" s="1263">
        <f>+BY92/Model!BY12</f>
        <v>0.87687919949726878</v>
      </c>
      <c r="BZ96" s="64">
        <f>+BZ92/Model!BZ12</f>
        <v>0.86296100399096021</v>
      </c>
      <c r="CA96" s="64">
        <f>+CA92/Model!CA12</f>
        <v>0.85442514474772535</v>
      </c>
      <c r="CB96" s="180">
        <f>+CB92/Model!CB12</f>
        <v>0.83509454949944384</v>
      </c>
      <c r="CC96" s="1263">
        <f>+CC92/Model!CC12</f>
        <v>0.88235517197275304</v>
      </c>
      <c r="CD96" s="64">
        <f>+CD92/Model!CD12</f>
        <v>0.86941270334101051</v>
      </c>
      <c r="CE96" s="64">
        <f>+CE92/Model!CE12</f>
        <v>0.87889786152949734</v>
      </c>
      <c r="CF96" s="180">
        <f>+CF92/Model!CF12</f>
        <v>0.86998469446233329</v>
      </c>
      <c r="CG96" s="1135"/>
      <c r="CH96" s="259"/>
      <c r="CM96" s="721"/>
      <c r="CN96" s="64">
        <f>+CN92/Model!CN12</f>
        <v>0.74234752193639975</v>
      </c>
      <c r="CO96" s="64">
        <f>+CO92/Model!CO12</f>
        <v>0.7754757120732011</v>
      </c>
      <c r="CP96" s="64">
        <f>+CP92/Model!CP12</f>
        <v>0.77243739085733265</v>
      </c>
      <c r="CQ96" s="64">
        <f>+CQ92/Model!CQ12</f>
        <v>0.79009444245971772</v>
      </c>
      <c r="CR96" s="64">
        <f>+CR92/Model!CR12</f>
        <v>0.8130482962415736</v>
      </c>
      <c r="CS96" s="64">
        <f>+CS92/Model!CS12</f>
        <v>0.81824571267922408</v>
      </c>
      <c r="CT96" s="64">
        <f>+CT92/Model!CT12</f>
        <v>0.83406514857551317</v>
      </c>
      <c r="CU96" s="64">
        <f>+CU92/Model!CU12</f>
        <v>0.85272365805168981</v>
      </c>
      <c r="CV96" s="64">
        <f>+CV92/Model!CV12</f>
        <v>0.86387047975795994</v>
      </c>
      <c r="CW96" s="64">
        <f>+CW92/Model!CW12</f>
        <v>0.86122167227223989</v>
      </c>
      <c r="CX96" s="64">
        <f>+CX92/Model!CX12</f>
        <v>0.85805037795779682</v>
      </c>
      <c r="CY96" s="64">
        <f>+CY92/Model!CY12</f>
        <v>0.87530171769657283</v>
      </c>
      <c r="CZ96" s="64">
        <f>+CZ92/Model!CZ12</f>
        <v>0.87946646761005198</v>
      </c>
      <c r="DA96" s="64">
        <f>+DA92/Model!DA12</f>
        <v>0.88298385607986196</v>
      </c>
      <c r="DB96" s="64">
        <f>+DB92/Model!DB12</f>
        <v>0.88582896118252397</v>
      </c>
      <c r="DC96" s="64">
        <f>+DC92/Model!DC12</f>
        <v>0.88873693888556315</v>
      </c>
      <c r="DD96" s="64">
        <f>+DD92/Model!DD12</f>
        <v>0.89072620459391894</v>
      </c>
      <c r="DE96" s="64">
        <f>+DE92/Model!DE12</f>
        <v>0.89189782443765497</v>
      </c>
      <c r="DF96" s="180">
        <f>+DF92/Model!DF12</f>
        <v>0.89299184237029972</v>
      </c>
    </row>
    <row r="97" spans="1:110" ht="12.75" customHeight="1">
      <c r="A97" s="127"/>
      <c r="B97" s="127"/>
      <c r="C97" s="127"/>
      <c r="D97" s="127"/>
      <c r="E97" s="127"/>
      <c r="F97" s="127"/>
      <c r="G97" s="127"/>
      <c r="H97" s="127"/>
      <c r="I97" s="185"/>
      <c r="J97" s="70"/>
      <c r="K97" s="70"/>
      <c r="P97" s="234"/>
      <c r="T97" s="234"/>
      <c r="X97" s="234"/>
      <c r="AB97" s="234"/>
      <c r="AF97" s="249"/>
      <c r="AJ97" s="179"/>
      <c r="AK97" s="64"/>
      <c r="AL97" s="64"/>
      <c r="AM97" s="64"/>
      <c r="AN97" s="180"/>
      <c r="AO97" s="64"/>
      <c r="AP97" s="64"/>
      <c r="AQ97" s="64"/>
      <c r="AR97" s="180"/>
      <c r="AS97" s="64"/>
      <c r="AT97" s="64"/>
      <c r="AU97" s="64"/>
      <c r="AV97" s="180"/>
      <c r="AW97" s="64"/>
      <c r="AX97" s="64"/>
      <c r="AY97" s="64"/>
      <c r="AZ97" s="180"/>
      <c r="BA97" s="64"/>
      <c r="BB97" s="64"/>
      <c r="BC97" s="64"/>
      <c r="BD97" s="180"/>
      <c r="BE97" s="64"/>
      <c r="BF97" s="64"/>
      <c r="BG97" s="64"/>
      <c r="BH97" s="180"/>
      <c r="BI97" s="64"/>
      <c r="BJ97" s="64"/>
      <c r="BK97" s="64"/>
      <c r="BL97" s="64"/>
      <c r="BM97" s="1263"/>
      <c r="BN97" s="64"/>
      <c r="BO97" s="64"/>
      <c r="BP97" s="64"/>
      <c r="BQ97" s="1263"/>
      <c r="BR97" s="64"/>
      <c r="BS97" s="64"/>
      <c r="BT97" s="180"/>
      <c r="BU97" s="1263"/>
      <c r="BV97" s="64"/>
      <c r="BW97" s="64"/>
      <c r="BX97" s="180"/>
      <c r="BY97" s="1263"/>
      <c r="BZ97" s="64"/>
      <c r="CA97" s="64"/>
      <c r="CB97" s="180"/>
      <c r="CC97" s="1263"/>
      <c r="CD97" s="64"/>
      <c r="CE97" s="64"/>
      <c r="CF97" s="180"/>
      <c r="CG97" s="234"/>
      <c r="CH97" s="160"/>
      <c r="CM97" s="103"/>
      <c r="CN97" s="64"/>
      <c r="CO97" s="64"/>
      <c r="CP97" s="64"/>
      <c r="CQ97" s="64"/>
      <c r="CR97" s="64"/>
      <c r="CS97" s="64"/>
      <c r="CT97" s="64"/>
      <c r="CU97" s="64"/>
      <c r="CV97" s="64"/>
      <c r="CW97" s="64"/>
      <c r="CX97" s="64"/>
      <c r="CY97" s="64"/>
      <c r="DF97" s="234"/>
    </row>
    <row r="98" spans="1:110" s="88" customFormat="1" ht="11.25">
      <c r="A98" s="12"/>
      <c r="B98" s="12"/>
      <c r="C98" s="12"/>
      <c r="D98" s="12"/>
      <c r="E98" s="12"/>
      <c r="F98" s="12"/>
      <c r="G98" s="12"/>
      <c r="H98" s="12"/>
      <c r="I98" s="197" t="s">
        <v>267</v>
      </c>
      <c r="J98" s="87"/>
      <c r="K98" s="87"/>
      <c r="L98" s="84"/>
      <c r="M98" s="84"/>
      <c r="N98" s="84"/>
      <c r="O98" s="84"/>
      <c r="P98" s="248"/>
      <c r="Q98" s="84"/>
      <c r="R98" s="84"/>
      <c r="S98" s="84"/>
      <c r="T98" s="248"/>
      <c r="U98" s="84"/>
      <c r="V98" s="84"/>
      <c r="W98" s="84"/>
      <c r="X98" s="248"/>
      <c r="Y98" s="84"/>
      <c r="Z98" s="84"/>
      <c r="AA98" s="84"/>
      <c r="AB98" s="248"/>
      <c r="AC98" s="793"/>
      <c r="AD98" s="793"/>
      <c r="AE98" s="793"/>
      <c r="AF98" s="954"/>
      <c r="AG98" s="794"/>
      <c r="AH98" s="794"/>
      <c r="AI98" s="794"/>
      <c r="AJ98" s="966"/>
      <c r="AK98" s="794"/>
      <c r="AL98" s="794"/>
      <c r="AM98" s="794"/>
      <c r="AN98" s="966"/>
      <c r="AO98" s="794"/>
      <c r="AP98" s="794"/>
      <c r="AQ98" s="795"/>
      <c r="AR98" s="850"/>
      <c r="AS98" s="795"/>
      <c r="AT98" s="795"/>
      <c r="AU98" s="795"/>
      <c r="AV98" s="850"/>
      <c r="AW98" s="795"/>
      <c r="AX98" s="795"/>
      <c r="AY98" s="795"/>
      <c r="AZ98" s="850"/>
      <c r="BA98" s="795"/>
      <c r="BB98" s="795"/>
      <c r="BC98" s="795"/>
      <c r="BD98" s="850"/>
      <c r="BE98" s="795"/>
      <c r="BF98" s="795"/>
      <c r="BG98" s="795"/>
      <c r="BH98" s="850"/>
      <c r="BI98" s="795"/>
      <c r="BJ98" s="795"/>
      <c r="BK98" s="795"/>
      <c r="BL98" s="795"/>
      <c r="BM98" s="1593"/>
      <c r="BN98" s="795"/>
      <c r="BO98" s="795"/>
      <c r="BP98" s="795"/>
      <c r="BQ98" s="1593"/>
      <c r="BR98" s="795"/>
      <c r="BS98" s="795"/>
      <c r="BT98" s="850"/>
      <c r="BU98" s="1593"/>
      <c r="BV98" s="795"/>
      <c r="BW98" s="795"/>
      <c r="BX98" s="850"/>
      <c r="BY98" s="1593"/>
      <c r="BZ98" s="795"/>
      <c r="CA98" s="795"/>
      <c r="CB98" s="850"/>
      <c r="CC98" s="1593"/>
      <c r="CD98" s="795"/>
      <c r="CE98" s="795"/>
      <c r="CF98" s="850"/>
      <c r="CG98" s="1658"/>
      <c r="CH98" s="260"/>
      <c r="CI98" s="84"/>
      <c r="CJ98" s="84"/>
      <c r="CK98" s="84"/>
      <c r="CL98" s="84"/>
      <c r="CM98" s="794"/>
      <c r="CN98" s="795"/>
      <c r="CO98" s="795"/>
      <c r="CP98" s="795"/>
      <c r="CQ98" s="795"/>
      <c r="CR98" s="922"/>
      <c r="CS98" s="795"/>
      <c r="CT98" s="261"/>
      <c r="CU98" s="261"/>
      <c r="CV98" s="261"/>
      <c r="CW98" s="261"/>
      <c r="CX98" s="261"/>
      <c r="CY98" s="261"/>
      <c r="CZ98" s="261"/>
      <c r="DA98" s="261"/>
      <c r="DB98" s="261"/>
      <c r="DC98" s="261"/>
      <c r="DD98" s="261"/>
      <c r="DE98" s="261"/>
      <c r="DF98" s="262"/>
    </row>
    <row r="99" spans="1:110" s="93" customFormat="1" ht="12.75" customHeight="1">
      <c r="A99" s="24"/>
      <c r="B99" s="24"/>
      <c r="C99" s="24"/>
      <c r="D99" s="24"/>
      <c r="E99" s="24"/>
      <c r="F99" s="24"/>
      <c r="G99" s="24"/>
      <c r="H99" s="24"/>
      <c r="I99" s="196" t="s">
        <v>268</v>
      </c>
      <c r="J99" s="79"/>
      <c r="K99" s="79"/>
      <c r="P99" s="249"/>
      <c r="T99" s="249"/>
      <c r="X99" s="249"/>
      <c r="AB99" s="249"/>
      <c r="AF99" s="249"/>
      <c r="AG99" s="721"/>
      <c r="AH99" s="721"/>
      <c r="AI99" s="721"/>
      <c r="AJ99" s="249"/>
      <c r="AK99" s="721"/>
      <c r="AL99" s="721"/>
      <c r="AM99" s="721"/>
      <c r="AN99" s="731"/>
      <c r="AR99" s="249"/>
      <c r="AS99" s="103"/>
      <c r="AT99" s="103"/>
      <c r="AU99" s="103"/>
      <c r="AV99" s="202"/>
      <c r="AW99" s="721"/>
      <c r="AX99" s="721"/>
      <c r="AY99" s="721"/>
      <c r="AZ99" s="731"/>
      <c r="BA99" s="713"/>
      <c r="BB99" s="713"/>
      <c r="BC99" s="713"/>
      <c r="BD99" s="723"/>
      <c r="BE99" s="713"/>
      <c r="BF99" s="713"/>
      <c r="BG99" s="713"/>
      <c r="BH99" s="180"/>
      <c r="BI99" s="108"/>
      <c r="BJ99" s="103"/>
      <c r="BK99" s="721"/>
      <c r="BL99" s="713"/>
      <c r="BM99" s="218"/>
      <c r="BN99" s="108"/>
      <c r="BO99" s="108"/>
      <c r="BP99" s="103"/>
      <c r="BQ99" s="265"/>
      <c r="BR99" s="103"/>
      <c r="BS99" s="719"/>
      <c r="BT99" s="1389"/>
      <c r="BU99" s="265"/>
      <c r="BV99" s="713"/>
      <c r="BW99" s="103"/>
      <c r="BX99" s="202"/>
      <c r="BY99" s="265"/>
      <c r="BZ99" s="103"/>
      <c r="CA99" s="103"/>
      <c r="CB99" s="202"/>
      <c r="CC99" s="265"/>
      <c r="CD99" s="103"/>
      <c r="CE99" s="103"/>
      <c r="CF99" s="202"/>
      <c r="CG99" s="249"/>
      <c r="CH99" s="264"/>
      <c r="CM99" s="800"/>
      <c r="CN99" s="307"/>
      <c r="CO99" s="307"/>
      <c r="CP99" s="307"/>
      <c r="CQ99" s="307"/>
      <c r="CR99" s="713"/>
      <c r="CS99" s="721"/>
      <c r="CT99" s="721"/>
      <c r="CU99" s="103"/>
      <c r="CV99" s="103"/>
      <c r="CW99" s="103"/>
      <c r="CX99" s="103"/>
      <c r="CY99" s="103"/>
      <c r="DF99" s="249"/>
    </row>
    <row r="100" spans="1:110" ht="12.75" customHeight="1">
      <c r="I100" s="233" t="s">
        <v>269</v>
      </c>
      <c r="J100" s="131"/>
      <c r="K100" s="131"/>
      <c r="P100" s="234"/>
      <c r="T100" s="234"/>
      <c r="X100" s="234"/>
      <c r="AB100" s="234"/>
      <c r="AF100" s="249"/>
      <c r="AG100" s="1193">
        <f>+AG102*AG124</f>
        <v>1785.7900000000002</v>
      </c>
      <c r="AH100" s="1193">
        <f>+AH102*AH124</f>
        <v>2022.9750000000001</v>
      </c>
      <c r="AI100" s="1193">
        <f>+AI102*AI124</f>
        <v>2042.8200000000002</v>
      </c>
      <c r="AJ100" s="1452">
        <f>+AJ102*AJ124</f>
        <v>1663.3500000000001</v>
      </c>
      <c r="AK100" s="1193">
        <f t="shared" ref="AK100:AZ100" si="200">+AK102-AK101</f>
        <v>1945.9869680966858</v>
      </c>
      <c r="AL100" s="1193">
        <f t="shared" si="200"/>
        <v>2280.7377006560273</v>
      </c>
      <c r="AM100" s="1193">
        <f t="shared" si="200"/>
        <v>2287.1108952934819</v>
      </c>
      <c r="AN100" s="1452">
        <f t="shared" si="200"/>
        <v>1965.577383429074</v>
      </c>
      <c r="AO100" s="1193">
        <f t="shared" si="200"/>
        <v>2519.5877154453328</v>
      </c>
      <c r="AP100" s="1193">
        <f t="shared" si="200"/>
        <v>3074.9344031319306</v>
      </c>
      <c r="AQ100" s="1193">
        <f t="shared" si="200"/>
        <v>3020.8503468249401</v>
      </c>
      <c r="AR100" s="1452">
        <f t="shared" si="200"/>
        <v>2913.0353842612421</v>
      </c>
      <c r="AS100" s="1193">
        <f t="shared" si="200"/>
        <v>3564.4704772739733</v>
      </c>
      <c r="AT100" s="1193">
        <f t="shared" si="200"/>
        <v>4630.0512460285481</v>
      </c>
      <c r="AU100" s="1193">
        <f t="shared" si="200"/>
        <v>4786.5522893127836</v>
      </c>
      <c r="AV100" s="1452">
        <f t="shared" si="200"/>
        <v>3844.5712147719496</v>
      </c>
      <c r="AW100" s="1193">
        <f t="shared" si="200"/>
        <v>4293.3355751839481</v>
      </c>
      <c r="AX100" s="1193">
        <f t="shared" si="200"/>
        <v>5378.899922703531</v>
      </c>
      <c r="AY100" s="1193">
        <f t="shared" si="200"/>
        <v>5387.5785284498161</v>
      </c>
      <c r="AZ100" s="1452">
        <f t="shared" si="200"/>
        <v>4355.0397404265277</v>
      </c>
      <c r="BA100" s="1193">
        <f>+BE100/(1+BE107)</f>
        <v>4544.5544554455446</v>
      </c>
      <c r="BB100" s="1193">
        <f>+BF100/(1+BF107)</f>
        <v>5106.8158697863682</v>
      </c>
      <c r="BC100" s="1193">
        <f>+BG100/(1+BG107)</f>
        <v>5604.0609137055835</v>
      </c>
      <c r="BD100" s="1452">
        <f>+BH100/(1+BH107)</f>
        <v>4690.3553299492387</v>
      </c>
      <c r="BE100" s="1193">
        <f>+BE102*0.1</f>
        <v>4590</v>
      </c>
      <c r="BF100" s="1193">
        <f>+BF102*0.1</f>
        <v>5020</v>
      </c>
      <c r="BG100" s="1193">
        <f>+BG102*0.1</f>
        <v>5520</v>
      </c>
      <c r="BH100" s="1452">
        <f>+BH102*0.1</f>
        <v>4620</v>
      </c>
      <c r="BI100" s="1193">
        <f t="shared" ref="BI100:CF100" si="201">+BE100*(1+BI107)</f>
        <v>4635.8999999999996</v>
      </c>
      <c r="BJ100" s="1193">
        <f t="shared" si="201"/>
        <v>5271</v>
      </c>
      <c r="BK100" s="1193">
        <f t="shared" si="201"/>
        <v>5961.6</v>
      </c>
      <c r="BL100" s="1193">
        <f t="shared" si="201"/>
        <v>5544</v>
      </c>
      <c r="BM100" s="1748">
        <f t="shared" si="201"/>
        <v>4914.0540000000001</v>
      </c>
      <c r="BN100" s="1193">
        <f t="shared" si="201"/>
        <v>5587.26</v>
      </c>
      <c r="BO100" s="1193">
        <f t="shared" si="201"/>
        <v>6319.2960000000003</v>
      </c>
      <c r="BP100" s="1193">
        <f t="shared" si="201"/>
        <v>5821.2</v>
      </c>
      <c r="BQ100" s="1748">
        <f t="shared" si="201"/>
        <v>5159.7566999999999</v>
      </c>
      <c r="BR100" s="1193">
        <f t="shared" si="201"/>
        <v>5866.6230000000005</v>
      </c>
      <c r="BS100" s="1193">
        <f t="shared" si="201"/>
        <v>6635.2608000000009</v>
      </c>
      <c r="BT100" s="1452">
        <f t="shared" si="201"/>
        <v>6112.26</v>
      </c>
      <c r="BU100" s="1748">
        <f t="shared" si="201"/>
        <v>5417.7445349999998</v>
      </c>
      <c r="BV100" s="1193">
        <f t="shared" si="201"/>
        <v>6159.9541500000005</v>
      </c>
      <c r="BW100" s="1193">
        <f t="shared" si="201"/>
        <v>6967.0238400000017</v>
      </c>
      <c r="BX100" s="1452">
        <f t="shared" si="201"/>
        <v>6417.8730000000005</v>
      </c>
      <c r="BY100" s="1748">
        <f t="shared" si="201"/>
        <v>5688.6317617499999</v>
      </c>
      <c r="BZ100" s="1193">
        <f t="shared" si="201"/>
        <v>6467.9518575000011</v>
      </c>
      <c r="CA100" s="1193">
        <f t="shared" si="201"/>
        <v>7315.3750320000017</v>
      </c>
      <c r="CB100" s="1452">
        <f t="shared" si="201"/>
        <v>6738.7666500000005</v>
      </c>
      <c r="CC100" s="1748">
        <f t="shared" si="201"/>
        <v>5973.0633498375</v>
      </c>
      <c r="CD100" s="1193">
        <f t="shared" si="201"/>
        <v>6791.3494503750017</v>
      </c>
      <c r="CE100" s="1193">
        <f t="shared" si="201"/>
        <v>7681.1437836000023</v>
      </c>
      <c r="CF100" s="1452">
        <f t="shared" si="201"/>
        <v>7075.7049825000004</v>
      </c>
      <c r="CG100" s="234"/>
      <c r="CH100" s="160"/>
      <c r="CM100" s="1217">
        <f>+CM102-CM101</f>
        <v>7786.0339224035415</v>
      </c>
      <c r="CN100" s="1193">
        <f>+CN102-CN101</f>
        <v>8479.4129474752699</v>
      </c>
      <c r="CO100" s="1193">
        <f>+CO102-CO101</f>
        <v>11528.407849663447</v>
      </c>
      <c r="CP100" s="1217">
        <f>+CP102-CP101</f>
        <v>16825.645227387256</v>
      </c>
      <c r="CQ100" s="1193">
        <f>+SUM(AW100:AZ100)</f>
        <v>19414.853766763823</v>
      </c>
      <c r="CR100" s="1193">
        <f>+SUM(BA100:BD100)</f>
        <v>19945.786568886735</v>
      </c>
      <c r="CS100" s="1193">
        <f>+CS102*0.1</f>
        <v>19750</v>
      </c>
      <c r="CT100" s="1193">
        <f>+SUM(BI100:BL100)</f>
        <v>21412.5</v>
      </c>
      <c r="CU100" s="1193">
        <f>+SUM(BM100:BP100)</f>
        <v>22641.81</v>
      </c>
      <c r="CV100" s="1193">
        <f>+SUM(BQ100:BT100)</f>
        <v>23773.900500000003</v>
      </c>
      <c r="CW100" s="1193">
        <f>+SUM(BU100:BX100)</f>
        <v>24962.595525000001</v>
      </c>
      <c r="CX100" s="1193">
        <f>+SUM(BY100:CB100)</f>
        <v>26210.725301250004</v>
      </c>
      <c r="CY100" s="1193">
        <f>+SUM(CC100:CF100)</f>
        <v>27521.261566312503</v>
      </c>
      <c r="CZ100" s="1193">
        <f t="shared" ref="CZ100:DF101" si="202">+CY100*(1+CZ107)</f>
        <v>28622.112028965006</v>
      </c>
      <c r="DA100" s="1193">
        <f t="shared" si="202"/>
        <v>29766.996510123608</v>
      </c>
      <c r="DB100" s="1193">
        <f t="shared" si="202"/>
        <v>30957.676370528552</v>
      </c>
      <c r="DC100" s="1193">
        <f t="shared" si="202"/>
        <v>32195.983425349696</v>
      </c>
      <c r="DD100" s="1193">
        <f t="shared" si="202"/>
        <v>33483.822762363685</v>
      </c>
      <c r="DE100" s="1193">
        <f t="shared" si="202"/>
        <v>34823.175672858233</v>
      </c>
      <c r="DF100" s="1452">
        <f t="shared" si="202"/>
        <v>36216.102699772564</v>
      </c>
    </row>
    <row r="101" spans="1:110" s="53" customFormat="1" ht="12.75" customHeight="1">
      <c r="I101" s="283" t="s">
        <v>270</v>
      </c>
      <c r="J101" s="132"/>
      <c r="K101" s="132"/>
      <c r="P101" s="244"/>
      <c r="T101" s="244"/>
      <c r="X101" s="244"/>
      <c r="AB101" s="244"/>
      <c r="AC101" s="712"/>
      <c r="AD101" s="712"/>
      <c r="AE101" s="712"/>
      <c r="AF101" s="955"/>
      <c r="AG101" s="803">
        <f t="shared" ref="AG101:AZ101" si="203">+AK101/(1+AK108)</f>
        <v>2365.1994288515129</v>
      </c>
      <c r="AH101" s="803">
        <f t="shared" si="203"/>
        <v>2841.5018896586325</v>
      </c>
      <c r="AI101" s="803">
        <f t="shared" si="203"/>
        <v>3129.486827291355</v>
      </c>
      <c r="AJ101" s="866">
        <f t="shared" si="203"/>
        <v>2528.7779317949571</v>
      </c>
      <c r="AK101" s="803">
        <f t="shared" si="203"/>
        <v>4009.0130319033142</v>
      </c>
      <c r="AL101" s="803">
        <f t="shared" si="203"/>
        <v>4961.2622993439727</v>
      </c>
      <c r="AM101" s="803">
        <f t="shared" si="203"/>
        <v>5676.8891047065181</v>
      </c>
      <c r="AN101" s="866">
        <f t="shared" si="203"/>
        <v>4650.422616570926</v>
      </c>
      <c r="AO101" s="803">
        <f t="shared" si="203"/>
        <v>6855.4122845546672</v>
      </c>
      <c r="AP101" s="803">
        <f t="shared" si="203"/>
        <v>7804.0655968680694</v>
      </c>
      <c r="AQ101" s="803">
        <f t="shared" si="203"/>
        <v>8413.1496531750599</v>
      </c>
      <c r="AR101" s="866">
        <f t="shared" si="203"/>
        <v>6212.9646157387579</v>
      </c>
      <c r="AS101" s="803">
        <f t="shared" si="203"/>
        <v>9220.5295227260267</v>
      </c>
      <c r="AT101" s="803">
        <f t="shared" si="203"/>
        <v>11034.948753971452</v>
      </c>
      <c r="AU101" s="803">
        <f t="shared" si="203"/>
        <v>13082.447710687216</v>
      </c>
      <c r="AV101" s="866">
        <f t="shared" si="203"/>
        <v>10748.42878522805</v>
      </c>
      <c r="AW101" s="803">
        <f t="shared" si="203"/>
        <v>15748.664424816052</v>
      </c>
      <c r="AX101" s="803">
        <f t="shared" si="203"/>
        <v>17821.100077296469</v>
      </c>
      <c r="AY101" s="803">
        <f t="shared" si="203"/>
        <v>22112.421471550184</v>
      </c>
      <c r="AZ101" s="866">
        <f t="shared" si="203"/>
        <v>17644.960259573472</v>
      </c>
      <c r="BA101" s="803">
        <f t="shared" ref="BA101:BH101" si="204">+BA102-BA100</f>
        <v>26655.445544554455</v>
      </c>
      <c r="BB101" s="803">
        <f t="shared" si="204"/>
        <v>30993.184130213631</v>
      </c>
      <c r="BC101" s="803">
        <f t="shared" si="204"/>
        <v>34995.939086294413</v>
      </c>
      <c r="BD101" s="866">
        <f t="shared" si="204"/>
        <v>28909.644670050762</v>
      </c>
      <c r="BE101" s="803">
        <f t="shared" si="204"/>
        <v>41310</v>
      </c>
      <c r="BF101" s="803">
        <f t="shared" si="204"/>
        <v>45180</v>
      </c>
      <c r="BG101" s="803">
        <f t="shared" si="204"/>
        <v>49680</v>
      </c>
      <c r="BH101" s="866">
        <f t="shared" si="204"/>
        <v>41580</v>
      </c>
      <c r="BI101" s="803">
        <f t="shared" ref="BI101:BN101" si="205">+BI102-BI100</f>
        <v>58564.1</v>
      </c>
      <c r="BJ101" s="803">
        <f>+BJ102-BJ100</f>
        <v>64129</v>
      </c>
      <c r="BK101" s="803">
        <f>+BK102-BK100</f>
        <v>68838.399999999994</v>
      </c>
      <c r="BL101" s="803">
        <f t="shared" si="205"/>
        <v>57556</v>
      </c>
      <c r="BM101" s="1600">
        <f t="shared" si="205"/>
        <v>78485.945999999996</v>
      </c>
      <c r="BN101" s="803">
        <f t="shared" si="205"/>
        <v>84012.74</v>
      </c>
      <c r="BO101" s="803">
        <f t="shared" ref="BO101:BT101" si="206">+BO102-BO100</f>
        <v>88480.703999999998</v>
      </c>
      <c r="BP101" s="803">
        <f t="shared" si="206"/>
        <v>72378.8</v>
      </c>
      <c r="BQ101" s="1600">
        <f t="shared" si="206"/>
        <v>99440.243300000002</v>
      </c>
      <c r="BR101" s="803">
        <f t="shared" si="206"/>
        <v>107233.37699999999</v>
      </c>
      <c r="BS101" s="803">
        <f t="shared" si="206"/>
        <v>108964.7392</v>
      </c>
      <c r="BT101" s="866">
        <f t="shared" si="206"/>
        <v>92987.74</v>
      </c>
      <c r="BU101" s="1600">
        <f t="shared" ref="BU101:CB101" si="207">+BU102-BU100</f>
        <v>131082.25546499999</v>
      </c>
      <c r="BV101" s="803">
        <f t="shared" si="207"/>
        <v>134540.04584999999</v>
      </c>
      <c r="BW101" s="803">
        <f t="shared" si="207"/>
        <v>142632.97615999999</v>
      </c>
      <c r="BX101" s="866">
        <f t="shared" si="207"/>
        <v>123282.12699999999</v>
      </c>
      <c r="BY101" s="1600">
        <f t="shared" si="207"/>
        <v>168211.36823825</v>
      </c>
      <c r="BZ101" s="803">
        <f t="shared" si="207"/>
        <v>163732.04814249999</v>
      </c>
      <c r="CA101" s="803">
        <f t="shared" si="207"/>
        <v>170184.62496799999</v>
      </c>
      <c r="CB101" s="866">
        <f t="shared" si="207"/>
        <v>144761.23334999999</v>
      </c>
      <c r="CC101" s="1600">
        <f>+BY101*(1+CC108)</f>
        <v>194284.13031517874</v>
      </c>
      <c r="CD101" s="803">
        <f>+BZ101*(1+CD108)</f>
        <v>194841.13728957498</v>
      </c>
      <c r="CE101" s="803">
        <f>+CA101*(1+CE108)</f>
        <v>200817.85746223998</v>
      </c>
      <c r="CF101" s="866">
        <f>+CB101*(1+CF108)</f>
        <v>172989.67385325002</v>
      </c>
      <c r="CG101" s="244"/>
      <c r="CH101" s="227"/>
      <c r="CM101" s="113">
        <f>+SUM(AG101:AJ101)</f>
        <v>10864.966077596458</v>
      </c>
      <c r="CN101" s="803">
        <f>+SUM(AK101:AN101)</f>
        <v>19297.58705252473</v>
      </c>
      <c r="CO101" s="803">
        <f>+SUM(AO101:AR101)</f>
        <v>29285.592150336553</v>
      </c>
      <c r="CP101" s="113">
        <f>+SUM(AS101:AV101)</f>
        <v>44086.354772612744</v>
      </c>
      <c r="CQ101" s="803">
        <f>+SUM(AW101:AZ101)</f>
        <v>73327.146233236184</v>
      </c>
      <c r="CR101" s="803">
        <f>+SUM(BA101:BD101)</f>
        <v>121554.21343111327</v>
      </c>
      <c r="CS101" s="803">
        <f>+SUM(BE101:BH101)</f>
        <v>177750</v>
      </c>
      <c r="CT101" s="803">
        <f>+SUM(BI101:BL101)</f>
        <v>249087.5</v>
      </c>
      <c r="CU101" s="803">
        <f>+SUM(BM101:BP101)</f>
        <v>323358.19</v>
      </c>
      <c r="CV101" s="803">
        <f>+SUM(BQ101:BT101)</f>
        <v>408626.09950000001</v>
      </c>
      <c r="CW101" s="803">
        <f>+SUM(BU101:BX101)</f>
        <v>531537.40447499999</v>
      </c>
      <c r="CX101" s="803">
        <f>+SUM(BY101:CB101)</f>
        <v>646889.27469875</v>
      </c>
      <c r="CY101" s="803">
        <f>+SUM(CC101:CF101)</f>
        <v>762932.79892024375</v>
      </c>
      <c r="CZ101" s="803">
        <f t="shared" si="202"/>
        <v>883369.79562180478</v>
      </c>
      <c r="DA101" s="803">
        <f t="shared" si="202"/>
        <v>1002598.9027487678</v>
      </c>
      <c r="DB101" s="803">
        <f t="shared" si="202"/>
        <v>1118366.4907246947</v>
      </c>
      <c r="DC101" s="803">
        <f t="shared" si="202"/>
        <v>1232005.2747483128</v>
      </c>
      <c r="DD101" s="803">
        <f t="shared" si="202"/>
        <v>1344672.4766403546</v>
      </c>
      <c r="DE101" s="803">
        <f t="shared" si="202"/>
        <v>1455346.0586927813</v>
      </c>
      <c r="DF101" s="866">
        <f t="shared" si="202"/>
        <v>1575128.6557485627</v>
      </c>
    </row>
    <row r="102" spans="1:110" s="5" customFormat="1" ht="12.75" customHeight="1">
      <c r="A102" s="24"/>
      <c r="B102" s="24"/>
      <c r="C102" s="24"/>
      <c r="D102" s="24"/>
      <c r="E102" s="24"/>
      <c r="F102" s="24"/>
      <c r="G102" s="24"/>
      <c r="H102" s="24"/>
      <c r="I102" s="861" t="s">
        <v>271</v>
      </c>
      <c r="J102" s="801"/>
      <c r="K102" s="801"/>
      <c r="P102" s="737"/>
      <c r="T102" s="737"/>
      <c r="X102" s="737"/>
      <c r="AB102" s="737"/>
      <c r="AC102" s="796">
        <v>2556</v>
      </c>
      <c r="AD102" s="796">
        <v>2736</v>
      </c>
      <c r="AE102" s="796">
        <v>3499</v>
      </c>
      <c r="AF102" s="952">
        <v>2968</v>
      </c>
      <c r="AG102" s="713">
        <v>4153</v>
      </c>
      <c r="AH102" s="713">
        <v>4995</v>
      </c>
      <c r="AI102" s="713">
        <v>5238</v>
      </c>
      <c r="AJ102" s="723">
        <v>4265</v>
      </c>
      <c r="AK102" s="713">
        <v>5955</v>
      </c>
      <c r="AL102" s="713">
        <v>7242</v>
      </c>
      <c r="AM102" s="713">
        <v>7964</v>
      </c>
      <c r="AN102" s="723">
        <v>6616</v>
      </c>
      <c r="AO102" s="713">
        <v>9375</v>
      </c>
      <c r="AP102" s="713">
        <v>10879</v>
      </c>
      <c r="AQ102" s="713">
        <v>11434</v>
      </c>
      <c r="AR102" s="723">
        <v>9126</v>
      </c>
      <c r="AS102" s="713">
        <v>12785</v>
      </c>
      <c r="AT102" s="713">
        <v>15665</v>
      </c>
      <c r="AU102" s="713">
        <v>17869</v>
      </c>
      <c r="AV102" s="723">
        <v>14593</v>
      </c>
      <c r="AW102" s="713">
        <v>20042</v>
      </c>
      <c r="AX102" s="713">
        <v>23200</v>
      </c>
      <c r="AY102" s="713">
        <v>27500</v>
      </c>
      <c r="AZ102" s="821">
        <v>22000</v>
      </c>
      <c r="BA102" s="1641">
        <v>31200</v>
      </c>
      <c r="BB102" s="821">
        <v>36100</v>
      </c>
      <c r="BC102" s="821">
        <v>40600</v>
      </c>
      <c r="BD102" s="982">
        <v>33600</v>
      </c>
      <c r="BE102" s="821">
        <v>45900</v>
      </c>
      <c r="BF102" s="821">
        <v>50200</v>
      </c>
      <c r="BG102" s="821">
        <v>55200</v>
      </c>
      <c r="BH102" s="982">
        <v>46200</v>
      </c>
      <c r="BI102" s="821">
        <v>63200</v>
      </c>
      <c r="BJ102" s="821">
        <v>69400</v>
      </c>
      <c r="BK102" s="821">
        <v>74800</v>
      </c>
      <c r="BL102" s="821">
        <v>63100</v>
      </c>
      <c r="BM102" s="1641">
        <v>83400</v>
      </c>
      <c r="BN102" s="821">
        <v>89600</v>
      </c>
      <c r="BO102" s="821">
        <v>94800</v>
      </c>
      <c r="BP102" s="821">
        <v>78200</v>
      </c>
      <c r="BQ102" s="1641">
        <v>104600</v>
      </c>
      <c r="BR102" s="821">
        <v>113100</v>
      </c>
      <c r="BS102" s="821">
        <v>115600</v>
      </c>
      <c r="BT102" s="982">
        <v>99100</v>
      </c>
      <c r="BU102" s="1641">
        <v>136500</v>
      </c>
      <c r="BV102" s="821">
        <v>140700</v>
      </c>
      <c r="BW102" s="821">
        <v>149600</v>
      </c>
      <c r="BX102" s="982">
        <v>129700</v>
      </c>
      <c r="BY102" s="1641">
        <v>173900</v>
      </c>
      <c r="BZ102" s="821">
        <v>170200</v>
      </c>
      <c r="CA102" s="821">
        <v>177500</v>
      </c>
      <c r="CB102" s="982">
        <v>151500</v>
      </c>
      <c r="CC102" s="921">
        <f>+CC100+CC101</f>
        <v>200257.19366501624</v>
      </c>
      <c r="CD102" s="713">
        <f>+CD100+CD101</f>
        <v>201632.48673994999</v>
      </c>
      <c r="CE102" s="713">
        <f>+CE100+CE101</f>
        <v>208499.00124583999</v>
      </c>
      <c r="CF102" s="723">
        <f>+CF100+CF101</f>
        <v>180065.37883575002</v>
      </c>
      <c r="CG102" s="737"/>
      <c r="CH102" s="163"/>
      <c r="CL102" s="5">
        <f>+SUM(AC102:AF102)</f>
        <v>11759</v>
      </c>
      <c r="CM102" s="713">
        <f>+SUM(AG102:AJ102)</f>
        <v>18651</v>
      </c>
      <c r="CN102" s="713">
        <f>+SUM(AK102:AN102)</f>
        <v>27777</v>
      </c>
      <c r="CO102" s="713">
        <f>+SUM(AO102:AR102)</f>
        <v>40814</v>
      </c>
      <c r="CP102" s="713">
        <f>+SUM(AS102:AV102)</f>
        <v>60912</v>
      </c>
      <c r="CQ102" s="713">
        <f>+SUM(AW102:AZ102)</f>
        <v>92742</v>
      </c>
      <c r="CR102" s="713">
        <f>+SUM(BA102:BD102)</f>
        <v>141500</v>
      </c>
      <c r="CS102" s="713">
        <f>+SUM(BE102:BH102)</f>
        <v>197500</v>
      </c>
      <c r="CT102" s="713">
        <f>+SUM(BI102:BL102)</f>
        <v>270500</v>
      </c>
      <c r="CU102" s="713">
        <f>+SUM(BM102:BP102)</f>
        <v>346000</v>
      </c>
      <c r="CV102" s="713">
        <f>+SUM(BQ102:BT102)</f>
        <v>432400</v>
      </c>
      <c r="CW102" s="713">
        <f>+SUM(BU102:BX102)</f>
        <v>556500</v>
      </c>
      <c r="CX102" s="713">
        <f>+SUM(BY102:CB102)</f>
        <v>673100</v>
      </c>
      <c r="CY102" s="713">
        <f>+SUM(CC102:CF102)</f>
        <v>790454.06048655626</v>
      </c>
      <c r="CZ102" s="713">
        <f t="shared" ref="CZ102:DF102" si="208">+CZ100+CZ101</f>
        <v>911991.9076507698</v>
      </c>
      <c r="DA102" s="713">
        <f t="shared" si="208"/>
        <v>1032365.8992588914</v>
      </c>
      <c r="DB102" s="713">
        <f t="shared" si="208"/>
        <v>1149324.1670952232</v>
      </c>
      <c r="DC102" s="713">
        <f t="shared" si="208"/>
        <v>1264201.2581736625</v>
      </c>
      <c r="DD102" s="713">
        <f t="shared" si="208"/>
        <v>1378156.2994027182</v>
      </c>
      <c r="DE102" s="713">
        <f t="shared" si="208"/>
        <v>1490169.2343656395</v>
      </c>
      <c r="DF102" s="723">
        <f t="shared" si="208"/>
        <v>1611344.7584483351</v>
      </c>
    </row>
    <row r="103" spans="1:110" ht="12.75" customHeight="1">
      <c r="A103" s="547"/>
      <c r="B103" s="547"/>
      <c r="C103" s="547"/>
      <c r="D103" s="547"/>
      <c r="E103" s="547"/>
      <c r="F103" s="547"/>
      <c r="G103" s="547"/>
      <c r="H103" s="547"/>
      <c r="I103" s="185" t="s">
        <v>686</v>
      </c>
      <c r="J103" s="70"/>
      <c r="K103" s="70"/>
      <c r="P103" s="234"/>
      <c r="T103" s="234"/>
      <c r="X103" s="234"/>
      <c r="AB103" s="234"/>
      <c r="AF103" s="249"/>
      <c r="AG103" s="800">
        <f t="shared" ref="AG103:BA103" si="209">+AG102-AF102</f>
        <v>1185</v>
      </c>
      <c r="AH103" s="800">
        <f t="shared" si="209"/>
        <v>842</v>
      </c>
      <c r="AI103" s="800">
        <f t="shared" si="209"/>
        <v>243</v>
      </c>
      <c r="AJ103" s="849">
        <f t="shared" si="209"/>
        <v>-973</v>
      </c>
      <c r="AK103" s="800">
        <f t="shared" si="209"/>
        <v>1690</v>
      </c>
      <c r="AL103" s="800">
        <f t="shared" si="209"/>
        <v>1287</v>
      </c>
      <c r="AM103" s="800">
        <f t="shared" si="209"/>
        <v>722</v>
      </c>
      <c r="AN103" s="849">
        <f t="shared" si="209"/>
        <v>-1348</v>
      </c>
      <c r="AO103" s="800">
        <f t="shared" si="209"/>
        <v>2759</v>
      </c>
      <c r="AP103" s="800">
        <f t="shared" si="209"/>
        <v>1504</v>
      </c>
      <c r="AQ103" s="800">
        <f t="shared" si="209"/>
        <v>555</v>
      </c>
      <c r="AR103" s="849">
        <f t="shared" si="209"/>
        <v>-2308</v>
      </c>
      <c r="AS103" s="800">
        <f t="shared" si="209"/>
        <v>3659</v>
      </c>
      <c r="AT103" s="800">
        <f t="shared" si="209"/>
        <v>2880</v>
      </c>
      <c r="AU103" s="800">
        <f t="shared" si="209"/>
        <v>2204</v>
      </c>
      <c r="AV103" s="849">
        <f t="shared" si="209"/>
        <v>-3276</v>
      </c>
      <c r="AW103" s="800">
        <f t="shared" si="209"/>
        <v>5449</v>
      </c>
      <c r="AX103" s="800">
        <f t="shared" si="209"/>
        <v>3158</v>
      </c>
      <c r="AY103" s="800">
        <f t="shared" si="209"/>
        <v>4300</v>
      </c>
      <c r="AZ103" s="800">
        <f t="shared" si="209"/>
        <v>-5500</v>
      </c>
      <c r="BA103" s="934">
        <f t="shared" si="209"/>
        <v>9200</v>
      </c>
      <c r="BB103" s="800">
        <f t="shared" ref="BB103:BH103" si="210">+BB102-BA102</f>
        <v>4900</v>
      </c>
      <c r="BC103" s="800">
        <f t="shared" si="210"/>
        <v>4500</v>
      </c>
      <c r="BD103" s="849">
        <f t="shared" si="210"/>
        <v>-7000</v>
      </c>
      <c r="BE103" s="800">
        <f t="shared" si="210"/>
        <v>12300</v>
      </c>
      <c r="BF103" s="800">
        <f t="shared" si="210"/>
        <v>4300</v>
      </c>
      <c r="BG103" s="800">
        <f t="shared" si="210"/>
        <v>5000</v>
      </c>
      <c r="BH103" s="849">
        <f t="shared" si="210"/>
        <v>-9000</v>
      </c>
      <c r="BI103" s="800">
        <f t="shared" ref="BI103:BO103" si="211">+BI102-BH102</f>
        <v>17000</v>
      </c>
      <c r="BJ103" s="800">
        <f t="shared" si="211"/>
        <v>6200</v>
      </c>
      <c r="BK103" s="800">
        <f t="shared" si="211"/>
        <v>5400</v>
      </c>
      <c r="BL103" s="800">
        <f t="shared" si="211"/>
        <v>-11700</v>
      </c>
      <c r="BM103" s="934">
        <f t="shared" si="211"/>
        <v>20300</v>
      </c>
      <c r="BN103" s="800">
        <f t="shared" si="211"/>
        <v>6200</v>
      </c>
      <c r="BO103" s="800">
        <f t="shared" si="211"/>
        <v>5200</v>
      </c>
      <c r="BP103" s="800">
        <f t="shared" ref="BP103:BW103" si="212">+BP102-BO102</f>
        <v>-16600</v>
      </c>
      <c r="BQ103" s="934">
        <f t="shared" si="212"/>
        <v>26400</v>
      </c>
      <c r="BR103" s="800">
        <f t="shared" si="212"/>
        <v>8500</v>
      </c>
      <c r="BS103" s="800">
        <f>+BS102-BR102</f>
        <v>2500</v>
      </c>
      <c r="BT103" s="849">
        <f>+BT102-BS102</f>
        <v>-16500</v>
      </c>
      <c r="BU103" s="934">
        <f>+BU102-BT102</f>
        <v>37400</v>
      </c>
      <c r="BV103" s="800">
        <f t="shared" si="212"/>
        <v>4200</v>
      </c>
      <c r="BW103" s="800">
        <f t="shared" si="212"/>
        <v>8900</v>
      </c>
      <c r="BX103" s="849">
        <f t="shared" ref="BX103:CF103" si="213">+BX102-BW102</f>
        <v>-19900</v>
      </c>
      <c r="BY103" s="934">
        <f t="shared" si="213"/>
        <v>44200</v>
      </c>
      <c r="BZ103" s="800">
        <f t="shared" si="213"/>
        <v>-3700</v>
      </c>
      <c r="CA103" s="800">
        <f t="shared" si="213"/>
        <v>7300</v>
      </c>
      <c r="CB103" s="849">
        <f t="shared" si="213"/>
        <v>-26000</v>
      </c>
      <c r="CC103" s="934">
        <f t="shared" si="213"/>
        <v>48757.193665016239</v>
      </c>
      <c r="CD103" s="800">
        <f t="shared" si="213"/>
        <v>1375.2930749337538</v>
      </c>
      <c r="CE103" s="800">
        <f>+CE102-CD102</f>
        <v>6866.5145058899943</v>
      </c>
      <c r="CF103" s="849">
        <f t="shared" si="213"/>
        <v>-28433.622410089971</v>
      </c>
      <c r="CG103" s="234"/>
      <c r="CH103" s="160"/>
      <c r="CM103" s="800">
        <f>+CM102-CL102</f>
        <v>6892</v>
      </c>
      <c r="CN103" s="800">
        <f>+CN102-CM102</f>
        <v>9126</v>
      </c>
      <c r="CO103" s="800">
        <f t="shared" ref="CO103:CY103" si="214">+CO102-CN102</f>
        <v>13037</v>
      </c>
      <c r="CP103" s="800">
        <f t="shared" si="214"/>
        <v>20098</v>
      </c>
      <c r="CQ103" s="800">
        <f t="shared" si="214"/>
        <v>31830</v>
      </c>
      <c r="CR103" s="800">
        <f t="shared" si="214"/>
        <v>48758</v>
      </c>
      <c r="CS103" s="800">
        <f t="shared" si="214"/>
        <v>56000</v>
      </c>
      <c r="CT103" s="800">
        <f t="shared" si="214"/>
        <v>73000</v>
      </c>
      <c r="CU103" s="800">
        <f t="shared" si="214"/>
        <v>75500</v>
      </c>
      <c r="CV103" s="1193">
        <f t="shared" si="214"/>
        <v>86400</v>
      </c>
      <c r="CW103" s="1193">
        <f t="shared" si="214"/>
        <v>124100</v>
      </c>
      <c r="CX103" s="1193">
        <f t="shared" si="214"/>
        <v>116600</v>
      </c>
      <c r="CY103" s="1193">
        <f t="shared" si="214"/>
        <v>117354.06048655626</v>
      </c>
      <c r="CZ103" s="1193">
        <f t="shared" ref="CZ103:DF103" si="215">+CZ102-CY102</f>
        <v>121537.84716421354</v>
      </c>
      <c r="DA103" s="1193">
        <f t="shared" si="215"/>
        <v>120373.99160812155</v>
      </c>
      <c r="DB103" s="1193">
        <f t="shared" si="215"/>
        <v>116958.26783633186</v>
      </c>
      <c r="DC103" s="1193">
        <f t="shared" si="215"/>
        <v>114877.09107843926</v>
      </c>
      <c r="DD103" s="1193">
        <f t="shared" si="215"/>
        <v>113955.04122905573</v>
      </c>
      <c r="DE103" s="1193">
        <f t="shared" si="215"/>
        <v>112012.93496292131</v>
      </c>
      <c r="DF103" s="1452">
        <f t="shared" si="215"/>
        <v>121175.5240826956</v>
      </c>
    </row>
    <row r="104" spans="1:110" ht="12.75" customHeight="1">
      <c r="A104" s="547"/>
      <c r="B104" s="547"/>
      <c r="C104" s="547"/>
      <c r="D104" s="547"/>
      <c r="E104" s="547"/>
      <c r="F104" s="547"/>
      <c r="G104" s="547"/>
      <c r="H104" s="547"/>
      <c r="I104" s="185" t="s">
        <v>685</v>
      </c>
      <c r="P104" s="234"/>
      <c r="T104" s="234"/>
      <c r="X104" s="234"/>
      <c r="AB104" s="234"/>
      <c r="AF104" s="249"/>
      <c r="AJ104" s="179"/>
      <c r="AK104" s="1718">
        <f t="shared" ref="AK104:CF104" si="216">+AK102/AJ102-1</f>
        <v>0.39624853458382181</v>
      </c>
      <c r="AL104" s="1665">
        <f t="shared" si="216"/>
        <v>0.21612090680100748</v>
      </c>
      <c r="AM104" s="1665">
        <f t="shared" si="216"/>
        <v>9.9696216514775005E-2</v>
      </c>
      <c r="AN104" s="1862">
        <f t="shared" si="216"/>
        <v>-0.16926167754897037</v>
      </c>
      <c r="AO104" s="1718">
        <f t="shared" si="216"/>
        <v>0.41701934703748478</v>
      </c>
      <c r="AP104" s="1665">
        <f t="shared" si="216"/>
        <v>0.16042666666666672</v>
      </c>
      <c r="AQ104" s="1665">
        <f t="shared" si="216"/>
        <v>5.1015718356466566E-2</v>
      </c>
      <c r="AR104" s="1862">
        <f t="shared" si="216"/>
        <v>-0.20185411929333563</v>
      </c>
      <c r="AS104" s="1718">
        <f t="shared" si="216"/>
        <v>0.40094236248082393</v>
      </c>
      <c r="AT104" s="1665">
        <f t="shared" si="216"/>
        <v>0.22526398122800151</v>
      </c>
      <c r="AU104" s="1665">
        <f t="shared" si="216"/>
        <v>0.1406958187041174</v>
      </c>
      <c r="AV104" s="1862">
        <f t="shared" si="216"/>
        <v>-0.1833342660473446</v>
      </c>
      <c r="AW104" s="1718">
        <f t="shared" si="216"/>
        <v>0.37339820461865281</v>
      </c>
      <c r="AX104" s="1665">
        <f t="shared" si="216"/>
        <v>0.15756910487975251</v>
      </c>
      <c r="AY104" s="1665">
        <f t="shared" si="216"/>
        <v>0.18534482758620685</v>
      </c>
      <c r="AZ104" s="1665">
        <f t="shared" si="216"/>
        <v>-0.19999999999999996</v>
      </c>
      <c r="BA104" s="1718">
        <f t="shared" si="216"/>
        <v>0.41818181818181821</v>
      </c>
      <c r="BB104" s="1665">
        <f t="shared" si="216"/>
        <v>0.15705128205128216</v>
      </c>
      <c r="BC104" s="1665">
        <f t="shared" si="216"/>
        <v>0.12465373961218829</v>
      </c>
      <c r="BD104" s="1862">
        <f t="shared" si="216"/>
        <v>-0.17241379310344829</v>
      </c>
      <c r="BE104" s="1665">
        <f t="shared" si="216"/>
        <v>0.3660714285714286</v>
      </c>
      <c r="BF104" s="1665">
        <f t="shared" si="216"/>
        <v>9.3681917211329013E-2</v>
      </c>
      <c r="BG104" s="1665">
        <f t="shared" si="216"/>
        <v>9.960159362549792E-2</v>
      </c>
      <c r="BH104" s="1862">
        <f t="shared" si="216"/>
        <v>-0.16304347826086951</v>
      </c>
      <c r="BI104" s="1718">
        <f t="shared" si="216"/>
        <v>0.36796536796536805</v>
      </c>
      <c r="BJ104" s="1665">
        <f t="shared" si="216"/>
        <v>9.8101265822784889E-2</v>
      </c>
      <c r="BK104" s="1665">
        <f t="shared" si="216"/>
        <v>7.7809798270893404E-2</v>
      </c>
      <c r="BL104" s="1862">
        <f t="shared" si="216"/>
        <v>-0.1564171122994652</v>
      </c>
      <c r="BM104" s="1718">
        <f t="shared" si="216"/>
        <v>0.3217115689381933</v>
      </c>
      <c r="BN104" s="1665">
        <f t="shared" si="216"/>
        <v>7.4340527577937632E-2</v>
      </c>
      <c r="BO104" s="1665">
        <f t="shared" si="216"/>
        <v>5.8035714285714191E-2</v>
      </c>
      <c r="BP104" s="1862">
        <f t="shared" si="216"/>
        <v>-0.17510548523206748</v>
      </c>
      <c r="BQ104" s="1718">
        <f t="shared" si="216"/>
        <v>0.33759590792838878</v>
      </c>
      <c r="BR104" s="1665">
        <f t="shared" si="216"/>
        <v>8.1261950286806828E-2</v>
      </c>
      <c r="BS104" s="1665">
        <f t="shared" si="216"/>
        <v>2.2104332449160102E-2</v>
      </c>
      <c r="BT104" s="1862">
        <f t="shared" si="216"/>
        <v>-0.14273356401384085</v>
      </c>
      <c r="BU104" s="1718">
        <f t="shared" si="216"/>
        <v>0.37739656912209885</v>
      </c>
      <c r="BV104" s="1665">
        <f t="shared" si="216"/>
        <v>3.076923076923066E-2</v>
      </c>
      <c r="BW104" s="1665">
        <f>+BW102/BV102-1</f>
        <v>6.325515280739169E-2</v>
      </c>
      <c r="BX104" s="1862">
        <f t="shared" si="216"/>
        <v>-0.13302139037433158</v>
      </c>
      <c r="BY104" s="1718">
        <f t="shared" si="216"/>
        <v>0.34078643022359301</v>
      </c>
      <c r="BZ104" s="1665">
        <f t="shared" si="216"/>
        <v>-2.1276595744680882E-2</v>
      </c>
      <c r="CA104" s="1665">
        <f t="shared" si="216"/>
        <v>4.289071680376022E-2</v>
      </c>
      <c r="CB104" s="1862">
        <f t="shared" si="216"/>
        <v>-0.14647887323943665</v>
      </c>
      <c r="CC104" s="1718">
        <f t="shared" si="216"/>
        <v>0.32182966115522271</v>
      </c>
      <c r="CD104" s="1665">
        <f t="shared" si="216"/>
        <v>6.867633815114349E-3</v>
      </c>
      <c r="CE104" s="1665">
        <f t="shared" si="216"/>
        <v>3.4054604081463768E-2</v>
      </c>
      <c r="CF104" s="1862">
        <f t="shared" si="216"/>
        <v>-0.13637294298865277</v>
      </c>
      <c r="CG104" s="741"/>
      <c r="CH104" s="160"/>
      <c r="CM104" s="715"/>
      <c r="CN104" s="161"/>
      <c r="CO104" s="161"/>
      <c r="CP104" s="161"/>
      <c r="CQ104" s="161"/>
      <c r="CR104" s="733"/>
      <c r="CS104" s="733"/>
      <c r="CT104" s="733"/>
      <c r="CU104" s="733"/>
      <c r="CV104" s="733"/>
      <c r="CW104" s="733"/>
      <c r="CX104" s="33"/>
      <c r="CY104" s="103"/>
      <c r="DF104" s="234"/>
    </row>
    <row r="105" spans="1:110" ht="12.75" customHeight="1">
      <c r="A105" s="547"/>
      <c r="B105" s="547"/>
      <c r="C105" s="547"/>
      <c r="D105" s="547"/>
      <c r="E105" s="547"/>
      <c r="F105" s="547"/>
      <c r="G105" s="547"/>
      <c r="H105" s="547"/>
      <c r="I105" s="185"/>
      <c r="P105" s="234"/>
      <c r="T105" s="234"/>
      <c r="X105" s="234"/>
      <c r="AB105" s="234"/>
      <c r="AF105" s="249"/>
      <c r="AJ105" s="179"/>
      <c r="AK105" s="1718"/>
      <c r="AL105" s="1665"/>
      <c r="AM105" s="1665"/>
      <c r="AN105" s="1862"/>
      <c r="AO105" s="1718"/>
      <c r="AP105" s="1665"/>
      <c r="AQ105" s="1665"/>
      <c r="AR105" s="1862"/>
      <c r="AS105" s="1718"/>
      <c r="AT105" s="1665"/>
      <c r="AU105" s="1665"/>
      <c r="AV105" s="1862"/>
      <c r="AW105" s="1718"/>
      <c r="AX105" s="1665"/>
      <c r="AY105" s="1665"/>
      <c r="AZ105" s="1665"/>
      <c r="BA105" s="1718"/>
      <c r="BB105" s="1665"/>
      <c r="BC105" s="1665"/>
      <c r="BD105" s="1862"/>
      <c r="BE105" s="1665"/>
      <c r="BF105" s="1665"/>
      <c r="BG105" s="1665"/>
      <c r="BH105" s="1862"/>
      <c r="BI105" s="1718"/>
      <c r="BJ105" s="1193"/>
      <c r="BK105" s="1665"/>
      <c r="BL105" s="1862"/>
      <c r="BM105" s="1718"/>
      <c r="BN105" s="1193"/>
      <c r="BO105" s="1193"/>
      <c r="BP105" s="1862"/>
      <c r="BQ105" s="1718"/>
      <c r="BR105" s="1193"/>
      <c r="BS105" s="1665"/>
      <c r="BT105" s="1862"/>
      <c r="BU105" s="1748"/>
      <c r="BV105" s="1193"/>
      <c r="BW105" s="1665"/>
      <c r="BX105" s="1862"/>
      <c r="BY105" s="1718"/>
      <c r="CA105" s="1665"/>
      <c r="CB105" s="1862"/>
      <c r="CC105" s="1718"/>
      <c r="CD105" s="1193"/>
      <c r="CE105" s="1665"/>
      <c r="CF105" s="1862"/>
      <c r="CG105" s="2129"/>
      <c r="CH105" s="160"/>
      <c r="CM105" s="715"/>
      <c r="CN105" s="161"/>
      <c r="CO105" s="161"/>
      <c r="CP105" s="161"/>
      <c r="CQ105" s="161"/>
      <c r="CR105" s="161"/>
      <c r="CS105" s="161"/>
      <c r="CT105" s="161"/>
      <c r="CU105" s="161"/>
      <c r="CV105" s="161"/>
      <c r="CW105" s="733"/>
      <c r="CX105" s="2038"/>
      <c r="CY105" s="103"/>
      <c r="DC105" s="82"/>
      <c r="DD105" s="82"/>
      <c r="DE105" s="82"/>
      <c r="DF105" s="1135"/>
    </row>
    <row r="106" spans="1:110" ht="12.75" customHeight="1">
      <c r="I106" s="196" t="s">
        <v>376</v>
      </c>
      <c r="J106" s="69"/>
      <c r="K106" s="69"/>
      <c r="P106" s="234"/>
      <c r="T106" s="234"/>
      <c r="X106" s="234"/>
      <c r="AB106" s="234"/>
      <c r="AF106" s="249"/>
      <c r="AG106" s="203"/>
      <c r="AH106" s="203"/>
      <c r="AI106" s="203"/>
      <c r="AJ106" s="204"/>
      <c r="AK106" s="921"/>
      <c r="AL106" s="713"/>
      <c r="AM106" s="713"/>
      <c r="AN106" s="723"/>
      <c r="AO106" s="921"/>
      <c r="AP106" s="713"/>
      <c r="AQ106" s="713"/>
      <c r="AR106" s="723"/>
      <c r="AS106" s="921"/>
      <c r="AT106" s="713"/>
      <c r="AU106" s="713"/>
      <c r="AV106" s="723"/>
      <c r="AW106" s="921"/>
      <c r="AX106" s="713"/>
      <c r="AY106" s="713"/>
      <c r="AZ106" s="713"/>
      <c r="BA106" s="921"/>
      <c r="BB106" s="713"/>
      <c r="BC106" s="713"/>
      <c r="BD106" s="723"/>
      <c r="BE106" s="713"/>
      <c r="BF106" s="713"/>
      <c r="BG106" s="713"/>
      <c r="BH106" s="723"/>
      <c r="BI106" s="921"/>
      <c r="BJ106" s="713"/>
      <c r="BK106" s="713"/>
      <c r="BL106" s="723"/>
      <c r="BM106" s="921"/>
      <c r="BN106" s="719"/>
      <c r="BO106" s="713"/>
      <c r="BP106" s="723"/>
      <c r="BQ106" s="921"/>
      <c r="BR106" s="719"/>
      <c r="BS106" s="713"/>
      <c r="BT106" s="723"/>
      <c r="BU106" s="921"/>
      <c r="BV106" s="719"/>
      <c r="BW106" s="1994"/>
      <c r="BX106" s="723"/>
      <c r="BY106" s="921"/>
      <c r="BZ106" s="719"/>
      <c r="CA106" s="713"/>
      <c r="CB106" s="723"/>
      <c r="CC106" s="921"/>
      <c r="CD106" s="719"/>
      <c r="CE106" s="719"/>
      <c r="CF106" s="723"/>
      <c r="CG106" s="741"/>
      <c r="CH106" s="160"/>
      <c r="CM106" s="103"/>
      <c r="CN106" s="800"/>
      <c r="CO106" s="800"/>
      <c r="CP106" s="800"/>
      <c r="CQ106" s="800"/>
      <c r="CR106" s="800"/>
      <c r="CS106" s="867"/>
      <c r="CT106" s="721"/>
      <c r="CU106" s="103"/>
      <c r="CV106" s="103"/>
      <c r="CW106" s="103"/>
      <c r="CX106" s="103"/>
      <c r="CY106" s="103"/>
      <c r="DF106" s="234"/>
    </row>
    <row r="107" spans="1:110" ht="12.75" customHeight="1">
      <c r="I107" s="233" t="s">
        <v>269</v>
      </c>
      <c r="J107" s="131"/>
      <c r="K107" s="131"/>
      <c r="P107" s="234"/>
      <c r="T107" s="234"/>
      <c r="X107" s="234"/>
      <c r="AB107" s="234"/>
      <c r="AF107" s="249"/>
      <c r="AG107" s="203"/>
      <c r="AH107" s="203"/>
      <c r="AI107" s="203"/>
      <c r="AJ107" s="204">
        <f>+AG108-AI108-AJ108</f>
        <v>0.25000000000000006</v>
      </c>
      <c r="AK107" s="203">
        <f t="shared" ref="AK107:BD107" si="217">+AK100/AG100-1</f>
        <v>8.9706498578604243E-2</v>
      </c>
      <c r="AL107" s="203">
        <f t="shared" si="217"/>
        <v>0.12741764018637269</v>
      </c>
      <c r="AM107" s="203">
        <f t="shared" si="217"/>
        <v>0.11958513001315918</v>
      </c>
      <c r="AN107" s="204">
        <f t="shared" si="217"/>
        <v>0.18169800909554445</v>
      </c>
      <c r="AO107" s="203">
        <f t="shared" si="217"/>
        <v>0.29476083691848642</v>
      </c>
      <c r="AP107" s="203">
        <f t="shared" si="217"/>
        <v>0.34821921970573899</v>
      </c>
      <c r="AQ107" s="203">
        <f t="shared" si="217"/>
        <v>0.32081498673342845</v>
      </c>
      <c r="AR107" s="204">
        <f t="shared" si="217"/>
        <v>0.48202528621858054</v>
      </c>
      <c r="AS107" s="203">
        <f t="shared" si="217"/>
        <v>0.41470386421691185</v>
      </c>
      <c r="AT107" s="203">
        <f t="shared" si="217"/>
        <v>0.50573984320207788</v>
      </c>
      <c r="AU107" s="203">
        <f t="shared" si="217"/>
        <v>0.58450493727492381</v>
      </c>
      <c r="AV107" s="204">
        <f t="shared" si="217"/>
        <v>0.31978184526822995</v>
      </c>
      <c r="AW107" s="203">
        <f t="shared" si="217"/>
        <v>0.20448061010941365</v>
      </c>
      <c r="AX107" s="203">
        <f t="shared" si="217"/>
        <v>0.16173658494974807</v>
      </c>
      <c r="AY107" s="203">
        <f t="shared" si="217"/>
        <v>0.12556558516637928</v>
      </c>
      <c r="AZ107" s="203">
        <f t="shared" si="217"/>
        <v>0.13277645207694722</v>
      </c>
      <c r="BA107" s="1603">
        <f t="shared" si="217"/>
        <v>5.8513683792544624E-2</v>
      </c>
      <c r="BB107" s="203">
        <f t="shared" si="217"/>
        <v>-5.0583587132516983E-2</v>
      </c>
      <c r="BC107" s="203">
        <f t="shared" si="217"/>
        <v>4.0181759599902556E-2</v>
      </c>
      <c r="BD107" s="204">
        <f t="shared" si="217"/>
        <v>7.6994840347856419E-2</v>
      </c>
      <c r="BE107" s="277">
        <v>0.01</v>
      </c>
      <c r="BF107" s="277">
        <v>-1.7000000000000001E-2</v>
      </c>
      <c r="BG107" s="277">
        <v>-1.4999999999999999E-2</v>
      </c>
      <c r="BH107" s="1251">
        <v>-1.4999999999999999E-2</v>
      </c>
      <c r="BI107" s="277">
        <v>0.01</v>
      </c>
      <c r="BJ107" s="277">
        <v>0.05</v>
      </c>
      <c r="BK107" s="277">
        <v>0.08</v>
      </c>
      <c r="BL107" s="277">
        <v>0.2</v>
      </c>
      <c r="BM107" s="1601">
        <v>0.06</v>
      </c>
      <c r="BN107" s="277">
        <v>0.06</v>
      </c>
      <c r="BO107" s="277">
        <v>0.06</v>
      </c>
      <c r="BP107" s="277">
        <v>0.05</v>
      </c>
      <c r="BQ107" s="1601">
        <v>0.05</v>
      </c>
      <c r="BR107" s="277">
        <v>0.05</v>
      </c>
      <c r="BS107" s="277">
        <v>0.05</v>
      </c>
      <c r="BT107" s="1251">
        <v>0.05</v>
      </c>
      <c r="BU107" s="1601">
        <v>0.05</v>
      </c>
      <c r="BV107" s="277">
        <v>0.05</v>
      </c>
      <c r="BW107" s="277">
        <v>0.05</v>
      </c>
      <c r="BX107" s="1251">
        <v>0.05</v>
      </c>
      <c r="BY107" s="1601">
        <v>0.05</v>
      </c>
      <c r="BZ107" s="277">
        <v>0.05</v>
      </c>
      <c r="CA107" s="277">
        <v>0.05</v>
      </c>
      <c r="CB107" s="1251">
        <v>0.05</v>
      </c>
      <c r="CC107" s="1601">
        <v>0.05</v>
      </c>
      <c r="CD107" s="277">
        <v>0.05</v>
      </c>
      <c r="CE107" s="277">
        <v>0.05</v>
      </c>
      <c r="CF107" s="1251">
        <v>0.05</v>
      </c>
      <c r="CG107" s="741"/>
      <c r="CH107" s="160"/>
      <c r="CM107" s="203"/>
      <c r="CN107" s="1212">
        <f t="shared" ref="CN107:CY107" si="218">+CN100/CM100-1</f>
        <v>8.9054200377498782E-2</v>
      </c>
      <c r="CO107" s="1212">
        <f t="shared" si="218"/>
        <v>0.3595761783362621</v>
      </c>
      <c r="CP107" s="1212">
        <f t="shared" si="218"/>
        <v>0.45949427247913111</v>
      </c>
      <c r="CQ107" s="1212">
        <f t="shared" si="218"/>
        <v>0.15388465074504776</v>
      </c>
      <c r="CR107" s="203">
        <f t="shared" si="218"/>
        <v>2.7346731966213067E-2</v>
      </c>
      <c r="CS107" s="203">
        <f t="shared" si="218"/>
        <v>-9.8159362234498948E-3</v>
      </c>
      <c r="CT107" s="203">
        <f t="shared" si="218"/>
        <v>8.4177215189873422E-2</v>
      </c>
      <c r="CU107" s="203">
        <f t="shared" si="218"/>
        <v>5.741085814360769E-2</v>
      </c>
      <c r="CV107" s="203">
        <f t="shared" si="218"/>
        <v>5.0000000000000044E-2</v>
      </c>
      <c r="CW107" s="203">
        <f t="shared" si="218"/>
        <v>4.9999999999999822E-2</v>
      </c>
      <c r="CX107" s="203">
        <f t="shared" si="218"/>
        <v>5.0000000000000044E-2</v>
      </c>
      <c r="CY107" s="203">
        <f t="shared" si="218"/>
        <v>5.0000000000000044E-2</v>
      </c>
      <c r="CZ107" s="1749">
        <v>0.04</v>
      </c>
      <c r="DA107" s="1749">
        <v>0.04</v>
      </c>
      <c r="DB107" s="1749">
        <v>0.04</v>
      </c>
      <c r="DC107" s="1749">
        <v>0.04</v>
      </c>
      <c r="DD107" s="1749">
        <v>0.04</v>
      </c>
      <c r="DE107" s="1749">
        <v>0.04</v>
      </c>
      <c r="DF107" s="2090">
        <v>0.04</v>
      </c>
    </row>
    <row r="108" spans="1:110" s="53" customFormat="1" ht="12.75" customHeight="1">
      <c r="I108" s="283" t="s">
        <v>270</v>
      </c>
      <c r="J108" s="132"/>
      <c r="K108" s="132"/>
      <c r="P108" s="244"/>
      <c r="T108" s="244"/>
      <c r="X108" s="244"/>
      <c r="AB108" s="244"/>
      <c r="AC108" s="712"/>
      <c r="AD108" s="712"/>
      <c r="AE108" s="712"/>
      <c r="AF108" s="955"/>
      <c r="AG108" s="867">
        <v>0.85</v>
      </c>
      <c r="AH108" s="867"/>
      <c r="AI108" s="867">
        <v>0.3</v>
      </c>
      <c r="AJ108" s="868">
        <v>0.3</v>
      </c>
      <c r="AK108" s="867">
        <f t="shared" ref="AK108:BD108" si="219">+AK157-AK151</f>
        <v>0.69499999999999995</v>
      </c>
      <c r="AL108" s="867">
        <f t="shared" si="219"/>
        <v>0.746</v>
      </c>
      <c r="AM108" s="867">
        <f t="shared" si="219"/>
        <v>0.81399999999999995</v>
      </c>
      <c r="AN108" s="868">
        <f t="shared" si="219"/>
        <v>0.83899999999999997</v>
      </c>
      <c r="AO108" s="867">
        <f t="shared" si="219"/>
        <v>0.71</v>
      </c>
      <c r="AP108" s="867">
        <f t="shared" si="219"/>
        <v>0.57300000000000006</v>
      </c>
      <c r="AQ108" s="867">
        <f t="shared" si="219"/>
        <v>0.48199999999999998</v>
      </c>
      <c r="AR108" s="868">
        <f t="shared" si="219"/>
        <v>0.33600000000000002</v>
      </c>
      <c r="AS108" s="867">
        <f t="shared" si="219"/>
        <v>0.34499999999999997</v>
      </c>
      <c r="AT108" s="867">
        <f t="shared" si="219"/>
        <v>0.41400000000000003</v>
      </c>
      <c r="AU108" s="867">
        <f t="shared" si="219"/>
        <v>0.55499999999999994</v>
      </c>
      <c r="AV108" s="868">
        <f t="shared" si="219"/>
        <v>0.73</v>
      </c>
      <c r="AW108" s="867">
        <f t="shared" si="219"/>
        <v>0.70799999999999996</v>
      </c>
      <c r="AX108" s="867">
        <f t="shared" si="219"/>
        <v>0.61496899302615204</v>
      </c>
      <c r="AY108" s="867">
        <f t="shared" si="219"/>
        <v>0.69023579994791562</v>
      </c>
      <c r="AZ108" s="867">
        <f t="shared" si="219"/>
        <v>0.64163159212847676</v>
      </c>
      <c r="BA108" s="1604">
        <f t="shared" si="219"/>
        <v>0.69255276673188748</v>
      </c>
      <c r="BB108" s="867">
        <f t="shared" si="219"/>
        <v>0.73912856085118939</v>
      </c>
      <c r="BC108" s="867">
        <f t="shared" si="219"/>
        <v>0.58263712236672716</v>
      </c>
      <c r="BD108" s="868">
        <f t="shared" si="219"/>
        <v>0.63840803519891809</v>
      </c>
      <c r="BE108" s="867">
        <f t="shared" ref="BE108:BN109" si="220">+BE101/BA101-1</f>
        <v>0.54977713394250061</v>
      </c>
      <c r="BF108" s="867">
        <f t="shared" si="220"/>
        <v>0.45773986339004091</v>
      </c>
      <c r="BG108" s="867">
        <f t="shared" si="220"/>
        <v>0.41959328130892648</v>
      </c>
      <c r="BH108" s="868">
        <f t="shared" si="220"/>
        <v>0.43827433628318579</v>
      </c>
      <c r="BI108" s="867">
        <f t="shared" si="220"/>
        <v>0.41767368675865413</v>
      </c>
      <c r="BJ108" s="867">
        <f t="shared" si="220"/>
        <v>0.41941124391323603</v>
      </c>
      <c r="BK108" s="867">
        <f t="shared" si="220"/>
        <v>0.38563607085346208</v>
      </c>
      <c r="BL108" s="867">
        <f t="shared" si="220"/>
        <v>0.38422318422318424</v>
      </c>
      <c r="BM108" s="1604">
        <f t="shared" si="220"/>
        <v>0.34017164098825048</v>
      </c>
      <c r="BN108" s="867">
        <f t="shared" si="220"/>
        <v>0.31005847588454527</v>
      </c>
      <c r="BO108" s="867">
        <f t="shared" ref="BO108:CB109" si="221">+BO101/BK101-1</f>
        <v>0.28533934548159179</v>
      </c>
      <c r="BP108" s="867">
        <f t="shared" si="221"/>
        <v>0.25753700743623598</v>
      </c>
      <c r="BQ108" s="1604">
        <f t="shared" si="221"/>
        <v>0.26698152176187073</v>
      </c>
      <c r="BR108" s="867">
        <f t="shared" si="221"/>
        <v>0.27639423496960092</v>
      </c>
      <c r="BS108" s="867">
        <f t="shared" si="221"/>
        <v>0.23150850155984282</v>
      </c>
      <c r="BT108" s="868">
        <f t="shared" si="221"/>
        <v>0.28473724350224106</v>
      </c>
      <c r="BU108" s="1604">
        <f t="shared" si="221"/>
        <v>0.31820127460408165</v>
      </c>
      <c r="BV108" s="867">
        <f t="shared" si="221"/>
        <v>0.25464710348532615</v>
      </c>
      <c r="BW108" s="867">
        <f t="shared" si="221"/>
        <v>0.30898286186142676</v>
      </c>
      <c r="BX108" s="868">
        <f t="shared" si="221"/>
        <v>0.32578904487838911</v>
      </c>
      <c r="BY108" s="867">
        <f t="shared" si="221"/>
        <v>0.28325048757773152</v>
      </c>
      <c r="BZ108" s="867">
        <f t="shared" si="221"/>
        <v>0.21697630700264847</v>
      </c>
      <c r="CA108" s="867">
        <f t="shared" si="221"/>
        <v>0.19316464922595222</v>
      </c>
      <c r="CB108" s="868">
        <f t="shared" si="221"/>
        <v>0.17422725315243803</v>
      </c>
      <c r="CC108" s="1602">
        <v>0.155</v>
      </c>
      <c r="CD108" s="1323">
        <v>0.19</v>
      </c>
      <c r="CE108" s="1323">
        <v>0.18</v>
      </c>
      <c r="CF108" s="1322">
        <v>0.19500000000000001</v>
      </c>
      <c r="CG108" s="244"/>
      <c r="CH108" s="227"/>
      <c r="CM108" s="867"/>
      <c r="CN108" s="867">
        <f t="shared" ref="CN108:CY108" si="222">+CN101/CM101-1</f>
        <v>0.77612952628690879</v>
      </c>
      <c r="CO108" s="867">
        <f t="shared" si="222"/>
        <v>0.51757792674421843</v>
      </c>
      <c r="CP108" s="867">
        <f t="shared" si="222"/>
        <v>0.50539400215290153</v>
      </c>
      <c r="CQ108" s="867">
        <f t="shared" si="222"/>
        <v>0.66326171921994237</v>
      </c>
      <c r="CR108" s="867">
        <f t="shared" si="222"/>
        <v>0.65769731504998541</v>
      </c>
      <c r="CS108" s="867">
        <f t="shared" si="222"/>
        <v>0.46231047844946804</v>
      </c>
      <c r="CT108" s="867">
        <f t="shared" si="222"/>
        <v>0.40133614627285508</v>
      </c>
      <c r="CU108" s="867">
        <f t="shared" si="222"/>
        <v>0.29817108445827278</v>
      </c>
      <c r="CV108" s="867">
        <f t="shared" si="222"/>
        <v>0.26369491213443519</v>
      </c>
      <c r="CW108" s="867">
        <f t="shared" si="222"/>
        <v>0.3007916164077522</v>
      </c>
      <c r="CX108" s="867">
        <f t="shared" si="222"/>
        <v>0.21701552751058628</v>
      </c>
      <c r="CY108" s="867">
        <f t="shared" si="222"/>
        <v>0.17938699675540937</v>
      </c>
      <c r="CZ108" s="1323">
        <f>+CY108*0.88</f>
        <v>0.15786055714476024</v>
      </c>
      <c r="DA108" s="1323">
        <f>+CZ108*0.855</f>
        <v>0.13497077635877</v>
      </c>
      <c r="DB108" s="1323">
        <f>+DA108*0.8555</f>
        <v>0.11546749917492774</v>
      </c>
      <c r="DC108" s="1323">
        <f>+DB108*0.88</f>
        <v>0.10161139927393641</v>
      </c>
      <c r="DD108" s="1323">
        <f>+DC108*0.9</f>
        <v>9.1450259346542773E-2</v>
      </c>
      <c r="DE108" s="1323">
        <f>+DD108*0.9</f>
        <v>8.2305233411888501E-2</v>
      </c>
      <c r="DF108" s="1322">
        <f>+DE108</f>
        <v>8.2305233411888501E-2</v>
      </c>
    </row>
    <row r="109" spans="1:110" s="8" customFormat="1" ht="12.75" customHeight="1">
      <c r="A109" s="24"/>
      <c r="B109" s="24"/>
      <c r="C109" s="24"/>
      <c r="D109" s="24"/>
      <c r="E109" s="24"/>
      <c r="F109" s="24"/>
      <c r="G109" s="24"/>
      <c r="H109" s="24"/>
      <c r="I109" s="861" t="s">
        <v>272</v>
      </c>
      <c r="J109" s="7"/>
      <c r="K109" s="7"/>
      <c r="P109" s="245"/>
      <c r="T109" s="245"/>
      <c r="X109" s="245"/>
      <c r="AB109" s="245"/>
      <c r="AC109" s="289"/>
      <c r="AD109" s="289"/>
      <c r="AE109" s="289"/>
      <c r="AF109" s="953"/>
      <c r="AG109" s="721">
        <v>0.625</v>
      </c>
      <c r="AH109" s="721">
        <v>0.82499999999999996</v>
      </c>
      <c r="AI109" s="721">
        <v>0.497</v>
      </c>
      <c r="AJ109" s="731">
        <v>0.437</v>
      </c>
      <c r="AK109" s="719">
        <f t="shared" ref="AK109:BD109" si="223">+AK102/AG102-1</f>
        <v>0.43390320250421377</v>
      </c>
      <c r="AL109" s="719">
        <f t="shared" si="223"/>
        <v>0.44984984984984977</v>
      </c>
      <c r="AM109" s="719">
        <f t="shared" si="223"/>
        <v>0.52042764413898435</v>
      </c>
      <c r="AN109" s="729">
        <f t="shared" si="223"/>
        <v>0.55123094958968344</v>
      </c>
      <c r="AO109" s="719">
        <f t="shared" si="223"/>
        <v>0.5743073047858942</v>
      </c>
      <c r="AP109" s="719">
        <f t="shared" si="223"/>
        <v>0.50220933443800053</v>
      </c>
      <c r="AQ109" s="719">
        <f t="shared" si="223"/>
        <v>0.43571069814163743</v>
      </c>
      <c r="AR109" s="729">
        <f t="shared" si="223"/>
        <v>0.37938331318016938</v>
      </c>
      <c r="AS109" s="719">
        <f t="shared" si="223"/>
        <v>0.36373333333333324</v>
      </c>
      <c r="AT109" s="719">
        <f t="shared" si="223"/>
        <v>0.43993014063792635</v>
      </c>
      <c r="AU109" s="719">
        <f t="shared" si="223"/>
        <v>0.56279517229316078</v>
      </c>
      <c r="AV109" s="729">
        <f t="shared" si="223"/>
        <v>0.59905763751917607</v>
      </c>
      <c r="AW109" s="719">
        <f t="shared" si="223"/>
        <v>0.56761830269847469</v>
      </c>
      <c r="AX109" s="719">
        <f t="shared" si="223"/>
        <v>0.48100861793807859</v>
      </c>
      <c r="AY109" s="719">
        <f t="shared" si="223"/>
        <v>0.53897811852929656</v>
      </c>
      <c r="AZ109" s="719">
        <f t="shared" si="223"/>
        <v>0.50757212362091408</v>
      </c>
      <c r="BA109" s="1598">
        <f t="shared" si="223"/>
        <v>0.55673086518311554</v>
      </c>
      <c r="BB109" s="719">
        <f t="shared" si="223"/>
        <v>0.55603448275862077</v>
      </c>
      <c r="BC109" s="719">
        <f t="shared" si="223"/>
        <v>0.47636363636363632</v>
      </c>
      <c r="BD109" s="729">
        <f t="shared" si="223"/>
        <v>0.52727272727272734</v>
      </c>
      <c r="BE109" s="719">
        <f t="shared" si="220"/>
        <v>0.47115384615384626</v>
      </c>
      <c r="BF109" s="719">
        <f t="shared" si="220"/>
        <v>0.39058171745152359</v>
      </c>
      <c r="BG109" s="719">
        <f t="shared" si="220"/>
        <v>0.35960591133004915</v>
      </c>
      <c r="BH109" s="729">
        <f t="shared" si="220"/>
        <v>0.375</v>
      </c>
      <c r="BI109" s="719">
        <f t="shared" si="220"/>
        <v>0.37690631808278874</v>
      </c>
      <c r="BJ109" s="719">
        <f t="shared" si="220"/>
        <v>0.38247011952191245</v>
      </c>
      <c r="BK109" s="719">
        <f t="shared" si="220"/>
        <v>0.35507246376811596</v>
      </c>
      <c r="BL109" s="719">
        <f t="shared" si="220"/>
        <v>0.36580086580086579</v>
      </c>
      <c r="BM109" s="1598">
        <f t="shared" si="220"/>
        <v>0.31962025316455689</v>
      </c>
      <c r="BN109" s="719">
        <f t="shared" si="220"/>
        <v>0.29106628242074928</v>
      </c>
      <c r="BO109" s="719">
        <f t="shared" si="221"/>
        <v>0.26737967914438499</v>
      </c>
      <c r="BP109" s="719">
        <f t="shared" si="221"/>
        <v>0.23930269413629168</v>
      </c>
      <c r="BQ109" s="1598">
        <f t="shared" si="221"/>
        <v>0.25419664268585129</v>
      </c>
      <c r="BR109" s="719">
        <f t="shared" si="221"/>
        <v>0.26227678571428581</v>
      </c>
      <c r="BS109" s="719">
        <f t="shared" si="221"/>
        <v>0.21940928270042193</v>
      </c>
      <c r="BT109" s="729">
        <f t="shared" si="221"/>
        <v>0.26726342710997453</v>
      </c>
      <c r="BU109" s="1598">
        <f t="shared" si="221"/>
        <v>0.30497131931166344</v>
      </c>
      <c r="BV109" s="719">
        <f t="shared" si="221"/>
        <v>0.24403183023872677</v>
      </c>
      <c r="BW109" s="719">
        <f t="shared" ref="BW109:CF109" si="224">+BW102/BS102-1</f>
        <v>0.29411764705882359</v>
      </c>
      <c r="BX109" s="729">
        <f t="shared" si="224"/>
        <v>0.30877901109989914</v>
      </c>
      <c r="BY109" s="1598">
        <f t="shared" si="224"/>
        <v>0.27399267399267391</v>
      </c>
      <c r="BZ109" s="719">
        <f t="shared" si="224"/>
        <v>0.20966595593461257</v>
      </c>
      <c r="CA109" s="719">
        <f t="shared" si="224"/>
        <v>0.18649732620320858</v>
      </c>
      <c r="CB109" s="729">
        <f t="shared" si="224"/>
        <v>0.16808018504240563</v>
      </c>
      <c r="CC109" s="1598">
        <f t="shared" si="224"/>
        <v>0.15156523096616592</v>
      </c>
      <c r="CD109" s="719">
        <f t="shared" si="224"/>
        <v>0.18467971057549937</v>
      </c>
      <c r="CE109" s="719">
        <f t="shared" si="224"/>
        <v>0.17464226053994358</v>
      </c>
      <c r="CF109" s="729">
        <f t="shared" si="224"/>
        <v>0.18855035535148534</v>
      </c>
      <c r="CG109" s="245"/>
      <c r="CH109" s="178"/>
      <c r="CM109" s="719"/>
      <c r="CN109" s="719">
        <f t="shared" ref="CN109:CY109" si="225">+CN102/CM102-1</f>
        <v>0.48930352259932453</v>
      </c>
      <c r="CO109" s="719">
        <f t="shared" si="225"/>
        <v>0.46934514166396668</v>
      </c>
      <c r="CP109" s="719">
        <f t="shared" si="225"/>
        <v>0.49242906845690215</v>
      </c>
      <c r="CQ109" s="719">
        <f t="shared" si="225"/>
        <v>0.52255713159968487</v>
      </c>
      <c r="CR109" s="719">
        <f t="shared" si="225"/>
        <v>0.52573806905177811</v>
      </c>
      <c r="CS109" s="719">
        <f t="shared" si="225"/>
        <v>0.39575971731448756</v>
      </c>
      <c r="CT109" s="719">
        <f t="shared" si="225"/>
        <v>0.36962025316455693</v>
      </c>
      <c r="CU109" s="719">
        <f t="shared" si="225"/>
        <v>0.27911275415896486</v>
      </c>
      <c r="CV109" s="719">
        <f t="shared" si="225"/>
        <v>0.24971098265895963</v>
      </c>
      <c r="CW109" s="719">
        <f t="shared" si="225"/>
        <v>0.28700277520814055</v>
      </c>
      <c r="CX109" s="719">
        <f t="shared" si="225"/>
        <v>0.20952380952380945</v>
      </c>
      <c r="CY109" s="719">
        <f t="shared" si="225"/>
        <v>0.1743486264842613</v>
      </c>
      <c r="CZ109" s="719">
        <f t="shared" ref="CZ109:DF109" si="226">+CZ102/CY102-1</f>
        <v>0.15375700276547644</v>
      </c>
      <c r="DA109" s="719">
        <f t="shared" si="226"/>
        <v>0.13199019706018755</v>
      </c>
      <c r="DB109" s="719">
        <f t="shared" si="226"/>
        <v>0.11329148698178937</v>
      </c>
      <c r="DC109" s="719">
        <f t="shared" si="226"/>
        <v>9.9951862466076236E-2</v>
      </c>
      <c r="DD109" s="719">
        <f t="shared" si="226"/>
        <v>9.0139952394669987E-2</v>
      </c>
      <c r="DE109" s="719">
        <f t="shared" si="226"/>
        <v>8.1277381245847602E-2</v>
      </c>
      <c r="DF109" s="729">
        <f t="shared" si="226"/>
        <v>8.1316619138416035E-2</v>
      </c>
    </row>
    <row r="110" spans="1:110" s="62" customFormat="1" ht="12.75" customHeight="1">
      <c r="A110" s="63"/>
      <c r="B110" s="8"/>
      <c r="C110" s="8"/>
      <c r="D110" s="8"/>
      <c r="E110" s="8"/>
      <c r="F110" s="8"/>
      <c r="G110" s="8"/>
      <c r="H110" s="8"/>
      <c r="I110" s="192" t="s">
        <v>234</v>
      </c>
      <c r="J110" s="1928"/>
      <c r="K110" s="1928"/>
      <c r="P110" s="255"/>
      <c r="T110" s="255"/>
      <c r="X110" s="255"/>
      <c r="AB110" s="255"/>
      <c r="AC110" s="1588"/>
      <c r="AD110" s="1588"/>
      <c r="AE110" s="1588"/>
      <c r="AF110" s="904"/>
      <c r="AG110" s="721"/>
      <c r="AH110" s="721"/>
      <c r="AI110" s="721"/>
      <c r="AJ110" s="731"/>
      <c r="AK110" s="719">
        <f t="shared" ref="AK110:BD110" si="227">+AK109+AG109</f>
        <v>1.0589032025042138</v>
      </c>
      <c r="AL110" s="719">
        <f t="shared" si="227"/>
        <v>1.2748498498498497</v>
      </c>
      <c r="AM110" s="719">
        <f t="shared" si="227"/>
        <v>1.0174276441389845</v>
      </c>
      <c r="AN110" s="729">
        <f t="shared" si="227"/>
        <v>0.98823094958968349</v>
      </c>
      <c r="AO110" s="719">
        <f t="shared" si="227"/>
        <v>1.008210507290108</v>
      </c>
      <c r="AP110" s="719">
        <f t="shared" si="227"/>
        <v>0.9520591842878503</v>
      </c>
      <c r="AQ110" s="719">
        <f t="shared" si="227"/>
        <v>0.95613834228062178</v>
      </c>
      <c r="AR110" s="729">
        <f t="shared" si="227"/>
        <v>0.93061426276985282</v>
      </c>
      <c r="AS110" s="719">
        <f t="shared" si="227"/>
        <v>0.93804063811922744</v>
      </c>
      <c r="AT110" s="719">
        <f t="shared" si="227"/>
        <v>0.94213947507592688</v>
      </c>
      <c r="AU110" s="719">
        <f t="shared" si="227"/>
        <v>0.99850587043479822</v>
      </c>
      <c r="AV110" s="729">
        <f t="shared" si="227"/>
        <v>0.97844095069934545</v>
      </c>
      <c r="AW110" s="719">
        <f t="shared" si="227"/>
        <v>0.93135163603180793</v>
      </c>
      <c r="AX110" s="719">
        <f t="shared" si="227"/>
        <v>0.92093875857600493</v>
      </c>
      <c r="AY110" s="719">
        <f t="shared" si="227"/>
        <v>1.1017732908224573</v>
      </c>
      <c r="AZ110" s="719">
        <f t="shared" si="227"/>
        <v>1.1066297611400902</v>
      </c>
      <c r="BA110" s="1598">
        <f t="shared" si="227"/>
        <v>1.1243491678815902</v>
      </c>
      <c r="BB110" s="719">
        <f t="shared" si="227"/>
        <v>1.0370431006966994</v>
      </c>
      <c r="BC110" s="719">
        <f t="shared" si="227"/>
        <v>1.0153417548929329</v>
      </c>
      <c r="BD110" s="729">
        <f t="shared" si="227"/>
        <v>1.0348448508936414</v>
      </c>
      <c r="BE110" s="719">
        <f t="shared" ref="BE110:BL110" si="228">+BE109+BA109</f>
        <v>1.0278847113369618</v>
      </c>
      <c r="BF110" s="719">
        <f t="shared" si="228"/>
        <v>0.94661620021014437</v>
      </c>
      <c r="BG110" s="719">
        <f t="shared" si="228"/>
        <v>0.83596954769368548</v>
      </c>
      <c r="BH110" s="729">
        <f t="shared" si="228"/>
        <v>0.90227272727272734</v>
      </c>
      <c r="BI110" s="719">
        <f t="shared" si="228"/>
        <v>0.84806016423663499</v>
      </c>
      <c r="BJ110" s="719">
        <f t="shared" si="228"/>
        <v>0.77305183697343605</v>
      </c>
      <c r="BK110" s="719">
        <f t="shared" si="228"/>
        <v>0.71467837509816512</v>
      </c>
      <c r="BL110" s="719">
        <f t="shared" si="228"/>
        <v>0.74080086580086579</v>
      </c>
      <c r="BM110" s="1598">
        <f t="shared" ref="BM110:CF110" si="229">+BM109+BI109</f>
        <v>0.69652657124734563</v>
      </c>
      <c r="BN110" s="719">
        <f t="shared" si="229"/>
        <v>0.67353640194266173</v>
      </c>
      <c r="BO110" s="719">
        <f t="shared" ref="BO110:BT110" si="230">+BO109+BK109</f>
        <v>0.62245214291250095</v>
      </c>
      <c r="BP110" s="719">
        <f t="shared" si="230"/>
        <v>0.60510355993715748</v>
      </c>
      <c r="BQ110" s="1598">
        <f t="shared" si="230"/>
        <v>0.57381689585040818</v>
      </c>
      <c r="BR110" s="719">
        <f t="shared" si="230"/>
        <v>0.55334306813503509</v>
      </c>
      <c r="BS110" s="719">
        <f t="shared" si="230"/>
        <v>0.48678896184480691</v>
      </c>
      <c r="BT110" s="729">
        <f t="shared" si="230"/>
        <v>0.50656612124626621</v>
      </c>
      <c r="BU110" s="1598">
        <f t="shared" si="229"/>
        <v>0.55916796199751473</v>
      </c>
      <c r="BV110" s="719">
        <f t="shared" si="229"/>
        <v>0.50630861595301258</v>
      </c>
      <c r="BW110" s="719">
        <f t="shared" si="229"/>
        <v>0.51352692975924552</v>
      </c>
      <c r="BX110" s="729">
        <f t="shared" si="229"/>
        <v>0.57604243820987366</v>
      </c>
      <c r="BY110" s="1598">
        <f t="shared" si="229"/>
        <v>0.57896399330433734</v>
      </c>
      <c r="BZ110" s="719">
        <f t="shared" si="229"/>
        <v>0.45369778617333933</v>
      </c>
      <c r="CA110" s="719">
        <f t="shared" si="229"/>
        <v>0.48061497326203217</v>
      </c>
      <c r="CB110" s="729">
        <f t="shared" si="229"/>
        <v>0.47685919614230476</v>
      </c>
      <c r="CC110" s="1598">
        <f t="shared" si="229"/>
        <v>0.42555790495883983</v>
      </c>
      <c r="CD110" s="719">
        <f t="shared" si="229"/>
        <v>0.39434566651011194</v>
      </c>
      <c r="CE110" s="719">
        <f t="shared" si="229"/>
        <v>0.36113958674315216</v>
      </c>
      <c r="CF110" s="729">
        <f t="shared" si="229"/>
        <v>0.35663054039389097</v>
      </c>
      <c r="CG110" s="255"/>
      <c r="CH110" s="1629"/>
      <c r="CM110" s="719"/>
      <c r="CN110" s="719">
        <f t="shared" ref="CN110:CY110" si="231">+CN109+CM109</f>
        <v>0.48930352259932453</v>
      </c>
      <c r="CO110" s="719">
        <f t="shared" si="231"/>
        <v>0.95864866426329121</v>
      </c>
      <c r="CP110" s="719">
        <f t="shared" si="231"/>
        <v>0.96177421012086883</v>
      </c>
      <c r="CQ110" s="719">
        <f t="shared" si="231"/>
        <v>1.014986200056587</v>
      </c>
      <c r="CR110" s="719">
        <f t="shared" si="231"/>
        <v>1.048295200651463</v>
      </c>
      <c r="CS110" s="719">
        <f t="shared" si="231"/>
        <v>0.92149778636626567</v>
      </c>
      <c r="CT110" s="719">
        <f t="shared" si="231"/>
        <v>0.76537997047904449</v>
      </c>
      <c r="CU110" s="719">
        <f t="shared" si="231"/>
        <v>0.64873300732352179</v>
      </c>
      <c r="CV110" s="719">
        <f>+CV109+CU109</f>
        <v>0.52882373681792449</v>
      </c>
      <c r="CW110" s="719">
        <f>+CW109+CV109</f>
        <v>0.53671375786710018</v>
      </c>
      <c r="CX110" s="719">
        <f t="shared" si="231"/>
        <v>0.49652658473194999</v>
      </c>
      <c r="CY110" s="719">
        <f t="shared" si="231"/>
        <v>0.38387243600807075</v>
      </c>
      <c r="CZ110" s="719">
        <f t="shared" ref="CZ110:DF110" si="232">+CZ109+CY109</f>
        <v>0.32810562924973774</v>
      </c>
      <c r="DA110" s="719">
        <f t="shared" si="232"/>
        <v>0.28574719982566399</v>
      </c>
      <c r="DB110" s="719">
        <f t="shared" si="232"/>
        <v>0.24528168404197692</v>
      </c>
      <c r="DC110" s="719">
        <f t="shared" si="232"/>
        <v>0.2132433494478656</v>
      </c>
      <c r="DD110" s="719">
        <f t="shared" si="232"/>
        <v>0.19009181486074622</v>
      </c>
      <c r="DE110" s="719">
        <f t="shared" si="232"/>
        <v>0.17141733364051759</v>
      </c>
      <c r="DF110" s="729">
        <f t="shared" si="232"/>
        <v>0.16259400038426364</v>
      </c>
    </row>
    <row r="111" spans="1:110" s="8" customFormat="1" ht="12.75" customHeight="1">
      <c r="A111" s="63"/>
      <c r="B111" s="24"/>
      <c r="C111" s="24"/>
      <c r="D111" s="24"/>
      <c r="E111" s="24"/>
      <c r="F111" s="24"/>
      <c r="G111" s="24"/>
      <c r="H111" s="24"/>
      <c r="I111" s="728"/>
      <c r="J111" s="7"/>
      <c r="K111" s="7"/>
      <c r="P111" s="245"/>
      <c r="T111" s="245"/>
      <c r="X111" s="245"/>
      <c r="AB111" s="245"/>
      <c r="AC111" s="289"/>
      <c r="AD111" s="289"/>
      <c r="AE111" s="289"/>
      <c r="AF111" s="953"/>
      <c r="AG111" s="719"/>
      <c r="AH111" s="719"/>
      <c r="AI111" s="719"/>
      <c r="AJ111" s="729"/>
      <c r="AK111" s="719"/>
      <c r="AL111" s="719"/>
      <c r="AM111" s="719"/>
      <c r="AN111" s="729"/>
      <c r="AO111" s="719"/>
      <c r="AP111" s="719"/>
      <c r="AQ111" s="719"/>
      <c r="AR111" s="729"/>
      <c r="AS111" s="719"/>
      <c r="AT111" s="719"/>
      <c r="AU111" s="719"/>
      <c r="AV111" s="719"/>
      <c r="AW111" s="719"/>
      <c r="AX111" s="719"/>
      <c r="AY111" s="719"/>
      <c r="AZ111" s="719"/>
      <c r="BA111" s="1598"/>
      <c r="BB111" s="719"/>
      <c r="BC111" s="719"/>
      <c r="BD111" s="729"/>
      <c r="BE111" s="719"/>
      <c r="BF111" s="719"/>
      <c r="BG111" s="719"/>
      <c r="BH111" s="719"/>
      <c r="BI111" s="1598"/>
      <c r="BJ111" s="719"/>
      <c r="BK111" s="719"/>
      <c r="BL111" s="719"/>
      <c r="BM111" s="1598"/>
      <c r="BN111" s="719"/>
      <c r="BO111" s="719"/>
      <c r="BP111" s="719"/>
      <c r="BQ111" s="1598"/>
      <c r="BR111" s="719"/>
      <c r="BS111" s="719"/>
      <c r="BT111" s="719"/>
      <c r="BU111" s="1598"/>
      <c r="BV111" s="719"/>
      <c r="BW111" s="719"/>
      <c r="BX111" s="719"/>
      <c r="BY111" s="1598"/>
      <c r="BZ111" s="719"/>
      <c r="CA111" s="719"/>
      <c r="CB111" s="729"/>
      <c r="CC111" s="1598"/>
      <c r="CD111" s="719"/>
      <c r="CE111" s="719"/>
      <c r="CF111" s="729"/>
      <c r="CG111" s="245"/>
      <c r="CH111" s="178"/>
      <c r="CM111" s="719"/>
      <c r="CN111" s="719"/>
      <c r="CO111" s="719"/>
      <c r="CP111" s="719"/>
      <c r="CQ111" s="719"/>
      <c r="CR111" s="719"/>
      <c r="CS111" s="719"/>
      <c r="CT111" s="719"/>
      <c r="CU111" s="719"/>
      <c r="CV111" s="719"/>
      <c r="CW111" s="719"/>
      <c r="CX111" s="719"/>
      <c r="CY111" s="719"/>
      <c r="CZ111" s="59"/>
      <c r="DF111" s="245"/>
    </row>
    <row r="112" spans="1:110" s="8" customFormat="1" ht="12.75" customHeight="1">
      <c r="A112" s="63"/>
      <c r="B112" s="24"/>
      <c r="C112" s="24"/>
      <c r="D112" s="24"/>
      <c r="E112" s="24"/>
      <c r="F112" s="24"/>
      <c r="G112" s="24"/>
      <c r="H112" s="24"/>
      <c r="I112" s="196" t="s">
        <v>385</v>
      </c>
      <c r="J112" s="69"/>
      <c r="K112" s="69"/>
      <c r="P112" s="245"/>
      <c r="T112" s="245"/>
      <c r="X112" s="245"/>
      <c r="AB112" s="245"/>
      <c r="AC112" s="289"/>
      <c r="AD112" s="289"/>
      <c r="AE112" s="289"/>
      <c r="AF112" s="953"/>
      <c r="AG112" s="719"/>
      <c r="AH112" s="719"/>
      <c r="AI112" s="719"/>
      <c r="AJ112" s="729"/>
      <c r="AK112" s="719"/>
      <c r="AL112" s="719"/>
      <c r="AM112" s="719"/>
      <c r="AN112" s="729"/>
      <c r="AO112" s="719"/>
      <c r="AP112" s="719"/>
      <c r="AQ112" s="719"/>
      <c r="AR112" s="729"/>
      <c r="AS112" s="719"/>
      <c r="AT112" s="719"/>
      <c r="AU112" s="719"/>
      <c r="AV112" s="729"/>
      <c r="AW112" s="719"/>
      <c r="AX112" s="719"/>
      <c r="AY112" s="719"/>
      <c r="AZ112" s="719"/>
      <c r="BA112" s="1598"/>
      <c r="BB112" s="719"/>
      <c r="BC112" s="719"/>
      <c r="BD112" s="729"/>
      <c r="BE112" s="719"/>
      <c r="BF112" s="719"/>
      <c r="BG112" s="719"/>
      <c r="BH112" s="729"/>
      <c r="BI112" s="112"/>
      <c r="BJ112" s="112"/>
      <c r="BK112" s="112"/>
      <c r="BL112" s="112"/>
      <c r="BM112" s="223"/>
      <c r="BN112" s="112"/>
      <c r="BO112" s="112"/>
      <c r="BP112" s="719"/>
      <c r="BQ112" s="1598"/>
      <c r="BR112" s="719"/>
      <c r="BS112" s="719"/>
      <c r="BT112" s="180"/>
      <c r="BU112" s="1598"/>
      <c r="BV112" s="719"/>
      <c r="BW112" s="713"/>
      <c r="BX112" s="729"/>
      <c r="BY112" s="1598"/>
      <c r="BZ112" s="719"/>
      <c r="CA112" s="719"/>
      <c r="CB112" s="867"/>
      <c r="CC112" s="1598"/>
      <c r="CD112" s="719"/>
      <c r="CE112" s="719"/>
      <c r="CF112" s="2335"/>
      <c r="CG112" s="245"/>
      <c r="CH112" s="178"/>
      <c r="CM112" s="719"/>
      <c r="CN112" s="719"/>
      <c r="CO112" s="719"/>
      <c r="CP112" s="719"/>
      <c r="CQ112" s="719"/>
      <c r="CR112" s="719"/>
      <c r="CS112" s="112"/>
      <c r="CT112" s="112"/>
      <c r="CU112" s="719"/>
      <c r="CV112" s="719"/>
      <c r="CW112" s="719"/>
      <c r="CX112" s="719"/>
      <c r="CY112" s="719"/>
      <c r="DF112" s="245"/>
    </row>
    <row r="113" spans="1:110" s="8" customFormat="1" ht="12.75" customHeight="1">
      <c r="A113" s="63"/>
      <c r="B113" s="24"/>
      <c r="C113" s="24"/>
      <c r="D113" s="24"/>
      <c r="E113" s="24"/>
      <c r="F113" s="24"/>
      <c r="G113" s="24"/>
      <c r="H113" s="24"/>
      <c r="I113" s="233" t="s">
        <v>269</v>
      </c>
      <c r="J113" s="131"/>
      <c r="K113" s="131"/>
      <c r="P113" s="245"/>
      <c r="T113" s="245"/>
      <c r="X113" s="245"/>
      <c r="AB113" s="245"/>
      <c r="AC113" s="289"/>
      <c r="AD113" s="289"/>
      <c r="AE113" s="289"/>
      <c r="AF113" s="953"/>
      <c r="AG113" s="719"/>
      <c r="AH113" s="719"/>
      <c r="AI113" s="719"/>
      <c r="AJ113" s="729"/>
      <c r="AK113" s="800">
        <f t="shared" ref="AK113:AT115" si="233">+(AK100-AG100)</f>
        <v>160.19696809668562</v>
      </c>
      <c r="AL113" s="800">
        <f t="shared" si="233"/>
        <v>257.76270065602716</v>
      </c>
      <c r="AM113" s="800">
        <f t="shared" si="233"/>
        <v>244.29089529348175</v>
      </c>
      <c r="AN113" s="849">
        <f t="shared" si="233"/>
        <v>302.22738342907383</v>
      </c>
      <c r="AO113" s="800">
        <f t="shared" si="233"/>
        <v>573.60074734864702</v>
      </c>
      <c r="AP113" s="800">
        <f t="shared" si="233"/>
        <v>794.19670247590329</v>
      </c>
      <c r="AQ113" s="800">
        <f t="shared" si="233"/>
        <v>733.73945153145814</v>
      </c>
      <c r="AR113" s="849">
        <f t="shared" si="233"/>
        <v>947.45800083216818</v>
      </c>
      <c r="AS113" s="800">
        <f t="shared" si="233"/>
        <v>1044.8827618286405</v>
      </c>
      <c r="AT113" s="800">
        <f t="shared" si="233"/>
        <v>1555.1168428966175</v>
      </c>
      <c r="AU113" s="800">
        <f t="shared" ref="AU113:BD115" si="234">+(AU100-AQ100)</f>
        <v>1765.7019424878436</v>
      </c>
      <c r="AV113" s="849">
        <f t="shared" si="234"/>
        <v>931.53583051070746</v>
      </c>
      <c r="AW113" s="800">
        <f t="shared" si="234"/>
        <v>728.86509790997479</v>
      </c>
      <c r="AX113" s="800">
        <f t="shared" si="234"/>
        <v>748.84867667498293</v>
      </c>
      <c r="AY113" s="800">
        <f t="shared" si="234"/>
        <v>601.02623913703246</v>
      </c>
      <c r="AZ113" s="800">
        <f t="shared" si="234"/>
        <v>510.46852565457812</v>
      </c>
      <c r="BA113" s="934">
        <f t="shared" si="234"/>
        <v>251.2188802615965</v>
      </c>
      <c r="BB113" s="800">
        <f t="shared" si="234"/>
        <v>-272.08405291716281</v>
      </c>
      <c r="BC113" s="800">
        <f t="shared" si="234"/>
        <v>216.48238525576744</v>
      </c>
      <c r="BD113" s="849">
        <f t="shared" si="234"/>
        <v>335.31558952271098</v>
      </c>
      <c r="BE113" s="800">
        <f t="shared" ref="BE113:BN115" si="235">+(BE100-BA100)</f>
        <v>45.44554455445541</v>
      </c>
      <c r="BF113" s="800">
        <f t="shared" si="235"/>
        <v>-86.815869786368239</v>
      </c>
      <c r="BG113" s="800">
        <f t="shared" si="235"/>
        <v>-84.060913705583516</v>
      </c>
      <c r="BH113" s="849">
        <f t="shared" si="235"/>
        <v>-70.355329949238694</v>
      </c>
      <c r="BI113" s="800">
        <f t="shared" si="235"/>
        <v>45.899999999999636</v>
      </c>
      <c r="BJ113" s="800">
        <f t="shared" si="235"/>
        <v>251</v>
      </c>
      <c r="BK113" s="800">
        <f t="shared" si="235"/>
        <v>441.60000000000036</v>
      </c>
      <c r="BL113" s="800">
        <f t="shared" si="235"/>
        <v>924</v>
      </c>
      <c r="BM113" s="934">
        <f t="shared" si="235"/>
        <v>278.15400000000045</v>
      </c>
      <c r="BN113" s="800">
        <f t="shared" si="235"/>
        <v>316.26000000000022</v>
      </c>
      <c r="BO113" s="800">
        <f t="shared" ref="BO113:BX115" si="236">+(BO100-BK100)</f>
        <v>357.69599999999991</v>
      </c>
      <c r="BP113" s="800">
        <f t="shared" si="236"/>
        <v>277.19999999999982</v>
      </c>
      <c r="BQ113" s="934">
        <f t="shared" si="236"/>
        <v>245.70269999999982</v>
      </c>
      <c r="BR113" s="800">
        <f t="shared" si="236"/>
        <v>279.36300000000028</v>
      </c>
      <c r="BS113" s="800">
        <f t="shared" si="236"/>
        <v>315.96480000000065</v>
      </c>
      <c r="BT113" s="800">
        <f t="shared" si="236"/>
        <v>291.0600000000004</v>
      </c>
      <c r="BU113" s="934">
        <f t="shared" si="236"/>
        <v>257.9878349999999</v>
      </c>
      <c r="BV113" s="800">
        <f t="shared" si="236"/>
        <v>293.33114999999998</v>
      </c>
      <c r="BW113" s="800">
        <f t="shared" si="236"/>
        <v>331.76304000000073</v>
      </c>
      <c r="BX113" s="849">
        <f t="shared" si="236"/>
        <v>305.61300000000028</v>
      </c>
      <c r="BY113" s="934">
        <f t="shared" ref="BY113:CF115" si="237">+(BY100-BU100)</f>
        <v>270.88722675000008</v>
      </c>
      <c r="BZ113" s="800">
        <f t="shared" si="237"/>
        <v>307.99770750000062</v>
      </c>
      <c r="CA113" s="800">
        <f t="shared" si="237"/>
        <v>348.35119200000008</v>
      </c>
      <c r="CB113" s="849">
        <f t="shared" si="237"/>
        <v>320.89364999999998</v>
      </c>
      <c r="CC113" s="934">
        <f t="shared" si="237"/>
        <v>284.43158808750013</v>
      </c>
      <c r="CD113" s="800">
        <f t="shared" si="237"/>
        <v>323.39759287500056</v>
      </c>
      <c r="CE113" s="800">
        <f t="shared" si="237"/>
        <v>365.76875160000054</v>
      </c>
      <c r="CF113" s="849">
        <f t="shared" si="237"/>
        <v>336.93833249999989</v>
      </c>
      <c r="CG113" s="245"/>
      <c r="CH113" s="178"/>
      <c r="CM113" s="719"/>
      <c r="CN113" s="719"/>
      <c r="CO113" s="800">
        <f t="shared" ref="CO113:DF113" si="238">+(CO100-CN100)</f>
        <v>3048.9949021881766</v>
      </c>
      <c r="CP113" s="800">
        <f t="shared" si="238"/>
        <v>5297.2373777238099</v>
      </c>
      <c r="CQ113" s="800">
        <f t="shared" si="238"/>
        <v>2589.2085393765665</v>
      </c>
      <c r="CR113" s="800">
        <f t="shared" si="238"/>
        <v>530.93280212291211</v>
      </c>
      <c r="CS113" s="800">
        <f t="shared" si="238"/>
        <v>-195.78656888673504</v>
      </c>
      <c r="CT113" s="800">
        <f t="shared" si="238"/>
        <v>1662.5</v>
      </c>
      <c r="CU113" s="800">
        <f t="shared" si="238"/>
        <v>1229.3100000000013</v>
      </c>
      <c r="CV113" s="800">
        <f t="shared" si="238"/>
        <v>1132.0905000000021</v>
      </c>
      <c r="CW113" s="800">
        <f t="shared" si="238"/>
        <v>1188.6950249999973</v>
      </c>
      <c r="CX113" s="800">
        <f t="shared" si="238"/>
        <v>1248.1297762500035</v>
      </c>
      <c r="CY113" s="800">
        <f t="shared" si="238"/>
        <v>1310.5362650624993</v>
      </c>
      <c r="CZ113" s="800">
        <f t="shared" si="238"/>
        <v>1100.8504626525028</v>
      </c>
      <c r="DA113" s="800">
        <f t="shared" si="238"/>
        <v>1144.8844811586023</v>
      </c>
      <c r="DB113" s="800">
        <f t="shared" si="238"/>
        <v>1190.6798604049436</v>
      </c>
      <c r="DC113" s="800">
        <f t="shared" si="238"/>
        <v>1238.3070548211435</v>
      </c>
      <c r="DD113" s="800">
        <f t="shared" si="238"/>
        <v>1287.8393370139893</v>
      </c>
      <c r="DE113" s="800">
        <f t="shared" si="238"/>
        <v>1339.3529104945483</v>
      </c>
      <c r="DF113" s="849">
        <f t="shared" si="238"/>
        <v>1392.9270269143308</v>
      </c>
    </row>
    <row r="114" spans="1:110" s="125" customFormat="1" ht="12.75" customHeight="1">
      <c r="A114" s="53"/>
      <c r="B114" s="53"/>
      <c r="C114" s="53"/>
      <c r="D114" s="53"/>
      <c r="E114" s="53"/>
      <c r="F114" s="53"/>
      <c r="G114" s="53"/>
      <c r="H114" s="53"/>
      <c r="I114" s="283" t="s">
        <v>270</v>
      </c>
      <c r="J114" s="132"/>
      <c r="K114" s="132"/>
      <c r="P114" s="947"/>
      <c r="T114" s="947"/>
      <c r="X114" s="947"/>
      <c r="AB114" s="947"/>
      <c r="AC114" s="711"/>
      <c r="AD114" s="711"/>
      <c r="AE114" s="711"/>
      <c r="AF114" s="957"/>
      <c r="AG114" s="924"/>
      <c r="AH114" s="924"/>
      <c r="AI114" s="924"/>
      <c r="AJ114" s="1268"/>
      <c r="AK114" s="803">
        <f t="shared" si="233"/>
        <v>1643.8136030518012</v>
      </c>
      <c r="AL114" s="803">
        <f t="shared" si="233"/>
        <v>2119.7604096853402</v>
      </c>
      <c r="AM114" s="803">
        <f t="shared" si="233"/>
        <v>2547.4022774151631</v>
      </c>
      <c r="AN114" s="866">
        <f t="shared" si="233"/>
        <v>2121.6446847759689</v>
      </c>
      <c r="AO114" s="803">
        <f t="shared" si="233"/>
        <v>2846.399252651353</v>
      </c>
      <c r="AP114" s="803">
        <f t="shared" si="233"/>
        <v>2842.8032975240967</v>
      </c>
      <c r="AQ114" s="803">
        <f t="shared" si="233"/>
        <v>2736.2605484685419</v>
      </c>
      <c r="AR114" s="866">
        <f t="shared" si="233"/>
        <v>1562.5419991678318</v>
      </c>
      <c r="AS114" s="803">
        <f t="shared" si="233"/>
        <v>2365.1172381713595</v>
      </c>
      <c r="AT114" s="803">
        <f t="shared" si="233"/>
        <v>3230.8831571033825</v>
      </c>
      <c r="AU114" s="803">
        <f t="shared" si="234"/>
        <v>4669.2980575121564</v>
      </c>
      <c r="AV114" s="866">
        <f t="shared" si="234"/>
        <v>4535.4641694892925</v>
      </c>
      <c r="AW114" s="803">
        <f t="shared" si="234"/>
        <v>6528.1349020900252</v>
      </c>
      <c r="AX114" s="803">
        <f t="shared" si="234"/>
        <v>6786.1513233250171</v>
      </c>
      <c r="AY114" s="803">
        <f t="shared" si="234"/>
        <v>9029.9737608629675</v>
      </c>
      <c r="AZ114" s="803">
        <f t="shared" si="234"/>
        <v>6896.5314743454219</v>
      </c>
      <c r="BA114" s="1600">
        <f t="shared" si="234"/>
        <v>10906.781119738404</v>
      </c>
      <c r="BB114" s="803">
        <f t="shared" si="234"/>
        <v>13172.084052917162</v>
      </c>
      <c r="BC114" s="803">
        <f t="shared" si="234"/>
        <v>12883.517614744229</v>
      </c>
      <c r="BD114" s="866">
        <f t="shared" si="234"/>
        <v>11264.68441047729</v>
      </c>
      <c r="BE114" s="803">
        <f t="shared" si="235"/>
        <v>14654.554455445545</v>
      </c>
      <c r="BF114" s="803">
        <f t="shared" si="235"/>
        <v>14186.815869786369</v>
      </c>
      <c r="BG114" s="803">
        <f t="shared" si="235"/>
        <v>14684.060913705587</v>
      </c>
      <c r="BH114" s="866">
        <f t="shared" si="235"/>
        <v>12670.355329949238</v>
      </c>
      <c r="BI114" s="803">
        <f t="shared" si="235"/>
        <v>17254.099999999999</v>
      </c>
      <c r="BJ114" s="803">
        <f t="shared" si="235"/>
        <v>18949</v>
      </c>
      <c r="BK114" s="803">
        <f t="shared" si="235"/>
        <v>19158.399999999994</v>
      </c>
      <c r="BL114" s="803">
        <f t="shared" si="235"/>
        <v>15976</v>
      </c>
      <c r="BM114" s="1600">
        <f t="shared" si="235"/>
        <v>19921.845999999998</v>
      </c>
      <c r="BN114" s="803">
        <f t="shared" si="235"/>
        <v>19883.740000000005</v>
      </c>
      <c r="BO114" s="803">
        <f t="shared" si="236"/>
        <v>19642.304000000004</v>
      </c>
      <c r="BP114" s="803">
        <f t="shared" si="236"/>
        <v>14822.800000000003</v>
      </c>
      <c r="BQ114" s="1600">
        <f t="shared" si="236"/>
        <v>20954.297300000006</v>
      </c>
      <c r="BR114" s="803">
        <f t="shared" si="236"/>
        <v>23220.636999999988</v>
      </c>
      <c r="BS114" s="803">
        <f t="shared" si="236"/>
        <v>20484.035199999998</v>
      </c>
      <c r="BT114" s="803">
        <f t="shared" si="236"/>
        <v>20608.940000000002</v>
      </c>
      <c r="BU114" s="1600">
        <f t="shared" si="236"/>
        <v>31642.012164999993</v>
      </c>
      <c r="BV114" s="803">
        <f t="shared" si="236"/>
        <v>27306.668850000002</v>
      </c>
      <c r="BW114" s="803">
        <f t="shared" si="236"/>
        <v>33668.236959999995</v>
      </c>
      <c r="BX114" s="866">
        <f t="shared" si="236"/>
        <v>30294.386999999988</v>
      </c>
      <c r="BY114" s="1600">
        <f t="shared" si="237"/>
        <v>37129.112773250003</v>
      </c>
      <c r="BZ114" s="803">
        <f t="shared" si="237"/>
        <v>29192.002292499994</v>
      </c>
      <c r="CA114" s="803">
        <f t="shared" si="237"/>
        <v>27551.648807999998</v>
      </c>
      <c r="CB114" s="866">
        <f t="shared" si="237"/>
        <v>21479.106350000002</v>
      </c>
      <c r="CC114" s="1600">
        <f t="shared" si="237"/>
        <v>26072.762076928746</v>
      </c>
      <c r="CD114" s="803">
        <f t="shared" si="237"/>
        <v>31109.089147074992</v>
      </c>
      <c r="CE114" s="803">
        <f t="shared" si="237"/>
        <v>30633.232494239986</v>
      </c>
      <c r="CF114" s="866">
        <f t="shared" si="237"/>
        <v>28228.440503250022</v>
      </c>
      <c r="CG114" s="947"/>
      <c r="CH114" s="281"/>
      <c r="CM114" s="924"/>
      <c r="CN114" s="924"/>
      <c r="CO114" s="803">
        <f t="shared" ref="CO114:DF114" si="239">+(CO101-CN101)</f>
        <v>9988.0050978118234</v>
      </c>
      <c r="CP114" s="803">
        <f t="shared" si="239"/>
        <v>14800.76262227619</v>
      </c>
      <c r="CQ114" s="803">
        <f t="shared" si="239"/>
        <v>29240.791460623441</v>
      </c>
      <c r="CR114" s="803">
        <f t="shared" si="239"/>
        <v>48227.067197877084</v>
      </c>
      <c r="CS114" s="803">
        <f t="shared" si="239"/>
        <v>56195.786568886731</v>
      </c>
      <c r="CT114" s="803">
        <f t="shared" si="239"/>
        <v>71337.5</v>
      </c>
      <c r="CU114" s="803">
        <f t="shared" si="239"/>
        <v>74270.69</v>
      </c>
      <c r="CV114" s="803">
        <f t="shared" si="239"/>
        <v>85267.909500000009</v>
      </c>
      <c r="CW114" s="803">
        <f t="shared" si="239"/>
        <v>122911.30497499998</v>
      </c>
      <c r="CX114" s="803">
        <f t="shared" si="239"/>
        <v>115351.87022375001</v>
      </c>
      <c r="CY114" s="803">
        <f t="shared" si="239"/>
        <v>116043.52422149375</v>
      </c>
      <c r="CZ114" s="803">
        <f t="shared" si="239"/>
        <v>120436.99670156103</v>
      </c>
      <c r="DA114" s="803">
        <f t="shared" si="239"/>
        <v>119229.10712696298</v>
      </c>
      <c r="DB114" s="803">
        <f t="shared" si="239"/>
        <v>115767.58797592693</v>
      </c>
      <c r="DC114" s="803">
        <f t="shared" si="239"/>
        <v>113638.78402361809</v>
      </c>
      <c r="DD114" s="803">
        <f t="shared" si="239"/>
        <v>112667.20189204183</v>
      </c>
      <c r="DE114" s="803">
        <f t="shared" si="239"/>
        <v>110673.58205242665</v>
      </c>
      <c r="DF114" s="866">
        <f t="shared" si="239"/>
        <v>119782.5970557814</v>
      </c>
    </row>
    <row r="115" spans="1:110" s="8" customFormat="1" ht="12.75" customHeight="1">
      <c r="A115" s="34"/>
      <c r="B115" s="34"/>
      <c r="C115" s="34"/>
      <c r="D115" s="34"/>
      <c r="E115" s="34"/>
      <c r="F115" s="34"/>
      <c r="G115" s="34"/>
      <c r="H115" s="34"/>
      <c r="I115" s="861" t="s">
        <v>272</v>
      </c>
      <c r="J115" s="801"/>
      <c r="K115" s="801"/>
      <c r="P115" s="245"/>
      <c r="T115" s="245"/>
      <c r="X115" s="245"/>
      <c r="AB115" s="245"/>
      <c r="AC115" s="289"/>
      <c r="AD115" s="289"/>
      <c r="AE115" s="289"/>
      <c r="AF115" s="953"/>
      <c r="AG115" s="713">
        <f>+(AG102-AC102)</f>
        <v>1597</v>
      </c>
      <c r="AH115" s="713">
        <f>+(AH102-AD102)</f>
        <v>2259</v>
      </c>
      <c r="AI115" s="713">
        <f>+(AI102-AE102)</f>
        <v>1739</v>
      </c>
      <c r="AJ115" s="723">
        <f>+(AJ102-AF102)</f>
        <v>1297</v>
      </c>
      <c r="AK115" s="713">
        <f t="shared" si="233"/>
        <v>1802</v>
      </c>
      <c r="AL115" s="713">
        <f t="shared" si="233"/>
        <v>2247</v>
      </c>
      <c r="AM115" s="713">
        <f t="shared" si="233"/>
        <v>2726</v>
      </c>
      <c r="AN115" s="723">
        <f t="shared" si="233"/>
        <v>2351</v>
      </c>
      <c r="AO115" s="713">
        <f t="shared" si="233"/>
        <v>3420</v>
      </c>
      <c r="AP115" s="713">
        <f t="shared" si="233"/>
        <v>3637</v>
      </c>
      <c r="AQ115" s="713">
        <f t="shared" si="233"/>
        <v>3470</v>
      </c>
      <c r="AR115" s="723">
        <f t="shared" si="233"/>
        <v>2510</v>
      </c>
      <c r="AS115" s="713">
        <f t="shared" si="233"/>
        <v>3410</v>
      </c>
      <c r="AT115" s="713">
        <f t="shared" si="233"/>
        <v>4786</v>
      </c>
      <c r="AU115" s="713">
        <f t="shared" si="234"/>
        <v>6435</v>
      </c>
      <c r="AV115" s="723">
        <f t="shared" si="234"/>
        <v>5467</v>
      </c>
      <c r="AW115" s="713">
        <f t="shared" si="234"/>
        <v>7257</v>
      </c>
      <c r="AX115" s="713">
        <f t="shared" si="234"/>
        <v>7535</v>
      </c>
      <c r="AY115" s="713">
        <f t="shared" si="234"/>
        <v>9631</v>
      </c>
      <c r="AZ115" s="713">
        <f t="shared" si="234"/>
        <v>7407</v>
      </c>
      <c r="BA115" s="921">
        <f t="shared" si="234"/>
        <v>11158</v>
      </c>
      <c r="BB115" s="713">
        <f t="shared" si="234"/>
        <v>12900</v>
      </c>
      <c r="BC115" s="713">
        <f t="shared" si="234"/>
        <v>13100</v>
      </c>
      <c r="BD115" s="723">
        <f t="shared" si="234"/>
        <v>11600</v>
      </c>
      <c r="BE115" s="713">
        <f t="shared" si="235"/>
        <v>14700</v>
      </c>
      <c r="BF115" s="713">
        <f t="shared" si="235"/>
        <v>14100</v>
      </c>
      <c r="BG115" s="713">
        <f t="shared" si="235"/>
        <v>14600</v>
      </c>
      <c r="BH115" s="723">
        <f t="shared" si="235"/>
        <v>12600</v>
      </c>
      <c r="BI115" s="713">
        <f t="shared" si="235"/>
        <v>17300</v>
      </c>
      <c r="BJ115" s="713">
        <f t="shared" si="235"/>
        <v>19200</v>
      </c>
      <c r="BK115" s="713">
        <f t="shared" si="235"/>
        <v>19600</v>
      </c>
      <c r="BL115" s="713">
        <f t="shared" si="235"/>
        <v>16900</v>
      </c>
      <c r="BM115" s="921">
        <f t="shared" si="235"/>
        <v>20200</v>
      </c>
      <c r="BN115" s="713">
        <f t="shared" si="235"/>
        <v>20200</v>
      </c>
      <c r="BO115" s="713">
        <f t="shared" si="236"/>
        <v>20000</v>
      </c>
      <c r="BP115" s="713">
        <f t="shared" si="236"/>
        <v>15100</v>
      </c>
      <c r="BQ115" s="921">
        <f t="shared" si="236"/>
        <v>21200</v>
      </c>
      <c r="BR115" s="713">
        <f t="shared" si="236"/>
        <v>23500</v>
      </c>
      <c r="BS115" s="713">
        <f t="shared" si="236"/>
        <v>20800</v>
      </c>
      <c r="BT115" s="713">
        <f t="shared" si="236"/>
        <v>20900</v>
      </c>
      <c r="BU115" s="921">
        <f t="shared" si="236"/>
        <v>31900</v>
      </c>
      <c r="BV115" s="713">
        <f t="shared" si="236"/>
        <v>27600</v>
      </c>
      <c r="BW115" s="713">
        <f t="shared" si="236"/>
        <v>34000</v>
      </c>
      <c r="BX115" s="723">
        <f t="shared" si="236"/>
        <v>30600</v>
      </c>
      <c r="BY115" s="921">
        <f t="shared" si="237"/>
        <v>37400</v>
      </c>
      <c r="BZ115" s="713">
        <f t="shared" si="237"/>
        <v>29500</v>
      </c>
      <c r="CA115" s="713">
        <f t="shared" si="237"/>
        <v>27900</v>
      </c>
      <c r="CB115" s="723">
        <f t="shared" si="237"/>
        <v>21800</v>
      </c>
      <c r="CC115" s="921">
        <f t="shared" si="237"/>
        <v>26357.193665016239</v>
      </c>
      <c r="CD115" s="713">
        <f t="shared" si="237"/>
        <v>31432.486739949993</v>
      </c>
      <c r="CE115" s="713">
        <f t="shared" si="237"/>
        <v>30999.001245839987</v>
      </c>
      <c r="CF115" s="723">
        <f t="shared" si="237"/>
        <v>28565.378835750016</v>
      </c>
      <c r="CG115" s="245"/>
      <c r="CH115" s="178"/>
      <c r="CM115" s="713">
        <f>+(CM102-CL102)</f>
        <v>6892</v>
      </c>
      <c r="CN115" s="713">
        <f>+(CN102-CM102)</f>
        <v>9126</v>
      </c>
      <c r="CO115" s="713">
        <f t="shared" ref="CO115:DF115" si="240">+(CO102-CN102)</f>
        <v>13037</v>
      </c>
      <c r="CP115" s="713">
        <f t="shared" si="240"/>
        <v>20098</v>
      </c>
      <c r="CQ115" s="713">
        <f t="shared" si="240"/>
        <v>31830</v>
      </c>
      <c r="CR115" s="713">
        <f t="shared" si="240"/>
        <v>48758</v>
      </c>
      <c r="CS115" s="713">
        <f t="shared" si="240"/>
        <v>56000</v>
      </c>
      <c r="CT115" s="713">
        <f t="shared" si="240"/>
        <v>73000</v>
      </c>
      <c r="CU115" s="713">
        <f t="shared" si="240"/>
        <v>75500</v>
      </c>
      <c r="CV115" s="713">
        <f t="shared" si="240"/>
        <v>86400</v>
      </c>
      <c r="CW115" s="713">
        <f t="shared" si="240"/>
        <v>124100</v>
      </c>
      <c r="CX115" s="713">
        <f t="shared" si="240"/>
        <v>116600</v>
      </c>
      <c r="CY115" s="713">
        <f t="shared" si="240"/>
        <v>117354.06048655626</v>
      </c>
      <c r="CZ115" s="713">
        <f t="shared" si="240"/>
        <v>121537.84716421354</v>
      </c>
      <c r="DA115" s="713">
        <f t="shared" si="240"/>
        <v>120373.99160812155</v>
      </c>
      <c r="DB115" s="713">
        <f t="shared" si="240"/>
        <v>116958.26783633186</v>
      </c>
      <c r="DC115" s="713">
        <f t="shared" si="240"/>
        <v>114877.09107843926</v>
      </c>
      <c r="DD115" s="713">
        <f t="shared" si="240"/>
        <v>113955.04122905573</v>
      </c>
      <c r="DE115" s="713">
        <f t="shared" si="240"/>
        <v>112012.93496292131</v>
      </c>
      <c r="DF115" s="723">
        <f t="shared" si="240"/>
        <v>121175.5240826956</v>
      </c>
    </row>
    <row r="116" spans="1:110" s="8" customFormat="1" ht="12.75" customHeight="1">
      <c r="B116" s="23"/>
      <c r="C116" s="23"/>
      <c r="D116" s="23"/>
      <c r="E116" s="23"/>
      <c r="F116" s="23"/>
      <c r="I116" s="185" t="s">
        <v>282</v>
      </c>
      <c r="J116" s="70"/>
      <c r="K116" s="70"/>
      <c r="P116" s="245"/>
      <c r="T116" s="245"/>
      <c r="X116" s="245"/>
      <c r="AB116" s="245"/>
      <c r="AC116" s="289"/>
      <c r="AD116" s="289"/>
      <c r="AE116" s="289"/>
      <c r="AF116" s="953"/>
      <c r="AG116" s="64">
        <f>+AG115/$CM$115</f>
        <v>0.23171793383633199</v>
      </c>
      <c r="AH116" s="64">
        <f>+AH115/$CM$115</f>
        <v>0.32777132907719092</v>
      </c>
      <c r="AI116" s="64">
        <f>+AI115/$CM$115</f>
        <v>0.25232153221125941</v>
      </c>
      <c r="AJ116" s="180">
        <f>+AJ115/$CM$115</f>
        <v>0.18818920487521765</v>
      </c>
      <c r="AK116" s="64">
        <f>+AK115/$CN$115</f>
        <v>0.19745781284242822</v>
      </c>
      <c r="AL116" s="64">
        <f>+AL115/$CN$115</f>
        <v>0.24621959237343852</v>
      </c>
      <c r="AM116" s="64">
        <f>+AM115/$CN$115</f>
        <v>0.29870699101468334</v>
      </c>
      <c r="AN116" s="180">
        <f>+AN115/$CN$115</f>
        <v>0.25761560376944992</v>
      </c>
      <c r="AO116" s="64">
        <f>+AO115/$CO$115</f>
        <v>0.26233029071105318</v>
      </c>
      <c r="AP116" s="64">
        <f>+AP115/$CO$115</f>
        <v>0.27897522436143285</v>
      </c>
      <c r="AQ116" s="64">
        <f>+AQ115/$CO$115</f>
        <v>0.26616552887934342</v>
      </c>
      <c r="AR116" s="180">
        <f>+AR115/$CO$115</f>
        <v>0.19252895604817058</v>
      </c>
      <c r="AS116" s="64">
        <f>+AS115/$CP$115</f>
        <v>0.16966862374365607</v>
      </c>
      <c r="AT116" s="64">
        <f>+AT115/$CP$115</f>
        <v>0.23813314757687332</v>
      </c>
      <c r="AU116" s="64">
        <f>+AU115/$CP$115</f>
        <v>0.32018111254851228</v>
      </c>
      <c r="AV116" s="180">
        <f>+AV115/$CP$115</f>
        <v>0.2720171161309583</v>
      </c>
      <c r="AW116" s="64">
        <f>+AW115/$CQ$115</f>
        <v>0.22799245994344958</v>
      </c>
      <c r="AX116" s="64">
        <f>+AX115/$CQ$115</f>
        <v>0.23672635878102419</v>
      </c>
      <c r="AY116" s="64">
        <f>+AY115/$CQ$115</f>
        <v>0.30257618598806157</v>
      </c>
      <c r="AZ116" s="64">
        <f>+AZ115/$CQ$115</f>
        <v>0.23270499528746466</v>
      </c>
      <c r="BA116" s="1263">
        <f>+BA115/$CR$115</f>
        <v>0.22884449731326142</v>
      </c>
      <c r="BB116" s="64">
        <f>+BB115/$CR$115</f>
        <v>0.26457196767709912</v>
      </c>
      <c r="BC116" s="64">
        <f>+BC115/$CR$115</f>
        <v>0.26867385864883714</v>
      </c>
      <c r="BD116" s="180">
        <f>+BD115/$CR$115</f>
        <v>0.23790967636080232</v>
      </c>
      <c r="BE116" s="64">
        <f>+BE115/$CS$115</f>
        <v>0.26250000000000001</v>
      </c>
      <c r="BF116" s="64">
        <f>+BF115/$CS$115</f>
        <v>0.25178571428571428</v>
      </c>
      <c r="BG116" s="64">
        <f>+BG115/$CS$115</f>
        <v>0.26071428571428573</v>
      </c>
      <c r="BH116" s="180">
        <f>+BH115/$CS$115</f>
        <v>0.22500000000000001</v>
      </c>
      <c r="BI116" s="64">
        <f>+BI115/$CT$115</f>
        <v>0.23698630136986301</v>
      </c>
      <c r="BJ116" s="64">
        <f>+BJ115/$CT$115</f>
        <v>0.26301369863013696</v>
      </c>
      <c r="BK116" s="64">
        <f>+BK115/$CT$115</f>
        <v>0.26849315068493151</v>
      </c>
      <c r="BL116" s="64">
        <f>+BL115/$CT$115</f>
        <v>0.23150684931506849</v>
      </c>
      <c r="BM116" s="1263">
        <f>+BM115/$CU$115</f>
        <v>0.2675496688741722</v>
      </c>
      <c r="BN116" s="64">
        <f>+BN115/$CU$115</f>
        <v>0.2675496688741722</v>
      </c>
      <c r="BO116" s="64">
        <f>+BO115/$CU$115</f>
        <v>0.26490066225165565</v>
      </c>
      <c r="BP116" s="64">
        <f>+BP115/$CU$115</f>
        <v>0.2</v>
      </c>
      <c r="BQ116" s="1263">
        <f>+BQ115/$CV$115</f>
        <v>0.24537037037037038</v>
      </c>
      <c r="BR116" s="64">
        <f>+BR115/$CV$115</f>
        <v>0.27199074074074076</v>
      </c>
      <c r="BS116" s="64">
        <f>+BS115/$CV$115</f>
        <v>0.24074074074074073</v>
      </c>
      <c r="BT116" s="64">
        <f>+BT115/$CV$115</f>
        <v>0.24189814814814814</v>
      </c>
      <c r="BU116" s="1263">
        <f>+BU115/$CW$115</f>
        <v>0.2570507655116841</v>
      </c>
      <c r="BV116" s="64">
        <f>+BV115/$CW$115</f>
        <v>0.22240128928283642</v>
      </c>
      <c r="BW116" s="64">
        <f>+BW115/$CW$115</f>
        <v>0.27397260273972601</v>
      </c>
      <c r="BX116" s="180">
        <f>+BX115/$CW$115</f>
        <v>0.24657534246575341</v>
      </c>
      <c r="BY116" s="1263">
        <f>+BY115/$CX$115</f>
        <v>0.32075471698113206</v>
      </c>
      <c r="BZ116" s="64">
        <f>+BZ115/$CX$115</f>
        <v>0.25300171526586623</v>
      </c>
      <c r="CA116" s="64">
        <f>+CA115/$CX$115</f>
        <v>0.23927958833619212</v>
      </c>
      <c r="CB116" s="180">
        <f>+CB115/$CX$115</f>
        <v>0.18696397941680962</v>
      </c>
      <c r="CC116" s="1263">
        <f>+CC115/$CY$115</f>
        <v>0.22459549806574985</v>
      </c>
      <c r="CD116" s="64">
        <f>+CD115/$CY$115</f>
        <v>0.26784319698550868</v>
      </c>
      <c r="CE116" s="64">
        <f>+CE115/$CY$115</f>
        <v>0.26414937086383256</v>
      </c>
      <c r="CF116" s="180">
        <f>+CF115/$CY$115</f>
        <v>0.24341193408490866</v>
      </c>
      <c r="CG116" s="245"/>
      <c r="CH116" s="178"/>
      <c r="CM116" s="719"/>
      <c r="CN116" s="719"/>
      <c r="CO116" s="713"/>
      <c r="CP116" s="713"/>
      <c r="CQ116" s="713"/>
      <c r="CR116" s="713"/>
      <c r="CS116" s="713"/>
      <c r="CT116" s="713"/>
      <c r="CU116" s="713"/>
      <c r="CV116" s="713"/>
      <c r="CW116" s="713"/>
      <c r="CX116" s="713"/>
      <c r="CY116" s="713"/>
      <c r="DF116" s="245"/>
    </row>
    <row r="117" spans="1:110" s="8" customFormat="1" ht="12.75" customHeight="1">
      <c r="A117" s="34"/>
      <c r="B117" s="34"/>
      <c r="C117" s="34"/>
      <c r="D117" s="34"/>
      <c r="E117" s="34"/>
      <c r="F117" s="34"/>
      <c r="G117" s="34"/>
      <c r="H117" s="34"/>
      <c r="I117" s="728"/>
      <c r="J117" s="7"/>
      <c r="K117" s="7"/>
      <c r="P117" s="245"/>
      <c r="T117" s="245"/>
      <c r="X117" s="245"/>
      <c r="AB117" s="245"/>
      <c r="AC117" s="289"/>
      <c r="AD117" s="289"/>
      <c r="AE117" s="289"/>
      <c r="AF117" s="953"/>
      <c r="AG117" s="719"/>
      <c r="AH117" s="719"/>
      <c r="AI117" s="719"/>
      <c r="AJ117" s="729"/>
      <c r="AK117" s="719"/>
      <c r="AL117" s="719"/>
      <c r="AM117" s="719"/>
      <c r="AN117" s="729"/>
      <c r="AO117" s="203"/>
      <c r="AP117" s="203"/>
      <c r="AQ117" s="719"/>
      <c r="AR117" s="204"/>
      <c r="AS117" s="203"/>
      <c r="AT117" s="203"/>
      <c r="AU117" s="719"/>
      <c r="AV117" s="204"/>
      <c r="AW117" s="203"/>
      <c r="AX117" s="203"/>
      <c r="AY117" s="719"/>
      <c r="AZ117" s="203"/>
      <c r="BA117" s="1603"/>
      <c r="BB117" s="719"/>
      <c r="BC117" s="719"/>
      <c r="BD117" s="906"/>
      <c r="BE117" s="203"/>
      <c r="BF117" s="203"/>
      <c r="BG117" s="719"/>
      <c r="BH117" s="906"/>
      <c r="BI117" s="62"/>
      <c r="BJ117" s="62"/>
      <c r="BK117" s="719"/>
      <c r="BL117" s="798"/>
      <c r="BM117" s="1629"/>
      <c r="BN117" s="62"/>
      <c r="BO117" s="719"/>
      <c r="BP117" s="798"/>
      <c r="BQ117" s="1598"/>
      <c r="BR117" s="719"/>
      <c r="BS117" s="719"/>
      <c r="BT117" s="798"/>
      <c r="BU117" s="1598"/>
      <c r="BV117" s="719"/>
      <c r="BW117" s="719"/>
      <c r="BX117" s="729"/>
      <c r="BY117" s="1598"/>
      <c r="BZ117" s="719"/>
      <c r="CA117" s="719"/>
      <c r="CB117" s="729"/>
      <c r="CC117" s="1598"/>
      <c r="CD117" s="719"/>
      <c r="CE117" s="719"/>
      <c r="CF117" s="729"/>
      <c r="CG117" s="245"/>
      <c r="CH117" s="178"/>
      <c r="CM117" s="719"/>
      <c r="CN117" s="719"/>
      <c r="CO117" s="719"/>
      <c r="CP117" s="719"/>
      <c r="CQ117" s="719"/>
      <c r="CR117" s="719"/>
      <c r="CS117" s="719"/>
      <c r="CT117" s="805"/>
      <c r="CU117" s="719"/>
      <c r="CV117" s="719"/>
      <c r="CW117" s="719"/>
      <c r="CX117" s="719"/>
      <c r="CY117" s="719"/>
      <c r="DF117" s="245"/>
    </row>
    <row r="118" spans="1:110" s="8" customFormat="1" ht="12.75" customHeight="1">
      <c r="A118" s="24"/>
      <c r="B118" s="34"/>
      <c r="C118" s="34"/>
      <c r="D118" s="34"/>
      <c r="E118" s="34"/>
      <c r="F118" s="34"/>
      <c r="G118" s="24"/>
      <c r="H118" s="24"/>
      <c r="I118" s="196" t="s">
        <v>234</v>
      </c>
      <c r="J118" s="69"/>
      <c r="K118" s="69"/>
      <c r="P118" s="245"/>
      <c r="T118" s="245"/>
      <c r="X118" s="245"/>
      <c r="AB118" s="245"/>
      <c r="AC118" s="289"/>
      <c r="AD118" s="289"/>
      <c r="AE118" s="289"/>
      <c r="AF118" s="953"/>
      <c r="AG118" s="719"/>
      <c r="AH118" s="719"/>
      <c r="AI118" s="719"/>
      <c r="AJ118" s="729"/>
      <c r="AK118" s="719"/>
      <c r="AL118" s="719"/>
      <c r="AM118" s="719"/>
      <c r="AN118" s="729"/>
      <c r="AO118" s="719"/>
      <c r="AP118" s="719"/>
      <c r="AQ118" s="719"/>
      <c r="AR118" s="729"/>
      <c r="AS118" s="719"/>
      <c r="AT118" s="719"/>
      <c r="AU118" s="719"/>
      <c r="AV118" s="729"/>
      <c r="AW118" s="719"/>
      <c r="AX118" s="719"/>
      <c r="AY118" s="719"/>
      <c r="AZ118" s="729"/>
      <c r="BA118" s="732"/>
      <c r="BB118" s="732"/>
      <c r="BC118" s="732"/>
      <c r="BD118" s="738"/>
      <c r="BE118" s="719"/>
      <c r="BF118" s="719"/>
      <c r="BG118" s="719"/>
      <c r="BH118" s="729"/>
      <c r="BI118" s="808"/>
      <c r="BJ118" s="808"/>
      <c r="BK118" s="808"/>
      <c r="BL118" s="808"/>
      <c r="BM118" s="1644"/>
      <c r="BN118" s="808"/>
      <c r="BO118" s="808"/>
      <c r="BP118" s="719"/>
      <c r="BQ118" s="1598"/>
      <c r="BR118" s="719"/>
      <c r="BS118" s="719"/>
      <c r="BT118" s="719"/>
      <c r="BU118" s="1598"/>
      <c r="BV118" s="719"/>
      <c r="BW118" s="719"/>
      <c r="BX118" s="729"/>
      <c r="BY118" s="1598"/>
      <c r="BZ118" s="719"/>
      <c r="CA118" s="719"/>
      <c r="CB118" s="729"/>
      <c r="CC118" s="1598"/>
      <c r="CD118" s="719"/>
      <c r="CE118" s="719"/>
      <c r="CF118" s="729"/>
      <c r="CG118" s="245"/>
      <c r="CH118" s="178"/>
      <c r="CM118" s="719"/>
      <c r="CN118" s="719"/>
      <c r="CO118" s="719"/>
      <c r="CP118" s="719"/>
      <c r="CQ118" s="719"/>
      <c r="CR118" s="719"/>
      <c r="CS118" s="719"/>
      <c r="CT118" s="719"/>
      <c r="CU118" s="719"/>
      <c r="CV118" s="719"/>
      <c r="CW118" s="719"/>
      <c r="CX118" s="719"/>
      <c r="CY118" s="719"/>
      <c r="DF118" s="245"/>
    </row>
    <row r="119" spans="1:110" s="8" customFormat="1" ht="12.75" customHeight="1">
      <c r="A119" s="24"/>
      <c r="B119" s="24"/>
      <c r="C119" s="24"/>
      <c r="D119" s="24"/>
      <c r="E119" s="24"/>
      <c r="F119" s="24"/>
      <c r="G119" s="24"/>
      <c r="H119" s="24"/>
      <c r="I119" s="233" t="s">
        <v>269</v>
      </c>
      <c r="J119" s="131"/>
      <c r="K119" s="131"/>
      <c r="P119" s="245"/>
      <c r="T119" s="245"/>
      <c r="X119" s="245"/>
      <c r="AB119" s="245"/>
      <c r="AC119" s="289"/>
      <c r="AD119" s="289"/>
      <c r="AE119" s="289"/>
      <c r="AF119" s="953"/>
      <c r="AG119" s="719"/>
      <c r="AH119" s="719"/>
      <c r="AI119" s="719"/>
      <c r="AJ119" s="729"/>
      <c r="AK119" s="203"/>
      <c r="AL119" s="203"/>
      <c r="AM119" s="203"/>
      <c r="AN119" s="204"/>
      <c r="AO119" s="203">
        <f t="shared" ref="AO119:AR121" si="241">+AO107+AK107</f>
        <v>0.38446733549709067</v>
      </c>
      <c r="AP119" s="203">
        <f t="shared" si="241"/>
        <v>0.47563685989211169</v>
      </c>
      <c r="AQ119" s="203">
        <f t="shared" si="241"/>
        <v>0.44040011674658763</v>
      </c>
      <c r="AR119" s="204">
        <f t="shared" si="241"/>
        <v>0.66372329531412499</v>
      </c>
      <c r="AS119" s="203">
        <f t="shared" ref="AS119:CF119" si="242">+AS107+AO107</f>
        <v>0.70946470113539828</v>
      </c>
      <c r="AT119" s="203">
        <f t="shared" si="242"/>
        <v>0.85395906290781687</v>
      </c>
      <c r="AU119" s="203">
        <f t="shared" si="242"/>
        <v>0.90531992400835226</v>
      </c>
      <c r="AV119" s="204">
        <f t="shared" si="242"/>
        <v>0.80180713148681049</v>
      </c>
      <c r="AW119" s="203">
        <f t="shared" si="242"/>
        <v>0.61918447432632551</v>
      </c>
      <c r="AX119" s="203">
        <f t="shared" si="242"/>
        <v>0.66747642815182595</v>
      </c>
      <c r="AY119" s="203">
        <f t="shared" si="242"/>
        <v>0.71007052244130309</v>
      </c>
      <c r="AZ119" s="204">
        <f t="shared" si="242"/>
        <v>0.45255829734517716</v>
      </c>
      <c r="BA119" s="203">
        <f t="shared" si="242"/>
        <v>0.26299429390195828</v>
      </c>
      <c r="BB119" s="203">
        <f t="shared" si="242"/>
        <v>0.11115299781723109</v>
      </c>
      <c r="BC119" s="203">
        <f t="shared" si="242"/>
        <v>0.16574734476628183</v>
      </c>
      <c r="BD119" s="204">
        <f t="shared" si="242"/>
        <v>0.20977129242480363</v>
      </c>
      <c r="BE119" s="203">
        <f t="shared" si="242"/>
        <v>6.8513683792544619E-2</v>
      </c>
      <c r="BF119" s="203">
        <f t="shared" si="242"/>
        <v>-6.7583587132516984E-2</v>
      </c>
      <c r="BG119" s="203">
        <f t="shared" si="242"/>
        <v>2.5181759599902556E-2</v>
      </c>
      <c r="BH119" s="204">
        <f t="shared" si="242"/>
        <v>6.199484034785642E-2</v>
      </c>
      <c r="BI119" s="203">
        <f t="shared" si="242"/>
        <v>0.02</v>
      </c>
      <c r="BJ119" s="203">
        <f t="shared" si="242"/>
        <v>3.3000000000000002E-2</v>
      </c>
      <c r="BK119" s="203">
        <f t="shared" si="242"/>
        <v>6.5000000000000002E-2</v>
      </c>
      <c r="BL119" s="203">
        <f t="shared" si="242"/>
        <v>0.185</v>
      </c>
      <c r="BM119" s="1603">
        <f t="shared" si="242"/>
        <v>6.9999999999999993E-2</v>
      </c>
      <c r="BN119" s="203">
        <f t="shared" si="242"/>
        <v>0.11</v>
      </c>
      <c r="BO119" s="203">
        <f t="shared" si="242"/>
        <v>0.14000000000000001</v>
      </c>
      <c r="BP119" s="203">
        <f t="shared" si="242"/>
        <v>0.25</v>
      </c>
      <c r="BQ119" s="1603">
        <f t="shared" si="242"/>
        <v>0.11</v>
      </c>
      <c r="BR119" s="203">
        <f t="shared" ref="BR119:BS121" si="243">+BR107+BN107</f>
        <v>0.11</v>
      </c>
      <c r="BS119" s="203">
        <f t="shared" si="243"/>
        <v>0.11</v>
      </c>
      <c r="BT119" s="203">
        <f t="shared" si="242"/>
        <v>0.1</v>
      </c>
      <c r="BU119" s="1603">
        <f t="shared" si="242"/>
        <v>0.1</v>
      </c>
      <c r="BV119" s="203">
        <f t="shared" si="242"/>
        <v>0.1</v>
      </c>
      <c r="BW119" s="203">
        <f t="shared" si="242"/>
        <v>0.1</v>
      </c>
      <c r="BX119" s="204">
        <f t="shared" si="242"/>
        <v>0.1</v>
      </c>
      <c r="BY119" s="1603">
        <f t="shared" si="242"/>
        <v>0.1</v>
      </c>
      <c r="BZ119" s="203">
        <f t="shared" si="242"/>
        <v>0.1</v>
      </c>
      <c r="CA119" s="203">
        <f t="shared" si="242"/>
        <v>0.1</v>
      </c>
      <c r="CB119" s="204">
        <f t="shared" si="242"/>
        <v>0.1</v>
      </c>
      <c r="CC119" s="1603">
        <f t="shared" si="242"/>
        <v>0.1</v>
      </c>
      <c r="CD119" s="203">
        <f t="shared" si="242"/>
        <v>0.1</v>
      </c>
      <c r="CE119" s="203">
        <f t="shared" si="242"/>
        <v>0.1</v>
      </c>
      <c r="CF119" s="204">
        <f t="shared" si="242"/>
        <v>0.1</v>
      </c>
      <c r="CG119" s="245"/>
      <c r="CH119" s="178"/>
      <c r="CM119" s="719"/>
      <c r="CN119" s="203"/>
      <c r="CO119" s="203">
        <f t="shared" ref="CO119:CY119" si="244">+CO107+CN107</f>
        <v>0.44863037871376088</v>
      </c>
      <c r="CP119" s="203">
        <f t="shared" si="244"/>
        <v>0.8190704508153932</v>
      </c>
      <c r="CQ119" s="203">
        <f t="shared" si="244"/>
        <v>0.61337892322417886</v>
      </c>
      <c r="CR119" s="203">
        <f t="shared" si="244"/>
        <v>0.18123138271126082</v>
      </c>
      <c r="CS119" s="203">
        <f t="shared" si="244"/>
        <v>1.7530795742763172E-2</v>
      </c>
      <c r="CT119" s="203">
        <f t="shared" si="244"/>
        <v>7.4361278966423527E-2</v>
      </c>
      <c r="CU119" s="203">
        <f t="shared" si="244"/>
        <v>0.14158807333348111</v>
      </c>
      <c r="CV119" s="203">
        <f t="shared" si="244"/>
        <v>0.10741085814360773</v>
      </c>
      <c r="CW119" s="203">
        <f t="shared" si="244"/>
        <v>9.9999999999999867E-2</v>
      </c>
      <c r="CX119" s="203">
        <f t="shared" si="244"/>
        <v>9.9999999999999867E-2</v>
      </c>
      <c r="CY119" s="203">
        <f t="shared" si="244"/>
        <v>0.10000000000000009</v>
      </c>
      <c r="CZ119" s="203">
        <f t="shared" ref="CZ119:DF121" si="245">+CZ107+CY107</f>
        <v>9.0000000000000052E-2</v>
      </c>
      <c r="DA119" s="203">
        <f t="shared" si="245"/>
        <v>0.08</v>
      </c>
      <c r="DB119" s="203">
        <f t="shared" si="245"/>
        <v>0.08</v>
      </c>
      <c r="DC119" s="203">
        <f t="shared" si="245"/>
        <v>0.08</v>
      </c>
      <c r="DD119" s="203">
        <f t="shared" si="245"/>
        <v>0.08</v>
      </c>
      <c r="DE119" s="203">
        <f t="shared" si="245"/>
        <v>0.08</v>
      </c>
      <c r="DF119" s="204">
        <f t="shared" si="245"/>
        <v>0.08</v>
      </c>
    </row>
    <row r="120" spans="1:110" s="125" customFormat="1" ht="12.75" customHeight="1">
      <c r="A120" s="24"/>
      <c r="B120" s="24"/>
      <c r="C120" s="24"/>
      <c r="D120" s="24"/>
      <c r="E120" s="24"/>
      <c r="F120" s="24"/>
      <c r="G120" s="24"/>
      <c r="H120" s="24"/>
      <c r="I120" s="283" t="s">
        <v>270</v>
      </c>
      <c r="J120" s="132"/>
      <c r="K120" s="132"/>
      <c r="P120" s="947"/>
      <c r="T120" s="947"/>
      <c r="X120" s="947"/>
      <c r="AB120" s="947"/>
      <c r="AC120" s="711"/>
      <c r="AD120" s="711"/>
      <c r="AE120" s="711"/>
      <c r="AF120" s="957"/>
      <c r="AG120" s="719"/>
      <c r="AH120" s="719"/>
      <c r="AI120" s="719"/>
      <c r="AJ120" s="729"/>
      <c r="AK120" s="867"/>
      <c r="AL120" s="867"/>
      <c r="AM120" s="867"/>
      <c r="AN120" s="868"/>
      <c r="AO120" s="867">
        <f t="shared" si="241"/>
        <v>1.4049999999999998</v>
      </c>
      <c r="AP120" s="867">
        <f t="shared" si="241"/>
        <v>1.319</v>
      </c>
      <c r="AQ120" s="867">
        <f t="shared" si="241"/>
        <v>1.2959999999999998</v>
      </c>
      <c r="AR120" s="868">
        <f t="shared" si="241"/>
        <v>1.175</v>
      </c>
      <c r="AS120" s="867">
        <f t="shared" ref="AS120:CF120" si="246">+AS108+AO108</f>
        <v>1.0549999999999999</v>
      </c>
      <c r="AT120" s="867">
        <f t="shared" si="246"/>
        <v>0.9870000000000001</v>
      </c>
      <c r="AU120" s="867">
        <f t="shared" si="246"/>
        <v>1.0369999999999999</v>
      </c>
      <c r="AV120" s="868">
        <f t="shared" si="246"/>
        <v>1.0660000000000001</v>
      </c>
      <c r="AW120" s="867">
        <f t="shared" si="246"/>
        <v>1.0529999999999999</v>
      </c>
      <c r="AX120" s="867">
        <f t="shared" si="246"/>
        <v>1.0289689930261521</v>
      </c>
      <c r="AY120" s="867">
        <f t="shared" si="246"/>
        <v>1.2452357999479156</v>
      </c>
      <c r="AZ120" s="868">
        <f t="shared" si="246"/>
        <v>1.3716315921284767</v>
      </c>
      <c r="BA120" s="867">
        <f t="shared" si="246"/>
        <v>1.4005527667318876</v>
      </c>
      <c r="BB120" s="867">
        <f t="shared" si="246"/>
        <v>1.3540975538773414</v>
      </c>
      <c r="BC120" s="867">
        <f t="shared" si="246"/>
        <v>1.2728729223146429</v>
      </c>
      <c r="BD120" s="868">
        <f t="shared" si="246"/>
        <v>1.2800396273273948</v>
      </c>
      <c r="BE120" s="867">
        <f t="shared" si="246"/>
        <v>1.2423299006743882</v>
      </c>
      <c r="BF120" s="867">
        <f t="shared" si="246"/>
        <v>1.1968684242412304</v>
      </c>
      <c r="BG120" s="867">
        <f t="shared" si="246"/>
        <v>1.0022304036756537</v>
      </c>
      <c r="BH120" s="868">
        <f t="shared" si="246"/>
        <v>1.0766823714821039</v>
      </c>
      <c r="BI120" s="867">
        <f t="shared" si="246"/>
        <v>0.96745082070115473</v>
      </c>
      <c r="BJ120" s="867">
        <f t="shared" si="246"/>
        <v>0.87715110730327694</v>
      </c>
      <c r="BK120" s="867">
        <f t="shared" si="246"/>
        <v>0.80522935216238856</v>
      </c>
      <c r="BL120" s="867">
        <f t="shared" si="246"/>
        <v>0.82249752050637004</v>
      </c>
      <c r="BM120" s="1604">
        <f t="shared" si="246"/>
        <v>0.75784532774690461</v>
      </c>
      <c r="BN120" s="867">
        <f t="shared" si="246"/>
        <v>0.7294697197977813</v>
      </c>
      <c r="BO120" s="867">
        <f t="shared" si="246"/>
        <v>0.67097541633505386</v>
      </c>
      <c r="BP120" s="867">
        <f t="shared" si="246"/>
        <v>0.64176019165942022</v>
      </c>
      <c r="BQ120" s="1604">
        <f t="shared" si="246"/>
        <v>0.60715316275012121</v>
      </c>
      <c r="BR120" s="867">
        <f t="shared" si="243"/>
        <v>0.58645271085414619</v>
      </c>
      <c r="BS120" s="867">
        <f>+BS108+BO108</f>
        <v>0.5168478470414346</v>
      </c>
      <c r="BT120" s="867">
        <f t="shared" si="246"/>
        <v>0.54227425093847703</v>
      </c>
      <c r="BU120" s="1604">
        <f t="shared" si="246"/>
        <v>0.58518279636595238</v>
      </c>
      <c r="BV120" s="867">
        <f t="shared" si="246"/>
        <v>0.53104133845492707</v>
      </c>
      <c r="BW120" s="867">
        <f t="shared" si="246"/>
        <v>0.54049136342126958</v>
      </c>
      <c r="BX120" s="868">
        <f t="shared" si="246"/>
        <v>0.61052628838063017</v>
      </c>
      <c r="BY120" s="1604">
        <f t="shared" si="246"/>
        <v>0.60145176218181318</v>
      </c>
      <c r="BZ120" s="867">
        <f t="shared" si="246"/>
        <v>0.47162341048797463</v>
      </c>
      <c r="CA120" s="867">
        <f t="shared" si="246"/>
        <v>0.50214751108737898</v>
      </c>
      <c r="CB120" s="868">
        <f t="shared" si="246"/>
        <v>0.50001629803082714</v>
      </c>
      <c r="CC120" s="1604">
        <f t="shared" si="246"/>
        <v>0.43825048757773155</v>
      </c>
      <c r="CD120" s="867">
        <f t="shared" si="246"/>
        <v>0.40697630700264847</v>
      </c>
      <c r="CE120" s="867">
        <f t="shared" si="246"/>
        <v>0.37316464922595222</v>
      </c>
      <c r="CF120" s="868">
        <f t="shared" si="246"/>
        <v>0.36922725315243804</v>
      </c>
      <c r="CG120" s="947"/>
      <c r="CH120" s="281"/>
      <c r="CM120" s="924"/>
      <c r="CN120" s="867"/>
      <c r="CO120" s="867">
        <f t="shared" ref="CO120:CY120" si="247">+CO108+CN108</f>
        <v>1.2937074530311272</v>
      </c>
      <c r="CP120" s="867">
        <f t="shared" si="247"/>
        <v>1.02297192889712</v>
      </c>
      <c r="CQ120" s="867">
        <f t="shared" si="247"/>
        <v>1.1686557213728439</v>
      </c>
      <c r="CR120" s="867">
        <f t="shared" si="247"/>
        <v>1.3209590342699278</v>
      </c>
      <c r="CS120" s="867">
        <f t="shared" si="247"/>
        <v>1.1200077934994535</v>
      </c>
      <c r="CT120" s="867">
        <f t="shared" si="247"/>
        <v>0.86364662472232312</v>
      </c>
      <c r="CU120" s="867">
        <f t="shared" si="247"/>
        <v>0.69950723073112786</v>
      </c>
      <c r="CV120" s="867">
        <f t="shared" si="247"/>
        <v>0.56186599659270797</v>
      </c>
      <c r="CW120" s="867">
        <f t="shared" si="247"/>
        <v>0.56448652854218739</v>
      </c>
      <c r="CX120" s="867">
        <f t="shared" si="247"/>
        <v>0.51780714391833849</v>
      </c>
      <c r="CY120" s="867">
        <f t="shared" si="247"/>
        <v>0.39640252426599565</v>
      </c>
      <c r="CZ120" s="867">
        <f t="shared" si="245"/>
        <v>0.33724755390016958</v>
      </c>
      <c r="DA120" s="867">
        <f t="shared" si="245"/>
        <v>0.29283133350353024</v>
      </c>
      <c r="DB120" s="867">
        <f t="shared" si="245"/>
        <v>0.25043827553369774</v>
      </c>
      <c r="DC120" s="867">
        <f t="shared" si="245"/>
        <v>0.21707889844886413</v>
      </c>
      <c r="DD120" s="867">
        <f t="shared" si="245"/>
        <v>0.19306165862047919</v>
      </c>
      <c r="DE120" s="867">
        <f t="shared" si="245"/>
        <v>0.17375549275843127</v>
      </c>
      <c r="DF120" s="868">
        <f t="shared" si="245"/>
        <v>0.164610466823777</v>
      </c>
    </row>
    <row r="121" spans="1:110" s="8" customFormat="1" ht="12.75" customHeight="1">
      <c r="A121" s="24"/>
      <c r="B121" s="34"/>
      <c r="C121" s="34"/>
      <c r="D121" s="34"/>
      <c r="E121" s="34"/>
      <c r="F121" s="34"/>
      <c r="G121" s="24"/>
      <c r="H121" s="24"/>
      <c r="I121" s="861" t="s">
        <v>272</v>
      </c>
      <c r="J121" s="7"/>
      <c r="K121" s="7"/>
      <c r="P121" s="245"/>
      <c r="T121" s="245"/>
      <c r="X121" s="245"/>
      <c r="AB121" s="245"/>
      <c r="AC121" s="289"/>
      <c r="AD121" s="289"/>
      <c r="AE121" s="289"/>
      <c r="AF121" s="953"/>
      <c r="AG121" s="719"/>
      <c r="AH121" s="719"/>
      <c r="AI121" s="719"/>
      <c r="AJ121" s="729"/>
      <c r="AK121" s="719"/>
      <c r="AL121" s="719"/>
      <c r="AM121" s="719"/>
      <c r="AN121" s="729"/>
      <c r="AO121" s="719">
        <f t="shared" si="241"/>
        <v>1.008210507290108</v>
      </c>
      <c r="AP121" s="719">
        <f t="shared" si="241"/>
        <v>0.9520591842878503</v>
      </c>
      <c r="AQ121" s="719">
        <f t="shared" si="241"/>
        <v>0.95613834228062178</v>
      </c>
      <c r="AR121" s="729">
        <f t="shared" si="241"/>
        <v>0.93061426276985282</v>
      </c>
      <c r="AS121" s="719">
        <f t="shared" ref="AS121:CF121" si="248">+AS109+AO109</f>
        <v>0.93804063811922744</v>
      </c>
      <c r="AT121" s="719">
        <f t="shared" si="248"/>
        <v>0.94213947507592688</v>
      </c>
      <c r="AU121" s="719">
        <f t="shared" si="248"/>
        <v>0.99850587043479822</v>
      </c>
      <c r="AV121" s="729">
        <f t="shared" si="248"/>
        <v>0.97844095069934545</v>
      </c>
      <c r="AW121" s="719">
        <f t="shared" si="248"/>
        <v>0.93135163603180793</v>
      </c>
      <c r="AX121" s="719">
        <f t="shared" si="248"/>
        <v>0.92093875857600493</v>
      </c>
      <c r="AY121" s="719">
        <f t="shared" si="248"/>
        <v>1.1017732908224573</v>
      </c>
      <c r="AZ121" s="729">
        <f t="shared" si="248"/>
        <v>1.1066297611400902</v>
      </c>
      <c r="BA121" s="719">
        <f t="shared" si="248"/>
        <v>1.1243491678815902</v>
      </c>
      <c r="BB121" s="719">
        <f t="shared" si="248"/>
        <v>1.0370431006966994</v>
      </c>
      <c r="BC121" s="719">
        <f t="shared" si="248"/>
        <v>1.0153417548929329</v>
      </c>
      <c r="BD121" s="729">
        <f t="shared" si="248"/>
        <v>1.0348448508936414</v>
      </c>
      <c r="BE121" s="719">
        <f t="shared" si="248"/>
        <v>1.0278847113369618</v>
      </c>
      <c r="BF121" s="719">
        <f t="shared" si="248"/>
        <v>0.94661620021014437</v>
      </c>
      <c r="BG121" s="719">
        <f t="shared" si="248"/>
        <v>0.83596954769368548</v>
      </c>
      <c r="BH121" s="729">
        <f t="shared" si="248"/>
        <v>0.90227272727272734</v>
      </c>
      <c r="BI121" s="719">
        <f t="shared" si="248"/>
        <v>0.84806016423663499</v>
      </c>
      <c r="BJ121" s="719">
        <f t="shared" si="248"/>
        <v>0.77305183697343605</v>
      </c>
      <c r="BK121" s="719">
        <f t="shared" si="248"/>
        <v>0.71467837509816512</v>
      </c>
      <c r="BL121" s="719">
        <f t="shared" si="248"/>
        <v>0.74080086580086579</v>
      </c>
      <c r="BM121" s="1598">
        <f t="shared" si="248"/>
        <v>0.69652657124734563</v>
      </c>
      <c r="BN121" s="719">
        <f t="shared" si="248"/>
        <v>0.67353640194266173</v>
      </c>
      <c r="BO121" s="719">
        <f t="shared" si="248"/>
        <v>0.62245214291250095</v>
      </c>
      <c r="BP121" s="719">
        <f t="shared" si="248"/>
        <v>0.60510355993715748</v>
      </c>
      <c r="BQ121" s="1598">
        <f t="shared" si="248"/>
        <v>0.57381689585040818</v>
      </c>
      <c r="BR121" s="719">
        <f t="shared" si="243"/>
        <v>0.55334306813503509</v>
      </c>
      <c r="BS121" s="719">
        <f t="shared" si="243"/>
        <v>0.48678896184480691</v>
      </c>
      <c r="BT121" s="719">
        <f t="shared" si="248"/>
        <v>0.50656612124626621</v>
      </c>
      <c r="BU121" s="1598">
        <f t="shared" si="248"/>
        <v>0.55916796199751473</v>
      </c>
      <c r="BV121" s="719">
        <f t="shared" si="248"/>
        <v>0.50630861595301258</v>
      </c>
      <c r="BW121" s="719">
        <f t="shared" si="248"/>
        <v>0.51352692975924552</v>
      </c>
      <c r="BX121" s="729">
        <f t="shared" si="248"/>
        <v>0.57604243820987366</v>
      </c>
      <c r="BY121" s="1598">
        <f t="shared" si="248"/>
        <v>0.57896399330433734</v>
      </c>
      <c r="BZ121" s="719">
        <f t="shared" si="248"/>
        <v>0.45369778617333933</v>
      </c>
      <c r="CA121" s="719">
        <f t="shared" si="248"/>
        <v>0.48061497326203217</v>
      </c>
      <c r="CB121" s="729">
        <f t="shared" si="248"/>
        <v>0.47685919614230476</v>
      </c>
      <c r="CC121" s="1598">
        <f t="shared" si="248"/>
        <v>0.42555790495883983</v>
      </c>
      <c r="CD121" s="719">
        <f t="shared" si="248"/>
        <v>0.39434566651011194</v>
      </c>
      <c r="CE121" s="719">
        <f t="shared" si="248"/>
        <v>0.36113958674315216</v>
      </c>
      <c r="CF121" s="729">
        <f t="shared" si="248"/>
        <v>0.35663054039389097</v>
      </c>
      <c r="CG121" s="245"/>
      <c r="CH121" s="178"/>
      <c r="CM121" s="719"/>
      <c r="CN121" s="719"/>
      <c r="CO121" s="719">
        <f t="shared" ref="CO121:CY121" si="249">+CO109+CN109</f>
        <v>0.95864866426329121</v>
      </c>
      <c r="CP121" s="719">
        <f t="shared" si="249"/>
        <v>0.96177421012086883</v>
      </c>
      <c r="CQ121" s="719">
        <f t="shared" si="249"/>
        <v>1.014986200056587</v>
      </c>
      <c r="CR121" s="719">
        <f t="shared" si="249"/>
        <v>1.048295200651463</v>
      </c>
      <c r="CS121" s="719">
        <f t="shared" si="249"/>
        <v>0.92149778636626567</v>
      </c>
      <c r="CT121" s="719">
        <f t="shared" si="249"/>
        <v>0.76537997047904449</v>
      </c>
      <c r="CU121" s="719">
        <f t="shared" si="249"/>
        <v>0.64873300732352179</v>
      </c>
      <c r="CV121" s="719">
        <f t="shared" si="249"/>
        <v>0.52882373681792449</v>
      </c>
      <c r="CW121" s="719">
        <f t="shared" si="249"/>
        <v>0.53671375786710018</v>
      </c>
      <c r="CX121" s="719">
        <f t="shared" si="249"/>
        <v>0.49652658473194999</v>
      </c>
      <c r="CY121" s="719">
        <f t="shared" si="249"/>
        <v>0.38387243600807075</v>
      </c>
      <c r="CZ121" s="719">
        <f t="shared" si="245"/>
        <v>0.32810562924973774</v>
      </c>
      <c r="DA121" s="719">
        <f t="shared" si="245"/>
        <v>0.28574719982566399</v>
      </c>
      <c r="DB121" s="719">
        <f t="shared" si="245"/>
        <v>0.24528168404197692</v>
      </c>
      <c r="DC121" s="719">
        <f t="shared" si="245"/>
        <v>0.2132433494478656</v>
      </c>
      <c r="DD121" s="719">
        <f t="shared" si="245"/>
        <v>0.19009181486074622</v>
      </c>
      <c r="DE121" s="719">
        <f t="shared" si="245"/>
        <v>0.17141733364051759</v>
      </c>
      <c r="DF121" s="729">
        <f t="shared" si="245"/>
        <v>0.16259400038426364</v>
      </c>
    </row>
    <row r="122" spans="1:110" ht="12.75" customHeight="1">
      <c r="B122" s="34"/>
      <c r="C122" s="34"/>
      <c r="D122" s="34"/>
      <c r="E122" s="34"/>
      <c r="F122" s="34"/>
      <c r="I122" s="185"/>
      <c r="J122" s="70"/>
      <c r="K122" s="70"/>
      <c r="P122" s="234"/>
      <c r="T122" s="234"/>
      <c r="X122" s="234"/>
      <c r="AB122" s="234"/>
      <c r="AF122" s="249"/>
      <c r="AG122" s="719"/>
      <c r="AH122" s="719"/>
      <c r="AI122" s="719"/>
      <c r="AJ122" s="729"/>
      <c r="AK122" s="203"/>
      <c r="AL122" s="203"/>
      <c r="AM122" s="203"/>
      <c r="AN122" s="204"/>
      <c r="AO122" s="203"/>
      <c r="AP122" s="203"/>
      <c r="AQ122" s="203"/>
      <c r="AR122" s="204"/>
      <c r="AS122" s="203"/>
      <c r="AT122" s="203"/>
      <c r="AU122" s="203"/>
      <c r="AV122" s="204"/>
      <c r="AW122" s="203"/>
      <c r="AX122" s="203"/>
      <c r="AY122" s="203"/>
      <c r="AZ122" s="202"/>
      <c r="BA122" s="103"/>
      <c r="BB122" s="103"/>
      <c r="BC122" s="103"/>
      <c r="BD122" s="202"/>
      <c r="BE122" s="24"/>
      <c r="BF122" s="24"/>
      <c r="BG122" s="24"/>
      <c r="BH122" s="216"/>
      <c r="BI122" s="808"/>
      <c r="BJ122" s="808"/>
      <c r="BK122" s="808"/>
      <c r="BL122" s="808"/>
      <c r="BM122" s="1644"/>
      <c r="BN122" s="808"/>
      <c r="BO122" s="808"/>
      <c r="BP122" s="103"/>
      <c r="BQ122" s="265"/>
      <c r="BR122" s="103"/>
      <c r="BS122" s="103"/>
      <c r="BT122" s="103"/>
      <c r="BU122" s="265"/>
      <c r="BV122" s="103"/>
      <c r="BW122" s="103"/>
      <c r="BX122" s="202"/>
      <c r="BY122" s="265"/>
      <c r="BZ122" s="103"/>
      <c r="CA122" s="103"/>
      <c r="CB122" s="202"/>
      <c r="CC122" s="265"/>
      <c r="CD122" s="103"/>
      <c r="CE122" s="103"/>
      <c r="CF122" s="202"/>
      <c r="CG122" s="234"/>
      <c r="CH122" s="160"/>
      <c r="CM122" s="203"/>
      <c r="CN122" s="203"/>
      <c r="CO122" s="203"/>
      <c r="CP122" s="203"/>
      <c r="CQ122" s="103"/>
      <c r="CR122" s="103"/>
      <c r="CS122" s="103"/>
      <c r="CT122" s="103"/>
      <c r="CU122" s="103"/>
      <c r="CV122" s="103"/>
      <c r="CW122" s="103"/>
      <c r="CX122" s="103"/>
      <c r="CY122" s="103"/>
      <c r="CZ122" s="103"/>
      <c r="DA122" s="103"/>
      <c r="DB122" s="103"/>
      <c r="DC122" s="103"/>
      <c r="DD122" s="103"/>
      <c r="DE122" s="103"/>
      <c r="DF122" s="202"/>
    </row>
    <row r="123" spans="1:110" ht="12.75" customHeight="1">
      <c r="B123" s="34"/>
      <c r="C123" s="34"/>
      <c r="D123" s="34"/>
      <c r="E123" s="34"/>
      <c r="F123" s="34"/>
      <c r="I123" s="196" t="s">
        <v>496</v>
      </c>
      <c r="J123" s="86"/>
      <c r="K123" s="86"/>
      <c r="P123" s="234"/>
      <c r="T123" s="234"/>
      <c r="X123" s="234"/>
      <c r="AB123" s="234"/>
      <c r="AF123" s="249"/>
      <c r="AG123" s="719"/>
      <c r="AH123" s="719"/>
      <c r="AI123" s="719"/>
      <c r="AJ123" s="729"/>
      <c r="AK123" s="203"/>
      <c r="AL123" s="203"/>
      <c r="AM123" s="203"/>
      <c r="AN123" s="204"/>
      <c r="AO123" s="203"/>
      <c r="AP123" s="203"/>
      <c r="AQ123" s="203"/>
      <c r="AR123" s="204"/>
      <c r="AS123" s="203"/>
      <c r="AT123" s="203"/>
      <c r="AU123" s="203"/>
      <c r="AV123" s="204"/>
      <c r="AW123" s="203"/>
      <c r="AX123" s="203"/>
      <c r="AY123" s="203"/>
      <c r="AZ123" s="202"/>
      <c r="BA123" s="103"/>
      <c r="BB123" s="103"/>
      <c r="BC123" s="103"/>
      <c r="BD123" s="202"/>
      <c r="BE123" s="103"/>
      <c r="BF123" s="203"/>
      <c r="BG123" s="203"/>
      <c r="BH123" s="204"/>
      <c r="BI123" s="808"/>
      <c r="BJ123" s="808"/>
      <c r="BK123" s="808"/>
      <c r="BL123" s="808"/>
      <c r="BM123" s="1644"/>
      <c r="BN123" s="808"/>
      <c r="BO123" s="808"/>
      <c r="BP123" s="103"/>
      <c r="BQ123" s="265"/>
      <c r="BR123" s="103"/>
      <c r="BS123" s="103"/>
      <c r="BT123" s="103"/>
      <c r="BU123" s="265"/>
      <c r="BV123" s="103"/>
      <c r="BW123" s="103"/>
      <c r="BX123" s="202"/>
      <c r="BY123" s="265"/>
      <c r="BZ123" s="103"/>
      <c r="CA123" s="103"/>
      <c r="CB123" s="202"/>
      <c r="CC123" s="265"/>
      <c r="CD123" s="103"/>
      <c r="CE123" s="103"/>
      <c r="CF123" s="202"/>
      <c r="CG123" s="234"/>
      <c r="CH123" s="160"/>
      <c r="CM123" s="203"/>
      <c r="CN123" s="203"/>
      <c r="CO123" s="203"/>
      <c r="CP123" s="203"/>
      <c r="CQ123" s="103"/>
      <c r="CR123" s="103"/>
      <c r="CS123" s="103"/>
      <c r="CT123" s="103"/>
      <c r="CU123" s="103"/>
      <c r="CV123" s="103"/>
      <c r="CW123" s="103"/>
      <c r="CX123" s="103"/>
      <c r="CY123" s="103"/>
      <c r="CZ123" s="103"/>
      <c r="DA123" s="103"/>
      <c r="DB123" s="103"/>
      <c r="DC123" s="103"/>
      <c r="DD123" s="103"/>
      <c r="DE123" s="103"/>
      <c r="DF123" s="202"/>
    </row>
    <row r="124" spans="1:110" ht="12.75" customHeight="1">
      <c r="I124" s="233" t="s">
        <v>269</v>
      </c>
      <c r="J124" s="131"/>
      <c r="K124" s="131"/>
      <c r="P124" s="234"/>
      <c r="T124" s="234"/>
      <c r="X124" s="234"/>
      <c r="AB124" s="234"/>
      <c r="AF124" s="249"/>
      <c r="AG124" s="203">
        <f>+AG126-AG125</f>
        <v>0.43000000000000005</v>
      </c>
      <c r="AH124" s="203">
        <f>+AH126-AH125</f>
        <v>0.40500000000000003</v>
      </c>
      <c r="AI124" s="203">
        <f>+AI126-AI125</f>
        <v>0.39</v>
      </c>
      <c r="AJ124" s="204">
        <f>+AJ126-AJ125</f>
        <v>0.39</v>
      </c>
      <c r="AK124" s="203">
        <f t="shared" ref="AK124:CF124" si="250">+AK100/AK102</f>
        <v>0.32678202654856187</v>
      </c>
      <c r="AL124" s="203">
        <f t="shared" si="250"/>
        <v>0.31493202163159723</v>
      </c>
      <c r="AM124" s="203">
        <f t="shared" si="250"/>
        <v>0.28718117720912628</v>
      </c>
      <c r="AN124" s="204">
        <f t="shared" si="250"/>
        <v>0.29709452591128688</v>
      </c>
      <c r="AO124" s="203">
        <f t="shared" si="250"/>
        <v>0.26875602298083551</v>
      </c>
      <c r="AP124" s="203">
        <f t="shared" si="250"/>
        <v>0.28264862608069957</v>
      </c>
      <c r="AQ124" s="203">
        <f t="shared" si="250"/>
        <v>0.26419891086452163</v>
      </c>
      <c r="AR124" s="204">
        <f t="shared" si="250"/>
        <v>0.31920177342332262</v>
      </c>
      <c r="AS124" s="203">
        <f t="shared" si="250"/>
        <v>0.27880097593069797</v>
      </c>
      <c r="AT124" s="203">
        <f t="shared" si="250"/>
        <v>0.29556662917513871</v>
      </c>
      <c r="AU124" s="203">
        <f t="shared" si="250"/>
        <v>0.26786906314358855</v>
      </c>
      <c r="AV124" s="204">
        <f t="shared" si="250"/>
        <v>0.26345310866661753</v>
      </c>
      <c r="AW124" s="203">
        <f t="shared" si="250"/>
        <v>0.21421692322043448</v>
      </c>
      <c r="AX124" s="203">
        <f t="shared" si="250"/>
        <v>0.23184913459929013</v>
      </c>
      <c r="AY124" s="203">
        <f t="shared" si="250"/>
        <v>0.19591194648908422</v>
      </c>
      <c r="AZ124" s="204">
        <f t="shared" si="250"/>
        <v>0.19795635183756943</v>
      </c>
      <c r="BA124" s="203">
        <f t="shared" si="250"/>
        <v>0.14565879664889567</v>
      </c>
      <c r="BB124" s="203">
        <f t="shared" si="250"/>
        <v>0.14146304348438693</v>
      </c>
      <c r="BC124" s="203">
        <f t="shared" si="250"/>
        <v>0.13803105698782225</v>
      </c>
      <c r="BD124" s="204">
        <f t="shared" si="250"/>
        <v>0.13959390862944163</v>
      </c>
      <c r="BE124" s="203">
        <f t="shared" si="250"/>
        <v>0.1</v>
      </c>
      <c r="BF124" s="203">
        <f t="shared" si="250"/>
        <v>0.1</v>
      </c>
      <c r="BG124" s="203">
        <f t="shared" si="250"/>
        <v>0.1</v>
      </c>
      <c r="BH124" s="204">
        <f t="shared" si="250"/>
        <v>0.1</v>
      </c>
      <c r="BI124" s="203">
        <f t="shared" si="250"/>
        <v>7.3352848101265813E-2</v>
      </c>
      <c r="BJ124" s="203">
        <f t="shared" si="250"/>
        <v>7.5951008645533141E-2</v>
      </c>
      <c r="BK124" s="203">
        <f t="shared" si="250"/>
        <v>7.9700534759358288E-2</v>
      </c>
      <c r="BL124" s="203">
        <f t="shared" si="250"/>
        <v>8.7860538827258319E-2</v>
      </c>
      <c r="BM124" s="1603">
        <f t="shared" si="250"/>
        <v>5.8921510791366906E-2</v>
      </c>
      <c r="BN124" s="203">
        <f t="shared" si="250"/>
        <v>6.2357812500000005E-2</v>
      </c>
      <c r="BO124" s="203">
        <f t="shared" si="250"/>
        <v>6.6659240506329112E-2</v>
      </c>
      <c r="BP124" s="203">
        <f t="shared" si="250"/>
        <v>7.4439897698209717E-2</v>
      </c>
      <c r="BQ124" s="1603">
        <f t="shared" si="250"/>
        <v>4.9328457934990438E-2</v>
      </c>
      <c r="BR124" s="203">
        <f t="shared" si="250"/>
        <v>5.1871114058355441E-2</v>
      </c>
      <c r="BS124" s="203">
        <f t="shared" si="250"/>
        <v>5.7398449826989627E-2</v>
      </c>
      <c r="BT124" s="203">
        <f t="shared" si="250"/>
        <v>6.1677699293642786E-2</v>
      </c>
      <c r="BU124" s="1603">
        <f t="shared" si="250"/>
        <v>3.9690436153846154E-2</v>
      </c>
      <c r="BV124" s="203">
        <f t="shared" si="250"/>
        <v>4.3780768656716422E-2</v>
      </c>
      <c r="BW124" s="203">
        <f>+BW100/BW102</f>
        <v>4.6571014973262041E-2</v>
      </c>
      <c r="BX124" s="204">
        <f t="shared" si="250"/>
        <v>4.9482444101773326E-2</v>
      </c>
      <c r="BY124" s="1603">
        <f t="shared" si="250"/>
        <v>3.2712086036515237E-2</v>
      </c>
      <c r="BZ124" s="203">
        <f t="shared" si="250"/>
        <v>3.8002067317861349E-2</v>
      </c>
      <c r="CA124" s="203">
        <f t="shared" si="250"/>
        <v>4.1213380461971844E-2</v>
      </c>
      <c r="CB124" s="204">
        <f t="shared" si="250"/>
        <v>4.4480307920792085E-2</v>
      </c>
      <c r="CC124" s="1603">
        <f t="shared" si="250"/>
        <v>2.9826960223107126E-2</v>
      </c>
      <c r="CD124" s="203">
        <f t="shared" si="250"/>
        <v>3.3681821616047221E-2</v>
      </c>
      <c r="CE124" s="203">
        <f t="shared" si="250"/>
        <v>3.684019461821407E-2</v>
      </c>
      <c r="CF124" s="204">
        <f t="shared" si="250"/>
        <v>3.9295199489482298E-2</v>
      </c>
      <c r="CG124" s="234"/>
      <c r="CH124" s="160"/>
      <c r="CM124" s="203">
        <f t="shared" ref="CM124:DF124" si="251">+CM100/CM102</f>
        <v>0.41745932777886124</v>
      </c>
      <c r="CN124" s="203">
        <f t="shared" si="251"/>
        <v>0.30526741359669041</v>
      </c>
      <c r="CO124" s="203">
        <f t="shared" si="251"/>
        <v>0.28246209265603583</v>
      </c>
      <c r="CP124" s="203">
        <f t="shared" si="251"/>
        <v>0.276228743554427</v>
      </c>
      <c r="CQ124" s="203">
        <f t="shared" si="251"/>
        <v>0.2093426254206705</v>
      </c>
      <c r="CR124" s="203">
        <f t="shared" si="251"/>
        <v>0.14095962239495927</v>
      </c>
      <c r="CS124" s="203">
        <f t="shared" si="251"/>
        <v>0.1</v>
      </c>
      <c r="CT124" s="203">
        <f t="shared" si="251"/>
        <v>7.915896487985212E-2</v>
      </c>
      <c r="CU124" s="203">
        <f t="shared" si="251"/>
        <v>6.5438757225433533E-2</v>
      </c>
      <c r="CV124" s="203">
        <f t="shared" si="251"/>
        <v>5.4981268501387612E-2</v>
      </c>
      <c r="CW124" s="203">
        <f t="shared" si="251"/>
        <v>4.4856416037735852E-2</v>
      </c>
      <c r="CX124" s="203">
        <f t="shared" si="251"/>
        <v>3.894031392252266E-2</v>
      </c>
      <c r="CY124" s="203">
        <f t="shared" si="251"/>
        <v>3.4817028518231735E-2</v>
      </c>
      <c r="CZ124" s="203">
        <f t="shared" si="251"/>
        <v>3.1384173246332477E-2</v>
      </c>
      <c r="DA124" s="203">
        <f t="shared" si="251"/>
        <v>2.8833765752522979E-2</v>
      </c>
      <c r="DB124" s="203">
        <f t="shared" si="251"/>
        <v>2.6935548087160047E-2</v>
      </c>
      <c r="DC124" s="203">
        <f t="shared" si="251"/>
        <v>2.5467450864478536E-2</v>
      </c>
      <c r="DD124" s="203">
        <f t="shared" si="251"/>
        <v>2.4296099634617135E-2</v>
      </c>
      <c r="DE124" s="203">
        <f t="shared" si="251"/>
        <v>2.3368604632132507E-2</v>
      </c>
      <c r="DF124" s="204">
        <f t="shared" si="251"/>
        <v>2.2475700814422434E-2</v>
      </c>
    </row>
    <row r="125" spans="1:110" ht="12.75" customHeight="1">
      <c r="I125" s="283" t="s">
        <v>270</v>
      </c>
      <c r="J125" s="131"/>
      <c r="K125" s="131"/>
      <c r="P125" s="234"/>
      <c r="T125" s="234"/>
      <c r="X125" s="234"/>
      <c r="AB125" s="234"/>
      <c r="AF125" s="249"/>
      <c r="AG125" s="883">
        <v>0.56999999999999995</v>
      </c>
      <c r="AH125" s="883">
        <v>0.59499999999999997</v>
      </c>
      <c r="AI125" s="883">
        <v>0.61</v>
      </c>
      <c r="AJ125" s="1667">
        <v>0.61</v>
      </c>
      <c r="AK125" s="867">
        <f t="shared" ref="AK125:CF125" si="252">+AK101/AK102</f>
        <v>0.67321797345143819</v>
      </c>
      <c r="AL125" s="867">
        <f t="shared" si="252"/>
        <v>0.68506797836840272</v>
      </c>
      <c r="AM125" s="867">
        <f t="shared" si="252"/>
        <v>0.71281882279087372</v>
      </c>
      <c r="AN125" s="868">
        <f t="shared" si="252"/>
        <v>0.70290547408871318</v>
      </c>
      <c r="AO125" s="867">
        <f t="shared" si="252"/>
        <v>0.73124397701916455</v>
      </c>
      <c r="AP125" s="867">
        <f t="shared" si="252"/>
        <v>0.71735137391930048</v>
      </c>
      <c r="AQ125" s="867">
        <f t="shared" si="252"/>
        <v>0.73580108913547837</v>
      </c>
      <c r="AR125" s="868">
        <f t="shared" si="252"/>
        <v>0.68079822657667743</v>
      </c>
      <c r="AS125" s="867">
        <f t="shared" si="252"/>
        <v>0.72119902406930203</v>
      </c>
      <c r="AT125" s="867">
        <f t="shared" si="252"/>
        <v>0.70443337082486124</v>
      </c>
      <c r="AU125" s="867">
        <f t="shared" si="252"/>
        <v>0.73213093685641151</v>
      </c>
      <c r="AV125" s="868">
        <f t="shared" si="252"/>
        <v>0.73654689133338247</v>
      </c>
      <c r="AW125" s="867">
        <f t="shared" si="252"/>
        <v>0.78578307677956549</v>
      </c>
      <c r="AX125" s="867">
        <f t="shared" si="252"/>
        <v>0.76815086540070987</v>
      </c>
      <c r="AY125" s="867">
        <f t="shared" si="252"/>
        <v>0.80408805351091583</v>
      </c>
      <c r="AZ125" s="868">
        <f t="shared" si="252"/>
        <v>0.80204364816243057</v>
      </c>
      <c r="BA125" s="867">
        <f t="shared" si="252"/>
        <v>0.85434120335110431</v>
      </c>
      <c r="BB125" s="867">
        <f t="shared" si="252"/>
        <v>0.85853695651561301</v>
      </c>
      <c r="BC125" s="867">
        <f t="shared" si="252"/>
        <v>0.86196894301217764</v>
      </c>
      <c r="BD125" s="868">
        <f t="shared" si="252"/>
        <v>0.86040609137055835</v>
      </c>
      <c r="BE125" s="867">
        <f t="shared" si="252"/>
        <v>0.9</v>
      </c>
      <c r="BF125" s="867">
        <f t="shared" si="252"/>
        <v>0.9</v>
      </c>
      <c r="BG125" s="867">
        <f t="shared" si="252"/>
        <v>0.9</v>
      </c>
      <c r="BH125" s="868">
        <f t="shared" si="252"/>
        <v>0.9</v>
      </c>
      <c r="BI125" s="867">
        <f t="shared" si="252"/>
        <v>0.92664715189873414</v>
      </c>
      <c r="BJ125" s="867">
        <f t="shared" si="252"/>
        <v>0.92404899135446683</v>
      </c>
      <c r="BK125" s="867">
        <f t="shared" si="252"/>
        <v>0.92029946524064166</v>
      </c>
      <c r="BL125" s="867">
        <f t="shared" si="252"/>
        <v>0.91213946117274169</v>
      </c>
      <c r="BM125" s="1604">
        <f t="shared" si="252"/>
        <v>0.94107848920863302</v>
      </c>
      <c r="BN125" s="867">
        <f t="shared" si="252"/>
        <v>0.93764218750000006</v>
      </c>
      <c r="BO125" s="867">
        <f t="shared" si="252"/>
        <v>0.9333407594936709</v>
      </c>
      <c r="BP125" s="867">
        <f t="shared" si="252"/>
        <v>0.92556010230179031</v>
      </c>
      <c r="BQ125" s="1604">
        <f t="shared" si="252"/>
        <v>0.95067154206500959</v>
      </c>
      <c r="BR125" s="867">
        <f t="shared" si="252"/>
        <v>0.94812888594164446</v>
      </c>
      <c r="BS125" s="867">
        <f t="shared" si="252"/>
        <v>0.94260155017301039</v>
      </c>
      <c r="BT125" s="867">
        <f t="shared" si="252"/>
        <v>0.93832230070635725</v>
      </c>
      <c r="BU125" s="1604">
        <f t="shared" si="252"/>
        <v>0.96030956384615385</v>
      </c>
      <c r="BV125" s="867">
        <f t="shared" si="252"/>
        <v>0.95621923134328357</v>
      </c>
      <c r="BW125" s="867">
        <f>+BW101/BW102</f>
        <v>0.9534289850267379</v>
      </c>
      <c r="BX125" s="868">
        <f t="shared" si="252"/>
        <v>0.95051755589822662</v>
      </c>
      <c r="BY125" s="1604">
        <f t="shared" si="252"/>
        <v>0.96728791396348479</v>
      </c>
      <c r="BZ125" s="867">
        <f t="shared" si="252"/>
        <v>0.96199793268213862</v>
      </c>
      <c r="CA125" s="867">
        <f t="shared" si="252"/>
        <v>0.95878661953802813</v>
      </c>
      <c r="CB125" s="868">
        <f t="shared" si="252"/>
        <v>0.95551969207920784</v>
      </c>
      <c r="CC125" s="1604">
        <f t="shared" si="252"/>
        <v>0.97017303977689284</v>
      </c>
      <c r="CD125" s="867">
        <f t="shared" si="252"/>
        <v>0.96631817838395273</v>
      </c>
      <c r="CE125" s="867">
        <f t="shared" si="252"/>
        <v>0.96315980538178592</v>
      </c>
      <c r="CF125" s="868">
        <f t="shared" si="252"/>
        <v>0.96070480051051765</v>
      </c>
      <c r="CG125" s="234"/>
      <c r="CH125" s="160"/>
      <c r="CM125" s="867">
        <f t="shared" ref="CM125:DF125" si="253">+CM101/CM102</f>
        <v>0.5825406722211387</v>
      </c>
      <c r="CN125" s="867">
        <f t="shared" si="253"/>
        <v>0.69473258640330959</v>
      </c>
      <c r="CO125" s="867">
        <f t="shared" si="253"/>
        <v>0.71753790734396417</v>
      </c>
      <c r="CP125" s="867">
        <f t="shared" si="253"/>
        <v>0.72377125644557305</v>
      </c>
      <c r="CQ125" s="924">
        <f t="shared" si="253"/>
        <v>0.79065737457932961</v>
      </c>
      <c r="CR125" s="867">
        <f t="shared" si="253"/>
        <v>0.85904037760504082</v>
      </c>
      <c r="CS125" s="867">
        <f t="shared" si="253"/>
        <v>0.9</v>
      </c>
      <c r="CT125" s="867">
        <f t="shared" si="253"/>
        <v>0.92084103512014792</v>
      </c>
      <c r="CU125" s="867">
        <f t="shared" si="253"/>
        <v>0.93456124277456643</v>
      </c>
      <c r="CV125" s="867">
        <f t="shared" si="253"/>
        <v>0.94501873149861237</v>
      </c>
      <c r="CW125" s="867">
        <f t="shared" si="253"/>
        <v>0.95514358396226418</v>
      </c>
      <c r="CX125" s="867">
        <f t="shared" si="253"/>
        <v>0.96105968607747738</v>
      </c>
      <c r="CY125" s="867">
        <f t="shared" si="253"/>
        <v>0.96518297148176824</v>
      </c>
      <c r="CZ125" s="867">
        <f t="shared" si="253"/>
        <v>0.96861582675366753</v>
      </c>
      <c r="DA125" s="867">
        <f t="shared" si="253"/>
        <v>0.97116623424747706</v>
      </c>
      <c r="DB125" s="867">
        <f t="shared" si="253"/>
        <v>0.97306445191283997</v>
      </c>
      <c r="DC125" s="867">
        <f t="shared" si="253"/>
        <v>0.97453254913552145</v>
      </c>
      <c r="DD125" s="867">
        <f t="shared" si="253"/>
        <v>0.9757039003653829</v>
      </c>
      <c r="DE125" s="867">
        <f t="shared" si="253"/>
        <v>0.97663139536786747</v>
      </c>
      <c r="DF125" s="868">
        <f t="shared" si="253"/>
        <v>0.97752429918557759</v>
      </c>
    </row>
    <row r="126" spans="1:110" s="8" customFormat="1" ht="12.75" customHeight="1">
      <c r="B126" s="23"/>
      <c r="C126" s="23"/>
      <c r="D126" s="23"/>
      <c r="E126" s="23"/>
      <c r="F126" s="23"/>
      <c r="I126" s="861" t="s">
        <v>272</v>
      </c>
      <c r="J126" s="7"/>
      <c r="K126" s="7"/>
      <c r="P126" s="245"/>
      <c r="T126" s="245"/>
      <c r="X126" s="245"/>
      <c r="AB126" s="245"/>
      <c r="AC126" s="289"/>
      <c r="AD126" s="289"/>
      <c r="AE126" s="289"/>
      <c r="AF126" s="953"/>
      <c r="AG126" s="719">
        <v>1</v>
      </c>
      <c r="AH126" s="719">
        <v>1</v>
      </c>
      <c r="AI126" s="719">
        <v>1</v>
      </c>
      <c r="AJ126" s="729">
        <v>1</v>
      </c>
      <c r="AK126" s="719">
        <v>1</v>
      </c>
      <c r="AL126" s="719">
        <v>1</v>
      </c>
      <c r="AM126" s="719">
        <v>1</v>
      </c>
      <c r="AN126" s="729">
        <v>1</v>
      </c>
      <c r="AO126" s="719">
        <v>1</v>
      </c>
      <c r="AP126" s="719">
        <v>1</v>
      </c>
      <c r="AQ126" s="719">
        <v>1</v>
      </c>
      <c r="AR126" s="729">
        <v>1</v>
      </c>
      <c r="AS126" s="719">
        <v>1</v>
      </c>
      <c r="AT126" s="719">
        <v>1</v>
      </c>
      <c r="AU126" s="719">
        <v>1</v>
      </c>
      <c r="AV126" s="729">
        <v>1</v>
      </c>
      <c r="AW126" s="719">
        <v>1</v>
      </c>
      <c r="AX126" s="719">
        <v>1</v>
      </c>
      <c r="AY126" s="719">
        <v>1</v>
      </c>
      <c r="AZ126" s="729">
        <f>+AZ124+AZ125</f>
        <v>1</v>
      </c>
      <c r="BA126" s="719">
        <f t="shared" ref="BA126:BL126" si="254">+BA124+BA125</f>
        <v>1</v>
      </c>
      <c r="BB126" s="719">
        <f t="shared" si="254"/>
        <v>1</v>
      </c>
      <c r="BC126" s="719">
        <f t="shared" si="254"/>
        <v>0.99999999999999989</v>
      </c>
      <c r="BD126" s="729">
        <f t="shared" si="254"/>
        <v>1</v>
      </c>
      <c r="BE126" s="719">
        <f t="shared" si="254"/>
        <v>1</v>
      </c>
      <c r="BF126" s="719">
        <f t="shared" si="254"/>
        <v>1</v>
      </c>
      <c r="BG126" s="719">
        <f t="shared" si="254"/>
        <v>1</v>
      </c>
      <c r="BH126" s="729">
        <f t="shared" si="254"/>
        <v>1</v>
      </c>
      <c r="BI126" s="719">
        <f>+BI124+BI125</f>
        <v>1</v>
      </c>
      <c r="BJ126" s="719">
        <f t="shared" si="254"/>
        <v>1</v>
      </c>
      <c r="BK126" s="719">
        <f t="shared" si="254"/>
        <v>1</v>
      </c>
      <c r="BL126" s="719">
        <f t="shared" si="254"/>
        <v>1</v>
      </c>
      <c r="BM126" s="1598">
        <f t="shared" ref="BM126:CF126" si="255">+BM124+BM125</f>
        <v>0.99999999999999989</v>
      </c>
      <c r="BN126" s="719">
        <f t="shared" si="255"/>
        <v>1</v>
      </c>
      <c r="BO126" s="719">
        <f t="shared" si="255"/>
        <v>1</v>
      </c>
      <c r="BP126" s="719">
        <f t="shared" si="255"/>
        <v>1</v>
      </c>
      <c r="BQ126" s="1598">
        <f t="shared" si="255"/>
        <v>1</v>
      </c>
      <c r="BR126" s="719">
        <f t="shared" si="255"/>
        <v>0.99999999999999989</v>
      </c>
      <c r="BS126" s="719">
        <f>+BS124+BS125</f>
        <v>1</v>
      </c>
      <c r="BT126" s="719">
        <f>+BT124+BT125</f>
        <v>1</v>
      </c>
      <c r="BU126" s="1598">
        <f t="shared" si="255"/>
        <v>1</v>
      </c>
      <c r="BV126" s="719">
        <f>+BV124+BV125</f>
        <v>1</v>
      </c>
      <c r="BW126" s="719">
        <f>+BW124+BW125</f>
        <v>0.99999999999999989</v>
      </c>
      <c r="BX126" s="729">
        <f t="shared" si="255"/>
        <v>1</v>
      </c>
      <c r="BY126" s="1598">
        <f t="shared" si="255"/>
        <v>1</v>
      </c>
      <c r="BZ126" s="719">
        <f t="shared" si="255"/>
        <v>1</v>
      </c>
      <c r="CA126" s="719">
        <f t="shared" si="255"/>
        <v>1</v>
      </c>
      <c r="CB126" s="729">
        <f t="shared" si="255"/>
        <v>0.99999999999999989</v>
      </c>
      <c r="CC126" s="1598">
        <f t="shared" si="255"/>
        <v>1</v>
      </c>
      <c r="CD126" s="719">
        <f t="shared" si="255"/>
        <v>1</v>
      </c>
      <c r="CE126" s="719">
        <f t="shared" si="255"/>
        <v>1</v>
      </c>
      <c r="CF126" s="729">
        <f t="shared" si="255"/>
        <v>1</v>
      </c>
      <c r="CG126" s="245"/>
      <c r="CH126" s="178"/>
      <c r="CM126" s="719">
        <f>+CM124+CM125</f>
        <v>1</v>
      </c>
      <c r="CN126" s="719">
        <v>1</v>
      </c>
      <c r="CO126" s="719">
        <f>+CO124+CO125</f>
        <v>1</v>
      </c>
      <c r="CP126" s="719">
        <v>1</v>
      </c>
      <c r="CQ126" s="719">
        <f t="shared" ref="CQ126:CY126" si="256">+CQ124+CQ125</f>
        <v>1</v>
      </c>
      <c r="CR126" s="719">
        <f t="shared" si="256"/>
        <v>1</v>
      </c>
      <c r="CS126" s="719">
        <f t="shared" si="256"/>
        <v>1</v>
      </c>
      <c r="CT126" s="719">
        <f t="shared" si="256"/>
        <v>1</v>
      </c>
      <c r="CU126" s="719">
        <f t="shared" si="256"/>
        <v>1</v>
      </c>
      <c r="CV126" s="719">
        <f t="shared" si="256"/>
        <v>1</v>
      </c>
      <c r="CW126" s="719">
        <f t="shared" si="256"/>
        <v>1</v>
      </c>
      <c r="CX126" s="719">
        <f t="shared" si="256"/>
        <v>1</v>
      </c>
      <c r="CY126" s="719">
        <f t="shared" si="256"/>
        <v>1</v>
      </c>
      <c r="CZ126" s="719">
        <f t="shared" ref="CZ126:DF126" si="257">+CZ124+CZ125</f>
        <v>1</v>
      </c>
      <c r="DA126" s="719">
        <f t="shared" si="257"/>
        <v>1</v>
      </c>
      <c r="DB126" s="719">
        <f t="shared" si="257"/>
        <v>1</v>
      </c>
      <c r="DC126" s="719">
        <f t="shared" si="257"/>
        <v>1</v>
      </c>
      <c r="DD126" s="719">
        <f t="shared" si="257"/>
        <v>1</v>
      </c>
      <c r="DE126" s="719">
        <f t="shared" si="257"/>
        <v>1</v>
      </c>
      <c r="DF126" s="729">
        <f t="shared" si="257"/>
        <v>1</v>
      </c>
    </row>
    <row r="127" spans="1:110" s="8" customFormat="1" ht="12.75" customHeight="1">
      <c r="B127" s="23"/>
      <c r="C127" s="23"/>
      <c r="D127" s="23"/>
      <c r="E127" s="23"/>
      <c r="F127" s="23"/>
      <c r="I127" s="861"/>
      <c r="J127" s="7"/>
      <c r="K127" s="7"/>
      <c r="P127" s="245"/>
      <c r="T127" s="245"/>
      <c r="X127" s="245"/>
      <c r="AB127" s="245"/>
      <c r="AC127" s="289"/>
      <c r="AD127" s="289"/>
      <c r="AE127" s="289"/>
      <c r="AF127" s="953"/>
      <c r="AG127" s="719"/>
      <c r="AH127" s="719"/>
      <c r="AI127" s="719"/>
      <c r="AJ127" s="729"/>
      <c r="AK127" s="719"/>
      <c r="AL127" s="719"/>
      <c r="AM127" s="719"/>
      <c r="AN127" s="729"/>
      <c r="AO127" s="719"/>
      <c r="AP127" s="719"/>
      <c r="AQ127" s="719"/>
      <c r="AR127" s="729"/>
      <c r="AS127" s="719"/>
      <c r="AT127" s="719"/>
      <c r="AU127" s="719"/>
      <c r="AV127" s="729"/>
      <c r="AW127" s="719"/>
      <c r="AX127" s="719"/>
      <c r="AY127" s="719"/>
      <c r="AZ127" s="729"/>
      <c r="BA127" s="719"/>
      <c r="BB127" s="719"/>
      <c r="BC127" s="719"/>
      <c r="BD127" s="729"/>
      <c r="BE127" s="719"/>
      <c r="BF127" s="719"/>
      <c r="BG127" s="719"/>
      <c r="BH127" s="729"/>
      <c r="BI127" s="719"/>
      <c r="BJ127" s="719"/>
      <c r="BK127" s="719"/>
      <c r="BL127" s="719"/>
      <c r="BM127" s="1598"/>
      <c r="BN127" s="719"/>
      <c r="BO127" s="719"/>
      <c r="BP127" s="719"/>
      <c r="BQ127" s="1598"/>
      <c r="BR127" s="719"/>
      <c r="BS127" s="719"/>
      <c r="BT127" s="729"/>
      <c r="BU127" s="1598"/>
      <c r="BV127" s="719"/>
      <c r="BW127" s="719"/>
      <c r="BX127" s="729"/>
      <c r="BY127" s="1598"/>
      <c r="BZ127" s="719"/>
      <c r="CA127" s="719"/>
      <c r="CB127" s="729"/>
      <c r="CC127" s="1598"/>
      <c r="CD127" s="719"/>
      <c r="CE127" s="719"/>
      <c r="CF127" s="729"/>
      <c r="CG127" s="245"/>
      <c r="CH127" s="178"/>
      <c r="CM127" s="719"/>
      <c r="CN127" s="719"/>
      <c r="CO127" s="719"/>
      <c r="CP127" s="719"/>
      <c r="CQ127" s="719"/>
      <c r="CR127" s="719"/>
      <c r="CS127" s="719"/>
      <c r="CT127" s="719"/>
      <c r="CU127" s="719"/>
      <c r="CV127" s="719"/>
      <c r="CW127" s="719"/>
      <c r="CX127" s="719"/>
      <c r="CY127" s="719"/>
      <c r="DF127" s="245"/>
    </row>
    <row r="128" spans="1:110" s="8" customFormat="1" ht="12.75" customHeight="1">
      <c r="B128" s="23"/>
      <c r="C128" s="23"/>
      <c r="D128" s="23"/>
      <c r="E128" s="23"/>
      <c r="F128" s="23"/>
      <c r="I128" s="190" t="s">
        <v>688</v>
      </c>
      <c r="J128" s="7"/>
      <c r="K128" s="7"/>
      <c r="P128" s="245"/>
      <c r="T128" s="245"/>
      <c r="X128" s="245"/>
      <c r="AB128" s="245"/>
      <c r="AC128" s="289"/>
      <c r="AD128" s="289"/>
      <c r="AE128" s="289"/>
      <c r="AF128" s="953"/>
      <c r="AG128" s="719"/>
      <c r="AH128" s="719"/>
      <c r="AI128" s="719"/>
      <c r="AJ128" s="729"/>
      <c r="AK128" s="719"/>
      <c r="AL128" s="719"/>
      <c r="AM128" s="719"/>
      <c r="AN128" s="729"/>
      <c r="AO128" s="719"/>
      <c r="AP128" s="719"/>
      <c r="AQ128" s="719"/>
      <c r="AR128" s="729"/>
      <c r="AS128" s="719"/>
      <c r="AT128" s="719"/>
      <c r="AU128" s="719"/>
      <c r="AV128" s="729"/>
      <c r="AW128" s="719"/>
      <c r="AX128" s="719"/>
      <c r="AY128" s="719"/>
      <c r="AZ128" s="729"/>
      <c r="BA128" s="719"/>
      <c r="BB128" s="719"/>
      <c r="BC128" s="719"/>
      <c r="BD128" s="729"/>
      <c r="BE128" s="719"/>
      <c r="BF128" s="719"/>
      <c r="BG128" s="719"/>
      <c r="BH128" s="729"/>
      <c r="BI128" s="719">
        <f>+BI102/$CT$102</f>
        <v>0.23364140480591497</v>
      </c>
      <c r="BJ128" s="719">
        <f>+BJ102/$CT$102</f>
        <v>0.2565619223659889</v>
      </c>
      <c r="BK128" s="719">
        <f>+BK102/$CT$102</f>
        <v>0.2765249537892791</v>
      </c>
      <c r="BL128" s="719">
        <f>+BL102/$CT$102</f>
        <v>0.23327171903881699</v>
      </c>
      <c r="BM128" s="1598">
        <f>+BM102/$CU$102</f>
        <v>0.24104046242774566</v>
      </c>
      <c r="BN128" s="719">
        <f>+BN102/$CU$102</f>
        <v>0.25895953757225432</v>
      </c>
      <c r="BO128" s="719">
        <f>+BO102/$CU$102</f>
        <v>0.27398843930635836</v>
      </c>
      <c r="BP128" s="719">
        <f>+BP102/$CU$102</f>
        <v>0.22601156069364162</v>
      </c>
      <c r="BQ128" s="1598">
        <f>+BQ102/$CV$102</f>
        <v>0.24190564292321926</v>
      </c>
      <c r="BR128" s="719">
        <f>+BR102/$CV$102</f>
        <v>0.26156336725254392</v>
      </c>
      <c r="BS128" s="719">
        <f>+BS102/$CV$102</f>
        <v>0.26734505087881594</v>
      </c>
      <c r="BT128" s="729">
        <f>+BT102/$CV$102</f>
        <v>0.22918593894542091</v>
      </c>
      <c r="BU128" s="1598">
        <f>+BU102/$CW$102</f>
        <v>0.24528301886792453</v>
      </c>
      <c r="BV128" s="719">
        <f>+BV102/$CW$102</f>
        <v>0.25283018867924528</v>
      </c>
      <c r="BW128" s="719">
        <f>+BW102/$CW$102</f>
        <v>0.26882300089847261</v>
      </c>
      <c r="BX128" s="729">
        <f>+BX102/$CW$102</f>
        <v>0.23306379155435758</v>
      </c>
      <c r="BY128" s="1598">
        <f>+BY102/$CX$102</f>
        <v>0.25835685633635419</v>
      </c>
      <c r="BZ128" s="719">
        <f>+BZ102/$CX$102</f>
        <v>0.25285990194621899</v>
      </c>
      <c r="CA128" s="719">
        <f>+CA102/$CX$102</f>
        <v>0.26370524439162085</v>
      </c>
      <c r="CB128" s="729">
        <f>+CB102/$CX$102</f>
        <v>0.22507799732580597</v>
      </c>
      <c r="CC128" s="1598">
        <f>+CC102/$CY$102</f>
        <v>0.25334450624714344</v>
      </c>
      <c r="CD128" s="719">
        <f>+CD102/$CY$102</f>
        <v>0.25508438354511975</v>
      </c>
      <c r="CE128" s="719">
        <f>+CE102/$CY$102</f>
        <v>0.26377118123411303</v>
      </c>
      <c r="CF128" s="729">
        <f>+CF102/$CY$102</f>
        <v>0.22779992897362375</v>
      </c>
      <c r="CG128" s="245"/>
      <c r="CH128" s="178"/>
      <c r="CM128" s="719"/>
      <c r="CN128" s="719"/>
      <c r="CO128" s="719"/>
      <c r="CP128" s="719"/>
      <c r="CQ128" s="719"/>
      <c r="CR128" s="719"/>
      <c r="CS128" s="719"/>
      <c r="CT128" s="719"/>
      <c r="CU128" s="719"/>
      <c r="CV128" s="719"/>
      <c r="CW128" s="719"/>
      <c r="CX128" s="719"/>
      <c r="CY128" s="719"/>
      <c r="DF128" s="245"/>
    </row>
    <row r="129" spans="1:110" s="8" customFormat="1" ht="12.75" customHeight="1">
      <c r="B129" s="23"/>
      <c r="C129" s="23"/>
      <c r="D129" s="23"/>
      <c r="E129" s="23"/>
      <c r="F129" s="23"/>
      <c r="I129" s="861"/>
      <c r="J129" s="7"/>
      <c r="K129" s="7"/>
      <c r="P129" s="245"/>
      <c r="T129" s="245"/>
      <c r="X129" s="245"/>
      <c r="AB129" s="245"/>
      <c r="AC129" s="289"/>
      <c r="AD129" s="289"/>
      <c r="AE129" s="289"/>
      <c r="AF129" s="953"/>
      <c r="AG129" s="719"/>
      <c r="AH129" s="719"/>
      <c r="AI129" s="719"/>
      <c r="AJ129" s="729"/>
      <c r="AK129" s="719"/>
      <c r="AL129" s="719"/>
      <c r="AM129" s="719"/>
      <c r="AN129" s="729"/>
      <c r="AO129" s="719"/>
      <c r="AP129" s="719"/>
      <c r="AQ129" s="719"/>
      <c r="AR129" s="729"/>
      <c r="AS129" s="719"/>
      <c r="AT129" s="719"/>
      <c r="AU129" s="719"/>
      <c r="AV129" s="729"/>
      <c r="AW129" s="719"/>
      <c r="AX129" s="719"/>
      <c r="AY129" s="719"/>
      <c r="AZ129" s="729"/>
      <c r="BA129" s="719"/>
      <c r="BB129" s="719"/>
      <c r="BC129" s="719"/>
      <c r="BD129" s="729"/>
      <c r="BE129" s="719"/>
      <c r="BF129" s="719"/>
      <c r="BG129" s="719"/>
      <c r="BH129" s="729"/>
      <c r="BI129" s="719"/>
      <c r="BJ129" s="719"/>
      <c r="BK129" s="719"/>
      <c r="BL129" s="719"/>
      <c r="BM129" s="1598"/>
      <c r="BN129" s="719"/>
      <c r="BO129" s="719"/>
      <c r="BP129" s="719"/>
      <c r="BQ129" s="1598"/>
      <c r="BR129" s="719"/>
      <c r="BS129" s="719"/>
      <c r="BT129" s="729"/>
      <c r="BU129" s="1598"/>
      <c r="BV129" s="719"/>
      <c r="BW129" s="719"/>
      <c r="BX129" s="729"/>
      <c r="BY129" s="1598"/>
      <c r="BZ129" s="719"/>
      <c r="CA129" s="719"/>
      <c r="CB129" s="729"/>
      <c r="CC129" s="1598"/>
      <c r="CD129" s="719"/>
      <c r="CE129" s="719"/>
      <c r="CF129" s="729"/>
      <c r="CG129" s="245"/>
      <c r="CH129" s="178"/>
      <c r="CM129" s="719"/>
      <c r="CN129" s="719"/>
      <c r="CO129" s="719"/>
      <c r="CP129" s="719"/>
      <c r="CQ129" s="719"/>
      <c r="CR129" s="719"/>
      <c r="CS129" s="719"/>
      <c r="CT129" s="719"/>
      <c r="CU129" s="719"/>
      <c r="CV129" s="719"/>
      <c r="CW129" s="719"/>
      <c r="CX129" s="719"/>
      <c r="CY129" s="719"/>
      <c r="DF129" s="245"/>
    </row>
    <row r="130" spans="1:110" s="8" customFormat="1" ht="12.75" customHeight="1">
      <c r="B130" s="23"/>
      <c r="C130" s="23"/>
      <c r="D130" s="23"/>
      <c r="E130" s="23"/>
      <c r="F130" s="23"/>
      <c r="I130" s="196" t="s">
        <v>681</v>
      </c>
      <c r="J130" s="7"/>
      <c r="K130" s="7"/>
      <c r="P130" s="245"/>
      <c r="T130" s="245"/>
      <c r="X130" s="245"/>
      <c r="AB130" s="245"/>
      <c r="AC130" s="289"/>
      <c r="AD130" s="289"/>
      <c r="AE130" s="289"/>
      <c r="AF130" s="953"/>
      <c r="AG130" s="719"/>
      <c r="AH130" s="719"/>
      <c r="AI130" s="719"/>
      <c r="AJ130" s="729"/>
      <c r="AK130" s="719"/>
      <c r="AL130" s="719"/>
      <c r="AM130" s="719"/>
      <c r="AN130" s="729"/>
      <c r="AO130" s="719"/>
      <c r="AP130" s="719"/>
      <c r="AQ130" s="719"/>
      <c r="AR130" s="729"/>
      <c r="AS130" s="719"/>
      <c r="AT130" s="719"/>
      <c r="AU130" s="719"/>
      <c r="AV130" s="729"/>
      <c r="AW130" s="719"/>
      <c r="AX130" s="719"/>
      <c r="AY130" s="719"/>
      <c r="AZ130" s="729"/>
      <c r="BA130" s="719"/>
      <c r="BB130" s="719"/>
      <c r="BC130" s="719"/>
      <c r="BD130" s="729"/>
      <c r="BE130" s="719"/>
      <c r="BF130" s="719"/>
      <c r="BG130" s="719"/>
      <c r="BH130" s="729"/>
      <c r="BI130" s="719"/>
      <c r="BJ130" s="719"/>
      <c r="BK130" s="719"/>
      <c r="BL130" s="719"/>
      <c r="BM130" s="1598"/>
      <c r="BN130" s="719"/>
      <c r="BO130" s="719"/>
      <c r="BP130" s="719"/>
      <c r="BQ130" s="1598"/>
      <c r="BR130" s="719"/>
      <c r="BS130" s="719"/>
      <c r="BT130" s="729"/>
      <c r="BU130" s="1598"/>
      <c r="BV130" s="719"/>
      <c r="BW130" s="719"/>
      <c r="BX130" s="729"/>
      <c r="BY130" s="1598"/>
      <c r="BZ130" s="719"/>
      <c r="CA130" s="719"/>
      <c r="CB130" s="729"/>
      <c r="CC130" s="1598"/>
      <c r="CD130" s="719"/>
      <c r="CE130" s="719"/>
      <c r="CF130" s="729"/>
      <c r="CG130" s="245"/>
      <c r="CH130" s="178"/>
      <c r="CM130" s="719"/>
      <c r="CN130" s="719"/>
      <c r="CO130" s="719"/>
      <c r="CP130" s="719"/>
      <c r="CQ130" s="719"/>
      <c r="CR130" s="719"/>
      <c r="CS130" s="719"/>
      <c r="CT130" s="719"/>
      <c r="CU130" s="719"/>
      <c r="CV130" s="2147"/>
      <c r="CW130" s="719"/>
      <c r="CX130" s="719"/>
      <c r="CY130" s="713"/>
      <c r="CZ130" s="713"/>
      <c r="DF130" s="245"/>
    </row>
    <row r="131" spans="1:110" s="8" customFormat="1" ht="12.75" customHeight="1">
      <c r="B131" s="23"/>
      <c r="C131" s="23"/>
      <c r="D131" s="23"/>
      <c r="E131" s="23"/>
      <c r="F131" s="23"/>
      <c r="I131" s="872" t="s">
        <v>682</v>
      </c>
      <c r="J131" s="7"/>
      <c r="K131" s="7"/>
      <c r="P131" s="245"/>
      <c r="T131" s="245"/>
      <c r="X131" s="245"/>
      <c r="AB131" s="245"/>
      <c r="AC131" s="289"/>
      <c r="AD131" s="289"/>
      <c r="AE131" s="289"/>
      <c r="AF131" s="953"/>
      <c r="AG131" s="719"/>
      <c r="AH131" s="719"/>
      <c r="AI131" s="719"/>
      <c r="AJ131" s="729"/>
      <c r="AK131" s="719"/>
      <c r="AL131" s="719"/>
      <c r="AM131" s="719"/>
      <c r="AN131" s="729"/>
      <c r="AO131" s="719"/>
      <c r="AP131" s="719"/>
      <c r="AQ131" s="719"/>
      <c r="AR131" s="729"/>
      <c r="AS131" s="719"/>
      <c r="AT131" s="719"/>
      <c r="AU131" s="719"/>
      <c r="AV131" s="729"/>
      <c r="AW131" s="719"/>
      <c r="AX131" s="719"/>
      <c r="AY131" s="719"/>
      <c r="AZ131" s="729"/>
      <c r="BA131" s="719"/>
      <c r="BB131" s="719"/>
      <c r="BC131" s="719"/>
      <c r="BD131" s="729"/>
      <c r="BE131" s="719"/>
      <c r="BF131" s="719"/>
      <c r="BG131" s="719"/>
      <c r="BH131" s="729"/>
      <c r="BI131" s="719"/>
      <c r="BJ131" s="719"/>
      <c r="BK131" s="719"/>
      <c r="BL131" s="719"/>
      <c r="BM131" s="1598"/>
      <c r="BN131" s="719"/>
      <c r="BO131" s="719"/>
      <c r="BP131" s="719"/>
      <c r="BQ131" s="1598"/>
      <c r="BR131" s="719"/>
      <c r="BS131" s="719"/>
      <c r="BT131" s="729"/>
      <c r="BU131" s="1598"/>
      <c r="BV131" s="719"/>
      <c r="BW131" s="719"/>
      <c r="BX131" s="729"/>
      <c r="BY131" s="1598"/>
      <c r="BZ131" s="719"/>
      <c r="CA131" s="719"/>
      <c r="CB131" s="729"/>
      <c r="CC131" s="1598"/>
      <c r="CD131" s="719"/>
      <c r="CE131" s="719"/>
      <c r="CF131" s="729"/>
      <c r="CG131" s="245"/>
      <c r="CH131" s="178"/>
      <c r="CM131" s="719"/>
      <c r="CN131" s="719"/>
      <c r="CO131" s="719"/>
      <c r="CP131" s="719"/>
      <c r="CQ131" s="719"/>
      <c r="CR131" s="719"/>
      <c r="CS131" s="719"/>
      <c r="CT131" s="719"/>
      <c r="CU131" s="719"/>
      <c r="CV131" s="719"/>
      <c r="CW131" s="719"/>
      <c r="CX131" s="719"/>
      <c r="CY131" s="713"/>
      <c r="CZ131" s="713"/>
      <c r="DF131" s="245"/>
    </row>
    <row r="132" spans="1:110" ht="12.75" customHeight="1">
      <c r="B132" s="34"/>
      <c r="C132" s="34"/>
      <c r="D132" s="34"/>
      <c r="E132" s="34"/>
      <c r="F132" s="34"/>
      <c r="I132" s="1950" t="s">
        <v>583</v>
      </c>
      <c r="J132" s="70"/>
      <c r="K132" s="70"/>
      <c r="P132" s="234"/>
      <c r="T132" s="234"/>
      <c r="X132" s="234"/>
      <c r="AB132" s="234"/>
      <c r="AF132" s="249"/>
      <c r="AG132" s="1212"/>
      <c r="AH132" s="1212"/>
      <c r="AI132" s="1212"/>
      <c r="AJ132" s="1392"/>
      <c r="AK132" s="1212"/>
      <c r="AL132" s="1212"/>
      <c r="AM132" s="1212"/>
      <c r="AN132" s="1392"/>
      <c r="AO132" s="1212"/>
      <c r="AP132" s="1212"/>
      <c r="AQ132" s="1212"/>
      <c r="AR132" s="1392"/>
      <c r="AS132" s="1212"/>
      <c r="AT132" s="1212"/>
      <c r="AU132" s="1212"/>
      <c r="AV132" s="1392"/>
      <c r="AW132" s="1212"/>
      <c r="AX132" s="1212"/>
      <c r="AY132" s="1212"/>
      <c r="AZ132" s="1392"/>
      <c r="BA132" s="1212"/>
      <c r="BB132" s="1212"/>
      <c r="BC132" s="1212"/>
      <c r="BD132" s="1392"/>
      <c r="BE132" s="1212"/>
      <c r="BF132" s="1212"/>
      <c r="BG132" s="1212"/>
      <c r="BH132" s="1392"/>
      <c r="BI132" s="1212"/>
      <c r="BJ132" s="1212"/>
      <c r="BK132" s="1212"/>
      <c r="BL132" s="1212"/>
      <c r="BM132" s="1646"/>
      <c r="BN132" s="1212"/>
      <c r="BO132" s="1212"/>
      <c r="BP132" s="1212"/>
      <c r="BQ132" s="1646"/>
      <c r="BR132" s="1212"/>
      <c r="BS132" s="1212"/>
      <c r="BT132" s="1392"/>
      <c r="BU132" s="1601">
        <v>0.2</v>
      </c>
      <c r="BV132" s="277">
        <v>0.15</v>
      </c>
      <c r="BW132" s="277">
        <v>0.18</v>
      </c>
      <c r="BX132" s="1251">
        <v>0.2</v>
      </c>
      <c r="BY132" s="1601">
        <v>0.2</v>
      </c>
      <c r="BZ132" s="277">
        <v>0.16</v>
      </c>
      <c r="CA132" s="277">
        <v>0.11</v>
      </c>
      <c r="CB132" s="1251">
        <v>0.08</v>
      </c>
      <c r="CC132" s="1601">
        <v>0.08</v>
      </c>
      <c r="CD132" s="1212"/>
      <c r="CE132" s="1212"/>
      <c r="CF132" s="1392"/>
      <c r="CG132" s="234"/>
      <c r="CH132" s="160"/>
      <c r="CM132" s="1212"/>
      <c r="CN132" s="1212"/>
      <c r="CO132" s="1212"/>
      <c r="CP132" s="1212"/>
      <c r="CQ132" s="1212"/>
      <c r="CR132" s="1212"/>
      <c r="CS132" s="1212"/>
      <c r="CT132" s="1212"/>
      <c r="CU132" s="1212"/>
      <c r="CV132" s="1212"/>
      <c r="CW132" s="1212"/>
      <c r="CX132" s="1212"/>
      <c r="CY132" s="1214"/>
      <c r="CZ132" s="713"/>
      <c r="DF132" s="234"/>
    </row>
    <row r="133" spans="1:110" ht="12.75" customHeight="1">
      <c r="B133" s="34"/>
      <c r="C133" s="34"/>
      <c r="D133" s="34"/>
      <c r="E133" s="34"/>
      <c r="F133" s="34"/>
      <c r="I133" s="1950" t="s">
        <v>584</v>
      </c>
      <c r="J133" s="70"/>
      <c r="K133" s="70"/>
      <c r="P133" s="234"/>
      <c r="T133" s="234"/>
      <c r="X133" s="234"/>
      <c r="AB133" s="234"/>
      <c r="AF133" s="249"/>
      <c r="AG133" s="1212"/>
      <c r="AH133" s="1212"/>
      <c r="AI133" s="1212"/>
      <c r="AJ133" s="1392"/>
      <c r="AK133" s="1212"/>
      <c r="AL133" s="1212"/>
      <c r="AM133" s="1212"/>
      <c r="AN133" s="1392"/>
      <c r="AO133" s="1212"/>
      <c r="AP133" s="1212"/>
      <c r="AQ133" s="1212"/>
      <c r="AR133" s="1392"/>
      <c r="AS133" s="1212"/>
      <c r="AT133" s="1212"/>
      <c r="AU133" s="1212"/>
      <c r="AV133" s="1392"/>
      <c r="AW133" s="1212"/>
      <c r="AX133" s="1212"/>
      <c r="AY133" s="1212"/>
      <c r="AZ133" s="1392"/>
      <c r="BA133" s="1212"/>
      <c r="BB133" s="1212"/>
      <c r="BC133" s="1212"/>
      <c r="BD133" s="1392"/>
      <c r="BE133" s="1212"/>
      <c r="BF133" s="1212"/>
      <c r="BG133" s="1212"/>
      <c r="BH133" s="1392"/>
      <c r="BI133" s="1212"/>
      <c r="BJ133" s="1212"/>
      <c r="BK133" s="1212"/>
      <c r="BL133" s="1212"/>
      <c r="BM133" s="1646"/>
      <c r="BN133" s="1212"/>
      <c r="BO133" s="1212"/>
      <c r="BP133" s="1212"/>
      <c r="BQ133" s="1646"/>
      <c r="BR133" s="1212"/>
      <c r="BS133" s="1212"/>
      <c r="BT133" s="1392"/>
      <c r="BU133" s="1601">
        <v>0.27</v>
      </c>
      <c r="BV133" s="277">
        <v>0.22</v>
      </c>
      <c r="BW133" s="277">
        <v>0.23</v>
      </c>
      <c r="BX133" s="1251">
        <v>0.25</v>
      </c>
      <c r="BY133" s="1601">
        <v>0.25</v>
      </c>
      <c r="BZ133" s="277">
        <v>0.21</v>
      </c>
      <c r="CA133" s="277">
        <v>0.16</v>
      </c>
      <c r="CB133" s="1251">
        <v>0.13</v>
      </c>
      <c r="CC133" s="1601">
        <v>0.12</v>
      </c>
      <c r="CD133" s="1212"/>
      <c r="CE133" s="1212"/>
      <c r="CF133" s="1392"/>
      <c r="CG133" s="234"/>
      <c r="CH133" s="160"/>
      <c r="CM133" s="1212"/>
      <c r="CN133" s="1212"/>
      <c r="CO133" s="1212"/>
      <c r="CP133" s="1212"/>
      <c r="CQ133" s="1212"/>
      <c r="CR133" s="1212"/>
      <c r="CS133" s="1212"/>
      <c r="CT133" s="1212"/>
      <c r="CU133" s="1212"/>
      <c r="CV133" s="1212"/>
      <c r="CW133" s="1212"/>
      <c r="CX133" s="1212"/>
      <c r="CY133" s="1212"/>
      <c r="DF133" s="234"/>
    </row>
    <row r="134" spans="1:110" s="8" customFormat="1" ht="12.75" customHeight="1">
      <c r="B134" s="23"/>
      <c r="C134" s="23"/>
      <c r="D134" s="23"/>
      <c r="E134" s="23"/>
      <c r="F134" s="23"/>
      <c r="I134" s="861"/>
      <c r="J134" s="7"/>
      <c r="K134" s="7"/>
      <c r="P134" s="245"/>
      <c r="T134" s="245"/>
      <c r="X134" s="245"/>
      <c r="AB134" s="245"/>
      <c r="AC134" s="289"/>
      <c r="AD134" s="289"/>
      <c r="AE134" s="289"/>
      <c r="AF134" s="953"/>
      <c r="AG134" s="719"/>
      <c r="AH134" s="719"/>
      <c r="AI134" s="719"/>
      <c r="AJ134" s="729"/>
      <c r="AK134" s="719"/>
      <c r="AL134" s="719"/>
      <c r="AM134" s="719"/>
      <c r="AN134" s="729"/>
      <c r="AO134" s="719"/>
      <c r="AP134" s="719"/>
      <c r="AQ134" s="719"/>
      <c r="AR134" s="729"/>
      <c r="AS134" s="719"/>
      <c r="AT134" s="719"/>
      <c r="AU134" s="719"/>
      <c r="AV134" s="729"/>
      <c r="AW134" s="719"/>
      <c r="AX134" s="719"/>
      <c r="AY134" s="719"/>
      <c r="AZ134" s="729"/>
      <c r="BA134" s="719"/>
      <c r="BB134" s="719"/>
      <c r="BC134" s="719"/>
      <c r="BD134" s="729"/>
      <c r="BE134" s="719"/>
      <c r="BF134" s="719"/>
      <c r="BG134" s="719"/>
      <c r="BH134" s="729"/>
      <c r="BI134" s="719"/>
      <c r="BJ134" s="719"/>
      <c r="BK134" s="719"/>
      <c r="BL134" s="719"/>
      <c r="BM134" s="1598"/>
      <c r="BN134" s="719"/>
      <c r="BO134" s="719"/>
      <c r="BP134" s="719"/>
      <c r="BQ134" s="1598"/>
      <c r="BR134" s="719"/>
      <c r="BS134" s="719"/>
      <c r="BT134" s="729"/>
      <c r="BU134" s="1598"/>
      <c r="BV134" s="719"/>
      <c r="BW134" s="719"/>
      <c r="BX134" s="729"/>
      <c r="BY134" s="1598"/>
      <c r="BZ134" s="719"/>
      <c r="CA134" s="719"/>
      <c r="CB134" s="729"/>
      <c r="CC134" s="1598"/>
      <c r="CD134" s="719"/>
      <c r="CE134" s="719"/>
      <c r="CF134" s="729"/>
      <c r="CG134" s="245"/>
      <c r="CH134" s="178"/>
      <c r="CM134" s="719"/>
      <c r="CN134" s="719"/>
      <c r="CO134" s="719"/>
      <c r="CP134" s="719"/>
      <c r="CQ134" s="719"/>
      <c r="CR134" s="719"/>
      <c r="CS134" s="719"/>
      <c r="CT134" s="719"/>
      <c r="CU134" s="719"/>
      <c r="CV134" s="719"/>
      <c r="CW134" s="719"/>
      <c r="CX134" s="719"/>
      <c r="CY134" s="719"/>
      <c r="DF134" s="245"/>
    </row>
    <row r="135" spans="1:110" s="8" customFormat="1" ht="12.75" customHeight="1">
      <c r="B135" s="23"/>
      <c r="C135" s="23"/>
      <c r="D135" s="23"/>
      <c r="E135" s="23"/>
      <c r="F135" s="23"/>
      <c r="I135" s="872" t="s">
        <v>684</v>
      </c>
      <c r="J135" s="7"/>
      <c r="K135" s="7"/>
      <c r="P135" s="245"/>
      <c r="T135" s="245"/>
      <c r="X135" s="245"/>
      <c r="AB135" s="245"/>
      <c r="AC135" s="289"/>
      <c r="AD135" s="289"/>
      <c r="AE135" s="289"/>
      <c r="AF135" s="953"/>
      <c r="AG135" s="719"/>
      <c r="AH135" s="719"/>
      <c r="AI135" s="719"/>
      <c r="AJ135" s="729"/>
      <c r="AK135" s="719"/>
      <c r="AL135" s="719"/>
      <c r="AM135" s="719"/>
      <c r="AN135" s="729"/>
      <c r="AO135" s="719"/>
      <c r="AP135" s="719"/>
      <c r="AQ135" s="719"/>
      <c r="AR135" s="729"/>
      <c r="AS135" s="719"/>
      <c r="AT135" s="719"/>
      <c r="AU135" s="719"/>
      <c r="AV135" s="729"/>
      <c r="AW135" s="719"/>
      <c r="AX135" s="719"/>
      <c r="AY135" s="719"/>
      <c r="AZ135" s="729"/>
      <c r="BA135" s="719"/>
      <c r="BB135" s="719"/>
      <c r="BC135" s="719"/>
      <c r="BD135" s="729"/>
      <c r="BE135" s="719"/>
      <c r="BF135" s="719"/>
      <c r="BG135" s="719"/>
      <c r="BH135" s="729"/>
      <c r="BI135" s="719"/>
      <c r="BJ135" s="719"/>
      <c r="BK135" s="719"/>
      <c r="BL135" s="719"/>
      <c r="BM135" s="1598"/>
      <c r="BN135" s="719"/>
      <c r="BO135" s="719"/>
      <c r="BP135" s="719"/>
      <c r="BQ135" s="1598"/>
      <c r="BR135" s="719"/>
      <c r="BS135" s="719"/>
      <c r="BT135" s="729"/>
      <c r="BU135" s="1646">
        <f t="shared" ref="BU135:BZ135" si="258">+BU109</f>
        <v>0.30497131931166344</v>
      </c>
      <c r="BV135" s="1212">
        <f t="shared" si="258"/>
        <v>0.24403183023872677</v>
      </c>
      <c r="BW135" s="1212">
        <f t="shared" si="258"/>
        <v>0.29411764705882359</v>
      </c>
      <c r="BX135" s="1392">
        <f t="shared" si="258"/>
        <v>0.30877901109989914</v>
      </c>
      <c r="BY135" s="1646">
        <f t="shared" si="258"/>
        <v>0.27399267399267391</v>
      </c>
      <c r="BZ135" s="1212">
        <f t="shared" si="258"/>
        <v>0.20966595593461257</v>
      </c>
      <c r="CA135" s="1212">
        <f>+CA109</f>
        <v>0.18649732620320858</v>
      </c>
      <c r="CB135" s="1392">
        <f>+CB109</f>
        <v>0.16808018504240563</v>
      </c>
      <c r="CC135" s="1646">
        <f t="shared" ref="CC135" si="259">+CC109</f>
        <v>0.15156523096616592</v>
      </c>
      <c r="CD135" s="719"/>
      <c r="CE135" s="719"/>
      <c r="CF135" s="729"/>
      <c r="CG135" s="245"/>
      <c r="CH135" s="178"/>
      <c r="CM135" s="719"/>
      <c r="CN135" s="719"/>
      <c r="CO135" s="719"/>
      <c r="CP135" s="719"/>
      <c r="CQ135" s="719"/>
      <c r="CR135" s="719"/>
      <c r="CS135" s="719"/>
      <c r="CT135" s="719"/>
      <c r="CU135" s="719"/>
      <c r="CV135" s="719"/>
      <c r="CW135" s="719"/>
      <c r="CX135" s="719"/>
      <c r="CY135" s="719"/>
      <c r="DF135" s="245"/>
    </row>
    <row r="136" spans="1:110" s="8" customFormat="1" ht="12.75" customHeight="1">
      <c r="B136" s="23"/>
      <c r="C136" s="23"/>
      <c r="D136" s="23"/>
      <c r="E136" s="23"/>
      <c r="F136" s="23"/>
      <c r="I136" s="1950" t="s">
        <v>683</v>
      </c>
      <c r="J136" s="7"/>
      <c r="K136" s="7"/>
      <c r="P136" s="245"/>
      <c r="T136" s="245"/>
      <c r="X136" s="245"/>
      <c r="AB136" s="245"/>
      <c r="AC136" s="289"/>
      <c r="AD136" s="289"/>
      <c r="AE136" s="289"/>
      <c r="AF136" s="953"/>
      <c r="AG136" s="719"/>
      <c r="AH136" s="719"/>
      <c r="AI136" s="719"/>
      <c r="AJ136" s="729"/>
      <c r="AK136" s="719"/>
      <c r="AL136" s="719"/>
      <c r="AM136" s="719"/>
      <c r="AN136" s="729"/>
      <c r="AO136" s="719"/>
      <c r="AP136" s="719"/>
      <c r="AQ136" s="719"/>
      <c r="AR136" s="729"/>
      <c r="AS136" s="719"/>
      <c r="AT136" s="719"/>
      <c r="AU136" s="719"/>
      <c r="AV136" s="729"/>
      <c r="AW136" s="719"/>
      <c r="AX136" s="719"/>
      <c r="AY136" s="719"/>
      <c r="AZ136" s="729"/>
      <c r="BA136" s="719"/>
      <c r="BB136" s="719"/>
      <c r="BC136" s="719"/>
      <c r="BD136" s="729"/>
      <c r="BE136" s="719"/>
      <c r="BF136" s="719"/>
      <c r="BG136" s="719"/>
      <c r="BH136" s="729"/>
      <c r="BI136" s="719"/>
      <c r="BJ136" s="719"/>
      <c r="BK136" s="719"/>
      <c r="BL136" s="719"/>
      <c r="BM136" s="1598"/>
      <c r="BN136" s="719"/>
      <c r="BO136" s="719"/>
      <c r="BP136" s="719"/>
      <c r="BQ136" s="1598"/>
      <c r="BR136" s="719"/>
      <c r="BS136" s="719"/>
      <c r="BT136" s="729"/>
      <c r="BU136" s="1511">
        <f t="shared" ref="BU136:BZ136" si="260">+(BU135-BU133)*10000</f>
        <v>349.71319311663416</v>
      </c>
      <c r="BV136" s="354">
        <f t="shared" si="260"/>
        <v>240.31830238726764</v>
      </c>
      <c r="BW136" s="354">
        <f t="shared" si="260"/>
        <v>641.17647058823582</v>
      </c>
      <c r="BX136" s="355">
        <f t="shared" si="260"/>
        <v>587.79011099899139</v>
      </c>
      <c r="BY136" s="1511">
        <f t="shared" si="260"/>
        <v>239.92673992673906</v>
      </c>
      <c r="BZ136" s="354">
        <f t="shared" si="260"/>
        <v>-3.3404406538742326</v>
      </c>
      <c r="CA136" s="354">
        <f>+(CA135-CA133)*10000</f>
        <v>264.97326203208576</v>
      </c>
      <c r="CB136" s="355">
        <f>+(CB135-CB133)*10000</f>
        <v>380.80185042405623</v>
      </c>
      <c r="CC136" s="1511">
        <f t="shared" ref="CC136" si="261">+(CC135-CC133)*10000</f>
        <v>315.65230966165927</v>
      </c>
      <c r="CD136" s="719"/>
      <c r="CE136" s="719"/>
      <c r="CF136" s="729"/>
      <c r="CG136" s="245"/>
      <c r="CH136" s="178"/>
      <c r="CM136" s="719"/>
      <c r="CN136" s="719"/>
      <c r="CO136" s="719"/>
      <c r="CP136" s="719"/>
      <c r="CQ136" s="719"/>
      <c r="CR136" s="719"/>
      <c r="CS136" s="719"/>
      <c r="CT136" s="719"/>
      <c r="CU136" s="719"/>
      <c r="CV136" s="719"/>
      <c r="CW136" s="719"/>
      <c r="CX136" s="719"/>
      <c r="CY136" s="719"/>
      <c r="DF136" s="245"/>
    </row>
    <row r="137" spans="1:110" ht="12.75" customHeight="1">
      <c r="B137" s="34"/>
      <c r="C137" s="34"/>
      <c r="D137" s="34"/>
      <c r="E137" s="34"/>
      <c r="F137" s="34"/>
      <c r="I137" s="728"/>
      <c r="J137" s="7"/>
      <c r="K137" s="7"/>
      <c r="P137" s="234"/>
      <c r="T137" s="234"/>
      <c r="X137" s="234"/>
      <c r="AB137" s="234"/>
      <c r="AF137" s="249"/>
      <c r="AG137" s="203"/>
      <c r="AH137" s="203"/>
      <c r="AI137" s="203"/>
      <c r="AJ137" s="204"/>
      <c r="AK137" s="203"/>
      <c r="AL137" s="203"/>
      <c r="AM137" s="203"/>
      <c r="AN137" s="204"/>
      <c r="AO137" s="203"/>
      <c r="AP137" s="203"/>
      <c r="AQ137" s="203"/>
      <c r="AR137" s="204"/>
      <c r="AS137" s="203"/>
      <c r="AT137" s="203"/>
      <c r="AU137" s="203"/>
      <c r="AV137" s="204"/>
      <c r="AW137" s="203"/>
      <c r="AX137" s="203"/>
      <c r="AY137" s="203"/>
      <c r="AZ137" s="204"/>
      <c r="BA137" s="203"/>
      <c r="BB137" s="203"/>
      <c r="BC137" s="203"/>
      <c r="BD137" s="204"/>
      <c r="BE137" s="203"/>
      <c r="BF137" s="203"/>
      <c r="BG137" s="203"/>
      <c r="BH137" s="204"/>
      <c r="BI137" s="203"/>
      <c r="BJ137" s="203"/>
      <c r="BK137" s="203"/>
      <c r="BL137" s="203"/>
      <c r="BM137" s="1603"/>
      <c r="BN137" s="203"/>
      <c r="BO137" s="203"/>
      <c r="BP137" s="203"/>
      <c r="BQ137" s="1603"/>
      <c r="BR137" s="203"/>
      <c r="BS137" s="203"/>
      <c r="BT137" s="204"/>
      <c r="BU137" s="1603"/>
      <c r="BV137" s="203"/>
      <c r="BW137" s="203"/>
      <c r="BX137" s="204"/>
      <c r="BY137" s="1603"/>
      <c r="BZ137" s="203"/>
      <c r="CA137" s="203"/>
      <c r="CB137" s="204"/>
      <c r="CC137" s="1603"/>
      <c r="CD137" s="203"/>
      <c r="CE137" s="203"/>
      <c r="CF137" s="204"/>
      <c r="CG137" s="234"/>
      <c r="CH137" s="160"/>
      <c r="CM137" s="203"/>
      <c r="CN137" s="203"/>
      <c r="CO137" s="203"/>
      <c r="CP137" s="203"/>
      <c r="CQ137" s="203"/>
      <c r="CR137" s="203"/>
      <c r="CS137" s="203"/>
      <c r="CT137" s="203"/>
      <c r="CU137" s="203"/>
      <c r="CV137" s="203"/>
      <c r="CW137" s="203"/>
      <c r="CX137" s="203"/>
      <c r="CY137" s="203"/>
      <c r="DF137" s="234"/>
    </row>
    <row r="138" spans="1:110" s="38" customFormat="1" ht="12.75" customHeight="1">
      <c r="A138" s="24"/>
      <c r="B138" s="34"/>
      <c r="C138" s="34"/>
      <c r="D138" s="34"/>
      <c r="E138" s="34"/>
      <c r="F138" s="34"/>
      <c r="G138" s="24"/>
      <c r="H138" s="24"/>
      <c r="I138" s="869" t="s">
        <v>284</v>
      </c>
      <c r="J138" s="809"/>
      <c r="K138" s="809"/>
      <c r="L138" s="106"/>
      <c r="M138" s="106"/>
      <c r="N138" s="106"/>
      <c r="O138" s="106"/>
      <c r="P138" s="217"/>
      <c r="Q138" s="106"/>
      <c r="R138" s="106"/>
      <c r="S138" s="106"/>
      <c r="T138" s="217"/>
      <c r="U138" s="106"/>
      <c r="V138" s="106"/>
      <c r="W138" s="106"/>
      <c r="X138" s="217"/>
      <c r="Y138" s="106"/>
      <c r="Z138" s="106"/>
      <c r="AA138" s="106"/>
      <c r="AB138" s="217"/>
      <c r="AC138" s="107"/>
      <c r="AD138" s="107"/>
      <c r="AE138" s="107"/>
      <c r="AF138" s="250"/>
      <c r="AG138" s="870"/>
      <c r="AH138" s="870"/>
      <c r="AI138" s="870"/>
      <c r="AJ138" s="871"/>
      <c r="AK138" s="870"/>
      <c r="AL138" s="870"/>
      <c r="AM138" s="870"/>
      <c r="AN138" s="871"/>
      <c r="AO138" s="870"/>
      <c r="AP138" s="870"/>
      <c r="AQ138" s="870"/>
      <c r="AR138" s="871"/>
      <c r="AS138" s="870"/>
      <c r="AT138" s="870"/>
      <c r="AU138" s="870"/>
      <c r="AV138" s="871"/>
      <c r="AW138" s="870"/>
      <c r="AX138" s="870"/>
      <c r="AY138" s="870"/>
      <c r="AZ138" s="871"/>
      <c r="BA138" s="870"/>
      <c r="BB138" s="870"/>
      <c r="BC138" s="870"/>
      <c r="BD138" s="871"/>
      <c r="BE138" s="870"/>
      <c r="BF138" s="870"/>
      <c r="BG138" s="870"/>
      <c r="BH138" s="871"/>
      <c r="BI138" s="106"/>
      <c r="BJ138" s="106"/>
      <c r="BK138" s="106"/>
      <c r="BL138" s="106"/>
      <c r="BM138" s="926"/>
      <c r="BN138" s="106"/>
      <c r="BO138" s="106"/>
      <c r="BP138" s="870"/>
      <c r="BQ138" s="1605"/>
      <c r="BR138" s="870"/>
      <c r="BS138" s="870"/>
      <c r="BT138" s="871"/>
      <c r="BU138" s="1605"/>
      <c r="BV138" s="870"/>
      <c r="BW138" s="870"/>
      <c r="BX138" s="871"/>
      <c r="BY138" s="1605"/>
      <c r="BZ138" s="870"/>
      <c r="CA138" s="870"/>
      <c r="CB138" s="871"/>
      <c r="CC138" s="1605"/>
      <c r="CD138" s="870"/>
      <c r="CE138" s="870"/>
      <c r="CF138" s="871"/>
      <c r="CG138" s="216"/>
      <c r="CH138" s="926"/>
      <c r="CI138" s="106"/>
      <c r="CJ138" s="106"/>
      <c r="CK138" s="106"/>
      <c r="CL138" s="106"/>
      <c r="CM138" s="870"/>
      <c r="CN138" s="106"/>
      <c r="CO138" s="870"/>
      <c r="CP138" s="870"/>
      <c r="CQ138" s="870"/>
      <c r="CR138" s="870"/>
      <c r="CS138" s="870"/>
      <c r="CT138" s="870"/>
      <c r="CU138" s="870"/>
      <c r="CV138" s="870"/>
      <c r="CW138" s="870"/>
      <c r="CX138" s="261"/>
      <c r="CY138" s="261"/>
      <c r="CZ138" s="261"/>
      <c r="DA138" s="261"/>
      <c r="DB138" s="261"/>
      <c r="DC138" s="261"/>
      <c r="DD138" s="261"/>
      <c r="DE138" s="261"/>
      <c r="DF138" s="262"/>
    </row>
    <row r="139" spans="1:110" ht="12.75" customHeight="1">
      <c r="B139" s="34"/>
      <c r="C139" s="34"/>
      <c r="D139" s="34"/>
      <c r="E139" s="34"/>
      <c r="F139" s="34"/>
      <c r="I139" s="872" t="s">
        <v>285</v>
      </c>
      <c r="J139" s="810"/>
      <c r="K139" s="810"/>
      <c r="P139" s="234"/>
      <c r="T139" s="234"/>
      <c r="X139" s="234"/>
      <c r="AB139" s="234"/>
      <c r="AF139" s="249"/>
      <c r="AG139" s="873">
        <v>55</v>
      </c>
      <c r="AH139" s="873">
        <v>55</v>
      </c>
      <c r="AI139" s="873">
        <v>55</v>
      </c>
      <c r="AJ139" s="967">
        <v>55</v>
      </c>
      <c r="AK139" s="813">
        <f t="shared" ref="AK139:BD139" si="262">+AG139*(1+AK140)</f>
        <v>58.904999999999994</v>
      </c>
      <c r="AL139" s="813">
        <f t="shared" si="262"/>
        <v>58.024999999999999</v>
      </c>
      <c r="AM139" s="813">
        <f t="shared" si="262"/>
        <v>58.52</v>
      </c>
      <c r="AN139" s="881">
        <f t="shared" si="262"/>
        <v>58.85</v>
      </c>
      <c r="AO139" s="813">
        <f t="shared" si="262"/>
        <v>60.083099999999995</v>
      </c>
      <c r="AP139" s="813">
        <f t="shared" si="262"/>
        <v>60.346000000000004</v>
      </c>
      <c r="AQ139" s="813">
        <f t="shared" si="262"/>
        <v>57.934800000000003</v>
      </c>
      <c r="AR139" s="881">
        <f t="shared" si="262"/>
        <v>55.907499999999999</v>
      </c>
      <c r="AS139" s="813">
        <f t="shared" si="262"/>
        <v>54.074789999999993</v>
      </c>
      <c r="AT139" s="813">
        <f t="shared" si="262"/>
        <v>53.707940000000001</v>
      </c>
      <c r="AU139" s="813">
        <f t="shared" si="262"/>
        <v>51.561972000000004</v>
      </c>
      <c r="AV139" s="881">
        <f t="shared" si="262"/>
        <v>51.993974999999999</v>
      </c>
      <c r="AW139" s="813">
        <f t="shared" si="262"/>
        <v>52.993294199999994</v>
      </c>
      <c r="AX139" s="813">
        <f t="shared" si="262"/>
        <v>55.050638499999998</v>
      </c>
      <c r="AY139" s="813">
        <f t="shared" si="262"/>
        <v>54.140070600000008</v>
      </c>
      <c r="AZ139" s="881">
        <f t="shared" si="262"/>
        <v>54.697661700000005</v>
      </c>
      <c r="BA139" s="813">
        <f t="shared" si="262"/>
        <v>56.702824793999994</v>
      </c>
      <c r="BB139" s="874">
        <f t="shared" si="262"/>
        <v>59.45468958</v>
      </c>
      <c r="BC139" s="874">
        <f t="shared" si="262"/>
        <v>57.388474836000015</v>
      </c>
      <c r="BD139" s="875">
        <f t="shared" si="262"/>
        <v>57.97952140200001</v>
      </c>
      <c r="BE139" s="874">
        <f t="shared" ref="BE139:BL139" si="263">+BA139*(1+BE140)</f>
        <v>59.537966033699995</v>
      </c>
      <c r="BF139" s="874">
        <f t="shared" si="263"/>
        <v>61.832877163200003</v>
      </c>
      <c r="BG139" s="874">
        <f t="shared" si="263"/>
        <v>60.25789857780002</v>
      </c>
      <c r="BH139" s="875">
        <f t="shared" si="263"/>
        <v>58.559316616020013</v>
      </c>
      <c r="BI139" s="874">
        <f t="shared" si="263"/>
        <v>60.133345694036997</v>
      </c>
      <c r="BJ139" s="874">
        <f t="shared" si="263"/>
        <v>62.451205934832004</v>
      </c>
      <c r="BK139" s="874">
        <f t="shared" si="263"/>
        <v>61.342540752200421</v>
      </c>
      <c r="BL139" s="874">
        <f t="shared" si="263"/>
        <v>59.730502948340416</v>
      </c>
      <c r="BM139" s="1606">
        <f t="shared" ref="BM139:CF139" si="264">+BI139*(1+BM140)</f>
        <v>61.937346064858112</v>
      </c>
      <c r="BN139" s="874">
        <f t="shared" si="264"/>
        <v>64.324742112876962</v>
      </c>
      <c r="BO139" s="874">
        <f>+BK139*(1+BO140)</f>
        <v>63.182816974766432</v>
      </c>
      <c r="BP139" s="874">
        <f>+BL139*(1+BP140)</f>
        <v>61.522418036790633</v>
      </c>
      <c r="BQ139" s="1606">
        <f t="shared" si="264"/>
        <v>63.176092986155275</v>
      </c>
      <c r="BR139" s="874">
        <f t="shared" si="264"/>
        <v>65.611236955134501</v>
      </c>
      <c r="BS139" s="874">
        <f>+BO139*(1+BS140)</f>
        <v>64.288516271824847</v>
      </c>
      <c r="BT139" s="875">
        <f>+BP139*(1+BT140)</f>
        <v>62.137642217158543</v>
      </c>
      <c r="BU139" s="1606">
        <f t="shared" si="264"/>
        <v>62.860212521224497</v>
      </c>
      <c r="BV139" s="874">
        <f t="shared" si="264"/>
        <v>65.283180770358825</v>
      </c>
      <c r="BW139" s="874">
        <f t="shared" si="264"/>
        <v>63.967073690465725</v>
      </c>
      <c r="BX139" s="875">
        <f t="shared" si="264"/>
        <v>61.826954006072754</v>
      </c>
      <c r="BY139" s="874">
        <f t="shared" si="264"/>
        <v>63.488814646436744</v>
      </c>
      <c r="BZ139" s="874">
        <f t="shared" si="264"/>
        <v>64.630348962655233</v>
      </c>
      <c r="CA139" s="874">
        <f t="shared" si="264"/>
        <v>63.327402953561069</v>
      </c>
      <c r="CB139" s="875">
        <f t="shared" si="264"/>
        <v>61.208684466012024</v>
      </c>
      <c r="CC139" s="1606">
        <f t="shared" si="264"/>
        <v>62.853926499972374</v>
      </c>
      <c r="CD139" s="874">
        <f t="shared" si="264"/>
        <v>63.337741983402125</v>
      </c>
      <c r="CE139" s="874">
        <f>+CA139*(1+CE140)</f>
        <v>62.694128924025456</v>
      </c>
      <c r="CF139" s="875">
        <f t="shared" si="264"/>
        <v>60.596597621351904</v>
      </c>
      <c r="CG139" s="234"/>
      <c r="CH139" s="160"/>
      <c r="CL139" s="103"/>
      <c r="CM139" s="874">
        <f t="shared" ref="CM139:CY139" si="265">+(CM143/CM100*1000)</f>
        <v>53.084976140510847</v>
      </c>
      <c r="CN139" s="874">
        <f t="shared" si="265"/>
        <v>58.551709784520412</v>
      </c>
      <c r="CO139" s="874">
        <f t="shared" si="265"/>
        <v>58.535187805295436</v>
      </c>
      <c r="CP139" s="874">
        <f t="shared" si="265"/>
        <v>52.783540231638426</v>
      </c>
      <c r="CQ139" s="874">
        <f t="shared" si="265"/>
        <v>54.263825798998532</v>
      </c>
      <c r="CR139" s="874">
        <f t="shared" si="265"/>
        <v>57.900263261471672</v>
      </c>
      <c r="CS139" s="874">
        <f t="shared" si="265"/>
        <v>60.09356710731219</v>
      </c>
      <c r="CT139" s="874">
        <f t="shared" si="265"/>
        <v>60.936279419937087</v>
      </c>
      <c r="CU139" s="874">
        <f t="shared" si="265"/>
        <v>62.767408800362354</v>
      </c>
      <c r="CV139" s="874">
        <f t="shared" si="265"/>
        <v>63.820497514550908</v>
      </c>
      <c r="CW139" s="874">
        <f t="shared" si="265"/>
        <v>63.501395026978173</v>
      </c>
      <c r="CX139" s="874">
        <f t="shared" si="265"/>
        <v>63.139237777458696</v>
      </c>
      <c r="CY139" s="874">
        <f t="shared" si="265"/>
        <v>62.34835878463651</v>
      </c>
      <c r="CZ139" s="874">
        <f t="shared" ref="CZ139:DF139" si="266">+CY139*(1+CZ140)</f>
        <v>62.34835878463651</v>
      </c>
      <c r="DA139" s="874">
        <f t="shared" si="266"/>
        <v>62.34835878463651</v>
      </c>
      <c r="DB139" s="874">
        <f t="shared" si="266"/>
        <v>62.34835878463651</v>
      </c>
      <c r="DC139" s="874">
        <f t="shared" si="266"/>
        <v>62.34835878463651</v>
      </c>
      <c r="DD139" s="874">
        <f t="shared" si="266"/>
        <v>62.34835878463651</v>
      </c>
      <c r="DE139" s="874">
        <f t="shared" si="266"/>
        <v>62.34835878463651</v>
      </c>
      <c r="DF139" s="875">
        <f t="shared" si="266"/>
        <v>62.34835878463651</v>
      </c>
    </row>
    <row r="140" spans="1:110" ht="12.75" customHeight="1">
      <c r="A140" s="8"/>
      <c r="B140" s="23"/>
      <c r="C140" s="23"/>
      <c r="D140" s="23"/>
      <c r="E140" s="23"/>
      <c r="F140" s="23"/>
      <c r="G140" s="8"/>
      <c r="H140" s="8"/>
      <c r="I140" s="882" t="s">
        <v>381</v>
      </c>
      <c r="J140" s="70"/>
      <c r="K140" s="70"/>
      <c r="P140" s="234"/>
      <c r="T140" s="234"/>
      <c r="X140" s="234"/>
      <c r="AB140" s="234"/>
      <c r="AF140" s="249"/>
      <c r="AG140" s="24"/>
      <c r="AH140" s="24"/>
      <c r="AI140" s="24"/>
      <c r="AJ140" s="234"/>
      <c r="AK140" s="876">
        <v>7.0999999999999994E-2</v>
      </c>
      <c r="AL140" s="876">
        <v>5.5E-2</v>
      </c>
      <c r="AM140" s="876">
        <v>6.4000000000000001E-2</v>
      </c>
      <c r="AN140" s="974">
        <v>7.0000000000000007E-2</v>
      </c>
      <c r="AO140" s="876">
        <v>0.02</v>
      </c>
      <c r="AP140" s="876">
        <v>0.04</v>
      </c>
      <c r="AQ140" s="877">
        <v>-0.01</v>
      </c>
      <c r="AR140" s="975">
        <v>-0.05</v>
      </c>
      <c r="AS140" s="877">
        <v>-0.1</v>
      </c>
      <c r="AT140" s="877">
        <v>-0.11</v>
      </c>
      <c r="AU140" s="877">
        <v>-0.11</v>
      </c>
      <c r="AV140" s="975">
        <v>-7.0000000000000007E-2</v>
      </c>
      <c r="AW140" s="877">
        <v>-0.02</v>
      </c>
      <c r="AX140" s="877">
        <v>2.5000000000000001E-2</v>
      </c>
      <c r="AY140" s="877">
        <v>0.05</v>
      </c>
      <c r="AZ140" s="912">
        <v>5.1999999999999998E-2</v>
      </c>
      <c r="BA140" s="842">
        <v>7.0000000000000007E-2</v>
      </c>
      <c r="BB140" s="842">
        <v>0.08</v>
      </c>
      <c r="BC140" s="878">
        <v>0.06</v>
      </c>
      <c r="BD140" s="987">
        <v>0.06</v>
      </c>
      <c r="BE140" s="878">
        <v>0.05</v>
      </c>
      <c r="BF140" s="878">
        <v>0.04</v>
      </c>
      <c r="BG140" s="878">
        <v>0.05</v>
      </c>
      <c r="BH140" s="987">
        <v>0.01</v>
      </c>
      <c r="BI140" s="878">
        <v>0.01</v>
      </c>
      <c r="BJ140" s="878">
        <v>0.01</v>
      </c>
      <c r="BK140" s="878">
        <v>1.7999999999999999E-2</v>
      </c>
      <c r="BL140" s="878">
        <v>0.02</v>
      </c>
      <c r="BM140" s="1645">
        <v>0.03</v>
      </c>
      <c r="BN140" s="878">
        <v>0.03</v>
      </c>
      <c r="BO140" s="878">
        <v>0.03</v>
      </c>
      <c r="BP140" s="878">
        <v>0.03</v>
      </c>
      <c r="BQ140" s="1645">
        <v>0.02</v>
      </c>
      <c r="BR140" s="878">
        <v>0.02</v>
      </c>
      <c r="BS140" s="842">
        <v>1.7500000000000002E-2</v>
      </c>
      <c r="BT140" s="878">
        <v>0.01</v>
      </c>
      <c r="BU140" s="1645">
        <v>-5.0000000000000001E-3</v>
      </c>
      <c r="BV140" s="842">
        <v>-5.0000000000000001E-3</v>
      </c>
      <c r="BW140" s="842">
        <v>-5.0000000000000001E-3</v>
      </c>
      <c r="BX140" s="878">
        <v>-5.0000000000000001E-3</v>
      </c>
      <c r="BY140" s="1645">
        <v>0.01</v>
      </c>
      <c r="BZ140" s="842">
        <v>-0.01</v>
      </c>
      <c r="CA140" s="842">
        <v>-0.01</v>
      </c>
      <c r="CB140" s="878">
        <v>-0.01</v>
      </c>
      <c r="CC140" s="1607">
        <v>-0.01</v>
      </c>
      <c r="CD140" s="1282">
        <f>+CD151</f>
        <v>-0.02</v>
      </c>
      <c r="CE140" s="1282">
        <v>-0.01</v>
      </c>
      <c r="CF140" s="1608">
        <v>-0.01</v>
      </c>
      <c r="CG140" s="234"/>
      <c r="CH140" s="160"/>
      <c r="CM140" s="24"/>
      <c r="CN140" s="203">
        <f t="shared" ref="CN140:CY140" si="267">+CN139/CM139-1</f>
        <v>0.10298080627444661</v>
      </c>
      <c r="CO140" s="877">
        <f t="shared" si="267"/>
        <v>-2.8217757065984728E-4</v>
      </c>
      <c r="CP140" s="877">
        <f t="shared" si="267"/>
        <v>-9.8259658665290628E-2</v>
      </c>
      <c r="CQ140" s="203">
        <f t="shared" si="267"/>
        <v>2.8044454026083354E-2</v>
      </c>
      <c r="CR140" s="203">
        <f t="shared" si="267"/>
        <v>6.7014026544001126E-2</v>
      </c>
      <c r="CS140" s="203">
        <f t="shared" si="267"/>
        <v>3.788072320044189E-2</v>
      </c>
      <c r="CT140" s="203">
        <f t="shared" si="267"/>
        <v>1.4023336493239391E-2</v>
      </c>
      <c r="CU140" s="203">
        <f t="shared" si="267"/>
        <v>3.0049904553676399E-2</v>
      </c>
      <c r="CV140" s="203">
        <f t="shared" si="267"/>
        <v>1.6777635628356213E-2</v>
      </c>
      <c r="CW140" s="203">
        <f t="shared" si="267"/>
        <v>-4.9999999999996714E-3</v>
      </c>
      <c r="CX140" s="203">
        <f t="shared" si="267"/>
        <v>-5.7031384801171647E-3</v>
      </c>
      <c r="CY140" s="203">
        <f t="shared" si="267"/>
        <v>-1.2525950908842565E-2</v>
      </c>
      <c r="CZ140" s="1751">
        <f>+CZ151</f>
        <v>0</v>
      </c>
      <c r="DA140" s="1751">
        <f t="shared" ref="DA140:DF140" si="268">+DA151</f>
        <v>0</v>
      </c>
      <c r="DB140" s="1751">
        <f t="shared" si="268"/>
        <v>0</v>
      </c>
      <c r="DC140" s="1751">
        <f t="shared" si="268"/>
        <v>0</v>
      </c>
      <c r="DD140" s="1751">
        <f t="shared" si="268"/>
        <v>0</v>
      </c>
      <c r="DE140" s="1751">
        <f t="shared" si="268"/>
        <v>0</v>
      </c>
      <c r="DF140" s="1805">
        <f t="shared" si="268"/>
        <v>0</v>
      </c>
    </row>
    <row r="141" spans="1:110" ht="12.75" customHeight="1">
      <c r="B141" s="34"/>
      <c r="C141" s="34"/>
      <c r="D141" s="34"/>
      <c r="E141" s="34"/>
      <c r="F141" s="34"/>
      <c r="I141" s="185" t="s">
        <v>254</v>
      </c>
      <c r="J141" s="70"/>
      <c r="K141" s="70"/>
      <c r="P141" s="234"/>
      <c r="T141" s="234"/>
      <c r="X141" s="234"/>
      <c r="AB141" s="234"/>
      <c r="AF141" s="249"/>
      <c r="AG141" s="64">
        <f>BE107</f>
        <v>0.01</v>
      </c>
      <c r="AH141" s="64">
        <f>BF107</f>
        <v>-1.7000000000000001E-2</v>
      </c>
      <c r="AI141" s="203"/>
      <c r="AJ141" s="204"/>
      <c r="AK141" s="876"/>
      <c r="AL141" s="876"/>
      <c r="AM141" s="876"/>
      <c r="AN141" s="974"/>
      <c r="AO141" s="876"/>
      <c r="AP141" s="876"/>
      <c r="AQ141" s="877"/>
      <c r="AR141" s="975"/>
      <c r="AS141" s="64">
        <f t="shared" ref="AS141:BD141" si="269">+AS140+AO140</f>
        <v>-0.08</v>
      </c>
      <c r="AT141" s="64">
        <f t="shared" si="269"/>
        <v>-7.0000000000000007E-2</v>
      </c>
      <c r="AU141" s="64">
        <f t="shared" si="269"/>
        <v>-0.12</v>
      </c>
      <c r="AV141" s="180">
        <f t="shared" si="269"/>
        <v>-0.12000000000000001</v>
      </c>
      <c r="AW141" s="64">
        <f t="shared" si="269"/>
        <v>-0.12000000000000001</v>
      </c>
      <c r="AX141" s="64">
        <f t="shared" si="269"/>
        <v>-8.4999999999999992E-2</v>
      </c>
      <c r="AY141" s="64">
        <f t="shared" si="269"/>
        <v>-0.06</v>
      </c>
      <c r="AZ141" s="180">
        <f t="shared" si="269"/>
        <v>-1.8000000000000009E-2</v>
      </c>
      <c r="BA141" s="64">
        <f t="shared" si="269"/>
        <v>0.05</v>
      </c>
      <c r="BB141" s="64">
        <f t="shared" si="269"/>
        <v>0.10500000000000001</v>
      </c>
      <c r="BC141" s="64">
        <f t="shared" si="269"/>
        <v>0.11</v>
      </c>
      <c r="BD141" s="180">
        <f t="shared" si="269"/>
        <v>0.11199999999999999</v>
      </c>
      <c r="BE141" s="64">
        <f t="shared" ref="BE141:BL141" si="270">+BE140+BA140</f>
        <v>0.12000000000000001</v>
      </c>
      <c r="BF141" s="64">
        <f t="shared" si="270"/>
        <v>0.12</v>
      </c>
      <c r="BG141" s="64">
        <f t="shared" si="270"/>
        <v>0.11</v>
      </c>
      <c r="BH141" s="180">
        <f t="shared" si="270"/>
        <v>6.9999999999999993E-2</v>
      </c>
      <c r="BI141" s="64">
        <f t="shared" si="270"/>
        <v>6.0000000000000005E-2</v>
      </c>
      <c r="BJ141" s="64">
        <f>+BJ140+BF140</f>
        <v>0.05</v>
      </c>
      <c r="BK141" s="64">
        <f>+BK140+BG140</f>
        <v>6.8000000000000005E-2</v>
      </c>
      <c r="BL141" s="64">
        <f t="shared" si="270"/>
        <v>0.03</v>
      </c>
      <c r="BM141" s="1263">
        <f t="shared" ref="BM141:CF141" si="271">+BM140+BI140</f>
        <v>0.04</v>
      </c>
      <c r="BN141" s="64">
        <f t="shared" si="271"/>
        <v>0.04</v>
      </c>
      <c r="BO141" s="64">
        <f t="shared" si="271"/>
        <v>4.8000000000000001E-2</v>
      </c>
      <c r="BP141" s="64">
        <f>+BP140+BL140</f>
        <v>0.05</v>
      </c>
      <c r="BQ141" s="1263">
        <f t="shared" si="271"/>
        <v>0.05</v>
      </c>
      <c r="BR141" s="64">
        <f t="shared" si="271"/>
        <v>0.05</v>
      </c>
      <c r="BS141" s="64">
        <f>+BS140+BO140</f>
        <v>4.7500000000000001E-2</v>
      </c>
      <c r="BT141" s="180">
        <f>+BT140+BP140</f>
        <v>0.04</v>
      </c>
      <c r="BU141" s="1263">
        <f t="shared" si="271"/>
        <v>1.4999999999999999E-2</v>
      </c>
      <c r="BV141" s="64">
        <f t="shared" si="271"/>
        <v>1.4999999999999999E-2</v>
      </c>
      <c r="BW141" s="64">
        <f t="shared" si="271"/>
        <v>1.2500000000000001E-2</v>
      </c>
      <c r="BX141" s="180">
        <f t="shared" si="271"/>
        <v>5.0000000000000001E-3</v>
      </c>
      <c r="BY141" s="1263">
        <f t="shared" si="271"/>
        <v>5.0000000000000001E-3</v>
      </c>
      <c r="BZ141" s="64">
        <f t="shared" si="271"/>
        <v>-1.4999999999999999E-2</v>
      </c>
      <c r="CA141" s="64">
        <f t="shared" si="271"/>
        <v>-1.4999999999999999E-2</v>
      </c>
      <c r="CB141" s="180">
        <f t="shared" si="271"/>
        <v>-1.4999999999999999E-2</v>
      </c>
      <c r="CC141" s="1263">
        <f t="shared" si="271"/>
        <v>0</v>
      </c>
      <c r="CD141" s="64">
        <f t="shared" si="271"/>
        <v>-0.03</v>
      </c>
      <c r="CE141" s="64">
        <f t="shared" si="271"/>
        <v>-0.02</v>
      </c>
      <c r="CF141" s="180">
        <f t="shared" si="271"/>
        <v>-0.02</v>
      </c>
      <c r="CG141" s="234"/>
      <c r="CH141" s="160"/>
      <c r="CM141" s="203"/>
      <c r="CN141" s="203"/>
      <c r="CO141" s="877"/>
      <c r="CP141" s="64">
        <f t="shared" ref="CP141:CZ141" si="272">+CP140+CO140</f>
        <v>-9.8541836235950475E-2</v>
      </c>
      <c r="CQ141" s="64">
        <f t="shared" si="272"/>
        <v>-7.0215204639207274E-2</v>
      </c>
      <c r="CR141" s="64">
        <f t="shared" si="272"/>
        <v>9.505848057008448E-2</v>
      </c>
      <c r="CS141" s="64">
        <f t="shared" si="272"/>
        <v>0.10489474974444302</v>
      </c>
      <c r="CT141" s="64">
        <f t="shared" si="272"/>
        <v>5.1904059693681281E-2</v>
      </c>
      <c r="CU141" s="64">
        <f t="shared" si="272"/>
        <v>4.407324104691579E-2</v>
      </c>
      <c r="CV141" s="64">
        <f t="shared" si="272"/>
        <v>4.6827540182032612E-2</v>
      </c>
      <c r="CW141" s="64">
        <f t="shared" si="272"/>
        <v>1.1777635628356542E-2</v>
      </c>
      <c r="CX141" s="64">
        <f t="shared" si="272"/>
        <v>-1.0703138480116836E-2</v>
      </c>
      <c r="CY141" s="64">
        <f t="shared" si="272"/>
        <v>-1.8229089388959729E-2</v>
      </c>
      <c r="CZ141" s="64">
        <f t="shared" si="272"/>
        <v>-1.2525950908842565E-2</v>
      </c>
      <c r="DA141" s="64">
        <f t="shared" ref="DA141:DF141" si="273">+DA140+CZ140</f>
        <v>0</v>
      </c>
      <c r="DB141" s="64">
        <f t="shared" si="273"/>
        <v>0</v>
      </c>
      <c r="DC141" s="64">
        <f t="shared" si="273"/>
        <v>0</v>
      </c>
      <c r="DD141" s="64">
        <f t="shared" si="273"/>
        <v>0</v>
      </c>
      <c r="DE141" s="64">
        <f t="shared" si="273"/>
        <v>0</v>
      </c>
      <c r="DF141" s="180">
        <f t="shared" si="273"/>
        <v>0</v>
      </c>
    </row>
    <row r="142" spans="1:110" ht="12.75" customHeight="1">
      <c r="I142" s="160"/>
      <c r="P142" s="234"/>
      <c r="T142" s="234"/>
      <c r="X142" s="234"/>
      <c r="AB142" s="234"/>
      <c r="AF142" s="249"/>
      <c r="AG142" s="203"/>
      <c r="AH142" s="203"/>
      <c r="AI142" s="203"/>
      <c r="AJ142" s="204"/>
      <c r="AK142" s="879"/>
      <c r="AL142" s="203"/>
      <c r="AM142" s="203"/>
      <c r="AN142" s="204"/>
      <c r="AO142" s="203"/>
      <c r="AP142" s="879"/>
      <c r="AQ142" s="203"/>
      <c r="AR142" s="204"/>
      <c r="AS142" s="203"/>
      <c r="AT142" s="203"/>
      <c r="AU142" s="203"/>
      <c r="AV142" s="204"/>
      <c r="AW142" s="203"/>
      <c r="AX142" s="203"/>
      <c r="AY142" s="203"/>
      <c r="AZ142" s="202"/>
      <c r="BA142" s="24"/>
      <c r="BB142" s="880"/>
      <c r="BC142" s="880"/>
      <c r="BD142" s="988"/>
      <c r="BE142" s="24"/>
      <c r="BF142" s="24"/>
      <c r="BG142" s="24"/>
      <c r="BH142" s="216"/>
      <c r="BI142" s="170"/>
      <c r="BJ142" s="38"/>
      <c r="BK142" s="38"/>
      <c r="BL142" s="38"/>
      <c r="BM142" s="173"/>
      <c r="BN142" s="38"/>
      <c r="BO142" s="38"/>
      <c r="BP142" s="103"/>
      <c r="BQ142" s="265"/>
      <c r="BR142" s="103"/>
      <c r="BS142" s="103"/>
      <c r="BT142" s="202"/>
      <c r="BU142" s="265"/>
      <c r="BV142" s="103"/>
      <c r="BW142" s="103"/>
      <c r="BX142" s="202"/>
      <c r="BY142" s="265"/>
      <c r="BZ142" s="103"/>
      <c r="CA142" s="103"/>
      <c r="CB142" s="202"/>
      <c r="CC142" s="265"/>
      <c r="CD142" s="103"/>
      <c r="CE142" s="103"/>
      <c r="CF142" s="202"/>
      <c r="CG142" s="234"/>
      <c r="CH142" s="160"/>
      <c r="CM142" s="203"/>
      <c r="CN142" s="203"/>
      <c r="CO142" s="203"/>
      <c r="CP142" s="203"/>
      <c r="CQ142" s="103"/>
      <c r="CR142" s="103"/>
      <c r="CS142" s="103"/>
      <c r="CT142" s="103"/>
      <c r="CU142" s="103"/>
      <c r="CV142" s="103"/>
      <c r="CW142" s="103"/>
      <c r="CX142" s="103"/>
      <c r="CY142" s="103"/>
      <c r="DF142" s="234"/>
    </row>
    <row r="143" spans="1:110" s="59" customFormat="1" ht="12.75" customHeight="1">
      <c r="A143" s="24"/>
      <c r="B143" s="24"/>
      <c r="C143" s="24"/>
      <c r="D143" s="24"/>
      <c r="E143" s="24"/>
      <c r="F143" s="24"/>
      <c r="G143" s="24"/>
      <c r="H143" s="24"/>
      <c r="I143" s="181" t="s">
        <v>238</v>
      </c>
      <c r="P143" s="246"/>
      <c r="T143" s="246"/>
      <c r="X143" s="246"/>
      <c r="AB143" s="246"/>
      <c r="AC143" s="811"/>
      <c r="AD143" s="811"/>
      <c r="AE143" s="811"/>
      <c r="AF143" s="958"/>
      <c r="AG143" s="103">
        <f t="shared" ref="AG143:BL143" si="274">+AG139*AG100/1000</f>
        <v>98.218450000000018</v>
      </c>
      <c r="AH143" s="103">
        <f t="shared" si="274"/>
        <v>111.26362500000002</v>
      </c>
      <c r="AI143" s="103">
        <f t="shared" si="274"/>
        <v>112.35510000000001</v>
      </c>
      <c r="AJ143" s="202">
        <f t="shared" si="274"/>
        <v>91.484250000000017</v>
      </c>
      <c r="AK143" s="103">
        <f t="shared" si="274"/>
        <v>114.62836235573526</v>
      </c>
      <c r="AL143" s="103">
        <f t="shared" si="274"/>
        <v>132.33980508056598</v>
      </c>
      <c r="AM143" s="103">
        <f t="shared" si="274"/>
        <v>133.84172959257455</v>
      </c>
      <c r="AN143" s="202">
        <f t="shared" si="274"/>
        <v>115.674229014801</v>
      </c>
      <c r="AO143" s="103">
        <f t="shared" si="274"/>
        <v>151.38464066587349</v>
      </c>
      <c r="AP143" s="103">
        <f t="shared" si="274"/>
        <v>185.5599914913995</v>
      </c>
      <c r="AQ143" s="103">
        <f t="shared" si="274"/>
        <v>175.01236067323356</v>
      </c>
      <c r="AR143" s="202">
        <f t="shared" si="274"/>
        <v>162.86052574558539</v>
      </c>
      <c r="AS143" s="103">
        <f t="shared" si="274"/>
        <v>192.74799251978985</v>
      </c>
      <c r="AT143" s="103">
        <f t="shared" si="274"/>
        <v>248.6705145186265</v>
      </c>
      <c r="AU143" s="103">
        <f t="shared" si="274"/>
        <v>246.80407511808167</v>
      </c>
      <c r="AV143" s="202">
        <f t="shared" si="274"/>
        <v>199.89453962657237</v>
      </c>
      <c r="AW143" s="103">
        <f t="shared" si="274"/>
        <v>227.51799523504917</v>
      </c>
      <c r="AX143" s="103">
        <f t="shared" si="274"/>
        <v>296.11187517243002</v>
      </c>
      <c r="AY143" s="103">
        <f t="shared" si="274"/>
        <v>291.68388189331722</v>
      </c>
      <c r="AZ143" s="202">
        <f t="shared" si="274"/>
        <v>238.21049041190605</v>
      </c>
      <c r="BA143" s="103">
        <f t="shared" si="274"/>
        <v>257.68907505392076</v>
      </c>
      <c r="BB143" s="103">
        <f t="shared" si="274"/>
        <v>303.62415228036622</v>
      </c>
      <c r="BC143" s="103">
        <f t="shared" si="274"/>
        <v>321.60850872560411</v>
      </c>
      <c r="BD143" s="202">
        <f t="shared" si="274"/>
        <v>271.9445572357767</v>
      </c>
      <c r="BE143" s="103">
        <f t="shared" si="274"/>
        <v>273.27926409468301</v>
      </c>
      <c r="BF143" s="103">
        <f t="shared" si="274"/>
        <v>310.40104335926401</v>
      </c>
      <c r="BG143" s="103">
        <f t="shared" si="274"/>
        <v>332.62360014945614</v>
      </c>
      <c r="BH143" s="202">
        <f t="shared" si="274"/>
        <v>270.54404276601247</v>
      </c>
      <c r="BI143" s="103">
        <f t="shared" si="274"/>
        <v>278.77217730298611</v>
      </c>
      <c r="BJ143" s="103">
        <f t="shared" si="274"/>
        <v>329.18030648249947</v>
      </c>
      <c r="BK143" s="103">
        <f t="shared" si="274"/>
        <v>365.69969094831805</v>
      </c>
      <c r="BL143" s="103">
        <f t="shared" si="274"/>
        <v>331.14590834559925</v>
      </c>
      <c r="BM143" s="265">
        <f t="shared" ref="BM143:CF143" si="275">+BM139*BM100/1000</f>
        <v>304.36346317940024</v>
      </c>
      <c r="BN143" s="103">
        <f t="shared" si="275"/>
        <v>359.39905861759297</v>
      </c>
      <c r="BO143" s="103">
        <f t="shared" si="275"/>
        <v>399.27092257737365</v>
      </c>
      <c r="BP143" s="103">
        <f t="shared" si="275"/>
        <v>358.13429987576563</v>
      </c>
      <c r="BQ143" s="265">
        <f t="shared" si="275"/>
        <v>325.97326906513769</v>
      </c>
      <c r="BR143" s="103">
        <f t="shared" si="275"/>
        <v>384.91639177944211</v>
      </c>
      <c r="BS143" s="103">
        <f t="shared" si="275"/>
        <v>426.5710719086016</v>
      </c>
      <c r="BT143" s="202">
        <f t="shared" si="275"/>
        <v>379.80142501824946</v>
      </c>
      <c r="BU143" s="265">
        <f t="shared" si="275"/>
        <v>340.5605728558026</v>
      </c>
      <c r="BV143" s="103">
        <f t="shared" si="275"/>
        <v>402.14140031157206</v>
      </c>
      <c r="BW143" s="103">
        <f t="shared" si="275"/>
        <v>445.66012737651158</v>
      </c>
      <c r="BX143" s="202">
        <f t="shared" si="275"/>
        <v>396.79753878781617</v>
      </c>
      <c r="BY143" s="103">
        <f>+BY139*BY100/1000</f>
        <v>361.16448751357865</v>
      </c>
      <c r="BZ143" s="103">
        <f t="shared" si="275"/>
        <v>418.02598562387919</v>
      </c>
      <c r="CA143" s="103">
        <f t="shared" si="275"/>
        <v>463.26370240788384</v>
      </c>
      <c r="CB143" s="202">
        <f t="shared" si="275"/>
        <v>412.47104156993493</v>
      </c>
      <c r="CC143" s="265">
        <f t="shared" si="275"/>
        <v>375.43048477036501</v>
      </c>
      <c r="CD143" s="103">
        <f t="shared" si="275"/>
        <v>430.1487392069717</v>
      </c>
      <c r="CE143" s="103">
        <f t="shared" si="275"/>
        <v>481.56261865299518</v>
      </c>
      <c r="CF143" s="202">
        <f t="shared" si="275"/>
        <v>428.76364771194733</v>
      </c>
      <c r="CG143" s="246"/>
      <c r="CH143" s="181"/>
      <c r="CM143" s="103">
        <f>+SUM(AG143:AJ143)</f>
        <v>413.32142500000009</v>
      </c>
      <c r="CN143" s="103">
        <f>+SUM(AK143:AN143)</f>
        <v>496.48412604367684</v>
      </c>
      <c r="CO143" s="103">
        <f>+SUM(AO143:AR143)</f>
        <v>674.81751857609197</v>
      </c>
      <c r="CP143" s="103">
        <f>+SUM(AS143:AV143)</f>
        <v>888.11712178307039</v>
      </c>
      <c r="CQ143" s="103">
        <f>+SUM(AW143:AZ143)</f>
        <v>1053.5242427127025</v>
      </c>
      <c r="CR143" s="103">
        <f>+SUM(BA143:BD143)</f>
        <v>1154.8662932956677</v>
      </c>
      <c r="CS143" s="103">
        <f>+SUM(BE143:BH143)</f>
        <v>1186.8479503694157</v>
      </c>
      <c r="CT143" s="103">
        <f>+SUM(BI143:BL143)</f>
        <v>1304.7980830794029</v>
      </c>
      <c r="CU143" s="103">
        <f>+SUM(BM143:BP143)</f>
        <v>1421.1677442501325</v>
      </c>
      <c r="CV143" s="103">
        <f>+SUM(BQ143:BT143)</f>
        <v>1517.2621577714308</v>
      </c>
      <c r="CW143" s="103">
        <f>+SUM(BU143:BX143)</f>
        <v>1585.1596393317025</v>
      </c>
      <c r="CX143" s="103">
        <f>+SUM(BY143:CB143)</f>
        <v>1654.9252171152766</v>
      </c>
      <c r="CY143" s="103">
        <f>+SUM(CC143:CF143)</f>
        <v>1715.9054903422793</v>
      </c>
      <c r="CZ143" s="103">
        <f t="shared" ref="CZ143:DF143" si="276">+CZ139*CZ100/1000</f>
        <v>1784.5417099559706</v>
      </c>
      <c r="DA143" s="103">
        <f t="shared" si="276"/>
        <v>1855.9233783542097</v>
      </c>
      <c r="DB143" s="103">
        <f t="shared" si="276"/>
        <v>1930.1603134883781</v>
      </c>
      <c r="DC143" s="103">
        <f t="shared" si="276"/>
        <v>2007.366726027913</v>
      </c>
      <c r="DD143" s="103">
        <f t="shared" si="276"/>
        <v>2087.6613950690298</v>
      </c>
      <c r="DE143" s="103">
        <f t="shared" si="276"/>
        <v>2171.167850871791</v>
      </c>
      <c r="DF143" s="202">
        <f t="shared" si="276"/>
        <v>2258.0145649066626</v>
      </c>
    </row>
    <row r="144" spans="1:110" ht="12.75" customHeight="1">
      <c r="I144" s="185" t="s">
        <v>376</v>
      </c>
      <c r="J144" s="70"/>
      <c r="K144" s="70"/>
      <c r="P144" s="234"/>
      <c r="T144" s="234"/>
      <c r="X144" s="234"/>
      <c r="AB144" s="234"/>
      <c r="AF144" s="249"/>
      <c r="AG144" s="203"/>
      <c r="AH144" s="203"/>
      <c r="AI144" s="203"/>
      <c r="AJ144" s="204"/>
      <c r="AK144" s="203">
        <f t="shared" ref="AK144:BD144" si="277">+AK143/AG143-1</f>
        <v>0.16707565997768481</v>
      </c>
      <c r="AL144" s="203">
        <f t="shared" si="277"/>
        <v>0.18942561039662298</v>
      </c>
      <c r="AM144" s="203">
        <f t="shared" si="277"/>
        <v>0.19123857833400115</v>
      </c>
      <c r="AN144" s="204">
        <f t="shared" si="277"/>
        <v>0.26441686973223244</v>
      </c>
      <c r="AO144" s="203">
        <f t="shared" si="277"/>
        <v>0.32065605365685634</v>
      </c>
      <c r="AP144" s="203">
        <f t="shared" si="277"/>
        <v>0.40214798849396871</v>
      </c>
      <c r="AQ144" s="203">
        <f t="shared" si="277"/>
        <v>0.30760683686609447</v>
      </c>
      <c r="AR144" s="204">
        <f t="shared" si="277"/>
        <v>0.40792402190765165</v>
      </c>
      <c r="AS144" s="203">
        <f t="shared" si="277"/>
        <v>0.27323347779522034</v>
      </c>
      <c r="AT144" s="203">
        <f t="shared" si="277"/>
        <v>0.34010846044984921</v>
      </c>
      <c r="AU144" s="203">
        <f t="shared" si="277"/>
        <v>0.41020939417468227</v>
      </c>
      <c r="AV144" s="204">
        <f t="shared" si="277"/>
        <v>0.2273971160994539</v>
      </c>
      <c r="AW144" s="203">
        <f t="shared" si="277"/>
        <v>0.18039099790722557</v>
      </c>
      <c r="AX144" s="203">
        <f t="shared" si="277"/>
        <v>0.19077999957349157</v>
      </c>
      <c r="AY144" s="203">
        <f t="shared" si="277"/>
        <v>0.18184386442469846</v>
      </c>
      <c r="AZ144" s="180">
        <f t="shared" si="277"/>
        <v>0.19168082758494864</v>
      </c>
      <c r="BA144" s="64">
        <f t="shared" si="277"/>
        <v>0.13260964165802269</v>
      </c>
      <c r="BB144" s="64">
        <f t="shared" si="277"/>
        <v>2.536972589688169E-2</v>
      </c>
      <c r="BC144" s="64">
        <f t="shared" si="277"/>
        <v>0.1025926651758966</v>
      </c>
      <c r="BD144" s="180">
        <f t="shared" si="277"/>
        <v>0.14161453076872799</v>
      </c>
      <c r="BE144" s="64">
        <f t="shared" ref="BE144:BL144" si="278">+BE143/BA143-1</f>
        <v>6.050000000000022E-2</v>
      </c>
      <c r="BF144" s="64">
        <f t="shared" si="278"/>
        <v>2.2320000000000118E-2</v>
      </c>
      <c r="BG144" s="64">
        <f t="shared" si="278"/>
        <v>3.4250000000000336E-2</v>
      </c>
      <c r="BH144" s="180">
        <f t="shared" si="278"/>
        <v>-5.1499999999999879E-3</v>
      </c>
      <c r="BI144" s="64">
        <f t="shared" si="278"/>
        <v>2.0099999999999785E-2</v>
      </c>
      <c r="BJ144" s="64">
        <f t="shared" si="278"/>
        <v>6.0499999999999998E-2</v>
      </c>
      <c r="BK144" s="64">
        <f t="shared" si="278"/>
        <v>9.9439999999999973E-2</v>
      </c>
      <c r="BL144" s="64">
        <f t="shared" si="278"/>
        <v>0.22399999999999998</v>
      </c>
      <c r="BM144" s="1263">
        <f t="shared" ref="BM144:CF144" si="279">+BM143/BI143-1</f>
        <v>9.1800000000000104E-2</v>
      </c>
      <c r="BN144" s="64">
        <f t="shared" si="279"/>
        <v>9.1800000000000104E-2</v>
      </c>
      <c r="BO144" s="64">
        <f t="shared" si="279"/>
        <v>9.1800000000000104E-2</v>
      </c>
      <c r="BP144" s="64">
        <f t="shared" si="279"/>
        <v>8.1500000000000128E-2</v>
      </c>
      <c r="BQ144" s="1263">
        <f t="shared" si="279"/>
        <v>7.1000000000000174E-2</v>
      </c>
      <c r="BR144" s="64">
        <f t="shared" si="279"/>
        <v>7.1000000000000174E-2</v>
      </c>
      <c r="BS144" s="64">
        <f t="shared" si="279"/>
        <v>6.8375000000000075E-2</v>
      </c>
      <c r="BT144" s="180">
        <f t="shared" si="279"/>
        <v>6.0499999999999998E-2</v>
      </c>
      <c r="BU144" s="1263">
        <f t="shared" si="279"/>
        <v>4.4750000000000068E-2</v>
      </c>
      <c r="BV144" s="64">
        <f t="shared" si="279"/>
        <v>4.4749999999999845E-2</v>
      </c>
      <c r="BW144" s="64">
        <f t="shared" si="279"/>
        <v>4.4750000000000068E-2</v>
      </c>
      <c r="BX144" s="180">
        <f t="shared" si="279"/>
        <v>4.4750000000000068E-2</v>
      </c>
      <c r="BY144" s="64">
        <f t="shared" si="279"/>
        <v>6.0499999999999998E-2</v>
      </c>
      <c r="BZ144" s="64">
        <f t="shared" si="279"/>
        <v>3.9500000000000091E-2</v>
      </c>
      <c r="CA144" s="64">
        <f t="shared" si="279"/>
        <v>3.9500000000000091E-2</v>
      </c>
      <c r="CB144" s="180">
        <f t="shared" si="279"/>
        <v>3.9500000000000091E-2</v>
      </c>
      <c r="CC144" s="1263">
        <f t="shared" si="279"/>
        <v>3.9500000000000091E-2</v>
      </c>
      <c r="CD144" s="64">
        <f t="shared" si="279"/>
        <v>2.8999999999999915E-2</v>
      </c>
      <c r="CE144" s="64">
        <f t="shared" si="279"/>
        <v>3.9499999999999869E-2</v>
      </c>
      <c r="CF144" s="180">
        <f t="shared" si="279"/>
        <v>3.9499999999999869E-2</v>
      </c>
      <c r="CG144" s="234"/>
      <c r="CH144" s="160"/>
      <c r="CM144" s="203"/>
      <c r="CN144" s="203">
        <f t="shared" ref="CN144:CX144" si="280">+CN143/CM143-1</f>
        <v>0.20120588000894646</v>
      </c>
      <c r="CO144" s="203">
        <f t="shared" si="280"/>
        <v>0.35919253643313209</v>
      </c>
      <c r="CP144" s="203">
        <f t="shared" si="280"/>
        <v>0.31608486344138509</v>
      </c>
      <c r="CQ144" s="64">
        <f t="shared" si="280"/>
        <v>0.18624471578427038</v>
      </c>
      <c r="CR144" s="64">
        <f t="shared" si="280"/>
        <v>9.6193373132089643E-2</v>
      </c>
      <c r="CS144" s="64">
        <f t="shared" si="280"/>
        <v>2.7692952213958177E-2</v>
      </c>
      <c r="CT144" s="64">
        <f t="shared" si="280"/>
        <v>9.9380997096784274E-2</v>
      </c>
      <c r="CU144" s="64">
        <f t="shared" si="280"/>
        <v>8.9185953504844262E-2</v>
      </c>
      <c r="CV144" s="64">
        <f t="shared" si="280"/>
        <v>6.7616517409774035E-2</v>
      </c>
      <c r="CW144" s="64">
        <f t="shared" si="280"/>
        <v>4.4750000000000068E-2</v>
      </c>
      <c r="CX144" s="64">
        <f t="shared" si="280"/>
        <v>4.4011704595877221E-2</v>
      </c>
      <c r="CY144" s="64">
        <f>+CY143/CX143-1</f>
        <v>3.684775154571529E-2</v>
      </c>
      <c r="CZ144" s="64">
        <f>+CZ143/CY143-1</f>
        <v>4.0000000000000036E-2</v>
      </c>
      <c r="DA144" s="64">
        <f t="shared" ref="DA144:DF144" si="281">+DA143/CZ143-1</f>
        <v>4.0000000000000036E-2</v>
      </c>
      <c r="DB144" s="64">
        <f t="shared" si="281"/>
        <v>4.0000000000000036E-2</v>
      </c>
      <c r="DC144" s="64">
        <f t="shared" si="281"/>
        <v>4.0000000000000036E-2</v>
      </c>
      <c r="DD144" s="64">
        <f t="shared" si="281"/>
        <v>4.0000000000000036E-2</v>
      </c>
      <c r="DE144" s="64">
        <f t="shared" si="281"/>
        <v>4.0000000000000036E-2</v>
      </c>
      <c r="DF144" s="180">
        <f t="shared" si="281"/>
        <v>4.0000000000000036E-2</v>
      </c>
    </row>
    <row r="145" spans="1:110" ht="12.75" customHeight="1">
      <c r="I145" s="185" t="s">
        <v>385</v>
      </c>
      <c r="J145" s="70"/>
      <c r="K145" s="70"/>
      <c r="P145" s="234"/>
      <c r="T145" s="234"/>
      <c r="X145" s="234"/>
      <c r="AB145" s="234"/>
      <c r="AF145" s="249"/>
      <c r="AG145" s="203"/>
      <c r="AH145" s="203"/>
      <c r="AI145" s="203"/>
      <c r="AJ145" s="204"/>
      <c r="AK145" s="30">
        <f t="shared" ref="AK145:BD145" si="282">+AK143-AG143</f>
        <v>16.409912355735244</v>
      </c>
      <c r="AL145" s="30">
        <f t="shared" si="282"/>
        <v>21.076180080565962</v>
      </c>
      <c r="AM145" s="30">
        <f t="shared" si="282"/>
        <v>21.486629592574545</v>
      </c>
      <c r="AN145" s="179">
        <f t="shared" si="282"/>
        <v>24.189979014800983</v>
      </c>
      <c r="AO145" s="30">
        <f t="shared" si="282"/>
        <v>36.756278310138228</v>
      </c>
      <c r="AP145" s="30">
        <f t="shared" si="282"/>
        <v>53.22018641083352</v>
      </c>
      <c r="AQ145" s="30">
        <f t="shared" si="282"/>
        <v>41.170631080659007</v>
      </c>
      <c r="AR145" s="179">
        <f t="shared" si="282"/>
        <v>47.186296730784392</v>
      </c>
      <c r="AS145" s="30">
        <f t="shared" si="282"/>
        <v>41.363351853916356</v>
      </c>
      <c r="AT145" s="30">
        <f t="shared" si="282"/>
        <v>63.110523027227003</v>
      </c>
      <c r="AU145" s="30">
        <f t="shared" si="282"/>
        <v>71.791714444848111</v>
      </c>
      <c r="AV145" s="179">
        <f t="shared" si="282"/>
        <v>37.034013880986976</v>
      </c>
      <c r="AW145" s="30">
        <f t="shared" si="282"/>
        <v>34.770002715259324</v>
      </c>
      <c r="AX145" s="30">
        <f t="shared" si="282"/>
        <v>47.441360653803514</v>
      </c>
      <c r="AY145" s="30">
        <f t="shared" si="282"/>
        <v>44.879806775235551</v>
      </c>
      <c r="AZ145" s="179">
        <f t="shared" si="282"/>
        <v>38.315950785333683</v>
      </c>
      <c r="BA145" s="30">
        <f t="shared" si="282"/>
        <v>30.17107981887159</v>
      </c>
      <c r="BB145" s="30">
        <f t="shared" si="282"/>
        <v>7.5122771079361996</v>
      </c>
      <c r="BC145" s="30">
        <f t="shared" si="282"/>
        <v>29.92462683228689</v>
      </c>
      <c r="BD145" s="179">
        <f t="shared" si="282"/>
        <v>33.734066823870648</v>
      </c>
      <c r="BE145" s="30">
        <f t="shared" ref="BE145:BL145" si="283">+BE143-BA143</f>
        <v>15.590189040762255</v>
      </c>
      <c r="BF145" s="30">
        <f t="shared" si="283"/>
        <v>6.7768910788977905</v>
      </c>
      <c r="BG145" s="30">
        <f t="shared" si="283"/>
        <v>11.015091423852027</v>
      </c>
      <c r="BH145" s="179">
        <f t="shared" si="283"/>
        <v>-1.4005144697642322</v>
      </c>
      <c r="BI145" s="30">
        <f t="shared" si="283"/>
        <v>5.4929132083030936</v>
      </c>
      <c r="BJ145" s="30">
        <f t="shared" si="283"/>
        <v>18.779263123235467</v>
      </c>
      <c r="BK145" s="30">
        <f t="shared" si="283"/>
        <v>33.076090798861912</v>
      </c>
      <c r="BL145" s="30">
        <f t="shared" si="283"/>
        <v>60.601865579586786</v>
      </c>
      <c r="BM145" s="1609">
        <f t="shared" ref="BM145:CF145" si="284">+BM143-BI143</f>
        <v>25.591285876414133</v>
      </c>
      <c r="BN145" s="30">
        <f t="shared" si="284"/>
        <v>30.218752135093496</v>
      </c>
      <c r="BO145" s="30">
        <f t="shared" si="284"/>
        <v>33.571231629055603</v>
      </c>
      <c r="BP145" s="30">
        <f t="shared" si="284"/>
        <v>26.988391530166382</v>
      </c>
      <c r="BQ145" s="1609">
        <f t="shared" si="284"/>
        <v>21.609805885737444</v>
      </c>
      <c r="BR145" s="30">
        <f t="shared" si="284"/>
        <v>25.517333161849137</v>
      </c>
      <c r="BS145" s="30">
        <f t="shared" si="284"/>
        <v>27.300149331227942</v>
      </c>
      <c r="BT145" s="179">
        <f t="shared" si="284"/>
        <v>21.667125142483826</v>
      </c>
      <c r="BU145" s="1609">
        <f t="shared" si="284"/>
        <v>14.587303790664919</v>
      </c>
      <c r="BV145" s="30">
        <f t="shared" si="284"/>
        <v>17.225008532129948</v>
      </c>
      <c r="BW145" s="30">
        <f t="shared" si="284"/>
        <v>19.089055467909986</v>
      </c>
      <c r="BX145" s="179">
        <f t="shared" si="284"/>
        <v>16.996113769566705</v>
      </c>
      <c r="BY145" s="30">
        <f t="shared" si="284"/>
        <v>20.603914657776045</v>
      </c>
      <c r="BZ145" s="30">
        <f t="shared" si="284"/>
        <v>15.884585312307138</v>
      </c>
      <c r="CA145" s="30">
        <f t="shared" si="284"/>
        <v>17.603575031372259</v>
      </c>
      <c r="CB145" s="179">
        <f t="shared" si="284"/>
        <v>15.67350278211876</v>
      </c>
      <c r="CC145" s="1609">
        <f t="shared" si="284"/>
        <v>14.265997256786363</v>
      </c>
      <c r="CD145" s="30">
        <f t="shared" si="284"/>
        <v>12.122753583092504</v>
      </c>
      <c r="CE145" s="30">
        <f t="shared" si="284"/>
        <v>18.298916245111343</v>
      </c>
      <c r="CF145" s="179">
        <f t="shared" si="284"/>
        <v>16.292606142012403</v>
      </c>
      <c r="CG145" s="234"/>
      <c r="CH145" s="160"/>
      <c r="CM145" s="203"/>
      <c r="CN145" s="30">
        <f t="shared" ref="CN145:CX145" si="285">+CN143-CM143</f>
        <v>83.162701043676748</v>
      </c>
      <c r="CO145" s="30">
        <f t="shared" si="285"/>
        <v>178.33339253241513</v>
      </c>
      <c r="CP145" s="30">
        <f t="shared" si="285"/>
        <v>213.29960320697842</v>
      </c>
      <c r="CQ145" s="30">
        <f t="shared" si="285"/>
        <v>165.40712092963213</v>
      </c>
      <c r="CR145" s="30">
        <f t="shared" si="285"/>
        <v>101.34205058296516</v>
      </c>
      <c r="CS145" s="30">
        <f t="shared" si="285"/>
        <v>31.981657073748011</v>
      </c>
      <c r="CT145" s="30">
        <f t="shared" si="285"/>
        <v>117.9501327099872</v>
      </c>
      <c r="CU145" s="30">
        <f t="shared" si="285"/>
        <v>116.36966117072961</v>
      </c>
      <c r="CV145" s="30">
        <f t="shared" si="285"/>
        <v>96.094413521298293</v>
      </c>
      <c r="CW145" s="30">
        <f t="shared" si="285"/>
        <v>67.897481560271672</v>
      </c>
      <c r="CX145" s="30">
        <f t="shared" si="285"/>
        <v>69.765577783574145</v>
      </c>
      <c r="CY145" s="30">
        <f>+CY143-CX143</f>
        <v>60.980273227002726</v>
      </c>
      <c r="CZ145" s="30">
        <f>+CZ143-CY143</f>
        <v>68.63621961369131</v>
      </c>
      <c r="DA145" s="30">
        <f t="shared" ref="DA145:DF145" si="286">+DA143-CZ143</f>
        <v>71.381668398239071</v>
      </c>
      <c r="DB145" s="30">
        <f t="shared" si="286"/>
        <v>74.236935134168334</v>
      </c>
      <c r="DC145" s="30">
        <f t="shared" si="286"/>
        <v>77.206412539534995</v>
      </c>
      <c r="DD145" s="30">
        <f t="shared" si="286"/>
        <v>80.294669041116776</v>
      </c>
      <c r="DE145" s="30">
        <f t="shared" si="286"/>
        <v>83.506455802761138</v>
      </c>
      <c r="DF145" s="179">
        <f t="shared" si="286"/>
        <v>86.846714034871638</v>
      </c>
    </row>
    <row r="146" spans="1:110" ht="12.75" customHeight="1">
      <c r="I146" s="185"/>
      <c r="J146" s="70"/>
      <c r="K146" s="70"/>
      <c r="P146" s="234"/>
      <c r="T146" s="234"/>
      <c r="X146" s="234"/>
      <c r="AB146" s="234"/>
      <c r="AF146" s="249"/>
      <c r="AG146" s="203"/>
      <c r="AH146" s="203"/>
      <c r="AI146" s="203"/>
      <c r="AJ146" s="204"/>
      <c r="AK146" s="64"/>
      <c r="AL146" s="64"/>
      <c r="AM146" s="64"/>
      <c r="AN146" s="180"/>
      <c r="AO146" s="813"/>
      <c r="AP146" s="64"/>
      <c r="AQ146" s="813"/>
      <c r="AR146" s="881"/>
      <c r="AS146" s="813"/>
      <c r="AT146" s="813"/>
      <c r="AU146" s="813"/>
      <c r="AV146" s="881"/>
      <c r="AW146" s="813"/>
      <c r="AX146" s="813"/>
      <c r="AY146" s="813"/>
      <c r="AZ146" s="731"/>
      <c r="BA146" s="103"/>
      <c r="BB146" s="103"/>
      <c r="BC146" s="103"/>
      <c r="BD146" s="202"/>
      <c r="BE146" s="103"/>
      <c r="BF146" s="103"/>
      <c r="BG146" s="24"/>
      <c r="BH146" s="216"/>
      <c r="BI146" s="38"/>
      <c r="BJ146" s="38"/>
      <c r="BK146" s="38"/>
      <c r="BL146" s="38"/>
      <c r="BM146" s="173"/>
      <c r="BN146" s="38"/>
      <c r="BO146" s="38"/>
      <c r="BP146" s="103"/>
      <c r="BQ146" s="265"/>
      <c r="BR146" s="103"/>
      <c r="BS146" s="103"/>
      <c r="BT146" s="202"/>
      <c r="BU146" s="265"/>
      <c r="BV146" s="103"/>
      <c r="BW146" s="103"/>
      <c r="BX146" s="103"/>
      <c r="BY146" s="265"/>
      <c r="BZ146" s="103"/>
      <c r="CA146" s="103"/>
      <c r="CB146" s="202"/>
      <c r="CC146" s="265"/>
      <c r="CD146" s="103"/>
      <c r="CE146" s="103"/>
      <c r="CF146" s="202"/>
      <c r="CG146" s="234"/>
      <c r="CH146" s="160"/>
      <c r="CM146" s="203"/>
      <c r="CN146" s="203"/>
      <c r="CO146" s="203"/>
      <c r="CP146" s="203"/>
      <c r="CQ146" s="103"/>
      <c r="CR146" s="103"/>
      <c r="CS146" s="1379"/>
      <c r="CT146" s="103"/>
      <c r="CU146" s="103"/>
      <c r="CV146" s="103"/>
      <c r="CW146" s="103"/>
      <c r="CX146" s="103"/>
      <c r="CY146" s="103"/>
      <c r="DF146" s="234"/>
    </row>
    <row r="147" spans="1:110" s="8" customFormat="1" ht="12.75" customHeight="1">
      <c r="I147" s="861" t="s">
        <v>286</v>
      </c>
      <c r="J147" s="801"/>
      <c r="K147" s="801"/>
      <c r="P147" s="245"/>
      <c r="T147" s="245"/>
      <c r="X147" s="245"/>
      <c r="AB147" s="245"/>
      <c r="AC147" s="289"/>
      <c r="AD147" s="289"/>
      <c r="AE147" s="289"/>
      <c r="AF147" s="953"/>
      <c r="AG147" s="1269">
        <f>+(AG154/(AG101/1000))</f>
        <v>115.34503039030086</v>
      </c>
      <c r="AH147" s="1269">
        <f>+(AH154/(AH101/1000))</f>
        <v>125.49454965973638</v>
      </c>
      <c r="AI147" s="1269">
        <f>+(AI154/(AI101/1000))</f>
        <v>127.31032977213025</v>
      </c>
      <c r="AJ147" s="1270">
        <f>+(AJ154/(AJ101/1000))</f>
        <v>126.20167077046321</v>
      </c>
      <c r="AK147" s="1269">
        <f>+AG147*(1+AK151+AK149)</f>
        <v>139.55409678086892</v>
      </c>
      <c r="AL147" s="1269">
        <f t="shared" ref="AL147:CF147" si="287">+AH147*(1+AL151+AL149)</f>
        <v>148.19825513140518</v>
      </c>
      <c r="AM147" s="1269">
        <f t="shared" si="287"/>
        <v>148.32060386135188</v>
      </c>
      <c r="AN147" s="1270">
        <f t="shared" si="287"/>
        <v>162.92648350800576</v>
      </c>
      <c r="AO147" s="1269">
        <f t="shared" si="287"/>
        <v>179.5645089426136</v>
      </c>
      <c r="AP147" s="1269">
        <f t="shared" si="287"/>
        <v>182.02426853979236</v>
      </c>
      <c r="AQ147" s="1269">
        <f t="shared" si="287"/>
        <v>163.80687399004353</v>
      </c>
      <c r="AR147" s="1270">
        <f t="shared" si="287"/>
        <v>135.13067319337412</v>
      </c>
      <c r="AS147" s="1269">
        <f t="shared" si="287"/>
        <v>127.09496284486927</v>
      </c>
      <c r="AT147" s="1269">
        <f t="shared" si="287"/>
        <v>132.70225353448581</v>
      </c>
      <c r="AU147" s="1269">
        <f t="shared" si="287"/>
        <v>134.87325797332232</v>
      </c>
      <c r="AV147" s="1270">
        <f t="shared" si="287"/>
        <v>145.87410671092297</v>
      </c>
      <c r="AW147" s="1269">
        <f t="shared" si="287"/>
        <v>139.8320302830121</v>
      </c>
      <c r="AX147" s="1269">
        <f t="shared" si="287"/>
        <v>125.9186959034333</v>
      </c>
      <c r="AY147" s="1269">
        <f t="shared" si="287"/>
        <v>125.87811891750759</v>
      </c>
      <c r="AZ147" s="1270">
        <f t="shared" si="287"/>
        <v>141.27124235901658</v>
      </c>
      <c r="BA147" s="1269">
        <f>+AW147*(1+BA151+BA149)</f>
        <v>146.69317572521152</v>
      </c>
      <c r="BB147" s="1269">
        <f>+AX147*(1+BB151+BB149)</f>
        <v>155.76206404348198</v>
      </c>
      <c r="BC147" s="1269">
        <f>+AY147*(1+BC151+BC149)</f>
        <v>142.90809763317219</v>
      </c>
      <c r="BD147" s="1270">
        <f t="shared" si="287"/>
        <v>142.1927039157155</v>
      </c>
      <c r="BE147" s="1269">
        <f t="shared" si="287"/>
        <v>143.98997229470962</v>
      </c>
      <c r="BF147" s="1269">
        <f>+BB147*(1+BF151+BF149)</f>
        <v>136.75101155064721</v>
      </c>
      <c r="BG147" s="1269">
        <f t="shared" si="287"/>
        <v>125.96697140855778</v>
      </c>
      <c r="BH147" s="1270">
        <f t="shared" si="287"/>
        <v>137.69894921977794</v>
      </c>
      <c r="BI147" s="1269">
        <f>+BE147*(1+BI151+BI149)</f>
        <v>142.23493766633675</v>
      </c>
      <c r="BJ147" s="1269">
        <f t="shared" si="287"/>
        <v>138.98883892380465</v>
      </c>
      <c r="BK147" s="1269">
        <f t="shared" si="287"/>
        <v>129.24767833084115</v>
      </c>
      <c r="BL147" s="1269">
        <f t="shared" si="287"/>
        <v>139.08776869086756</v>
      </c>
      <c r="BM147" s="1613">
        <f>+BI147*(1+BM151+BM149)</f>
        <v>144.71943461812123</v>
      </c>
      <c r="BN147" s="1269">
        <f>+BJ147*(1+BN151+BN149)</f>
        <v>144.78427982132456</v>
      </c>
      <c r="BO147" s="1269">
        <f>+BK147*(1+BO151+BO149)</f>
        <v>132.61425719696174</v>
      </c>
      <c r="BP147" s="1269">
        <f>+BL147*(1+BP151+BP149)</f>
        <v>132.1509499925084</v>
      </c>
      <c r="BQ147" s="1613">
        <f t="shared" ref="BQ147:BY147" si="288">+BM147*(1+BQ151+BQ149)</f>
        <v>125.51130528091326</v>
      </c>
      <c r="BR147" s="1269">
        <f>+BN147*(1+BR151+BR149)</f>
        <v>121.71992839380425</v>
      </c>
      <c r="BS147" s="1269">
        <f>+BO147*(1+BS151+BS149)</f>
        <v>112.7374878194105</v>
      </c>
      <c r="BT147" s="1270">
        <f>+BP147*(1+BT151+BT149)</f>
        <v>116.10276076153254</v>
      </c>
      <c r="BU147" s="1613">
        <f t="shared" si="288"/>
        <v>117.49241954236683</v>
      </c>
      <c r="BV147" s="1269">
        <f t="shared" si="288"/>
        <v>118.85213116102962</v>
      </c>
      <c r="BW147" s="1269">
        <f t="shared" si="288"/>
        <v>110.77464032393608</v>
      </c>
      <c r="BX147" s="1269">
        <f>+BT147*(1+BX151+BX149)</f>
        <v>112.53901608472903</v>
      </c>
      <c r="BY147" s="1613">
        <f t="shared" si="288"/>
        <v>114.9062179452704</v>
      </c>
      <c r="BZ147" s="1269">
        <f>+BV147*(1+BZ151+BZ149)</f>
        <v>114.12592881412493</v>
      </c>
      <c r="CA147" s="1269">
        <f t="shared" si="287"/>
        <v>112.05922990064846</v>
      </c>
      <c r="CB147" s="1270">
        <f t="shared" si="287"/>
        <v>113.38521147788084</v>
      </c>
      <c r="CC147" s="1613">
        <f t="shared" si="287"/>
        <v>116.789412168433</v>
      </c>
      <c r="CD147" s="1269">
        <f>+BZ147*(1+CD151+CD149)</f>
        <v>116.1880053199629</v>
      </c>
      <c r="CE147" s="1269">
        <f>+CA147*(1+CE151+CE149)</f>
        <v>109.26165057281837</v>
      </c>
      <c r="CF147" s="1270">
        <f t="shared" si="287"/>
        <v>115.62033759579593</v>
      </c>
      <c r="CG147" s="245"/>
      <c r="CH147" s="178"/>
      <c r="CM147" s="1269">
        <f>+(CM154/(CM101/1000))</f>
        <v>123.97268342856839</v>
      </c>
      <c r="CN147" s="1269">
        <f>+(CN154/(CN101/1000))</f>
        <v>138.62049139713668</v>
      </c>
      <c r="CO147" s="1269">
        <f>+(CO154/(CO101/1000))</f>
        <v>147.4569808195042</v>
      </c>
      <c r="CP147" s="1269">
        <f>+(CP154/(CP101/1000))</f>
        <v>128.49197964353004</v>
      </c>
      <c r="CQ147" s="1269">
        <f>+(CQ154/(CQ101/1000))</f>
        <v>126.75995831659658</v>
      </c>
      <c r="CR147" s="1670">
        <f t="shared" ref="CR147:CY147" si="289">+(CR154/CR101*1000)</f>
        <v>135.0641786621747</v>
      </c>
      <c r="CS147" s="1670">
        <f t="shared" si="289"/>
        <v>127.06482137834038</v>
      </c>
      <c r="CT147" s="1670">
        <f t="shared" si="289"/>
        <v>129.34573513323633</v>
      </c>
      <c r="CU147" s="1670">
        <f t="shared" si="289"/>
        <v>130.81433955329845</v>
      </c>
      <c r="CV147" s="1670">
        <f t="shared" si="289"/>
        <v>115.88331883338255</v>
      </c>
      <c r="CW147" s="1670">
        <f t="shared" si="289"/>
        <v>111.74383903077857</v>
      </c>
      <c r="CX147" s="1670">
        <f t="shared" si="289"/>
        <v>111.47883155270749</v>
      </c>
      <c r="CY147" s="1670">
        <f t="shared" si="289"/>
        <v>114.38929831689896</v>
      </c>
      <c r="CZ147" s="1269">
        <f>+CY147*(1+CZ151+CZ149)</f>
        <v>114.41142757387546</v>
      </c>
      <c r="DA147" s="1269">
        <f t="shared" ref="DA147:DF147" si="290">+CZ147*(1+DA151+DA149)</f>
        <v>114.41142757387546</v>
      </c>
      <c r="DB147" s="1269">
        <f t="shared" si="290"/>
        <v>114.41142757387546</v>
      </c>
      <c r="DC147" s="1269">
        <f t="shared" si="290"/>
        <v>114.41142757387546</v>
      </c>
      <c r="DD147" s="1269">
        <f t="shared" si="290"/>
        <v>114.41142757387546</v>
      </c>
      <c r="DE147" s="1269">
        <f t="shared" si="290"/>
        <v>114.41142757387546</v>
      </c>
      <c r="DF147" s="1270">
        <f t="shared" si="290"/>
        <v>114.41142757387546</v>
      </c>
    </row>
    <row r="148" spans="1:110" ht="12.75" customHeight="1">
      <c r="I148" s="193" t="s">
        <v>376</v>
      </c>
      <c r="J148" s="810"/>
      <c r="K148" s="810"/>
      <c r="P148" s="234"/>
      <c r="T148" s="234"/>
      <c r="X148" s="234"/>
      <c r="AB148" s="234"/>
      <c r="AF148" s="249"/>
      <c r="AG148" s="813"/>
      <c r="AH148" s="813"/>
      <c r="AI148" s="813"/>
      <c r="AJ148" s="881"/>
      <c r="AK148" s="64">
        <f>+AK147/AG147-1</f>
        <v>0.20988391358214731</v>
      </c>
      <c r="AL148" s="64">
        <f t="shared" ref="AL148:CF148" si="291">+AL147/AH147-1</f>
        <v>0.18091387660442004</v>
      </c>
      <c r="AM148" s="64">
        <f t="shared" si="291"/>
        <v>0.16503196658768715</v>
      </c>
      <c r="AN148" s="180">
        <f t="shared" si="291"/>
        <v>0.29100100270730955</v>
      </c>
      <c r="AO148" s="64">
        <f t="shared" si="291"/>
        <v>0.28670181015588492</v>
      </c>
      <c r="AP148" s="64">
        <f t="shared" si="291"/>
        <v>0.22824839184775936</v>
      </c>
      <c r="AQ148" s="64">
        <f t="shared" si="291"/>
        <v>0.10441078127734693</v>
      </c>
      <c r="AR148" s="180">
        <f t="shared" si="291"/>
        <v>-0.17060338943156428</v>
      </c>
      <c r="AS148" s="64">
        <f t="shared" si="291"/>
        <v>-0.29220443620355341</v>
      </c>
      <c r="AT148" s="64">
        <f t="shared" si="291"/>
        <v>-0.2709639511311881</v>
      </c>
      <c r="AU148" s="64">
        <f t="shared" si="291"/>
        <v>-0.17663248990686342</v>
      </c>
      <c r="AV148" s="180">
        <f t="shared" si="291"/>
        <v>7.9504033123366735E-2</v>
      </c>
      <c r="AW148" s="64">
        <f t="shared" si="291"/>
        <v>0.10021693348846217</v>
      </c>
      <c r="AX148" s="64">
        <f t="shared" si="291"/>
        <v>-5.1118631751718047E-2</v>
      </c>
      <c r="AY148" s="64">
        <f t="shared" si="291"/>
        <v>-6.6693273306958734E-2</v>
      </c>
      <c r="AZ148" s="180">
        <f t="shared" si="291"/>
        <v>-3.1553676356200988E-2</v>
      </c>
      <c r="BA148" s="64">
        <f t="shared" si="291"/>
        <v>4.90670515783318E-2</v>
      </c>
      <c r="BB148" s="64">
        <f>+BB147/AX147-1</f>
        <v>0.23700506049503156</v>
      </c>
      <c r="BC148" s="64">
        <f t="shared" si="291"/>
        <v>0.13528942807625643</v>
      </c>
      <c r="BD148" s="180">
        <f t="shared" si="291"/>
        <v>6.5226407109606477E-3</v>
      </c>
      <c r="BE148" s="64">
        <f t="shared" si="291"/>
        <v>-1.8427601809954619E-2</v>
      </c>
      <c r="BF148" s="64">
        <f>+BF147/BB147-1</f>
        <v>-0.12205187835420384</v>
      </c>
      <c r="BG148" s="64">
        <f t="shared" si="291"/>
        <v>-0.1185456003207056</v>
      </c>
      <c r="BH148" s="180">
        <f t="shared" si="291"/>
        <v>-3.1603271983639991E-2</v>
      </c>
      <c r="BI148" s="64">
        <f t="shared" si="291"/>
        <v>-1.2188589249678916E-2</v>
      </c>
      <c r="BJ148" s="64">
        <f t="shared" si="291"/>
        <v>1.6364247311827951E-2</v>
      </c>
      <c r="BK148" s="64">
        <f t="shared" si="291"/>
        <v>2.6044183531592768E-2</v>
      </c>
      <c r="BL148" s="64">
        <f t="shared" si="291"/>
        <v>1.0085911903895184E-2</v>
      </c>
      <c r="BM148" s="1263">
        <f t="shared" si="291"/>
        <v>1.7467557497109265E-2</v>
      </c>
      <c r="BN148" s="64">
        <f t="shared" si="291"/>
        <v>4.1697167502039889E-2</v>
      </c>
      <c r="BO148" s="64">
        <f t="shared" ref="BO148:BT148" si="292">+BO147/BK147-1</f>
        <v>2.6047499727639201E-2</v>
      </c>
      <c r="BP148" s="64">
        <f t="shared" si="292"/>
        <v>-4.9873678783191489E-2</v>
      </c>
      <c r="BQ148" s="1263">
        <f t="shared" si="292"/>
        <v>-0.13272667480973421</v>
      </c>
      <c r="BR148" s="64">
        <f t="shared" si="292"/>
        <v>-0.15930148947098099</v>
      </c>
      <c r="BS148" s="64">
        <f t="shared" si="292"/>
        <v>-0.14988410596026491</v>
      </c>
      <c r="BT148" s="180">
        <f t="shared" si="292"/>
        <v>-0.12143831907289071</v>
      </c>
      <c r="BU148" s="1263">
        <f t="shared" si="291"/>
        <v>-6.3889748581603456E-2</v>
      </c>
      <c r="BV148" s="64">
        <f>+BV147/BR147-1</f>
        <v>-2.3560622082329563E-2</v>
      </c>
      <c r="BW148" s="64">
        <f t="shared" si="291"/>
        <v>-1.7410779089016337E-2</v>
      </c>
      <c r="BX148" s="64">
        <f t="shared" si="291"/>
        <v>-3.0694745356858566E-2</v>
      </c>
      <c r="BY148" s="1263">
        <f t="shared" si="291"/>
        <v>-2.2011646429358489E-2</v>
      </c>
      <c r="BZ148" s="64">
        <f>+BZ147/BV147-1</f>
        <v>-3.9765398405025465E-2</v>
      </c>
      <c r="CA148" s="64">
        <f t="shared" si="291"/>
        <v>1.1596422908310755E-2</v>
      </c>
      <c r="CB148" s="180">
        <f t="shared" si="291"/>
        <v>7.5191291215370715E-3</v>
      </c>
      <c r="CC148" s="1263">
        <f t="shared" si="291"/>
        <v>1.6388967079741246E-2</v>
      </c>
      <c r="CD148" s="64">
        <f>+CD147/BZ147-1</f>
        <v>1.8068431313241984E-2</v>
      </c>
      <c r="CE148" s="64">
        <f t="shared" si="291"/>
        <v>-2.4965184307534694E-2</v>
      </c>
      <c r="CF148" s="180">
        <f t="shared" si="291"/>
        <v>1.9712677595094652E-2</v>
      </c>
      <c r="CG148" s="234"/>
      <c r="CH148" s="160"/>
      <c r="CM148" s="813"/>
      <c r="CN148" s="64">
        <f t="shared" ref="CN148:CY148" si="293">+CN147/CM147-1</f>
        <v>0.11815351223730008</v>
      </c>
      <c r="CO148" s="64">
        <f t="shared" si="293"/>
        <v>6.374591038673838E-2</v>
      </c>
      <c r="CP148" s="64">
        <f t="shared" si="293"/>
        <v>-0.12861379007338014</v>
      </c>
      <c r="CQ148" s="64">
        <f t="shared" si="293"/>
        <v>-1.3479606522823762E-2</v>
      </c>
      <c r="CR148" s="64">
        <f t="shared" si="293"/>
        <v>6.5511384319308696E-2</v>
      </c>
      <c r="CS148" s="64">
        <f>+CS147/CR147-1</f>
        <v>-5.9226342343831062E-2</v>
      </c>
      <c r="CT148" s="64">
        <f t="shared" si="293"/>
        <v>1.79507886616741E-2</v>
      </c>
      <c r="CU148" s="64">
        <f t="shared" si="293"/>
        <v>1.1354100067925366E-2</v>
      </c>
      <c r="CV148" s="64">
        <f>+CV147/CU147-1</f>
        <v>-0.11413902153924393</v>
      </c>
      <c r="CW148" s="64">
        <f t="shared" si="293"/>
        <v>-3.5721101572485425E-2</v>
      </c>
      <c r="CX148" s="64">
        <f>+CX147/CW147-1</f>
        <v>-2.3715623194052737E-3</v>
      </c>
      <c r="CY148" s="64">
        <f t="shared" si="293"/>
        <v>2.6107797540158018E-2</v>
      </c>
      <c r="CZ148" s="64">
        <f t="shared" ref="CZ148:DF148" si="294">+CZ147/CY147-1</f>
        <v>1.9345565802142417E-4</v>
      </c>
      <c r="DA148" s="64">
        <f t="shared" si="294"/>
        <v>0</v>
      </c>
      <c r="DB148" s="64">
        <f t="shared" si="294"/>
        <v>0</v>
      </c>
      <c r="DC148" s="64">
        <f t="shared" si="294"/>
        <v>0</v>
      </c>
      <c r="DD148" s="64">
        <f t="shared" si="294"/>
        <v>0</v>
      </c>
      <c r="DE148" s="64">
        <f t="shared" si="294"/>
        <v>0</v>
      </c>
      <c r="DF148" s="180">
        <f t="shared" si="294"/>
        <v>0</v>
      </c>
    </row>
    <row r="149" spans="1:110" ht="12.75" customHeight="1">
      <c r="I149" s="185" t="s">
        <v>536</v>
      </c>
      <c r="J149" s="810"/>
      <c r="K149" s="810"/>
      <c r="P149" s="234"/>
      <c r="T149" s="234"/>
      <c r="X149" s="234"/>
      <c r="AB149" s="234"/>
      <c r="AF149" s="249"/>
      <c r="AG149" s="813"/>
      <c r="AH149" s="813"/>
      <c r="AI149" s="813"/>
      <c r="AJ149" s="881"/>
      <c r="AK149" s="1386">
        <f>FX!AK42</f>
        <v>0.15988391358214737</v>
      </c>
      <c r="AL149" s="1386">
        <f>FX!AL42</f>
        <v>0.13091387660442</v>
      </c>
      <c r="AM149" s="1386">
        <f>FX!AM42</f>
        <v>0.11503196658768722</v>
      </c>
      <c r="AN149" s="1387">
        <f>FX!AN42</f>
        <v>0.2310010027073095</v>
      </c>
      <c r="AO149" s="1386">
        <f>FX!AO42</f>
        <v>0.24670181015588488</v>
      </c>
      <c r="AP149" s="1386">
        <f>FX!AP42</f>
        <v>0.24324839184775948</v>
      </c>
      <c r="AQ149" s="1386">
        <f>FX!AQ42</f>
        <v>0.13941078127734691</v>
      </c>
      <c r="AR149" s="1387">
        <f>FX!AR42</f>
        <v>-0.11060338943156411</v>
      </c>
      <c r="AS149" s="1386">
        <f>FX!AS42</f>
        <v>-0.18220443620355342</v>
      </c>
      <c r="AT149" s="1386">
        <f>FX!AT42</f>
        <v>-0.18096395113118818</v>
      </c>
      <c r="AU149" s="1386">
        <f>FX!AU42</f>
        <v>-0.10663248990686325</v>
      </c>
      <c r="AV149" s="1387">
        <f>FX!AV42</f>
        <v>0.11450403312336677</v>
      </c>
      <c r="AW149" s="1386">
        <f>FX!AW42</f>
        <v>8.021693348846215E-2</v>
      </c>
      <c r="AX149" s="1386">
        <f>FX!AX42</f>
        <v>-7.6118631751717958E-2</v>
      </c>
      <c r="AY149" s="1386">
        <f>FX!AY42</f>
        <v>-0.10669327330695877</v>
      </c>
      <c r="AZ149" s="1387">
        <f>FX!AZ42</f>
        <v>-6.1553676356201015E-2</v>
      </c>
      <c r="BA149" s="1386">
        <f>FX!BA42</f>
        <v>9.067051578331875E-3</v>
      </c>
      <c r="BB149" s="1386">
        <f>FX!BB42</f>
        <v>0.19700506049503141</v>
      </c>
      <c r="BC149" s="1386">
        <f>FX!BC42</f>
        <v>0.11528942807625653</v>
      </c>
      <c r="BD149" s="1387">
        <f>FX!BD42</f>
        <v>-1.347735928903937E-2</v>
      </c>
      <c r="BE149" s="1386">
        <f>FX!BE42</f>
        <v>-3.8427601809954637E-2</v>
      </c>
      <c r="BF149" s="1386">
        <f>FX!BF42</f>
        <v>-0.11205187835420388</v>
      </c>
      <c r="BG149" s="1386">
        <f>FX!BG42</f>
        <v>-0.10854560032070559</v>
      </c>
      <c r="BH149" s="1387">
        <f>FX!BH42</f>
        <v>-2.1603271983640149E-2</v>
      </c>
      <c r="BI149" s="1386">
        <f>FX!BI42</f>
        <v>-2.1885892496789627E-3</v>
      </c>
      <c r="BJ149" s="1386">
        <f>FX!BJ42</f>
        <v>1.364247311827993E-3</v>
      </c>
      <c r="BK149" s="1386">
        <f>FX!BK42</f>
        <v>8.0441835315926968E-3</v>
      </c>
      <c r="BL149" s="1386">
        <f>FX!BL42</f>
        <v>-7.9140880961048876E-3</v>
      </c>
      <c r="BM149" s="1611">
        <f>FX!BM42</f>
        <v>-1.2532442502890873E-2</v>
      </c>
      <c r="BN149" s="1386">
        <f>FX!BN42</f>
        <v>1.1697167502039973E-2</v>
      </c>
      <c r="BO149" s="1386">
        <f>FX!BO42</f>
        <v>-3.9525002723607705E-3</v>
      </c>
      <c r="BP149" s="1386">
        <f>FX!BP42</f>
        <v>-7.9873678783191515E-2</v>
      </c>
      <c r="BQ149" s="1611">
        <f>FX!BQ42</f>
        <v>-0.15272667480973418</v>
      </c>
      <c r="BR149" s="1386">
        <f>FX!BR42</f>
        <v>-0.17930148947098096</v>
      </c>
      <c r="BS149" s="1386">
        <f>FX!BS42</f>
        <v>-0.16738410596026498</v>
      </c>
      <c r="BT149" s="1387">
        <f>FX!BT42</f>
        <v>-0.13143831907289066</v>
      </c>
      <c r="BU149" s="1611">
        <f>FX!BU42</f>
        <v>-5.8889748581603472E-2</v>
      </c>
      <c r="BV149" s="1386">
        <f>FX!BV42</f>
        <v>-1.8560622082329566E-2</v>
      </c>
      <c r="BW149" s="1386">
        <f>FX!BW42</f>
        <v>-1.241077908901627E-2</v>
      </c>
      <c r="BX149" s="1386">
        <f>FX!BX42</f>
        <v>-2.5694745356858568E-2</v>
      </c>
      <c r="BY149" s="1611">
        <f>FX!BY42</f>
        <v>-3.2011646429358519E-2</v>
      </c>
      <c r="BZ149" s="1386">
        <f>FX!BZ42</f>
        <v>-2.976539840502547E-2</v>
      </c>
      <c r="CA149" s="1386">
        <f>FX!CA42</f>
        <v>2.1596422908310788E-2</v>
      </c>
      <c r="CB149" s="1387">
        <f>FX!CB42</f>
        <v>5.7519129121537067E-2</v>
      </c>
      <c r="CC149" s="1611">
        <f>FX!CC42</f>
        <v>6.638896707974129E-2</v>
      </c>
      <c r="CD149" s="1386">
        <f>FX!CD42</f>
        <v>3.8068431313242002E-2</v>
      </c>
      <c r="CE149" s="1386">
        <f>FX!CE42</f>
        <v>-4.9651843075346758E-3</v>
      </c>
      <c r="CF149" s="1387">
        <f>FX!CF42</f>
        <v>3.971267759509467E-2</v>
      </c>
      <c r="CG149" s="234"/>
      <c r="CH149" s="160"/>
      <c r="CM149" s="813"/>
      <c r="CN149" s="1386"/>
      <c r="CO149" s="1386">
        <f>FX!CO42</f>
        <v>5.6211495050382254E-3</v>
      </c>
      <c r="CP149" s="1386">
        <f>FX!CP42</f>
        <v>-9.6153765163986105E-2</v>
      </c>
      <c r="CQ149" s="1386">
        <f>FX!CQ42</f>
        <v>-3.3565748004645068E-2</v>
      </c>
      <c r="CR149" s="1386">
        <f>FX!CR42</f>
        <v>1.5870578430861038E-3</v>
      </c>
      <c r="CS149" s="1386">
        <f>FX!CS42</f>
        <v>-6.6788557352971623E-2</v>
      </c>
      <c r="CT149" s="1386">
        <f>FX!CT42</f>
        <v>-2.4829536226811388E-4</v>
      </c>
      <c r="CU149" s="1386">
        <f>FX!CU42</f>
        <v>-2.2583660281306872E-2</v>
      </c>
      <c r="CV149" s="1386">
        <f>FX!CV42</f>
        <v>-0.15757487748179211</v>
      </c>
      <c r="CW149" s="1386">
        <f>FX!CW42</f>
        <v>-2.8268793895241506E-2</v>
      </c>
      <c r="CX149" s="1386">
        <f>FX!CX42</f>
        <v>2.6094783015758072E-2</v>
      </c>
      <c r="CY149" s="1386">
        <f>FX!CY42</f>
        <v>3.3206430188495561E-2</v>
      </c>
      <c r="CZ149" s="1386">
        <f>FX!CZ42</f>
        <v>1.9345565802142417E-4</v>
      </c>
      <c r="DA149" s="1386">
        <f>FX!DA42</f>
        <v>0</v>
      </c>
      <c r="DB149" s="1386">
        <f>FX!DB42</f>
        <v>0</v>
      </c>
      <c r="DC149" s="1386">
        <f>FX!DC42</f>
        <v>0</v>
      </c>
      <c r="DD149" s="1386">
        <f>FX!DD42</f>
        <v>0</v>
      </c>
      <c r="DE149" s="1386">
        <f>FX!DE42</f>
        <v>0</v>
      </c>
      <c r="DF149" s="1387">
        <f>FX!DF42</f>
        <v>0</v>
      </c>
    </row>
    <row r="150" spans="1:110" ht="12.75" customHeight="1">
      <c r="I150" s="185" t="s">
        <v>537</v>
      </c>
      <c r="J150" s="810"/>
      <c r="K150" s="810"/>
      <c r="P150" s="234"/>
      <c r="T150" s="234"/>
      <c r="X150" s="234"/>
      <c r="AB150" s="234"/>
      <c r="AF150" s="249"/>
      <c r="AG150" s="813"/>
      <c r="AH150" s="813"/>
      <c r="AI150" s="813"/>
      <c r="AJ150" s="881"/>
      <c r="AK150" s="813">
        <f>+AG147*AK149</f>
        <v>18.441814871053026</v>
      </c>
      <c r="AL150" s="813">
        <f t="shared" ref="AL150:CF150" si="295">+AH147*AL149</f>
        <v>16.428977988681986</v>
      </c>
      <c r="AM150" s="813">
        <f t="shared" si="295"/>
        <v>14.644757600615128</v>
      </c>
      <c r="AN150" s="881">
        <f t="shared" si="295"/>
        <v>29.152712491314755</v>
      </c>
      <c r="AO150" s="813">
        <f t="shared" si="295"/>
        <v>34.428248290509906</v>
      </c>
      <c r="AP150" s="813">
        <f t="shared" si="295"/>
        <v>36.048987235358275</v>
      </c>
      <c r="AQ150" s="813">
        <f t="shared" si="295"/>
        <v>20.677491263838942</v>
      </c>
      <c r="AR150" s="881">
        <f t="shared" si="295"/>
        <v>-18.020221304151271</v>
      </c>
      <c r="AS150" s="813">
        <f t="shared" si="295"/>
        <v>-32.717450114056838</v>
      </c>
      <c r="AT150" s="813">
        <f t="shared" si="295"/>
        <v>-32.939830836725257</v>
      </c>
      <c r="AU150" s="813">
        <f t="shared" si="295"/>
        <v>-17.467134837418136</v>
      </c>
      <c r="AV150" s="881">
        <f t="shared" si="295"/>
        <v>15.473007079316959</v>
      </c>
      <c r="AW150" s="813">
        <f t="shared" si="295"/>
        <v>10.195168181245446</v>
      </c>
      <c r="AX150" s="813">
        <f t="shared" si="295"/>
        <v>-10.101113969414637</v>
      </c>
      <c r="AY150" s="813">
        <f t="shared" si="295"/>
        <v>-14.390069374747634</v>
      </c>
      <c r="AZ150" s="881">
        <f t="shared" si="295"/>
        <v>-8.9790875532340824</v>
      </c>
      <c r="BA150" s="813">
        <f t="shared" si="295"/>
        <v>1.2678642308789354</v>
      </c>
      <c r="BB150" s="813">
        <f>+AX147*BB149</f>
        <v>24.806620303911341</v>
      </c>
      <c r="BC150" s="813">
        <f t="shared" si="295"/>
        <v>14.512416337314457</v>
      </c>
      <c r="BD150" s="881">
        <f t="shared" si="295"/>
        <v>-1.9039632904814243</v>
      </c>
      <c r="BE150" s="813">
        <f t="shared" si="295"/>
        <v>-5.6370669450061319</v>
      </c>
      <c r="BF150" s="813">
        <f>+BB147*BF149</f>
        <v>-17.453431852399959</v>
      </c>
      <c r="BG150" s="813">
        <f t="shared" si="295"/>
        <v>-15.512045248282682</v>
      </c>
      <c r="BH150" s="881">
        <f t="shared" si="295"/>
        <v>-3.0718276567804157</v>
      </c>
      <c r="BI150" s="813">
        <f t="shared" si="295"/>
        <v>-0.31513490542577316</v>
      </c>
      <c r="BJ150" s="813">
        <f t="shared" si="295"/>
        <v>0.18656219989772926</v>
      </c>
      <c r="BK150" s="813">
        <f t="shared" si="295"/>
        <v>1.0133014369293285</v>
      </c>
      <c r="BL150" s="813">
        <f t="shared" si="295"/>
        <v>-1.089761614866396</v>
      </c>
      <c r="BM150" s="1610">
        <f t="shared" si="295"/>
        <v>-1.7825511782056325</v>
      </c>
      <c r="BN150" s="813">
        <f t="shared" si="295"/>
        <v>1.6257757298057962</v>
      </c>
      <c r="BO150" s="813">
        <f t="shared" ref="BO150:BT150" si="296">+BK147*BO149</f>
        <v>-0.51085148380464696</v>
      </c>
      <c r="BP150" s="813">
        <f t="shared" si="296"/>
        <v>-11.109451759085198</v>
      </c>
      <c r="BQ150" s="1610">
        <f t="shared" si="296"/>
        <v>-22.102518029570387</v>
      </c>
      <c r="BR150" s="813">
        <f t="shared" si="296"/>
        <v>-25.960037023946786</v>
      </c>
      <c r="BS150" s="813">
        <f t="shared" si="296"/>
        <v>-22.197518878498077</v>
      </c>
      <c r="BT150" s="881">
        <f t="shared" si="296"/>
        <v>-17.369698730900936</v>
      </c>
      <c r="BU150" s="1610">
        <f t="shared" si="295"/>
        <v>-7.3913292121418621</v>
      </c>
      <c r="BV150" s="813">
        <f>+BR147*BV149</f>
        <v>-2.2591975908056168</v>
      </c>
      <c r="BW150" s="813">
        <f t="shared" si="295"/>
        <v>-1.3991600563773663</v>
      </c>
      <c r="BX150" s="813">
        <f t="shared" si="295"/>
        <v>-2.9832308729958492</v>
      </c>
      <c r="BY150" s="1610">
        <f t="shared" si="295"/>
        <v>-3.7611257925201</v>
      </c>
      <c r="BZ150" s="813">
        <f t="shared" si="295"/>
        <v>-3.5376810352943888</v>
      </c>
      <c r="CA150" s="813">
        <f t="shared" si="295"/>
        <v>2.3923359799517412</v>
      </c>
      <c r="CB150" s="881">
        <f t="shared" si="295"/>
        <v>6.4731461973882656</v>
      </c>
      <c r="CC150" s="1610">
        <f t="shared" si="295"/>
        <v>7.6285051204261345</v>
      </c>
      <c r="CD150" s="813">
        <f t="shared" si="295"/>
        <v>4.3445950821204615</v>
      </c>
      <c r="CE150" s="813">
        <f t="shared" si="295"/>
        <v>-0.55639472981712024</v>
      </c>
      <c r="CF150" s="2150">
        <f t="shared" si="295"/>
        <v>4.5028303474727096</v>
      </c>
      <c r="CG150" s="234"/>
      <c r="CH150" s="160"/>
      <c r="CM150" s="813"/>
      <c r="CN150" s="813"/>
      <c r="CO150" s="813">
        <f>+CN147*CO149</f>
        <v>0.77920650660517043</v>
      </c>
      <c r="CP150" s="813">
        <f>+CO147*CP149</f>
        <v>-14.178543905509009</v>
      </c>
      <c r="CQ150" s="813">
        <f t="shared" ref="CQ150:CW150" si="297">+CP147*CQ149</f>
        <v>-4.3129294093327131</v>
      </c>
      <c r="CR150" s="813">
        <f t="shared" si="297"/>
        <v>0.20117538603562218</v>
      </c>
      <c r="CS150" s="813">
        <f t="shared" si="297"/>
        <v>-9.0207416429106608</v>
      </c>
      <c r="CT150" s="813">
        <f t="shared" si="297"/>
        <v>-3.1549605855668204E-2</v>
      </c>
      <c r="CU150" s="813">
        <f>+CT147*CU149</f>
        <v>-2.9211001410849082</v>
      </c>
      <c r="CV150" s="813">
        <f>+CU147*CV149</f>
        <v>-20.613053527972554</v>
      </c>
      <c r="CW150" s="813">
        <f t="shared" si="297"/>
        <v>-3.2758816559974497</v>
      </c>
      <c r="CX150" s="813">
        <f t="shared" ref="CX150:DF150" si="298">+CW147*CX149</f>
        <v>2.9159312328559648</v>
      </c>
      <c r="CY150" s="813">
        <f t="shared" si="298"/>
        <v>3.7018140374500375</v>
      </c>
      <c r="CZ150" s="813">
        <f t="shared" si="298"/>
        <v>2.2129256976504676E-2</v>
      </c>
      <c r="DA150" s="813">
        <f t="shared" si="298"/>
        <v>0</v>
      </c>
      <c r="DB150" s="813">
        <f t="shared" si="298"/>
        <v>0</v>
      </c>
      <c r="DC150" s="813">
        <f t="shared" si="298"/>
        <v>0</v>
      </c>
      <c r="DD150" s="813">
        <f t="shared" si="298"/>
        <v>0</v>
      </c>
      <c r="DE150" s="813">
        <f t="shared" si="298"/>
        <v>0</v>
      </c>
      <c r="DF150" s="881">
        <f t="shared" si="298"/>
        <v>0</v>
      </c>
    </row>
    <row r="151" spans="1:110" ht="12.75" customHeight="1">
      <c r="I151" s="882" t="s">
        <v>382</v>
      </c>
      <c r="J151" s="812"/>
      <c r="K151" s="812"/>
      <c r="P151" s="234"/>
      <c r="T151" s="234"/>
      <c r="X151" s="234"/>
      <c r="AB151" s="234"/>
      <c r="AF151" s="249"/>
      <c r="AG151" s="203" t="s">
        <v>185</v>
      </c>
      <c r="AH151" s="203" t="s">
        <v>185</v>
      </c>
      <c r="AI151" s="203" t="s">
        <v>185</v>
      </c>
      <c r="AJ151" s="204" t="s">
        <v>185</v>
      </c>
      <c r="AK151" s="877">
        <v>0.05</v>
      </c>
      <c r="AL151" s="877">
        <v>0.05</v>
      </c>
      <c r="AM151" s="877">
        <v>0.05</v>
      </c>
      <c r="AN151" s="975">
        <v>0.06</v>
      </c>
      <c r="AO151" s="877">
        <v>0.04</v>
      </c>
      <c r="AP151" s="1666">
        <v>-1.4999999999999999E-2</v>
      </c>
      <c r="AQ151" s="877">
        <v>-3.5000000000000003E-2</v>
      </c>
      <c r="AR151" s="975">
        <v>-0.06</v>
      </c>
      <c r="AS151" s="877">
        <v>-0.11</v>
      </c>
      <c r="AT151" s="877">
        <v>-0.09</v>
      </c>
      <c r="AU151" s="877">
        <v>-7.0000000000000007E-2</v>
      </c>
      <c r="AV151" s="975">
        <v>-3.5000000000000003E-2</v>
      </c>
      <c r="AW151" s="877">
        <v>0.02</v>
      </c>
      <c r="AX151" s="877">
        <v>2.5000000000000001E-2</v>
      </c>
      <c r="AY151" s="877">
        <v>0.04</v>
      </c>
      <c r="AZ151" s="975">
        <v>0.03</v>
      </c>
      <c r="BA151" s="877">
        <v>0.04</v>
      </c>
      <c r="BB151" s="877">
        <v>0.04</v>
      </c>
      <c r="BC151" s="842">
        <v>0.02</v>
      </c>
      <c r="BD151" s="912">
        <v>0.02</v>
      </c>
      <c r="BE151" s="842">
        <v>0.02</v>
      </c>
      <c r="BF151" s="842">
        <v>-0.01</v>
      </c>
      <c r="BG151" s="842">
        <v>-0.01</v>
      </c>
      <c r="BH151" s="912">
        <v>-0.01</v>
      </c>
      <c r="BI151" s="842">
        <v>-0.01</v>
      </c>
      <c r="BJ151" s="842">
        <v>1.4999999999999999E-2</v>
      </c>
      <c r="BK151" s="842">
        <v>1.7999999999999999E-2</v>
      </c>
      <c r="BL151" s="842">
        <v>1.7999999999999999E-2</v>
      </c>
      <c r="BM151" s="1636">
        <v>0.03</v>
      </c>
      <c r="BN151" s="842">
        <v>0.03</v>
      </c>
      <c r="BO151" s="842">
        <v>0.03</v>
      </c>
      <c r="BP151" s="878">
        <v>0.03</v>
      </c>
      <c r="BQ151" s="1645">
        <v>0.02</v>
      </c>
      <c r="BR151" s="842">
        <v>0.02</v>
      </c>
      <c r="BS151" s="842">
        <v>1.7500000000000002E-2</v>
      </c>
      <c r="BT151" s="878">
        <v>0.01</v>
      </c>
      <c r="BU151" s="1645">
        <v>-5.0000000000000001E-3</v>
      </c>
      <c r="BV151" s="842">
        <v>-5.0000000000000001E-3</v>
      </c>
      <c r="BW151" s="842">
        <v>-5.0000000000000001E-3</v>
      </c>
      <c r="BX151" s="878">
        <v>-5.0000000000000001E-3</v>
      </c>
      <c r="BY151" s="1645">
        <v>0.01</v>
      </c>
      <c r="BZ151" s="842">
        <v>-0.01</v>
      </c>
      <c r="CA151" s="842">
        <v>-0.01</v>
      </c>
      <c r="CB151" s="878">
        <v>-0.05</v>
      </c>
      <c r="CC151" s="1612">
        <v>-0.05</v>
      </c>
      <c r="CD151" s="1325">
        <v>-0.02</v>
      </c>
      <c r="CE151" s="1325">
        <v>-0.02</v>
      </c>
      <c r="CF151" s="1325">
        <v>-0.02</v>
      </c>
      <c r="CG151" s="234"/>
      <c r="CH151" s="1391"/>
      <c r="CI151" s="1390"/>
      <c r="CM151" s="203"/>
      <c r="CN151" s="64"/>
      <c r="CO151" s="64">
        <f t="shared" ref="CO151:CU151" si="299">+CO148-CO149</f>
        <v>5.8124760881700155E-2</v>
      </c>
      <c r="CP151" s="64">
        <f t="shared" si="299"/>
        <v>-3.2460024909394036E-2</v>
      </c>
      <c r="CQ151" s="64">
        <f t="shared" si="299"/>
        <v>2.0086141481821307E-2</v>
      </c>
      <c r="CR151" s="64">
        <f t="shared" si="299"/>
        <v>6.3924326476222593E-2</v>
      </c>
      <c r="CS151" s="64">
        <f t="shared" si="299"/>
        <v>7.5622150091405604E-3</v>
      </c>
      <c r="CT151" s="64">
        <f t="shared" si="299"/>
        <v>1.8199084023942214E-2</v>
      </c>
      <c r="CU151" s="64">
        <f t="shared" si="299"/>
        <v>3.3937760349232238E-2</v>
      </c>
      <c r="CV151" s="64">
        <f>+CV148-CV149</f>
        <v>4.3435855942548174E-2</v>
      </c>
      <c r="CW151" s="64">
        <f>+CW148-CW149</f>
        <v>-7.452307677243919E-3</v>
      </c>
      <c r="CX151" s="64">
        <f>+CX148-CX149</f>
        <v>-2.8466345335163346E-2</v>
      </c>
      <c r="CY151" s="64">
        <f>+CY148-CY149</f>
        <v>-7.0986326483375439E-3</v>
      </c>
      <c r="CZ151" s="1325">
        <v>0</v>
      </c>
      <c r="DA151" s="1325">
        <f t="shared" ref="DA151:DF151" si="300">+CZ151</f>
        <v>0</v>
      </c>
      <c r="DB151" s="1325">
        <f t="shared" si="300"/>
        <v>0</v>
      </c>
      <c r="DC151" s="1325">
        <f t="shared" si="300"/>
        <v>0</v>
      </c>
      <c r="DD151" s="1325">
        <f t="shared" si="300"/>
        <v>0</v>
      </c>
      <c r="DE151" s="1325">
        <f t="shared" si="300"/>
        <v>0</v>
      </c>
      <c r="DF151" s="1324">
        <f t="shared" si="300"/>
        <v>0</v>
      </c>
    </row>
    <row r="152" spans="1:110" ht="12.75" customHeight="1">
      <c r="I152" s="185" t="s">
        <v>538</v>
      </c>
      <c r="J152" s="70"/>
      <c r="K152" s="70"/>
      <c r="P152" s="234"/>
      <c r="T152" s="234"/>
      <c r="X152" s="234"/>
      <c r="AB152" s="234"/>
      <c r="AF152" s="249"/>
      <c r="AH152" s="203"/>
      <c r="AI152" s="203"/>
      <c r="AJ152" s="204"/>
      <c r="AK152" s="813"/>
      <c r="AL152" s="877"/>
      <c r="AM152" s="877"/>
      <c r="AN152" s="975"/>
      <c r="AO152" s="64">
        <f t="shared" ref="AO152:BD152" si="301">+AO151+AK151</f>
        <v>0.09</v>
      </c>
      <c r="AP152" s="64">
        <f t="shared" si="301"/>
        <v>3.5000000000000003E-2</v>
      </c>
      <c r="AQ152" s="64">
        <f t="shared" si="301"/>
        <v>1.4999999999999999E-2</v>
      </c>
      <c r="AR152" s="180">
        <f t="shared" si="301"/>
        <v>0</v>
      </c>
      <c r="AS152" s="64">
        <f t="shared" si="301"/>
        <v>-7.0000000000000007E-2</v>
      </c>
      <c r="AT152" s="64">
        <f t="shared" si="301"/>
        <v>-0.105</v>
      </c>
      <c r="AU152" s="64">
        <f t="shared" si="301"/>
        <v>-0.10500000000000001</v>
      </c>
      <c r="AV152" s="180">
        <f t="shared" si="301"/>
        <v>-9.5000000000000001E-2</v>
      </c>
      <c r="AW152" s="64">
        <f t="shared" si="301"/>
        <v>-0.09</v>
      </c>
      <c r="AX152" s="64">
        <f t="shared" si="301"/>
        <v>-6.5000000000000002E-2</v>
      </c>
      <c r="AY152" s="64">
        <f t="shared" si="301"/>
        <v>-3.0000000000000006E-2</v>
      </c>
      <c r="AZ152" s="180">
        <f t="shared" si="301"/>
        <v>-5.0000000000000044E-3</v>
      </c>
      <c r="BA152" s="64">
        <f t="shared" si="301"/>
        <v>0.06</v>
      </c>
      <c r="BB152" s="64">
        <f>+BB151+AX151</f>
        <v>6.5000000000000002E-2</v>
      </c>
      <c r="BC152" s="64">
        <f t="shared" si="301"/>
        <v>0.06</v>
      </c>
      <c r="BD152" s="180">
        <f t="shared" si="301"/>
        <v>0.05</v>
      </c>
      <c r="BE152" s="64">
        <f t="shared" ref="BE152:BL152" si="302">+BE151+BA151</f>
        <v>0.06</v>
      </c>
      <c r="BF152" s="64">
        <f>+BF151+BB151</f>
        <v>0.03</v>
      </c>
      <c r="BG152" s="64">
        <f t="shared" si="302"/>
        <v>0.01</v>
      </c>
      <c r="BH152" s="180">
        <f t="shared" si="302"/>
        <v>0.01</v>
      </c>
      <c r="BI152" s="64">
        <f t="shared" si="302"/>
        <v>0.01</v>
      </c>
      <c r="BJ152" s="64">
        <f t="shared" si="302"/>
        <v>4.9999999999999992E-3</v>
      </c>
      <c r="BK152" s="64">
        <f t="shared" si="302"/>
        <v>7.9999999999999984E-3</v>
      </c>
      <c r="BL152" s="64">
        <f t="shared" si="302"/>
        <v>7.9999999999999984E-3</v>
      </c>
      <c r="BM152" s="1263">
        <f t="shared" ref="BM152:BR152" si="303">+BM151+BI151</f>
        <v>1.9999999999999997E-2</v>
      </c>
      <c r="BN152" s="64">
        <f t="shared" si="303"/>
        <v>4.4999999999999998E-2</v>
      </c>
      <c r="BO152" s="64">
        <f t="shared" si="303"/>
        <v>4.8000000000000001E-2</v>
      </c>
      <c r="BP152" s="64">
        <f t="shared" si="303"/>
        <v>4.8000000000000001E-2</v>
      </c>
      <c r="BQ152" s="1263">
        <f t="shared" si="303"/>
        <v>0.05</v>
      </c>
      <c r="BR152" s="64">
        <f t="shared" si="303"/>
        <v>0.05</v>
      </c>
      <c r="BS152" s="64">
        <f>+BS151+BO151</f>
        <v>4.7500000000000001E-2</v>
      </c>
      <c r="BT152" s="180">
        <f>+BT151+BP151</f>
        <v>0.04</v>
      </c>
      <c r="BU152" s="1263">
        <f t="shared" ref="BU152:CF152" si="304">+BU151+BQ151</f>
        <v>1.4999999999999999E-2</v>
      </c>
      <c r="BV152" s="64">
        <f t="shared" si="304"/>
        <v>1.4999999999999999E-2</v>
      </c>
      <c r="BW152" s="64">
        <f t="shared" si="304"/>
        <v>1.2500000000000001E-2</v>
      </c>
      <c r="BX152" s="64">
        <f t="shared" si="304"/>
        <v>5.0000000000000001E-3</v>
      </c>
      <c r="BY152" s="1263">
        <f t="shared" si="304"/>
        <v>5.0000000000000001E-3</v>
      </c>
      <c r="BZ152" s="64">
        <f>+BZ151+BV151</f>
        <v>-1.4999999999999999E-2</v>
      </c>
      <c r="CA152" s="64">
        <f>+CA151+BW151</f>
        <v>-1.4999999999999999E-2</v>
      </c>
      <c r="CB152" s="180">
        <f t="shared" si="304"/>
        <v>-5.5E-2</v>
      </c>
      <c r="CC152" s="1263">
        <f t="shared" si="304"/>
        <v>-0.04</v>
      </c>
      <c r="CD152" s="64">
        <f t="shared" si="304"/>
        <v>-0.03</v>
      </c>
      <c r="CE152" s="64">
        <f t="shared" si="304"/>
        <v>-0.03</v>
      </c>
      <c r="CF152" s="2151">
        <f t="shared" si="304"/>
        <v>-7.0000000000000007E-2</v>
      </c>
      <c r="CG152" s="234"/>
      <c r="CH152" s="160"/>
      <c r="CM152" s="203"/>
      <c r="CN152" s="203"/>
      <c r="CO152" s="64"/>
      <c r="CP152" s="64">
        <f>+CP151+CO151</f>
        <v>2.5664735972306119E-2</v>
      </c>
      <c r="CQ152" s="64">
        <f t="shared" ref="CQ152:CY152" si="305">+CQ151+CP151</f>
        <v>-1.2373883427572729E-2</v>
      </c>
      <c r="CR152" s="64">
        <f t="shared" si="305"/>
        <v>8.40104679580439E-2</v>
      </c>
      <c r="CS152" s="64">
        <f t="shared" si="305"/>
        <v>7.1486541485363153E-2</v>
      </c>
      <c r="CT152" s="64">
        <f t="shared" si="305"/>
        <v>2.5761299033082774E-2</v>
      </c>
      <c r="CU152" s="64">
        <f>+CU151+CT151</f>
        <v>5.2136844373174451E-2</v>
      </c>
      <c r="CV152" s="64">
        <f>+CV151+CU151</f>
        <v>7.7373616291780412E-2</v>
      </c>
      <c r="CW152" s="64">
        <f t="shared" si="305"/>
        <v>3.5983548265304255E-2</v>
      </c>
      <c r="CX152" s="64">
        <f t="shared" si="305"/>
        <v>-3.5918653012407264E-2</v>
      </c>
      <c r="CY152" s="64">
        <f t="shared" si="305"/>
        <v>-3.5564977983500889E-2</v>
      </c>
      <c r="CZ152" s="64">
        <f t="shared" ref="CZ152:DF152" si="306">+CZ151+CY151</f>
        <v>-7.0986326483375439E-3</v>
      </c>
      <c r="DA152" s="64">
        <f t="shared" si="306"/>
        <v>0</v>
      </c>
      <c r="DB152" s="64">
        <f t="shared" si="306"/>
        <v>0</v>
      </c>
      <c r="DC152" s="64">
        <f t="shared" si="306"/>
        <v>0</v>
      </c>
      <c r="DD152" s="64">
        <f t="shared" si="306"/>
        <v>0</v>
      </c>
      <c r="DE152" s="64">
        <f t="shared" si="306"/>
        <v>0</v>
      </c>
      <c r="DF152" s="180">
        <f t="shared" si="306"/>
        <v>0</v>
      </c>
    </row>
    <row r="153" spans="1:110" ht="12.75" customHeight="1">
      <c r="I153" s="185"/>
      <c r="J153" s="70"/>
      <c r="K153" s="70"/>
      <c r="P153" s="234"/>
      <c r="T153" s="234"/>
      <c r="X153" s="234"/>
      <c r="AB153" s="234"/>
      <c r="AF153" s="249"/>
      <c r="AH153" s="203"/>
      <c r="AI153" s="203"/>
      <c r="AJ153" s="204"/>
      <c r="AK153" s="876"/>
      <c r="AL153" s="876"/>
      <c r="AM153" s="883"/>
      <c r="AN153" s="974"/>
      <c r="AO153" s="876"/>
      <c r="AP153" s="876"/>
      <c r="AQ153" s="876"/>
      <c r="AR153" s="974"/>
      <c r="AS153" s="64"/>
      <c r="AT153" s="64"/>
      <c r="AU153" s="64"/>
      <c r="AV153" s="180"/>
      <c r="AW153" s="64"/>
      <c r="AX153" s="64"/>
      <c r="AY153" s="64"/>
      <c r="AZ153" s="180"/>
      <c r="BA153" s="64"/>
      <c r="BB153" s="64"/>
      <c r="BC153" s="64"/>
      <c r="BD153" s="180"/>
      <c r="BE153" s="24"/>
      <c r="BF153" s="1222"/>
      <c r="BG153" s="24"/>
      <c r="BH153" s="216"/>
      <c r="BI153" s="38"/>
      <c r="BJ153" s="38"/>
      <c r="BK153" s="38"/>
      <c r="BL153" s="38"/>
      <c r="BM153" s="173"/>
      <c r="BN153" s="176"/>
      <c r="BO153" s="1388"/>
      <c r="BP153" s="64"/>
      <c r="BQ153" s="1263"/>
      <c r="BR153" s="64"/>
      <c r="BS153" s="64"/>
      <c r="BT153" s="180"/>
      <c r="BU153" s="1263"/>
      <c r="BV153" s="64"/>
      <c r="BW153" s="64"/>
      <c r="BX153" s="64"/>
      <c r="BY153" s="1263"/>
      <c r="BZ153" s="64"/>
      <c r="CA153" s="64"/>
      <c r="CB153" s="180"/>
      <c r="CC153" s="1263"/>
      <c r="CD153" s="64"/>
      <c r="CE153" s="64"/>
      <c r="CF153" s="2151"/>
      <c r="CG153" s="234"/>
      <c r="CH153" s="160"/>
      <c r="CM153" s="203"/>
      <c r="CN153" s="203"/>
      <c r="CO153" s="877"/>
      <c r="CP153" s="877"/>
      <c r="CQ153" s="203"/>
      <c r="CR153" s="203"/>
      <c r="CS153" s="203"/>
      <c r="CT153" s="203"/>
      <c r="CU153" s="203"/>
      <c r="CV153" s="203"/>
      <c r="CW153" s="203"/>
      <c r="CX153" s="203"/>
      <c r="CY153" s="203"/>
      <c r="DF153" s="234"/>
    </row>
    <row r="154" spans="1:110" s="5" customFormat="1" ht="12.75" customHeight="1">
      <c r="A154" s="24"/>
      <c r="B154" s="24"/>
      <c r="C154" s="24"/>
      <c r="D154" s="24"/>
      <c r="E154" s="24"/>
      <c r="F154" s="24"/>
      <c r="G154" s="24"/>
      <c r="H154" s="24"/>
      <c r="I154" s="861" t="s">
        <v>289</v>
      </c>
      <c r="J154" s="801"/>
      <c r="K154" s="801"/>
      <c r="P154" s="737"/>
      <c r="T154" s="737"/>
      <c r="X154" s="737"/>
      <c r="AB154" s="737"/>
      <c r="AC154" s="112">
        <f t="shared" ref="AC154:BV154" si="307">+AC40-AC35</f>
        <v>71.902000000000001</v>
      </c>
      <c r="AD154" s="112">
        <f t="shared" si="307"/>
        <v>77.515000000000001</v>
      </c>
      <c r="AE154" s="112">
        <f t="shared" si="307"/>
        <v>164.822</v>
      </c>
      <c r="AF154" s="214">
        <f t="shared" si="307"/>
        <v>158.46</v>
      </c>
      <c r="AG154" s="112">
        <f t="shared" si="307"/>
        <v>272.81400000000002</v>
      </c>
      <c r="AH154" s="112">
        <f t="shared" si="307"/>
        <v>356.59300000000002</v>
      </c>
      <c r="AI154" s="112">
        <f>+AI40-AI35</f>
        <v>398.416</v>
      </c>
      <c r="AJ154" s="214">
        <f t="shared" si="307"/>
        <v>319.13600000000002</v>
      </c>
      <c r="AK154" s="112">
        <f t="shared" si="307"/>
        <v>519.67899999999997</v>
      </c>
      <c r="AL154" s="112">
        <f t="shared" si="307"/>
        <v>687.12400000000002</v>
      </c>
      <c r="AM154" s="112">
        <f t="shared" si="307"/>
        <v>788.47799999999995</v>
      </c>
      <c r="AN154" s="214">
        <f t="shared" si="307"/>
        <v>679.76</v>
      </c>
      <c r="AO154" s="112">
        <f t="shared" si="307"/>
        <v>1037.644</v>
      </c>
      <c r="AP154" s="112">
        <f t="shared" si="307"/>
        <v>1237.681</v>
      </c>
      <c r="AQ154" s="112">
        <f t="shared" si="307"/>
        <v>1250.8499999999999</v>
      </c>
      <c r="AR154" s="214">
        <f t="shared" si="307"/>
        <v>792.19</v>
      </c>
      <c r="AS154" s="112">
        <f t="shared" si="307"/>
        <v>1092.4269999999999</v>
      </c>
      <c r="AT154" s="112">
        <f t="shared" si="307"/>
        <v>1414.7139999999999</v>
      </c>
      <c r="AU154" s="112">
        <f t="shared" si="307"/>
        <v>1724.1310000000001</v>
      </c>
      <c r="AV154" s="214">
        <f t="shared" si="307"/>
        <v>1433.471</v>
      </c>
      <c r="AW154" s="112">
        <f t="shared" si="307"/>
        <v>1975.345</v>
      </c>
      <c r="AX154" s="112">
        <f t="shared" si="307"/>
        <v>2212.4009999999998</v>
      </c>
      <c r="AY154" s="112">
        <f t="shared" si="307"/>
        <v>2799.2</v>
      </c>
      <c r="AZ154" s="214">
        <f t="shared" si="307"/>
        <v>2308</v>
      </c>
      <c r="BA154" s="112">
        <f t="shared" si="307"/>
        <v>3440.3</v>
      </c>
      <c r="BB154" s="112">
        <f t="shared" si="307"/>
        <v>4372</v>
      </c>
      <c r="BC154" s="112">
        <f t="shared" si="307"/>
        <v>4808.82</v>
      </c>
      <c r="BD154" s="214">
        <f t="shared" si="307"/>
        <v>3796.5</v>
      </c>
      <c r="BE154" s="112">
        <f t="shared" si="307"/>
        <v>5288.31</v>
      </c>
      <c r="BF154" s="112">
        <f t="shared" si="307"/>
        <v>5792</v>
      </c>
      <c r="BG154" s="112">
        <f t="shared" si="307"/>
        <v>6184.7119999999995</v>
      </c>
      <c r="BH154" s="214">
        <f t="shared" si="307"/>
        <v>5320.75</v>
      </c>
      <c r="BI154" s="112">
        <f t="shared" si="307"/>
        <v>7555.2340000000004</v>
      </c>
      <c r="BJ154" s="112">
        <f t="shared" si="307"/>
        <v>8355</v>
      </c>
      <c r="BK154" s="112">
        <f t="shared" si="307"/>
        <v>8775.3968000000004</v>
      </c>
      <c r="BL154" s="112">
        <f t="shared" si="307"/>
        <v>7532.7749999999996</v>
      </c>
      <c r="BM154" s="223">
        <f t="shared" si="307"/>
        <v>10360.570159999999</v>
      </c>
      <c r="BN154" s="112">
        <f t="shared" si="307"/>
        <v>11413.2</v>
      </c>
      <c r="BO154" s="112">
        <f t="shared" si="307"/>
        <v>11563.387903999999</v>
      </c>
      <c r="BP154" s="112">
        <f t="shared" si="307"/>
        <v>8962.73</v>
      </c>
      <c r="BQ154" s="223">
        <f t="shared" si="307"/>
        <v>11765.084192</v>
      </c>
      <c r="BR154" s="112">
        <f t="shared" si="307"/>
        <v>12769.44</v>
      </c>
      <c r="BS154" s="112">
        <f t="shared" si="307"/>
        <v>12432.23488</v>
      </c>
      <c r="BT154" s="214">
        <f t="shared" si="307"/>
        <v>10386.1895</v>
      </c>
      <c r="BU154" s="223">
        <f t="shared" si="307"/>
        <v>14632.714177584639</v>
      </c>
      <c r="BV154" s="112">
        <f t="shared" si="307"/>
        <v>15606.248293361999</v>
      </c>
      <c r="BW154" s="112">
        <f>+BW40-BW35</f>
        <v>15856.036385945601</v>
      </c>
      <c r="BX154" s="112">
        <f>+BX40-BX35</f>
        <v>13301.031307599998</v>
      </c>
      <c r="BY154" s="223">
        <f t="shared" ref="BY154:BZ154" si="308">+BY40-BY35</f>
        <v>18582.945563843714</v>
      </c>
      <c r="BZ154" s="112">
        <f t="shared" si="308"/>
        <v>18447.821850337601</v>
      </c>
      <c r="CA154" s="112">
        <f>+CA40-CA35</f>
        <v>19015.511132133757</v>
      </c>
      <c r="CB154" s="112">
        <f>+CB40-CB35</f>
        <v>16068.18194108</v>
      </c>
      <c r="CC154" s="265">
        <f>+CC147*CC101/1000</f>
        <v>22690.329373164961</v>
      </c>
      <c r="CD154" s="103">
        <f t="shared" ref="CD154:CF154" si="309">+CD147*CD101/1000</f>
        <v>22638.20309594876</v>
      </c>
      <c r="CE154" s="103">
        <f t="shared" si="309"/>
        <v>21941.690570821313</v>
      </c>
      <c r="CF154" s="2152">
        <f t="shared" si="309"/>
        <v>20001.124491499399</v>
      </c>
      <c r="CG154" s="737"/>
      <c r="CH154" s="163"/>
      <c r="CL154" s="112">
        <f>+CL40-CL35</f>
        <v>472.61719298245617</v>
      </c>
      <c r="CM154" s="112">
        <f>+CM40-CM35</f>
        <v>1346.9590000000001</v>
      </c>
      <c r="CN154" s="112">
        <f>+CN40-CN35</f>
        <v>2675.0410000000002</v>
      </c>
      <c r="CO154" s="112">
        <f>+CO40-CO35</f>
        <v>4318.3649999999998</v>
      </c>
      <c r="CP154" s="112">
        <f>+CP40-CP35</f>
        <v>5664.7430000000004</v>
      </c>
      <c r="CQ154" s="713">
        <f>+SUM(AW154:AZ154)</f>
        <v>9294.9459999999999</v>
      </c>
      <c r="CR154" s="713">
        <f>+SUM(BA154:BD154)</f>
        <v>16417.62</v>
      </c>
      <c r="CS154" s="713">
        <f>+SUM(BE154:BH154)</f>
        <v>22585.772000000001</v>
      </c>
      <c r="CT154" s="713">
        <f>+SUM(BI154:BL154)</f>
        <v>32218.4058</v>
      </c>
      <c r="CU154" s="112">
        <f>+SUM(BM154:BP154)</f>
        <v>42299.888063999999</v>
      </c>
      <c r="CV154" s="713">
        <f>+SUM(BQ154:BT154)</f>
        <v>47352.948572000001</v>
      </c>
      <c r="CW154" s="713">
        <f>+SUM(BU154:BX154)</f>
        <v>59396.030164492244</v>
      </c>
      <c r="CX154" s="713">
        <f>+SUM(BY154:CB154)</f>
        <v>72114.460487395074</v>
      </c>
      <c r="CY154" s="713">
        <f>+SUM(CC154:CF154)</f>
        <v>87271.34753143444</v>
      </c>
      <c r="CZ154" s="103">
        <f>+CZ147*CZ101/1000</f>
        <v>101067.59939273327</v>
      </c>
      <c r="DA154" s="103">
        <f t="shared" ref="DA154:DF154" si="310">+DA147*DA101/1000</f>
        <v>114708.77174748766</v>
      </c>
      <c r="DB154" s="103">
        <f t="shared" si="310"/>
        <v>127953.90675459766</v>
      </c>
      <c r="DC154" s="103">
        <f t="shared" si="310"/>
        <v>140955.48226249914</v>
      </c>
      <c r="DD154" s="103">
        <f t="shared" si="310"/>
        <v>153845.89767172167</v>
      </c>
      <c r="DE154" s="103">
        <f t="shared" si="310"/>
        <v>166508.22018905426</v>
      </c>
      <c r="DF154" s="202">
        <f t="shared" si="310"/>
        <v>180212.71811671249</v>
      </c>
    </row>
    <row r="155" spans="1:110" ht="12.75" customHeight="1">
      <c r="B155" s="34"/>
      <c r="C155" s="34"/>
      <c r="D155" s="34"/>
      <c r="E155" s="34"/>
      <c r="F155" s="34"/>
      <c r="I155" s="185" t="s">
        <v>380</v>
      </c>
      <c r="J155" s="70"/>
      <c r="K155" s="70"/>
      <c r="P155" s="234"/>
      <c r="T155" s="234"/>
      <c r="X155" s="234"/>
      <c r="AB155" s="234"/>
      <c r="AF155" s="249"/>
      <c r="AG155" s="203">
        <f t="shared" ref="AG155:BD155" si="311">+AG154/AC154-1</f>
        <v>2.7942477260715979</v>
      </c>
      <c r="AH155" s="203">
        <f t="shared" si="311"/>
        <v>3.6003096174933882</v>
      </c>
      <c r="AI155" s="203">
        <f t="shared" si="311"/>
        <v>1.4172501243766003</v>
      </c>
      <c r="AJ155" s="204">
        <f t="shared" si="311"/>
        <v>1.0139846017922505</v>
      </c>
      <c r="AK155" s="203">
        <f t="shared" si="311"/>
        <v>0.90488391358214737</v>
      </c>
      <c r="AL155" s="203">
        <f t="shared" si="311"/>
        <v>0.92691387660442004</v>
      </c>
      <c r="AM155" s="203">
        <f t="shared" si="311"/>
        <v>0.97903196658768721</v>
      </c>
      <c r="AN155" s="204">
        <f t="shared" si="311"/>
        <v>1.1300010027073095</v>
      </c>
      <c r="AO155" s="203">
        <f t="shared" si="311"/>
        <v>0.99670181015588488</v>
      </c>
      <c r="AP155" s="203">
        <f t="shared" si="311"/>
        <v>0.80124839184775953</v>
      </c>
      <c r="AQ155" s="203">
        <f t="shared" si="311"/>
        <v>0.58641078127734692</v>
      </c>
      <c r="AR155" s="204">
        <f t="shared" si="311"/>
        <v>0.16539661056843591</v>
      </c>
      <c r="AS155" s="203">
        <f t="shared" si="311"/>
        <v>5.2795563796446565E-2</v>
      </c>
      <c r="AT155" s="203">
        <f t="shared" si="311"/>
        <v>0.14303604886881183</v>
      </c>
      <c r="AU155" s="203">
        <f t="shared" si="311"/>
        <v>0.37836751009313674</v>
      </c>
      <c r="AV155" s="204">
        <f t="shared" si="311"/>
        <v>0.80950403312336672</v>
      </c>
      <c r="AW155" s="203">
        <f t="shared" si="311"/>
        <v>0.80821693348846213</v>
      </c>
      <c r="AX155" s="203">
        <f t="shared" si="311"/>
        <v>0.56385036127443411</v>
      </c>
      <c r="AY155" s="203">
        <f t="shared" si="311"/>
        <v>0.62354252664095688</v>
      </c>
      <c r="AZ155" s="204">
        <f t="shared" si="311"/>
        <v>0.61007791577227577</v>
      </c>
      <c r="BA155" s="203">
        <f t="shared" si="311"/>
        <v>0.74161981831021939</v>
      </c>
      <c r="BB155" s="203">
        <f t="shared" si="311"/>
        <v>0.97613362134622084</v>
      </c>
      <c r="BC155" s="203">
        <f t="shared" si="311"/>
        <v>0.7179265504429837</v>
      </c>
      <c r="BD155" s="204">
        <f t="shared" si="311"/>
        <v>0.64493067590987874</v>
      </c>
      <c r="BE155" s="203">
        <f t="shared" ref="BE155:BL155" si="312">+BE154/BA154-1</f>
        <v>0.53716536348574251</v>
      </c>
      <c r="BF155" s="203">
        <f t="shared" si="312"/>
        <v>0.32479414455626721</v>
      </c>
      <c r="BG155" s="203">
        <f t="shared" si="312"/>
        <v>0.28611842406245191</v>
      </c>
      <c r="BH155" s="204">
        <f t="shared" si="312"/>
        <v>0.40148821282760427</v>
      </c>
      <c r="BI155" s="203">
        <f>+BI154/BE154-1</f>
        <v>0.42866700325812968</v>
      </c>
      <c r="BJ155" s="203">
        <f t="shared" si="312"/>
        <v>0.44250690607734811</v>
      </c>
      <c r="BK155" s="203">
        <f t="shared" si="312"/>
        <v>0.41888527711557155</v>
      </c>
      <c r="BL155" s="203">
        <f t="shared" si="312"/>
        <v>0.41573556359535768</v>
      </c>
      <c r="BM155" s="1603">
        <f t="shared" ref="BM155:BT155" si="313">+BM154/BI154-1</f>
        <v>0.3713102942939952</v>
      </c>
      <c r="BN155" s="203">
        <f t="shared" si="313"/>
        <v>0.3660323159784562</v>
      </c>
      <c r="BO155" s="203">
        <f t="shared" si="313"/>
        <v>0.31770541749177639</v>
      </c>
      <c r="BP155" s="203">
        <f t="shared" si="313"/>
        <v>0.18983110473895737</v>
      </c>
      <c r="BQ155" s="1603">
        <f t="shared" si="313"/>
        <v>0.13556339181240595</v>
      </c>
      <c r="BR155" s="203">
        <f t="shared" si="313"/>
        <v>0.11883082746293772</v>
      </c>
      <c r="BS155" s="203">
        <f t="shared" si="313"/>
        <v>7.513775229311892E-2</v>
      </c>
      <c r="BT155" s="204">
        <f t="shared" si="313"/>
        <v>0.1588198573425732</v>
      </c>
      <c r="BU155" s="1603">
        <f t="shared" ref="BU155:CF155" si="314">+BU154/BQ154-1</f>
        <v>0.24374071097039529</v>
      </c>
      <c r="BV155" s="203">
        <f t="shared" si="314"/>
        <v>0.22215604547748358</v>
      </c>
      <c r="BW155" s="203">
        <f>+BW154/BS154-1</f>
        <v>0.27539710591001976</v>
      </c>
      <c r="BX155" s="203">
        <f>+BX154/BT154-1</f>
        <v>0.28064592963569535</v>
      </c>
      <c r="BY155" s="1603">
        <f t="shared" si="314"/>
        <v>0.26995889746211943</v>
      </c>
      <c r="BZ155" s="203">
        <f t="shared" si="314"/>
        <v>0.1820792226011323</v>
      </c>
      <c r="CA155" s="203">
        <f t="shared" si="314"/>
        <v>0.1992600590263931</v>
      </c>
      <c r="CB155" s="204">
        <f t="shared" si="314"/>
        <v>0.20804030676169405</v>
      </c>
      <c r="CC155" s="1603">
        <f t="shared" si="314"/>
        <v>0.22102974984293455</v>
      </c>
      <c r="CD155" s="203">
        <f t="shared" si="314"/>
        <v>0.22714775107905072</v>
      </c>
      <c r="CE155" s="203">
        <f t="shared" si="314"/>
        <v>0.15388381718242061</v>
      </c>
      <c r="CF155" s="2153">
        <f t="shared" si="314"/>
        <v>0.24476587113844017</v>
      </c>
      <c r="CG155" s="234"/>
      <c r="CH155" s="160"/>
      <c r="CM155" s="203">
        <f t="shared" ref="CM155:DF155" si="315">+CM154/CL154-1</f>
        <v>1.85</v>
      </c>
      <c r="CN155" s="203">
        <f t="shared" si="315"/>
        <v>0.98598546800607889</v>
      </c>
      <c r="CO155" s="203">
        <f t="shared" si="315"/>
        <v>0.61431731326734784</v>
      </c>
      <c r="CP155" s="203">
        <f t="shared" si="315"/>
        <v>0.31177957398228284</v>
      </c>
      <c r="CQ155" s="203">
        <f t="shared" si="315"/>
        <v>0.64084160570038207</v>
      </c>
      <c r="CR155" s="203">
        <f t="shared" si="315"/>
        <v>0.76629536094131145</v>
      </c>
      <c r="CS155" s="203">
        <f t="shared" si="315"/>
        <v>0.37570317743984827</v>
      </c>
      <c r="CT155" s="203">
        <f t="shared" si="315"/>
        <v>0.42649123527856392</v>
      </c>
      <c r="CU155" s="203">
        <f t="shared" si="315"/>
        <v>0.31291064885649922</v>
      </c>
      <c r="CV155" s="203">
        <f>+CV154/CU154-1</f>
        <v>0.11945801133928979</v>
      </c>
      <c r="CW155" s="203">
        <f t="shared" si="315"/>
        <v>0.25432590695341339</v>
      </c>
      <c r="CX155" s="203">
        <f t="shared" si="315"/>
        <v>0.21412929934341096</v>
      </c>
      <c r="CY155" s="203">
        <f>+CY154/CX154-1</f>
        <v>0.21017819368819435</v>
      </c>
      <c r="CZ155" s="203">
        <f>+CZ154/CY154-1</f>
        <v>0.15808455182073966</v>
      </c>
      <c r="DA155" s="203">
        <f>+DA154/CZ154-1</f>
        <v>0.13497077635877019</v>
      </c>
      <c r="DB155" s="203">
        <f t="shared" si="315"/>
        <v>0.11546749917492782</v>
      </c>
      <c r="DC155" s="203">
        <f t="shared" si="315"/>
        <v>0.1016113992739367</v>
      </c>
      <c r="DD155" s="203">
        <f t="shared" si="315"/>
        <v>9.1450259346542717E-2</v>
      </c>
      <c r="DE155" s="203">
        <f t="shared" si="315"/>
        <v>8.2305233411888779E-2</v>
      </c>
      <c r="DF155" s="204">
        <f t="shared" si="315"/>
        <v>8.2305233411888556E-2</v>
      </c>
    </row>
    <row r="156" spans="1:110" s="806" customFormat="1" ht="12.75" customHeight="1">
      <c r="A156" s="24"/>
      <c r="B156" s="34"/>
      <c r="C156" s="34"/>
      <c r="D156" s="34"/>
      <c r="E156" s="34"/>
      <c r="F156" s="34"/>
      <c r="G156" s="24"/>
      <c r="H156" s="24"/>
      <c r="I156" s="185" t="s">
        <v>273</v>
      </c>
      <c r="J156" s="70"/>
      <c r="K156" s="70"/>
      <c r="P156" s="946"/>
      <c r="T156" s="946"/>
      <c r="X156" s="946"/>
      <c r="AB156" s="946"/>
      <c r="AC156" s="807"/>
      <c r="AD156" s="807"/>
      <c r="AE156" s="807"/>
      <c r="AF156" s="956"/>
      <c r="AG156" s="718"/>
      <c r="AH156" s="718"/>
      <c r="AI156" s="718"/>
      <c r="AJ156" s="740"/>
      <c r="AK156" s="1386">
        <f>FX!AK42</f>
        <v>0.15988391358214737</v>
      </c>
      <c r="AL156" s="1386">
        <f>FX!AL42</f>
        <v>0.13091387660442</v>
      </c>
      <c r="AM156" s="1386">
        <f>FX!AM42</f>
        <v>0.11503196658768722</v>
      </c>
      <c r="AN156" s="1387">
        <f>FX!AN42</f>
        <v>0.2310010027073095</v>
      </c>
      <c r="AO156" s="1386">
        <f>FX!AO42</f>
        <v>0.24670181015588488</v>
      </c>
      <c r="AP156" s="1386">
        <f>FX!AP42</f>
        <v>0.24324839184775948</v>
      </c>
      <c r="AQ156" s="1386">
        <f>FX!AQ42</f>
        <v>0.13941078127734691</v>
      </c>
      <c r="AR156" s="1387">
        <f>FX!AR42</f>
        <v>-0.11060338943156411</v>
      </c>
      <c r="AS156" s="1386">
        <f>FX!AS42</f>
        <v>-0.18220443620355342</v>
      </c>
      <c r="AT156" s="1386">
        <f>FX!AT42</f>
        <v>-0.18096395113118818</v>
      </c>
      <c r="AU156" s="1386">
        <f>FX!AU42</f>
        <v>-0.10663248990686325</v>
      </c>
      <c r="AV156" s="1387">
        <f>FX!AV42</f>
        <v>0.11450403312336677</v>
      </c>
      <c r="AW156" s="1386">
        <f>FX!AW42</f>
        <v>8.021693348846215E-2</v>
      </c>
      <c r="AX156" s="1386">
        <f>FX!AX42</f>
        <v>-7.6118631751717958E-2</v>
      </c>
      <c r="AY156" s="1386">
        <f>FX!AY42</f>
        <v>-0.10669327330695877</v>
      </c>
      <c r="AZ156" s="1387">
        <f>FX!AZ42</f>
        <v>-6.1553676356201015E-2</v>
      </c>
      <c r="BA156" s="1386">
        <f>FX!BA42</f>
        <v>9.067051578331875E-3</v>
      </c>
      <c r="BB156" s="1386">
        <f>FX!BB42</f>
        <v>0.19700506049503141</v>
      </c>
      <c r="BC156" s="1386">
        <f>FX!BC42</f>
        <v>0.11528942807625653</v>
      </c>
      <c r="BD156" s="1387">
        <f>FX!BD42</f>
        <v>-1.347735928903937E-2</v>
      </c>
      <c r="BE156" s="1386">
        <f>FX!BE42</f>
        <v>-3.8427601809954637E-2</v>
      </c>
      <c r="BF156" s="1386">
        <f>FX!BF42</f>
        <v>-0.11205187835420388</v>
      </c>
      <c r="BG156" s="1386">
        <f>FX!BG42</f>
        <v>-0.10854560032070559</v>
      </c>
      <c r="BH156" s="1387">
        <f>FX!BH42</f>
        <v>-2.1603271983640149E-2</v>
      </c>
      <c r="BI156" s="1386">
        <f>FX!BI42</f>
        <v>-2.1885892496789627E-3</v>
      </c>
      <c r="BJ156" s="1386">
        <f>FX!BJ42</f>
        <v>1.364247311827993E-3</v>
      </c>
      <c r="BK156" s="1386">
        <f>FX!BK42</f>
        <v>8.0441835315926968E-3</v>
      </c>
      <c r="BL156" s="1386">
        <f>FX!BL42</f>
        <v>-7.9140880961048876E-3</v>
      </c>
      <c r="BM156" s="1611">
        <f>FX!BM42</f>
        <v>-1.2532442502890873E-2</v>
      </c>
      <c r="BN156" s="1386">
        <f>FX!BN42</f>
        <v>1.1697167502039973E-2</v>
      </c>
      <c r="BO156" s="1386">
        <f>FX!BO42</f>
        <v>-3.9525002723607705E-3</v>
      </c>
      <c r="BP156" s="1386">
        <f>FX!BP42</f>
        <v>-7.9873678783191515E-2</v>
      </c>
      <c r="BQ156" s="1611">
        <f>FX!BQ42</f>
        <v>-0.15272667480973418</v>
      </c>
      <c r="BR156" s="1386">
        <f>FX!BR42</f>
        <v>-0.17930148947098096</v>
      </c>
      <c r="BS156" s="1386">
        <f>FX!BS42</f>
        <v>-0.16738410596026498</v>
      </c>
      <c r="BT156" s="1386">
        <f>FX!BT42</f>
        <v>-0.13143831907289066</v>
      </c>
      <c r="BU156" s="1611">
        <f>FX!BU42</f>
        <v>-5.8889748581603472E-2</v>
      </c>
      <c r="BV156" s="1386">
        <f>FX!BV42</f>
        <v>-1.8560622082329566E-2</v>
      </c>
      <c r="BW156" s="1386">
        <f>FX!BW42</f>
        <v>-1.241077908901627E-2</v>
      </c>
      <c r="BX156" s="1386">
        <f>FX!BX42</f>
        <v>-2.5694745356858568E-2</v>
      </c>
      <c r="BY156" s="1611">
        <f>FX!BY42</f>
        <v>-3.2011646429358519E-2</v>
      </c>
      <c r="BZ156" s="1386">
        <f>FX!BZ42</f>
        <v>-2.976539840502547E-2</v>
      </c>
      <c r="CA156" s="1386">
        <f>FX!CA42</f>
        <v>2.1596422908310788E-2</v>
      </c>
      <c r="CB156" s="1386">
        <f>FX!CB42</f>
        <v>5.7519129121537067E-2</v>
      </c>
      <c r="CC156" s="2148">
        <f>FX!CC42</f>
        <v>6.638896707974129E-2</v>
      </c>
      <c r="CD156" s="2149">
        <f>FX!CD42</f>
        <v>3.8068431313242002E-2</v>
      </c>
      <c r="CE156" s="2149">
        <f>FX!CE42</f>
        <v>-4.9651843075346758E-3</v>
      </c>
      <c r="CF156" s="2154">
        <f>FX!CF42</f>
        <v>3.971267759509467E-2</v>
      </c>
      <c r="CG156" s="946"/>
      <c r="CH156" s="925"/>
      <c r="CM156" s="718"/>
      <c r="CN156" s="718"/>
      <c r="CO156" s="718"/>
      <c r="CP156" s="718"/>
      <c r="CQ156" s="718"/>
      <c r="CR156" s="718"/>
      <c r="CS156" s="718"/>
      <c r="CT156" s="718"/>
      <c r="CU156" s="718"/>
      <c r="CV156" s="718"/>
      <c r="CW156" s="718"/>
      <c r="CX156" s="718"/>
      <c r="CY156" s="718"/>
      <c r="DF156" s="946"/>
    </row>
    <row r="157" spans="1:110" ht="12.75" customHeight="1">
      <c r="B157" s="34"/>
      <c r="C157" s="34"/>
      <c r="D157" s="34"/>
      <c r="E157" s="34"/>
      <c r="F157" s="34"/>
      <c r="I157" s="185" t="s">
        <v>274</v>
      </c>
      <c r="J157" s="70"/>
      <c r="K157" s="70"/>
      <c r="P157" s="234"/>
      <c r="T157" s="234"/>
      <c r="X157" s="234"/>
      <c r="AB157" s="234"/>
      <c r="AF157" s="249"/>
      <c r="AG157" s="203"/>
      <c r="AH157" s="203"/>
      <c r="AI157" s="203"/>
      <c r="AJ157" s="204"/>
      <c r="AK157" s="203">
        <f t="shared" ref="AK157:AZ157" si="316">+AK155-AK156</f>
        <v>0.745</v>
      </c>
      <c r="AL157" s="203">
        <f t="shared" si="316"/>
        <v>0.79600000000000004</v>
      </c>
      <c r="AM157" s="203">
        <f t="shared" si="316"/>
        <v>0.86399999999999999</v>
      </c>
      <c r="AN157" s="204">
        <f t="shared" si="316"/>
        <v>0.89900000000000002</v>
      </c>
      <c r="AO157" s="203">
        <f t="shared" si="316"/>
        <v>0.75</v>
      </c>
      <c r="AP157" s="203">
        <f t="shared" si="316"/>
        <v>0.55800000000000005</v>
      </c>
      <c r="AQ157" s="203">
        <f t="shared" si="316"/>
        <v>0.44700000000000001</v>
      </c>
      <c r="AR157" s="204">
        <f t="shared" si="316"/>
        <v>0.27600000000000002</v>
      </c>
      <c r="AS157" s="203">
        <f t="shared" si="316"/>
        <v>0.23499999999999999</v>
      </c>
      <c r="AT157" s="203">
        <f t="shared" si="316"/>
        <v>0.32400000000000001</v>
      </c>
      <c r="AU157" s="203">
        <f t="shared" si="316"/>
        <v>0.48499999999999999</v>
      </c>
      <c r="AV157" s="204">
        <f t="shared" si="316"/>
        <v>0.69499999999999995</v>
      </c>
      <c r="AW157" s="203">
        <f t="shared" si="316"/>
        <v>0.72799999999999998</v>
      </c>
      <c r="AX157" s="203">
        <f t="shared" si="316"/>
        <v>0.63996899302615207</v>
      </c>
      <c r="AY157" s="203">
        <f t="shared" si="316"/>
        <v>0.73023579994791565</v>
      </c>
      <c r="AZ157" s="204">
        <f t="shared" si="316"/>
        <v>0.67163159212847678</v>
      </c>
      <c r="BA157" s="203">
        <f t="shared" ref="BA157:BL157" si="317">+BA155-BA156</f>
        <v>0.73255276673188752</v>
      </c>
      <c r="BB157" s="203">
        <f t="shared" si="317"/>
        <v>0.77912856085118942</v>
      </c>
      <c r="BC157" s="203">
        <f t="shared" si="317"/>
        <v>0.60263712236672717</v>
      </c>
      <c r="BD157" s="204">
        <f t="shared" si="317"/>
        <v>0.65840803519891811</v>
      </c>
      <c r="BE157" s="203">
        <f t="shared" si="317"/>
        <v>0.57559296529569715</v>
      </c>
      <c r="BF157" s="203">
        <f t="shared" si="317"/>
        <v>0.43684602291047109</v>
      </c>
      <c r="BG157" s="203">
        <f t="shared" si="317"/>
        <v>0.39466402438315751</v>
      </c>
      <c r="BH157" s="204">
        <f t="shared" si="317"/>
        <v>0.42309148481124442</v>
      </c>
      <c r="BI157" s="203">
        <f>+BI155-BI156</f>
        <v>0.43085559250780864</v>
      </c>
      <c r="BJ157" s="203">
        <f t="shared" si="317"/>
        <v>0.44114265876552011</v>
      </c>
      <c r="BK157" s="203">
        <f t="shared" si="317"/>
        <v>0.41084109358397886</v>
      </c>
      <c r="BL157" s="203">
        <f t="shared" si="317"/>
        <v>0.42364965169146257</v>
      </c>
      <c r="BM157" s="1603">
        <f t="shared" ref="BM157:BR157" si="318">+BM155-BM156</f>
        <v>0.38384273679688607</v>
      </c>
      <c r="BN157" s="203">
        <f t="shared" si="318"/>
        <v>0.35433514847641623</v>
      </c>
      <c r="BO157" s="203">
        <f t="shared" si="318"/>
        <v>0.32165791776413716</v>
      </c>
      <c r="BP157" s="203">
        <f t="shared" si="318"/>
        <v>0.26970478352214888</v>
      </c>
      <c r="BQ157" s="1603">
        <f t="shared" si="318"/>
        <v>0.28829006662214013</v>
      </c>
      <c r="BR157" s="203">
        <f t="shared" si="318"/>
        <v>0.29813231693391867</v>
      </c>
      <c r="BS157" s="203">
        <f t="shared" ref="BS157:CF157" si="319">+BS155-BS156</f>
        <v>0.2425218582533839</v>
      </c>
      <c r="BT157" s="203">
        <f t="shared" si="319"/>
        <v>0.29025817641546386</v>
      </c>
      <c r="BU157" s="1603">
        <f t="shared" si="319"/>
        <v>0.30263045955199874</v>
      </c>
      <c r="BV157" s="203">
        <f t="shared" si="319"/>
        <v>0.24071666755981314</v>
      </c>
      <c r="BW157" s="203">
        <f t="shared" si="319"/>
        <v>0.28780788499903603</v>
      </c>
      <c r="BX157" s="203">
        <f t="shared" si="319"/>
        <v>0.30634067499255391</v>
      </c>
      <c r="BY157" s="1603">
        <f t="shared" si="319"/>
        <v>0.30197054389147793</v>
      </c>
      <c r="BZ157" s="203">
        <f t="shared" si="319"/>
        <v>0.21184462100615775</v>
      </c>
      <c r="CA157" s="203">
        <f t="shared" si="319"/>
        <v>0.17766363611808231</v>
      </c>
      <c r="CB157" s="203">
        <f t="shared" si="319"/>
        <v>0.15052117764015699</v>
      </c>
      <c r="CC157" s="1603">
        <f t="shared" si="319"/>
        <v>0.15464078276319326</v>
      </c>
      <c r="CD157" s="203">
        <f t="shared" si="319"/>
        <v>0.18907931976580872</v>
      </c>
      <c r="CE157" s="203">
        <f t="shared" si="319"/>
        <v>0.15884900148995529</v>
      </c>
      <c r="CF157" s="2153">
        <f t="shared" si="319"/>
        <v>0.2050531935433455</v>
      </c>
      <c r="CG157" s="234"/>
      <c r="CH157" s="160"/>
      <c r="CM157" s="203"/>
      <c r="CN157" s="203"/>
      <c r="CO157" s="203"/>
      <c r="CP157" s="203"/>
      <c r="CQ157" s="203"/>
      <c r="CR157" s="203"/>
      <c r="CS157" s="203"/>
      <c r="CT157" s="203"/>
      <c r="CU157" s="203"/>
      <c r="CV157" s="203"/>
      <c r="CW157" s="203"/>
      <c r="CX157" s="203"/>
      <c r="CY157" s="203"/>
      <c r="DF157" s="234"/>
    </row>
    <row r="158" spans="1:110" ht="12.75" customHeight="1">
      <c r="B158" s="34"/>
      <c r="C158" s="34"/>
      <c r="D158" s="34"/>
      <c r="E158" s="34"/>
      <c r="F158" s="34"/>
      <c r="I158" s="185"/>
      <c r="J158" s="70"/>
      <c r="K158" s="70"/>
      <c r="P158" s="234"/>
      <c r="T158" s="234"/>
      <c r="X158" s="234"/>
      <c r="AB158" s="234"/>
      <c r="AF158" s="249"/>
      <c r="AG158" s="203"/>
      <c r="AH158" s="203"/>
      <c r="AI158" s="203"/>
      <c r="AJ158" s="204"/>
      <c r="AK158" s="203"/>
      <c r="AL158" s="203"/>
      <c r="AM158" s="203"/>
      <c r="AN158" s="204"/>
      <c r="AO158" s="203"/>
      <c r="AP158" s="203"/>
      <c r="AQ158" s="203"/>
      <c r="AR158" s="204"/>
      <c r="AS158" s="203"/>
      <c r="AT158" s="203"/>
      <c r="AU158" s="203"/>
      <c r="AV158" s="204"/>
      <c r="AW158" s="203"/>
      <c r="AX158" s="203"/>
      <c r="AY158" s="203"/>
      <c r="AZ158" s="204"/>
      <c r="BA158" s="203"/>
      <c r="BB158" s="203"/>
      <c r="BC158" s="203"/>
      <c r="BD158" s="204"/>
      <c r="BE158" s="203"/>
      <c r="BF158" s="203"/>
      <c r="BG158" s="203"/>
      <c r="BH158" s="204"/>
      <c r="BI158" s="1269"/>
      <c r="BJ158" s="203"/>
      <c r="BK158" s="203"/>
      <c r="BL158" s="203"/>
      <c r="BM158" s="1603"/>
      <c r="BN158" s="203"/>
      <c r="BO158" s="203"/>
      <c r="BP158" s="203"/>
      <c r="BQ158" s="1603"/>
      <c r="BR158" s="203"/>
      <c r="BS158" s="203"/>
      <c r="BT158" s="204"/>
      <c r="BU158" s="1603"/>
      <c r="BV158" s="203"/>
      <c r="BW158" s="203"/>
      <c r="BX158" s="203"/>
      <c r="BY158" s="1603"/>
      <c r="BZ158" s="203"/>
      <c r="CA158" s="203"/>
      <c r="CB158" s="204"/>
      <c r="CC158" s="1603"/>
      <c r="CD158" s="203"/>
      <c r="CE158" s="203"/>
      <c r="CF158" s="2153"/>
      <c r="CG158" s="234"/>
      <c r="CH158" s="160"/>
      <c r="CM158" s="203"/>
      <c r="CN158" s="203"/>
      <c r="CO158" s="203"/>
      <c r="CP158" s="203"/>
      <c r="CQ158" s="203"/>
      <c r="CR158" s="203"/>
      <c r="CS158" s="203"/>
      <c r="CT158" s="203"/>
      <c r="CU158" s="203"/>
      <c r="CV158" s="203"/>
      <c r="CW158" s="203"/>
      <c r="CX158" s="203"/>
      <c r="CY158" s="203"/>
      <c r="DF158" s="234"/>
    </row>
    <row r="159" spans="1:110" s="8" customFormat="1" ht="12.75" customHeight="1">
      <c r="I159" s="861" t="s">
        <v>287</v>
      </c>
      <c r="J159" s="801"/>
      <c r="K159" s="801"/>
      <c r="P159" s="245"/>
      <c r="T159" s="245"/>
      <c r="X159" s="245"/>
      <c r="AB159" s="245"/>
      <c r="AC159" s="289"/>
      <c r="AD159" s="289"/>
      <c r="AE159" s="289"/>
      <c r="AF159" s="953"/>
      <c r="AG159" s="1269">
        <f t="shared" ref="AG159:BL159" si="320">+AG167/(AG102/1000)</f>
        <v>89.340825908981472</v>
      </c>
      <c r="AH159" s="1269">
        <f t="shared" si="320"/>
        <v>93.664989989989991</v>
      </c>
      <c r="AI159" s="1269">
        <f t="shared" si="320"/>
        <v>97.512619320351263</v>
      </c>
      <c r="AJ159" s="1270">
        <f t="shared" si="320"/>
        <v>96.276729191090297</v>
      </c>
      <c r="AK159" s="1269">
        <f t="shared" si="320"/>
        <v>106.51676949718475</v>
      </c>
      <c r="AL159" s="1269">
        <f t="shared" si="320"/>
        <v>113.15435032871665</v>
      </c>
      <c r="AM159" s="1269">
        <f t="shared" si="320"/>
        <v>115.81111622207112</v>
      </c>
      <c r="AN159" s="1270">
        <f t="shared" si="320"/>
        <v>120.22887379304731</v>
      </c>
      <c r="AO159" s="1269">
        <f t="shared" si="320"/>
        <v>126.82972167102652</v>
      </c>
      <c r="AP159" s="1269">
        <f t="shared" si="320"/>
        <v>130.8246154509973</v>
      </c>
      <c r="AQ159" s="1269">
        <f t="shared" si="320"/>
        <v>124.7037222908198</v>
      </c>
      <c r="AR159" s="1270">
        <f t="shared" si="320"/>
        <v>104.65160264580162</v>
      </c>
      <c r="AS159" s="1269">
        <f t="shared" si="320"/>
        <v>100.52209562141492</v>
      </c>
      <c r="AT159" s="1269">
        <f t="shared" si="320"/>
        <v>106.18477590288073</v>
      </c>
      <c r="AU159" s="1269">
        <f t="shared" si="320"/>
        <v>110.29912558722266</v>
      </c>
      <c r="AV159" s="1270">
        <f t="shared" si="320"/>
        <v>111.92801614654782</v>
      </c>
      <c r="AW159" s="1269">
        <f t="shared" si="320"/>
        <v>109.91233386064511</v>
      </c>
      <c r="AX159" s="1269">
        <f t="shared" si="320"/>
        <v>108.12555496432887</v>
      </c>
      <c r="AY159" s="1269">
        <f t="shared" si="320"/>
        <v>112.39577752339335</v>
      </c>
      <c r="AZ159" s="1270">
        <f t="shared" si="320"/>
        <v>115.73684047326846</v>
      </c>
      <c r="BA159" s="1269">
        <f t="shared" si="320"/>
        <v>118.52529086711284</v>
      </c>
      <c r="BB159" s="1269">
        <f t="shared" si="320"/>
        <v>129.51867457840351</v>
      </c>
      <c r="BC159" s="1269">
        <f t="shared" si="320"/>
        <v>126.36523420506413</v>
      </c>
      <c r="BD159" s="1270">
        <f t="shared" si="320"/>
        <v>121.08465944154096</v>
      </c>
      <c r="BE159" s="1269">
        <f t="shared" si="320"/>
        <v>121.16752209356609</v>
      </c>
      <c r="BF159" s="1269">
        <f t="shared" si="320"/>
        <v>121.56177377209688</v>
      </c>
      <c r="BG159" s="1269">
        <f t="shared" si="320"/>
        <v>118.067673915751</v>
      </c>
      <c r="BH159" s="1270">
        <f t="shared" si="320"/>
        <v>121.02368057935091</v>
      </c>
      <c r="BI159" s="1269">
        <f t="shared" si="320"/>
        <v>123.95579394466751</v>
      </c>
      <c r="BJ159" s="1269">
        <f t="shared" si="320"/>
        <v>125.13228107323486</v>
      </c>
      <c r="BK159" s="1269">
        <f t="shared" si="320"/>
        <v>122.20717233888128</v>
      </c>
      <c r="BL159" s="1269">
        <f t="shared" si="320"/>
        <v>124.62632184382882</v>
      </c>
      <c r="BM159" s="1613">
        <f t="shared" ref="BM159:CF159" si="321">+BM167/(BM102/1000)</f>
        <v>127.87690195658753</v>
      </c>
      <c r="BN159" s="1269">
        <f t="shared" si="321"/>
        <v>131.39061449349995</v>
      </c>
      <c r="BO159" s="1269">
        <f t="shared" si="321"/>
        <v>126.18838424659677</v>
      </c>
      <c r="BP159" s="1269">
        <f t="shared" si="321"/>
        <v>119.19263810582821</v>
      </c>
      <c r="BQ159" s="1613">
        <f t="shared" si="321"/>
        <v>115.59328356658833</v>
      </c>
      <c r="BR159" s="1269">
        <f t="shared" si="321"/>
        <v>116.30730673545042</v>
      </c>
      <c r="BS159" s="1269">
        <f t="shared" si="321"/>
        <v>111.2353456047457</v>
      </c>
      <c r="BT159" s="1270">
        <f t="shared" si="321"/>
        <v>108.63764808292886</v>
      </c>
      <c r="BU159" s="1613">
        <f t="shared" si="321"/>
        <v>109.69432051604718</v>
      </c>
      <c r="BV159" s="1269">
        <f t="shared" si="321"/>
        <v>113.77675688467357</v>
      </c>
      <c r="BW159" s="1269">
        <f t="shared" si="321"/>
        <v>108.96855958103016</v>
      </c>
      <c r="BX159" s="1270">
        <f>+BX167/(BX102/1000)</f>
        <v>105.6116333568837</v>
      </c>
      <c r="BY159" s="1613">
        <f t="shared" si="321"/>
        <v>108.9368030555336</v>
      </c>
      <c r="BZ159" s="1269">
        <f t="shared" si="321"/>
        <v>110.84516942398051</v>
      </c>
      <c r="CA159" s="1269">
        <f t="shared" si="321"/>
        <v>109.73957653262896</v>
      </c>
      <c r="CB159" s="1270">
        <f t="shared" si="321"/>
        <v>108.78318800429</v>
      </c>
      <c r="CC159" s="1613">
        <f t="shared" si="321"/>
        <v>115.18068058278587</v>
      </c>
      <c r="CD159" s="1269">
        <f t="shared" si="321"/>
        <v>114.40791217789973</v>
      </c>
      <c r="CE159" s="1269">
        <f t="shared" si="321"/>
        <v>107.54609401238895</v>
      </c>
      <c r="CF159" s="2155">
        <f t="shared" si="321"/>
        <v>113.45816875684275</v>
      </c>
      <c r="CG159" s="245"/>
      <c r="CH159" s="178"/>
      <c r="CM159" s="1269">
        <f t="shared" ref="CM159:DF159" si="322">+CM167/(CM102/1000)</f>
        <v>94.379948796311197</v>
      </c>
      <c r="CN159" s="1269">
        <f t="shared" si="322"/>
        <v>114.17810152441506</v>
      </c>
      <c r="CO159" s="1269">
        <f t="shared" si="322"/>
        <v>122.33994508198393</v>
      </c>
      <c r="CP159" s="1269">
        <f t="shared" si="322"/>
        <v>107.57913254831676</v>
      </c>
      <c r="CQ159" s="1269">
        <f t="shared" si="322"/>
        <v>111.58342760251776</v>
      </c>
      <c r="CR159" s="1269">
        <f t="shared" si="322"/>
        <v>124.18718228477503</v>
      </c>
      <c r="CS159" s="1269">
        <f t="shared" si="322"/>
        <v>120.36769595123755</v>
      </c>
      <c r="CT159" s="1269">
        <f t="shared" si="322"/>
        <v>123.93051343097747</v>
      </c>
      <c r="CU159" s="1269">
        <f t="shared" si="322"/>
        <v>126.36143297182119</v>
      </c>
      <c r="CV159" s="1269">
        <f t="shared" si="322"/>
        <v>113.02083887551211</v>
      </c>
      <c r="CW159" s="1269">
        <f t="shared" si="322"/>
        <v>109.57985589186693</v>
      </c>
      <c r="CX159" s="1269">
        <f t="shared" si="322"/>
        <v>109.59647259621208</v>
      </c>
      <c r="CY159" s="1269">
        <f t="shared" si="322"/>
        <v>112.57738744108859</v>
      </c>
      <c r="CZ159" s="1269">
        <f t="shared" si="322"/>
        <v>112.77747120325824</v>
      </c>
      <c r="DA159" s="1269">
        <f t="shared" si="322"/>
        <v>112.91025324404906</v>
      </c>
      <c r="DB159" s="1269">
        <f t="shared" si="322"/>
        <v>113.00908028093779</v>
      </c>
      <c r="DC159" s="1269">
        <f t="shared" si="322"/>
        <v>113.08551392763157</v>
      </c>
      <c r="DD159" s="1269">
        <f t="shared" si="322"/>
        <v>113.14649806728821</v>
      </c>
      <c r="DE159" s="1269">
        <f t="shared" si="322"/>
        <v>113.19478630340423</v>
      </c>
      <c r="DF159" s="1270">
        <f t="shared" si="322"/>
        <v>113.24127361628784</v>
      </c>
    </row>
    <row r="160" spans="1:110" ht="12.75" customHeight="1">
      <c r="I160" s="185" t="s">
        <v>383</v>
      </c>
      <c r="J160" s="70"/>
      <c r="K160" s="70"/>
      <c r="P160" s="234"/>
      <c r="T160" s="234"/>
      <c r="X160" s="234"/>
      <c r="AB160" s="234"/>
      <c r="AF160" s="249"/>
      <c r="AH160" s="203"/>
      <c r="AI160" s="203"/>
      <c r="AJ160" s="204"/>
      <c r="AK160" s="203">
        <f>+AK159/AG159-1</f>
        <v>0.19225190066747055</v>
      </c>
      <c r="AL160" s="203">
        <f t="shared" ref="AL160:BD160" si="323">+AL159/AH159-1</f>
        <v>0.20807518733316988</v>
      </c>
      <c r="AM160" s="203">
        <f t="shared" si="323"/>
        <v>0.18765260362461511</v>
      </c>
      <c r="AN160" s="204">
        <f t="shared" si="323"/>
        <v>0.24878436152953154</v>
      </c>
      <c r="AO160" s="203">
        <f t="shared" si="323"/>
        <v>0.19070191735751663</v>
      </c>
      <c r="AP160" s="203">
        <f t="shared" si="323"/>
        <v>0.15616072268496994</v>
      </c>
      <c r="AQ160" s="203">
        <f t="shared" si="323"/>
        <v>7.6785427503322401E-2</v>
      </c>
      <c r="AR160" s="204">
        <f t="shared" si="323"/>
        <v>-0.12956347885333441</v>
      </c>
      <c r="AS160" s="203">
        <f t="shared" si="323"/>
        <v>-0.20742477159926953</v>
      </c>
      <c r="AT160" s="203">
        <f t="shared" si="323"/>
        <v>-0.18834253372864573</v>
      </c>
      <c r="AU160" s="203">
        <f t="shared" si="323"/>
        <v>-0.1155105592598461</v>
      </c>
      <c r="AV160" s="204">
        <f t="shared" si="323"/>
        <v>6.9529881213320488E-2</v>
      </c>
      <c r="AW160" s="203">
        <f>+AW159/AS159-1</f>
        <v>9.3414668498312814E-2</v>
      </c>
      <c r="AX160" s="203">
        <f t="shared" si="323"/>
        <v>1.8277375875645596E-2</v>
      </c>
      <c r="AY160" s="203">
        <f t="shared" si="323"/>
        <v>1.9008781121412355E-2</v>
      </c>
      <c r="AZ160" s="204">
        <f t="shared" si="323"/>
        <v>3.4029231088432033E-2</v>
      </c>
      <c r="BA160" s="203">
        <f t="shared" si="323"/>
        <v>7.8362060962037905E-2</v>
      </c>
      <c r="BB160" s="203">
        <f t="shared" si="323"/>
        <v>0.19785442600625114</v>
      </c>
      <c r="BC160" s="203">
        <f t="shared" si="323"/>
        <v>0.12428809150560172</v>
      </c>
      <c r="BD160" s="204">
        <f t="shared" si="323"/>
        <v>4.6206712974056652E-2</v>
      </c>
      <c r="BE160" s="203">
        <f t="shared" ref="BE160:BL160" si="324">+BE159/BA159-1</f>
        <v>2.2292552139067556E-2</v>
      </c>
      <c r="BF160" s="203">
        <f t="shared" si="324"/>
        <v>-6.1434390308634179E-2</v>
      </c>
      <c r="BG160" s="203">
        <f t="shared" si="324"/>
        <v>-6.5663315875693629E-2</v>
      </c>
      <c r="BH160" s="204">
        <f t="shared" si="324"/>
        <v>-5.0360518393743892E-4</v>
      </c>
      <c r="BI160" s="1212">
        <f>+BI159/BE159-1</f>
        <v>2.3011709762854604E-2</v>
      </c>
      <c r="BJ160" s="203">
        <f>+BJ159/BF159-1</f>
        <v>2.9371957897158962E-2</v>
      </c>
      <c r="BK160" s="1212">
        <f>+BK159/BG159-1</f>
        <v>3.5060387706834062E-2</v>
      </c>
      <c r="BL160" s="203">
        <f t="shared" si="324"/>
        <v>2.976806892032835E-2</v>
      </c>
      <c r="BM160" s="1646">
        <f t="shared" ref="BM160:BS160" si="325">+BM159/BI159-1</f>
        <v>3.1633116025785446E-2</v>
      </c>
      <c r="BN160" s="1212">
        <f t="shared" si="325"/>
        <v>5.0013740392076178E-2</v>
      </c>
      <c r="BO160" s="1212">
        <f t="shared" si="325"/>
        <v>3.2577563423819011E-2</v>
      </c>
      <c r="BP160" s="1212">
        <f t="shared" si="325"/>
        <v>-4.3599808271720053E-2</v>
      </c>
      <c r="BQ160" s="1603">
        <f t="shared" si="325"/>
        <v>-9.605814812568203E-2</v>
      </c>
      <c r="BR160" s="203">
        <f t="shared" si="325"/>
        <v>-0.11479745198083169</v>
      </c>
      <c r="BS160" s="203">
        <f t="shared" si="325"/>
        <v>-0.11849774233284349</v>
      </c>
      <c r="BT160" s="204">
        <f t="shared" ref="BT160:CF160" si="326">+BT159/BP159-1</f>
        <v>-8.8554043191223175E-2</v>
      </c>
      <c r="BU160" s="1603">
        <f t="shared" si="326"/>
        <v>-5.103205712763581E-2</v>
      </c>
      <c r="BV160" s="203">
        <f t="shared" si="326"/>
        <v>-2.1757445183841928E-2</v>
      </c>
      <c r="BW160" s="203">
        <f t="shared" si="326"/>
        <v>-2.0378289035664521E-2</v>
      </c>
      <c r="BX160" s="204">
        <f t="shared" si="326"/>
        <v>-2.7854199528834056E-2</v>
      </c>
      <c r="BY160" s="1603">
        <f t="shared" si="326"/>
        <v>-6.9057126836641336E-3</v>
      </c>
      <c r="BZ160" s="203">
        <f t="shared" si="326"/>
        <v>-2.5766136607888956E-2</v>
      </c>
      <c r="CA160" s="203">
        <f t="shared" si="326"/>
        <v>7.0755909279085483E-3</v>
      </c>
      <c r="CB160" s="204">
        <f t="shared" si="326"/>
        <v>3.0030353159002487E-2</v>
      </c>
      <c r="CC160" s="1603">
        <f t="shared" si="326"/>
        <v>5.7316511519704516E-2</v>
      </c>
      <c r="CD160" s="203">
        <f t="shared" si="326"/>
        <v>3.2141614943018482E-2</v>
      </c>
      <c r="CE160" s="203">
        <f t="shared" si="326"/>
        <v>-1.9988071665173801E-2</v>
      </c>
      <c r="CF160" s="204">
        <f t="shared" si="326"/>
        <v>4.2975213710122029E-2</v>
      </c>
      <c r="CG160" s="234"/>
      <c r="CH160" s="160"/>
      <c r="CM160" s="203"/>
      <c r="CN160" s="203">
        <f>+CN159/CM159-1</f>
        <v>0.20977075089150365</v>
      </c>
      <c r="CO160" s="203">
        <f t="shared" ref="CO160:CT160" si="327">+CO159/CN159-1</f>
        <v>7.1483440770151452E-2</v>
      </c>
      <c r="CP160" s="203">
        <f t="shared" si="327"/>
        <v>-0.12065407192863675</v>
      </c>
      <c r="CQ160" s="203">
        <f t="shared" si="327"/>
        <v>3.7221856686774801E-2</v>
      </c>
      <c r="CR160" s="203">
        <f t="shared" si="327"/>
        <v>0.11295364332375901</v>
      </c>
      <c r="CS160" s="203">
        <f t="shared" si="327"/>
        <v>-3.0755882074681273E-2</v>
      </c>
      <c r="CT160" s="203">
        <f t="shared" si="327"/>
        <v>2.9599449018142376E-2</v>
      </c>
      <c r="CU160" s="203">
        <f t="shared" ref="CU160:CZ160" si="328">+CU159/CT159-1</f>
        <v>1.961518171388521E-2</v>
      </c>
      <c r="CV160" s="203">
        <f t="shared" si="328"/>
        <v>-0.1055748877055237</v>
      </c>
      <c r="CW160" s="203">
        <f t="shared" si="328"/>
        <v>-3.0445562233308965E-2</v>
      </c>
      <c r="CX160" s="203">
        <f t="shared" si="328"/>
        <v>1.5164013686552735E-4</v>
      </c>
      <c r="CY160" s="203">
        <f t="shared" si="328"/>
        <v>2.7199003528691534E-2</v>
      </c>
      <c r="CZ160" s="203">
        <f t="shared" si="328"/>
        <v>1.7772997465796969E-3</v>
      </c>
      <c r="DA160" s="203">
        <f t="shared" ref="DA160:DF160" si="329">+DA159/CZ159-1</f>
        <v>1.1773809021795589E-3</v>
      </c>
      <c r="DB160" s="203">
        <f t="shared" si="329"/>
        <v>8.7527070438087051E-4</v>
      </c>
      <c r="DC160" s="203">
        <f t="shared" si="329"/>
        <v>6.7634960397655597E-4</v>
      </c>
      <c r="DD160" s="203">
        <f t="shared" si="329"/>
        <v>5.3927455019264769E-4</v>
      </c>
      <c r="DE160" s="203">
        <f t="shared" si="329"/>
        <v>4.2677623206066606E-4</v>
      </c>
      <c r="DF160" s="204">
        <f t="shared" si="329"/>
        <v>4.1068422320278408E-4</v>
      </c>
    </row>
    <row r="161" spans="1:110" ht="12.75" customHeight="1">
      <c r="I161" s="185" t="s">
        <v>536</v>
      </c>
      <c r="J161" s="70"/>
      <c r="K161" s="70"/>
      <c r="P161" s="234"/>
      <c r="T161" s="234"/>
      <c r="X161" s="234"/>
      <c r="AB161" s="234"/>
      <c r="AF161" s="249"/>
      <c r="AH161" s="203"/>
      <c r="AI161" s="203"/>
      <c r="AJ161" s="204"/>
      <c r="AK161" s="1386">
        <f>FX!AK42</f>
        <v>0.15988391358214737</v>
      </c>
      <c r="AL161" s="1386">
        <f>FX!AL42</f>
        <v>0.13091387660442</v>
      </c>
      <c r="AM161" s="1386">
        <f>FX!AM42</f>
        <v>0.11503196658768722</v>
      </c>
      <c r="AN161" s="1387">
        <f>FX!AN42</f>
        <v>0.2310010027073095</v>
      </c>
      <c r="AO161" s="1386">
        <f>FX!AO42</f>
        <v>0.24670181015588488</v>
      </c>
      <c r="AP161" s="1386">
        <f>FX!AP42</f>
        <v>0.24324839184775948</v>
      </c>
      <c r="AQ161" s="1386">
        <f>FX!AQ42</f>
        <v>0.13941078127734691</v>
      </c>
      <c r="AR161" s="1387">
        <f>FX!AR42</f>
        <v>-0.11060338943156411</v>
      </c>
      <c r="AS161" s="1386">
        <f>FX!AS42</f>
        <v>-0.18220443620355342</v>
      </c>
      <c r="AT161" s="1386">
        <f>FX!AT42</f>
        <v>-0.18096395113118818</v>
      </c>
      <c r="AU161" s="1386">
        <f>FX!AU42</f>
        <v>-0.10663248990686325</v>
      </c>
      <c r="AV161" s="1387">
        <f>FX!AV42</f>
        <v>0.11450403312336677</v>
      </c>
      <c r="AW161" s="1386">
        <f>FX!AW42</f>
        <v>8.021693348846215E-2</v>
      </c>
      <c r="AX161" s="1386">
        <f>FX!AX42</f>
        <v>-7.6118631751717958E-2</v>
      </c>
      <c r="AY161" s="1386">
        <f>FX!AY42</f>
        <v>-0.10669327330695877</v>
      </c>
      <c r="AZ161" s="1387">
        <f>FX!AZ42</f>
        <v>-6.1553676356201015E-2</v>
      </c>
      <c r="BA161" s="1386">
        <f>FX!BA42</f>
        <v>9.067051578331875E-3</v>
      </c>
      <c r="BB161" s="1386">
        <f>FX!BB42</f>
        <v>0.19700506049503141</v>
      </c>
      <c r="BC161" s="1386">
        <f>FX!BC42</f>
        <v>0.11528942807625653</v>
      </c>
      <c r="BD161" s="1387">
        <f>FX!BD42</f>
        <v>-1.347735928903937E-2</v>
      </c>
      <c r="BE161" s="1386">
        <f>FX!BE42</f>
        <v>-3.8427601809954637E-2</v>
      </c>
      <c r="BF161" s="1386">
        <f>FX!BF42</f>
        <v>-0.11205187835420388</v>
      </c>
      <c r="BG161" s="1386">
        <f>FX!BG42</f>
        <v>-0.10854560032070559</v>
      </c>
      <c r="BH161" s="1387">
        <f>FX!BH42</f>
        <v>-2.1603271983640149E-2</v>
      </c>
      <c r="BI161" s="1386">
        <f>FX!BI42</f>
        <v>-2.1885892496789627E-3</v>
      </c>
      <c r="BJ161" s="1386">
        <f>FX!BJ42</f>
        <v>1.364247311827993E-3</v>
      </c>
      <c r="BK161" s="1386">
        <f>FX!BK42</f>
        <v>8.0441835315926968E-3</v>
      </c>
      <c r="BL161" s="1386">
        <f>FX!BL42</f>
        <v>-7.9140880961048876E-3</v>
      </c>
      <c r="BM161" s="1611">
        <f>FX!BM42</f>
        <v>-1.2532442502890873E-2</v>
      </c>
      <c r="BN161" s="1386">
        <f>FX!BN42</f>
        <v>1.1697167502039973E-2</v>
      </c>
      <c r="BO161" s="1386">
        <f>FX!BO42</f>
        <v>-3.9525002723607705E-3</v>
      </c>
      <c r="BP161" s="1386">
        <f>FX!BP42</f>
        <v>-7.9873678783191515E-2</v>
      </c>
      <c r="BQ161" s="1611">
        <f>FX!BQ42</f>
        <v>-0.15272667480973418</v>
      </c>
      <c r="BR161" s="1386">
        <f>FX!BR42</f>
        <v>-0.17930148947098096</v>
      </c>
      <c r="BS161" s="1386">
        <f>FX!BS42</f>
        <v>-0.16738410596026498</v>
      </c>
      <c r="BT161" s="1387">
        <f>FX!BT42</f>
        <v>-0.13143831907289066</v>
      </c>
      <c r="BU161" s="1611">
        <f>FX!BU42</f>
        <v>-5.8889748581603472E-2</v>
      </c>
      <c r="BV161" s="1386">
        <f>FX!BV42</f>
        <v>-1.8560622082329566E-2</v>
      </c>
      <c r="BW161" s="1386">
        <f>FX!BW42</f>
        <v>-1.241077908901627E-2</v>
      </c>
      <c r="BX161" s="1387">
        <f>FX!BX42</f>
        <v>-2.5694745356858568E-2</v>
      </c>
      <c r="BY161" s="1611">
        <f>FX!BY42</f>
        <v>-3.2011646429358519E-2</v>
      </c>
      <c r="BZ161" s="1386">
        <f>FX!BZ42</f>
        <v>-2.976539840502547E-2</v>
      </c>
      <c r="CA161" s="1386">
        <f>FX!CA42</f>
        <v>2.1596422908310788E-2</v>
      </c>
      <c r="CB161" s="1387">
        <f>FX!CB42</f>
        <v>5.7519129121537067E-2</v>
      </c>
      <c r="CC161" s="1611">
        <f>FX!CC42</f>
        <v>6.638896707974129E-2</v>
      </c>
      <c r="CD161" s="1386">
        <f>FX!CD42</f>
        <v>3.8068431313242002E-2</v>
      </c>
      <c r="CE161" s="1386">
        <f>FX!CE42</f>
        <v>-4.9651843075346758E-3</v>
      </c>
      <c r="CF161" s="1387">
        <f>FX!CF42</f>
        <v>3.971267759509467E-2</v>
      </c>
      <c r="CG161" s="234"/>
      <c r="CH161" s="160"/>
      <c r="CM161" s="203"/>
      <c r="CN161" s="1386">
        <f>FX!CN42</f>
        <v>0</v>
      </c>
      <c r="CO161" s="1386">
        <f>FX!CO42</f>
        <v>5.6211495050382254E-3</v>
      </c>
      <c r="CP161" s="1386">
        <f>FX!CP42</f>
        <v>-9.6153765163986105E-2</v>
      </c>
      <c r="CQ161" s="1386">
        <f>FX!CQ42</f>
        <v>-3.3565748004645068E-2</v>
      </c>
      <c r="CR161" s="1386">
        <f>FX!CR42</f>
        <v>1.5870578430861038E-3</v>
      </c>
      <c r="CS161" s="1386">
        <f>FX!CS42</f>
        <v>-6.6788557352971623E-2</v>
      </c>
      <c r="CT161" s="1386">
        <f>FX!CT42</f>
        <v>-2.4829536226811388E-4</v>
      </c>
      <c r="CU161" s="1386">
        <f>FX!CU42</f>
        <v>-2.2583660281306872E-2</v>
      </c>
      <c r="CV161" s="1386">
        <f>FX!CV42</f>
        <v>-0.15757487748179211</v>
      </c>
      <c r="CW161" s="1386">
        <f>FX!CW42</f>
        <v>-2.8268793895241506E-2</v>
      </c>
      <c r="CX161" s="1386">
        <f>FX!CX42</f>
        <v>2.6094783015758072E-2</v>
      </c>
      <c r="CY161" s="1386">
        <f>FX!CY42</f>
        <v>3.3206430188495561E-2</v>
      </c>
      <c r="CZ161" s="1386">
        <f>FX!CZ42</f>
        <v>1.9345565802142417E-4</v>
      </c>
      <c r="DA161" s="1386">
        <f>FX!DA42</f>
        <v>0</v>
      </c>
      <c r="DB161" s="1386">
        <f>FX!DB42</f>
        <v>0</v>
      </c>
      <c r="DC161" s="1386">
        <f>FX!DC42</f>
        <v>0</v>
      </c>
      <c r="DD161" s="1386">
        <f>FX!DD42</f>
        <v>0</v>
      </c>
      <c r="DE161" s="1386">
        <f>FX!DE42</f>
        <v>0</v>
      </c>
      <c r="DF161" s="1387">
        <f>FX!DF42</f>
        <v>0</v>
      </c>
    </row>
    <row r="162" spans="1:110" ht="12.75" customHeight="1">
      <c r="I162" s="193" t="s">
        <v>539</v>
      </c>
      <c r="J162" s="70"/>
      <c r="K162" s="70"/>
      <c r="P162" s="234"/>
      <c r="T162" s="234"/>
      <c r="X162" s="234"/>
      <c r="AB162" s="234"/>
      <c r="AF162" s="249"/>
      <c r="AH162" s="203"/>
      <c r="AI162" s="203"/>
      <c r="AJ162" s="204"/>
      <c r="AK162" s="203">
        <f t="shared" ref="AK162:CF162" si="330">+AK160-AK161</f>
        <v>3.236798708532318E-2</v>
      </c>
      <c r="AL162" s="203">
        <f t="shared" si="330"/>
        <v>7.7161310728749877E-2</v>
      </c>
      <c r="AM162" s="203">
        <f t="shared" si="330"/>
        <v>7.2620637036927893E-2</v>
      </c>
      <c r="AN162" s="204">
        <f t="shared" si="330"/>
        <v>1.778335882222204E-2</v>
      </c>
      <c r="AO162" s="203">
        <f t="shared" si="330"/>
        <v>-5.5999892798368256E-2</v>
      </c>
      <c r="AP162" s="203">
        <f t="shared" si="330"/>
        <v>-8.7087669162789538E-2</v>
      </c>
      <c r="AQ162" s="203">
        <f t="shared" si="330"/>
        <v>-6.2625353774024506E-2</v>
      </c>
      <c r="AR162" s="204">
        <f t="shared" si="330"/>
        <v>-1.8960089421770299E-2</v>
      </c>
      <c r="AS162" s="203">
        <f t="shared" si="330"/>
        <v>-2.5220335395716109E-2</v>
      </c>
      <c r="AT162" s="203">
        <f t="shared" si="330"/>
        <v>-7.3785825974575503E-3</v>
      </c>
      <c r="AU162" s="203">
        <f t="shared" si="330"/>
        <v>-8.8780693529828536E-3</v>
      </c>
      <c r="AV162" s="204">
        <f t="shared" si="330"/>
        <v>-4.4974151910046278E-2</v>
      </c>
      <c r="AW162" s="203">
        <f t="shared" si="330"/>
        <v>1.3197735009850664E-2</v>
      </c>
      <c r="AX162" s="203">
        <f t="shared" si="330"/>
        <v>9.4396007627363554E-2</v>
      </c>
      <c r="AY162" s="203">
        <f t="shared" si="330"/>
        <v>0.12570205442837112</v>
      </c>
      <c r="AZ162" s="204">
        <f t="shared" si="330"/>
        <v>9.5582907444633047E-2</v>
      </c>
      <c r="BA162" s="203">
        <f t="shared" si="330"/>
        <v>6.929500938370603E-2</v>
      </c>
      <c r="BB162" s="203">
        <f t="shared" si="330"/>
        <v>8.4936551121972403E-4</v>
      </c>
      <c r="BC162" s="203">
        <f t="shared" si="330"/>
        <v>8.9986634293451884E-3</v>
      </c>
      <c r="BD162" s="204">
        <f t="shared" si="330"/>
        <v>5.9684072263096022E-2</v>
      </c>
      <c r="BE162" s="203">
        <f t="shared" si="330"/>
        <v>6.0720153949022193E-2</v>
      </c>
      <c r="BF162" s="203">
        <f t="shared" si="330"/>
        <v>5.0617488045569703E-2</v>
      </c>
      <c r="BG162" s="203">
        <f t="shared" si="330"/>
        <v>4.2882284445011964E-2</v>
      </c>
      <c r="BH162" s="204">
        <f t="shared" si="330"/>
        <v>2.109966679970271E-2</v>
      </c>
      <c r="BI162" s="203">
        <f t="shared" si="330"/>
        <v>2.5200299012533567E-2</v>
      </c>
      <c r="BJ162" s="203">
        <f t="shared" si="330"/>
        <v>2.8007710585330969E-2</v>
      </c>
      <c r="BK162" s="203">
        <f t="shared" si="330"/>
        <v>2.7016204175241365E-2</v>
      </c>
      <c r="BL162" s="203">
        <f t="shared" si="330"/>
        <v>3.7682157016433238E-2</v>
      </c>
      <c r="BM162" s="1603">
        <f t="shared" si="330"/>
        <v>4.4165558528676319E-2</v>
      </c>
      <c r="BN162" s="203">
        <f t="shared" ref="BN162:BS162" si="331">+BN160-BN161</f>
        <v>3.8316572890036205E-2</v>
      </c>
      <c r="BO162" s="203">
        <f t="shared" si="331"/>
        <v>3.6530063696179782E-2</v>
      </c>
      <c r="BP162" s="203">
        <f t="shared" si="331"/>
        <v>3.6273870511471462E-2</v>
      </c>
      <c r="BQ162" s="1646">
        <f t="shared" si="331"/>
        <v>5.6668526684052145E-2</v>
      </c>
      <c r="BR162" s="1212">
        <f t="shared" si="331"/>
        <v>6.4504037490149269E-2</v>
      </c>
      <c r="BS162" s="1212">
        <f t="shared" si="331"/>
        <v>4.8886363627421492E-2</v>
      </c>
      <c r="BT162" s="1392">
        <f t="shared" si="330"/>
        <v>4.2884275881667488E-2</v>
      </c>
      <c r="BU162" s="1603">
        <f t="shared" si="330"/>
        <v>7.8576914539676621E-3</v>
      </c>
      <c r="BV162" s="203">
        <f t="shared" si="330"/>
        <v>-3.1968231015123624E-3</v>
      </c>
      <c r="BW162" s="203">
        <f t="shared" si="330"/>
        <v>-7.9675099466482505E-3</v>
      </c>
      <c r="BX162" s="204">
        <f t="shared" si="330"/>
        <v>-2.1594541719754876E-3</v>
      </c>
      <c r="BY162" s="1603">
        <f t="shared" si="330"/>
        <v>2.5105933745694385E-2</v>
      </c>
      <c r="BZ162" s="203">
        <f t="shared" si="330"/>
        <v>3.9992617971365135E-3</v>
      </c>
      <c r="CA162" s="203">
        <f t="shared" si="330"/>
        <v>-1.452083198040224E-2</v>
      </c>
      <c r="CB162" s="204">
        <f t="shared" si="330"/>
        <v>-2.748877596253458E-2</v>
      </c>
      <c r="CC162" s="1603">
        <f t="shared" si="330"/>
        <v>-9.072455560036774E-3</v>
      </c>
      <c r="CD162" s="203">
        <f t="shared" si="330"/>
        <v>-5.9268163702235199E-3</v>
      </c>
      <c r="CE162" s="203">
        <f>+CE160-CE161</f>
        <v>-1.5022887357639125E-2</v>
      </c>
      <c r="CF162" s="204">
        <f t="shared" si="330"/>
        <v>3.2625361150273591E-3</v>
      </c>
      <c r="CG162" s="234"/>
      <c r="CH162" s="160"/>
      <c r="CM162" s="203"/>
      <c r="CN162" s="203">
        <f t="shared" ref="CN162:CT162" si="332">+CN160-CN161</f>
        <v>0.20977075089150365</v>
      </c>
      <c r="CO162" s="203">
        <f t="shared" si="332"/>
        <v>6.5862291265113226E-2</v>
      </c>
      <c r="CP162" s="203">
        <f t="shared" si="332"/>
        <v>-2.4500306764650648E-2</v>
      </c>
      <c r="CQ162" s="203">
        <f t="shared" si="332"/>
        <v>7.078760469141987E-2</v>
      </c>
      <c r="CR162" s="203">
        <f t="shared" si="332"/>
        <v>0.11136658548067291</v>
      </c>
      <c r="CS162" s="203">
        <f t="shared" si="332"/>
        <v>3.6032675278290349E-2</v>
      </c>
      <c r="CT162" s="203">
        <f t="shared" si="332"/>
        <v>2.984774438041049E-2</v>
      </c>
      <c r="CU162" s="203">
        <f t="shared" ref="CU162:CZ162" si="333">+CU160-CU161</f>
        <v>4.2198841995192082E-2</v>
      </c>
      <c r="CV162" s="203">
        <f t="shared" si="333"/>
        <v>5.1999989776268407E-2</v>
      </c>
      <c r="CW162" s="203">
        <f t="shared" si="333"/>
        <v>-2.1767683380674585E-3</v>
      </c>
      <c r="CX162" s="203">
        <f t="shared" si="333"/>
        <v>-2.5943142878892544E-2</v>
      </c>
      <c r="CY162" s="203">
        <f t="shared" si="333"/>
        <v>-6.0074266598040271E-3</v>
      </c>
      <c r="CZ162" s="203">
        <f t="shared" si="333"/>
        <v>1.5838440885582727E-3</v>
      </c>
      <c r="DA162" s="203">
        <f t="shared" ref="DA162:DF162" si="334">+DA160-DA161</f>
        <v>1.1773809021795589E-3</v>
      </c>
      <c r="DB162" s="203">
        <f t="shared" si="334"/>
        <v>8.7527070438087051E-4</v>
      </c>
      <c r="DC162" s="203">
        <f t="shared" si="334"/>
        <v>6.7634960397655597E-4</v>
      </c>
      <c r="DD162" s="203">
        <f t="shared" si="334"/>
        <v>5.3927455019264769E-4</v>
      </c>
      <c r="DE162" s="203">
        <f t="shared" si="334"/>
        <v>4.2677623206066606E-4</v>
      </c>
      <c r="DF162" s="204">
        <f t="shared" si="334"/>
        <v>4.1068422320278408E-4</v>
      </c>
    </row>
    <row r="163" spans="1:110" ht="12.75" customHeight="1">
      <c r="A163" s="34"/>
      <c r="B163" s="34"/>
      <c r="C163" s="34"/>
      <c r="D163" s="34"/>
      <c r="E163" s="34"/>
      <c r="F163" s="34"/>
      <c r="G163" s="34"/>
      <c r="H163" s="34"/>
      <c r="I163" s="185"/>
      <c r="J163" s="70"/>
      <c r="K163" s="70"/>
      <c r="P163" s="234"/>
      <c r="T163" s="234"/>
      <c r="X163" s="234"/>
      <c r="AB163" s="234"/>
      <c r="AF163" s="249"/>
      <c r="AH163" s="203"/>
      <c r="AI163" s="203"/>
      <c r="AJ163" s="204"/>
      <c r="AK163" s="876"/>
      <c r="AL163" s="876"/>
      <c r="AM163" s="883"/>
      <c r="AN163" s="974"/>
      <c r="AO163" s="876"/>
      <c r="AP163" s="876"/>
      <c r="AQ163" s="876"/>
      <c r="AR163" s="974"/>
      <c r="AS163" s="64"/>
      <c r="AT163" s="64"/>
      <c r="AU163" s="64"/>
      <c r="AV163" s="180"/>
      <c r="AW163" s="64"/>
      <c r="AX163" s="64"/>
      <c r="AY163" s="64"/>
      <c r="AZ163" s="180"/>
      <c r="BA163" s="64"/>
      <c r="BB163" s="64"/>
      <c r="BC163" s="64"/>
      <c r="BD163" s="180"/>
      <c r="BE163" s="24"/>
      <c r="BF163" s="24"/>
      <c r="BG163" s="24"/>
      <c r="BH163" s="216"/>
      <c r="BI163" s="38"/>
      <c r="BJ163" s="38"/>
      <c r="BK163" s="38"/>
      <c r="BL163" s="38"/>
      <c r="BM163" s="173"/>
      <c r="BN163" s="38"/>
      <c r="BO163" s="38"/>
      <c r="BP163" s="64"/>
      <c r="BQ163" s="1263"/>
      <c r="BR163" s="64"/>
      <c r="BS163" s="64"/>
      <c r="BT163" s="180"/>
      <c r="BU163" s="1263"/>
      <c r="BV163" s="64"/>
      <c r="BW163" s="64"/>
      <c r="BX163" s="180"/>
      <c r="BY163" s="1263"/>
      <c r="BZ163" s="64"/>
      <c r="CA163" s="64"/>
      <c r="CB163" s="180"/>
      <c r="CC163" s="1263"/>
      <c r="CD163" s="64"/>
      <c r="CE163" s="64"/>
      <c r="CF163" s="180"/>
      <c r="CG163" s="234"/>
      <c r="CH163" s="160"/>
      <c r="CM163" s="203"/>
      <c r="CN163" s="203"/>
      <c r="CO163" s="877"/>
      <c r="CP163" s="877"/>
      <c r="CQ163" s="203"/>
      <c r="CR163" s="203"/>
      <c r="CS163" s="203"/>
      <c r="CT163" s="203"/>
      <c r="CU163" s="203"/>
      <c r="CV163" s="203"/>
      <c r="CW163" s="203"/>
      <c r="CX163" s="203"/>
      <c r="CY163" s="203"/>
      <c r="DF163" s="234"/>
    </row>
    <row r="164" spans="1:110" ht="12.75" customHeight="1">
      <c r="A164" s="34"/>
      <c r="B164" s="34"/>
      <c r="C164" s="34"/>
      <c r="D164" s="34"/>
      <c r="E164" s="34"/>
      <c r="F164" s="34"/>
      <c r="G164" s="34"/>
      <c r="H164" s="34"/>
      <c r="I164" s="196" t="s">
        <v>497</v>
      </c>
      <c r="J164" s="70"/>
      <c r="K164" s="70"/>
      <c r="P164" s="234"/>
      <c r="T164" s="234"/>
      <c r="X164" s="234"/>
      <c r="AB164" s="234"/>
      <c r="AF164" s="249"/>
      <c r="AG164" s="203"/>
      <c r="AH164" s="203"/>
      <c r="AI164" s="203"/>
      <c r="AJ164" s="204"/>
      <c r="AK164" s="203"/>
      <c r="AL164" s="203"/>
      <c r="AM164" s="203"/>
      <c r="AN164" s="204"/>
      <c r="AO164" s="203"/>
      <c r="AP164" s="203"/>
      <c r="AQ164" s="203"/>
      <c r="AR164" s="204"/>
      <c r="AS164" s="203"/>
      <c r="AT164" s="203"/>
      <c r="AU164" s="203"/>
      <c r="AV164" s="204"/>
      <c r="AW164" s="203"/>
      <c r="AX164" s="203"/>
      <c r="AY164" s="203"/>
      <c r="AZ164" s="204"/>
      <c r="BA164" s="24"/>
      <c r="BB164" s="103"/>
      <c r="BC164" s="103"/>
      <c r="BD164" s="202"/>
      <c r="BE164" s="103"/>
      <c r="BF164" s="103"/>
      <c r="BG164" s="24"/>
      <c r="BH164" s="216"/>
      <c r="BI164" s="203"/>
      <c r="BJ164" s="203"/>
      <c r="BK164" s="203"/>
      <c r="BL164" s="203"/>
      <c r="BM164" s="173"/>
      <c r="BN164" s="38"/>
      <c r="BO164" s="38"/>
      <c r="BP164" s="103"/>
      <c r="BQ164" s="1263"/>
      <c r="BR164" s="103"/>
      <c r="BS164" s="103"/>
      <c r="BT164" s="202"/>
      <c r="BU164" s="265"/>
      <c r="BV164" s="103"/>
      <c r="BW164" s="103"/>
      <c r="BX164" s="202"/>
      <c r="BY164" s="265"/>
      <c r="BZ164" s="103"/>
      <c r="CA164" s="103"/>
      <c r="CB164" s="202"/>
      <c r="CC164" s="265"/>
      <c r="CD164" s="103"/>
      <c r="CE164" s="103"/>
      <c r="CF164" s="202"/>
      <c r="CG164" s="234"/>
      <c r="CH164" s="160"/>
      <c r="CM164" s="203"/>
      <c r="CN164" s="203"/>
      <c r="CO164" s="203"/>
      <c r="CP164" s="203"/>
      <c r="CQ164" s="203"/>
      <c r="CR164" s="103"/>
      <c r="CS164" s="103"/>
      <c r="CT164" s="103"/>
      <c r="CU164" s="103"/>
      <c r="CV164" s="103"/>
      <c r="CW164" s="103"/>
      <c r="CX164" s="103"/>
      <c r="CY164" s="103"/>
      <c r="DF164" s="234"/>
    </row>
    <row r="165" spans="1:110" s="39" customFormat="1" ht="12.75" customHeight="1">
      <c r="A165" s="24"/>
      <c r="B165" s="24"/>
      <c r="C165" s="24"/>
      <c r="D165" s="24"/>
      <c r="E165" s="24"/>
      <c r="F165" s="24"/>
      <c r="G165" s="24"/>
      <c r="H165" s="24"/>
      <c r="I165" s="233" t="s">
        <v>288</v>
      </c>
      <c r="J165" s="814"/>
      <c r="K165" s="814"/>
      <c r="P165" s="241"/>
      <c r="T165" s="241"/>
      <c r="X165" s="241"/>
      <c r="AB165" s="241"/>
      <c r="AC165" s="815"/>
      <c r="AD165" s="815"/>
      <c r="AE165" s="815"/>
      <c r="AF165" s="959"/>
      <c r="AG165" s="800">
        <f t="shared" ref="AG165:BL165" si="335">+AG143</f>
        <v>98.218450000000018</v>
      </c>
      <c r="AH165" s="800">
        <f t="shared" si="335"/>
        <v>111.26362500000002</v>
      </c>
      <c r="AI165" s="800">
        <f t="shared" si="335"/>
        <v>112.35510000000001</v>
      </c>
      <c r="AJ165" s="849">
        <f t="shared" si="335"/>
        <v>91.484250000000017</v>
      </c>
      <c r="AK165" s="800">
        <f t="shared" si="335"/>
        <v>114.62836235573526</v>
      </c>
      <c r="AL165" s="800">
        <f>+AL143</f>
        <v>132.33980508056598</v>
      </c>
      <c r="AM165" s="800">
        <f t="shared" si="335"/>
        <v>133.84172959257455</v>
      </c>
      <c r="AN165" s="849">
        <f t="shared" si="335"/>
        <v>115.674229014801</v>
      </c>
      <c r="AO165" s="800">
        <f t="shared" si="335"/>
        <v>151.38464066587349</v>
      </c>
      <c r="AP165" s="800">
        <f t="shared" si="335"/>
        <v>185.5599914913995</v>
      </c>
      <c r="AQ165" s="800">
        <f t="shared" si="335"/>
        <v>175.01236067323356</v>
      </c>
      <c r="AR165" s="849">
        <f t="shared" si="335"/>
        <v>162.86052574558539</v>
      </c>
      <c r="AS165" s="800">
        <f t="shared" si="335"/>
        <v>192.74799251978985</v>
      </c>
      <c r="AT165" s="800">
        <f t="shared" si="335"/>
        <v>248.6705145186265</v>
      </c>
      <c r="AU165" s="800">
        <f t="shared" si="335"/>
        <v>246.80407511808167</v>
      </c>
      <c r="AV165" s="849">
        <f t="shared" si="335"/>
        <v>199.89453962657237</v>
      </c>
      <c r="AW165" s="800">
        <f t="shared" si="335"/>
        <v>227.51799523504917</v>
      </c>
      <c r="AX165" s="800">
        <f t="shared" si="335"/>
        <v>296.11187517243002</v>
      </c>
      <c r="AY165" s="800">
        <f t="shared" si="335"/>
        <v>291.68388189331722</v>
      </c>
      <c r="AZ165" s="849">
        <f t="shared" si="335"/>
        <v>238.21049041190605</v>
      </c>
      <c r="BA165" s="800">
        <f t="shared" si="335"/>
        <v>257.68907505392076</v>
      </c>
      <c r="BB165" s="800">
        <f t="shared" si="335"/>
        <v>303.62415228036622</v>
      </c>
      <c r="BC165" s="800">
        <f t="shared" si="335"/>
        <v>321.60850872560411</v>
      </c>
      <c r="BD165" s="849">
        <f t="shared" si="335"/>
        <v>271.9445572357767</v>
      </c>
      <c r="BE165" s="800">
        <f t="shared" si="335"/>
        <v>273.27926409468301</v>
      </c>
      <c r="BF165" s="800">
        <f t="shared" si="335"/>
        <v>310.40104335926401</v>
      </c>
      <c r="BG165" s="800">
        <f t="shared" si="335"/>
        <v>332.62360014945614</v>
      </c>
      <c r="BH165" s="849">
        <f t="shared" si="335"/>
        <v>270.54404276601247</v>
      </c>
      <c r="BI165" s="800">
        <f t="shared" si="335"/>
        <v>278.77217730298611</v>
      </c>
      <c r="BJ165" s="800">
        <f t="shared" si="335"/>
        <v>329.18030648249947</v>
      </c>
      <c r="BK165" s="800">
        <f t="shared" si="335"/>
        <v>365.69969094831805</v>
      </c>
      <c r="BL165" s="800">
        <f t="shared" si="335"/>
        <v>331.14590834559925</v>
      </c>
      <c r="BM165" s="934">
        <f t="shared" ref="BM165:CF165" si="336">+BM143</f>
        <v>304.36346317940024</v>
      </c>
      <c r="BN165" s="800">
        <f>+BN143</f>
        <v>359.39905861759297</v>
      </c>
      <c r="BO165" s="800">
        <f t="shared" si="336"/>
        <v>399.27092257737365</v>
      </c>
      <c r="BP165" s="800">
        <f t="shared" si="336"/>
        <v>358.13429987576563</v>
      </c>
      <c r="BQ165" s="934">
        <f t="shared" si="336"/>
        <v>325.97326906513769</v>
      </c>
      <c r="BR165" s="800">
        <f>+BR143</f>
        <v>384.91639177944211</v>
      </c>
      <c r="BS165" s="800">
        <f>+BS143</f>
        <v>426.5710719086016</v>
      </c>
      <c r="BT165" s="800">
        <f>+BT143</f>
        <v>379.80142501824946</v>
      </c>
      <c r="BU165" s="934">
        <f t="shared" si="336"/>
        <v>340.5605728558026</v>
      </c>
      <c r="BV165" s="800">
        <f t="shared" si="336"/>
        <v>402.14140031157206</v>
      </c>
      <c r="BW165" s="800">
        <f t="shared" si="336"/>
        <v>445.66012737651158</v>
      </c>
      <c r="BX165" s="849">
        <f t="shared" si="336"/>
        <v>396.79753878781617</v>
      </c>
      <c r="BY165" s="934">
        <f t="shared" si="336"/>
        <v>361.16448751357865</v>
      </c>
      <c r="BZ165" s="800">
        <f t="shared" si="336"/>
        <v>418.02598562387919</v>
      </c>
      <c r="CA165" s="800">
        <f t="shared" si="336"/>
        <v>463.26370240788384</v>
      </c>
      <c r="CB165" s="849">
        <f t="shared" si="336"/>
        <v>412.47104156993493</v>
      </c>
      <c r="CC165" s="934">
        <f t="shared" si="336"/>
        <v>375.43048477036501</v>
      </c>
      <c r="CD165" s="800">
        <f t="shared" si="336"/>
        <v>430.1487392069717</v>
      </c>
      <c r="CE165" s="800">
        <f t="shared" si="336"/>
        <v>481.56261865299518</v>
      </c>
      <c r="CF165" s="849">
        <f t="shared" si="336"/>
        <v>428.76364771194733</v>
      </c>
      <c r="CG165" s="241"/>
      <c r="CH165" s="182"/>
      <c r="CM165" s="800">
        <f t="shared" ref="CM165:CY165" si="337">+CM143</f>
        <v>413.32142500000009</v>
      </c>
      <c r="CN165" s="800">
        <f t="shared" si="337"/>
        <v>496.48412604367684</v>
      </c>
      <c r="CO165" s="800">
        <f t="shared" si="337"/>
        <v>674.81751857609197</v>
      </c>
      <c r="CP165" s="800">
        <f t="shared" si="337"/>
        <v>888.11712178307039</v>
      </c>
      <c r="CQ165" s="800">
        <f t="shared" si="337"/>
        <v>1053.5242427127025</v>
      </c>
      <c r="CR165" s="800">
        <f t="shared" si="337"/>
        <v>1154.8662932956677</v>
      </c>
      <c r="CS165" s="800">
        <f t="shared" si="337"/>
        <v>1186.8479503694157</v>
      </c>
      <c r="CT165" s="800">
        <f t="shared" si="337"/>
        <v>1304.7980830794029</v>
      </c>
      <c r="CU165" s="800">
        <f t="shared" si="337"/>
        <v>1421.1677442501325</v>
      </c>
      <c r="CV165" s="800">
        <f t="shared" si="337"/>
        <v>1517.2621577714308</v>
      </c>
      <c r="CW165" s="800">
        <f t="shared" si="337"/>
        <v>1585.1596393317025</v>
      </c>
      <c r="CX165" s="800">
        <f t="shared" si="337"/>
        <v>1654.9252171152766</v>
      </c>
      <c r="CY165" s="800">
        <f t="shared" si="337"/>
        <v>1715.9054903422793</v>
      </c>
      <c r="CZ165" s="800">
        <f>+CZ143</f>
        <v>1784.5417099559706</v>
      </c>
      <c r="DA165" s="800">
        <f t="shared" ref="DA165:DF165" si="338">+DA143</f>
        <v>1855.9233783542097</v>
      </c>
      <c r="DB165" s="800">
        <f t="shared" si="338"/>
        <v>1930.1603134883781</v>
      </c>
      <c r="DC165" s="800">
        <f t="shared" si="338"/>
        <v>2007.366726027913</v>
      </c>
      <c r="DD165" s="800">
        <f t="shared" si="338"/>
        <v>2087.6613950690298</v>
      </c>
      <c r="DE165" s="800">
        <f t="shared" si="338"/>
        <v>2171.167850871791</v>
      </c>
      <c r="DF165" s="849">
        <f t="shared" si="338"/>
        <v>2258.0145649066626</v>
      </c>
    </row>
    <row r="166" spans="1:110" s="1272" customFormat="1" ht="12.75" customHeight="1">
      <c r="A166" s="53"/>
      <c r="B166" s="53"/>
      <c r="C166" s="53"/>
      <c r="D166" s="53"/>
      <c r="E166" s="53"/>
      <c r="F166" s="53"/>
      <c r="G166" s="53"/>
      <c r="H166" s="1260"/>
      <c r="I166" s="283" t="s">
        <v>289</v>
      </c>
      <c r="J166" s="1271"/>
      <c r="K166" s="1271"/>
      <c r="P166" s="1273"/>
      <c r="T166" s="1273"/>
      <c r="X166" s="1273"/>
      <c r="AB166" s="1273"/>
      <c r="AC166" s="1274"/>
      <c r="AD166" s="1274"/>
      <c r="AE166" s="1274"/>
      <c r="AF166" s="1275"/>
      <c r="AG166" s="1224">
        <f t="shared" ref="AG166:BL166" si="339">+AG154</f>
        <v>272.81400000000002</v>
      </c>
      <c r="AH166" s="1224">
        <f t="shared" si="339"/>
        <v>356.59300000000002</v>
      </c>
      <c r="AI166" s="1224">
        <f t="shared" si="339"/>
        <v>398.416</v>
      </c>
      <c r="AJ166" s="1276">
        <f t="shared" si="339"/>
        <v>319.13600000000002</v>
      </c>
      <c r="AK166" s="1224">
        <f t="shared" si="339"/>
        <v>519.67899999999997</v>
      </c>
      <c r="AL166" s="1224">
        <f>+AL154</f>
        <v>687.12400000000002</v>
      </c>
      <c r="AM166" s="1224">
        <f t="shared" si="339"/>
        <v>788.47799999999995</v>
      </c>
      <c r="AN166" s="1276">
        <f t="shared" si="339"/>
        <v>679.76</v>
      </c>
      <c r="AO166" s="1224">
        <f t="shared" si="339"/>
        <v>1037.644</v>
      </c>
      <c r="AP166" s="1224">
        <f t="shared" si="339"/>
        <v>1237.681</v>
      </c>
      <c r="AQ166" s="1224">
        <f t="shared" si="339"/>
        <v>1250.8499999999999</v>
      </c>
      <c r="AR166" s="1276">
        <f t="shared" si="339"/>
        <v>792.19</v>
      </c>
      <c r="AS166" s="1224">
        <f t="shared" si="339"/>
        <v>1092.4269999999999</v>
      </c>
      <c r="AT166" s="1224">
        <f t="shared" si="339"/>
        <v>1414.7139999999999</v>
      </c>
      <c r="AU166" s="1224">
        <f t="shared" si="339"/>
        <v>1724.1310000000001</v>
      </c>
      <c r="AV166" s="1276">
        <f t="shared" si="339"/>
        <v>1433.471</v>
      </c>
      <c r="AW166" s="1224">
        <f t="shared" si="339"/>
        <v>1975.345</v>
      </c>
      <c r="AX166" s="1224">
        <f t="shared" si="339"/>
        <v>2212.4009999999998</v>
      </c>
      <c r="AY166" s="1224">
        <f t="shared" si="339"/>
        <v>2799.2</v>
      </c>
      <c r="AZ166" s="1276">
        <f t="shared" si="339"/>
        <v>2308</v>
      </c>
      <c r="BA166" s="1224">
        <f t="shared" si="339"/>
        <v>3440.3</v>
      </c>
      <c r="BB166" s="1224">
        <f t="shared" si="339"/>
        <v>4372</v>
      </c>
      <c r="BC166" s="1224">
        <f t="shared" si="339"/>
        <v>4808.82</v>
      </c>
      <c r="BD166" s="1276">
        <f t="shared" si="339"/>
        <v>3796.5</v>
      </c>
      <c r="BE166" s="1224">
        <f t="shared" si="339"/>
        <v>5288.31</v>
      </c>
      <c r="BF166" s="1224">
        <f t="shared" si="339"/>
        <v>5792</v>
      </c>
      <c r="BG166" s="1224">
        <f t="shared" si="339"/>
        <v>6184.7119999999995</v>
      </c>
      <c r="BH166" s="1276">
        <f t="shared" si="339"/>
        <v>5320.75</v>
      </c>
      <c r="BI166" s="1224">
        <f t="shared" si="339"/>
        <v>7555.2340000000004</v>
      </c>
      <c r="BJ166" s="1224">
        <f t="shared" si="339"/>
        <v>8355</v>
      </c>
      <c r="BK166" s="1224">
        <f t="shared" si="339"/>
        <v>8775.3968000000004</v>
      </c>
      <c r="BL166" s="1224">
        <f t="shared" si="339"/>
        <v>7532.7749999999996</v>
      </c>
      <c r="BM166" s="1614">
        <f t="shared" ref="BM166:CF166" si="340">+BM154</f>
        <v>10360.570159999999</v>
      </c>
      <c r="BN166" s="1224">
        <f>+BN154</f>
        <v>11413.2</v>
      </c>
      <c r="BO166" s="1224">
        <f t="shared" si="340"/>
        <v>11563.387903999999</v>
      </c>
      <c r="BP166" s="1224">
        <f t="shared" si="340"/>
        <v>8962.73</v>
      </c>
      <c r="BQ166" s="1614">
        <f>+BQ154</f>
        <v>11765.084192</v>
      </c>
      <c r="BR166" s="1224">
        <f>+BR154</f>
        <v>12769.44</v>
      </c>
      <c r="BS166" s="1224">
        <f>+BS154</f>
        <v>12432.23488</v>
      </c>
      <c r="BT166" s="1224">
        <f>+BT154</f>
        <v>10386.1895</v>
      </c>
      <c r="BU166" s="1614">
        <f t="shared" si="340"/>
        <v>14632.714177584639</v>
      </c>
      <c r="BV166" s="1224">
        <f t="shared" si="340"/>
        <v>15606.248293361999</v>
      </c>
      <c r="BW166" s="1224">
        <f t="shared" si="340"/>
        <v>15856.036385945601</v>
      </c>
      <c r="BX166" s="1276">
        <f t="shared" si="340"/>
        <v>13301.031307599998</v>
      </c>
      <c r="BY166" s="1614">
        <f t="shared" si="340"/>
        <v>18582.945563843714</v>
      </c>
      <c r="BZ166" s="1224">
        <f t="shared" si="340"/>
        <v>18447.821850337601</v>
      </c>
      <c r="CA166" s="1224">
        <f t="shared" si="340"/>
        <v>19015.511132133757</v>
      </c>
      <c r="CB166" s="1276">
        <f t="shared" si="340"/>
        <v>16068.18194108</v>
      </c>
      <c r="CC166" s="1614">
        <f t="shared" si="340"/>
        <v>22690.329373164961</v>
      </c>
      <c r="CD166" s="1224">
        <f t="shared" si="340"/>
        <v>22638.20309594876</v>
      </c>
      <c r="CE166" s="1224">
        <f t="shared" si="340"/>
        <v>21941.690570821313</v>
      </c>
      <c r="CF166" s="1276">
        <f t="shared" si="340"/>
        <v>20001.124491499399</v>
      </c>
      <c r="CG166" s="1273"/>
      <c r="CH166" s="1277"/>
      <c r="CM166" s="1224">
        <f t="shared" ref="CM166:CY166" si="341">+CM154</f>
        <v>1346.9590000000001</v>
      </c>
      <c r="CN166" s="1224">
        <f t="shared" si="341"/>
        <v>2675.0410000000002</v>
      </c>
      <c r="CO166" s="1224">
        <f t="shared" si="341"/>
        <v>4318.3649999999998</v>
      </c>
      <c r="CP166" s="1224">
        <f t="shared" si="341"/>
        <v>5664.7430000000004</v>
      </c>
      <c r="CQ166" s="1224">
        <f t="shared" si="341"/>
        <v>9294.9459999999999</v>
      </c>
      <c r="CR166" s="1224">
        <f t="shared" si="341"/>
        <v>16417.62</v>
      </c>
      <c r="CS166" s="1224">
        <f t="shared" si="341"/>
        <v>22585.772000000001</v>
      </c>
      <c r="CT166" s="1224">
        <f t="shared" si="341"/>
        <v>32218.4058</v>
      </c>
      <c r="CU166" s="1224">
        <f>+CU154</f>
        <v>42299.888063999999</v>
      </c>
      <c r="CV166" s="1224">
        <f t="shared" si="341"/>
        <v>47352.948572000001</v>
      </c>
      <c r="CW166" s="1224">
        <f t="shared" si="341"/>
        <v>59396.030164492244</v>
      </c>
      <c r="CX166" s="1224">
        <f t="shared" si="341"/>
        <v>72114.460487395074</v>
      </c>
      <c r="CY166" s="1224">
        <f t="shared" si="341"/>
        <v>87271.34753143444</v>
      </c>
      <c r="CZ166" s="1224">
        <f>+CZ154</f>
        <v>101067.59939273327</v>
      </c>
      <c r="DA166" s="1224">
        <f t="shared" ref="DA166:DF166" si="342">+DA154</f>
        <v>114708.77174748766</v>
      </c>
      <c r="DB166" s="1224">
        <f t="shared" si="342"/>
        <v>127953.90675459766</v>
      </c>
      <c r="DC166" s="1224">
        <f t="shared" si="342"/>
        <v>140955.48226249914</v>
      </c>
      <c r="DD166" s="1224">
        <f t="shared" si="342"/>
        <v>153845.89767172167</v>
      </c>
      <c r="DE166" s="1224">
        <f t="shared" si="342"/>
        <v>166508.22018905426</v>
      </c>
      <c r="DF166" s="1276">
        <f t="shared" si="342"/>
        <v>180212.71811671249</v>
      </c>
    </row>
    <row r="167" spans="1:110" s="5" customFormat="1" ht="12.75" customHeight="1">
      <c r="A167" s="24"/>
      <c r="B167" s="34"/>
      <c r="C167" s="34"/>
      <c r="D167" s="34"/>
      <c r="E167" s="34"/>
      <c r="F167" s="24"/>
      <c r="G167" s="24"/>
      <c r="H167" s="34"/>
      <c r="I167" s="861" t="s">
        <v>290</v>
      </c>
      <c r="J167" s="4"/>
      <c r="K167" s="4"/>
      <c r="P167" s="737"/>
      <c r="T167" s="737"/>
      <c r="X167" s="737"/>
      <c r="AB167" s="737"/>
      <c r="AC167" s="796"/>
      <c r="AD167" s="796"/>
      <c r="AE167" s="796"/>
      <c r="AF167" s="952"/>
      <c r="AG167" s="112">
        <f t="shared" ref="AG167:AZ167" si="343">+AG166+AG165</f>
        <v>371.03245000000004</v>
      </c>
      <c r="AH167" s="112">
        <f t="shared" si="343"/>
        <v>467.85662500000001</v>
      </c>
      <c r="AI167" s="112">
        <f t="shared" si="343"/>
        <v>510.77109999999999</v>
      </c>
      <c r="AJ167" s="214">
        <f t="shared" si="343"/>
        <v>410.62025000000006</v>
      </c>
      <c r="AK167" s="112">
        <f t="shared" si="343"/>
        <v>634.30736235573522</v>
      </c>
      <c r="AL167" s="112">
        <f>+AL166+AL165</f>
        <v>819.46380508056598</v>
      </c>
      <c r="AM167" s="112">
        <f>+AM166+AM165</f>
        <v>922.3197295925745</v>
      </c>
      <c r="AN167" s="214">
        <f t="shared" si="343"/>
        <v>795.43422901480096</v>
      </c>
      <c r="AO167" s="112">
        <f t="shared" si="343"/>
        <v>1189.0286406658736</v>
      </c>
      <c r="AP167" s="112">
        <f t="shared" si="343"/>
        <v>1423.2409914913997</v>
      </c>
      <c r="AQ167" s="112">
        <f t="shared" si="343"/>
        <v>1425.8623606732335</v>
      </c>
      <c r="AR167" s="214">
        <f t="shared" si="343"/>
        <v>955.05052574558545</v>
      </c>
      <c r="AS167" s="112">
        <f t="shared" si="343"/>
        <v>1285.1749925197898</v>
      </c>
      <c r="AT167" s="112">
        <f t="shared" si="343"/>
        <v>1663.3845145186265</v>
      </c>
      <c r="AU167" s="112">
        <f t="shared" si="343"/>
        <v>1970.9350751180818</v>
      </c>
      <c r="AV167" s="214">
        <f t="shared" si="343"/>
        <v>1633.3655396265724</v>
      </c>
      <c r="AW167" s="112">
        <f t="shared" si="343"/>
        <v>2202.8629952350493</v>
      </c>
      <c r="AX167" s="112">
        <f t="shared" si="343"/>
        <v>2508.5128751724296</v>
      </c>
      <c r="AY167" s="112">
        <f t="shared" si="343"/>
        <v>3090.8838818933173</v>
      </c>
      <c r="AZ167" s="214">
        <f t="shared" si="343"/>
        <v>2546.210490411906</v>
      </c>
      <c r="BA167" s="112">
        <f t="shared" ref="BA167:BL167" si="344">+BA166+BA165</f>
        <v>3697.9890750539207</v>
      </c>
      <c r="BB167" s="112">
        <f t="shared" si="344"/>
        <v>4675.6241522803666</v>
      </c>
      <c r="BC167" s="112">
        <f t="shared" si="344"/>
        <v>5130.4285087256039</v>
      </c>
      <c r="BD167" s="214">
        <f t="shared" si="344"/>
        <v>4068.4445572357768</v>
      </c>
      <c r="BE167" s="112">
        <f t="shared" si="344"/>
        <v>5561.5892640946831</v>
      </c>
      <c r="BF167" s="112">
        <f t="shared" si="344"/>
        <v>6102.4010433592639</v>
      </c>
      <c r="BG167" s="112">
        <f t="shared" si="344"/>
        <v>6517.3356001494558</v>
      </c>
      <c r="BH167" s="214">
        <f t="shared" si="344"/>
        <v>5591.2940427660124</v>
      </c>
      <c r="BI167" s="112">
        <f>+BI166+BI165</f>
        <v>7834.0061773029865</v>
      </c>
      <c r="BJ167" s="112">
        <f>+BJ166+BJ165</f>
        <v>8684.1803064824999</v>
      </c>
      <c r="BK167" s="112">
        <f>+BK166+BK165</f>
        <v>9141.0964909483191</v>
      </c>
      <c r="BL167" s="112">
        <f t="shared" si="344"/>
        <v>7863.9209083455989</v>
      </c>
      <c r="BM167" s="223">
        <f>+BM166+BM165</f>
        <v>10664.9336231794</v>
      </c>
      <c r="BN167" s="112">
        <f>+BN166+BN165</f>
        <v>11772.599058617594</v>
      </c>
      <c r="BO167" s="112">
        <f t="shared" ref="BO167:CF167" si="345">+BO166+BO165</f>
        <v>11962.658826577373</v>
      </c>
      <c r="BP167" s="112">
        <f>+BP166+BP165</f>
        <v>9320.8642998757659</v>
      </c>
      <c r="BQ167" s="223">
        <f>+BQ166+BQ165</f>
        <v>12091.057461065138</v>
      </c>
      <c r="BR167" s="112">
        <f>+BR166+BR165</f>
        <v>13154.356391779442</v>
      </c>
      <c r="BS167" s="112">
        <f>+BS166+BS165</f>
        <v>12858.805951908602</v>
      </c>
      <c r="BT167" s="112">
        <f>+BT166+BT165</f>
        <v>10765.99092501825</v>
      </c>
      <c r="BU167" s="223">
        <f t="shared" si="345"/>
        <v>14973.274750440441</v>
      </c>
      <c r="BV167" s="112">
        <f t="shared" si="345"/>
        <v>16008.389693673571</v>
      </c>
      <c r="BW167" s="112">
        <f t="shared" si="345"/>
        <v>16301.696513322113</v>
      </c>
      <c r="BX167" s="214">
        <f t="shared" si="345"/>
        <v>13697.828846387814</v>
      </c>
      <c r="BY167" s="223">
        <f t="shared" si="345"/>
        <v>18944.110051357293</v>
      </c>
      <c r="BZ167" s="112">
        <f t="shared" si="345"/>
        <v>18865.847835961482</v>
      </c>
      <c r="CA167" s="112">
        <f t="shared" si="345"/>
        <v>19478.77483454164</v>
      </c>
      <c r="CB167" s="214">
        <f t="shared" si="345"/>
        <v>16480.652982649935</v>
      </c>
      <c r="CC167" s="223">
        <f t="shared" si="345"/>
        <v>23065.759857935325</v>
      </c>
      <c r="CD167" s="112">
        <f t="shared" si="345"/>
        <v>23068.351835155732</v>
      </c>
      <c r="CE167" s="112">
        <f t="shared" si="345"/>
        <v>22423.253189474308</v>
      </c>
      <c r="CF167" s="214">
        <f t="shared" si="345"/>
        <v>20429.888139211347</v>
      </c>
      <c r="CG167" s="737"/>
      <c r="CH167" s="163"/>
      <c r="CM167" s="112">
        <f t="shared" ref="CM167:CY167" si="346">+CM166+CM165</f>
        <v>1760.2804250000002</v>
      </c>
      <c r="CN167" s="112">
        <f t="shared" si="346"/>
        <v>3171.5251260436771</v>
      </c>
      <c r="CO167" s="112">
        <f t="shared" si="346"/>
        <v>4993.1825185760918</v>
      </c>
      <c r="CP167" s="112">
        <f t="shared" si="346"/>
        <v>6552.860121783071</v>
      </c>
      <c r="CQ167" s="112">
        <f t="shared" si="346"/>
        <v>10348.470242712703</v>
      </c>
      <c r="CR167" s="112">
        <f t="shared" si="346"/>
        <v>17572.486293295668</v>
      </c>
      <c r="CS167" s="112">
        <f t="shared" si="346"/>
        <v>23772.619950369415</v>
      </c>
      <c r="CT167" s="112">
        <f t="shared" si="346"/>
        <v>33523.203883079404</v>
      </c>
      <c r="CU167" s="112">
        <f t="shared" si="346"/>
        <v>43721.05580825013</v>
      </c>
      <c r="CV167" s="112">
        <f t="shared" si="346"/>
        <v>48870.210729771432</v>
      </c>
      <c r="CW167" s="112">
        <f t="shared" si="346"/>
        <v>60981.189803823945</v>
      </c>
      <c r="CX167" s="112">
        <f t="shared" si="346"/>
        <v>73769.38570451035</v>
      </c>
      <c r="CY167" s="112">
        <f t="shared" si="346"/>
        <v>88987.25302177672</v>
      </c>
      <c r="CZ167" s="112">
        <f>+CZ166+CZ165</f>
        <v>102852.14110268925</v>
      </c>
      <c r="DA167" s="112">
        <f t="shared" ref="DA167:DF167" si="347">+DA166+DA165</f>
        <v>116564.69512584187</v>
      </c>
      <c r="DB167" s="112">
        <f t="shared" si="347"/>
        <v>129884.06706808603</v>
      </c>
      <c r="DC167" s="112">
        <f t="shared" si="347"/>
        <v>142962.84898852705</v>
      </c>
      <c r="DD167" s="112">
        <f t="shared" si="347"/>
        <v>155933.55906679071</v>
      </c>
      <c r="DE167" s="112">
        <f t="shared" si="347"/>
        <v>168679.38803992607</v>
      </c>
      <c r="DF167" s="214">
        <f t="shared" si="347"/>
        <v>182470.73268161915</v>
      </c>
    </row>
    <row r="168" spans="1:110" ht="12.75" customHeight="1">
      <c r="B168" s="34"/>
      <c r="C168" s="34"/>
      <c r="D168" s="34"/>
      <c r="E168" s="34"/>
      <c r="F168" s="34"/>
      <c r="H168" s="34"/>
      <c r="I168" s="185" t="s">
        <v>291</v>
      </c>
      <c r="J168" s="70"/>
      <c r="K168" s="70"/>
      <c r="P168" s="234"/>
      <c r="T168" s="234"/>
      <c r="X168" s="234"/>
      <c r="AB168" s="234"/>
      <c r="AF168" s="249"/>
      <c r="AG168" s="203">
        <f t="shared" ref="AG168:BL168" si="348">+AG167/AG11</f>
        <v>0.49681576977615799</v>
      </c>
      <c r="AH168" s="203">
        <f t="shared" si="348"/>
        <v>0.50450921981991703</v>
      </c>
      <c r="AI168" s="203">
        <f t="shared" si="348"/>
        <v>0.56553276909722228</v>
      </c>
      <c r="AJ168" s="204">
        <f t="shared" si="348"/>
        <v>0.55309094705082107</v>
      </c>
      <c r="AK168" s="203">
        <f t="shared" si="348"/>
        <v>0.63526597871762014</v>
      </c>
      <c r="AL168" s="203">
        <f t="shared" si="348"/>
        <v>0.66358126624555613</v>
      </c>
      <c r="AM168" s="203">
        <f t="shared" si="348"/>
        <v>0.66321349264539409</v>
      </c>
      <c r="AN168" s="204">
        <f t="shared" si="348"/>
        <v>0.65993011796328227</v>
      </c>
      <c r="AO168" s="203">
        <f t="shared" si="348"/>
        <v>0.67611766590121847</v>
      </c>
      <c r="AP168" s="203">
        <f t="shared" si="348"/>
        <v>0.67453298585113952</v>
      </c>
      <c r="AQ168" s="203">
        <f t="shared" si="348"/>
        <v>0.69539776869560999</v>
      </c>
      <c r="AR168" s="204">
        <f t="shared" si="348"/>
        <v>0.64481948760532493</v>
      </c>
      <c r="AS168" s="203">
        <f t="shared" si="348"/>
        <v>0.66123974704452704</v>
      </c>
      <c r="AT168" s="203">
        <f t="shared" si="348"/>
        <v>0.69914252507320873</v>
      </c>
      <c r="AU168" s="203">
        <f t="shared" si="348"/>
        <v>0.72385110106046457</v>
      </c>
      <c r="AV168" s="204">
        <f t="shared" si="348"/>
        <v>0.72130656645114999</v>
      </c>
      <c r="AW168" s="203">
        <f t="shared" si="348"/>
        <v>0.74303191229959542</v>
      </c>
      <c r="AX168" s="203">
        <f t="shared" si="348"/>
        <v>0.73559544515903252</v>
      </c>
      <c r="AY168" s="203">
        <f t="shared" si="348"/>
        <v>0.77156362503577569</v>
      </c>
      <c r="AZ168" s="204">
        <f t="shared" si="348"/>
        <v>0.77985007363304926</v>
      </c>
      <c r="BA168" s="203">
        <f t="shared" si="348"/>
        <v>0.79270934084757139</v>
      </c>
      <c r="BB168" s="203">
        <f t="shared" si="348"/>
        <v>0.80893151423535758</v>
      </c>
      <c r="BC168" s="203">
        <f t="shared" si="348"/>
        <v>0.81995021715288541</v>
      </c>
      <c r="BD168" s="204">
        <f t="shared" si="348"/>
        <v>0.82091294536637949</v>
      </c>
      <c r="BE168" s="203">
        <f t="shared" si="348"/>
        <v>0.82872735271862363</v>
      </c>
      <c r="BF168" s="203">
        <f t="shared" si="348"/>
        <v>0.8326376099548729</v>
      </c>
      <c r="BG168" s="203">
        <f t="shared" si="348"/>
        <v>0.83214193056045149</v>
      </c>
      <c r="BH168" s="204">
        <f t="shared" si="348"/>
        <v>0.84922449009204315</v>
      </c>
      <c r="BI168" s="203">
        <f t="shared" si="348"/>
        <v>0.85589491721872468</v>
      </c>
      <c r="BJ168" s="203">
        <f t="shared" si="348"/>
        <v>0.85837504264925368</v>
      </c>
      <c r="BK168" s="203">
        <f t="shared" si="348"/>
        <v>0.84914969725483691</v>
      </c>
      <c r="BL168" s="203">
        <f t="shared" si="348"/>
        <v>0.86057352903760109</v>
      </c>
      <c r="BM168" s="1603">
        <f t="shared" ref="BM168:CF168" si="349">+BM167/BM11</f>
        <v>0.86847993674099355</v>
      </c>
      <c r="BN168" s="203">
        <f t="shared" si="349"/>
        <v>0.86959662125997883</v>
      </c>
      <c r="BO168" s="203">
        <f t="shared" si="349"/>
        <v>0.8654169736365025</v>
      </c>
      <c r="BP168" s="203">
        <f t="shared" si="349"/>
        <v>0.87445954591197728</v>
      </c>
      <c r="BQ168" s="1603">
        <f t="shared" si="349"/>
        <v>0.87775371768167976</v>
      </c>
      <c r="BR168" s="203">
        <f t="shared" si="349"/>
        <v>0.87930189784621937</v>
      </c>
      <c r="BS168" s="203">
        <f t="shared" si="349"/>
        <v>0.87013167897608623</v>
      </c>
      <c r="BT168" s="203">
        <f t="shared" si="349"/>
        <v>0.89604585310181029</v>
      </c>
      <c r="BU168" s="1603">
        <f t="shared" si="349"/>
        <v>0.89913377472169831</v>
      </c>
      <c r="BV168" s="203">
        <f t="shared" si="349"/>
        <v>0.89622604936029393</v>
      </c>
      <c r="BW168" s="203">
        <f t="shared" si="349"/>
        <v>0.88308215131755763</v>
      </c>
      <c r="BX168" s="204">
        <f t="shared" si="349"/>
        <v>0.90642064891396334</v>
      </c>
      <c r="BY168" s="1603">
        <f t="shared" si="349"/>
        <v>0.91574950700233448</v>
      </c>
      <c r="BZ168" s="203">
        <f t="shared" si="349"/>
        <v>0.90714275308753578</v>
      </c>
      <c r="CA168" s="203">
        <f t="shared" si="349"/>
        <v>0.89508201610796989</v>
      </c>
      <c r="CB168" s="204">
        <f t="shared" si="349"/>
        <v>0.91661028824526891</v>
      </c>
      <c r="CC168" s="1603">
        <f t="shared" si="349"/>
        <v>0.92702545724402896</v>
      </c>
      <c r="CD168" s="203">
        <f t="shared" si="349"/>
        <v>0.91956606158303478</v>
      </c>
      <c r="CE168" s="203">
        <f t="shared" si="349"/>
        <v>0.90366838528472893</v>
      </c>
      <c r="CF168" s="204">
        <f t="shared" si="349"/>
        <v>0.92842106657687118</v>
      </c>
      <c r="CG168" s="234"/>
      <c r="CH168" s="160"/>
      <c r="CM168" s="203">
        <f t="shared" ref="CM168:DF168" si="350">+CM167/CM11</f>
        <v>0.53024503509150855</v>
      </c>
      <c r="CN168" s="203">
        <f t="shared" si="350"/>
        <v>0.65670986430733591</v>
      </c>
      <c r="CO168" s="203">
        <f t="shared" si="350"/>
        <v>0.67474372615677447</v>
      </c>
      <c r="CP168" s="203">
        <f t="shared" si="350"/>
        <v>0.70384709809484314</v>
      </c>
      <c r="CQ168" s="203">
        <f t="shared" si="350"/>
        <v>0.75835886249234319</v>
      </c>
      <c r="CR168" s="203">
        <f t="shared" si="350"/>
        <v>0.81136237387088683</v>
      </c>
      <c r="CS168" s="203">
        <f t="shared" si="350"/>
        <v>0.83541678206246184</v>
      </c>
      <c r="CT168" s="203">
        <f t="shared" si="350"/>
        <v>0.85577320815560221</v>
      </c>
      <c r="CU168" s="203">
        <f t="shared" si="350"/>
        <v>0.86920588087972428</v>
      </c>
      <c r="CV168" s="203">
        <f t="shared" si="350"/>
        <v>0.88010032289604223</v>
      </c>
      <c r="CW168" s="203">
        <f t="shared" si="350"/>
        <v>0.8956363153586433</v>
      </c>
      <c r="CX168" s="203">
        <f t="shared" si="350"/>
        <v>0.90819916904082865</v>
      </c>
      <c r="CY168" s="203">
        <f t="shared" si="350"/>
        <v>0.91942117125555112</v>
      </c>
      <c r="CZ168" s="203">
        <f t="shared" si="350"/>
        <v>0.92724032741791951</v>
      </c>
      <c r="DA168" s="203">
        <f t="shared" si="350"/>
        <v>0.93379581417252377</v>
      </c>
      <c r="DB168" s="203">
        <f t="shared" si="350"/>
        <v>0.93939467818009659</v>
      </c>
      <c r="DC168" s="203">
        <f t="shared" si="350"/>
        <v>0.94404231466469057</v>
      </c>
      <c r="DD168" s="203">
        <f t="shared" si="350"/>
        <v>0.94803764835578619</v>
      </c>
      <c r="DE168" s="203">
        <f t="shared" si="350"/>
        <v>0.95150347616982334</v>
      </c>
      <c r="DF168" s="204">
        <f t="shared" si="350"/>
        <v>0.95474668947527308</v>
      </c>
    </row>
    <row r="169" spans="1:110" ht="12.75" customHeight="1">
      <c r="B169" s="34"/>
      <c r="C169" s="34"/>
      <c r="D169" s="34"/>
      <c r="E169" s="34"/>
      <c r="F169" s="34"/>
      <c r="H169" s="34"/>
      <c r="I169" s="185"/>
      <c r="J169" s="70"/>
      <c r="K169" s="70"/>
      <c r="P169" s="234"/>
      <c r="T169" s="234"/>
      <c r="X169" s="234"/>
      <c r="AB169" s="234"/>
      <c r="AF169" s="249"/>
      <c r="AG169" s="203"/>
      <c r="AH169" s="203"/>
      <c r="AI169" s="203"/>
      <c r="AJ169" s="204"/>
      <c r="AK169" s="203"/>
      <c r="AL169" s="64"/>
      <c r="AM169" s="203"/>
      <c r="AN169" s="204"/>
      <c r="AO169" s="203"/>
      <c r="AP169" s="203"/>
      <c r="AQ169" s="203"/>
      <c r="AR169" s="204"/>
      <c r="AS169" s="203"/>
      <c r="AT169" s="203"/>
      <c r="AU169" s="203"/>
      <c r="AV169" s="204"/>
      <c r="AW169" s="203"/>
      <c r="AX169" s="203"/>
      <c r="AY169" s="203"/>
      <c r="AZ169" s="202"/>
      <c r="BA169" s="24"/>
      <c r="BB169" s="103"/>
      <c r="BC169" s="103"/>
      <c r="BD169" s="202"/>
      <c r="BE169" s="103"/>
      <c r="BF169" s="103"/>
      <c r="BG169" s="103"/>
      <c r="BH169" s="202"/>
      <c r="BI169" s="38"/>
      <c r="BJ169" s="38"/>
      <c r="BK169" s="38"/>
      <c r="BL169" s="38"/>
      <c r="BM169" s="173"/>
      <c r="BN169" s="38"/>
      <c r="BO169" s="77"/>
      <c r="BP169" s="103"/>
      <c r="BQ169" s="265"/>
      <c r="BR169" s="103"/>
      <c r="BS169" s="103"/>
      <c r="BT169" s="202"/>
      <c r="BU169" s="265"/>
      <c r="BV169" s="103"/>
      <c r="BW169" s="103"/>
      <c r="BX169" s="214"/>
      <c r="BY169" s="265"/>
      <c r="BZ169" s="103"/>
      <c r="CA169" s="103"/>
      <c r="CB169" s="202"/>
      <c r="CC169" s="265"/>
      <c r="CD169" s="103"/>
      <c r="CE169" s="103"/>
      <c r="CF169" s="202"/>
      <c r="CG169" s="234"/>
      <c r="CH169" s="160"/>
      <c r="CM169" s="203"/>
      <c r="CN169" s="203"/>
      <c r="CO169" s="203"/>
      <c r="CP169" s="203"/>
      <c r="CQ169" s="103"/>
      <c r="CR169" s="103"/>
      <c r="CS169" s="103"/>
      <c r="CT169" s="103"/>
      <c r="CU169" s="103"/>
      <c r="CV169" s="103"/>
      <c r="CW169" s="103"/>
      <c r="CX169" s="103"/>
      <c r="CY169" s="103"/>
      <c r="DF169" s="234"/>
    </row>
    <row r="170" spans="1:110" s="8" customFormat="1" ht="12.75" customHeight="1">
      <c r="B170" s="23"/>
      <c r="C170" s="23"/>
      <c r="D170" s="23"/>
      <c r="E170" s="23"/>
      <c r="F170" s="23"/>
      <c r="I170" s="190" t="s">
        <v>705</v>
      </c>
      <c r="J170" s="79"/>
      <c r="K170" s="79"/>
      <c r="P170" s="245"/>
      <c r="T170" s="245"/>
      <c r="X170" s="245"/>
      <c r="AB170" s="245"/>
      <c r="AC170" s="289"/>
      <c r="AD170" s="289"/>
      <c r="AE170" s="289"/>
      <c r="AF170" s="953"/>
      <c r="AG170" s="862">
        <v>22000</v>
      </c>
      <c r="AH170" s="862">
        <v>24000</v>
      </c>
      <c r="AI170" s="862">
        <f>+AH170+2000</f>
        <v>26000</v>
      </c>
      <c r="AJ170" s="969">
        <f>+AI170+2000</f>
        <v>28000</v>
      </c>
      <c r="AK170" s="862">
        <v>32000</v>
      </c>
      <c r="AL170" s="862">
        <v>35000</v>
      </c>
      <c r="AM170" s="862">
        <v>38000</v>
      </c>
      <c r="AN170" s="969">
        <f>AVERAGE(AM170,AO170)</f>
        <v>41500</v>
      </c>
      <c r="AO170" s="862">
        <v>45000</v>
      </c>
      <c r="AP170" s="862">
        <v>52000</v>
      </c>
      <c r="AQ170" s="862">
        <v>57000</v>
      </c>
      <c r="AR170" s="969">
        <v>60000</v>
      </c>
      <c r="AS170" s="862">
        <v>66000</v>
      </c>
      <c r="AT170" s="862">
        <v>71000</v>
      </c>
      <c r="AU170" s="862">
        <v>73000</v>
      </c>
      <c r="AV170" s="969">
        <v>78000</v>
      </c>
      <c r="AW170" s="862">
        <v>86000</v>
      </c>
      <c r="AX170" s="862">
        <v>96000</v>
      </c>
      <c r="AY170" s="862">
        <v>105000</v>
      </c>
      <c r="AZ170" s="969">
        <v>120000</v>
      </c>
      <c r="BA170" s="862">
        <v>135000</v>
      </c>
      <c r="BB170" s="862">
        <v>155000</v>
      </c>
      <c r="BC170" s="862">
        <v>170000</v>
      </c>
      <c r="BD170" s="969">
        <v>183884</v>
      </c>
      <c r="BE170" s="112">
        <v>210000</v>
      </c>
      <c r="BF170" s="112">
        <v>235000</v>
      </c>
      <c r="BG170" s="112">
        <v>245000</v>
      </c>
      <c r="BH170" s="214">
        <v>275000</v>
      </c>
      <c r="BI170" s="1845">
        <v>295000</v>
      </c>
      <c r="BJ170" s="1845">
        <v>330000</v>
      </c>
      <c r="BK170" s="1845">
        <v>355000</v>
      </c>
      <c r="BL170" s="112">
        <f>+BK170*(1+BL173)</f>
        <v>426000</v>
      </c>
      <c r="BM170" s="1846">
        <v>462000</v>
      </c>
      <c r="BN170" s="1845">
        <v>523000</v>
      </c>
      <c r="BO170" s="1845">
        <v>540000</v>
      </c>
      <c r="BP170" s="1845">
        <v>602000</v>
      </c>
      <c r="BQ170" s="1846">
        <v>637000</v>
      </c>
      <c r="BR170" s="1845">
        <v>742000</v>
      </c>
      <c r="BS170" s="1845">
        <v>750000</v>
      </c>
      <c r="BT170" s="1845">
        <v>852000</v>
      </c>
      <c r="BU170" s="1846">
        <v>879500</v>
      </c>
      <c r="BV170" s="1845">
        <v>965000</v>
      </c>
      <c r="BW170" s="1845">
        <v>1065000</v>
      </c>
      <c r="BX170" s="1845">
        <v>1115000</v>
      </c>
      <c r="BY170" s="1846">
        <v>1191000</v>
      </c>
      <c r="BZ170" s="1845">
        <v>1340000</v>
      </c>
      <c r="CA170" s="1845">
        <v>1514051</v>
      </c>
      <c r="CB170" s="1845">
        <v>1586000</v>
      </c>
      <c r="CC170" s="223">
        <f>+CB170*(1+CC173)</f>
        <v>1688698.8340807175</v>
      </c>
      <c r="CD170" s="112">
        <f>+CC170*(1+CD173)</f>
        <v>1889400.1942521075</v>
      </c>
      <c r="CE170" s="112">
        <f>+CD170*(1+CE173)</f>
        <v>2122541.5327217234</v>
      </c>
      <c r="CF170" s="214">
        <f>+CE170*(1+CF173)</f>
        <v>2218363.2743281196</v>
      </c>
      <c r="CG170" s="245"/>
      <c r="CH170" s="178"/>
      <c r="CM170" s="112">
        <f>+AJ170</f>
        <v>28000</v>
      </c>
      <c r="CN170" s="112">
        <f>+AN170</f>
        <v>41500</v>
      </c>
      <c r="CO170" s="112">
        <f>+AR170</f>
        <v>60000</v>
      </c>
      <c r="CP170" s="112">
        <f>+AV170</f>
        <v>78000</v>
      </c>
      <c r="CQ170" s="112">
        <f>+AZ170</f>
        <v>120000</v>
      </c>
      <c r="CR170" s="112">
        <f>+BD170</f>
        <v>183884</v>
      </c>
      <c r="CS170" s="112">
        <f>+BH170</f>
        <v>275000</v>
      </c>
      <c r="CT170" s="112">
        <f>+BL170</f>
        <v>426000</v>
      </c>
      <c r="CU170" s="112">
        <f>+BP170</f>
        <v>602000</v>
      </c>
      <c r="CV170" s="112">
        <f>+BT170</f>
        <v>852000</v>
      </c>
      <c r="CW170" s="112">
        <f>+BX170</f>
        <v>1115000</v>
      </c>
      <c r="CX170" s="112">
        <f>+CB170</f>
        <v>1586000</v>
      </c>
      <c r="CY170" s="112">
        <f>+CF170</f>
        <v>2218363.2743281196</v>
      </c>
      <c r="CZ170" s="112">
        <f>+CY170*(1+CZ171)</f>
        <v>2970185.3072618344</v>
      </c>
      <c r="DA170" s="112">
        <f t="shared" ref="DA170:DF170" si="351">+CZ170*(1+DA171)</f>
        <v>3775481.9984709951</v>
      </c>
      <c r="DB170" s="112">
        <f t="shared" si="351"/>
        <v>4543207.6232800707</v>
      </c>
      <c r="DC170" s="112">
        <f t="shared" si="351"/>
        <v>5236086.7535406454</v>
      </c>
      <c r="DD170" s="112">
        <f t="shared" si="351"/>
        <v>5834998.7233302062</v>
      </c>
      <c r="DE170" s="112">
        <f t="shared" si="351"/>
        <v>6335561.0817669984</v>
      </c>
      <c r="DF170" s="214">
        <f t="shared" si="351"/>
        <v>6743188.8569577951</v>
      </c>
    </row>
    <row r="171" spans="1:110" ht="12.75" customHeight="1">
      <c r="B171" s="34"/>
      <c r="C171" s="34"/>
      <c r="D171" s="34"/>
      <c r="E171" s="34"/>
      <c r="H171" s="34"/>
      <c r="I171" s="184" t="s">
        <v>376</v>
      </c>
      <c r="J171" s="69"/>
      <c r="K171" s="69"/>
      <c r="P171" s="234"/>
      <c r="T171" s="234"/>
      <c r="X171" s="234"/>
      <c r="AB171" s="234"/>
      <c r="AF171" s="249"/>
      <c r="AG171" s="203"/>
      <c r="AH171" s="203"/>
      <c r="AI171" s="203"/>
      <c r="AJ171" s="204"/>
      <c r="AK171" s="118">
        <f>+AK170/AG170-1</f>
        <v>0.45454545454545459</v>
      </c>
      <c r="AL171" s="118">
        <f>+AL170/AH170-1</f>
        <v>0.45833333333333326</v>
      </c>
      <c r="AM171" s="118">
        <f>+AM170/AI170-1</f>
        <v>0.46153846153846145</v>
      </c>
      <c r="AN171" s="230">
        <f>+AN170/AJ170-1</f>
        <v>0.48214285714285721</v>
      </c>
      <c r="AO171" s="118">
        <f>+AO170/AK170-1</f>
        <v>0.40625</v>
      </c>
      <c r="AP171" s="118">
        <f t="shared" ref="AP171:BD171" si="352">+AP170/AL170-1</f>
        <v>0.48571428571428577</v>
      </c>
      <c r="AQ171" s="118">
        <f t="shared" si="352"/>
        <v>0.5</v>
      </c>
      <c r="AR171" s="230">
        <f t="shared" si="352"/>
        <v>0.44578313253012047</v>
      </c>
      <c r="AS171" s="118">
        <f t="shared" si="352"/>
        <v>0.46666666666666656</v>
      </c>
      <c r="AT171" s="118">
        <f t="shared" si="352"/>
        <v>0.36538461538461542</v>
      </c>
      <c r="AU171" s="118">
        <f t="shared" si="352"/>
        <v>0.2807017543859649</v>
      </c>
      <c r="AV171" s="230">
        <f t="shared" si="352"/>
        <v>0.30000000000000004</v>
      </c>
      <c r="AW171" s="118">
        <f t="shared" si="352"/>
        <v>0.30303030303030298</v>
      </c>
      <c r="AX171" s="118">
        <f t="shared" si="352"/>
        <v>0.352112676056338</v>
      </c>
      <c r="AY171" s="118">
        <f t="shared" si="352"/>
        <v>0.43835616438356162</v>
      </c>
      <c r="AZ171" s="230">
        <f t="shared" si="352"/>
        <v>0.53846153846153855</v>
      </c>
      <c r="BA171" s="118">
        <f t="shared" si="352"/>
        <v>0.56976744186046502</v>
      </c>
      <c r="BB171" s="118">
        <f t="shared" si="352"/>
        <v>0.61458333333333326</v>
      </c>
      <c r="BC171" s="118">
        <f t="shared" si="352"/>
        <v>0.61904761904761907</v>
      </c>
      <c r="BD171" s="230">
        <f t="shared" si="352"/>
        <v>0.53236666666666665</v>
      </c>
      <c r="BE171" s="118">
        <f t="shared" ref="BE171:BL171" si="353">+BE170/BA170-1</f>
        <v>0.55555555555555558</v>
      </c>
      <c r="BF171" s="118">
        <f t="shared" si="353"/>
        <v>0.5161290322580645</v>
      </c>
      <c r="BG171" s="118">
        <f t="shared" si="353"/>
        <v>0.44117647058823528</v>
      </c>
      <c r="BH171" s="230">
        <f t="shared" si="353"/>
        <v>0.49550803767592622</v>
      </c>
      <c r="BI171" s="118">
        <f t="shared" si="353"/>
        <v>0.40476190476190466</v>
      </c>
      <c r="BJ171" s="118">
        <f t="shared" si="353"/>
        <v>0.4042553191489362</v>
      </c>
      <c r="BK171" s="118">
        <f t="shared" si="353"/>
        <v>0.44897959183673475</v>
      </c>
      <c r="BL171" s="118">
        <f t="shared" si="353"/>
        <v>0.54909090909090907</v>
      </c>
      <c r="BM171" s="1615">
        <f>+BM170/BI170-1</f>
        <v>0.56610169491525419</v>
      </c>
      <c r="BN171" s="118">
        <f t="shared" ref="BN171:CF171" si="354">+BN170/BJ170-1</f>
        <v>0.58484848484848495</v>
      </c>
      <c r="BO171" s="118">
        <f t="shared" si="354"/>
        <v>0.52112676056338025</v>
      </c>
      <c r="BP171" s="118">
        <f t="shared" si="354"/>
        <v>0.41314553990610325</v>
      </c>
      <c r="BQ171" s="1615">
        <f>+BQ170/BM170-1</f>
        <v>0.3787878787878789</v>
      </c>
      <c r="BR171" s="118">
        <f>+BR170/BN170-1</f>
        <v>0.41873804971319317</v>
      </c>
      <c r="BS171" s="1220">
        <f>+BS170/BO170-1</f>
        <v>0.38888888888888884</v>
      </c>
      <c r="BT171" s="1935">
        <f t="shared" si="354"/>
        <v>0.41528239202657802</v>
      </c>
      <c r="BU171" s="1615">
        <f>+BU170/BQ170-1</f>
        <v>0.38069073783359508</v>
      </c>
      <c r="BV171" s="118">
        <f t="shared" si="354"/>
        <v>0.30053908355795156</v>
      </c>
      <c r="BW171" s="118">
        <f t="shared" si="354"/>
        <v>0.41999999999999993</v>
      </c>
      <c r="BX171" s="1935">
        <f t="shared" si="354"/>
        <v>0.30868544600938974</v>
      </c>
      <c r="BY171" s="1615">
        <f>+BY170/BU170-1</f>
        <v>0.3541785105173394</v>
      </c>
      <c r="BZ171" s="118">
        <f t="shared" si="354"/>
        <v>0.3886010362694301</v>
      </c>
      <c r="CA171" s="118">
        <f t="shared" si="354"/>
        <v>0.42164413145539914</v>
      </c>
      <c r="CB171" s="230">
        <f t="shared" si="354"/>
        <v>0.42242152466367711</v>
      </c>
      <c r="CC171" s="1615">
        <f t="shared" si="354"/>
        <v>0.41788315204090476</v>
      </c>
      <c r="CD171" s="118">
        <f t="shared" si="354"/>
        <v>0.41000014496425941</v>
      </c>
      <c r="CE171" s="118">
        <f t="shared" si="354"/>
        <v>0.40189566449328562</v>
      </c>
      <c r="CF171" s="230">
        <f t="shared" si="354"/>
        <v>0.39871580979074372</v>
      </c>
      <c r="CG171" s="234"/>
      <c r="CH171" s="160"/>
      <c r="CM171" s="203"/>
      <c r="CN171" s="111"/>
      <c r="CO171" s="118"/>
      <c r="CP171" s="118">
        <f t="shared" ref="CP171:CY171" si="355">+CP170/CO170-1</f>
        <v>0.30000000000000004</v>
      </c>
      <c r="CQ171" s="118">
        <f t="shared" si="355"/>
        <v>0.53846153846153855</v>
      </c>
      <c r="CR171" s="118">
        <f t="shared" si="355"/>
        <v>0.53236666666666665</v>
      </c>
      <c r="CS171" s="118">
        <f t="shared" si="355"/>
        <v>0.49550803767592622</v>
      </c>
      <c r="CT171" s="118">
        <f t="shared" si="355"/>
        <v>0.54909090909090907</v>
      </c>
      <c r="CU171" s="118">
        <f t="shared" si="355"/>
        <v>0.41314553990610325</v>
      </c>
      <c r="CV171" s="118">
        <f t="shared" si="355"/>
        <v>0.41528239202657802</v>
      </c>
      <c r="CW171" s="118">
        <f t="shared" si="355"/>
        <v>0.30868544600938974</v>
      </c>
      <c r="CX171" s="118">
        <f t="shared" si="355"/>
        <v>0.42242152466367711</v>
      </c>
      <c r="CY171" s="118">
        <f t="shared" si="355"/>
        <v>0.39871580979074372</v>
      </c>
      <c r="CZ171" s="1319">
        <f>+CY171*0.85</f>
        <v>0.33890843832213213</v>
      </c>
      <c r="DA171" s="1319">
        <f>+CZ171*0.8</f>
        <v>0.2711267506577057</v>
      </c>
      <c r="DB171" s="1319">
        <f>+DA171*0.75</f>
        <v>0.20334506299327926</v>
      </c>
      <c r="DC171" s="1319">
        <f>+DB171*0.75</f>
        <v>0.15250879724495944</v>
      </c>
      <c r="DD171" s="1319">
        <f>+DC171*0.75</f>
        <v>0.11438159793371958</v>
      </c>
      <c r="DE171" s="1319">
        <f>+DD171*0.75</f>
        <v>8.5786198450289675E-2</v>
      </c>
      <c r="DF171" s="1317">
        <f>+DE171*0.75</f>
        <v>6.4339648837717256E-2</v>
      </c>
    </row>
    <row r="172" spans="1:110" ht="12.75" customHeight="1">
      <c r="I172" s="184" t="s">
        <v>661</v>
      </c>
      <c r="J172" s="70"/>
      <c r="K172" s="70"/>
      <c r="P172" s="234"/>
      <c r="T172" s="234"/>
      <c r="X172" s="234"/>
      <c r="AB172" s="234"/>
      <c r="AF172" s="249"/>
      <c r="AG172" s="203"/>
      <c r="AH172" s="203"/>
      <c r="AI172" s="203"/>
      <c r="AJ172" s="204"/>
      <c r="AK172" s="203"/>
      <c r="AL172" s="64"/>
      <c r="AM172" s="203"/>
      <c r="AN172" s="204"/>
      <c r="AO172" s="203"/>
      <c r="AP172" s="203"/>
      <c r="AQ172" s="203"/>
      <c r="AR172" s="204"/>
      <c r="AS172" s="103"/>
      <c r="AT172" s="103"/>
      <c r="AU172" s="103"/>
      <c r="AV172" s="202"/>
      <c r="AW172" s="103"/>
      <c r="AX172" s="103"/>
      <c r="AY172" s="103"/>
      <c r="AZ172" s="202"/>
      <c r="BA172" s="30"/>
      <c r="BB172" s="30"/>
      <c r="BC172" s="30"/>
      <c r="BD172" s="179"/>
      <c r="BE172" s="30"/>
      <c r="BF172" s="64"/>
      <c r="BG172" s="64"/>
      <c r="BH172" s="180"/>
      <c r="BI172" s="38"/>
      <c r="BJ172" s="38"/>
      <c r="BK172" s="38"/>
      <c r="BL172" s="38"/>
      <c r="BM172" s="173"/>
      <c r="BN172" s="38"/>
      <c r="BO172" s="38"/>
      <c r="BP172" s="1193">
        <f t="shared" ref="BP172:CF172" si="356">+BP170-BL170</f>
        <v>176000</v>
      </c>
      <c r="BQ172" s="1748">
        <f t="shared" si="356"/>
        <v>175000</v>
      </c>
      <c r="BR172" s="1193">
        <f t="shared" si="356"/>
        <v>219000</v>
      </c>
      <c r="BS172" s="1193">
        <f t="shared" si="356"/>
        <v>210000</v>
      </c>
      <c r="BT172" s="1452">
        <f t="shared" si="356"/>
        <v>250000</v>
      </c>
      <c r="BU172" s="1748">
        <f t="shared" si="356"/>
        <v>242500</v>
      </c>
      <c r="BV172" s="1193">
        <f t="shared" si="356"/>
        <v>223000</v>
      </c>
      <c r="BW172" s="1193">
        <f t="shared" si="356"/>
        <v>315000</v>
      </c>
      <c r="BX172" s="1452">
        <f t="shared" si="356"/>
        <v>263000</v>
      </c>
      <c r="BY172" s="1748">
        <f t="shared" si="356"/>
        <v>311500</v>
      </c>
      <c r="BZ172" s="1193">
        <f t="shared" si="356"/>
        <v>375000</v>
      </c>
      <c r="CA172" s="1193">
        <f t="shared" si="356"/>
        <v>449051</v>
      </c>
      <c r="CB172" s="1452">
        <f t="shared" si="356"/>
        <v>471000</v>
      </c>
      <c r="CC172" s="1748">
        <f t="shared" si="356"/>
        <v>497698.83408071753</v>
      </c>
      <c r="CD172" s="1193">
        <f t="shared" si="356"/>
        <v>549400.19425210753</v>
      </c>
      <c r="CE172" s="1193">
        <f t="shared" si="356"/>
        <v>608490.53272172343</v>
      </c>
      <c r="CF172" s="1452">
        <f t="shared" si="356"/>
        <v>632363.27432811959</v>
      </c>
      <c r="CG172" s="234"/>
      <c r="CH172" s="160"/>
      <c r="CM172" s="203"/>
      <c r="CN172" s="203"/>
      <c r="CO172" s="203"/>
      <c r="CP172" s="203"/>
      <c r="CQ172" s="103"/>
      <c r="CR172" s="103"/>
      <c r="CS172" s="103"/>
      <c r="CT172" s="103"/>
      <c r="CU172" s="1193">
        <f t="shared" ref="CU172:CZ172" si="357">+CU170-CT170</f>
        <v>176000</v>
      </c>
      <c r="CV172" s="1193">
        <f t="shared" si="357"/>
        <v>250000</v>
      </c>
      <c r="CW172" s="1193">
        <f t="shared" si="357"/>
        <v>263000</v>
      </c>
      <c r="CX172" s="1193">
        <f t="shared" si="357"/>
        <v>471000</v>
      </c>
      <c r="CY172" s="1193">
        <f t="shared" si="357"/>
        <v>632363.27432811959</v>
      </c>
      <c r="CZ172" s="1193">
        <f t="shared" si="357"/>
        <v>751822.0329337148</v>
      </c>
      <c r="DA172" s="1193">
        <f t="shared" ref="DA172:DF172" si="358">+DA170-CZ170</f>
        <v>805296.69120916072</v>
      </c>
      <c r="DB172" s="1193">
        <f t="shared" si="358"/>
        <v>767725.62480907561</v>
      </c>
      <c r="DC172" s="1193">
        <f t="shared" si="358"/>
        <v>692879.13026057463</v>
      </c>
      <c r="DD172" s="1193">
        <f t="shared" si="358"/>
        <v>598911.96978956088</v>
      </c>
      <c r="DE172" s="1193">
        <f t="shared" si="358"/>
        <v>500562.35843679216</v>
      </c>
      <c r="DF172" s="1452">
        <f t="shared" si="358"/>
        <v>407627.7751907967</v>
      </c>
    </row>
    <row r="173" spans="1:110" ht="12.75" customHeight="1">
      <c r="I173" s="184" t="s">
        <v>292</v>
      </c>
      <c r="J173" s="69"/>
      <c r="K173" s="69"/>
      <c r="P173" s="234"/>
      <c r="T173" s="234"/>
      <c r="X173" s="234"/>
      <c r="AB173" s="234"/>
      <c r="AF173" s="249"/>
      <c r="AG173" s="203"/>
      <c r="AH173" s="203"/>
      <c r="AI173" s="203"/>
      <c r="AJ173" s="204"/>
      <c r="AK173" s="111"/>
      <c r="AL173" s="111"/>
      <c r="AM173" s="111"/>
      <c r="AN173" s="222"/>
      <c r="AO173" s="118"/>
      <c r="AP173" s="118"/>
      <c r="AQ173" s="118"/>
      <c r="AR173" s="230"/>
      <c r="AS173" s="118">
        <f t="shared" ref="AS173:BA173" si="359">+AS170/AR170-1</f>
        <v>0.10000000000000009</v>
      </c>
      <c r="AT173" s="118">
        <f t="shared" si="359"/>
        <v>7.575757575757569E-2</v>
      </c>
      <c r="AU173" s="118">
        <f t="shared" si="359"/>
        <v>2.8169014084507005E-2</v>
      </c>
      <c r="AV173" s="230">
        <f t="shared" si="359"/>
        <v>6.8493150684931559E-2</v>
      </c>
      <c r="AW173" s="118">
        <f t="shared" si="359"/>
        <v>0.10256410256410264</v>
      </c>
      <c r="AX173" s="118">
        <f t="shared" si="359"/>
        <v>0.11627906976744184</v>
      </c>
      <c r="AY173" s="118">
        <f t="shared" si="359"/>
        <v>9.375E-2</v>
      </c>
      <c r="AZ173" s="230">
        <f t="shared" si="359"/>
        <v>0.14285714285714279</v>
      </c>
      <c r="BA173" s="118">
        <f t="shared" si="359"/>
        <v>0.125</v>
      </c>
      <c r="BB173" s="118">
        <f t="shared" ref="BB173:BK173" si="360">+BB170/BA170-1</f>
        <v>0.14814814814814814</v>
      </c>
      <c r="BC173" s="118">
        <f t="shared" si="360"/>
        <v>9.6774193548387011E-2</v>
      </c>
      <c r="BD173" s="230">
        <f t="shared" si="360"/>
        <v>8.1670588235294161E-2</v>
      </c>
      <c r="BE173" s="118">
        <f t="shared" si="360"/>
        <v>0.14202431967979812</v>
      </c>
      <c r="BF173" s="118">
        <f t="shared" si="360"/>
        <v>0.11904761904761907</v>
      </c>
      <c r="BG173" s="118">
        <f t="shared" si="360"/>
        <v>4.2553191489361764E-2</v>
      </c>
      <c r="BH173" s="230">
        <f t="shared" si="360"/>
        <v>0.12244897959183665</v>
      </c>
      <c r="BI173" s="118">
        <f t="shared" si="360"/>
        <v>7.2727272727272751E-2</v>
      </c>
      <c r="BJ173" s="118">
        <f t="shared" si="360"/>
        <v>0.11864406779661008</v>
      </c>
      <c r="BK173" s="118">
        <f t="shared" si="360"/>
        <v>7.575757575757569E-2</v>
      </c>
      <c r="BL173" s="1280">
        <v>0.2</v>
      </c>
      <c r="BM173" s="1615">
        <f t="shared" ref="BM173:CB173" si="361">+BM170/BL170-1</f>
        <v>8.4507042253521236E-2</v>
      </c>
      <c r="BN173" s="118">
        <f t="shared" si="361"/>
        <v>0.13203463203463195</v>
      </c>
      <c r="BO173" s="118">
        <f t="shared" si="361"/>
        <v>3.2504780114722687E-2</v>
      </c>
      <c r="BP173" s="230">
        <f t="shared" si="361"/>
        <v>0.11481481481481493</v>
      </c>
      <c r="BQ173" s="1615">
        <f t="shared" si="361"/>
        <v>5.8139534883721034E-2</v>
      </c>
      <c r="BR173" s="118">
        <f t="shared" si="361"/>
        <v>0.16483516483516492</v>
      </c>
      <c r="BS173" s="1220">
        <f t="shared" si="361"/>
        <v>1.0781671159029615E-2</v>
      </c>
      <c r="BT173" s="1935">
        <f t="shared" si="361"/>
        <v>0.1359999999999999</v>
      </c>
      <c r="BU173" s="1615">
        <f t="shared" si="361"/>
        <v>3.2276995305164258E-2</v>
      </c>
      <c r="BV173" s="118">
        <f t="shared" si="361"/>
        <v>9.7214326321773736E-2</v>
      </c>
      <c r="BW173" s="1220">
        <f t="shared" si="361"/>
        <v>0.10362694300518127</v>
      </c>
      <c r="BX173" s="1935">
        <f t="shared" si="361"/>
        <v>4.6948356807511749E-2</v>
      </c>
      <c r="BY173" s="1615">
        <f t="shared" si="361"/>
        <v>6.8161434977578539E-2</v>
      </c>
      <c r="BZ173" s="118">
        <f t="shared" si="361"/>
        <v>0.12510495382031905</v>
      </c>
      <c r="CA173" s="118">
        <f t="shared" si="361"/>
        <v>0.12988880597014929</v>
      </c>
      <c r="CB173" s="1935">
        <f t="shared" si="361"/>
        <v>4.7520856298764125E-2</v>
      </c>
      <c r="CC173" s="1318">
        <f>+BY173*0.95</f>
        <v>6.4753363228699609E-2</v>
      </c>
      <c r="CD173" s="1319">
        <f>+BZ173*0.95</f>
        <v>0.1188497061293031</v>
      </c>
      <c r="CE173" s="1319">
        <f>+CA173*0.95</f>
        <v>0.12339436567164182</v>
      </c>
      <c r="CF173" s="1317">
        <f>+CB173*0.95</f>
        <v>4.5144813483825916E-2</v>
      </c>
      <c r="CG173" s="234"/>
      <c r="CH173" s="160"/>
      <c r="CM173" s="203"/>
      <c r="CN173" s="111"/>
      <c r="CO173" s="118"/>
      <c r="CP173" s="118"/>
      <c r="CQ173" s="118"/>
      <c r="CR173" s="118"/>
      <c r="CS173" s="103"/>
      <c r="CT173" s="103"/>
      <c r="CU173" s="103"/>
      <c r="CV173" s="103"/>
      <c r="CW173" s="103"/>
      <c r="CX173" s="103"/>
      <c r="CY173" s="103"/>
      <c r="DF173" s="234"/>
    </row>
    <row r="174" spans="1:110" ht="12.75" customHeight="1">
      <c r="B174" s="34"/>
      <c r="C174" s="34"/>
      <c r="D174" s="34"/>
      <c r="E174" s="34"/>
      <c r="H174" s="34"/>
      <c r="I174" s="184" t="s">
        <v>293</v>
      </c>
      <c r="J174" s="69"/>
      <c r="K174" s="69"/>
      <c r="P174" s="234"/>
      <c r="T174" s="234"/>
      <c r="X174" s="234"/>
      <c r="AB174" s="234"/>
      <c r="AF174" s="249"/>
      <c r="AG174" s="203"/>
      <c r="AH174" s="111">
        <f t="shared" ref="AH174:AR174" si="362">+AH170-AG170</f>
        <v>2000</v>
      </c>
      <c r="AI174" s="111">
        <f t="shared" si="362"/>
        <v>2000</v>
      </c>
      <c r="AJ174" s="222">
        <f t="shared" si="362"/>
        <v>2000</v>
      </c>
      <c r="AK174" s="111">
        <f t="shared" si="362"/>
        <v>4000</v>
      </c>
      <c r="AL174" s="111">
        <f t="shared" si="362"/>
        <v>3000</v>
      </c>
      <c r="AM174" s="111">
        <f t="shared" si="362"/>
        <v>3000</v>
      </c>
      <c r="AN174" s="222">
        <f t="shared" si="362"/>
        <v>3500</v>
      </c>
      <c r="AO174" s="111">
        <f t="shared" si="362"/>
        <v>3500</v>
      </c>
      <c r="AP174" s="111">
        <f t="shared" si="362"/>
        <v>7000</v>
      </c>
      <c r="AQ174" s="111">
        <f t="shared" si="362"/>
        <v>5000</v>
      </c>
      <c r="AR174" s="222">
        <f t="shared" si="362"/>
        <v>3000</v>
      </c>
      <c r="AS174" s="111">
        <f t="shared" ref="AS174:BA174" si="363">+AS170-AR170</f>
        <v>6000</v>
      </c>
      <c r="AT174" s="111">
        <f t="shared" si="363"/>
        <v>5000</v>
      </c>
      <c r="AU174" s="111">
        <f t="shared" si="363"/>
        <v>2000</v>
      </c>
      <c r="AV174" s="222">
        <f t="shared" si="363"/>
        <v>5000</v>
      </c>
      <c r="AW174" s="111">
        <f t="shared" si="363"/>
        <v>8000</v>
      </c>
      <c r="AX174" s="111">
        <f t="shared" si="363"/>
        <v>10000</v>
      </c>
      <c r="AY174" s="111">
        <f t="shared" si="363"/>
        <v>9000</v>
      </c>
      <c r="AZ174" s="222">
        <f t="shared" si="363"/>
        <v>15000</v>
      </c>
      <c r="BA174" s="111">
        <f t="shared" si="363"/>
        <v>15000</v>
      </c>
      <c r="BB174" s="111">
        <f t="shared" ref="BB174:BK174" si="364">+BB170-BA170</f>
        <v>20000</v>
      </c>
      <c r="BC174" s="111">
        <f t="shared" si="364"/>
        <v>15000</v>
      </c>
      <c r="BD174" s="222">
        <f t="shared" si="364"/>
        <v>13884</v>
      </c>
      <c r="BE174" s="111">
        <f t="shared" si="364"/>
        <v>26116</v>
      </c>
      <c r="BF174" s="111">
        <f t="shared" si="364"/>
        <v>25000</v>
      </c>
      <c r="BG174" s="111">
        <f t="shared" si="364"/>
        <v>10000</v>
      </c>
      <c r="BH174" s="222">
        <f t="shared" si="364"/>
        <v>30000</v>
      </c>
      <c r="BI174" s="111">
        <f t="shared" si="364"/>
        <v>20000</v>
      </c>
      <c r="BJ174" s="111">
        <f t="shared" si="364"/>
        <v>35000</v>
      </c>
      <c r="BK174" s="111">
        <f t="shared" si="364"/>
        <v>25000</v>
      </c>
      <c r="BL174" s="111">
        <f>+BL170-BK170</f>
        <v>71000</v>
      </c>
      <c r="BM174" s="220">
        <f t="shared" ref="BM174:CF174" si="365">+BM170-BL170</f>
        <v>36000</v>
      </c>
      <c r="BN174" s="111">
        <f t="shared" ref="BN174:BU174" si="366">+BN170-BM170</f>
        <v>61000</v>
      </c>
      <c r="BO174" s="111">
        <f t="shared" si="366"/>
        <v>17000</v>
      </c>
      <c r="BP174" s="111">
        <f t="shared" si="366"/>
        <v>62000</v>
      </c>
      <c r="BQ174" s="220">
        <f t="shared" si="366"/>
        <v>35000</v>
      </c>
      <c r="BR174" s="111">
        <f t="shared" si="366"/>
        <v>105000</v>
      </c>
      <c r="BS174" s="683">
        <f t="shared" si="366"/>
        <v>8000</v>
      </c>
      <c r="BT174" s="1213">
        <f t="shared" si="365"/>
        <v>102000</v>
      </c>
      <c r="BU174" s="220">
        <f t="shared" si="366"/>
        <v>27500</v>
      </c>
      <c r="BV174" s="111">
        <f t="shared" si="365"/>
        <v>85500</v>
      </c>
      <c r="BW174" s="111">
        <f t="shared" si="365"/>
        <v>100000</v>
      </c>
      <c r="BX174" s="111">
        <f t="shared" si="365"/>
        <v>50000</v>
      </c>
      <c r="BY174" s="220">
        <f t="shared" si="365"/>
        <v>76000</v>
      </c>
      <c r="BZ174" s="111">
        <f t="shared" si="365"/>
        <v>149000</v>
      </c>
      <c r="CA174" s="111">
        <f t="shared" si="365"/>
        <v>174051</v>
      </c>
      <c r="CB174" s="222">
        <f t="shared" si="365"/>
        <v>71949</v>
      </c>
      <c r="CC174" s="220">
        <f t="shared" si="365"/>
        <v>102698.83408071753</v>
      </c>
      <c r="CD174" s="111">
        <f t="shared" si="365"/>
        <v>200701.36017139</v>
      </c>
      <c r="CE174" s="111">
        <f t="shared" si="365"/>
        <v>233141.3384696159</v>
      </c>
      <c r="CF174" s="222">
        <f t="shared" si="365"/>
        <v>95821.741606396157</v>
      </c>
      <c r="CG174" s="234"/>
      <c r="CH174" s="160"/>
      <c r="CM174" s="203"/>
      <c r="CN174" s="111"/>
      <c r="CO174" s="111">
        <f>+SUM(AO174:AR174)</f>
        <v>18500</v>
      </c>
      <c r="CP174" s="111">
        <f>+SUM(AS174:AV174)</f>
        <v>18000</v>
      </c>
      <c r="CQ174" s="111">
        <f>+SUM(AW174:AZ174)</f>
        <v>42000</v>
      </c>
      <c r="CR174" s="111">
        <f>+SUM(BA174:BD174)</f>
        <v>63884</v>
      </c>
      <c r="CS174" s="111">
        <f>+SUM(BE174:BH174)</f>
        <v>91116</v>
      </c>
      <c r="CT174" s="111">
        <f>+SUM(BI174:BL174)</f>
        <v>151000</v>
      </c>
      <c r="CU174" s="111">
        <f>+SUM(BM174:BP174)</f>
        <v>176000</v>
      </c>
      <c r="CV174" s="111">
        <f>+SUM(BQ174:BT174)</f>
        <v>250000</v>
      </c>
      <c r="CW174" s="111">
        <f>+SUM(BU174:BX174)</f>
        <v>263000</v>
      </c>
      <c r="CX174" s="111">
        <f>+SUM(BY174:CB174)</f>
        <v>471000</v>
      </c>
      <c r="CY174" s="111">
        <f>+SUM(CC174:CF174)</f>
        <v>632363.27432811959</v>
      </c>
      <c r="DF174" s="234"/>
    </row>
    <row r="175" spans="1:110" ht="12.75" customHeight="1">
      <c r="B175" s="34"/>
      <c r="C175" s="34"/>
      <c r="D175" s="34"/>
      <c r="E175" s="34"/>
      <c r="H175" s="34"/>
      <c r="I175" s="184"/>
      <c r="J175" s="69"/>
      <c r="K175" s="69"/>
      <c r="P175" s="234"/>
      <c r="T175" s="234"/>
      <c r="X175" s="234"/>
      <c r="AB175" s="234"/>
      <c r="AF175" s="249"/>
      <c r="AG175" s="203"/>
      <c r="AH175" s="203"/>
      <c r="AI175" s="203"/>
      <c r="AJ175" s="204"/>
      <c r="AK175" s="111"/>
      <c r="AL175" s="111"/>
      <c r="AM175" s="111"/>
      <c r="AN175" s="222"/>
      <c r="AO175" s="118"/>
      <c r="AP175" s="118"/>
      <c r="AQ175" s="118"/>
      <c r="AR175" s="230"/>
      <c r="AS175" s="118"/>
      <c r="AT175" s="118"/>
      <c r="AU175" s="118"/>
      <c r="AV175" s="230"/>
      <c r="AW175" s="118"/>
      <c r="AX175" s="118"/>
      <c r="AY175" s="118"/>
      <c r="AZ175" s="230"/>
      <c r="BA175" s="118"/>
      <c r="BB175" s="24"/>
      <c r="BC175" s="24"/>
      <c r="BD175" s="234"/>
      <c r="BE175" s="24"/>
      <c r="BF175" s="24"/>
      <c r="BG175" s="24"/>
      <c r="BH175" s="216"/>
      <c r="BI175" s="38"/>
      <c r="BJ175" s="38"/>
      <c r="BK175" s="38"/>
      <c r="BL175" s="38"/>
      <c r="BM175" s="173"/>
      <c r="BN175" s="38"/>
      <c r="BO175" s="38"/>
      <c r="BP175" s="103"/>
      <c r="BQ175" s="265"/>
      <c r="BR175" s="103"/>
      <c r="BS175" s="103"/>
      <c r="BT175" s="202"/>
      <c r="BU175" s="265"/>
      <c r="BV175" s="103"/>
      <c r="BW175" s="103"/>
      <c r="BX175" s="202"/>
      <c r="BY175" s="265"/>
      <c r="BZ175" s="103"/>
      <c r="CA175" s="103"/>
      <c r="CB175" s="202"/>
      <c r="CC175" s="265"/>
      <c r="CD175" s="103"/>
      <c r="CE175" s="103"/>
      <c r="CF175" s="202"/>
      <c r="CG175" s="234"/>
      <c r="CH175" s="160"/>
      <c r="CM175" s="203"/>
      <c r="CN175" s="111"/>
      <c r="CO175" s="118"/>
      <c r="CP175" s="118"/>
      <c r="CQ175" s="118"/>
      <c r="CR175" s="103"/>
      <c r="CS175" s="103"/>
      <c r="CT175" s="103"/>
      <c r="CU175" s="103"/>
      <c r="CV175" s="103"/>
      <c r="CW175" s="103"/>
      <c r="CX175" s="103"/>
      <c r="CY175" s="103"/>
      <c r="DF175" s="234"/>
    </row>
    <row r="176" spans="1:110" s="39" customFormat="1" ht="12.75" customHeight="1">
      <c r="B176" s="1141"/>
      <c r="C176" s="1141"/>
      <c r="D176" s="1141"/>
      <c r="E176" s="1141"/>
      <c r="H176" s="1141"/>
      <c r="I176" s="184" t="s">
        <v>294</v>
      </c>
      <c r="J176" s="810"/>
      <c r="K176" s="810"/>
      <c r="P176" s="241"/>
      <c r="T176" s="241"/>
      <c r="X176" s="241"/>
      <c r="AB176" s="241"/>
      <c r="AC176" s="815"/>
      <c r="AD176" s="815"/>
      <c r="AE176" s="815"/>
      <c r="AF176" s="959"/>
      <c r="AG176" s="683">
        <f t="shared" ref="AG176:BL176" si="367">+AG101*1000/AG170</f>
        <v>107.50906494779603</v>
      </c>
      <c r="AH176" s="683">
        <f t="shared" si="367"/>
        <v>118.3959120691097</v>
      </c>
      <c r="AI176" s="683">
        <f t="shared" si="367"/>
        <v>120.36487797274442</v>
      </c>
      <c r="AJ176" s="1213">
        <f t="shared" si="367"/>
        <v>90.313497564105617</v>
      </c>
      <c r="AK176" s="683">
        <f t="shared" si="367"/>
        <v>125.28165724697857</v>
      </c>
      <c r="AL176" s="683">
        <f t="shared" si="367"/>
        <v>141.75035140982777</v>
      </c>
      <c r="AM176" s="683">
        <f t="shared" si="367"/>
        <v>149.39181854490838</v>
      </c>
      <c r="AN176" s="1213">
        <f t="shared" si="367"/>
        <v>112.05837630291389</v>
      </c>
      <c r="AO176" s="683">
        <f t="shared" si="367"/>
        <v>152.34249521232593</v>
      </c>
      <c r="AP176" s="683">
        <f t="shared" si="367"/>
        <v>150.07818455515519</v>
      </c>
      <c r="AQ176" s="683">
        <f t="shared" si="367"/>
        <v>147.59911672236947</v>
      </c>
      <c r="AR176" s="1213">
        <f t="shared" si="367"/>
        <v>103.54941026231263</v>
      </c>
      <c r="AS176" s="683">
        <f t="shared" si="367"/>
        <v>139.70499276857618</v>
      </c>
      <c r="AT176" s="683">
        <f t="shared" si="367"/>
        <v>155.42181343621763</v>
      </c>
      <c r="AU176" s="683">
        <f t="shared" si="367"/>
        <v>179.21161247516736</v>
      </c>
      <c r="AV176" s="1213">
        <f t="shared" si="367"/>
        <v>137.80036904138527</v>
      </c>
      <c r="AW176" s="683">
        <f t="shared" si="367"/>
        <v>183.12400493972152</v>
      </c>
      <c r="AX176" s="683">
        <f t="shared" si="367"/>
        <v>185.63645913850488</v>
      </c>
      <c r="AY176" s="683">
        <f t="shared" si="367"/>
        <v>210.59449020523985</v>
      </c>
      <c r="AZ176" s="1213">
        <f t="shared" si="367"/>
        <v>147.04133549644558</v>
      </c>
      <c r="BA176" s="683">
        <f t="shared" si="367"/>
        <v>197.44774477447746</v>
      </c>
      <c r="BB176" s="683">
        <f t="shared" si="367"/>
        <v>199.95602664653956</v>
      </c>
      <c r="BC176" s="683">
        <f t="shared" si="367"/>
        <v>205.85846521349654</v>
      </c>
      <c r="BD176" s="1213">
        <f t="shared" si="367"/>
        <v>157.2167489833306</v>
      </c>
      <c r="BE176" s="683">
        <f t="shared" si="367"/>
        <v>196.71428571428572</v>
      </c>
      <c r="BF176" s="683">
        <f t="shared" si="367"/>
        <v>192.25531914893617</v>
      </c>
      <c r="BG176" s="683">
        <f t="shared" si="367"/>
        <v>202.77551020408163</v>
      </c>
      <c r="BH176" s="683">
        <f t="shared" si="367"/>
        <v>151.19999999999999</v>
      </c>
      <c r="BI176" s="683">
        <f t="shared" si="367"/>
        <v>198.52237288135592</v>
      </c>
      <c r="BJ176" s="683">
        <f t="shared" si="367"/>
        <v>194.33030303030304</v>
      </c>
      <c r="BK176" s="683">
        <f t="shared" si="367"/>
        <v>193.91098591549294</v>
      </c>
      <c r="BL176" s="1213">
        <f t="shared" si="367"/>
        <v>135.10798122065728</v>
      </c>
      <c r="BM176" s="1616">
        <f t="shared" ref="BM176:CF176" si="368">+BM101*1000/BM170</f>
        <v>169.88300000000001</v>
      </c>
      <c r="BN176" s="683">
        <f t="shared" si="368"/>
        <v>160.63621414913959</v>
      </c>
      <c r="BO176" s="683">
        <f t="shared" si="368"/>
        <v>163.85315555555556</v>
      </c>
      <c r="BP176" s="1213">
        <f t="shared" si="368"/>
        <v>120.23056478405316</v>
      </c>
      <c r="BQ176" s="1847">
        <f t="shared" si="368"/>
        <v>156.10713233908947</v>
      </c>
      <c r="BR176" s="1848">
        <f t="shared" si="368"/>
        <v>144.51937601078168</v>
      </c>
      <c r="BS176" s="1848">
        <f t="shared" si="368"/>
        <v>145.28631893333335</v>
      </c>
      <c r="BT176" s="1213">
        <f t="shared" si="368"/>
        <v>109.14053990610329</v>
      </c>
      <c r="BU176" s="1616">
        <f t="shared" si="368"/>
        <v>149.04179131893119</v>
      </c>
      <c r="BV176" s="683">
        <f t="shared" si="368"/>
        <v>139.41973663212434</v>
      </c>
      <c r="BW176" s="683">
        <f t="shared" si="368"/>
        <v>133.92767714553989</v>
      </c>
      <c r="BX176" s="1213">
        <f t="shared" si="368"/>
        <v>110.56693004484305</v>
      </c>
      <c r="BY176" s="1616">
        <f t="shared" si="368"/>
        <v>141.23540574160367</v>
      </c>
      <c r="BZ176" s="683">
        <f t="shared" si="368"/>
        <v>122.18809562873133</v>
      </c>
      <c r="CA176" s="683">
        <f t="shared" si="368"/>
        <v>112.40349563389873</v>
      </c>
      <c r="CB176" s="1213">
        <f t="shared" si="368"/>
        <v>91.274422036569987</v>
      </c>
      <c r="CC176" s="1616">
        <f t="shared" si="368"/>
        <v>115.04960292161381</v>
      </c>
      <c r="CD176" s="683">
        <f t="shared" si="368"/>
        <v>103.12327577943333</v>
      </c>
      <c r="CE176" s="683">
        <f t="shared" si="368"/>
        <v>94.611980197500458</v>
      </c>
      <c r="CF176" s="1213">
        <f t="shared" si="368"/>
        <v>77.980768909746658</v>
      </c>
      <c r="CG176" s="241"/>
      <c r="CH176" s="182"/>
      <c r="CM176" s="683">
        <f t="shared" ref="CM176:CY176" si="369">+CM101*1000/CM170</f>
        <v>388.03450277130207</v>
      </c>
      <c r="CN176" s="683">
        <f t="shared" si="369"/>
        <v>465.00209765119831</v>
      </c>
      <c r="CO176" s="683">
        <f t="shared" si="369"/>
        <v>488.09320250560921</v>
      </c>
      <c r="CP176" s="683">
        <f t="shared" si="369"/>
        <v>565.2096765719582</v>
      </c>
      <c r="CQ176" s="683">
        <f t="shared" si="369"/>
        <v>611.0595519436348</v>
      </c>
      <c r="CR176" s="683">
        <f t="shared" si="369"/>
        <v>661.03746618038156</v>
      </c>
      <c r="CS176" s="683">
        <f t="shared" si="369"/>
        <v>646.36363636363637</v>
      </c>
      <c r="CT176" s="683">
        <f t="shared" si="369"/>
        <v>584.71244131455398</v>
      </c>
      <c r="CU176" s="683">
        <f t="shared" si="369"/>
        <v>537.13985049833889</v>
      </c>
      <c r="CV176" s="683">
        <f t="shared" si="369"/>
        <v>479.60809800469485</v>
      </c>
      <c r="CW176" s="683">
        <f t="shared" si="369"/>
        <v>476.71516096412552</v>
      </c>
      <c r="CX176" s="683">
        <f t="shared" si="369"/>
        <v>407.87470031447037</v>
      </c>
      <c r="CY176" s="683">
        <f t="shared" si="369"/>
        <v>343.91698048252033</v>
      </c>
      <c r="CZ176" s="683">
        <f t="shared" ref="CZ176:DF176" si="370">+CZ101*1000/CZ170</f>
        <v>297.41235116275254</v>
      </c>
      <c r="DA176" s="683">
        <f t="shared" si="370"/>
        <v>265.55520676692487</v>
      </c>
      <c r="DB176" s="683">
        <f t="shared" si="370"/>
        <v>246.16231162186352</v>
      </c>
      <c r="DC176" s="683">
        <f t="shared" si="370"/>
        <v>235.29122658543233</v>
      </c>
      <c r="DD176" s="683">
        <f t="shared" si="370"/>
        <v>230.44948943414855</v>
      </c>
      <c r="DE176" s="683">
        <f t="shared" si="370"/>
        <v>229.71068227581239</v>
      </c>
      <c r="DF176" s="1213">
        <f t="shared" si="370"/>
        <v>233.58809743602308</v>
      </c>
    </row>
    <row r="177" spans="1:110" s="817" customFormat="1" ht="12.75" customHeight="1">
      <c r="A177" s="24"/>
      <c r="B177" s="34"/>
      <c r="C177" s="34"/>
      <c r="D177" s="34"/>
      <c r="E177" s="34"/>
      <c r="F177" s="24"/>
      <c r="G177" s="24"/>
      <c r="H177" s="34"/>
      <c r="I177" s="184" t="s">
        <v>383</v>
      </c>
      <c r="J177" s="816"/>
      <c r="K177" s="816"/>
      <c r="P177" s="948"/>
      <c r="T177" s="948"/>
      <c r="X177" s="948"/>
      <c r="AB177" s="948"/>
      <c r="AC177" s="818"/>
      <c r="AD177" s="818"/>
      <c r="AE177" s="818"/>
      <c r="AF177" s="960"/>
      <c r="AG177" s="886"/>
      <c r="AH177" s="886"/>
      <c r="AI177" s="886"/>
      <c r="AJ177" s="968"/>
      <c r="AK177" s="118">
        <f t="shared" ref="AK177:BD177" si="371">+AK176/AG176-1</f>
        <v>0.16531249999999997</v>
      </c>
      <c r="AL177" s="118">
        <f t="shared" si="371"/>
        <v>0.19725714285714258</v>
      </c>
      <c r="AM177" s="118">
        <f t="shared" si="371"/>
        <v>0.24115789473684224</v>
      </c>
      <c r="AN177" s="230">
        <f t="shared" si="371"/>
        <v>0.24077108433734939</v>
      </c>
      <c r="AO177" s="118">
        <f t="shared" si="371"/>
        <v>0.21599999999999997</v>
      </c>
      <c r="AP177" s="118">
        <f t="shared" si="371"/>
        <v>5.8750000000000302E-2</v>
      </c>
      <c r="AQ177" s="118">
        <f t="shared" si="371"/>
        <v>-1.2000000000000011E-2</v>
      </c>
      <c r="AR177" s="230">
        <f t="shared" si="371"/>
        <v>-7.5933333333333297E-2</v>
      </c>
      <c r="AS177" s="118">
        <f t="shared" si="371"/>
        <v>-8.2954545454545392E-2</v>
      </c>
      <c r="AT177" s="118">
        <f t="shared" si="371"/>
        <v>3.5605633802817005E-2</v>
      </c>
      <c r="AU177" s="118">
        <f t="shared" si="371"/>
        <v>0.21417808219178069</v>
      </c>
      <c r="AV177" s="230">
        <f t="shared" si="371"/>
        <v>0.3307692307692307</v>
      </c>
      <c r="AW177" s="118">
        <f t="shared" si="371"/>
        <v>0.31079069767441814</v>
      </c>
      <c r="AX177" s="118">
        <f t="shared" si="371"/>
        <v>0.19440415109225828</v>
      </c>
      <c r="AY177" s="118">
        <f t="shared" si="371"/>
        <v>0.17511631805902694</v>
      </c>
      <c r="AZ177" s="230">
        <f t="shared" si="371"/>
        <v>6.7060534883509604E-2</v>
      </c>
      <c r="BA177" s="118">
        <f t="shared" si="371"/>
        <v>7.8218799547721041E-2</v>
      </c>
      <c r="BB177" s="118">
        <f t="shared" si="371"/>
        <v>7.7137689301381984E-2</v>
      </c>
      <c r="BC177" s="118">
        <f t="shared" si="371"/>
        <v>-2.2488836185256766E-2</v>
      </c>
      <c r="BD177" s="230">
        <f t="shared" si="371"/>
        <v>6.9201041003405406E-2</v>
      </c>
      <c r="BE177" s="118">
        <f>+BE176/BA176-1</f>
        <v>-3.7146996083925465E-3</v>
      </c>
      <c r="BF177" s="118">
        <f>+BF176/BB176-1</f>
        <v>-3.851200499805818E-2</v>
      </c>
      <c r="BG177" s="118">
        <f>+BG176/BC176-1</f>
        <v>-1.4976090520336771E-2</v>
      </c>
      <c r="BH177" s="118">
        <f>+BH176/BD176-1</f>
        <v>-3.827040707964624E-2</v>
      </c>
      <c r="BI177" s="118">
        <f t="shared" ref="BI177:BP177" si="372">+BI176/BE176-1</f>
        <v>9.1914380315840649E-3</v>
      </c>
      <c r="BJ177" s="118">
        <f t="shared" si="372"/>
        <v>1.0792855513971134E-2</v>
      </c>
      <c r="BK177" s="118">
        <f t="shared" si="372"/>
        <v>-4.37159511011318E-2</v>
      </c>
      <c r="BL177" s="230">
        <f t="shared" si="372"/>
        <v>-0.10642869563057344</v>
      </c>
      <c r="BM177" s="1615">
        <f t="shared" si="372"/>
        <v>-0.14426269677157155</v>
      </c>
      <c r="BN177" s="118">
        <f t="shared" si="372"/>
        <v>-0.17338566531185484</v>
      </c>
      <c r="BO177" s="118">
        <f t="shared" si="372"/>
        <v>-0.15500839324821281</v>
      </c>
      <c r="BP177" s="230">
        <f t="shared" si="372"/>
        <v>-0.11011500802684959</v>
      </c>
      <c r="BQ177" s="1615">
        <f t="shared" ref="BQ177:CF177" si="373">+BQ176/BM176-1</f>
        <v>-8.1090324876006092E-2</v>
      </c>
      <c r="BR177" s="118">
        <f t="shared" si="373"/>
        <v>-0.10033128721145368</v>
      </c>
      <c r="BS177" s="118">
        <f t="shared" si="373"/>
        <v>-0.11331387887691302</v>
      </c>
      <c r="BT177" s="230">
        <f t="shared" si="373"/>
        <v>-9.2239647196773356E-2</v>
      </c>
      <c r="BU177" s="1615">
        <f t="shared" si="373"/>
        <v>-4.5259565750085273E-2</v>
      </c>
      <c r="BV177" s="118">
        <f t="shared" si="373"/>
        <v>-3.52868903770861E-2</v>
      </c>
      <c r="BW177" s="118">
        <f t="shared" si="373"/>
        <v>-7.8181083196178558E-2</v>
      </c>
      <c r="BX177" s="230">
        <f t="shared" si="373"/>
        <v>1.3069297072993535E-2</v>
      </c>
      <c r="BY177" s="1615">
        <f t="shared" si="373"/>
        <v>-5.23771588374351E-2</v>
      </c>
      <c r="BZ177" s="118">
        <f t="shared" si="373"/>
        <v>-0.12359542070331664</v>
      </c>
      <c r="CA177" s="118">
        <f t="shared" si="373"/>
        <v>-0.16071496176440603</v>
      </c>
      <c r="CB177" s="230">
        <f t="shared" si="373"/>
        <v>-0.17448714548236555</v>
      </c>
      <c r="CC177" s="1615">
        <f t="shared" si="373"/>
        <v>-0.1854053711425443</v>
      </c>
      <c r="CD177" s="118">
        <f t="shared" si="373"/>
        <v>-0.1560284555643332</v>
      </c>
      <c r="CE177" s="118">
        <f t="shared" si="373"/>
        <v>-0.15828258130286021</v>
      </c>
      <c r="CF177" s="230">
        <f t="shared" si="373"/>
        <v>-0.14564488966577183</v>
      </c>
      <c r="CG177" s="948"/>
      <c r="CH177" s="927"/>
      <c r="CM177" s="886"/>
      <c r="CN177" s="118">
        <f t="shared" ref="CN177:CY177" si="374">+CN176/CM176-1</f>
        <v>0.19835245147068536</v>
      </c>
      <c r="CO177" s="118">
        <f t="shared" si="374"/>
        <v>4.9658065998084311E-2</v>
      </c>
      <c r="CP177" s="118">
        <f t="shared" si="374"/>
        <v>0.1579953862714627</v>
      </c>
      <c r="CQ177" s="118">
        <f t="shared" si="374"/>
        <v>8.1120117492962551E-2</v>
      </c>
      <c r="CR177" s="118">
        <f t="shared" si="374"/>
        <v>8.1788941974278773E-2</v>
      </c>
      <c r="CS177" s="118">
        <f t="shared" si="374"/>
        <v>-2.2198181748356527E-2</v>
      </c>
      <c r="CT177" s="118">
        <f t="shared" si="374"/>
        <v>-9.5381595715879897E-2</v>
      </c>
      <c r="CU177" s="118">
        <f t="shared" si="374"/>
        <v>-8.1360661164079362E-2</v>
      </c>
      <c r="CV177" s="118">
        <f t="shared" si="374"/>
        <v>-0.10710758555759392</v>
      </c>
      <c r="CW177" s="118">
        <f t="shared" si="374"/>
        <v>-6.0318769691437568E-3</v>
      </c>
      <c r="CX177" s="118">
        <f t="shared" si="374"/>
        <v>-0.14440585550169993</v>
      </c>
      <c r="CY177" s="118">
        <f t="shared" si="374"/>
        <v>-0.15680727385797355</v>
      </c>
      <c r="CZ177" s="118">
        <f t="shared" ref="CZ177:DF177" si="375">+CZ176/CY176-1</f>
        <v>-0.13522050948028541</v>
      </c>
      <c r="DA177" s="118">
        <f t="shared" si="375"/>
        <v>-0.10711439612806983</v>
      </c>
      <c r="DB177" s="118">
        <f t="shared" si="375"/>
        <v>-7.3027734538386513E-2</v>
      </c>
      <c r="DC177" s="118">
        <f t="shared" si="375"/>
        <v>-4.4162264177672217E-2</v>
      </c>
      <c r="DD177" s="118">
        <f t="shared" si="375"/>
        <v>-2.0577635730611443E-2</v>
      </c>
      <c r="DE177" s="118">
        <f t="shared" si="375"/>
        <v>-3.2059396623105307E-3</v>
      </c>
      <c r="DF177" s="230">
        <f t="shared" si="375"/>
        <v>1.6879559634736863E-2</v>
      </c>
    </row>
    <row r="178" spans="1:110" s="817" customFormat="1" ht="12.75" customHeight="1">
      <c r="A178" s="24"/>
      <c r="B178" s="34"/>
      <c r="C178" s="34"/>
      <c r="D178" s="34"/>
      <c r="E178" s="34"/>
      <c r="F178" s="24"/>
      <c r="G178" s="24"/>
      <c r="H178" s="34"/>
      <c r="I178" s="184" t="s">
        <v>167</v>
      </c>
      <c r="J178" s="816"/>
      <c r="K178" s="816"/>
      <c r="P178" s="948"/>
      <c r="T178" s="948"/>
      <c r="X178" s="948"/>
      <c r="AB178" s="948"/>
      <c r="AC178" s="818"/>
      <c r="AD178" s="818"/>
      <c r="AE178" s="818"/>
      <c r="AF178" s="960"/>
      <c r="AG178" s="886"/>
      <c r="AH178" s="886"/>
      <c r="AI178" s="886"/>
      <c r="AJ178" s="968"/>
      <c r="AK178" s="118">
        <f t="shared" ref="AK178:BD178" si="376">+AK177+AG177</f>
        <v>0.16531249999999997</v>
      </c>
      <c r="AL178" s="118">
        <f t="shared" si="376"/>
        <v>0.19725714285714258</v>
      </c>
      <c r="AM178" s="118">
        <f t="shared" si="376"/>
        <v>0.24115789473684224</v>
      </c>
      <c r="AN178" s="230">
        <f t="shared" si="376"/>
        <v>0.24077108433734939</v>
      </c>
      <c r="AO178" s="118">
        <f t="shared" si="376"/>
        <v>0.38131249999999994</v>
      </c>
      <c r="AP178" s="118">
        <f t="shared" si="376"/>
        <v>0.25600714285714288</v>
      </c>
      <c r="AQ178" s="118">
        <f t="shared" si="376"/>
        <v>0.22915789473684223</v>
      </c>
      <c r="AR178" s="230">
        <f t="shared" si="376"/>
        <v>0.1648377510040161</v>
      </c>
      <c r="AS178" s="118">
        <f t="shared" si="376"/>
        <v>0.13304545454545458</v>
      </c>
      <c r="AT178" s="118">
        <f t="shared" si="376"/>
        <v>9.4355633802817307E-2</v>
      </c>
      <c r="AU178" s="118">
        <f t="shared" si="376"/>
        <v>0.20217808219178068</v>
      </c>
      <c r="AV178" s="230">
        <f t="shared" si="376"/>
        <v>0.25483589743589741</v>
      </c>
      <c r="AW178" s="118">
        <f t="shared" si="376"/>
        <v>0.22783615221987275</v>
      </c>
      <c r="AX178" s="118">
        <f t="shared" si="376"/>
        <v>0.23000978489507529</v>
      </c>
      <c r="AY178" s="118">
        <f t="shared" si="376"/>
        <v>0.38929440025080764</v>
      </c>
      <c r="AZ178" s="230">
        <f t="shared" si="376"/>
        <v>0.39782976565274031</v>
      </c>
      <c r="BA178" s="118">
        <f t="shared" si="376"/>
        <v>0.38900949722213918</v>
      </c>
      <c r="BB178" s="118">
        <f t="shared" si="376"/>
        <v>0.27154184039364027</v>
      </c>
      <c r="BC178" s="118">
        <f t="shared" si="376"/>
        <v>0.15262748187377018</v>
      </c>
      <c r="BD178" s="230">
        <f t="shared" si="376"/>
        <v>0.13626157588691501</v>
      </c>
      <c r="BE178" s="118">
        <f>+BE177+BA177</f>
        <v>7.4504099939328494E-2</v>
      </c>
      <c r="BF178" s="118">
        <f>+BF177+BB177</f>
        <v>3.8625684303323804E-2</v>
      </c>
      <c r="BG178" s="118">
        <f>+BG177+BC177</f>
        <v>-3.7464926705593538E-2</v>
      </c>
      <c r="BH178" s="118">
        <f>+BH177+BD177</f>
        <v>3.0930633923759165E-2</v>
      </c>
      <c r="BI178" s="118">
        <f t="shared" ref="BI178:BP178" si="377">+BI177+BE177</f>
        <v>5.4767384231915184E-3</v>
      </c>
      <c r="BJ178" s="118">
        <f t="shared" si="377"/>
        <v>-2.7719149484087047E-2</v>
      </c>
      <c r="BK178" s="118">
        <f t="shared" si="377"/>
        <v>-5.8692041621468571E-2</v>
      </c>
      <c r="BL178" s="230">
        <f t="shared" si="377"/>
        <v>-0.14469910271021968</v>
      </c>
      <c r="BM178" s="1615">
        <f t="shared" si="377"/>
        <v>-0.13507125873998749</v>
      </c>
      <c r="BN178" s="118">
        <f t="shared" si="377"/>
        <v>-0.16259280979788371</v>
      </c>
      <c r="BO178" s="118">
        <f t="shared" si="377"/>
        <v>-0.19872434434934461</v>
      </c>
      <c r="BP178" s="230">
        <f t="shared" si="377"/>
        <v>-0.21654370365742304</v>
      </c>
      <c r="BQ178" s="1615">
        <f t="shared" ref="BQ178:CF178" si="378">+BQ177+BM177</f>
        <v>-0.22535302164757764</v>
      </c>
      <c r="BR178" s="118">
        <f t="shared" si="378"/>
        <v>-0.27371695252330852</v>
      </c>
      <c r="BS178" s="118">
        <f t="shared" si="378"/>
        <v>-0.26832227212512583</v>
      </c>
      <c r="BT178" s="230">
        <f t="shared" si="378"/>
        <v>-0.20235465522362295</v>
      </c>
      <c r="BU178" s="1615">
        <f t="shared" si="378"/>
        <v>-0.12634989062609137</v>
      </c>
      <c r="BV178" s="118">
        <f t="shared" si="378"/>
        <v>-0.13561817758853978</v>
      </c>
      <c r="BW178" s="118">
        <f t="shared" si="378"/>
        <v>-0.19149496207309158</v>
      </c>
      <c r="BX178" s="230">
        <f t="shared" si="378"/>
        <v>-7.917035012377982E-2</v>
      </c>
      <c r="BY178" s="1615">
        <f t="shared" si="378"/>
        <v>-9.7636724587520374E-2</v>
      </c>
      <c r="BZ178" s="118">
        <f t="shared" si="378"/>
        <v>-0.15888231108040274</v>
      </c>
      <c r="CA178" s="118">
        <f t="shared" si="378"/>
        <v>-0.23889604496058459</v>
      </c>
      <c r="CB178" s="230">
        <f t="shared" si="378"/>
        <v>-0.16141784840937201</v>
      </c>
      <c r="CC178" s="1615">
        <f t="shared" si="378"/>
        <v>-0.2377825299799794</v>
      </c>
      <c r="CD178" s="118">
        <f t="shared" si="378"/>
        <v>-0.27962387626764984</v>
      </c>
      <c r="CE178" s="118">
        <f t="shared" si="378"/>
        <v>-0.31899754306726624</v>
      </c>
      <c r="CF178" s="230">
        <f t="shared" si="378"/>
        <v>-0.32013203514813737</v>
      </c>
      <c r="CG178" s="948"/>
      <c r="CH178" s="927"/>
      <c r="CM178" s="886"/>
      <c r="CN178" s="118"/>
      <c r="CO178" s="118">
        <f>+CO177+CN177</f>
        <v>0.24801051746876968</v>
      </c>
      <c r="CP178" s="118">
        <f>+CP177+CO177</f>
        <v>0.20765345226954701</v>
      </c>
      <c r="CQ178" s="118">
        <f>+CQ177+CP177</f>
        <v>0.23911550376442525</v>
      </c>
      <c r="CR178" s="118">
        <f>+CR177+CQ177</f>
        <v>0.16290905946724132</v>
      </c>
      <c r="CS178" s="118">
        <f>+CS177+CR177</f>
        <v>5.9590760225922246E-2</v>
      </c>
      <c r="CT178" s="118">
        <f t="shared" ref="CT178:CY178" si="379">0-(+CT177+CS177)</f>
        <v>0.11757977746423642</v>
      </c>
      <c r="CU178" s="118">
        <f t="shared" si="379"/>
        <v>0.17674225687995926</v>
      </c>
      <c r="CV178" s="118">
        <f t="shared" si="379"/>
        <v>0.18846824672167328</v>
      </c>
      <c r="CW178" s="118">
        <f t="shared" si="379"/>
        <v>0.11313946252673768</v>
      </c>
      <c r="CX178" s="118">
        <f t="shared" si="379"/>
        <v>0.15043773247084369</v>
      </c>
      <c r="CY178" s="118">
        <f t="shared" si="379"/>
        <v>0.30121312935967348</v>
      </c>
      <c r="CZ178" s="118">
        <f t="shared" ref="CZ178:DF178" si="380">0-(+CZ177+CY177)</f>
        <v>0.29202778333825896</v>
      </c>
      <c r="DA178" s="118">
        <f t="shared" si="380"/>
        <v>0.24233490560835524</v>
      </c>
      <c r="DB178" s="118">
        <f t="shared" si="380"/>
        <v>0.18014213066645635</v>
      </c>
      <c r="DC178" s="118">
        <f t="shared" si="380"/>
        <v>0.11718999871605873</v>
      </c>
      <c r="DD178" s="118">
        <f t="shared" si="380"/>
        <v>6.473989990828366E-2</v>
      </c>
      <c r="DE178" s="118">
        <f t="shared" si="380"/>
        <v>2.3783575392921974E-2</v>
      </c>
      <c r="DF178" s="230">
        <f t="shared" si="380"/>
        <v>-1.3673619972426332E-2</v>
      </c>
    </row>
    <row r="179" spans="1:110" s="817" customFormat="1" ht="12.75" customHeight="1">
      <c r="A179" s="24"/>
      <c r="B179" s="34"/>
      <c r="C179" s="34"/>
      <c r="D179" s="34"/>
      <c r="E179" s="34"/>
      <c r="F179" s="24"/>
      <c r="G179" s="24"/>
      <c r="H179" s="34"/>
      <c r="I179" s="184" t="s">
        <v>741</v>
      </c>
      <c r="J179" s="816"/>
      <c r="K179" s="816"/>
      <c r="P179" s="948"/>
      <c r="T179" s="948"/>
      <c r="X179" s="948"/>
      <c r="AB179" s="948"/>
      <c r="AC179" s="818"/>
      <c r="AD179" s="818"/>
      <c r="AE179" s="818"/>
      <c r="AF179" s="960"/>
      <c r="AG179" s="886"/>
      <c r="AH179" s="886"/>
      <c r="AI179" s="886"/>
      <c r="AJ179" s="968"/>
      <c r="AK179" s="118"/>
      <c r="AL179" s="118"/>
      <c r="AM179" s="118"/>
      <c r="AN179" s="230"/>
      <c r="AO179" s="118"/>
      <c r="AP179" s="118"/>
      <c r="AQ179" s="118"/>
      <c r="AR179" s="230"/>
      <c r="AS179" s="118"/>
      <c r="AT179" s="118"/>
      <c r="AU179" s="118"/>
      <c r="AV179" s="230"/>
      <c r="AW179" s="118"/>
      <c r="AX179" s="118"/>
      <c r="AY179" s="118"/>
      <c r="AZ179" s="230"/>
      <c r="BA179" s="118"/>
      <c r="BB179" s="118"/>
      <c r="BC179" s="118"/>
      <c r="BD179" s="230"/>
      <c r="BE179" s="118"/>
      <c r="BF179" s="118"/>
      <c r="BG179" s="118"/>
      <c r="BH179" s="118"/>
      <c r="BI179" s="118"/>
      <c r="BJ179" s="118">
        <f t="shared" ref="BJ179:BY179" si="381">+BJ176/BI176-1</f>
        <v>-2.1116359784588146E-2</v>
      </c>
      <c r="BK179" s="118">
        <f t="shared" si="381"/>
        <v>-2.1577546490251232E-3</v>
      </c>
      <c r="BL179" s="118">
        <f t="shared" si="381"/>
        <v>-0.30324741229701246</v>
      </c>
      <c r="BM179" s="1615">
        <f t="shared" si="381"/>
        <v>0.25738685801654038</v>
      </c>
      <c r="BN179" s="118">
        <f t="shared" si="381"/>
        <v>-5.4430318812714762E-2</v>
      </c>
      <c r="BO179" s="118">
        <f t="shared" si="381"/>
        <v>2.0026252632107333E-2</v>
      </c>
      <c r="BP179" s="118">
        <f t="shared" si="381"/>
        <v>-0.26622978741908854</v>
      </c>
      <c r="BQ179" s="1615">
        <f t="shared" si="381"/>
        <v>0.29839806225209409</v>
      </c>
      <c r="BR179" s="118">
        <f t="shared" si="381"/>
        <v>-7.4229512480809334E-2</v>
      </c>
      <c r="BS179" s="118">
        <f t="shared" si="381"/>
        <v>5.3068518818850663E-3</v>
      </c>
      <c r="BT179" s="230">
        <f t="shared" si="381"/>
        <v>-0.24878997067725317</v>
      </c>
      <c r="BU179" s="1615">
        <f t="shared" si="381"/>
        <v>0.36559514408812799</v>
      </c>
      <c r="BV179" s="118">
        <f t="shared" si="381"/>
        <v>-6.4559440688798708E-2</v>
      </c>
      <c r="BW179" s="118">
        <f t="shared" si="381"/>
        <v>-3.9392266972042234E-2</v>
      </c>
      <c r="BX179" s="230">
        <f t="shared" si="381"/>
        <v>-0.1744280763961179</v>
      </c>
      <c r="BY179" s="1615">
        <f t="shared" si="381"/>
        <v>0.27737476010523476</v>
      </c>
      <c r="BZ179" s="118">
        <f>+BZ176/BY176-1</f>
        <v>-0.13486214743999969</v>
      </c>
      <c r="CA179" s="118">
        <f t="shared" ref="CA179:CF179" si="382">+CA176/BZ176-1</f>
        <v>-8.00781773746857E-2</v>
      </c>
      <c r="CB179" s="230">
        <f t="shared" si="382"/>
        <v>-0.18797523580713815</v>
      </c>
      <c r="CC179" s="1615">
        <f t="shared" si="382"/>
        <v>0.2604802129069419</v>
      </c>
      <c r="CD179" s="118">
        <f t="shared" si="382"/>
        <v>-0.1036624798288629</v>
      </c>
      <c r="CE179" s="118">
        <f t="shared" si="382"/>
        <v>-8.2535155304195085E-2</v>
      </c>
      <c r="CF179" s="230">
        <f t="shared" si="382"/>
        <v>-0.17578335484614638</v>
      </c>
      <c r="CG179" s="948"/>
      <c r="CH179" s="927"/>
      <c r="CM179" s="886"/>
      <c r="CN179" s="118"/>
      <c r="CO179" s="118"/>
      <c r="CP179" s="118"/>
      <c r="CQ179" s="118"/>
      <c r="CR179" s="118"/>
      <c r="CS179" s="118"/>
      <c r="CT179" s="118"/>
      <c r="CU179" s="118"/>
      <c r="CV179" s="118"/>
      <c r="CW179" s="118"/>
      <c r="CX179" s="118"/>
      <c r="CY179" s="118"/>
      <c r="DF179" s="948"/>
    </row>
    <row r="180" spans="1:110" ht="12.75" customHeight="1">
      <c r="A180" s="8"/>
      <c r="B180" s="23"/>
      <c r="C180" s="23"/>
      <c r="D180" s="23"/>
      <c r="E180" s="23"/>
      <c r="F180" s="23"/>
      <c r="G180" s="8"/>
      <c r="H180" s="8"/>
      <c r="I180" s="184"/>
      <c r="J180" s="70"/>
      <c r="K180" s="70"/>
      <c r="P180" s="234"/>
      <c r="T180" s="234"/>
      <c r="X180" s="234"/>
      <c r="AB180" s="234"/>
      <c r="AF180" s="249"/>
      <c r="AG180" s="203"/>
      <c r="AH180" s="203"/>
      <c r="AI180" s="203"/>
      <c r="AJ180" s="204"/>
      <c r="AK180" s="203"/>
      <c r="AL180" s="64"/>
      <c r="AM180" s="203"/>
      <c r="AN180" s="204"/>
      <c r="AO180" s="203"/>
      <c r="AP180" s="203"/>
      <c r="AQ180" s="203"/>
      <c r="AR180" s="204"/>
      <c r="AS180" s="103"/>
      <c r="AT180" s="103"/>
      <c r="AU180" s="103"/>
      <c r="AV180" s="202"/>
      <c r="AW180" s="103"/>
      <c r="AX180" s="103"/>
      <c r="AY180" s="103"/>
      <c r="AZ180" s="202"/>
      <c r="BA180" s="30"/>
      <c r="BB180" s="30"/>
      <c r="BC180" s="30"/>
      <c r="BD180" s="179"/>
      <c r="BE180" s="30"/>
      <c r="BF180" s="64"/>
      <c r="BG180" s="64"/>
      <c r="BH180" s="180"/>
      <c r="BI180" s="38"/>
      <c r="BJ180" s="38"/>
      <c r="BK180" s="38"/>
      <c r="BL180" s="38"/>
      <c r="BM180" s="173"/>
      <c r="BN180" s="38"/>
      <c r="BO180" s="38"/>
      <c r="BP180" s="103"/>
      <c r="BQ180" s="265"/>
      <c r="BR180" s="103"/>
      <c r="BS180" s="103"/>
      <c r="BT180" s="202"/>
      <c r="BU180" s="265"/>
      <c r="BV180" s="103"/>
      <c r="BW180" s="103"/>
      <c r="BX180" s="202"/>
      <c r="BY180" s="223"/>
      <c r="BZ180" s="103"/>
      <c r="CA180" s="103"/>
      <c r="CB180" s="202"/>
      <c r="CC180" s="265"/>
      <c r="CD180" s="103"/>
      <c r="CE180" s="103"/>
      <c r="CF180" s="202"/>
      <c r="CG180" s="234"/>
      <c r="CH180" s="160"/>
      <c r="CM180" s="203"/>
      <c r="CN180" s="203"/>
      <c r="CO180" s="203"/>
      <c r="CP180" s="203"/>
      <c r="CQ180" s="103"/>
      <c r="CR180" s="103"/>
      <c r="CS180" s="103"/>
      <c r="CT180" s="103"/>
      <c r="CU180" s="103"/>
      <c r="CV180" s="103"/>
      <c r="CW180" s="103"/>
      <c r="CX180" s="103"/>
      <c r="CY180" s="103"/>
      <c r="DF180" s="234"/>
    </row>
    <row r="181" spans="1:110" ht="12.75" customHeight="1">
      <c r="A181" s="8"/>
      <c r="B181" s="23"/>
      <c r="C181" s="23"/>
      <c r="D181" s="23"/>
      <c r="E181" s="23"/>
      <c r="F181" s="23"/>
      <c r="G181" s="8"/>
      <c r="H181" s="8"/>
      <c r="I181" s="190" t="s">
        <v>706</v>
      </c>
      <c r="J181" s="70"/>
      <c r="K181" s="70"/>
      <c r="P181" s="234"/>
      <c r="T181" s="234"/>
      <c r="X181" s="234"/>
      <c r="AB181" s="234"/>
      <c r="AF181" s="249"/>
      <c r="AG181" s="203"/>
      <c r="AH181" s="203"/>
      <c r="AI181" s="203"/>
      <c r="AJ181" s="204"/>
      <c r="AK181" s="203"/>
      <c r="AL181" s="64"/>
      <c r="AM181" s="203"/>
      <c r="AN181" s="204"/>
      <c r="AO181" s="203"/>
      <c r="AP181" s="203"/>
      <c r="AQ181" s="203"/>
      <c r="AR181" s="204"/>
      <c r="AS181" s="103"/>
      <c r="AT181" s="103"/>
      <c r="AU181" s="103"/>
      <c r="AV181" s="202"/>
      <c r="AW181" s="103"/>
      <c r="AX181" s="103"/>
      <c r="AY181" s="103"/>
      <c r="AZ181" s="202"/>
      <c r="BA181" s="30"/>
      <c r="BB181" s="30"/>
      <c r="BC181" s="30"/>
      <c r="BD181" s="179"/>
      <c r="BE181" s="30"/>
      <c r="BF181" s="64"/>
      <c r="BG181" s="64"/>
      <c r="BH181" s="180"/>
      <c r="BI181" s="38"/>
      <c r="BJ181" s="38"/>
      <c r="BK181" s="38"/>
      <c r="BL181" s="942">
        <f>+BL170-BL185</f>
        <v>316000</v>
      </c>
      <c r="BM181" s="2004">
        <f>+BM170-BM185</f>
        <v>317000</v>
      </c>
      <c r="BN181" s="942">
        <f>+BN170-BN185</f>
        <v>329500</v>
      </c>
      <c r="BO181" s="942">
        <f>+BO170-BO185</f>
        <v>333000</v>
      </c>
      <c r="BP181" s="942">
        <f>+BP170-BP185</f>
        <v>355000</v>
      </c>
      <c r="BQ181" s="2004">
        <f t="shared" ref="BQ181:CF181" si="383">+BQ170-BQ185</f>
        <v>362000</v>
      </c>
      <c r="BR181" s="942">
        <f t="shared" si="383"/>
        <v>405000</v>
      </c>
      <c r="BS181" s="942">
        <f t="shared" si="383"/>
        <v>400000</v>
      </c>
      <c r="BT181" s="943">
        <f t="shared" si="383"/>
        <v>462000</v>
      </c>
      <c r="BU181" s="2004">
        <f t="shared" si="383"/>
        <v>482000</v>
      </c>
      <c r="BV181" s="942">
        <f t="shared" si="383"/>
        <v>498000</v>
      </c>
      <c r="BW181" s="942">
        <f t="shared" si="383"/>
        <v>536000</v>
      </c>
      <c r="BX181" s="943">
        <f t="shared" si="383"/>
        <v>547000</v>
      </c>
      <c r="BY181" s="2004">
        <f t="shared" si="383"/>
        <v>578000</v>
      </c>
      <c r="BZ181" s="942">
        <f t="shared" si="383"/>
        <v>619000</v>
      </c>
      <c r="CA181" s="942">
        <f t="shared" si="383"/>
        <v>698051</v>
      </c>
      <c r="CB181" s="943">
        <f t="shared" si="383"/>
        <v>396000</v>
      </c>
      <c r="CC181" s="2004">
        <f t="shared" si="383"/>
        <v>451448.83408071753</v>
      </c>
      <c r="CD181" s="942">
        <f t="shared" si="383"/>
        <v>538750.19425210753</v>
      </c>
      <c r="CE181" s="942">
        <f t="shared" si="383"/>
        <v>672141.53272172343</v>
      </c>
      <c r="CF181" s="943">
        <f t="shared" si="383"/>
        <v>375263.27432811959</v>
      </c>
      <c r="CG181" s="234"/>
      <c r="CH181" s="160"/>
      <c r="CM181" s="203"/>
      <c r="CN181" s="203"/>
      <c r="CO181" s="203"/>
      <c r="CP181" s="203"/>
      <c r="CQ181" s="103"/>
      <c r="CR181" s="103"/>
      <c r="CS181" s="103"/>
      <c r="CT181" s="942">
        <f t="shared" ref="CT181:CY181" si="384">+CT170-CT185</f>
        <v>316000</v>
      </c>
      <c r="CU181" s="942">
        <f t="shared" si="384"/>
        <v>355000</v>
      </c>
      <c r="CV181" s="942">
        <f t="shared" si="384"/>
        <v>462000</v>
      </c>
      <c r="CW181" s="942">
        <f t="shared" si="384"/>
        <v>547000</v>
      </c>
      <c r="CX181" s="942">
        <f t="shared" si="384"/>
        <v>396000</v>
      </c>
      <c r="CY181" s="942">
        <f t="shared" si="384"/>
        <v>375263.27432811959</v>
      </c>
      <c r="DF181" s="234"/>
    </row>
    <row r="182" spans="1:110" ht="12.75" customHeight="1">
      <c r="A182" s="8"/>
      <c r="B182" s="23"/>
      <c r="C182" s="23"/>
      <c r="D182" s="23"/>
      <c r="E182" s="23"/>
      <c r="F182" s="23"/>
      <c r="G182" s="8"/>
      <c r="H182" s="8"/>
      <c r="I182" s="184" t="s">
        <v>376</v>
      </c>
      <c r="J182" s="70"/>
      <c r="K182" s="70"/>
      <c r="P182" s="234"/>
      <c r="T182" s="234"/>
      <c r="X182" s="234"/>
      <c r="AB182" s="234"/>
      <c r="AF182" s="249"/>
      <c r="AG182" s="203"/>
      <c r="AH182" s="203"/>
      <c r="AI182" s="203"/>
      <c r="AJ182" s="204"/>
      <c r="AK182" s="203"/>
      <c r="AL182" s="64"/>
      <c r="AM182" s="203"/>
      <c r="AN182" s="204"/>
      <c r="AO182" s="203"/>
      <c r="AP182" s="203"/>
      <c r="AQ182" s="203"/>
      <c r="AR182" s="204"/>
      <c r="AS182" s="103"/>
      <c r="AT182" s="103"/>
      <c r="AU182" s="103"/>
      <c r="AV182" s="202"/>
      <c r="AW182" s="103"/>
      <c r="AX182" s="103"/>
      <c r="AY182" s="103"/>
      <c r="AZ182" s="202"/>
      <c r="BA182" s="30"/>
      <c r="BB182" s="30"/>
      <c r="BC182" s="30"/>
      <c r="BD182" s="179"/>
      <c r="BE182" s="30"/>
      <c r="BF182" s="64"/>
      <c r="BG182" s="64"/>
      <c r="BH182" s="180"/>
      <c r="BI182" s="38"/>
      <c r="BJ182" s="38"/>
      <c r="BK182" s="38"/>
      <c r="BL182" s="38"/>
      <c r="BM182" s="1615"/>
      <c r="BN182" s="118"/>
      <c r="BO182" s="118"/>
      <c r="BP182" s="118">
        <f t="shared" ref="BP182:CF182" si="385">+BP181/BL181-1</f>
        <v>0.12341772151898733</v>
      </c>
      <c r="BQ182" s="1615">
        <f t="shared" si="385"/>
        <v>0.14195583596214512</v>
      </c>
      <c r="BR182" s="118">
        <f t="shared" si="385"/>
        <v>0.22913505311077387</v>
      </c>
      <c r="BS182" s="118">
        <f t="shared" si="385"/>
        <v>0.20120120120120122</v>
      </c>
      <c r="BT182" s="230">
        <f t="shared" si="385"/>
        <v>0.30140845070422539</v>
      </c>
      <c r="BU182" s="1615">
        <f t="shared" si="385"/>
        <v>0.33149171270718236</v>
      </c>
      <c r="BV182" s="118">
        <f t="shared" si="385"/>
        <v>0.22962962962962963</v>
      </c>
      <c r="BW182" s="118">
        <f t="shared" si="385"/>
        <v>0.34000000000000008</v>
      </c>
      <c r="BX182" s="230">
        <f t="shared" si="385"/>
        <v>0.18398268398268391</v>
      </c>
      <c r="BY182" s="1615">
        <f t="shared" si="385"/>
        <v>0.19917012448132776</v>
      </c>
      <c r="BZ182" s="118">
        <f t="shared" si="385"/>
        <v>0.24297188755020072</v>
      </c>
      <c r="CA182" s="118">
        <f t="shared" si="385"/>
        <v>0.30233395522388062</v>
      </c>
      <c r="CB182" s="230">
        <f t="shared" si="385"/>
        <v>-0.27605118829981723</v>
      </c>
      <c r="CC182" s="1615">
        <f t="shared" si="385"/>
        <v>-0.218946653839589</v>
      </c>
      <c r="CD182" s="118">
        <f t="shared" si="385"/>
        <v>-0.12964427422922853</v>
      </c>
      <c r="CE182" s="118">
        <f t="shared" si="385"/>
        <v>-3.7116868650394541E-2</v>
      </c>
      <c r="CF182" s="230">
        <f t="shared" si="385"/>
        <v>-5.236546886838489E-2</v>
      </c>
      <c r="CG182" s="234"/>
      <c r="CH182" s="160"/>
      <c r="CM182" s="203"/>
      <c r="CN182" s="203"/>
      <c r="CO182" s="203"/>
      <c r="CP182" s="203"/>
      <c r="CQ182" s="103"/>
      <c r="CR182" s="103"/>
      <c r="CS182" s="103"/>
      <c r="CT182" s="118"/>
      <c r="CU182" s="118">
        <f>+CU181/CT181-1</f>
        <v>0.12341772151898733</v>
      </c>
      <c r="CV182" s="118">
        <f>+CV181/CU181-1</f>
        <v>0.30140845070422539</v>
      </c>
      <c r="CW182" s="118">
        <f>+CW181/CV181-1</f>
        <v>0.18398268398268391</v>
      </c>
      <c r="CX182" s="118">
        <f>+CX181/CW181-1</f>
        <v>-0.27605118829981723</v>
      </c>
      <c r="CY182" s="118">
        <f>+CY181/CX181-1</f>
        <v>-5.236546886838489E-2</v>
      </c>
      <c r="DF182" s="234"/>
    </row>
    <row r="183" spans="1:110" ht="12.75" customHeight="1">
      <c r="A183" s="8"/>
      <c r="B183" s="23"/>
      <c r="C183" s="23"/>
      <c r="D183" s="23"/>
      <c r="E183" s="23"/>
      <c r="F183" s="23"/>
      <c r="G183" s="8"/>
      <c r="H183" s="8"/>
      <c r="I183" s="184" t="s">
        <v>293</v>
      </c>
      <c r="J183" s="70"/>
      <c r="K183" s="70"/>
      <c r="P183" s="234"/>
      <c r="T183" s="234"/>
      <c r="X183" s="234"/>
      <c r="AB183" s="234"/>
      <c r="AF183" s="249"/>
      <c r="AG183" s="203"/>
      <c r="AH183" s="203"/>
      <c r="AI183" s="203"/>
      <c r="AJ183" s="204"/>
      <c r="AK183" s="203"/>
      <c r="AL183" s="64"/>
      <c r="AM183" s="203"/>
      <c r="AN183" s="204"/>
      <c r="AO183" s="203"/>
      <c r="AP183" s="203"/>
      <c r="AQ183" s="203"/>
      <c r="AR183" s="204"/>
      <c r="AS183" s="103"/>
      <c r="AT183" s="103"/>
      <c r="AU183" s="103"/>
      <c r="AV183" s="202"/>
      <c r="AW183" s="103"/>
      <c r="AX183" s="103"/>
      <c r="AY183" s="103"/>
      <c r="AZ183" s="202"/>
      <c r="BA183" s="30"/>
      <c r="BB183" s="30"/>
      <c r="BC183" s="30"/>
      <c r="BD183" s="179"/>
      <c r="BE183" s="30"/>
      <c r="BF183" s="64"/>
      <c r="BG183" s="64"/>
      <c r="BH183" s="180"/>
      <c r="BI183" s="38"/>
      <c r="BJ183" s="38"/>
      <c r="BK183" s="38"/>
      <c r="BL183" s="38"/>
      <c r="BM183" s="220">
        <f>+BM181-BL181</f>
        <v>1000</v>
      </c>
      <c r="BN183" s="111">
        <f>+BN181-BM181</f>
        <v>12500</v>
      </c>
      <c r="BO183" s="111">
        <f>+BO181-BN181</f>
        <v>3500</v>
      </c>
      <c r="BP183" s="111">
        <f>+BP181-BO181</f>
        <v>22000</v>
      </c>
      <c r="BQ183" s="220">
        <f t="shared" ref="BQ183:CF183" si="386">+BQ181-BP181</f>
        <v>7000</v>
      </c>
      <c r="BR183" s="111">
        <f t="shared" si="386"/>
        <v>43000</v>
      </c>
      <c r="BS183" s="111">
        <f t="shared" si="386"/>
        <v>-5000</v>
      </c>
      <c r="BT183" s="222">
        <f t="shared" si="386"/>
        <v>62000</v>
      </c>
      <c r="BU183" s="220">
        <f t="shared" si="386"/>
        <v>20000</v>
      </c>
      <c r="BV183" s="111">
        <f t="shared" si="386"/>
        <v>16000</v>
      </c>
      <c r="BW183" s="111">
        <f t="shared" si="386"/>
        <v>38000</v>
      </c>
      <c r="BX183" s="222">
        <f t="shared" si="386"/>
        <v>11000</v>
      </c>
      <c r="BY183" s="220">
        <f t="shared" si="386"/>
        <v>31000</v>
      </c>
      <c r="BZ183" s="111">
        <f t="shared" si="386"/>
        <v>41000</v>
      </c>
      <c r="CA183" s="111">
        <f t="shared" si="386"/>
        <v>79051</v>
      </c>
      <c r="CB183" s="222">
        <f t="shared" si="386"/>
        <v>-302051</v>
      </c>
      <c r="CC183" s="220">
        <f t="shared" si="386"/>
        <v>55448.834080717526</v>
      </c>
      <c r="CD183" s="111">
        <f t="shared" si="386"/>
        <v>87301.360171389999</v>
      </c>
      <c r="CE183" s="111">
        <f t="shared" si="386"/>
        <v>133391.3384696159</v>
      </c>
      <c r="CF183" s="222">
        <f t="shared" si="386"/>
        <v>-296878.25839360384</v>
      </c>
      <c r="CG183" s="234"/>
      <c r="CH183" s="160"/>
      <c r="CM183" s="203"/>
      <c r="CN183" s="203"/>
      <c r="CO183" s="203"/>
      <c r="CP183" s="203"/>
      <c r="CQ183" s="103"/>
      <c r="CR183" s="103"/>
      <c r="CS183" s="103"/>
      <c r="CT183" s="111">
        <f t="shared" ref="CT183:CY183" si="387">+CT181-CS181</f>
        <v>316000</v>
      </c>
      <c r="CU183" s="111">
        <f t="shared" si="387"/>
        <v>39000</v>
      </c>
      <c r="CV183" s="111">
        <f t="shared" si="387"/>
        <v>107000</v>
      </c>
      <c r="CW183" s="111">
        <f t="shared" si="387"/>
        <v>85000</v>
      </c>
      <c r="CX183" s="111">
        <f t="shared" si="387"/>
        <v>-151000</v>
      </c>
      <c r="CY183" s="111">
        <f t="shared" si="387"/>
        <v>-20736.725671880413</v>
      </c>
      <c r="DF183" s="234"/>
    </row>
    <row r="184" spans="1:110" ht="12.75" customHeight="1">
      <c r="A184" s="8"/>
      <c r="B184" s="23"/>
      <c r="C184" s="23"/>
      <c r="D184" s="23"/>
      <c r="E184" s="23"/>
      <c r="F184" s="23"/>
      <c r="G184" s="8"/>
      <c r="H184" s="8"/>
      <c r="I184" s="184"/>
      <c r="J184" s="70"/>
      <c r="K184" s="70"/>
      <c r="P184" s="234"/>
      <c r="T184" s="234"/>
      <c r="X184" s="234"/>
      <c r="AB184" s="234"/>
      <c r="AF184" s="249"/>
      <c r="AG184" s="203"/>
      <c r="AH184" s="203"/>
      <c r="AI184" s="203"/>
      <c r="AJ184" s="204"/>
      <c r="AK184" s="203"/>
      <c r="AL184" s="64"/>
      <c r="AM184" s="203"/>
      <c r="AN184" s="204"/>
      <c r="AO184" s="203"/>
      <c r="AP184" s="203"/>
      <c r="AQ184" s="203"/>
      <c r="AR184" s="204"/>
      <c r="AS184" s="103"/>
      <c r="AT184" s="103"/>
      <c r="AU184" s="103"/>
      <c r="AV184" s="202"/>
      <c r="AW184" s="103"/>
      <c r="AX184" s="103"/>
      <c r="AY184" s="103"/>
      <c r="AZ184" s="202"/>
      <c r="BA184" s="30"/>
      <c r="BB184" s="30"/>
      <c r="BC184" s="30"/>
      <c r="BD184" s="179"/>
      <c r="BE184" s="30"/>
      <c r="BF184" s="64"/>
      <c r="BG184" s="64"/>
      <c r="BH184" s="180"/>
      <c r="BI184" s="38"/>
      <c r="BJ184" s="38"/>
      <c r="BK184" s="38"/>
      <c r="BL184" s="38"/>
      <c r="BM184" s="173"/>
      <c r="BN184" s="38"/>
      <c r="BO184" s="38"/>
      <c r="BP184" s="103"/>
      <c r="BQ184" s="265"/>
      <c r="BR184" s="103"/>
      <c r="BS184" s="103"/>
      <c r="BT184" s="202"/>
      <c r="BU184" s="265"/>
      <c r="BV184" s="103"/>
      <c r="BW184" s="103"/>
      <c r="BX184" s="202"/>
      <c r="BY184" s="223"/>
      <c r="BZ184" s="103"/>
      <c r="CA184" s="103"/>
      <c r="CB184" s="202"/>
      <c r="CC184" s="265"/>
      <c r="CD184" s="103"/>
      <c r="CE184" s="103"/>
      <c r="CF184" s="202"/>
      <c r="CG184" s="234"/>
      <c r="CH184" s="160"/>
      <c r="CM184" s="203"/>
      <c r="CN184" s="203"/>
      <c r="CO184" s="203"/>
      <c r="CP184" s="203"/>
      <c r="CQ184" s="103"/>
      <c r="CR184" s="103"/>
      <c r="CS184" s="103"/>
      <c r="CT184" s="103"/>
      <c r="CU184" s="103"/>
      <c r="CV184" s="103"/>
      <c r="CW184" s="103"/>
      <c r="CX184" s="103"/>
      <c r="CY184" s="103"/>
      <c r="DF184" s="234"/>
    </row>
    <row r="185" spans="1:110" s="8" customFormat="1" ht="12.75" customHeight="1">
      <c r="A185" s="24"/>
      <c r="B185" s="34"/>
      <c r="C185" s="34"/>
      <c r="D185" s="34"/>
      <c r="E185" s="34"/>
      <c r="F185" s="34"/>
      <c r="G185" s="24"/>
      <c r="H185" s="24"/>
      <c r="I185" s="190" t="s">
        <v>295</v>
      </c>
      <c r="J185" s="79"/>
      <c r="K185" s="79"/>
      <c r="P185" s="245"/>
      <c r="T185" s="245"/>
      <c r="X185" s="245"/>
      <c r="AB185" s="245"/>
      <c r="AC185" s="289"/>
      <c r="AD185" s="289"/>
      <c r="AE185" s="289"/>
      <c r="AF185" s="953"/>
      <c r="AG185" s="862"/>
      <c r="AH185" s="862"/>
      <c r="AI185" s="862"/>
      <c r="AJ185" s="969"/>
      <c r="AK185" s="862"/>
      <c r="AL185" s="862"/>
      <c r="AM185" s="862"/>
      <c r="AN185" s="969"/>
      <c r="AO185" s="862"/>
      <c r="AP185" s="862"/>
      <c r="AQ185" s="862"/>
      <c r="AR185" s="969"/>
      <c r="AS185" s="862"/>
      <c r="AT185" s="862"/>
      <c r="AU185" s="862"/>
      <c r="AV185" s="969"/>
      <c r="AW185" s="862"/>
      <c r="AX185" s="862"/>
      <c r="AY185" s="862"/>
      <c r="AZ185" s="969"/>
      <c r="BA185" s="862"/>
      <c r="BB185" s="862"/>
      <c r="BC185" s="862"/>
      <c r="BD185" s="969"/>
      <c r="BE185" s="112"/>
      <c r="BF185" s="112"/>
      <c r="BG185" s="112"/>
      <c r="BH185" s="214"/>
      <c r="BI185" s="112"/>
      <c r="BJ185" s="112"/>
      <c r="BK185" s="112"/>
      <c r="BL185" s="1845">
        <v>110000</v>
      </c>
      <c r="BM185" s="1846">
        <v>145000</v>
      </c>
      <c r="BN185" s="1845">
        <v>193500</v>
      </c>
      <c r="BO185" s="1845">
        <v>207000</v>
      </c>
      <c r="BP185" s="1845">
        <v>247000</v>
      </c>
      <c r="BQ185" s="1846">
        <v>275000</v>
      </c>
      <c r="BR185" s="1845">
        <v>337000</v>
      </c>
      <c r="BS185" s="1845">
        <v>350000</v>
      </c>
      <c r="BT185" s="1929">
        <v>390000</v>
      </c>
      <c r="BU185" s="1846">
        <v>397500</v>
      </c>
      <c r="BV185" s="1845">
        <v>467000</v>
      </c>
      <c r="BW185" s="1845">
        <v>529000</v>
      </c>
      <c r="BX185" s="1929">
        <v>568000</v>
      </c>
      <c r="BY185" s="1846">
        <v>613000</v>
      </c>
      <c r="BZ185" s="1845">
        <v>721000</v>
      </c>
      <c r="CA185" s="1845">
        <v>816000</v>
      </c>
      <c r="CB185" s="1929">
        <v>1190000</v>
      </c>
      <c r="CC185" s="223">
        <f>+CB185+CC189</f>
        <v>1237250</v>
      </c>
      <c r="CD185" s="112">
        <f>+CC185+CD189</f>
        <v>1350650</v>
      </c>
      <c r="CE185" s="112">
        <f>+CD185+CE189</f>
        <v>1450400</v>
      </c>
      <c r="CF185" s="214">
        <f>+CE185+CF189</f>
        <v>1843100</v>
      </c>
      <c r="CG185" s="245"/>
      <c r="CH185" s="178"/>
      <c r="CM185" s="112"/>
      <c r="CN185" s="112"/>
      <c r="CO185" s="112"/>
      <c r="CP185" s="112"/>
      <c r="CQ185" s="112"/>
      <c r="CR185" s="112"/>
      <c r="CS185" s="104"/>
      <c r="CT185" s="112">
        <f>+BL185</f>
        <v>110000</v>
      </c>
      <c r="CU185" s="112">
        <f>+BP185</f>
        <v>247000</v>
      </c>
      <c r="CV185" s="112">
        <f>+BT185</f>
        <v>390000</v>
      </c>
      <c r="CW185" s="112">
        <f>+BX185</f>
        <v>568000</v>
      </c>
      <c r="CX185" s="112">
        <f>+CB185</f>
        <v>1190000</v>
      </c>
      <c r="CY185" s="112">
        <f>+CF185</f>
        <v>1843100</v>
      </c>
      <c r="DF185" s="245"/>
    </row>
    <row r="186" spans="1:110" ht="12.75" customHeight="1">
      <c r="I186" s="184" t="s">
        <v>376</v>
      </c>
      <c r="J186" s="70"/>
      <c r="K186" s="70"/>
      <c r="P186" s="234"/>
      <c r="T186" s="234"/>
      <c r="X186" s="234"/>
      <c r="AB186" s="234"/>
      <c r="AF186" s="249"/>
      <c r="AG186" s="203"/>
      <c r="AH186" s="203"/>
      <c r="AI186" s="203"/>
      <c r="AJ186" s="204"/>
      <c r="AK186" s="203"/>
      <c r="AL186" s="64"/>
      <c r="AM186" s="203"/>
      <c r="AN186" s="204"/>
      <c r="AO186" s="203"/>
      <c r="AP186" s="203"/>
      <c r="AQ186" s="203"/>
      <c r="AR186" s="204"/>
      <c r="AS186" s="103"/>
      <c r="AT186" s="103"/>
      <c r="AU186" s="103"/>
      <c r="AV186" s="202"/>
      <c r="AW186" s="103"/>
      <c r="AX186" s="103"/>
      <c r="AY186" s="103"/>
      <c r="AZ186" s="202"/>
      <c r="BA186" s="30"/>
      <c r="BB186" s="30"/>
      <c r="BC186" s="30"/>
      <c r="BD186" s="179"/>
      <c r="BE186" s="30"/>
      <c r="BF186" s="64"/>
      <c r="BG186" s="64"/>
      <c r="BH186" s="180"/>
      <c r="BI186" s="38"/>
      <c r="BJ186" s="38"/>
      <c r="BK186" s="38"/>
      <c r="BL186" s="38"/>
      <c r="BM186" s="173"/>
      <c r="BN186" s="38"/>
      <c r="BO186" s="38"/>
      <c r="BP186" s="1665">
        <f t="shared" ref="BP186:CF186" si="388">+BP185/BL185-1</f>
        <v>1.2454545454545456</v>
      </c>
      <c r="BQ186" s="1718">
        <f t="shared" si="388"/>
        <v>0.89655172413793105</v>
      </c>
      <c r="BR186" s="1665">
        <f t="shared" si="388"/>
        <v>0.74160206718346244</v>
      </c>
      <c r="BS186" s="1665">
        <f t="shared" si="388"/>
        <v>0.6908212560386473</v>
      </c>
      <c r="BT186" s="1862">
        <f t="shared" si="388"/>
        <v>0.57894736842105265</v>
      </c>
      <c r="BU186" s="1718">
        <f t="shared" si="388"/>
        <v>0.44545454545454555</v>
      </c>
      <c r="BV186" s="1665">
        <f t="shared" si="388"/>
        <v>0.3857566765578635</v>
      </c>
      <c r="BW186" s="1665">
        <f t="shared" si="388"/>
        <v>0.51142857142857134</v>
      </c>
      <c r="BX186" s="1862">
        <f t="shared" si="388"/>
        <v>0.45641025641025634</v>
      </c>
      <c r="BY186" s="1718">
        <f t="shared" si="388"/>
        <v>0.54213836477987432</v>
      </c>
      <c r="BZ186" s="1665">
        <f t="shared" si="388"/>
        <v>0.54389721627409005</v>
      </c>
      <c r="CA186" s="1665">
        <f t="shared" si="388"/>
        <v>0.54253308128544431</v>
      </c>
      <c r="CB186" s="1862">
        <f t="shared" si="388"/>
        <v>1.0950704225352115</v>
      </c>
      <c r="CC186" s="1718">
        <f t="shared" si="388"/>
        <v>1.0183523654159869</v>
      </c>
      <c r="CD186" s="1665">
        <f t="shared" si="388"/>
        <v>0.87330097087378644</v>
      </c>
      <c r="CE186" s="1665">
        <f t="shared" si="388"/>
        <v>0.77745098039215677</v>
      </c>
      <c r="CF186" s="1862">
        <f t="shared" si="388"/>
        <v>0.54882352941176471</v>
      </c>
      <c r="CG186" s="234"/>
      <c r="CH186" s="160"/>
      <c r="CM186" s="203"/>
      <c r="CN186" s="203"/>
      <c r="CO186" s="203"/>
      <c r="CP186" s="203"/>
      <c r="CQ186" s="103"/>
      <c r="CR186" s="103"/>
      <c r="CS186" s="103"/>
      <c r="CT186" s="103"/>
      <c r="CU186" s="1665">
        <f>+CU185/CT185-1</f>
        <v>1.2454545454545456</v>
      </c>
      <c r="CV186" s="1665">
        <f>+CV185/CU185-1</f>
        <v>0.57894736842105265</v>
      </c>
      <c r="CW186" s="1665">
        <f>+CW185/CV185-1</f>
        <v>0.45641025641025634</v>
      </c>
      <c r="CX186" s="1665">
        <f>+CX185/CW185-1</f>
        <v>1.0950704225352115</v>
      </c>
      <c r="CY186" s="1665">
        <f>+CY185/CX185-1</f>
        <v>0.54882352941176471</v>
      </c>
      <c r="DF186" s="234"/>
    </row>
    <row r="187" spans="1:110" ht="12.75" customHeight="1">
      <c r="I187" s="184" t="s">
        <v>661</v>
      </c>
      <c r="J187" s="70"/>
      <c r="K187" s="70"/>
      <c r="P187" s="234"/>
      <c r="T187" s="234"/>
      <c r="X187" s="234"/>
      <c r="AB187" s="234"/>
      <c r="AF187" s="249"/>
      <c r="AG187" s="203"/>
      <c r="AH187" s="203"/>
      <c r="AI187" s="203"/>
      <c r="AJ187" s="204"/>
      <c r="AK187" s="203"/>
      <c r="AL187" s="64"/>
      <c r="AM187" s="203"/>
      <c r="AN187" s="204"/>
      <c r="AO187" s="203"/>
      <c r="AP187" s="203"/>
      <c r="AQ187" s="203"/>
      <c r="AR187" s="204"/>
      <c r="AS187" s="103"/>
      <c r="AT187" s="103"/>
      <c r="AU187" s="103"/>
      <c r="AV187" s="202"/>
      <c r="AW187" s="103"/>
      <c r="AX187" s="103"/>
      <c r="AY187" s="103"/>
      <c r="AZ187" s="202"/>
      <c r="BA187" s="30"/>
      <c r="BB187" s="30"/>
      <c r="BC187" s="30"/>
      <c r="BD187" s="179"/>
      <c r="BE187" s="30"/>
      <c r="BF187" s="64"/>
      <c r="BG187" s="64"/>
      <c r="BH187" s="180"/>
      <c r="BI187" s="38"/>
      <c r="BJ187" s="38"/>
      <c r="BK187" s="38"/>
      <c r="BL187" s="38"/>
      <c r="BM187" s="173"/>
      <c r="BN187" s="38"/>
      <c r="BO187" s="38"/>
      <c r="BP187" s="1193">
        <f t="shared" ref="BP187:CF187" si="389">+BP185-BL185</f>
        <v>137000</v>
      </c>
      <c r="BQ187" s="1748">
        <f t="shared" si="389"/>
        <v>130000</v>
      </c>
      <c r="BR187" s="1193">
        <f t="shared" si="389"/>
        <v>143500</v>
      </c>
      <c r="BS187" s="1193">
        <f t="shared" si="389"/>
        <v>143000</v>
      </c>
      <c r="BT187" s="1452">
        <f t="shared" si="389"/>
        <v>143000</v>
      </c>
      <c r="BU187" s="1748">
        <f t="shared" si="389"/>
        <v>122500</v>
      </c>
      <c r="BV187" s="1193">
        <f t="shared" si="389"/>
        <v>130000</v>
      </c>
      <c r="BW187" s="1193">
        <f t="shared" si="389"/>
        <v>179000</v>
      </c>
      <c r="BX187" s="1452">
        <f t="shared" si="389"/>
        <v>178000</v>
      </c>
      <c r="BY187" s="1748">
        <f t="shared" si="389"/>
        <v>215500</v>
      </c>
      <c r="BZ187" s="1193">
        <f t="shared" si="389"/>
        <v>254000</v>
      </c>
      <c r="CA187" s="1193">
        <f t="shared" si="389"/>
        <v>287000</v>
      </c>
      <c r="CB187" s="1452">
        <f t="shared" si="389"/>
        <v>622000</v>
      </c>
      <c r="CC187" s="1748">
        <f t="shared" si="389"/>
        <v>624250</v>
      </c>
      <c r="CD187" s="1193">
        <f t="shared" si="389"/>
        <v>629650</v>
      </c>
      <c r="CE187" s="1193">
        <f t="shared" si="389"/>
        <v>634400</v>
      </c>
      <c r="CF187" s="1452">
        <f t="shared" si="389"/>
        <v>653100</v>
      </c>
      <c r="CG187" s="234"/>
      <c r="CH187" s="160"/>
      <c r="CM187" s="203"/>
      <c r="CN187" s="203"/>
      <c r="CO187" s="203"/>
      <c r="CP187" s="203"/>
      <c r="CQ187" s="103"/>
      <c r="CR187" s="103"/>
      <c r="CS187" s="103"/>
      <c r="CT187" s="103"/>
      <c r="CU187" s="1193">
        <f>+CU185-CT185</f>
        <v>137000</v>
      </c>
      <c r="CV187" s="1193">
        <f>+CV185-CU185</f>
        <v>143000</v>
      </c>
      <c r="CW187" s="1193">
        <f>+CW185-CV185</f>
        <v>178000</v>
      </c>
      <c r="CX187" s="1193">
        <f>+CX185-CW185</f>
        <v>622000</v>
      </c>
      <c r="CY187" s="1193">
        <f>+CY185-CX185</f>
        <v>653100</v>
      </c>
      <c r="DF187" s="234"/>
    </row>
    <row r="188" spans="1:110" ht="12.75" customHeight="1">
      <c r="B188" s="34"/>
      <c r="C188" s="34"/>
      <c r="D188" s="34"/>
      <c r="E188" s="34"/>
      <c r="H188" s="34"/>
      <c r="I188" s="184" t="s">
        <v>292</v>
      </c>
      <c r="J188" s="69"/>
      <c r="K188" s="69"/>
      <c r="P188" s="234"/>
      <c r="T188" s="234"/>
      <c r="X188" s="234"/>
      <c r="AB188" s="234"/>
      <c r="AF188" s="249"/>
      <c r="AG188" s="203"/>
      <c r="AH188" s="203"/>
      <c r="AI188" s="203"/>
      <c r="AJ188" s="204"/>
      <c r="AK188" s="203"/>
      <c r="AL188" s="64"/>
      <c r="AM188" s="203"/>
      <c r="AN188" s="204"/>
      <c r="AO188" s="203"/>
      <c r="AP188" s="203"/>
      <c r="AQ188" s="203"/>
      <c r="AR188" s="204"/>
      <c r="AS188" s="103"/>
      <c r="AT188" s="103"/>
      <c r="AU188" s="103"/>
      <c r="AV188" s="202"/>
      <c r="AW188" s="103"/>
      <c r="AX188" s="103"/>
      <c r="AY188" s="103"/>
      <c r="AZ188" s="202"/>
      <c r="BA188" s="30"/>
      <c r="BB188" s="30"/>
      <c r="BC188" s="30"/>
      <c r="BD188" s="179"/>
      <c r="BE188" s="30"/>
      <c r="BF188" s="64"/>
      <c r="BG188" s="64"/>
      <c r="BH188" s="180"/>
      <c r="BI188" s="38"/>
      <c r="BJ188" s="38"/>
      <c r="BK188" s="38"/>
      <c r="BL188" s="38"/>
      <c r="BM188" s="1615">
        <f t="shared" ref="BM188:BT188" si="390">+BM185/BL185-1</f>
        <v>0.31818181818181812</v>
      </c>
      <c r="BN188" s="118">
        <f t="shared" si="390"/>
        <v>0.33448275862068955</v>
      </c>
      <c r="BO188" s="118">
        <f t="shared" si="390"/>
        <v>6.9767441860465018E-2</v>
      </c>
      <c r="BP188" s="230">
        <f t="shared" si="390"/>
        <v>0.19323671497584538</v>
      </c>
      <c r="BQ188" s="1615">
        <f t="shared" si="390"/>
        <v>0.11336032388663964</v>
      </c>
      <c r="BR188" s="118">
        <f t="shared" si="390"/>
        <v>0.22545454545454535</v>
      </c>
      <c r="BS188" s="118">
        <f t="shared" si="390"/>
        <v>3.8575667655786461E-2</v>
      </c>
      <c r="BT188" s="230">
        <f t="shared" si="390"/>
        <v>0.11428571428571432</v>
      </c>
      <c r="BU188" s="1615">
        <f t="shared" ref="BU188:CF188" si="391">+BU185/BT185-1</f>
        <v>1.9230769230769162E-2</v>
      </c>
      <c r="BV188" s="118">
        <f t="shared" si="391"/>
        <v>0.17484276729559745</v>
      </c>
      <c r="BW188" s="118">
        <f t="shared" si="391"/>
        <v>0.13276231263383287</v>
      </c>
      <c r="BX188" s="230">
        <f t="shared" si="391"/>
        <v>7.3724007561436711E-2</v>
      </c>
      <c r="BY188" s="1615">
        <f t="shared" si="391"/>
        <v>7.9225352112676006E-2</v>
      </c>
      <c r="BZ188" s="118">
        <f t="shared" si="391"/>
        <v>0.1761827079934748</v>
      </c>
      <c r="CA188" s="118">
        <f t="shared" si="391"/>
        <v>0.13176144244105403</v>
      </c>
      <c r="CB188" s="230">
        <f t="shared" si="391"/>
        <v>0.45833333333333326</v>
      </c>
      <c r="CC188" s="1615">
        <f t="shared" si="391"/>
        <v>3.9705882352941257E-2</v>
      </c>
      <c r="CD188" s="118">
        <f t="shared" si="391"/>
        <v>9.1654879773691578E-2</v>
      </c>
      <c r="CE188" s="118">
        <f t="shared" si="391"/>
        <v>7.3853329878206697E-2</v>
      </c>
      <c r="CF188" s="230">
        <f t="shared" si="391"/>
        <v>0.27075289575289574</v>
      </c>
      <c r="CG188" s="234"/>
      <c r="CH188" s="160"/>
      <c r="CM188" s="203"/>
      <c r="CN188" s="203"/>
      <c r="CO188" s="203"/>
      <c r="CP188" s="203"/>
      <c r="CQ188" s="103"/>
      <c r="CR188" s="103"/>
      <c r="CS188" s="103"/>
      <c r="CT188" s="103"/>
      <c r="CU188" s="103"/>
      <c r="CV188" s="103"/>
      <c r="CW188" s="103"/>
      <c r="CX188" s="103"/>
      <c r="CY188" s="103"/>
      <c r="DF188" s="234"/>
    </row>
    <row r="189" spans="1:110" ht="12.75" customHeight="1">
      <c r="I189" s="184" t="s">
        <v>293</v>
      </c>
      <c r="J189" s="70"/>
      <c r="K189" s="70"/>
      <c r="P189" s="234"/>
      <c r="T189" s="234"/>
      <c r="X189" s="234"/>
      <c r="AB189" s="234"/>
      <c r="AF189" s="249"/>
      <c r="AG189" s="1212"/>
      <c r="AH189" s="1212"/>
      <c r="AI189" s="1212"/>
      <c r="AJ189" s="1392"/>
      <c r="AK189" s="1212"/>
      <c r="AL189" s="1199"/>
      <c r="AM189" s="1212"/>
      <c r="AN189" s="1392"/>
      <c r="AO189" s="1212"/>
      <c r="AP189" s="1212"/>
      <c r="AQ189" s="1212"/>
      <c r="AR189" s="1392"/>
      <c r="AS189" s="1217"/>
      <c r="AT189" s="1217"/>
      <c r="AU189" s="1217"/>
      <c r="AV189" s="1218"/>
      <c r="AW189" s="1217"/>
      <c r="AX189" s="1217"/>
      <c r="AY189" s="1217"/>
      <c r="AZ189" s="1218"/>
      <c r="BA189" s="1217"/>
      <c r="BB189" s="1217"/>
      <c r="BC189" s="1217"/>
      <c r="BD189" s="1218"/>
      <c r="BE189" s="1217"/>
      <c r="BF189" s="1199"/>
      <c r="BG189" s="1199"/>
      <c r="BH189" s="1200"/>
      <c r="BI189" s="684"/>
      <c r="BJ189" s="684"/>
      <c r="BK189" s="684"/>
      <c r="BL189" s="684"/>
      <c r="BM189" s="1617">
        <f t="shared" ref="BM189:CA189" si="392">+BM185-BL185</f>
        <v>35000</v>
      </c>
      <c r="BN189" s="1217">
        <f t="shared" si="392"/>
        <v>48500</v>
      </c>
      <c r="BO189" s="1217">
        <f t="shared" si="392"/>
        <v>13500</v>
      </c>
      <c r="BP189" s="1218">
        <f t="shared" si="392"/>
        <v>40000</v>
      </c>
      <c r="BQ189" s="1617">
        <f t="shared" si="392"/>
        <v>28000</v>
      </c>
      <c r="BR189" s="1217">
        <f t="shared" si="392"/>
        <v>62000</v>
      </c>
      <c r="BS189" s="1217">
        <f t="shared" si="392"/>
        <v>13000</v>
      </c>
      <c r="BT189" s="1218">
        <f t="shared" si="392"/>
        <v>40000</v>
      </c>
      <c r="BU189" s="1617">
        <f t="shared" si="392"/>
        <v>7500</v>
      </c>
      <c r="BV189" s="1217">
        <f t="shared" si="392"/>
        <v>69500</v>
      </c>
      <c r="BW189" s="1217">
        <f t="shared" si="392"/>
        <v>62000</v>
      </c>
      <c r="BX189" s="1218">
        <f>+BX185-BW185</f>
        <v>39000</v>
      </c>
      <c r="BY189" s="1617">
        <f t="shared" si="392"/>
        <v>45000</v>
      </c>
      <c r="BZ189" s="1217">
        <f t="shared" si="392"/>
        <v>108000</v>
      </c>
      <c r="CA189" s="1217">
        <f t="shared" si="392"/>
        <v>95000</v>
      </c>
      <c r="CB189" s="1218">
        <f>+CB185-CA185</f>
        <v>374000</v>
      </c>
      <c r="CC189" s="1980">
        <f>+BY189*1.05</f>
        <v>47250</v>
      </c>
      <c r="CD189" s="1978">
        <f>+BZ189*1.05</f>
        <v>113400</v>
      </c>
      <c r="CE189" s="1978">
        <f>+CA189*1.05</f>
        <v>99750</v>
      </c>
      <c r="CF189" s="1979">
        <f>+CB189*1.05</f>
        <v>392700</v>
      </c>
      <c r="CG189" s="234"/>
      <c r="CH189" s="160"/>
      <c r="CM189" s="1212"/>
      <c r="CN189" s="1212"/>
      <c r="CO189" s="1212"/>
      <c r="CP189" s="1212"/>
      <c r="CQ189" s="1217"/>
      <c r="CR189" s="1217"/>
      <c r="CS189" s="1217"/>
      <c r="CT189" s="1217"/>
      <c r="CU189" s="1217"/>
      <c r="CV189" s="1217"/>
      <c r="CW189" s="1217"/>
      <c r="CX189" s="1217"/>
      <c r="CY189" s="1217"/>
      <c r="DF189" s="234"/>
    </row>
    <row r="190" spans="1:110" ht="12.75" customHeight="1">
      <c r="I190" s="184" t="s">
        <v>178</v>
      </c>
      <c r="J190" s="70"/>
      <c r="K190" s="70"/>
      <c r="P190" s="234"/>
      <c r="T190" s="234"/>
      <c r="X190" s="234"/>
      <c r="AB190" s="234"/>
      <c r="AF190" s="249"/>
      <c r="AG190" s="1212"/>
      <c r="AH190" s="1212"/>
      <c r="AI190" s="1212"/>
      <c r="AJ190" s="1392"/>
      <c r="AK190" s="1212"/>
      <c r="AL190" s="1199"/>
      <c r="AM190" s="1212"/>
      <c r="AN190" s="1392"/>
      <c r="AO190" s="1212"/>
      <c r="AP190" s="1212"/>
      <c r="AQ190" s="1212"/>
      <c r="AR190" s="1392"/>
      <c r="AS190" s="1217"/>
      <c r="AT190" s="1217"/>
      <c r="AU190" s="1217"/>
      <c r="AV190" s="1218"/>
      <c r="AW190" s="1217"/>
      <c r="AX190" s="1217"/>
      <c r="AY190" s="1217"/>
      <c r="AZ190" s="1218"/>
      <c r="BA190" s="1217"/>
      <c r="BB190" s="1217"/>
      <c r="BC190" s="1217"/>
      <c r="BD190" s="1218"/>
      <c r="BE190" s="1217"/>
      <c r="BF190" s="1199"/>
      <c r="BG190" s="1199"/>
      <c r="BH190" s="1200"/>
      <c r="BI190" s="684"/>
      <c r="BJ190" s="684"/>
      <c r="BK190" s="684"/>
      <c r="BL190" s="684"/>
      <c r="BM190" s="1718">
        <f>+BM189/$CU$187</f>
        <v>0.25547445255474455</v>
      </c>
      <c r="BN190" s="1665">
        <f>+BN189/$CU$187</f>
        <v>0.354014598540146</v>
      </c>
      <c r="BO190" s="1665">
        <f>+BO189/$CU$187</f>
        <v>9.8540145985401464E-2</v>
      </c>
      <c r="BP190" s="1665">
        <f>+BP189/$CU$187</f>
        <v>0.29197080291970801</v>
      </c>
      <c r="BQ190" s="1718">
        <f>+BQ189/$CV$187</f>
        <v>0.19580419580419581</v>
      </c>
      <c r="BR190" s="1665">
        <f>+BR189/$CV$187</f>
        <v>0.43356643356643354</v>
      </c>
      <c r="BS190" s="1665">
        <f>+BS189/$CV$187</f>
        <v>9.0909090909090912E-2</v>
      </c>
      <c r="BT190" s="1862">
        <f>+BT189/$CV$187</f>
        <v>0.27972027972027974</v>
      </c>
      <c r="BU190" s="1718">
        <f t="shared" ref="BU190:CF190" si="393">+BU189/$CW$187</f>
        <v>4.2134831460674156E-2</v>
      </c>
      <c r="BV190" s="1665">
        <f t="shared" si="393"/>
        <v>0.3904494382022472</v>
      </c>
      <c r="BW190" s="1665">
        <f t="shared" si="393"/>
        <v>0.34831460674157305</v>
      </c>
      <c r="BX190" s="1862">
        <f t="shared" si="393"/>
        <v>0.21910112359550563</v>
      </c>
      <c r="BY190" s="1718">
        <f>+BY189/$CW$187</f>
        <v>0.25280898876404495</v>
      </c>
      <c r="BZ190" s="1665">
        <f t="shared" si="393"/>
        <v>0.6067415730337079</v>
      </c>
      <c r="CA190" s="1665">
        <f t="shared" si="393"/>
        <v>0.5337078651685393</v>
      </c>
      <c r="CB190" s="1862">
        <f t="shared" si="393"/>
        <v>2.101123595505618</v>
      </c>
      <c r="CC190" s="1718">
        <f t="shared" si="393"/>
        <v>0.2654494382022472</v>
      </c>
      <c r="CD190" s="1665">
        <f t="shared" si="393"/>
        <v>0.63707865168539324</v>
      </c>
      <c r="CE190" s="1665">
        <f t="shared" si="393"/>
        <v>0.5603932584269663</v>
      </c>
      <c r="CF190" s="1862">
        <f t="shared" si="393"/>
        <v>2.2061797752808987</v>
      </c>
      <c r="CG190" s="234"/>
      <c r="CH190" s="160"/>
      <c r="CM190" s="1212"/>
      <c r="CN190" s="1212"/>
      <c r="CO190" s="1212"/>
      <c r="CP190" s="1212"/>
      <c r="CQ190" s="1217"/>
      <c r="CR190" s="1217"/>
      <c r="CS190" s="1217"/>
      <c r="CT190" s="1217"/>
      <c r="CU190" s="1217"/>
      <c r="CV190" s="1217"/>
      <c r="CW190" s="1217"/>
      <c r="CX190" s="1217"/>
      <c r="CY190" s="1217"/>
      <c r="DF190" s="234"/>
    </row>
    <row r="191" spans="1:110" ht="12.75" customHeight="1">
      <c r="I191" s="184" t="s">
        <v>700</v>
      </c>
      <c r="J191" s="70"/>
      <c r="K191" s="70"/>
      <c r="P191" s="234"/>
      <c r="T191" s="234"/>
      <c r="X191" s="234"/>
      <c r="AB191" s="234"/>
      <c r="AF191" s="249"/>
      <c r="AG191" s="1212"/>
      <c r="AH191" s="1212"/>
      <c r="AI191" s="1212"/>
      <c r="AJ191" s="1392"/>
      <c r="AK191" s="1212"/>
      <c r="AL191" s="1199"/>
      <c r="AM191" s="1212"/>
      <c r="AN191" s="1392"/>
      <c r="AO191" s="1212"/>
      <c r="AP191" s="1212"/>
      <c r="AQ191" s="1212"/>
      <c r="AR191" s="1392"/>
      <c r="AS191" s="1217"/>
      <c r="AT191" s="1217"/>
      <c r="AU191" s="1217"/>
      <c r="AV191" s="1218"/>
      <c r="AW191" s="1217"/>
      <c r="AX191" s="1217"/>
      <c r="AY191" s="1217"/>
      <c r="AZ191" s="1218"/>
      <c r="BA191" s="1217"/>
      <c r="BB191" s="1217"/>
      <c r="BC191" s="1217"/>
      <c r="BD191" s="1218"/>
      <c r="BE191" s="1217"/>
      <c r="BF191" s="1199"/>
      <c r="BG191" s="1199"/>
      <c r="BH191" s="1200"/>
      <c r="BI191" s="684"/>
      <c r="BJ191" s="684"/>
      <c r="BK191" s="684"/>
      <c r="BL191" s="1248">
        <f>+BL185/BL170</f>
        <v>0.25821596244131456</v>
      </c>
      <c r="BM191" s="1925">
        <f t="shared" ref="BM191:CF191" si="394">+BM185/BM170</f>
        <v>0.31385281385281383</v>
      </c>
      <c r="BN191" s="1248">
        <f t="shared" si="394"/>
        <v>0.36998087954110898</v>
      </c>
      <c r="BO191" s="1248">
        <f t="shared" si="394"/>
        <v>0.38333333333333336</v>
      </c>
      <c r="BP191" s="1248">
        <f t="shared" si="394"/>
        <v>0.41029900332225916</v>
      </c>
      <c r="BQ191" s="1925">
        <f t="shared" si="394"/>
        <v>0.43171114599686028</v>
      </c>
      <c r="BR191" s="1248">
        <f t="shared" si="394"/>
        <v>0.45417789757412397</v>
      </c>
      <c r="BS191" s="1248">
        <f t="shared" si="394"/>
        <v>0.46666666666666667</v>
      </c>
      <c r="BT191" s="1248">
        <f t="shared" si="394"/>
        <v>0.45774647887323944</v>
      </c>
      <c r="BU191" s="1925">
        <f t="shared" si="394"/>
        <v>0.45196134167140423</v>
      </c>
      <c r="BV191" s="1248">
        <f t="shared" si="394"/>
        <v>0.48393782383419687</v>
      </c>
      <c r="BW191" s="1248">
        <f t="shared" si="394"/>
        <v>0.49671361502347416</v>
      </c>
      <c r="BX191" s="1248">
        <f t="shared" si="394"/>
        <v>0.50941704035874436</v>
      </c>
      <c r="BY191" s="1925">
        <f>+BY185/BY170</f>
        <v>0.5146935348446684</v>
      </c>
      <c r="BZ191" s="1248">
        <f t="shared" si="394"/>
        <v>0.53805970149253735</v>
      </c>
      <c r="CA191" s="1248">
        <f t="shared" si="394"/>
        <v>0.53895146200491262</v>
      </c>
      <c r="CB191" s="1981">
        <f t="shared" si="394"/>
        <v>0.75031525851197978</v>
      </c>
      <c r="CC191" s="1925">
        <f t="shared" si="394"/>
        <v>0.7326646853957981</v>
      </c>
      <c r="CD191" s="1248">
        <f t="shared" si="394"/>
        <v>0.71485649472722523</v>
      </c>
      <c r="CE191" s="1248">
        <f t="shared" si="394"/>
        <v>0.68333174057619495</v>
      </c>
      <c r="CF191" s="1981">
        <f t="shared" si="394"/>
        <v>0.83083777185151231</v>
      </c>
      <c r="CG191" s="234"/>
      <c r="CH191" s="160"/>
      <c r="CM191" s="1212"/>
      <c r="CN191" s="1212"/>
      <c r="CO191" s="1212"/>
      <c r="CP191" s="1212"/>
      <c r="CQ191" s="1217"/>
      <c r="CR191" s="1217"/>
      <c r="CS191" s="1217"/>
      <c r="CT191" s="1248">
        <f t="shared" ref="CT191:CY191" si="395">+CT185/CT170</f>
        <v>0.25821596244131456</v>
      </c>
      <c r="CU191" s="1248">
        <f t="shared" si="395"/>
        <v>0.41029900332225916</v>
      </c>
      <c r="CV191" s="1248">
        <f t="shared" si="395"/>
        <v>0.45774647887323944</v>
      </c>
      <c r="CW191" s="1248">
        <f t="shared" si="395"/>
        <v>0.50941704035874436</v>
      </c>
      <c r="CX191" s="1248">
        <f t="shared" si="395"/>
        <v>0.75031525851197978</v>
      </c>
      <c r="CY191" s="1248">
        <f t="shared" si="395"/>
        <v>0.83083777185151231</v>
      </c>
      <c r="DF191" s="234"/>
    </row>
    <row r="192" spans="1:110" ht="12.75" customHeight="1">
      <c r="I192" s="184"/>
      <c r="J192" s="70"/>
      <c r="K192" s="70"/>
      <c r="P192" s="234"/>
      <c r="T192" s="234"/>
      <c r="X192" s="234"/>
      <c r="AB192" s="234"/>
      <c r="AF192" s="249"/>
      <c r="AG192" s="1212"/>
      <c r="AH192" s="1212"/>
      <c r="AI192" s="1212"/>
      <c r="AJ192" s="1392"/>
      <c r="AK192" s="1212"/>
      <c r="AL192" s="1199"/>
      <c r="AM192" s="1212"/>
      <c r="AN192" s="1392"/>
      <c r="AO192" s="1212"/>
      <c r="AP192" s="1212"/>
      <c r="AQ192" s="1212"/>
      <c r="AR192" s="1392"/>
      <c r="AS192" s="1217"/>
      <c r="AT192" s="1217"/>
      <c r="AU192" s="1217"/>
      <c r="AV192" s="1218"/>
      <c r="AW192" s="1217"/>
      <c r="AX192" s="1217"/>
      <c r="AY192" s="1217"/>
      <c r="AZ192" s="1218"/>
      <c r="BA192" s="1217"/>
      <c r="BB192" s="1217"/>
      <c r="BC192" s="1217"/>
      <c r="BD192" s="1218"/>
      <c r="BE192" s="1217"/>
      <c r="BF192" s="1199"/>
      <c r="BG192" s="1199"/>
      <c r="BH192" s="1200"/>
      <c r="BI192" s="684"/>
      <c r="BJ192" s="684"/>
      <c r="BK192" s="684"/>
      <c r="BL192" s="1248"/>
      <c r="BM192" s="1925"/>
      <c r="BN192" s="1248"/>
      <c r="BO192" s="1248"/>
      <c r="BP192" s="1248"/>
      <c r="BQ192" s="1925"/>
      <c r="BR192" s="1248"/>
      <c r="BS192" s="1248"/>
      <c r="BT192" s="1248"/>
      <c r="BU192" s="1925"/>
      <c r="BV192" s="1248"/>
      <c r="BW192" s="1248"/>
      <c r="BX192" s="1248"/>
      <c r="BY192" s="1925"/>
      <c r="BZ192" s="1248"/>
      <c r="CA192" s="1248"/>
      <c r="CB192" s="1981"/>
      <c r="CC192" s="1925"/>
      <c r="CD192" s="1248"/>
      <c r="CE192" s="1248"/>
      <c r="CF192" s="1981"/>
      <c r="CG192" s="234"/>
      <c r="CH192" s="160"/>
      <c r="CM192" s="1212"/>
      <c r="CN192" s="1212"/>
      <c r="CO192" s="1212"/>
      <c r="CP192" s="1212"/>
      <c r="CQ192" s="1217"/>
      <c r="CR192" s="1217"/>
      <c r="CS192" s="1217"/>
      <c r="CT192" s="1248"/>
      <c r="CU192" s="1248"/>
      <c r="CV192" s="1248"/>
      <c r="CW192" s="1248"/>
      <c r="CX192" s="1248"/>
      <c r="CY192" s="1248"/>
      <c r="DF192" s="234"/>
    </row>
    <row r="193" spans="1:110" s="8" customFormat="1" ht="12.75" customHeight="1">
      <c r="I193" s="190" t="s">
        <v>725</v>
      </c>
      <c r="J193" s="7"/>
      <c r="K193" s="7"/>
      <c r="P193" s="245"/>
      <c r="T193" s="245"/>
      <c r="X193" s="245"/>
      <c r="AB193" s="245"/>
      <c r="AC193" s="289"/>
      <c r="AD193" s="289"/>
      <c r="AE193" s="289"/>
      <c r="AF193" s="953"/>
      <c r="AG193" s="719"/>
      <c r="AH193" s="719"/>
      <c r="AI193" s="719"/>
      <c r="AJ193" s="729"/>
      <c r="AK193" s="719"/>
      <c r="AL193" s="721"/>
      <c r="AM193" s="719"/>
      <c r="AN193" s="729"/>
      <c r="AO193" s="719"/>
      <c r="AP193" s="719"/>
      <c r="AQ193" s="719"/>
      <c r="AR193" s="729"/>
      <c r="AS193" s="103"/>
      <c r="AT193" s="103"/>
      <c r="AU193" s="103"/>
      <c r="AV193" s="202"/>
      <c r="AW193" s="103"/>
      <c r="AX193" s="103"/>
      <c r="AY193" s="103"/>
      <c r="AZ193" s="202"/>
      <c r="BA193" s="103"/>
      <c r="BB193" s="103"/>
      <c r="BC193" s="103"/>
      <c r="BD193" s="202"/>
      <c r="BE193" s="103"/>
      <c r="BF193" s="721"/>
      <c r="BG193" s="721"/>
      <c r="BH193" s="731"/>
      <c r="BI193" s="62"/>
      <c r="BJ193" s="62"/>
      <c r="BK193" s="62"/>
      <c r="BL193" s="2016"/>
      <c r="BM193" s="2017"/>
      <c r="BN193" s="2016"/>
      <c r="BO193" s="2016"/>
      <c r="BP193" s="2016"/>
      <c r="BQ193" s="2017"/>
      <c r="BR193" s="2016"/>
      <c r="BS193" s="2016"/>
      <c r="BT193" s="2016"/>
      <c r="BU193" s="2017"/>
      <c r="BV193" s="2016"/>
      <c r="BW193" s="2016"/>
      <c r="BX193" s="2016"/>
      <c r="BY193" s="2017"/>
      <c r="BZ193" s="2016"/>
      <c r="CA193" s="2016"/>
      <c r="CB193" s="2018"/>
      <c r="CC193" s="2017"/>
      <c r="CD193" s="2016"/>
      <c r="CE193" s="2016"/>
      <c r="CF193" s="2018"/>
      <c r="CG193" s="245"/>
      <c r="CH193" s="178"/>
      <c r="CM193" s="719"/>
      <c r="CN193" s="719"/>
      <c r="CO193" s="719"/>
      <c r="CP193" s="719"/>
      <c r="CQ193" s="103"/>
      <c r="CR193" s="103"/>
      <c r="CS193" s="2019"/>
      <c r="CT193" s="2019">
        <f t="shared" ref="CT193:CY193" si="396">+(CT205*1000000)/CT185</f>
        <v>241.69195311711567</v>
      </c>
      <c r="CU193" s="2019">
        <f t="shared" si="396"/>
        <v>170.49527395261322</v>
      </c>
      <c r="CV193" s="2019">
        <f t="shared" si="396"/>
        <v>151.50182625872341</v>
      </c>
      <c r="CW193" s="2019">
        <f t="shared" si="396"/>
        <v>168.85199057054248</v>
      </c>
      <c r="CX193" s="2019">
        <f t="shared" si="396"/>
        <v>107.93934695930186</v>
      </c>
      <c r="CY193" s="2019">
        <f t="shared" si="396"/>
        <v>94.839280204215569</v>
      </c>
      <c r="DF193" s="245"/>
    </row>
    <row r="194" spans="1:110" ht="12.75" customHeight="1">
      <c r="I194" s="184" t="s">
        <v>618</v>
      </c>
      <c r="J194" s="70"/>
      <c r="K194" s="70"/>
      <c r="P194" s="234"/>
      <c r="T194" s="234"/>
      <c r="X194" s="234"/>
      <c r="AB194" s="234"/>
      <c r="AF194" s="249"/>
      <c r="AG194" s="1212"/>
      <c r="AH194" s="1212"/>
      <c r="AI194" s="1212"/>
      <c r="AJ194" s="1392"/>
      <c r="AK194" s="1212"/>
      <c r="AL194" s="1199"/>
      <c r="AM194" s="1212"/>
      <c r="AN194" s="1392"/>
      <c r="AO194" s="1212"/>
      <c r="AP194" s="1212"/>
      <c r="AQ194" s="1212"/>
      <c r="AR194" s="1392"/>
      <c r="AS194" s="1217"/>
      <c r="AT194" s="1217"/>
      <c r="AU194" s="1217"/>
      <c r="AV194" s="1218"/>
      <c r="AW194" s="1217"/>
      <c r="AX194" s="1217"/>
      <c r="AY194" s="1217"/>
      <c r="AZ194" s="1218"/>
      <c r="BA194" s="1217"/>
      <c r="BB194" s="1217"/>
      <c r="BC194" s="1217"/>
      <c r="BD194" s="1218"/>
      <c r="BE194" s="1217"/>
      <c r="BF194" s="1199"/>
      <c r="BG194" s="1199"/>
      <c r="BH194" s="1200"/>
      <c r="BI194" s="684"/>
      <c r="BJ194" s="684"/>
      <c r="BK194" s="684"/>
      <c r="BL194" s="1248"/>
      <c r="BM194" s="1925"/>
      <c r="BN194" s="1248"/>
      <c r="BO194" s="1248"/>
      <c r="BP194" s="1248"/>
      <c r="BQ194" s="1925"/>
      <c r="BR194" s="1248"/>
      <c r="BS194" s="1248"/>
      <c r="BT194" s="1248"/>
      <c r="BU194" s="1925"/>
      <c r="BV194" s="1248"/>
      <c r="BW194" s="1248"/>
      <c r="BX194" s="1248"/>
      <c r="BY194" s="1925"/>
      <c r="BZ194" s="1248"/>
      <c r="CA194" s="1248"/>
      <c r="CB194" s="1981"/>
      <c r="CC194" s="1925"/>
      <c r="CD194" s="1248"/>
      <c r="CE194" s="1248"/>
      <c r="CF194" s="1981"/>
      <c r="CG194" s="234"/>
      <c r="CH194" s="160"/>
      <c r="CM194" s="1212"/>
      <c r="CN194" s="1212"/>
      <c r="CO194" s="1212"/>
      <c r="CP194" s="1212"/>
      <c r="CQ194" s="1217"/>
      <c r="CR194" s="1217"/>
      <c r="CS194" s="1217"/>
      <c r="CT194" s="1222"/>
      <c r="CU194" s="1222">
        <f>+CU193/CT193-1</f>
        <v>-0.29457612570991543</v>
      </c>
      <c r="CV194" s="1222">
        <f>+CV193/CU193-1</f>
        <v>-0.1114016081124265</v>
      </c>
      <c r="CW194" s="1222">
        <f>+CW193/CV193-1</f>
        <v>0.11452115621490777</v>
      </c>
      <c r="CX194" s="1222">
        <f>+CX193/CW193-1</f>
        <v>-0.36074578336577401</v>
      </c>
      <c r="CY194" s="1222">
        <f>+CY193/CX193-1</f>
        <v>-0.12136507329459401</v>
      </c>
      <c r="DF194" s="234"/>
    </row>
    <row r="195" spans="1:110" ht="12.75" customHeight="1">
      <c r="I195" s="185"/>
      <c r="J195" s="70"/>
      <c r="K195" s="70"/>
      <c r="P195" s="234"/>
      <c r="T195" s="234"/>
      <c r="X195" s="234"/>
      <c r="AB195" s="234"/>
      <c r="AF195" s="249"/>
      <c r="AG195" s="203"/>
      <c r="AH195" s="203"/>
      <c r="AI195" s="203"/>
      <c r="AJ195" s="204"/>
      <c r="AK195" s="203"/>
      <c r="AL195" s="64"/>
      <c r="AM195" s="203"/>
      <c r="AN195" s="204"/>
      <c r="AO195" s="203"/>
      <c r="AP195" s="203"/>
      <c r="AQ195" s="203"/>
      <c r="AR195" s="204"/>
      <c r="AS195" s="103"/>
      <c r="AT195" s="103"/>
      <c r="AU195" s="103"/>
      <c r="AV195" s="202"/>
      <c r="AW195" s="103"/>
      <c r="AX195" s="103"/>
      <c r="AY195" s="103"/>
      <c r="AZ195" s="202"/>
      <c r="BA195" s="30"/>
      <c r="BB195" s="30"/>
      <c r="BC195" s="30"/>
      <c r="BD195" s="179"/>
      <c r="BE195" s="30"/>
      <c r="BF195" s="64"/>
      <c r="BG195" s="64"/>
      <c r="BH195" s="180"/>
      <c r="BI195" s="38"/>
      <c r="BJ195" s="38"/>
      <c r="BK195" s="38"/>
      <c r="BL195" s="38"/>
      <c r="BM195" s="921"/>
      <c r="BN195" s="713"/>
      <c r="BO195" s="713"/>
      <c r="BP195" s="713"/>
      <c r="BQ195" s="921"/>
      <c r="BR195" s="713"/>
      <c r="BS195" s="713"/>
      <c r="BT195" s="713"/>
      <c r="BU195" s="1722"/>
      <c r="BV195" s="1214"/>
      <c r="BW195" s="2147"/>
      <c r="BX195" s="1214"/>
      <c r="BY195" s="265"/>
      <c r="BZ195" s="103"/>
      <c r="CA195" s="103"/>
      <c r="CB195" s="202"/>
      <c r="CC195" s="265"/>
      <c r="CD195" s="103"/>
      <c r="CE195" s="103"/>
      <c r="CF195" s="202"/>
      <c r="CG195" s="234"/>
      <c r="CH195" s="160"/>
      <c r="CM195" s="203"/>
      <c r="CN195" s="203"/>
      <c r="CO195" s="203"/>
      <c r="CP195" s="203"/>
      <c r="CQ195" s="103"/>
      <c r="CR195" s="103"/>
      <c r="CS195" s="103"/>
      <c r="CT195" s="103"/>
      <c r="CU195" s="103"/>
      <c r="CV195" s="103"/>
      <c r="CW195" s="103"/>
      <c r="CX195" s="103"/>
      <c r="CY195" s="103"/>
      <c r="DF195" s="234"/>
    </row>
    <row r="196" spans="1:110" s="8" customFormat="1" ht="12.75" customHeight="1">
      <c r="A196" s="24"/>
      <c r="B196" s="34"/>
      <c r="C196" s="34"/>
      <c r="D196" s="34"/>
      <c r="E196" s="34"/>
      <c r="F196" s="24"/>
      <c r="G196" s="24"/>
      <c r="H196" s="34"/>
      <c r="I196" s="190" t="s">
        <v>475</v>
      </c>
      <c r="J196" s="79"/>
      <c r="K196" s="79"/>
      <c r="P196" s="245"/>
      <c r="T196" s="245"/>
      <c r="X196" s="245"/>
      <c r="AB196" s="245"/>
      <c r="AC196" s="289"/>
      <c r="AD196" s="289"/>
      <c r="AE196" s="289"/>
      <c r="AF196" s="953"/>
      <c r="AG196" s="719"/>
      <c r="AH196" s="719"/>
      <c r="AI196" s="719"/>
      <c r="AJ196" s="729"/>
      <c r="AK196" s="719"/>
      <c r="AL196" s="721"/>
      <c r="AM196" s="719"/>
      <c r="AN196" s="729"/>
      <c r="AO196" s="719"/>
      <c r="AP196" s="719"/>
      <c r="AQ196" s="719"/>
      <c r="AR196" s="729"/>
      <c r="AS196" s="103"/>
      <c r="AT196" s="103"/>
      <c r="AU196" s="103"/>
      <c r="AV196" s="202"/>
      <c r="AW196" s="103"/>
      <c r="AX196" s="103"/>
      <c r="AY196" s="103"/>
      <c r="AZ196" s="202"/>
      <c r="BA196" s="103"/>
      <c r="BB196" s="103"/>
      <c r="BC196" s="103"/>
      <c r="BD196" s="202"/>
      <c r="BE196" s="112"/>
      <c r="BF196" s="112"/>
      <c r="BG196" s="112"/>
      <c r="BH196" s="214"/>
      <c r="BI196" s="112"/>
      <c r="BJ196" s="112"/>
      <c r="BK196" s="112"/>
      <c r="BL196" s="112"/>
      <c r="BM196" s="223"/>
      <c r="BN196" s="112"/>
      <c r="BO196" s="112"/>
      <c r="BP196" s="112"/>
      <c r="BQ196" s="223"/>
      <c r="BR196" s="112"/>
      <c r="BS196" s="112"/>
      <c r="BT196" s="214"/>
      <c r="BU196" s="223"/>
      <c r="BV196" s="103"/>
      <c r="BW196" s="2147"/>
      <c r="BX196" s="214"/>
      <c r="BY196" s="223"/>
      <c r="BZ196" s="112"/>
      <c r="CA196" s="112"/>
      <c r="CB196" s="214"/>
      <c r="CC196" s="223"/>
      <c r="CD196" s="112"/>
      <c r="CE196" s="112"/>
      <c r="CF196" s="214"/>
      <c r="CG196" s="245"/>
      <c r="CH196" s="178"/>
      <c r="CM196" s="719"/>
      <c r="CN196" s="719"/>
      <c r="CO196" s="719"/>
      <c r="CP196" s="719"/>
      <c r="CQ196" s="103"/>
      <c r="CR196" s="103"/>
      <c r="CS196" s="112">
        <f t="shared" ref="CS196:CY196" si="397">+CS250</f>
        <v>1062.3161257520478</v>
      </c>
      <c r="CT196" s="112">
        <f>+CT250</f>
        <v>3438.8005686893084</v>
      </c>
      <c r="CU196" s="112">
        <f>+CU250</f>
        <v>5508.8969847902408</v>
      </c>
      <c r="CV196" s="112">
        <f>+CV250</f>
        <v>6847.0484301099495</v>
      </c>
      <c r="CW196" s="112">
        <f>+CW250</f>
        <v>10717.12036366581</v>
      </c>
      <c r="CX196" s="112">
        <f t="shared" si="397"/>
        <v>14319.213210326445</v>
      </c>
      <c r="CY196" s="112">
        <f t="shared" si="397"/>
        <v>19995.052292427426</v>
      </c>
      <c r="DF196" s="245"/>
    </row>
    <row r="197" spans="1:110" ht="12.75" customHeight="1">
      <c r="B197" s="34"/>
      <c r="C197" s="34"/>
      <c r="D197" s="34"/>
      <c r="E197" s="34"/>
      <c r="H197" s="34"/>
      <c r="I197" s="185" t="s">
        <v>376</v>
      </c>
      <c r="J197" s="70"/>
      <c r="K197" s="70"/>
      <c r="P197" s="234"/>
      <c r="T197" s="234"/>
      <c r="X197" s="234"/>
      <c r="AB197" s="234"/>
      <c r="AF197" s="249"/>
      <c r="AG197" s="203"/>
      <c r="AH197" s="203"/>
      <c r="AI197" s="203"/>
      <c r="AJ197" s="204"/>
      <c r="AK197" s="203"/>
      <c r="AL197" s="64"/>
      <c r="AM197" s="203"/>
      <c r="AN197" s="204"/>
      <c r="AO197" s="203"/>
      <c r="AP197" s="203"/>
      <c r="AQ197" s="203"/>
      <c r="AR197" s="204"/>
      <c r="AS197" s="103"/>
      <c r="AT197" s="103"/>
      <c r="AU197" s="103"/>
      <c r="AV197" s="202"/>
      <c r="AW197" s="103"/>
      <c r="AX197" s="103"/>
      <c r="AY197" s="103"/>
      <c r="AZ197" s="202"/>
      <c r="BA197" s="30"/>
      <c r="BB197" s="30"/>
      <c r="BC197" s="30"/>
      <c r="BD197" s="179"/>
      <c r="BE197" s="110"/>
      <c r="BF197" s="110"/>
      <c r="BG197" s="110"/>
      <c r="BH197" s="180"/>
      <c r="BI197" s="38"/>
      <c r="BJ197" s="38"/>
      <c r="BK197" s="38"/>
      <c r="BL197" s="38"/>
      <c r="BM197" s="1647"/>
      <c r="BN197" s="833"/>
      <c r="BO197" s="833"/>
      <c r="BP197" s="103"/>
      <c r="BQ197" s="265"/>
      <c r="BR197" s="1217"/>
      <c r="BS197" s="103"/>
      <c r="BT197" s="202"/>
      <c r="BU197" s="265"/>
      <c r="BV197" s="1217"/>
      <c r="BW197" s="1214"/>
      <c r="BX197" s="202"/>
      <c r="BY197" s="265"/>
      <c r="BZ197" s="103"/>
      <c r="CA197" s="103"/>
      <c r="CB197" s="202"/>
      <c r="CC197" s="265"/>
      <c r="CD197" s="103"/>
      <c r="CE197" s="103"/>
      <c r="CF197" s="202"/>
      <c r="CG197" s="234"/>
      <c r="CH197" s="160"/>
      <c r="CM197" s="203"/>
      <c r="CN197" s="203"/>
      <c r="CO197" s="203"/>
      <c r="CP197" s="203"/>
      <c r="CQ197" s="103"/>
      <c r="CR197" s="103"/>
      <c r="CS197" s="1211"/>
      <c r="CT197" s="1215">
        <f t="shared" ref="CT197:CY197" si="398">+CT196/CS196-1</f>
        <v>2.2370783849815616</v>
      </c>
      <c r="CU197" s="1215">
        <f>+CU196/CT196-1</f>
        <v>0.60198210822384079</v>
      </c>
      <c r="CV197" s="1215">
        <f>+CV196/CU196-1</f>
        <v>0.24290732773080914</v>
      </c>
      <c r="CW197" s="1215">
        <f t="shared" si="398"/>
        <v>0.56521754929280021</v>
      </c>
      <c r="CX197" s="1215">
        <f t="shared" si="398"/>
        <v>0.33610640959793536</v>
      </c>
      <c r="CY197" s="1220">
        <f t="shared" si="398"/>
        <v>0.39637925622951076</v>
      </c>
      <c r="DF197" s="234"/>
    </row>
    <row r="198" spans="1:110" ht="12.75" customHeight="1">
      <c r="B198" s="34"/>
      <c r="C198" s="34"/>
      <c r="D198" s="34"/>
      <c r="E198" s="34"/>
      <c r="H198" s="34"/>
      <c r="I198" s="185" t="s">
        <v>291</v>
      </c>
      <c r="J198" s="70"/>
      <c r="K198" s="70"/>
      <c r="P198" s="234"/>
      <c r="T198" s="234"/>
      <c r="X198" s="234"/>
      <c r="AB198" s="234"/>
      <c r="AF198" s="249"/>
      <c r="AG198" s="203"/>
      <c r="AH198" s="203"/>
      <c r="AI198" s="203"/>
      <c r="AJ198" s="204"/>
      <c r="AK198" s="203"/>
      <c r="AL198" s="64"/>
      <c r="AM198" s="203"/>
      <c r="AN198" s="204"/>
      <c r="AO198" s="203"/>
      <c r="AP198" s="203"/>
      <c r="AQ198" s="203"/>
      <c r="AR198" s="204"/>
      <c r="AS198" s="103"/>
      <c r="AT198" s="103"/>
      <c r="AU198" s="103"/>
      <c r="AV198" s="202"/>
      <c r="AW198" s="103"/>
      <c r="AX198" s="103"/>
      <c r="AY198" s="103"/>
      <c r="AZ198" s="202"/>
      <c r="BA198" s="30"/>
      <c r="BB198" s="30"/>
      <c r="BC198" s="30"/>
      <c r="BD198" s="179"/>
      <c r="BE198" s="112"/>
      <c r="BF198" s="112"/>
      <c r="BG198" s="112"/>
      <c r="BH198" s="214"/>
      <c r="BI198" s="112"/>
      <c r="BJ198" s="112"/>
      <c r="BK198" s="112"/>
      <c r="BL198" s="112"/>
      <c r="BM198" s="223"/>
      <c r="BN198" s="112"/>
      <c r="BO198" s="112"/>
      <c r="BP198" s="112"/>
      <c r="BQ198" s="223"/>
      <c r="BR198" s="112"/>
      <c r="BS198" s="732"/>
      <c r="BT198" s="214"/>
      <c r="BU198" s="223"/>
      <c r="BV198" s="112"/>
      <c r="BW198" s="112"/>
      <c r="BX198" s="214"/>
      <c r="BY198" s="223"/>
      <c r="BZ198" s="112"/>
      <c r="CA198" s="112"/>
      <c r="CB198" s="214"/>
      <c r="CC198" s="223"/>
      <c r="CD198" s="112"/>
      <c r="CE198" s="112"/>
      <c r="CF198" s="214"/>
      <c r="CG198" s="234"/>
      <c r="CH198" s="160"/>
      <c r="CM198" s="203"/>
      <c r="CN198" s="203"/>
      <c r="CO198" s="203"/>
      <c r="CP198" s="203"/>
      <c r="CQ198" s="103"/>
      <c r="CR198" s="103"/>
      <c r="CS198" s="1212">
        <f t="shared" ref="CS198:CY198" si="399">+CS196/CS11</f>
        <v>3.733188521760078E-2</v>
      </c>
      <c r="CT198" s="1212">
        <f t="shared" si="399"/>
        <v>8.7784968439723998E-2</v>
      </c>
      <c r="CU198" s="1212">
        <f t="shared" si="399"/>
        <v>0.10952081480696303</v>
      </c>
      <c r="CV198" s="1212">
        <f t="shared" si="399"/>
        <v>0.12330803252611204</v>
      </c>
      <c r="CW198" s="1212">
        <f t="shared" si="399"/>
        <v>0.1574033275612938</v>
      </c>
      <c r="CX198" s="1212">
        <f t="shared" si="399"/>
        <v>0.17628854320447201</v>
      </c>
      <c r="CY198" s="118">
        <f t="shared" si="399"/>
        <v>0.20658997523522571</v>
      </c>
      <c r="DF198" s="234"/>
    </row>
    <row r="199" spans="1:110" ht="12.75" customHeight="1">
      <c r="B199" s="34"/>
      <c r="C199" s="34"/>
      <c r="D199" s="34"/>
      <c r="E199" s="34"/>
      <c r="H199" s="34"/>
      <c r="I199" s="188" t="s">
        <v>384</v>
      </c>
      <c r="J199" s="70"/>
      <c r="K199" s="70"/>
      <c r="P199" s="234"/>
      <c r="T199" s="234"/>
      <c r="X199" s="234"/>
      <c r="AB199" s="234"/>
      <c r="AF199" s="249"/>
      <c r="AG199" s="203"/>
      <c r="AH199" s="203"/>
      <c r="AI199" s="203"/>
      <c r="AJ199" s="204"/>
      <c r="AK199" s="203"/>
      <c r="AL199" s="64"/>
      <c r="AM199" s="203"/>
      <c r="AN199" s="204"/>
      <c r="AO199" s="203"/>
      <c r="AP199" s="203"/>
      <c r="AQ199" s="203"/>
      <c r="AR199" s="204"/>
      <c r="AS199" s="103"/>
      <c r="AT199" s="103"/>
      <c r="AU199" s="103"/>
      <c r="AV199" s="202"/>
      <c r="AW199" s="103"/>
      <c r="AX199" s="103"/>
      <c r="AY199" s="103"/>
      <c r="AZ199" s="202"/>
      <c r="BA199" s="30"/>
      <c r="BB199" s="30"/>
      <c r="BC199" s="30"/>
      <c r="BD199" s="179"/>
      <c r="BE199" s="112"/>
      <c r="BF199" s="112"/>
      <c r="BG199" s="112"/>
      <c r="BH199" s="214"/>
      <c r="BI199" s="112"/>
      <c r="BJ199" s="112"/>
      <c r="BK199" s="112"/>
      <c r="BL199" s="112"/>
      <c r="BM199" s="223"/>
      <c r="BN199" s="112"/>
      <c r="BO199" s="112"/>
      <c r="BP199" s="112"/>
      <c r="BQ199" s="223"/>
      <c r="BR199" s="112"/>
      <c r="BS199" s="112"/>
      <c r="BT199" s="214"/>
      <c r="BU199" s="223"/>
      <c r="BV199" s="112"/>
      <c r="BW199" s="112"/>
      <c r="BX199" s="738"/>
      <c r="BY199" s="223"/>
      <c r="BZ199" s="112"/>
      <c r="CA199" s="112"/>
      <c r="CB199" s="214"/>
      <c r="CC199" s="223"/>
      <c r="CD199" s="112"/>
      <c r="CE199" s="112"/>
      <c r="CF199" s="214"/>
      <c r="CG199" s="234"/>
      <c r="CH199" s="160"/>
      <c r="CM199" s="203"/>
      <c r="CN199" s="203"/>
      <c r="CO199" s="203"/>
      <c r="CP199" s="203"/>
      <c r="CQ199" s="103"/>
      <c r="CR199" s="103"/>
      <c r="CS199" s="103"/>
      <c r="CT199" s="833">
        <f t="shared" ref="CT199:CY199" si="400">+(CT198-CS198)*10000</f>
        <v>504.53083222123217</v>
      </c>
      <c r="CU199" s="833">
        <f t="shared" si="400"/>
        <v>217.35846367239034</v>
      </c>
      <c r="CV199" s="833">
        <f t="shared" si="400"/>
        <v>137.8721771914901</v>
      </c>
      <c r="CW199" s="833">
        <f t="shared" si="400"/>
        <v>340.95295035181761</v>
      </c>
      <c r="CX199" s="833">
        <f t="shared" si="400"/>
        <v>188.85215643178216</v>
      </c>
      <c r="CY199" s="833">
        <f t="shared" si="400"/>
        <v>303.01432030753693</v>
      </c>
      <c r="DF199" s="234"/>
    </row>
    <row r="200" spans="1:110" ht="12.75" customHeight="1">
      <c r="A200" s="209"/>
      <c r="B200" s="209"/>
      <c r="C200" s="209"/>
      <c r="D200" s="209"/>
      <c r="E200" s="209"/>
      <c r="F200" s="209"/>
      <c r="G200" s="209"/>
      <c r="H200" s="209"/>
      <c r="I200" s="185" t="s">
        <v>476</v>
      </c>
      <c r="J200" s="1248"/>
      <c r="K200" s="209"/>
      <c r="L200" s="209"/>
      <c r="M200" s="209"/>
      <c r="N200" s="209"/>
      <c r="O200" s="209"/>
      <c r="P200" s="209"/>
      <c r="Q200" s="209"/>
      <c r="R200" s="209"/>
      <c r="S200" s="209"/>
      <c r="T200" s="209"/>
      <c r="U200" s="209"/>
      <c r="V200" s="209"/>
      <c r="W200" s="209"/>
      <c r="X200" s="209"/>
      <c r="Y200" s="209"/>
      <c r="Z200" s="209"/>
      <c r="AA200" s="209"/>
      <c r="AB200" s="209"/>
      <c r="AC200" s="209"/>
      <c r="AD200" s="209"/>
      <c r="AE200" s="209"/>
      <c r="AF200" s="209"/>
      <c r="AG200" s="209"/>
      <c r="AH200" s="209"/>
      <c r="AI200" s="209"/>
      <c r="AJ200" s="209"/>
      <c r="AK200" s="209"/>
      <c r="AL200" s="209"/>
      <c r="AM200" s="209"/>
      <c r="AN200" s="209"/>
      <c r="AO200" s="209"/>
      <c r="AP200" s="209"/>
      <c r="AQ200" s="209"/>
      <c r="AR200" s="209"/>
      <c r="AS200" s="209"/>
      <c r="AT200" s="209"/>
      <c r="AU200" s="209"/>
      <c r="AV200" s="209"/>
      <c r="AW200" s="209"/>
      <c r="AX200" s="209"/>
      <c r="AY200" s="209"/>
      <c r="AZ200" s="209"/>
      <c r="BA200" s="209"/>
      <c r="BB200" s="209"/>
      <c r="BC200" s="209"/>
      <c r="BD200" s="179"/>
      <c r="BE200" s="112"/>
      <c r="BF200" s="112"/>
      <c r="BG200" s="112"/>
      <c r="BH200" s="214"/>
      <c r="BI200" s="112"/>
      <c r="BJ200" s="112"/>
      <c r="BK200" s="112"/>
      <c r="BL200" s="112"/>
      <c r="BM200" s="223"/>
      <c r="BN200" s="112"/>
      <c r="BO200" s="112"/>
      <c r="BP200" s="112"/>
      <c r="BQ200" s="223"/>
      <c r="BR200" s="112"/>
      <c r="BS200" s="112"/>
      <c r="BT200" s="214"/>
      <c r="BU200" s="223"/>
      <c r="BV200" s="112"/>
      <c r="BW200" s="112"/>
      <c r="BX200" s="214"/>
      <c r="BY200" s="223"/>
      <c r="BZ200" s="112"/>
      <c r="CA200" s="112"/>
      <c r="CB200" s="214"/>
      <c r="CC200" s="223"/>
      <c r="CD200" s="112"/>
      <c r="CE200" s="112"/>
      <c r="CF200" s="214"/>
      <c r="CG200" s="234"/>
      <c r="CH200" s="160"/>
      <c r="CI200" s="209"/>
      <c r="CJ200" s="209"/>
      <c r="CK200" s="209"/>
      <c r="CL200" s="209"/>
      <c r="CM200" s="209"/>
      <c r="CN200" s="209"/>
      <c r="CO200" s="209"/>
      <c r="CP200" s="209"/>
      <c r="CQ200" s="209"/>
      <c r="CR200" s="209"/>
      <c r="CS200" s="209"/>
      <c r="CT200" s="683">
        <f t="shared" ref="CT200:CY200" si="401">+CT196-CS196</f>
        <v>2376.4844429372606</v>
      </c>
      <c r="CU200" s="683">
        <f t="shared" si="401"/>
        <v>2070.0964161009324</v>
      </c>
      <c r="CV200" s="683">
        <f t="shared" si="401"/>
        <v>1338.1514453197087</v>
      </c>
      <c r="CW200" s="683">
        <f t="shared" si="401"/>
        <v>3870.0719335558606</v>
      </c>
      <c r="CX200" s="683">
        <f t="shared" si="401"/>
        <v>3602.0928466606347</v>
      </c>
      <c r="CY200" s="683">
        <f t="shared" si="401"/>
        <v>5675.8390821009816</v>
      </c>
      <c r="DF200" s="234"/>
    </row>
    <row r="201" spans="1:110" ht="12.75" customHeight="1">
      <c r="B201" s="34"/>
      <c r="C201" s="34"/>
      <c r="D201" s="34"/>
      <c r="E201" s="34"/>
      <c r="H201" s="34"/>
      <c r="I201" s="185"/>
      <c r="J201" s="70"/>
      <c r="K201" s="70"/>
      <c r="P201" s="234"/>
      <c r="T201" s="234"/>
      <c r="X201" s="234"/>
      <c r="AB201" s="234"/>
      <c r="AF201" s="249"/>
      <c r="AG201" s="203"/>
      <c r="AH201" s="203"/>
      <c r="AI201" s="203"/>
      <c r="AJ201" s="204"/>
      <c r="AK201" s="203"/>
      <c r="AL201" s="64"/>
      <c r="AM201" s="203"/>
      <c r="AN201" s="204"/>
      <c r="AO201" s="203"/>
      <c r="AP201" s="203"/>
      <c r="AQ201" s="203"/>
      <c r="AR201" s="204"/>
      <c r="AS201" s="103"/>
      <c r="AT201" s="103"/>
      <c r="AU201" s="103"/>
      <c r="AV201" s="202"/>
      <c r="AW201" s="103"/>
      <c r="AX201" s="103"/>
      <c r="AY201" s="103"/>
      <c r="AZ201" s="202"/>
      <c r="BA201" s="30"/>
      <c r="BB201" s="30"/>
      <c r="BC201" s="30"/>
      <c r="BD201" s="179"/>
      <c r="BE201" s="30"/>
      <c r="BF201" s="64"/>
      <c r="BG201" s="64"/>
      <c r="BH201" s="180"/>
      <c r="BI201" s="38"/>
      <c r="BJ201" s="38"/>
      <c r="BK201" s="111"/>
      <c r="BL201" s="38"/>
      <c r="BM201" s="1648"/>
      <c r="BN201" s="209"/>
      <c r="BO201" s="209"/>
      <c r="BP201" s="103"/>
      <c r="BQ201" s="265"/>
      <c r="BR201" s="103"/>
      <c r="BS201" s="103"/>
      <c r="BT201" s="202"/>
      <c r="BU201" s="265"/>
      <c r="BV201" s="103"/>
      <c r="BW201" s="103"/>
      <c r="BX201" s="202"/>
      <c r="BY201" s="265"/>
      <c r="BZ201" s="103"/>
      <c r="CA201" s="103"/>
      <c r="CB201" s="202"/>
      <c r="CC201" s="265"/>
      <c r="CD201" s="103"/>
      <c r="CE201" s="103"/>
      <c r="CF201" s="202"/>
      <c r="CG201" s="234"/>
      <c r="CH201" s="160"/>
      <c r="CM201" s="203"/>
      <c r="CN201" s="203"/>
      <c r="CO201" s="203"/>
      <c r="CP201" s="203"/>
      <c r="CQ201" s="103"/>
      <c r="CR201" s="103"/>
      <c r="CS201" s="103"/>
      <c r="CT201" s="103"/>
      <c r="CU201" s="103"/>
      <c r="CV201" s="103"/>
      <c r="CW201" s="103"/>
      <c r="CX201" s="103"/>
      <c r="CY201" s="103"/>
      <c r="DF201" s="234"/>
    </row>
    <row r="202" spans="1:110" ht="12.75" customHeight="1">
      <c r="B202" s="34"/>
      <c r="C202" s="34"/>
      <c r="D202" s="34"/>
      <c r="E202" s="34"/>
      <c r="H202" s="34"/>
      <c r="I202" s="190" t="s">
        <v>500</v>
      </c>
      <c r="J202" s="70"/>
      <c r="K202" s="70"/>
      <c r="P202" s="234"/>
      <c r="T202" s="234"/>
      <c r="X202" s="234"/>
      <c r="AB202" s="234"/>
      <c r="AF202" s="249"/>
      <c r="AG202" s="203"/>
      <c r="AH202" s="203"/>
      <c r="AI202" s="203"/>
      <c r="AJ202" s="204"/>
      <c r="AK202" s="203"/>
      <c r="AL202" s="64"/>
      <c r="AM202" s="203"/>
      <c r="AN202" s="204"/>
      <c r="AO202" s="203"/>
      <c r="AP202" s="203"/>
      <c r="AQ202" s="203"/>
      <c r="AR202" s="204"/>
      <c r="AS202" s="103"/>
      <c r="AT202" s="103"/>
      <c r="AU202" s="103"/>
      <c r="AV202" s="202"/>
      <c r="AW202" s="103"/>
      <c r="AX202" s="103"/>
      <c r="AY202" s="103"/>
      <c r="AZ202" s="202"/>
      <c r="BA202" s="30"/>
      <c r="BB202" s="30"/>
      <c r="BC202" s="30"/>
      <c r="BD202" s="179"/>
      <c r="BE202" s="110"/>
      <c r="BF202" s="110"/>
      <c r="BG202" s="110"/>
      <c r="BH202" s="180"/>
      <c r="BI202" s="38"/>
      <c r="BJ202" s="38"/>
      <c r="BK202" s="38"/>
      <c r="BL202" s="38"/>
      <c r="BM202" s="1647"/>
      <c r="BN202" s="833"/>
      <c r="BO202" s="833"/>
      <c r="BP202" s="103"/>
      <c r="BQ202" s="265"/>
      <c r="BR202" s="103"/>
      <c r="BS202" s="103"/>
      <c r="BT202" s="202"/>
      <c r="BU202" s="265"/>
      <c r="BV202" s="103"/>
      <c r="BW202" s="103"/>
      <c r="BX202" s="202"/>
      <c r="BY202" s="265"/>
      <c r="BZ202" s="103"/>
      <c r="CA202" s="103"/>
      <c r="CB202" s="202"/>
      <c r="CC202" s="265"/>
      <c r="CD202" s="103"/>
      <c r="CE202" s="103"/>
      <c r="CF202" s="202"/>
      <c r="CG202" s="234"/>
      <c r="CH202" s="160"/>
      <c r="CM202" s="203"/>
      <c r="CN202" s="203"/>
      <c r="CO202" s="203"/>
      <c r="CP202" s="203"/>
      <c r="CQ202" s="103"/>
      <c r="CR202" s="103"/>
      <c r="CS202" s="1211">
        <f>+CS196/CS205</f>
        <v>127.06482137833994</v>
      </c>
      <c r="CT202" s="1227">
        <f t="shared" ref="CT202:CY202" si="402">+CT196/CT205</f>
        <v>129.34573513323622</v>
      </c>
      <c r="CU202" s="1227">
        <f t="shared" si="402"/>
        <v>130.81433955329857</v>
      </c>
      <c r="CV202" s="1227">
        <f t="shared" si="402"/>
        <v>115.88331883338246</v>
      </c>
      <c r="CW202" s="1227">
        <f t="shared" si="402"/>
        <v>111.74383903077842</v>
      </c>
      <c r="CX202" s="1227">
        <f t="shared" si="402"/>
        <v>111.47883155270736</v>
      </c>
      <c r="CY202" s="1227">
        <f t="shared" si="402"/>
        <v>114.38929831689892</v>
      </c>
      <c r="DF202" s="234"/>
    </row>
    <row r="203" spans="1:110" ht="12.75" customHeight="1">
      <c r="B203" s="34"/>
      <c r="C203" s="34"/>
      <c r="D203" s="34"/>
      <c r="E203" s="34"/>
      <c r="H203" s="34"/>
      <c r="I203" s="185" t="s">
        <v>376</v>
      </c>
      <c r="J203" s="70"/>
      <c r="K203" s="70"/>
      <c r="P203" s="234"/>
      <c r="T203" s="234"/>
      <c r="X203" s="234"/>
      <c r="AB203" s="234"/>
      <c r="AF203" s="249"/>
      <c r="AG203" s="203"/>
      <c r="AH203" s="203"/>
      <c r="AI203" s="203"/>
      <c r="AJ203" s="204"/>
      <c r="AK203" s="203"/>
      <c r="AL203" s="64"/>
      <c r="AM203" s="203"/>
      <c r="AN203" s="204"/>
      <c r="AO203" s="203"/>
      <c r="AP203" s="203"/>
      <c r="AQ203" s="203"/>
      <c r="AR203" s="204"/>
      <c r="AS203" s="103"/>
      <c r="AT203" s="103"/>
      <c r="AU203" s="103"/>
      <c r="AV203" s="202"/>
      <c r="AW203" s="103"/>
      <c r="AX203" s="103"/>
      <c r="AY203" s="103"/>
      <c r="AZ203" s="202"/>
      <c r="BA203" s="30"/>
      <c r="BB203" s="30"/>
      <c r="BC203" s="30"/>
      <c r="BD203" s="179"/>
      <c r="BE203" s="110"/>
      <c r="BF203" s="110"/>
      <c r="BG203" s="110"/>
      <c r="BH203" s="180"/>
      <c r="BI203" s="38"/>
      <c r="BJ203" s="38"/>
      <c r="BK203" s="38"/>
      <c r="BL203" s="38"/>
      <c r="BM203" s="1647"/>
      <c r="BN203" s="833"/>
      <c r="BO203" s="833"/>
      <c r="BP203" s="103"/>
      <c r="BQ203" s="265"/>
      <c r="BR203" s="103"/>
      <c r="BS203" s="103"/>
      <c r="BT203" s="202"/>
      <c r="BU203" s="265"/>
      <c r="BV203" s="103"/>
      <c r="BW203" s="103"/>
      <c r="BX203" s="202"/>
      <c r="BY203" s="265"/>
      <c r="BZ203" s="103"/>
      <c r="CA203" s="103"/>
      <c r="CB203" s="202"/>
      <c r="CC203" s="265"/>
      <c r="CD203" s="103"/>
      <c r="CE203" s="103"/>
      <c r="CF203" s="202"/>
      <c r="CG203" s="234"/>
      <c r="CH203" s="160"/>
      <c r="CM203" s="203"/>
      <c r="CN203" s="203"/>
      <c r="CO203" s="203"/>
      <c r="CP203" s="203"/>
      <c r="CQ203" s="103"/>
      <c r="CR203" s="103"/>
      <c r="CS203" s="1211"/>
      <c r="CT203" s="1215">
        <f t="shared" ref="CT203:CY203" si="403">+CT202/CS202-1</f>
        <v>1.7950788661676764E-2</v>
      </c>
      <c r="CU203" s="1215">
        <f t="shared" si="403"/>
        <v>1.135410006792692E-2</v>
      </c>
      <c r="CV203" s="1215">
        <f t="shared" si="403"/>
        <v>-0.11413902153924538</v>
      </c>
      <c r="CW203" s="1215">
        <f t="shared" si="403"/>
        <v>-3.5721101572486091E-2</v>
      </c>
      <c r="CX203" s="1215">
        <f t="shared" si="403"/>
        <v>-2.3715623194050517E-3</v>
      </c>
      <c r="CY203" s="118">
        <f t="shared" si="403"/>
        <v>2.6107797540158906E-2</v>
      </c>
      <c r="DF203" s="234"/>
    </row>
    <row r="204" spans="1:110" ht="12.75" customHeight="1">
      <c r="B204" s="34"/>
      <c r="C204" s="34"/>
      <c r="D204" s="34"/>
      <c r="E204" s="34"/>
      <c r="H204" s="34"/>
      <c r="I204" s="190"/>
      <c r="J204" s="70"/>
      <c r="K204" s="70"/>
      <c r="P204" s="234"/>
      <c r="T204" s="234"/>
      <c r="X204" s="234"/>
      <c r="AB204" s="234"/>
      <c r="AF204" s="249"/>
      <c r="AG204" s="203"/>
      <c r="AH204" s="203"/>
      <c r="AI204" s="203"/>
      <c r="AJ204" s="204"/>
      <c r="AK204" s="203"/>
      <c r="AL204" s="64"/>
      <c r="AM204" s="203"/>
      <c r="AN204" s="204"/>
      <c r="AO204" s="203"/>
      <c r="AP204" s="203"/>
      <c r="AQ204" s="203"/>
      <c r="AR204" s="204"/>
      <c r="AS204" s="103"/>
      <c r="AT204" s="103"/>
      <c r="AU204" s="103"/>
      <c r="AV204" s="202"/>
      <c r="AW204" s="103"/>
      <c r="AX204" s="103"/>
      <c r="AY204" s="103"/>
      <c r="AZ204" s="202"/>
      <c r="BA204" s="30"/>
      <c r="BB204" s="30"/>
      <c r="BC204" s="30"/>
      <c r="BD204" s="179"/>
      <c r="BE204" s="30"/>
      <c r="BF204" s="64"/>
      <c r="BG204" s="64"/>
      <c r="BH204" s="180"/>
      <c r="BI204" s="38"/>
      <c r="BJ204" s="38"/>
      <c r="BK204" s="38"/>
      <c r="BL204" s="38"/>
      <c r="BM204" s="1646"/>
      <c r="BN204" s="1212"/>
      <c r="BO204" s="1212"/>
      <c r="BP204" s="112"/>
      <c r="BQ204" s="223"/>
      <c r="BR204" s="112"/>
      <c r="BS204" s="112"/>
      <c r="BT204" s="214"/>
      <c r="BU204" s="223"/>
      <c r="BV204" s="112"/>
      <c r="BW204" s="112"/>
      <c r="BX204" s="214"/>
      <c r="BY204" s="223"/>
      <c r="BZ204" s="112"/>
      <c r="CA204" s="112"/>
      <c r="CB204" s="214"/>
      <c r="CC204" s="223"/>
      <c r="CD204" s="1212"/>
      <c r="CE204" s="1212"/>
      <c r="CF204" s="1392"/>
      <c r="CG204" s="234"/>
      <c r="CH204" s="160"/>
      <c r="CM204" s="203"/>
      <c r="CN204" s="203"/>
      <c r="CO204" s="203"/>
      <c r="CP204" s="203"/>
      <c r="CQ204" s="103"/>
      <c r="CR204" s="103"/>
      <c r="CS204" s="103"/>
      <c r="CT204" s="103"/>
      <c r="CU204" s="103"/>
      <c r="CV204" s="103"/>
      <c r="CW204" s="103"/>
      <c r="CX204" s="103"/>
      <c r="CY204" s="103"/>
      <c r="DF204" s="234"/>
    </row>
    <row r="205" spans="1:110" ht="12.75" customHeight="1">
      <c r="B205" s="34"/>
      <c r="C205" s="34"/>
      <c r="D205" s="34"/>
      <c r="E205" s="34"/>
      <c r="H205" s="34"/>
      <c r="I205" s="190" t="s">
        <v>499</v>
      </c>
      <c r="J205" s="70"/>
      <c r="K205" s="70"/>
      <c r="P205" s="234"/>
      <c r="T205" s="234"/>
      <c r="X205" s="234"/>
      <c r="AB205" s="234"/>
      <c r="AF205" s="249"/>
      <c r="AG205" s="203"/>
      <c r="AH205" s="203"/>
      <c r="AI205" s="203"/>
      <c r="AJ205" s="204"/>
      <c r="AK205" s="203"/>
      <c r="AL205" s="64"/>
      <c r="AM205" s="203"/>
      <c r="AN205" s="204"/>
      <c r="AO205" s="203"/>
      <c r="AP205" s="203"/>
      <c r="AQ205" s="203"/>
      <c r="AR205" s="204"/>
      <c r="AS205" s="103"/>
      <c r="AT205" s="103"/>
      <c r="AU205" s="103"/>
      <c r="AV205" s="202"/>
      <c r="AW205" s="103"/>
      <c r="AX205" s="103"/>
      <c r="AY205" s="103"/>
      <c r="AZ205" s="202"/>
      <c r="BA205" s="30"/>
      <c r="BB205" s="30"/>
      <c r="BC205" s="30"/>
      <c r="BD205" s="179"/>
      <c r="BE205" s="30"/>
      <c r="BF205" s="64"/>
      <c r="BG205" s="64"/>
      <c r="BH205" s="180"/>
      <c r="BI205" s="38"/>
      <c r="BJ205" s="38"/>
      <c r="BK205" s="38"/>
      <c r="BL205" s="38"/>
      <c r="BM205" s="173"/>
      <c r="BN205" s="176"/>
      <c r="BO205" s="176"/>
      <c r="BP205" s="103"/>
      <c r="BQ205" s="265"/>
      <c r="BR205" s="103"/>
      <c r="BS205" s="103"/>
      <c r="BT205" s="202"/>
      <c r="BU205" s="265"/>
      <c r="BV205" s="103"/>
      <c r="BW205" s="103"/>
      <c r="BX205" s="202"/>
      <c r="BY205" s="265"/>
      <c r="BZ205" s="103"/>
      <c r="CA205" s="103"/>
      <c r="CB205" s="202"/>
      <c r="CC205" s="265"/>
      <c r="CD205" s="103"/>
      <c r="CE205" s="103"/>
      <c r="CF205" s="202"/>
      <c r="CG205" s="234"/>
      <c r="CH205" s="160"/>
      <c r="CM205" s="203"/>
      <c r="CN205" s="203"/>
      <c r="CO205" s="203"/>
      <c r="CP205" s="203"/>
      <c r="CQ205" s="103"/>
      <c r="CR205" s="103"/>
      <c r="CS205" s="104">
        <f t="shared" ref="CS205:CY205" si="404">CS290</f>
        <v>8.3604267036976694</v>
      </c>
      <c r="CT205" s="104">
        <f>CT290</f>
        <v>26.586114842882722</v>
      </c>
      <c r="CU205" s="104">
        <f>CU290</f>
        <v>42.112332666295458</v>
      </c>
      <c r="CV205" s="104">
        <f>CV290</f>
        <v>59.085712240902126</v>
      </c>
      <c r="CW205" s="104">
        <f>CW290</f>
        <v>95.907930644068131</v>
      </c>
      <c r="CX205" s="104">
        <f t="shared" si="404"/>
        <v>128.44782288156921</v>
      </c>
      <c r="CY205" s="104">
        <f t="shared" si="404"/>
        <v>174.7982773443897</v>
      </c>
      <c r="DF205" s="234"/>
    </row>
    <row r="206" spans="1:110" ht="12.75" customHeight="1">
      <c r="B206" s="34"/>
      <c r="C206" s="34"/>
      <c r="D206" s="34"/>
      <c r="E206" s="34"/>
      <c r="H206" s="34"/>
      <c r="I206" s="185" t="s">
        <v>376</v>
      </c>
      <c r="J206" s="70"/>
      <c r="K206" s="70"/>
      <c r="P206" s="234"/>
      <c r="T206" s="234"/>
      <c r="X206" s="234"/>
      <c r="AB206" s="234"/>
      <c r="AF206" s="249"/>
      <c r="AG206" s="203"/>
      <c r="AH206" s="203"/>
      <c r="AI206" s="203"/>
      <c r="AJ206" s="204"/>
      <c r="AK206" s="203"/>
      <c r="AL206" s="64"/>
      <c r="AM206" s="203"/>
      <c r="AN206" s="204"/>
      <c r="AO206" s="203"/>
      <c r="AP206" s="203"/>
      <c r="AQ206" s="203"/>
      <c r="AR206" s="204"/>
      <c r="AS206" s="103"/>
      <c r="AT206" s="103"/>
      <c r="AU206" s="103"/>
      <c r="AV206" s="202"/>
      <c r="AW206" s="103"/>
      <c r="AX206" s="103"/>
      <c r="AY206" s="103"/>
      <c r="AZ206" s="202"/>
      <c r="BA206" s="30"/>
      <c r="BB206" s="30"/>
      <c r="BC206" s="30"/>
      <c r="BD206" s="179"/>
      <c r="BE206" s="30"/>
      <c r="BF206" s="64"/>
      <c r="BG206" s="64"/>
      <c r="BH206" s="180"/>
      <c r="BI206" s="38"/>
      <c r="BJ206" s="38"/>
      <c r="BK206" s="38"/>
      <c r="BL206" s="38"/>
      <c r="BM206" s="173"/>
      <c r="BN206" s="176"/>
      <c r="BO206" s="176"/>
      <c r="BP206" s="103"/>
      <c r="BQ206" s="265"/>
      <c r="BR206" s="1214"/>
      <c r="BS206" s="1214"/>
      <c r="BT206" s="202"/>
      <c r="BU206" s="265"/>
      <c r="BV206" s="103"/>
      <c r="BW206" s="103"/>
      <c r="BX206" s="202"/>
      <c r="BY206" s="265"/>
      <c r="BZ206" s="103"/>
      <c r="CA206" s="103"/>
      <c r="CB206" s="202"/>
      <c r="CC206" s="265"/>
      <c r="CD206" s="103"/>
      <c r="CE206" s="103"/>
      <c r="CF206" s="202"/>
      <c r="CG206" s="234"/>
      <c r="CH206" s="160"/>
      <c r="CM206" s="203"/>
      <c r="CN206" s="203"/>
      <c r="CO206" s="203"/>
      <c r="CP206" s="203"/>
      <c r="CQ206" s="103"/>
      <c r="CR206" s="103"/>
      <c r="CS206" s="104"/>
      <c r="CT206" s="1215">
        <f t="shared" ref="CT206:CY206" si="405">+CT205/CS205-1</f>
        <v>2.1799949673769823</v>
      </c>
      <c r="CU206" s="1215">
        <f t="shared" si="405"/>
        <v>0.58399724499682604</v>
      </c>
      <c r="CV206" s="1215">
        <f>+CV205/CU205-1</f>
        <v>0.40305009245406365</v>
      </c>
      <c r="CW206" s="1215">
        <f>+CW205/CV205-1</f>
        <v>0.62320004289760922</v>
      </c>
      <c r="CX206" s="1215">
        <f t="shared" si="405"/>
        <v>0.33928260175128333</v>
      </c>
      <c r="CY206" s="118">
        <f t="shared" si="405"/>
        <v>0.360850448244314</v>
      </c>
      <c r="DF206" s="234"/>
    </row>
    <row r="207" spans="1:110" ht="12.75" customHeight="1">
      <c r="B207" s="34"/>
      <c r="C207" s="34"/>
      <c r="D207" s="34"/>
      <c r="E207" s="34"/>
      <c r="H207" s="34"/>
      <c r="I207" s="185" t="s">
        <v>476</v>
      </c>
      <c r="J207" s="70"/>
      <c r="K207" s="70"/>
      <c r="P207" s="234"/>
      <c r="T207" s="234"/>
      <c r="X207" s="234"/>
      <c r="AB207" s="234"/>
      <c r="AF207" s="249"/>
      <c r="AG207" s="203"/>
      <c r="AH207" s="203"/>
      <c r="AI207" s="203"/>
      <c r="AJ207" s="204"/>
      <c r="AK207" s="203"/>
      <c r="AL207" s="64"/>
      <c r="AM207" s="203"/>
      <c r="AN207" s="204"/>
      <c r="AO207" s="203"/>
      <c r="AP207" s="203"/>
      <c r="AQ207" s="203"/>
      <c r="AR207" s="204"/>
      <c r="AS207" s="103"/>
      <c r="AT207" s="103"/>
      <c r="AU207" s="103"/>
      <c r="AV207" s="202"/>
      <c r="AW207" s="103"/>
      <c r="AX207" s="103"/>
      <c r="AY207" s="103"/>
      <c r="AZ207" s="202"/>
      <c r="BA207" s="30"/>
      <c r="BB207" s="30"/>
      <c r="BC207" s="30"/>
      <c r="BD207" s="179"/>
      <c r="BE207" s="30"/>
      <c r="BF207" s="64"/>
      <c r="BG207" s="64"/>
      <c r="BH207" s="180"/>
      <c r="BI207" s="38"/>
      <c r="BJ207" s="38"/>
      <c r="BK207" s="38"/>
      <c r="BL207" s="38"/>
      <c r="BM207" s="173"/>
      <c r="BN207" s="176"/>
      <c r="BO207" s="176"/>
      <c r="BP207" s="103"/>
      <c r="BQ207" s="265"/>
      <c r="BR207" s="103"/>
      <c r="BS207" s="103"/>
      <c r="BT207" s="202"/>
      <c r="BU207" s="265"/>
      <c r="BV207" s="103"/>
      <c r="BW207" s="103"/>
      <c r="BX207" s="202"/>
      <c r="BY207" s="265"/>
      <c r="CA207" s="103"/>
      <c r="CB207" s="202"/>
      <c r="CC207" s="265"/>
      <c r="CD207" s="103"/>
      <c r="CE207" s="103"/>
      <c r="CF207" s="202"/>
      <c r="CG207" s="234"/>
      <c r="CH207" s="160"/>
      <c r="CM207" s="203"/>
      <c r="CN207" s="203"/>
      <c r="CO207" s="203"/>
      <c r="CP207" s="203"/>
      <c r="CQ207" s="103"/>
      <c r="CR207" s="103"/>
      <c r="CS207" s="104"/>
      <c r="CT207" s="1207">
        <f t="shared" ref="CT207:CY207" si="406">+CT205-CS205</f>
        <v>18.225688139185053</v>
      </c>
      <c r="CU207" s="1207">
        <f t="shared" si="406"/>
        <v>15.526217823412736</v>
      </c>
      <c r="CV207" s="1207">
        <f t="shared" si="406"/>
        <v>16.973379574606668</v>
      </c>
      <c r="CW207" s="1207">
        <f t="shared" si="406"/>
        <v>36.822218403166005</v>
      </c>
      <c r="CX207" s="1207">
        <f t="shared" si="406"/>
        <v>32.539892237501078</v>
      </c>
      <c r="CY207" s="33">
        <f t="shared" si="406"/>
        <v>46.350454462820494</v>
      </c>
      <c r="DF207" s="234"/>
    </row>
    <row r="208" spans="1:110" ht="12.75" customHeight="1">
      <c r="B208" s="34"/>
      <c r="C208" s="34"/>
      <c r="D208" s="34"/>
      <c r="E208" s="34"/>
      <c r="H208" s="34"/>
      <c r="I208" s="185"/>
      <c r="J208" s="70"/>
      <c r="K208" s="70"/>
      <c r="P208" s="234"/>
      <c r="T208" s="234"/>
      <c r="X208" s="234"/>
      <c r="AB208" s="234"/>
      <c r="AF208" s="249"/>
      <c r="AG208" s="203"/>
      <c r="AH208" s="203"/>
      <c r="AI208" s="203"/>
      <c r="AJ208" s="204"/>
      <c r="AK208" s="203"/>
      <c r="AL208" s="64"/>
      <c r="AM208" s="203"/>
      <c r="AN208" s="204"/>
      <c r="AO208" s="203"/>
      <c r="AP208" s="203"/>
      <c r="AQ208" s="203"/>
      <c r="AR208" s="204"/>
      <c r="AS208" s="103"/>
      <c r="AT208" s="103"/>
      <c r="AU208" s="103"/>
      <c r="AV208" s="202"/>
      <c r="AW208" s="103"/>
      <c r="AX208" s="103"/>
      <c r="AY208" s="103"/>
      <c r="AZ208" s="202"/>
      <c r="BA208" s="30"/>
      <c r="BB208" s="30"/>
      <c r="BC208" s="30"/>
      <c r="BD208" s="179"/>
      <c r="BE208" s="30"/>
      <c r="BF208" s="64"/>
      <c r="BG208" s="64"/>
      <c r="BH208" s="180"/>
      <c r="BI208" s="38"/>
      <c r="BJ208" s="38"/>
      <c r="BK208" s="38"/>
      <c r="BL208" s="38"/>
      <c r="BM208" s="173"/>
      <c r="BN208" s="176"/>
      <c r="BO208" s="176"/>
      <c r="BP208" s="103"/>
      <c r="BQ208" s="265"/>
      <c r="BR208" s="103"/>
      <c r="BS208" s="103"/>
      <c r="BT208" s="202"/>
      <c r="BU208" s="265"/>
      <c r="BV208" s="103"/>
      <c r="BW208" s="103"/>
      <c r="BX208" s="202"/>
      <c r="BY208" s="265"/>
      <c r="BZ208" s="103"/>
      <c r="CA208" s="103"/>
      <c r="CB208" s="202"/>
      <c r="CC208" s="265"/>
      <c r="CD208" s="103"/>
      <c r="CE208" s="103"/>
      <c r="CF208" s="202"/>
      <c r="CG208" s="234"/>
      <c r="CH208" s="160"/>
      <c r="CM208" s="203"/>
      <c r="CN208" s="203"/>
      <c r="CO208" s="203"/>
      <c r="CP208" s="203"/>
      <c r="CQ208" s="103"/>
      <c r="CR208" s="103"/>
      <c r="CS208" s="104"/>
      <c r="CT208" s="1207"/>
      <c r="CU208" s="1207"/>
      <c r="CV208" s="1207"/>
      <c r="CW208" s="1207"/>
      <c r="CX208" s="1207"/>
      <c r="CY208" s="33"/>
      <c r="DF208" s="234"/>
    </row>
    <row r="209" spans="1:110" ht="12.75" customHeight="1">
      <c r="B209" s="34"/>
      <c r="C209" s="34"/>
      <c r="D209" s="34"/>
      <c r="E209" s="34"/>
      <c r="H209" s="34"/>
      <c r="I209" s="190" t="s">
        <v>541</v>
      </c>
      <c r="J209" s="70"/>
      <c r="K209" s="70"/>
      <c r="P209" s="234"/>
      <c r="T209" s="234"/>
      <c r="X209" s="234"/>
      <c r="AB209" s="234"/>
      <c r="AF209" s="249"/>
      <c r="AG209" s="203"/>
      <c r="AH209" s="203"/>
      <c r="AI209" s="203"/>
      <c r="AJ209" s="204"/>
      <c r="AK209" s="203"/>
      <c r="AL209" s="64"/>
      <c r="AM209" s="203"/>
      <c r="AN209" s="204"/>
      <c r="AO209" s="203"/>
      <c r="AP209" s="203"/>
      <c r="AQ209" s="203"/>
      <c r="AR209" s="204"/>
      <c r="AS209" s="103"/>
      <c r="AT209" s="103"/>
      <c r="AU209" s="103"/>
      <c r="AV209" s="202"/>
      <c r="AW209" s="103"/>
      <c r="AX209" s="103"/>
      <c r="AY209" s="103"/>
      <c r="AZ209" s="202"/>
      <c r="BA209" s="30"/>
      <c r="BB209" s="30"/>
      <c r="BC209" s="30"/>
      <c r="BD209" s="179"/>
      <c r="BE209" s="30"/>
      <c r="BF209" s="64"/>
      <c r="BG209" s="64"/>
      <c r="BH209" s="180"/>
      <c r="BI209" s="38"/>
      <c r="BJ209" s="38"/>
      <c r="BK209" s="38"/>
      <c r="BL209" s="38"/>
      <c r="BM209" s="173"/>
      <c r="BN209" s="176"/>
      <c r="BO209" s="176"/>
      <c r="BP209" s="103"/>
      <c r="BQ209" s="265"/>
      <c r="BR209" s="103"/>
      <c r="BS209" s="103"/>
      <c r="BT209" s="202"/>
      <c r="BU209" s="265"/>
      <c r="BV209" s="103"/>
      <c r="BW209" s="103"/>
      <c r="BX209" s="202"/>
      <c r="BY209" s="265"/>
      <c r="BZ209" s="103"/>
      <c r="CA209" s="103"/>
      <c r="CB209" s="202"/>
      <c r="CC209" s="265"/>
      <c r="CD209" s="103"/>
      <c r="CE209" s="103"/>
      <c r="CF209" s="202"/>
      <c r="CG209" s="234"/>
      <c r="CH209" s="160"/>
      <c r="CM209" s="203"/>
      <c r="CN209" s="203"/>
      <c r="CO209" s="203"/>
      <c r="CP209" s="203"/>
      <c r="CQ209" s="103"/>
      <c r="CR209" s="103"/>
      <c r="CS209" s="103">
        <f t="shared" ref="CS209:CY209" si="407">+CS205/CS210</f>
        <v>1.4414528799478741</v>
      </c>
      <c r="CT209" s="103">
        <f t="shared" si="407"/>
        <v>4.5838129039452973</v>
      </c>
      <c r="CU209" s="103">
        <f t="shared" si="407"/>
        <v>7.2607470114302517</v>
      </c>
      <c r="CV209" s="103">
        <f t="shared" si="407"/>
        <v>10.187191765672781</v>
      </c>
      <c r="CW209" s="103">
        <f t="shared" si="407"/>
        <v>16.53585011104623</v>
      </c>
      <c r="CX209" s="103">
        <f t="shared" si="407"/>
        <v>22.146176358891243</v>
      </c>
      <c r="CY209" s="103">
        <f t="shared" si="407"/>
        <v>30.137634024894776</v>
      </c>
      <c r="DF209" s="234"/>
    </row>
    <row r="210" spans="1:110" ht="12.75" customHeight="1">
      <c r="B210" s="34"/>
      <c r="C210" s="34"/>
      <c r="D210" s="34"/>
      <c r="E210" s="34"/>
      <c r="H210" s="34"/>
      <c r="I210" s="184" t="s">
        <v>542</v>
      </c>
      <c r="J210" s="70"/>
      <c r="K210" s="70"/>
      <c r="P210" s="234"/>
      <c r="T210" s="234"/>
      <c r="X210" s="234"/>
      <c r="AB210" s="234"/>
      <c r="AF210" s="249"/>
      <c r="AG210" s="1212"/>
      <c r="AH210" s="1212"/>
      <c r="AI210" s="1212"/>
      <c r="AJ210" s="1392"/>
      <c r="AK210" s="1212"/>
      <c r="AL210" s="1199"/>
      <c r="AM210" s="1212"/>
      <c r="AN210" s="1392"/>
      <c r="AO210" s="1212"/>
      <c r="AP210" s="1212"/>
      <c r="AQ210" s="1212"/>
      <c r="AR210" s="1392"/>
      <c r="AS210" s="1217"/>
      <c r="AT210" s="1217"/>
      <c r="AU210" s="1217"/>
      <c r="AV210" s="1218"/>
      <c r="AW210" s="1217"/>
      <c r="AX210" s="1217"/>
      <c r="AY210" s="1217"/>
      <c r="AZ210" s="1218"/>
      <c r="BA210" s="1217"/>
      <c r="BB210" s="1217"/>
      <c r="BC210" s="1217"/>
      <c r="BD210" s="1218"/>
      <c r="BE210" s="1217"/>
      <c r="BF210" s="1199"/>
      <c r="BG210" s="1199"/>
      <c r="BH210" s="1200"/>
      <c r="BI210" s="684"/>
      <c r="BJ210" s="684"/>
      <c r="BK210" s="684"/>
      <c r="BL210" s="684"/>
      <c r="BM210" s="1630"/>
      <c r="BN210" s="686"/>
      <c r="BO210" s="686"/>
      <c r="BP210" s="1217"/>
      <c r="BQ210" s="1617"/>
      <c r="BR210" s="1217"/>
      <c r="BS210" s="1217"/>
      <c r="BT210" s="1218"/>
      <c r="BU210" s="1617"/>
      <c r="BV210" s="1217"/>
      <c r="BW210" s="1217"/>
      <c r="BX210" s="1218"/>
      <c r="BY210" s="1617"/>
      <c r="BZ210" s="1217"/>
      <c r="CA210" s="1217"/>
      <c r="CB210" s="1218"/>
      <c r="CC210" s="1617"/>
      <c r="CD210" s="1217"/>
      <c r="CE210" s="1217"/>
      <c r="CF210" s="1218"/>
      <c r="CG210" s="234"/>
      <c r="CH210" s="160"/>
      <c r="CM210" s="1212"/>
      <c r="CN210" s="1212"/>
      <c r="CO210" s="1212"/>
      <c r="CP210" s="1212"/>
      <c r="CQ210" s="1217"/>
      <c r="CR210" s="1217"/>
      <c r="CS210" s="275">
        <v>5.8</v>
      </c>
      <c r="CT210" s="275">
        <f t="shared" ref="CT210:CY210" si="408">+CS210</f>
        <v>5.8</v>
      </c>
      <c r="CU210" s="275">
        <f t="shared" si="408"/>
        <v>5.8</v>
      </c>
      <c r="CV210" s="275">
        <f t="shared" si="408"/>
        <v>5.8</v>
      </c>
      <c r="CW210" s="275">
        <f t="shared" si="408"/>
        <v>5.8</v>
      </c>
      <c r="CX210" s="275">
        <f t="shared" si="408"/>
        <v>5.8</v>
      </c>
      <c r="CY210" s="275">
        <f t="shared" si="408"/>
        <v>5.8</v>
      </c>
      <c r="DF210" s="234"/>
    </row>
    <row r="211" spans="1:110" ht="12.75" customHeight="1">
      <c r="B211" s="34"/>
      <c r="C211" s="34"/>
      <c r="D211" s="34"/>
      <c r="E211" s="34"/>
      <c r="H211" s="34"/>
      <c r="I211" s="185"/>
      <c r="J211" s="70"/>
      <c r="K211" s="70"/>
      <c r="P211" s="234"/>
      <c r="T211" s="234"/>
      <c r="X211" s="234"/>
      <c r="AB211" s="234"/>
      <c r="AF211" s="249"/>
      <c r="AG211" s="203"/>
      <c r="AH211" s="203"/>
      <c r="AI211" s="203"/>
      <c r="AJ211" s="204"/>
      <c r="AK211" s="203"/>
      <c r="AL211" s="64"/>
      <c r="AM211" s="203"/>
      <c r="AN211" s="204"/>
      <c r="AO211" s="203"/>
      <c r="AP211" s="203"/>
      <c r="AQ211" s="203"/>
      <c r="AR211" s="204"/>
      <c r="AS211" s="103"/>
      <c r="AT211" s="103"/>
      <c r="AU211" s="103"/>
      <c r="AV211" s="202"/>
      <c r="AW211" s="103"/>
      <c r="AX211" s="103"/>
      <c r="AY211" s="103"/>
      <c r="AZ211" s="202"/>
      <c r="BA211" s="30"/>
      <c r="BB211" s="30"/>
      <c r="BC211" s="30"/>
      <c r="BD211" s="179"/>
      <c r="BE211" s="30"/>
      <c r="BF211" s="64"/>
      <c r="BG211" s="64"/>
      <c r="BH211" s="180"/>
      <c r="BI211" s="38"/>
      <c r="BJ211" s="38"/>
      <c r="BK211" s="38"/>
      <c r="BL211" s="38"/>
      <c r="BM211" s="173"/>
      <c r="BN211" s="38"/>
      <c r="BO211" s="38"/>
      <c r="BP211" s="103"/>
      <c r="BQ211" s="265"/>
      <c r="BR211" s="103"/>
      <c r="BS211" s="103"/>
      <c r="BT211" s="202"/>
      <c r="BU211" s="265"/>
      <c r="BV211" s="103"/>
      <c r="BW211" s="103"/>
      <c r="BX211" s="202"/>
      <c r="BY211" s="265"/>
      <c r="BZ211" s="103"/>
      <c r="CA211" s="103"/>
      <c r="CB211" s="202"/>
      <c r="CC211" s="265"/>
      <c r="CD211" s="103"/>
      <c r="CE211" s="103"/>
      <c r="CF211" s="202"/>
      <c r="CG211" s="234"/>
      <c r="CH211" s="160"/>
      <c r="CM211" s="203"/>
      <c r="CN211" s="203"/>
      <c r="CO211" s="203"/>
      <c r="CP211" s="203"/>
      <c r="CQ211" s="103"/>
      <c r="CR211" s="103"/>
      <c r="CY211" s="38"/>
      <c r="DF211" s="234"/>
    </row>
    <row r="212" spans="1:110" s="38" customFormat="1" ht="12.75" customHeight="1">
      <c r="A212" s="24"/>
      <c r="B212" s="34"/>
      <c r="C212" s="34"/>
      <c r="D212" s="34"/>
      <c r="E212" s="34"/>
      <c r="F212" s="24"/>
      <c r="G212" s="24"/>
      <c r="H212" s="34"/>
      <c r="I212" s="869" t="s">
        <v>296</v>
      </c>
      <c r="J212" s="809"/>
      <c r="K212" s="809"/>
      <c r="L212" s="106"/>
      <c r="M212" s="106"/>
      <c r="N212" s="106"/>
      <c r="O212" s="106"/>
      <c r="P212" s="217"/>
      <c r="Q212" s="106"/>
      <c r="R212" s="106"/>
      <c r="S212" s="106"/>
      <c r="T212" s="217"/>
      <c r="U212" s="106"/>
      <c r="V212" s="106"/>
      <c r="W212" s="106"/>
      <c r="X212" s="217"/>
      <c r="Y212" s="106"/>
      <c r="Z212" s="106"/>
      <c r="AA212" s="106"/>
      <c r="AB212" s="217"/>
      <c r="AC212" s="107"/>
      <c r="AD212" s="107"/>
      <c r="AE212" s="107"/>
      <c r="AF212" s="250"/>
      <c r="AG212" s="870"/>
      <c r="AH212" s="870"/>
      <c r="AI212" s="870"/>
      <c r="AJ212" s="871"/>
      <c r="AK212" s="870"/>
      <c r="AL212" s="870"/>
      <c r="AM212" s="870"/>
      <c r="AN212" s="871"/>
      <c r="AO212" s="870"/>
      <c r="AP212" s="870"/>
      <c r="AQ212" s="870"/>
      <c r="AR212" s="871"/>
      <c r="AS212" s="870"/>
      <c r="AT212" s="870"/>
      <c r="AU212" s="870"/>
      <c r="AV212" s="871"/>
      <c r="AW212" s="870"/>
      <c r="AX212" s="870"/>
      <c r="AY212" s="870"/>
      <c r="AZ212" s="871"/>
      <c r="BA212" s="870"/>
      <c r="BB212" s="870"/>
      <c r="BC212" s="870"/>
      <c r="BD212" s="871"/>
      <c r="BE212" s="870"/>
      <c r="BF212" s="870"/>
      <c r="BG212" s="870"/>
      <c r="BH212" s="871"/>
      <c r="BI212" s="106"/>
      <c r="BJ212" s="106"/>
      <c r="BK212" s="106"/>
      <c r="BL212" s="106"/>
      <c r="BM212" s="926"/>
      <c r="BN212" s="106"/>
      <c r="BO212" s="106"/>
      <c r="BP212" s="870"/>
      <c r="BQ212" s="1605"/>
      <c r="BR212" s="870"/>
      <c r="BS212" s="870"/>
      <c r="BT212" s="871"/>
      <c r="BU212" s="1605"/>
      <c r="BV212" s="870"/>
      <c r="BW212" s="870"/>
      <c r="BX212" s="871"/>
      <c r="BY212" s="1605"/>
      <c r="BZ212" s="870"/>
      <c r="CA212" s="870"/>
      <c r="CB212" s="871"/>
      <c r="CC212" s="1605"/>
      <c r="CD212" s="870"/>
      <c r="CE212" s="870"/>
      <c r="CF212" s="871"/>
      <c r="CG212" s="216"/>
      <c r="CH212" s="926"/>
      <c r="CI212" s="106"/>
      <c r="CJ212" s="106"/>
      <c r="CK212" s="106"/>
      <c r="CL212" s="106"/>
      <c r="CM212" s="870"/>
      <c r="CN212" s="106"/>
      <c r="CO212" s="870"/>
      <c r="CP212" s="870"/>
      <c r="CQ212" s="870"/>
      <c r="CR212" s="870"/>
      <c r="CS212" s="870"/>
      <c r="CT212" s="870"/>
      <c r="CU212" s="870"/>
      <c r="CV212" s="870"/>
      <c r="CW212" s="870"/>
      <c r="CX212" s="261"/>
      <c r="CY212" s="261"/>
      <c r="CZ212" s="261"/>
      <c r="DA212" s="261"/>
      <c r="DB212" s="261"/>
      <c r="DC212" s="261"/>
      <c r="DD212" s="261"/>
      <c r="DE212" s="261"/>
      <c r="DF212" s="262"/>
    </row>
    <row r="213" spans="1:110" ht="12.75" customHeight="1">
      <c r="B213" s="34"/>
      <c r="C213" s="34"/>
      <c r="D213" s="34"/>
      <c r="E213" s="34"/>
      <c r="H213" s="34"/>
      <c r="I213" s="178" t="s">
        <v>297</v>
      </c>
      <c r="J213" s="8"/>
      <c r="K213" s="8"/>
      <c r="P213" s="234"/>
      <c r="T213" s="234"/>
      <c r="X213" s="234"/>
      <c r="AB213" s="234"/>
      <c r="AF213" s="249"/>
      <c r="AJ213" s="179"/>
      <c r="AN213" s="179"/>
      <c r="AR213" s="162"/>
      <c r="AS213" s="33"/>
      <c r="AT213" s="33"/>
      <c r="AU213" s="33"/>
      <c r="AV213" s="162"/>
      <c r="AW213" s="118"/>
      <c r="AX213" s="118"/>
      <c r="AY213" s="887"/>
      <c r="AZ213" s="983"/>
      <c r="BA213" s="33"/>
      <c r="BB213" s="33"/>
      <c r="BC213" s="33"/>
      <c r="BD213" s="212"/>
      <c r="BE213" s="33"/>
      <c r="BF213" s="33"/>
      <c r="BG213" s="33"/>
      <c r="BH213" s="216"/>
      <c r="BI213" s="33"/>
      <c r="BJ213" s="33"/>
      <c r="BK213" s="33"/>
      <c r="BL213" s="33"/>
      <c r="BM213" s="257"/>
      <c r="BN213" s="36"/>
      <c r="BO213" s="36"/>
      <c r="BP213" s="33"/>
      <c r="BQ213" s="1595"/>
      <c r="BR213" s="33"/>
      <c r="BS213" s="33"/>
      <c r="BT213" s="162"/>
      <c r="BU213" s="1595"/>
      <c r="BV213" s="853"/>
      <c r="BW213" s="33"/>
      <c r="BX213" s="162"/>
      <c r="BY213" s="1595"/>
      <c r="BZ213" s="33"/>
      <c r="CA213" s="33"/>
      <c r="CB213" s="162"/>
      <c r="CC213" s="1595"/>
      <c r="CD213" s="33"/>
      <c r="CE213" s="33"/>
      <c r="CF213" s="162"/>
      <c r="CG213" s="234"/>
      <c r="CH213" s="160"/>
      <c r="CM213" s="30"/>
      <c r="CN213" s="33"/>
      <c r="CO213" s="33"/>
      <c r="CP213" s="889"/>
      <c r="CQ213" s="104"/>
      <c r="CR213" s="76"/>
      <c r="CS213" s="76"/>
      <c r="CT213" s="76"/>
      <c r="CU213" s="76"/>
      <c r="CV213" s="76"/>
      <c r="CW213" s="76"/>
      <c r="CX213" s="76"/>
      <c r="CY213" s="76"/>
      <c r="DF213" s="234"/>
    </row>
    <row r="214" spans="1:110" ht="12.75" customHeight="1">
      <c r="B214" s="34"/>
      <c r="C214" s="34"/>
      <c r="D214" s="34"/>
      <c r="E214" s="34"/>
      <c r="H214" s="34"/>
      <c r="I214" s="185" t="s">
        <v>298</v>
      </c>
      <c r="J214" s="70"/>
      <c r="K214" s="70"/>
      <c r="P214" s="234"/>
      <c r="T214" s="234"/>
      <c r="X214" s="234"/>
      <c r="AB214" s="234"/>
      <c r="AF214" s="249"/>
      <c r="AG214" s="1217"/>
      <c r="AH214" s="1217"/>
      <c r="AI214" s="1217"/>
      <c r="AJ214" s="1218"/>
      <c r="AK214" s="1217"/>
      <c r="AL214" s="1217"/>
      <c r="AM214" s="1217"/>
      <c r="AN214" s="1218">
        <v>13.4</v>
      </c>
      <c r="AO214" s="1217">
        <v>24.6</v>
      </c>
      <c r="AP214" s="1217">
        <v>24.2</v>
      </c>
      <c r="AQ214" s="1217">
        <v>32.4</v>
      </c>
      <c r="AR214" s="1218">
        <v>37.5</v>
      </c>
      <c r="AS214" s="1219">
        <f t="shared" ref="AS214:BD214" si="409">+AO214*(1+AS224)</f>
        <v>57.81</v>
      </c>
      <c r="AT214" s="1219">
        <f t="shared" si="409"/>
        <v>56.87</v>
      </c>
      <c r="AU214" s="1219">
        <f t="shared" si="409"/>
        <v>77.759999999999991</v>
      </c>
      <c r="AV214" s="1739">
        <f t="shared" si="409"/>
        <v>82.5</v>
      </c>
      <c r="AW214" s="1219">
        <f t="shared" si="409"/>
        <v>157.2432</v>
      </c>
      <c r="AX214" s="1219">
        <f t="shared" si="409"/>
        <v>153.54900000000001</v>
      </c>
      <c r="AY214" s="1219">
        <f t="shared" si="409"/>
        <v>206.06399999999996</v>
      </c>
      <c r="AZ214" s="1739">
        <f t="shared" si="409"/>
        <v>215.32500000000002</v>
      </c>
      <c r="BA214" s="1219">
        <f t="shared" si="409"/>
        <v>345.93504000000001</v>
      </c>
      <c r="BB214" s="1219">
        <f t="shared" si="409"/>
        <v>391.54994999999997</v>
      </c>
      <c r="BC214" s="1219">
        <f t="shared" si="409"/>
        <v>412.12799999999993</v>
      </c>
      <c r="BD214" s="1739">
        <f t="shared" si="409"/>
        <v>430.65000000000003</v>
      </c>
      <c r="BE214" s="1219">
        <f t="shared" ref="BE214:BL215" si="410">+BA214*(1+BE224)</f>
        <v>588.08956799999999</v>
      </c>
      <c r="BF214" s="1219">
        <f t="shared" si="410"/>
        <v>665.63491499999998</v>
      </c>
      <c r="BG214" s="1219">
        <f t="shared" si="410"/>
        <v>692.3750399999999</v>
      </c>
      <c r="BH214" s="1739">
        <f t="shared" si="410"/>
        <v>689.04000000000008</v>
      </c>
      <c r="BI214" s="1219">
        <f t="shared" si="410"/>
        <v>846.84897791999992</v>
      </c>
      <c r="BJ214" s="1219">
        <f t="shared" si="410"/>
        <v>998.45237249999991</v>
      </c>
      <c r="BK214" s="1219">
        <f>+BG214*(1+BK224)</f>
        <v>990.09630719999984</v>
      </c>
      <c r="BL214" s="1219">
        <f t="shared" si="410"/>
        <v>930.20400000000018</v>
      </c>
      <c r="BM214" s="1740">
        <f t="shared" ref="BM214:BU215" si="411">+BI214*(1+BM224)</f>
        <v>1100.9036712959999</v>
      </c>
      <c r="BN214" s="1219">
        <f t="shared" si="411"/>
        <v>1297.9880842499999</v>
      </c>
      <c r="BO214" s="1219">
        <f t="shared" si="411"/>
        <v>1287.1251993599999</v>
      </c>
      <c r="BP214" s="1219">
        <f>+BL214*(1+BP224)</f>
        <v>1209.2652000000003</v>
      </c>
      <c r="BQ214" s="1740">
        <f>+BM214*(1+BQ224)</f>
        <v>1321.0844055551997</v>
      </c>
      <c r="BR214" s="1219">
        <f>+BN214*(1+BR224)</f>
        <v>1557.5857010999998</v>
      </c>
      <c r="BS214" s="1219">
        <f>+BO214*(1+BS224)</f>
        <v>1158.4126794239999</v>
      </c>
      <c r="BT214" s="1219">
        <f>+BP214*(1+BT224)</f>
        <v>1330.1917200000005</v>
      </c>
      <c r="BU214" s="1740">
        <f t="shared" si="411"/>
        <v>1690.9880391106558</v>
      </c>
      <c r="BV214" s="1219">
        <f>+BR214*(1+BV224)</f>
        <v>1946.9821263749998</v>
      </c>
      <c r="BW214" s="1219">
        <f>+BS214*(1+BW224)</f>
        <v>1482.7682296627199</v>
      </c>
      <c r="BX214" s="1739">
        <f t="shared" ref="BX214:CF215" si="412">+BT214*(1+BX224)</f>
        <v>1702.6454016000007</v>
      </c>
      <c r="BY214" s="1740">
        <f>+BU214*(1+BY224)</f>
        <v>2113.7350488883199</v>
      </c>
      <c r="BZ214" s="1219">
        <f t="shared" si="412"/>
        <v>2433.7276579687496</v>
      </c>
      <c r="CA214" s="1219">
        <f t="shared" si="412"/>
        <v>1853.4602870783999</v>
      </c>
      <c r="CB214" s="1739">
        <f t="shared" si="412"/>
        <v>2128.3067520000009</v>
      </c>
      <c r="CC214" s="1740">
        <f>+BY214*(1+CC224)</f>
        <v>2430.7953062215674</v>
      </c>
      <c r="CD214" s="1219">
        <f t="shared" si="412"/>
        <v>2798.7868066640617</v>
      </c>
      <c r="CE214" s="1219">
        <f>+CA214*(1+CE224)</f>
        <v>2131.4793301401596</v>
      </c>
      <c r="CF214" s="1739">
        <f>+CB214*(1+CF224)</f>
        <v>2447.5527648000007</v>
      </c>
      <c r="CG214" s="234"/>
      <c r="CH214" s="160"/>
      <c r="CM214" s="1217"/>
      <c r="CN214" s="1207"/>
      <c r="CO214" s="1217">
        <f>+SUM(AO214:AR214)</f>
        <v>118.69999999999999</v>
      </c>
      <c r="CP214" s="1219">
        <f>+SUM(AS214:AV214)</f>
        <v>274.94</v>
      </c>
      <c r="CQ214" s="1207">
        <f>+SUM(AW214:AZ214)</f>
        <v>732.18119999999999</v>
      </c>
      <c r="CR214" s="1207">
        <f>+SUM(BA214:BD214)</f>
        <v>1580.2629899999999</v>
      </c>
      <c r="CS214" s="1207">
        <f>+SUM(BE214:BH214)</f>
        <v>2635.1395229999998</v>
      </c>
      <c r="CT214" s="1207">
        <f>+SUM(BI214:BL214)</f>
        <v>3765.60165762</v>
      </c>
      <c r="CU214" s="1207">
        <f>+SUM(BM214:BP214)</f>
        <v>4895.282154906</v>
      </c>
      <c r="CV214" s="1207">
        <f>+SUM(BQ214:BT214)</f>
        <v>5367.2745060792004</v>
      </c>
      <c r="CW214" s="1207">
        <f>+SUM(BU214:BX214)</f>
        <v>6823.383796748376</v>
      </c>
      <c r="CX214" s="1207">
        <f>+SUM(BY214:CB214)</f>
        <v>8529.2297459354704</v>
      </c>
      <c r="CY214" s="1207">
        <f>+SUM(CC214:CF214)</f>
        <v>9808.6142078257908</v>
      </c>
      <c r="CZ214" s="1219">
        <f>+CY214*(1+CZ224)</f>
        <v>11059.212519323579</v>
      </c>
      <c r="DA214" s="1219">
        <f t="shared" ref="DA214:DF214" si="413">+CZ214*(1+DA224)</f>
        <v>12257.754676105271</v>
      </c>
      <c r="DB214" s="1219">
        <f t="shared" si="413"/>
        <v>13402.322518986601</v>
      </c>
      <c r="DC214" s="1219">
        <f t="shared" si="413"/>
        <v>14452.729546412174</v>
      </c>
      <c r="DD214" s="1219">
        <f t="shared" si="413"/>
        <v>15585.462224612227</v>
      </c>
      <c r="DE214" s="1219">
        <f t="shared" si="413"/>
        <v>16806.972826466208</v>
      </c>
      <c r="DF214" s="1739">
        <f t="shared" si="413"/>
        <v>18124.219321740497</v>
      </c>
    </row>
    <row r="215" spans="1:110" s="53" customFormat="1" ht="12.75" customHeight="1">
      <c r="B215" s="1260"/>
      <c r="C215" s="1260"/>
      <c r="D215" s="1260"/>
      <c r="E215" s="1260"/>
      <c r="H215" s="1260"/>
      <c r="I215" s="191" t="s">
        <v>299</v>
      </c>
      <c r="J215" s="80"/>
      <c r="K215" s="80"/>
      <c r="P215" s="244"/>
      <c r="T215" s="244"/>
      <c r="X215" s="244"/>
      <c r="AB215" s="244"/>
      <c r="AC215" s="712"/>
      <c r="AD215" s="712"/>
      <c r="AE215" s="712"/>
      <c r="AF215" s="955"/>
      <c r="AG215" s="113"/>
      <c r="AH215" s="113"/>
      <c r="AI215" s="113"/>
      <c r="AJ215" s="253"/>
      <c r="AK215" s="113"/>
      <c r="AL215" s="113"/>
      <c r="AM215" s="113"/>
      <c r="AN215" s="253"/>
      <c r="AO215" s="113"/>
      <c r="AP215" s="113"/>
      <c r="AQ215" s="114"/>
      <c r="AR215" s="228"/>
      <c r="AS215" s="114">
        <f>+(AW215/(1+AW225))</f>
        <v>26.163670628057151</v>
      </c>
      <c r="AT215" s="114">
        <f>+(AX215/(1+AX225))</f>
        <v>24.334340811786486</v>
      </c>
      <c r="AU215" s="114">
        <f>+AU216-AU214</f>
        <v>30.981469931342119</v>
      </c>
      <c r="AV215" s="228">
        <v>28.389131690584257</v>
      </c>
      <c r="AW215" s="114">
        <v>52.327341256114302</v>
      </c>
      <c r="AX215" s="114">
        <v>48.668681623572972</v>
      </c>
      <c r="AY215" s="114">
        <f>193-AX215-AW215-AV215</f>
        <v>63.614845429728469</v>
      </c>
      <c r="AZ215" s="228">
        <f>+AZ216-AZ214</f>
        <v>61.89782922646063</v>
      </c>
      <c r="BA215" s="114">
        <f>+AW215*(1+BA225)</f>
        <v>112.50378370064574</v>
      </c>
      <c r="BB215" s="114">
        <f>+AX215*(1+BB225)</f>
        <v>111.93796773421782</v>
      </c>
      <c r="BC215" s="114">
        <f>+AY215*(1+BC225)</f>
        <v>146.31414448837546</v>
      </c>
      <c r="BD215" s="228">
        <f>+AZ215*(1+BD225)</f>
        <v>142.36500722085944</v>
      </c>
      <c r="BE215" s="114">
        <f t="shared" si="410"/>
        <v>180.00605392103319</v>
      </c>
      <c r="BF215" s="114">
        <f t="shared" si="410"/>
        <v>179.10074837474852</v>
      </c>
      <c r="BG215" s="114">
        <f t="shared" si="410"/>
        <v>234.10263118140074</v>
      </c>
      <c r="BH215" s="228">
        <f t="shared" si="410"/>
        <v>227.78401155337511</v>
      </c>
      <c r="BI215" s="114">
        <f t="shared" si="410"/>
        <v>288.00968627365313</v>
      </c>
      <c r="BJ215" s="114">
        <f t="shared" si="410"/>
        <v>286.56119739959763</v>
      </c>
      <c r="BK215" s="114">
        <f t="shared" si="410"/>
        <v>374.56420989024122</v>
      </c>
      <c r="BL215" s="114">
        <f t="shared" si="410"/>
        <v>364.4544184854002</v>
      </c>
      <c r="BM215" s="1618">
        <f t="shared" si="411"/>
        <v>417.61404509679704</v>
      </c>
      <c r="BN215" s="114">
        <f t="shared" si="411"/>
        <v>415.51373622941657</v>
      </c>
      <c r="BO215" s="114">
        <f t="shared" si="411"/>
        <v>543.11810434084975</v>
      </c>
      <c r="BP215" s="114">
        <f t="shared" si="411"/>
        <v>528.45890680383025</v>
      </c>
      <c r="BQ215" s="1618">
        <f>+BM215*(1+BQ225)</f>
        <v>563.7789608806761</v>
      </c>
      <c r="BR215" s="114">
        <f>+BN215*(1+BR225)</f>
        <v>560.94354390971239</v>
      </c>
      <c r="BS215" s="114">
        <f>+BO215*(1+BS225)</f>
        <v>733.2094408601472</v>
      </c>
      <c r="BT215" s="114">
        <f t="shared" si="411"/>
        <v>713.41952418517087</v>
      </c>
      <c r="BU215" s="1618">
        <f t="shared" si="411"/>
        <v>749.82601797129928</v>
      </c>
      <c r="BV215" s="114">
        <f>+BR215*(1+BV225)</f>
        <v>718.00773620443192</v>
      </c>
      <c r="BW215" s="114">
        <f>+BS215*(1+BW225)</f>
        <v>938.50808430098846</v>
      </c>
      <c r="BX215" s="228">
        <f t="shared" si="412"/>
        <v>913.17699095701869</v>
      </c>
      <c r="BY215" s="1618">
        <f t="shared" si="412"/>
        <v>959.77730300326311</v>
      </c>
      <c r="BZ215" s="114">
        <f t="shared" si="412"/>
        <v>919.04990234167292</v>
      </c>
      <c r="CA215" s="114">
        <f t="shared" si="412"/>
        <v>1201.2903479052652</v>
      </c>
      <c r="CB215" s="228">
        <f t="shared" si="412"/>
        <v>1168.8665484249839</v>
      </c>
      <c r="CC215" s="1618">
        <f>+BY215*(1+CC225)</f>
        <v>1151.7327636039156</v>
      </c>
      <c r="CD215" s="114">
        <f>+BZ215*(1+CD225)</f>
        <v>1102.8598828100075</v>
      </c>
      <c r="CE215" s="114">
        <f t="shared" si="412"/>
        <v>1441.5484174863182</v>
      </c>
      <c r="CF215" s="228">
        <f t="shared" si="412"/>
        <v>1402.6398581099807</v>
      </c>
      <c r="CG215" s="244"/>
      <c r="CH215" s="227"/>
      <c r="CM215" s="113"/>
      <c r="CN215" s="114"/>
      <c r="CO215" s="114"/>
      <c r="CP215" s="743">
        <f>+SUM(AS215:AV215)</f>
        <v>109.86861306177002</v>
      </c>
      <c r="CQ215" s="114">
        <f>+SUM(AW215:AZ215)</f>
        <v>226.50869753587637</v>
      </c>
      <c r="CR215" s="114">
        <f>+SUM(BA215:BD215)</f>
        <v>513.12090314409841</v>
      </c>
      <c r="CS215" s="114">
        <f>+SUM(BE215:BH215)</f>
        <v>820.9934450305575</v>
      </c>
      <c r="CT215" s="114">
        <f>+SUM(BI215:BL215)</f>
        <v>1313.5895120488922</v>
      </c>
      <c r="CU215" s="114">
        <f>+SUM(BM215:BP215)</f>
        <v>1904.7047924708936</v>
      </c>
      <c r="CV215" s="114">
        <f>+SUM(BQ215:BT215)</f>
        <v>2571.3514698357067</v>
      </c>
      <c r="CW215" s="114">
        <f>+SUM(BU215:BX215)</f>
        <v>3319.5188294337386</v>
      </c>
      <c r="CX215" s="114">
        <f>+SUM(BY215:CB215)</f>
        <v>4248.9841016751852</v>
      </c>
      <c r="CY215" s="114">
        <f>+SUM(CC215:CF215)</f>
        <v>5098.7809220102217</v>
      </c>
      <c r="CZ215" s="114">
        <f>+CY215*(1+CZ225)</f>
        <v>5996.1663642840203</v>
      </c>
      <c r="DA215" s="114">
        <f t="shared" ref="DA215:DF215" si="414">+CZ215*(1+DA225)</f>
        <v>6893.1928523809092</v>
      </c>
      <c r="DB215" s="114">
        <f t="shared" si="414"/>
        <v>7821.0166103113788</v>
      </c>
      <c r="DC215" s="114">
        <f t="shared" si="414"/>
        <v>8756.4101969046187</v>
      </c>
      <c r="DD215" s="114">
        <f t="shared" si="414"/>
        <v>9803.6768564544109</v>
      </c>
      <c r="DE215" s="114">
        <f t="shared" si="414"/>
        <v>10976.196608486358</v>
      </c>
      <c r="DF215" s="228">
        <f t="shared" si="414"/>
        <v>12288.949722861325</v>
      </c>
    </row>
    <row r="216" spans="1:110" ht="12.75" customHeight="1">
      <c r="B216" s="34"/>
      <c r="C216" s="34"/>
      <c r="D216" s="34"/>
      <c r="E216" s="34"/>
      <c r="F216" s="34"/>
      <c r="I216" s="160" t="s">
        <v>300</v>
      </c>
      <c r="P216" s="234"/>
      <c r="T216" s="234"/>
      <c r="X216" s="234"/>
      <c r="AB216" s="234"/>
      <c r="AF216" s="249"/>
      <c r="AJ216" s="179"/>
      <c r="AN216" s="179"/>
      <c r="AR216" s="162"/>
      <c r="AS216" s="104">
        <f>+AS215+AS214</f>
        <v>83.97367062805715</v>
      </c>
      <c r="AT216" s="104">
        <f>+AT215+AT214</f>
        <v>81.20434081178648</v>
      </c>
      <c r="AU216" s="104">
        <f>+AY216/(1+AY226)</f>
        <v>108.74146993134211</v>
      </c>
      <c r="AV216" s="212">
        <f>+AV215+AV214</f>
        <v>110.88913169058426</v>
      </c>
      <c r="AW216" s="104">
        <f>+AW215+AW214</f>
        <v>209.5705412561143</v>
      </c>
      <c r="AX216" s="104">
        <f>+AX215+AX214</f>
        <v>202.21768162357299</v>
      </c>
      <c r="AY216" s="104">
        <f>+AY215+AY214</f>
        <v>269.67884542972843</v>
      </c>
      <c r="AZ216" s="212">
        <f>+AV216*(1+AZ226)</f>
        <v>277.22282922646065</v>
      </c>
      <c r="BA216" s="104">
        <f t="shared" ref="BA216:BL216" si="415">+BA215+BA214</f>
        <v>458.43882370064574</v>
      </c>
      <c r="BB216" s="104">
        <f t="shared" si="415"/>
        <v>503.48791773421777</v>
      </c>
      <c r="BC216" s="104">
        <f t="shared" si="415"/>
        <v>558.44214448837533</v>
      </c>
      <c r="BD216" s="212">
        <f t="shared" si="415"/>
        <v>573.0150072208595</v>
      </c>
      <c r="BE216" s="104">
        <f t="shared" si="415"/>
        <v>768.09562192103317</v>
      </c>
      <c r="BF216" s="104">
        <f t="shared" si="415"/>
        <v>844.73566337474847</v>
      </c>
      <c r="BG216" s="104">
        <f t="shared" si="415"/>
        <v>926.47767118140064</v>
      </c>
      <c r="BH216" s="212">
        <f t="shared" si="415"/>
        <v>916.82401155337516</v>
      </c>
      <c r="BI216" s="104">
        <f t="shared" si="415"/>
        <v>1134.8586641936531</v>
      </c>
      <c r="BJ216" s="104">
        <f t="shared" si="415"/>
        <v>1285.0135698995975</v>
      </c>
      <c r="BK216" s="104">
        <f t="shared" si="415"/>
        <v>1364.660517090241</v>
      </c>
      <c r="BL216" s="104">
        <f t="shared" si="415"/>
        <v>1294.6584184854005</v>
      </c>
      <c r="BM216" s="851">
        <f t="shared" ref="BM216:CF216" si="416">+BM215+BM214</f>
        <v>1518.517716392797</v>
      </c>
      <c r="BN216" s="104">
        <f t="shared" si="416"/>
        <v>1713.5018204794164</v>
      </c>
      <c r="BO216" s="104">
        <f t="shared" si="416"/>
        <v>1830.2433037008495</v>
      </c>
      <c r="BP216" s="104">
        <f t="shared" si="416"/>
        <v>1737.7241068038306</v>
      </c>
      <c r="BQ216" s="851">
        <f t="shared" si="416"/>
        <v>1884.8633664358758</v>
      </c>
      <c r="BR216" s="104">
        <f>+BR215+BR214</f>
        <v>2118.5292450097122</v>
      </c>
      <c r="BS216" s="104">
        <f>+BS215+BS214</f>
        <v>1891.6221202841471</v>
      </c>
      <c r="BT216" s="104">
        <f>+BT215+BT214</f>
        <v>2043.6112441851715</v>
      </c>
      <c r="BU216" s="851">
        <f t="shared" si="416"/>
        <v>2440.8140570819551</v>
      </c>
      <c r="BV216" s="104">
        <f t="shared" si="416"/>
        <v>2664.9898625794317</v>
      </c>
      <c r="BW216" s="104">
        <f>+BW215+BW214</f>
        <v>2421.2763139637082</v>
      </c>
      <c r="BX216" s="212">
        <f t="shared" si="416"/>
        <v>2615.8223925570192</v>
      </c>
      <c r="BY216" s="851">
        <f t="shared" si="416"/>
        <v>3073.512351891583</v>
      </c>
      <c r="BZ216" s="104">
        <f t="shared" si="416"/>
        <v>3352.7775603104224</v>
      </c>
      <c r="CA216" s="104">
        <f t="shared" si="416"/>
        <v>3054.7506349836649</v>
      </c>
      <c r="CB216" s="212">
        <f t="shared" si="416"/>
        <v>3297.1733004249845</v>
      </c>
      <c r="CC216" s="851">
        <f t="shared" si="416"/>
        <v>3582.5280698254828</v>
      </c>
      <c r="CD216" s="104">
        <f t="shared" si="416"/>
        <v>3901.6466894740693</v>
      </c>
      <c r="CE216" s="104">
        <f t="shared" si="416"/>
        <v>3573.0277476264778</v>
      </c>
      <c r="CF216" s="212">
        <f t="shared" si="416"/>
        <v>3850.1926229099813</v>
      </c>
      <c r="CG216" s="234"/>
      <c r="CH216" s="160"/>
      <c r="CM216" s="30"/>
      <c r="CN216" s="33"/>
      <c r="CO216" s="33"/>
      <c r="CP216" s="213">
        <f>+SUM(AS216:AV216)</f>
        <v>384.80861306176996</v>
      </c>
      <c r="CQ216" s="104">
        <f>+SUM(AW216:AZ216)</f>
        <v>958.6898975358763</v>
      </c>
      <c r="CR216" s="104">
        <f t="shared" ref="CR216:CY216" si="417">+CR215+CR214</f>
        <v>2093.3838931440982</v>
      </c>
      <c r="CS216" s="104">
        <f t="shared" si="417"/>
        <v>3456.1329680305571</v>
      </c>
      <c r="CT216" s="104">
        <f t="shared" si="417"/>
        <v>5079.1911696688921</v>
      </c>
      <c r="CU216" s="104">
        <f t="shared" si="417"/>
        <v>6799.986947376894</v>
      </c>
      <c r="CV216" s="104">
        <f t="shared" si="417"/>
        <v>7938.625975914907</v>
      </c>
      <c r="CW216" s="104">
        <f t="shared" si="417"/>
        <v>10142.902626182115</v>
      </c>
      <c r="CX216" s="104">
        <f t="shared" si="417"/>
        <v>12778.213847610656</v>
      </c>
      <c r="CY216" s="104">
        <f t="shared" si="417"/>
        <v>14907.395129836012</v>
      </c>
      <c r="CZ216" s="104">
        <f>+CZ215+CZ214</f>
        <v>17055.378883607598</v>
      </c>
      <c r="DA216" s="104">
        <f t="shared" ref="DA216:DF216" si="418">+DA215+DA214</f>
        <v>19150.94752848618</v>
      </c>
      <c r="DB216" s="104">
        <f t="shared" si="418"/>
        <v>21223.33912929798</v>
      </c>
      <c r="DC216" s="104">
        <f t="shared" si="418"/>
        <v>23209.139743316795</v>
      </c>
      <c r="DD216" s="104">
        <f t="shared" si="418"/>
        <v>25389.139081066638</v>
      </c>
      <c r="DE216" s="104">
        <f t="shared" si="418"/>
        <v>27783.169434952564</v>
      </c>
      <c r="DF216" s="212">
        <f t="shared" si="418"/>
        <v>30413.169044601822</v>
      </c>
    </row>
    <row r="217" spans="1:110" ht="12.75" customHeight="1">
      <c r="B217" s="34"/>
      <c r="C217" s="34"/>
      <c r="D217" s="34"/>
      <c r="E217" s="34"/>
      <c r="H217" s="34"/>
      <c r="I217" s="160"/>
      <c r="P217" s="234"/>
      <c r="T217" s="234"/>
      <c r="X217" s="234"/>
      <c r="AB217" s="234"/>
      <c r="AF217" s="249"/>
      <c r="AJ217" s="179"/>
      <c r="AN217" s="179"/>
      <c r="AR217" s="162"/>
      <c r="AS217" s="104"/>
      <c r="AT217" s="104"/>
      <c r="AU217" s="104"/>
      <c r="AV217" s="212"/>
      <c r="AW217" s="104"/>
      <c r="AX217" s="104"/>
      <c r="AY217" s="120"/>
      <c r="AZ217" s="212"/>
      <c r="BA217" s="104"/>
      <c r="BB217" s="104"/>
      <c r="BC217" s="104"/>
      <c r="BD217" s="212"/>
      <c r="BE217" s="104"/>
      <c r="BF217" s="104"/>
      <c r="BG217" s="104"/>
      <c r="BH217" s="212"/>
      <c r="BI217" s="38"/>
      <c r="BJ217" s="38"/>
      <c r="BK217" s="38"/>
      <c r="BL217" s="38"/>
      <c r="BM217" s="173"/>
      <c r="BN217" s="38"/>
      <c r="BO217" s="38"/>
      <c r="BP217" s="120"/>
      <c r="BQ217" s="851"/>
      <c r="BR217" s="104"/>
      <c r="BS217" s="104"/>
      <c r="BT217" s="120"/>
      <c r="BU217" s="851"/>
      <c r="BV217" s="104"/>
      <c r="BW217" s="104"/>
      <c r="BX217" s="212"/>
      <c r="BY217" s="851"/>
      <c r="BZ217" s="104"/>
      <c r="CA217" s="104"/>
      <c r="CB217" s="212"/>
      <c r="CC217" s="851"/>
      <c r="CD217" s="104"/>
      <c r="CE217" s="104"/>
      <c r="CF217" s="212"/>
      <c r="CG217" s="234"/>
      <c r="CH217" s="160"/>
      <c r="CM217" s="30"/>
      <c r="CN217" s="33"/>
      <c r="CO217" s="33"/>
      <c r="CP217" s="213"/>
      <c r="CQ217" s="104"/>
      <c r="CR217" s="120"/>
      <c r="CS217" s="120"/>
      <c r="CT217" s="120"/>
      <c r="CU217" s="120"/>
      <c r="CV217" s="104"/>
      <c r="CW217" s="104"/>
      <c r="CX217" s="104"/>
      <c r="CY217" s="104"/>
      <c r="DF217" s="234"/>
    </row>
    <row r="218" spans="1:110" ht="12.75" customHeight="1">
      <c r="I218" s="178" t="s">
        <v>385</v>
      </c>
      <c r="J218" s="8"/>
      <c r="K218" s="8"/>
      <c r="P218" s="234"/>
      <c r="T218" s="234"/>
      <c r="X218" s="234"/>
      <c r="AB218" s="234"/>
      <c r="AF218" s="249"/>
      <c r="AJ218" s="179"/>
      <c r="AN218" s="179"/>
      <c r="AR218" s="162"/>
      <c r="AS218" s="104"/>
      <c r="AT218" s="104"/>
      <c r="AU218" s="104"/>
      <c r="AV218" s="212"/>
      <c r="AW218" s="104"/>
      <c r="AX218" s="104"/>
      <c r="AY218" s="104"/>
      <c r="AZ218" s="212"/>
      <c r="BA218" s="104"/>
      <c r="BB218" s="104"/>
      <c r="BC218" s="104"/>
      <c r="BD218" s="212"/>
      <c r="BE218" s="104"/>
      <c r="BF218" s="104"/>
      <c r="BG218" s="104"/>
      <c r="BH218" s="212"/>
      <c r="BI218" s="38"/>
      <c r="BJ218" s="77"/>
      <c r="BK218" s="77"/>
      <c r="BL218" s="104"/>
      <c r="BM218" s="173"/>
      <c r="BN218" s="38"/>
      <c r="BO218" s="38"/>
      <c r="BP218" s="104"/>
      <c r="BQ218" s="851"/>
      <c r="BR218" s="104"/>
      <c r="BS218" s="104"/>
      <c r="BT218" s="104"/>
      <c r="BU218" s="851"/>
      <c r="BV218" s="104"/>
      <c r="BW218" s="104"/>
      <c r="BX218" s="212"/>
      <c r="BY218" s="851"/>
      <c r="BZ218" s="104"/>
      <c r="CA218" s="104"/>
      <c r="CB218" s="212"/>
      <c r="CC218" s="851"/>
      <c r="CD218" s="104"/>
      <c r="CE218" s="104"/>
      <c r="CF218" s="212"/>
      <c r="CG218" s="234"/>
      <c r="CH218" s="160"/>
      <c r="CM218" s="30"/>
      <c r="CN218" s="33"/>
      <c r="CO218" s="33"/>
      <c r="CP218" s="213"/>
      <c r="CQ218" s="104"/>
      <c r="CR218" s="104"/>
      <c r="CS218" s="104"/>
      <c r="CT218" s="104"/>
      <c r="CU218" s="104"/>
      <c r="CV218" s="104"/>
      <c r="CW218" s="104"/>
      <c r="CX218" s="104"/>
      <c r="CY218" s="104"/>
      <c r="DF218" s="234"/>
    </row>
    <row r="219" spans="1:110" ht="12.75" customHeight="1">
      <c r="B219" s="34"/>
      <c r="C219" s="34"/>
      <c r="D219" s="34"/>
      <c r="E219" s="34"/>
      <c r="H219" s="34"/>
      <c r="I219" s="185" t="s">
        <v>298</v>
      </c>
      <c r="J219" s="70"/>
      <c r="K219" s="70"/>
      <c r="P219" s="234"/>
      <c r="T219" s="234"/>
      <c r="X219" s="234"/>
      <c r="AB219" s="234"/>
      <c r="AF219" s="249"/>
      <c r="AJ219" s="179"/>
      <c r="AN219" s="179"/>
      <c r="AR219" s="162"/>
      <c r="AS219" s="104"/>
      <c r="AT219" s="104"/>
      <c r="AU219" s="104"/>
      <c r="AV219" s="212"/>
      <c r="AW219" s="33">
        <f t="shared" ref="AW219:BD221" si="419">+AW214-AS214</f>
        <v>99.433199999999999</v>
      </c>
      <c r="AX219" s="33">
        <f t="shared" si="419"/>
        <v>96.679000000000002</v>
      </c>
      <c r="AY219" s="33">
        <f t="shared" si="419"/>
        <v>128.30399999999997</v>
      </c>
      <c r="AZ219" s="162">
        <f t="shared" si="419"/>
        <v>132.82500000000002</v>
      </c>
      <c r="BA219" s="33">
        <f t="shared" si="419"/>
        <v>188.69184000000001</v>
      </c>
      <c r="BB219" s="33">
        <f t="shared" si="419"/>
        <v>238.00094999999996</v>
      </c>
      <c r="BC219" s="33">
        <f t="shared" si="419"/>
        <v>206.06399999999996</v>
      </c>
      <c r="BD219" s="162">
        <f t="shared" si="419"/>
        <v>215.32500000000002</v>
      </c>
      <c r="BE219" s="33">
        <f t="shared" ref="BE219:BL221" si="420">+BE214-BA214</f>
        <v>242.15452799999997</v>
      </c>
      <c r="BF219" s="33">
        <f t="shared" si="420"/>
        <v>274.08496500000001</v>
      </c>
      <c r="BG219" s="33">
        <f t="shared" si="420"/>
        <v>280.24703999999997</v>
      </c>
      <c r="BH219" s="162">
        <f t="shared" si="420"/>
        <v>258.39000000000004</v>
      </c>
      <c r="BI219" s="33">
        <f t="shared" si="420"/>
        <v>258.75940991999994</v>
      </c>
      <c r="BJ219" s="33">
        <f t="shared" si="420"/>
        <v>332.81745749999993</v>
      </c>
      <c r="BK219" s="33">
        <f t="shared" si="420"/>
        <v>297.72126719999994</v>
      </c>
      <c r="BL219" s="33">
        <f t="shared" si="420"/>
        <v>241.1640000000001</v>
      </c>
      <c r="BM219" s="1595">
        <f t="shared" ref="BM219:BW221" si="421">+BM214-BI214</f>
        <v>254.05469337599993</v>
      </c>
      <c r="BN219" s="33">
        <f t="shared" si="421"/>
        <v>299.53571175000002</v>
      </c>
      <c r="BO219" s="33">
        <f t="shared" si="421"/>
        <v>297.02889216000005</v>
      </c>
      <c r="BP219" s="33">
        <f t="shared" si="421"/>
        <v>279.0612000000001</v>
      </c>
      <c r="BQ219" s="1595">
        <f t="shared" si="421"/>
        <v>220.18073425919988</v>
      </c>
      <c r="BR219" s="33">
        <f t="shared" si="421"/>
        <v>259.59761684999989</v>
      </c>
      <c r="BS219" s="33">
        <f t="shared" si="421"/>
        <v>-128.71251993600004</v>
      </c>
      <c r="BT219" s="33">
        <f t="shared" si="421"/>
        <v>120.92652000000021</v>
      </c>
      <c r="BU219" s="1595">
        <f t="shared" si="421"/>
        <v>369.90363355545605</v>
      </c>
      <c r="BV219" s="33">
        <f t="shared" si="421"/>
        <v>389.39642527499996</v>
      </c>
      <c r="BW219" s="33">
        <f t="shared" si="421"/>
        <v>324.35555023872007</v>
      </c>
      <c r="BX219" s="162">
        <f t="shared" ref="BX219:CF221" si="422">+BX214-BT214</f>
        <v>372.45368160000021</v>
      </c>
      <c r="BY219" s="1595">
        <f t="shared" si="422"/>
        <v>422.74700977766406</v>
      </c>
      <c r="BZ219" s="33">
        <f t="shared" si="422"/>
        <v>486.74553159374977</v>
      </c>
      <c r="CA219" s="33">
        <f t="shared" si="422"/>
        <v>370.69205741567998</v>
      </c>
      <c r="CB219" s="162">
        <f t="shared" si="422"/>
        <v>425.66135040000017</v>
      </c>
      <c r="CC219" s="1595">
        <f t="shared" si="422"/>
        <v>317.06025733324759</v>
      </c>
      <c r="CD219" s="33">
        <f t="shared" si="422"/>
        <v>365.05914869531216</v>
      </c>
      <c r="CE219" s="33">
        <f t="shared" si="422"/>
        <v>278.0190430617597</v>
      </c>
      <c r="CF219" s="162">
        <f t="shared" si="422"/>
        <v>319.24601279999979</v>
      </c>
      <c r="CG219" s="234"/>
      <c r="CH219" s="160"/>
      <c r="CM219" s="30"/>
      <c r="CN219" s="33"/>
      <c r="CO219" s="33"/>
      <c r="CP219" s="213"/>
      <c r="CQ219" s="33">
        <f t="shared" ref="CQ219:CX219" si="423">+CQ214-CP214</f>
        <v>457.24119999999999</v>
      </c>
      <c r="CR219" s="33">
        <f t="shared" si="423"/>
        <v>848.08178999999996</v>
      </c>
      <c r="CS219" s="33">
        <f t="shared" si="423"/>
        <v>1054.8765329999999</v>
      </c>
      <c r="CT219" s="33">
        <f t="shared" si="423"/>
        <v>1130.4621346200001</v>
      </c>
      <c r="CU219" s="33">
        <f t="shared" si="423"/>
        <v>1129.680497286</v>
      </c>
      <c r="CV219" s="33">
        <f t="shared" si="423"/>
        <v>471.9923511732004</v>
      </c>
      <c r="CW219" s="33">
        <f t="shared" si="423"/>
        <v>1456.1092906691756</v>
      </c>
      <c r="CX219" s="33">
        <f t="shared" si="423"/>
        <v>1705.8459491870944</v>
      </c>
      <c r="CY219" s="33">
        <f t="shared" ref="CY219:CZ221" si="424">+CY214-CX214</f>
        <v>1279.3844618903204</v>
      </c>
      <c r="CZ219" s="33">
        <f t="shared" si="424"/>
        <v>1250.598311497788</v>
      </c>
      <c r="DA219" s="33">
        <f t="shared" ref="DA219:DF219" si="425">+DA214-CZ214</f>
        <v>1198.542156781692</v>
      </c>
      <c r="DB219" s="33">
        <f t="shared" si="425"/>
        <v>1144.5678428813299</v>
      </c>
      <c r="DC219" s="33">
        <f t="shared" si="425"/>
        <v>1050.4070274255737</v>
      </c>
      <c r="DD219" s="33">
        <f t="shared" si="425"/>
        <v>1132.7326782000528</v>
      </c>
      <c r="DE219" s="33">
        <f t="shared" si="425"/>
        <v>1221.5106018539809</v>
      </c>
      <c r="DF219" s="162">
        <f t="shared" si="425"/>
        <v>1317.2464952742885</v>
      </c>
    </row>
    <row r="220" spans="1:110" s="53" customFormat="1" ht="12.75" customHeight="1">
      <c r="B220" s="1260"/>
      <c r="C220" s="1260"/>
      <c r="D220" s="1260"/>
      <c r="E220" s="1260"/>
      <c r="H220" s="1260"/>
      <c r="I220" s="191" t="s">
        <v>299</v>
      </c>
      <c r="J220" s="80"/>
      <c r="K220" s="80"/>
      <c r="P220" s="244"/>
      <c r="T220" s="244"/>
      <c r="X220" s="244"/>
      <c r="AB220" s="244"/>
      <c r="AC220" s="712"/>
      <c r="AD220" s="712"/>
      <c r="AE220" s="712"/>
      <c r="AF220" s="955"/>
      <c r="AG220" s="113"/>
      <c r="AH220" s="113"/>
      <c r="AI220" s="113"/>
      <c r="AJ220" s="253"/>
      <c r="AK220" s="113"/>
      <c r="AL220" s="113"/>
      <c r="AM220" s="113"/>
      <c r="AN220" s="253"/>
      <c r="AO220" s="113"/>
      <c r="AP220" s="113"/>
      <c r="AQ220" s="114"/>
      <c r="AR220" s="228"/>
      <c r="AS220" s="114"/>
      <c r="AT220" s="114"/>
      <c r="AU220" s="114"/>
      <c r="AV220" s="228"/>
      <c r="AW220" s="114">
        <f t="shared" si="419"/>
        <v>26.163670628057151</v>
      </c>
      <c r="AX220" s="114">
        <f t="shared" si="419"/>
        <v>24.334340811786486</v>
      </c>
      <c r="AY220" s="114">
        <f t="shared" si="419"/>
        <v>32.63337549838635</v>
      </c>
      <c r="AZ220" s="228">
        <f t="shared" si="419"/>
        <v>33.508697535876372</v>
      </c>
      <c r="BA220" s="114">
        <f t="shared" si="419"/>
        <v>60.176442444531439</v>
      </c>
      <c r="BB220" s="114">
        <f t="shared" si="419"/>
        <v>63.269286110644849</v>
      </c>
      <c r="BC220" s="114">
        <f t="shared" si="419"/>
        <v>82.699299058647</v>
      </c>
      <c r="BD220" s="228">
        <f t="shared" si="419"/>
        <v>80.46717799439881</v>
      </c>
      <c r="BE220" s="114">
        <f t="shared" si="420"/>
        <v>67.502270220387445</v>
      </c>
      <c r="BF220" s="114">
        <f t="shared" si="420"/>
        <v>67.162780640530698</v>
      </c>
      <c r="BG220" s="114">
        <f t="shared" si="420"/>
        <v>87.788486693025277</v>
      </c>
      <c r="BH220" s="228">
        <f t="shared" si="420"/>
        <v>85.419004332515669</v>
      </c>
      <c r="BI220" s="114">
        <f t="shared" si="420"/>
        <v>108.00363235261995</v>
      </c>
      <c r="BJ220" s="114">
        <f t="shared" si="420"/>
        <v>107.46044902484911</v>
      </c>
      <c r="BK220" s="114">
        <f t="shared" si="420"/>
        <v>140.46157870884048</v>
      </c>
      <c r="BL220" s="114">
        <f t="shared" si="420"/>
        <v>136.67040693202509</v>
      </c>
      <c r="BM220" s="1618">
        <f t="shared" si="421"/>
        <v>129.60435882314391</v>
      </c>
      <c r="BN220" s="114">
        <f t="shared" si="421"/>
        <v>128.95253882981893</v>
      </c>
      <c r="BO220" s="114">
        <f t="shared" si="421"/>
        <v>168.55389445060854</v>
      </c>
      <c r="BP220" s="114">
        <f t="shared" si="421"/>
        <v>164.00448831843005</v>
      </c>
      <c r="BQ220" s="1618">
        <f t="shared" si="421"/>
        <v>146.16491578387905</v>
      </c>
      <c r="BR220" s="114">
        <f t="shared" si="421"/>
        <v>145.42980768029582</v>
      </c>
      <c r="BS220" s="114">
        <f t="shared" si="421"/>
        <v>190.09133651929744</v>
      </c>
      <c r="BT220" s="114">
        <f t="shared" si="421"/>
        <v>184.96061738134063</v>
      </c>
      <c r="BU220" s="1618">
        <f t="shared" si="421"/>
        <v>186.04705709062318</v>
      </c>
      <c r="BV220" s="114">
        <f t="shared" si="421"/>
        <v>157.06419229471953</v>
      </c>
      <c r="BW220" s="114">
        <f t="shared" si="421"/>
        <v>205.29864344084126</v>
      </c>
      <c r="BX220" s="228">
        <f t="shared" si="422"/>
        <v>199.75746677184782</v>
      </c>
      <c r="BY220" s="1618">
        <f t="shared" si="422"/>
        <v>209.95128503196383</v>
      </c>
      <c r="BZ220" s="114">
        <f t="shared" si="422"/>
        <v>201.042166137241</v>
      </c>
      <c r="CA220" s="114">
        <f t="shared" si="422"/>
        <v>262.78226360427675</v>
      </c>
      <c r="CB220" s="228">
        <f t="shared" si="422"/>
        <v>255.68955746796519</v>
      </c>
      <c r="CC220" s="1618">
        <f t="shared" si="422"/>
        <v>191.95546060065249</v>
      </c>
      <c r="CD220" s="114">
        <f t="shared" si="422"/>
        <v>183.80998046833463</v>
      </c>
      <c r="CE220" s="114">
        <f t="shared" si="422"/>
        <v>240.25806958105295</v>
      </c>
      <c r="CF220" s="228">
        <f t="shared" si="422"/>
        <v>233.77330968499678</v>
      </c>
      <c r="CG220" s="244"/>
      <c r="CH220" s="227"/>
      <c r="CM220" s="113"/>
      <c r="CN220" s="114"/>
      <c r="CO220" s="114"/>
      <c r="CP220" s="743"/>
      <c r="CQ220" s="114">
        <f t="shared" ref="CQ220:CX220" si="426">+CQ215-CP215</f>
        <v>116.64008447410635</v>
      </c>
      <c r="CR220" s="114">
        <f t="shared" si="426"/>
        <v>286.61220560822204</v>
      </c>
      <c r="CS220" s="114">
        <f t="shared" si="426"/>
        <v>307.87254188645909</v>
      </c>
      <c r="CT220" s="114">
        <f t="shared" si="426"/>
        <v>492.59606701833468</v>
      </c>
      <c r="CU220" s="114">
        <f t="shared" si="426"/>
        <v>591.11528042200143</v>
      </c>
      <c r="CV220" s="114">
        <f t="shared" si="426"/>
        <v>666.64667736481306</v>
      </c>
      <c r="CW220" s="114">
        <f t="shared" si="426"/>
        <v>748.16735959803191</v>
      </c>
      <c r="CX220" s="114">
        <f t="shared" si="426"/>
        <v>929.46527224144666</v>
      </c>
      <c r="CY220" s="114">
        <f t="shared" si="424"/>
        <v>849.7968203350365</v>
      </c>
      <c r="CZ220" s="114">
        <f t="shared" si="424"/>
        <v>897.38544227379862</v>
      </c>
      <c r="DA220" s="114">
        <f t="shared" ref="DA220:DF220" si="427">+DA215-CZ215</f>
        <v>897.0264880968889</v>
      </c>
      <c r="DB220" s="114">
        <f t="shared" si="427"/>
        <v>927.82375793046958</v>
      </c>
      <c r="DC220" s="114">
        <f t="shared" si="427"/>
        <v>935.39358659323989</v>
      </c>
      <c r="DD220" s="114">
        <f t="shared" si="427"/>
        <v>1047.2666595497922</v>
      </c>
      <c r="DE220" s="114">
        <f t="shared" si="427"/>
        <v>1172.5197520319471</v>
      </c>
      <c r="DF220" s="228">
        <f t="shared" si="427"/>
        <v>1312.7531143749675</v>
      </c>
    </row>
    <row r="221" spans="1:110" s="8" customFormat="1" ht="12.75" customHeight="1">
      <c r="A221" s="24"/>
      <c r="B221" s="34"/>
      <c r="C221" s="34"/>
      <c r="D221" s="34"/>
      <c r="E221" s="34"/>
      <c r="F221" s="24"/>
      <c r="G221" s="24"/>
      <c r="H221" s="34"/>
      <c r="I221" s="178" t="s">
        <v>301</v>
      </c>
      <c r="P221" s="245"/>
      <c r="T221" s="245"/>
      <c r="X221" s="245"/>
      <c r="AB221" s="245"/>
      <c r="AC221" s="289"/>
      <c r="AD221" s="289"/>
      <c r="AE221" s="289"/>
      <c r="AF221" s="953"/>
      <c r="AG221" s="103"/>
      <c r="AH221" s="103"/>
      <c r="AI221" s="103"/>
      <c r="AJ221" s="202"/>
      <c r="AK221" s="103"/>
      <c r="AL221" s="103"/>
      <c r="AM221" s="103"/>
      <c r="AN221" s="202"/>
      <c r="AO221" s="103"/>
      <c r="AP221" s="103"/>
      <c r="AQ221" s="104"/>
      <c r="AR221" s="212"/>
      <c r="AS221" s="104"/>
      <c r="AT221" s="104"/>
      <c r="AU221" s="104"/>
      <c r="AV221" s="212"/>
      <c r="AW221" s="104">
        <f t="shared" si="419"/>
        <v>125.59687062805715</v>
      </c>
      <c r="AX221" s="104">
        <f t="shared" si="419"/>
        <v>121.01334081178651</v>
      </c>
      <c r="AY221" s="104">
        <f t="shared" si="419"/>
        <v>160.9373754983863</v>
      </c>
      <c r="AZ221" s="212">
        <f t="shared" si="419"/>
        <v>166.33369753587638</v>
      </c>
      <c r="BA221" s="104">
        <f t="shared" si="419"/>
        <v>248.86828244453145</v>
      </c>
      <c r="BB221" s="104">
        <f t="shared" si="419"/>
        <v>301.27023611064476</v>
      </c>
      <c r="BC221" s="104">
        <f t="shared" si="419"/>
        <v>288.76329905864691</v>
      </c>
      <c r="BD221" s="212">
        <f t="shared" si="419"/>
        <v>295.79217799439886</v>
      </c>
      <c r="BE221" s="104">
        <f t="shared" si="420"/>
        <v>309.65679822038743</v>
      </c>
      <c r="BF221" s="104">
        <f t="shared" si="420"/>
        <v>341.2477456405307</v>
      </c>
      <c r="BG221" s="104">
        <f t="shared" si="420"/>
        <v>368.0355266930253</v>
      </c>
      <c r="BH221" s="212">
        <f t="shared" si="420"/>
        <v>343.80900433251566</v>
      </c>
      <c r="BI221" s="104">
        <f t="shared" si="420"/>
        <v>366.76304227261994</v>
      </c>
      <c r="BJ221" s="104">
        <f t="shared" si="420"/>
        <v>440.27790652484907</v>
      </c>
      <c r="BK221" s="104">
        <f t="shared" si="420"/>
        <v>438.18284590884036</v>
      </c>
      <c r="BL221" s="104">
        <f t="shared" si="420"/>
        <v>377.83440693202533</v>
      </c>
      <c r="BM221" s="851">
        <f t="shared" si="421"/>
        <v>383.65905219914384</v>
      </c>
      <c r="BN221" s="104">
        <f t="shared" si="421"/>
        <v>428.4882505798189</v>
      </c>
      <c r="BO221" s="104">
        <f t="shared" si="421"/>
        <v>465.58278661060854</v>
      </c>
      <c r="BP221" s="104">
        <f t="shared" si="421"/>
        <v>443.06568831843015</v>
      </c>
      <c r="BQ221" s="851">
        <f t="shared" si="421"/>
        <v>366.34565004307888</v>
      </c>
      <c r="BR221" s="104">
        <f t="shared" si="421"/>
        <v>405.02742453029578</v>
      </c>
      <c r="BS221" s="104">
        <f t="shared" si="421"/>
        <v>61.378816583297521</v>
      </c>
      <c r="BT221" s="104">
        <f t="shared" si="421"/>
        <v>305.88713738134084</v>
      </c>
      <c r="BU221" s="851">
        <f t="shared" si="421"/>
        <v>555.95069064607924</v>
      </c>
      <c r="BV221" s="104">
        <f t="shared" si="421"/>
        <v>546.46061756971949</v>
      </c>
      <c r="BW221" s="104">
        <f t="shared" si="421"/>
        <v>529.6541936795611</v>
      </c>
      <c r="BX221" s="212">
        <f t="shared" si="422"/>
        <v>572.21114837184768</v>
      </c>
      <c r="BY221" s="851">
        <f t="shared" si="422"/>
        <v>632.6982948096279</v>
      </c>
      <c r="BZ221" s="104">
        <f t="shared" si="422"/>
        <v>687.78769773099066</v>
      </c>
      <c r="CA221" s="104">
        <f t="shared" si="422"/>
        <v>633.47432101995673</v>
      </c>
      <c r="CB221" s="212">
        <f t="shared" si="422"/>
        <v>681.35090786796536</v>
      </c>
      <c r="CC221" s="851">
        <f t="shared" si="422"/>
        <v>509.01571793389985</v>
      </c>
      <c r="CD221" s="104">
        <f t="shared" si="422"/>
        <v>548.8691291636469</v>
      </c>
      <c r="CE221" s="104">
        <f t="shared" si="422"/>
        <v>518.27711264281288</v>
      </c>
      <c r="CF221" s="212">
        <f t="shared" si="422"/>
        <v>553.01932248499679</v>
      </c>
      <c r="CG221" s="245"/>
      <c r="CH221" s="178"/>
      <c r="CM221" s="103"/>
      <c r="CN221" s="104"/>
      <c r="CO221" s="104"/>
      <c r="CP221" s="213"/>
      <c r="CQ221" s="104">
        <f t="shared" ref="CQ221:CX221" si="428">+CQ216-CP216</f>
        <v>573.88128447410634</v>
      </c>
      <c r="CR221" s="104">
        <f t="shared" si="428"/>
        <v>1134.6939956082219</v>
      </c>
      <c r="CS221" s="104">
        <f t="shared" si="428"/>
        <v>1362.7490748864589</v>
      </c>
      <c r="CT221" s="104">
        <f t="shared" si="428"/>
        <v>1623.058201638335</v>
      </c>
      <c r="CU221" s="104">
        <f t="shared" si="428"/>
        <v>1720.7957777080019</v>
      </c>
      <c r="CV221" s="104">
        <f t="shared" si="428"/>
        <v>1138.639028538013</v>
      </c>
      <c r="CW221" s="104">
        <f t="shared" si="428"/>
        <v>2204.2766502672075</v>
      </c>
      <c r="CX221" s="104">
        <f t="shared" si="428"/>
        <v>2635.3112214285411</v>
      </c>
      <c r="CY221" s="104">
        <f t="shared" si="424"/>
        <v>2129.181282225356</v>
      </c>
      <c r="CZ221" s="104">
        <f t="shared" si="424"/>
        <v>2147.9837537715866</v>
      </c>
      <c r="DA221" s="104">
        <f t="shared" ref="DA221:DF221" si="429">+DA216-CZ216</f>
        <v>2095.5686448785818</v>
      </c>
      <c r="DB221" s="104">
        <f t="shared" si="429"/>
        <v>2072.3916008117994</v>
      </c>
      <c r="DC221" s="104">
        <f t="shared" si="429"/>
        <v>1985.8006140188154</v>
      </c>
      <c r="DD221" s="104">
        <f t="shared" si="429"/>
        <v>2179.9993377498431</v>
      </c>
      <c r="DE221" s="104">
        <f t="shared" si="429"/>
        <v>2394.0303538859262</v>
      </c>
      <c r="DF221" s="212">
        <f t="shared" si="429"/>
        <v>2629.9996096492578</v>
      </c>
    </row>
    <row r="222" spans="1:110" ht="12.75" customHeight="1">
      <c r="B222" s="34"/>
      <c r="C222" s="34"/>
      <c r="D222" s="34"/>
      <c r="E222" s="34"/>
      <c r="H222" s="34"/>
      <c r="I222" s="160"/>
      <c r="P222" s="234"/>
      <c r="T222" s="234"/>
      <c r="X222" s="234"/>
      <c r="AB222" s="234"/>
      <c r="AF222" s="249"/>
      <c r="AJ222" s="179"/>
      <c r="AN222" s="179"/>
      <c r="AR222" s="162"/>
      <c r="AS222" s="33"/>
      <c r="AT222" s="33"/>
      <c r="AU222" s="33"/>
      <c r="AV222" s="162"/>
      <c r="AW222" s="853"/>
      <c r="AX222" s="853"/>
      <c r="AY222" s="853"/>
      <c r="AZ222" s="739"/>
      <c r="BA222" s="33"/>
      <c r="BB222" s="33"/>
      <c r="BC222" s="33"/>
      <c r="BD222" s="162"/>
      <c r="BE222" s="33"/>
      <c r="BF222" s="33"/>
      <c r="BG222" s="33"/>
      <c r="BH222" s="162"/>
      <c r="BI222" s="33"/>
      <c r="BJ222" s="33"/>
      <c r="BK222" s="33"/>
      <c r="BL222" s="33"/>
      <c r="BM222" s="1595"/>
      <c r="BN222" s="33"/>
      <c r="BO222" s="33"/>
      <c r="BP222" s="33"/>
      <c r="BQ222" s="1595"/>
      <c r="BR222" s="33"/>
      <c r="BS222" s="33"/>
      <c r="BT222" s="33"/>
      <c r="BU222" s="1595"/>
      <c r="BV222" s="33"/>
      <c r="BW222" s="33"/>
      <c r="BX222" s="162"/>
      <c r="BY222" s="1595"/>
      <c r="BZ222" s="33"/>
      <c r="CA222" s="33"/>
      <c r="CB222" s="162"/>
      <c r="CC222" s="1595"/>
      <c r="CD222" s="33"/>
      <c r="CE222" s="33"/>
      <c r="CF222" s="162"/>
      <c r="CG222" s="234"/>
      <c r="CH222" s="160"/>
      <c r="CM222" s="30"/>
      <c r="CN222" s="33"/>
      <c r="CO222" s="33"/>
      <c r="CP222" s="161"/>
      <c r="CQ222" s="118"/>
      <c r="CR222" s="33"/>
      <c r="CS222" s="33"/>
      <c r="CT222" s="33"/>
      <c r="CU222" s="33"/>
      <c r="CV222" s="33"/>
      <c r="CW222" s="33"/>
      <c r="CX222" s="33"/>
      <c r="CY222" s="33"/>
      <c r="DF222" s="234"/>
    </row>
    <row r="223" spans="1:110" ht="12.75" customHeight="1">
      <c r="B223" s="34"/>
      <c r="C223" s="34"/>
      <c r="D223" s="34"/>
      <c r="E223" s="34"/>
      <c r="H223" s="34"/>
      <c r="I223" s="178" t="s">
        <v>376</v>
      </c>
      <c r="J223" s="8"/>
      <c r="K223" s="8"/>
      <c r="P223" s="234"/>
      <c r="T223" s="234"/>
      <c r="X223" s="234"/>
      <c r="AB223" s="234"/>
      <c r="AF223" s="249"/>
      <c r="AJ223" s="179"/>
      <c r="AN223" s="179"/>
      <c r="AR223" s="162"/>
      <c r="AS223" s="33"/>
      <c r="AT223" s="33"/>
      <c r="AU223" s="33"/>
      <c r="AV223" s="162"/>
      <c r="AW223" s="733"/>
      <c r="AX223" s="733"/>
      <c r="AY223" s="733"/>
      <c r="AZ223" s="739"/>
      <c r="BA223" s="33"/>
      <c r="BB223" s="33"/>
      <c r="BC223" s="33"/>
      <c r="BD223" s="162"/>
      <c r="BE223" s="33"/>
      <c r="BF223" s="33"/>
      <c r="BG223" s="33"/>
      <c r="BH223" s="162"/>
      <c r="BI223" s="33"/>
      <c r="BJ223" s="33"/>
      <c r="BK223" s="33"/>
      <c r="BL223" s="33"/>
      <c r="BM223" s="1595"/>
      <c r="BN223" s="33"/>
      <c r="BO223" s="33"/>
      <c r="BP223" s="33"/>
      <c r="BQ223" s="1595"/>
      <c r="BR223" s="33"/>
      <c r="BS223" s="33"/>
      <c r="BT223" s="162"/>
      <c r="BU223" s="1595"/>
      <c r="BV223" s="33"/>
      <c r="BW223" s="33"/>
      <c r="BX223" s="162"/>
      <c r="BY223" s="1595"/>
      <c r="BZ223" s="33"/>
      <c r="CA223" s="33"/>
      <c r="CB223" s="162"/>
      <c r="CC223" s="1595"/>
      <c r="CD223" s="33"/>
      <c r="CE223" s="33"/>
      <c r="CF223" s="162"/>
      <c r="CG223" s="234"/>
      <c r="CH223" s="160"/>
      <c r="CM223" s="30"/>
      <c r="CN223" s="33"/>
      <c r="CO223" s="33"/>
      <c r="CP223" s="161"/>
      <c r="CQ223" s="33"/>
      <c r="CR223" s="33"/>
      <c r="CS223" s="76"/>
      <c r="CT223" s="38"/>
      <c r="CU223" s="38"/>
      <c r="CV223" s="38"/>
      <c r="CW223" s="38"/>
      <c r="CX223" s="38"/>
      <c r="CY223" s="38"/>
      <c r="DF223" s="234"/>
    </row>
    <row r="224" spans="1:110" s="82" customFormat="1" ht="12.75" customHeight="1">
      <c r="B224" s="292"/>
      <c r="C224" s="292"/>
      <c r="D224" s="292"/>
      <c r="E224" s="292"/>
      <c r="F224" s="292"/>
      <c r="I224" s="259" t="s">
        <v>298</v>
      </c>
      <c r="P224" s="1135"/>
      <c r="T224" s="1135"/>
      <c r="X224" s="1135"/>
      <c r="AB224" s="1135"/>
      <c r="AC224" s="307"/>
      <c r="AD224" s="307"/>
      <c r="AE224" s="307"/>
      <c r="AF224" s="1136"/>
      <c r="AG224" s="64"/>
      <c r="AH224" s="64"/>
      <c r="AI224" s="64"/>
      <c r="AJ224" s="180"/>
      <c r="AK224" s="64"/>
      <c r="AL224" s="64"/>
      <c r="AM224" s="64"/>
      <c r="AN224" s="180"/>
      <c r="AO224" s="64"/>
      <c r="AP224" s="64"/>
      <c r="AQ224" s="118"/>
      <c r="AR224" s="230"/>
      <c r="AS224" s="1283">
        <v>1.35</v>
      </c>
      <c r="AT224" s="1283">
        <v>1.35</v>
      </c>
      <c r="AU224" s="1283">
        <v>1.4</v>
      </c>
      <c r="AV224" s="1281">
        <v>1.2</v>
      </c>
      <c r="AW224" s="1280">
        <v>1.72</v>
      </c>
      <c r="AX224" s="1280">
        <v>1.7</v>
      </c>
      <c r="AY224" s="1280">
        <v>1.65</v>
      </c>
      <c r="AZ224" s="1279">
        <v>1.61</v>
      </c>
      <c r="BA224" s="1280">
        <v>1.2</v>
      </c>
      <c r="BB224" s="1280">
        <v>1.55</v>
      </c>
      <c r="BC224" s="1280">
        <v>1</v>
      </c>
      <c r="BD224" s="1279">
        <v>1</v>
      </c>
      <c r="BE224" s="1393">
        <v>0.7</v>
      </c>
      <c r="BF224" s="1280">
        <v>0.7</v>
      </c>
      <c r="BG224" s="1280">
        <v>0.68</v>
      </c>
      <c r="BH224" s="1279">
        <v>0.6</v>
      </c>
      <c r="BI224" s="1393">
        <v>0.44</v>
      </c>
      <c r="BJ224" s="1280">
        <v>0.5</v>
      </c>
      <c r="BK224" s="1280">
        <v>0.43</v>
      </c>
      <c r="BL224" s="1280">
        <v>0.35</v>
      </c>
      <c r="BM224" s="1393">
        <v>0.3</v>
      </c>
      <c r="BN224" s="1280">
        <v>0.3</v>
      </c>
      <c r="BO224" s="1280">
        <v>0.3</v>
      </c>
      <c r="BP224" s="1280">
        <v>0.3</v>
      </c>
      <c r="BQ224" s="1249">
        <v>0.2</v>
      </c>
      <c r="BR224" s="1142">
        <v>0.2</v>
      </c>
      <c r="BS224" s="1280">
        <v>-0.1</v>
      </c>
      <c r="BT224" s="1143">
        <v>0.1</v>
      </c>
      <c r="BU224" s="1249">
        <v>0.28000000000000003</v>
      </c>
      <c r="BV224" s="1142">
        <v>0.25</v>
      </c>
      <c r="BW224" s="1142">
        <v>0.28000000000000003</v>
      </c>
      <c r="BX224" s="1143">
        <v>0.28000000000000003</v>
      </c>
      <c r="BY224" s="1249">
        <v>0.25</v>
      </c>
      <c r="BZ224" s="1142">
        <v>0.25</v>
      </c>
      <c r="CA224" s="1142">
        <v>0.25</v>
      </c>
      <c r="CB224" s="1143">
        <v>0.25</v>
      </c>
      <c r="CC224" s="1249">
        <v>0.15</v>
      </c>
      <c r="CD224" s="1142">
        <v>0.15</v>
      </c>
      <c r="CE224" s="1142">
        <v>0.15</v>
      </c>
      <c r="CF224" s="1143">
        <v>0.15</v>
      </c>
      <c r="CG224" s="1135"/>
      <c r="CH224" s="259"/>
      <c r="CM224" s="64"/>
      <c r="CN224" s="118"/>
      <c r="CO224" s="118"/>
      <c r="CP224" s="889">
        <f t="shared" ref="CP224:CY224" si="430">+CP214/CO214-1</f>
        <v>1.3162594776748104</v>
      </c>
      <c r="CQ224" s="889">
        <f t="shared" si="430"/>
        <v>1.6630581217720231</v>
      </c>
      <c r="CR224" s="118">
        <f t="shared" si="430"/>
        <v>1.1582949548554375</v>
      </c>
      <c r="CS224" s="118">
        <f t="shared" si="430"/>
        <v>0.66753226499343632</v>
      </c>
      <c r="CT224" s="118">
        <f t="shared" si="430"/>
        <v>0.4289951726476382</v>
      </c>
      <c r="CU224" s="118">
        <f t="shared" si="430"/>
        <v>0.30000000000000004</v>
      </c>
      <c r="CV224" s="118">
        <f t="shared" si="430"/>
        <v>9.6417803149543513E-2</v>
      </c>
      <c r="CW224" s="118">
        <f t="shared" si="430"/>
        <v>0.27129398524706061</v>
      </c>
      <c r="CX224" s="118">
        <f t="shared" si="430"/>
        <v>0.25</v>
      </c>
      <c r="CY224" s="118">
        <f t="shared" si="430"/>
        <v>0.14999999999999991</v>
      </c>
      <c r="CZ224" s="1319">
        <f>+CY224*0.85</f>
        <v>0.12749999999999992</v>
      </c>
      <c r="DA224" s="1319">
        <f>+CZ224*0.85</f>
        <v>0.10837499999999993</v>
      </c>
      <c r="DB224" s="1319">
        <f>+DA224-0.015</f>
        <v>9.337499999999993E-2</v>
      </c>
      <c r="DC224" s="1319">
        <f>+DB224-0.015</f>
        <v>7.8374999999999931E-2</v>
      </c>
      <c r="DD224" s="1319">
        <f t="shared" ref="DD224:DF225" si="431">+DC224</f>
        <v>7.8374999999999931E-2</v>
      </c>
      <c r="DE224" s="1319">
        <f t="shared" si="431"/>
        <v>7.8374999999999931E-2</v>
      </c>
      <c r="DF224" s="1317">
        <f t="shared" si="431"/>
        <v>7.8374999999999931E-2</v>
      </c>
    </row>
    <row r="225" spans="1:110" s="1145" customFormat="1" ht="12.75" customHeight="1">
      <c r="H225" s="1375"/>
      <c r="I225" s="1144" t="s">
        <v>299</v>
      </c>
      <c r="P225" s="1146"/>
      <c r="T225" s="1146"/>
      <c r="X225" s="1146"/>
      <c r="AB225" s="1146"/>
      <c r="AC225" s="1147"/>
      <c r="AD225" s="1147"/>
      <c r="AE225" s="1147"/>
      <c r="AF225" s="1148"/>
      <c r="AG225" s="804"/>
      <c r="AH225" s="804"/>
      <c r="AI225" s="804"/>
      <c r="AJ225" s="923"/>
      <c r="AK225" s="804"/>
      <c r="AL225" s="804"/>
      <c r="AM225" s="804"/>
      <c r="AN225" s="923"/>
      <c r="AO225" s="804"/>
      <c r="AP225" s="804"/>
      <c r="AQ225" s="119"/>
      <c r="AR225" s="231"/>
      <c r="AS225" s="119"/>
      <c r="AT225" s="119"/>
      <c r="AU225" s="119"/>
      <c r="AV225" s="231"/>
      <c r="AW225" s="1394">
        <v>1</v>
      </c>
      <c r="AX225" s="1394">
        <v>1</v>
      </c>
      <c r="AY225" s="119">
        <f>+AY215/AU215-1</f>
        <v>1.0533191475648191</v>
      </c>
      <c r="AZ225" s="231">
        <f>+AZ215/AV215-1</f>
        <v>1.1803354150134191</v>
      </c>
      <c r="BA225" s="1394">
        <v>1.1499999999999999</v>
      </c>
      <c r="BB225" s="1394">
        <v>1.3</v>
      </c>
      <c r="BC225" s="1394">
        <v>1.3</v>
      </c>
      <c r="BD225" s="1395">
        <v>1.3</v>
      </c>
      <c r="BE225" s="1396">
        <v>0.6</v>
      </c>
      <c r="BF225" s="1394">
        <v>0.6</v>
      </c>
      <c r="BG225" s="1394">
        <v>0.6</v>
      </c>
      <c r="BH225" s="1395">
        <v>0.6</v>
      </c>
      <c r="BI225" s="1396">
        <v>0.6</v>
      </c>
      <c r="BJ225" s="1394">
        <v>0.6</v>
      </c>
      <c r="BK225" s="1394">
        <v>0.6</v>
      </c>
      <c r="BL225" s="1394">
        <v>0.6</v>
      </c>
      <c r="BM225" s="1396">
        <v>0.45</v>
      </c>
      <c r="BN225" s="1394">
        <v>0.45</v>
      </c>
      <c r="BO225" s="1394">
        <v>0.45</v>
      </c>
      <c r="BP225" s="1394">
        <v>0.45</v>
      </c>
      <c r="BQ225" s="1376">
        <v>0.35</v>
      </c>
      <c r="BR225" s="1377">
        <v>0.35</v>
      </c>
      <c r="BS225" s="1377">
        <v>0.35</v>
      </c>
      <c r="BT225" s="1378">
        <v>0.35</v>
      </c>
      <c r="BU225" s="1376">
        <v>0.33</v>
      </c>
      <c r="BV225" s="1377">
        <v>0.28000000000000003</v>
      </c>
      <c r="BW225" s="1377">
        <v>0.28000000000000003</v>
      </c>
      <c r="BX225" s="1377">
        <v>0.28000000000000003</v>
      </c>
      <c r="BY225" s="1376">
        <v>0.28000000000000003</v>
      </c>
      <c r="BZ225" s="1377">
        <v>0.28000000000000003</v>
      </c>
      <c r="CA225" s="1377">
        <v>0.28000000000000003</v>
      </c>
      <c r="CB225" s="1378">
        <v>0.28000000000000003</v>
      </c>
      <c r="CC225" s="1376">
        <v>0.2</v>
      </c>
      <c r="CD225" s="1377">
        <v>0.2</v>
      </c>
      <c r="CE225" s="1377">
        <v>0.2</v>
      </c>
      <c r="CF225" s="1378">
        <v>0.2</v>
      </c>
      <c r="CG225" s="1146"/>
      <c r="CH225" s="1144"/>
      <c r="CM225" s="804"/>
      <c r="CN225" s="119"/>
      <c r="CO225" s="119"/>
      <c r="CP225" s="891"/>
      <c r="CQ225" s="891">
        <f t="shared" ref="CQ225:CY225" si="432">+CQ215/CP215-1</f>
        <v>1.0616324464615685</v>
      </c>
      <c r="CR225" s="891">
        <f t="shared" si="432"/>
        <v>1.2653474622661056</v>
      </c>
      <c r="CS225" s="891">
        <f t="shared" si="432"/>
        <v>0.60000000000000009</v>
      </c>
      <c r="CT225" s="891">
        <f t="shared" si="432"/>
        <v>0.60000000000000031</v>
      </c>
      <c r="CU225" s="119">
        <f t="shared" si="432"/>
        <v>0.44999999999999996</v>
      </c>
      <c r="CV225" s="119">
        <f t="shared" si="432"/>
        <v>0.35000000000000009</v>
      </c>
      <c r="CW225" s="119">
        <f t="shared" si="432"/>
        <v>0.29096269738879177</v>
      </c>
      <c r="CX225" s="119">
        <f t="shared" si="432"/>
        <v>0.28000000000000003</v>
      </c>
      <c r="CY225" s="119">
        <f t="shared" si="432"/>
        <v>0.19999999999999996</v>
      </c>
      <c r="CZ225" s="1738">
        <f>+CY225*0.88</f>
        <v>0.17599999999999996</v>
      </c>
      <c r="DA225" s="1738">
        <f>+CZ225*0.85</f>
        <v>0.14959999999999996</v>
      </c>
      <c r="DB225" s="1738">
        <f>+DA225-0.015</f>
        <v>0.13459999999999994</v>
      </c>
      <c r="DC225" s="1738">
        <f>+DB225-0.015</f>
        <v>0.11959999999999994</v>
      </c>
      <c r="DD225" s="1738">
        <f t="shared" si="431"/>
        <v>0.11959999999999994</v>
      </c>
      <c r="DE225" s="1738">
        <f t="shared" si="431"/>
        <v>0.11959999999999994</v>
      </c>
      <c r="DF225" s="1806">
        <f t="shared" si="431"/>
        <v>0.11959999999999994</v>
      </c>
    </row>
    <row r="226" spans="1:110" s="91" customFormat="1" ht="12.75" customHeight="1">
      <c r="B226" s="309"/>
      <c r="C226" s="309"/>
      <c r="D226" s="309"/>
      <c r="E226" s="309"/>
      <c r="H226" s="309"/>
      <c r="I226" s="263" t="s">
        <v>301</v>
      </c>
      <c r="P226" s="1149"/>
      <c r="T226" s="1149"/>
      <c r="X226" s="1149"/>
      <c r="AB226" s="1149"/>
      <c r="AC226" s="1150"/>
      <c r="AD226" s="1150"/>
      <c r="AE226" s="1150"/>
      <c r="AF226" s="1151"/>
      <c r="AG226" s="721"/>
      <c r="AH226" s="721"/>
      <c r="AI226" s="721"/>
      <c r="AJ226" s="731"/>
      <c r="AK226" s="721"/>
      <c r="AL226" s="721"/>
      <c r="AM226" s="721"/>
      <c r="AN226" s="731"/>
      <c r="AO226" s="721"/>
      <c r="AP226" s="721"/>
      <c r="AQ226" s="120"/>
      <c r="AR226" s="232"/>
      <c r="AS226" s="120"/>
      <c r="AT226" s="120"/>
      <c r="AU226" s="120"/>
      <c r="AV226" s="232"/>
      <c r="AW226" s="120">
        <f>+AW216/AS216-1</f>
        <v>1.4956696508404494</v>
      </c>
      <c r="AX226" s="120">
        <f>+AX216/AT216-1</f>
        <v>1.4902324137113361</v>
      </c>
      <c r="AY226" s="1741">
        <v>1.48</v>
      </c>
      <c r="AZ226" s="1742">
        <v>1.5</v>
      </c>
      <c r="BA226" s="120">
        <f>+BA216/AW216-1</f>
        <v>1.187515578062051</v>
      </c>
      <c r="BB226" s="120">
        <f>+BB216/AX216-1</f>
        <v>1.4898313228190281</v>
      </c>
      <c r="BC226" s="120">
        <f>+BC216/AY216-1</f>
        <v>1.07076733660183</v>
      </c>
      <c r="BD226" s="232">
        <f>+BD216/AZ216-1</f>
        <v>1.0669834761435504</v>
      </c>
      <c r="BE226" s="120">
        <f t="shared" ref="BE226:BL226" si="433">+BE216/BA216-1</f>
        <v>0.67545936821133856</v>
      </c>
      <c r="BF226" s="120">
        <f t="shared" si="433"/>
        <v>0.67776749673796388</v>
      </c>
      <c r="BG226" s="120">
        <f t="shared" si="433"/>
        <v>0.65903967013486464</v>
      </c>
      <c r="BH226" s="232">
        <f t="shared" si="433"/>
        <v>0.59999999999999987</v>
      </c>
      <c r="BI226" s="120">
        <f t="shared" si="433"/>
        <v>0.47749659261868094</v>
      </c>
      <c r="BJ226" s="120">
        <f t="shared" si="433"/>
        <v>0.52120198733639755</v>
      </c>
      <c r="BK226" s="120">
        <f t="shared" si="433"/>
        <v>0.47295564646484167</v>
      </c>
      <c r="BL226" s="120">
        <f t="shared" si="433"/>
        <v>0.41211225073813273</v>
      </c>
      <c r="BM226" s="1743">
        <f t="shared" ref="BM226:CF226" si="434">+BM216/BI216-1</f>
        <v>0.33806769451043817</v>
      </c>
      <c r="BN226" s="120">
        <f t="shared" si="434"/>
        <v>0.33345037018815149</v>
      </c>
      <c r="BO226" s="120">
        <f t="shared" si="434"/>
        <v>0.34117114167216789</v>
      </c>
      <c r="BP226" s="888">
        <f t="shared" si="434"/>
        <v>0.34222593542222923</v>
      </c>
      <c r="BQ226" s="1744">
        <f>+BQ216/BM216-1</f>
        <v>0.2412521408794126</v>
      </c>
      <c r="BR226" s="888">
        <f>+BR216/BN216-1</f>
        <v>0.23637408474825783</v>
      </c>
      <c r="BS226" s="888">
        <f>+BS216/BO216-1</f>
        <v>3.3535878240442907E-2</v>
      </c>
      <c r="BT226" s="1745">
        <f t="shared" si="434"/>
        <v>0.17602744658008707</v>
      </c>
      <c r="BU226" s="1744">
        <f t="shared" si="434"/>
        <v>0.29495543313430561</v>
      </c>
      <c r="BV226" s="888">
        <f t="shared" si="434"/>
        <v>0.25794339108460806</v>
      </c>
      <c r="BW226" s="888">
        <f t="shared" si="434"/>
        <v>0.28000000000000003</v>
      </c>
      <c r="BX226" s="1745">
        <f t="shared" si="434"/>
        <v>0.2799999999999998</v>
      </c>
      <c r="BY226" s="1744">
        <f t="shared" si="434"/>
        <v>0.25921609758591457</v>
      </c>
      <c r="BZ226" s="888">
        <f t="shared" si="434"/>
        <v>0.25808266942722402</v>
      </c>
      <c r="CA226" s="888">
        <f t="shared" si="434"/>
        <v>0.26162826496367053</v>
      </c>
      <c r="CB226" s="1745">
        <f t="shared" si="434"/>
        <v>0.26047292423471125</v>
      </c>
      <c r="CC226" s="1744">
        <f t="shared" si="434"/>
        <v>0.16561368872346582</v>
      </c>
      <c r="CD226" s="888">
        <f t="shared" si="434"/>
        <v>0.16370579893550374</v>
      </c>
      <c r="CE226" s="888">
        <f t="shared" si="434"/>
        <v>0.16966265812580295</v>
      </c>
      <c r="CF226" s="1745">
        <f t="shared" si="434"/>
        <v>0.16772528226336059</v>
      </c>
      <c r="CG226" s="1149"/>
      <c r="CH226" s="263"/>
      <c r="CM226" s="721"/>
      <c r="CN226" s="120"/>
      <c r="CO226" s="120"/>
      <c r="CP226" s="888"/>
      <c r="CQ226" s="888">
        <f t="shared" ref="CQ226:CY226" si="435">+CQ216/CP216-1</f>
        <v>1.4913420983692642</v>
      </c>
      <c r="CR226" s="888">
        <f t="shared" si="435"/>
        <v>1.1835881430739277</v>
      </c>
      <c r="CS226" s="888">
        <f t="shared" si="435"/>
        <v>0.65097905804544842</v>
      </c>
      <c r="CT226" s="888">
        <f t="shared" si="435"/>
        <v>0.46961682801319382</v>
      </c>
      <c r="CU226" s="888">
        <f t="shared" si="435"/>
        <v>0.33879326849990932</v>
      </c>
      <c r="CV226" s="888">
        <f t="shared" si="435"/>
        <v>0.16744723737701372</v>
      </c>
      <c r="CW226" s="888">
        <f t="shared" si="435"/>
        <v>0.27766475671668989</v>
      </c>
      <c r="CX226" s="888">
        <f t="shared" si="435"/>
        <v>0.25981825110160783</v>
      </c>
      <c r="CY226" s="888">
        <f t="shared" si="435"/>
        <v>0.16662589213307633</v>
      </c>
      <c r="CZ226" s="888">
        <f>+CZ216/CY216-1</f>
        <v>0.14408846985430479</v>
      </c>
      <c r="DA226" s="888">
        <f t="shared" ref="DA226:DF226" si="436">+DA216/CZ216-1</f>
        <v>0.12286848971104902</v>
      </c>
      <c r="DB226" s="888">
        <f t="shared" si="436"/>
        <v>0.10821352821990704</v>
      </c>
      <c r="DC226" s="888">
        <f t="shared" si="436"/>
        <v>9.3566832340604478E-2</v>
      </c>
      <c r="DD226" s="888">
        <f t="shared" si="436"/>
        <v>9.3928485151095975E-2</v>
      </c>
      <c r="DE226" s="888">
        <f t="shared" si="436"/>
        <v>9.4293482982698684E-2</v>
      </c>
      <c r="DF226" s="1745">
        <f t="shared" si="436"/>
        <v>9.4661612160799491E-2</v>
      </c>
    </row>
    <row r="227" spans="1:110" s="82" customFormat="1" ht="12.75" customHeight="1">
      <c r="H227" s="292"/>
      <c r="I227" s="259"/>
      <c r="P227" s="1135"/>
      <c r="T227" s="1135"/>
      <c r="X227" s="1135"/>
      <c r="AB227" s="1135"/>
      <c r="AC227" s="307"/>
      <c r="AD227" s="307"/>
      <c r="AE227" s="307"/>
      <c r="AF227" s="1136"/>
      <c r="AG227" s="64"/>
      <c r="AH227" s="64"/>
      <c r="AI227" s="64"/>
      <c r="AJ227" s="180"/>
      <c r="AK227" s="64"/>
      <c r="AL227" s="64"/>
      <c r="AM227" s="64"/>
      <c r="AN227" s="180"/>
      <c r="AO227" s="64"/>
      <c r="AP227" s="64"/>
      <c r="AQ227" s="118"/>
      <c r="AR227" s="230"/>
      <c r="AS227" s="118"/>
      <c r="AT227" s="118"/>
      <c r="AU227" s="118"/>
      <c r="AV227" s="230"/>
      <c r="AW227" s="118"/>
      <c r="AX227" s="118"/>
      <c r="AY227" s="860"/>
      <c r="AZ227" s="885"/>
      <c r="BA227" s="118"/>
      <c r="BB227" s="118"/>
      <c r="BC227" s="118"/>
      <c r="BD227" s="230"/>
      <c r="BE227" s="118"/>
      <c r="BF227" s="118"/>
      <c r="BG227" s="118"/>
      <c r="BH227" s="230"/>
      <c r="BI227" s="118"/>
      <c r="BJ227" s="118"/>
      <c r="BK227" s="118"/>
      <c r="BL227" s="118"/>
      <c r="BM227" s="1615"/>
      <c r="BN227" s="118"/>
      <c r="BO227" s="111"/>
      <c r="BP227" s="889"/>
      <c r="BQ227" s="1619"/>
      <c r="BR227" s="889"/>
      <c r="BS227" s="889"/>
      <c r="BT227" s="978"/>
      <c r="BU227" s="1619"/>
      <c r="BV227" s="889"/>
      <c r="BW227" s="889"/>
      <c r="BX227" s="978"/>
      <c r="BY227" s="1619"/>
      <c r="BZ227" s="889"/>
      <c r="CA227" s="889"/>
      <c r="CB227" s="978"/>
      <c r="CC227" s="1619"/>
      <c r="CD227" s="889"/>
      <c r="CE227" s="889"/>
      <c r="CF227" s="978"/>
      <c r="CG227" s="1135"/>
      <c r="CH227" s="259"/>
      <c r="CM227" s="64"/>
      <c r="CN227" s="118"/>
      <c r="CO227" s="118"/>
      <c r="CP227" s="889"/>
      <c r="CQ227" s="889"/>
      <c r="CR227" s="889"/>
      <c r="CS227" s="889"/>
      <c r="CT227" s="889"/>
      <c r="CU227" s="889"/>
      <c r="CV227" s="889"/>
      <c r="CW227" s="889"/>
      <c r="CX227" s="889"/>
      <c r="CY227" s="889"/>
      <c r="DF227" s="1135"/>
    </row>
    <row r="228" spans="1:110" s="82" customFormat="1" ht="12.75" customHeight="1">
      <c r="H228" s="292"/>
      <c r="I228" s="263" t="s">
        <v>254</v>
      </c>
      <c r="P228" s="1135"/>
      <c r="T228" s="1135"/>
      <c r="X228" s="1135"/>
      <c r="AB228" s="1135"/>
      <c r="AC228" s="307"/>
      <c r="AD228" s="307"/>
      <c r="AE228" s="307"/>
      <c r="AF228" s="1136"/>
      <c r="AG228" s="64"/>
      <c r="AH228" s="64"/>
      <c r="AI228" s="64"/>
      <c r="AJ228" s="180"/>
      <c r="AK228" s="64"/>
      <c r="AL228" s="64"/>
      <c r="AM228" s="64"/>
      <c r="AN228" s="180"/>
      <c r="AO228" s="64"/>
      <c r="AP228" s="64"/>
      <c r="AQ228" s="118"/>
      <c r="AR228" s="230"/>
      <c r="AS228" s="889"/>
      <c r="AT228" s="889"/>
      <c r="AU228" s="889"/>
      <c r="AV228" s="978"/>
      <c r="AW228" s="889"/>
      <c r="AX228" s="889"/>
      <c r="AY228" s="890"/>
      <c r="AZ228" s="984"/>
      <c r="BA228" s="889"/>
      <c r="BB228" s="889"/>
      <c r="BC228" s="889"/>
      <c r="BD228" s="978"/>
      <c r="BE228" s="118"/>
      <c r="BF228" s="118"/>
      <c r="BG228" s="118"/>
      <c r="BH228" s="230"/>
      <c r="BI228" s="176"/>
      <c r="BJ228" s="176"/>
      <c r="BK228" s="176"/>
      <c r="BL228" s="176"/>
      <c r="BM228" s="306"/>
      <c r="BN228" s="176"/>
      <c r="BO228" s="176"/>
      <c r="BP228" s="889"/>
      <c r="BQ228" s="1619"/>
      <c r="BR228" s="889"/>
      <c r="BS228" s="889"/>
      <c r="BT228" s="978"/>
      <c r="BU228" s="1619"/>
      <c r="BV228" s="889"/>
      <c r="BW228" s="889"/>
      <c r="BX228" s="978"/>
      <c r="BY228" s="1619"/>
      <c r="BZ228" s="889"/>
      <c r="CA228" s="889"/>
      <c r="CB228" s="978"/>
      <c r="CC228" s="1619"/>
      <c r="CD228" s="889"/>
      <c r="CE228" s="889"/>
      <c r="CF228" s="978"/>
      <c r="CG228" s="1135"/>
      <c r="CH228" s="259"/>
      <c r="CM228" s="64"/>
      <c r="CN228" s="118"/>
      <c r="CO228" s="118"/>
      <c r="CP228" s="889"/>
      <c r="CQ228" s="889"/>
      <c r="CR228" s="889"/>
      <c r="CS228" s="889"/>
      <c r="CT228" s="889"/>
      <c r="CU228" s="889"/>
      <c r="CV228" s="889"/>
      <c r="CW228" s="889"/>
      <c r="CX228" s="889"/>
      <c r="CY228" s="889"/>
      <c r="DF228" s="1135"/>
    </row>
    <row r="229" spans="1:110" s="82" customFormat="1" ht="12.75" customHeight="1">
      <c r="H229" s="292"/>
      <c r="I229" s="259" t="s">
        <v>298</v>
      </c>
      <c r="P229" s="1135"/>
      <c r="T229" s="1135"/>
      <c r="X229" s="1135"/>
      <c r="AB229" s="1135"/>
      <c r="AC229" s="307"/>
      <c r="AD229" s="307"/>
      <c r="AE229" s="307"/>
      <c r="AF229" s="1136"/>
      <c r="AG229" s="64"/>
      <c r="AH229" s="64"/>
      <c r="AI229" s="64"/>
      <c r="AJ229" s="180"/>
      <c r="AK229" s="64"/>
      <c r="AL229" s="64"/>
      <c r="AM229" s="64"/>
      <c r="AN229" s="180"/>
      <c r="AO229" s="64"/>
      <c r="AP229" s="64"/>
      <c r="AQ229" s="118"/>
      <c r="AR229" s="230"/>
      <c r="AS229" s="889"/>
      <c r="AT229" s="889"/>
      <c r="AU229" s="889"/>
      <c r="AV229" s="978"/>
      <c r="AW229" s="889"/>
      <c r="AX229" s="889"/>
      <c r="AY229" s="890"/>
      <c r="AZ229" s="984"/>
      <c r="BA229" s="118">
        <f t="shared" ref="BA229:BD231" si="437">+BA224+AW224</f>
        <v>2.92</v>
      </c>
      <c r="BB229" s="118">
        <f t="shared" si="437"/>
        <v>3.25</v>
      </c>
      <c r="BC229" s="118">
        <f t="shared" si="437"/>
        <v>2.65</v>
      </c>
      <c r="BD229" s="230">
        <f t="shared" si="437"/>
        <v>2.6100000000000003</v>
      </c>
      <c r="BE229" s="118">
        <f t="shared" ref="BE229:BL231" si="438">+BE224+BA224</f>
        <v>1.9</v>
      </c>
      <c r="BF229" s="118">
        <f t="shared" si="438"/>
        <v>2.25</v>
      </c>
      <c r="BG229" s="118">
        <f t="shared" si="438"/>
        <v>1.6800000000000002</v>
      </c>
      <c r="BH229" s="230">
        <f t="shared" si="438"/>
        <v>1.6</v>
      </c>
      <c r="BI229" s="118">
        <f t="shared" si="438"/>
        <v>1.1399999999999999</v>
      </c>
      <c r="BJ229" s="118">
        <f t="shared" si="438"/>
        <v>1.2</v>
      </c>
      <c r="BK229" s="118">
        <f t="shared" si="438"/>
        <v>1.1100000000000001</v>
      </c>
      <c r="BL229" s="118">
        <f t="shared" si="438"/>
        <v>0.95</v>
      </c>
      <c r="BM229" s="1615">
        <f t="shared" ref="BM229:BV231" si="439">+BM224+BI224</f>
        <v>0.74</v>
      </c>
      <c r="BN229" s="118">
        <f t="shared" si="439"/>
        <v>0.8</v>
      </c>
      <c r="BO229" s="118">
        <f t="shared" si="439"/>
        <v>0.73</v>
      </c>
      <c r="BP229" s="118">
        <f t="shared" si="439"/>
        <v>0.64999999999999991</v>
      </c>
      <c r="BQ229" s="1615">
        <f t="shared" si="439"/>
        <v>0.5</v>
      </c>
      <c r="BR229" s="118">
        <f t="shared" si="439"/>
        <v>0.5</v>
      </c>
      <c r="BS229" s="118">
        <f t="shared" si="439"/>
        <v>0.19999999999999998</v>
      </c>
      <c r="BT229" s="230">
        <f t="shared" si="439"/>
        <v>0.4</v>
      </c>
      <c r="BU229" s="1615">
        <f t="shared" si="439"/>
        <v>0.48000000000000004</v>
      </c>
      <c r="BV229" s="118">
        <f t="shared" si="439"/>
        <v>0.45</v>
      </c>
      <c r="BW229" s="118">
        <f t="shared" ref="BW229:CF231" si="440">+BW224+BS224</f>
        <v>0.18000000000000002</v>
      </c>
      <c r="BX229" s="230">
        <f t="shared" si="440"/>
        <v>0.38</v>
      </c>
      <c r="BY229" s="1615">
        <f t="shared" si="440"/>
        <v>0.53</v>
      </c>
      <c r="BZ229" s="118">
        <f t="shared" si="440"/>
        <v>0.5</v>
      </c>
      <c r="CA229" s="118">
        <f t="shared" si="440"/>
        <v>0.53</v>
      </c>
      <c r="CB229" s="230">
        <f t="shared" si="440"/>
        <v>0.53</v>
      </c>
      <c r="CC229" s="1615">
        <f t="shared" si="440"/>
        <v>0.4</v>
      </c>
      <c r="CD229" s="118">
        <f t="shared" si="440"/>
        <v>0.4</v>
      </c>
      <c r="CE229" s="118">
        <f t="shared" si="440"/>
        <v>0.4</v>
      </c>
      <c r="CF229" s="230">
        <f t="shared" si="440"/>
        <v>0.4</v>
      </c>
      <c r="CG229" s="1135"/>
      <c r="CH229" s="259"/>
      <c r="CM229" s="64"/>
      <c r="CN229" s="118"/>
      <c r="CO229" s="118"/>
      <c r="CP229" s="889"/>
      <c r="CQ229" s="889"/>
      <c r="CR229" s="118">
        <f t="shared" ref="CR229:CX231" si="441">+CR224+CQ224</f>
        <v>2.8213530766274606</v>
      </c>
      <c r="CS229" s="118">
        <f t="shared" si="441"/>
        <v>1.8258272198488739</v>
      </c>
      <c r="CT229" s="118">
        <f t="shared" si="441"/>
        <v>1.0965274376410745</v>
      </c>
      <c r="CU229" s="118">
        <f t="shared" si="441"/>
        <v>0.72899517264763825</v>
      </c>
      <c r="CV229" s="118">
        <f t="shared" si="441"/>
        <v>0.39641780314954356</v>
      </c>
      <c r="CW229" s="118">
        <f t="shared" si="441"/>
        <v>0.36771178839660412</v>
      </c>
      <c r="CX229" s="118">
        <f t="shared" si="441"/>
        <v>0.52129398524706061</v>
      </c>
      <c r="CY229" s="118">
        <f t="shared" ref="CY229:CZ231" si="442">+CY224+CX224</f>
        <v>0.39999999999999991</v>
      </c>
      <c r="CZ229" s="118">
        <f t="shared" si="442"/>
        <v>0.27749999999999986</v>
      </c>
      <c r="DA229" s="118">
        <f t="shared" ref="DA229:DF229" si="443">+DA224+CZ224</f>
        <v>0.23587499999999983</v>
      </c>
      <c r="DB229" s="118">
        <f t="shared" si="443"/>
        <v>0.20174999999999987</v>
      </c>
      <c r="DC229" s="118">
        <f t="shared" si="443"/>
        <v>0.17174999999999985</v>
      </c>
      <c r="DD229" s="118">
        <f t="shared" si="443"/>
        <v>0.15674999999999986</v>
      </c>
      <c r="DE229" s="118">
        <f t="shared" si="443"/>
        <v>0.15674999999999986</v>
      </c>
      <c r="DF229" s="230">
        <f t="shared" si="443"/>
        <v>0.15674999999999986</v>
      </c>
    </row>
    <row r="230" spans="1:110" s="1145" customFormat="1" ht="12.75" customHeight="1">
      <c r="A230" s="82"/>
      <c r="B230" s="292"/>
      <c r="C230" s="292"/>
      <c r="D230" s="292"/>
      <c r="E230" s="292"/>
      <c r="F230" s="82"/>
      <c r="G230" s="82"/>
      <c r="H230" s="292"/>
      <c r="I230" s="1144" t="s">
        <v>299</v>
      </c>
      <c r="P230" s="1146"/>
      <c r="T230" s="1146"/>
      <c r="X230" s="1146"/>
      <c r="AB230" s="1146"/>
      <c r="AC230" s="1147"/>
      <c r="AD230" s="1147"/>
      <c r="AE230" s="1147"/>
      <c r="AF230" s="1148"/>
      <c r="AG230" s="804"/>
      <c r="AH230" s="804"/>
      <c r="AI230" s="804"/>
      <c r="AJ230" s="923"/>
      <c r="AK230" s="804"/>
      <c r="AL230" s="804"/>
      <c r="AM230" s="804"/>
      <c r="AN230" s="923"/>
      <c r="AO230" s="804"/>
      <c r="AP230" s="804"/>
      <c r="AQ230" s="119"/>
      <c r="AR230" s="231"/>
      <c r="AS230" s="891"/>
      <c r="AT230" s="891"/>
      <c r="AU230" s="891"/>
      <c r="AV230" s="979"/>
      <c r="AW230" s="891"/>
      <c r="AX230" s="891"/>
      <c r="AY230" s="892"/>
      <c r="AZ230" s="985"/>
      <c r="BA230" s="119">
        <f t="shared" si="437"/>
        <v>2.15</v>
      </c>
      <c r="BB230" s="119">
        <f t="shared" si="437"/>
        <v>2.2999999999999998</v>
      </c>
      <c r="BC230" s="119">
        <f t="shared" si="437"/>
        <v>2.353319147564819</v>
      </c>
      <c r="BD230" s="231">
        <f t="shared" si="437"/>
        <v>2.4803354150134194</v>
      </c>
      <c r="BE230" s="119">
        <f t="shared" si="438"/>
        <v>1.75</v>
      </c>
      <c r="BF230" s="119">
        <f t="shared" si="438"/>
        <v>1.9</v>
      </c>
      <c r="BG230" s="119">
        <f t="shared" si="438"/>
        <v>1.9</v>
      </c>
      <c r="BH230" s="231">
        <f t="shared" si="438"/>
        <v>1.9</v>
      </c>
      <c r="BI230" s="119">
        <f t="shared" si="438"/>
        <v>1.2</v>
      </c>
      <c r="BJ230" s="119">
        <f t="shared" si="438"/>
        <v>1.2</v>
      </c>
      <c r="BK230" s="119">
        <f t="shared" si="438"/>
        <v>1.2</v>
      </c>
      <c r="BL230" s="119">
        <f t="shared" si="438"/>
        <v>1.2</v>
      </c>
      <c r="BM230" s="1620">
        <f t="shared" si="439"/>
        <v>1.05</v>
      </c>
      <c r="BN230" s="119">
        <f t="shared" si="439"/>
        <v>1.05</v>
      </c>
      <c r="BO230" s="119">
        <f t="shared" si="439"/>
        <v>1.05</v>
      </c>
      <c r="BP230" s="119">
        <f t="shared" si="439"/>
        <v>1.05</v>
      </c>
      <c r="BQ230" s="1620">
        <f t="shared" si="439"/>
        <v>0.8</v>
      </c>
      <c r="BR230" s="119">
        <f t="shared" si="439"/>
        <v>0.8</v>
      </c>
      <c r="BS230" s="119">
        <f t="shared" si="439"/>
        <v>0.8</v>
      </c>
      <c r="BT230" s="231">
        <f t="shared" si="439"/>
        <v>0.8</v>
      </c>
      <c r="BU230" s="1620">
        <f t="shared" si="439"/>
        <v>0.67999999999999994</v>
      </c>
      <c r="BV230" s="119">
        <f t="shared" si="439"/>
        <v>0.63</v>
      </c>
      <c r="BW230" s="119">
        <f t="shared" si="440"/>
        <v>0.63</v>
      </c>
      <c r="BX230" s="231">
        <f t="shared" si="440"/>
        <v>0.63</v>
      </c>
      <c r="BY230" s="1620">
        <f t="shared" si="440"/>
        <v>0.6100000000000001</v>
      </c>
      <c r="BZ230" s="119">
        <f t="shared" si="440"/>
        <v>0.56000000000000005</v>
      </c>
      <c r="CA230" s="119">
        <f t="shared" si="440"/>
        <v>0.56000000000000005</v>
      </c>
      <c r="CB230" s="231">
        <f t="shared" si="440"/>
        <v>0.56000000000000005</v>
      </c>
      <c r="CC230" s="1620">
        <f>+CC225+BY225</f>
        <v>0.48000000000000004</v>
      </c>
      <c r="CD230" s="119">
        <f>+CD225+BZ225</f>
        <v>0.48000000000000004</v>
      </c>
      <c r="CE230" s="119">
        <f t="shared" si="440"/>
        <v>0.48000000000000004</v>
      </c>
      <c r="CF230" s="231">
        <f t="shared" si="440"/>
        <v>0.48000000000000004</v>
      </c>
      <c r="CG230" s="1146"/>
      <c r="CH230" s="1144"/>
      <c r="CM230" s="804"/>
      <c r="CN230" s="119"/>
      <c r="CO230" s="119"/>
      <c r="CP230" s="891"/>
      <c r="CQ230" s="891"/>
      <c r="CR230" s="119">
        <f t="shared" si="441"/>
        <v>2.3269799087276741</v>
      </c>
      <c r="CS230" s="119">
        <f t="shared" si="441"/>
        <v>1.8653474622661057</v>
      </c>
      <c r="CT230" s="119">
        <f t="shared" si="441"/>
        <v>1.2000000000000004</v>
      </c>
      <c r="CU230" s="119">
        <f t="shared" si="441"/>
        <v>1.0500000000000003</v>
      </c>
      <c r="CV230" s="119">
        <f t="shared" si="441"/>
        <v>0.8</v>
      </c>
      <c r="CW230" s="119">
        <f t="shared" si="441"/>
        <v>0.64096269738879186</v>
      </c>
      <c r="CX230" s="119">
        <f t="shared" si="441"/>
        <v>0.5709626973887918</v>
      </c>
      <c r="CY230" s="119">
        <f t="shared" si="442"/>
        <v>0.48</v>
      </c>
      <c r="CZ230" s="119">
        <f t="shared" si="442"/>
        <v>0.37599999999999989</v>
      </c>
      <c r="DA230" s="119">
        <f t="shared" ref="DA230:DF230" si="444">+DA225+CZ225</f>
        <v>0.32559999999999989</v>
      </c>
      <c r="DB230" s="119">
        <f t="shared" si="444"/>
        <v>0.2841999999999999</v>
      </c>
      <c r="DC230" s="119">
        <f t="shared" si="444"/>
        <v>0.25419999999999987</v>
      </c>
      <c r="DD230" s="119">
        <f t="shared" si="444"/>
        <v>0.23919999999999988</v>
      </c>
      <c r="DE230" s="119">
        <f t="shared" si="444"/>
        <v>0.23919999999999988</v>
      </c>
      <c r="DF230" s="231">
        <f t="shared" si="444"/>
        <v>0.23919999999999988</v>
      </c>
    </row>
    <row r="231" spans="1:110" s="91" customFormat="1" ht="12.75" customHeight="1">
      <c r="B231" s="309"/>
      <c r="C231" s="309"/>
      <c r="D231" s="309"/>
      <c r="E231" s="309"/>
      <c r="F231" s="309"/>
      <c r="I231" s="263" t="s">
        <v>301</v>
      </c>
      <c r="P231" s="1149"/>
      <c r="T231" s="1149"/>
      <c r="X231" s="1149"/>
      <c r="AB231" s="1149"/>
      <c r="AC231" s="1150"/>
      <c r="AD231" s="1150"/>
      <c r="AE231" s="1150"/>
      <c r="AF231" s="1151"/>
      <c r="AG231" s="721"/>
      <c r="AH231" s="721"/>
      <c r="AI231" s="721"/>
      <c r="AJ231" s="731"/>
      <c r="AK231" s="721"/>
      <c r="AL231" s="721"/>
      <c r="AM231" s="721"/>
      <c r="AN231" s="731"/>
      <c r="AO231" s="721"/>
      <c r="AP231" s="721"/>
      <c r="AQ231" s="120"/>
      <c r="AR231" s="232"/>
      <c r="AS231" s="888"/>
      <c r="AT231" s="888"/>
      <c r="AU231" s="888"/>
      <c r="AV231" s="1745"/>
      <c r="AW231" s="888"/>
      <c r="AX231" s="888"/>
      <c r="AY231" s="1746"/>
      <c r="AZ231" s="1747"/>
      <c r="BA231" s="120">
        <f t="shared" si="437"/>
        <v>2.6831852289025004</v>
      </c>
      <c r="BB231" s="120">
        <f t="shared" si="437"/>
        <v>2.9800637365303642</v>
      </c>
      <c r="BC231" s="120">
        <f t="shared" si="437"/>
        <v>2.55076733660183</v>
      </c>
      <c r="BD231" s="232">
        <f t="shared" si="437"/>
        <v>2.5669834761435504</v>
      </c>
      <c r="BE231" s="120">
        <f t="shared" si="438"/>
        <v>1.8629749462733896</v>
      </c>
      <c r="BF231" s="120">
        <f t="shared" si="438"/>
        <v>2.167598819556992</v>
      </c>
      <c r="BG231" s="120">
        <f t="shared" si="438"/>
        <v>1.7298070067366946</v>
      </c>
      <c r="BH231" s="232">
        <f t="shared" si="438"/>
        <v>1.6669834761435502</v>
      </c>
      <c r="BI231" s="120">
        <f t="shared" si="438"/>
        <v>1.1529559608300195</v>
      </c>
      <c r="BJ231" s="120">
        <f t="shared" si="438"/>
        <v>1.1989694840743614</v>
      </c>
      <c r="BK231" s="120">
        <f t="shared" si="438"/>
        <v>1.1319953165997063</v>
      </c>
      <c r="BL231" s="120">
        <f t="shared" si="438"/>
        <v>1.0121122507381326</v>
      </c>
      <c r="BM231" s="1743">
        <f t="shared" si="439"/>
        <v>0.8155642871291191</v>
      </c>
      <c r="BN231" s="120">
        <f t="shared" si="439"/>
        <v>0.85465235752454904</v>
      </c>
      <c r="BO231" s="120">
        <f t="shared" si="439"/>
        <v>0.81412678813700956</v>
      </c>
      <c r="BP231" s="120">
        <f t="shared" si="439"/>
        <v>0.75433818616036197</v>
      </c>
      <c r="BQ231" s="1743">
        <f t="shared" si="439"/>
        <v>0.57931983538985077</v>
      </c>
      <c r="BR231" s="120">
        <f t="shared" si="439"/>
        <v>0.56982445493640932</v>
      </c>
      <c r="BS231" s="120">
        <f t="shared" si="439"/>
        <v>0.37470701991261079</v>
      </c>
      <c r="BT231" s="232">
        <f t="shared" si="439"/>
        <v>0.5182533820023163</v>
      </c>
      <c r="BU231" s="1743">
        <f t="shared" si="439"/>
        <v>0.53620757401371821</v>
      </c>
      <c r="BV231" s="120">
        <f t="shared" si="439"/>
        <v>0.49431747583286589</v>
      </c>
      <c r="BW231" s="120">
        <f t="shared" si="440"/>
        <v>0.31353587824044293</v>
      </c>
      <c r="BX231" s="232">
        <f t="shared" si="440"/>
        <v>0.45602744658008687</v>
      </c>
      <c r="BY231" s="1743">
        <f t="shared" si="440"/>
        <v>0.55417153072022018</v>
      </c>
      <c r="BZ231" s="120">
        <f t="shared" si="440"/>
        <v>0.51602606051183209</v>
      </c>
      <c r="CA231" s="120">
        <f t="shared" si="440"/>
        <v>0.54162826496367056</v>
      </c>
      <c r="CB231" s="232">
        <f t="shared" si="440"/>
        <v>0.54047292423471105</v>
      </c>
      <c r="CC231" s="1743">
        <f t="shared" si="440"/>
        <v>0.4248297863093804</v>
      </c>
      <c r="CD231" s="120">
        <f t="shared" si="440"/>
        <v>0.42178846836272776</v>
      </c>
      <c r="CE231" s="120">
        <f t="shared" si="440"/>
        <v>0.43129092308947348</v>
      </c>
      <c r="CF231" s="232">
        <f t="shared" si="440"/>
        <v>0.42819820649807183</v>
      </c>
      <c r="CG231" s="1149"/>
      <c r="CH231" s="263"/>
      <c r="CM231" s="721"/>
      <c r="CN231" s="120"/>
      <c r="CO231" s="120"/>
      <c r="CP231" s="888"/>
      <c r="CQ231" s="888"/>
      <c r="CR231" s="120">
        <f t="shared" si="441"/>
        <v>2.6749302414431919</v>
      </c>
      <c r="CS231" s="120">
        <f t="shared" si="441"/>
        <v>1.8345672011193761</v>
      </c>
      <c r="CT231" s="120">
        <f t="shared" si="441"/>
        <v>1.1205958860586422</v>
      </c>
      <c r="CU231" s="120">
        <f t="shared" si="441"/>
        <v>0.80841009651310314</v>
      </c>
      <c r="CV231" s="120">
        <f t="shared" si="441"/>
        <v>0.50624050587692304</v>
      </c>
      <c r="CW231" s="120">
        <f t="shared" si="441"/>
        <v>0.44511199409370361</v>
      </c>
      <c r="CX231" s="120">
        <f t="shared" si="441"/>
        <v>0.53748300781829772</v>
      </c>
      <c r="CY231" s="120">
        <f t="shared" si="442"/>
        <v>0.42644414323468416</v>
      </c>
      <c r="CZ231" s="120">
        <f t="shared" si="442"/>
        <v>0.31071436198738112</v>
      </c>
      <c r="DA231" s="120">
        <f t="shared" ref="DA231:DF231" si="445">+DA226+CZ226</f>
        <v>0.26695695956535381</v>
      </c>
      <c r="DB231" s="120">
        <f t="shared" si="445"/>
        <v>0.23108201793095606</v>
      </c>
      <c r="DC231" s="120">
        <f t="shared" si="445"/>
        <v>0.20178036056051152</v>
      </c>
      <c r="DD231" s="120">
        <f t="shared" si="445"/>
        <v>0.18749531749170045</v>
      </c>
      <c r="DE231" s="120">
        <f t="shared" si="445"/>
        <v>0.18822196813379466</v>
      </c>
      <c r="DF231" s="232">
        <f t="shared" si="445"/>
        <v>0.18895509514349818</v>
      </c>
    </row>
    <row r="232" spans="1:110" ht="12.75" customHeight="1">
      <c r="H232" s="34"/>
      <c r="I232" s="160"/>
      <c r="P232" s="234"/>
      <c r="T232" s="234"/>
      <c r="X232" s="234"/>
      <c r="AB232" s="234"/>
      <c r="AF232" s="249"/>
      <c r="AJ232" s="179"/>
      <c r="AN232" s="179"/>
      <c r="AR232" s="162"/>
      <c r="AS232" s="889"/>
      <c r="AT232" s="889"/>
      <c r="AU232" s="889"/>
      <c r="AV232" s="978"/>
      <c r="AW232" s="733"/>
      <c r="AX232" s="733"/>
      <c r="AY232" s="890"/>
      <c r="AZ232" s="984"/>
      <c r="BA232" s="733"/>
      <c r="BB232" s="733"/>
      <c r="BC232" s="733"/>
      <c r="BD232" s="739"/>
      <c r="BE232" s="853"/>
      <c r="BF232" s="853"/>
      <c r="BG232" s="733"/>
      <c r="BH232" s="739"/>
      <c r="BI232" s="853"/>
      <c r="BJ232" s="853"/>
      <c r="BK232" s="853"/>
      <c r="BL232" s="853"/>
      <c r="BM232" s="1621"/>
      <c r="BN232" s="733"/>
      <c r="BO232" s="853"/>
      <c r="BP232" s="733"/>
      <c r="BQ232" s="1621"/>
      <c r="BR232" s="733"/>
      <c r="BS232" s="733"/>
      <c r="BT232" s="739"/>
      <c r="BU232" s="1621"/>
      <c r="BV232" s="733"/>
      <c r="BW232" s="733"/>
      <c r="BX232" s="739"/>
      <c r="BY232" s="1621"/>
      <c r="BZ232" s="733"/>
      <c r="CA232" s="733"/>
      <c r="CB232" s="739"/>
      <c r="CC232" s="1621"/>
      <c r="CD232" s="733"/>
      <c r="CE232" s="733"/>
      <c r="CF232" s="739"/>
      <c r="CG232" s="234"/>
      <c r="CH232" s="160"/>
      <c r="CM232" s="30"/>
      <c r="CN232" s="33"/>
      <c r="CO232" s="33"/>
      <c r="CP232" s="161"/>
      <c r="CQ232" s="733"/>
      <c r="CR232" s="853"/>
      <c r="CS232" s="853"/>
      <c r="CT232" s="853"/>
      <c r="CU232" s="733"/>
      <c r="CV232" s="733"/>
      <c r="CW232" s="853"/>
      <c r="CX232" s="853"/>
      <c r="CY232" s="853"/>
      <c r="DF232" s="234"/>
    </row>
    <row r="233" spans="1:110" ht="12.75" customHeight="1">
      <c r="I233" s="160"/>
      <c r="P233" s="234"/>
      <c r="T233" s="234"/>
      <c r="X233" s="234"/>
      <c r="AB233" s="234"/>
      <c r="AF233" s="249"/>
      <c r="AJ233" s="179"/>
      <c r="AN233" s="179"/>
      <c r="AR233" s="162"/>
      <c r="AS233" s="33"/>
      <c r="AT233" s="33"/>
      <c r="AU233" s="33"/>
      <c r="AV233" s="162"/>
      <c r="AW233" s="161"/>
      <c r="AX233" s="161"/>
      <c r="AY233" s="161"/>
      <c r="AZ233" s="162"/>
      <c r="BA233" s="33"/>
      <c r="BB233" s="33"/>
      <c r="BC233" s="33"/>
      <c r="BD233" s="162"/>
      <c r="BE233" s="33"/>
      <c r="BF233" s="33"/>
      <c r="BG233" s="33"/>
      <c r="BH233" s="162"/>
      <c r="BI233" s="33"/>
      <c r="BJ233" s="33"/>
      <c r="BK233" s="33"/>
      <c r="BL233" s="33"/>
      <c r="BM233" s="1595"/>
      <c r="BN233" s="33"/>
      <c r="BO233" s="33"/>
      <c r="BP233" s="33"/>
      <c r="BQ233" s="1595"/>
      <c r="BR233" s="33"/>
      <c r="BS233" s="33"/>
      <c r="BT233" s="162"/>
      <c r="BU233" s="1595"/>
      <c r="BV233" s="33"/>
      <c r="BW233" s="33"/>
      <c r="BX233" s="162"/>
      <c r="BY233" s="1595"/>
      <c r="BZ233" s="33"/>
      <c r="CA233" s="33"/>
      <c r="CB233" s="162"/>
      <c r="CC233" s="1595"/>
      <c r="CD233" s="33"/>
      <c r="CE233" s="33"/>
      <c r="CF233" s="162"/>
      <c r="CG233" s="234"/>
      <c r="CH233" s="160"/>
      <c r="CM233" s="30"/>
      <c r="CN233" s="33"/>
      <c r="CO233" s="33"/>
      <c r="CP233" s="161"/>
      <c r="CQ233" s="33"/>
      <c r="CR233" s="929"/>
      <c r="CS233" s="929"/>
      <c r="CT233" s="929"/>
      <c r="CU233" s="929"/>
      <c r="CV233" s="929"/>
      <c r="CW233" s="1995"/>
      <c r="CX233" s="929"/>
      <c r="CY233" s="929"/>
      <c r="CZ233" s="929"/>
      <c r="DA233" s="929"/>
      <c r="DF233" s="234"/>
    </row>
    <row r="234" spans="1:110" ht="12.75" customHeight="1">
      <c r="I234" s="178" t="s">
        <v>302</v>
      </c>
      <c r="J234" s="8"/>
      <c r="K234" s="8"/>
      <c r="P234" s="234"/>
      <c r="T234" s="234"/>
      <c r="X234" s="234"/>
      <c r="AB234" s="234"/>
      <c r="AF234" s="249"/>
      <c r="AJ234" s="179"/>
      <c r="AN234" s="179"/>
      <c r="AR234" s="162"/>
      <c r="AS234" s="33"/>
      <c r="AT234" s="33"/>
      <c r="AU234" s="33"/>
      <c r="AV234" s="162"/>
      <c r="AW234" s="161"/>
      <c r="AX234" s="161"/>
      <c r="AY234" s="161">
        <v>265</v>
      </c>
      <c r="AZ234" s="162">
        <f>+(AY234/4)*1.33</f>
        <v>88.112500000000011</v>
      </c>
      <c r="BA234" s="33"/>
      <c r="BB234" s="33"/>
      <c r="BC234" s="33"/>
      <c r="BD234" s="162"/>
      <c r="BE234" s="33"/>
      <c r="BF234" s="33"/>
      <c r="BG234" s="853"/>
      <c r="BH234" s="162"/>
      <c r="BI234" s="120"/>
      <c r="BJ234" s="118"/>
      <c r="BK234" s="118"/>
      <c r="BL234" s="33"/>
      <c r="BM234" s="1595"/>
      <c r="BN234" s="33"/>
      <c r="BO234" s="33"/>
      <c r="BP234" s="33"/>
      <c r="BQ234" s="1595"/>
      <c r="BR234" s="33"/>
      <c r="BS234" s="33"/>
      <c r="BT234" s="162"/>
      <c r="BU234" s="1595"/>
      <c r="BV234" s="33"/>
      <c r="BW234" s="33"/>
      <c r="BX234" s="162"/>
      <c r="BY234" s="1595"/>
      <c r="BZ234" s="33"/>
      <c r="CA234" s="33"/>
      <c r="CB234" s="162"/>
      <c r="CC234" s="1595"/>
      <c r="CD234" s="33"/>
      <c r="CE234" s="33"/>
      <c r="CF234" s="162"/>
      <c r="CG234" s="234"/>
      <c r="CH234" s="160"/>
      <c r="CM234" s="30"/>
      <c r="CN234" s="33"/>
      <c r="CO234" s="33"/>
      <c r="CP234" s="928">
        <v>100</v>
      </c>
      <c r="CQ234" s="33">
        <f>+AY234*(0.75)+AZ234</f>
        <v>286.86250000000001</v>
      </c>
      <c r="CR234" s="929">
        <f t="shared" ref="CR234:DA234" si="446">+CQ234*(1+CR236)</f>
        <v>573.72500000000002</v>
      </c>
      <c r="CS234" s="929">
        <f>+CR234*(1+CS236)</f>
        <v>1434.3125</v>
      </c>
      <c r="CT234" s="929">
        <f>+CS234*(1+CT236)</f>
        <v>2366.6156249999999</v>
      </c>
      <c r="CU234" s="929">
        <f>+CT234*(1+CU236)</f>
        <v>3668.2542187499998</v>
      </c>
      <c r="CV234" s="929">
        <f>+CU234*(1+CV236)</f>
        <v>4585.3177734374995</v>
      </c>
      <c r="CW234" s="929">
        <f t="shared" si="446"/>
        <v>6052.6194609374998</v>
      </c>
      <c r="CX234" s="929">
        <f t="shared" si="446"/>
        <v>7142.0909639062493</v>
      </c>
      <c r="CY234" s="929">
        <f t="shared" si="446"/>
        <v>8141.9836988531251</v>
      </c>
      <c r="CZ234" s="929">
        <f t="shared" si="446"/>
        <v>9119.0217427155003</v>
      </c>
      <c r="DA234" s="929">
        <f t="shared" si="446"/>
        <v>10122.114134414207</v>
      </c>
      <c r="DB234" s="929"/>
      <c r="DF234" s="234"/>
    </row>
    <row r="235" spans="1:110" ht="12.75" customHeight="1">
      <c r="I235" s="160" t="s">
        <v>481</v>
      </c>
      <c r="P235" s="234"/>
      <c r="T235" s="234"/>
      <c r="X235" s="234"/>
      <c r="AB235" s="234"/>
      <c r="AF235" s="249"/>
      <c r="AG235" s="1217"/>
      <c r="AH235" s="1217"/>
      <c r="AI235" s="1217"/>
      <c r="AJ235" s="1218"/>
      <c r="AK235" s="1217"/>
      <c r="AL235" s="1217"/>
      <c r="AM235" s="1217"/>
      <c r="AN235" s="1218"/>
      <c r="AO235" s="1217"/>
      <c r="AP235" s="1217"/>
      <c r="AQ235" s="1207"/>
      <c r="AR235" s="1208"/>
      <c r="AS235" s="1207"/>
      <c r="AT235" s="1207"/>
      <c r="AU235" s="1207"/>
      <c r="AV235" s="1208"/>
      <c r="AW235" s="1219"/>
      <c r="AX235" s="1219"/>
      <c r="AY235" s="1219"/>
      <c r="AZ235" s="1208"/>
      <c r="BA235" s="1207"/>
      <c r="BB235" s="1207"/>
      <c r="BC235" s="1207"/>
      <c r="BD235" s="1208"/>
      <c r="BE235" s="1207"/>
      <c r="BF235" s="1207"/>
      <c r="BG235" s="1207"/>
      <c r="BH235" s="1208"/>
      <c r="BI235" s="1220"/>
      <c r="BJ235" s="1220"/>
      <c r="BK235" s="1220"/>
      <c r="BL235" s="1220"/>
      <c r="BM235" s="1622"/>
      <c r="BN235" s="1207"/>
      <c r="BO235" s="1207"/>
      <c r="BP235" s="1207"/>
      <c r="BQ235" s="1622"/>
      <c r="BR235" s="1207"/>
      <c r="BS235" s="1207"/>
      <c r="BT235" s="1208"/>
      <c r="BU235" s="1622"/>
      <c r="BV235" s="1207"/>
      <c r="BW235" s="1207"/>
      <c r="BX235" s="1208"/>
      <c r="BY235" s="1622"/>
      <c r="BZ235" s="1207"/>
      <c r="CA235" s="1207"/>
      <c r="CB235" s="1208"/>
      <c r="CC235" s="1622"/>
      <c r="CD235" s="1207"/>
      <c r="CE235" s="1207"/>
      <c r="CF235" s="1208"/>
      <c r="CG235" s="234"/>
      <c r="CH235" s="160"/>
      <c r="CM235" s="1217"/>
      <c r="CN235" s="1207"/>
      <c r="CO235" s="1207"/>
      <c r="CP235" s="1221"/>
      <c r="CQ235" s="221">
        <f t="shared" ref="CQ235:DA235" si="447">+CQ234-CP234</f>
        <v>186.86250000000001</v>
      </c>
      <c r="CR235" s="221">
        <f t="shared" si="447"/>
        <v>286.86250000000001</v>
      </c>
      <c r="CS235" s="221">
        <f t="shared" si="447"/>
        <v>860.58749999999998</v>
      </c>
      <c r="CT235" s="221">
        <f t="shared" si="447"/>
        <v>932.30312499999991</v>
      </c>
      <c r="CU235" s="221">
        <f t="shared" si="447"/>
        <v>1301.6385937499999</v>
      </c>
      <c r="CV235" s="221">
        <f>+CV234-CU234</f>
        <v>917.06355468749962</v>
      </c>
      <c r="CW235" s="221">
        <f t="shared" si="447"/>
        <v>1467.3016875000003</v>
      </c>
      <c r="CX235" s="221">
        <f t="shared" si="447"/>
        <v>1089.4715029687495</v>
      </c>
      <c r="CY235" s="221">
        <f t="shared" si="447"/>
        <v>999.89273494687586</v>
      </c>
      <c r="CZ235" s="221">
        <f t="shared" si="447"/>
        <v>977.03804386237516</v>
      </c>
      <c r="DA235" s="221">
        <f t="shared" si="447"/>
        <v>1003.0923916987067</v>
      </c>
      <c r="DB235" s="221"/>
      <c r="DF235" s="234"/>
    </row>
    <row r="236" spans="1:110" ht="12.75" customHeight="1">
      <c r="I236" s="160" t="s">
        <v>376</v>
      </c>
      <c r="P236" s="234"/>
      <c r="T236" s="234"/>
      <c r="X236" s="234"/>
      <c r="AB236" s="234"/>
      <c r="AF236" s="249"/>
      <c r="AJ236" s="179"/>
      <c r="AN236" s="179"/>
      <c r="AR236" s="162"/>
      <c r="AS236" s="33"/>
      <c r="AT236" s="33"/>
      <c r="AU236" s="33"/>
      <c r="AV236" s="162"/>
      <c r="AW236" s="161"/>
      <c r="AX236" s="161"/>
      <c r="AY236" s="161"/>
      <c r="AZ236" s="162"/>
      <c r="BA236" s="33"/>
      <c r="BB236" s="33"/>
      <c r="BC236" s="33"/>
      <c r="BD236" s="162"/>
      <c r="BE236" s="33"/>
      <c r="BF236" s="33"/>
      <c r="BG236" s="33"/>
      <c r="BH236" s="162"/>
      <c r="BI236" s="1220"/>
      <c r="BJ236" s="1220"/>
      <c r="BK236" s="1220"/>
      <c r="BL236" s="1220"/>
      <c r="BM236" s="1595"/>
      <c r="BN236" s="33"/>
      <c r="BO236" s="33"/>
      <c r="BP236" s="33"/>
      <c r="BQ236" s="1595"/>
      <c r="BR236" s="118"/>
      <c r="BS236" s="33"/>
      <c r="BT236" s="162"/>
      <c r="BU236" s="1595"/>
      <c r="BV236" s="118"/>
      <c r="BW236" s="33"/>
      <c r="BX236" s="162"/>
      <c r="BY236" s="1595"/>
      <c r="BZ236" s="33"/>
      <c r="CA236" s="33"/>
      <c r="CB236" s="162"/>
      <c r="CC236" s="1595"/>
      <c r="CD236" s="33"/>
      <c r="CE236" s="33"/>
      <c r="CF236" s="162"/>
      <c r="CG236" s="234"/>
      <c r="CH236" s="160"/>
      <c r="CM236" s="30"/>
      <c r="CN236" s="33"/>
      <c r="CO236" s="33"/>
      <c r="CP236" s="161"/>
      <c r="CQ236" s="33"/>
      <c r="CR236" s="341">
        <v>1</v>
      </c>
      <c r="CS236" s="341">
        <v>1.5</v>
      </c>
      <c r="CT236" s="341">
        <v>0.65</v>
      </c>
      <c r="CU236" s="341">
        <v>0.55000000000000004</v>
      </c>
      <c r="CV236" s="341">
        <v>0.25</v>
      </c>
      <c r="CW236" s="341">
        <v>0.32</v>
      </c>
      <c r="CX236" s="341">
        <v>0.18</v>
      </c>
      <c r="CY236" s="341">
        <v>0.14000000000000001</v>
      </c>
      <c r="CZ236" s="341">
        <v>0.12</v>
      </c>
      <c r="DA236" s="341">
        <v>0.11</v>
      </c>
      <c r="DB236" s="341"/>
      <c r="DF236" s="234"/>
    </row>
    <row r="237" spans="1:110" ht="12.75" customHeight="1">
      <c r="I237" s="160"/>
      <c r="P237" s="234"/>
      <c r="T237" s="234"/>
      <c r="X237" s="234"/>
      <c r="AB237" s="234"/>
      <c r="AF237" s="249"/>
      <c r="AJ237" s="179"/>
      <c r="AN237" s="179"/>
      <c r="AR237" s="162"/>
      <c r="AS237" s="33"/>
      <c r="AT237" s="33"/>
      <c r="AU237" s="33"/>
      <c r="AV237" s="162"/>
      <c r="AW237" s="161"/>
      <c r="AX237" s="161"/>
      <c r="AY237" s="161"/>
      <c r="AZ237" s="162"/>
      <c r="BA237" s="33"/>
      <c r="BB237" s="33"/>
      <c r="BC237" s="33"/>
      <c r="BD237" s="162"/>
      <c r="BE237" s="33"/>
      <c r="BF237" s="33"/>
      <c r="BG237" s="33"/>
      <c r="BH237" s="162"/>
      <c r="BI237" s="1220"/>
      <c r="BJ237" s="1220"/>
      <c r="BK237" s="1220"/>
      <c r="BL237" s="1220"/>
      <c r="BM237" s="1595"/>
      <c r="BN237" s="33"/>
      <c r="BO237" s="33"/>
      <c r="BP237" s="33"/>
      <c r="BQ237" s="1595"/>
      <c r="BR237" s="33"/>
      <c r="BS237" s="33"/>
      <c r="BT237" s="162"/>
      <c r="BU237" s="1595"/>
      <c r="BV237" s="33"/>
      <c r="BW237" s="33"/>
      <c r="BX237" s="162"/>
      <c r="BY237" s="1595"/>
      <c r="BZ237" s="33"/>
      <c r="CA237" s="33"/>
      <c r="CB237" s="162"/>
      <c r="CC237" s="1595"/>
      <c r="CD237" s="33"/>
      <c r="CE237" s="33"/>
      <c r="CF237" s="162"/>
      <c r="CG237" s="234"/>
      <c r="CH237" s="160"/>
      <c r="CM237" s="30"/>
      <c r="CN237" s="33"/>
      <c r="CO237" s="33"/>
      <c r="CP237" s="161"/>
      <c r="CQ237" s="33"/>
      <c r="CR237" s="76"/>
      <c r="CS237" s="76"/>
      <c r="CT237" s="76"/>
      <c r="CU237" s="77"/>
      <c r="CV237" s="198"/>
      <c r="CW237" s="198"/>
      <c r="CX237" s="198"/>
      <c r="CY237" s="198"/>
      <c r="DF237" s="234"/>
    </row>
    <row r="238" spans="1:110" ht="12.75" customHeight="1">
      <c r="I238" s="178" t="s">
        <v>631</v>
      </c>
      <c r="J238" s="8"/>
      <c r="K238" s="8"/>
      <c r="P238" s="234"/>
      <c r="T238" s="234"/>
      <c r="X238" s="234"/>
      <c r="AB238" s="234"/>
      <c r="AF238" s="249"/>
      <c r="AJ238" s="179"/>
      <c r="AN238" s="179"/>
      <c r="AR238" s="162"/>
      <c r="AS238" s="33"/>
      <c r="AT238" s="33"/>
      <c r="AU238" s="33"/>
      <c r="AV238" s="162"/>
      <c r="AW238" s="893"/>
      <c r="AX238" s="161"/>
      <c r="AY238" s="24"/>
      <c r="AZ238" s="230"/>
      <c r="BA238" s="118"/>
      <c r="BB238" s="33"/>
      <c r="BC238" s="33"/>
      <c r="BD238" s="162"/>
      <c r="BE238" s="33"/>
      <c r="BF238" s="33"/>
      <c r="BG238" s="33"/>
      <c r="BH238" s="990"/>
      <c r="BI238" s="1220"/>
      <c r="BJ238" s="1220"/>
      <c r="BK238" s="1220"/>
      <c r="BL238" s="1220"/>
      <c r="BM238" s="1595"/>
      <c r="BN238" s="33"/>
      <c r="BO238" s="33"/>
      <c r="BP238" s="33"/>
      <c r="BQ238" s="1595"/>
      <c r="BR238" s="33"/>
      <c r="BS238" s="33"/>
      <c r="BT238" s="162"/>
      <c r="BU238" s="1595"/>
      <c r="BV238" s="33"/>
      <c r="BW238" s="33"/>
      <c r="BX238" s="162"/>
      <c r="BY238" s="1595"/>
      <c r="BZ238" s="33"/>
      <c r="CA238" s="33"/>
      <c r="CB238" s="162"/>
      <c r="CC238" s="1595"/>
      <c r="CD238" s="33"/>
      <c r="CE238" s="33"/>
      <c r="CF238" s="162"/>
      <c r="CG238" s="234"/>
      <c r="CH238" s="160"/>
      <c r="CM238" s="30"/>
      <c r="CN238" s="33">
        <f>+CN262</f>
        <v>535.0082000000001</v>
      </c>
      <c r="CO238" s="33"/>
      <c r="CP238" s="928">
        <v>300</v>
      </c>
      <c r="CQ238" s="928">
        <v>450</v>
      </c>
      <c r="CR238" s="929">
        <f>+CR248</f>
        <v>1135.5177267654576</v>
      </c>
      <c r="CS238" s="930">
        <f t="shared" ref="CS238:DA238" si="448">+CS147*CS288</f>
        <v>1442.1579729424532</v>
      </c>
      <c r="CT238" s="930">
        <f t="shared" si="448"/>
        <v>1849.7377658736793</v>
      </c>
      <c r="CU238" s="930">
        <f t="shared" si="448"/>
        <v>2282.3026457515321</v>
      </c>
      <c r="CV238" s="930">
        <f t="shared" si="448"/>
        <v>2426.1634258908293</v>
      </c>
      <c r="CW238" s="930">
        <f t="shared" si="448"/>
        <v>3158.322564226231</v>
      </c>
      <c r="CX238" s="930">
        <f t="shared" si="448"/>
        <v>3938.5405068004807</v>
      </c>
      <c r="CY238" s="930">
        <f t="shared" si="448"/>
        <v>5051.7089061946735</v>
      </c>
      <c r="CZ238" s="930">
        <f t="shared" si="448"/>
        <v>6063.2234254383047</v>
      </c>
      <c r="DA238" s="930">
        <f t="shared" si="448"/>
        <v>6972.7069392540498</v>
      </c>
      <c r="DF238" s="234"/>
    </row>
    <row r="239" spans="1:110" ht="12.75" customHeight="1">
      <c r="I239" s="160" t="s">
        <v>377</v>
      </c>
      <c r="P239" s="234"/>
      <c r="T239" s="234"/>
      <c r="X239" s="234"/>
      <c r="AB239" s="234"/>
      <c r="AF239" s="249"/>
      <c r="AJ239" s="179"/>
      <c r="AN239" s="179"/>
      <c r="AR239" s="162"/>
      <c r="AS239" s="33"/>
      <c r="AT239" s="33"/>
      <c r="AU239" s="33"/>
      <c r="AV239" s="162"/>
      <c r="AW239" s="161"/>
      <c r="AX239" s="161"/>
      <c r="AY239" s="161"/>
      <c r="AZ239" s="230"/>
      <c r="BA239" s="33"/>
      <c r="BB239" s="33"/>
      <c r="BC239" s="33"/>
      <c r="BD239" s="162"/>
      <c r="BE239" s="33"/>
      <c r="BF239" s="33"/>
      <c r="BG239" s="33"/>
      <c r="BH239" s="162"/>
      <c r="BI239" s="33"/>
      <c r="BJ239" s="33"/>
      <c r="BK239" s="33"/>
      <c r="BL239" s="33"/>
      <c r="BM239" s="1595"/>
      <c r="BN239" s="33"/>
      <c r="BO239" s="33"/>
      <c r="BP239" s="118"/>
      <c r="BQ239" s="1595"/>
      <c r="BR239" s="33"/>
      <c r="BS239" s="33"/>
      <c r="BT239" s="162"/>
      <c r="BU239" s="1595"/>
      <c r="BV239" s="33"/>
      <c r="BW239" s="33"/>
      <c r="BX239" s="162"/>
      <c r="BY239" s="1595"/>
      <c r="BZ239" s="33"/>
      <c r="CA239" s="33"/>
      <c r="CB239" s="162"/>
      <c r="CC239" s="1595"/>
      <c r="CD239" s="33"/>
      <c r="CE239" s="33"/>
      <c r="CF239" s="162"/>
      <c r="CG239" s="234"/>
      <c r="CH239" s="160"/>
      <c r="CM239" s="30"/>
      <c r="CN239" s="33"/>
      <c r="CO239" s="161"/>
      <c r="CP239" s="161"/>
      <c r="CQ239" s="118">
        <f t="shared" ref="CQ239:DA239" si="449">+CQ238/CP238-1</f>
        <v>0.5</v>
      </c>
      <c r="CR239" s="118">
        <f t="shared" si="449"/>
        <v>1.5233727261454613</v>
      </c>
      <c r="CS239" s="118">
        <f t="shared" si="449"/>
        <v>0.27004443783582821</v>
      </c>
      <c r="CT239" s="118">
        <f t="shared" si="449"/>
        <v>0.28261799371370944</v>
      </c>
      <c r="CU239" s="118">
        <f t="shared" si="449"/>
        <v>0.23385200208286872</v>
      </c>
      <c r="CV239" s="118">
        <f t="shared" si="449"/>
        <v>6.3033174152907323E-2</v>
      </c>
      <c r="CW239" s="118">
        <f t="shared" si="449"/>
        <v>0.3017765128771448</v>
      </c>
      <c r="CX239" s="118">
        <f t="shared" si="449"/>
        <v>0.24703554710074349</v>
      </c>
      <c r="CY239" s="118">
        <f t="shared" si="449"/>
        <v>0.28263474692519752</v>
      </c>
      <c r="CZ239" s="118">
        <f t="shared" si="449"/>
        <v>0.20023214678962575</v>
      </c>
      <c r="DA239" s="118">
        <f t="shared" si="449"/>
        <v>0.14999999999999991</v>
      </c>
      <c r="DF239" s="234"/>
    </row>
    <row r="240" spans="1:110" ht="12.75" customHeight="1">
      <c r="I240" s="160" t="s">
        <v>481</v>
      </c>
      <c r="P240" s="234"/>
      <c r="T240" s="234"/>
      <c r="X240" s="234"/>
      <c r="AB240" s="234"/>
      <c r="AF240" s="249"/>
      <c r="AJ240" s="179"/>
      <c r="AN240" s="179"/>
      <c r="AR240" s="162"/>
      <c r="AS240" s="33"/>
      <c r="AT240" s="33"/>
      <c r="AU240" s="33"/>
      <c r="AV240" s="162"/>
      <c r="AW240" s="161"/>
      <c r="AX240" s="161"/>
      <c r="AY240" s="161"/>
      <c r="AZ240" s="162"/>
      <c r="BA240" s="33"/>
      <c r="BB240" s="33"/>
      <c r="BC240" s="33"/>
      <c r="BD240" s="162"/>
      <c r="BE240" s="33"/>
      <c r="BF240" s="33"/>
      <c r="BG240" s="33"/>
      <c r="BH240" s="162"/>
      <c r="BI240" s="33"/>
      <c r="BJ240" s="33"/>
      <c r="BK240" s="33"/>
      <c r="BL240" s="33"/>
      <c r="BM240" s="1595"/>
      <c r="BN240" s="33"/>
      <c r="BO240" s="33"/>
      <c r="BP240" s="33"/>
      <c r="BQ240" s="1595"/>
      <c r="BR240" s="33"/>
      <c r="BS240" s="33"/>
      <c r="BT240" s="162"/>
      <c r="BU240" s="1595"/>
      <c r="BV240" s="33"/>
      <c r="BW240" s="33"/>
      <c r="BX240" s="162"/>
      <c r="BY240" s="1595"/>
      <c r="BZ240" s="33"/>
      <c r="CA240" s="33"/>
      <c r="CB240" s="162"/>
      <c r="CC240" s="1595"/>
      <c r="CD240" s="33"/>
      <c r="CE240" s="33"/>
      <c r="CF240" s="162"/>
      <c r="CG240" s="234"/>
      <c r="CH240" s="160"/>
      <c r="CM240" s="30"/>
      <c r="CN240" s="33"/>
      <c r="CO240" s="161"/>
      <c r="CP240" s="161"/>
      <c r="CQ240" s="221">
        <f t="shared" ref="CQ240:DA240" si="450">+CQ238-CP238</f>
        <v>150</v>
      </c>
      <c r="CR240" s="221">
        <f t="shared" si="450"/>
        <v>685.51772676545761</v>
      </c>
      <c r="CS240" s="221">
        <f t="shared" si="450"/>
        <v>306.64024617699556</v>
      </c>
      <c r="CT240" s="221">
        <f t="shared" si="450"/>
        <v>407.57979293122617</v>
      </c>
      <c r="CU240" s="221">
        <f t="shared" si="450"/>
        <v>432.56487987785272</v>
      </c>
      <c r="CV240" s="221">
        <f t="shared" si="450"/>
        <v>143.86078013929728</v>
      </c>
      <c r="CW240" s="221">
        <f t="shared" si="450"/>
        <v>732.15913833540162</v>
      </c>
      <c r="CX240" s="221">
        <f t="shared" si="450"/>
        <v>780.21794257424972</v>
      </c>
      <c r="CY240" s="221">
        <f t="shared" si="450"/>
        <v>1113.1683993941929</v>
      </c>
      <c r="CZ240" s="221">
        <f t="shared" si="450"/>
        <v>1011.5145192436312</v>
      </c>
      <c r="DA240" s="221">
        <f t="shared" si="450"/>
        <v>909.48351381574503</v>
      </c>
      <c r="DF240" s="234"/>
    </row>
    <row r="241" spans="1:110" ht="12.75" customHeight="1">
      <c r="I241" s="160" t="s">
        <v>765</v>
      </c>
      <c r="P241" s="234"/>
      <c r="T241" s="234"/>
      <c r="X241" s="234"/>
      <c r="AB241" s="234"/>
      <c r="AF241" s="249"/>
      <c r="AJ241" s="179"/>
      <c r="AN241" s="179"/>
      <c r="AR241" s="162"/>
      <c r="AS241" s="33"/>
      <c r="AT241" s="33"/>
      <c r="AU241" s="33"/>
      <c r="AV241" s="162"/>
      <c r="AW241" s="161"/>
      <c r="AX241" s="161"/>
      <c r="AY241" s="161"/>
      <c r="AZ241" s="162"/>
      <c r="BA241" s="33"/>
      <c r="BB241" s="853"/>
      <c r="BC241" s="33"/>
      <c r="BD241" s="162"/>
      <c r="BE241" s="33"/>
      <c r="BF241" s="33"/>
      <c r="BG241" s="33"/>
      <c r="BH241" s="162"/>
      <c r="BI241" s="33"/>
      <c r="BJ241" s="33"/>
      <c r="BK241" s="33"/>
      <c r="BL241" s="33"/>
      <c r="BM241" s="1595"/>
      <c r="BN241" s="33"/>
      <c r="BO241" s="33"/>
      <c r="BP241" s="33"/>
      <c r="BQ241" s="1595"/>
      <c r="BR241" s="33"/>
      <c r="BS241" s="33"/>
      <c r="BT241" s="162"/>
      <c r="BU241" s="1595"/>
      <c r="BV241" s="33"/>
      <c r="BW241" s="33"/>
      <c r="BX241" s="162"/>
      <c r="BY241" s="1595"/>
      <c r="BZ241" s="33"/>
      <c r="CA241" s="33"/>
      <c r="CB241" s="162"/>
      <c r="CC241" s="1595"/>
      <c r="CD241" s="33"/>
      <c r="CE241" s="33"/>
      <c r="CF241" s="162"/>
      <c r="CG241" s="234"/>
      <c r="CH241" s="160"/>
      <c r="CM241" s="30"/>
      <c r="CN241" s="33"/>
      <c r="CO241" s="161"/>
      <c r="CP241" s="118">
        <f t="shared" ref="CP241:DA241" si="451">+CP238/CP11</f>
        <v>3.2223201091464267E-2</v>
      </c>
      <c r="CQ241" s="118">
        <f t="shared" si="451"/>
        <v>3.2976998543515899E-2</v>
      </c>
      <c r="CR241" s="118">
        <f t="shared" si="451"/>
        <v>5.2429482259001646E-2</v>
      </c>
      <c r="CS241" s="118">
        <f t="shared" si="451"/>
        <v>5.0680277373575104E-2</v>
      </c>
      <c r="CT241" s="118">
        <f t="shared" si="451"/>
        <v>4.7219711685948976E-2</v>
      </c>
      <c r="CU241" s="118">
        <f t="shared" si="451"/>
        <v>4.5373810054702424E-2</v>
      </c>
      <c r="CV241" s="118">
        <f t="shared" si="451"/>
        <v>4.3692613202183213E-2</v>
      </c>
      <c r="CW241" s="118">
        <f t="shared" si="451"/>
        <v>4.6386572535524126E-2</v>
      </c>
      <c r="CX241" s="118">
        <f t="shared" si="451"/>
        <v>4.8488667505484459E-2</v>
      </c>
      <c r="CY241" s="118">
        <f t="shared" si="451"/>
        <v>5.2194533055638655E-2</v>
      </c>
      <c r="CZ241" s="118">
        <f t="shared" si="451"/>
        <v>5.4661626038472563E-2</v>
      </c>
      <c r="DA241" s="118">
        <f t="shared" si="451"/>
        <v>5.5858118500613341E-2</v>
      </c>
      <c r="DF241" s="234"/>
    </row>
    <row r="242" spans="1:110" ht="12.75" customHeight="1">
      <c r="I242" s="160"/>
      <c r="P242" s="234"/>
      <c r="T242" s="234"/>
      <c r="X242" s="234"/>
      <c r="AB242" s="234"/>
      <c r="AF242" s="249"/>
      <c r="AJ242" s="179"/>
      <c r="AN242" s="179"/>
      <c r="AR242" s="162"/>
      <c r="AS242" s="33"/>
      <c r="AT242" s="33"/>
      <c r="AU242" s="33"/>
      <c r="AV242" s="162"/>
      <c r="AW242" s="161"/>
      <c r="AX242" s="161"/>
      <c r="AY242" s="161"/>
      <c r="AZ242" s="162"/>
      <c r="BA242" s="33"/>
      <c r="BB242" s="853"/>
      <c r="BC242" s="33"/>
      <c r="BD242" s="162"/>
      <c r="BE242" s="33"/>
      <c r="BF242" s="33"/>
      <c r="BG242" s="33"/>
      <c r="BH242" s="162"/>
      <c r="BI242" s="33"/>
      <c r="BJ242" s="33"/>
      <c r="BK242" s="33"/>
      <c r="BL242" s="33"/>
      <c r="BM242" s="1595"/>
      <c r="BN242" s="33"/>
      <c r="BO242" s="33"/>
      <c r="BP242" s="33"/>
      <c r="BQ242" s="1595"/>
      <c r="BR242" s="33"/>
      <c r="BS242" s="33"/>
      <c r="BT242" s="162"/>
      <c r="BU242" s="1595"/>
      <c r="BV242" s="33"/>
      <c r="BW242" s="33"/>
      <c r="BX242" s="162"/>
      <c r="BY242" s="1595"/>
      <c r="BZ242" s="33"/>
      <c r="CA242" s="33"/>
      <c r="CB242" s="162"/>
      <c r="CC242" s="1595"/>
      <c r="CD242" s="33"/>
      <c r="CE242" s="33"/>
      <c r="CF242" s="162"/>
      <c r="CG242" s="234"/>
      <c r="CH242" s="160"/>
      <c r="CM242" s="30"/>
      <c r="CN242" s="33"/>
      <c r="CO242" s="161"/>
      <c r="CP242" s="118"/>
      <c r="CQ242" s="118"/>
      <c r="CR242" s="118"/>
      <c r="CS242" s="118"/>
      <c r="CT242" s="713"/>
      <c r="CU242" s="118"/>
      <c r="CV242" s="118"/>
      <c r="CW242" s="118"/>
      <c r="CX242" s="118"/>
      <c r="CY242" s="118"/>
      <c r="DF242" s="234"/>
    </row>
    <row r="243" spans="1:110" ht="12.75" customHeight="1">
      <c r="I243" s="160"/>
      <c r="P243" s="234"/>
      <c r="T243" s="234"/>
      <c r="X243" s="234"/>
      <c r="AB243" s="234"/>
      <c r="AF243" s="249"/>
      <c r="AJ243" s="179"/>
      <c r="AN243" s="179"/>
      <c r="AR243" s="162"/>
      <c r="AS243" s="33"/>
      <c r="AT243" s="33"/>
      <c r="AU243" s="33"/>
      <c r="AV243" s="162"/>
      <c r="AW243" s="161"/>
      <c r="AX243" s="161"/>
      <c r="AY243" s="161"/>
      <c r="AZ243" s="162"/>
      <c r="BA243" s="24"/>
      <c r="BB243" s="33"/>
      <c r="BC243" s="33"/>
      <c r="BD243" s="162"/>
      <c r="BE243" s="33"/>
      <c r="BF243" s="33"/>
      <c r="BG243" s="33"/>
      <c r="BH243" s="162"/>
      <c r="BI243" s="33"/>
      <c r="BJ243" s="33"/>
      <c r="BK243" s="33"/>
      <c r="BL243" s="33"/>
      <c r="BM243" s="1595"/>
      <c r="BN243" s="33"/>
      <c r="BO243" s="33"/>
      <c r="BP243" s="33"/>
      <c r="BQ243" s="1595"/>
      <c r="BR243" s="33"/>
      <c r="BS243" s="33"/>
      <c r="BT243" s="162"/>
      <c r="BU243" s="1595"/>
      <c r="BV243" s="33"/>
      <c r="BW243" s="33"/>
      <c r="BX243" s="162"/>
      <c r="BY243" s="1595"/>
      <c r="BZ243" s="33"/>
      <c r="CA243" s="33"/>
      <c r="CB243" s="162"/>
      <c r="CC243" s="1595"/>
      <c r="CD243" s="33"/>
      <c r="CE243" s="33"/>
      <c r="CF243" s="162"/>
      <c r="CG243" s="234"/>
      <c r="CH243" s="160"/>
      <c r="CM243" s="30"/>
      <c r="CN243" s="33"/>
      <c r="CO243" s="33"/>
      <c r="CP243" s="104"/>
      <c r="CQ243" s="104"/>
      <c r="CR243" s="118"/>
      <c r="CS243" s="118"/>
      <c r="CT243" s="118"/>
      <c r="CU243" s="118"/>
      <c r="CV243" s="76"/>
      <c r="CW243" s="118"/>
      <c r="CX243" s="76"/>
      <c r="CY243" s="76"/>
      <c r="DF243" s="234"/>
    </row>
    <row r="244" spans="1:110" ht="12.75" customHeight="1">
      <c r="I244" s="281" t="s">
        <v>303</v>
      </c>
      <c r="J244" s="125"/>
      <c r="K244" s="125"/>
      <c r="P244" s="234"/>
      <c r="T244" s="234"/>
      <c r="X244" s="234"/>
      <c r="AB244" s="234"/>
      <c r="AF244" s="249"/>
      <c r="AJ244" s="179"/>
      <c r="AN244" s="179"/>
      <c r="AR244" s="162"/>
      <c r="AS244" s="33"/>
      <c r="AT244" s="33"/>
      <c r="AU244" s="33"/>
      <c r="AV244" s="162"/>
      <c r="AW244" s="161"/>
      <c r="AX244" s="161"/>
      <c r="AY244" s="161"/>
      <c r="AZ244" s="162"/>
      <c r="BA244" s="33"/>
      <c r="BB244" s="33"/>
      <c r="BC244" s="33"/>
      <c r="BD244" s="162"/>
      <c r="BE244" s="33"/>
      <c r="BF244" s="33"/>
      <c r="BG244" s="33"/>
      <c r="BH244" s="162"/>
      <c r="BI244" s="33"/>
      <c r="BJ244" s="33"/>
      <c r="BK244" s="33"/>
      <c r="BL244" s="33"/>
      <c r="BM244" s="1595"/>
      <c r="BN244" s="33"/>
      <c r="BO244" s="33"/>
      <c r="BP244" s="33"/>
      <c r="BQ244" s="1595"/>
      <c r="BR244" s="33"/>
      <c r="BS244" s="33"/>
      <c r="BT244" s="162"/>
      <c r="BU244" s="1595"/>
      <c r="BV244" s="33"/>
      <c r="BW244" s="33"/>
      <c r="BX244" s="162"/>
      <c r="BY244" s="1595"/>
      <c r="BZ244" s="33"/>
      <c r="CA244" s="33"/>
      <c r="CB244" s="162"/>
      <c r="CC244" s="1595"/>
      <c r="CD244" s="33"/>
      <c r="CE244" s="33"/>
      <c r="CF244" s="162"/>
      <c r="CG244" s="234"/>
      <c r="CH244" s="160"/>
      <c r="CM244" s="30"/>
      <c r="CN244" s="33"/>
      <c r="CO244" s="33"/>
      <c r="CP244" s="161"/>
      <c r="CQ244" s="76"/>
      <c r="CR244" s="76"/>
      <c r="CS244" s="76"/>
      <c r="CT244" s="76"/>
      <c r="CU244" s="76"/>
      <c r="CV244" s="209"/>
      <c r="CW244" s="209"/>
      <c r="CX244" s="209"/>
      <c r="CY244" s="209"/>
      <c r="CZ244" s="209"/>
      <c r="DA244" s="209"/>
      <c r="DF244" s="234"/>
    </row>
    <row r="245" spans="1:110" ht="12.75" customHeight="1">
      <c r="I245" s="185" t="s">
        <v>304</v>
      </c>
      <c r="J245" s="70"/>
      <c r="K245" s="70"/>
      <c r="P245" s="234"/>
      <c r="T245" s="234"/>
      <c r="X245" s="234"/>
      <c r="AB245" s="234"/>
      <c r="AF245" s="249"/>
      <c r="AJ245" s="179"/>
      <c r="AN245" s="179"/>
      <c r="AR245" s="162"/>
      <c r="AS245" s="33"/>
      <c r="AT245" s="33"/>
      <c r="AU245" s="33"/>
      <c r="AV245" s="162"/>
      <c r="AW245" s="161"/>
      <c r="AX245" s="161"/>
      <c r="AY245" s="161"/>
      <c r="AZ245" s="230"/>
      <c r="BA245" s="33"/>
      <c r="BB245" s="33"/>
      <c r="BC245" s="33"/>
      <c r="BD245" s="162"/>
      <c r="BE245" s="33"/>
      <c r="BF245" s="33"/>
      <c r="BG245" s="33"/>
      <c r="BH245" s="230"/>
      <c r="BI245" s="118"/>
      <c r="BJ245" s="118"/>
      <c r="BK245" s="118"/>
      <c r="BL245" s="118"/>
      <c r="BM245" s="1595"/>
      <c r="BN245" s="33"/>
      <c r="BO245" s="33"/>
      <c r="BP245" s="118"/>
      <c r="BQ245" s="1595"/>
      <c r="BR245" s="33"/>
      <c r="BS245" s="33"/>
      <c r="BT245" s="162"/>
      <c r="BU245" s="1595"/>
      <c r="BV245" s="33"/>
      <c r="BW245" s="33"/>
      <c r="BX245" s="162"/>
      <c r="BY245" s="1595"/>
      <c r="BZ245" s="33"/>
      <c r="CA245" s="33"/>
      <c r="CB245" s="162"/>
      <c r="CC245" s="1595"/>
      <c r="CD245" s="33"/>
      <c r="CE245" s="33"/>
      <c r="CF245" s="162"/>
      <c r="CG245" s="234"/>
      <c r="CH245" s="160"/>
      <c r="CM245" s="30"/>
      <c r="CN245" s="33"/>
      <c r="CO245" s="33"/>
      <c r="CP245" s="33">
        <f>+CP254</f>
        <v>4879.934386938231</v>
      </c>
      <c r="CQ245" s="33">
        <f>+CQ254</f>
        <v>7599.3936024641234</v>
      </c>
      <c r="CR245" s="33">
        <f>+CR254</f>
        <v>12614.993380090445</v>
      </c>
      <c r="CS245" s="33">
        <f t="shared" ref="CS245:DA245" si="452">+CS283*CS147</f>
        <v>15190.852433274942</v>
      </c>
      <c r="CT245" s="33">
        <f t="shared" si="452"/>
        <v>19484.060670768122</v>
      </c>
      <c r="CU245" s="33">
        <f t="shared" si="452"/>
        <v>24040.447267331336</v>
      </c>
      <c r="CV245" s="33">
        <f t="shared" si="452"/>
        <v>25555.792966646812</v>
      </c>
      <c r="CW245" s="33">
        <f t="shared" si="452"/>
        <v>29325.065149480575</v>
      </c>
      <c r="CX245" s="33">
        <f t="shared" si="452"/>
        <v>33936.40195875123</v>
      </c>
      <c r="CY245" s="33">
        <f t="shared" si="452"/>
        <v>39175.207504123195</v>
      </c>
      <c r="CZ245" s="33">
        <f t="shared" si="452"/>
        <v>43101.064786635936</v>
      </c>
      <c r="DA245" s="33">
        <f t="shared" si="452"/>
        <v>46549.149969566817</v>
      </c>
      <c r="DF245" s="234"/>
    </row>
    <row r="246" spans="1:110" ht="12.75" customHeight="1">
      <c r="I246" s="185" t="s">
        <v>305</v>
      </c>
      <c r="J246" s="70"/>
      <c r="K246" s="70"/>
      <c r="P246" s="234"/>
      <c r="T246" s="234"/>
      <c r="X246" s="234"/>
      <c r="AB246" s="234"/>
      <c r="AF246" s="249"/>
      <c r="AJ246" s="179"/>
      <c r="AN246" s="179"/>
      <c r="AR246" s="162"/>
      <c r="AS246" s="33"/>
      <c r="AT246" s="33"/>
      <c r="AU246" s="33"/>
      <c r="AV246" s="162"/>
      <c r="AW246" s="889"/>
      <c r="AX246" s="161"/>
      <c r="AY246" s="33"/>
      <c r="AZ246" s="230"/>
      <c r="BA246" s="33"/>
      <c r="BB246" s="33"/>
      <c r="BC246" s="118"/>
      <c r="BD246" s="162"/>
      <c r="BE246" s="33"/>
      <c r="BF246" s="33"/>
      <c r="BG246" s="33"/>
      <c r="BH246" s="230"/>
      <c r="BI246" s="120"/>
      <c r="BJ246" s="33"/>
      <c r="BK246" s="33"/>
      <c r="BL246" s="118"/>
      <c r="BM246" s="1595"/>
      <c r="BN246" s="33"/>
      <c r="BO246" s="33"/>
      <c r="BP246" s="118"/>
      <c r="BQ246" s="1595"/>
      <c r="BR246" s="33"/>
      <c r="BS246" s="33"/>
      <c r="BT246" s="162"/>
      <c r="BU246" s="1595"/>
      <c r="BV246" s="33"/>
      <c r="BW246" s="33"/>
      <c r="BX246" s="162"/>
      <c r="BY246" s="1595"/>
      <c r="BZ246" s="33"/>
      <c r="CA246" s="33"/>
      <c r="CB246" s="162"/>
      <c r="CC246" s="1595"/>
      <c r="CD246" s="33"/>
      <c r="CE246" s="33"/>
      <c r="CF246" s="162"/>
      <c r="CG246" s="234"/>
      <c r="CH246" s="160"/>
      <c r="CM246" s="30"/>
      <c r="CN246" s="33"/>
      <c r="CO246" s="33"/>
      <c r="CP246" s="161">
        <f t="shared" ref="CP246:CY246" si="453">+CP215</f>
        <v>109.86861306177002</v>
      </c>
      <c r="CQ246" s="33">
        <f t="shared" si="453"/>
        <v>226.50869753587637</v>
      </c>
      <c r="CR246" s="33">
        <f>+CR215</f>
        <v>513.12090314409841</v>
      </c>
      <c r="CS246" s="33">
        <f t="shared" si="453"/>
        <v>820.9934450305575</v>
      </c>
      <c r="CT246" s="33">
        <f t="shared" si="453"/>
        <v>1313.5895120488922</v>
      </c>
      <c r="CU246" s="33">
        <f t="shared" si="453"/>
        <v>1904.7047924708936</v>
      </c>
      <c r="CV246" s="33">
        <f>+CV215</f>
        <v>2571.3514698357067</v>
      </c>
      <c r="CW246" s="33">
        <f t="shared" si="453"/>
        <v>3319.5188294337386</v>
      </c>
      <c r="CX246" s="33">
        <f t="shared" si="453"/>
        <v>4248.9841016751852</v>
      </c>
      <c r="CY246" s="33">
        <f t="shared" si="453"/>
        <v>5098.7809220102217</v>
      </c>
      <c r="CZ246" s="33">
        <f>+CZ215</f>
        <v>5996.1663642840203</v>
      </c>
      <c r="DA246" s="33">
        <f>+DA215</f>
        <v>6893.1928523809092</v>
      </c>
      <c r="DF246" s="234"/>
    </row>
    <row r="247" spans="1:110" ht="12.75" customHeight="1">
      <c r="I247" s="185" t="s">
        <v>306</v>
      </c>
      <c r="J247" s="70"/>
      <c r="K247" s="70"/>
      <c r="P247" s="234"/>
      <c r="T247" s="234"/>
      <c r="X247" s="234"/>
      <c r="AB247" s="234"/>
      <c r="AF247" s="249"/>
      <c r="AJ247" s="179"/>
      <c r="AN247" s="179"/>
      <c r="AR247" s="162"/>
      <c r="AS247" s="33"/>
      <c r="AT247" s="33"/>
      <c r="AU247" s="33"/>
      <c r="AV247" s="162"/>
      <c r="AW247" s="33">
        <f>+CP364+CP248</f>
        <v>1188.1171217830704</v>
      </c>
      <c r="AX247" s="33"/>
      <c r="AY247" s="33"/>
      <c r="AZ247" s="230"/>
      <c r="BA247" s="33"/>
      <c r="BB247" s="24"/>
      <c r="BC247" s="118"/>
      <c r="BD247" s="162"/>
      <c r="BE247" s="33"/>
      <c r="BF247" s="33"/>
      <c r="BG247" s="33"/>
      <c r="BH247" s="230"/>
      <c r="BI247" s="120"/>
      <c r="BJ247" s="33"/>
      <c r="BK247" s="33"/>
      <c r="BL247" s="33"/>
      <c r="BM247" s="1595"/>
      <c r="BN247" s="33"/>
      <c r="BO247" s="33"/>
      <c r="BP247" s="33"/>
      <c r="BQ247" s="1595"/>
      <c r="BR247" s="33"/>
      <c r="BS247" s="33"/>
      <c r="BT247" s="162"/>
      <c r="BU247" s="1595"/>
      <c r="BV247" s="33"/>
      <c r="BW247" s="33"/>
      <c r="BX247" s="162"/>
      <c r="BY247" s="1595"/>
      <c r="BZ247" s="33"/>
      <c r="CA247" s="33"/>
      <c r="CB247" s="162"/>
      <c r="CC247" s="1595"/>
      <c r="CD247" s="33"/>
      <c r="CE247" s="33"/>
      <c r="CF247" s="162"/>
      <c r="CG247" s="234"/>
      <c r="CH247" s="160"/>
      <c r="CM247" s="64"/>
      <c r="CN247" s="33"/>
      <c r="CO247" s="33"/>
      <c r="CP247" s="33">
        <f t="shared" ref="CP247:CY247" si="454">+CP234</f>
        <v>100</v>
      </c>
      <c r="CQ247" s="33">
        <f t="shared" si="454"/>
        <v>286.86250000000001</v>
      </c>
      <c r="CR247" s="33">
        <f>+CR234</f>
        <v>573.72500000000002</v>
      </c>
      <c r="CS247" s="33">
        <f t="shared" si="454"/>
        <v>1434.3125</v>
      </c>
      <c r="CT247" s="33">
        <f t="shared" si="454"/>
        <v>2366.6156249999999</v>
      </c>
      <c r="CU247" s="33">
        <f t="shared" si="454"/>
        <v>3668.2542187499998</v>
      </c>
      <c r="CV247" s="33">
        <f>+CV234</f>
        <v>4585.3177734374995</v>
      </c>
      <c r="CW247" s="33">
        <f t="shared" si="454"/>
        <v>6052.6194609374998</v>
      </c>
      <c r="CX247" s="33">
        <f t="shared" si="454"/>
        <v>7142.0909639062493</v>
      </c>
      <c r="CY247" s="33">
        <f t="shared" si="454"/>
        <v>8141.9836988531251</v>
      </c>
      <c r="CZ247" s="33">
        <f>+CZ234</f>
        <v>9119.0217427155003</v>
      </c>
      <c r="DA247" s="33">
        <f>+DA234</f>
        <v>10122.114134414207</v>
      </c>
      <c r="DF247" s="234"/>
    </row>
    <row r="248" spans="1:110" s="41" customFormat="1" ht="12.75" customHeight="1">
      <c r="A248" s="34"/>
      <c r="B248" s="34"/>
      <c r="C248" s="34"/>
      <c r="D248" s="34"/>
      <c r="E248" s="34"/>
      <c r="F248" s="34"/>
      <c r="G248" s="34"/>
      <c r="H248" s="34"/>
      <c r="I248" s="894" t="s">
        <v>307</v>
      </c>
      <c r="J248" s="819"/>
      <c r="K248" s="819"/>
      <c r="P248" s="242"/>
      <c r="T248" s="242"/>
      <c r="X248" s="242"/>
      <c r="AB248" s="242"/>
      <c r="AC248" s="820"/>
      <c r="AD248" s="820"/>
      <c r="AE248" s="820"/>
      <c r="AF248" s="961"/>
      <c r="AG248" s="109"/>
      <c r="AH248" s="109"/>
      <c r="AI248" s="109"/>
      <c r="AJ248" s="252"/>
      <c r="AK248" s="109"/>
      <c r="AL248" s="109"/>
      <c r="AM248" s="109"/>
      <c r="AN248" s="252"/>
      <c r="AO248" s="109"/>
      <c r="AP248" s="109"/>
      <c r="AQ248" s="110"/>
      <c r="AR248" s="254"/>
      <c r="AS248" s="110"/>
      <c r="AT248" s="110"/>
      <c r="AU248" s="110"/>
      <c r="AV248" s="254"/>
      <c r="AW248" s="895"/>
      <c r="AX248" s="110"/>
      <c r="AY248" s="110"/>
      <c r="AZ248" s="230"/>
      <c r="BA248" s="895"/>
      <c r="BC248" s="895"/>
      <c r="BD248" s="254"/>
      <c r="BE248" s="896"/>
      <c r="BF248" s="110"/>
      <c r="BG248" s="110"/>
      <c r="BH248" s="230"/>
      <c r="BI248" s="896"/>
      <c r="BJ248" s="110"/>
      <c r="BK248" s="110"/>
      <c r="BL248" s="110"/>
      <c r="BM248" s="1623"/>
      <c r="BN248" s="110"/>
      <c r="BO248" s="110"/>
      <c r="BP248" s="110"/>
      <c r="BQ248" s="1623"/>
      <c r="BR248" s="110"/>
      <c r="BS248" s="110"/>
      <c r="BT248" s="254"/>
      <c r="BU248" s="1623"/>
      <c r="BV248" s="110"/>
      <c r="BW248" s="110"/>
      <c r="BX248" s="254"/>
      <c r="BY248" s="1623"/>
      <c r="BZ248" s="110"/>
      <c r="CA248" s="110"/>
      <c r="CB248" s="254"/>
      <c r="CC248" s="1623"/>
      <c r="CD248" s="110"/>
      <c r="CE248" s="110"/>
      <c r="CF248" s="254"/>
      <c r="CG248" s="242"/>
      <c r="CH248" s="258"/>
      <c r="CM248" s="109">
        <v>5.2288000000000006</v>
      </c>
      <c r="CN248" s="110"/>
      <c r="CO248" s="110"/>
      <c r="CP248" s="110">
        <f>+CP238</f>
        <v>300</v>
      </c>
      <c r="CQ248" s="110">
        <f>+CQ238</f>
        <v>450</v>
      </c>
      <c r="CR248" s="110">
        <f>+CR251-CR245-CR246-CR247</f>
        <v>1135.5177267654576</v>
      </c>
      <c r="CS248" s="110">
        <f>+CS238</f>
        <v>1442.1579729424532</v>
      </c>
      <c r="CT248" s="110">
        <f t="shared" ref="CT248:CY248" si="455">+CT238</f>
        <v>1849.7377658736793</v>
      </c>
      <c r="CU248" s="110">
        <f t="shared" si="455"/>
        <v>2282.3026457515321</v>
      </c>
      <c r="CV248" s="110">
        <f t="shared" si="455"/>
        <v>2426.1634258908293</v>
      </c>
      <c r="CW248" s="110">
        <f t="shared" si="455"/>
        <v>3158.322564226231</v>
      </c>
      <c r="CX248" s="110">
        <f t="shared" si="455"/>
        <v>3938.5405068004807</v>
      </c>
      <c r="CY248" s="110">
        <f t="shared" si="455"/>
        <v>5051.7089061946735</v>
      </c>
      <c r="CZ248" s="110">
        <f>+CZ238</f>
        <v>6063.2234254383047</v>
      </c>
      <c r="DA248" s="110">
        <f>+DA238</f>
        <v>6972.7069392540498</v>
      </c>
      <c r="DB248" s="24"/>
      <c r="DC248" s="24"/>
      <c r="DD248" s="24"/>
      <c r="DF248" s="242"/>
    </row>
    <row r="249" spans="1:110" s="8" customFormat="1" ht="12.75" customHeight="1">
      <c r="A249" s="34"/>
      <c r="B249" s="34"/>
      <c r="C249" s="34"/>
      <c r="D249" s="34"/>
      <c r="E249" s="34"/>
      <c r="F249" s="34"/>
      <c r="G249" s="34"/>
      <c r="H249" s="34"/>
      <c r="I249" s="178" t="s">
        <v>478</v>
      </c>
      <c r="P249" s="245"/>
      <c r="T249" s="245"/>
      <c r="X249" s="245"/>
      <c r="AB249" s="245"/>
      <c r="AC249" s="289"/>
      <c r="AD249" s="289"/>
      <c r="AE249" s="289"/>
      <c r="AF249" s="953"/>
      <c r="AG249" s="103"/>
      <c r="AH249" s="103"/>
      <c r="AI249" s="103"/>
      <c r="AJ249" s="202"/>
      <c r="AK249" s="103"/>
      <c r="AL249" s="103"/>
      <c r="AM249" s="103"/>
      <c r="AN249" s="202"/>
      <c r="AO249" s="103"/>
      <c r="AP249" s="103"/>
      <c r="AQ249" s="104"/>
      <c r="AR249" s="212"/>
      <c r="AS249" s="104"/>
      <c r="AT249" s="104"/>
      <c r="AU249" s="104"/>
      <c r="AV249" s="212"/>
      <c r="AW249" s="213"/>
      <c r="AX249" s="213"/>
      <c r="AY249" s="213"/>
      <c r="AZ249" s="738"/>
      <c r="BA249" s="104"/>
      <c r="BB249" s="104"/>
      <c r="BC249" s="120"/>
      <c r="BD249" s="245"/>
      <c r="BE249" s="104"/>
      <c r="BF249" s="104"/>
      <c r="BG249" s="104"/>
      <c r="BH249" s="212"/>
      <c r="BI249" s="120"/>
      <c r="BJ249" s="104"/>
      <c r="BK249" s="104"/>
      <c r="BL249" s="104"/>
      <c r="BM249" s="851"/>
      <c r="BN249" s="104"/>
      <c r="BO249" s="104"/>
      <c r="BP249" s="104"/>
      <c r="BQ249" s="851"/>
      <c r="BR249" s="104"/>
      <c r="BS249" s="104"/>
      <c r="BT249" s="212"/>
      <c r="BU249" s="851"/>
      <c r="BV249" s="104"/>
      <c r="BW249" s="104"/>
      <c r="BX249" s="212"/>
      <c r="BY249" s="851"/>
      <c r="BZ249" s="104"/>
      <c r="CA249" s="104"/>
      <c r="CB249" s="212"/>
      <c r="CC249" s="851"/>
      <c r="CD249" s="104"/>
      <c r="CE249" s="104"/>
      <c r="CF249" s="212"/>
      <c r="CG249" s="245"/>
      <c r="CH249" s="178"/>
      <c r="CM249" s="103"/>
      <c r="CN249" s="104"/>
      <c r="CO249" s="104"/>
      <c r="CP249" s="59">
        <f t="shared" ref="CP249:CY249" si="456">+SUM(CP245:CP248)</f>
        <v>5389.8030000000008</v>
      </c>
      <c r="CQ249" s="59">
        <f t="shared" si="456"/>
        <v>8562.7648000000008</v>
      </c>
      <c r="CR249" s="59">
        <f t="shared" si="456"/>
        <v>14837.357010000002</v>
      </c>
      <c r="CS249" s="59">
        <f t="shared" si="456"/>
        <v>18888.316351247951</v>
      </c>
      <c r="CT249" s="59">
        <f>+SUM(CT245:CT248)</f>
        <v>25014.003573690694</v>
      </c>
      <c r="CU249" s="59">
        <f t="shared" si="456"/>
        <v>31895.708924303763</v>
      </c>
      <c r="CV249" s="59">
        <f>+SUM(CV245:CV248)</f>
        <v>35138.625635810844</v>
      </c>
      <c r="CW249" s="59">
        <f>+SUM(CW245:CW248)</f>
        <v>41855.526004078049</v>
      </c>
      <c r="CX249" s="59">
        <f t="shared" si="456"/>
        <v>49266.017531133155</v>
      </c>
      <c r="CY249" s="59">
        <f t="shared" si="456"/>
        <v>57467.681031181215</v>
      </c>
      <c r="CZ249" s="59">
        <f>+SUM(CZ245:CZ248)</f>
        <v>64279.476319073765</v>
      </c>
      <c r="DA249" s="59">
        <f>+SUM(DA245:DA248)</f>
        <v>70537.163895615988</v>
      </c>
      <c r="DB249" s="24"/>
      <c r="DC249" s="24"/>
      <c r="DD249" s="24"/>
      <c r="DF249" s="245"/>
    </row>
    <row r="250" spans="1:110" s="53" customFormat="1" ht="12.75" customHeight="1">
      <c r="I250" s="191" t="s">
        <v>477</v>
      </c>
      <c r="P250" s="244"/>
      <c r="T250" s="244"/>
      <c r="X250" s="244"/>
      <c r="AB250" s="244"/>
      <c r="AC250" s="712"/>
      <c r="AD250" s="712"/>
      <c r="AE250" s="712"/>
      <c r="AF250" s="955"/>
      <c r="AG250" s="113"/>
      <c r="AH250" s="113"/>
      <c r="AI250" s="113"/>
      <c r="AJ250" s="253"/>
      <c r="AK250" s="113"/>
      <c r="AL250" s="113"/>
      <c r="AM250" s="113"/>
      <c r="AN250" s="253"/>
      <c r="AO250" s="113"/>
      <c r="AP250" s="113"/>
      <c r="AQ250" s="114"/>
      <c r="AR250" s="228"/>
      <c r="AS250" s="114"/>
      <c r="AT250" s="114"/>
      <c r="AU250" s="114"/>
      <c r="AV250" s="228"/>
      <c r="AW250" s="1145"/>
      <c r="AX250" s="114"/>
      <c r="AY250" s="114"/>
      <c r="AZ250" s="228"/>
      <c r="BA250" s="1145"/>
      <c r="BC250" s="1145"/>
      <c r="BD250" s="228"/>
      <c r="BE250" s="114"/>
      <c r="BF250" s="114"/>
      <c r="BG250" s="114"/>
      <c r="BH250" s="228"/>
      <c r="BI250" s="1226"/>
      <c r="BJ250" s="114"/>
      <c r="BK250" s="114"/>
      <c r="BL250" s="114"/>
      <c r="BM250" s="1624"/>
      <c r="BN250" s="114"/>
      <c r="BO250" s="114"/>
      <c r="BP250" s="114"/>
      <c r="BQ250" s="1624"/>
      <c r="BR250" s="114"/>
      <c r="BS250" s="114"/>
      <c r="BT250" s="228"/>
      <c r="BU250" s="1624"/>
      <c r="BV250" s="114"/>
      <c r="BW250" s="114"/>
      <c r="BX250" s="228"/>
      <c r="BY250" s="1624"/>
      <c r="BZ250" s="114"/>
      <c r="CA250" s="114"/>
      <c r="CB250" s="228"/>
      <c r="CC250" s="1624"/>
      <c r="CD250" s="114"/>
      <c r="CE250" s="114"/>
      <c r="CF250" s="228"/>
      <c r="CG250" s="244"/>
      <c r="CH250" s="227"/>
      <c r="CM250" s="113"/>
      <c r="CN250" s="114"/>
      <c r="CO250" s="114"/>
      <c r="CP250" s="114"/>
      <c r="CQ250" s="114"/>
      <c r="CR250" s="114"/>
      <c r="CS250" s="114">
        <f t="shared" ref="CS250:CY250" si="457">+CS251-CS249</f>
        <v>1062.3161257520478</v>
      </c>
      <c r="CT250" s="114">
        <f>+CT251-CT249</f>
        <v>3438.8005686893084</v>
      </c>
      <c r="CU250" s="114">
        <f>+CU251-CU249</f>
        <v>5508.8969847902408</v>
      </c>
      <c r="CV250" s="114">
        <f>+CV251-CV249</f>
        <v>6847.0484301099495</v>
      </c>
      <c r="CW250" s="114">
        <f>+CW251-CW249</f>
        <v>10717.12036366581</v>
      </c>
      <c r="CX250" s="114">
        <f t="shared" si="457"/>
        <v>14319.213210326445</v>
      </c>
      <c r="CY250" s="114">
        <f t="shared" si="457"/>
        <v>19995.052292427426</v>
      </c>
      <c r="CZ250" s="114">
        <f>+CZ251-CZ249</f>
        <v>25728.910554335926</v>
      </c>
      <c r="DA250" s="114">
        <f>+DA251-DA249</f>
        <v>31913.853175766402</v>
      </c>
      <c r="DB250" s="24"/>
      <c r="DC250" s="24"/>
      <c r="DD250" s="24"/>
      <c r="DF250" s="244"/>
    </row>
    <row r="251" spans="1:110" ht="12.75" customHeight="1">
      <c r="I251" s="178" t="s">
        <v>308</v>
      </c>
      <c r="P251" s="234"/>
      <c r="T251" s="234"/>
      <c r="X251" s="234"/>
      <c r="AB251" s="234"/>
      <c r="AF251" s="249"/>
      <c r="AJ251" s="179"/>
      <c r="AN251" s="179"/>
      <c r="AR251" s="162"/>
      <c r="AS251" s="33"/>
      <c r="AT251" s="33"/>
      <c r="AU251" s="33"/>
      <c r="AV251" s="162"/>
      <c r="AW251" s="897"/>
      <c r="AX251" s="161"/>
      <c r="AY251" s="161"/>
      <c r="AZ251" s="162"/>
      <c r="BA251" s="82"/>
      <c r="BB251" s="24"/>
      <c r="BC251" s="82"/>
      <c r="BD251" s="162"/>
      <c r="BE251" s="33"/>
      <c r="BF251" s="33"/>
      <c r="BG251" s="33"/>
      <c r="BH251" s="162"/>
      <c r="BI251" s="176"/>
      <c r="BJ251" s="33"/>
      <c r="BK251" s="33"/>
      <c r="BL251" s="33"/>
      <c r="BM251" s="306"/>
      <c r="BN251" s="33"/>
      <c r="BO251" s="33"/>
      <c r="BP251" s="33"/>
      <c r="BQ251" s="306"/>
      <c r="BR251" s="33"/>
      <c r="BS251" s="33"/>
      <c r="BT251" s="162"/>
      <c r="BU251" s="306"/>
      <c r="BV251" s="33"/>
      <c r="BW251" s="33"/>
      <c r="BX251" s="162"/>
      <c r="BY251" s="306"/>
      <c r="BZ251" s="33"/>
      <c r="CA251" s="33"/>
      <c r="CB251" s="162"/>
      <c r="CC251" s="306"/>
      <c r="CD251" s="33"/>
      <c r="CE251" s="33"/>
      <c r="CF251" s="162"/>
      <c r="CG251" s="234"/>
      <c r="CH251" s="160"/>
      <c r="CM251" s="30"/>
      <c r="CN251" s="33"/>
      <c r="CO251" s="33"/>
      <c r="CP251" s="104">
        <f t="shared" ref="CP251:DA251" si="458">+CP25</f>
        <v>5389.8030000000008</v>
      </c>
      <c r="CQ251" s="104">
        <f t="shared" si="458"/>
        <v>8562.7648000000008</v>
      </c>
      <c r="CR251" s="104">
        <f t="shared" si="458"/>
        <v>14837.357010000002</v>
      </c>
      <c r="CS251" s="104">
        <f t="shared" si="458"/>
        <v>19950.632476999999</v>
      </c>
      <c r="CT251" s="104">
        <f t="shared" si="458"/>
        <v>28452.804142380002</v>
      </c>
      <c r="CU251" s="104">
        <f t="shared" si="458"/>
        <v>37404.605909094003</v>
      </c>
      <c r="CV251" s="104">
        <f t="shared" si="458"/>
        <v>41985.674065920794</v>
      </c>
      <c r="CW251" s="104">
        <f t="shared" si="458"/>
        <v>52572.646367743859</v>
      </c>
      <c r="CX251" s="104">
        <f t="shared" si="458"/>
        <v>63585.2307414596</v>
      </c>
      <c r="CY251" s="104">
        <f t="shared" si="458"/>
        <v>77462.733323608642</v>
      </c>
      <c r="CZ251" s="104">
        <f t="shared" si="458"/>
        <v>90008.38687340969</v>
      </c>
      <c r="DA251" s="104">
        <f t="shared" si="458"/>
        <v>102451.01707138239</v>
      </c>
      <c r="DF251" s="234"/>
    </row>
    <row r="252" spans="1:110" ht="12.75" customHeight="1">
      <c r="I252" s="160"/>
      <c r="P252" s="234"/>
      <c r="T252" s="234"/>
      <c r="X252" s="234"/>
      <c r="AB252" s="234"/>
      <c r="AF252" s="249"/>
      <c r="AJ252" s="179"/>
      <c r="AN252" s="179"/>
      <c r="AR252" s="162"/>
      <c r="AS252" s="33"/>
      <c r="AT252" s="33"/>
      <c r="AU252" s="33"/>
      <c r="AV252" s="162"/>
      <c r="AW252" s="897"/>
      <c r="AX252" s="161"/>
      <c r="AY252" s="161"/>
      <c r="AZ252" s="162"/>
      <c r="BA252" s="82"/>
      <c r="BB252" s="24"/>
      <c r="BC252" s="82"/>
      <c r="BD252" s="162"/>
      <c r="BE252" s="33"/>
      <c r="BF252" s="33"/>
      <c r="BG252" s="33"/>
      <c r="BH252" s="162"/>
      <c r="BI252" s="176"/>
      <c r="BJ252" s="33"/>
      <c r="BK252" s="33"/>
      <c r="BL252" s="33"/>
      <c r="BM252" s="306"/>
      <c r="BN252" s="33"/>
      <c r="BO252" s="33"/>
      <c r="BP252" s="33"/>
      <c r="BQ252" s="306"/>
      <c r="BR252" s="33"/>
      <c r="BS252" s="33"/>
      <c r="BT252" s="162"/>
      <c r="BU252" s="306"/>
      <c r="BV252" s="33"/>
      <c r="BW252" s="33"/>
      <c r="BX252" s="162"/>
      <c r="BY252" s="306"/>
      <c r="BZ252" s="33"/>
      <c r="CA252" s="33"/>
      <c r="CB252" s="162"/>
      <c r="CC252" s="306"/>
      <c r="CD252" s="33"/>
      <c r="CE252" s="33"/>
      <c r="CF252" s="162"/>
      <c r="CG252" s="234"/>
      <c r="CH252" s="160"/>
      <c r="CM252" s="30"/>
      <c r="CN252" s="33"/>
      <c r="CO252" s="33"/>
      <c r="CP252" s="33"/>
      <c r="CQ252" s="33"/>
      <c r="CR252" s="33"/>
      <c r="CS252" s="853"/>
      <c r="CT252" s="853"/>
      <c r="CU252" s="853"/>
      <c r="CV252" s="853"/>
      <c r="CW252" s="853"/>
      <c r="CX252" s="853"/>
      <c r="CY252" s="853"/>
      <c r="DF252" s="234"/>
    </row>
    <row r="253" spans="1:110" ht="12.75" customHeight="1">
      <c r="I253" s="160"/>
      <c r="P253" s="234"/>
      <c r="T253" s="234"/>
      <c r="X253" s="234"/>
      <c r="AB253" s="234"/>
      <c r="AF253" s="249"/>
      <c r="AJ253" s="179"/>
      <c r="AN253" s="179"/>
      <c r="AR253" s="162"/>
      <c r="AS253" s="33"/>
      <c r="AT253" s="33"/>
      <c r="AU253" s="33"/>
      <c r="AV253" s="162"/>
      <c r="AW253" s="897"/>
      <c r="AX253" s="161"/>
      <c r="AY253" s="161"/>
      <c r="AZ253" s="162"/>
      <c r="BA253" s="24"/>
      <c r="BB253" s="24"/>
      <c r="BC253" s="24"/>
      <c r="BD253" s="162"/>
      <c r="BE253" s="33"/>
      <c r="BF253" s="33"/>
      <c r="BG253" s="33"/>
      <c r="BH253" s="162"/>
      <c r="BI253" s="33"/>
      <c r="BJ253" s="33"/>
      <c r="BK253" s="33"/>
      <c r="BL253" s="33"/>
      <c r="BM253" s="1595"/>
      <c r="BN253" s="33"/>
      <c r="BO253" s="33"/>
      <c r="BP253" s="33"/>
      <c r="BQ253" s="1595"/>
      <c r="BR253" s="33"/>
      <c r="BS253" s="33"/>
      <c r="BT253" s="162"/>
      <c r="BU253" s="1595"/>
      <c r="BV253" s="33"/>
      <c r="BW253" s="33"/>
      <c r="BX253" s="162"/>
      <c r="BY253" s="1595"/>
      <c r="BZ253" s="33"/>
      <c r="CA253" s="33"/>
      <c r="CB253" s="162"/>
      <c r="CC253" s="1595"/>
      <c r="CD253" s="33"/>
      <c r="CE253" s="33"/>
      <c r="CF253" s="162"/>
      <c r="CG253" s="234"/>
      <c r="CH253" s="160"/>
      <c r="CM253" s="30"/>
      <c r="CN253" s="33"/>
      <c r="CO253" s="33"/>
      <c r="CP253" s="33"/>
      <c r="CR253" s="104"/>
      <c r="CS253" s="112"/>
      <c r="CT253" s="104"/>
      <c r="CU253" s="104"/>
      <c r="CV253" s="732"/>
      <c r="CW253" s="732"/>
      <c r="CX253" s="2009"/>
      <c r="CY253" s="104"/>
      <c r="DF253" s="234"/>
    </row>
    <row r="254" spans="1:110" ht="12.75" customHeight="1">
      <c r="I254" s="178" t="s">
        <v>309</v>
      </c>
      <c r="J254" s="8"/>
      <c r="K254" s="8"/>
      <c r="P254" s="234"/>
      <c r="T254" s="234"/>
      <c r="X254" s="234"/>
      <c r="AB254" s="234"/>
      <c r="AF254" s="249"/>
      <c r="AJ254" s="179"/>
      <c r="AN254" s="179"/>
      <c r="AR254" s="162"/>
      <c r="AS254" s="33"/>
      <c r="AT254" s="33"/>
      <c r="AU254" s="33"/>
      <c r="AV254" s="162"/>
      <c r="AW254" s="161"/>
      <c r="AX254" s="161"/>
      <c r="AY254" s="161"/>
      <c r="AZ254" s="162"/>
      <c r="BA254" s="860"/>
      <c r="BB254" s="860"/>
      <c r="BC254" s="860"/>
      <c r="BD254" s="885"/>
      <c r="BE254" s="33"/>
      <c r="BF254" s="33"/>
      <c r="BG254" s="33"/>
      <c r="BH254" s="162"/>
      <c r="BI254" s="76"/>
      <c r="BJ254" s="33"/>
      <c r="BK254" s="33"/>
      <c r="BL254" s="33"/>
      <c r="BM254" s="1649"/>
      <c r="BN254" s="33"/>
      <c r="BO254" s="33"/>
      <c r="BP254" s="33"/>
      <c r="BQ254" s="1595"/>
      <c r="BR254" s="33"/>
      <c r="BS254" s="33"/>
      <c r="BT254" s="162"/>
      <c r="BU254" s="1595"/>
      <c r="BV254" s="33"/>
      <c r="BW254" s="33"/>
      <c r="BX254" s="162"/>
      <c r="BY254" s="1595"/>
      <c r="BZ254" s="33"/>
      <c r="CA254" s="33"/>
      <c r="CB254" s="162"/>
      <c r="CC254" s="1595"/>
      <c r="CD254" s="33"/>
      <c r="CE254" s="33"/>
      <c r="CF254" s="162"/>
      <c r="CG254" s="234"/>
      <c r="CH254" s="160"/>
      <c r="CK254" s="5">
        <f>+CK279+CK278</f>
        <v>453.63636363636363</v>
      </c>
      <c r="CL254" s="713">
        <f>+CL278+CL279</f>
        <v>626.97</v>
      </c>
      <c r="CM254" s="112">
        <f>+CM25</f>
        <v>1346.9590000000001</v>
      </c>
      <c r="CN254" s="112">
        <f>+CN25-CN262</f>
        <v>2126.6327999999999</v>
      </c>
      <c r="CO254" s="112">
        <f>+CO25-CO262</f>
        <v>3397.1526999999996</v>
      </c>
      <c r="CP254" s="104">
        <f>+CP251-CP246-CP247-CP248</f>
        <v>4879.934386938231</v>
      </c>
      <c r="CQ254" s="104">
        <f>+CQ251-CQ246-CQ247-CQ248</f>
        <v>7599.3936024641234</v>
      </c>
      <c r="CR254" s="104">
        <f>+CQ254*(1+CR258)</f>
        <v>12614.993380090445</v>
      </c>
      <c r="CS254" s="112">
        <f t="shared" ref="CS254:CY254" si="459">+CS245</f>
        <v>15190.852433274942</v>
      </c>
      <c r="CT254" s="112">
        <f t="shared" si="459"/>
        <v>19484.060670768122</v>
      </c>
      <c r="CU254" s="112">
        <f t="shared" si="459"/>
        <v>24040.447267331336</v>
      </c>
      <c r="CV254" s="112">
        <f t="shared" si="459"/>
        <v>25555.792966646812</v>
      </c>
      <c r="CW254" s="112">
        <f t="shared" si="459"/>
        <v>29325.065149480575</v>
      </c>
      <c r="CX254" s="112">
        <f t="shared" si="459"/>
        <v>33936.40195875123</v>
      </c>
      <c r="CY254" s="112">
        <f t="shared" si="459"/>
        <v>39175.207504123195</v>
      </c>
      <c r="DF254" s="234"/>
    </row>
    <row r="255" spans="1:110" ht="12.75" customHeight="1">
      <c r="I255" s="160" t="s">
        <v>310</v>
      </c>
      <c r="P255" s="234"/>
      <c r="T255" s="234"/>
      <c r="X255" s="234"/>
      <c r="AB255" s="234"/>
      <c r="AF255" s="249"/>
      <c r="AJ255" s="179"/>
      <c r="AN255" s="179"/>
      <c r="AR255" s="162"/>
      <c r="AS255" s="33"/>
      <c r="AT255" s="33"/>
      <c r="AU255" s="33"/>
      <c r="AV255" s="162"/>
      <c r="AW255" s="161"/>
      <c r="AX255" s="889"/>
      <c r="AY255" s="161"/>
      <c r="AZ255" s="162"/>
      <c r="BA255" s="33"/>
      <c r="BB255" s="33"/>
      <c r="BC255" s="33"/>
      <c r="BD255" s="162"/>
      <c r="BE255" s="33"/>
      <c r="BF255" s="33"/>
      <c r="BG255" s="33"/>
      <c r="BH255" s="162"/>
      <c r="BI255" s="176"/>
      <c r="BJ255" s="33"/>
      <c r="BK255" s="33"/>
      <c r="BL255" s="33"/>
      <c r="BM255" s="1595"/>
      <c r="BN255" s="33"/>
      <c r="BO255" s="33"/>
      <c r="BP255" s="33"/>
      <c r="BQ255" s="1595"/>
      <c r="BR255" s="33"/>
      <c r="BS255" s="33"/>
      <c r="BT255" s="162"/>
      <c r="BU255" s="1595"/>
      <c r="BV255" s="33"/>
      <c r="BW255" s="33"/>
      <c r="BX255" s="162"/>
      <c r="BY255" s="1595"/>
      <c r="BZ255" s="33"/>
      <c r="CA255" s="33"/>
      <c r="CB255" s="162"/>
      <c r="CC255" s="1595"/>
      <c r="CD255" s="33"/>
      <c r="CE255" s="33"/>
      <c r="CF255" s="162"/>
      <c r="CG255" s="234"/>
      <c r="CH255" s="160"/>
      <c r="CM255" s="30"/>
      <c r="CN255" s="33"/>
      <c r="CO255" s="33"/>
      <c r="CP255" s="33">
        <f t="shared" ref="CP255:CY255" si="460">+CP251-CP254</f>
        <v>509.86861306176979</v>
      </c>
      <c r="CQ255" s="33">
        <f t="shared" si="460"/>
        <v>963.3711975358774</v>
      </c>
      <c r="CR255" s="33">
        <f t="shared" si="460"/>
        <v>2222.363629909556</v>
      </c>
      <c r="CS255" s="33">
        <f t="shared" si="460"/>
        <v>4759.7800437250571</v>
      </c>
      <c r="CT255" s="33">
        <f>+CT251-CT254</f>
        <v>8968.7434716118805</v>
      </c>
      <c r="CU255" s="33">
        <f>+CU251-CU254</f>
        <v>13364.158641762668</v>
      </c>
      <c r="CV255" s="33">
        <f t="shared" si="460"/>
        <v>16429.881099273982</v>
      </c>
      <c r="CW255" s="33">
        <f t="shared" si="460"/>
        <v>23247.581218263284</v>
      </c>
      <c r="CX255" s="33">
        <f t="shared" si="460"/>
        <v>29648.82878270837</v>
      </c>
      <c r="CY255" s="33">
        <f t="shared" si="460"/>
        <v>38287.525819485447</v>
      </c>
      <c r="DF255" s="234"/>
    </row>
    <row r="256" spans="1:110" ht="12.75" customHeight="1">
      <c r="I256" s="160"/>
      <c r="P256" s="234"/>
      <c r="T256" s="234"/>
      <c r="X256" s="234"/>
      <c r="AB256" s="234"/>
      <c r="AF256" s="249"/>
      <c r="AJ256" s="179"/>
      <c r="AN256" s="179"/>
      <c r="AR256" s="162"/>
      <c r="AS256" s="33"/>
      <c r="AT256" s="33"/>
      <c r="AU256" s="33"/>
      <c r="AV256" s="162"/>
      <c r="AW256" s="161"/>
      <c r="AX256" s="889"/>
      <c r="AY256" s="161"/>
      <c r="AZ256" s="162"/>
      <c r="BA256" s="33"/>
      <c r="BB256" s="33"/>
      <c r="BC256" s="33"/>
      <c r="BD256" s="162"/>
      <c r="BE256" s="33"/>
      <c r="BF256" s="33"/>
      <c r="BG256" s="33"/>
      <c r="BH256" s="162"/>
      <c r="BI256" s="176"/>
      <c r="BJ256" s="118"/>
      <c r="BK256" s="118"/>
      <c r="BL256" s="118"/>
      <c r="BM256" s="1595"/>
      <c r="BN256" s="33"/>
      <c r="BO256" s="33"/>
      <c r="BP256" s="33"/>
      <c r="BQ256" s="1595"/>
      <c r="BR256" s="33"/>
      <c r="BS256" s="33"/>
      <c r="BT256" s="162"/>
      <c r="BU256" s="1595"/>
      <c r="BV256" s="33"/>
      <c r="BW256" s="33"/>
      <c r="BX256" s="162"/>
      <c r="BY256" s="1595"/>
      <c r="BZ256" s="33"/>
      <c r="CA256" s="33"/>
      <c r="CB256" s="162"/>
      <c r="CC256" s="1595"/>
      <c r="CD256" s="33"/>
      <c r="CE256" s="33"/>
      <c r="CF256" s="162"/>
      <c r="CG256" s="234"/>
      <c r="CH256" s="160"/>
      <c r="CM256" s="30"/>
      <c r="CN256" s="33"/>
      <c r="CO256" s="33"/>
      <c r="CP256" s="33">
        <f t="shared" ref="CP256:CU256" si="461">+CP254-CO254</f>
        <v>1482.7816869382314</v>
      </c>
      <c r="CQ256" s="33">
        <f t="shared" si="461"/>
        <v>2719.4592155258924</v>
      </c>
      <c r="CR256" s="33">
        <f t="shared" si="461"/>
        <v>5015.5997776263221</v>
      </c>
      <c r="CS256" s="33">
        <f t="shared" si="461"/>
        <v>2575.8590531844966</v>
      </c>
      <c r="CT256" s="33">
        <f t="shared" si="461"/>
        <v>4293.2082374931797</v>
      </c>
      <c r="CU256" s="33">
        <f t="shared" si="461"/>
        <v>4556.386596563214</v>
      </c>
      <c r="CV256" s="33">
        <f>+CV254-CU254</f>
        <v>1515.3456993154759</v>
      </c>
      <c r="CW256" s="33">
        <f>+CW254-CV254</f>
        <v>3769.2721828337635</v>
      </c>
      <c r="CX256" s="33">
        <f>+CX254-CW254</f>
        <v>4611.3368092706551</v>
      </c>
      <c r="CY256" s="33">
        <f>+CY254-CX254</f>
        <v>5238.8055453719644</v>
      </c>
      <c r="DF256" s="234"/>
    </row>
    <row r="257" spans="1:110" s="8" customFormat="1" ht="12.75" customHeight="1">
      <c r="A257" s="24"/>
      <c r="B257" s="24"/>
      <c r="C257" s="24"/>
      <c r="D257" s="24"/>
      <c r="E257" s="24"/>
      <c r="F257" s="24"/>
      <c r="G257" s="24"/>
      <c r="H257" s="24"/>
      <c r="I257" s="178" t="s">
        <v>376</v>
      </c>
      <c r="P257" s="245"/>
      <c r="T257" s="245"/>
      <c r="X257" s="245"/>
      <c r="AB257" s="245"/>
      <c r="AC257" s="289"/>
      <c r="AD257" s="289"/>
      <c r="AE257" s="289"/>
      <c r="AF257" s="953"/>
      <c r="AG257" s="103"/>
      <c r="AH257" s="103"/>
      <c r="AI257" s="103"/>
      <c r="AJ257" s="202"/>
      <c r="AK257" s="103"/>
      <c r="AL257" s="103"/>
      <c r="AM257" s="103"/>
      <c r="AN257" s="202"/>
      <c r="AO257" s="103"/>
      <c r="AP257" s="103"/>
      <c r="AQ257" s="104"/>
      <c r="AR257" s="212"/>
      <c r="AS257" s="104"/>
      <c r="AT257" s="104"/>
      <c r="AU257" s="104"/>
      <c r="AV257" s="212"/>
      <c r="AW257" s="65"/>
      <c r="AX257" s="888"/>
      <c r="AY257" s="213"/>
      <c r="AZ257" s="212"/>
      <c r="BA257" s="120"/>
      <c r="BB257" s="104"/>
      <c r="BC257" s="104"/>
      <c r="BD257" s="212"/>
      <c r="BE257" s="33"/>
      <c r="BF257" s="33"/>
      <c r="BG257" s="33"/>
      <c r="BH257" s="162"/>
      <c r="BI257" s="104"/>
      <c r="BJ257" s="104"/>
      <c r="BK257" s="104"/>
      <c r="BL257" s="104"/>
      <c r="BM257" s="851"/>
      <c r="BN257" s="104"/>
      <c r="BO257" s="104"/>
      <c r="BP257" s="104"/>
      <c r="BQ257" s="851"/>
      <c r="BR257" s="104"/>
      <c r="BS257" s="104"/>
      <c r="BT257" s="212"/>
      <c r="BU257" s="851"/>
      <c r="BV257" s="104"/>
      <c r="BW257" s="104"/>
      <c r="BX257" s="212"/>
      <c r="BY257" s="851"/>
      <c r="BZ257" s="104"/>
      <c r="CA257" s="104"/>
      <c r="CB257" s="212"/>
      <c r="CC257" s="851"/>
      <c r="CD257" s="104"/>
      <c r="CE257" s="104"/>
      <c r="CF257" s="212"/>
      <c r="CG257" s="245"/>
      <c r="CH257" s="178"/>
      <c r="CM257" s="103"/>
      <c r="CN257" s="104"/>
      <c r="CO257" s="104"/>
      <c r="CQ257" s="104"/>
      <c r="CR257" s="104"/>
      <c r="CS257" s="62"/>
      <c r="CT257" s="62"/>
      <c r="CU257" s="62"/>
      <c r="CV257" s="62"/>
      <c r="CW257" s="62"/>
      <c r="CX257" s="797"/>
      <c r="CY257" s="62"/>
      <c r="DF257" s="245"/>
    </row>
    <row r="258" spans="1:110" ht="12.75" customHeight="1">
      <c r="I258" s="185" t="s">
        <v>304</v>
      </c>
      <c r="J258" s="70"/>
      <c r="K258" s="70"/>
      <c r="P258" s="234"/>
      <c r="T258" s="234"/>
      <c r="X258" s="234"/>
      <c r="AB258" s="234"/>
      <c r="AF258" s="249"/>
      <c r="AJ258" s="179"/>
      <c r="AN258" s="179"/>
      <c r="AR258" s="162"/>
      <c r="AS258" s="33"/>
      <c r="AT258" s="33"/>
      <c r="AU258" s="33"/>
      <c r="AV258" s="162"/>
      <c r="AW258" s="52"/>
      <c r="AX258" s="889"/>
      <c r="AY258" s="161"/>
      <c r="AZ258" s="162"/>
      <c r="BA258" s="118"/>
      <c r="BB258" s="33"/>
      <c r="BC258" s="33"/>
      <c r="BD258" s="230"/>
      <c r="BE258" s="33"/>
      <c r="BF258" s="33"/>
      <c r="BG258" s="33"/>
      <c r="BH258" s="162"/>
      <c r="BI258" s="126"/>
      <c r="BJ258" s="33"/>
      <c r="BK258" s="33"/>
      <c r="BL258" s="33"/>
      <c r="BM258" s="1595"/>
      <c r="BN258" s="33"/>
      <c r="BO258" s="33"/>
      <c r="BP258" s="33"/>
      <c r="BQ258" s="1595"/>
      <c r="BR258" s="33"/>
      <c r="BS258" s="33"/>
      <c r="BT258" s="162"/>
      <c r="BU258" s="851"/>
      <c r="BV258" s="33"/>
      <c r="BW258" s="33"/>
      <c r="BX258" s="162"/>
      <c r="BY258" s="851"/>
      <c r="BZ258" s="33"/>
      <c r="CA258" s="33"/>
      <c r="CB258" s="162"/>
      <c r="CC258" s="851"/>
      <c r="CD258" s="33"/>
      <c r="CE258" s="33"/>
      <c r="CF258" s="162"/>
      <c r="CG258" s="234"/>
      <c r="CH258" s="160"/>
      <c r="CM258" s="30"/>
      <c r="CN258" s="118"/>
      <c r="CO258" s="889"/>
      <c r="CP258" s="889"/>
      <c r="CQ258" s="118">
        <f>+CQ254/CP254-1</f>
        <v>0.55727372540189735</v>
      </c>
      <c r="CR258" s="360">
        <v>0.66</v>
      </c>
      <c r="CS258" s="118">
        <f t="shared" ref="CS258:CX258" si="462">+CS254/CR254-1</f>
        <v>0.2041902817998964</v>
      </c>
      <c r="CT258" s="118">
        <f t="shared" si="462"/>
        <v>0.28261799371370899</v>
      </c>
      <c r="CU258" s="118">
        <f t="shared" si="462"/>
        <v>0.23385200208286916</v>
      </c>
      <c r="CV258" s="118">
        <f t="shared" si="462"/>
        <v>6.3033174152907101E-2</v>
      </c>
      <c r="CW258" s="118">
        <f t="shared" si="462"/>
        <v>0.14749188912874223</v>
      </c>
      <c r="CX258" s="118">
        <f t="shared" si="462"/>
        <v>0.15724898770948958</v>
      </c>
      <c r="CY258" s="118">
        <f t="shared" ref="CR258:CY259" si="463">+CY254/CX254-1</f>
        <v>0.15437127223267777</v>
      </c>
      <c r="DF258" s="234"/>
    </row>
    <row r="259" spans="1:110" ht="12.75" customHeight="1">
      <c r="I259" s="185" t="s">
        <v>310</v>
      </c>
      <c r="J259" s="70"/>
      <c r="K259" s="70"/>
      <c r="P259" s="234"/>
      <c r="T259" s="234"/>
      <c r="X259" s="234"/>
      <c r="AB259" s="234"/>
      <c r="AF259" s="249"/>
      <c r="AJ259" s="179"/>
      <c r="AN259" s="179"/>
      <c r="AR259" s="162"/>
      <c r="AS259" s="33"/>
      <c r="AT259" s="33"/>
      <c r="AU259" s="33"/>
      <c r="AV259" s="162"/>
      <c r="AW259" s="161"/>
      <c r="AX259" s="889"/>
      <c r="AY259" s="161"/>
      <c r="AZ259" s="162"/>
      <c r="BA259" s="33"/>
      <c r="BB259" s="33"/>
      <c r="BC259" s="33"/>
      <c r="BD259" s="162"/>
      <c r="BE259" s="33"/>
      <c r="BF259" s="33"/>
      <c r="BG259" s="33"/>
      <c r="BH259" s="162"/>
      <c r="BI259" s="38"/>
      <c r="BJ259" s="33"/>
      <c r="BK259" s="33"/>
      <c r="BL259" s="33"/>
      <c r="BM259" s="1615"/>
      <c r="BN259" s="33"/>
      <c r="BO259" s="33"/>
      <c r="BP259" s="33"/>
      <c r="BQ259" s="1595"/>
      <c r="BR259" s="33"/>
      <c r="BS259" s="33"/>
      <c r="BT259" s="162"/>
      <c r="BU259" s="1595"/>
      <c r="BV259" s="33"/>
      <c r="BW259" s="33"/>
      <c r="BX259" s="162"/>
      <c r="BY259" s="1595"/>
      <c r="BZ259" s="33"/>
      <c r="CA259" s="33"/>
      <c r="CB259" s="162"/>
      <c r="CC259" s="1595"/>
      <c r="CD259" s="33"/>
      <c r="CE259" s="33"/>
      <c r="CF259" s="162"/>
      <c r="CG259" s="234"/>
      <c r="CH259" s="160"/>
      <c r="CM259" s="30"/>
      <c r="CN259" s="33"/>
      <c r="CO259" s="33"/>
      <c r="CP259" s="161"/>
      <c r="CQ259" s="118">
        <f>+CQ255/CP255-1</f>
        <v>0.88944989524029894</v>
      </c>
      <c r="CR259" s="118">
        <f t="shared" si="463"/>
        <v>1.3068611928547842</v>
      </c>
      <c r="CS259" s="118">
        <f t="shared" si="463"/>
        <v>1.1417647317773856</v>
      </c>
      <c r="CT259" s="118">
        <f>+CT255/CS255-1</f>
        <v>0.88427687607867722</v>
      </c>
      <c r="CU259" s="118">
        <f t="shared" si="463"/>
        <v>0.49008149068632401</v>
      </c>
      <c r="CV259" s="118">
        <f t="shared" si="463"/>
        <v>0.22939883756924329</v>
      </c>
      <c r="CW259" s="118">
        <f t="shared" si="463"/>
        <v>0.41495736200370725</v>
      </c>
      <c r="CX259" s="118">
        <f t="shared" si="463"/>
        <v>0.27535112166491849</v>
      </c>
      <c r="CY259" s="118">
        <f t="shared" si="463"/>
        <v>0.29136722735622156</v>
      </c>
      <c r="DF259" s="234"/>
    </row>
    <row r="260" spans="1:110" ht="12.75" customHeight="1">
      <c r="I260" s="185" t="s">
        <v>305</v>
      </c>
      <c r="J260" s="70"/>
      <c r="K260" s="70"/>
      <c r="P260" s="234"/>
      <c r="T260" s="234"/>
      <c r="X260" s="234"/>
      <c r="AB260" s="234"/>
      <c r="AF260" s="249"/>
      <c r="AJ260" s="179"/>
      <c r="AN260" s="179"/>
      <c r="AR260" s="162"/>
      <c r="AS260" s="33"/>
      <c r="AT260" s="33"/>
      <c r="AU260" s="33"/>
      <c r="AV260" s="162"/>
      <c r="AW260" s="161"/>
      <c r="AX260" s="889"/>
      <c r="AY260" s="161"/>
      <c r="AZ260" s="162"/>
      <c r="BA260" s="33"/>
      <c r="BB260" s="33"/>
      <c r="BC260" s="33"/>
      <c r="BD260" s="162"/>
      <c r="BE260" s="33"/>
      <c r="BF260" s="33"/>
      <c r="BG260" s="33"/>
      <c r="BH260" s="162"/>
      <c r="BI260" s="33"/>
      <c r="BJ260" s="33"/>
      <c r="BK260" s="33"/>
      <c r="BL260" s="33"/>
      <c r="BM260" s="1595"/>
      <c r="BN260" s="33"/>
      <c r="BO260" s="33"/>
      <c r="BP260" s="33"/>
      <c r="BQ260" s="1595"/>
      <c r="BR260" s="33"/>
      <c r="BS260" s="33"/>
      <c r="BT260" s="162"/>
      <c r="BU260" s="1595"/>
      <c r="BV260" s="33"/>
      <c r="BW260" s="33"/>
      <c r="BX260" s="162"/>
      <c r="BY260" s="1595"/>
      <c r="BZ260" s="33"/>
      <c r="CA260" s="33"/>
      <c r="CB260" s="162"/>
      <c r="CC260" s="1595"/>
      <c r="CD260" s="33"/>
      <c r="CE260" s="33"/>
      <c r="CF260" s="162"/>
      <c r="CG260" s="234"/>
      <c r="CH260" s="160"/>
      <c r="CM260" s="30"/>
      <c r="CN260" s="33"/>
      <c r="CO260" s="33"/>
      <c r="CP260" s="161"/>
      <c r="CQ260" s="120"/>
      <c r="CR260" s="118">
        <f t="shared" ref="CR260:CY262" si="464">+CR246/CQ246-1</f>
        <v>1.2653474622661056</v>
      </c>
      <c r="CS260" s="118">
        <f t="shared" si="464"/>
        <v>0.60000000000000009</v>
      </c>
      <c r="CT260" s="118">
        <f t="shared" si="464"/>
        <v>0.60000000000000031</v>
      </c>
      <c r="CU260" s="118">
        <f t="shared" si="464"/>
        <v>0.44999999999999996</v>
      </c>
      <c r="CV260" s="118">
        <f t="shared" si="464"/>
        <v>0.35000000000000009</v>
      </c>
      <c r="CW260" s="118">
        <f t="shared" si="464"/>
        <v>0.29096269738879177</v>
      </c>
      <c r="CX260" s="118">
        <f t="shared" si="464"/>
        <v>0.28000000000000003</v>
      </c>
      <c r="CY260" s="118">
        <f t="shared" si="464"/>
        <v>0.19999999999999996</v>
      </c>
      <c r="DF260" s="234"/>
    </row>
    <row r="261" spans="1:110" ht="12.75" customHeight="1">
      <c r="A261" s="12"/>
      <c r="B261" s="13"/>
      <c r="C261" s="13"/>
      <c r="D261" s="13"/>
      <c r="E261" s="13"/>
      <c r="F261" s="12"/>
      <c r="G261" s="12"/>
      <c r="H261" s="12"/>
      <c r="I261" s="185" t="s">
        <v>306</v>
      </c>
      <c r="J261" s="70"/>
      <c r="K261" s="70"/>
      <c r="P261" s="234"/>
      <c r="T261" s="234"/>
      <c r="X261" s="234"/>
      <c r="AB261" s="234"/>
      <c r="AF261" s="249"/>
      <c r="AJ261" s="179"/>
      <c r="AN261" s="179"/>
      <c r="AR261" s="162"/>
      <c r="AS261" s="33"/>
      <c r="AT261" s="33"/>
      <c r="AU261" s="33"/>
      <c r="AV261" s="162"/>
      <c r="AW261" s="161"/>
      <c r="AX261" s="889"/>
      <c r="AY261" s="161"/>
      <c r="AZ261" s="162"/>
      <c r="BA261" s="33"/>
      <c r="BB261" s="33"/>
      <c r="BC261" s="33"/>
      <c r="BD261" s="162"/>
      <c r="BE261" s="33"/>
      <c r="BF261" s="33"/>
      <c r="BG261" s="33"/>
      <c r="BH261" s="162"/>
      <c r="BI261" s="33"/>
      <c r="BJ261" s="33"/>
      <c r="BK261" s="33"/>
      <c r="BL261" s="33"/>
      <c r="BM261" s="1595"/>
      <c r="BN261" s="33"/>
      <c r="BO261" s="33"/>
      <c r="BP261" s="33"/>
      <c r="BQ261" s="1595"/>
      <c r="BR261" s="33"/>
      <c r="BS261" s="33"/>
      <c r="BT261" s="162"/>
      <c r="BU261" s="1595"/>
      <c r="BV261" s="33"/>
      <c r="BW261" s="33"/>
      <c r="BX261" s="162"/>
      <c r="BY261" s="1595"/>
      <c r="BZ261" s="33"/>
      <c r="CA261" s="33"/>
      <c r="CB261" s="162"/>
      <c r="CC261" s="1595"/>
      <c r="CD261" s="33"/>
      <c r="CE261" s="33"/>
      <c r="CF261" s="162"/>
      <c r="CG261" s="234"/>
      <c r="CH261" s="160"/>
      <c r="CM261" s="30"/>
      <c r="CN261" s="33"/>
      <c r="CO261" s="33"/>
      <c r="CP261" s="161"/>
      <c r="CQ261" s="120"/>
      <c r="CR261" s="118">
        <f t="shared" si="464"/>
        <v>1</v>
      </c>
      <c r="CS261" s="118">
        <f t="shared" si="464"/>
        <v>1.5</v>
      </c>
      <c r="CT261" s="118">
        <f t="shared" si="464"/>
        <v>0.64999999999999991</v>
      </c>
      <c r="CU261" s="118">
        <f t="shared" si="464"/>
        <v>0.55000000000000004</v>
      </c>
      <c r="CV261" s="118">
        <f t="shared" si="464"/>
        <v>0.25</v>
      </c>
      <c r="CW261" s="118">
        <f t="shared" si="464"/>
        <v>0.32000000000000006</v>
      </c>
      <c r="CX261" s="118">
        <f t="shared" si="464"/>
        <v>0.17999999999999994</v>
      </c>
      <c r="CY261" s="118">
        <f t="shared" si="464"/>
        <v>0.14000000000000012</v>
      </c>
      <c r="DF261" s="234"/>
    </row>
    <row r="262" spans="1:110" ht="12.75" customHeight="1">
      <c r="A262" s="12"/>
      <c r="B262" s="13"/>
      <c r="C262" s="13"/>
      <c r="D262" s="13"/>
      <c r="E262" s="13"/>
      <c r="F262" s="12"/>
      <c r="G262" s="12"/>
      <c r="H262" s="12"/>
      <c r="I262" s="185" t="s">
        <v>307</v>
      </c>
      <c r="J262" s="70"/>
      <c r="K262" s="70"/>
      <c r="P262" s="234"/>
      <c r="T262" s="234"/>
      <c r="X262" s="234"/>
      <c r="AB262" s="234"/>
      <c r="AF262" s="249"/>
      <c r="AJ262" s="179"/>
      <c r="AN262" s="179"/>
      <c r="AR262" s="162"/>
      <c r="AS262" s="33"/>
      <c r="AT262" s="33"/>
      <c r="AU262" s="33"/>
      <c r="AV262" s="162"/>
      <c r="AW262" s="33"/>
      <c r="AX262" s="118"/>
      <c r="AY262" s="33"/>
      <c r="AZ262" s="162"/>
      <c r="BA262" s="33"/>
      <c r="BB262" s="118"/>
      <c r="BC262" s="33"/>
      <c r="BD262" s="162"/>
      <c r="BE262" s="33"/>
      <c r="BF262" s="33"/>
      <c r="BG262" s="33"/>
      <c r="BH262" s="162"/>
      <c r="BI262" s="33"/>
      <c r="BJ262" s="118"/>
      <c r="BK262" s="118"/>
      <c r="BL262" s="118"/>
      <c r="BM262" s="1595"/>
      <c r="BN262" s="33"/>
      <c r="BO262" s="33"/>
      <c r="BP262" s="33"/>
      <c r="BQ262" s="1595"/>
      <c r="BR262" s="33"/>
      <c r="BS262" s="33"/>
      <c r="BT262" s="162"/>
      <c r="BU262" s="1595"/>
      <c r="BV262" s="33"/>
      <c r="BW262" s="33"/>
      <c r="BX262" s="162"/>
      <c r="BY262" s="1595"/>
      <c r="BZ262" s="33"/>
      <c r="CA262" s="33"/>
      <c r="CB262" s="162"/>
      <c r="CC262" s="1595"/>
      <c r="CD262" s="33"/>
      <c r="CE262" s="33"/>
      <c r="CF262" s="162"/>
      <c r="CG262" s="234"/>
      <c r="CH262" s="160"/>
      <c r="CM262" s="30"/>
      <c r="CN262" s="33">
        <f>+CN40*0.2</f>
        <v>535.0082000000001</v>
      </c>
      <c r="CO262" s="219">
        <f>+CN262*1.5</f>
        <v>802.5123000000001</v>
      </c>
      <c r="CP262" s="33"/>
      <c r="CQ262" s="118"/>
      <c r="CR262" s="118">
        <f t="shared" si="464"/>
        <v>1.5233727261454613</v>
      </c>
      <c r="CS262" s="118">
        <f t="shared" si="464"/>
        <v>0.27004443783582821</v>
      </c>
      <c r="CT262" s="118">
        <f t="shared" si="464"/>
        <v>0.28261799371370944</v>
      </c>
      <c r="CU262" s="118">
        <f t="shared" si="464"/>
        <v>0.23385200208286872</v>
      </c>
      <c r="CV262" s="118">
        <f t="shared" si="464"/>
        <v>6.3033174152907323E-2</v>
      </c>
      <c r="CW262" s="118">
        <f t="shared" si="464"/>
        <v>0.3017765128771448</v>
      </c>
      <c r="CX262" s="118">
        <f t="shared" si="464"/>
        <v>0.24703554710074349</v>
      </c>
      <c r="CY262" s="118">
        <f t="shared" si="464"/>
        <v>0.28263474692519752</v>
      </c>
      <c r="DF262" s="234"/>
    </row>
    <row r="263" spans="1:110" ht="12.75" customHeight="1">
      <c r="I263" s="160"/>
      <c r="P263" s="234"/>
      <c r="T263" s="234"/>
      <c r="X263" s="234"/>
      <c r="AB263" s="234"/>
      <c r="AF263" s="249"/>
      <c r="AJ263" s="179"/>
      <c r="AN263" s="179"/>
      <c r="AR263" s="162"/>
      <c r="AS263" s="33"/>
      <c r="AT263" s="33"/>
      <c r="AU263" s="33"/>
      <c r="AV263" s="162"/>
      <c r="AW263" s="161"/>
      <c r="AX263" s="889"/>
      <c r="AY263" s="161"/>
      <c r="AZ263" s="162"/>
      <c r="BA263" s="33"/>
      <c r="BB263" s="33"/>
      <c r="BC263" s="33"/>
      <c r="BD263" s="162"/>
      <c r="BE263" s="33"/>
      <c r="BF263" s="33"/>
      <c r="BG263" s="33"/>
      <c r="BH263" s="162"/>
      <c r="BI263" s="33"/>
      <c r="BJ263" s="33"/>
      <c r="BK263" s="33"/>
      <c r="BL263" s="33"/>
      <c r="BM263" s="1595"/>
      <c r="BN263" s="33"/>
      <c r="BO263" s="33"/>
      <c r="BP263" s="33"/>
      <c r="BQ263" s="1595"/>
      <c r="BR263" s="33"/>
      <c r="BS263" s="33"/>
      <c r="BT263" s="162"/>
      <c r="BU263" s="1595"/>
      <c r="BV263" s="33"/>
      <c r="BW263" s="33"/>
      <c r="BX263" s="162"/>
      <c r="BY263" s="1595"/>
      <c r="BZ263" s="33"/>
      <c r="CA263" s="33"/>
      <c r="CB263" s="162"/>
      <c r="CC263" s="1595"/>
      <c r="CD263" s="33"/>
      <c r="CE263" s="33"/>
      <c r="CF263" s="162"/>
      <c r="CG263" s="234"/>
      <c r="CH263" s="160"/>
      <c r="CM263" s="30"/>
      <c r="CN263" s="33"/>
      <c r="CO263" s="33"/>
      <c r="CP263" s="161"/>
      <c r="CQ263" s="33"/>
      <c r="CR263" s="33"/>
      <c r="CS263" s="33"/>
      <c r="CT263" s="33"/>
      <c r="CU263" s="33"/>
      <c r="CV263" s="33"/>
      <c r="CW263" s="33"/>
      <c r="CX263" s="33"/>
      <c r="CY263" s="33"/>
      <c r="DF263" s="234"/>
    </row>
    <row r="264" spans="1:110" ht="12.75" customHeight="1">
      <c r="I264" s="178" t="s">
        <v>385</v>
      </c>
      <c r="J264" s="8"/>
      <c r="K264" s="8"/>
      <c r="P264" s="234"/>
      <c r="T264" s="234"/>
      <c r="X264" s="234"/>
      <c r="AB264" s="234"/>
      <c r="AF264" s="249"/>
      <c r="AJ264" s="179"/>
      <c r="AN264" s="179"/>
      <c r="AR264" s="162"/>
      <c r="AS264" s="33"/>
      <c r="AT264" s="33"/>
      <c r="AU264" s="33"/>
      <c r="AV264" s="162"/>
      <c r="AW264" s="161"/>
      <c r="AX264" s="889"/>
      <c r="AY264" s="161"/>
      <c r="AZ264" s="162"/>
      <c r="BA264" s="33"/>
      <c r="BB264" s="33"/>
      <c r="BC264" s="33"/>
      <c r="BD264" s="162"/>
      <c r="BE264" s="33"/>
      <c r="BF264" s="33"/>
      <c r="BG264" s="33"/>
      <c r="BH264" s="162"/>
      <c r="BI264" s="33"/>
      <c r="BJ264" s="33"/>
      <c r="BK264" s="33"/>
      <c r="BL264" s="33"/>
      <c r="BM264" s="1595"/>
      <c r="BN264" s="33"/>
      <c r="BO264" s="33"/>
      <c r="BP264" s="33"/>
      <c r="BQ264" s="1595"/>
      <c r="BR264" s="33"/>
      <c r="BS264" s="33"/>
      <c r="BT264" s="162"/>
      <c r="BU264" s="1595"/>
      <c r="BV264" s="33"/>
      <c r="BW264" s="33"/>
      <c r="BX264" s="162"/>
      <c r="BY264" s="1595"/>
      <c r="BZ264" s="33"/>
      <c r="CA264" s="33"/>
      <c r="CB264" s="162"/>
      <c r="CC264" s="1595"/>
      <c r="CD264" s="33"/>
      <c r="CE264" s="33"/>
      <c r="CF264" s="162"/>
      <c r="CG264" s="234"/>
      <c r="CH264" s="160"/>
      <c r="CM264" s="30"/>
      <c r="CN264" s="33"/>
      <c r="CO264" s="33"/>
      <c r="CP264" s="161"/>
      <c r="CQ264" s="33"/>
      <c r="CR264" s="33"/>
      <c r="CS264" s="33"/>
      <c r="CT264" s="33"/>
      <c r="CU264" s="33"/>
      <c r="CV264" s="33"/>
      <c r="CW264" s="33"/>
      <c r="CX264" s="33"/>
      <c r="CY264" s="33"/>
      <c r="DF264" s="234"/>
    </row>
    <row r="265" spans="1:110" ht="12.75" customHeight="1">
      <c r="I265" s="185" t="s">
        <v>304</v>
      </c>
      <c r="J265" s="70"/>
      <c r="K265" s="70"/>
      <c r="P265" s="234"/>
      <c r="T265" s="234"/>
      <c r="X265" s="234"/>
      <c r="AB265" s="234"/>
      <c r="AF265" s="249"/>
      <c r="AJ265" s="179"/>
      <c r="AN265" s="179"/>
      <c r="AR265" s="162"/>
      <c r="AS265" s="33"/>
      <c r="AT265" s="33"/>
      <c r="AU265" s="33"/>
      <c r="AV265" s="162"/>
      <c r="AW265" s="161"/>
      <c r="AX265" s="889"/>
      <c r="AY265" s="161"/>
      <c r="AZ265" s="162"/>
      <c r="BA265" s="33"/>
      <c r="BB265" s="33"/>
      <c r="BC265" s="33"/>
      <c r="BD265" s="162"/>
      <c r="BE265" s="33"/>
      <c r="BF265" s="33"/>
      <c r="BG265" s="33"/>
      <c r="BH265" s="162"/>
      <c r="BI265" s="33"/>
      <c r="BJ265" s="33"/>
      <c r="BK265" s="33"/>
      <c r="BL265" s="33"/>
      <c r="BM265" s="1595"/>
      <c r="BN265" s="33"/>
      <c r="BO265" s="33"/>
      <c r="BP265" s="33"/>
      <c r="BQ265" s="1595"/>
      <c r="BR265" s="33"/>
      <c r="BS265" s="33"/>
      <c r="BT265" s="162"/>
      <c r="BU265" s="1595"/>
      <c r="BV265" s="33"/>
      <c r="BW265" s="33"/>
      <c r="BX265" s="162"/>
      <c r="BY265" s="1595"/>
      <c r="BZ265" s="33"/>
      <c r="CA265" s="33"/>
      <c r="CB265" s="162"/>
      <c r="CC265" s="1595"/>
      <c r="CD265" s="33"/>
      <c r="CE265" s="33"/>
      <c r="CF265" s="162"/>
      <c r="CG265" s="234"/>
      <c r="CH265" s="160"/>
      <c r="CM265" s="30"/>
      <c r="CN265" s="33"/>
      <c r="CO265" s="33"/>
      <c r="CP265" s="33"/>
      <c r="CQ265" s="33">
        <f t="shared" ref="CQ265:CY265" si="465">+CQ245-CP245</f>
        <v>2719.4592155258924</v>
      </c>
      <c r="CR265" s="33">
        <f t="shared" si="465"/>
        <v>5015.5997776263221</v>
      </c>
      <c r="CS265" s="33">
        <f t="shared" si="465"/>
        <v>2575.8590531844966</v>
      </c>
      <c r="CT265" s="33">
        <f>+CT245-CS245</f>
        <v>4293.2082374931797</v>
      </c>
      <c r="CU265" s="33">
        <f t="shared" si="465"/>
        <v>4556.386596563214</v>
      </c>
      <c r="CV265" s="33">
        <f t="shared" si="465"/>
        <v>1515.3456993154759</v>
      </c>
      <c r="CW265" s="33">
        <f t="shared" si="465"/>
        <v>3769.2721828337635</v>
      </c>
      <c r="CX265" s="33">
        <f t="shared" si="465"/>
        <v>4611.3368092706551</v>
      </c>
      <c r="CY265" s="33">
        <f t="shared" si="465"/>
        <v>5238.8055453719644</v>
      </c>
      <c r="DF265" s="234"/>
    </row>
    <row r="266" spans="1:110" ht="12.75" customHeight="1">
      <c r="I266" s="185" t="s">
        <v>305</v>
      </c>
      <c r="J266" s="70"/>
      <c r="K266" s="70"/>
      <c r="P266" s="234"/>
      <c r="T266" s="234"/>
      <c r="X266" s="234"/>
      <c r="AB266" s="234"/>
      <c r="AF266" s="249"/>
      <c r="AJ266" s="179"/>
      <c r="AN266" s="179"/>
      <c r="AR266" s="162"/>
      <c r="AS266" s="33"/>
      <c r="AT266" s="33"/>
      <c r="AU266" s="33"/>
      <c r="AV266" s="162"/>
      <c r="AW266" s="161"/>
      <c r="AX266" s="889"/>
      <c r="AY266" s="161"/>
      <c r="AZ266" s="162"/>
      <c r="BA266" s="33"/>
      <c r="BB266" s="33"/>
      <c r="BC266" s="33"/>
      <c r="BD266" s="162"/>
      <c r="BE266" s="33"/>
      <c r="BF266" s="33"/>
      <c r="BG266" s="33"/>
      <c r="BH266" s="162"/>
      <c r="BI266" s="33"/>
      <c r="BJ266" s="33"/>
      <c r="BK266" s="33"/>
      <c r="BL266" s="33"/>
      <c r="BM266" s="1595"/>
      <c r="BN266" s="33"/>
      <c r="BO266" s="33"/>
      <c r="BP266" s="33"/>
      <c r="BQ266" s="1595"/>
      <c r="BR266" s="33"/>
      <c r="BS266" s="33"/>
      <c r="BT266" s="162"/>
      <c r="BU266" s="1595"/>
      <c r="BV266" s="33"/>
      <c r="BW266" s="33"/>
      <c r="BX266" s="162"/>
      <c r="BY266" s="1595"/>
      <c r="BZ266" s="33"/>
      <c r="CA266" s="33"/>
      <c r="CB266" s="162"/>
      <c r="CC266" s="1595"/>
      <c r="CD266" s="33"/>
      <c r="CE266" s="33"/>
      <c r="CF266" s="162"/>
      <c r="CG266" s="234"/>
      <c r="CH266" s="160"/>
      <c r="CM266" s="30"/>
      <c r="CN266" s="33"/>
      <c r="CO266" s="33"/>
      <c r="CP266" s="33"/>
      <c r="CQ266" s="33">
        <f t="shared" ref="CQ266:CY266" si="466">+CQ246-CP246</f>
        <v>116.64008447410635</v>
      </c>
      <c r="CR266" s="33">
        <f t="shared" si="466"/>
        <v>286.61220560822204</v>
      </c>
      <c r="CS266" s="33">
        <f t="shared" si="466"/>
        <v>307.87254188645909</v>
      </c>
      <c r="CT266" s="33">
        <f>+CT246-CS246</f>
        <v>492.59606701833468</v>
      </c>
      <c r="CU266" s="33">
        <f t="shared" si="466"/>
        <v>591.11528042200143</v>
      </c>
      <c r="CV266" s="33">
        <f t="shared" si="466"/>
        <v>666.64667736481306</v>
      </c>
      <c r="CW266" s="33">
        <f t="shared" si="466"/>
        <v>748.16735959803191</v>
      </c>
      <c r="CX266" s="33">
        <f t="shared" si="466"/>
        <v>929.46527224144666</v>
      </c>
      <c r="CY266" s="33">
        <f t="shared" si="466"/>
        <v>849.7968203350365</v>
      </c>
      <c r="DF266" s="234"/>
    </row>
    <row r="267" spans="1:110" ht="12.75" customHeight="1">
      <c r="I267" s="185" t="s">
        <v>306</v>
      </c>
      <c r="J267" s="70"/>
      <c r="K267" s="70"/>
      <c r="P267" s="234"/>
      <c r="T267" s="234"/>
      <c r="X267" s="234"/>
      <c r="AB267" s="234"/>
      <c r="AF267" s="249"/>
      <c r="AJ267" s="179"/>
      <c r="AN267" s="179"/>
      <c r="AR267" s="162"/>
      <c r="AS267" s="33"/>
      <c r="AT267" s="33"/>
      <c r="AU267" s="33"/>
      <c r="AV267" s="162"/>
      <c r="AW267" s="161"/>
      <c r="AX267" s="889"/>
      <c r="AY267" s="161"/>
      <c r="AZ267" s="162"/>
      <c r="BA267" s="33"/>
      <c r="BB267" s="33"/>
      <c r="BC267" s="33"/>
      <c r="BD267" s="162"/>
      <c r="BE267" s="33"/>
      <c r="BF267" s="33"/>
      <c r="BG267" s="33"/>
      <c r="BH267" s="162"/>
      <c r="BI267" s="33"/>
      <c r="BJ267" s="33"/>
      <c r="BK267" s="33"/>
      <c r="BL267" s="33"/>
      <c r="BM267" s="1595"/>
      <c r="BN267" s="33"/>
      <c r="BO267" s="33"/>
      <c r="BP267" s="33"/>
      <c r="BQ267" s="1595"/>
      <c r="BR267" s="33"/>
      <c r="BS267" s="33"/>
      <c r="BT267" s="162"/>
      <c r="BU267" s="1595"/>
      <c r="BV267" s="33"/>
      <c r="BW267" s="33"/>
      <c r="BX267" s="162"/>
      <c r="BY267" s="1595"/>
      <c r="BZ267" s="33"/>
      <c r="CA267" s="33"/>
      <c r="CB267" s="162"/>
      <c r="CC267" s="1595"/>
      <c r="CD267" s="33"/>
      <c r="CE267" s="33"/>
      <c r="CF267" s="162"/>
      <c r="CG267" s="234"/>
      <c r="CH267" s="160"/>
      <c r="CM267" s="30"/>
      <c r="CN267" s="33"/>
      <c r="CO267" s="33"/>
      <c r="CP267" s="33"/>
      <c r="CQ267" s="33">
        <f t="shared" ref="CQ267:CY267" si="467">+CQ247-CP247</f>
        <v>186.86250000000001</v>
      </c>
      <c r="CR267" s="33">
        <f t="shared" si="467"/>
        <v>286.86250000000001</v>
      </c>
      <c r="CS267" s="33">
        <f t="shared" si="467"/>
        <v>860.58749999999998</v>
      </c>
      <c r="CT267" s="33">
        <f>+CT247-CS247</f>
        <v>932.30312499999991</v>
      </c>
      <c r="CU267" s="33">
        <f t="shared" si="467"/>
        <v>1301.6385937499999</v>
      </c>
      <c r="CV267" s="33">
        <f t="shared" si="467"/>
        <v>917.06355468749962</v>
      </c>
      <c r="CW267" s="33">
        <f t="shared" si="467"/>
        <v>1467.3016875000003</v>
      </c>
      <c r="CX267" s="33">
        <f t="shared" si="467"/>
        <v>1089.4715029687495</v>
      </c>
      <c r="CY267" s="33">
        <f t="shared" si="467"/>
        <v>999.89273494687586</v>
      </c>
      <c r="DF267" s="234"/>
    </row>
    <row r="268" spans="1:110" ht="12.75" customHeight="1">
      <c r="I268" s="185" t="s">
        <v>307</v>
      </c>
      <c r="J268" s="70"/>
      <c r="K268" s="70"/>
      <c r="P268" s="234"/>
      <c r="T268" s="234"/>
      <c r="X268" s="234"/>
      <c r="AB268" s="234"/>
      <c r="AF268" s="249"/>
      <c r="AJ268" s="179"/>
      <c r="AN268" s="179"/>
      <c r="AR268" s="162"/>
      <c r="AS268" s="33"/>
      <c r="AT268" s="33"/>
      <c r="AU268" s="33"/>
      <c r="AV268" s="162"/>
      <c r="AW268" s="161"/>
      <c r="AX268" s="889"/>
      <c r="AY268" s="161"/>
      <c r="AZ268" s="162"/>
      <c r="BA268" s="33"/>
      <c r="BB268" s="33"/>
      <c r="BC268" s="33"/>
      <c r="BD268" s="162"/>
      <c r="BE268" s="33"/>
      <c r="BF268" s="33"/>
      <c r="BG268" s="33"/>
      <c r="BH268" s="162"/>
      <c r="BI268" s="33"/>
      <c r="BJ268" s="33"/>
      <c r="BK268" s="33"/>
      <c r="BL268" s="33"/>
      <c r="BM268" s="1595"/>
      <c r="BN268" s="33"/>
      <c r="BO268" s="33"/>
      <c r="BP268" s="33"/>
      <c r="BQ268" s="851"/>
      <c r="BR268" s="33"/>
      <c r="BS268" s="118"/>
      <c r="BT268" s="162"/>
      <c r="BU268" s="1595"/>
      <c r="BV268" s="33"/>
      <c r="BW268" s="33"/>
      <c r="BX268" s="162"/>
      <c r="BY268" s="1595"/>
      <c r="BZ268" s="33"/>
      <c r="CA268" s="33"/>
      <c r="CB268" s="162"/>
      <c r="CC268" s="1595"/>
      <c r="CD268" s="33"/>
      <c r="CE268" s="33"/>
      <c r="CF268" s="162"/>
      <c r="CG268" s="234"/>
      <c r="CH268" s="160"/>
      <c r="CM268" s="30"/>
      <c r="CN268" s="33"/>
      <c r="CO268" s="33"/>
      <c r="CP268" s="33"/>
      <c r="CQ268" s="33">
        <f t="shared" ref="CQ268:CY268" si="468">+CQ248-CP248</f>
        <v>150</v>
      </c>
      <c r="CR268" s="33">
        <f t="shared" si="468"/>
        <v>685.51772676545761</v>
      </c>
      <c r="CS268" s="33">
        <f t="shared" si="468"/>
        <v>306.64024617699556</v>
      </c>
      <c r="CT268" s="104">
        <f>+CT248-CS248</f>
        <v>407.57979293122617</v>
      </c>
      <c r="CU268" s="104">
        <f t="shared" si="468"/>
        <v>432.56487987785272</v>
      </c>
      <c r="CV268" s="104">
        <f>+CV248-CU248</f>
        <v>143.86078013929728</v>
      </c>
      <c r="CW268" s="104">
        <f t="shared" si="468"/>
        <v>732.15913833540162</v>
      </c>
      <c r="CX268" s="104">
        <f t="shared" si="468"/>
        <v>780.21794257424972</v>
      </c>
      <c r="CY268" s="104">
        <f t="shared" si="468"/>
        <v>1113.1683993941929</v>
      </c>
      <c r="DF268" s="234"/>
    </row>
    <row r="269" spans="1:110" ht="12.75" customHeight="1">
      <c r="I269" s="185"/>
      <c r="J269" s="70"/>
      <c r="K269" s="70"/>
      <c r="P269" s="234"/>
      <c r="T269" s="234"/>
      <c r="X269" s="234"/>
      <c r="AB269" s="234"/>
      <c r="AF269" s="249"/>
      <c r="AJ269" s="179"/>
      <c r="AN269" s="179"/>
      <c r="AR269" s="162"/>
      <c r="AS269" s="33"/>
      <c r="AT269" s="33"/>
      <c r="AU269" s="33"/>
      <c r="AV269" s="162"/>
      <c r="AW269" s="161"/>
      <c r="AX269" s="889"/>
      <c r="AY269" s="161"/>
      <c r="AZ269" s="162"/>
      <c r="BA269" s="33"/>
      <c r="BB269" s="33"/>
      <c r="BC269" s="33"/>
      <c r="BD269" s="162"/>
      <c r="BE269" s="33"/>
      <c r="BF269" s="33"/>
      <c r="BG269" s="33"/>
      <c r="BH269" s="162"/>
      <c r="BI269" s="33"/>
      <c r="BJ269" s="33"/>
      <c r="BK269" s="33"/>
      <c r="BL269" s="33"/>
      <c r="BM269" s="1595"/>
      <c r="BN269" s="33"/>
      <c r="BO269" s="33"/>
      <c r="BP269" s="33"/>
      <c r="BQ269" s="1595"/>
      <c r="BR269" s="33"/>
      <c r="BS269" s="33"/>
      <c r="BT269" s="162"/>
      <c r="BU269" s="1595"/>
      <c r="BV269" s="33"/>
      <c r="BW269" s="33"/>
      <c r="BX269" s="162"/>
      <c r="BY269" s="1595"/>
      <c r="BZ269" s="33"/>
      <c r="CA269" s="33"/>
      <c r="CB269" s="162"/>
      <c r="CC269" s="1595"/>
      <c r="CD269" s="33"/>
      <c r="CE269" s="33"/>
      <c r="CF269" s="162"/>
      <c r="CG269" s="234"/>
      <c r="CH269" s="160"/>
      <c r="CS269" s="1209"/>
      <c r="CT269" s="1209"/>
      <c r="CU269" s="1209"/>
      <c r="CV269" s="1209"/>
      <c r="CW269" s="1209"/>
      <c r="CX269" s="33"/>
      <c r="CY269" s="33"/>
      <c r="DF269" s="234"/>
    </row>
    <row r="270" spans="1:110" ht="12.75" customHeight="1">
      <c r="I270" s="178" t="s">
        <v>473</v>
      </c>
      <c r="P270" s="234"/>
      <c r="T270" s="234"/>
      <c r="X270" s="234"/>
      <c r="AB270" s="234"/>
      <c r="AF270" s="249"/>
      <c r="AJ270" s="179"/>
      <c r="AN270" s="179"/>
      <c r="AR270" s="162"/>
      <c r="AS270" s="33"/>
      <c r="AT270" s="33"/>
      <c r="AU270" s="33"/>
      <c r="AV270" s="162"/>
      <c r="AW270" s="161"/>
      <c r="AX270" s="889"/>
      <c r="AY270" s="161"/>
      <c r="AZ270" s="162"/>
      <c r="BA270" s="33"/>
      <c r="BB270" s="33"/>
      <c r="BC270" s="33"/>
      <c r="BD270" s="162"/>
      <c r="BE270" s="33"/>
      <c r="BF270" s="33"/>
      <c r="BG270" s="33"/>
      <c r="BH270" s="162"/>
      <c r="BI270" s="33"/>
      <c r="BJ270" s="33"/>
      <c r="BK270" s="33"/>
      <c r="BL270" s="33"/>
      <c r="BM270" s="1595"/>
      <c r="BN270" s="33"/>
      <c r="BO270" s="33"/>
      <c r="BP270" s="33"/>
      <c r="BQ270" s="1595"/>
      <c r="BR270" s="33"/>
      <c r="BS270" s="33"/>
      <c r="BT270" s="162"/>
      <c r="BU270" s="1595"/>
      <c r="BV270" s="33"/>
      <c r="BW270" s="33"/>
      <c r="BX270" s="162"/>
      <c r="BY270" s="1595"/>
      <c r="BZ270" s="33"/>
      <c r="CA270" s="33"/>
      <c r="CB270" s="162"/>
      <c r="CC270" s="1595"/>
      <c r="CD270" s="33"/>
      <c r="CE270" s="33"/>
      <c r="CF270" s="162"/>
      <c r="CG270" s="234"/>
      <c r="CH270" s="160"/>
      <c r="CM270" s="1992">
        <v>81.7</v>
      </c>
      <c r="CN270" s="1992">
        <v>83.7</v>
      </c>
      <c r="CO270" s="1992">
        <v>84.2</v>
      </c>
      <c r="CP270" s="1992">
        <v>74.900000000000006</v>
      </c>
      <c r="CQ270" s="1992">
        <v>76.099999999999994</v>
      </c>
      <c r="CR270" s="1992">
        <v>78.900000000000006</v>
      </c>
      <c r="CS270" s="1992">
        <v>79.599999999999994</v>
      </c>
      <c r="CT270" s="1993">
        <v>80.900000000000006</v>
      </c>
      <c r="CU270" s="1992">
        <v>83.2</v>
      </c>
      <c r="CV270" s="1992">
        <v>85.9</v>
      </c>
      <c r="CW270" s="1992">
        <v>88.3</v>
      </c>
      <c r="CX270" s="104">
        <f>+CW270*1.03</f>
        <v>90.948999999999998</v>
      </c>
      <c r="CY270" s="104">
        <f>+CX270*1.03</f>
        <v>93.67747</v>
      </c>
      <c r="DF270" s="234"/>
    </row>
    <row r="271" spans="1:110" ht="12.75" customHeight="1">
      <c r="I271" s="160" t="s">
        <v>480</v>
      </c>
      <c r="P271" s="234"/>
      <c r="T271" s="234"/>
      <c r="X271" s="234"/>
      <c r="AB271" s="234"/>
      <c r="AF271" s="249"/>
      <c r="AJ271" s="179"/>
      <c r="AN271" s="179"/>
      <c r="AR271" s="162"/>
      <c r="AS271" s="33"/>
      <c r="AT271" s="33"/>
      <c r="AU271" s="33"/>
      <c r="AV271" s="162"/>
      <c r="AW271" s="161"/>
      <c r="AX271" s="889"/>
      <c r="AY271" s="161"/>
      <c r="AZ271" s="162"/>
      <c r="BA271" s="33"/>
      <c r="BB271" s="33"/>
      <c r="BC271" s="33"/>
      <c r="BD271" s="162"/>
      <c r="BE271" s="33"/>
      <c r="BF271" s="33"/>
      <c r="BG271" s="33"/>
      <c r="BH271" s="162"/>
      <c r="BI271" s="33"/>
      <c r="BJ271" s="33"/>
      <c r="BK271" s="33"/>
      <c r="BL271" s="33"/>
      <c r="BM271" s="1595"/>
      <c r="BN271" s="33"/>
      <c r="BO271" s="33"/>
      <c r="BP271" s="33"/>
      <c r="BQ271" s="1595"/>
      <c r="BR271" s="33"/>
      <c r="BS271" s="33"/>
      <c r="BT271" s="162"/>
      <c r="BU271" s="1595"/>
      <c r="BV271" s="33"/>
      <c r="BW271" s="33"/>
      <c r="BX271" s="162"/>
      <c r="BY271" s="1595"/>
      <c r="BZ271" s="33"/>
      <c r="CA271" s="33"/>
      <c r="CB271" s="162"/>
      <c r="CC271" s="1595"/>
      <c r="CD271" s="33"/>
      <c r="CE271" s="33"/>
      <c r="CF271" s="162"/>
      <c r="CG271" s="234"/>
      <c r="CH271" s="160"/>
      <c r="CM271" s="1990">
        <v>1.2561988846575347</v>
      </c>
      <c r="CN271" s="1990">
        <v>1.3708487134246563</v>
      </c>
      <c r="CO271" s="1990">
        <v>1.4705961502732223</v>
      </c>
      <c r="CP271" s="1990">
        <v>1.3940491731506848</v>
      </c>
      <c r="CQ271" s="1990">
        <v>1.3267875161643841</v>
      </c>
      <c r="CR271" s="1990">
        <v>1.3922412054794522</v>
      </c>
      <c r="CS271" s="1990">
        <v>1.2856834661202188</v>
      </c>
      <c r="CT271" s="1990">
        <v>1.3280361438356167</v>
      </c>
      <c r="CU271" s="1990">
        <v>1.3285034372602746</v>
      </c>
      <c r="CV271" s="1990">
        <v>1.1099914813698617</v>
      </c>
      <c r="CW271" s="1216">
        <v>1.1065170431693991</v>
      </c>
      <c r="CX271" s="1990">
        <f>+CW271</f>
        <v>1.1065170431693991</v>
      </c>
      <c r="CY271" s="1991">
        <f>+CX271</f>
        <v>1.1065170431693991</v>
      </c>
      <c r="DF271" s="234"/>
    </row>
    <row r="272" spans="1:110" s="8" customFormat="1" ht="12.75" customHeight="1">
      <c r="A272" s="24"/>
      <c r="B272" s="24"/>
      <c r="C272" s="24"/>
      <c r="D272" s="24"/>
      <c r="E272" s="24"/>
      <c r="F272" s="24"/>
      <c r="G272" s="24"/>
      <c r="H272" s="24"/>
      <c r="I272" s="178" t="s">
        <v>474</v>
      </c>
      <c r="P272" s="245"/>
      <c r="T272" s="245"/>
      <c r="X272" s="245"/>
      <c r="AB272" s="245"/>
      <c r="AC272" s="289"/>
      <c r="AD272" s="289"/>
      <c r="AE272" s="289"/>
      <c r="AF272" s="953"/>
      <c r="AG272" s="112"/>
      <c r="AH272" s="112"/>
      <c r="AI272" s="112"/>
      <c r="AJ272" s="214"/>
      <c r="AK272" s="112"/>
      <c r="AL272" s="112"/>
      <c r="AM272" s="112"/>
      <c r="AN272" s="214"/>
      <c r="AO272" s="112"/>
      <c r="AP272" s="112"/>
      <c r="AQ272" s="112"/>
      <c r="AR272" s="214"/>
      <c r="AS272" s="112"/>
      <c r="AT272" s="112"/>
      <c r="AU272" s="112"/>
      <c r="AV272" s="214"/>
      <c r="AW272" s="112"/>
      <c r="AX272" s="112"/>
      <c r="AY272" s="112"/>
      <c r="AZ272" s="214"/>
      <c r="BA272" s="104"/>
      <c r="BB272" s="104"/>
      <c r="BC272" s="104"/>
      <c r="BD272" s="212"/>
      <c r="BE272" s="852"/>
      <c r="BF272" s="1207"/>
      <c r="BG272" s="1207"/>
      <c r="BH272" s="1208"/>
      <c r="BI272" s="104"/>
      <c r="BJ272" s="104"/>
      <c r="BK272" s="104"/>
      <c r="BL272" s="104"/>
      <c r="BM272" s="851"/>
      <c r="BN272" s="104"/>
      <c r="BO272" s="104"/>
      <c r="BP272" s="104"/>
      <c r="BQ272" s="851"/>
      <c r="BR272" s="104"/>
      <c r="BS272" s="104"/>
      <c r="BT272" s="212"/>
      <c r="BU272" s="851"/>
      <c r="BV272" s="104"/>
      <c r="BW272" s="104"/>
      <c r="BX272" s="212"/>
      <c r="BY272" s="851"/>
      <c r="BZ272" s="104"/>
      <c r="CA272" s="104"/>
      <c r="CB272" s="212"/>
      <c r="CC272" s="851"/>
      <c r="CD272" s="104"/>
      <c r="CE272" s="104"/>
      <c r="CF272" s="212"/>
      <c r="CG272" s="245"/>
      <c r="CH272" s="178"/>
      <c r="CK272" s="821"/>
      <c r="CL272" s="821"/>
      <c r="CM272" s="112">
        <f t="shared" ref="CM272:CY272" si="469">+CM270*CM271*1000</f>
        <v>102631.44887652059</v>
      </c>
      <c r="CN272" s="112">
        <f t="shared" si="469"/>
        <v>114740.03731364374</v>
      </c>
      <c r="CO272" s="112">
        <f t="shared" si="469"/>
        <v>123824.19585300532</v>
      </c>
      <c r="CP272" s="112">
        <f t="shared" si="469"/>
        <v>104414.28306898629</v>
      </c>
      <c r="CQ272" s="112">
        <f t="shared" si="469"/>
        <v>100968.52998010963</v>
      </c>
      <c r="CR272" s="112">
        <f t="shared" si="469"/>
        <v>109847.83111232879</v>
      </c>
      <c r="CS272" s="112">
        <f t="shared" si="469"/>
        <v>102340.4039031694</v>
      </c>
      <c r="CT272" s="112">
        <f t="shared" si="469"/>
        <v>107438.12403630141</v>
      </c>
      <c r="CU272" s="112">
        <f t="shared" si="469"/>
        <v>110531.48598005486</v>
      </c>
      <c r="CV272" s="112">
        <f t="shared" si="469"/>
        <v>95348.26824967112</v>
      </c>
      <c r="CW272" s="112">
        <f t="shared" si="469"/>
        <v>97705.454911857945</v>
      </c>
      <c r="CX272" s="112">
        <f t="shared" si="469"/>
        <v>100636.61855921369</v>
      </c>
      <c r="CY272" s="112">
        <f t="shared" si="469"/>
        <v>103655.71711599009</v>
      </c>
      <c r="DF272" s="245"/>
    </row>
    <row r="273" spans="1:110" ht="12.75" customHeight="1">
      <c r="I273" s="160" t="s">
        <v>311</v>
      </c>
      <c r="P273" s="234"/>
      <c r="T273" s="234"/>
      <c r="X273" s="234"/>
      <c r="AB273" s="234"/>
      <c r="AF273" s="249"/>
      <c r="AG273" s="64"/>
      <c r="AH273" s="64"/>
      <c r="AI273" s="64"/>
      <c r="AJ273" s="180"/>
      <c r="AK273" s="64"/>
      <c r="AL273" s="64"/>
      <c r="AM273" s="64"/>
      <c r="AN273" s="180"/>
      <c r="AO273" s="64"/>
      <c r="AP273" s="64"/>
      <c r="AQ273" s="64"/>
      <c r="AR273" s="180"/>
      <c r="AS273" s="64"/>
      <c r="AT273" s="64"/>
      <c r="AU273" s="64"/>
      <c r="AV273" s="180"/>
      <c r="AW273" s="64"/>
      <c r="AX273" s="64"/>
      <c r="AY273" s="64"/>
      <c r="AZ273" s="180"/>
      <c r="BA273" s="33"/>
      <c r="BB273" s="33"/>
      <c r="BC273" s="33"/>
      <c r="BD273" s="162"/>
      <c r="BE273" s="33"/>
      <c r="BF273" s="33"/>
      <c r="BG273" s="33"/>
      <c r="BH273" s="162"/>
      <c r="BI273" s="33"/>
      <c r="BJ273" s="33"/>
      <c r="BK273" s="33"/>
      <c r="BL273" s="33"/>
      <c r="BM273" s="1595"/>
      <c r="BN273" s="33"/>
      <c r="BO273" s="33"/>
      <c r="BP273" s="33"/>
      <c r="BQ273" s="1595"/>
      <c r="BR273" s="33"/>
      <c r="BS273" s="33"/>
      <c r="BT273" s="162"/>
      <c r="BU273" s="1595"/>
      <c r="BV273" s="33"/>
      <c r="BW273" s="33"/>
      <c r="BX273" s="162"/>
      <c r="BY273" s="1595"/>
      <c r="BZ273" s="33"/>
      <c r="CA273" s="33"/>
      <c r="CB273" s="162"/>
      <c r="CC273" s="1595"/>
      <c r="CD273" s="33"/>
      <c r="CE273" s="33"/>
      <c r="CF273" s="162"/>
      <c r="CG273" s="234"/>
      <c r="CH273" s="160"/>
      <c r="CK273" s="64"/>
      <c r="CL273" s="64"/>
      <c r="CM273" s="64">
        <f>+CM254/CM272</f>
        <v>1.3124232530523588E-2</v>
      </c>
      <c r="CN273" s="64">
        <f>+CN254/CN272</f>
        <v>1.8534356880038436E-2</v>
      </c>
      <c r="CO273" s="64">
        <f>+CO254/CO272</f>
        <v>2.743528982035822E-2</v>
      </c>
      <c r="CP273" s="64">
        <f>+CP280/CP272</f>
        <v>0</v>
      </c>
      <c r="CQ273" s="64">
        <f t="shared" ref="CQ273:CY273" si="470">+CQ254/CQ272</f>
        <v>7.5264972204321212E-2</v>
      </c>
      <c r="CR273" s="64">
        <f t="shared" si="470"/>
        <v>0.11484062318163149</v>
      </c>
      <c r="CS273" s="64">
        <f>+CS254/CS272</f>
        <v>0.14843455618611737</v>
      </c>
      <c r="CT273" s="64">
        <f>+CT254/CT272</f>
        <v>0.18135146015938261</v>
      </c>
      <c r="CU273" s="64">
        <f t="shared" si="470"/>
        <v>0.21749863447659951</v>
      </c>
      <c r="CV273" s="64">
        <f t="shared" si="470"/>
        <v>0.26802576948464885</v>
      </c>
      <c r="CW273" s="64">
        <f t="shared" si="470"/>
        <v>0.30013744039097207</v>
      </c>
      <c r="CX273" s="64">
        <f t="shared" si="470"/>
        <v>0.33721723210307741</v>
      </c>
      <c r="CY273" s="64">
        <f t="shared" si="470"/>
        <v>0.3779358109141861</v>
      </c>
      <c r="DF273" s="234"/>
    </row>
    <row r="274" spans="1:110" ht="12.75" customHeight="1">
      <c r="B274" s="34"/>
      <c r="C274" s="34"/>
      <c r="D274" s="34"/>
      <c r="E274" s="34"/>
      <c r="I274" s="188" t="s">
        <v>384</v>
      </c>
      <c r="P274" s="234"/>
      <c r="T274" s="234"/>
      <c r="X274" s="234"/>
      <c r="AB274" s="234"/>
      <c r="AF274" s="249"/>
      <c r="AI274" s="822"/>
      <c r="AJ274" s="970"/>
      <c r="AK274" s="822"/>
      <c r="AL274" s="822"/>
      <c r="AM274" s="822"/>
      <c r="AN274" s="970"/>
      <c r="AO274" s="822"/>
      <c r="AP274" s="822"/>
      <c r="AQ274" s="823"/>
      <c r="AR274" s="976"/>
      <c r="AS274" s="823"/>
      <c r="AT274" s="823"/>
      <c r="AU274" s="823"/>
      <c r="AV274" s="976"/>
      <c r="AW274" s="161"/>
      <c r="AX274" s="161"/>
      <c r="AY274" s="161"/>
      <c r="AZ274" s="162"/>
      <c r="BA274" s="33"/>
      <c r="BB274" s="33"/>
      <c r="BC274" s="33"/>
      <c r="BD274" s="162"/>
      <c r="BE274" s="33"/>
      <c r="BF274" s="33"/>
      <c r="BG274" s="33"/>
      <c r="BH274" s="162"/>
      <c r="BI274" s="33"/>
      <c r="BJ274" s="33"/>
      <c r="BK274" s="33"/>
      <c r="BL274" s="33"/>
      <c r="BM274" s="1595"/>
      <c r="BN274" s="33"/>
      <c r="BO274" s="33"/>
      <c r="BP274" s="33"/>
      <c r="BQ274" s="1595"/>
      <c r="BR274" s="33"/>
      <c r="BS274" s="33"/>
      <c r="BT274" s="162"/>
      <c r="BU274" s="1595"/>
      <c r="BV274" s="33"/>
      <c r="BW274" s="33"/>
      <c r="BX274" s="162"/>
      <c r="BY274" s="1595"/>
      <c r="BZ274" s="33"/>
      <c r="CA274" s="33"/>
      <c r="CB274" s="162"/>
      <c r="CC274" s="1595"/>
      <c r="CD274" s="33"/>
      <c r="CE274" s="33"/>
      <c r="CF274" s="162"/>
      <c r="CG274" s="234"/>
      <c r="CH274" s="160"/>
      <c r="CM274" s="823"/>
      <c r="CN274" s="48">
        <f t="shared" ref="CN274:CY274" si="471">+(CN273-CM273)*10000</f>
        <v>54.101243495148481</v>
      </c>
      <c r="CO274" s="48">
        <f t="shared" si="471"/>
        <v>89.009329403197839</v>
      </c>
      <c r="CP274" s="48">
        <f t="shared" si="471"/>
        <v>-274.35289820358219</v>
      </c>
      <c r="CQ274" s="48">
        <f t="shared" si="471"/>
        <v>752.64972204321214</v>
      </c>
      <c r="CR274" s="48">
        <f t="shared" si="471"/>
        <v>395.75650977310278</v>
      </c>
      <c r="CS274" s="48">
        <f t="shared" si="471"/>
        <v>335.93933004485876</v>
      </c>
      <c r="CT274" s="48">
        <f>+(CT273-CS273)*10000</f>
        <v>329.16903973265244</v>
      </c>
      <c r="CU274" s="48">
        <f t="shared" si="471"/>
        <v>361.47174317216894</v>
      </c>
      <c r="CV274" s="48">
        <f t="shared" si="471"/>
        <v>505.27135008049339</v>
      </c>
      <c r="CW274" s="48">
        <f t="shared" si="471"/>
        <v>321.11670906323218</v>
      </c>
      <c r="CX274" s="48">
        <f t="shared" si="471"/>
        <v>370.7979171210535</v>
      </c>
      <c r="CY274" s="48">
        <f t="shared" si="471"/>
        <v>407.18578811108688</v>
      </c>
      <c r="DF274" s="234"/>
    </row>
    <row r="275" spans="1:110" s="59" customFormat="1" ht="12.75" customHeight="1">
      <c r="A275" s="24"/>
      <c r="B275" s="34"/>
      <c r="C275" s="34"/>
      <c r="D275" s="34"/>
      <c r="E275" s="34"/>
      <c r="F275" s="24"/>
      <c r="G275" s="24"/>
      <c r="H275" s="24"/>
      <c r="I275" s="898" t="s">
        <v>312</v>
      </c>
      <c r="J275" s="824"/>
      <c r="K275" s="824"/>
      <c r="P275" s="246"/>
      <c r="T275" s="246"/>
      <c r="X275" s="246"/>
      <c r="AB275" s="246"/>
      <c r="AC275" s="811"/>
      <c r="AD275" s="811"/>
      <c r="AE275" s="811"/>
      <c r="AF275" s="958"/>
      <c r="AG275" s="104"/>
      <c r="AH275" s="104"/>
      <c r="AI275" s="104"/>
      <c r="AJ275" s="212"/>
      <c r="AK275" s="104"/>
      <c r="AL275" s="104"/>
      <c r="AM275" s="104"/>
      <c r="AN275" s="212"/>
      <c r="AO275" s="104"/>
      <c r="AP275" s="104"/>
      <c r="AQ275" s="104"/>
      <c r="AR275" s="212"/>
      <c r="AS275" s="104"/>
      <c r="AT275" s="104"/>
      <c r="AU275" s="104"/>
      <c r="AV275" s="212"/>
      <c r="AW275" s="104"/>
      <c r="AX275" s="104"/>
      <c r="AY275" s="104"/>
      <c r="AZ275" s="212"/>
      <c r="BA275" s="104"/>
      <c r="BB275" s="104"/>
      <c r="BC275" s="104"/>
      <c r="BD275" s="212"/>
      <c r="BE275" s="33"/>
      <c r="BF275" s="33"/>
      <c r="BG275" s="853"/>
      <c r="BH275" s="162"/>
      <c r="BI275" s="104"/>
      <c r="BJ275" s="104"/>
      <c r="BK275" s="104"/>
      <c r="BL275" s="104"/>
      <c r="BM275" s="851"/>
      <c r="BN275" s="104"/>
      <c r="BO275" s="104"/>
      <c r="BP275" s="104"/>
      <c r="BQ275" s="851"/>
      <c r="BR275" s="104"/>
      <c r="BS275" s="104"/>
      <c r="BT275" s="212"/>
      <c r="BU275" s="851"/>
      <c r="BV275" s="104"/>
      <c r="BW275" s="104"/>
      <c r="BX275" s="212"/>
      <c r="BY275" s="851"/>
      <c r="BZ275" s="104"/>
      <c r="CA275" s="104"/>
      <c r="CB275" s="212"/>
      <c r="CC275" s="851"/>
      <c r="CD275" s="104"/>
      <c r="CE275" s="104"/>
      <c r="CF275" s="212"/>
      <c r="CG275" s="246"/>
      <c r="CH275" s="181"/>
      <c r="CK275" s="104"/>
      <c r="CL275" s="104"/>
      <c r="CM275" s="104"/>
      <c r="CN275" s="104"/>
      <c r="CO275" s="104"/>
      <c r="CQ275" s="59">
        <f t="shared" ref="CQ275:CY275" si="472">+CQ254-CP254</f>
        <v>2719.4592155258924</v>
      </c>
      <c r="CR275" s="59">
        <f t="shared" si="472"/>
        <v>5015.5997776263221</v>
      </c>
      <c r="CS275" s="208">
        <f t="shared" si="472"/>
        <v>2575.8590531844966</v>
      </c>
      <c r="CT275" s="208">
        <f t="shared" si="472"/>
        <v>4293.2082374931797</v>
      </c>
      <c r="CU275" s="208">
        <f t="shared" si="472"/>
        <v>4556.386596563214</v>
      </c>
      <c r="CV275" s="208">
        <f t="shared" si="472"/>
        <v>1515.3456993154759</v>
      </c>
      <c r="CW275" s="208">
        <f t="shared" si="472"/>
        <v>3769.2721828337635</v>
      </c>
      <c r="CX275" s="208">
        <f t="shared" si="472"/>
        <v>4611.3368092706551</v>
      </c>
      <c r="CY275" s="208">
        <f t="shared" si="472"/>
        <v>5238.8055453719644</v>
      </c>
      <c r="DF275" s="246"/>
    </row>
    <row r="276" spans="1:110" s="59" customFormat="1" ht="12.75" customHeight="1">
      <c r="A276" s="24"/>
      <c r="B276" s="34"/>
      <c r="C276" s="34"/>
      <c r="D276" s="34"/>
      <c r="E276" s="34"/>
      <c r="F276" s="24"/>
      <c r="G276" s="24"/>
      <c r="H276" s="34"/>
      <c r="I276" s="898"/>
      <c r="J276" s="824"/>
      <c r="K276" s="824"/>
      <c r="P276" s="246"/>
      <c r="T276" s="246"/>
      <c r="X276" s="246"/>
      <c r="AB276" s="246"/>
      <c r="AC276" s="811"/>
      <c r="AD276" s="811"/>
      <c r="AE276" s="811"/>
      <c r="AF276" s="958"/>
      <c r="AG276" s="104"/>
      <c r="AH276" s="104"/>
      <c r="AI276" s="104"/>
      <c r="AJ276" s="212"/>
      <c r="AK276" s="104"/>
      <c r="AL276" s="104"/>
      <c r="AM276" s="104"/>
      <c r="AN276" s="212"/>
      <c r="AO276" s="104"/>
      <c r="AP276" s="104"/>
      <c r="AQ276" s="104"/>
      <c r="AR276" s="212"/>
      <c r="AS276" s="104"/>
      <c r="AT276" s="104"/>
      <c r="AU276" s="104"/>
      <c r="AV276" s="212"/>
      <c r="AW276" s="104"/>
      <c r="AX276" s="104"/>
      <c r="AY276" s="104"/>
      <c r="AZ276" s="212"/>
      <c r="BA276" s="104"/>
      <c r="BB276" s="104"/>
      <c r="BC276" s="104"/>
      <c r="BD276" s="212"/>
      <c r="BE276" s="33"/>
      <c r="BF276" s="33"/>
      <c r="BG276" s="853"/>
      <c r="BH276" s="162"/>
      <c r="BI276" s="104"/>
      <c r="BJ276" s="104"/>
      <c r="BK276" s="104"/>
      <c r="BL276" s="104"/>
      <c r="BM276" s="851"/>
      <c r="BN276" s="104"/>
      <c r="BO276" s="104"/>
      <c r="BP276" s="104"/>
      <c r="BQ276" s="851"/>
      <c r="BR276" s="104"/>
      <c r="BS276" s="104"/>
      <c r="BT276" s="212"/>
      <c r="BU276" s="851"/>
      <c r="BV276" s="104"/>
      <c r="BW276" s="104"/>
      <c r="BX276" s="212"/>
      <c r="BY276" s="851"/>
      <c r="BZ276" s="104"/>
      <c r="CA276" s="104"/>
      <c r="CB276" s="212"/>
      <c r="CC276" s="851"/>
      <c r="CD276" s="104"/>
      <c r="CE276" s="104"/>
      <c r="CF276" s="212"/>
      <c r="CG276" s="246"/>
      <c r="CH276" s="181"/>
      <c r="CK276" s="104"/>
      <c r="CL276" s="104"/>
      <c r="CM276" s="104"/>
      <c r="CN276" s="104"/>
      <c r="CO276" s="104"/>
      <c r="CP276" s="104"/>
      <c r="CQ276" s="104"/>
      <c r="CR276" s="104"/>
      <c r="CS276" s="104"/>
      <c r="CT276" s="104"/>
      <c r="CU276" s="104"/>
      <c r="CV276" s="104"/>
      <c r="CW276" s="104"/>
      <c r="CX276" s="208"/>
      <c r="CY276" s="208"/>
      <c r="DF276" s="246"/>
    </row>
    <row r="277" spans="1:110" s="829" customFormat="1" ht="12.75" customHeight="1">
      <c r="A277" s="24"/>
      <c r="B277" s="34"/>
      <c r="C277" s="34"/>
      <c r="D277" s="34"/>
      <c r="E277" s="34"/>
      <c r="F277" s="34"/>
      <c r="G277" s="34"/>
      <c r="H277" s="34"/>
      <c r="I277" s="899" t="s">
        <v>313</v>
      </c>
      <c r="J277" s="825"/>
      <c r="K277" s="825"/>
      <c r="L277" s="826"/>
      <c r="M277" s="826"/>
      <c r="N277" s="826"/>
      <c r="O277" s="826"/>
      <c r="P277" s="949"/>
      <c r="Q277" s="826"/>
      <c r="R277" s="826"/>
      <c r="S277" s="826"/>
      <c r="T277" s="949"/>
      <c r="U277" s="826"/>
      <c r="V277" s="826"/>
      <c r="W277" s="826"/>
      <c r="X277" s="949"/>
      <c r="Y277" s="826"/>
      <c r="Z277" s="826"/>
      <c r="AA277" s="826"/>
      <c r="AB277" s="949"/>
      <c r="AC277" s="827"/>
      <c r="AD277" s="827"/>
      <c r="AE277" s="827"/>
      <c r="AF277" s="962"/>
      <c r="AG277" s="828"/>
      <c r="AH277" s="828"/>
      <c r="AI277" s="828"/>
      <c r="AJ277" s="901"/>
      <c r="AK277" s="828"/>
      <c r="AL277" s="828"/>
      <c r="AM277" s="828"/>
      <c r="AN277" s="901"/>
      <c r="AO277" s="828"/>
      <c r="AP277" s="828"/>
      <c r="AQ277" s="828"/>
      <c r="AR277" s="901"/>
      <c r="AS277" s="828"/>
      <c r="AT277" s="828"/>
      <c r="AU277" s="828"/>
      <c r="AV277" s="901"/>
      <c r="AW277" s="828"/>
      <c r="AX277" s="828"/>
      <c r="AY277" s="828"/>
      <c r="AZ277" s="901"/>
      <c r="BA277" s="828"/>
      <c r="BB277" s="828"/>
      <c r="BC277" s="828"/>
      <c r="BD277" s="901"/>
      <c r="BE277" s="795"/>
      <c r="BF277" s="795"/>
      <c r="BG277" s="900"/>
      <c r="BH277" s="850"/>
      <c r="BI277" s="828"/>
      <c r="BJ277" s="828"/>
      <c r="BK277" s="828"/>
      <c r="BL277" s="828"/>
      <c r="BM277" s="1625"/>
      <c r="BN277" s="828"/>
      <c r="BO277" s="828"/>
      <c r="BP277" s="828"/>
      <c r="BQ277" s="1625"/>
      <c r="BR277" s="828"/>
      <c r="BS277" s="828"/>
      <c r="BT277" s="901"/>
      <c r="BU277" s="1625"/>
      <c r="BV277" s="828"/>
      <c r="BW277" s="828"/>
      <c r="BX277" s="901"/>
      <c r="BY277" s="1625"/>
      <c r="BZ277" s="828"/>
      <c r="CA277" s="828"/>
      <c r="CB277" s="901"/>
      <c r="CC277" s="1625"/>
      <c r="CD277" s="828"/>
      <c r="CE277" s="828"/>
      <c r="CF277" s="901"/>
      <c r="CG277" s="1659"/>
      <c r="CH277" s="932"/>
      <c r="CI277" s="826"/>
      <c r="CJ277" s="826"/>
      <c r="CK277" s="828"/>
      <c r="CL277" s="828"/>
      <c r="CM277" s="828"/>
      <c r="CN277" s="828"/>
      <c r="CO277" s="828"/>
      <c r="CP277" s="826"/>
      <c r="CQ277" s="826"/>
      <c r="CR277" s="826"/>
      <c r="CS277" s="933"/>
      <c r="CT277" s="933"/>
      <c r="CU277" s="933"/>
      <c r="CV277" s="933"/>
      <c r="CW277" s="933"/>
      <c r="CX277" s="261"/>
      <c r="CY277" s="261"/>
      <c r="CZ277" s="261"/>
      <c r="DA277" s="261"/>
      <c r="DB277" s="261"/>
      <c r="DC277" s="261"/>
      <c r="DD277" s="261"/>
      <c r="DE277" s="261"/>
      <c r="DF277" s="262"/>
    </row>
    <row r="278" spans="1:110" ht="12.75" customHeight="1">
      <c r="B278" s="34"/>
      <c r="C278" s="34"/>
      <c r="D278" s="34"/>
      <c r="E278" s="34"/>
      <c r="F278" s="34"/>
      <c r="G278" s="34"/>
      <c r="H278" s="34"/>
      <c r="I278" s="160" t="s">
        <v>314</v>
      </c>
      <c r="P278" s="234"/>
      <c r="T278" s="234"/>
      <c r="X278" s="234"/>
      <c r="AB278" s="234"/>
      <c r="AF278" s="249"/>
      <c r="AJ278" s="179"/>
      <c r="AN278" s="179"/>
      <c r="AR278" s="162"/>
      <c r="AS278" s="33"/>
      <c r="AT278" s="33"/>
      <c r="AU278" s="33"/>
      <c r="AV278" s="162"/>
      <c r="AW278" s="161"/>
      <c r="AX278" s="161"/>
      <c r="AY278" s="161"/>
      <c r="AZ278" s="162"/>
      <c r="BA278" s="33"/>
      <c r="BB278" s="33"/>
      <c r="BC278" s="33"/>
      <c r="BD278" s="162"/>
      <c r="BE278" s="33"/>
      <c r="BF278" s="33"/>
      <c r="BG278" s="33"/>
      <c r="BH278" s="162"/>
      <c r="BI278" s="118"/>
      <c r="BJ278" s="33"/>
      <c r="BK278" s="33"/>
      <c r="BL278" s="33"/>
      <c r="BM278" s="1595"/>
      <c r="BN278" s="33"/>
      <c r="BO278" s="33"/>
      <c r="BP278" s="33"/>
      <c r="BQ278" s="1595"/>
      <c r="BR278" s="33"/>
      <c r="BS278" s="33"/>
      <c r="BT278" s="162"/>
      <c r="BU278" s="1595"/>
      <c r="BV278" s="33"/>
      <c r="BW278" s="33"/>
      <c r="BX278" s="162"/>
      <c r="BY278" s="1595"/>
      <c r="BZ278" s="33"/>
      <c r="CA278" s="33"/>
      <c r="CB278" s="162"/>
      <c r="CC278" s="1595"/>
      <c r="CD278" s="33"/>
      <c r="CE278" s="33"/>
      <c r="CF278" s="162"/>
      <c r="CG278" s="234"/>
      <c r="CH278" s="934"/>
      <c r="CI278" s="800"/>
      <c r="CJ278" s="800">
        <f>+CK278/2</f>
        <v>80</v>
      </c>
      <c r="CK278" s="800">
        <v>160</v>
      </c>
      <c r="CL278" s="800">
        <v>303.97000000000003</v>
      </c>
      <c r="CM278" s="111">
        <v>617.25800000000004</v>
      </c>
      <c r="CN278" s="33"/>
      <c r="CO278" s="33"/>
      <c r="CP278" s="161"/>
      <c r="CQ278" s="33"/>
      <c r="CR278" s="33"/>
      <c r="CS278" s="33"/>
      <c r="CT278" s="33"/>
      <c r="CU278" s="33"/>
      <c r="CV278" s="33"/>
      <c r="CW278" s="33"/>
      <c r="CX278" s="33"/>
      <c r="CY278" s="33"/>
      <c r="DF278" s="234"/>
    </row>
    <row r="279" spans="1:110" ht="12.75" customHeight="1">
      <c r="B279" s="34"/>
      <c r="C279" s="34"/>
      <c r="D279" s="34"/>
      <c r="E279" s="34"/>
      <c r="F279" s="34"/>
      <c r="G279" s="34"/>
      <c r="H279" s="34"/>
      <c r="I279" s="160" t="s">
        <v>315</v>
      </c>
      <c r="P279" s="234"/>
      <c r="T279" s="234"/>
      <c r="X279" s="234"/>
      <c r="AB279" s="234"/>
      <c r="AF279" s="249"/>
      <c r="AJ279" s="179"/>
      <c r="AN279" s="179"/>
      <c r="AR279" s="162"/>
      <c r="AS279" s="33"/>
      <c r="AT279" s="33"/>
      <c r="AU279" s="33"/>
      <c r="AV279" s="162"/>
      <c r="AW279" s="161"/>
      <c r="AX279" s="161"/>
      <c r="AY279" s="161"/>
      <c r="AZ279" s="162"/>
      <c r="BA279" s="33"/>
      <c r="BB279" s="33"/>
      <c r="BC279" s="33"/>
      <c r="BD279" s="162"/>
      <c r="BE279" s="33"/>
      <c r="BF279" s="33"/>
      <c r="BG279" s="33"/>
      <c r="BH279" s="162"/>
      <c r="BI279" s="33"/>
      <c r="BJ279" s="33"/>
      <c r="BK279" s="33"/>
      <c r="BL279" s="33"/>
      <c r="BM279" s="1595"/>
      <c r="BN279" s="33"/>
      <c r="BO279" s="33"/>
      <c r="BP279" s="33"/>
      <c r="BQ279" s="1595"/>
      <c r="BR279" s="33"/>
      <c r="BS279" s="33"/>
      <c r="BT279" s="162"/>
      <c r="BU279" s="1595"/>
      <c r="BV279" s="33"/>
      <c r="BW279" s="33"/>
      <c r="BX279" s="162"/>
      <c r="BY279" s="1595"/>
      <c r="BZ279" s="33"/>
      <c r="CA279" s="33"/>
      <c r="CB279" s="162"/>
      <c r="CC279" s="1595"/>
      <c r="CD279" s="33"/>
      <c r="CE279" s="33"/>
      <c r="CF279" s="162"/>
      <c r="CG279" s="234"/>
      <c r="CH279" s="160"/>
      <c r="CK279" s="865">
        <f>+CL279/1.1</f>
        <v>293.63636363636363</v>
      </c>
      <c r="CL279" s="865">
        <v>323</v>
      </c>
      <c r="CM279" s="884">
        <v>729.70100000000002</v>
      </c>
      <c r="CN279" s="33"/>
      <c r="CO279" s="33"/>
      <c r="CP279" s="161"/>
      <c r="CQ279" s="33"/>
      <c r="CR279" s="33"/>
      <c r="CS279" s="118"/>
      <c r="CT279" s="33"/>
      <c r="CU279" s="33"/>
      <c r="CV279" s="33"/>
      <c r="CW279" s="33"/>
      <c r="CX279" s="33"/>
      <c r="CY279" s="33"/>
      <c r="DF279" s="234"/>
    </row>
    <row r="280" spans="1:110" ht="12.75" customHeight="1">
      <c r="B280" s="13"/>
      <c r="C280" s="13"/>
      <c r="D280" s="13"/>
      <c r="E280" s="13"/>
      <c r="I280" s="178" t="s">
        <v>316</v>
      </c>
      <c r="J280" s="8"/>
      <c r="K280" s="8"/>
      <c r="P280" s="234"/>
      <c r="T280" s="234"/>
      <c r="X280" s="234"/>
      <c r="AB280" s="234"/>
      <c r="AF280" s="249"/>
      <c r="AJ280" s="179"/>
      <c r="AN280" s="179"/>
      <c r="AR280" s="162"/>
      <c r="AS280" s="33"/>
      <c r="AT280" s="33"/>
      <c r="AU280" s="33"/>
      <c r="AV280" s="162"/>
      <c r="AW280" s="161"/>
      <c r="AX280" s="161"/>
      <c r="AY280" s="161"/>
      <c r="AZ280" s="162"/>
      <c r="BA280" s="33"/>
      <c r="BB280" s="33"/>
      <c r="BC280" s="33"/>
      <c r="BD280" s="162"/>
      <c r="BE280" s="33"/>
      <c r="BF280" s="33"/>
      <c r="BG280" s="33"/>
      <c r="BH280" s="162"/>
      <c r="BI280" s="33"/>
      <c r="BJ280" s="33"/>
      <c r="BK280" s="33"/>
      <c r="BL280" s="33"/>
      <c r="BM280" s="1595"/>
      <c r="BN280" s="33"/>
      <c r="BO280" s="33"/>
      <c r="BP280" s="33"/>
      <c r="BQ280" s="1595"/>
      <c r="BR280" s="33"/>
      <c r="BS280" s="33"/>
      <c r="BT280" s="162"/>
      <c r="BU280" s="1595"/>
      <c r="BV280" s="33"/>
      <c r="BW280" s="33"/>
      <c r="BX280" s="162"/>
      <c r="BY280" s="1595"/>
      <c r="BZ280" s="33"/>
      <c r="CA280" s="33"/>
      <c r="CB280" s="162"/>
      <c r="CC280" s="1595"/>
      <c r="CD280" s="33"/>
      <c r="CE280" s="33"/>
      <c r="CF280" s="162"/>
      <c r="CG280" s="234"/>
      <c r="CH280" s="160"/>
      <c r="CM280" s="24"/>
      <c r="CN280" s="24"/>
      <c r="CO280" s="24"/>
      <c r="CP280" s="112"/>
      <c r="CQ280" s="112"/>
      <c r="CR280" s="112"/>
      <c r="CS280" s="853"/>
      <c r="CT280" s="853"/>
      <c r="CU280" s="853"/>
      <c r="CV280" s="853"/>
      <c r="CW280" s="853"/>
      <c r="CX280" s="853"/>
      <c r="CY280" s="853"/>
      <c r="DF280" s="234"/>
    </row>
    <row r="281" spans="1:110" s="88" customFormat="1" ht="12.75" customHeight="1">
      <c r="A281" s="24"/>
      <c r="B281" s="24"/>
      <c r="C281" s="24"/>
      <c r="D281" s="24"/>
      <c r="E281" s="24"/>
      <c r="F281" s="24"/>
      <c r="G281" s="24"/>
      <c r="H281" s="24"/>
      <c r="I281" s="197" t="s">
        <v>317</v>
      </c>
      <c r="J281" s="87"/>
      <c r="K281" s="87"/>
      <c r="L281" s="84"/>
      <c r="M281" s="84"/>
      <c r="N281" s="84"/>
      <c r="O281" s="84"/>
      <c r="P281" s="248"/>
      <c r="Q281" s="84"/>
      <c r="R281" s="84"/>
      <c r="S281" s="84"/>
      <c r="T281" s="248"/>
      <c r="U281" s="84"/>
      <c r="V281" s="84"/>
      <c r="W281" s="84"/>
      <c r="X281" s="248"/>
      <c r="Y281" s="84"/>
      <c r="Z281" s="84"/>
      <c r="AA281" s="84"/>
      <c r="AB281" s="248"/>
      <c r="AC281" s="793"/>
      <c r="AD281" s="793"/>
      <c r="AE281" s="793"/>
      <c r="AF281" s="954"/>
      <c r="AG281" s="902"/>
      <c r="AH281" s="902"/>
      <c r="AI281" s="902"/>
      <c r="AJ281" s="971"/>
      <c r="AK281" s="902"/>
      <c r="AL281" s="902"/>
      <c r="AM281" s="902"/>
      <c r="AN281" s="971"/>
      <c r="AO281" s="902"/>
      <c r="AP281" s="902"/>
      <c r="AQ281" s="902"/>
      <c r="AR281" s="971"/>
      <c r="AS281" s="902"/>
      <c r="AT281" s="902"/>
      <c r="AU281" s="902"/>
      <c r="AV281" s="971"/>
      <c r="AW281" s="902"/>
      <c r="AX281" s="902"/>
      <c r="AY281" s="902"/>
      <c r="AZ281" s="971"/>
      <c r="BA281" s="795"/>
      <c r="BB281" s="795"/>
      <c r="BC281" s="795"/>
      <c r="BD281" s="850"/>
      <c r="BE281" s="795"/>
      <c r="BF281" s="795"/>
      <c r="BG281" s="795"/>
      <c r="BH281" s="850"/>
      <c r="BI281" s="795"/>
      <c r="BJ281" s="795"/>
      <c r="BK281" s="795"/>
      <c r="BL281" s="795"/>
      <c r="BM281" s="1593"/>
      <c r="BN281" s="795"/>
      <c r="BO281" s="795"/>
      <c r="BP281" s="795"/>
      <c r="BQ281" s="1593"/>
      <c r="BR281" s="795"/>
      <c r="BS281" s="795"/>
      <c r="BT281" s="850"/>
      <c r="BU281" s="1593"/>
      <c r="BV281" s="795"/>
      <c r="BW281" s="795"/>
      <c r="BX281" s="850"/>
      <c r="BY281" s="1593"/>
      <c r="BZ281" s="795"/>
      <c r="CA281" s="795"/>
      <c r="CB281" s="850"/>
      <c r="CC281" s="1593"/>
      <c r="CD281" s="795"/>
      <c r="CE281" s="795"/>
      <c r="CF281" s="850"/>
      <c r="CG281" s="1658"/>
      <c r="CH281" s="260"/>
      <c r="CI281" s="84"/>
      <c r="CJ281" s="84"/>
      <c r="CK281" s="902"/>
      <c r="CL281" s="830"/>
      <c r="CM281" s="935" t="s">
        <v>111</v>
      </c>
      <c r="CN281" s="935" t="s">
        <v>112</v>
      </c>
      <c r="CO281" s="935" t="s">
        <v>113</v>
      </c>
      <c r="CP281" s="935" t="s">
        <v>114</v>
      </c>
      <c r="CQ281" s="935">
        <v>2010</v>
      </c>
      <c r="CR281" s="935">
        <v>2011</v>
      </c>
      <c r="CS281" s="936">
        <v>2012</v>
      </c>
      <c r="CT281" s="936">
        <v>2013</v>
      </c>
      <c r="CU281" s="936">
        <v>2014</v>
      </c>
      <c r="CV281" s="936">
        <v>2015</v>
      </c>
      <c r="CW281" s="936" t="s">
        <v>19</v>
      </c>
      <c r="CX281" s="936" t="s">
        <v>20</v>
      </c>
      <c r="CY281" s="936" t="s">
        <v>21</v>
      </c>
      <c r="CZ281" s="936" t="str">
        <f>+CZ293</f>
        <v>2019E</v>
      </c>
      <c r="DA281" s="936" t="str">
        <f>+DA293</f>
        <v>2020E</v>
      </c>
      <c r="DB281" s="936"/>
      <c r="DC281" s="936"/>
      <c r="DD281" s="936"/>
      <c r="DE281" s="936"/>
      <c r="DF281" s="937"/>
    </row>
    <row r="282" spans="1:110" ht="12.75" customHeight="1">
      <c r="I282" s="160"/>
      <c r="P282" s="234"/>
      <c r="T282" s="234"/>
      <c r="X282" s="234"/>
      <c r="AB282" s="234"/>
      <c r="AF282" s="249"/>
      <c r="AJ282" s="179"/>
      <c r="AN282" s="179"/>
      <c r="AR282" s="162"/>
      <c r="AS282" s="33"/>
      <c r="AT282" s="33"/>
      <c r="AU282" s="33"/>
      <c r="AV282" s="162"/>
      <c r="AW282" s="161"/>
      <c r="AX282" s="161"/>
      <c r="AY282" s="161"/>
      <c r="AZ282" s="162"/>
      <c r="BA282" s="118"/>
      <c r="BB282" s="118"/>
      <c r="BC282" s="118"/>
      <c r="BD282" s="230"/>
      <c r="BE282" s="33"/>
      <c r="BF282" s="33"/>
      <c r="BG282" s="33"/>
      <c r="BH282" s="162"/>
      <c r="BI282" s="33"/>
      <c r="BJ282" s="33"/>
      <c r="BK282" s="33"/>
      <c r="BL282" s="33"/>
      <c r="BM282" s="1629"/>
      <c r="BN282" s="831"/>
      <c r="BO282" s="831"/>
      <c r="BP282" s="831"/>
      <c r="BQ282" s="1629"/>
      <c r="BR282" s="831"/>
      <c r="BS282" s="831"/>
      <c r="BT282" s="907"/>
      <c r="BU282" s="1595"/>
      <c r="BV282" s="33"/>
      <c r="BW282" s="33"/>
      <c r="BX282" s="162"/>
      <c r="BY282" s="1595"/>
      <c r="BZ282" s="33"/>
      <c r="CA282" s="33"/>
      <c r="CB282" s="162"/>
      <c r="CC282" s="1595"/>
      <c r="CD282" s="33"/>
      <c r="CE282" s="33"/>
      <c r="CF282" s="162"/>
      <c r="CG282" s="234"/>
      <c r="CH282" s="160"/>
      <c r="CM282" s="33"/>
      <c r="CN282" s="33"/>
      <c r="CO282" s="33"/>
      <c r="CP282" s="33"/>
      <c r="CQ282" s="853"/>
      <c r="CR282" s="853"/>
      <c r="CS282" s="853"/>
      <c r="CT282" s="853"/>
      <c r="CU282" s="853"/>
      <c r="CV282" s="853"/>
      <c r="CW282" s="853"/>
      <c r="CX282" s="853"/>
      <c r="CY282" s="853"/>
      <c r="CZ282" s="853"/>
      <c r="DA282" s="853"/>
      <c r="DF282" s="234"/>
    </row>
    <row r="283" spans="1:110" ht="12.75" customHeight="1">
      <c r="I283" s="185" t="s">
        <v>318</v>
      </c>
      <c r="J283" s="70"/>
      <c r="K283" s="70"/>
      <c r="P283" s="234"/>
      <c r="T283" s="234"/>
      <c r="X283" s="234"/>
      <c r="AB283" s="234"/>
      <c r="AF283" s="249"/>
      <c r="AJ283" s="179"/>
      <c r="AN283" s="179"/>
      <c r="AR283" s="162"/>
      <c r="AS283" s="33"/>
      <c r="AT283" s="33"/>
      <c r="AU283" s="33"/>
      <c r="AV283" s="162"/>
      <c r="AW283" s="161"/>
      <c r="AX283" s="161"/>
      <c r="AY283" s="161"/>
      <c r="AZ283" s="162"/>
      <c r="BA283" s="1207">
        <f>+BE283/(1+BE294)</f>
        <v>18.687857142857141</v>
      </c>
      <c r="BB283" s="1207">
        <f>+BF283/(1+BF294)</f>
        <v>22.818181818181817</v>
      </c>
      <c r="BC283" s="1207">
        <f>+BB283/(BB102/1000)*BC102/1000</f>
        <v>25.662553512969026</v>
      </c>
      <c r="BD283" s="162">
        <f>+CR283-BC283-BB283-BA283</f>
        <v>26.231400810986756</v>
      </c>
      <c r="BE283" s="219">
        <f>+BE102*0.57/1000</f>
        <v>26.162999999999997</v>
      </c>
      <c r="BF283" s="1207">
        <f>+BF102*0.6/1000</f>
        <v>30.12</v>
      </c>
      <c r="BG283" s="1207">
        <f>+BC283*(1+BG294)</f>
        <v>33.874570637119113</v>
      </c>
      <c r="BH283" s="1208">
        <f>+CS283-BG283-BF283-BE283</f>
        <v>29.394420767674163</v>
      </c>
      <c r="BI283" s="1207">
        <f>+BE283*(1+BI294)</f>
        <v>32.703749999999999</v>
      </c>
      <c r="BJ283" s="1207">
        <f>+BF283*(1+BJ294)</f>
        <v>36.143999999999998</v>
      </c>
      <c r="BK283" s="1207">
        <f>+BG283*(1+BK294)</f>
        <v>44.036941828254847</v>
      </c>
      <c r="BL283" s="1207">
        <f>+CT283-BK283-BJ283-BI283</f>
        <v>37.750817341784668</v>
      </c>
      <c r="BM283" s="173"/>
      <c r="BN283" s="38"/>
      <c r="BO283" s="38"/>
      <c r="BP283" s="38"/>
      <c r="BQ283" s="173"/>
      <c r="BR283" s="38"/>
      <c r="BS283" s="38"/>
      <c r="BT283" s="216"/>
      <c r="BU283" s="173"/>
      <c r="BV283" s="33"/>
      <c r="BW283" s="33"/>
      <c r="BX283" s="162"/>
      <c r="BY283" s="173"/>
      <c r="BZ283" s="33"/>
      <c r="CA283" s="33"/>
      <c r="CB283" s="162"/>
      <c r="CC283" s="173"/>
      <c r="CD283" s="33"/>
      <c r="CE283" s="33"/>
      <c r="CF283" s="162"/>
      <c r="CG283" s="234"/>
      <c r="CH283" s="160"/>
      <c r="CM283" s="33">
        <v>10.9</v>
      </c>
      <c r="CN283" s="33">
        <f>+CN254/CN147</f>
        <v>15.341402837098348</v>
      </c>
      <c r="CO283" s="33">
        <f>+CO254/CO147</f>
        <v>23.038262964018703</v>
      </c>
      <c r="CP283" s="33">
        <f>+CP245/$CP147</f>
        <v>37.978513526497373</v>
      </c>
      <c r="CQ283" s="33">
        <f>+CQ245/$CQ147</f>
        <v>59.951057915969201</v>
      </c>
      <c r="CR283" s="1207">
        <f>+CR245/CR$147</f>
        <v>93.399993284994736</v>
      </c>
      <c r="CS283" s="1207">
        <f t="shared" ref="CS283:DA283" si="473">+CR283*(1+CS294)</f>
        <v>119.55199140479327</v>
      </c>
      <c r="CT283" s="33">
        <f t="shared" si="473"/>
        <v>150.63550917003951</v>
      </c>
      <c r="CU283" s="33">
        <f t="shared" si="473"/>
        <v>183.77532118744821</v>
      </c>
      <c r="CV283" s="33">
        <f t="shared" si="473"/>
        <v>220.53038542493786</v>
      </c>
      <c r="CW283" s="33">
        <f t="shared" si="473"/>
        <v>262.43115865567603</v>
      </c>
      <c r="CX283" s="33">
        <f t="shared" si="473"/>
        <v>304.42014404058415</v>
      </c>
      <c r="CY283" s="33">
        <f t="shared" si="473"/>
        <v>342.47266204565716</v>
      </c>
      <c r="CZ283" s="33">
        <f t="shared" si="473"/>
        <v>376.71992825022289</v>
      </c>
      <c r="DA283" s="33">
        <f t="shared" si="473"/>
        <v>406.85752251024076</v>
      </c>
      <c r="DF283" s="234"/>
    </row>
    <row r="284" spans="1:110" ht="12.75" customHeight="1">
      <c r="I284" s="191" t="s">
        <v>305</v>
      </c>
      <c r="J284" s="70"/>
      <c r="K284" s="70"/>
      <c r="P284" s="234"/>
      <c r="T284" s="234"/>
      <c r="X284" s="234"/>
      <c r="AB284" s="234"/>
      <c r="AF284" s="249"/>
      <c r="AJ284" s="179"/>
      <c r="AN284" s="179"/>
      <c r="AR284" s="162"/>
      <c r="AS284" s="33"/>
      <c r="AT284" s="33"/>
      <c r="AU284" s="33"/>
      <c r="AV284" s="162"/>
      <c r="AW284" s="161"/>
      <c r="AX284" s="161"/>
      <c r="AY284" s="161"/>
      <c r="AZ284" s="162"/>
      <c r="BA284" s="33"/>
      <c r="BB284" s="33"/>
      <c r="BC284" s="33"/>
      <c r="BD284" s="162"/>
      <c r="BE284" s="118"/>
      <c r="BF284" s="118"/>
      <c r="BG284" s="118"/>
      <c r="BH284" s="216"/>
      <c r="BI284" s="38"/>
      <c r="BJ284" s="38"/>
      <c r="BK284" s="38"/>
      <c r="BL284" s="38"/>
      <c r="BM284" s="1648">
        <f>1-SUM(BM285:BM288)</f>
        <v>0.5988958652737284</v>
      </c>
      <c r="BN284" s="903"/>
      <c r="BO284" s="903"/>
      <c r="BP284" s="1588"/>
      <c r="BQ284" s="173"/>
      <c r="BR284" s="38"/>
      <c r="BS284" s="38"/>
      <c r="BT284" s="904"/>
      <c r="BU284" s="173"/>
      <c r="BV284" s="38"/>
      <c r="BW284" s="38"/>
      <c r="BX284" s="904"/>
      <c r="BY284" s="173"/>
      <c r="BZ284" s="38"/>
      <c r="CA284" s="38"/>
      <c r="CB284" s="904"/>
      <c r="CC284" s="173"/>
      <c r="CD284" s="38"/>
      <c r="CE284" s="38"/>
      <c r="CF284" s="904"/>
      <c r="CG284" s="234"/>
      <c r="CH284" s="160"/>
      <c r="CM284" s="30"/>
      <c r="CN284" s="33"/>
      <c r="CO284" s="33"/>
      <c r="CP284" s="161"/>
      <c r="CQ284" s="1207"/>
      <c r="CR284" s="1207"/>
      <c r="CS284" s="1207"/>
      <c r="CT284" s="1207"/>
      <c r="CU284" s="1207"/>
      <c r="CV284" s="1207"/>
      <c r="CW284" s="1207"/>
      <c r="CX284" s="1207"/>
      <c r="CY284" s="38"/>
      <c r="DF284" s="234"/>
    </row>
    <row r="285" spans="1:110" ht="12.75" customHeight="1">
      <c r="I285" s="722" t="s">
        <v>298</v>
      </c>
      <c r="J285" s="710"/>
      <c r="K285" s="710"/>
      <c r="P285" s="234"/>
      <c r="T285" s="234"/>
      <c r="X285" s="234"/>
      <c r="AB285" s="234"/>
      <c r="AF285" s="249"/>
      <c r="AJ285" s="179"/>
      <c r="AN285" s="179"/>
      <c r="AR285" s="162"/>
      <c r="AS285" s="33"/>
      <c r="AT285" s="33"/>
      <c r="AU285" s="33"/>
      <c r="AV285" s="162"/>
      <c r="AW285" s="161"/>
      <c r="AX285" s="161"/>
      <c r="AY285" s="161"/>
      <c r="AZ285" s="162"/>
      <c r="BA285" s="33">
        <f t="shared" ref="BA285:BG286" si="474">+BA214/BA$147</f>
        <v>2.3582217665531502</v>
      </c>
      <c r="BB285" s="33">
        <f t="shared" si="474"/>
        <v>2.5137696550470485</v>
      </c>
      <c r="BC285" s="33">
        <f t="shared" si="474"/>
        <v>2.8838673722876269</v>
      </c>
      <c r="BD285" s="162">
        <f t="shared" si="474"/>
        <v>3.0286364077812822</v>
      </c>
      <c r="BE285" s="33">
        <f t="shared" si="474"/>
        <v>4.0842397468924796</v>
      </c>
      <c r="BF285" s="33">
        <f t="shared" si="474"/>
        <v>4.8674953658640758</v>
      </c>
      <c r="BG285" s="33">
        <f t="shared" si="474"/>
        <v>5.496480801736273</v>
      </c>
      <c r="BH285" s="1208">
        <f>+CS285-BG285-BF285-BE285</f>
        <v>6.2903291400330863</v>
      </c>
      <c r="BI285" s="1207">
        <f t="shared" ref="BI285:BK287" si="475">+BE285*(1+BI296)</f>
        <v>6.9432075697172149</v>
      </c>
      <c r="BJ285" s="1207">
        <f t="shared" si="475"/>
        <v>8.274742121968929</v>
      </c>
      <c r="BK285" s="1207">
        <f t="shared" si="475"/>
        <v>9.3440173629516643</v>
      </c>
      <c r="BL285" s="1207">
        <f>+CT285-BK285-BJ285-BI285</f>
        <v>4.5507180581812001</v>
      </c>
      <c r="BM285" s="1650">
        <f>+CT285/CT291</f>
        <v>0.11687734275232201</v>
      </c>
      <c r="BN285" s="903"/>
      <c r="BO285" s="903"/>
      <c r="BP285" s="1588"/>
      <c r="BQ285" s="173"/>
      <c r="BR285" s="62"/>
      <c r="BS285" s="62"/>
      <c r="BT285" s="904"/>
      <c r="BU285" s="173"/>
      <c r="BV285" s="62"/>
      <c r="BW285" s="62"/>
      <c r="BX285" s="904"/>
      <c r="BY285" s="173"/>
      <c r="BZ285" s="62"/>
      <c r="CA285" s="62"/>
      <c r="CB285" s="904"/>
      <c r="CC285" s="173"/>
      <c r="CD285" s="62"/>
      <c r="CE285" s="62"/>
      <c r="CF285" s="904"/>
      <c r="CG285" s="234"/>
      <c r="CH285" s="160"/>
      <c r="CM285" s="64"/>
      <c r="CN285" s="33"/>
      <c r="CO285" s="33"/>
      <c r="CP285" s="33">
        <f t="shared" ref="CP285:DA285" si="476">+CP214/CP$147</f>
        <v>2.1397444475737286</v>
      </c>
      <c r="CQ285" s="33">
        <f t="shared" si="476"/>
        <v>5.7761237043901437</v>
      </c>
      <c r="CR285" s="33">
        <f t="shared" si="476"/>
        <v>11.700089584467738</v>
      </c>
      <c r="CS285" s="33">
        <f t="shared" si="476"/>
        <v>20.738545054525915</v>
      </c>
      <c r="CT285" s="33">
        <f>+CT214/CT$147</f>
        <v>29.112685112819008</v>
      </c>
      <c r="CU285" s="33">
        <f>+CU214/CU$147</f>
        <v>37.421602032485794</v>
      </c>
      <c r="CV285" s="33">
        <f>+CV214/CV$147</f>
        <v>46.316195981548361</v>
      </c>
      <c r="CW285" s="33">
        <f t="shared" si="476"/>
        <v>61.062729327466116</v>
      </c>
      <c r="CX285" s="33">
        <f t="shared" si="476"/>
        <v>76.509859559326543</v>
      </c>
      <c r="CY285" s="33">
        <f t="shared" si="476"/>
        <v>85.747656049540993</v>
      </c>
      <c r="CZ285" s="33">
        <f t="shared" si="476"/>
        <v>96.661782427132508</v>
      </c>
      <c r="DA285" s="33">
        <f t="shared" si="476"/>
        <v>107.13750309767299</v>
      </c>
      <c r="DF285" s="234"/>
    </row>
    <row r="286" spans="1:110" ht="12.75" customHeight="1">
      <c r="I286" s="722" t="s">
        <v>299</v>
      </c>
      <c r="J286" s="710"/>
      <c r="K286" s="710"/>
      <c r="P286" s="234"/>
      <c r="T286" s="234"/>
      <c r="X286" s="234"/>
      <c r="AB286" s="234"/>
      <c r="AF286" s="249"/>
      <c r="AJ286" s="179"/>
      <c r="AN286" s="179"/>
      <c r="AR286" s="162"/>
      <c r="AS286" s="33"/>
      <c r="AT286" s="33"/>
      <c r="AU286" s="33"/>
      <c r="AV286" s="162"/>
      <c r="AW286" s="161"/>
      <c r="AX286" s="161"/>
      <c r="AY286" s="161"/>
      <c r="AZ286" s="162"/>
      <c r="BA286" s="33">
        <f t="shared" si="474"/>
        <v>0.76693263435369341</v>
      </c>
      <c r="BB286" s="33">
        <f t="shared" si="474"/>
        <v>0.71864717780684784</v>
      </c>
      <c r="BC286" s="33">
        <f t="shared" si="474"/>
        <v>1.0238338268552576</v>
      </c>
      <c r="BD286" s="162">
        <f t="shared" si="474"/>
        <v>1.001211759115616</v>
      </c>
      <c r="BE286" s="33">
        <f t="shared" si="474"/>
        <v>1.250129096161003</v>
      </c>
      <c r="BF286" s="33">
        <f t="shared" si="474"/>
        <v>1.3096849986255248</v>
      </c>
      <c r="BG286" s="33">
        <f t="shared" si="474"/>
        <v>1.8584445475164975</v>
      </c>
      <c r="BH286" s="1208">
        <f>+CS286-BG286-BF286-BE286</f>
        <v>2.0429588380727428</v>
      </c>
      <c r="BI286" s="1207">
        <f t="shared" si="475"/>
        <v>2.1252194634737052</v>
      </c>
      <c r="BJ286" s="1207">
        <f t="shared" si="475"/>
        <v>2.0300117478695636</v>
      </c>
      <c r="BK286" s="1207">
        <f t="shared" si="475"/>
        <v>2.8805890486505712</v>
      </c>
      <c r="BL286" s="1207">
        <f>+CT286-BK286-BJ286-BI286</f>
        <v>3.1198258515365564</v>
      </c>
      <c r="BM286" s="1650">
        <f>+CT286/CT291</f>
        <v>4.0771400056327178E-2</v>
      </c>
      <c r="BN286" s="903"/>
      <c r="BO286" s="62"/>
      <c r="BP286" s="33"/>
      <c r="BQ286" s="1595"/>
      <c r="BR286" s="33"/>
      <c r="BS286" s="33"/>
      <c r="BT286" s="162"/>
      <c r="BU286" s="1595"/>
      <c r="BV286" s="33"/>
      <c r="BW286" s="33"/>
      <c r="BX286" s="162"/>
      <c r="BY286" s="1595"/>
      <c r="BZ286" s="33"/>
      <c r="CA286" s="33"/>
      <c r="CB286" s="162"/>
      <c r="CC286" s="1595"/>
      <c r="CD286" s="33"/>
      <c r="CE286" s="33"/>
      <c r="CF286" s="162"/>
      <c r="CG286" s="741"/>
      <c r="CH286" s="160"/>
      <c r="CM286" s="30"/>
      <c r="CN286" s="33"/>
      <c r="CO286" s="33"/>
      <c r="CP286" s="33">
        <f t="shared" ref="CP286:DA286" si="477">+CP215/CP$147</f>
        <v>0.85506203084872645</v>
      </c>
      <c r="CQ286" s="33">
        <f t="shared" si="477"/>
        <v>1.7869104766518353</v>
      </c>
      <c r="CR286" s="33">
        <f t="shared" si="477"/>
        <v>3.7990895012031798</v>
      </c>
      <c r="CS286" s="33">
        <f t="shared" si="477"/>
        <v>6.461217480375768</v>
      </c>
      <c r="CT286" s="33">
        <f t="shared" si="477"/>
        <v>10.155646111530396</v>
      </c>
      <c r="CU286" s="33">
        <f>+CU215/CU$147</f>
        <v>14.560366997800333</v>
      </c>
      <c r="CV286" s="33">
        <f>+CV215/CV$147</f>
        <v>22.189142455721388</v>
      </c>
      <c r="CW286" s="33">
        <f>+CW215/CW$147</f>
        <v>29.706504253173321</v>
      </c>
      <c r="CX286" s="33">
        <f t="shared" si="477"/>
        <v>38.114716870406504</v>
      </c>
      <c r="CY286" s="33">
        <f t="shared" si="477"/>
        <v>44.573933025489751</v>
      </c>
      <c r="CZ286" s="33">
        <f>+CZ215/CZ$147</f>
        <v>52.408806457836526</v>
      </c>
      <c r="DA286" s="33">
        <f t="shared" si="477"/>
        <v>60.249163903928867</v>
      </c>
      <c r="DF286" s="234"/>
    </row>
    <row r="287" spans="1:110" ht="12.75" customHeight="1">
      <c r="I287" s="185" t="s">
        <v>319</v>
      </c>
      <c r="J287" s="70"/>
      <c r="K287" s="70"/>
      <c r="P287" s="234"/>
      <c r="T287" s="234"/>
      <c r="X287" s="234"/>
      <c r="AB287" s="234"/>
      <c r="AF287" s="249"/>
      <c r="AJ287" s="179"/>
      <c r="AN287" s="179"/>
      <c r="AR287" s="162"/>
      <c r="AS287" s="33"/>
      <c r="AT287" s="33"/>
      <c r="AU287" s="33"/>
      <c r="AV287" s="162"/>
      <c r="AW287" s="161"/>
      <c r="AX287" s="161"/>
      <c r="AY287" s="161"/>
      <c r="AZ287" s="162"/>
      <c r="BA287" s="33"/>
      <c r="BB287" s="33"/>
      <c r="BC287" s="33"/>
      <c r="BD287" s="162"/>
      <c r="BE287" s="33"/>
      <c r="BF287" s="33"/>
      <c r="BG287" s="33"/>
      <c r="BH287" s="1208"/>
      <c r="BI287" s="1207">
        <f t="shared" si="475"/>
        <v>0</v>
      </c>
      <c r="BJ287" s="1207">
        <f t="shared" si="475"/>
        <v>0</v>
      </c>
      <c r="BK287" s="1207">
        <f t="shared" si="475"/>
        <v>0</v>
      </c>
      <c r="BL287" s="1207">
        <f>+BH287*(1+BL298)</f>
        <v>0</v>
      </c>
      <c r="BM287" s="1650">
        <f>+CT287/CT291</f>
        <v>7.3455391917622431E-2</v>
      </c>
      <c r="BN287" s="903"/>
      <c r="BO287" s="62"/>
      <c r="BP287" s="33"/>
      <c r="BQ287" s="1595"/>
      <c r="BR287" s="33"/>
      <c r="BS287" s="33"/>
      <c r="BT287" s="162"/>
      <c r="BU287" s="1595"/>
      <c r="BV287" s="33"/>
      <c r="BW287" s="33"/>
      <c r="BX287" s="162"/>
      <c r="BY287" s="1595"/>
      <c r="BZ287" s="33"/>
      <c r="CA287" s="33"/>
      <c r="CB287" s="162"/>
      <c r="CC287" s="1595"/>
      <c r="CD287" s="33"/>
      <c r="CE287" s="33"/>
      <c r="CF287" s="162"/>
      <c r="CG287" s="741"/>
      <c r="CH287" s="160"/>
      <c r="CM287" s="30"/>
      <c r="CN287" s="33"/>
      <c r="CO287" s="33"/>
      <c r="CP287" s="33">
        <f t="shared" ref="CP287:DA287" si="478">+CP234/CP$147</f>
        <v>0.77825869192323005</v>
      </c>
      <c r="CQ287" s="33">
        <f t="shared" si="478"/>
        <v>2.2630371909994649</v>
      </c>
      <c r="CR287" s="1207">
        <f t="shared" si="478"/>
        <v>4.2477954235002073</v>
      </c>
      <c r="CS287" s="33">
        <f t="shared" si="478"/>
        <v>11.288037746728337</v>
      </c>
      <c r="CT287" s="33">
        <f t="shared" si="478"/>
        <v>18.296819934280776</v>
      </c>
      <c r="CU287" s="33">
        <f>+CU234/CU$147</f>
        <v>28.041682825264132</v>
      </c>
      <c r="CV287" s="33">
        <f>+CV234/CV$147</f>
        <v>39.568402248043014</v>
      </c>
      <c r="CW287" s="33">
        <f>+CW234/CW$147</f>
        <v>54.165129043672593</v>
      </c>
      <c r="CX287" s="33">
        <f t="shared" si="478"/>
        <v>64.066790658183834</v>
      </c>
      <c r="CY287" s="33">
        <f t="shared" si="478"/>
        <v>71.17784459431634</v>
      </c>
      <c r="CZ287" s="33">
        <f t="shared" si="478"/>
        <v>79.703766800981029</v>
      </c>
      <c r="DA287" s="33">
        <f t="shared" si="478"/>
        <v>88.471181149088963</v>
      </c>
      <c r="DF287" s="234"/>
    </row>
    <row r="288" spans="1:110" s="53" customFormat="1" ht="12.75" customHeight="1">
      <c r="A288" s="24"/>
      <c r="B288" s="24"/>
      <c r="C288" s="24"/>
      <c r="D288" s="24"/>
      <c r="E288" s="24"/>
      <c r="F288" s="24"/>
      <c r="G288" s="24"/>
      <c r="H288" s="24"/>
      <c r="I288" s="191" t="s">
        <v>140</v>
      </c>
      <c r="J288" s="80"/>
      <c r="K288" s="80"/>
      <c r="P288" s="244"/>
      <c r="T288" s="244"/>
      <c r="X288" s="244"/>
      <c r="AB288" s="244"/>
      <c r="AC288" s="712"/>
      <c r="AD288" s="712"/>
      <c r="AE288" s="712"/>
      <c r="AF288" s="955"/>
      <c r="AG288" s="113"/>
      <c r="AH288" s="113"/>
      <c r="AI288" s="113"/>
      <c r="AJ288" s="253"/>
      <c r="AK288" s="113"/>
      <c r="AL288" s="113"/>
      <c r="AM288" s="113"/>
      <c r="AN288" s="253"/>
      <c r="AO288" s="113"/>
      <c r="AP288" s="113"/>
      <c r="AQ288" s="114"/>
      <c r="AR288" s="228"/>
      <c r="AS288" s="114"/>
      <c r="AT288" s="114"/>
      <c r="AU288" s="114"/>
      <c r="AV288" s="228"/>
      <c r="AW288" s="743"/>
      <c r="AX288" s="743"/>
      <c r="AY288" s="743"/>
      <c r="AZ288" s="228"/>
      <c r="BA288" s="114">
        <f>+$CR$288*0.221</f>
        <v>1.8580012857653838</v>
      </c>
      <c r="BB288" s="114">
        <f>+$CR$288*0.264</f>
        <v>2.2195128481541238</v>
      </c>
      <c r="BC288" s="114">
        <f>+$CR$288*0.282</f>
        <v>2.3708432696191775</v>
      </c>
      <c r="BD288" s="228">
        <f>+$CR$288*0.233</f>
        <v>1.9588882334087532</v>
      </c>
      <c r="BE288" s="114">
        <f>+BE317</f>
        <v>3.0290413320410039</v>
      </c>
      <c r="BF288" s="114">
        <f>+BF317</f>
        <v>3.5518045999903762</v>
      </c>
      <c r="BG288" s="114">
        <f>+BG317</f>
        <v>3.8903869363232175</v>
      </c>
      <c r="BH288" s="228">
        <f>+BH317</f>
        <v>3.0266300978616894</v>
      </c>
      <c r="BI288" s="114">
        <f>+BI291-BI283-BI285-BI286-BI287</f>
        <v>16.791922966809075</v>
      </c>
      <c r="BJ288" s="114">
        <f>+BJ291-BJ283-BJ285-BJ286-BJ287</f>
        <v>17.680246130161514</v>
      </c>
      <c r="BK288" s="114">
        <f>+BK291-BK283-BK285-BK286-BK287</f>
        <v>12.576851760142912</v>
      </c>
      <c r="BL288" s="114">
        <f>+BL291-BL283-BL285-BL286-BL287</f>
        <v>12.134638748497572</v>
      </c>
      <c r="BM288" s="1651">
        <v>0.17</v>
      </c>
      <c r="BN288" s="903"/>
      <c r="BO288" s="62"/>
      <c r="BP288" s="114"/>
      <c r="BQ288" s="1618"/>
      <c r="BR288" s="114"/>
      <c r="BS288" s="114"/>
      <c r="BT288" s="228"/>
      <c r="BU288" s="1618"/>
      <c r="BV288" s="114"/>
      <c r="BW288" s="114"/>
      <c r="BX288" s="228"/>
      <c r="BY288" s="1618"/>
      <c r="BZ288" s="114"/>
      <c r="CA288" s="114"/>
      <c r="CB288" s="228"/>
      <c r="CC288" s="1618"/>
      <c r="CD288" s="114"/>
      <c r="CE288" s="114"/>
      <c r="CF288" s="228"/>
      <c r="CG288" s="2050"/>
      <c r="CH288" s="227"/>
      <c r="CM288" s="113"/>
      <c r="CN288" s="114"/>
      <c r="CO288" s="114"/>
      <c r="CP288" s="743">
        <f>+CP238/CP$147</f>
        <v>2.3347760757696903</v>
      </c>
      <c r="CQ288" s="114">
        <f>+CQ238/CQ$147</f>
        <v>3.5500169452255323</v>
      </c>
      <c r="CR288" s="114">
        <f>+CR238/CR$147</f>
        <v>8.4072456369474384</v>
      </c>
      <c r="CS288" s="114">
        <f t="shared" ref="CS288:DA288" si="479">+CR288*(1+CS299)</f>
        <v>11.349781609879043</v>
      </c>
      <c r="CT288" s="114">
        <f t="shared" si="479"/>
        <v>14.300724828447596</v>
      </c>
      <c r="CU288" s="114">
        <f t="shared" si="479"/>
        <v>17.446884290706066</v>
      </c>
      <c r="CV288" s="114">
        <f t="shared" si="479"/>
        <v>20.936261148847279</v>
      </c>
      <c r="CW288" s="114">
        <f t="shared" si="479"/>
        <v>28.263952550943831</v>
      </c>
      <c r="CX288" s="114">
        <f t="shared" si="479"/>
        <v>35.329940688679791</v>
      </c>
      <c r="CY288" s="114">
        <f t="shared" si="479"/>
        <v>44.162425860849737</v>
      </c>
      <c r="CZ288" s="114">
        <f t="shared" si="479"/>
        <v>52.994911033019683</v>
      </c>
      <c r="DA288" s="114">
        <f t="shared" si="479"/>
        <v>60.944147687972631</v>
      </c>
      <c r="DB288" s="24"/>
      <c r="DF288" s="244"/>
    </row>
    <row r="289" spans="9:110" ht="12.75" customHeight="1">
      <c r="I289" s="178" t="s">
        <v>479</v>
      </c>
      <c r="AC289" s="24"/>
      <c r="AD289" s="24"/>
      <c r="AE289" s="24"/>
      <c r="AF289" s="24"/>
      <c r="AG289" s="24"/>
      <c r="AH289" s="24"/>
      <c r="AI289" s="24"/>
      <c r="AJ289" s="24"/>
      <c r="AK289" s="24"/>
      <c r="AL289" s="24"/>
      <c r="AM289" s="24"/>
      <c r="AN289" s="24"/>
      <c r="AO289" s="24"/>
      <c r="AP289" s="24"/>
      <c r="AQ289" s="24"/>
      <c r="AR289" s="24"/>
      <c r="AS289" s="24"/>
      <c r="AT289" s="24"/>
      <c r="AU289" s="24"/>
      <c r="AV289" s="24"/>
      <c r="AW289" s="24"/>
      <c r="AX289" s="24"/>
      <c r="AY289" s="24"/>
      <c r="AZ289" s="228"/>
      <c r="BA289" s="114"/>
      <c r="BB289" s="24"/>
      <c r="BC289" s="24"/>
      <c r="BD289" s="228"/>
      <c r="BE289" s="114"/>
      <c r="BF289" s="24"/>
      <c r="BG289" s="24"/>
      <c r="BH289" s="228"/>
      <c r="BI289" s="114"/>
      <c r="BJ289" s="24"/>
      <c r="BK289" s="24"/>
      <c r="BL289" s="24"/>
      <c r="BM289" s="160"/>
      <c r="BN289" s="24"/>
      <c r="BO289" s="24"/>
      <c r="BP289" s="24"/>
      <c r="BQ289" s="160"/>
      <c r="BR289" s="24"/>
      <c r="BS289" s="24"/>
      <c r="BT289" s="234"/>
      <c r="BU289" s="160"/>
      <c r="BV289" s="24"/>
      <c r="BW289" s="24"/>
      <c r="BX289" s="234"/>
      <c r="BY289" s="160"/>
      <c r="BZ289" s="24"/>
      <c r="CA289" s="24"/>
      <c r="CB289" s="234"/>
      <c r="CC289" s="160"/>
      <c r="CD289" s="24"/>
      <c r="CE289" s="24"/>
      <c r="CF289" s="234"/>
      <c r="CG289" s="741"/>
      <c r="CH289" s="160"/>
      <c r="CM289" s="24"/>
      <c r="CN289" s="24"/>
      <c r="CO289" s="24"/>
      <c r="CP289" s="59">
        <f t="shared" ref="CP289:DA289" si="480">+SUM(CP285:CP288)+CP283</f>
        <v>44.086354772612751</v>
      </c>
      <c r="CQ289" s="59">
        <f t="shared" si="480"/>
        <v>73.327146233236178</v>
      </c>
      <c r="CR289" s="59">
        <f t="shared" si="480"/>
        <v>121.5542134311133</v>
      </c>
      <c r="CS289" s="59">
        <f>+SUM(CS285:CS288)+CS283</f>
        <v>169.38957329630233</v>
      </c>
      <c r="CT289" s="59">
        <f>+SUM(CT285:CT288)+CT283</f>
        <v>222.50138515711728</v>
      </c>
      <c r="CU289" s="59">
        <f t="shared" si="480"/>
        <v>281.24585733370452</v>
      </c>
      <c r="CV289" s="59">
        <f t="shared" si="480"/>
        <v>349.54038725909788</v>
      </c>
      <c r="CW289" s="59">
        <f>+SUM(CW285:CW288)+CW283</f>
        <v>435.62947383093189</v>
      </c>
      <c r="CX289" s="59">
        <f>+SUM(CX285:CX288)+CX283</f>
        <v>518.44145181718079</v>
      </c>
      <c r="CY289" s="104">
        <f t="shared" si="480"/>
        <v>588.13452157585402</v>
      </c>
      <c r="CZ289" s="104">
        <f t="shared" si="480"/>
        <v>658.48919496919257</v>
      </c>
      <c r="DA289" s="104">
        <f t="shared" si="480"/>
        <v>723.65951834890416</v>
      </c>
      <c r="DF289" s="234"/>
    </row>
    <row r="290" spans="9:110" s="53" customFormat="1" ht="12.75" customHeight="1">
      <c r="I290" s="191" t="s">
        <v>477</v>
      </c>
      <c r="J290" s="125"/>
      <c r="K290" s="125"/>
      <c r="P290" s="244"/>
      <c r="T290" s="244"/>
      <c r="X290" s="244"/>
      <c r="AB290" s="244"/>
      <c r="AC290" s="712"/>
      <c r="AD290" s="712"/>
      <c r="AE290" s="712"/>
      <c r="AF290" s="955"/>
      <c r="AG290" s="113"/>
      <c r="AH290" s="113"/>
      <c r="AI290" s="113"/>
      <c r="AJ290" s="253"/>
      <c r="AK290" s="113"/>
      <c r="AL290" s="113"/>
      <c r="AM290" s="113"/>
      <c r="AN290" s="253"/>
      <c r="AO290" s="113"/>
      <c r="AP290" s="113"/>
      <c r="AQ290" s="114"/>
      <c r="AR290" s="228"/>
      <c r="AS290" s="114"/>
      <c r="AT290" s="114"/>
      <c r="AU290" s="114"/>
      <c r="AV290" s="228"/>
      <c r="AW290" s="114"/>
      <c r="AX290" s="114"/>
      <c r="AY290" s="114"/>
      <c r="AZ290" s="228"/>
      <c r="BA290" s="114"/>
      <c r="BB290" s="114"/>
      <c r="BC290" s="114"/>
      <c r="BD290" s="228"/>
      <c r="BE290" s="114"/>
      <c r="BF290" s="114"/>
      <c r="BG290" s="114"/>
      <c r="BH290" s="228"/>
      <c r="BI290" s="1223"/>
      <c r="BJ290" s="1223"/>
      <c r="BK290" s="1223"/>
      <c r="BL290" s="1223"/>
      <c r="BM290" s="1620"/>
      <c r="BN290" s="1224"/>
      <c r="BO290" s="905"/>
      <c r="BP290" s="1226"/>
      <c r="BQ290" s="1626"/>
      <c r="BR290" s="1224"/>
      <c r="BS290" s="1224"/>
      <c r="BT290" s="1225"/>
      <c r="BU290" s="1626"/>
      <c r="BV290" s="1224"/>
      <c r="BW290" s="1224"/>
      <c r="BX290" s="1225"/>
      <c r="BY290" s="1626"/>
      <c r="BZ290" s="1224"/>
      <c r="CA290" s="1224"/>
      <c r="CB290" s="1225"/>
      <c r="CC290" s="1626"/>
      <c r="CD290" s="1224"/>
      <c r="CE290" s="1224"/>
      <c r="CF290" s="1225"/>
      <c r="CG290" s="2050"/>
      <c r="CH290" s="227"/>
      <c r="CM290" s="113"/>
      <c r="CN290" s="114"/>
      <c r="CO290" s="114"/>
      <c r="CP290" s="1223"/>
      <c r="CQ290" s="1223"/>
      <c r="CR290" s="114">
        <f>+CR205</f>
        <v>0</v>
      </c>
      <c r="CS290" s="114">
        <f t="shared" ref="CS290:DA290" si="481">+CS291-CS289</f>
        <v>8.3604267036976694</v>
      </c>
      <c r="CT290" s="114">
        <f>+CT291-CT289</f>
        <v>26.586114842882722</v>
      </c>
      <c r="CU290" s="114">
        <f t="shared" si="481"/>
        <v>42.112332666295458</v>
      </c>
      <c r="CV290" s="114">
        <f>+CV291-CV289</f>
        <v>59.085712240902126</v>
      </c>
      <c r="CW290" s="114">
        <f t="shared" si="481"/>
        <v>95.907930644068131</v>
      </c>
      <c r="CX290" s="114">
        <f t="shared" si="481"/>
        <v>128.44782288156921</v>
      </c>
      <c r="CY290" s="114">
        <f t="shared" si="481"/>
        <v>174.7982773443897</v>
      </c>
      <c r="CZ290" s="114">
        <f t="shared" si="481"/>
        <v>224.8806006526122</v>
      </c>
      <c r="DA290" s="114">
        <f t="shared" si="481"/>
        <v>278.93938439986357</v>
      </c>
      <c r="DB290" s="24"/>
      <c r="DF290" s="244"/>
    </row>
    <row r="291" spans="9:110" ht="12.75" customHeight="1">
      <c r="I291" s="178" t="s">
        <v>320</v>
      </c>
      <c r="J291" s="8"/>
      <c r="K291" s="8"/>
      <c r="P291" s="234"/>
      <c r="T291" s="234"/>
      <c r="X291" s="234"/>
      <c r="AB291" s="234"/>
      <c r="AF291" s="249"/>
      <c r="AJ291" s="179"/>
      <c r="AN291" s="179"/>
      <c r="AR291" s="162"/>
      <c r="AS291" s="33"/>
      <c r="AT291" s="33"/>
      <c r="AU291" s="33"/>
      <c r="AV291" s="162"/>
      <c r="AW291" s="161"/>
      <c r="AX291" s="161"/>
      <c r="AY291" s="161"/>
      <c r="AZ291" s="162"/>
      <c r="BA291" s="33"/>
      <c r="BB291" s="33"/>
      <c r="BC291" s="33"/>
      <c r="BD291" s="162"/>
      <c r="BE291" s="33"/>
      <c r="BF291" s="33"/>
      <c r="BG291" s="33"/>
      <c r="BH291" s="162"/>
      <c r="BI291" s="104">
        <f>+BI101/1000</f>
        <v>58.564099999999996</v>
      </c>
      <c r="BJ291" s="104">
        <f>+BJ101/1000</f>
        <v>64.129000000000005</v>
      </c>
      <c r="BK291" s="104">
        <f>+BK101/1000</f>
        <v>68.838399999999993</v>
      </c>
      <c r="BL291" s="104">
        <f>+BL101/1000</f>
        <v>57.555999999999997</v>
      </c>
      <c r="BM291" s="1615"/>
      <c r="BN291" s="111"/>
      <c r="BO291" s="224"/>
      <c r="BP291" s="176"/>
      <c r="BQ291" s="1627"/>
      <c r="BR291" s="111"/>
      <c r="BS291" s="111"/>
      <c r="BT291" s="215"/>
      <c r="BU291" s="1627"/>
      <c r="BV291" s="111"/>
      <c r="BW291" s="111"/>
      <c r="BX291" s="215"/>
      <c r="BY291" s="1627"/>
      <c r="BZ291" s="111"/>
      <c r="CA291" s="111"/>
      <c r="CB291" s="215"/>
      <c r="CC291" s="1627"/>
      <c r="CD291" s="111"/>
      <c r="CE291" s="111"/>
      <c r="CF291" s="215"/>
      <c r="CG291" s="741"/>
      <c r="CH291" s="160"/>
      <c r="CM291" s="30"/>
      <c r="CN291" s="33"/>
      <c r="CO291" s="33"/>
      <c r="CP291" s="104">
        <f>+SUM(CP285:CP288)+CP283</f>
        <v>44.086354772612751</v>
      </c>
      <c r="CQ291" s="104">
        <f>+SUM(CQ285:CQ288)+CQ283</f>
        <v>73.327146233236178</v>
      </c>
      <c r="CR291" s="104">
        <f>+SUM(CR285:CR288)+CR283</f>
        <v>121.5542134311133</v>
      </c>
      <c r="CS291" s="104">
        <f t="shared" ref="CS291:DA291" si="482">+CS101/1000</f>
        <v>177.75</v>
      </c>
      <c r="CT291" s="104">
        <f t="shared" si="482"/>
        <v>249.08750000000001</v>
      </c>
      <c r="CU291" s="104">
        <f t="shared" si="482"/>
        <v>323.35818999999998</v>
      </c>
      <c r="CV291" s="104">
        <f t="shared" si="482"/>
        <v>408.62609950000001</v>
      </c>
      <c r="CW291" s="104">
        <f t="shared" si="482"/>
        <v>531.53740447500002</v>
      </c>
      <c r="CX291" s="104">
        <f t="shared" si="482"/>
        <v>646.88927469875</v>
      </c>
      <c r="CY291" s="104">
        <f t="shared" si="482"/>
        <v>762.93279892024373</v>
      </c>
      <c r="CZ291" s="104">
        <f t="shared" si="482"/>
        <v>883.36979562180477</v>
      </c>
      <c r="DA291" s="104">
        <f t="shared" si="482"/>
        <v>1002.5989027487677</v>
      </c>
      <c r="DB291" s="104"/>
      <c r="DF291" s="234"/>
    </row>
    <row r="292" spans="9:110" ht="12.75" customHeight="1">
      <c r="I292" s="178"/>
      <c r="J292" s="8"/>
      <c r="K292" s="8"/>
      <c r="P292" s="234"/>
      <c r="T292" s="234"/>
      <c r="X292" s="234"/>
      <c r="AB292" s="234"/>
      <c r="AF292" s="249"/>
      <c r="AJ292" s="179"/>
      <c r="AN292" s="179"/>
      <c r="AR292" s="162"/>
      <c r="AS292" s="33"/>
      <c r="AT292" s="33"/>
      <c r="AU292" s="33"/>
      <c r="AV292" s="162"/>
      <c r="AW292" s="161"/>
      <c r="AX292" s="161"/>
      <c r="AY292" s="161"/>
      <c r="AZ292" s="162"/>
      <c r="BA292" s="33"/>
      <c r="BB292" s="33"/>
      <c r="BC292" s="33"/>
      <c r="BD292" s="162"/>
      <c r="BE292" s="33"/>
      <c r="BF292" s="33"/>
      <c r="BG292" s="33"/>
      <c r="BH292" s="162"/>
      <c r="BI292" s="104"/>
      <c r="BJ292" s="104"/>
      <c r="BK292" s="104"/>
      <c r="BL292" s="104"/>
      <c r="BM292" s="1615"/>
      <c r="BN292" s="111"/>
      <c r="BO292" s="224"/>
      <c r="BP292" s="176"/>
      <c r="BQ292" s="1627"/>
      <c r="BR292" s="111"/>
      <c r="BS292" s="111"/>
      <c r="BT292" s="215"/>
      <c r="BU292" s="1627"/>
      <c r="BV292" s="111"/>
      <c r="BW292" s="111"/>
      <c r="BX292" s="215"/>
      <c r="BY292" s="1627"/>
      <c r="BZ292" s="111"/>
      <c r="CA292" s="111"/>
      <c r="CB292" s="215"/>
      <c r="CC292" s="1627"/>
      <c r="CD292" s="111"/>
      <c r="CE292" s="111"/>
      <c r="CF292" s="215"/>
      <c r="CG292" s="741"/>
      <c r="CH292" s="160"/>
      <c r="CM292" s="30"/>
      <c r="CN292" s="33"/>
      <c r="CO292" s="33"/>
      <c r="CP292" s="104"/>
      <c r="CQ292" s="104"/>
      <c r="CR292" s="104"/>
      <c r="CS292" s="33"/>
      <c r="CT292" s="33"/>
      <c r="CU292" s="33"/>
      <c r="CV292" s="33"/>
      <c r="CW292" s="33"/>
      <c r="CX292" s="33"/>
      <c r="CY292" s="33"/>
      <c r="DF292" s="234"/>
    </row>
    <row r="293" spans="9:110" ht="12.75" customHeight="1">
      <c r="I293" s="178" t="s">
        <v>376</v>
      </c>
      <c r="J293" s="8"/>
      <c r="K293" s="8"/>
      <c r="P293" s="234"/>
      <c r="T293" s="234"/>
      <c r="X293" s="234"/>
      <c r="AB293" s="234"/>
      <c r="AF293" s="249"/>
      <c r="AJ293" s="179"/>
      <c r="AN293" s="179"/>
      <c r="AR293" s="162"/>
      <c r="AS293" s="33"/>
      <c r="AT293" s="33"/>
      <c r="AU293" s="33"/>
      <c r="AV293" s="162"/>
      <c r="AW293" s="161"/>
      <c r="AX293" s="161"/>
      <c r="AY293" s="161"/>
      <c r="AZ293" s="162"/>
      <c r="BA293" s="33"/>
      <c r="BB293" s="33"/>
      <c r="BC293" s="33"/>
      <c r="BD293" s="162"/>
      <c r="BE293" s="33"/>
      <c r="BF293" s="33"/>
      <c r="BG293" s="33"/>
      <c r="BH293" s="162"/>
      <c r="BI293" s="33"/>
      <c r="BJ293" s="853"/>
      <c r="BK293" s="853"/>
      <c r="BL293" s="853"/>
      <c r="BM293" s="1595"/>
      <c r="BN293" s="33"/>
      <c r="BO293" s="33"/>
      <c r="BP293" s="33"/>
      <c r="BQ293" s="1595"/>
      <c r="BR293" s="33"/>
      <c r="BS293" s="33"/>
      <c r="BT293" s="162"/>
      <c r="BU293" s="1595"/>
      <c r="BV293" s="33"/>
      <c r="BW293" s="33"/>
      <c r="BX293" s="162"/>
      <c r="BY293" s="1595"/>
      <c r="BZ293" s="33"/>
      <c r="CA293" s="33"/>
      <c r="CB293" s="162"/>
      <c r="CC293" s="1595"/>
      <c r="CD293" s="33"/>
      <c r="CE293" s="33"/>
      <c r="CF293" s="162"/>
      <c r="CG293" s="741"/>
      <c r="CH293" s="160"/>
      <c r="CM293" s="30"/>
      <c r="CN293" s="33"/>
      <c r="CO293" s="33"/>
      <c r="CP293" s="161"/>
      <c r="CQ293" s="33"/>
      <c r="CR293" s="82"/>
      <c r="CS293" s="831">
        <v>2012</v>
      </c>
      <c r="CT293" s="831">
        <v>2013</v>
      </c>
      <c r="CU293" s="831">
        <v>2014</v>
      </c>
      <c r="CV293" s="831">
        <v>2015</v>
      </c>
      <c r="CW293" s="831" t="s">
        <v>19</v>
      </c>
      <c r="CX293" s="831" t="s">
        <v>20</v>
      </c>
      <c r="CY293" s="831" t="s">
        <v>21</v>
      </c>
      <c r="CZ293" s="831" t="s">
        <v>698</v>
      </c>
      <c r="DA293" s="831" t="s">
        <v>699</v>
      </c>
      <c r="DF293" s="234"/>
    </row>
    <row r="294" spans="9:110" ht="12.75" customHeight="1">
      <c r="I294" s="185" t="s">
        <v>318</v>
      </c>
      <c r="J294" s="70"/>
      <c r="K294" s="70"/>
      <c r="P294" s="234"/>
      <c r="T294" s="234"/>
      <c r="X294" s="234"/>
      <c r="AB294" s="234"/>
      <c r="AF294" s="249"/>
      <c r="AJ294" s="179"/>
      <c r="AN294" s="179"/>
      <c r="AR294" s="162"/>
      <c r="AS294" s="33"/>
      <c r="AT294" s="33"/>
      <c r="AU294" s="33"/>
      <c r="AV294" s="162"/>
      <c r="AW294" s="161"/>
      <c r="AX294" s="161"/>
      <c r="AY294" s="161"/>
      <c r="AZ294" s="162"/>
      <c r="BA294" s="33"/>
      <c r="BB294" s="33"/>
      <c r="BC294" s="33"/>
      <c r="BD294" s="162"/>
      <c r="BE294" s="860">
        <v>0.4</v>
      </c>
      <c r="BF294" s="860">
        <v>0.32</v>
      </c>
      <c r="BG294" s="860">
        <v>0.32</v>
      </c>
      <c r="BH294" s="230">
        <f>+BH283/BD283-1</f>
        <v>0.12058143518445297</v>
      </c>
      <c r="BI294" s="1220">
        <v>0.25</v>
      </c>
      <c r="BJ294" s="860">
        <v>0.2</v>
      </c>
      <c r="BK294" s="860">
        <v>0.3</v>
      </c>
      <c r="BL294" s="1220">
        <f>+BL283/BH283-1</f>
        <v>0.28428512472340528</v>
      </c>
      <c r="BM294" s="223"/>
      <c r="BN294" s="112"/>
      <c r="BO294" s="112"/>
      <c r="BP294" s="798"/>
      <c r="BQ294" s="223"/>
      <c r="BR294" s="112"/>
      <c r="BS294" s="112"/>
      <c r="BT294" s="906"/>
      <c r="BU294" s="223"/>
      <c r="BV294" s="112"/>
      <c r="BW294" s="112"/>
      <c r="BX294" s="906"/>
      <c r="BY294" s="223"/>
      <c r="BZ294" s="112"/>
      <c r="CA294" s="112"/>
      <c r="CB294" s="906"/>
      <c r="CC294" s="223"/>
      <c r="CD294" s="112"/>
      <c r="CE294" s="112"/>
      <c r="CF294" s="906"/>
      <c r="CG294" s="234"/>
      <c r="CH294" s="160"/>
      <c r="CM294" s="30">
        <v>10.9</v>
      </c>
      <c r="CN294" s="33">
        <f>+CN282*0.8</f>
        <v>0</v>
      </c>
      <c r="CO294" s="33"/>
      <c r="CP294" s="161"/>
      <c r="CQ294" s="33"/>
      <c r="CR294" s="735">
        <f>+CR283/CQ283-1</f>
        <v>0.55793736644163072</v>
      </c>
      <c r="CS294" s="328">
        <v>0.28000000000000003</v>
      </c>
      <c r="CT294" s="328">
        <v>0.26</v>
      </c>
      <c r="CU294" s="328">
        <v>0.22</v>
      </c>
      <c r="CV294" s="328">
        <v>0.2</v>
      </c>
      <c r="CW294" s="328">
        <v>0.19</v>
      </c>
      <c r="CX294" s="328">
        <v>0.16</v>
      </c>
      <c r="CY294" s="328">
        <v>0.125</v>
      </c>
      <c r="CZ294" s="328">
        <v>0.1</v>
      </c>
      <c r="DA294" s="328">
        <v>0.08</v>
      </c>
      <c r="DF294" s="234"/>
    </row>
    <row r="295" spans="9:110" ht="12.75" customHeight="1">
      <c r="I295" s="185" t="s">
        <v>305</v>
      </c>
      <c r="J295" s="70"/>
      <c r="K295" s="70"/>
      <c r="P295" s="234"/>
      <c r="T295" s="234"/>
      <c r="X295" s="234"/>
      <c r="AB295" s="234"/>
      <c r="AF295" s="249"/>
      <c r="AJ295" s="179"/>
      <c r="AN295" s="179"/>
      <c r="AR295" s="162"/>
      <c r="AS295" s="33"/>
      <c r="AT295" s="33"/>
      <c r="AU295" s="33"/>
      <c r="AV295" s="162"/>
      <c r="AW295" s="161"/>
      <c r="AX295" s="161"/>
      <c r="AY295" s="161"/>
      <c r="AZ295" s="162"/>
      <c r="BA295" s="33"/>
      <c r="BB295" s="33"/>
      <c r="BC295" s="33"/>
      <c r="BD295" s="162"/>
      <c r="BE295" s="33"/>
      <c r="BF295" s="33"/>
      <c r="BG295" s="33"/>
      <c r="BH295" s="1208"/>
      <c r="BI295" s="1207"/>
      <c r="BJ295" s="1207"/>
      <c r="BK295" s="1207"/>
      <c r="BL295" s="1207"/>
      <c r="BM295" s="223"/>
      <c r="BN295" s="112"/>
      <c r="BO295" s="112"/>
      <c r="BP295" s="798"/>
      <c r="BQ295" s="223"/>
      <c r="BR295" s="112"/>
      <c r="BS295" s="112"/>
      <c r="BT295" s="906"/>
      <c r="BU295" s="223"/>
      <c r="BV295" s="112"/>
      <c r="BW295" s="112"/>
      <c r="BX295" s="906"/>
      <c r="BY295" s="223"/>
      <c r="BZ295" s="112"/>
      <c r="CA295" s="112"/>
      <c r="CB295" s="906"/>
      <c r="CC295" s="223"/>
      <c r="CD295" s="112"/>
      <c r="CE295" s="112"/>
      <c r="CF295" s="906"/>
      <c r="CG295" s="234"/>
      <c r="CH295" s="160"/>
      <c r="CM295" s="30"/>
      <c r="CN295" s="33"/>
      <c r="CO295" s="33"/>
      <c r="CP295" s="161"/>
      <c r="CQ295" s="33"/>
      <c r="CR295" s="735"/>
      <c r="CS295" s="735"/>
      <c r="CT295" s="735"/>
      <c r="CU295" s="735"/>
      <c r="CV295" s="735"/>
      <c r="CW295" s="735"/>
      <c r="CX295" s="735"/>
      <c r="CY295" s="735"/>
      <c r="CZ295" s="735"/>
      <c r="DA295" s="735"/>
      <c r="DB295" s="735"/>
      <c r="DF295" s="234"/>
    </row>
    <row r="296" spans="9:110" ht="12.75" customHeight="1">
      <c r="I296" s="722" t="s">
        <v>298</v>
      </c>
      <c r="J296" s="710"/>
      <c r="K296" s="710"/>
      <c r="P296" s="234"/>
      <c r="T296" s="234"/>
      <c r="X296" s="234"/>
      <c r="AB296" s="234"/>
      <c r="AF296" s="249"/>
      <c r="AJ296" s="179"/>
      <c r="AN296" s="179"/>
      <c r="AR296" s="162"/>
      <c r="AS296" s="33"/>
      <c r="AT296" s="33"/>
      <c r="AU296" s="33"/>
      <c r="AV296" s="162"/>
      <c r="AW296" s="161"/>
      <c r="AX296" s="161"/>
      <c r="AY296" s="161"/>
      <c r="AZ296" s="162"/>
      <c r="BA296" s="33"/>
      <c r="BB296" s="33"/>
      <c r="BC296" s="33"/>
      <c r="BD296" s="162"/>
      <c r="BE296" s="735">
        <f t="shared" ref="BE296:BH297" si="483">+BE285/BA285-1</f>
        <v>0.73191504073941727</v>
      </c>
      <c r="BF296" s="735">
        <f t="shared" si="483"/>
        <v>0.93633309085870642</v>
      </c>
      <c r="BG296" s="735">
        <f t="shared" si="483"/>
        <v>0.9059409092645585</v>
      </c>
      <c r="BH296" s="736">
        <f t="shared" si="483"/>
        <v>1.0769509089541898</v>
      </c>
      <c r="BI296" s="1215">
        <v>0.7</v>
      </c>
      <c r="BJ296" s="860">
        <v>0.7</v>
      </c>
      <c r="BK296" s="860">
        <v>0.7</v>
      </c>
      <c r="BL296" s="1220">
        <f>+BL285/BH285-1</f>
        <v>-0.27655326821940129</v>
      </c>
      <c r="BM296" s="223"/>
      <c r="BN296" s="112"/>
      <c r="BO296" s="112"/>
      <c r="BP296" s="798"/>
      <c r="BQ296" s="223"/>
      <c r="BR296" s="112"/>
      <c r="BS296" s="112"/>
      <c r="BT296" s="906"/>
      <c r="BU296" s="223"/>
      <c r="BV296" s="112"/>
      <c r="BW296" s="112"/>
      <c r="BX296" s="906"/>
      <c r="BY296" s="223"/>
      <c r="BZ296" s="112"/>
      <c r="CA296" s="112"/>
      <c r="CB296" s="906"/>
      <c r="CC296" s="223"/>
      <c r="CD296" s="112"/>
      <c r="CE296" s="112"/>
      <c r="CF296" s="906"/>
      <c r="CG296" s="234"/>
      <c r="CH296" s="160"/>
      <c r="CM296" s="30"/>
      <c r="CN296" s="33"/>
      <c r="CO296" s="33"/>
      <c r="CP296" s="161"/>
      <c r="CQ296" s="33"/>
      <c r="CR296" s="735">
        <f t="shared" ref="CR296:DA296" si="484">+CR285/CQ285-1</f>
        <v>1.0255953963685167</v>
      </c>
      <c r="CS296" s="735">
        <f t="shared" si="484"/>
        <v>0.77251164658235005</v>
      </c>
      <c r="CT296" s="735">
        <f t="shared" si="484"/>
        <v>0.40379592860905866</v>
      </c>
      <c r="CU296" s="735">
        <f t="shared" si="484"/>
        <v>0.28540537870236404</v>
      </c>
      <c r="CV296" s="735">
        <f t="shared" si="484"/>
        <v>0.23768608146014558</v>
      </c>
      <c r="CW296" s="735">
        <f t="shared" si="484"/>
        <v>0.31838826642396412</v>
      </c>
      <c r="CX296" s="735">
        <f t="shared" si="484"/>
        <v>0.252971499996681</v>
      </c>
      <c r="CY296" s="735">
        <f t="shared" si="484"/>
        <v>0.12073994833373547</v>
      </c>
      <c r="CZ296" s="735">
        <f t="shared" si="484"/>
        <v>0.12728192093420998</v>
      </c>
      <c r="DA296" s="735">
        <f t="shared" si="484"/>
        <v>0.10837499999999989</v>
      </c>
      <c r="DF296" s="234"/>
    </row>
    <row r="297" spans="9:110" ht="12.75" customHeight="1">
      <c r="I297" s="722" t="s">
        <v>299</v>
      </c>
      <c r="J297" s="710"/>
      <c r="K297" s="710"/>
      <c r="P297" s="234"/>
      <c r="T297" s="234"/>
      <c r="X297" s="234"/>
      <c r="AB297" s="234"/>
      <c r="AF297" s="249"/>
      <c r="AJ297" s="179"/>
      <c r="AN297" s="179"/>
      <c r="AR297" s="162"/>
      <c r="AS297" s="33"/>
      <c r="AT297" s="33"/>
      <c r="AU297" s="33"/>
      <c r="AV297" s="162"/>
      <c r="AW297" s="161"/>
      <c r="AX297" s="161"/>
      <c r="AY297" s="161"/>
      <c r="AZ297" s="162"/>
      <c r="BA297" s="33"/>
      <c r="BB297" s="33"/>
      <c r="BC297" s="33"/>
      <c r="BD297" s="162"/>
      <c r="BE297" s="735">
        <f t="shared" si="483"/>
        <v>0.6300376854018046</v>
      </c>
      <c r="BF297" s="735">
        <f t="shared" si="483"/>
        <v>0.822431144337606</v>
      </c>
      <c r="BG297" s="735">
        <f t="shared" si="483"/>
        <v>0.81518181834719861</v>
      </c>
      <c r="BH297" s="736">
        <f t="shared" si="483"/>
        <v>1.0404862602465998</v>
      </c>
      <c r="BI297" s="1215">
        <v>0.7</v>
      </c>
      <c r="BJ297" s="860">
        <v>0.55000000000000004</v>
      </c>
      <c r="BK297" s="860">
        <v>0.55000000000000004</v>
      </c>
      <c r="BL297" s="1220">
        <f>+BL286/BH286-1</f>
        <v>0.52711145882884902</v>
      </c>
      <c r="BM297" s="223"/>
      <c r="BN297" s="112"/>
      <c r="BO297" s="112"/>
      <c r="BP297" s="798"/>
      <c r="BQ297" s="223"/>
      <c r="BR297" s="112"/>
      <c r="BS297" s="112"/>
      <c r="BT297" s="906"/>
      <c r="BU297" s="223"/>
      <c r="BV297" s="112"/>
      <c r="BW297" s="112"/>
      <c r="BX297" s="906"/>
      <c r="BY297" s="223"/>
      <c r="BZ297" s="112"/>
      <c r="CA297" s="112"/>
      <c r="CB297" s="906"/>
      <c r="CC297" s="223"/>
      <c r="CD297" s="112"/>
      <c r="CE297" s="112"/>
      <c r="CF297" s="906"/>
      <c r="CG297" s="234"/>
      <c r="CH297" s="160"/>
      <c r="CM297" s="30"/>
      <c r="CN297" s="33"/>
      <c r="CO297" s="33"/>
      <c r="CP297" s="161"/>
      <c r="CQ297" s="33"/>
      <c r="CR297" s="735">
        <f t="shared" ref="CR297:DA297" si="485">+CR286/CQ286-1</f>
        <v>1.1260659394205348</v>
      </c>
      <c r="CS297" s="735">
        <f t="shared" si="485"/>
        <v>0.70072789238829114</v>
      </c>
      <c r="CT297" s="735">
        <f t="shared" si="485"/>
        <v>0.57178521577016617</v>
      </c>
      <c r="CU297" s="735">
        <f t="shared" si="485"/>
        <v>0.43372138393725224</v>
      </c>
      <c r="CV297" s="735">
        <f t="shared" si="485"/>
        <v>0.52394115196914681</v>
      </c>
      <c r="CW297" s="735">
        <f t="shared" si="485"/>
        <v>0.3387855935601336</v>
      </c>
      <c r="CX297" s="735">
        <f t="shared" si="485"/>
        <v>0.28304281599660097</v>
      </c>
      <c r="CY297" s="735">
        <f t="shared" si="485"/>
        <v>0.16946777217433273</v>
      </c>
      <c r="CZ297" s="735">
        <f t="shared" si="485"/>
        <v>0.17577254014956178</v>
      </c>
      <c r="DA297" s="735">
        <f t="shared" si="485"/>
        <v>0.14959999999999996</v>
      </c>
      <c r="DF297" s="234"/>
    </row>
    <row r="298" spans="9:110" ht="12.75" customHeight="1">
      <c r="I298" s="185" t="s">
        <v>319</v>
      </c>
      <c r="J298" s="70"/>
      <c r="K298" s="70"/>
      <c r="P298" s="234"/>
      <c r="T298" s="234"/>
      <c r="X298" s="234"/>
      <c r="AB298" s="234"/>
      <c r="AF298" s="249"/>
      <c r="AJ298" s="179"/>
      <c r="AN298" s="179"/>
      <c r="AR298" s="162"/>
      <c r="AS298" s="33"/>
      <c r="AT298" s="33"/>
      <c r="AU298" s="33"/>
      <c r="AV298" s="162"/>
      <c r="AW298" s="161"/>
      <c r="AX298" s="161"/>
      <c r="AY298" s="161"/>
      <c r="AZ298" s="162"/>
      <c r="BA298" s="33"/>
      <c r="BB298" s="33"/>
      <c r="BC298" s="33"/>
      <c r="BD298" s="162"/>
      <c r="BE298" s="33"/>
      <c r="BF298" s="735"/>
      <c r="BG298" s="735"/>
      <c r="BH298" s="736"/>
      <c r="BI298" s="1215">
        <v>1</v>
      </c>
      <c r="BJ298" s="860">
        <f>+$CT$298</f>
        <v>0.62090350376298353</v>
      </c>
      <c r="BK298" s="860">
        <f>+$CT$298</f>
        <v>0.62090350376298353</v>
      </c>
      <c r="BL298" s="860">
        <f>+$CT$298</f>
        <v>0.62090350376298353</v>
      </c>
      <c r="BM298" s="223"/>
      <c r="BN298" s="112"/>
      <c r="BO298" s="112"/>
      <c r="BP298" s="798"/>
      <c r="BQ298" s="223"/>
      <c r="BR298" s="112"/>
      <c r="BS298" s="112"/>
      <c r="BT298" s="906"/>
      <c r="BU298" s="223"/>
      <c r="BV298" s="112"/>
      <c r="BW298" s="112"/>
      <c r="BX298" s="906"/>
      <c r="BY298" s="223"/>
      <c r="BZ298" s="112"/>
      <c r="CA298" s="112"/>
      <c r="CB298" s="906"/>
      <c r="CC298" s="223"/>
      <c r="CD298" s="112"/>
      <c r="CE298" s="112"/>
      <c r="CF298" s="906"/>
      <c r="CG298" s="234"/>
      <c r="CH298" s="160"/>
      <c r="CM298" s="30"/>
      <c r="CN298" s="33"/>
      <c r="CO298" s="33"/>
      <c r="CP298" s="161"/>
      <c r="CQ298" s="33"/>
      <c r="CR298" s="735">
        <f t="shared" ref="CR298:DA298" si="486">+CR287/CQ287-1</f>
        <v>0.87703297161642269</v>
      </c>
      <c r="CS298" s="735">
        <f t="shared" si="486"/>
        <v>1.6573873318567047</v>
      </c>
      <c r="CT298" s="735">
        <f t="shared" si="486"/>
        <v>0.62090350376298353</v>
      </c>
      <c r="CU298" s="735">
        <f t="shared" si="486"/>
        <v>0.53259872076051096</v>
      </c>
      <c r="CV298" s="735">
        <f t="shared" si="486"/>
        <v>0.41105662219365424</v>
      </c>
      <c r="CW298" s="735">
        <f t="shared" si="486"/>
        <v>0.36889856467104409</v>
      </c>
      <c r="CX298" s="735">
        <f t="shared" si="486"/>
        <v>0.18280509599686678</v>
      </c>
      <c r="CY298" s="735">
        <f t="shared" si="486"/>
        <v>0.11099438356561642</v>
      </c>
      <c r="CZ298" s="735">
        <f t="shared" si="486"/>
        <v>0.11978337157101127</v>
      </c>
      <c r="DA298" s="735">
        <f t="shared" si="486"/>
        <v>0.11000000000000032</v>
      </c>
      <c r="DF298" s="234"/>
    </row>
    <row r="299" spans="9:110" ht="12.75" customHeight="1">
      <c r="I299" s="191" t="s">
        <v>140</v>
      </c>
      <c r="J299" s="80"/>
      <c r="K299" s="80"/>
      <c r="P299" s="234"/>
      <c r="T299" s="234"/>
      <c r="X299" s="234"/>
      <c r="AB299" s="234"/>
      <c r="AF299" s="249"/>
      <c r="AJ299" s="179"/>
      <c r="AN299" s="179"/>
      <c r="AR299" s="162"/>
      <c r="AS299" s="33"/>
      <c r="AT299" s="33"/>
      <c r="AU299" s="33"/>
      <c r="AV299" s="162"/>
      <c r="AW299" s="161"/>
      <c r="AX299" s="161"/>
      <c r="AY299" s="161"/>
      <c r="AZ299" s="162"/>
      <c r="BA299" s="33"/>
      <c r="BB299" s="33"/>
      <c r="BC299" s="33"/>
      <c r="BD299" s="162"/>
      <c r="BE299" s="735">
        <f t="shared" ref="BE299:BL299" si="487">+BE288/BA288-1</f>
        <v>0.63026869531644203</v>
      </c>
      <c r="BF299" s="735">
        <f t="shared" si="487"/>
        <v>0.60026314014999471</v>
      </c>
      <c r="BG299" s="735">
        <f t="shared" si="487"/>
        <v>0.64092961613110777</v>
      </c>
      <c r="BH299" s="736">
        <f t="shared" si="487"/>
        <v>0.54507543934495351</v>
      </c>
      <c r="BI299" s="1215">
        <f t="shared" si="487"/>
        <v>4.5436427324992881</v>
      </c>
      <c r="BJ299" s="1220">
        <f t="shared" si="487"/>
        <v>3.9778206070822195</v>
      </c>
      <c r="BK299" s="1220">
        <f t="shared" si="487"/>
        <v>2.2328022805950565</v>
      </c>
      <c r="BL299" s="1220">
        <f t="shared" si="487"/>
        <v>3.0092903183215816</v>
      </c>
      <c r="BM299" s="223"/>
      <c r="BN299" s="112"/>
      <c r="BO299" s="112"/>
      <c r="BP299" s="798"/>
      <c r="BQ299" s="223"/>
      <c r="BR299" s="112"/>
      <c r="BS299" s="112"/>
      <c r="BT299" s="906"/>
      <c r="BU299" s="223"/>
      <c r="BV299" s="112"/>
      <c r="BW299" s="112"/>
      <c r="BX299" s="906"/>
      <c r="BY299" s="223"/>
      <c r="BZ299" s="112"/>
      <c r="CA299" s="112"/>
      <c r="CB299" s="906"/>
      <c r="CC299" s="223"/>
      <c r="CD299" s="112"/>
      <c r="CE299" s="112"/>
      <c r="CF299" s="906"/>
      <c r="CG299" s="234"/>
      <c r="CH299" s="160"/>
      <c r="CM299" s="30"/>
      <c r="CN299" s="33"/>
      <c r="CO299" s="33"/>
      <c r="CP299" s="161"/>
      <c r="CQ299" s="33"/>
      <c r="CR299" s="938">
        <f>+CR288/CQ288-1</f>
        <v>1.3682269033263239</v>
      </c>
      <c r="CS299" s="459">
        <v>0.35</v>
      </c>
      <c r="CT299" s="459">
        <v>0.26</v>
      </c>
      <c r="CU299" s="459">
        <v>0.22</v>
      </c>
      <c r="CV299" s="459">
        <v>0.2</v>
      </c>
      <c r="CW299" s="459">
        <v>0.35</v>
      </c>
      <c r="CX299" s="459">
        <v>0.25</v>
      </c>
      <c r="CY299" s="459">
        <v>0.25</v>
      </c>
      <c r="CZ299" s="459">
        <v>0.2</v>
      </c>
      <c r="DA299" s="459">
        <v>0.15</v>
      </c>
      <c r="DF299" s="234"/>
    </row>
    <row r="300" spans="9:110" ht="12.75" customHeight="1">
      <c r="I300" s="178" t="s">
        <v>479</v>
      </c>
      <c r="J300" s="80"/>
      <c r="K300" s="80"/>
      <c r="P300" s="234"/>
      <c r="T300" s="234"/>
      <c r="X300" s="234"/>
      <c r="AB300" s="234"/>
      <c r="AF300" s="249"/>
      <c r="AJ300" s="179"/>
      <c r="AN300" s="179"/>
      <c r="AR300" s="162"/>
      <c r="AS300" s="33"/>
      <c r="AT300" s="33"/>
      <c r="AU300" s="33"/>
      <c r="AV300" s="162"/>
      <c r="AW300" s="161"/>
      <c r="AX300" s="161"/>
      <c r="AY300" s="161"/>
      <c r="AZ300" s="162"/>
      <c r="BA300" s="33"/>
      <c r="BB300" s="33"/>
      <c r="BC300" s="33"/>
      <c r="BD300" s="162"/>
      <c r="BE300" s="735"/>
      <c r="BF300" s="735"/>
      <c r="BG300" s="735"/>
      <c r="BH300" s="736"/>
      <c r="BI300" s="1215"/>
      <c r="BJ300" s="1220"/>
      <c r="BK300" s="1220"/>
      <c r="BL300" s="1220"/>
      <c r="BM300" s="223"/>
      <c r="BN300" s="112"/>
      <c r="BO300" s="112"/>
      <c r="BP300" s="798"/>
      <c r="BQ300" s="223"/>
      <c r="BR300" s="112"/>
      <c r="BS300" s="112"/>
      <c r="BT300" s="906"/>
      <c r="BU300" s="223"/>
      <c r="BV300" s="112"/>
      <c r="BW300" s="112"/>
      <c r="BX300" s="906"/>
      <c r="BY300" s="223"/>
      <c r="BZ300" s="112"/>
      <c r="CA300" s="112"/>
      <c r="CB300" s="906"/>
      <c r="CC300" s="223"/>
      <c r="CD300" s="112"/>
      <c r="CE300" s="112"/>
      <c r="CF300" s="906"/>
      <c r="CG300" s="234"/>
      <c r="CH300" s="160"/>
      <c r="CM300" s="30"/>
      <c r="CN300" s="33"/>
      <c r="CO300" s="33"/>
      <c r="CP300" s="161"/>
      <c r="CQ300" s="33"/>
      <c r="CR300" s="939">
        <f>+CR289/CQ289-1</f>
        <v>0.65769731504998585</v>
      </c>
      <c r="CS300" s="939">
        <f t="shared" ref="CS300:DA300" si="488">+CS289/CR289-1</f>
        <v>0.39353107156830958</v>
      </c>
      <c r="CT300" s="939">
        <f t="shared" si="488"/>
        <v>0.3135482947814614</v>
      </c>
      <c r="CU300" s="939">
        <f t="shared" si="488"/>
        <v>0.26401845604289331</v>
      </c>
      <c r="CV300" s="939">
        <f t="shared" si="488"/>
        <v>0.24282857202892183</v>
      </c>
      <c r="CW300" s="939">
        <f t="shared" si="488"/>
        <v>0.24629224464416533</v>
      </c>
      <c r="CX300" s="939">
        <f t="shared" si="488"/>
        <v>0.19009727982360602</v>
      </c>
      <c r="CY300" s="939">
        <f t="shared" si="488"/>
        <v>0.13442804296298672</v>
      </c>
      <c r="CZ300" s="939">
        <f t="shared" si="488"/>
        <v>0.11962343785708995</v>
      </c>
      <c r="DA300" s="939">
        <f t="shared" si="488"/>
        <v>9.8969465068839302E-2</v>
      </c>
      <c r="DF300" s="234"/>
    </row>
    <row r="301" spans="9:110" ht="12.75" customHeight="1">
      <c r="I301" s="191" t="s">
        <v>477</v>
      </c>
      <c r="J301" s="80"/>
      <c r="K301" s="80"/>
      <c r="P301" s="234"/>
      <c r="T301" s="234"/>
      <c r="X301" s="234"/>
      <c r="AB301" s="234"/>
      <c r="AF301" s="249"/>
      <c r="AJ301" s="179"/>
      <c r="AN301" s="179"/>
      <c r="AR301" s="162"/>
      <c r="AS301" s="33"/>
      <c r="AT301" s="33"/>
      <c r="AU301" s="33"/>
      <c r="AV301" s="162"/>
      <c r="AW301" s="161"/>
      <c r="AX301" s="161"/>
      <c r="AY301" s="161"/>
      <c r="AZ301" s="162"/>
      <c r="BA301" s="33"/>
      <c r="BB301" s="33"/>
      <c r="BC301" s="33"/>
      <c r="BD301" s="162"/>
      <c r="BE301" s="735"/>
      <c r="BF301" s="735"/>
      <c r="BG301" s="735"/>
      <c r="BH301" s="736"/>
      <c r="BI301" s="1215"/>
      <c r="BJ301" s="1220"/>
      <c r="BK301" s="1220"/>
      <c r="BL301" s="1220"/>
      <c r="BM301" s="223"/>
      <c r="BN301" s="112"/>
      <c r="BO301" s="112"/>
      <c r="BP301" s="798"/>
      <c r="BQ301" s="223"/>
      <c r="BR301" s="112"/>
      <c r="BS301" s="112"/>
      <c r="BT301" s="906"/>
      <c r="BU301" s="223"/>
      <c r="BV301" s="112"/>
      <c r="BW301" s="112"/>
      <c r="BX301" s="906"/>
      <c r="BY301" s="223"/>
      <c r="BZ301" s="112"/>
      <c r="CA301" s="112"/>
      <c r="CB301" s="906"/>
      <c r="CC301" s="223"/>
      <c r="CD301" s="112"/>
      <c r="CE301" s="112"/>
      <c r="CF301" s="906"/>
      <c r="CG301" s="234"/>
      <c r="CH301" s="160"/>
      <c r="CM301" s="30"/>
      <c r="CN301" s="33"/>
      <c r="CO301" s="33"/>
      <c r="CP301" s="161"/>
      <c r="CQ301" s="33"/>
      <c r="CR301" s="1371"/>
      <c r="CS301" s="1371"/>
      <c r="CT301" s="938">
        <f t="shared" ref="CT301:DA302" si="489">+CT290/CS290-1</f>
        <v>2.1799949673769823</v>
      </c>
      <c r="CU301" s="938">
        <f t="shared" si="489"/>
        <v>0.58399724499682604</v>
      </c>
      <c r="CV301" s="938">
        <f t="shared" si="489"/>
        <v>0.40305009245406365</v>
      </c>
      <c r="CW301" s="938">
        <f t="shared" si="489"/>
        <v>0.62320004289760922</v>
      </c>
      <c r="CX301" s="938">
        <f t="shared" si="489"/>
        <v>0.33928260175128333</v>
      </c>
      <c r="CY301" s="938">
        <f t="shared" si="489"/>
        <v>0.360850448244314</v>
      </c>
      <c r="CZ301" s="938">
        <f t="shared" si="489"/>
        <v>0.28651497067988663</v>
      </c>
      <c r="DA301" s="938">
        <f t="shared" si="489"/>
        <v>0.24038882673903705</v>
      </c>
      <c r="DF301" s="234"/>
    </row>
    <row r="302" spans="9:110" ht="12.75" customHeight="1">
      <c r="I302" s="178" t="s">
        <v>320</v>
      </c>
      <c r="J302" s="8"/>
      <c r="K302" s="8"/>
      <c r="P302" s="234"/>
      <c r="T302" s="234"/>
      <c r="X302" s="234"/>
      <c r="AB302" s="234"/>
      <c r="AF302" s="249"/>
      <c r="AJ302" s="179"/>
      <c r="AN302" s="179"/>
      <c r="AR302" s="162"/>
      <c r="AS302" s="33"/>
      <c r="AT302" s="33"/>
      <c r="AU302" s="33"/>
      <c r="AV302" s="162"/>
      <c r="AW302" s="161"/>
      <c r="AX302" s="161"/>
      <c r="AY302" s="161"/>
      <c r="AZ302" s="162"/>
      <c r="BA302" s="33"/>
      <c r="BB302" s="33"/>
      <c r="BC302" s="33"/>
      <c r="BD302" s="162"/>
      <c r="BE302" s="33"/>
      <c r="BF302" s="33"/>
      <c r="BG302" s="33"/>
      <c r="BH302" s="162"/>
      <c r="BI302" s="33"/>
      <c r="BJ302" s="33"/>
      <c r="BK302" s="33"/>
      <c r="BL302" s="33"/>
      <c r="BM302" s="223"/>
      <c r="BN302" s="112"/>
      <c r="BO302" s="112"/>
      <c r="BP302" s="798"/>
      <c r="BQ302" s="223"/>
      <c r="BR302" s="112"/>
      <c r="BS302" s="112"/>
      <c r="BT302" s="906"/>
      <c r="BU302" s="223"/>
      <c r="BV302" s="112"/>
      <c r="BW302" s="112"/>
      <c r="BX302" s="906"/>
      <c r="BY302" s="223"/>
      <c r="BZ302" s="112"/>
      <c r="CA302" s="112"/>
      <c r="CB302" s="906"/>
      <c r="CC302" s="223"/>
      <c r="CD302" s="112"/>
      <c r="CE302" s="112"/>
      <c r="CF302" s="906"/>
      <c r="CG302" s="234"/>
      <c r="CH302" s="160"/>
      <c r="CM302" s="30"/>
      <c r="CN302" s="33"/>
      <c r="CO302" s="33"/>
      <c r="CP302" s="161"/>
      <c r="CQ302" s="33"/>
      <c r="CR302" s="939">
        <f>+CR291/CQ291-1</f>
        <v>0.65769731504998585</v>
      </c>
      <c r="CS302" s="939">
        <f>+CS291/CR291-1</f>
        <v>0.46231047844946782</v>
      </c>
      <c r="CT302" s="939">
        <f t="shared" si="489"/>
        <v>0.40133614627285508</v>
      </c>
      <c r="CU302" s="939">
        <f t="shared" si="489"/>
        <v>0.29817108445827256</v>
      </c>
      <c r="CV302" s="939">
        <f t="shared" si="489"/>
        <v>0.26369491213443541</v>
      </c>
      <c r="CW302" s="939">
        <f t="shared" si="489"/>
        <v>0.3007916164077522</v>
      </c>
      <c r="CX302" s="939">
        <f t="shared" si="489"/>
        <v>0.21701552751058628</v>
      </c>
      <c r="CY302" s="939">
        <f t="shared" si="489"/>
        <v>0.17938699675540937</v>
      </c>
      <c r="CZ302" s="939">
        <f t="shared" si="489"/>
        <v>0.15786055714476022</v>
      </c>
      <c r="DA302" s="939">
        <f t="shared" si="489"/>
        <v>0.13497077635876997</v>
      </c>
      <c r="DB302" s="939"/>
      <c r="DF302" s="234"/>
    </row>
    <row r="303" spans="9:110" ht="12.75" customHeight="1">
      <c r="I303" s="178"/>
      <c r="J303" s="8"/>
      <c r="K303" s="8"/>
      <c r="P303" s="234"/>
      <c r="T303" s="234"/>
      <c r="X303" s="234"/>
      <c r="AB303" s="234"/>
      <c r="AF303" s="249"/>
      <c r="AJ303" s="179"/>
      <c r="AN303" s="179"/>
      <c r="AR303" s="162"/>
      <c r="AS303" s="33"/>
      <c r="AT303" s="33"/>
      <c r="AU303" s="33"/>
      <c r="AV303" s="162"/>
      <c r="AW303" s="161"/>
      <c r="AX303" s="161"/>
      <c r="AY303" s="161"/>
      <c r="AZ303" s="162"/>
      <c r="BA303" s="33"/>
      <c r="BB303" s="33"/>
      <c r="BC303" s="33"/>
      <c r="BD303" s="162"/>
      <c r="BE303" s="33"/>
      <c r="BF303" s="33"/>
      <c r="BG303" s="33"/>
      <c r="BH303" s="162"/>
      <c r="BI303" s="33"/>
      <c r="BJ303" s="33"/>
      <c r="BK303" s="33"/>
      <c r="BL303" s="33"/>
      <c r="BM303" s="223"/>
      <c r="BN303" s="112"/>
      <c r="BO303" s="112"/>
      <c r="BP303" s="798"/>
      <c r="BQ303" s="223"/>
      <c r="BR303" s="112"/>
      <c r="BS303" s="112"/>
      <c r="BT303" s="906"/>
      <c r="BU303" s="223"/>
      <c r="BV303" s="112"/>
      <c r="BW303" s="112"/>
      <c r="BX303" s="906"/>
      <c r="BY303" s="223"/>
      <c r="BZ303" s="112"/>
      <c r="CA303" s="112"/>
      <c r="CB303" s="906"/>
      <c r="CC303" s="223"/>
      <c r="CD303" s="112"/>
      <c r="CE303" s="112"/>
      <c r="CF303" s="906"/>
      <c r="CG303" s="234"/>
      <c r="CH303" s="160"/>
      <c r="CM303" s="30"/>
      <c r="CN303" s="33"/>
      <c r="CO303" s="33"/>
      <c r="CP303" s="161"/>
      <c r="CQ303" s="33"/>
      <c r="CR303" s="939"/>
      <c r="CS303" s="939"/>
      <c r="CT303" s="939"/>
      <c r="CU303" s="939"/>
      <c r="CV303" s="939"/>
      <c r="CW303" s="939"/>
      <c r="CX303" s="939"/>
      <c r="CY303" s="939"/>
      <c r="CZ303" s="939"/>
      <c r="DA303" s="939"/>
      <c r="DF303" s="234"/>
    </row>
    <row r="304" spans="9:110" ht="12.75" customHeight="1">
      <c r="I304" s="178" t="s">
        <v>385</v>
      </c>
      <c r="J304" s="8"/>
      <c r="K304" s="8"/>
      <c r="P304" s="234"/>
      <c r="T304" s="234"/>
      <c r="X304" s="234"/>
      <c r="AB304" s="234"/>
      <c r="AF304" s="249"/>
      <c r="AJ304" s="179"/>
      <c r="AN304" s="179"/>
      <c r="AR304" s="162"/>
      <c r="AS304" s="33"/>
      <c r="AT304" s="33"/>
      <c r="AU304" s="33"/>
      <c r="AV304" s="162"/>
      <c r="AW304" s="161"/>
      <c r="AX304" s="161"/>
      <c r="AY304" s="161"/>
      <c r="AZ304" s="162"/>
      <c r="BA304" s="33"/>
      <c r="BB304" s="33"/>
      <c r="BC304" s="33"/>
      <c r="BD304" s="162"/>
      <c r="BE304" s="33"/>
      <c r="BF304" s="33"/>
      <c r="BG304" s="33"/>
      <c r="BH304" s="162"/>
      <c r="BI304" s="33"/>
      <c r="BJ304" s="33"/>
      <c r="BK304" s="33"/>
      <c r="BL304" s="33"/>
      <c r="BM304" s="1595"/>
      <c r="BN304" s="33"/>
      <c r="BO304" s="33"/>
      <c r="BP304" s="33"/>
      <c r="BQ304" s="1595"/>
      <c r="BR304" s="33"/>
      <c r="BS304" s="33"/>
      <c r="BT304" s="162"/>
      <c r="BU304" s="1595"/>
      <c r="BV304" s="33"/>
      <c r="BW304" s="33"/>
      <c r="BX304" s="162"/>
      <c r="BY304" s="1595"/>
      <c r="BZ304" s="33"/>
      <c r="CA304" s="33"/>
      <c r="CB304" s="162"/>
      <c r="CC304" s="1595"/>
      <c r="CD304" s="33"/>
      <c r="CE304" s="33"/>
      <c r="CF304" s="162"/>
      <c r="CG304" s="234"/>
      <c r="CH304" s="160"/>
      <c r="CM304" s="30"/>
      <c r="CN304" s="33"/>
      <c r="CO304" s="33"/>
      <c r="CP304" s="161"/>
      <c r="CQ304" s="123">
        <v>2010</v>
      </c>
      <c r="CR304" s="123">
        <v>2011</v>
      </c>
      <c r="CS304" s="831">
        <v>2012</v>
      </c>
      <c r="CT304" s="831">
        <v>2013</v>
      </c>
      <c r="CU304" s="831">
        <v>2014</v>
      </c>
      <c r="CV304" s="831">
        <v>2015</v>
      </c>
      <c r="CW304" s="831" t="s">
        <v>19</v>
      </c>
      <c r="CX304" s="831" t="s">
        <v>20</v>
      </c>
      <c r="CY304" s="831" t="str">
        <f>+CY281</f>
        <v>2018E</v>
      </c>
      <c r="CZ304" s="831" t="str">
        <f>+CZ281</f>
        <v>2019E</v>
      </c>
      <c r="DA304" s="831" t="str">
        <f>+DA281</f>
        <v>2020E</v>
      </c>
      <c r="DF304" s="234"/>
    </row>
    <row r="305" spans="1:110" ht="12.75" customHeight="1">
      <c r="I305" s="185" t="s">
        <v>318</v>
      </c>
      <c r="J305" s="70"/>
      <c r="K305" s="70"/>
      <c r="P305" s="234"/>
      <c r="T305" s="234"/>
      <c r="X305" s="234"/>
      <c r="AB305" s="234"/>
      <c r="AF305" s="249"/>
      <c r="AJ305" s="179"/>
      <c r="AN305" s="179"/>
      <c r="AR305" s="162"/>
      <c r="AS305" s="33"/>
      <c r="AT305" s="33"/>
      <c r="AU305" s="33"/>
      <c r="AV305" s="162"/>
      <c r="AW305" s="161"/>
      <c r="AX305" s="161"/>
      <c r="AY305" s="161"/>
      <c r="AZ305" s="162"/>
      <c r="BA305" s="33"/>
      <c r="BB305" s="33"/>
      <c r="BC305" s="33"/>
      <c r="BD305" s="162"/>
      <c r="BE305" s="33"/>
      <c r="BF305" s="33"/>
      <c r="BG305" s="33"/>
      <c r="BH305" s="162"/>
      <c r="BI305" s="33"/>
      <c r="BJ305" s="33"/>
      <c r="BK305" s="33"/>
      <c r="BL305" s="33"/>
      <c r="BM305" s="223"/>
      <c r="BN305" s="112"/>
      <c r="BO305" s="112"/>
      <c r="BP305" s="798"/>
      <c r="BQ305" s="223"/>
      <c r="BR305" s="112"/>
      <c r="BS305" s="112"/>
      <c r="BT305" s="906"/>
      <c r="BU305" s="223"/>
      <c r="BV305" s="112"/>
      <c r="BW305" s="112"/>
      <c r="BX305" s="906"/>
      <c r="BY305" s="223"/>
      <c r="BZ305" s="112"/>
      <c r="CA305" s="112"/>
      <c r="CB305" s="906"/>
      <c r="CC305" s="223"/>
      <c r="CD305" s="112"/>
      <c r="CE305" s="112"/>
      <c r="CF305" s="906"/>
      <c r="CG305" s="234"/>
      <c r="CH305" s="160"/>
      <c r="CM305" s="30"/>
      <c r="CN305" s="33"/>
      <c r="CO305" s="33"/>
      <c r="CP305" s="161"/>
      <c r="CQ305" s="33">
        <f t="shared" ref="CQ305:DA305" si="490">+(CQ283-CP283)</f>
        <v>21.972544389471828</v>
      </c>
      <c r="CR305" s="33">
        <f t="shared" si="490"/>
        <v>33.448935369025534</v>
      </c>
      <c r="CS305" s="33">
        <f t="shared" si="490"/>
        <v>26.151998119798535</v>
      </c>
      <c r="CT305" s="33">
        <f t="shared" si="490"/>
        <v>31.083517765246242</v>
      </c>
      <c r="CU305" s="33">
        <f t="shared" si="490"/>
        <v>33.139812017408701</v>
      </c>
      <c r="CV305" s="33">
        <f t="shared" si="490"/>
        <v>36.755064237489648</v>
      </c>
      <c r="CW305" s="33">
        <f t="shared" si="490"/>
        <v>41.900773230738167</v>
      </c>
      <c r="CX305" s="33">
        <f t="shared" si="490"/>
        <v>41.988985384908119</v>
      </c>
      <c r="CY305" s="33">
        <f t="shared" si="490"/>
        <v>38.052518005073011</v>
      </c>
      <c r="CZ305" s="33">
        <f t="shared" si="490"/>
        <v>34.247266204565733</v>
      </c>
      <c r="DA305" s="33">
        <f t="shared" si="490"/>
        <v>30.137594260017863</v>
      </c>
      <c r="DF305" s="234"/>
    </row>
    <row r="306" spans="1:110" ht="12.75" customHeight="1">
      <c r="I306" s="185" t="s">
        <v>305</v>
      </c>
      <c r="J306" s="70"/>
      <c r="K306" s="70"/>
      <c r="P306" s="234"/>
      <c r="T306" s="234"/>
      <c r="X306" s="234"/>
      <c r="AB306" s="234"/>
      <c r="AF306" s="249"/>
      <c r="AJ306" s="179"/>
      <c r="AN306" s="179"/>
      <c r="AR306" s="162"/>
      <c r="AS306" s="33"/>
      <c r="AT306" s="33"/>
      <c r="AU306" s="33"/>
      <c r="AV306" s="162"/>
      <c r="AW306" s="161"/>
      <c r="AX306" s="161"/>
      <c r="AY306" s="161"/>
      <c r="AZ306" s="162"/>
      <c r="BA306" s="24"/>
      <c r="BB306" s="24"/>
      <c r="BC306" s="24"/>
      <c r="BD306" s="162"/>
      <c r="BE306" s="24"/>
      <c r="BF306" s="24"/>
      <c r="BG306" s="24"/>
      <c r="BH306" s="216"/>
      <c r="BI306" s="33"/>
      <c r="BJ306" s="33"/>
      <c r="BK306" s="33"/>
      <c r="BL306" s="33"/>
      <c r="BM306" s="223"/>
      <c r="BN306" s="112"/>
      <c r="BO306" s="112"/>
      <c r="BP306" s="798"/>
      <c r="BQ306" s="223"/>
      <c r="BR306" s="112"/>
      <c r="BS306" s="112"/>
      <c r="BT306" s="906"/>
      <c r="BU306" s="223"/>
      <c r="BV306" s="112"/>
      <c r="BW306" s="112"/>
      <c r="BX306" s="906"/>
      <c r="BY306" s="223"/>
      <c r="BZ306" s="112"/>
      <c r="CA306" s="112"/>
      <c r="CB306" s="906"/>
      <c r="CC306" s="223"/>
      <c r="CD306" s="112"/>
      <c r="CE306" s="112"/>
      <c r="CF306" s="906"/>
      <c r="CG306" s="234"/>
      <c r="CH306" s="160"/>
      <c r="CM306" s="30"/>
      <c r="CN306" s="33"/>
      <c r="CO306" s="33"/>
      <c r="CP306" s="161"/>
      <c r="CQ306" s="24"/>
      <c r="CR306" s="24"/>
      <c r="CS306" s="76"/>
      <c r="CT306" s="76"/>
      <c r="CU306" s="76"/>
      <c r="CV306" s="76"/>
      <c r="CW306" s="76"/>
      <c r="CX306" s="76"/>
      <c r="CY306" s="33"/>
      <c r="CZ306" s="33"/>
      <c r="DA306" s="33"/>
      <c r="DF306" s="234"/>
    </row>
    <row r="307" spans="1:110" ht="12.75" customHeight="1">
      <c r="I307" s="722" t="s">
        <v>298</v>
      </c>
      <c r="J307" s="710"/>
      <c r="K307" s="710"/>
      <c r="P307" s="234"/>
      <c r="T307" s="234"/>
      <c r="X307" s="234"/>
      <c r="AB307" s="234"/>
      <c r="AF307" s="249"/>
      <c r="AJ307" s="179"/>
      <c r="AN307" s="179"/>
      <c r="AR307" s="162"/>
      <c r="AS307" s="33"/>
      <c r="AT307" s="33"/>
      <c r="AU307" s="33"/>
      <c r="AV307" s="162"/>
      <c r="AW307" s="161"/>
      <c r="AX307" s="161"/>
      <c r="AY307" s="161"/>
      <c r="AZ307" s="162"/>
      <c r="BA307" s="33"/>
      <c r="BB307" s="33"/>
      <c r="BC307" s="33"/>
      <c r="BD307" s="162"/>
      <c r="BE307" s="24"/>
      <c r="BF307" s="24"/>
      <c r="BG307" s="24"/>
      <c r="BH307" s="216"/>
      <c r="BI307" s="33"/>
      <c r="BJ307" s="33"/>
      <c r="BK307" s="33"/>
      <c r="BL307" s="33"/>
      <c r="BM307" s="223"/>
      <c r="BN307" s="112"/>
      <c r="BO307" s="112"/>
      <c r="BP307" s="798"/>
      <c r="BQ307" s="223"/>
      <c r="BR307" s="112"/>
      <c r="BS307" s="112"/>
      <c r="BT307" s="906"/>
      <c r="BU307" s="223"/>
      <c r="BV307" s="112"/>
      <c r="BW307" s="112"/>
      <c r="BX307" s="906"/>
      <c r="BY307" s="223"/>
      <c r="BZ307" s="112"/>
      <c r="CA307" s="112"/>
      <c r="CB307" s="906"/>
      <c r="CC307" s="223"/>
      <c r="CD307" s="112"/>
      <c r="CE307" s="112"/>
      <c r="CF307" s="906"/>
      <c r="CG307" s="234"/>
      <c r="CH307" s="160"/>
      <c r="CM307" s="30"/>
      <c r="CN307" s="33"/>
      <c r="CO307" s="33"/>
      <c r="CP307" s="161"/>
      <c r="CQ307" s="33">
        <f t="shared" ref="CQ307:DA307" si="491">+(CQ285-CP285)</f>
        <v>3.6363792568164151</v>
      </c>
      <c r="CR307" s="33">
        <f t="shared" si="491"/>
        <v>5.9239658800775947</v>
      </c>
      <c r="CS307" s="33">
        <f t="shared" si="491"/>
        <v>9.0384554700581763</v>
      </c>
      <c r="CT307" s="33">
        <f t="shared" si="491"/>
        <v>8.3741400582930936</v>
      </c>
      <c r="CU307" s="33">
        <f t="shared" si="491"/>
        <v>8.3089169196667854</v>
      </c>
      <c r="CV307" s="33">
        <f t="shared" si="491"/>
        <v>8.8945939490625676</v>
      </c>
      <c r="CW307" s="33">
        <f t="shared" si="491"/>
        <v>14.746533345917754</v>
      </c>
      <c r="CX307" s="33">
        <f t="shared" si="491"/>
        <v>15.447130231860427</v>
      </c>
      <c r="CY307" s="33">
        <f t="shared" si="491"/>
        <v>9.2377964902144498</v>
      </c>
      <c r="CZ307" s="33">
        <f t="shared" si="491"/>
        <v>10.914126377591515</v>
      </c>
      <c r="DA307" s="33">
        <f t="shared" si="491"/>
        <v>10.475720670540483</v>
      </c>
      <c r="DF307" s="234"/>
    </row>
    <row r="308" spans="1:110" ht="12.75" customHeight="1">
      <c r="I308" s="722" t="s">
        <v>299</v>
      </c>
      <c r="J308" s="710"/>
      <c r="K308" s="710"/>
      <c r="P308" s="234"/>
      <c r="T308" s="234"/>
      <c r="X308" s="234"/>
      <c r="AB308" s="234"/>
      <c r="AF308" s="249"/>
      <c r="AJ308" s="179"/>
      <c r="AN308" s="179"/>
      <c r="AR308" s="162"/>
      <c r="AS308" s="33"/>
      <c r="AT308" s="33"/>
      <c r="AU308" s="33"/>
      <c r="AV308" s="162"/>
      <c r="AW308" s="161"/>
      <c r="AX308" s="161"/>
      <c r="AY308" s="161"/>
      <c r="AZ308" s="162"/>
      <c r="BA308" s="33"/>
      <c r="BB308" s="33"/>
      <c r="BC308" s="33"/>
      <c r="BD308" s="162"/>
      <c r="BE308" s="33"/>
      <c r="BF308" s="33"/>
      <c r="BG308" s="33"/>
      <c r="BH308" s="162"/>
      <c r="BI308" s="33"/>
      <c r="BJ308" s="33"/>
      <c r="BK308" s="33"/>
      <c r="BL308" s="33"/>
      <c r="BM308" s="220"/>
      <c r="BN308" s="111"/>
      <c r="BO308" s="111"/>
      <c r="BP308" s="38"/>
      <c r="BQ308" s="220"/>
      <c r="BR308" s="111"/>
      <c r="BS308" s="111"/>
      <c r="BT308" s="216"/>
      <c r="BU308" s="220"/>
      <c r="BV308" s="111"/>
      <c r="BW308" s="111"/>
      <c r="BX308" s="216"/>
      <c r="BY308" s="220"/>
      <c r="BZ308" s="111"/>
      <c r="CA308" s="111"/>
      <c r="CB308" s="216"/>
      <c r="CC308" s="220"/>
      <c r="CD308" s="111"/>
      <c r="CE308" s="111"/>
      <c r="CF308" s="216"/>
      <c r="CG308" s="234"/>
      <c r="CH308" s="160"/>
      <c r="CM308" s="30"/>
      <c r="CN308" s="33"/>
      <c r="CO308" s="33"/>
      <c r="CP308" s="161"/>
      <c r="CQ308" s="33">
        <f t="shared" ref="CQ308:DA308" si="492">+(CQ286-CP286)</f>
        <v>0.93184844580310888</v>
      </c>
      <c r="CR308" s="33">
        <f t="shared" si="492"/>
        <v>2.0121790245513447</v>
      </c>
      <c r="CS308" s="33">
        <f t="shared" si="492"/>
        <v>2.6621279791725883</v>
      </c>
      <c r="CT308" s="33">
        <f t="shared" si="492"/>
        <v>3.6944286311546284</v>
      </c>
      <c r="CU308" s="33">
        <f t="shared" si="492"/>
        <v>4.4047208862699367</v>
      </c>
      <c r="CV308" s="33">
        <f t="shared" si="492"/>
        <v>7.6287754579210549</v>
      </c>
      <c r="CW308" s="33">
        <f t="shared" si="492"/>
        <v>7.5173617974519331</v>
      </c>
      <c r="CX308" s="33">
        <f t="shared" si="492"/>
        <v>8.4082126172331826</v>
      </c>
      <c r="CY308" s="33">
        <f t="shared" si="492"/>
        <v>6.4592161550832472</v>
      </c>
      <c r="CZ308" s="33">
        <f t="shared" si="492"/>
        <v>7.8348734323467752</v>
      </c>
      <c r="DA308" s="33">
        <f t="shared" si="492"/>
        <v>7.8403574460923409</v>
      </c>
      <c r="DF308" s="234"/>
    </row>
    <row r="309" spans="1:110" ht="12.75" customHeight="1">
      <c r="I309" s="185" t="s">
        <v>319</v>
      </c>
      <c r="J309" s="70"/>
      <c r="K309" s="70"/>
      <c r="P309" s="234"/>
      <c r="T309" s="234"/>
      <c r="X309" s="234"/>
      <c r="AB309" s="234"/>
      <c r="AF309" s="249"/>
      <c r="AJ309" s="179"/>
      <c r="AN309" s="179"/>
      <c r="AR309" s="162"/>
      <c r="AS309" s="33"/>
      <c r="AT309" s="33"/>
      <c r="AU309" s="33"/>
      <c r="AV309" s="162"/>
      <c r="AW309" s="161"/>
      <c r="AX309" s="161"/>
      <c r="AY309" s="161"/>
      <c r="AZ309" s="162"/>
      <c r="BA309" s="33"/>
      <c r="BB309" s="33"/>
      <c r="BC309" s="33"/>
      <c r="BD309" s="162"/>
      <c r="BE309" s="33"/>
      <c r="BF309" s="33"/>
      <c r="BG309" s="33"/>
      <c r="BH309" s="162"/>
      <c r="BI309" s="33"/>
      <c r="BJ309" s="33"/>
      <c r="BK309" s="33"/>
      <c r="BL309" s="33"/>
      <c r="BM309" s="220"/>
      <c r="BN309" s="111"/>
      <c r="BO309" s="111"/>
      <c r="BP309" s="176"/>
      <c r="BQ309" s="220"/>
      <c r="BR309" s="111"/>
      <c r="BS309" s="111"/>
      <c r="BT309" s="215"/>
      <c r="BU309" s="220"/>
      <c r="BV309" s="111"/>
      <c r="BW309" s="111"/>
      <c r="BX309" s="215"/>
      <c r="BY309" s="220"/>
      <c r="BZ309" s="111"/>
      <c r="CA309" s="111"/>
      <c r="CB309" s="215"/>
      <c r="CC309" s="220"/>
      <c r="CD309" s="111"/>
      <c r="CE309" s="111"/>
      <c r="CF309" s="215"/>
      <c r="CG309" s="234"/>
      <c r="CH309" s="160"/>
      <c r="CM309" s="30"/>
      <c r="CN309" s="33"/>
      <c r="CO309" s="33"/>
      <c r="CP309" s="161"/>
      <c r="CQ309" s="33">
        <f t="shared" ref="CQ309:DA309" si="493">+(CQ287-CP287)</f>
        <v>1.4847784990762349</v>
      </c>
      <c r="CR309" s="33">
        <f t="shared" si="493"/>
        <v>1.9847582325007425</v>
      </c>
      <c r="CS309" s="33">
        <f t="shared" si="493"/>
        <v>7.0402423232281297</v>
      </c>
      <c r="CT309" s="33">
        <f t="shared" si="493"/>
        <v>7.0087821875524394</v>
      </c>
      <c r="CU309" s="33">
        <f t="shared" si="493"/>
        <v>9.7448628909833559</v>
      </c>
      <c r="CV309" s="33">
        <f t="shared" si="493"/>
        <v>11.526719422778882</v>
      </c>
      <c r="CW309" s="33">
        <f t="shared" si="493"/>
        <v>14.596726795629579</v>
      </c>
      <c r="CX309" s="33">
        <f t="shared" si="493"/>
        <v>9.9016616145112408</v>
      </c>
      <c r="CY309" s="33">
        <f t="shared" si="493"/>
        <v>7.1110539361325067</v>
      </c>
      <c r="CZ309" s="33">
        <f t="shared" si="493"/>
        <v>8.5259222066646885</v>
      </c>
      <c r="DA309" s="33">
        <f t="shared" si="493"/>
        <v>8.7674143481079341</v>
      </c>
      <c r="DF309" s="234"/>
    </row>
    <row r="310" spans="1:110" s="53" customFormat="1" ht="11.25">
      <c r="I310" s="191" t="s">
        <v>140</v>
      </c>
      <c r="J310" s="80"/>
      <c r="K310" s="80"/>
      <c r="P310" s="244"/>
      <c r="T310" s="244"/>
      <c r="X310" s="244"/>
      <c r="AB310" s="244"/>
      <c r="AC310" s="712"/>
      <c r="AD310" s="712"/>
      <c r="AE310" s="712"/>
      <c r="AF310" s="955"/>
      <c r="AG310" s="113"/>
      <c r="AH310" s="113"/>
      <c r="AI310" s="113"/>
      <c r="AJ310" s="253"/>
      <c r="AK310" s="113"/>
      <c r="AL310" s="113"/>
      <c r="AM310" s="113"/>
      <c r="AN310" s="253"/>
      <c r="AO310" s="113"/>
      <c r="AP310" s="113"/>
      <c r="AQ310" s="114"/>
      <c r="AR310" s="228"/>
      <c r="AS310" s="114"/>
      <c r="AT310" s="114"/>
      <c r="AU310" s="114"/>
      <c r="AV310" s="228"/>
      <c r="AW310" s="743"/>
      <c r="AX310" s="743"/>
      <c r="AY310" s="743"/>
      <c r="AZ310" s="228"/>
      <c r="BA310" s="114"/>
      <c r="BB310" s="114"/>
      <c r="BC310" s="114"/>
      <c r="BD310" s="228"/>
      <c r="BE310" s="114"/>
      <c r="BF310" s="114"/>
      <c r="BG310" s="114"/>
      <c r="BH310" s="228"/>
      <c r="BI310" s="114"/>
      <c r="BJ310" s="114"/>
      <c r="BK310" s="114"/>
      <c r="BL310" s="114"/>
      <c r="BM310" s="1614"/>
      <c r="BN310" s="1224"/>
      <c r="BO310" s="1224"/>
      <c r="BP310" s="1284"/>
      <c r="BQ310" s="1614"/>
      <c r="BR310" s="1224"/>
      <c r="BS310" s="1224"/>
      <c r="BT310" s="1285"/>
      <c r="BU310" s="1614"/>
      <c r="BV310" s="1224"/>
      <c r="BW310" s="1224"/>
      <c r="BX310" s="1285"/>
      <c r="BY310" s="1614"/>
      <c r="BZ310" s="1224"/>
      <c r="CA310" s="1224"/>
      <c r="CB310" s="1285"/>
      <c r="CC310" s="1614"/>
      <c r="CD310" s="1224"/>
      <c r="CE310" s="1224"/>
      <c r="CF310" s="1285"/>
      <c r="CG310" s="244"/>
      <c r="CH310" s="227"/>
      <c r="CM310" s="113"/>
      <c r="CN310" s="114"/>
      <c r="CO310" s="114"/>
      <c r="CP310" s="743"/>
      <c r="CQ310" s="114">
        <f t="shared" ref="CQ310:DA310" si="494">+(CQ288-CP288)</f>
        <v>1.2152408694558421</v>
      </c>
      <c r="CR310" s="114">
        <f t="shared" si="494"/>
        <v>4.8572286917219056</v>
      </c>
      <c r="CS310" s="114">
        <f t="shared" si="494"/>
        <v>2.942535972931605</v>
      </c>
      <c r="CT310" s="114">
        <f t="shared" si="494"/>
        <v>2.9509432185685522</v>
      </c>
      <c r="CU310" s="114">
        <f t="shared" si="494"/>
        <v>3.1461594622584705</v>
      </c>
      <c r="CV310" s="114">
        <f t="shared" si="494"/>
        <v>3.4893768581412132</v>
      </c>
      <c r="CW310" s="114">
        <f t="shared" si="494"/>
        <v>7.3276914020965513</v>
      </c>
      <c r="CX310" s="114">
        <f t="shared" si="494"/>
        <v>7.0659881377359604</v>
      </c>
      <c r="CY310" s="114">
        <f t="shared" si="494"/>
        <v>8.832485172169946</v>
      </c>
      <c r="CZ310" s="114">
        <f t="shared" si="494"/>
        <v>8.832485172169946</v>
      </c>
      <c r="DA310" s="114">
        <f t="shared" si="494"/>
        <v>7.9492366549529478</v>
      </c>
      <c r="DF310" s="244"/>
    </row>
    <row r="311" spans="1:110" s="53" customFormat="1" ht="11.25">
      <c r="I311" s="178" t="s">
        <v>479</v>
      </c>
      <c r="J311" s="80"/>
      <c r="K311" s="80"/>
      <c r="P311" s="244"/>
      <c r="T311" s="244"/>
      <c r="X311" s="244"/>
      <c r="AB311" s="244"/>
      <c r="AC311" s="712"/>
      <c r="AD311" s="712"/>
      <c r="AE311" s="712"/>
      <c r="AF311" s="955"/>
      <c r="AG311" s="113"/>
      <c r="AH311" s="113"/>
      <c r="AI311" s="113"/>
      <c r="AJ311" s="253"/>
      <c r="AK311" s="113"/>
      <c r="AL311" s="113"/>
      <c r="AM311" s="113"/>
      <c r="AN311" s="253"/>
      <c r="AO311" s="113"/>
      <c r="AP311" s="113"/>
      <c r="AQ311" s="114"/>
      <c r="AR311" s="228"/>
      <c r="AS311" s="114"/>
      <c r="AT311" s="114"/>
      <c r="AU311" s="114"/>
      <c r="AV311" s="228"/>
      <c r="AW311" s="743"/>
      <c r="AX311" s="743"/>
      <c r="AY311" s="743"/>
      <c r="AZ311" s="228"/>
      <c r="BA311" s="114"/>
      <c r="BB311" s="114"/>
      <c r="BC311" s="114"/>
      <c r="BD311" s="228"/>
      <c r="BE311" s="114"/>
      <c r="BF311" s="114"/>
      <c r="BG311" s="114"/>
      <c r="BH311" s="228"/>
      <c r="BI311" s="114"/>
      <c r="BJ311" s="114"/>
      <c r="BK311" s="114"/>
      <c r="BL311" s="114"/>
      <c r="BM311" s="1614"/>
      <c r="BN311" s="1224"/>
      <c r="BO311" s="1224"/>
      <c r="BP311" s="1284"/>
      <c r="BQ311" s="1614"/>
      <c r="BR311" s="1224"/>
      <c r="BS311" s="1224"/>
      <c r="BT311" s="1285"/>
      <c r="BU311" s="1614"/>
      <c r="BV311" s="1224"/>
      <c r="BW311" s="1224"/>
      <c r="BX311" s="1285"/>
      <c r="BY311" s="1614"/>
      <c r="BZ311" s="1224"/>
      <c r="CA311" s="1224"/>
      <c r="CB311" s="1285"/>
      <c r="CC311" s="1614"/>
      <c r="CD311" s="1224"/>
      <c r="CE311" s="1224"/>
      <c r="CF311" s="1285"/>
      <c r="CG311" s="244"/>
      <c r="CH311" s="227"/>
      <c r="CM311" s="113"/>
      <c r="CN311" s="114"/>
      <c r="CO311" s="114"/>
      <c r="CP311" s="743"/>
      <c r="CQ311" s="104">
        <f t="shared" ref="CQ311:DA311" si="495">+(CQ289-CP289)</f>
        <v>29.240791460623427</v>
      </c>
      <c r="CR311" s="104">
        <f t="shared" si="495"/>
        <v>48.227067197877119</v>
      </c>
      <c r="CS311" s="104">
        <f t="shared" si="495"/>
        <v>47.835359865189034</v>
      </c>
      <c r="CT311" s="104">
        <f t="shared" si="495"/>
        <v>53.111811860814953</v>
      </c>
      <c r="CU311" s="104">
        <f t="shared" si="495"/>
        <v>58.744472176587237</v>
      </c>
      <c r="CV311" s="104">
        <f t="shared" si="495"/>
        <v>68.294529925393363</v>
      </c>
      <c r="CW311" s="104">
        <f t="shared" si="495"/>
        <v>86.089086571834002</v>
      </c>
      <c r="CX311" s="104">
        <f t="shared" si="495"/>
        <v>82.811977986248905</v>
      </c>
      <c r="CY311" s="104">
        <f t="shared" si="495"/>
        <v>69.693069758673232</v>
      </c>
      <c r="CZ311" s="104">
        <f t="shared" si="495"/>
        <v>70.354673393338544</v>
      </c>
      <c r="DA311" s="104">
        <f t="shared" si="495"/>
        <v>65.17032337971159</v>
      </c>
      <c r="DF311" s="244"/>
    </row>
    <row r="312" spans="1:110" s="53" customFormat="1" ht="11.25">
      <c r="I312" s="191" t="s">
        <v>477</v>
      </c>
      <c r="J312" s="80"/>
      <c r="K312" s="80"/>
      <c r="P312" s="244"/>
      <c r="T312" s="244"/>
      <c r="X312" s="244"/>
      <c r="AB312" s="244"/>
      <c r="AC312" s="712"/>
      <c r="AD312" s="712"/>
      <c r="AE312" s="712"/>
      <c r="AF312" s="955"/>
      <c r="AG312" s="113"/>
      <c r="AH312" s="113"/>
      <c r="AI312" s="113"/>
      <c r="AJ312" s="253"/>
      <c r="AK312" s="113"/>
      <c r="AL312" s="113"/>
      <c r="AM312" s="113"/>
      <c r="AN312" s="253"/>
      <c r="AO312" s="113"/>
      <c r="AP312" s="113"/>
      <c r="AQ312" s="114"/>
      <c r="AR312" s="228"/>
      <c r="AS312" s="114"/>
      <c r="AT312" s="114"/>
      <c r="AU312" s="114"/>
      <c r="AV312" s="228"/>
      <c r="AW312" s="743"/>
      <c r="AX312" s="743"/>
      <c r="AY312" s="743"/>
      <c r="AZ312" s="228"/>
      <c r="BA312" s="114"/>
      <c r="BB312" s="114"/>
      <c r="BC312" s="114"/>
      <c r="BD312" s="228"/>
      <c r="BE312" s="114"/>
      <c r="BF312" s="114"/>
      <c r="BG312" s="114"/>
      <c r="BH312" s="228"/>
      <c r="BI312" s="114"/>
      <c r="BJ312" s="114"/>
      <c r="BK312" s="114"/>
      <c r="BL312" s="114"/>
      <c r="BM312" s="1614"/>
      <c r="BN312" s="1224"/>
      <c r="BO312" s="1224"/>
      <c r="BP312" s="1284"/>
      <c r="BQ312" s="1614"/>
      <c r="BR312" s="1224"/>
      <c r="BS312" s="1224"/>
      <c r="BT312" s="1285"/>
      <c r="BU312" s="1614"/>
      <c r="BV312" s="1224"/>
      <c r="BW312" s="1224"/>
      <c r="BX312" s="1285"/>
      <c r="BY312" s="1614"/>
      <c r="BZ312" s="1224"/>
      <c r="CA312" s="1224"/>
      <c r="CB312" s="1285"/>
      <c r="CC312" s="1614"/>
      <c r="CD312" s="1224"/>
      <c r="CE312" s="1224"/>
      <c r="CF312" s="1285"/>
      <c r="CG312" s="244"/>
      <c r="CH312" s="227"/>
      <c r="CM312" s="113"/>
      <c r="CN312" s="114"/>
      <c r="CO312" s="114"/>
      <c r="CP312" s="743"/>
      <c r="CQ312" s="114">
        <f t="shared" ref="CQ312:DA312" si="496">+(CQ290-CP290)</f>
        <v>0</v>
      </c>
      <c r="CR312" s="114">
        <f t="shared" si="496"/>
        <v>0</v>
      </c>
      <c r="CS312" s="114">
        <f t="shared" si="496"/>
        <v>8.3604267036976694</v>
      </c>
      <c r="CT312" s="114">
        <f t="shared" si="496"/>
        <v>18.225688139185053</v>
      </c>
      <c r="CU312" s="114">
        <f t="shared" si="496"/>
        <v>15.526217823412736</v>
      </c>
      <c r="CV312" s="114">
        <f>+(CV290-CU290)</f>
        <v>16.973379574606668</v>
      </c>
      <c r="CW312" s="114">
        <f t="shared" si="496"/>
        <v>36.822218403166005</v>
      </c>
      <c r="CX312" s="114">
        <f t="shared" si="496"/>
        <v>32.539892237501078</v>
      </c>
      <c r="CY312" s="114">
        <f t="shared" si="496"/>
        <v>46.350454462820494</v>
      </c>
      <c r="CZ312" s="114">
        <f t="shared" si="496"/>
        <v>50.082323308222499</v>
      </c>
      <c r="DA312" s="114">
        <f t="shared" si="496"/>
        <v>54.058783747251368</v>
      </c>
      <c r="DF312" s="244"/>
    </row>
    <row r="313" spans="1:110" ht="12.75" customHeight="1">
      <c r="I313" s="178" t="s">
        <v>320</v>
      </c>
      <c r="J313" s="8"/>
      <c r="K313" s="8"/>
      <c r="P313" s="234"/>
      <c r="T313" s="234"/>
      <c r="X313" s="234"/>
      <c r="AB313" s="234"/>
      <c r="AF313" s="249"/>
      <c r="AJ313" s="179"/>
      <c r="AN313" s="179"/>
      <c r="AR313" s="162"/>
      <c r="AS313" s="33"/>
      <c r="AT313" s="33"/>
      <c r="AU313" s="33"/>
      <c r="AV313" s="162"/>
      <c r="AW313" s="161"/>
      <c r="AX313" s="161"/>
      <c r="AY313" s="161"/>
      <c r="AZ313" s="162"/>
      <c r="BA313" s="33"/>
      <c r="BB313" s="33"/>
      <c r="BC313" s="33"/>
      <c r="BD313" s="162"/>
      <c r="BE313" s="33"/>
      <c r="BF313" s="33"/>
      <c r="BG313" s="33"/>
      <c r="BH313" s="162"/>
      <c r="BI313" s="33"/>
      <c r="BJ313" s="33"/>
      <c r="BK313" s="33"/>
      <c r="BL313" s="33"/>
      <c r="BM313" s="220"/>
      <c r="BN313" s="111"/>
      <c r="BO313" s="111"/>
      <c r="BP313" s="176"/>
      <c r="BQ313" s="220"/>
      <c r="BR313" s="111"/>
      <c r="BS313" s="111"/>
      <c r="BT313" s="215"/>
      <c r="BU313" s="220"/>
      <c r="BV313" s="111"/>
      <c r="BW313" s="111"/>
      <c r="BX313" s="215"/>
      <c r="BY313" s="220"/>
      <c r="BZ313" s="111"/>
      <c r="CA313" s="111"/>
      <c r="CB313" s="215"/>
      <c r="CC313" s="220"/>
      <c r="CD313" s="111"/>
      <c r="CE313" s="111"/>
      <c r="CF313" s="215"/>
      <c r="CG313" s="234"/>
      <c r="CH313" s="160"/>
      <c r="CM313" s="30"/>
      <c r="CN313" s="33"/>
      <c r="CO313" s="33"/>
      <c r="CP313" s="161"/>
      <c r="CQ313" s="104">
        <f t="shared" ref="CQ313:DA313" si="497">+(CQ291-CP291)</f>
        <v>29.240791460623427</v>
      </c>
      <c r="CR313" s="104">
        <f t="shared" si="497"/>
        <v>48.227067197877119</v>
      </c>
      <c r="CS313" s="104">
        <f t="shared" si="497"/>
        <v>56.195786568886703</v>
      </c>
      <c r="CT313" s="104">
        <f t="shared" si="497"/>
        <v>71.337500000000006</v>
      </c>
      <c r="CU313" s="104">
        <f t="shared" si="497"/>
        <v>74.270689999999973</v>
      </c>
      <c r="CV313" s="104">
        <f t="shared" si="497"/>
        <v>85.26790950000003</v>
      </c>
      <c r="CW313" s="104">
        <f t="shared" si="497"/>
        <v>122.91130497500001</v>
      </c>
      <c r="CX313" s="104">
        <f t="shared" si="497"/>
        <v>115.35187022374998</v>
      </c>
      <c r="CY313" s="104">
        <f t="shared" si="497"/>
        <v>116.04352422149373</v>
      </c>
      <c r="CZ313" s="104">
        <f t="shared" si="497"/>
        <v>120.43699670156104</v>
      </c>
      <c r="DA313" s="104">
        <f t="shared" si="497"/>
        <v>119.22910712696296</v>
      </c>
      <c r="DF313" s="234"/>
    </row>
    <row r="314" spans="1:110" ht="12.75" customHeight="1">
      <c r="I314" s="160"/>
      <c r="P314" s="234"/>
      <c r="T314" s="234"/>
      <c r="X314" s="234"/>
      <c r="AB314" s="234"/>
      <c r="AF314" s="249"/>
      <c r="AJ314" s="179"/>
      <c r="AN314" s="179"/>
      <c r="AR314" s="162"/>
      <c r="AS314" s="33"/>
      <c r="AT314" s="33"/>
      <c r="AU314" s="33"/>
      <c r="AV314" s="162"/>
      <c r="AW314" s="161"/>
      <c r="AX314" s="161"/>
      <c r="AY314" s="161"/>
      <c r="AZ314" s="162"/>
      <c r="BA314" s="33"/>
      <c r="BB314" s="33"/>
      <c r="BC314" s="33"/>
      <c r="BD314" s="162"/>
      <c r="BE314" s="853"/>
      <c r="BF314" s="853"/>
      <c r="BG314" s="853"/>
      <c r="BH314" s="854"/>
      <c r="BI314" s="853"/>
      <c r="BJ314" s="853"/>
      <c r="BK314" s="853"/>
      <c r="BL314" s="853"/>
      <c r="BM314" s="1627"/>
      <c r="BN314" s="111"/>
      <c r="BO314" s="111"/>
      <c r="BP314" s="176"/>
      <c r="BQ314" s="1627"/>
      <c r="BR314" s="111"/>
      <c r="BS314" s="111"/>
      <c r="BT314" s="215"/>
      <c r="BU314" s="1627"/>
      <c r="BV314" s="118"/>
      <c r="BW314" s="111"/>
      <c r="BX314" s="215"/>
      <c r="BY314" s="1627"/>
      <c r="BZ314" s="118"/>
      <c r="CA314" s="111"/>
      <c r="CB314" s="215"/>
      <c r="CC314" s="1627"/>
      <c r="CD314" s="118"/>
      <c r="CE314" s="111"/>
      <c r="CF314" s="215"/>
      <c r="CG314" s="234"/>
      <c r="CH314" s="160"/>
      <c r="CM314" s="30"/>
      <c r="CN314" s="33"/>
      <c r="CO314" s="33"/>
      <c r="CP314" s="161"/>
      <c r="CQ314" s="76"/>
      <c r="CR314" s="76"/>
      <c r="CS314" s="76"/>
      <c r="CT314" s="76"/>
      <c r="CU314" s="76"/>
      <c r="CV314" s="76"/>
      <c r="CW314" s="76"/>
      <c r="CX314" s="76"/>
      <c r="CY314" s="76"/>
      <c r="DF314" s="234"/>
    </row>
    <row r="315" spans="1:110" ht="12.75" customHeight="1">
      <c r="I315" s="281" t="s">
        <v>321</v>
      </c>
      <c r="J315" s="125"/>
      <c r="K315" s="125"/>
      <c r="P315" s="234"/>
      <c r="T315" s="234"/>
      <c r="X315" s="234"/>
      <c r="AB315" s="234"/>
      <c r="AF315" s="249"/>
      <c r="AJ315" s="179"/>
      <c r="AN315" s="179"/>
      <c r="AR315" s="162"/>
      <c r="AS315" s="33"/>
      <c r="AT315" s="33"/>
      <c r="AU315" s="33"/>
      <c r="AV315" s="162"/>
      <c r="AW315" s="161"/>
      <c r="AX315" s="161"/>
      <c r="AY315" s="161"/>
      <c r="AZ315" s="162"/>
      <c r="BA315" s="33"/>
      <c r="BB315" s="33"/>
      <c r="BC315" s="33"/>
      <c r="BD315" s="162"/>
      <c r="BE315" s="853"/>
      <c r="BF315" s="853"/>
      <c r="BG315" s="853"/>
      <c r="BH315" s="854"/>
      <c r="BI315" s="853"/>
      <c r="BJ315" s="853"/>
      <c r="BK315" s="853"/>
      <c r="BL315" s="853"/>
      <c r="BM315" s="1627"/>
      <c r="BN315" s="111"/>
      <c r="BO315" s="111"/>
      <c r="BP315" s="176"/>
      <c r="BQ315" s="1627"/>
      <c r="BR315" s="111"/>
      <c r="BS315" s="111"/>
      <c r="BT315" s="215"/>
      <c r="BU315" s="1627"/>
      <c r="BV315" s="118"/>
      <c r="BW315" s="111"/>
      <c r="BX315" s="215"/>
      <c r="BY315" s="1627"/>
      <c r="BZ315" s="118"/>
      <c r="CA315" s="111"/>
      <c r="CB315" s="215"/>
      <c r="CC315" s="1627"/>
      <c r="CD315" s="118"/>
      <c r="CE315" s="111"/>
      <c r="CF315" s="215"/>
      <c r="CG315" s="234"/>
      <c r="CH315" s="160"/>
      <c r="CM315" s="30"/>
      <c r="CN315" s="33"/>
      <c r="CO315" s="33"/>
      <c r="CP315" s="161"/>
      <c r="CQ315" s="33"/>
      <c r="CR315" s="33"/>
      <c r="CS315" s="76"/>
      <c r="CT315" s="76"/>
      <c r="CU315" s="76"/>
      <c r="CV315" s="76"/>
      <c r="CW315" s="76"/>
      <c r="CX315" s="76"/>
      <c r="CY315" s="76"/>
      <c r="DF315" s="234"/>
    </row>
    <row r="316" spans="1:110" ht="12.75" customHeight="1">
      <c r="I316" s="185" t="s">
        <v>322</v>
      </c>
      <c r="P316" s="234"/>
      <c r="T316" s="234"/>
      <c r="X316" s="234"/>
      <c r="AB316" s="234"/>
      <c r="AF316" s="249"/>
      <c r="AJ316" s="179"/>
      <c r="AN316" s="179"/>
      <c r="AR316" s="162"/>
      <c r="AS316" s="33"/>
      <c r="AT316" s="33"/>
      <c r="AU316" s="33"/>
      <c r="AV316" s="162"/>
      <c r="AW316" s="161"/>
      <c r="AX316" s="161"/>
      <c r="AY316" s="161"/>
      <c r="AZ316" s="162"/>
      <c r="BA316" s="111">
        <f t="shared" ref="BA316:BL316" si="498">+BA100/1000</f>
        <v>4.5445544554455441</v>
      </c>
      <c r="BB316" s="111">
        <f t="shared" si="498"/>
        <v>5.1068158697863684</v>
      </c>
      <c r="BC316" s="111">
        <f t="shared" si="498"/>
        <v>5.6040609137055837</v>
      </c>
      <c r="BD316" s="222">
        <f t="shared" si="498"/>
        <v>4.6903553299492389</v>
      </c>
      <c r="BE316" s="111">
        <f t="shared" si="498"/>
        <v>4.59</v>
      </c>
      <c r="BF316" s="111">
        <f t="shared" si="498"/>
        <v>5.0199999999999996</v>
      </c>
      <c r="BG316" s="111">
        <f t="shared" si="498"/>
        <v>5.52</v>
      </c>
      <c r="BH316" s="1213">
        <f t="shared" si="498"/>
        <v>4.62</v>
      </c>
      <c r="BI316" s="683">
        <f t="shared" si="498"/>
        <v>4.6358999999999995</v>
      </c>
      <c r="BJ316" s="683">
        <f t="shared" si="498"/>
        <v>5.2709999999999999</v>
      </c>
      <c r="BK316" s="683">
        <f t="shared" si="498"/>
        <v>5.9616000000000007</v>
      </c>
      <c r="BL316" s="683">
        <f t="shared" si="498"/>
        <v>5.5439999999999996</v>
      </c>
      <c r="BM316" s="173"/>
      <c r="BN316" s="38"/>
      <c r="BO316" s="38"/>
      <c r="BP316" s="38"/>
      <c r="BQ316" s="173"/>
      <c r="BR316" s="38"/>
      <c r="BS316" s="38"/>
      <c r="BT316" s="216"/>
      <c r="BU316" s="173"/>
      <c r="BV316" s="38"/>
      <c r="BW316" s="38"/>
      <c r="BX316" s="216"/>
      <c r="BY316" s="173"/>
      <c r="BZ316" s="38"/>
      <c r="CA316" s="38"/>
      <c r="CB316" s="216"/>
      <c r="CC316" s="173"/>
      <c r="CD316" s="38"/>
      <c r="CE316" s="38"/>
      <c r="CF316" s="216"/>
      <c r="CG316" s="234"/>
      <c r="CH316" s="160"/>
      <c r="CM316" s="111">
        <f t="shared" ref="CM316:DA316" si="499">+CM100/1000</f>
        <v>7.7860339224035418</v>
      </c>
      <c r="CN316" s="111">
        <f t="shared" si="499"/>
        <v>8.4794129474752697</v>
      </c>
      <c r="CO316" s="1286">
        <f t="shared" si="499"/>
        <v>11.528407849663447</v>
      </c>
      <c r="CP316" s="1286">
        <f t="shared" si="499"/>
        <v>16.825645227387255</v>
      </c>
      <c r="CQ316" s="1286">
        <f t="shared" si="499"/>
        <v>19.414853766763823</v>
      </c>
      <c r="CR316" s="1286">
        <f t="shared" si="499"/>
        <v>19.945786568886735</v>
      </c>
      <c r="CS316" s="1286">
        <f t="shared" si="499"/>
        <v>19.75</v>
      </c>
      <c r="CT316" s="1286">
        <f t="shared" si="499"/>
        <v>21.412500000000001</v>
      </c>
      <c r="CU316" s="1286">
        <f t="shared" si="499"/>
        <v>22.64181</v>
      </c>
      <c r="CV316" s="1286">
        <f t="shared" si="499"/>
        <v>23.773900500000003</v>
      </c>
      <c r="CW316" s="1286">
        <f t="shared" si="499"/>
        <v>24.962595525000001</v>
      </c>
      <c r="CX316" s="1286">
        <f t="shared" si="499"/>
        <v>26.210725301250005</v>
      </c>
      <c r="CY316" s="1286">
        <f t="shared" si="499"/>
        <v>27.521261566312504</v>
      </c>
      <c r="CZ316" s="1286">
        <f t="shared" si="499"/>
        <v>28.622112028965006</v>
      </c>
      <c r="DA316" s="1286">
        <f t="shared" si="499"/>
        <v>29.766996510123608</v>
      </c>
      <c r="DF316" s="234"/>
    </row>
    <row r="317" spans="1:110" s="53" customFormat="1" ht="12.75" customHeight="1">
      <c r="I317" s="191" t="s">
        <v>323</v>
      </c>
      <c r="P317" s="244"/>
      <c r="T317" s="244"/>
      <c r="X317" s="244"/>
      <c r="AB317" s="244"/>
      <c r="AC317" s="712"/>
      <c r="AD317" s="712"/>
      <c r="AE317" s="712"/>
      <c r="AF317" s="955"/>
      <c r="AG317" s="113"/>
      <c r="AH317" s="113"/>
      <c r="AI317" s="113"/>
      <c r="AJ317" s="253"/>
      <c r="AK317" s="113"/>
      <c r="AL317" s="113"/>
      <c r="AM317" s="113"/>
      <c r="AN317" s="253"/>
      <c r="AO317" s="113"/>
      <c r="AP317" s="113"/>
      <c r="AQ317" s="114"/>
      <c r="AR317" s="228"/>
      <c r="AS317" s="114"/>
      <c r="AT317" s="114"/>
      <c r="AU317" s="114"/>
      <c r="AV317" s="228"/>
      <c r="AW317" s="743"/>
      <c r="AX317" s="743"/>
      <c r="AY317" s="743"/>
      <c r="AZ317" s="228"/>
      <c r="BA317" s="1224">
        <f t="shared" ref="BA317:BH317" si="500">+BA318-BA316</f>
        <v>1.8580012857653836</v>
      </c>
      <c r="BB317" s="1224">
        <f t="shared" si="500"/>
        <v>2.2195128481541238</v>
      </c>
      <c r="BC317" s="1224">
        <f t="shared" si="500"/>
        <v>2.3708432696191775</v>
      </c>
      <c r="BD317" s="1276">
        <f t="shared" si="500"/>
        <v>1.9588882334087527</v>
      </c>
      <c r="BE317" s="1224">
        <f t="shared" si="500"/>
        <v>3.0290413320410039</v>
      </c>
      <c r="BF317" s="1224">
        <f t="shared" si="500"/>
        <v>3.5518045999903762</v>
      </c>
      <c r="BG317" s="1224">
        <f t="shared" si="500"/>
        <v>3.8903869363232175</v>
      </c>
      <c r="BH317" s="1276">
        <f t="shared" si="500"/>
        <v>3.0266300978616894</v>
      </c>
      <c r="BI317" s="1224"/>
      <c r="BJ317" s="1224"/>
      <c r="BK317" s="1224"/>
      <c r="BL317" s="1224"/>
      <c r="BM317" s="1628"/>
      <c r="BN317" s="1284"/>
      <c r="BO317" s="1284"/>
      <c r="BP317" s="1284"/>
      <c r="BQ317" s="1628"/>
      <c r="BR317" s="1284"/>
      <c r="BS317" s="1284"/>
      <c r="BT317" s="1285"/>
      <c r="BU317" s="1628"/>
      <c r="BV317" s="1284"/>
      <c r="BW317" s="1284"/>
      <c r="BX317" s="1285"/>
      <c r="BY317" s="1628"/>
      <c r="BZ317" s="1284"/>
      <c r="CA317" s="1284"/>
      <c r="CB317" s="1285"/>
      <c r="CC317" s="1628"/>
      <c r="CD317" s="1284"/>
      <c r="CE317" s="1284"/>
      <c r="CF317" s="1285"/>
      <c r="CG317" s="244"/>
      <c r="CH317" s="227"/>
      <c r="CM317" s="1224"/>
      <c r="CN317" s="1224"/>
      <c r="CO317" s="1287"/>
      <c r="CP317" s="1287">
        <f t="shared" ref="CP317:CY317" si="501">+CP318-CP316</f>
        <v>2.3347760757696889</v>
      </c>
      <c r="CQ317" s="1287">
        <f t="shared" si="501"/>
        <v>3.5500169452255328</v>
      </c>
      <c r="CR317" s="1287">
        <f t="shared" si="501"/>
        <v>8.4072456369474402</v>
      </c>
      <c r="CS317" s="1287">
        <f>+CS318-CS316</f>
        <v>11.349781609879045</v>
      </c>
      <c r="CT317" s="1287">
        <f>+CT318-CT316</f>
        <v>14.300724828447592</v>
      </c>
      <c r="CU317" s="1287">
        <f t="shared" si="501"/>
        <v>17.446884290706066</v>
      </c>
      <c r="CV317" s="1287">
        <f t="shared" si="501"/>
        <v>20.936261148847279</v>
      </c>
      <c r="CW317" s="1287">
        <f t="shared" si="501"/>
        <v>28.263952550943831</v>
      </c>
      <c r="CX317" s="1287">
        <f t="shared" si="501"/>
        <v>35.329940688679784</v>
      </c>
      <c r="CY317" s="1287">
        <f t="shared" si="501"/>
        <v>44.162425860849737</v>
      </c>
      <c r="CZ317" s="1287">
        <f>+CZ318-CZ316</f>
        <v>52.99491103301969</v>
      </c>
      <c r="DA317" s="1287">
        <f>+DA318-DA316</f>
        <v>60.944147687972631</v>
      </c>
      <c r="DF317" s="244"/>
    </row>
    <row r="318" spans="1:110" s="8" customFormat="1" ht="12.75" customHeight="1">
      <c r="A318" s="24"/>
      <c r="B318" s="24"/>
      <c r="C318" s="24"/>
      <c r="D318" s="24"/>
      <c r="E318" s="24"/>
      <c r="F318" s="24"/>
      <c r="G318" s="24"/>
      <c r="H318" s="24"/>
      <c r="I318" s="178" t="s">
        <v>321</v>
      </c>
      <c r="P318" s="245"/>
      <c r="T318" s="245"/>
      <c r="X318" s="245"/>
      <c r="AB318" s="245"/>
      <c r="AC318" s="289"/>
      <c r="AD318" s="289"/>
      <c r="AE318" s="289"/>
      <c r="AF318" s="953"/>
      <c r="AG318" s="103"/>
      <c r="AH318" s="103"/>
      <c r="AI318" s="103"/>
      <c r="AJ318" s="202"/>
      <c r="AK318" s="103"/>
      <c r="AL318" s="103"/>
      <c r="AM318" s="103"/>
      <c r="AN318" s="202"/>
      <c r="AO318" s="103"/>
      <c r="AP318" s="103"/>
      <c r="AQ318" s="104"/>
      <c r="AR318" s="212"/>
      <c r="AS318" s="104"/>
      <c r="AT318" s="104"/>
      <c r="AU318" s="104"/>
      <c r="AV318" s="212"/>
      <c r="AW318" s="213"/>
      <c r="AX318" s="213"/>
      <c r="AY318" s="213"/>
      <c r="AZ318" s="212"/>
      <c r="BA318" s="112">
        <f>+BA316+BA288</f>
        <v>6.4025557412109277</v>
      </c>
      <c r="BB318" s="112">
        <f>+BB316+BB288</f>
        <v>7.3263287179404921</v>
      </c>
      <c r="BC318" s="112">
        <f>+BC316+BC288</f>
        <v>7.9749041833247611</v>
      </c>
      <c r="BD318" s="214">
        <f>+BD316+BD288</f>
        <v>6.6492435633579916</v>
      </c>
      <c r="BE318" s="112">
        <f>+BA318*(1+BE319)</f>
        <v>7.6190413320410038</v>
      </c>
      <c r="BF318" s="112">
        <f>+BB318*(1+BF319)</f>
        <v>8.5718045999903758</v>
      </c>
      <c r="BG318" s="112">
        <f>+BC318*(1+BG319)</f>
        <v>9.4103869363232171</v>
      </c>
      <c r="BH318" s="214">
        <f>+BD318*(1+BH319)</f>
        <v>7.6466300978616895</v>
      </c>
      <c r="BI318" s="112"/>
      <c r="BJ318" s="112"/>
      <c r="BK318" s="112"/>
      <c r="BL318" s="112"/>
      <c r="BM318" s="1629"/>
      <c r="BN318" s="62"/>
      <c r="BO318" s="62"/>
      <c r="BP318" s="62"/>
      <c r="BQ318" s="1629"/>
      <c r="BR318" s="62"/>
      <c r="BS318" s="62"/>
      <c r="BT318" s="255"/>
      <c r="BU318" s="1629"/>
      <c r="BV318" s="62"/>
      <c r="BW318" s="62"/>
      <c r="BX318" s="255"/>
      <c r="BY318" s="1629"/>
      <c r="BZ318" s="62"/>
      <c r="CA318" s="62"/>
      <c r="CB318" s="255"/>
      <c r="CC318" s="1629"/>
      <c r="CD318" s="62"/>
      <c r="CE318" s="62"/>
      <c r="CF318" s="255"/>
      <c r="CG318" s="245"/>
      <c r="CH318" s="178"/>
      <c r="CM318" s="112"/>
      <c r="CN318" s="112"/>
      <c r="CO318" s="1288"/>
      <c r="CP318" s="1288">
        <f t="shared" ref="CP318:DA318" si="502">+CP316+CP288</f>
        <v>19.160421303156944</v>
      </c>
      <c r="CQ318" s="1288">
        <f t="shared" si="502"/>
        <v>22.964870711989356</v>
      </c>
      <c r="CR318" s="1288">
        <f t="shared" si="502"/>
        <v>28.353032205834175</v>
      </c>
      <c r="CS318" s="1288">
        <f t="shared" si="502"/>
        <v>31.099781609879045</v>
      </c>
      <c r="CT318" s="1288">
        <f t="shared" si="502"/>
        <v>35.713224828447593</v>
      </c>
      <c r="CU318" s="1288">
        <f t="shared" si="502"/>
        <v>40.088694290706066</v>
      </c>
      <c r="CV318" s="1288">
        <f t="shared" si="502"/>
        <v>44.710161648847283</v>
      </c>
      <c r="CW318" s="1288">
        <f t="shared" si="502"/>
        <v>53.226548075943832</v>
      </c>
      <c r="CX318" s="1288">
        <f t="shared" si="502"/>
        <v>61.540665989929792</v>
      </c>
      <c r="CY318" s="1288">
        <f t="shared" si="502"/>
        <v>71.683687427162241</v>
      </c>
      <c r="CZ318" s="1288">
        <f t="shared" si="502"/>
        <v>81.617023061984696</v>
      </c>
      <c r="DA318" s="1288">
        <f t="shared" si="502"/>
        <v>90.711144198096235</v>
      </c>
      <c r="DF318" s="245"/>
    </row>
    <row r="319" spans="1:110" ht="12.75" customHeight="1">
      <c r="I319" s="185" t="s">
        <v>376</v>
      </c>
      <c r="P319" s="234"/>
      <c r="T319" s="234"/>
      <c r="X319" s="234"/>
      <c r="AB319" s="234"/>
      <c r="AF319" s="249"/>
      <c r="AG319" s="1217"/>
      <c r="AH319" s="1217"/>
      <c r="AI319" s="1217"/>
      <c r="AJ319" s="1218"/>
      <c r="AK319" s="1217"/>
      <c r="AL319" s="1217"/>
      <c r="AM319" s="1217"/>
      <c r="AN319" s="1218"/>
      <c r="AO319" s="1217"/>
      <c r="AP319" s="1217"/>
      <c r="AQ319" s="1207"/>
      <c r="AR319" s="1208"/>
      <c r="AS319" s="1207"/>
      <c r="AT319" s="1207"/>
      <c r="AU319" s="1207"/>
      <c r="AV319" s="1208"/>
      <c r="AW319" s="1219"/>
      <c r="AX319" s="1219"/>
      <c r="AY319" s="1219"/>
      <c r="AZ319" s="1208"/>
      <c r="BA319" s="683"/>
      <c r="BB319" s="683"/>
      <c r="BC319" s="683"/>
      <c r="BD319" s="1213"/>
      <c r="BE319" s="860">
        <v>0.19</v>
      </c>
      <c r="BF319" s="860">
        <v>0.17</v>
      </c>
      <c r="BG319" s="860">
        <v>0.18</v>
      </c>
      <c r="BH319" s="885">
        <v>0.15</v>
      </c>
      <c r="BI319" s="860"/>
      <c r="BJ319" s="860"/>
      <c r="BK319" s="860"/>
      <c r="BL319" s="860"/>
      <c r="BM319" s="1630"/>
      <c r="BN319" s="684"/>
      <c r="BO319" s="684"/>
      <c r="BP319" s="684"/>
      <c r="BQ319" s="1630"/>
      <c r="BR319" s="684"/>
      <c r="BS319" s="684"/>
      <c r="BT319" s="1289"/>
      <c r="BU319" s="1630"/>
      <c r="BV319" s="684"/>
      <c r="BW319" s="684"/>
      <c r="BX319" s="1289"/>
      <c r="BY319" s="1630"/>
      <c r="BZ319" s="684"/>
      <c r="CA319" s="684"/>
      <c r="CB319" s="1289"/>
      <c r="CC319" s="1630"/>
      <c r="CD319" s="684"/>
      <c r="CE319" s="684"/>
      <c r="CF319" s="1289"/>
      <c r="CG319" s="234"/>
      <c r="CH319" s="160"/>
      <c r="CM319" s="683"/>
      <c r="CN319" s="683"/>
      <c r="CO319" s="683"/>
      <c r="CP319" s="683"/>
      <c r="CQ319" s="1215">
        <f t="shared" ref="CQ319:DA319" si="503">+CQ318/CP318-1</f>
        <v>0.19855771168275793</v>
      </c>
      <c r="CR319" s="1215">
        <f t="shared" si="503"/>
        <v>0.23462624986744651</v>
      </c>
      <c r="CS319" s="1215">
        <f>+CS318/CR318-1</f>
        <v>9.6876742639176117E-2</v>
      </c>
      <c r="CT319" s="1215">
        <f t="shared" si="503"/>
        <v>0.14834326737211101</v>
      </c>
      <c r="CU319" s="1215">
        <f t="shared" si="503"/>
        <v>0.12251678428023571</v>
      </c>
      <c r="CV319" s="1215">
        <f t="shared" si="503"/>
        <v>0.11528106464701282</v>
      </c>
      <c r="CW319" s="1215">
        <f t="shared" si="503"/>
        <v>0.19047988450554221</v>
      </c>
      <c r="CX319" s="1215">
        <f t="shared" si="503"/>
        <v>0.15620246314157638</v>
      </c>
      <c r="CY319" s="1215">
        <f t="shared" si="503"/>
        <v>0.16481819418223709</v>
      </c>
      <c r="CZ319" s="1215">
        <f t="shared" si="503"/>
        <v>0.13857177262143106</v>
      </c>
      <c r="DA319" s="1215">
        <f t="shared" si="503"/>
        <v>0.11142431805194541</v>
      </c>
      <c r="DF319" s="234"/>
    </row>
    <row r="320" spans="1:110" s="48" customFormat="1" ht="12.75" customHeight="1">
      <c r="A320" s="24"/>
      <c r="B320" s="24"/>
      <c r="C320" s="24"/>
      <c r="D320" s="24"/>
      <c r="E320" s="24"/>
      <c r="F320" s="24"/>
      <c r="G320" s="24"/>
      <c r="H320" s="24"/>
      <c r="I320" s="185" t="s">
        <v>476</v>
      </c>
      <c r="J320" s="85"/>
      <c r="K320" s="85"/>
      <c r="P320" s="243"/>
      <c r="T320" s="243"/>
      <c r="X320" s="243"/>
      <c r="AB320" s="243"/>
      <c r="AC320" s="60"/>
      <c r="AD320" s="60"/>
      <c r="AE320" s="60"/>
      <c r="AF320" s="247"/>
      <c r="AG320" s="206"/>
      <c r="AH320" s="206"/>
      <c r="AI320" s="206"/>
      <c r="AJ320" s="207"/>
      <c r="AK320" s="206"/>
      <c r="AL320" s="206"/>
      <c r="AM320" s="206"/>
      <c r="AN320" s="207"/>
      <c r="AO320" s="206"/>
      <c r="AP320" s="206"/>
      <c r="AQ320" s="832"/>
      <c r="AR320" s="940"/>
      <c r="AS320" s="832"/>
      <c r="AT320" s="832"/>
      <c r="AU320" s="832"/>
      <c r="AV320" s="940"/>
      <c r="AW320" s="908"/>
      <c r="AX320" s="908"/>
      <c r="AY320" s="908"/>
      <c r="AZ320" s="940"/>
      <c r="BA320" s="832"/>
      <c r="BB320" s="832"/>
      <c r="BC320" s="832"/>
      <c r="BD320" s="940"/>
      <c r="BE320" s="832"/>
      <c r="BF320" s="832"/>
      <c r="BG320" s="832"/>
      <c r="BH320" s="940"/>
      <c r="BI320" s="832"/>
      <c r="BJ320" s="832"/>
      <c r="BK320" s="832"/>
      <c r="BL320" s="832"/>
      <c r="BM320" s="1264"/>
      <c r="BN320" s="833"/>
      <c r="BO320" s="833"/>
      <c r="BP320" s="1640"/>
      <c r="BQ320" s="1264"/>
      <c r="BR320" s="833"/>
      <c r="BS320" s="833"/>
      <c r="BT320" s="864"/>
      <c r="BU320" s="1264"/>
      <c r="BV320" s="833"/>
      <c r="BW320" s="833"/>
      <c r="BX320" s="864"/>
      <c r="BY320" s="1264"/>
      <c r="BZ320" s="833"/>
      <c r="CA320" s="833"/>
      <c r="CB320" s="864"/>
      <c r="CC320" s="1264"/>
      <c r="CD320" s="833"/>
      <c r="CE320" s="833"/>
      <c r="CF320" s="864"/>
      <c r="CG320" s="243"/>
      <c r="CH320" s="177"/>
      <c r="CM320" s="832"/>
      <c r="CN320" s="832"/>
      <c r="CO320" s="832"/>
      <c r="CP320" s="832"/>
      <c r="CQ320" s="1286">
        <f>+CQ318-CP318</f>
        <v>3.8044494088324115</v>
      </c>
      <c r="CR320" s="1286">
        <f t="shared" ref="CR320:DA320" si="504">+CR318-CQ318</f>
        <v>5.3881614938448195</v>
      </c>
      <c r="CS320" s="1286">
        <f>+CS318-CR318</f>
        <v>2.7467494040448699</v>
      </c>
      <c r="CT320" s="1286">
        <f t="shared" si="504"/>
        <v>4.6134432185685483</v>
      </c>
      <c r="CU320" s="1286">
        <f t="shared" si="504"/>
        <v>4.3754694622584722</v>
      </c>
      <c r="CV320" s="1286">
        <f t="shared" si="504"/>
        <v>4.6214673581412171</v>
      </c>
      <c r="CW320" s="1286">
        <f t="shared" si="504"/>
        <v>8.516386427096549</v>
      </c>
      <c r="CX320" s="1286">
        <f t="shared" si="504"/>
        <v>8.3141179139859602</v>
      </c>
      <c r="CY320" s="1286">
        <f t="shared" si="504"/>
        <v>10.143021437232449</v>
      </c>
      <c r="CZ320" s="1286">
        <f t="shared" si="504"/>
        <v>9.9333356348224555</v>
      </c>
      <c r="DA320" s="1286">
        <f t="shared" si="504"/>
        <v>9.0941211361115393</v>
      </c>
      <c r="DF320" s="243"/>
    </row>
    <row r="321" spans="1:110" ht="12.75" customHeight="1">
      <c r="I321" s="160"/>
      <c r="P321" s="234"/>
      <c r="T321" s="234"/>
      <c r="X321" s="234"/>
      <c r="AB321" s="234"/>
      <c r="AF321" s="249"/>
      <c r="AJ321" s="179"/>
      <c r="AN321" s="179"/>
      <c r="AR321" s="162"/>
      <c r="AS321" s="33"/>
      <c r="AT321" s="33"/>
      <c r="AU321" s="33"/>
      <c r="AV321" s="162"/>
      <c r="AW321" s="161"/>
      <c r="AX321" s="161"/>
      <c r="AY321" s="161"/>
      <c r="AZ321" s="162"/>
      <c r="BA321" s="33"/>
      <c r="BB321" s="33"/>
      <c r="BC321" s="33"/>
      <c r="BD321" s="162"/>
      <c r="BE321" s="33"/>
      <c r="BF321" s="118"/>
      <c r="BG321" s="33"/>
      <c r="BH321" s="162"/>
      <c r="BI321" s="33"/>
      <c r="BJ321" s="33"/>
      <c r="BK321" s="33"/>
      <c r="BL321" s="33"/>
      <c r="BM321" s="173"/>
      <c r="BN321" s="38"/>
      <c r="BO321" s="38"/>
      <c r="BP321" s="38"/>
      <c r="BQ321" s="173"/>
      <c r="BR321" s="38"/>
      <c r="BS321" s="38"/>
      <c r="BT321" s="216"/>
      <c r="BU321" s="173"/>
      <c r="BV321" s="38"/>
      <c r="BW321" s="38"/>
      <c r="BX321" s="216"/>
      <c r="BY321" s="173"/>
      <c r="BZ321" s="38"/>
      <c r="CA321" s="38"/>
      <c r="CB321" s="216"/>
      <c r="CC321" s="173"/>
      <c r="CD321" s="38"/>
      <c r="CE321" s="38"/>
      <c r="CF321" s="216"/>
      <c r="CG321" s="234"/>
      <c r="CH321" s="160"/>
      <c r="CM321" s="30"/>
      <c r="CN321" s="33"/>
      <c r="CO321" s="33"/>
      <c r="CP321" s="161"/>
      <c r="CQ321" s="33"/>
      <c r="CR321" s="735"/>
      <c r="CS321" s="38"/>
      <c r="CT321" s="38"/>
      <c r="CU321" s="2117"/>
      <c r="CV321" s="2117"/>
      <c r="CW321" s="2117"/>
      <c r="CX321" s="2117"/>
      <c r="CY321" s="2117"/>
      <c r="CZ321" s="2117"/>
      <c r="DA321" s="2117"/>
      <c r="DB321" s="2117"/>
      <c r="DF321" s="234"/>
    </row>
    <row r="322" spans="1:110" s="88" customFormat="1" ht="12.75" customHeight="1">
      <c r="A322" s="24"/>
      <c r="B322" s="24"/>
      <c r="C322" s="24"/>
      <c r="D322" s="24"/>
      <c r="E322" s="24"/>
      <c r="F322" s="24"/>
      <c r="G322" s="24"/>
      <c r="H322" s="24"/>
      <c r="I322" s="197" t="s">
        <v>243</v>
      </c>
      <c r="J322" s="87"/>
      <c r="K322" s="87"/>
      <c r="L322" s="84"/>
      <c r="M322" s="84"/>
      <c r="N322" s="84"/>
      <c r="O322" s="84"/>
      <c r="P322" s="248"/>
      <c r="Q322" s="84"/>
      <c r="R322" s="84"/>
      <c r="S322" s="84"/>
      <c r="T322" s="248"/>
      <c r="U322" s="84"/>
      <c r="V322" s="84"/>
      <c r="W322" s="84"/>
      <c r="X322" s="248"/>
      <c r="Y322" s="84"/>
      <c r="Z322" s="84"/>
      <c r="AA322" s="84"/>
      <c r="AB322" s="248"/>
      <c r="AC322" s="793"/>
      <c r="AD322" s="793"/>
      <c r="AE322" s="793"/>
      <c r="AF322" s="954"/>
      <c r="AG322" s="794"/>
      <c r="AH322" s="794"/>
      <c r="AI322" s="794"/>
      <c r="AJ322" s="966"/>
      <c r="AK322" s="794"/>
      <c r="AL322" s="794"/>
      <c r="AM322" s="794"/>
      <c r="AN322" s="966"/>
      <c r="AO322" s="794"/>
      <c r="AP322" s="794"/>
      <c r="AQ322" s="795"/>
      <c r="AR322" s="850"/>
      <c r="AS322" s="795"/>
      <c r="AT322" s="795"/>
      <c r="AU322" s="795"/>
      <c r="AV322" s="850"/>
      <c r="AW322" s="795"/>
      <c r="AX322" s="795"/>
      <c r="AY322" s="795"/>
      <c r="AZ322" s="850"/>
      <c r="BA322" s="795"/>
      <c r="BB322" s="795"/>
      <c r="BC322" s="795"/>
      <c r="BD322" s="850"/>
      <c r="BE322" s="795"/>
      <c r="BF322" s="795"/>
      <c r="BG322" s="795"/>
      <c r="BH322" s="850"/>
      <c r="BI322" s="795"/>
      <c r="BJ322" s="795"/>
      <c r="BK322" s="795"/>
      <c r="BL322" s="795"/>
      <c r="BM322" s="1593"/>
      <c r="BN322" s="795"/>
      <c r="BO322" s="795"/>
      <c r="BP322" s="795"/>
      <c r="BQ322" s="1593"/>
      <c r="BR322" s="795"/>
      <c r="BS322" s="795"/>
      <c r="BT322" s="850"/>
      <c r="BU322" s="1593"/>
      <c r="BV322" s="795"/>
      <c r="BW322" s="795"/>
      <c r="BX322" s="850"/>
      <c r="BY322" s="1593"/>
      <c r="BZ322" s="795"/>
      <c r="CA322" s="795"/>
      <c r="CB322" s="850"/>
      <c r="CC322" s="1593"/>
      <c r="CD322" s="795"/>
      <c r="CE322" s="795"/>
      <c r="CF322" s="850"/>
      <c r="CG322" s="234"/>
      <c r="CH322" s="260"/>
      <c r="CI322" s="84"/>
      <c r="CJ322" s="84"/>
      <c r="CK322" s="84"/>
      <c r="CL322" s="84"/>
      <c r="CM322" s="794"/>
      <c r="CN322" s="795"/>
      <c r="CO322" s="795"/>
      <c r="CP322" s="795"/>
      <c r="CQ322" s="795"/>
      <c r="CR322" s="922"/>
      <c r="CS322" s="795"/>
      <c r="CT322" s="261"/>
      <c r="CU322" s="261"/>
      <c r="CV322" s="261"/>
      <c r="CW322" s="261"/>
      <c r="CX322" s="261"/>
      <c r="CY322" s="261"/>
      <c r="CZ322" s="261"/>
      <c r="DA322" s="261"/>
      <c r="DB322" s="261"/>
      <c r="DC322" s="261"/>
      <c r="DD322" s="261"/>
      <c r="DE322" s="261"/>
      <c r="DF322" s="262"/>
    </row>
    <row r="323" spans="1:110" ht="12.75" customHeight="1">
      <c r="I323" s="281" t="s">
        <v>244</v>
      </c>
      <c r="P323" s="234"/>
      <c r="T323" s="234"/>
      <c r="X323" s="234"/>
      <c r="AB323" s="234"/>
      <c r="AF323" s="249"/>
      <c r="AG323" s="203"/>
      <c r="AH323" s="203"/>
      <c r="AI323" s="203"/>
      <c r="AJ323" s="204"/>
      <c r="AK323" s="203"/>
      <c r="AL323" s="203"/>
      <c r="AM323" s="203"/>
      <c r="AN323" s="204"/>
      <c r="AO323" s="203"/>
      <c r="AP323" s="203"/>
      <c r="AQ323" s="203"/>
      <c r="AR323" s="204"/>
      <c r="AS323" s="203"/>
      <c r="AT323" s="203"/>
      <c r="AU323" s="203"/>
      <c r="AV323" s="204"/>
      <c r="AW323" s="203"/>
      <c r="AX323" s="203"/>
      <c r="AY323" s="203"/>
      <c r="AZ323" s="202"/>
      <c r="BA323" s="103"/>
      <c r="BB323" s="103"/>
      <c r="BC323" s="103"/>
      <c r="BD323" s="202"/>
      <c r="BE323" s="103"/>
      <c r="BF323" s="103"/>
      <c r="BG323" s="103"/>
      <c r="BH323" s="202"/>
      <c r="BI323" s="38"/>
      <c r="BJ323" s="38"/>
      <c r="BK323" s="38"/>
      <c r="BL323" s="38"/>
      <c r="BM323" s="173"/>
      <c r="BN323" s="38"/>
      <c r="BO323" s="38"/>
      <c r="BP323" s="103"/>
      <c r="BQ323" s="265"/>
      <c r="BR323" s="103"/>
      <c r="BS323" s="103"/>
      <c r="BT323" s="202"/>
      <c r="BU323" s="265"/>
      <c r="BV323" s="103"/>
      <c r="BW323" s="103"/>
      <c r="BX323" s="202"/>
      <c r="BY323" s="265"/>
      <c r="BZ323" s="103"/>
      <c r="CA323" s="103"/>
      <c r="CB323" s="202"/>
      <c r="CC323" s="265"/>
      <c r="CD323" s="103"/>
      <c r="CE323" s="103"/>
      <c r="CF323" s="202"/>
      <c r="CG323" s="234"/>
      <c r="CH323" s="160"/>
      <c r="CM323" s="203"/>
      <c r="CN323" s="203"/>
      <c r="CO323" s="203"/>
      <c r="CP323" s="203"/>
      <c r="CQ323" s="103"/>
      <c r="CR323" s="103"/>
      <c r="CS323" s="103"/>
      <c r="CT323" s="103"/>
      <c r="CU323" s="103"/>
      <c r="CV323" s="103"/>
      <c r="CW323" s="103"/>
      <c r="CX323" s="103"/>
      <c r="CY323" s="103"/>
      <c r="DF323" s="234"/>
    </row>
    <row r="324" spans="1:110" s="39" customFormat="1" ht="12.75" customHeight="1">
      <c r="A324" s="24"/>
      <c r="B324" s="24"/>
      <c r="C324" s="24"/>
      <c r="D324" s="24"/>
      <c r="E324" s="24"/>
      <c r="F324" s="24"/>
      <c r="G324" s="24"/>
      <c r="H324" s="24"/>
      <c r="I324" s="872" t="s">
        <v>245</v>
      </c>
      <c r="J324" s="810"/>
      <c r="K324" s="810"/>
      <c r="P324" s="241"/>
      <c r="T324" s="241"/>
      <c r="X324" s="241"/>
      <c r="AB324" s="241"/>
      <c r="AC324" s="815">
        <v>747</v>
      </c>
      <c r="AD324" s="815">
        <v>789</v>
      </c>
      <c r="AE324" s="815">
        <v>680</v>
      </c>
      <c r="AF324" s="959">
        <v>582</v>
      </c>
      <c r="AG324" s="30">
        <v>728</v>
      </c>
      <c r="AH324" s="30">
        <v>821</v>
      </c>
      <c r="AI324" s="30">
        <v>666</v>
      </c>
      <c r="AJ324" s="179">
        <v>588</v>
      </c>
      <c r="AK324" s="800">
        <v>639</v>
      </c>
      <c r="AL324" s="800">
        <v>687</v>
      </c>
      <c r="AM324" s="800">
        <v>819</v>
      </c>
      <c r="AN324" s="849">
        <v>790</v>
      </c>
      <c r="AO324" s="800">
        <v>1169</v>
      </c>
      <c r="AP324" s="800">
        <v>1362</v>
      </c>
      <c r="AQ324" s="800">
        <v>1186</v>
      </c>
      <c r="AR324" s="849">
        <v>1135</v>
      </c>
      <c r="AS324" s="800">
        <v>1496</v>
      </c>
      <c r="AT324" s="800">
        <v>1551</v>
      </c>
      <c r="AU324" s="800">
        <v>1544</v>
      </c>
      <c r="AV324" s="849">
        <v>1318</v>
      </c>
      <c r="AW324" s="800">
        <v>1538</v>
      </c>
      <c r="AX324" s="800">
        <v>1600</v>
      </c>
      <c r="AY324" s="800">
        <v>1500</v>
      </c>
      <c r="AZ324" s="980">
        <v>1300</v>
      </c>
      <c r="BA324" s="848">
        <v>1600</v>
      </c>
      <c r="BB324" s="848">
        <v>1700</v>
      </c>
      <c r="BC324" s="848">
        <v>1600</v>
      </c>
      <c r="BD324" s="980">
        <v>1400</v>
      </c>
      <c r="BE324" s="848">
        <v>1600</v>
      </c>
      <c r="BF324" s="848">
        <v>1700</v>
      </c>
      <c r="BG324" s="848">
        <v>1700</v>
      </c>
      <c r="BH324" s="980">
        <v>1400</v>
      </c>
      <c r="BI324" s="848">
        <v>1700</v>
      </c>
      <c r="BJ324" s="848">
        <v>1700</v>
      </c>
      <c r="BK324" s="848">
        <v>1800</v>
      </c>
      <c r="BL324" s="848">
        <v>1800</v>
      </c>
      <c r="BM324" s="1643">
        <v>2000</v>
      </c>
      <c r="BN324" s="848">
        <v>2100</v>
      </c>
      <c r="BO324" s="848">
        <v>2000</v>
      </c>
      <c r="BP324" s="848">
        <v>1700</v>
      </c>
      <c r="BQ324" s="1643">
        <v>2000</v>
      </c>
      <c r="BR324" s="848">
        <v>2100</v>
      </c>
      <c r="BS324" s="848">
        <v>2000</v>
      </c>
      <c r="BT324" s="980">
        <v>1700</v>
      </c>
      <c r="BU324" s="1643">
        <v>1800</v>
      </c>
      <c r="BV324" s="848">
        <v>2000</v>
      </c>
      <c r="BW324" s="848">
        <v>1900</v>
      </c>
      <c r="BX324" s="980">
        <v>1600</v>
      </c>
      <c r="BY324" s="848">
        <v>1800</v>
      </c>
      <c r="BZ324" s="848">
        <v>1800</v>
      </c>
      <c r="CA324" s="848">
        <v>1700</v>
      </c>
      <c r="CB324" s="980">
        <v>1600</v>
      </c>
      <c r="CC324" s="934">
        <f>+BY324*(1+CC325)</f>
        <v>1836</v>
      </c>
      <c r="CD324" s="800">
        <f>+BZ324*(1+CD325)</f>
        <v>1836</v>
      </c>
      <c r="CE324" s="800">
        <f>+CA324*(1+CE325)</f>
        <v>1734</v>
      </c>
      <c r="CF324" s="849">
        <f>+CB324*(1+CF325)</f>
        <v>1632</v>
      </c>
      <c r="CG324" s="241"/>
      <c r="CH324" s="182"/>
      <c r="CL324" s="800">
        <f>+SUM(AC324:AF324)</f>
        <v>2798</v>
      </c>
      <c r="CM324" s="800">
        <f>+SUM(AG324:AJ324)</f>
        <v>2803</v>
      </c>
      <c r="CN324" s="800">
        <f>+SUM(AK324:AN324)</f>
        <v>2935</v>
      </c>
      <c r="CO324" s="800">
        <f>+SUM(AO324:AR324)</f>
        <v>4852</v>
      </c>
      <c r="CP324" s="800">
        <f>+SUM(AS324:AV324)</f>
        <v>5909</v>
      </c>
      <c r="CQ324" s="800">
        <f>+SUM(AW324:AZ324)</f>
        <v>5938</v>
      </c>
      <c r="CR324" s="800">
        <f>+SUM(BA324:BD324)</f>
        <v>6300</v>
      </c>
      <c r="CS324" s="800">
        <f>+SUM(BE324:BH324)</f>
        <v>6400</v>
      </c>
      <c r="CT324" s="800">
        <f>+SUM(BI324:BL324)</f>
        <v>7000</v>
      </c>
      <c r="CU324" s="800">
        <f>+SUM(BM324:BP324)</f>
        <v>7800</v>
      </c>
      <c r="CV324" s="800">
        <f>+SUM(BQ324:BT324)</f>
        <v>7800</v>
      </c>
      <c r="CW324" s="800">
        <f>+SUM(BU324:BX324)</f>
        <v>7300</v>
      </c>
      <c r="CX324" s="800">
        <f>+SUM(BY324:CB324)</f>
        <v>6900</v>
      </c>
      <c r="CY324" s="800">
        <f>+SUM(CC324:CF324)</f>
        <v>7038</v>
      </c>
      <c r="CZ324" s="800">
        <f t="shared" ref="CZ324:DF324" si="505">+CY324*(1+CZ325)</f>
        <v>7178.76</v>
      </c>
      <c r="DA324" s="800">
        <f t="shared" si="505"/>
        <v>7322.3352000000004</v>
      </c>
      <c r="DB324" s="800">
        <f t="shared" si="505"/>
        <v>7468.7819040000004</v>
      </c>
      <c r="DC324" s="800">
        <f t="shared" si="505"/>
        <v>7618.1575420800009</v>
      </c>
      <c r="DD324" s="800">
        <f t="shared" si="505"/>
        <v>7770.520692921601</v>
      </c>
      <c r="DE324" s="800">
        <f t="shared" si="505"/>
        <v>7925.9311067800336</v>
      </c>
      <c r="DF324" s="849">
        <f t="shared" si="505"/>
        <v>8084.4497289156343</v>
      </c>
    </row>
    <row r="325" spans="1:110" ht="12.75" customHeight="1">
      <c r="I325" s="185" t="s">
        <v>376</v>
      </c>
      <c r="J325" s="70"/>
      <c r="K325" s="70"/>
      <c r="P325" s="234"/>
      <c r="T325" s="234"/>
      <c r="X325" s="234"/>
      <c r="AB325" s="234"/>
      <c r="AF325" s="249"/>
      <c r="AG325" s="1212"/>
      <c r="AH325" s="1212"/>
      <c r="AI325" s="1212"/>
      <c r="AJ325" s="1392"/>
      <c r="AK325" s="1212">
        <f t="shared" ref="AK325:BD325" si="506">+AK324/AG324-1</f>
        <v>-0.12225274725274726</v>
      </c>
      <c r="AL325" s="1212">
        <f t="shared" si="506"/>
        <v>-0.1632155907429963</v>
      </c>
      <c r="AM325" s="1212">
        <f t="shared" si="506"/>
        <v>0.22972972972972983</v>
      </c>
      <c r="AN325" s="1392">
        <f t="shared" si="506"/>
        <v>0.34353741496598644</v>
      </c>
      <c r="AO325" s="1212">
        <f t="shared" si="506"/>
        <v>0.82942097026604067</v>
      </c>
      <c r="AP325" s="1212">
        <f t="shared" si="506"/>
        <v>0.98253275109170302</v>
      </c>
      <c r="AQ325" s="1212">
        <f t="shared" si="506"/>
        <v>0.44810744810744807</v>
      </c>
      <c r="AR325" s="1392">
        <f t="shared" si="506"/>
        <v>0.43670886075949378</v>
      </c>
      <c r="AS325" s="1212">
        <f t="shared" si="506"/>
        <v>0.27972626176218984</v>
      </c>
      <c r="AT325" s="1212">
        <f t="shared" si="506"/>
        <v>0.13876651982378863</v>
      </c>
      <c r="AU325" s="1212">
        <f t="shared" si="506"/>
        <v>0.30185497470489042</v>
      </c>
      <c r="AV325" s="1392">
        <f t="shared" si="506"/>
        <v>0.16123348017621142</v>
      </c>
      <c r="AW325" s="1212">
        <f t="shared" si="506"/>
        <v>2.8074866310160429E-2</v>
      </c>
      <c r="AX325" s="1212">
        <f t="shared" si="506"/>
        <v>3.1592520954223158E-2</v>
      </c>
      <c r="AY325" s="1212">
        <f t="shared" si="506"/>
        <v>-2.8497409326424861E-2</v>
      </c>
      <c r="AZ325" s="1392">
        <f t="shared" si="506"/>
        <v>-1.365705614567525E-2</v>
      </c>
      <c r="BA325" s="1212">
        <f t="shared" si="506"/>
        <v>4.0312093628088519E-2</v>
      </c>
      <c r="BB325" s="1212">
        <f t="shared" si="506"/>
        <v>6.25E-2</v>
      </c>
      <c r="BC325" s="1212">
        <f t="shared" si="506"/>
        <v>6.6666666666666652E-2</v>
      </c>
      <c r="BD325" s="1392">
        <f t="shared" si="506"/>
        <v>7.6923076923076872E-2</v>
      </c>
      <c r="BE325" s="1212">
        <f t="shared" ref="BE325:BL325" si="507">+BE324/BA324-1</f>
        <v>0</v>
      </c>
      <c r="BF325" s="1212">
        <f t="shared" si="507"/>
        <v>0</v>
      </c>
      <c r="BG325" s="1212">
        <f t="shared" si="507"/>
        <v>6.25E-2</v>
      </c>
      <c r="BH325" s="1392">
        <f t="shared" si="507"/>
        <v>0</v>
      </c>
      <c r="BI325" s="1212">
        <f t="shared" si="507"/>
        <v>6.25E-2</v>
      </c>
      <c r="BJ325" s="1212">
        <f t="shared" si="507"/>
        <v>0</v>
      </c>
      <c r="BK325" s="1212">
        <f t="shared" si="507"/>
        <v>5.8823529411764719E-2</v>
      </c>
      <c r="BL325" s="1212">
        <f t="shared" si="507"/>
        <v>0.28571428571428581</v>
      </c>
      <c r="BM325" s="1646">
        <f t="shared" ref="BM325:CB325" si="508">+BM324/BI324-1</f>
        <v>0.17647058823529416</v>
      </c>
      <c r="BN325" s="1212">
        <f t="shared" si="508"/>
        <v>0.23529411764705888</v>
      </c>
      <c r="BO325" s="1212">
        <f t="shared" si="508"/>
        <v>0.11111111111111116</v>
      </c>
      <c r="BP325" s="1212">
        <f t="shared" si="508"/>
        <v>-5.555555555555558E-2</v>
      </c>
      <c r="BQ325" s="1646">
        <f t="shared" si="508"/>
        <v>0</v>
      </c>
      <c r="BR325" s="1212">
        <f t="shared" si="508"/>
        <v>0</v>
      </c>
      <c r="BS325" s="1212">
        <f t="shared" si="508"/>
        <v>0</v>
      </c>
      <c r="BT325" s="1392">
        <f t="shared" si="508"/>
        <v>0</v>
      </c>
      <c r="BU325" s="1646">
        <f t="shared" si="508"/>
        <v>-9.9999999999999978E-2</v>
      </c>
      <c r="BV325" s="1212">
        <f t="shared" si="508"/>
        <v>-4.7619047619047672E-2</v>
      </c>
      <c r="BW325" s="1212">
        <f t="shared" si="508"/>
        <v>-5.0000000000000044E-2</v>
      </c>
      <c r="BX325" s="1392">
        <f t="shared" si="508"/>
        <v>-5.8823529411764719E-2</v>
      </c>
      <c r="BY325" s="1212">
        <f t="shared" si="508"/>
        <v>0</v>
      </c>
      <c r="BZ325" s="1212">
        <f t="shared" si="508"/>
        <v>-9.9999999999999978E-2</v>
      </c>
      <c r="CA325" s="1212">
        <f t="shared" si="508"/>
        <v>-0.10526315789473684</v>
      </c>
      <c r="CB325" s="1392">
        <f t="shared" si="508"/>
        <v>0</v>
      </c>
      <c r="CC325" s="1631">
        <v>0.02</v>
      </c>
      <c r="CD325" s="1283">
        <v>0.02</v>
      </c>
      <c r="CE325" s="1283">
        <v>0.02</v>
      </c>
      <c r="CF325" s="1281">
        <v>0.02</v>
      </c>
      <c r="CG325" s="234"/>
      <c r="CH325" s="160"/>
      <c r="CM325" s="1212"/>
      <c r="CN325" s="1212">
        <f t="shared" ref="CN325:CY325" si="509">+CN324/CM324-1</f>
        <v>4.7092400998929751E-2</v>
      </c>
      <c r="CO325" s="1212">
        <f t="shared" si="509"/>
        <v>0.65315161839863722</v>
      </c>
      <c r="CP325" s="1212">
        <f t="shared" si="509"/>
        <v>0.21784830997526794</v>
      </c>
      <c r="CQ325" s="1199">
        <f t="shared" si="509"/>
        <v>4.9077678118125689E-3</v>
      </c>
      <c r="CR325" s="1199">
        <f t="shared" si="509"/>
        <v>6.0963287302121971E-2</v>
      </c>
      <c r="CS325" s="1199">
        <f t="shared" si="509"/>
        <v>1.5873015873015817E-2</v>
      </c>
      <c r="CT325" s="1199">
        <f t="shared" si="509"/>
        <v>9.375E-2</v>
      </c>
      <c r="CU325" s="1199">
        <f t="shared" si="509"/>
        <v>0.11428571428571432</v>
      </c>
      <c r="CV325" s="1199">
        <f t="shared" si="509"/>
        <v>0</v>
      </c>
      <c r="CW325" s="1199">
        <f t="shared" si="509"/>
        <v>-6.4102564102564097E-2</v>
      </c>
      <c r="CX325" s="1199">
        <f t="shared" si="509"/>
        <v>-5.4794520547945202E-2</v>
      </c>
      <c r="CY325" s="1199">
        <f t="shared" si="509"/>
        <v>2.0000000000000018E-2</v>
      </c>
      <c r="CZ325" s="1325">
        <f t="shared" ref="CZ325:DF325" si="510">+CY325</f>
        <v>2.0000000000000018E-2</v>
      </c>
      <c r="DA325" s="1325">
        <f t="shared" si="510"/>
        <v>2.0000000000000018E-2</v>
      </c>
      <c r="DB325" s="1325">
        <f t="shared" si="510"/>
        <v>2.0000000000000018E-2</v>
      </c>
      <c r="DC325" s="1325">
        <f t="shared" si="510"/>
        <v>2.0000000000000018E-2</v>
      </c>
      <c r="DD325" s="1325">
        <f t="shared" si="510"/>
        <v>2.0000000000000018E-2</v>
      </c>
      <c r="DE325" s="1325">
        <f t="shared" si="510"/>
        <v>2.0000000000000018E-2</v>
      </c>
      <c r="DF325" s="1324">
        <f t="shared" si="510"/>
        <v>2.0000000000000018E-2</v>
      </c>
    </row>
    <row r="326" spans="1:110" ht="12.75" customHeight="1">
      <c r="I326" s="185" t="s">
        <v>246</v>
      </c>
      <c r="J326" s="70"/>
      <c r="K326" s="70"/>
      <c r="P326" s="234"/>
      <c r="T326" s="234"/>
      <c r="X326" s="234"/>
      <c r="AB326" s="234"/>
      <c r="AF326" s="249"/>
      <c r="AG326" s="203"/>
      <c r="AH326" s="203"/>
      <c r="AI326" s="203"/>
      <c r="AJ326" s="204"/>
      <c r="AK326" s="909"/>
      <c r="AL326" s="909"/>
      <c r="AM326" s="909"/>
      <c r="AN326" s="910"/>
      <c r="AO326" s="909">
        <f t="shared" ref="AO326:BD326" si="511">+AO325+AK325</f>
        <v>0.70716822301329341</v>
      </c>
      <c r="AP326" s="909">
        <f t="shared" si="511"/>
        <v>0.81931716034870672</v>
      </c>
      <c r="AQ326" s="909">
        <f t="shared" si="511"/>
        <v>0.6778371778371779</v>
      </c>
      <c r="AR326" s="910">
        <f t="shared" si="511"/>
        <v>0.78024627572548022</v>
      </c>
      <c r="AS326" s="909">
        <f t="shared" si="511"/>
        <v>1.1091472320282305</v>
      </c>
      <c r="AT326" s="909">
        <f t="shared" si="511"/>
        <v>1.1212992709154916</v>
      </c>
      <c r="AU326" s="909">
        <f t="shared" si="511"/>
        <v>0.74996242281233849</v>
      </c>
      <c r="AV326" s="910">
        <f t="shared" si="511"/>
        <v>0.5979423409357052</v>
      </c>
      <c r="AW326" s="909">
        <f t="shared" si="511"/>
        <v>0.30780112807235027</v>
      </c>
      <c r="AX326" s="909">
        <f t="shared" si="511"/>
        <v>0.17035904077801178</v>
      </c>
      <c r="AY326" s="909">
        <f t="shared" si="511"/>
        <v>0.27335756537846556</v>
      </c>
      <c r="AZ326" s="910">
        <f t="shared" si="511"/>
        <v>0.14757642403053617</v>
      </c>
      <c r="BA326" s="909">
        <f t="shared" si="511"/>
        <v>6.8386959938248948E-2</v>
      </c>
      <c r="BB326" s="909">
        <f t="shared" si="511"/>
        <v>9.4092520954223158E-2</v>
      </c>
      <c r="BC326" s="909">
        <f t="shared" si="511"/>
        <v>3.8169257340241791E-2</v>
      </c>
      <c r="BD326" s="910">
        <f t="shared" si="511"/>
        <v>6.3266020777401621E-2</v>
      </c>
      <c r="BE326" s="909">
        <f t="shared" ref="BE326:BJ326" si="512">+BE325+BA325</f>
        <v>4.0312093628088519E-2</v>
      </c>
      <c r="BF326" s="909">
        <f t="shared" si="512"/>
        <v>6.25E-2</v>
      </c>
      <c r="BG326" s="909">
        <f t="shared" si="512"/>
        <v>0.12916666666666665</v>
      </c>
      <c r="BH326" s="910">
        <f t="shared" si="512"/>
        <v>7.6923076923076872E-2</v>
      </c>
      <c r="BI326" s="909">
        <f t="shared" si="512"/>
        <v>6.25E-2</v>
      </c>
      <c r="BJ326" s="909">
        <f t="shared" si="512"/>
        <v>0</v>
      </c>
      <c r="BK326" s="909">
        <f>+BK325+BG325</f>
        <v>0.12132352941176472</v>
      </c>
      <c r="BL326" s="909">
        <f>+BL325+BH325</f>
        <v>0.28571428571428581</v>
      </c>
      <c r="BM326" s="1632">
        <f t="shared" ref="BM326:CF326" si="513">+BM325+BI325</f>
        <v>0.23897058823529416</v>
      </c>
      <c r="BN326" s="909">
        <f t="shared" si="513"/>
        <v>0.23529411764705888</v>
      </c>
      <c r="BO326" s="909">
        <f t="shared" si="513"/>
        <v>0.16993464052287588</v>
      </c>
      <c r="BP326" s="909">
        <f t="shared" si="513"/>
        <v>0.23015873015873023</v>
      </c>
      <c r="BQ326" s="1632">
        <f t="shared" si="513"/>
        <v>0.17647058823529416</v>
      </c>
      <c r="BR326" s="909">
        <f t="shared" si="513"/>
        <v>0.23529411764705888</v>
      </c>
      <c r="BS326" s="909">
        <f t="shared" si="513"/>
        <v>0.11111111111111116</v>
      </c>
      <c r="BT326" s="910">
        <f t="shared" si="513"/>
        <v>-5.555555555555558E-2</v>
      </c>
      <c r="BU326" s="1632">
        <f t="shared" si="513"/>
        <v>-9.9999999999999978E-2</v>
      </c>
      <c r="BV326" s="909">
        <f t="shared" si="513"/>
        <v>-4.7619047619047672E-2</v>
      </c>
      <c r="BW326" s="909">
        <f t="shared" si="513"/>
        <v>-5.0000000000000044E-2</v>
      </c>
      <c r="BX326" s="910">
        <f t="shared" si="513"/>
        <v>-5.8823529411764719E-2</v>
      </c>
      <c r="BY326" s="1632">
        <f t="shared" si="513"/>
        <v>-9.9999999999999978E-2</v>
      </c>
      <c r="BZ326" s="909">
        <f t="shared" si="513"/>
        <v>-0.14761904761904765</v>
      </c>
      <c r="CA326" s="909">
        <f t="shared" si="513"/>
        <v>-0.15526315789473688</v>
      </c>
      <c r="CB326" s="910">
        <f t="shared" si="513"/>
        <v>-5.8823529411764719E-2</v>
      </c>
      <c r="CC326" s="1632">
        <f t="shared" si="513"/>
        <v>0.02</v>
      </c>
      <c r="CD326" s="909">
        <f t="shared" si="513"/>
        <v>-7.9999999999999974E-2</v>
      </c>
      <c r="CE326" s="909">
        <f t="shared" si="513"/>
        <v>-8.5263157894736832E-2</v>
      </c>
      <c r="CF326" s="910">
        <f t="shared" si="513"/>
        <v>0.02</v>
      </c>
      <c r="CG326" s="234"/>
      <c r="CH326" s="160"/>
      <c r="CM326" s="203"/>
      <c r="CN326" s="909"/>
      <c r="CO326" s="909">
        <f t="shared" ref="CO326:CY326" si="514">+CO325+CN325</f>
        <v>0.70024401939756697</v>
      </c>
      <c r="CP326" s="909">
        <f t="shared" si="514"/>
        <v>0.87099992837390516</v>
      </c>
      <c r="CQ326" s="909">
        <f t="shared" si="514"/>
        <v>0.22275607778708051</v>
      </c>
      <c r="CR326" s="909">
        <f t="shared" si="514"/>
        <v>6.587105511393454E-2</v>
      </c>
      <c r="CS326" s="909">
        <f t="shared" si="514"/>
        <v>7.6836303175137788E-2</v>
      </c>
      <c r="CT326" s="909">
        <f t="shared" si="514"/>
        <v>0.10962301587301582</v>
      </c>
      <c r="CU326" s="909">
        <f t="shared" si="514"/>
        <v>0.20803571428571432</v>
      </c>
      <c r="CV326" s="909">
        <f t="shared" si="514"/>
        <v>0.11428571428571432</v>
      </c>
      <c r="CW326" s="909">
        <f t="shared" si="514"/>
        <v>-6.4102564102564097E-2</v>
      </c>
      <c r="CX326" s="909">
        <f t="shared" si="514"/>
        <v>-0.1188970846505093</v>
      </c>
      <c r="CY326" s="909">
        <f t="shared" si="514"/>
        <v>-3.4794520547945185E-2</v>
      </c>
      <c r="CZ326" s="909">
        <f>+CZ325+CY325</f>
        <v>4.0000000000000036E-2</v>
      </c>
      <c r="DA326" s="909">
        <f t="shared" ref="DA326:DF326" si="515">+DA325+CZ325</f>
        <v>4.0000000000000036E-2</v>
      </c>
      <c r="DB326" s="909">
        <f t="shared" si="515"/>
        <v>4.0000000000000036E-2</v>
      </c>
      <c r="DC326" s="909">
        <f t="shared" si="515"/>
        <v>4.0000000000000036E-2</v>
      </c>
      <c r="DD326" s="909">
        <f t="shared" si="515"/>
        <v>4.0000000000000036E-2</v>
      </c>
      <c r="DE326" s="909">
        <f t="shared" si="515"/>
        <v>4.0000000000000036E-2</v>
      </c>
      <c r="DF326" s="910">
        <f t="shared" si="515"/>
        <v>4.0000000000000036E-2</v>
      </c>
    </row>
    <row r="327" spans="1:110" ht="12.75" customHeight="1">
      <c r="I327" s="185" t="s">
        <v>385</v>
      </c>
      <c r="J327" s="70"/>
      <c r="K327" s="70"/>
      <c r="P327" s="234"/>
      <c r="T327" s="234"/>
      <c r="X327" s="234"/>
      <c r="AB327" s="234"/>
      <c r="AF327" s="249"/>
      <c r="AG327" s="203"/>
      <c r="AH327" s="203"/>
      <c r="AI327" s="203"/>
      <c r="AJ327" s="204"/>
      <c r="AK327" s="800">
        <f t="shared" ref="AK327:BD327" si="516">+AK324-AG324</f>
        <v>-89</v>
      </c>
      <c r="AL327" s="800">
        <f t="shared" si="516"/>
        <v>-134</v>
      </c>
      <c r="AM327" s="800">
        <f t="shared" si="516"/>
        <v>153</v>
      </c>
      <c r="AN327" s="849">
        <f t="shared" si="516"/>
        <v>202</v>
      </c>
      <c r="AO327" s="800">
        <f t="shared" si="516"/>
        <v>530</v>
      </c>
      <c r="AP327" s="800">
        <f t="shared" si="516"/>
        <v>675</v>
      </c>
      <c r="AQ327" s="800">
        <f t="shared" si="516"/>
        <v>367</v>
      </c>
      <c r="AR327" s="849">
        <f t="shared" si="516"/>
        <v>345</v>
      </c>
      <c r="AS327" s="800">
        <f t="shared" si="516"/>
        <v>327</v>
      </c>
      <c r="AT327" s="800">
        <f t="shared" si="516"/>
        <v>189</v>
      </c>
      <c r="AU327" s="800">
        <f t="shared" si="516"/>
        <v>358</v>
      </c>
      <c r="AV327" s="849">
        <f t="shared" si="516"/>
        <v>183</v>
      </c>
      <c r="AW327" s="800">
        <f t="shared" si="516"/>
        <v>42</v>
      </c>
      <c r="AX327" s="800">
        <f t="shared" si="516"/>
        <v>49</v>
      </c>
      <c r="AY327" s="800">
        <f t="shared" si="516"/>
        <v>-44</v>
      </c>
      <c r="AZ327" s="849">
        <f t="shared" si="516"/>
        <v>-18</v>
      </c>
      <c r="BA327" s="800">
        <f t="shared" si="516"/>
        <v>62</v>
      </c>
      <c r="BB327" s="800">
        <f t="shared" si="516"/>
        <v>100</v>
      </c>
      <c r="BC327" s="800">
        <f t="shared" si="516"/>
        <v>100</v>
      </c>
      <c r="BD327" s="849">
        <f t="shared" si="516"/>
        <v>100</v>
      </c>
      <c r="BE327" s="800">
        <f t="shared" ref="BE327:BL327" si="517">+BE324-BA324</f>
        <v>0</v>
      </c>
      <c r="BF327" s="800">
        <f t="shared" si="517"/>
        <v>0</v>
      </c>
      <c r="BG327" s="800">
        <f t="shared" si="517"/>
        <v>100</v>
      </c>
      <c r="BH327" s="849">
        <f t="shared" si="517"/>
        <v>0</v>
      </c>
      <c r="BI327" s="800">
        <f t="shared" si="517"/>
        <v>100</v>
      </c>
      <c r="BJ327" s="800">
        <f t="shared" si="517"/>
        <v>0</v>
      </c>
      <c r="BK327" s="800">
        <f t="shared" si="517"/>
        <v>100</v>
      </c>
      <c r="BL327" s="800">
        <f t="shared" si="517"/>
        <v>400</v>
      </c>
      <c r="BM327" s="934">
        <f t="shared" ref="BM327:CF327" si="518">+BM324-BI324</f>
        <v>300</v>
      </c>
      <c r="BN327" s="800">
        <f t="shared" si="518"/>
        <v>400</v>
      </c>
      <c r="BO327" s="800">
        <f t="shared" si="518"/>
        <v>200</v>
      </c>
      <c r="BP327" s="800">
        <f t="shared" si="518"/>
        <v>-100</v>
      </c>
      <c r="BQ327" s="934">
        <f t="shared" si="518"/>
        <v>0</v>
      </c>
      <c r="BR327" s="800">
        <f t="shared" si="518"/>
        <v>0</v>
      </c>
      <c r="BS327" s="800">
        <f t="shared" si="518"/>
        <v>0</v>
      </c>
      <c r="BT327" s="849">
        <f t="shared" si="518"/>
        <v>0</v>
      </c>
      <c r="BU327" s="934">
        <f t="shared" si="518"/>
        <v>-200</v>
      </c>
      <c r="BV327" s="800">
        <f t="shared" si="518"/>
        <v>-100</v>
      </c>
      <c r="BW327" s="800">
        <f t="shared" si="518"/>
        <v>-100</v>
      </c>
      <c r="BX327" s="849">
        <f t="shared" si="518"/>
        <v>-100</v>
      </c>
      <c r="BY327" s="934">
        <f t="shared" si="518"/>
        <v>0</v>
      </c>
      <c r="BZ327" s="800">
        <f t="shared" si="518"/>
        <v>-200</v>
      </c>
      <c r="CA327" s="800">
        <f t="shared" si="518"/>
        <v>-200</v>
      </c>
      <c r="CB327" s="849">
        <f t="shared" si="518"/>
        <v>0</v>
      </c>
      <c r="CC327" s="934">
        <f t="shared" si="518"/>
        <v>36</v>
      </c>
      <c r="CD327" s="800">
        <f t="shared" si="518"/>
        <v>36</v>
      </c>
      <c r="CE327" s="800">
        <f t="shared" si="518"/>
        <v>34</v>
      </c>
      <c r="CF327" s="849">
        <f t="shared" si="518"/>
        <v>32</v>
      </c>
      <c r="CG327" s="234"/>
      <c r="CH327" s="160"/>
      <c r="CM327" s="203"/>
      <c r="CN327" s="800">
        <f t="shared" ref="CN327:CY327" si="519">+CN324-CM324</f>
        <v>132</v>
      </c>
      <c r="CO327" s="800">
        <f t="shared" si="519"/>
        <v>1917</v>
      </c>
      <c r="CP327" s="800">
        <f t="shared" si="519"/>
        <v>1057</v>
      </c>
      <c r="CQ327" s="800">
        <f t="shared" si="519"/>
        <v>29</v>
      </c>
      <c r="CR327" s="800">
        <f t="shared" si="519"/>
        <v>362</v>
      </c>
      <c r="CS327" s="800">
        <f t="shared" si="519"/>
        <v>100</v>
      </c>
      <c r="CT327" s="800">
        <f t="shared" si="519"/>
        <v>600</v>
      </c>
      <c r="CU327" s="800">
        <f t="shared" si="519"/>
        <v>800</v>
      </c>
      <c r="CV327" s="800">
        <f t="shared" si="519"/>
        <v>0</v>
      </c>
      <c r="CW327" s="800">
        <f t="shared" si="519"/>
        <v>-500</v>
      </c>
      <c r="CX327" s="800">
        <f t="shared" si="519"/>
        <v>-400</v>
      </c>
      <c r="CY327" s="800">
        <f t="shared" si="519"/>
        <v>138</v>
      </c>
      <c r="CZ327" s="800">
        <f>+CZ324-CY324</f>
        <v>140.76000000000022</v>
      </c>
      <c r="DA327" s="800">
        <f t="shared" ref="DA327:DF327" si="520">+DA324-CZ324</f>
        <v>143.57520000000022</v>
      </c>
      <c r="DB327" s="800">
        <f t="shared" si="520"/>
        <v>146.44670399999995</v>
      </c>
      <c r="DC327" s="800">
        <f t="shared" si="520"/>
        <v>149.3756380800005</v>
      </c>
      <c r="DD327" s="800">
        <f t="shared" si="520"/>
        <v>152.36315084160015</v>
      </c>
      <c r="DE327" s="800">
        <f t="shared" si="520"/>
        <v>155.41041385843255</v>
      </c>
      <c r="DF327" s="849">
        <f t="shared" si="520"/>
        <v>158.51862213560071</v>
      </c>
    </row>
    <row r="328" spans="1:110" s="48" customFormat="1" ht="12.75" customHeight="1">
      <c r="A328" s="24"/>
      <c r="B328" s="24"/>
      <c r="C328" s="24"/>
      <c r="D328" s="24"/>
      <c r="E328" s="24"/>
      <c r="F328" s="24"/>
      <c r="G328" s="24"/>
      <c r="H328" s="24"/>
      <c r="I328" s="188" t="s">
        <v>384</v>
      </c>
      <c r="J328" s="85"/>
      <c r="K328" s="85"/>
      <c r="P328" s="243"/>
      <c r="T328" s="243"/>
      <c r="X328" s="243"/>
      <c r="AB328" s="243"/>
      <c r="AC328" s="60"/>
      <c r="AD328" s="60"/>
      <c r="AE328" s="60"/>
      <c r="AF328" s="247"/>
      <c r="AG328" s="206"/>
      <c r="AH328" s="206"/>
      <c r="AI328" s="206"/>
      <c r="AJ328" s="207"/>
      <c r="AK328" s="206">
        <f t="shared" ref="AK328:BD328" si="521">+(AK325-AG325)*10000</f>
        <v>-1222.5274725274726</v>
      </c>
      <c r="AL328" s="206">
        <f t="shared" si="521"/>
        <v>-1632.155907429963</v>
      </c>
      <c r="AM328" s="206">
        <f t="shared" si="521"/>
        <v>2297.2972972972984</v>
      </c>
      <c r="AN328" s="207">
        <f t="shared" si="521"/>
        <v>3435.3741496598645</v>
      </c>
      <c r="AO328" s="206">
        <f t="shared" si="521"/>
        <v>9516.73717518788</v>
      </c>
      <c r="AP328" s="206">
        <f t="shared" si="521"/>
        <v>11457.483418346994</v>
      </c>
      <c r="AQ328" s="206">
        <f t="shared" si="521"/>
        <v>2183.7771837771825</v>
      </c>
      <c r="AR328" s="207">
        <f t="shared" si="521"/>
        <v>931.71445793507337</v>
      </c>
      <c r="AS328" s="206">
        <f t="shared" si="521"/>
        <v>-5496.9470850385087</v>
      </c>
      <c r="AT328" s="206">
        <f t="shared" si="521"/>
        <v>-8437.6623126791437</v>
      </c>
      <c r="AU328" s="206">
        <f t="shared" si="521"/>
        <v>-1462.5247340255764</v>
      </c>
      <c r="AV328" s="207">
        <f t="shared" si="521"/>
        <v>-2754.7538058328237</v>
      </c>
      <c r="AW328" s="206">
        <f t="shared" si="521"/>
        <v>-2516.5139545202942</v>
      </c>
      <c r="AX328" s="206">
        <f t="shared" si="521"/>
        <v>-1071.7399886956546</v>
      </c>
      <c r="AY328" s="206">
        <f t="shared" si="521"/>
        <v>-3303.523840313153</v>
      </c>
      <c r="AZ328" s="207">
        <f t="shared" si="521"/>
        <v>-1748.9053632188668</v>
      </c>
      <c r="BA328" s="206">
        <f t="shared" si="521"/>
        <v>122.3722731792809</v>
      </c>
      <c r="BB328" s="206">
        <f t="shared" si="521"/>
        <v>309.07479045776842</v>
      </c>
      <c r="BC328" s="206">
        <f t="shared" si="521"/>
        <v>951.64075993091512</v>
      </c>
      <c r="BD328" s="207">
        <f t="shared" si="521"/>
        <v>905.80133068752127</v>
      </c>
      <c r="BE328" s="206">
        <f t="shared" ref="BE328:BL328" si="522">+(BE325-BA325)*10000</f>
        <v>-403.12093628088519</v>
      </c>
      <c r="BF328" s="206">
        <f t="shared" si="522"/>
        <v>-625</v>
      </c>
      <c r="BG328" s="206">
        <f t="shared" si="522"/>
        <v>-41.666666666666515</v>
      </c>
      <c r="BH328" s="207">
        <f t="shared" si="522"/>
        <v>-769.23076923076871</v>
      </c>
      <c r="BI328" s="206">
        <f t="shared" si="522"/>
        <v>625</v>
      </c>
      <c r="BJ328" s="206">
        <f t="shared" si="522"/>
        <v>0</v>
      </c>
      <c r="BK328" s="206">
        <f t="shared" si="522"/>
        <v>-36.764705882352814</v>
      </c>
      <c r="BL328" s="206">
        <f t="shared" si="522"/>
        <v>2857.1428571428582</v>
      </c>
      <c r="BM328" s="1633">
        <f t="shared" ref="BM328:CF328" si="523">+(BM325-BI325)*10000</f>
        <v>1139.7058823529417</v>
      </c>
      <c r="BN328" s="206">
        <f t="shared" si="523"/>
        <v>2352.9411764705887</v>
      </c>
      <c r="BO328" s="206">
        <f t="shared" si="523"/>
        <v>522.87581699346447</v>
      </c>
      <c r="BP328" s="206">
        <f t="shared" si="523"/>
        <v>-3412.6984126984139</v>
      </c>
      <c r="BQ328" s="1633">
        <f t="shared" si="523"/>
        <v>-1764.7058823529417</v>
      </c>
      <c r="BR328" s="206">
        <f t="shared" si="523"/>
        <v>-2352.9411764705887</v>
      </c>
      <c r="BS328" s="206">
        <f t="shared" si="523"/>
        <v>-1111.1111111111115</v>
      </c>
      <c r="BT328" s="207">
        <f t="shared" si="523"/>
        <v>555.55555555555577</v>
      </c>
      <c r="BU328" s="1633">
        <f t="shared" si="523"/>
        <v>-999.99999999999977</v>
      </c>
      <c r="BV328" s="206">
        <f t="shared" si="523"/>
        <v>-476.19047619047672</v>
      </c>
      <c r="BW328" s="206">
        <f t="shared" si="523"/>
        <v>-500.00000000000045</v>
      </c>
      <c r="BX328" s="207">
        <f t="shared" si="523"/>
        <v>-588.23529411764719</v>
      </c>
      <c r="BY328" s="1633">
        <f t="shared" si="523"/>
        <v>999.99999999999977</v>
      </c>
      <c r="BZ328" s="206">
        <f t="shared" si="523"/>
        <v>-523.80952380952306</v>
      </c>
      <c r="CA328" s="206">
        <f t="shared" si="523"/>
        <v>-552.63157894736787</v>
      </c>
      <c r="CB328" s="207">
        <f t="shared" si="523"/>
        <v>588.23529411764719</v>
      </c>
      <c r="CC328" s="1633">
        <f t="shared" si="523"/>
        <v>200</v>
      </c>
      <c r="CD328" s="206">
        <f t="shared" si="523"/>
        <v>1199.9999999999998</v>
      </c>
      <c r="CE328" s="206">
        <f t="shared" si="523"/>
        <v>1252.6315789473683</v>
      </c>
      <c r="CF328" s="207">
        <f t="shared" si="523"/>
        <v>200</v>
      </c>
      <c r="CG328" s="243"/>
      <c r="CH328" s="177"/>
      <c r="CM328" s="206"/>
      <c r="CN328" s="206">
        <f t="shared" ref="CN328:CY328" si="524">+(CN325-CM325)*10000</f>
        <v>470.92400998929753</v>
      </c>
      <c r="CO328" s="206">
        <f t="shared" si="524"/>
        <v>6060.5921739970745</v>
      </c>
      <c r="CP328" s="206">
        <f t="shared" si="524"/>
        <v>-4353.0330842336925</v>
      </c>
      <c r="CQ328" s="206">
        <f t="shared" si="524"/>
        <v>-2129.4054216345539</v>
      </c>
      <c r="CR328" s="206">
        <f t="shared" si="524"/>
        <v>560.55519490309405</v>
      </c>
      <c r="CS328" s="206">
        <f t="shared" si="524"/>
        <v>-450.90271429106156</v>
      </c>
      <c r="CT328" s="206">
        <f t="shared" si="524"/>
        <v>778.76984126984189</v>
      </c>
      <c r="CU328" s="206">
        <f t="shared" si="524"/>
        <v>205.35714285714323</v>
      </c>
      <c r="CV328" s="206">
        <f t="shared" si="524"/>
        <v>-1142.8571428571433</v>
      </c>
      <c r="CW328" s="206">
        <f t="shared" si="524"/>
        <v>-641.02564102564099</v>
      </c>
      <c r="CX328" s="206">
        <f t="shared" si="524"/>
        <v>93.080435546188937</v>
      </c>
      <c r="CY328" s="206">
        <f t="shared" si="524"/>
        <v>747.94520547945217</v>
      </c>
      <c r="CZ328" s="206">
        <f>+(CZ325-CY325)*10000</f>
        <v>0</v>
      </c>
      <c r="DA328" s="206">
        <f t="shared" ref="DA328:DF328" si="525">+(DA325-CZ325)*10000</f>
        <v>0</v>
      </c>
      <c r="DB328" s="206">
        <f t="shared" si="525"/>
        <v>0</v>
      </c>
      <c r="DC328" s="206">
        <f t="shared" si="525"/>
        <v>0</v>
      </c>
      <c r="DD328" s="206">
        <f t="shared" si="525"/>
        <v>0</v>
      </c>
      <c r="DE328" s="206">
        <f t="shared" si="525"/>
        <v>0</v>
      </c>
      <c r="DF328" s="207">
        <f t="shared" si="525"/>
        <v>0</v>
      </c>
    </row>
    <row r="329" spans="1:110" ht="12.75" customHeight="1">
      <c r="I329" s="190"/>
      <c r="J329" s="79"/>
      <c r="K329" s="79"/>
      <c r="P329" s="234"/>
      <c r="T329" s="234"/>
      <c r="X329" s="234"/>
      <c r="AB329" s="234"/>
      <c r="AF329" s="249"/>
      <c r="AG329" s="203"/>
      <c r="AH329" s="203"/>
      <c r="AI329" s="203"/>
      <c r="AJ329" s="204"/>
      <c r="AK329" s="203"/>
      <c r="AL329" s="203"/>
      <c r="AM329" s="203"/>
      <c r="AN329" s="204"/>
      <c r="AO329" s="203"/>
      <c r="AP329" s="203"/>
      <c r="AQ329" s="203"/>
      <c r="AR329" s="204"/>
      <c r="AS329" s="203"/>
      <c r="AT329" s="203"/>
      <c r="AU329" s="203"/>
      <c r="AV329" s="204"/>
      <c r="AW329" s="203"/>
      <c r="AX329" s="203"/>
      <c r="AY329" s="203"/>
      <c r="AZ329" s="202"/>
      <c r="BA329" s="103"/>
      <c r="BB329" s="880"/>
      <c r="BC329" s="880"/>
      <c r="BD329" s="988"/>
      <c r="BE329" s="24"/>
      <c r="BF329" s="24"/>
      <c r="BG329" s="24"/>
      <c r="BH329" s="216"/>
      <c r="BI329" s="38"/>
      <c r="BJ329" s="170"/>
      <c r="BK329" s="170"/>
      <c r="BL329" s="170"/>
      <c r="BM329" s="173"/>
      <c r="BN329" s="38"/>
      <c r="BO329" s="38"/>
      <c r="BP329" s="103"/>
      <c r="BQ329" s="265"/>
      <c r="BR329" s="103"/>
      <c r="BS329" s="103"/>
      <c r="BT329" s="202"/>
      <c r="BU329" s="265"/>
      <c r="BV329" s="103"/>
      <c r="BW329" s="103"/>
      <c r="BX329" s="202"/>
      <c r="BY329" s="265"/>
      <c r="BZ329" s="103"/>
      <c r="CA329" s="103"/>
      <c r="CB329" s="202"/>
      <c r="CC329" s="265"/>
      <c r="CD329" s="103"/>
      <c r="CE329" s="103"/>
      <c r="CF329" s="202"/>
      <c r="CG329" s="234"/>
      <c r="CH329" s="160"/>
      <c r="CM329" s="203"/>
      <c r="CN329" s="203"/>
      <c r="CO329" s="203"/>
      <c r="CP329" s="203"/>
      <c r="CQ329" s="103"/>
      <c r="CR329" s="103"/>
      <c r="CS329" s="103"/>
      <c r="CT329" s="103"/>
      <c r="CU329" s="103"/>
      <c r="CV329" s="103"/>
      <c r="CW329" s="103"/>
      <c r="CX329" s="103"/>
      <c r="CY329" s="103"/>
      <c r="CZ329" s="103"/>
      <c r="DA329" s="103"/>
      <c r="DB329" s="103"/>
      <c r="DC329" s="103"/>
      <c r="DD329" s="103"/>
      <c r="DE329" s="103"/>
      <c r="DF329" s="202"/>
    </row>
    <row r="330" spans="1:110" ht="12.75" customHeight="1">
      <c r="I330" s="185" t="s">
        <v>247</v>
      </c>
      <c r="J330" s="70"/>
      <c r="K330" s="70"/>
      <c r="P330" s="234"/>
      <c r="T330" s="234"/>
      <c r="X330" s="234"/>
      <c r="AB330" s="234"/>
      <c r="AF330" s="249"/>
      <c r="AG330" s="1668">
        <v>275</v>
      </c>
      <c r="AH330" s="1668">
        <v>290</v>
      </c>
      <c r="AI330" s="1668">
        <v>285</v>
      </c>
      <c r="AJ330" s="1669">
        <v>260</v>
      </c>
      <c r="AK330" s="834">
        <f>+AG330*(1+AK331)</f>
        <v>280.5</v>
      </c>
      <c r="AL330" s="834">
        <f>+AH330*(1+AL331)</f>
        <v>319</v>
      </c>
      <c r="AM330" s="834">
        <f>+AI330*(1+AM331)</f>
        <v>290.7</v>
      </c>
      <c r="AN330" s="911">
        <f>+AJ330*(1+AN331)</f>
        <v>275.60000000000002</v>
      </c>
      <c r="AO330" s="834">
        <f t="shared" ref="AO330:AY330" si="526">+AK330*(1+AO340)</f>
        <v>293.73113207547175</v>
      </c>
      <c r="AP330" s="834">
        <f t="shared" si="526"/>
        <v>339.54907975460122</v>
      </c>
      <c r="AQ330" s="834">
        <f t="shared" si="526"/>
        <v>318.17469512195117</v>
      </c>
      <c r="AR330" s="911">
        <f t="shared" si="526"/>
        <v>288.12727272727273</v>
      </c>
      <c r="AS330" s="834">
        <f t="shared" si="526"/>
        <v>276.97169811320759</v>
      </c>
      <c r="AT330" s="834">
        <f t="shared" si="526"/>
        <v>295.51533742331287</v>
      </c>
      <c r="AU330" s="834">
        <f t="shared" si="526"/>
        <v>272.08810975609754</v>
      </c>
      <c r="AV330" s="911">
        <f t="shared" si="526"/>
        <v>267.24848484848485</v>
      </c>
      <c r="AW330" s="834">
        <f t="shared" si="526"/>
        <v>289.32075471698118</v>
      </c>
      <c r="AX330" s="834">
        <f t="shared" si="526"/>
        <v>333.67791411042947</v>
      </c>
      <c r="AY330" s="834">
        <f t="shared" si="526"/>
        <v>301.33536585365852</v>
      </c>
      <c r="AZ330" s="911">
        <f>+AV330*(1+AZ331)</f>
        <v>283.28339393939393</v>
      </c>
      <c r="BA330" s="834">
        <f>+AW330*(1+BA331)</f>
        <v>324.03924528301894</v>
      </c>
      <c r="BB330" s="834">
        <f>+AX330*(1+BB331)</f>
        <v>347.02503067484668</v>
      </c>
      <c r="BC330" s="834">
        <f>+AY330*(1+BC331)</f>
        <v>322.42884146341464</v>
      </c>
      <c r="BD330" s="911">
        <f>+AZ330*(1+BD331)</f>
        <v>314.44456727272728</v>
      </c>
      <c r="BE330" s="834">
        <f t="shared" ref="BE330:BL330" si="527">+BA330*(1+BE331)</f>
        <v>340.24120754716989</v>
      </c>
      <c r="BF330" s="834">
        <f t="shared" si="527"/>
        <v>371.31678282208594</v>
      </c>
      <c r="BG330" s="834">
        <f t="shared" si="527"/>
        <v>338.55028353658537</v>
      </c>
      <c r="BH330" s="911">
        <f t="shared" si="527"/>
        <v>327.02234996363637</v>
      </c>
      <c r="BI330" s="834">
        <f t="shared" si="527"/>
        <v>350.44844377358498</v>
      </c>
      <c r="BJ330" s="834">
        <f t="shared" si="527"/>
        <v>397.308957619632</v>
      </c>
      <c r="BK330" s="834">
        <f t="shared" si="527"/>
        <v>355.47779771341465</v>
      </c>
      <c r="BL330" s="834">
        <f t="shared" si="527"/>
        <v>340.10324396218186</v>
      </c>
      <c r="BM330" s="1634">
        <f t="shared" ref="BM330:CF330" si="528">+BI330*(1+BM331)</f>
        <v>360.96189708679253</v>
      </c>
      <c r="BN330" s="834">
        <f t="shared" si="528"/>
        <v>425.12058465300623</v>
      </c>
      <c r="BO330" s="834">
        <f t="shared" si="528"/>
        <v>373.25168759908541</v>
      </c>
      <c r="BP330" s="834">
        <f t="shared" si="528"/>
        <v>353.70737372066912</v>
      </c>
      <c r="BQ330" s="1634">
        <f>+BM330*(1+BQ331)</f>
        <v>371.79075399939632</v>
      </c>
      <c r="BR330" s="834">
        <f t="shared" si="528"/>
        <v>454.87902557871672</v>
      </c>
      <c r="BS330" s="834">
        <f t="shared" si="528"/>
        <v>391.91427197903971</v>
      </c>
      <c r="BT330" s="911">
        <f t="shared" si="528"/>
        <v>367.85566866949591</v>
      </c>
      <c r="BU330" s="1634">
        <f>+BQ330*(1+BU331)</f>
        <v>382.94447661937824</v>
      </c>
      <c r="BV330" s="834">
        <f t="shared" si="528"/>
        <v>486.72055736922692</v>
      </c>
      <c r="BW330" s="834">
        <f t="shared" si="528"/>
        <v>411.5099855779917</v>
      </c>
      <c r="BX330" s="911">
        <f t="shared" si="528"/>
        <v>382.56989541627576</v>
      </c>
      <c r="BY330" s="1634">
        <f t="shared" si="528"/>
        <v>394.43281091795961</v>
      </c>
      <c r="BZ330" s="834">
        <f t="shared" si="528"/>
        <v>520.79099638507284</v>
      </c>
      <c r="CA330" s="834">
        <f t="shared" si="528"/>
        <v>432.0854848568913</v>
      </c>
      <c r="CB330" s="911">
        <f t="shared" si="528"/>
        <v>397.8726912329268</v>
      </c>
      <c r="CC330" s="1634">
        <f t="shared" si="528"/>
        <v>406.2657952454984</v>
      </c>
      <c r="CD330" s="834">
        <f t="shared" si="528"/>
        <v>557.24636613202802</v>
      </c>
      <c r="CE330" s="834">
        <f t="shared" si="528"/>
        <v>453.68975909973591</v>
      </c>
      <c r="CF330" s="911">
        <f t="shared" si="528"/>
        <v>413.78759888224386</v>
      </c>
      <c r="CG330" s="234"/>
      <c r="CH330" s="160"/>
      <c r="CM330" s="834">
        <f>+CM335*1000/CM324</f>
        <v>278.62290403139491</v>
      </c>
      <c r="CN330" s="834">
        <f>+CN335*1000/CN324</f>
        <v>291.03911413969331</v>
      </c>
      <c r="CO330" s="834">
        <f>+CO335*1000/CO324</f>
        <v>301.3187757625721</v>
      </c>
      <c r="CP330" s="834">
        <f>+CP335*1000/CP324</f>
        <v>274.40739549839219</v>
      </c>
      <c r="CQ330" s="834">
        <f t="shared" ref="CQ330:CY330" si="529">+(CQ335/CQ324)*1000</f>
        <v>336.28977433479298</v>
      </c>
      <c r="CR330" s="834">
        <f t="shared" si="529"/>
        <v>327.70061668624629</v>
      </c>
      <c r="CS330" s="834">
        <f t="shared" si="529"/>
        <v>345.15488044286002</v>
      </c>
      <c r="CT330" s="834">
        <f t="shared" si="529"/>
        <v>360.46192248350604</v>
      </c>
      <c r="CU330" s="834">
        <f t="shared" si="529"/>
        <v>379.80550416259064</v>
      </c>
      <c r="CV330" s="834">
        <f t="shared" si="529"/>
        <v>398.46290287311803</v>
      </c>
      <c r="CW330" s="834">
        <f t="shared" si="529"/>
        <v>418.72903807089864</v>
      </c>
      <c r="CX330" s="834">
        <f t="shared" si="529"/>
        <v>437.47021498186331</v>
      </c>
      <c r="CY330" s="834">
        <f t="shared" si="529"/>
        <v>459.08038248705634</v>
      </c>
      <c r="CZ330" s="834">
        <f>+CY330*(1+CZ331)</f>
        <v>481.75804972962436</v>
      </c>
      <c r="DA330" s="834">
        <f t="shared" ref="DA330:DF330" si="530">+CZ330*(1+DA331)</f>
        <v>505.55594909533073</v>
      </c>
      <c r="DB330" s="834">
        <f t="shared" si="530"/>
        <v>530.52941784599727</v>
      </c>
      <c r="DC330" s="834">
        <f t="shared" si="530"/>
        <v>556.73652679525424</v>
      </c>
      <c r="DD330" s="834">
        <f t="shared" si="530"/>
        <v>584.23821534061869</v>
      </c>
      <c r="DE330" s="834">
        <f t="shared" si="530"/>
        <v>613.09843316589229</v>
      </c>
      <c r="DF330" s="911">
        <f t="shared" si="530"/>
        <v>643.3842889433779</v>
      </c>
    </row>
    <row r="331" spans="1:110" s="835" customFormat="1" ht="12.75" customHeight="1">
      <c r="A331" s="24"/>
      <c r="B331" s="24"/>
      <c r="C331" s="24"/>
      <c r="D331" s="24"/>
      <c r="E331" s="24"/>
      <c r="F331" s="24"/>
      <c r="G331" s="24"/>
      <c r="H331" s="24"/>
      <c r="I331" s="185" t="s">
        <v>376</v>
      </c>
      <c r="J331" s="70"/>
      <c r="K331" s="70"/>
      <c r="P331" s="950"/>
      <c r="T331" s="950"/>
      <c r="X331" s="950"/>
      <c r="AB331" s="950"/>
      <c r="AC331" s="836"/>
      <c r="AD331" s="836"/>
      <c r="AE331" s="836"/>
      <c r="AF331" s="963"/>
      <c r="AG331" s="837"/>
      <c r="AH331" s="837"/>
      <c r="AI331" s="837"/>
      <c r="AJ331" s="972"/>
      <c r="AK331" s="717">
        <v>0.02</v>
      </c>
      <c r="AL331" s="717">
        <v>0.1</v>
      </c>
      <c r="AM331" s="717">
        <v>0.02</v>
      </c>
      <c r="AN331" s="725">
        <v>0.06</v>
      </c>
      <c r="AO331" s="121">
        <f t="shared" ref="AO331:AY331" si="531">+AO330/AK330-1</f>
        <v>4.7169811320754818E-2</v>
      </c>
      <c r="AP331" s="121">
        <f t="shared" si="531"/>
        <v>6.4417177914110502E-2</v>
      </c>
      <c r="AQ331" s="121">
        <f t="shared" si="531"/>
        <v>9.4512195121951192E-2</v>
      </c>
      <c r="AR331" s="235">
        <f t="shared" si="531"/>
        <v>4.5454545454545414E-2</v>
      </c>
      <c r="AS331" s="121">
        <f t="shared" si="531"/>
        <v>-5.7057057057057103E-2</v>
      </c>
      <c r="AT331" s="121">
        <f t="shared" si="531"/>
        <v>-0.12968299711815567</v>
      </c>
      <c r="AU331" s="121">
        <f t="shared" si="531"/>
        <v>-0.14484679665738154</v>
      </c>
      <c r="AV331" s="235">
        <f t="shared" si="531"/>
        <v>-7.2463768115942018E-2</v>
      </c>
      <c r="AW331" s="121">
        <f t="shared" si="531"/>
        <v>4.4585987261146487E-2</v>
      </c>
      <c r="AX331" s="121">
        <f t="shared" si="531"/>
        <v>0.12913907284768222</v>
      </c>
      <c r="AY331" s="121">
        <f t="shared" si="531"/>
        <v>0.10749185667752448</v>
      </c>
      <c r="AZ331" s="986">
        <v>0.06</v>
      </c>
      <c r="BA331" s="838">
        <v>0.12</v>
      </c>
      <c r="BB331" s="838">
        <v>0.04</v>
      </c>
      <c r="BC331" s="838">
        <v>7.0000000000000007E-2</v>
      </c>
      <c r="BD331" s="986">
        <v>0.11</v>
      </c>
      <c r="BE331" s="838">
        <v>0.05</v>
      </c>
      <c r="BF331" s="838">
        <v>7.0000000000000007E-2</v>
      </c>
      <c r="BG331" s="1283">
        <v>0.05</v>
      </c>
      <c r="BH331" s="1281">
        <v>0.04</v>
      </c>
      <c r="BI331" s="1283">
        <v>0.03</v>
      </c>
      <c r="BJ331" s="1283">
        <f>+BF331</f>
        <v>7.0000000000000007E-2</v>
      </c>
      <c r="BK331" s="1283">
        <f>+BG331</f>
        <v>0.05</v>
      </c>
      <c r="BL331" s="1283">
        <f>+BH331</f>
        <v>0.04</v>
      </c>
      <c r="BM331" s="1631">
        <v>0.03</v>
      </c>
      <c r="BN331" s="1283">
        <f t="shared" ref="BN331:CF331" si="532">+BJ331</f>
        <v>7.0000000000000007E-2</v>
      </c>
      <c r="BO331" s="1283">
        <f t="shared" si="532"/>
        <v>0.05</v>
      </c>
      <c r="BP331" s="1283">
        <f>+BL331</f>
        <v>0.04</v>
      </c>
      <c r="BQ331" s="1631">
        <f t="shared" si="532"/>
        <v>0.03</v>
      </c>
      <c r="BR331" s="1283">
        <f t="shared" si="532"/>
        <v>7.0000000000000007E-2</v>
      </c>
      <c r="BS331" s="1283">
        <f t="shared" si="532"/>
        <v>0.05</v>
      </c>
      <c r="BT331" s="1281">
        <f t="shared" si="532"/>
        <v>0.04</v>
      </c>
      <c r="BU331" s="1631">
        <f t="shared" si="532"/>
        <v>0.03</v>
      </c>
      <c r="BV331" s="1283">
        <f t="shared" si="532"/>
        <v>7.0000000000000007E-2</v>
      </c>
      <c r="BW331" s="1283">
        <f t="shared" si="532"/>
        <v>0.05</v>
      </c>
      <c r="BX331" s="1281">
        <f t="shared" si="532"/>
        <v>0.04</v>
      </c>
      <c r="BY331" s="1631">
        <f t="shared" si="532"/>
        <v>0.03</v>
      </c>
      <c r="BZ331" s="1283">
        <f t="shared" si="532"/>
        <v>7.0000000000000007E-2</v>
      </c>
      <c r="CA331" s="1283">
        <f t="shared" si="532"/>
        <v>0.05</v>
      </c>
      <c r="CB331" s="1281">
        <f t="shared" si="532"/>
        <v>0.04</v>
      </c>
      <c r="CC331" s="1631">
        <f t="shared" si="532"/>
        <v>0.03</v>
      </c>
      <c r="CD331" s="1283">
        <f t="shared" si="532"/>
        <v>7.0000000000000007E-2</v>
      </c>
      <c r="CE331" s="1283">
        <f t="shared" si="532"/>
        <v>0.05</v>
      </c>
      <c r="CF331" s="1281">
        <f t="shared" si="532"/>
        <v>0.04</v>
      </c>
      <c r="CG331" s="950"/>
      <c r="CH331" s="941"/>
      <c r="CN331" s="121">
        <f t="shared" ref="CN331:CY331" si="533">+CN330/CM330-1</f>
        <v>4.4562776170401719E-2</v>
      </c>
      <c r="CO331" s="121">
        <f t="shared" si="533"/>
        <v>3.5320550137273754E-2</v>
      </c>
      <c r="CP331" s="121">
        <f t="shared" si="533"/>
        <v>-8.9311992576875054E-2</v>
      </c>
      <c r="CQ331" s="121">
        <f t="shared" si="533"/>
        <v>0.22551279539681124</v>
      </c>
      <c r="CR331" s="121">
        <f t="shared" si="533"/>
        <v>-2.5540942080492068E-2</v>
      </c>
      <c r="CS331" s="121">
        <f t="shared" si="533"/>
        <v>5.3262834635813716E-2</v>
      </c>
      <c r="CT331" s="121">
        <f t="shared" si="533"/>
        <v>4.4348328556171435E-2</v>
      </c>
      <c r="CU331" s="121">
        <f t="shared" si="533"/>
        <v>5.3663314964896847E-2</v>
      </c>
      <c r="CV331" s="121">
        <f t="shared" si="533"/>
        <v>4.9123560627863716E-2</v>
      </c>
      <c r="CW331" s="121">
        <f t="shared" si="533"/>
        <v>5.0860782902627966E-2</v>
      </c>
      <c r="CX331" s="121">
        <f t="shared" si="533"/>
        <v>4.475728981516558E-2</v>
      </c>
      <c r="CY331" s="121">
        <f t="shared" si="533"/>
        <v>4.9398031603337778E-2</v>
      </c>
      <c r="CZ331" s="1325">
        <f>+CY331</f>
        <v>4.9398031603337778E-2</v>
      </c>
      <c r="DA331" s="1325">
        <f t="shared" ref="DA331:DF331" si="534">+CZ331</f>
        <v>4.9398031603337778E-2</v>
      </c>
      <c r="DB331" s="1325">
        <f t="shared" si="534"/>
        <v>4.9398031603337778E-2</v>
      </c>
      <c r="DC331" s="1325">
        <f t="shared" si="534"/>
        <v>4.9398031603337778E-2</v>
      </c>
      <c r="DD331" s="1325">
        <f t="shared" si="534"/>
        <v>4.9398031603337778E-2</v>
      </c>
      <c r="DE331" s="1325">
        <f t="shared" si="534"/>
        <v>4.9398031603337778E-2</v>
      </c>
      <c r="DF331" s="1324">
        <f t="shared" si="534"/>
        <v>4.9398031603337778E-2</v>
      </c>
    </row>
    <row r="332" spans="1:110" s="48" customFormat="1" ht="12.75" customHeight="1">
      <c r="A332" s="24"/>
      <c r="B332" s="24"/>
      <c r="C332" s="24"/>
      <c r="D332" s="24"/>
      <c r="E332" s="24"/>
      <c r="F332" s="24"/>
      <c r="G332" s="24"/>
      <c r="H332" s="24"/>
      <c r="I332" s="188" t="s">
        <v>384</v>
      </c>
      <c r="J332" s="85"/>
      <c r="K332" s="85"/>
      <c r="P332" s="243"/>
      <c r="T332" s="243"/>
      <c r="X332" s="243"/>
      <c r="AB332" s="243"/>
      <c r="AC332" s="60"/>
      <c r="AD332" s="60"/>
      <c r="AE332" s="60"/>
      <c r="AF332" s="247"/>
      <c r="AG332" s="206"/>
      <c r="AH332" s="206"/>
      <c r="AI332" s="206"/>
      <c r="AJ332" s="207"/>
      <c r="AK332" s="206">
        <f t="shared" ref="AK332:BD332" si="535">+(AK331-AG331)*10000</f>
        <v>200</v>
      </c>
      <c r="AL332" s="206">
        <f t="shared" si="535"/>
        <v>1000</v>
      </c>
      <c r="AM332" s="206">
        <f t="shared" si="535"/>
        <v>200</v>
      </c>
      <c r="AN332" s="207">
        <f t="shared" si="535"/>
        <v>600</v>
      </c>
      <c r="AO332" s="206">
        <f t="shared" si="535"/>
        <v>271.69811320754815</v>
      </c>
      <c r="AP332" s="206">
        <f t="shared" si="535"/>
        <v>-355.82822085889507</v>
      </c>
      <c r="AQ332" s="206">
        <f t="shared" si="535"/>
        <v>745.12195121951186</v>
      </c>
      <c r="AR332" s="207">
        <f t="shared" si="535"/>
        <v>-145.45454545454584</v>
      </c>
      <c r="AS332" s="206">
        <f t="shared" si="535"/>
        <v>-1042.2686837781191</v>
      </c>
      <c r="AT332" s="206">
        <f t="shared" si="535"/>
        <v>-1941.0017503226618</v>
      </c>
      <c r="AU332" s="206">
        <f t="shared" si="535"/>
        <v>-2393.5899177933275</v>
      </c>
      <c r="AV332" s="207">
        <f t="shared" si="535"/>
        <v>-1179.1831357048743</v>
      </c>
      <c r="AW332" s="206">
        <f t="shared" si="535"/>
        <v>1016.4304431820359</v>
      </c>
      <c r="AX332" s="206">
        <f t="shared" si="535"/>
        <v>2588.2206996583791</v>
      </c>
      <c r="AY332" s="206">
        <f t="shared" si="535"/>
        <v>2523.3865333490603</v>
      </c>
      <c r="AZ332" s="207">
        <f t="shared" si="535"/>
        <v>1324.6376811594203</v>
      </c>
      <c r="BA332" s="206">
        <f t="shared" si="535"/>
        <v>754.14012738853512</v>
      </c>
      <c r="BB332" s="206">
        <f t="shared" si="535"/>
        <v>-891.39072847682212</v>
      </c>
      <c r="BC332" s="206">
        <f t="shared" si="535"/>
        <v>-374.9185667752447</v>
      </c>
      <c r="BD332" s="207">
        <f t="shared" si="535"/>
        <v>500</v>
      </c>
      <c r="BE332" s="206">
        <f t="shared" ref="BE332:BL332" si="536">+(BE331-BA331)*10000</f>
        <v>-699.99999999999989</v>
      </c>
      <c r="BF332" s="206">
        <f t="shared" si="536"/>
        <v>300.00000000000006</v>
      </c>
      <c r="BG332" s="206">
        <f t="shared" si="536"/>
        <v>-200.00000000000003</v>
      </c>
      <c r="BH332" s="207">
        <f t="shared" si="536"/>
        <v>-700.00000000000011</v>
      </c>
      <c r="BI332" s="206">
        <f t="shared" si="536"/>
        <v>-200.00000000000003</v>
      </c>
      <c r="BJ332" s="206">
        <f t="shared" si="536"/>
        <v>0</v>
      </c>
      <c r="BK332" s="206">
        <f t="shared" si="536"/>
        <v>0</v>
      </c>
      <c r="BL332" s="206">
        <f t="shared" si="536"/>
        <v>0</v>
      </c>
      <c r="BM332" s="1633">
        <f t="shared" ref="BM332:CF332" si="537">+(BM331-BI331)*10000</f>
        <v>0</v>
      </c>
      <c r="BN332" s="206">
        <f t="shared" si="537"/>
        <v>0</v>
      </c>
      <c r="BO332" s="206">
        <f t="shared" si="537"/>
        <v>0</v>
      </c>
      <c r="BP332" s="206">
        <f t="shared" si="537"/>
        <v>0</v>
      </c>
      <c r="BQ332" s="1633">
        <f t="shared" si="537"/>
        <v>0</v>
      </c>
      <c r="BR332" s="206">
        <f t="shared" si="537"/>
        <v>0</v>
      </c>
      <c r="BS332" s="206">
        <f t="shared" si="537"/>
        <v>0</v>
      </c>
      <c r="BT332" s="207">
        <f t="shared" si="537"/>
        <v>0</v>
      </c>
      <c r="BU332" s="1633">
        <f t="shared" si="537"/>
        <v>0</v>
      </c>
      <c r="BV332" s="206">
        <f t="shared" si="537"/>
        <v>0</v>
      </c>
      <c r="BW332" s="206">
        <f t="shared" si="537"/>
        <v>0</v>
      </c>
      <c r="BX332" s="207">
        <f t="shared" si="537"/>
        <v>0</v>
      </c>
      <c r="BY332" s="1633">
        <f t="shared" si="537"/>
        <v>0</v>
      </c>
      <c r="BZ332" s="206">
        <f t="shared" si="537"/>
        <v>0</v>
      </c>
      <c r="CA332" s="206">
        <f t="shared" si="537"/>
        <v>0</v>
      </c>
      <c r="CB332" s="207">
        <f t="shared" si="537"/>
        <v>0</v>
      </c>
      <c r="CC332" s="1633">
        <f t="shared" si="537"/>
        <v>0</v>
      </c>
      <c r="CD332" s="206">
        <f t="shared" si="537"/>
        <v>0</v>
      </c>
      <c r="CE332" s="206">
        <f t="shared" si="537"/>
        <v>0</v>
      </c>
      <c r="CF332" s="207">
        <f t="shared" si="537"/>
        <v>0</v>
      </c>
      <c r="CG332" s="243"/>
      <c r="CH332" s="177"/>
      <c r="CM332" s="206"/>
      <c r="CN332" s="206">
        <f t="shared" ref="CN332:CZ332" si="538">+(CN331-CM331)*10000</f>
        <v>445.62776170401719</v>
      </c>
      <c r="CO332" s="206">
        <f t="shared" si="538"/>
        <v>-92.422260331279645</v>
      </c>
      <c r="CP332" s="206">
        <f t="shared" si="538"/>
        <v>-1246.325427141488</v>
      </c>
      <c r="CQ332" s="206">
        <f t="shared" si="538"/>
        <v>3148.2478797368631</v>
      </c>
      <c r="CR332" s="206">
        <f t="shared" si="538"/>
        <v>-2510.5373747730332</v>
      </c>
      <c r="CS332" s="206">
        <f t="shared" si="538"/>
        <v>788.03776716305788</v>
      </c>
      <c r="CT332" s="206">
        <f t="shared" si="538"/>
        <v>-89.145060796422811</v>
      </c>
      <c r="CU332" s="206">
        <f t="shared" si="538"/>
        <v>93.149864087254116</v>
      </c>
      <c r="CV332" s="206">
        <f t="shared" si="538"/>
        <v>-45.397543370331306</v>
      </c>
      <c r="CW332" s="206">
        <f t="shared" si="538"/>
        <v>17.372222747642496</v>
      </c>
      <c r="CX332" s="206">
        <f t="shared" si="538"/>
        <v>-61.034930874623861</v>
      </c>
      <c r="CY332" s="206">
        <f t="shared" si="538"/>
        <v>46.407417881721983</v>
      </c>
      <c r="CZ332" s="206">
        <f t="shared" si="538"/>
        <v>0</v>
      </c>
      <c r="DA332" s="206">
        <f t="shared" ref="DA332:DF332" si="539">+(DA331-CZ331)*10000</f>
        <v>0</v>
      </c>
      <c r="DB332" s="206">
        <f t="shared" si="539"/>
        <v>0</v>
      </c>
      <c r="DC332" s="206">
        <f t="shared" si="539"/>
        <v>0</v>
      </c>
      <c r="DD332" s="206">
        <f t="shared" si="539"/>
        <v>0</v>
      </c>
      <c r="DE332" s="206">
        <f t="shared" si="539"/>
        <v>0</v>
      </c>
      <c r="DF332" s="207">
        <f t="shared" si="539"/>
        <v>0</v>
      </c>
    </row>
    <row r="333" spans="1:110" s="82" customFormat="1" ht="12.75" customHeight="1">
      <c r="I333" s="193" t="s">
        <v>246</v>
      </c>
      <c r="J333" s="83"/>
      <c r="K333" s="83"/>
      <c r="P333" s="1135"/>
      <c r="T333" s="1135"/>
      <c r="X333" s="1135"/>
      <c r="AB333" s="1135"/>
      <c r="AC333" s="307"/>
      <c r="AD333" s="307"/>
      <c r="AE333" s="307"/>
      <c r="AF333" s="1136"/>
      <c r="AG333" s="64"/>
      <c r="AH333" s="64"/>
      <c r="AI333" s="64"/>
      <c r="AJ333" s="180"/>
      <c r="AK333" s="64"/>
      <c r="AL333" s="64"/>
      <c r="AM333" s="64"/>
      <c r="AN333" s="180"/>
      <c r="AO333" s="64">
        <f t="shared" ref="AO333:BD333" si="540">+AO331+AK331</f>
        <v>6.7169811320754821E-2</v>
      </c>
      <c r="AP333" s="64">
        <f t="shared" si="540"/>
        <v>0.16441717791411051</v>
      </c>
      <c r="AQ333" s="64">
        <f t="shared" si="540"/>
        <v>0.1145121951219512</v>
      </c>
      <c r="AR333" s="180">
        <f t="shared" si="540"/>
        <v>0.10545454545454541</v>
      </c>
      <c r="AS333" s="64">
        <f t="shared" si="540"/>
        <v>-9.8872457363022859E-3</v>
      </c>
      <c r="AT333" s="64">
        <f t="shared" si="540"/>
        <v>-6.5265819204045172E-2</v>
      </c>
      <c r="AU333" s="64">
        <f t="shared" si="540"/>
        <v>-5.0334601535430346E-2</v>
      </c>
      <c r="AV333" s="180">
        <f t="shared" si="540"/>
        <v>-2.7009222661396604E-2</v>
      </c>
      <c r="AW333" s="64">
        <f t="shared" si="540"/>
        <v>-1.2471069795910616E-2</v>
      </c>
      <c r="AX333" s="64">
        <f t="shared" si="540"/>
        <v>-5.4392427047345038E-4</v>
      </c>
      <c r="AY333" s="64">
        <f t="shared" si="540"/>
        <v>-3.735493997985706E-2</v>
      </c>
      <c r="AZ333" s="180">
        <f t="shared" si="540"/>
        <v>-1.246376811594202E-2</v>
      </c>
      <c r="BA333" s="64">
        <f t="shared" si="540"/>
        <v>0.16458598726114648</v>
      </c>
      <c r="BB333" s="64">
        <f t="shared" si="540"/>
        <v>0.16913907284768223</v>
      </c>
      <c r="BC333" s="64">
        <f t="shared" si="540"/>
        <v>0.17749185667752448</v>
      </c>
      <c r="BD333" s="180">
        <f t="shared" si="540"/>
        <v>0.16999999999999998</v>
      </c>
      <c r="BE333" s="64">
        <f t="shared" ref="BE333:BL333" si="541">+BE331+BA331</f>
        <v>0.16999999999999998</v>
      </c>
      <c r="BF333" s="64">
        <f t="shared" si="541"/>
        <v>0.11000000000000001</v>
      </c>
      <c r="BG333" s="64">
        <f t="shared" si="541"/>
        <v>0.12000000000000001</v>
      </c>
      <c r="BH333" s="180">
        <f t="shared" si="541"/>
        <v>0.15</v>
      </c>
      <c r="BI333" s="64">
        <f t="shared" si="541"/>
        <v>0.08</v>
      </c>
      <c r="BJ333" s="64">
        <f t="shared" si="541"/>
        <v>0.14000000000000001</v>
      </c>
      <c r="BK333" s="64">
        <f t="shared" si="541"/>
        <v>0.1</v>
      </c>
      <c r="BL333" s="64">
        <f t="shared" si="541"/>
        <v>0.08</v>
      </c>
      <c r="BM333" s="1263">
        <f t="shared" ref="BM333:CF333" si="542">+BM331+BI331</f>
        <v>0.06</v>
      </c>
      <c r="BN333" s="64">
        <f t="shared" si="542"/>
        <v>0.14000000000000001</v>
      </c>
      <c r="BO333" s="64">
        <f t="shared" si="542"/>
        <v>0.1</v>
      </c>
      <c r="BP333" s="64">
        <f t="shared" si="542"/>
        <v>0.08</v>
      </c>
      <c r="BQ333" s="1263">
        <f t="shared" si="542"/>
        <v>0.06</v>
      </c>
      <c r="BR333" s="64">
        <f t="shared" si="542"/>
        <v>0.14000000000000001</v>
      </c>
      <c r="BS333" s="64">
        <f t="shared" si="542"/>
        <v>0.1</v>
      </c>
      <c r="BT333" s="180">
        <f t="shared" si="542"/>
        <v>0.08</v>
      </c>
      <c r="BU333" s="1263">
        <f t="shared" si="542"/>
        <v>0.06</v>
      </c>
      <c r="BV333" s="64">
        <f t="shared" si="542"/>
        <v>0.14000000000000001</v>
      </c>
      <c r="BW333" s="64">
        <f t="shared" si="542"/>
        <v>0.1</v>
      </c>
      <c r="BX333" s="180">
        <f t="shared" si="542"/>
        <v>0.08</v>
      </c>
      <c r="BY333" s="1263">
        <f t="shared" si="542"/>
        <v>0.06</v>
      </c>
      <c r="BZ333" s="64">
        <f t="shared" si="542"/>
        <v>0.14000000000000001</v>
      </c>
      <c r="CA333" s="64">
        <f t="shared" si="542"/>
        <v>0.1</v>
      </c>
      <c r="CB333" s="180">
        <f t="shared" si="542"/>
        <v>0.08</v>
      </c>
      <c r="CC333" s="1263">
        <f t="shared" si="542"/>
        <v>0.06</v>
      </c>
      <c r="CD333" s="64">
        <f t="shared" si="542"/>
        <v>0.14000000000000001</v>
      </c>
      <c r="CE333" s="64">
        <f t="shared" si="542"/>
        <v>0.1</v>
      </c>
      <c r="CF333" s="180">
        <f t="shared" si="542"/>
        <v>0.08</v>
      </c>
      <c r="CG333" s="1135"/>
      <c r="CH333" s="259"/>
      <c r="CM333" s="64"/>
      <c r="CN333" s="64"/>
      <c r="CO333" s="64">
        <f t="shared" ref="CO333:CZ333" si="543">+CO331+CN331</f>
        <v>7.9883326307675473E-2</v>
      </c>
      <c r="CP333" s="64">
        <f t="shared" si="543"/>
        <v>-5.39914424396013E-2</v>
      </c>
      <c r="CQ333" s="64">
        <f t="shared" si="543"/>
        <v>0.13620080281993618</v>
      </c>
      <c r="CR333" s="64">
        <f t="shared" si="543"/>
        <v>0.19997185331631917</v>
      </c>
      <c r="CS333" s="64">
        <f t="shared" si="543"/>
        <v>2.7721892555321648E-2</v>
      </c>
      <c r="CT333" s="64">
        <f t="shared" si="543"/>
        <v>9.7611163191985151E-2</v>
      </c>
      <c r="CU333" s="64">
        <f t="shared" si="543"/>
        <v>9.8011643521068281E-2</v>
      </c>
      <c r="CV333" s="64">
        <f t="shared" si="543"/>
        <v>0.10278687559276056</v>
      </c>
      <c r="CW333" s="64">
        <f t="shared" si="543"/>
        <v>9.9984343530491682E-2</v>
      </c>
      <c r="CX333" s="64">
        <f t="shared" si="543"/>
        <v>9.5618072717793545E-2</v>
      </c>
      <c r="CY333" s="64">
        <f t="shared" si="543"/>
        <v>9.4155321418503357E-2</v>
      </c>
      <c r="CZ333" s="64">
        <f t="shared" si="543"/>
        <v>9.8796063206675555E-2</v>
      </c>
      <c r="DA333" s="64">
        <f t="shared" ref="DA333:DF333" si="544">+DA331+CZ331</f>
        <v>9.8796063206675555E-2</v>
      </c>
      <c r="DB333" s="64">
        <f t="shared" si="544"/>
        <v>9.8796063206675555E-2</v>
      </c>
      <c r="DC333" s="64">
        <f t="shared" si="544"/>
        <v>9.8796063206675555E-2</v>
      </c>
      <c r="DD333" s="64">
        <f t="shared" si="544"/>
        <v>9.8796063206675555E-2</v>
      </c>
      <c r="DE333" s="64">
        <f t="shared" si="544"/>
        <v>9.8796063206675555E-2</v>
      </c>
      <c r="DF333" s="180">
        <f t="shared" si="544"/>
        <v>9.8796063206675555E-2</v>
      </c>
    </row>
    <row r="334" spans="1:110" s="835" customFormat="1" ht="12.75" customHeight="1">
      <c r="A334" s="24"/>
      <c r="B334" s="24"/>
      <c r="C334" s="24"/>
      <c r="D334" s="24"/>
      <c r="E334" s="24"/>
      <c r="F334" s="24"/>
      <c r="G334" s="24"/>
      <c r="H334" s="24"/>
      <c r="I334" s="185"/>
      <c r="J334" s="70"/>
      <c r="K334" s="70"/>
      <c r="P334" s="950"/>
      <c r="T334" s="950"/>
      <c r="X334" s="950"/>
      <c r="AB334" s="950"/>
      <c r="AC334" s="836"/>
      <c r="AD334" s="836"/>
      <c r="AE334" s="836"/>
      <c r="AF334" s="963"/>
      <c r="AG334" s="839"/>
      <c r="AH334" s="839"/>
      <c r="AI334" s="839"/>
      <c r="AJ334" s="973"/>
      <c r="AK334" s="717"/>
      <c r="AL334" s="717"/>
      <c r="AM334" s="717"/>
      <c r="AN334" s="725"/>
      <c r="AO334" s="121"/>
      <c r="AP334" s="121"/>
      <c r="AQ334" s="121"/>
      <c r="AR334" s="235"/>
      <c r="AS334" s="121"/>
      <c r="AT334" s="121"/>
      <c r="AU334" s="121"/>
      <c r="AV334" s="235"/>
      <c r="AW334" s="121"/>
      <c r="AX334" s="121"/>
      <c r="AY334" s="121"/>
      <c r="AZ334" s="725"/>
      <c r="BA334" s="713"/>
      <c r="BB334" s="717"/>
      <c r="BC334" s="880"/>
      <c r="BD334" s="988"/>
      <c r="BE334" s="24"/>
      <c r="BF334" s="24"/>
      <c r="BG334" s="24"/>
      <c r="BH334" s="216"/>
      <c r="BI334" s="121"/>
      <c r="BJ334" s="717"/>
      <c r="BK334" s="717"/>
      <c r="BL334" s="717"/>
      <c r="BM334" s="1599"/>
      <c r="BN334" s="121"/>
      <c r="BO334" s="121"/>
      <c r="BP334" s="717"/>
      <c r="BQ334" s="1635"/>
      <c r="BR334" s="717"/>
      <c r="BS334" s="717"/>
      <c r="BT334" s="725"/>
      <c r="BU334" s="1635"/>
      <c r="BV334" s="717"/>
      <c r="BW334" s="717"/>
      <c r="BX334" s="725"/>
      <c r="BY334" s="1635"/>
      <c r="BZ334" s="717"/>
      <c r="CA334" s="717"/>
      <c r="CB334" s="725"/>
      <c r="CC334" s="1635"/>
      <c r="CD334" s="717"/>
      <c r="CE334" s="717"/>
      <c r="CF334" s="725"/>
      <c r="CG334" s="950"/>
      <c r="CH334" s="941"/>
      <c r="CN334" s="121"/>
      <c r="CO334" s="121"/>
      <c r="CP334" s="121"/>
      <c r="CQ334" s="121"/>
      <c r="CR334" s="121"/>
      <c r="CS334" s="121"/>
      <c r="CT334" s="121"/>
      <c r="CU334" s="121"/>
      <c r="CV334" s="121"/>
      <c r="CW334" s="121"/>
      <c r="CX334" s="121"/>
      <c r="CY334" s="121"/>
      <c r="CZ334" s="717"/>
      <c r="DA334" s="717"/>
      <c r="DB334" s="717"/>
      <c r="DC334" s="717"/>
      <c r="DD334" s="717"/>
      <c r="DE334" s="717"/>
      <c r="DF334" s="725"/>
    </row>
    <row r="335" spans="1:110" s="8" customFormat="1" ht="12.75" customHeight="1">
      <c r="A335" s="24"/>
      <c r="B335" s="24"/>
      <c r="C335" s="24"/>
      <c r="D335" s="24"/>
      <c r="E335" s="24"/>
      <c r="F335" s="24"/>
      <c r="G335" s="24"/>
      <c r="H335" s="24"/>
      <c r="I335" s="728" t="s">
        <v>248</v>
      </c>
      <c r="J335" s="7"/>
      <c r="K335" s="7"/>
      <c r="P335" s="245"/>
      <c r="T335" s="245"/>
      <c r="X335" s="245"/>
      <c r="AB335" s="245"/>
      <c r="AC335" s="289"/>
      <c r="AD335" s="289"/>
      <c r="AE335" s="289"/>
      <c r="AF335" s="953"/>
      <c r="AG335" s="112">
        <f t="shared" ref="AG335:AN335" si="545">+AG330*AG324/1000</f>
        <v>200.2</v>
      </c>
      <c r="AH335" s="112">
        <f t="shared" si="545"/>
        <v>238.09</v>
      </c>
      <c r="AI335" s="112">
        <f t="shared" si="545"/>
        <v>189.81</v>
      </c>
      <c r="AJ335" s="214">
        <f t="shared" si="545"/>
        <v>152.88</v>
      </c>
      <c r="AK335" s="112">
        <f t="shared" si="545"/>
        <v>179.23949999999999</v>
      </c>
      <c r="AL335" s="112">
        <f t="shared" si="545"/>
        <v>219.15299999999999</v>
      </c>
      <c r="AM335" s="112">
        <f t="shared" si="545"/>
        <v>238.08329999999998</v>
      </c>
      <c r="AN335" s="214">
        <f t="shared" si="545"/>
        <v>217.72400000000002</v>
      </c>
      <c r="AO335" s="112">
        <f t="shared" ref="AO335:AZ335" si="546">+AO337*AO63</f>
        <v>339.22124999999994</v>
      </c>
      <c r="AP335" s="112">
        <f t="shared" si="546"/>
        <v>421.12930000000006</v>
      </c>
      <c r="AQ335" s="112">
        <f t="shared" si="546"/>
        <v>365.98085000000015</v>
      </c>
      <c r="AR335" s="214">
        <f t="shared" si="546"/>
        <v>335.66729999999984</v>
      </c>
      <c r="AS335" s="112">
        <f t="shared" si="546"/>
        <v>391.80509999999998</v>
      </c>
      <c r="AT335" s="112">
        <f t="shared" si="546"/>
        <v>420.09659999999991</v>
      </c>
      <c r="AU335" s="112">
        <f t="shared" si="546"/>
        <v>435.77999999999986</v>
      </c>
      <c r="AV335" s="214">
        <f t="shared" si="546"/>
        <v>373.79160000000007</v>
      </c>
      <c r="AW335" s="112">
        <f t="shared" si="546"/>
        <v>499.91688000000016</v>
      </c>
      <c r="AX335" s="112">
        <f t="shared" si="546"/>
        <v>561.7017000000003</v>
      </c>
      <c r="AY335" s="112">
        <f t="shared" si="546"/>
        <v>517.37760000000003</v>
      </c>
      <c r="AZ335" s="214">
        <f t="shared" si="546"/>
        <v>417.89249999999987</v>
      </c>
      <c r="BA335" s="103">
        <f t="shared" ref="BA335:BL335" si="547">+BA330*BA324/1000</f>
        <v>518.46279245283029</v>
      </c>
      <c r="BB335" s="103">
        <f t="shared" si="547"/>
        <v>589.94255214723933</v>
      </c>
      <c r="BC335" s="103">
        <f t="shared" si="547"/>
        <v>515.88614634146347</v>
      </c>
      <c r="BD335" s="202">
        <f t="shared" si="547"/>
        <v>440.22239418181817</v>
      </c>
      <c r="BE335" s="103">
        <f t="shared" si="547"/>
        <v>544.38593207547183</v>
      </c>
      <c r="BF335" s="103">
        <f t="shared" si="547"/>
        <v>631.2385307975461</v>
      </c>
      <c r="BG335" s="103">
        <f>+BG330*BG324/1000</f>
        <v>575.53548201219519</v>
      </c>
      <c r="BH335" s="202">
        <f t="shared" si="547"/>
        <v>457.83128994909094</v>
      </c>
      <c r="BI335" s="103">
        <f t="shared" si="547"/>
        <v>595.76235441509448</v>
      </c>
      <c r="BJ335" s="103">
        <f t="shared" si="547"/>
        <v>675.42522795337436</v>
      </c>
      <c r="BK335" s="103">
        <f t="shared" si="547"/>
        <v>639.86003588414633</v>
      </c>
      <c r="BL335" s="103">
        <f t="shared" si="547"/>
        <v>612.18583913192731</v>
      </c>
      <c r="BM335" s="265">
        <f t="shared" ref="BM335:CF335" si="548">+BM330*BM324/1000</f>
        <v>721.92379417358507</v>
      </c>
      <c r="BN335" s="103">
        <f t="shared" si="548"/>
        <v>892.75322777131305</v>
      </c>
      <c r="BO335" s="103">
        <f t="shared" si="548"/>
        <v>746.50337519817083</v>
      </c>
      <c r="BP335" s="103">
        <f t="shared" si="548"/>
        <v>601.30253532513757</v>
      </c>
      <c r="BQ335" s="265">
        <f t="shared" si="548"/>
        <v>743.58150799879263</v>
      </c>
      <c r="BR335" s="103">
        <f t="shared" si="548"/>
        <v>955.24595371530506</v>
      </c>
      <c r="BS335" s="103">
        <f>+BS330*BS324/1000</f>
        <v>783.82854395807942</v>
      </c>
      <c r="BT335" s="202">
        <f t="shared" si="548"/>
        <v>625.35463673814309</v>
      </c>
      <c r="BU335" s="265">
        <f>+BU330*BU324/1000</f>
        <v>689.30005791488077</v>
      </c>
      <c r="BV335" s="103">
        <f t="shared" si="548"/>
        <v>973.44111473845385</v>
      </c>
      <c r="BW335" s="103">
        <f t="shared" si="548"/>
        <v>781.8689725981842</v>
      </c>
      <c r="BX335" s="202">
        <f t="shared" si="548"/>
        <v>612.11183266604121</v>
      </c>
      <c r="BY335" s="265">
        <f t="shared" si="548"/>
        <v>709.97905965232735</v>
      </c>
      <c r="BZ335" s="103">
        <f t="shared" si="548"/>
        <v>937.42379349313114</v>
      </c>
      <c r="CA335" s="103">
        <f t="shared" si="548"/>
        <v>734.54532425671528</v>
      </c>
      <c r="CB335" s="202">
        <f t="shared" si="548"/>
        <v>636.5963059726829</v>
      </c>
      <c r="CC335" s="265">
        <f t="shared" si="548"/>
        <v>745.90400007073504</v>
      </c>
      <c r="CD335" s="103">
        <f t="shared" si="548"/>
        <v>1023.1043282184033</v>
      </c>
      <c r="CE335" s="103">
        <f>+CE330*CE324/1000</f>
        <v>786.69804227894213</v>
      </c>
      <c r="CF335" s="202">
        <f t="shared" si="548"/>
        <v>675.30136137582201</v>
      </c>
      <c r="CG335" s="245"/>
      <c r="CH335" s="178"/>
      <c r="CM335" s="112">
        <f>+SUM(AG335:AJ335)</f>
        <v>780.9799999999999</v>
      </c>
      <c r="CN335" s="112">
        <f>+SUM(AK335:AN335)</f>
        <v>854.19979999999998</v>
      </c>
      <c r="CO335" s="112">
        <f>+SUM(AO335:AR335)</f>
        <v>1461.9986999999999</v>
      </c>
      <c r="CP335" s="112">
        <f>+SUM(AS335:AV335)</f>
        <v>1621.4732999999997</v>
      </c>
      <c r="CQ335" s="5">
        <f>+SUM(AW335:AZ335)</f>
        <v>1996.8886800000005</v>
      </c>
      <c r="CR335" s="5">
        <f>+SUM(BA335:BD335)</f>
        <v>2064.5138851233514</v>
      </c>
      <c r="CS335" s="942">
        <f>+SUM(BE335:BH335)</f>
        <v>2208.9912348343041</v>
      </c>
      <c r="CT335" s="942">
        <f>+SUM(BI335:BL335)</f>
        <v>2523.2334573845424</v>
      </c>
      <c r="CU335" s="942">
        <f>+SUM(BM335:BP335)</f>
        <v>2962.4829324682069</v>
      </c>
      <c r="CV335" s="942">
        <f>+SUM(BQ335:BT335)</f>
        <v>3108.0106424103205</v>
      </c>
      <c r="CW335" s="942">
        <f>+SUM(BU335:BX335)</f>
        <v>3056.7219779175598</v>
      </c>
      <c r="CX335" s="942">
        <f>+SUM(BY335:CB335)</f>
        <v>3018.5444833748566</v>
      </c>
      <c r="CY335" s="942">
        <f>+SUM(CC335:CF335)</f>
        <v>3231.0077319439024</v>
      </c>
      <c r="CZ335" s="942">
        <f>+CZ330*CZ324/1000</f>
        <v>3458.4254170770382</v>
      </c>
      <c r="DA335" s="942">
        <f t="shared" ref="DA335:DF335" si="549">+DA330*DA324/1000</f>
        <v>3701.8501216301484</v>
      </c>
      <c r="DB335" s="942">
        <f t="shared" si="549"/>
        <v>3962.4085155478397</v>
      </c>
      <c r="DC335" s="942">
        <f t="shared" si="549"/>
        <v>4241.3065705566905</v>
      </c>
      <c r="DD335" s="942">
        <f t="shared" si="549"/>
        <v>4539.8351418998645</v>
      </c>
      <c r="DE335" s="942">
        <f t="shared" si="549"/>
        <v>4859.3759429476449</v>
      </c>
      <c r="DF335" s="943">
        <f t="shared" si="549"/>
        <v>5201.4079403368687</v>
      </c>
    </row>
    <row r="336" spans="1:110" s="82" customFormat="1" ht="12.75" customHeight="1">
      <c r="I336" s="193" t="s">
        <v>376</v>
      </c>
      <c r="J336" s="83"/>
      <c r="K336" s="83"/>
      <c r="P336" s="1135"/>
      <c r="T336" s="1135"/>
      <c r="X336" s="1135"/>
      <c r="AB336" s="1135"/>
      <c r="AC336" s="307"/>
      <c r="AD336" s="307"/>
      <c r="AE336" s="307"/>
      <c r="AF336" s="1136"/>
      <c r="AG336" s="64"/>
      <c r="AH336" s="64"/>
      <c r="AI336" s="64"/>
      <c r="AJ336" s="180"/>
      <c r="AK336" s="64">
        <f t="shared" ref="AK336:BD336" si="550">+AK335/AG335-1</f>
        <v>-0.10469780219780223</v>
      </c>
      <c r="AL336" s="64">
        <f t="shared" si="550"/>
        <v>-7.9537149817295982E-2</v>
      </c>
      <c r="AM336" s="64">
        <f t="shared" si="550"/>
        <v>0.25432432432432428</v>
      </c>
      <c r="AN336" s="180">
        <f t="shared" si="550"/>
        <v>0.42414965986394582</v>
      </c>
      <c r="AO336" s="64">
        <f t="shared" si="550"/>
        <v>0.89255855991564337</v>
      </c>
      <c r="AP336" s="64">
        <f t="shared" si="550"/>
        <v>0.92162233690618001</v>
      </c>
      <c r="AQ336" s="64">
        <f t="shared" si="550"/>
        <v>0.53719664503978293</v>
      </c>
      <c r="AR336" s="180">
        <f t="shared" si="550"/>
        <v>0.54171014679134966</v>
      </c>
      <c r="AS336" s="64">
        <f t="shared" si="550"/>
        <v>0.15501343149935343</v>
      </c>
      <c r="AT336" s="64">
        <f t="shared" si="550"/>
        <v>-2.4522159821227518E-3</v>
      </c>
      <c r="AU336" s="64">
        <f t="shared" si="550"/>
        <v>0.19071803893564288</v>
      </c>
      <c r="AV336" s="180">
        <f t="shared" si="550"/>
        <v>0.11357764071746113</v>
      </c>
      <c r="AW336" s="64">
        <f t="shared" si="550"/>
        <v>0.27593254911689558</v>
      </c>
      <c r="AX336" s="64">
        <f t="shared" si="550"/>
        <v>0.33707747218139938</v>
      </c>
      <c r="AY336" s="64">
        <f t="shared" si="550"/>
        <v>0.18724494010739412</v>
      </c>
      <c r="AZ336" s="180">
        <f t="shared" si="550"/>
        <v>0.11798258708863374</v>
      </c>
      <c r="BA336" s="64">
        <f t="shared" si="550"/>
        <v>3.7097992075862951E-2</v>
      </c>
      <c r="BB336" s="64">
        <f t="shared" si="550"/>
        <v>5.0277312935387286E-2</v>
      </c>
      <c r="BC336" s="64">
        <f t="shared" si="550"/>
        <v>-2.8827178805896914E-3</v>
      </c>
      <c r="BD336" s="180">
        <f t="shared" si="550"/>
        <v>5.3434541614932884E-2</v>
      </c>
      <c r="BE336" s="64">
        <f t="shared" ref="BE336:BL336" si="551">+BE335/BA335-1</f>
        <v>5.0000000000000044E-2</v>
      </c>
      <c r="BF336" s="64">
        <f t="shared" si="551"/>
        <v>7.0000000000000062E-2</v>
      </c>
      <c r="BG336" s="64">
        <f t="shared" si="551"/>
        <v>0.11562500000000009</v>
      </c>
      <c r="BH336" s="180">
        <f t="shared" si="551"/>
        <v>4.0000000000000036E-2</v>
      </c>
      <c r="BI336" s="64">
        <f t="shared" si="551"/>
        <v>9.4375000000000098E-2</v>
      </c>
      <c r="BJ336" s="64">
        <f t="shared" si="551"/>
        <v>7.0000000000000062E-2</v>
      </c>
      <c r="BK336" s="64">
        <f t="shared" si="551"/>
        <v>0.11176470588235277</v>
      </c>
      <c r="BL336" s="64">
        <f t="shared" si="551"/>
        <v>0.33714285714285719</v>
      </c>
      <c r="BM336" s="1263">
        <f t="shared" ref="BM336:CF336" si="552">+BM335/BI335-1</f>
        <v>0.21176470588235285</v>
      </c>
      <c r="BN336" s="64">
        <f t="shared" si="552"/>
        <v>0.32176470588235295</v>
      </c>
      <c r="BO336" s="64">
        <f t="shared" si="552"/>
        <v>0.16666666666666674</v>
      </c>
      <c r="BP336" s="64">
        <f t="shared" si="552"/>
        <v>-1.777777777777767E-2</v>
      </c>
      <c r="BQ336" s="1263">
        <f t="shared" si="552"/>
        <v>3.0000000000000027E-2</v>
      </c>
      <c r="BR336" s="64">
        <f t="shared" si="552"/>
        <v>7.0000000000000062E-2</v>
      </c>
      <c r="BS336" s="64">
        <f t="shared" si="552"/>
        <v>5.0000000000000044E-2</v>
      </c>
      <c r="BT336" s="180">
        <f t="shared" si="552"/>
        <v>4.0000000000000036E-2</v>
      </c>
      <c r="BU336" s="1263">
        <f t="shared" si="552"/>
        <v>-7.2999999999999954E-2</v>
      </c>
      <c r="BV336" s="64">
        <f t="shared" si="552"/>
        <v>1.9047619047619202E-2</v>
      </c>
      <c r="BW336" s="64">
        <f t="shared" si="552"/>
        <v>-2.5000000000000577E-3</v>
      </c>
      <c r="BX336" s="180">
        <f t="shared" si="552"/>
        <v>-2.1176470588235352E-2</v>
      </c>
      <c r="BY336" s="1263">
        <f t="shared" si="552"/>
        <v>3.0000000000000249E-2</v>
      </c>
      <c r="BZ336" s="64">
        <f t="shared" si="552"/>
        <v>-3.6999999999999922E-2</v>
      </c>
      <c r="CA336" s="64">
        <f t="shared" si="552"/>
        <v>-6.0526315789473539E-2</v>
      </c>
      <c r="CB336" s="180">
        <f t="shared" si="552"/>
        <v>4.0000000000000036E-2</v>
      </c>
      <c r="CC336" s="1263">
        <f t="shared" si="552"/>
        <v>5.0599999999999978E-2</v>
      </c>
      <c r="CD336" s="64">
        <f t="shared" si="552"/>
        <v>9.1399999999999926E-2</v>
      </c>
      <c r="CE336" s="64">
        <f>+CE335/CA335-1</f>
        <v>7.1000000000000174E-2</v>
      </c>
      <c r="CF336" s="180">
        <f t="shared" si="552"/>
        <v>6.0799999999999965E-2</v>
      </c>
      <c r="CG336" s="1135"/>
      <c r="CH336" s="259"/>
      <c r="CM336" s="64"/>
      <c r="CN336" s="64">
        <f t="shared" ref="CN336:CZ336" si="553">+CN335/CM335-1</f>
        <v>9.3753745294373747E-2</v>
      </c>
      <c r="CO336" s="64">
        <f t="shared" si="553"/>
        <v>0.71154184302080137</v>
      </c>
      <c r="CP336" s="64">
        <f t="shared" si="553"/>
        <v>0.10907985075499704</v>
      </c>
      <c r="CQ336" s="64">
        <f t="shared" si="553"/>
        <v>0.23152732764702377</v>
      </c>
      <c r="CR336" s="64">
        <f t="shared" si="553"/>
        <v>3.3865285431609937E-2</v>
      </c>
      <c r="CS336" s="64">
        <f t="shared" si="553"/>
        <v>6.9981292328445743E-2</v>
      </c>
      <c r="CT336" s="64">
        <f t="shared" si="553"/>
        <v>0.14225598435831244</v>
      </c>
      <c r="CU336" s="64">
        <f t="shared" si="553"/>
        <v>0.17408197953231341</v>
      </c>
      <c r="CV336" s="64">
        <f t="shared" si="553"/>
        <v>4.9123560627863716E-2</v>
      </c>
      <c r="CW336" s="64">
        <f t="shared" si="553"/>
        <v>-1.6502087796258502E-2</v>
      </c>
      <c r="CX336" s="64">
        <f t="shared" si="553"/>
        <v>-1.2489684969227199E-2</v>
      </c>
      <c r="CY336" s="64">
        <f t="shared" si="553"/>
        <v>7.0385992235404427E-2</v>
      </c>
      <c r="CZ336" s="64">
        <f t="shared" si="553"/>
        <v>7.0385992235404649E-2</v>
      </c>
      <c r="DA336" s="64">
        <f t="shared" ref="DA336:DF336" si="554">+DA335/CZ335-1</f>
        <v>7.0385992235404649E-2</v>
      </c>
      <c r="DB336" s="64">
        <f t="shared" si="554"/>
        <v>7.0385992235404649E-2</v>
      </c>
      <c r="DC336" s="64">
        <f t="shared" si="554"/>
        <v>7.0385992235404427E-2</v>
      </c>
      <c r="DD336" s="64">
        <f t="shared" si="554"/>
        <v>7.0385992235404649E-2</v>
      </c>
      <c r="DE336" s="64">
        <f t="shared" si="554"/>
        <v>7.0385992235404427E-2</v>
      </c>
      <c r="DF336" s="180">
        <f t="shared" si="554"/>
        <v>7.0385992235404427E-2</v>
      </c>
    </row>
    <row r="337" spans="1:110" s="840" customFormat="1" ht="12.75" customHeight="1">
      <c r="A337" s="24"/>
      <c r="B337" s="24"/>
      <c r="C337" s="24"/>
      <c r="D337" s="24"/>
      <c r="E337" s="24"/>
      <c r="F337" s="24"/>
      <c r="G337" s="24"/>
      <c r="H337" s="24"/>
      <c r="I337" s="882" t="s">
        <v>249</v>
      </c>
      <c r="J337" s="812"/>
      <c r="K337" s="812"/>
      <c r="P337" s="951"/>
      <c r="T337" s="951"/>
      <c r="X337" s="951"/>
      <c r="AB337" s="951"/>
      <c r="AC337" s="841"/>
      <c r="AD337" s="841"/>
      <c r="AE337" s="841"/>
      <c r="AF337" s="964"/>
      <c r="AG337" s="1660">
        <f t="shared" ref="AG337:AN337" si="555">+AG335/AG63</f>
        <v>0.96392735396645046</v>
      </c>
      <c r="AH337" s="1660">
        <f t="shared" si="555"/>
        <v>0.94221796581595718</v>
      </c>
      <c r="AI337" s="1660">
        <f t="shared" si="555"/>
        <v>0.93969998514777986</v>
      </c>
      <c r="AJ337" s="1661">
        <f t="shared" si="555"/>
        <v>0.88917840566729112</v>
      </c>
      <c r="AK337" s="1660">
        <f t="shared" si="555"/>
        <v>0.93916918611048494</v>
      </c>
      <c r="AL337" s="1660">
        <f t="shared" si="555"/>
        <v>0.94407157872971026</v>
      </c>
      <c r="AM337" s="1660">
        <f t="shared" si="555"/>
        <v>0.93681578336435289</v>
      </c>
      <c r="AN337" s="1661">
        <f t="shared" si="555"/>
        <v>0.88384252531075214</v>
      </c>
      <c r="AO337" s="1662">
        <v>0.95</v>
      </c>
      <c r="AP337" s="1662">
        <v>0.95</v>
      </c>
      <c r="AQ337" s="1662">
        <v>0.95</v>
      </c>
      <c r="AR337" s="1663">
        <v>0.95</v>
      </c>
      <c r="AS337" s="1662">
        <v>0.9</v>
      </c>
      <c r="AT337" s="1662">
        <v>0.9</v>
      </c>
      <c r="AU337" s="1662">
        <v>0.9</v>
      </c>
      <c r="AV337" s="1663">
        <v>0.9</v>
      </c>
      <c r="AW337" s="1662">
        <v>0.9</v>
      </c>
      <c r="AX337" s="1662">
        <v>0.9</v>
      </c>
      <c r="AY337" s="1662">
        <v>0.9</v>
      </c>
      <c r="AZ337" s="1663">
        <v>0.9</v>
      </c>
      <c r="BA337" s="842">
        <f t="shared" ref="BA337:CF337" si="556">+BA335/BA63</f>
        <v>0.75507767918868596</v>
      </c>
      <c r="BB337" s="842">
        <f t="shared" si="556"/>
        <v>0.79234785006330233</v>
      </c>
      <c r="BC337" s="842">
        <f t="shared" si="556"/>
        <v>0.71224692581258731</v>
      </c>
      <c r="BD337" s="912">
        <f t="shared" si="556"/>
        <v>0.71447276504393109</v>
      </c>
      <c r="BE337" s="842">
        <f t="shared" si="556"/>
        <v>0.65764601244116705</v>
      </c>
      <c r="BF337" s="842">
        <f t="shared" si="556"/>
        <v>0.69778263068427593</v>
      </c>
      <c r="BG337" s="842">
        <f t="shared" si="556"/>
        <v>0.61841446073994244</v>
      </c>
      <c r="BH337" s="912">
        <f t="shared" si="556"/>
        <v>0.68303464164628891</v>
      </c>
      <c r="BI337" s="842">
        <f t="shared" si="556"/>
        <v>0.63404944409668484</v>
      </c>
      <c r="BJ337" s="842">
        <f t="shared" si="556"/>
        <v>0.63215286458954856</v>
      </c>
      <c r="BK337" s="842">
        <f t="shared" si="556"/>
        <v>0.51697526916826331</v>
      </c>
      <c r="BL337" s="842">
        <f t="shared" si="556"/>
        <v>0.62889624115567466</v>
      </c>
      <c r="BM337" s="1636">
        <f t="shared" si="556"/>
        <v>0.57462750749111768</v>
      </c>
      <c r="BN337" s="842">
        <f t="shared" si="556"/>
        <v>0.60906023003189325</v>
      </c>
      <c r="BO337" s="842">
        <f t="shared" si="556"/>
        <v>0.48325587621952149</v>
      </c>
      <c r="BP337" s="842">
        <f t="shared" si="556"/>
        <v>0.49265480858326532</v>
      </c>
      <c r="BQ337" s="1636">
        <f t="shared" si="556"/>
        <v>0.50791079202991918</v>
      </c>
      <c r="BR337" s="842">
        <f t="shared" si="556"/>
        <v>0.57713707807140735</v>
      </c>
      <c r="BS337" s="842">
        <f t="shared" si="556"/>
        <v>0.49729703352281857</v>
      </c>
      <c r="BT337" s="912">
        <f t="shared" si="556"/>
        <v>0.48552294943881613</v>
      </c>
      <c r="BU337" s="1636">
        <f t="shared" si="556"/>
        <v>0.44841267067784291</v>
      </c>
      <c r="BV337" s="842">
        <f t="shared" si="556"/>
        <v>0.54456496784515507</v>
      </c>
      <c r="BW337" s="842">
        <f t="shared" si="556"/>
        <v>0.43135112255566221</v>
      </c>
      <c r="BX337" s="912">
        <f t="shared" si="556"/>
        <v>0.42432257766081399</v>
      </c>
      <c r="BY337" s="1636">
        <f t="shared" si="556"/>
        <v>0.43987147695064599</v>
      </c>
      <c r="BZ337" s="842">
        <f t="shared" si="556"/>
        <v>0.49944387050941369</v>
      </c>
      <c r="CA337" s="842">
        <f t="shared" si="556"/>
        <v>0.3859457412340136</v>
      </c>
      <c r="CB337" s="912">
        <f t="shared" si="556"/>
        <v>0.42028141025452054</v>
      </c>
      <c r="CC337" s="1636">
        <f t="shared" si="556"/>
        <v>0.44012283208033204</v>
      </c>
      <c r="CD337" s="842">
        <f t="shared" si="556"/>
        <v>0.51913622883235633</v>
      </c>
      <c r="CE337" s="842">
        <f t="shared" si="556"/>
        <v>0.39366465605869388</v>
      </c>
      <c r="CF337" s="912">
        <f t="shared" si="556"/>
        <v>0.42460430475999555</v>
      </c>
      <c r="CG337" s="951"/>
      <c r="CH337" s="944"/>
      <c r="CM337" s="1660">
        <f t="shared" ref="CM337:DF337" si="557">+CM335/CM63</f>
        <v>0.93608228146233929</v>
      </c>
      <c r="CN337" s="1660">
        <f t="shared" si="557"/>
        <v>0.92499523533131778</v>
      </c>
      <c r="CO337" s="82">
        <f t="shared" si="557"/>
        <v>0.9499999999999994</v>
      </c>
      <c r="CP337" s="82">
        <f t="shared" si="557"/>
        <v>0.90000000000000036</v>
      </c>
      <c r="CQ337" s="82">
        <f t="shared" si="557"/>
        <v>0.90000000000000013</v>
      </c>
      <c r="CR337" s="842">
        <f t="shared" si="557"/>
        <v>0.74487006175472537</v>
      </c>
      <c r="CS337" s="842">
        <f t="shared" si="557"/>
        <v>0.66269057329935022</v>
      </c>
      <c r="CT337" s="842">
        <f t="shared" si="557"/>
        <v>0.59803657913332098</v>
      </c>
      <c r="CU337" s="842">
        <f t="shared" si="557"/>
        <v>0.53987063502105481</v>
      </c>
      <c r="CV337" s="842">
        <f t="shared" si="557"/>
        <v>0.51944531798076365</v>
      </c>
      <c r="CW337" s="842">
        <f t="shared" si="557"/>
        <v>0.46455274078835523</v>
      </c>
      <c r="CX337" s="842">
        <f t="shared" si="557"/>
        <v>0.43690535562315969</v>
      </c>
      <c r="CY337" s="842">
        <f t="shared" si="557"/>
        <v>0.44538797389681722</v>
      </c>
      <c r="CZ337" s="842">
        <f t="shared" si="557"/>
        <v>0.4584010080473665</v>
      </c>
      <c r="DA337" s="842">
        <f t="shared" si="557"/>
        <v>0.47637477460241751</v>
      </c>
      <c r="DB337" s="842">
        <f t="shared" si="557"/>
        <v>0.49990675077326069</v>
      </c>
      <c r="DC337" s="842">
        <f t="shared" si="557"/>
        <v>0.52460116024668002</v>
      </c>
      <c r="DD337" s="842">
        <f t="shared" si="557"/>
        <v>0.5505154249396933</v>
      </c>
      <c r="DE337" s="842">
        <f t="shared" si="557"/>
        <v>0.57770980329898924</v>
      </c>
      <c r="DF337" s="912">
        <f t="shared" si="557"/>
        <v>0.60624753041991064</v>
      </c>
    </row>
    <row r="338" spans="1:110" s="840" customFormat="1" ht="12.75" customHeight="1">
      <c r="A338" s="24"/>
      <c r="B338" s="24"/>
      <c r="C338" s="24"/>
      <c r="D338" s="24"/>
      <c r="E338" s="24"/>
      <c r="F338" s="24"/>
      <c r="G338" s="24"/>
      <c r="H338" s="24"/>
      <c r="I338" s="728"/>
      <c r="J338" s="7"/>
      <c r="K338" s="7"/>
      <c r="P338" s="951"/>
      <c r="T338" s="951"/>
      <c r="X338" s="951"/>
      <c r="AB338" s="951"/>
      <c r="AC338" s="841"/>
      <c r="AD338" s="841"/>
      <c r="AE338" s="841"/>
      <c r="AF338" s="964"/>
      <c r="AG338" s="842"/>
      <c r="AH338" s="842"/>
      <c r="AI338" s="842"/>
      <c r="AJ338" s="912"/>
      <c r="AK338" s="842"/>
      <c r="AL338" s="842"/>
      <c r="AM338" s="842"/>
      <c r="AN338" s="912"/>
      <c r="AO338" s="210"/>
      <c r="AP338" s="210"/>
      <c r="AQ338" s="210"/>
      <c r="AR338" s="211"/>
      <c r="AS338" s="210"/>
      <c r="AT338" s="210"/>
      <c r="AU338" s="210"/>
      <c r="AV338" s="211"/>
      <c r="AZ338" s="951"/>
      <c r="BA338" s="24"/>
      <c r="BB338" s="913"/>
      <c r="BC338" s="913"/>
      <c r="BD338" s="914"/>
      <c r="BE338" s="913"/>
      <c r="BF338" s="842"/>
      <c r="BG338" s="842"/>
      <c r="BH338" s="912"/>
      <c r="BI338" s="843"/>
      <c r="BJ338" s="843"/>
      <c r="BK338" s="843"/>
      <c r="BL338" s="843"/>
      <c r="BM338" s="1652"/>
      <c r="BN338" s="843"/>
      <c r="BO338" s="843"/>
      <c r="BP338" s="913"/>
      <c r="BQ338" s="1637"/>
      <c r="BR338" s="913"/>
      <c r="BS338" s="913"/>
      <c r="BT338" s="914"/>
      <c r="BU338" s="1637"/>
      <c r="BV338" s="913"/>
      <c r="BW338" s="913"/>
      <c r="BX338" s="914"/>
      <c r="BY338" s="1637"/>
      <c r="BZ338" s="913"/>
      <c r="CA338" s="913"/>
      <c r="CB338" s="914"/>
      <c r="CC338" s="1637"/>
      <c r="CD338" s="913"/>
      <c r="CE338" s="913"/>
      <c r="CF338" s="914"/>
      <c r="CG338" s="951"/>
      <c r="CH338" s="944"/>
      <c r="CM338" s="842"/>
      <c r="CN338" s="842"/>
      <c r="CO338" s="91"/>
      <c r="CP338" s="91"/>
      <c r="CQ338" s="91"/>
      <c r="CR338" s="913"/>
      <c r="CS338" s="913"/>
      <c r="CT338" s="913"/>
      <c r="CU338" s="913"/>
      <c r="CV338" s="913"/>
      <c r="CW338" s="913"/>
      <c r="CX338" s="913"/>
      <c r="CY338" s="913"/>
      <c r="DF338" s="951"/>
    </row>
    <row r="339" spans="1:110" s="840" customFormat="1" ht="12.75" customHeight="1">
      <c r="A339" s="24"/>
      <c r="B339" s="24"/>
      <c r="C339" s="24"/>
      <c r="D339" s="24"/>
      <c r="E339" s="24"/>
      <c r="F339" s="24"/>
      <c r="G339" s="24"/>
      <c r="H339" s="24"/>
      <c r="I339" s="728" t="s">
        <v>250</v>
      </c>
      <c r="J339" s="7"/>
      <c r="K339" s="7"/>
      <c r="P339" s="951"/>
      <c r="T339" s="951"/>
      <c r="X339" s="951"/>
      <c r="AB339" s="951"/>
      <c r="AC339" s="841"/>
      <c r="AD339" s="841"/>
      <c r="AE339" s="841"/>
      <c r="AF339" s="964"/>
      <c r="AG339" s="834">
        <v>323</v>
      </c>
      <c r="AH339" s="834">
        <v>342</v>
      </c>
      <c r="AI339" s="834">
        <v>330</v>
      </c>
      <c r="AJ339" s="911">
        <v>318</v>
      </c>
      <c r="AK339" s="834">
        <v>318</v>
      </c>
      <c r="AL339" s="834">
        <v>326</v>
      </c>
      <c r="AM339" s="834">
        <v>328</v>
      </c>
      <c r="AN339" s="911">
        <v>330</v>
      </c>
      <c r="AO339" s="834">
        <v>333</v>
      </c>
      <c r="AP339" s="834">
        <v>347</v>
      </c>
      <c r="AQ339" s="834">
        <v>359</v>
      </c>
      <c r="AR339" s="911">
        <v>345</v>
      </c>
      <c r="AS339" s="834">
        <v>314</v>
      </c>
      <c r="AT339" s="834">
        <v>302</v>
      </c>
      <c r="AU339" s="834">
        <v>307</v>
      </c>
      <c r="AV339" s="911">
        <v>320</v>
      </c>
      <c r="AW339" s="834">
        <v>328</v>
      </c>
      <c r="AX339" s="834">
        <v>341</v>
      </c>
      <c r="AY339" s="834">
        <v>340</v>
      </c>
      <c r="AZ339" s="911"/>
      <c r="BB339" s="834"/>
      <c r="BC339" s="834"/>
      <c r="BD339" s="911"/>
      <c r="BE339" s="834"/>
      <c r="BF339" s="834"/>
      <c r="BG339" s="834"/>
      <c r="BH339" s="911"/>
      <c r="BI339" s="843"/>
      <c r="BJ339" s="913"/>
      <c r="BK339" s="913"/>
      <c r="BL339" s="913"/>
      <c r="BM339" s="1652"/>
      <c r="BN339" s="843"/>
      <c r="BO339" s="843"/>
      <c r="BP339" s="834"/>
      <c r="BQ339" s="1634"/>
      <c r="BR339" s="834"/>
      <c r="BS339" s="834"/>
      <c r="BT339" s="911"/>
      <c r="BU339" s="1634"/>
      <c r="BV339" s="834"/>
      <c r="BW339" s="834"/>
      <c r="BX339" s="911"/>
      <c r="BY339" s="1634"/>
      <c r="BZ339" s="834"/>
      <c r="CA339" s="834"/>
      <c r="CB339" s="911"/>
      <c r="CC339" s="1634"/>
      <c r="CD339" s="834"/>
      <c r="CE339" s="834"/>
      <c r="CF339" s="911"/>
      <c r="CG339" s="951"/>
      <c r="CH339" s="944"/>
      <c r="CM339" s="842"/>
      <c r="CN339" s="834"/>
      <c r="CO339" s="834"/>
      <c r="CP339" s="834"/>
      <c r="CQ339" s="834"/>
      <c r="CR339" s="834"/>
      <c r="CS339" s="834"/>
      <c r="CT339" s="834"/>
      <c r="CU339" s="834"/>
      <c r="CV339" s="834"/>
      <c r="CW339" s="834"/>
      <c r="CX339" s="834"/>
      <c r="CY339" s="834"/>
      <c r="DF339" s="951"/>
    </row>
    <row r="340" spans="1:110" s="840" customFormat="1" ht="12.75" customHeight="1">
      <c r="A340" s="24"/>
      <c r="B340" s="24"/>
      <c r="C340" s="24"/>
      <c r="D340" s="24"/>
      <c r="E340" s="24"/>
      <c r="F340" s="24"/>
      <c r="G340" s="24"/>
      <c r="H340" s="24"/>
      <c r="I340" s="185" t="s">
        <v>376</v>
      </c>
      <c r="J340" s="70"/>
      <c r="K340" s="70"/>
      <c r="P340" s="951"/>
      <c r="T340" s="951"/>
      <c r="X340" s="951"/>
      <c r="AB340" s="951"/>
      <c r="AC340" s="841"/>
      <c r="AD340" s="841"/>
      <c r="AE340" s="841"/>
      <c r="AF340" s="964"/>
      <c r="AG340" s="842"/>
      <c r="AH340" s="842"/>
      <c r="AI340" s="842"/>
      <c r="AJ340" s="912"/>
      <c r="AK340" s="64">
        <f t="shared" ref="AK340:AY340" si="558">+AK339/AG339-1</f>
        <v>-1.5479876160990669E-2</v>
      </c>
      <c r="AL340" s="64">
        <f t="shared" si="558"/>
        <v>-4.6783625730994149E-2</v>
      </c>
      <c r="AM340" s="64">
        <f t="shared" si="558"/>
        <v>-6.0606060606060996E-3</v>
      </c>
      <c r="AN340" s="180">
        <f t="shared" si="558"/>
        <v>3.7735849056603765E-2</v>
      </c>
      <c r="AO340" s="64">
        <f t="shared" si="558"/>
        <v>4.7169811320754818E-2</v>
      </c>
      <c r="AP340" s="64">
        <f t="shared" si="558"/>
        <v>6.4417177914110502E-2</v>
      </c>
      <c r="AQ340" s="64">
        <f t="shared" si="558"/>
        <v>9.4512195121951192E-2</v>
      </c>
      <c r="AR340" s="180">
        <f t="shared" si="558"/>
        <v>4.5454545454545414E-2</v>
      </c>
      <c r="AS340" s="64">
        <f t="shared" si="558"/>
        <v>-5.7057057057057103E-2</v>
      </c>
      <c r="AT340" s="64">
        <f t="shared" si="558"/>
        <v>-0.12968299711815567</v>
      </c>
      <c r="AU340" s="64">
        <f t="shared" si="558"/>
        <v>-0.14484679665738165</v>
      </c>
      <c r="AV340" s="180">
        <f t="shared" si="558"/>
        <v>-7.2463768115942018E-2</v>
      </c>
      <c r="AW340" s="64">
        <f t="shared" si="558"/>
        <v>4.4585987261146487E-2</v>
      </c>
      <c r="AX340" s="64">
        <f t="shared" si="558"/>
        <v>0.12913907284768222</v>
      </c>
      <c r="AY340" s="64">
        <f t="shared" si="558"/>
        <v>0.10749185667752448</v>
      </c>
      <c r="AZ340" s="211"/>
      <c r="BB340" s="913"/>
      <c r="BC340" s="913"/>
      <c r="BD340" s="914"/>
      <c r="BE340" s="913"/>
      <c r="BF340" s="913"/>
      <c r="BG340" s="913"/>
      <c r="BH340" s="914"/>
      <c r="BI340" s="843"/>
      <c r="BJ340" s="913"/>
      <c r="BK340" s="913"/>
      <c r="BL340" s="913"/>
      <c r="BM340" s="1652"/>
      <c r="BN340" s="843"/>
      <c r="BO340" s="843"/>
      <c r="BP340" s="913"/>
      <c r="BQ340" s="1637"/>
      <c r="BR340" s="913"/>
      <c r="BS340" s="913"/>
      <c r="BT340" s="914"/>
      <c r="BU340" s="1637"/>
      <c r="BV340" s="913"/>
      <c r="BW340" s="913"/>
      <c r="BX340" s="914"/>
      <c r="BY340" s="1637"/>
      <c r="BZ340" s="913"/>
      <c r="CA340" s="913"/>
      <c r="CB340" s="914"/>
      <c r="CC340" s="1637"/>
      <c r="CD340" s="913"/>
      <c r="CE340" s="913"/>
      <c r="CF340" s="914"/>
      <c r="CG340" s="951"/>
      <c r="CH340" s="944"/>
      <c r="CM340" s="842"/>
      <c r="CN340" s="842"/>
      <c r="CO340" s="91"/>
      <c r="CP340" s="64"/>
      <c r="CR340" s="913"/>
      <c r="CS340" s="913"/>
      <c r="CT340" s="913"/>
      <c r="CU340" s="913"/>
      <c r="CV340" s="913"/>
      <c r="CW340" s="913"/>
      <c r="CX340" s="913"/>
      <c r="CY340" s="913"/>
      <c r="DF340" s="951"/>
    </row>
    <row r="341" spans="1:110" ht="12.75" customHeight="1">
      <c r="I341" s="185"/>
      <c r="J341" s="70"/>
      <c r="K341" s="70"/>
      <c r="P341" s="234"/>
      <c r="T341" s="234"/>
      <c r="X341" s="234"/>
      <c r="AB341" s="234"/>
      <c r="AF341" s="249"/>
      <c r="AG341" s="800"/>
      <c r="AH341" s="800"/>
      <c r="AI341" s="800"/>
      <c r="AJ341" s="849"/>
      <c r="AK341" s="64"/>
      <c r="AL341" s="64"/>
      <c r="AM341" s="64"/>
      <c r="AN341" s="180"/>
      <c r="AO341" s="64"/>
      <c r="AP341" s="64"/>
      <c r="AQ341" s="64"/>
      <c r="AR341" s="180"/>
      <c r="AS341" s="64"/>
      <c r="AT341" s="64"/>
      <c r="AU341" s="64"/>
      <c r="AV341" s="180"/>
      <c r="AW341" s="24"/>
      <c r="AX341" s="24"/>
      <c r="AY341" s="24"/>
      <c r="AZ341" s="723"/>
      <c r="BA341" s="800"/>
      <c r="BB341" s="800"/>
      <c r="BC341" s="800"/>
      <c r="BD341" s="849"/>
      <c r="BE341" s="800"/>
      <c r="BF341" s="800"/>
      <c r="BG341" s="800"/>
      <c r="BH341" s="849"/>
      <c r="BI341" s="38"/>
      <c r="BJ341" s="800"/>
      <c r="BK341" s="800"/>
      <c r="BL341" s="800"/>
      <c r="BM341" s="173"/>
      <c r="BN341" s="38"/>
      <c r="BO341" s="38"/>
      <c r="BP341" s="800"/>
      <c r="BQ341" s="934"/>
      <c r="BR341" s="800"/>
      <c r="BS341" s="800"/>
      <c r="BT341" s="849"/>
      <c r="BU341" s="934"/>
      <c r="BV341" s="800"/>
      <c r="BW341" s="800"/>
      <c r="BX341" s="849"/>
      <c r="BY341" s="934"/>
      <c r="BZ341" s="800"/>
      <c r="CA341" s="800"/>
      <c r="CB341" s="849"/>
      <c r="CC341" s="934"/>
      <c r="CD341" s="800"/>
      <c r="CE341" s="800"/>
      <c r="CF341" s="849"/>
      <c r="CG341" s="234"/>
      <c r="CH341" s="160"/>
      <c r="CM341" s="800"/>
      <c r="CN341" s="64"/>
      <c r="CO341" s="64"/>
      <c r="CP341" s="713"/>
      <c r="CQ341" s="713"/>
      <c r="CR341" s="800"/>
      <c r="CS341" s="800"/>
      <c r="CT341" s="800"/>
      <c r="CU341" s="800"/>
      <c r="CV341" s="800"/>
      <c r="CW341" s="800"/>
      <c r="CX341" s="800"/>
      <c r="CY341" s="800"/>
      <c r="DF341" s="234"/>
    </row>
    <row r="342" spans="1:110" s="88" customFormat="1" ht="12.75" customHeight="1">
      <c r="A342" s="24"/>
      <c r="B342" s="24"/>
      <c r="C342" s="24"/>
      <c r="D342" s="24"/>
      <c r="E342" s="24"/>
      <c r="F342" s="24"/>
      <c r="G342" s="24"/>
      <c r="H342" s="24"/>
      <c r="I342" s="197" t="s">
        <v>251</v>
      </c>
      <c r="J342" s="87"/>
      <c r="K342" s="87"/>
      <c r="L342" s="84"/>
      <c r="M342" s="84"/>
      <c r="N342" s="84"/>
      <c r="O342" s="84"/>
      <c r="P342" s="248"/>
      <c r="Q342" s="84"/>
      <c r="R342" s="84"/>
      <c r="S342" s="84"/>
      <c r="T342" s="248"/>
      <c r="U342" s="84"/>
      <c r="V342" s="84"/>
      <c r="W342" s="84"/>
      <c r="X342" s="248"/>
      <c r="Y342" s="84"/>
      <c r="Z342" s="84"/>
      <c r="AA342" s="84"/>
      <c r="AB342" s="248"/>
      <c r="AC342" s="793"/>
      <c r="AD342" s="793"/>
      <c r="AE342" s="793"/>
      <c r="AF342" s="954"/>
      <c r="AG342" s="794"/>
      <c r="AH342" s="794"/>
      <c r="AI342" s="794"/>
      <c r="AJ342" s="966"/>
      <c r="AK342" s="794"/>
      <c r="AL342" s="794"/>
      <c r="AM342" s="794"/>
      <c r="AN342" s="966"/>
      <c r="AO342" s="794"/>
      <c r="AP342" s="794"/>
      <c r="AQ342" s="795"/>
      <c r="AR342" s="850"/>
      <c r="AS342" s="795"/>
      <c r="AT342" s="795"/>
      <c r="AU342" s="795"/>
      <c r="AV342" s="850"/>
      <c r="AW342" s="795"/>
      <c r="AX342" s="795"/>
      <c r="AY342" s="795"/>
      <c r="AZ342" s="850"/>
      <c r="BA342" s="795"/>
      <c r="BB342" s="795"/>
      <c r="BC342" s="795"/>
      <c r="BD342" s="850"/>
      <c r="BE342" s="795"/>
      <c r="BF342" s="795"/>
      <c r="BG342" s="795"/>
      <c r="BH342" s="850"/>
      <c r="BI342" s="795"/>
      <c r="BJ342" s="795"/>
      <c r="BK342" s="795"/>
      <c r="BL342" s="795"/>
      <c r="BM342" s="1593"/>
      <c r="BN342" s="795"/>
      <c r="BO342" s="795"/>
      <c r="BP342" s="795"/>
      <c r="BQ342" s="1593"/>
      <c r="BR342" s="795"/>
      <c r="BS342" s="795"/>
      <c r="BT342" s="850"/>
      <c r="BU342" s="1593"/>
      <c r="BV342" s="795"/>
      <c r="BW342" s="795"/>
      <c r="BX342" s="850"/>
      <c r="BY342" s="1593"/>
      <c r="BZ342" s="795"/>
      <c r="CA342" s="795"/>
      <c r="CB342" s="850"/>
      <c r="CC342" s="1593"/>
      <c r="CD342" s="795"/>
      <c r="CE342" s="795"/>
      <c r="CF342" s="850"/>
      <c r="CG342" s="1658"/>
      <c r="CH342" s="260"/>
      <c r="CI342" s="84"/>
      <c r="CJ342" s="84"/>
      <c r="CK342" s="84"/>
      <c r="CL342" s="84"/>
      <c r="CM342" s="794"/>
      <c r="CN342" s="795"/>
      <c r="CO342" s="795"/>
      <c r="CP342" s="795"/>
      <c r="CQ342" s="795"/>
      <c r="CR342" s="922"/>
      <c r="CS342" s="795"/>
      <c r="CT342" s="261"/>
      <c r="CU342" s="261"/>
      <c r="CV342" s="261"/>
      <c r="CW342" s="261"/>
      <c r="CX342" s="261"/>
      <c r="CY342" s="261"/>
      <c r="CZ342" s="261"/>
      <c r="DA342" s="261"/>
      <c r="DB342" s="261"/>
      <c r="DC342" s="261"/>
      <c r="DD342" s="261"/>
      <c r="DE342" s="261"/>
      <c r="DF342" s="262"/>
    </row>
    <row r="343" spans="1:110" s="8" customFormat="1" ht="12.75" customHeight="1">
      <c r="A343" s="24"/>
      <c r="B343" s="24"/>
      <c r="C343" s="24"/>
      <c r="D343" s="24"/>
      <c r="E343" s="24"/>
      <c r="F343" s="24"/>
      <c r="G343" s="24"/>
      <c r="H343" s="24"/>
      <c r="I343" s="1290" t="s">
        <v>252</v>
      </c>
      <c r="J343" s="46"/>
      <c r="K343" s="46"/>
      <c r="P343" s="245"/>
      <c r="T343" s="245"/>
      <c r="X343" s="245"/>
      <c r="AB343" s="245"/>
      <c r="AC343" s="289"/>
      <c r="AD343" s="289"/>
      <c r="AE343" s="289"/>
      <c r="AF343" s="953"/>
      <c r="AG343" s="103"/>
      <c r="AH343" s="103"/>
      <c r="AI343" s="103"/>
      <c r="AJ343" s="202"/>
      <c r="AK343" s="103"/>
      <c r="AL343" s="103"/>
      <c r="AM343" s="103"/>
      <c r="AN343" s="202"/>
      <c r="AO343" s="103"/>
      <c r="AP343" s="103"/>
      <c r="AQ343" s="103"/>
      <c r="AR343" s="202"/>
      <c r="AS343" s="103"/>
      <c r="AT343" s="103"/>
      <c r="AU343" s="103"/>
      <c r="AV343" s="202"/>
      <c r="AW343" s="103"/>
      <c r="AX343" s="103"/>
      <c r="AY343" s="103"/>
      <c r="AZ343" s="202"/>
      <c r="BB343" s="103"/>
      <c r="BC343" s="103"/>
      <c r="BD343" s="202"/>
      <c r="BE343" s="103"/>
      <c r="BF343" s="103"/>
      <c r="BG343" s="103"/>
      <c r="BH343" s="202"/>
      <c r="BI343" s="843"/>
      <c r="BJ343" s="843"/>
      <c r="BK343" s="843"/>
      <c r="BL343" s="843"/>
      <c r="BM343" s="1652"/>
      <c r="BN343" s="843"/>
      <c r="BO343" s="843"/>
      <c r="BP343" s="103"/>
      <c r="BQ343" s="265"/>
      <c r="BR343" s="103"/>
      <c r="BS343" s="103"/>
      <c r="BT343" s="202"/>
      <c r="BU343" s="265"/>
      <c r="BV343" s="103"/>
      <c r="BW343" s="103"/>
      <c r="BX343" s="202"/>
      <c r="BY343" s="265"/>
      <c r="BZ343" s="103"/>
      <c r="CA343" s="103"/>
      <c r="CB343" s="202"/>
      <c r="CC343" s="265"/>
      <c r="CD343" s="103"/>
      <c r="CE343" s="103"/>
      <c r="CF343" s="202"/>
      <c r="CG343" s="245"/>
      <c r="CH343" s="178"/>
      <c r="CM343" s="103"/>
      <c r="CN343" s="103"/>
      <c r="CO343" s="103"/>
      <c r="CP343" s="103"/>
      <c r="CQ343" s="103"/>
      <c r="CR343" s="103"/>
      <c r="CS343" s="103"/>
      <c r="CT343" s="103"/>
      <c r="CU343" s="103"/>
      <c r="CV343" s="103"/>
      <c r="CW343" s="103"/>
      <c r="CX343" s="103"/>
      <c r="CY343" s="103"/>
      <c r="DF343" s="245"/>
    </row>
    <row r="344" spans="1:110" s="39" customFormat="1" ht="12.75" customHeight="1">
      <c r="A344" s="24"/>
      <c r="B344" s="24"/>
      <c r="C344" s="24"/>
      <c r="D344" s="24"/>
      <c r="E344" s="24"/>
      <c r="F344" s="24"/>
      <c r="G344" s="24"/>
      <c r="H344" s="24"/>
      <c r="I344" s="915" t="s">
        <v>253</v>
      </c>
      <c r="J344" s="844"/>
      <c r="K344" s="844"/>
      <c r="P344" s="241"/>
      <c r="T344" s="241"/>
      <c r="X344" s="241"/>
      <c r="AB344" s="241"/>
      <c r="AC344" s="815">
        <v>1278</v>
      </c>
      <c r="AD344" s="815">
        <v>1535</v>
      </c>
      <c r="AE344" s="815">
        <v>1692</v>
      </c>
      <c r="AF344" s="959">
        <v>1315</v>
      </c>
      <c r="AG344" s="30">
        <v>1621</v>
      </c>
      <c r="AH344" s="30">
        <v>2000</v>
      </c>
      <c r="AI344" s="30">
        <v>2044</v>
      </c>
      <c r="AJ344" s="179">
        <v>1789</v>
      </c>
      <c r="AK344" s="800">
        <v>2003</v>
      </c>
      <c r="AL344" s="800">
        <v>2278</v>
      </c>
      <c r="AM344" s="800">
        <v>2338</v>
      </c>
      <c r="AN344" s="849">
        <v>2002</v>
      </c>
      <c r="AO344" s="800">
        <v>2612</v>
      </c>
      <c r="AP344" s="800">
        <v>2815</v>
      </c>
      <c r="AQ344" s="800">
        <v>2333</v>
      </c>
      <c r="AR344" s="849">
        <v>2224</v>
      </c>
      <c r="AS344" s="800">
        <v>3014</v>
      </c>
      <c r="AT344" s="800">
        <v>3237</v>
      </c>
      <c r="AU344" s="800">
        <v>2604</v>
      </c>
      <c r="AV344" s="849">
        <v>2370</v>
      </c>
      <c r="AW344" s="800">
        <v>2986</v>
      </c>
      <c r="AX344" s="800">
        <f>12400-AY344-AW344</f>
        <v>4314</v>
      </c>
      <c r="AY344" s="800">
        <v>5100</v>
      </c>
      <c r="AZ344" s="980">
        <v>3900</v>
      </c>
      <c r="BA344" s="848">
        <v>4900</v>
      </c>
      <c r="BB344" s="848">
        <v>6600</v>
      </c>
      <c r="BC344" s="848">
        <v>7000</v>
      </c>
      <c r="BD344" s="980">
        <v>5300</v>
      </c>
      <c r="BE344" s="848">
        <v>6900</v>
      </c>
      <c r="BF344" s="848">
        <v>8600</v>
      </c>
      <c r="BG344" s="848">
        <v>9400</v>
      </c>
      <c r="BH344" s="980">
        <v>7200</v>
      </c>
      <c r="BI344" s="848">
        <v>9900</v>
      </c>
      <c r="BJ344" s="848">
        <v>12500</v>
      </c>
      <c r="BK344" s="848">
        <v>12000</v>
      </c>
      <c r="BL344" s="848">
        <v>9500</v>
      </c>
      <c r="BM344" s="1643">
        <v>12300</v>
      </c>
      <c r="BN344" s="848">
        <v>14300</v>
      </c>
      <c r="BO344" s="848">
        <v>14200</v>
      </c>
      <c r="BP344" s="848">
        <v>11000</v>
      </c>
      <c r="BQ344" s="1643">
        <v>14600</v>
      </c>
      <c r="BR344" s="848">
        <v>17200</v>
      </c>
      <c r="BS344" s="848">
        <v>16000</v>
      </c>
      <c r="BT344" s="980">
        <v>12200</v>
      </c>
      <c r="BU344" s="1643">
        <v>16200</v>
      </c>
      <c r="BV344" s="848">
        <v>18500</v>
      </c>
      <c r="BW344" s="848">
        <v>18000</v>
      </c>
      <c r="BX344" s="980">
        <v>14000</v>
      </c>
      <c r="BY344" s="848">
        <v>18600</v>
      </c>
      <c r="BZ344" s="848">
        <v>20700</v>
      </c>
      <c r="CA344" s="848">
        <v>19000</v>
      </c>
      <c r="CB344" s="980">
        <v>14700</v>
      </c>
      <c r="CC344" s="934">
        <f>+BY344*(1+CC346)</f>
        <v>19251</v>
      </c>
      <c r="CD344" s="800">
        <f>+BZ344*(1+CD346)</f>
        <v>21631.5</v>
      </c>
      <c r="CE344" s="800">
        <f>+CA344*(1+CE346)</f>
        <v>20330</v>
      </c>
      <c r="CF344" s="849">
        <f>+CB344*(1+CF346)</f>
        <v>16170.000000000002</v>
      </c>
      <c r="CG344" s="241"/>
      <c r="CH344" s="182"/>
      <c r="CL344" s="800">
        <f>+SUM(AC344:AF344)</f>
        <v>5820</v>
      </c>
      <c r="CM344" s="800">
        <f>+SUM(AG344:AJ344)</f>
        <v>7454</v>
      </c>
      <c r="CN344" s="800">
        <f>+SUM(AK344:AN344)</f>
        <v>8621</v>
      </c>
      <c r="CO344" s="800">
        <f>+SUM(AO344:AR344)</f>
        <v>9984</v>
      </c>
      <c r="CP344" s="800">
        <f>+SUM(AS344:AV344)</f>
        <v>11225</v>
      </c>
      <c r="CQ344" s="800">
        <f>+SUM(AW344:AZ344)</f>
        <v>16300</v>
      </c>
      <c r="CR344" s="800">
        <f>+SUM(BA344:BD344)</f>
        <v>23800</v>
      </c>
      <c r="CS344" s="800">
        <f>+SUM(BE344:BH344)</f>
        <v>32100</v>
      </c>
      <c r="CT344" s="800">
        <f>+SUM(BI344:BL344)</f>
        <v>43900</v>
      </c>
      <c r="CU344" s="800">
        <f>+SUM(BM344:BP344)</f>
        <v>51800</v>
      </c>
      <c r="CV344" s="800">
        <f>+SUM(BQ344:BT344)</f>
        <v>60000</v>
      </c>
      <c r="CW344" s="800">
        <f>+SUM(BU344:BX344)</f>
        <v>66700</v>
      </c>
      <c r="CX344" s="800">
        <f>+SUM(BY344:CB344)</f>
        <v>73000</v>
      </c>
      <c r="CY344" s="800">
        <f>+SUM(CC344:CF344)</f>
        <v>77382.5</v>
      </c>
      <c r="CZ344" s="800">
        <f>+CY344*(1+CZ346)</f>
        <v>81254.275085616435</v>
      </c>
      <c r="DA344" s="800">
        <f t="shared" ref="DA344:DF344" si="559">+CZ344*(1+DA346)</f>
        <v>84507.228769694717</v>
      </c>
      <c r="DB344" s="800">
        <f t="shared" si="559"/>
        <v>87045.339715962604</v>
      </c>
      <c r="DC344" s="800">
        <f t="shared" si="559"/>
        <v>89659.680912226278</v>
      </c>
      <c r="DD344" s="800">
        <f t="shared" si="559"/>
        <v>92352.541876610616</v>
      </c>
      <c r="DE344" s="800">
        <f t="shared" si="559"/>
        <v>95126.280891192378</v>
      </c>
      <c r="DF344" s="849">
        <f t="shared" si="559"/>
        <v>97983.327067273742</v>
      </c>
    </row>
    <row r="345" spans="1:110" s="39" customFormat="1" ht="12.75" customHeight="1">
      <c r="A345" s="24"/>
      <c r="B345" s="24"/>
      <c r="C345" s="24"/>
      <c r="D345" s="24"/>
      <c r="E345" s="24"/>
      <c r="F345" s="24"/>
      <c r="G345" s="24"/>
      <c r="H345" s="24"/>
      <c r="I345" s="185" t="s">
        <v>385</v>
      </c>
      <c r="J345" s="70"/>
      <c r="K345" s="70"/>
      <c r="P345" s="241"/>
      <c r="T345" s="241"/>
      <c r="X345" s="241"/>
      <c r="AB345" s="241"/>
      <c r="AC345" s="815"/>
      <c r="AD345" s="815"/>
      <c r="AE345" s="815"/>
      <c r="AF345" s="959"/>
      <c r="AG345" s="30"/>
      <c r="AH345" s="30"/>
      <c r="AI345" s="30"/>
      <c r="AJ345" s="179"/>
      <c r="AK345" s="800">
        <f t="shared" ref="AK345:BD345" si="560">+AK344-AG344</f>
        <v>382</v>
      </c>
      <c r="AL345" s="800">
        <f t="shared" si="560"/>
        <v>278</v>
      </c>
      <c r="AM345" s="800">
        <f t="shared" si="560"/>
        <v>294</v>
      </c>
      <c r="AN345" s="849">
        <f t="shared" si="560"/>
        <v>213</v>
      </c>
      <c r="AO345" s="800">
        <f t="shared" si="560"/>
        <v>609</v>
      </c>
      <c r="AP345" s="800">
        <f t="shared" si="560"/>
        <v>537</v>
      </c>
      <c r="AQ345" s="800">
        <f t="shared" si="560"/>
        <v>-5</v>
      </c>
      <c r="AR345" s="849">
        <f t="shared" si="560"/>
        <v>222</v>
      </c>
      <c r="AS345" s="800">
        <f t="shared" si="560"/>
        <v>402</v>
      </c>
      <c r="AT345" s="800">
        <f t="shared" si="560"/>
        <v>422</v>
      </c>
      <c r="AU345" s="800">
        <f t="shared" si="560"/>
        <v>271</v>
      </c>
      <c r="AV345" s="849">
        <f t="shared" si="560"/>
        <v>146</v>
      </c>
      <c r="AW345" s="800">
        <f t="shared" si="560"/>
        <v>-28</v>
      </c>
      <c r="AX345" s="800">
        <f t="shared" si="560"/>
        <v>1077</v>
      </c>
      <c r="AY345" s="800">
        <f t="shared" si="560"/>
        <v>2496</v>
      </c>
      <c r="AZ345" s="849">
        <f t="shared" si="560"/>
        <v>1530</v>
      </c>
      <c r="BA345" s="800">
        <f t="shared" si="560"/>
        <v>1914</v>
      </c>
      <c r="BB345" s="800">
        <f t="shared" si="560"/>
        <v>2286</v>
      </c>
      <c r="BC345" s="800">
        <f t="shared" si="560"/>
        <v>1900</v>
      </c>
      <c r="BD345" s="849">
        <f t="shared" si="560"/>
        <v>1400</v>
      </c>
      <c r="BE345" s="800">
        <f t="shared" ref="BE345:BL345" si="561">+BE344-BA344</f>
        <v>2000</v>
      </c>
      <c r="BF345" s="800">
        <f t="shared" si="561"/>
        <v>2000</v>
      </c>
      <c r="BG345" s="800">
        <f t="shared" si="561"/>
        <v>2400</v>
      </c>
      <c r="BH345" s="849">
        <f t="shared" si="561"/>
        <v>1900</v>
      </c>
      <c r="BI345" s="800">
        <f t="shared" si="561"/>
        <v>3000</v>
      </c>
      <c r="BJ345" s="800">
        <f t="shared" si="561"/>
        <v>3900</v>
      </c>
      <c r="BK345" s="800">
        <f t="shared" si="561"/>
        <v>2600</v>
      </c>
      <c r="BL345" s="800">
        <f t="shared" si="561"/>
        <v>2300</v>
      </c>
      <c r="BM345" s="934">
        <f t="shared" ref="BM345:CF345" si="562">+BM344-BI344</f>
        <v>2400</v>
      </c>
      <c r="BN345" s="800">
        <f t="shared" si="562"/>
        <v>1800</v>
      </c>
      <c r="BO345" s="800">
        <f t="shared" si="562"/>
        <v>2200</v>
      </c>
      <c r="BP345" s="800">
        <f t="shared" si="562"/>
        <v>1500</v>
      </c>
      <c r="BQ345" s="934">
        <f t="shared" si="562"/>
        <v>2300</v>
      </c>
      <c r="BR345" s="800">
        <f t="shared" si="562"/>
        <v>2900</v>
      </c>
      <c r="BS345" s="800">
        <f t="shared" si="562"/>
        <v>1800</v>
      </c>
      <c r="BT345" s="849">
        <f t="shared" si="562"/>
        <v>1200</v>
      </c>
      <c r="BU345" s="934">
        <f t="shared" si="562"/>
        <v>1600</v>
      </c>
      <c r="BV345" s="800">
        <f t="shared" si="562"/>
        <v>1300</v>
      </c>
      <c r="BW345" s="800">
        <f t="shared" si="562"/>
        <v>2000</v>
      </c>
      <c r="BX345" s="849">
        <f t="shared" si="562"/>
        <v>1800</v>
      </c>
      <c r="BY345" s="934">
        <f t="shared" si="562"/>
        <v>2400</v>
      </c>
      <c r="BZ345" s="800">
        <f t="shared" si="562"/>
        <v>2200</v>
      </c>
      <c r="CA345" s="800">
        <f t="shared" si="562"/>
        <v>1000</v>
      </c>
      <c r="CB345" s="849">
        <f t="shared" si="562"/>
        <v>700</v>
      </c>
      <c r="CC345" s="934">
        <f t="shared" si="562"/>
        <v>651</v>
      </c>
      <c r="CD345" s="800">
        <f t="shared" si="562"/>
        <v>931.5</v>
      </c>
      <c r="CE345" s="800">
        <f t="shared" si="562"/>
        <v>1330</v>
      </c>
      <c r="CF345" s="849">
        <f t="shared" si="562"/>
        <v>1470.0000000000018</v>
      </c>
      <c r="CG345" s="241"/>
      <c r="CH345" s="182"/>
      <c r="CL345" s="800"/>
      <c r="CM345" s="800"/>
      <c r="CN345" s="800">
        <f t="shared" ref="CN345:CY345" si="563">+CN344-CM344</f>
        <v>1167</v>
      </c>
      <c r="CO345" s="800">
        <f t="shared" si="563"/>
        <v>1363</v>
      </c>
      <c r="CP345" s="800">
        <f t="shared" si="563"/>
        <v>1241</v>
      </c>
      <c r="CQ345" s="800">
        <f t="shared" si="563"/>
        <v>5075</v>
      </c>
      <c r="CR345" s="800">
        <f t="shared" si="563"/>
        <v>7500</v>
      </c>
      <c r="CS345" s="800">
        <f t="shared" si="563"/>
        <v>8300</v>
      </c>
      <c r="CT345" s="800">
        <f t="shared" si="563"/>
        <v>11800</v>
      </c>
      <c r="CU345" s="800">
        <f t="shared" si="563"/>
        <v>7900</v>
      </c>
      <c r="CV345" s="800">
        <f t="shared" si="563"/>
        <v>8200</v>
      </c>
      <c r="CW345" s="800">
        <f t="shared" si="563"/>
        <v>6700</v>
      </c>
      <c r="CX345" s="800">
        <f t="shared" si="563"/>
        <v>6300</v>
      </c>
      <c r="CY345" s="800">
        <f t="shared" si="563"/>
        <v>4382.5</v>
      </c>
      <c r="CZ345" s="800">
        <f>+CZ344-CY344</f>
        <v>3871.7750856164348</v>
      </c>
      <c r="DA345" s="800">
        <f t="shared" ref="DA345:DF345" si="564">+DA344-CZ344</f>
        <v>3252.9536840782821</v>
      </c>
      <c r="DB345" s="800">
        <f t="shared" si="564"/>
        <v>2538.1109462678869</v>
      </c>
      <c r="DC345" s="800">
        <f t="shared" si="564"/>
        <v>2614.3411962636746</v>
      </c>
      <c r="DD345" s="800">
        <f t="shared" si="564"/>
        <v>2692.8609643843374</v>
      </c>
      <c r="DE345" s="800">
        <f t="shared" si="564"/>
        <v>2773.7390145817626</v>
      </c>
      <c r="DF345" s="849">
        <f t="shared" si="564"/>
        <v>2857.0461760813632</v>
      </c>
    </row>
    <row r="346" spans="1:110" ht="12.75" customHeight="1">
      <c r="I346" s="185" t="s">
        <v>376</v>
      </c>
      <c r="J346" s="70"/>
      <c r="K346" s="70"/>
      <c r="P346" s="234"/>
      <c r="T346" s="234"/>
      <c r="X346" s="234"/>
      <c r="AB346" s="234"/>
      <c r="AF346" s="249"/>
      <c r="AG346" s="203"/>
      <c r="AH346" s="203"/>
      <c r="AI346" s="203"/>
      <c r="AJ346" s="204"/>
      <c r="AK346" s="203">
        <f t="shared" ref="AK346:BD346" si="565">+AK344/AG344-1</f>
        <v>0.23565700185070937</v>
      </c>
      <c r="AL346" s="203">
        <f t="shared" si="565"/>
        <v>0.13900000000000001</v>
      </c>
      <c r="AM346" s="203">
        <f t="shared" si="565"/>
        <v>0.14383561643835607</v>
      </c>
      <c r="AN346" s="204">
        <f t="shared" si="565"/>
        <v>0.11906092789267753</v>
      </c>
      <c r="AO346" s="203">
        <f t="shared" si="565"/>
        <v>0.30404393409885166</v>
      </c>
      <c r="AP346" s="203">
        <f t="shared" si="565"/>
        <v>0.23573309920983321</v>
      </c>
      <c r="AQ346" s="203">
        <f t="shared" si="565"/>
        <v>-2.1385799828913532E-3</v>
      </c>
      <c r="AR346" s="204">
        <f t="shared" si="565"/>
        <v>0.1108891108891108</v>
      </c>
      <c r="AS346" s="203">
        <f t="shared" si="565"/>
        <v>0.15390505359877493</v>
      </c>
      <c r="AT346" s="203">
        <f t="shared" si="565"/>
        <v>0.1499111900532859</v>
      </c>
      <c r="AU346" s="203">
        <f t="shared" si="565"/>
        <v>0.1161594513501929</v>
      </c>
      <c r="AV346" s="204">
        <f t="shared" si="565"/>
        <v>6.5647482014388414E-2</v>
      </c>
      <c r="AW346" s="203">
        <f t="shared" si="565"/>
        <v>-9.28998009289983E-3</v>
      </c>
      <c r="AX346" s="203">
        <f t="shared" si="565"/>
        <v>0.33271547729379058</v>
      </c>
      <c r="AY346" s="203">
        <f t="shared" si="565"/>
        <v>0.95852534562211988</v>
      </c>
      <c r="AZ346" s="204">
        <f t="shared" si="565"/>
        <v>0.64556962025316467</v>
      </c>
      <c r="BA346" s="203">
        <f t="shared" si="565"/>
        <v>0.64099129269926314</v>
      </c>
      <c r="BB346" s="916">
        <f t="shared" si="565"/>
        <v>0.52990264255910979</v>
      </c>
      <c r="BC346" s="916">
        <f t="shared" si="565"/>
        <v>0.37254901960784315</v>
      </c>
      <c r="BD346" s="989">
        <f t="shared" si="565"/>
        <v>0.35897435897435903</v>
      </c>
      <c r="BE346" s="916">
        <f t="shared" ref="BE346:BL346" si="566">+BE344/BA344-1</f>
        <v>0.40816326530612246</v>
      </c>
      <c r="BF346" s="916">
        <f t="shared" si="566"/>
        <v>0.30303030303030298</v>
      </c>
      <c r="BG346" s="916">
        <f t="shared" si="566"/>
        <v>0.34285714285714275</v>
      </c>
      <c r="BH346" s="989">
        <f t="shared" si="566"/>
        <v>0.35849056603773577</v>
      </c>
      <c r="BI346" s="916">
        <f t="shared" si="566"/>
        <v>0.43478260869565211</v>
      </c>
      <c r="BJ346" s="916">
        <f t="shared" si="566"/>
        <v>0.45348837209302317</v>
      </c>
      <c r="BK346" s="916">
        <f t="shared" si="566"/>
        <v>0.27659574468085113</v>
      </c>
      <c r="BL346" s="916">
        <f t="shared" si="566"/>
        <v>0.31944444444444442</v>
      </c>
      <c r="BM346" s="1653">
        <f t="shared" ref="BM346:CB346" si="567">+BM344/BI344-1</f>
        <v>0.24242424242424243</v>
      </c>
      <c r="BN346" s="916">
        <f t="shared" si="567"/>
        <v>0.14399999999999991</v>
      </c>
      <c r="BO346" s="916">
        <f t="shared" si="567"/>
        <v>0.18333333333333335</v>
      </c>
      <c r="BP346" s="916">
        <f t="shared" si="567"/>
        <v>0.15789473684210531</v>
      </c>
      <c r="BQ346" s="1653">
        <f t="shared" si="567"/>
        <v>0.18699186991869921</v>
      </c>
      <c r="BR346" s="916">
        <f t="shared" si="567"/>
        <v>0.2027972027972027</v>
      </c>
      <c r="BS346" s="916">
        <f t="shared" si="567"/>
        <v>0.12676056338028174</v>
      </c>
      <c r="BT346" s="989">
        <f t="shared" si="567"/>
        <v>0.10909090909090913</v>
      </c>
      <c r="BU346" s="1653">
        <f t="shared" si="567"/>
        <v>0.1095890410958904</v>
      </c>
      <c r="BV346" s="916">
        <f t="shared" si="567"/>
        <v>7.5581395348837122E-2</v>
      </c>
      <c r="BW346" s="916">
        <f t="shared" si="567"/>
        <v>0.125</v>
      </c>
      <c r="BX346" s="989">
        <f t="shared" si="567"/>
        <v>0.14754098360655732</v>
      </c>
      <c r="BY346" s="916">
        <f t="shared" si="567"/>
        <v>0.14814814814814814</v>
      </c>
      <c r="BZ346" s="916">
        <f t="shared" si="567"/>
        <v>0.11891891891891881</v>
      </c>
      <c r="CA346" s="916">
        <f t="shared" si="567"/>
        <v>5.555555555555558E-2</v>
      </c>
      <c r="CB346" s="989">
        <f t="shared" si="567"/>
        <v>5.0000000000000044E-2</v>
      </c>
      <c r="CC346" s="1631">
        <v>3.5000000000000003E-2</v>
      </c>
      <c r="CD346" s="1283">
        <v>4.4999999999999998E-2</v>
      </c>
      <c r="CE346" s="1283">
        <v>7.0000000000000007E-2</v>
      </c>
      <c r="CF346" s="1281">
        <v>0.1</v>
      </c>
      <c r="CG346" s="234"/>
      <c r="CH346" s="160"/>
      <c r="CM346" s="203"/>
      <c r="CN346" s="203">
        <f t="shared" ref="CN346:CY346" si="568">+CN344/CM344-1</f>
        <v>0.15656023611483771</v>
      </c>
      <c r="CO346" s="203">
        <f t="shared" si="568"/>
        <v>0.15810230831690064</v>
      </c>
      <c r="CP346" s="203">
        <f t="shared" si="568"/>
        <v>0.12429887820512819</v>
      </c>
      <c r="CQ346" s="203">
        <f t="shared" si="568"/>
        <v>0.45211581291759462</v>
      </c>
      <c r="CR346" s="203">
        <f t="shared" si="568"/>
        <v>0.46012269938650308</v>
      </c>
      <c r="CS346" s="203">
        <f t="shared" si="568"/>
        <v>0.34873949579831942</v>
      </c>
      <c r="CT346" s="203">
        <f t="shared" si="568"/>
        <v>0.36760124610591904</v>
      </c>
      <c r="CU346" s="203">
        <f t="shared" si="568"/>
        <v>0.17995444191343957</v>
      </c>
      <c r="CV346" s="203">
        <f t="shared" si="568"/>
        <v>0.15830115830115821</v>
      </c>
      <c r="CW346" s="203">
        <f t="shared" si="568"/>
        <v>0.11166666666666658</v>
      </c>
      <c r="CX346" s="203">
        <f t="shared" si="568"/>
        <v>9.4452773613193486E-2</v>
      </c>
      <c r="CY346" s="203">
        <f t="shared" si="568"/>
        <v>6.0034246575342509E-2</v>
      </c>
      <c r="CZ346" s="1325">
        <f>+CY346-1%</f>
        <v>5.0034246575342507E-2</v>
      </c>
      <c r="DA346" s="1325">
        <f>+CZ346-1%</f>
        <v>4.0034246575342505E-2</v>
      </c>
      <c r="DB346" s="1325">
        <f>+DA346-1%</f>
        <v>3.0034246575342503E-2</v>
      </c>
      <c r="DC346" s="1325">
        <f>+DB346</f>
        <v>3.0034246575342503E-2</v>
      </c>
      <c r="DD346" s="1325">
        <f>+DC346</f>
        <v>3.0034246575342503E-2</v>
      </c>
      <c r="DE346" s="1325">
        <f>+DD346</f>
        <v>3.0034246575342503E-2</v>
      </c>
      <c r="DF346" s="1324">
        <f>+DE346</f>
        <v>3.0034246575342503E-2</v>
      </c>
    </row>
    <row r="347" spans="1:110" s="82" customFormat="1" ht="12.75" customHeight="1">
      <c r="I347" s="193" t="s">
        <v>254</v>
      </c>
      <c r="J347" s="83"/>
      <c r="K347" s="83"/>
      <c r="P347" s="1135"/>
      <c r="T347" s="1135"/>
      <c r="X347" s="1135"/>
      <c r="AB347" s="1135"/>
      <c r="AC347" s="307"/>
      <c r="AD347" s="307"/>
      <c r="AE347" s="307"/>
      <c r="AF347" s="1136"/>
      <c r="AG347" s="64"/>
      <c r="AH347" s="64"/>
      <c r="AI347" s="64"/>
      <c r="AJ347" s="180"/>
      <c r="AK347" s="64"/>
      <c r="AL347" s="64"/>
      <c r="AM347" s="64"/>
      <c r="AN347" s="180"/>
      <c r="AO347" s="64"/>
      <c r="AP347" s="64"/>
      <c r="AQ347" s="64"/>
      <c r="AR347" s="180"/>
      <c r="AS347" s="64">
        <f t="shared" ref="AS347:BD347" si="569">+AS346+AO346</f>
        <v>0.4579489876976266</v>
      </c>
      <c r="AT347" s="64">
        <f t="shared" si="569"/>
        <v>0.38564428926311911</v>
      </c>
      <c r="AU347" s="64">
        <f t="shared" si="569"/>
        <v>0.11402087136730155</v>
      </c>
      <c r="AV347" s="180">
        <f t="shared" si="569"/>
        <v>0.17653659290349921</v>
      </c>
      <c r="AW347" s="64">
        <f t="shared" si="569"/>
        <v>0.1446150735058751</v>
      </c>
      <c r="AX347" s="64">
        <f t="shared" si="569"/>
        <v>0.48262666734707649</v>
      </c>
      <c r="AY347" s="64">
        <f t="shared" si="569"/>
        <v>1.0746847969723128</v>
      </c>
      <c r="AZ347" s="180">
        <f t="shared" si="569"/>
        <v>0.71121710226755308</v>
      </c>
      <c r="BA347" s="64">
        <f t="shared" si="569"/>
        <v>0.63170131260636331</v>
      </c>
      <c r="BB347" s="64">
        <f t="shared" si="569"/>
        <v>0.86261811985290038</v>
      </c>
      <c r="BC347" s="64">
        <f t="shared" si="569"/>
        <v>1.331074365229963</v>
      </c>
      <c r="BD347" s="180">
        <f t="shared" si="569"/>
        <v>1.0045439792275237</v>
      </c>
      <c r="BE347" s="64">
        <f t="shared" ref="BE347:BL347" si="570">+BE346+BA346</f>
        <v>1.0491545580053856</v>
      </c>
      <c r="BF347" s="64">
        <f t="shared" si="570"/>
        <v>0.83293294558941278</v>
      </c>
      <c r="BG347" s="64">
        <f t="shared" si="570"/>
        <v>0.7154061624649859</v>
      </c>
      <c r="BH347" s="180">
        <f t="shared" si="570"/>
        <v>0.7174649250120948</v>
      </c>
      <c r="BI347" s="64">
        <f t="shared" si="570"/>
        <v>0.84294587400177456</v>
      </c>
      <c r="BJ347" s="64">
        <f t="shared" si="570"/>
        <v>0.75651867512332616</v>
      </c>
      <c r="BK347" s="64">
        <f t="shared" si="570"/>
        <v>0.61945288753799388</v>
      </c>
      <c r="BL347" s="64">
        <f t="shared" si="570"/>
        <v>0.67793501048218019</v>
      </c>
      <c r="BM347" s="1263">
        <f t="shared" ref="BM347:CF347" si="571">+BM346+BI346</f>
        <v>0.67720685111989454</v>
      </c>
      <c r="BN347" s="64">
        <f t="shared" si="571"/>
        <v>0.59748837209302308</v>
      </c>
      <c r="BO347" s="64">
        <f t="shared" si="571"/>
        <v>0.45992907801418448</v>
      </c>
      <c r="BP347" s="64">
        <f t="shared" si="571"/>
        <v>0.47733918128654973</v>
      </c>
      <c r="BQ347" s="1263">
        <f t="shared" si="571"/>
        <v>0.42941611234294164</v>
      </c>
      <c r="BR347" s="64">
        <f t="shared" si="571"/>
        <v>0.34679720279720261</v>
      </c>
      <c r="BS347" s="64">
        <f t="shared" si="571"/>
        <v>0.31009389671361509</v>
      </c>
      <c r="BT347" s="180">
        <f t="shared" si="571"/>
        <v>0.26698564593301444</v>
      </c>
      <c r="BU347" s="1263">
        <f t="shared" si="571"/>
        <v>0.29658091101458961</v>
      </c>
      <c r="BV347" s="64">
        <f t="shared" si="571"/>
        <v>0.27837859814603982</v>
      </c>
      <c r="BW347" s="64">
        <f t="shared" si="571"/>
        <v>0.25176056338028174</v>
      </c>
      <c r="BX347" s="180">
        <f t="shared" si="571"/>
        <v>0.25663189269746645</v>
      </c>
      <c r="BY347" s="1263">
        <f t="shared" si="571"/>
        <v>0.25773718924403854</v>
      </c>
      <c r="BZ347" s="64">
        <f t="shared" si="571"/>
        <v>0.19450031426775594</v>
      </c>
      <c r="CA347" s="64">
        <f t="shared" si="571"/>
        <v>0.18055555555555558</v>
      </c>
      <c r="CB347" s="180">
        <f t="shared" si="571"/>
        <v>0.19754098360655736</v>
      </c>
      <c r="CC347" s="1263">
        <f t="shared" si="571"/>
        <v>0.18314814814814814</v>
      </c>
      <c r="CD347" s="64">
        <f t="shared" si="571"/>
        <v>0.1639189189189188</v>
      </c>
      <c r="CE347" s="64">
        <f t="shared" si="571"/>
        <v>0.12555555555555559</v>
      </c>
      <c r="CF347" s="180">
        <f t="shared" si="571"/>
        <v>0.15000000000000005</v>
      </c>
      <c r="CG347" s="1135"/>
      <c r="CH347" s="259"/>
      <c r="CM347" s="64"/>
      <c r="CN347" s="64"/>
      <c r="CO347" s="64"/>
      <c r="CP347" s="64">
        <f t="shared" ref="CP347:CX347" si="572">+CP346+CO346</f>
        <v>0.28240118652202884</v>
      </c>
      <c r="CQ347" s="64">
        <f t="shared" si="572"/>
        <v>0.57641469112272281</v>
      </c>
      <c r="CR347" s="64">
        <f t="shared" si="572"/>
        <v>0.91223851230409769</v>
      </c>
      <c r="CS347" s="64">
        <f t="shared" si="572"/>
        <v>0.8088621951848225</v>
      </c>
      <c r="CT347" s="64">
        <f t="shared" si="572"/>
        <v>0.71634074190423846</v>
      </c>
      <c r="CU347" s="64">
        <f t="shared" si="572"/>
        <v>0.54755568801935861</v>
      </c>
      <c r="CV347" s="64">
        <f t="shared" si="572"/>
        <v>0.33825560021459777</v>
      </c>
      <c r="CW347" s="64">
        <f t="shared" si="572"/>
        <v>0.26996782496782479</v>
      </c>
      <c r="CX347" s="64">
        <f t="shared" si="572"/>
        <v>0.20611944027986007</v>
      </c>
      <c r="CY347" s="64">
        <f>+CY346+CX346</f>
        <v>0.154487020188536</v>
      </c>
      <c r="CZ347" s="64">
        <f>+CZ346+CY346</f>
        <v>0.11006849315068501</v>
      </c>
      <c r="DA347" s="64">
        <f t="shared" ref="DA347:DF347" si="573">+DA346+CZ346</f>
        <v>9.0068493150685019E-2</v>
      </c>
      <c r="DB347" s="64">
        <f t="shared" si="573"/>
        <v>7.0068493150685002E-2</v>
      </c>
      <c r="DC347" s="64">
        <f t="shared" si="573"/>
        <v>6.0068493150685007E-2</v>
      </c>
      <c r="DD347" s="64">
        <f t="shared" si="573"/>
        <v>6.0068493150685007E-2</v>
      </c>
      <c r="DE347" s="64">
        <f t="shared" si="573"/>
        <v>6.0068493150685007E-2</v>
      </c>
      <c r="DF347" s="180">
        <f t="shared" si="573"/>
        <v>6.0068493150685007E-2</v>
      </c>
    </row>
    <row r="348" spans="1:110" ht="12.75" customHeight="1">
      <c r="I348" s="185" t="s">
        <v>255</v>
      </c>
      <c r="J348" s="70"/>
      <c r="K348" s="70"/>
      <c r="P348" s="234"/>
      <c r="T348" s="234"/>
      <c r="X348" s="234"/>
      <c r="AB348" s="234"/>
      <c r="AF348" s="249"/>
      <c r="AG348" s="203"/>
      <c r="AH348" s="203"/>
      <c r="AI348" s="203"/>
      <c r="AJ348" s="204"/>
      <c r="AK348" s="203"/>
      <c r="AL348" s="203"/>
      <c r="AM348" s="203"/>
      <c r="AN348" s="204"/>
      <c r="AO348" s="800">
        <f t="shared" ref="AO348:BA348" si="574">+AO344-AN344</f>
        <v>610</v>
      </c>
      <c r="AP348" s="800">
        <f t="shared" si="574"/>
        <v>203</v>
      </c>
      <c r="AQ348" s="800">
        <f t="shared" si="574"/>
        <v>-482</v>
      </c>
      <c r="AR348" s="849">
        <f t="shared" si="574"/>
        <v>-109</v>
      </c>
      <c r="AS348" s="800">
        <f t="shared" si="574"/>
        <v>790</v>
      </c>
      <c r="AT348" s="800">
        <f t="shared" si="574"/>
        <v>223</v>
      </c>
      <c r="AU348" s="800">
        <f t="shared" si="574"/>
        <v>-633</v>
      </c>
      <c r="AV348" s="849">
        <f t="shared" si="574"/>
        <v>-234</v>
      </c>
      <c r="AW348" s="800">
        <f t="shared" si="574"/>
        <v>616</v>
      </c>
      <c r="AX348" s="800">
        <f t="shared" si="574"/>
        <v>1328</v>
      </c>
      <c r="AY348" s="800">
        <f t="shared" si="574"/>
        <v>786</v>
      </c>
      <c r="AZ348" s="849">
        <f t="shared" si="574"/>
        <v>-1200</v>
      </c>
      <c r="BA348" s="800">
        <f t="shared" si="574"/>
        <v>1000</v>
      </c>
      <c r="BB348" s="800">
        <f t="shared" ref="BB348:BL348" si="575">+BB344-BA344</f>
        <v>1700</v>
      </c>
      <c r="BC348" s="800">
        <f t="shared" si="575"/>
        <v>400</v>
      </c>
      <c r="BD348" s="849">
        <f t="shared" si="575"/>
        <v>-1700</v>
      </c>
      <c r="BE348" s="800">
        <f t="shared" si="575"/>
        <v>1600</v>
      </c>
      <c r="BF348" s="800">
        <f t="shared" si="575"/>
        <v>1700</v>
      </c>
      <c r="BG348" s="800">
        <f t="shared" si="575"/>
        <v>800</v>
      </c>
      <c r="BH348" s="849">
        <f t="shared" si="575"/>
        <v>-2200</v>
      </c>
      <c r="BI348" s="800">
        <f t="shared" si="575"/>
        <v>2700</v>
      </c>
      <c r="BJ348" s="800">
        <f t="shared" si="575"/>
        <v>2600</v>
      </c>
      <c r="BK348" s="800">
        <f t="shared" si="575"/>
        <v>-500</v>
      </c>
      <c r="BL348" s="800">
        <f t="shared" si="575"/>
        <v>-2500</v>
      </c>
      <c r="BM348" s="934">
        <f t="shared" ref="BM348:CF348" si="576">+BM344-BL344</f>
        <v>2800</v>
      </c>
      <c r="BN348" s="800">
        <f t="shared" si="576"/>
        <v>2000</v>
      </c>
      <c r="BO348" s="800">
        <f t="shared" si="576"/>
        <v>-100</v>
      </c>
      <c r="BP348" s="800">
        <f t="shared" si="576"/>
        <v>-3200</v>
      </c>
      <c r="BQ348" s="934">
        <f t="shared" si="576"/>
        <v>3600</v>
      </c>
      <c r="BR348" s="800">
        <f t="shared" si="576"/>
        <v>2600</v>
      </c>
      <c r="BS348" s="800">
        <f t="shared" si="576"/>
        <v>-1200</v>
      </c>
      <c r="BT348" s="849">
        <f t="shared" si="576"/>
        <v>-3800</v>
      </c>
      <c r="BU348" s="934">
        <f t="shared" si="576"/>
        <v>4000</v>
      </c>
      <c r="BV348" s="800">
        <f t="shared" si="576"/>
        <v>2300</v>
      </c>
      <c r="BW348" s="800">
        <f t="shared" si="576"/>
        <v>-500</v>
      </c>
      <c r="BX348" s="849">
        <f t="shared" si="576"/>
        <v>-4000</v>
      </c>
      <c r="BY348" s="934">
        <f t="shared" si="576"/>
        <v>4600</v>
      </c>
      <c r="BZ348" s="800">
        <f t="shared" si="576"/>
        <v>2100</v>
      </c>
      <c r="CA348" s="800">
        <f t="shared" si="576"/>
        <v>-1700</v>
      </c>
      <c r="CB348" s="849">
        <f t="shared" si="576"/>
        <v>-4300</v>
      </c>
      <c r="CC348" s="934">
        <f t="shared" si="576"/>
        <v>4551</v>
      </c>
      <c r="CD348" s="800">
        <f t="shared" si="576"/>
        <v>2380.5</v>
      </c>
      <c r="CE348" s="800">
        <f t="shared" si="576"/>
        <v>-1301.5</v>
      </c>
      <c r="CF348" s="849">
        <f t="shared" si="576"/>
        <v>-4159.9999999999982</v>
      </c>
      <c r="CG348" s="234"/>
      <c r="CH348" s="160"/>
      <c r="CM348" s="203"/>
      <c r="CN348" s="203"/>
      <c r="CO348" s="203"/>
      <c r="CP348" s="203"/>
      <c r="CQ348" s="203"/>
      <c r="CR348" s="203"/>
      <c r="CS348" s="203"/>
      <c r="CT348" s="203"/>
      <c r="CU348" s="203"/>
      <c r="CV348" s="203"/>
      <c r="CW348" s="203"/>
      <c r="CX348" s="203"/>
      <c r="CY348" s="203"/>
      <c r="CZ348" s="800"/>
      <c r="DA348" s="800"/>
      <c r="DB348" s="800"/>
      <c r="DC348" s="800"/>
      <c r="DD348" s="800"/>
      <c r="DE348" s="800"/>
      <c r="DF348" s="849"/>
    </row>
    <row r="349" spans="1:110" ht="12.75" customHeight="1">
      <c r="I349" s="185"/>
      <c r="J349" s="70"/>
      <c r="K349" s="70"/>
      <c r="P349" s="234"/>
      <c r="T349" s="234"/>
      <c r="X349" s="234"/>
      <c r="AB349" s="234"/>
      <c r="AF349" s="249"/>
      <c r="AG349" s="203"/>
      <c r="AH349" s="203"/>
      <c r="AI349" s="203"/>
      <c r="AJ349" s="204"/>
      <c r="AK349" s="203"/>
      <c r="AL349" s="203"/>
      <c r="AM349" s="203"/>
      <c r="AN349" s="204"/>
      <c r="AO349" s="203"/>
      <c r="AP349" s="203"/>
      <c r="AQ349" s="203"/>
      <c r="AR349" s="204"/>
      <c r="AS349" s="203"/>
      <c r="AT349" s="203"/>
      <c r="AU349" s="203"/>
      <c r="AV349" s="204"/>
      <c r="AW349" s="203"/>
      <c r="AX349" s="203"/>
      <c r="AY349" s="203"/>
      <c r="AZ349" s="204"/>
      <c r="BA349" s="203"/>
      <c r="BB349" s="203"/>
      <c r="BC349" s="203"/>
      <c r="BD349" s="204"/>
      <c r="BE349" s="203"/>
      <c r="BF349" s="203"/>
      <c r="BG349" s="203"/>
      <c r="BH349" s="204"/>
      <c r="BI349" s="203"/>
      <c r="BJ349" s="203"/>
      <c r="BK349" s="203"/>
      <c r="BL349" s="203"/>
      <c r="BM349" s="1603"/>
      <c r="BN349" s="203"/>
      <c r="BO349" s="203"/>
      <c r="BP349" s="203"/>
      <c r="BQ349" s="1603"/>
      <c r="BR349" s="203"/>
      <c r="BS349" s="203"/>
      <c r="BT349" s="204"/>
      <c r="BU349" s="1603"/>
      <c r="BV349" s="203"/>
      <c r="BW349" s="203"/>
      <c r="BX349" s="204"/>
      <c r="BY349" s="1603"/>
      <c r="BZ349" s="203"/>
      <c r="CA349" s="203"/>
      <c r="CB349" s="204"/>
      <c r="CC349" s="1603"/>
      <c r="CD349" s="203"/>
      <c r="CE349" s="203"/>
      <c r="CF349" s="204"/>
      <c r="CG349" s="234"/>
      <c r="CH349" s="160"/>
      <c r="CM349" s="203"/>
      <c r="CN349" s="203"/>
      <c r="CO349" s="203"/>
      <c r="CP349" s="203"/>
      <c r="CQ349" s="203"/>
      <c r="CR349" s="203"/>
      <c r="CS349" s="203"/>
      <c r="CT349" s="203"/>
      <c r="CU349" s="203"/>
      <c r="CV349" s="203"/>
      <c r="CW349" s="203"/>
      <c r="CX349" s="203"/>
      <c r="CY349" s="203"/>
      <c r="CZ349" s="203"/>
      <c r="DA349" s="203"/>
      <c r="DB349" s="203"/>
      <c r="DC349" s="203"/>
      <c r="DD349" s="203"/>
      <c r="DE349" s="203"/>
      <c r="DF349" s="204"/>
    </row>
    <row r="350" spans="1:110" s="8" customFormat="1" ht="12.75" customHeight="1">
      <c r="A350" s="24"/>
      <c r="B350" s="24"/>
      <c r="C350" s="24"/>
      <c r="D350" s="24"/>
      <c r="E350" s="24"/>
      <c r="F350" s="24"/>
      <c r="G350" s="24"/>
      <c r="H350" s="24"/>
      <c r="I350" s="167"/>
      <c r="J350" s="46"/>
      <c r="K350" s="46"/>
      <c r="P350" s="245"/>
      <c r="T350" s="245"/>
      <c r="X350" s="245"/>
      <c r="AB350" s="245"/>
      <c r="AC350" s="289"/>
      <c r="AD350" s="289"/>
      <c r="AE350" s="289"/>
      <c r="AF350" s="953"/>
      <c r="AG350" s="103"/>
      <c r="AH350" s="103"/>
      <c r="AI350" s="103"/>
      <c r="AJ350" s="202"/>
      <c r="AK350" s="103"/>
      <c r="AL350" s="103"/>
      <c r="AM350" s="103"/>
      <c r="AN350" s="202"/>
      <c r="AO350" s="103"/>
      <c r="AP350" s="103"/>
      <c r="AQ350" s="103"/>
      <c r="AR350" s="202"/>
      <c r="AS350" s="103"/>
      <c r="AT350" s="103"/>
      <c r="AU350" s="103"/>
      <c r="AV350" s="202"/>
      <c r="AW350" s="103"/>
      <c r="AX350" s="103"/>
      <c r="AY350" s="103"/>
      <c r="AZ350" s="202"/>
      <c r="BA350" s="103"/>
      <c r="BB350" s="103"/>
      <c r="BC350" s="103"/>
      <c r="BD350" s="202"/>
      <c r="BH350" s="255"/>
      <c r="BI350" s="721"/>
      <c r="BJ350" s="721"/>
      <c r="BK350" s="721"/>
      <c r="BL350" s="721"/>
      <c r="BM350" s="1654"/>
      <c r="BN350" s="721"/>
      <c r="BO350" s="721"/>
      <c r="BP350" s="103"/>
      <c r="BQ350" s="265"/>
      <c r="BR350" s="103"/>
      <c r="BS350" s="103"/>
      <c r="BT350" s="202"/>
      <c r="BU350" s="265"/>
      <c r="BV350" s="103"/>
      <c r="BW350" s="103"/>
      <c r="BX350" s="202"/>
      <c r="BY350" s="265"/>
      <c r="BZ350" s="103"/>
      <c r="CA350" s="103"/>
      <c r="CB350" s="202"/>
      <c r="CC350" s="265"/>
      <c r="CD350" s="103"/>
      <c r="CE350" s="103"/>
      <c r="CF350" s="202"/>
      <c r="CG350" s="245"/>
      <c r="CH350" s="178"/>
      <c r="CM350" s="103"/>
      <c r="CN350" s="103"/>
      <c r="CO350" s="103"/>
      <c r="CP350" s="103"/>
      <c r="CQ350" s="103"/>
      <c r="CR350" s="103"/>
      <c r="CS350" s="103"/>
      <c r="CT350" s="103"/>
      <c r="CU350" s="103"/>
      <c r="CV350" s="103"/>
      <c r="CW350" s="103"/>
      <c r="CX350" s="103"/>
      <c r="CY350" s="103"/>
      <c r="CZ350" s="103"/>
      <c r="DA350" s="103"/>
      <c r="DB350" s="103"/>
      <c r="DC350" s="103"/>
      <c r="DD350" s="103"/>
      <c r="DE350" s="103"/>
      <c r="DF350" s="202"/>
    </row>
    <row r="351" spans="1:110" s="8" customFormat="1" ht="12.75" customHeight="1">
      <c r="A351" s="24"/>
      <c r="B351" s="24"/>
      <c r="C351" s="24"/>
      <c r="D351" s="24"/>
      <c r="E351" s="24"/>
      <c r="F351" s="24"/>
      <c r="G351" s="24"/>
      <c r="H351" s="24"/>
      <c r="I351" s="185" t="s">
        <v>256</v>
      </c>
      <c r="J351" s="70"/>
      <c r="K351" s="70"/>
      <c r="P351" s="245"/>
      <c r="T351" s="245"/>
      <c r="X351" s="245"/>
      <c r="AB351" s="245"/>
      <c r="AC351" s="1291">
        <v>30</v>
      </c>
      <c r="AD351" s="1291">
        <v>30</v>
      </c>
      <c r="AE351" s="1291">
        <v>30</v>
      </c>
      <c r="AF351" s="1292">
        <v>30</v>
      </c>
      <c r="AG351" s="273">
        <v>30</v>
      </c>
      <c r="AH351" s="273">
        <v>30</v>
      </c>
      <c r="AI351" s="273">
        <v>30</v>
      </c>
      <c r="AJ351" s="274">
        <v>30</v>
      </c>
      <c r="AK351" s="273">
        <v>30</v>
      </c>
      <c r="AL351" s="273">
        <v>30</v>
      </c>
      <c r="AM351" s="273">
        <v>30</v>
      </c>
      <c r="AN351" s="274">
        <v>30</v>
      </c>
      <c r="AO351" s="273">
        <v>15</v>
      </c>
      <c r="AP351" s="273">
        <v>30</v>
      </c>
      <c r="AQ351" s="273">
        <v>30</v>
      </c>
      <c r="AR351" s="274">
        <v>30</v>
      </c>
      <c r="AS351" s="273">
        <v>15</v>
      </c>
      <c r="AT351" s="273">
        <v>30</v>
      </c>
      <c r="AU351" s="273">
        <v>31</v>
      </c>
      <c r="AV351" s="274">
        <v>31</v>
      </c>
      <c r="AW351" s="273">
        <v>31</v>
      </c>
      <c r="AX351" s="273">
        <v>31</v>
      </c>
      <c r="AY351" s="273">
        <v>31</v>
      </c>
      <c r="AZ351" s="274">
        <v>31</v>
      </c>
      <c r="BA351" s="273">
        <v>31</v>
      </c>
      <c r="BB351" s="273">
        <v>31</v>
      </c>
      <c r="BC351" s="273">
        <v>31</v>
      </c>
      <c r="BD351" s="274">
        <v>31</v>
      </c>
      <c r="BE351" s="273">
        <v>31</v>
      </c>
      <c r="BF351" s="273">
        <v>31</v>
      </c>
      <c r="BG351" s="273">
        <v>31</v>
      </c>
      <c r="BH351" s="1293">
        <v>31</v>
      </c>
      <c r="BI351" s="1294">
        <v>31</v>
      </c>
      <c r="BJ351" s="1294">
        <v>31</v>
      </c>
      <c r="BK351" s="1294">
        <v>31</v>
      </c>
      <c r="BL351" s="1294">
        <v>31</v>
      </c>
      <c r="BM351" s="1638">
        <v>31</v>
      </c>
      <c r="BN351" s="1294">
        <v>31</v>
      </c>
      <c r="BO351" s="1294">
        <v>31</v>
      </c>
      <c r="BP351" s="1294">
        <v>31</v>
      </c>
      <c r="BQ351" s="1638">
        <v>31</v>
      </c>
      <c r="BR351" s="1294">
        <v>31</v>
      </c>
      <c r="BS351" s="1294">
        <v>31</v>
      </c>
      <c r="BT351" s="1293">
        <v>31</v>
      </c>
      <c r="BU351" s="1638">
        <v>31</v>
      </c>
      <c r="BV351" s="1294">
        <v>31</v>
      </c>
      <c r="BW351" s="1294">
        <v>31</v>
      </c>
      <c r="BX351" s="1293">
        <v>31</v>
      </c>
      <c r="BY351" s="1638">
        <v>31</v>
      </c>
      <c r="BZ351" s="1294">
        <v>31</v>
      </c>
      <c r="CA351" s="1294">
        <v>31</v>
      </c>
      <c r="CB351" s="1293">
        <v>31</v>
      </c>
      <c r="CC351" s="1638">
        <v>31</v>
      </c>
      <c r="CD351" s="1294">
        <v>31</v>
      </c>
      <c r="CE351" s="1294">
        <v>31</v>
      </c>
      <c r="CF351" s="1293">
        <v>31</v>
      </c>
      <c r="CG351" s="245"/>
      <c r="CH351" s="178"/>
      <c r="CL351" s="65"/>
      <c r="CM351" s="65"/>
      <c r="CN351" s="65"/>
      <c r="CO351" s="845"/>
      <c r="CP351" s="845"/>
      <c r="CQ351" s="103"/>
      <c r="CR351" s="103"/>
      <c r="CS351" s="103"/>
      <c r="CT351" s="103"/>
      <c r="CU351" s="103"/>
      <c r="CV351" s="1214"/>
      <c r="CW351" s="103"/>
      <c r="CX351" s="103"/>
      <c r="CY351" s="103"/>
      <c r="CZ351" s="1752">
        <v>31</v>
      </c>
      <c r="DA351" s="1752">
        <f t="shared" ref="DA351:DF351" si="577">+CZ351</f>
        <v>31</v>
      </c>
      <c r="DB351" s="1752">
        <f t="shared" si="577"/>
        <v>31</v>
      </c>
      <c r="DC351" s="1752">
        <f t="shared" si="577"/>
        <v>31</v>
      </c>
      <c r="DD351" s="1752">
        <f t="shared" si="577"/>
        <v>31</v>
      </c>
      <c r="DE351" s="1752">
        <f t="shared" si="577"/>
        <v>31</v>
      </c>
      <c r="DF351" s="1807">
        <f t="shared" si="577"/>
        <v>31</v>
      </c>
    </row>
    <row r="352" spans="1:110" s="8" customFormat="1" ht="12.75" customHeight="1">
      <c r="A352" s="24"/>
      <c r="B352" s="24"/>
      <c r="C352" s="24"/>
      <c r="D352" s="24"/>
      <c r="E352" s="24"/>
      <c r="F352" s="24"/>
      <c r="G352" s="24"/>
      <c r="H352" s="24"/>
      <c r="I352" s="167"/>
      <c r="J352" s="46"/>
      <c r="K352" s="46"/>
      <c r="P352" s="245"/>
      <c r="T352" s="245"/>
      <c r="X352" s="245"/>
      <c r="AB352" s="245"/>
      <c r="AC352" s="289"/>
      <c r="AD352" s="289"/>
      <c r="AE352" s="289"/>
      <c r="AF352" s="953"/>
      <c r="AJ352" s="245"/>
      <c r="AN352" s="245"/>
      <c r="AR352" s="245"/>
      <c r="AU352" s="103"/>
      <c r="AV352" s="202"/>
      <c r="AW352" s="103"/>
      <c r="AX352" s="103"/>
      <c r="AY352" s="103"/>
      <c r="AZ352" s="202"/>
      <c r="BA352" s="103"/>
      <c r="BB352" s="103"/>
      <c r="BC352" s="103"/>
      <c r="BD352" s="202"/>
      <c r="BF352" s="103"/>
      <c r="BH352" s="255"/>
      <c r="BI352" s="103"/>
      <c r="BJ352" s="103"/>
      <c r="BK352" s="103"/>
      <c r="BL352" s="103"/>
      <c r="BM352" s="265"/>
      <c r="BN352" s="103"/>
      <c r="BO352" s="103"/>
      <c r="BP352" s="103"/>
      <c r="BQ352" s="265"/>
      <c r="BR352" s="103"/>
      <c r="BS352" s="103"/>
      <c r="BT352" s="202"/>
      <c r="BU352" s="265"/>
      <c r="BV352" s="103"/>
      <c r="BW352" s="103"/>
      <c r="BX352" s="202"/>
      <c r="BY352" s="265"/>
      <c r="BZ352" s="103"/>
      <c r="CA352" s="103"/>
      <c r="CB352" s="202"/>
      <c r="CC352" s="265"/>
      <c r="CD352" s="103"/>
      <c r="CE352" s="103"/>
      <c r="CF352" s="202"/>
      <c r="CG352" s="245"/>
      <c r="CH352" s="178"/>
      <c r="CO352" s="103"/>
      <c r="CP352" s="103"/>
      <c r="CQ352" s="103"/>
      <c r="CR352" s="103"/>
      <c r="CS352" s="103"/>
      <c r="CT352" s="103"/>
      <c r="CU352" s="103"/>
      <c r="CV352" s="103"/>
      <c r="CW352" s="103"/>
      <c r="CX352" s="103"/>
      <c r="CY352" s="103"/>
      <c r="CZ352" s="103"/>
      <c r="DA352" s="103"/>
      <c r="DB352" s="103"/>
      <c r="DC352" s="103"/>
      <c r="DD352" s="103"/>
      <c r="DE352" s="103"/>
      <c r="DF352" s="202"/>
    </row>
    <row r="353" spans="1:110" s="104" customFormat="1" ht="12.75" customHeight="1">
      <c r="A353" s="24"/>
      <c r="B353" s="24"/>
      <c r="C353" s="24"/>
      <c r="D353" s="24"/>
      <c r="E353" s="24"/>
      <c r="F353" s="24"/>
      <c r="G353" s="24"/>
      <c r="H353" s="24"/>
      <c r="I353" s="917" t="s">
        <v>252</v>
      </c>
      <c r="J353" s="846"/>
      <c r="K353" s="846"/>
      <c r="P353" s="212"/>
      <c r="T353" s="212"/>
      <c r="X353" s="212"/>
      <c r="AB353" s="212"/>
      <c r="AC353" s="103">
        <f t="shared" ref="AC353:AZ353" si="578">+AC351*AC344/1000</f>
        <v>38.340000000000003</v>
      </c>
      <c r="AD353" s="103">
        <f t="shared" si="578"/>
        <v>46.05</v>
      </c>
      <c r="AE353" s="103">
        <f t="shared" si="578"/>
        <v>50.76</v>
      </c>
      <c r="AF353" s="202">
        <f t="shared" si="578"/>
        <v>39.450000000000003</v>
      </c>
      <c r="AG353" s="104">
        <f t="shared" si="578"/>
        <v>48.63</v>
      </c>
      <c r="AH353" s="104">
        <f t="shared" si="578"/>
        <v>60</v>
      </c>
      <c r="AI353" s="104">
        <f t="shared" si="578"/>
        <v>61.32</v>
      </c>
      <c r="AJ353" s="212">
        <f t="shared" si="578"/>
        <v>53.67</v>
      </c>
      <c r="AK353" s="104">
        <f t="shared" si="578"/>
        <v>60.09</v>
      </c>
      <c r="AL353" s="104">
        <f t="shared" si="578"/>
        <v>68.34</v>
      </c>
      <c r="AM353" s="104">
        <f t="shared" si="578"/>
        <v>70.14</v>
      </c>
      <c r="AN353" s="212">
        <f t="shared" si="578"/>
        <v>60.06</v>
      </c>
      <c r="AO353" s="104">
        <f t="shared" si="578"/>
        <v>39.18</v>
      </c>
      <c r="AP353" s="104">
        <f t="shared" si="578"/>
        <v>84.45</v>
      </c>
      <c r="AQ353" s="104">
        <f t="shared" si="578"/>
        <v>69.989999999999995</v>
      </c>
      <c r="AR353" s="212">
        <f t="shared" si="578"/>
        <v>66.72</v>
      </c>
      <c r="AS353" s="104">
        <f t="shared" si="578"/>
        <v>45.21</v>
      </c>
      <c r="AT353" s="104">
        <f t="shared" si="578"/>
        <v>97.11</v>
      </c>
      <c r="AU353" s="104">
        <f t="shared" si="578"/>
        <v>80.724000000000004</v>
      </c>
      <c r="AV353" s="212">
        <f t="shared" si="578"/>
        <v>73.47</v>
      </c>
      <c r="AW353" s="104">
        <f t="shared" si="578"/>
        <v>92.566000000000003</v>
      </c>
      <c r="AX353" s="104">
        <f t="shared" si="578"/>
        <v>133.73400000000001</v>
      </c>
      <c r="AY353" s="104">
        <f t="shared" si="578"/>
        <v>158.1</v>
      </c>
      <c r="AZ353" s="212">
        <f t="shared" si="578"/>
        <v>120.9</v>
      </c>
      <c r="BA353" s="104">
        <f t="shared" ref="BA353:BL353" si="579">+BA351*BA344/1000</f>
        <v>151.9</v>
      </c>
      <c r="BB353" s="104">
        <f t="shared" si="579"/>
        <v>204.6</v>
      </c>
      <c r="BC353" s="104">
        <f t="shared" si="579"/>
        <v>217</v>
      </c>
      <c r="BD353" s="212">
        <f t="shared" si="579"/>
        <v>164.3</v>
      </c>
      <c r="BE353" s="104">
        <f t="shared" si="579"/>
        <v>213.9</v>
      </c>
      <c r="BF353" s="104">
        <f t="shared" si="579"/>
        <v>266.60000000000002</v>
      </c>
      <c r="BG353" s="104">
        <f t="shared" si="579"/>
        <v>291.39999999999998</v>
      </c>
      <c r="BH353" s="212">
        <f t="shared" si="579"/>
        <v>223.2</v>
      </c>
      <c r="BI353" s="104">
        <f t="shared" si="579"/>
        <v>306.89999999999998</v>
      </c>
      <c r="BJ353" s="104">
        <f t="shared" si="579"/>
        <v>387.5</v>
      </c>
      <c r="BK353" s="104">
        <f>+BK351*BK344/1000</f>
        <v>372</v>
      </c>
      <c r="BL353" s="104">
        <f t="shared" si="579"/>
        <v>294.5</v>
      </c>
      <c r="BM353" s="851">
        <f t="shared" ref="BM353:CD353" si="580">+BM351*BM344/1000</f>
        <v>381.3</v>
      </c>
      <c r="BN353" s="104">
        <f t="shared" si="580"/>
        <v>443.3</v>
      </c>
      <c r="BO353" s="104">
        <f t="shared" si="580"/>
        <v>440.2</v>
      </c>
      <c r="BP353" s="104">
        <f t="shared" si="580"/>
        <v>341</v>
      </c>
      <c r="BQ353" s="851">
        <f t="shared" si="580"/>
        <v>452.6</v>
      </c>
      <c r="BR353" s="104">
        <f t="shared" si="580"/>
        <v>533.20000000000005</v>
      </c>
      <c r="BS353" s="104">
        <f>+BS351*BS344/1000</f>
        <v>496</v>
      </c>
      <c r="BT353" s="104">
        <f>+BT351*BT344/1000</f>
        <v>378.2</v>
      </c>
      <c r="BU353" s="851">
        <f t="shared" si="580"/>
        <v>502.2</v>
      </c>
      <c r="BV353" s="104">
        <f t="shared" si="580"/>
        <v>573.5</v>
      </c>
      <c r="BW353" s="104">
        <f>+BW351*BW344/1000</f>
        <v>558</v>
      </c>
      <c r="BX353" s="212">
        <f>+BX351*BX344/1000</f>
        <v>434</v>
      </c>
      <c r="BY353" s="851">
        <f t="shared" si="580"/>
        <v>576.6</v>
      </c>
      <c r="BZ353" s="104">
        <f t="shared" si="580"/>
        <v>641.70000000000005</v>
      </c>
      <c r="CA353" s="104">
        <f t="shared" si="580"/>
        <v>589</v>
      </c>
      <c r="CB353" s="212">
        <f t="shared" si="580"/>
        <v>455.7</v>
      </c>
      <c r="CC353" s="851">
        <f t="shared" si="580"/>
        <v>596.78099999999995</v>
      </c>
      <c r="CD353" s="104">
        <f t="shared" si="580"/>
        <v>670.57650000000001</v>
      </c>
      <c r="CE353" s="104">
        <f>+CE351*CE344/1000</f>
        <v>630.23</v>
      </c>
      <c r="CF353" s="212">
        <f>+CF351*CF344/1000</f>
        <v>501.27000000000004</v>
      </c>
      <c r="CG353" s="212"/>
      <c r="CH353" s="851"/>
      <c r="CL353" s="104">
        <f>+SUM(AC353:AF353)</f>
        <v>174.60000000000002</v>
      </c>
      <c r="CM353" s="104">
        <f>+SUM(AG353:AJ353)</f>
        <v>223.62</v>
      </c>
      <c r="CN353" s="104">
        <f>+SUM(AK353:AN353)</f>
        <v>258.63</v>
      </c>
      <c r="CO353" s="104">
        <f>+SUM(AO353:AR353)</f>
        <v>260.34000000000003</v>
      </c>
      <c r="CP353" s="104">
        <f>+SUM(AS353:AV353)</f>
        <v>296.51400000000001</v>
      </c>
      <c r="CQ353" s="103">
        <f>+SUM(AW353:AZ353)</f>
        <v>505.29999999999995</v>
      </c>
      <c r="CR353" s="103">
        <f>+SUM(BA353:BD353)</f>
        <v>737.8</v>
      </c>
      <c r="CS353" s="103">
        <f>+SUM(BE353:BH353)</f>
        <v>995.09999999999991</v>
      </c>
      <c r="CT353" s="103">
        <f>+SUM(BI353:BL353)</f>
        <v>1360.9</v>
      </c>
      <c r="CU353" s="103">
        <f>+SUM(BM353:BP353)</f>
        <v>1605.8</v>
      </c>
      <c r="CV353" s="103">
        <f>+SUM(BQ353:BT353)</f>
        <v>1860.0000000000002</v>
      </c>
      <c r="CW353" s="103">
        <f>+SUM(BU353:BX353)</f>
        <v>2067.6999999999998</v>
      </c>
      <c r="CX353" s="103">
        <f>+SUM(BY353:CB353)</f>
        <v>2263</v>
      </c>
      <c r="CY353" s="103">
        <f>+SUM(CC353:CF353)</f>
        <v>2398.8575000000001</v>
      </c>
      <c r="CZ353" s="104">
        <f>+CZ351*CZ344/1000</f>
        <v>2518.8825276541097</v>
      </c>
      <c r="DA353" s="104">
        <f t="shared" ref="DA353:DF353" si="581">+DA351*DA344/1000</f>
        <v>2619.7240918605362</v>
      </c>
      <c r="DB353" s="104">
        <f t="shared" si="581"/>
        <v>2698.4055311948405</v>
      </c>
      <c r="DC353" s="104">
        <f t="shared" si="581"/>
        <v>2779.4501082790143</v>
      </c>
      <c r="DD353" s="104">
        <f t="shared" si="581"/>
        <v>2862.9287981749289</v>
      </c>
      <c r="DE353" s="104">
        <f t="shared" si="581"/>
        <v>2948.9147076269642</v>
      </c>
      <c r="DF353" s="212">
        <f t="shared" si="581"/>
        <v>3037.4831390854861</v>
      </c>
    </row>
    <row r="354" spans="1:110" s="82" customFormat="1" ht="12.75" customHeight="1">
      <c r="I354" s="193" t="s">
        <v>376</v>
      </c>
      <c r="J354" s="83"/>
      <c r="K354" s="83"/>
      <c r="P354" s="1135"/>
      <c r="T354" s="1135"/>
      <c r="X354" s="1135"/>
      <c r="AB354" s="1135"/>
      <c r="AC354" s="307"/>
      <c r="AD354" s="307"/>
      <c r="AE354" s="307"/>
      <c r="AF354" s="1136"/>
      <c r="AG354" s="64">
        <f t="shared" ref="AG354:BD354" si="582">+AG353/AC353-1</f>
        <v>0.26838810641627542</v>
      </c>
      <c r="AH354" s="64">
        <f t="shared" si="582"/>
        <v>0.30293159609120535</v>
      </c>
      <c r="AI354" s="64">
        <f t="shared" si="582"/>
        <v>0.20803782505910173</v>
      </c>
      <c r="AJ354" s="180">
        <f t="shared" si="582"/>
        <v>0.36045627376425848</v>
      </c>
      <c r="AK354" s="64">
        <f t="shared" si="582"/>
        <v>0.23565700185070937</v>
      </c>
      <c r="AL354" s="64">
        <f t="shared" si="582"/>
        <v>0.13900000000000001</v>
      </c>
      <c r="AM354" s="64">
        <f t="shared" si="582"/>
        <v>0.14383561643835607</v>
      </c>
      <c r="AN354" s="180">
        <f t="shared" si="582"/>
        <v>0.11906092789267753</v>
      </c>
      <c r="AO354" s="64">
        <f t="shared" si="582"/>
        <v>-0.34797803295057417</v>
      </c>
      <c r="AP354" s="64">
        <f t="shared" si="582"/>
        <v>0.23573309920983321</v>
      </c>
      <c r="AQ354" s="64">
        <f t="shared" si="582"/>
        <v>-2.1385799828914642E-3</v>
      </c>
      <c r="AR354" s="180">
        <f t="shared" si="582"/>
        <v>0.1108891108891108</v>
      </c>
      <c r="AS354" s="64">
        <f t="shared" si="582"/>
        <v>0.15390505359877493</v>
      </c>
      <c r="AT354" s="64">
        <f t="shared" si="582"/>
        <v>0.1499111900532859</v>
      </c>
      <c r="AU354" s="64">
        <f t="shared" si="582"/>
        <v>0.15336476639519936</v>
      </c>
      <c r="AV354" s="180">
        <f t="shared" si="582"/>
        <v>0.10116906474820153</v>
      </c>
      <c r="AW354" s="64">
        <f t="shared" si="582"/>
        <v>1.0474673744746736</v>
      </c>
      <c r="AX354" s="64">
        <f t="shared" si="582"/>
        <v>0.37713932653691695</v>
      </c>
      <c r="AY354" s="64">
        <f t="shared" si="582"/>
        <v>0.95852534562211966</v>
      </c>
      <c r="AZ354" s="180">
        <f t="shared" si="582"/>
        <v>0.64556962025316467</v>
      </c>
      <c r="BA354" s="64">
        <f t="shared" si="582"/>
        <v>0.64099129269926314</v>
      </c>
      <c r="BB354" s="64">
        <f t="shared" si="582"/>
        <v>0.52990264255910979</v>
      </c>
      <c r="BC354" s="64">
        <f t="shared" si="582"/>
        <v>0.37254901960784315</v>
      </c>
      <c r="BD354" s="180">
        <f t="shared" si="582"/>
        <v>0.35897435897435903</v>
      </c>
      <c r="BE354" s="64">
        <f t="shared" ref="BE354:BL354" si="583">+BE353/BA353-1</f>
        <v>0.40816326530612246</v>
      </c>
      <c r="BF354" s="64">
        <f t="shared" si="583"/>
        <v>0.30303030303030321</v>
      </c>
      <c r="BG354" s="64">
        <f t="shared" si="583"/>
        <v>0.34285714285714275</v>
      </c>
      <c r="BH354" s="180">
        <f t="shared" si="583"/>
        <v>0.35849056603773577</v>
      </c>
      <c r="BI354" s="64">
        <f t="shared" si="583"/>
        <v>0.43478260869565211</v>
      </c>
      <c r="BJ354" s="64">
        <f t="shared" si="583"/>
        <v>0.45348837209302317</v>
      </c>
      <c r="BK354" s="64">
        <f t="shared" si="583"/>
        <v>0.27659574468085113</v>
      </c>
      <c r="BL354" s="64">
        <f t="shared" si="583"/>
        <v>0.31944444444444442</v>
      </c>
      <c r="BM354" s="1263">
        <f t="shared" ref="BM354:CF354" si="584">+BM353/BI353-1</f>
        <v>0.24242424242424265</v>
      </c>
      <c r="BN354" s="64">
        <f t="shared" si="584"/>
        <v>0.14400000000000013</v>
      </c>
      <c r="BO354" s="64">
        <f t="shared" si="584"/>
        <v>0.18333333333333335</v>
      </c>
      <c r="BP354" s="64">
        <f t="shared" si="584"/>
        <v>0.15789473684210531</v>
      </c>
      <c r="BQ354" s="1263">
        <f t="shared" si="584"/>
        <v>0.18699186991869921</v>
      </c>
      <c r="BR354" s="64">
        <f t="shared" si="584"/>
        <v>0.20279720279720292</v>
      </c>
      <c r="BS354" s="64">
        <f t="shared" si="584"/>
        <v>0.12676056338028174</v>
      </c>
      <c r="BT354" s="64">
        <f t="shared" si="584"/>
        <v>0.10909090909090913</v>
      </c>
      <c r="BU354" s="1263">
        <f t="shared" si="584"/>
        <v>0.1095890410958904</v>
      </c>
      <c r="BV354" s="64">
        <f t="shared" si="584"/>
        <v>7.5581395348837122E-2</v>
      </c>
      <c r="BW354" s="64">
        <f t="shared" si="584"/>
        <v>0.125</v>
      </c>
      <c r="BX354" s="180">
        <f t="shared" si="584"/>
        <v>0.14754098360655732</v>
      </c>
      <c r="BY354" s="1263">
        <f t="shared" si="584"/>
        <v>0.14814814814814814</v>
      </c>
      <c r="BZ354" s="64">
        <f t="shared" si="584"/>
        <v>0.11891891891891904</v>
      </c>
      <c r="CA354" s="64">
        <f t="shared" si="584"/>
        <v>5.555555555555558E-2</v>
      </c>
      <c r="CB354" s="180">
        <f t="shared" si="584"/>
        <v>5.0000000000000044E-2</v>
      </c>
      <c r="CC354" s="1263">
        <f t="shared" si="584"/>
        <v>3.499999999999992E-2</v>
      </c>
      <c r="CD354" s="64">
        <f t="shared" si="584"/>
        <v>4.4999999999999929E-2</v>
      </c>
      <c r="CE354" s="64">
        <f>+CE353/CA353-1</f>
        <v>7.0000000000000062E-2</v>
      </c>
      <c r="CF354" s="180">
        <f t="shared" si="584"/>
        <v>0.10000000000000009</v>
      </c>
      <c r="CG354" s="1135"/>
      <c r="CH354" s="259"/>
      <c r="CM354" s="64">
        <f t="shared" ref="CM354:CY354" si="585">+CM353/CL353-1</f>
        <v>0.28075601374570436</v>
      </c>
      <c r="CN354" s="64">
        <f t="shared" si="585"/>
        <v>0.15656023611483771</v>
      </c>
      <c r="CO354" s="64">
        <f t="shared" si="585"/>
        <v>6.6117619765688751E-3</v>
      </c>
      <c r="CP354" s="64">
        <f t="shared" si="585"/>
        <v>0.13894906660520845</v>
      </c>
      <c r="CQ354" s="64">
        <f t="shared" si="585"/>
        <v>0.70413538652475083</v>
      </c>
      <c r="CR354" s="64">
        <f t="shared" si="585"/>
        <v>0.46012269938650308</v>
      </c>
      <c r="CS354" s="64">
        <f t="shared" si="585"/>
        <v>0.3487394957983192</v>
      </c>
      <c r="CT354" s="64">
        <f t="shared" si="585"/>
        <v>0.36760124610591927</v>
      </c>
      <c r="CU354" s="64">
        <f t="shared" si="585"/>
        <v>0.17995444191343957</v>
      </c>
      <c r="CV354" s="64">
        <f t="shared" si="585"/>
        <v>0.15830115830115843</v>
      </c>
      <c r="CW354" s="64">
        <f t="shared" si="585"/>
        <v>0.11166666666666636</v>
      </c>
      <c r="CX354" s="64">
        <f t="shared" si="585"/>
        <v>9.4452773613193486E-2</v>
      </c>
      <c r="CY354" s="64">
        <f t="shared" si="585"/>
        <v>6.0034246575342509E-2</v>
      </c>
      <c r="CZ354" s="64">
        <f>+CZ353/CY353-1</f>
        <v>5.00342465753425E-2</v>
      </c>
      <c r="DA354" s="64">
        <f t="shared" ref="DA354:DF354" si="586">+DA353/CZ353-1</f>
        <v>4.0034246575342491E-2</v>
      </c>
      <c r="DB354" s="64">
        <f t="shared" si="586"/>
        <v>3.0034246575342483E-2</v>
      </c>
      <c r="DC354" s="64">
        <f t="shared" si="586"/>
        <v>3.0034246575342483E-2</v>
      </c>
      <c r="DD354" s="64">
        <f t="shared" si="586"/>
        <v>3.0034246575342705E-2</v>
      </c>
      <c r="DE354" s="64">
        <f t="shared" si="586"/>
        <v>3.0034246575342705E-2</v>
      </c>
      <c r="DF354" s="180">
        <f t="shared" si="586"/>
        <v>3.0034246575342483E-2</v>
      </c>
    </row>
    <row r="355" spans="1:110" ht="12.75" customHeight="1">
      <c r="I355" s="160"/>
      <c r="P355" s="234"/>
      <c r="T355" s="234"/>
      <c r="X355" s="234"/>
      <c r="AB355" s="234"/>
      <c r="AF355" s="249"/>
      <c r="AJ355" s="179"/>
      <c r="AN355" s="179"/>
      <c r="AR355" s="162"/>
      <c r="AS355" s="33"/>
      <c r="AT355" s="33"/>
      <c r="AU355" s="33"/>
      <c r="AV355" s="162"/>
      <c r="AW355" s="161"/>
      <c r="AX355" s="161"/>
      <c r="AY355" s="161"/>
      <c r="AZ355" s="162"/>
      <c r="BA355" s="33"/>
      <c r="BB355" s="33"/>
      <c r="BC355" s="33"/>
      <c r="BD355" s="162"/>
      <c r="BE355" s="24"/>
      <c r="BF355" s="24"/>
      <c r="BG355" s="24"/>
      <c r="BH355" s="216"/>
      <c r="BI355" s="38"/>
      <c r="BJ355" s="38"/>
      <c r="BK355" s="38"/>
      <c r="BL355" s="38"/>
      <c r="BM355" s="173"/>
      <c r="BN355" s="38"/>
      <c r="BO355" s="38"/>
      <c r="BP355" s="38"/>
      <c r="BQ355" s="1595"/>
      <c r="BR355" s="33"/>
      <c r="BS355" s="33"/>
      <c r="BT355" s="38"/>
      <c r="BU355" s="1595"/>
      <c r="BV355" s="33"/>
      <c r="BW355" s="33"/>
      <c r="BX355" s="162"/>
      <c r="BY355" s="1595"/>
      <c r="BZ355" s="33"/>
      <c r="CA355" s="33"/>
      <c r="CB355" s="162"/>
      <c r="CC355" s="1595"/>
      <c r="CD355" s="33"/>
      <c r="CE355" s="33"/>
      <c r="CF355" s="162"/>
      <c r="CG355" s="234"/>
      <c r="CH355" s="160"/>
      <c r="CM355" s="30"/>
      <c r="CN355" s="33"/>
      <c r="CO355" s="33"/>
      <c r="CP355" s="161"/>
      <c r="CQ355" s="33"/>
      <c r="CR355" s="33"/>
      <c r="CS355" s="38"/>
      <c r="CT355" s="38"/>
      <c r="CU355" s="38"/>
      <c r="CV355" s="38"/>
      <c r="CW355" s="38"/>
      <c r="CX355" s="38"/>
      <c r="CY355" s="38"/>
      <c r="CZ355" s="33"/>
      <c r="DA355" s="33"/>
      <c r="DB355" s="33"/>
      <c r="DC355" s="33"/>
      <c r="DD355" s="33"/>
      <c r="DE355" s="33"/>
      <c r="DF355" s="162"/>
    </row>
    <row r="356" spans="1:110" s="8" customFormat="1" ht="12.75" customHeight="1">
      <c r="A356" s="24"/>
      <c r="B356" s="24"/>
      <c r="C356" s="24"/>
      <c r="D356" s="24"/>
      <c r="E356" s="24"/>
      <c r="F356" s="24"/>
      <c r="G356" s="24"/>
      <c r="H356" s="24"/>
      <c r="I356" s="728" t="s">
        <v>503</v>
      </c>
      <c r="J356" s="7"/>
      <c r="K356" s="7"/>
      <c r="P356" s="245"/>
      <c r="T356" s="245"/>
      <c r="X356" s="245"/>
      <c r="AB356" s="245"/>
      <c r="AC356" s="289"/>
      <c r="AD356" s="289"/>
      <c r="AE356" s="289"/>
      <c r="AF356" s="953"/>
      <c r="AG356" s="104">
        <f t="shared" ref="AG356:BL356" si="587">AG35</f>
        <v>0</v>
      </c>
      <c r="AH356" s="104">
        <f t="shared" si="587"/>
        <v>0</v>
      </c>
      <c r="AI356" s="104">
        <f t="shared" si="587"/>
        <v>0</v>
      </c>
      <c r="AJ356" s="212">
        <f t="shared" si="587"/>
        <v>0</v>
      </c>
      <c r="AK356" s="104">
        <f t="shared" si="587"/>
        <v>0</v>
      </c>
      <c r="AL356" s="104">
        <f t="shared" si="587"/>
        <v>0</v>
      </c>
      <c r="AM356" s="104">
        <f t="shared" si="587"/>
        <v>0</v>
      </c>
      <c r="AN356" s="212">
        <f t="shared" si="587"/>
        <v>0</v>
      </c>
      <c r="AO356" s="104">
        <f t="shared" si="587"/>
        <v>0</v>
      </c>
      <c r="AP356" s="104">
        <f t="shared" si="587"/>
        <v>0</v>
      </c>
      <c r="AQ356" s="104">
        <f t="shared" si="587"/>
        <v>0</v>
      </c>
      <c r="AR356" s="212">
        <f t="shared" si="587"/>
        <v>0</v>
      </c>
      <c r="AS356" s="104">
        <f t="shared" si="587"/>
        <v>0</v>
      </c>
      <c r="AT356" s="104">
        <f t="shared" si="587"/>
        <v>0</v>
      </c>
      <c r="AU356" s="104">
        <f t="shared" si="587"/>
        <v>0</v>
      </c>
      <c r="AV356" s="212">
        <f t="shared" si="587"/>
        <v>0</v>
      </c>
      <c r="AW356" s="104">
        <f t="shared" si="587"/>
        <v>0</v>
      </c>
      <c r="AX356" s="104">
        <f t="shared" si="587"/>
        <v>43.9</v>
      </c>
      <c r="AY356" s="104">
        <f t="shared" si="587"/>
        <v>85.8</v>
      </c>
      <c r="AZ356" s="202">
        <f t="shared" si="587"/>
        <v>55</v>
      </c>
      <c r="BA356" s="103">
        <f t="shared" si="587"/>
        <v>95.7</v>
      </c>
      <c r="BB356" s="103">
        <f t="shared" si="587"/>
        <v>100</v>
      </c>
      <c r="BC356" s="103">
        <f t="shared" si="587"/>
        <v>180.18</v>
      </c>
      <c r="BD356" s="202">
        <f t="shared" si="587"/>
        <v>115.5</v>
      </c>
      <c r="BE356" s="103">
        <f t="shared" si="587"/>
        <v>162.69</v>
      </c>
      <c r="BF356" s="103">
        <f t="shared" si="587"/>
        <v>160</v>
      </c>
      <c r="BG356" s="103">
        <f t="shared" si="587"/>
        <v>288.28800000000001</v>
      </c>
      <c r="BH356" s="202">
        <f t="shared" si="587"/>
        <v>173.25</v>
      </c>
      <c r="BI356" s="103">
        <f t="shared" si="587"/>
        <v>227.76599999999999</v>
      </c>
      <c r="BJ356" s="103">
        <f t="shared" si="587"/>
        <v>224</v>
      </c>
      <c r="BK356" s="103">
        <f t="shared" si="587"/>
        <v>403.60320000000002</v>
      </c>
      <c r="BL356" s="103">
        <f t="shared" si="587"/>
        <v>225.22499999999999</v>
      </c>
      <c r="BM356" s="265">
        <f t="shared" ref="BM356:CF356" si="588">BM35</f>
        <v>282.42984000000001</v>
      </c>
      <c r="BN356" s="103">
        <f t="shared" si="588"/>
        <v>268.8</v>
      </c>
      <c r="BO356" s="103">
        <f t="shared" si="588"/>
        <v>516.61209600000007</v>
      </c>
      <c r="BP356" s="103">
        <f t="shared" si="588"/>
        <v>270.27</v>
      </c>
      <c r="BQ356" s="265">
        <f t="shared" si="588"/>
        <v>338.91580800000003</v>
      </c>
      <c r="BR356" s="103">
        <f t="shared" si="588"/>
        <v>322.56</v>
      </c>
      <c r="BS356" s="103">
        <f t="shared" si="588"/>
        <v>645.76512000000002</v>
      </c>
      <c r="BT356" s="103">
        <f t="shared" si="588"/>
        <v>310.81049999999993</v>
      </c>
      <c r="BU356" s="265">
        <f t="shared" si="588"/>
        <v>379.58570496000004</v>
      </c>
      <c r="BV356" s="103">
        <f t="shared" si="588"/>
        <v>361.26720000000006</v>
      </c>
      <c r="BW356" s="103">
        <f t="shared" si="588"/>
        <v>723.25693440000009</v>
      </c>
      <c r="BX356" s="202">
        <f>BX35</f>
        <v>348.10775999999998</v>
      </c>
      <c r="BY356" s="265">
        <f t="shared" si="588"/>
        <v>417.54427545600009</v>
      </c>
      <c r="BZ356" s="103">
        <f t="shared" si="588"/>
        <v>397.39392000000009</v>
      </c>
      <c r="CA356" s="103">
        <f t="shared" si="588"/>
        <v>795.58262784000021</v>
      </c>
      <c r="CB356" s="202">
        <f t="shared" si="588"/>
        <v>382.91853600000002</v>
      </c>
      <c r="CC356" s="265">
        <f t="shared" si="588"/>
        <v>438.42148922880011</v>
      </c>
      <c r="CD356" s="103">
        <f t="shared" si="588"/>
        <v>417.26361600000013</v>
      </c>
      <c r="CE356" s="103">
        <f t="shared" si="588"/>
        <v>835.36175923200028</v>
      </c>
      <c r="CF356" s="202">
        <f t="shared" si="588"/>
        <v>402.06446280000006</v>
      </c>
      <c r="CG356" s="245"/>
      <c r="CH356" s="178"/>
      <c r="CM356" s="104">
        <f>CM35</f>
        <v>0</v>
      </c>
      <c r="CN356" s="104">
        <f>CN35</f>
        <v>0</v>
      </c>
      <c r="CO356" s="104">
        <f>CO35</f>
        <v>0</v>
      </c>
      <c r="CP356" s="104">
        <f>CP35</f>
        <v>0</v>
      </c>
      <c r="CQ356" s="103">
        <f>+SUM(AW356:AZ356)</f>
        <v>184.7</v>
      </c>
      <c r="CR356" s="103">
        <f>+SUM(BA356:BD356)</f>
        <v>491.38</v>
      </c>
      <c r="CS356" s="103">
        <f>+SUM(BE356:BH356)</f>
        <v>784.22800000000007</v>
      </c>
      <c r="CT356" s="103">
        <f>+SUM(BI356:BL356)</f>
        <v>1080.5942</v>
      </c>
      <c r="CU356" s="103">
        <f>+SUM(BM356:BP356)</f>
        <v>1338.111936</v>
      </c>
      <c r="CV356" s="103">
        <f>+SUM(BQ356:BT356)</f>
        <v>1618.0514280000002</v>
      </c>
      <c r="CW356" s="103">
        <f>+SUM(BU356:BX356)</f>
        <v>1812.2175993600003</v>
      </c>
      <c r="CX356" s="103">
        <f>+SUM(BY356:CB356)</f>
        <v>1993.4393592960005</v>
      </c>
      <c r="CY356" s="103">
        <f>+SUM(CC356:CF356)</f>
        <v>2093.1113272608004</v>
      </c>
      <c r="CZ356" s="103">
        <f t="shared" ref="CZ356:DF356" si="589">CZ35</f>
        <v>2176.8357803512326</v>
      </c>
      <c r="DA356" s="103">
        <f t="shared" si="589"/>
        <v>2242.1408537617699</v>
      </c>
      <c r="DB356" s="103">
        <f t="shared" si="589"/>
        <v>2286.9836708370053</v>
      </c>
      <c r="DC356" s="103">
        <f t="shared" si="589"/>
        <v>2309.8535075453756</v>
      </c>
      <c r="DD356" s="103">
        <f t="shared" si="589"/>
        <v>2309.8535075453756</v>
      </c>
      <c r="DE356" s="103">
        <f t="shared" si="589"/>
        <v>2286.754972469922</v>
      </c>
      <c r="DF356" s="202">
        <f t="shared" si="589"/>
        <v>2263.8874227452229</v>
      </c>
    </row>
    <row r="357" spans="1:110" s="91" customFormat="1" ht="12.75" customHeight="1">
      <c r="A357" s="82"/>
      <c r="B357" s="82"/>
      <c r="C357" s="82"/>
      <c r="D357" s="82"/>
      <c r="E357" s="82"/>
      <c r="F357" s="82"/>
      <c r="G357" s="82"/>
      <c r="H357" s="82"/>
      <c r="I357" s="193" t="s">
        <v>376</v>
      </c>
      <c r="J357" s="81"/>
      <c r="K357" s="81"/>
      <c r="P357" s="1149"/>
      <c r="T357" s="1149"/>
      <c r="X357" s="1149"/>
      <c r="AB357" s="1149"/>
      <c r="AC357" s="1150"/>
      <c r="AD357" s="1150"/>
      <c r="AE357" s="1150"/>
      <c r="AF357" s="1151"/>
      <c r="AG357" s="120"/>
      <c r="AH357" s="120"/>
      <c r="AI357" s="120"/>
      <c r="AJ357" s="232"/>
      <c r="AK357" s="120"/>
      <c r="AL357" s="120"/>
      <c r="AM357" s="120"/>
      <c r="AN357" s="232"/>
      <c r="AO357" s="120"/>
      <c r="AP357" s="120"/>
      <c r="AQ357" s="120"/>
      <c r="AR357" s="232"/>
      <c r="AS357" s="120"/>
      <c r="AT357" s="120"/>
      <c r="AU357" s="120"/>
      <c r="AV357" s="232"/>
      <c r="AW357" s="120"/>
      <c r="AX357" s="120"/>
      <c r="AY357" s="120"/>
      <c r="AZ357" s="731"/>
      <c r="BA357" s="1261"/>
      <c r="BB357" s="64">
        <f>+BB356/AX356-1</f>
        <v>1.2779043280182232</v>
      </c>
      <c r="BC357" s="64">
        <f>+BC356/AY356-1</f>
        <v>1.1000000000000001</v>
      </c>
      <c r="BD357" s="180">
        <f>+BD356/AZ356-1</f>
        <v>1.1000000000000001</v>
      </c>
      <c r="BE357" s="64">
        <f t="shared" ref="BE357:BJ357" si="590">+BE356/BA356-1</f>
        <v>0.7</v>
      </c>
      <c r="BF357" s="64">
        <f t="shared" si="590"/>
        <v>0.60000000000000009</v>
      </c>
      <c r="BG357" s="64">
        <f t="shared" si="590"/>
        <v>0.60000000000000009</v>
      </c>
      <c r="BH357" s="180">
        <f t="shared" si="590"/>
        <v>0.5</v>
      </c>
      <c r="BI357" s="64">
        <f t="shared" si="590"/>
        <v>0.39999999999999991</v>
      </c>
      <c r="BJ357" s="64">
        <f t="shared" si="590"/>
        <v>0.39999999999999991</v>
      </c>
      <c r="BK357" s="64">
        <f>+BK356/BG356-1</f>
        <v>0.39999999999999991</v>
      </c>
      <c r="BL357" s="64">
        <f>+BL356/BH356-1</f>
        <v>0.30000000000000004</v>
      </c>
      <c r="BM357" s="1263">
        <f>+BM356/BI356-1</f>
        <v>0.24000000000000021</v>
      </c>
      <c r="BN357" s="64">
        <f>+BN356/BJ356-1</f>
        <v>0.19999999999999996</v>
      </c>
      <c r="BO357" s="64">
        <f t="shared" ref="BO357:CF357" si="591">+BO356/BK356-1</f>
        <v>0.28000000000000003</v>
      </c>
      <c r="BP357" s="64">
        <f>+BP356/BL356-1</f>
        <v>0.19999999999999996</v>
      </c>
      <c r="BQ357" s="1263">
        <f t="shared" si="591"/>
        <v>0.19999999999999996</v>
      </c>
      <c r="BR357" s="64">
        <f t="shared" si="591"/>
        <v>0.19999999999999996</v>
      </c>
      <c r="BS357" s="64">
        <f t="shared" si="591"/>
        <v>0.25</v>
      </c>
      <c r="BT357" s="64">
        <f>+BT356/BP356-1</f>
        <v>0.14999999999999991</v>
      </c>
      <c r="BU357" s="1263">
        <f t="shared" si="591"/>
        <v>0.12000000000000011</v>
      </c>
      <c r="BV357" s="64">
        <f t="shared" si="591"/>
        <v>0.12000000000000011</v>
      </c>
      <c r="BW357" s="64">
        <f t="shared" si="591"/>
        <v>0.12000000000000011</v>
      </c>
      <c r="BX357" s="180">
        <f t="shared" si="591"/>
        <v>0.12000000000000011</v>
      </c>
      <c r="BY357" s="1263">
        <f t="shared" si="591"/>
        <v>0.10000000000000009</v>
      </c>
      <c r="BZ357" s="64">
        <f t="shared" si="591"/>
        <v>0.10000000000000009</v>
      </c>
      <c r="CA357" s="64">
        <f t="shared" si="591"/>
        <v>0.10000000000000009</v>
      </c>
      <c r="CB357" s="180">
        <f t="shared" si="591"/>
        <v>0.10000000000000009</v>
      </c>
      <c r="CC357" s="1263">
        <f t="shared" si="591"/>
        <v>5.0000000000000044E-2</v>
      </c>
      <c r="CD357" s="64">
        <f t="shared" si="591"/>
        <v>5.0000000000000044E-2</v>
      </c>
      <c r="CE357" s="64">
        <f t="shared" si="591"/>
        <v>5.0000000000000044E-2</v>
      </c>
      <c r="CF357" s="180">
        <f t="shared" si="591"/>
        <v>5.0000000000000044E-2</v>
      </c>
      <c r="CG357" s="1149"/>
      <c r="CH357" s="263"/>
      <c r="CM357" s="120"/>
      <c r="CN357" s="120"/>
      <c r="CO357" s="120"/>
      <c r="CP357" s="120"/>
      <c r="CQ357" s="721"/>
      <c r="CR357" s="64">
        <f t="shared" ref="CR357:CZ357" si="592">+CR356/CQ356-1</f>
        <v>1.6604223064428805</v>
      </c>
      <c r="CS357" s="64">
        <f t="shared" si="592"/>
        <v>0.59597053197118344</v>
      </c>
      <c r="CT357" s="64">
        <f t="shared" si="592"/>
        <v>0.37790821036739297</v>
      </c>
      <c r="CU357" s="64">
        <f t="shared" si="592"/>
        <v>0.23831123283837718</v>
      </c>
      <c r="CV357" s="64">
        <f t="shared" si="592"/>
        <v>0.20920483889921759</v>
      </c>
      <c r="CW357" s="64">
        <f t="shared" si="592"/>
        <v>0.12000000000000011</v>
      </c>
      <c r="CX357" s="64">
        <f t="shared" si="592"/>
        <v>0.10000000000000009</v>
      </c>
      <c r="CY357" s="64">
        <f t="shared" si="592"/>
        <v>5.0000000000000044E-2</v>
      </c>
      <c r="CZ357" s="64">
        <f t="shared" si="592"/>
        <v>4.0000000000000036E-2</v>
      </c>
      <c r="DA357" s="64">
        <f t="shared" ref="DA357:DF357" si="593">+DA356/CZ356-1</f>
        <v>3.0000000000000027E-2</v>
      </c>
      <c r="DB357" s="64">
        <f t="shared" si="593"/>
        <v>2.0000000000000018E-2</v>
      </c>
      <c r="DC357" s="64">
        <f t="shared" si="593"/>
        <v>1.0000000000000009E-2</v>
      </c>
      <c r="DD357" s="64">
        <f t="shared" si="593"/>
        <v>0</v>
      </c>
      <c r="DE357" s="64">
        <f t="shared" si="593"/>
        <v>-9.9999999999998979E-3</v>
      </c>
      <c r="DF357" s="180">
        <f t="shared" si="593"/>
        <v>-9.9999999999998979E-3</v>
      </c>
    </row>
    <row r="358" spans="1:110" s="91" customFormat="1" ht="12.75" customHeight="1">
      <c r="A358" s="82"/>
      <c r="B358" s="82"/>
      <c r="C358" s="82"/>
      <c r="D358" s="82"/>
      <c r="E358" s="82"/>
      <c r="F358" s="82"/>
      <c r="G358" s="82"/>
      <c r="H358" s="82"/>
      <c r="I358" s="192"/>
      <c r="J358" s="81"/>
      <c r="K358" s="81"/>
      <c r="P358" s="1149"/>
      <c r="T358" s="1149"/>
      <c r="X358" s="1149"/>
      <c r="AB358" s="1149"/>
      <c r="AC358" s="1150"/>
      <c r="AD358" s="1150"/>
      <c r="AE358" s="1150"/>
      <c r="AF358" s="1151"/>
      <c r="AG358" s="120"/>
      <c r="AH358" s="120"/>
      <c r="AI358" s="120"/>
      <c r="AJ358" s="232"/>
      <c r="AK358" s="120"/>
      <c r="AL358" s="120"/>
      <c r="AM358" s="120"/>
      <c r="AN358" s="232"/>
      <c r="AO358" s="120"/>
      <c r="AP358" s="120"/>
      <c r="AQ358" s="120"/>
      <c r="AR358" s="232"/>
      <c r="AS358" s="120"/>
      <c r="AT358" s="120"/>
      <c r="AU358" s="120"/>
      <c r="AV358" s="232"/>
      <c r="AW358" s="120"/>
      <c r="AX358" s="120"/>
      <c r="AY358" s="120"/>
      <c r="AZ358" s="731"/>
      <c r="BA358" s="1261"/>
      <c r="BB358" s="64"/>
      <c r="BC358" s="64"/>
      <c r="BD358" s="180"/>
      <c r="BE358" s="64"/>
      <c r="BF358" s="64"/>
      <c r="BG358" s="64"/>
      <c r="BH358" s="180"/>
      <c r="BI358" s="64"/>
      <c r="BJ358" s="64"/>
      <c r="BK358" s="64"/>
      <c r="BL358" s="64"/>
      <c r="BM358" s="1263"/>
      <c r="BN358" s="64"/>
      <c r="BO358" s="64"/>
      <c r="BP358" s="64"/>
      <c r="BQ358" s="1263"/>
      <c r="BR358" s="64"/>
      <c r="BS358" s="64"/>
      <c r="BT358" s="64"/>
      <c r="BU358" s="1263"/>
      <c r="BV358" s="64"/>
      <c r="BW358" s="64"/>
      <c r="BX358" s="180"/>
      <c r="BY358" s="1263"/>
      <c r="BZ358" s="64"/>
      <c r="CA358" s="64"/>
      <c r="CB358" s="180"/>
      <c r="CC358" s="1263"/>
      <c r="CD358" s="64"/>
      <c r="CE358" s="64"/>
      <c r="CF358" s="180"/>
      <c r="CG358" s="1149"/>
      <c r="CH358" s="263"/>
      <c r="CM358" s="120"/>
      <c r="CN358" s="120"/>
      <c r="CO358" s="120"/>
      <c r="CP358" s="120"/>
      <c r="CQ358" s="721"/>
      <c r="CR358" s="64"/>
      <c r="CS358" s="64"/>
      <c r="CT358" s="64"/>
      <c r="CU358" s="64"/>
      <c r="CV358" s="64"/>
      <c r="CW358" s="64"/>
      <c r="CX358" s="64"/>
      <c r="CY358" s="64"/>
      <c r="CZ358" s="64"/>
      <c r="DA358" s="64"/>
      <c r="DB358" s="64"/>
      <c r="DC358" s="64"/>
      <c r="DD358" s="64"/>
      <c r="DE358" s="64"/>
      <c r="DF358" s="180"/>
    </row>
    <row r="359" spans="1:110" s="104" customFormat="1" ht="12.75" customHeight="1">
      <c r="A359" s="24"/>
      <c r="B359" s="24"/>
      <c r="C359" s="24"/>
      <c r="D359" s="24"/>
      <c r="E359" s="24"/>
      <c r="F359" s="24"/>
      <c r="G359" s="24"/>
      <c r="H359" s="24"/>
      <c r="I359" s="728" t="s">
        <v>257</v>
      </c>
      <c r="J359" s="846"/>
      <c r="K359" s="846"/>
      <c r="P359" s="212"/>
      <c r="T359" s="212"/>
      <c r="X359" s="212"/>
      <c r="AB359" s="212"/>
      <c r="AC359" s="103"/>
      <c r="AD359" s="103"/>
      <c r="AE359" s="103"/>
      <c r="AF359" s="202"/>
      <c r="AG359" s="104">
        <f t="shared" ref="AG359:AZ359" si="594">+AG353-AG356</f>
        <v>48.63</v>
      </c>
      <c r="AH359" s="104">
        <f t="shared" si="594"/>
        <v>60</v>
      </c>
      <c r="AI359" s="104">
        <f t="shared" si="594"/>
        <v>61.32</v>
      </c>
      <c r="AJ359" s="212">
        <f t="shared" si="594"/>
        <v>53.67</v>
      </c>
      <c r="AK359" s="104">
        <f t="shared" si="594"/>
        <v>60.09</v>
      </c>
      <c r="AL359" s="104">
        <f t="shared" si="594"/>
        <v>68.34</v>
      </c>
      <c r="AM359" s="104">
        <f t="shared" si="594"/>
        <v>70.14</v>
      </c>
      <c r="AN359" s="212">
        <f t="shared" si="594"/>
        <v>60.06</v>
      </c>
      <c r="AO359" s="104">
        <f t="shared" si="594"/>
        <v>39.18</v>
      </c>
      <c r="AP359" s="104">
        <f t="shared" si="594"/>
        <v>84.45</v>
      </c>
      <c r="AQ359" s="104">
        <f t="shared" si="594"/>
        <v>69.989999999999995</v>
      </c>
      <c r="AR359" s="212">
        <f t="shared" si="594"/>
        <v>66.72</v>
      </c>
      <c r="AS359" s="104">
        <f t="shared" si="594"/>
        <v>45.21</v>
      </c>
      <c r="AT359" s="104">
        <f t="shared" si="594"/>
        <v>97.11</v>
      </c>
      <c r="AU359" s="104">
        <f t="shared" si="594"/>
        <v>80.724000000000004</v>
      </c>
      <c r="AV359" s="212">
        <f t="shared" si="594"/>
        <v>73.47</v>
      </c>
      <c r="AW359" s="104">
        <f t="shared" si="594"/>
        <v>92.566000000000003</v>
      </c>
      <c r="AX359" s="104">
        <f t="shared" si="594"/>
        <v>89.834000000000003</v>
      </c>
      <c r="AY359" s="104">
        <f t="shared" si="594"/>
        <v>72.3</v>
      </c>
      <c r="AZ359" s="212">
        <f t="shared" si="594"/>
        <v>65.900000000000006</v>
      </c>
      <c r="BA359" s="104">
        <f t="shared" ref="BA359:BL359" si="595">+BA353-BA356</f>
        <v>56.2</v>
      </c>
      <c r="BB359" s="104">
        <f t="shared" si="595"/>
        <v>104.6</v>
      </c>
      <c r="BC359" s="104">
        <f t="shared" si="595"/>
        <v>36.819999999999993</v>
      </c>
      <c r="BD359" s="212">
        <f t="shared" si="595"/>
        <v>48.800000000000011</v>
      </c>
      <c r="BE359" s="104">
        <f t="shared" si="595"/>
        <v>51.210000000000008</v>
      </c>
      <c r="BF359" s="104">
        <f t="shared" si="595"/>
        <v>106.60000000000002</v>
      </c>
      <c r="BG359" s="104">
        <f>+BG353-BG356</f>
        <v>3.1119999999999663</v>
      </c>
      <c r="BH359" s="212">
        <f t="shared" si="595"/>
        <v>49.949999999999989</v>
      </c>
      <c r="BI359" s="104">
        <f t="shared" si="595"/>
        <v>79.133999999999986</v>
      </c>
      <c r="BJ359" s="104">
        <f t="shared" si="595"/>
        <v>163.5</v>
      </c>
      <c r="BK359" s="104">
        <f>+BK353-BK356</f>
        <v>-31.603200000000015</v>
      </c>
      <c r="BL359" s="104">
        <f t="shared" si="595"/>
        <v>69.275000000000006</v>
      </c>
      <c r="BM359" s="851">
        <f t="shared" ref="BM359:CF359" si="596">+BM353-BM356</f>
        <v>98.870159999999998</v>
      </c>
      <c r="BN359" s="104">
        <f t="shared" si="596"/>
        <v>174.5</v>
      </c>
      <c r="BO359" s="104">
        <f>+BO353-BO356</f>
        <v>-76.412096000000076</v>
      </c>
      <c r="BP359" s="104">
        <f t="shared" si="596"/>
        <v>70.730000000000018</v>
      </c>
      <c r="BQ359" s="851">
        <f t="shared" si="596"/>
        <v>113.684192</v>
      </c>
      <c r="BR359" s="104">
        <f t="shared" si="596"/>
        <v>210.64000000000004</v>
      </c>
      <c r="BS359" s="104">
        <f>+BS353-BS356</f>
        <v>-149.76512000000002</v>
      </c>
      <c r="BT359" s="104">
        <f>+BT353-BT356</f>
        <v>67.389500000000055</v>
      </c>
      <c r="BU359" s="851">
        <f t="shared" si="596"/>
        <v>122.61429503999994</v>
      </c>
      <c r="BV359" s="104">
        <f t="shared" si="596"/>
        <v>212.23279999999994</v>
      </c>
      <c r="BW359" s="104">
        <f>+BW353-BW356</f>
        <v>-165.25693440000009</v>
      </c>
      <c r="BX359" s="212">
        <f>+BX353-BX356</f>
        <v>85.892240000000015</v>
      </c>
      <c r="BY359" s="851">
        <f t="shared" si="596"/>
        <v>159.05572454399993</v>
      </c>
      <c r="BZ359" s="104">
        <f t="shared" si="596"/>
        <v>244.30607999999995</v>
      </c>
      <c r="CA359" s="104">
        <f t="shared" si="596"/>
        <v>-206.58262784000021</v>
      </c>
      <c r="CB359" s="212">
        <f t="shared" si="596"/>
        <v>72.781463999999971</v>
      </c>
      <c r="CC359" s="851">
        <f t="shared" si="596"/>
        <v>158.35951077119984</v>
      </c>
      <c r="CD359" s="104">
        <f t="shared" si="596"/>
        <v>253.31288399999988</v>
      </c>
      <c r="CE359" s="104">
        <f t="shared" si="596"/>
        <v>-205.13175923200026</v>
      </c>
      <c r="CF359" s="212">
        <f t="shared" si="596"/>
        <v>99.205537199999981</v>
      </c>
      <c r="CG359" s="212"/>
      <c r="CH359" s="851"/>
      <c r="CM359" s="104">
        <f t="shared" ref="CM359:CX359" si="597">+CM353-CM356</f>
        <v>223.62</v>
      </c>
      <c r="CN359" s="104">
        <f t="shared" si="597"/>
        <v>258.63</v>
      </c>
      <c r="CO359" s="104">
        <f t="shared" si="597"/>
        <v>260.34000000000003</v>
      </c>
      <c r="CP359" s="104">
        <f t="shared" si="597"/>
        <v>296.51400000000001</v>
      </c>
      <c r="CQ359" s="104">
        <f t="shared" si="597"/>
        <v>320.59999999999997</v>
      </c>
      <c r="CR359" s="104">
        <f t="shared" si="597"/>
        <v>246.41999999999996</v>
      </c>
      <c r="CS359" s="104">
        <f t="shared" si="597"/>
        <v>210.87199999999984</v>
      </c>
      <c r="CT359" s="104">
        <f t="shared" si="597"/>
        <v>280.30580000000009</v>
      </c>
      <c r="CU359" s="104">
        <f t="shared" si="597"/>
        <v>267.68806399999994</v>
      </c>
      <c r="CV359" s="104">
        <f t="shared" si="597"/>
        <v>241.94857200000001</v>
      </c>
      <c r="CW359" s="104">
        <f t="shared" si="597"/>
        <v>255.48240063999947</v>
      </c>
      <c r="CX359" s="104">
        <f t="shared" si="597"/>
        <v>269.56064070399952</v>
      </c>
      <c r="CY359" s="104">
        <f>+CY353-CY356</f>
        <v>305.74617273919966</v>
      </c>
      <c r="CZ359" s="104">
        <f>+CZ353-CZ356</f>
        <v>342.04674730287707</v>
      </c>
      <c r="DA359" s="104">
        <f t="shared" ref="DA359:DF359" si="598">+DA353-DA356</f>
        <v>377.58323809876629</v>
      </c>
      <c r="DB359" s="104">
        <f t="shared" si="598"/>
        <v>411.42186035783516</v>
      </c>
      <c r="DC359" s="104">
        <f t="shared" si="598"/>
        <v>469.59660073363875</v>
      </c>
      <c r="DD359" s="104">
        <f t="shared" si="598"/>
        <v>553.07529062955336</v>
      </c>
      <c r="DE359" s="104">
        <f t="shared" si="598"/>
        <v>662.15973515704218</v>
      </c>
      <c r="DF359" s="212">
        <f t="shared" si="598"/>
        <v>773.59571634026315</v>
      </c>
    </row>
    <row r="360" spans="1:110" s="82" customFormat="1" ht="12.75" customHeight="1">
      <c r="I360" s="193" t="s">
        <v>376</v>
      </c>
      <c r="J360" s="83"/>
      <c r="K360" s="83"/>
      <c r="P360" s="1135"/>
      <c r="T360" s="1135"/>
      <c r="X360" s="1135"/>
      <c r="AB360" s="1135"/>
      <c r="AC360" s="307"/>
      <c r="AD360" s="307"/>
      <c r="AE360" s="307"/>
      <c r="AF360" s="1136"/>
      <c r="AG360" s="64"/>
      <c r="AH360" s="64"/>
      <c r="AI360" s="64"/>
      <c r="AJ360" s="180"/>
      <c r="AK360" s="64">
        <f t="shared" ref="AK360:BD360" si="599">+AK359/AG359-1</f>
        <v>0.23565700185070937</v>
      </c>
      <c r="AL360" s="64">
        <f t="shared" si="599"/>
        <v>0.13900000000000001</v>
      </c>
      <c r="AM360" s="64">
        <f t="shared" si="599"/>
        <v>0.14383561643835607</v>
      </c>
      <c r="AN360" s="180">
        <f t="shared" si="599"/>
        <v>0.11906092789267753</v>
      </c>
      <c r="AO360" s="64">
        <f t="shared" si="599"/>
        <v>-0.34797803295057417</v>
      </c>
      <c r="AP360" s="64">
        <f t="shared" si="599"/>
        <v>0.23573309920983321</v>
      </c>
      <c r="AQ360" s="64">
        <f t="shared" si="599"/>
        <v>-2.1385799828914642E-3</v>
      </c>
      <c r="AR360" s="180">
        <f t="shared" si="599"/>
        <v>0.1108891108891108</v>
      </c>
      <c r="AS360" s="64">
        <f t="shared" si="599"/>
        <v>0.15390505359877493</v>
      </c>
      <c r="AT360" s="64">
        <f t="shared" si="599"/>
        <v>0.1499111900532859</v>
      </c>
      <c r="AU360" s="64">
        <f t="shared" si="599"/>
        <v>0.15336476639519936</v>
      </c>
      <c r="AV360" s="180">
        <f t="shared" si="599"/>
        <v>0.10116906474820153</v>
      </c>
      <c r="AW360" s="64">
        <f t="shared" si="599"/>
        <v>1.0474673744746736</v>
      </c>
      <c r="AX360" s="64">
        <f t="shared" si="599"/>
        <v>-7.4925342395221861E-2</v>
      </c>
      <c r="AY360" s="64">
        <f t="shared" si="599"/>
        <v>-0.10435558198305339</v>
      </c>
      <c r="AZ360" s="180">
        <f t="shared" si="599"/>
        <v>-0.10303525248400702</v>
      </c>
      <c r="BA360" s="64">
        <f t="shared" si="599"/>
        <v>-0.39286563100922589</v>
      </c>
      <c r="BB360" s="64">
        <f t="shared" si="599"/>
        <v>0.16436983770064773</v>
      </c>
      <c r="BC360" s="64">
        <f t="shared" si="599"/>
        <v>-0.49073305670816048</v>
      </c>
      <c r="BD360" s="180">
        <f t="shared" si="599"/>
        <v>-0.25948406676782998</v>
      </c>
      <c r="BE360" s="64">
        <f t="shared" ref="BE360:BL360" si="600">+BE359/BA359-1</f>
        <v>-8.8790035587188565E-2</v>
      </c>
      <c r="BF360" s="64">
        <f t="shared" si="600"/>
        <v>1.9120458891013659E-2</v>
      </c>
      <c r="BG360" s="64">
        <f t="shared" si="600"/>
        <v>-0.91548071700163047</v>
      </c>
      <c r="BH360" s="180">
        <f t="shared" si="600"/>
        <v>2.3565573770491399E-2</v>
      </c>
      <c r="BI360" s="64">
        <f t="shared" si="600"/>
        <v>0.54528412419449279</v>
      </c>
      <c r="BJ360" s="64">
        <f t="shared" si="600"/>
        <v>0.53377110694183827</v>
      </c>
      <c r="BK360" s="64">
        <f t="shared" si="600"/>
        <v>-11.155269922879292</v>
      </c>
      <c r="BL360" s="64">
        <f t="shared" si="600"/>
        <v>0.38688688688688733</v>
      </c>
      <c r="BM360" s="1263">
        <f t="shared" ref="BM360:CF360" si="601">+BM359/BI359-1</f>
        <v>0.24940177420577769</v>
      </c>
      <c r="BN360" s="64">
        <f t="shared" si="601"/>
        <v>6.7278287461773667E-2</v>
      </c>
      <c r="BO360" s="64">
        <f t="shared" si="601"/>
        <v>1.4178594572701511</v>
      </c>
      <c r="BP360" s="64">
        <f t="shared" si="601"/>
        <v>2.100324792493713E-2</v>
      </c>
      <c r="BQ360" s="1263">
        <f t="shared" si="601"/>
        <v>0.14983319537462059</v>
      </c>
      <c r="BR360" s="64">
        <f t="shared" si="601"/>
        <v>0.20710601719197741</v>
      </c>
      <c r="BS360" s="64">
        <f t="shared" si="601"/>
        <v>0.95996612892283273</v>
      </c>
      <c r="BT360" s="64">
        <f t="shared" si="601"/>
        <v>-4.7228898628587035E-2</v>
      </c>
      <c r="BU360" s="1263">
        <f t="shared" si="601"/>
        <v>7.8551845097337258E-2</v>
      </c>
      <c r="BV360" s="64">
        <f t="shared" si="601"/>
        <v>7.5617166729959884E-3</v>
      </c>
      <c r="BW360" s="64">
        <f t="shared" si="601"/>
        <v>0.10344073706881862</v>
      </c>
      <c r="BX360" s="180">
        <f t="shared" si="601"/>
        <v>0.27456413833015447</v>
      </c>
      <c r="BY360" s="1263">
        <f t="shared" si="601"/>
        <v>0.29720375990508985</v>
      </c>
      <c r="BZ360" s="64">
        <f t="shared" si="601"/>
        <v>0.1511231063247529</v>
      </c>
      <c r="CA360" s="64">
        <f t="shared" si="601"/>
        <v>0.25006934559231486</v>
      </c>
      <c r="CB360" s="180">
        <f t="shared" si="601"/>
        <v>-0.15264214788204433</v>
      </c>
      <c r="CC360" s="1263">
        <f t="shared" si="601"/>
        <v>-4.3771689123172086E-3</v>
      </c>
      <c r="CD360" s="64">
        <f t="shared" si="601"/>
        <v>3.6866884360798213E-2</v>
      </c>
      <c r="CE360" s="64">
        <f t="shared" si="601"/>
        <v>-7.0231878796878089E-3</v>
      </c>
      <c r="CF360" s="180">
        <f t="shared" si="601"/>
        <v>0.36306047924510043</v>
      </c>
      <c r="CG360" s="1135"/>
      <c r="CH360" s="259"/>
      <c r="CM360" s="64"/>
      <c r="CN360" s="64">
        <f t="shared" ref="CN360:CX360" si="602">+CN359/CM359-1</f>
        <v>0.15656023611483771</v>
      </c>
      <c r="CO360" s="64">
        <f t="shared" si="602"/>
        <v>6.6117619765688751E-3</v>
      </c>
      <c r="CP360" s="64">
        <f t="shared" si="602"/>
        <v>0.13894906660520845</v>
      </c>
      <c r="CQ360" s="64">
        <f t="shared" si="602"/>
        <v>8.1230565841747593E-2</v>
      </c>
      <c r="CR360" s="64">
        <f t="shared" si="602"/>
        <v>-0.23137866500311921</v>
      </c>
      <c r="CS360" s="64">
        <f t="shared" si="602"/>
        <v>-0.14425777128479877</v>
      </c>
      <c r="CT360" s="64">
        <f t="shared" si="602"/>
        <v>0.32926988884252206</v>
      </c>
      <c r="CU360" s="64">
        <f t="shared" si="602"/>
        <v>-4.5014180940958548E-2</v>
      </c>
      <c r="CV360" s="64">
        <f t="shared" si="602"/>
        <v>-9.6154799042515116E-2</v>
      </c>
      <c r="CW360" s="64">
        <f t="shared" si="602"/>
        <v>5.593679899875359E-2</v>
      </c>
      <c r="CX360" s="64">
        <f t="shared" si="602"/>
        <v>5.5104539603249236E-2</v>
      </c>
      <c r="CY360" s="64">
        <f>+CY359/CX359-1</f>
        <v>0.134238930211384</v>
      </c>
      <c r="CZ360" s="64">
        <f>+CZ359/CY359-1</f>
        <v>0.11872781346192562</v>
      </c>
      <c r="DA360" s="64">
        <f t="shared" ref="DA360:DF360" si="603">+DA359/CZ359-1</f>
        <v>0.1038936668046202</v>
      </c>
      <c r="DB360" s="64">
        <f t="shared" si="603"/>
        <v>8.9618973632027421E-2</v>
      </c>
      <c r="DC360" s="64">
        <f t="shared" si="603"/>
        <v>0.14139924486561295</v>
      </c>
      <c r="DD360" s="64">
        <f t="shared" si="603"/>
        <v>0.17776681041876796</v>
      </c>
      <c r="DE360" s="64">
        <f t="shared" si="603"/>
        <v>0.1972325402628643</v>
      </c>
      <c r="DF360" s="180">
        <f t="shared" si="603"/>
        <v>0.16829169045863535</v>
      </c>
    </row>
    <row r="361" spans="1:110" ht="12.75" customHeight="1">
      <c r="I361" s="279"/>
      <c r="J361" s="280"/>
      <c r="K361" s="280"/>
      <c r="L361" s="237"/>
      <c r="M361" s="237"/>
      <c r="N361" s="237"/>
      <c r="O361" s="237"/>
      <c r="P361" s="251"/>
      <c r="Q361" s="237"/>
      <c r="R361" s="237"/>
      <c r="S361" s="237"/>
      <c r="T361" s="251"/>
      <c r="U361" s="237"/>
      <c r="V361" s="237"/>
      <c r="W361" s="237"/>
      <c r="X361" s="251"/>
      <c r="Y361" s="237"/>
      <c r="Z361" s="237"/>
      <c r="AA361" s="237"/>
      <c r="AB361" s="251"/>
      <c r="AC361" s="918"/>
      <c r="AD361" s="918"/>
      <c r="AE361" s="918"/>
      <c r="AF361" s="965"/>
      <c r="AG361" s="919"/>
      <c r="AH361" s="919"/>
      <c r="AI361" s="919"/>
      <c r="AJ361" s="920"/>
      <c r="AK361" s="919"/>
      <c r="AL361" s="919"/>
      <c r="AM361" s="919"/>
      <c r="AN361" s="920"/>
      <c r="AO361" s="919"/>
      <c r="AP361" s="919"/>
      <c r="AQ361" s="919"/>
      <c r="AR361" s="920"/>
      <c r="AS361" s="919"/>
      <c r="AT361" s="919"/>
      <c r="AU361" s="919"/>
      <c r="AV361" s="920"/>
      <c r="AW361" s="919"/>
      <c r="AX361" s="919"/>
      <c r="AY361" s="919"/>
      <c r="AZ361" s="920"/>
      <c r="BA361" s="919"/>
      <c r="BB361" s="919"/>
      <c r="BC361" s="919"/>
      <c r="BD361" s="920"/>
      <c r="BE361" s="919"/>
      <c r="BF361" s="919"/>
      <c r="BG361" s="919"/>
      <c r="BH361" s="920"/>
      <c r="BI361" s="919"/>
      <c r="BJ361" s="919"/>
      <c r="BK361" s="919"/>
      <c r="BL361" s="919"/>
      <c r="BM361" s="1639"/>
      <c r="BN361" s="919"/>
      <c r="BO361" s="919"/>
      <c r="BP361" s="919"/>
      <c r="BQ361" s="1639"/>
      <c r="BR361" s="919"/>
      <c r="BS361" s="919"/>
      <c r="BT361" s="920"/>
      <c r="BU361" s="1639"/>
      <c r="BV361" s="919"/>
      <c r="BW361" s="919"/>
      <c r="BX361" s="920"/>
      <c r="BY361" s="1639"/>
      <c r="BZ361" s="919"/>
      <c r="CA361" s="919"/>
      <c r="CB361" s="920"/>
      <c r="CC361" s="1639"/>
      <c r="CD361" s="919"/>
      <c r="CE361" s="919"/>
      <c r="CF361" s="920"/>
      <c r="CG361" s="234"/>
      <c r="CH361" s="236"/>
      <c r="CI361" s="237"/>
      <c r="CJ361" s="237"/>
      <c r="CK361" s="237"/>
      <c r="CL361" s="237"/>
      <c r="CM361" s="919"/>
      <c r="CN361" s="919"/>
      <c r="CO361" s="919"/>
      <c r="CP361" s="919"/>
      <c r="CQ361" s="919"/>
      <c r="CR361" s="919"/>
      <c r="CS361" s="919"/>
      <c r="CT361" s="919"/>
      <c r="CU361" s="919"/>
      <c r="CV361" s="919"/>
      <c r="CW361" s="919"/>
      <c r="CX361" s="919"/>
      <c r="CY361" s="919"/>
      <c r="CZ361" s="237"/>
      <c r="DA361" s="237"/>
      <c r="DB361" s="237"/>
      <c r="DC361" s="237"/>
      <c r="DD361" s="237"/>
      <c r="DE361" s="237"/>
      <c r="DF361" s="251"/>
    </row>
    <row r="362" spans="1:110" ht="12.75" customHeight="1">
      <c r="CZ362" s="38"/>
    </row>
    <row r="363" spans="1:110" s="88" customFormat="1" ht="12.75" customHeight="1">
      <c r="A363" s="12"/>
      <c r="B363" s="13"/>
      <c r="C363" s="13"/>
      <c r="D363" s="13"/>
      <c r="E363" s="13"/>
      <c r="F363" s="12"/>
      <c r="G363" s="12"/>
      <c r="H363" s="12"/>
      <c r="I363" s="1295" t="s">
        <v>504</v>
      </c>
      <c r="J363" s="1296"/>
      <c r="K363" s="1296"/>
      <c r="L363" s="1297"/>
      <c r="M363" s="1297"/>
      <c r="N363" s="1297"/>
      <c r="O363" s="1297"/>
      <c r="P363" s="1298"/>
      <c r="Q363" s="1297"/>
      <c r="R363" s="1297"/>
      <c r="S363" s="1297"/>
      <c r="T363" s="1298"/>
      <c r="U363" s="1297"/>
      <c r="V363" s="1297"/>
      <c r="W363" s="1297"/>
      <c r="X363" s="1298"/>
      <c r="Y363" s="1297"/>
      <c r="Z363" s="1297"/>
      <c r="AA363" s="1297"/>
      <c r="AB363" s="1298"/>
      <c r="AC363" s="1299"/>
      <c r="AD363" s="1299"/>
      <c r="AE363" s="1299"/>
      <c r="AF363" s="1300"/>
      <c r="AG363" s="1301"/>
      <c r="AH363" s="1301"/>
      <c r="AI363" s="1301"/>
      <c r="AJ363" s="1302"/>
      <c r="AK363" s="1301"/>
      <c r="AL363" s="1301"/>
      <c r="AM363" s="1301"/>
      <c r="AN363" s="1302"/>
      <c r="AO363" s="1301"/>
      <c r="AP363" s="1301"/>
      <c r="AQ363" s="1303"/>
      <c r="AR363" s="1304"/>
      <c r="AS363" s="1303"/>
      <c r="AT363" s="1303"/>
      <c r="AU363" s="1303"/>
      <c r="AV363" s="1304"/>
      <c r="AW363" s="1303"/>
      <c r="AX363" s="1303"/>
      <c r="AY363" s="1303"/>
      <c r="AZ363" s="1304"/>
      <c r="BA363" s="1303"/>
      <c r="BB363" s="1303"/>
      <c r="BC363" s="1303"/>
      <c r="BD363" s="1304"/>
      <c r="BE363" s="1303"/>
      <c r="BF363" s="1303"/>
      <c r="BG363" s="1303"/>
      <c r="BH363" s="1304"/>
      <c r="BI363" s="1303"/>
      <c r="BJ363" s="1303"/>
      <c r="BK363" s="1303"/>
      <c r="BL363" s="1304"/>
      <c r="BM363" s="1303"/>
      <c r="BN363" s="1303"/>
      <c r="BO363" s="1303"/>
      <c r="BP363" s="1304"/>
      <c r="BQ363" s="1303"/>
      <c r="BR363" s="1303"/>
      <c r="BS363" s="1303"/>
      <c r="BT363" s="1304"/>
      <c r="BU363" s="1303"/>
      <c r="BV363" s="1303"/>
      <c r="BW363" s="1303"/>
      <c r="BX363" s="1304"/>
      <c r="BY363" s="1303"/>
      <c r="BZ363" s="1303"/>
      <c r="CA363" s="1303"/>
      <c r="CB363" s="1304"/>
      <c r="CC363" s="1303"/>
      <c r="CD363" s="1303"/>
      <c r="CE363" s="1303"/>
      <c r="CF363" s="1304"/>
      <c r="CG363" s="26"/>
      <c r="CH363" s="260"/>
      <c r="CI363" s="84"/>
      <c r="CJ363" s="84"/>
      <c r="CK363" s="84"/>
      <c r="CL363" s="84"/>
      <c r="CM363" s="794"/>
      <c r="CN363" s="795"/>
      <c r="CO363" s="795"/>
      <c r="CP363" s="795"/>
      <c r="CQ363" s="795"/>
      <c r="CR363" s="922"/>
      <c r="CS363" s="795"/>
      <c r="CT363" s="261"/>
      <c r="CU363" s="261"/>
      <c r="CV363" s="261"/>
      <c r="CW363" s="261"/>
      <c r="CX363" s="261"/>
      <c r="CY363" s="261"/>
      <c r="CZ363" s="261"/>
      <c r="DA363" s="261"/>
      <c r="DB363" s="261"/>
      <c r="DC363" s="261"/>
      <c r="DD363" s="261"/>
      <c r="DE363" s="261"/>
      <c r="DF363" s="261"/>
    </row>
    <row r="364" spans="1:110" ht="12.75" customHeight="1">
      <c r="A364" s="12"/>
      <c r="B364" s="13"/>
      <c r="C364" s="13"/>
      <c r="D364" s="13"/>
      <c r="E364" s="13"/>
      <c r="F364" s="12"/>
      <c r="G364" s="12"/>
      <c r="H364" s="12"/>
      <c r="I364" s="728" t="s">
        <v>288</v>
      </c>
      <c r="J364" s="7"/>
      <c r="K364" s="7"/>
      <c r="P364" s="234"/>
      <c r="T364" s="234"/>
      <c r="X364" s="234"/>
      <c r="AB364" s="234"/>
      <c r="AF364" s="249"/>
      <c r="AG364" s="800">
        <f t="shared" ref="AG364:BL364" si="604">+AG165</f>
        <v>98.218450000000018</v>
      </c>
      <c r="AH364" s="800">
        <f t="shared" si="604"/>
        <v>111.26362500000002</v>
      </c>
      <c r="AI364" s="800">
        <f t="shared" si="604"/>
        <v>112.35510000000001</v>
      </c>
      <c r="AJ364" s="849">
        <f t="shared" si="604"/>
        <v>91.484250000000017</v>
      </c>
      <c r="AK364" s="800">
        <f t="shared" si="604"/>
        <v>114.62836235573526</v>
      </c>
      <c r="AL364" s="800">
        <f t="shared" si="604"/>
        <v>132.33980508056598</v>
      </c>
      <c r="AM364" s="800">
        <f t="shared" si="604"/>
        <v>133.84172959257455</v>
      </c>
      <c r="AN364" s="849">
        <f t="shared" si="604"/>
        <v>115.674229014801</v>
      </c>
      <c r="AO364" s="800">
        <f t="shared" si="604"/>
        <v>151.38464066587349</v>
      </c>
      <c r="AP364" s="800">
        <f t="shared" si="604"/>
        <v>185.5599914913995</v>
      </c>
      <c r="AQ364" s="800">
        <f t="shared" si="604"/>
        <v>175.01236067323356</v>
      </c>
      <c r="AR364" s="849">
        <f t="shared" si="604"/>
        <v>162.86052574558539</v>
      </c>
      <c r="AS364" s="800">
        <f t="shared" si="604"/>
        <v>192.74799251978985</v>
      </c>
      <c r="AT364" s="800">
        <f t="shared" si="604"/>
        <v>248.6705145186265</v>
      </c>
      <c r="AU364" s="800">
        <f t="shared" si="604"/>
        <v>246.80407511808167</v>
      </c>
      <c r="AV364" s="849">
        <f t="shared" si="604"/>
        <v>199.89453962657237</v>
      </c>
      <c r="AW364" s="800">
        <f t="shared" si="604"/>
        <v>227.51799523504917</v>
      </c>
      <c r="AX364" s="800">
        <f t="shared" si="604"/>
        <v>296.11187517243002</v>
      </c>
      <c r="AY364" s="800">
        <f t="shared" si="604"/>
        <v>291.68388189331722</v>
      </c>
      <c r="AZ364" s="849">
        <f t="shared" si="604"/>
        <v>238.21049041190605</v>
      </c>
      <c r="BA364" s="800">
        <f t="shared" si="604"/>
        <v>257.68907505392076</v>
      </c>
      <c r="BB364" s="800">
        <f t="shared" si="604"/>
        <v>303.62415228036622</v>
      </c>
      <c r="BC364" s="800">
        <f t="shared" si="604"/>
        <v>321.60850872560411</v>
      </c>
      <c r="BD364" s="849">
        <f t="shared" si="604"/>
        <v>271.9445572357767</v>
      </c>
      <c r="BE364" s="800">
        <f t="shared" si="604"/>
        <v>273.27926409468301</v>
      </c>
      <c r="BF364" s="800">
        <f t="shared" si="604"/>
        <v>310.40104335926401</v>
      </c>
      <c r="BG364" s="800">
        <f t="shared" si="604"/>
        <v>332.62360014945614</v>
      </c>
      <c r="BH364" s="849">
        <f t="shared" si="604"/>
        <v>270.54404276601247</v>
      </c>
      <c r="BI364" s="800">
        <f t="shared" si="604"/>
        <v>278.77217730298611</v>
      </c>
      <c r="BJ364" s="800">
        <f t="shared" si="604"/>
        <v>329.18030648249947</v>
      </c>
      <c r="BK364" s="800">
        <f t="shared" si="604"/>
        <v>365.69969094831805</v>
      </c>
      <c r="BL364" s="849">
        <f t="shared" si="604"/>
        <v>331.14590834559925</v>
      </c>
      <c r="BM364" s="800">
        <f t="shared" ref="BM364:CF364" si="605">+BM165</f>
        <v>304.36346317940024</v>
      </c>
      <c r="BN364" s="800">
        <f t="shared" si="605"/>
        <v>359.39905861759297</v>
      </c>
      <c r="BO364" s="800">
        <f t="shared" si="605"/>
        <v>399.27092257737365</v>
      </c>
      <c r="BP364" s="849">
        <f t="shared" si="605"/>
        <v>358.13429987576563</v>
      </c>
      <c r="BQ364" s="800">
        <f t="shared" si="605"/>
        <v>325.97326906513769</v>
      </c>
      <c r="BR364" s="800">
        <f t="shared" si="605"/>
        <v>384.91639177944211</v>
      </c>
      <c r="BS364" s="800">
        <f t="shared" si="605"/>
        <v>426.5710719086016</v>
      </c>
      <c r="BT364" s="849">
        <f t="shared" si="605"/>
        <v>379.80142501824946</v>
      </c>
      <c r="BU364" s="800">
        <f t="shared" si="605"/>
        <v>340.5605728558026</v>
      </c>
      <c r="BV364" s="800">
        <f t="shared" si="605"/>
        <v>402.14140031157206</v>
      </c>
      <c r="BW364" s="800">
        <f>+BW165</f>
        <v>445.66012737651158</v>
      </c>
      <c r="BX364" s="849">
        <f>+BX165</f>
        <v>396.79753878781617</v>
      </c>
      <c r="BY364" s="800">
        <f t="shared" si="605"/>
        <v>361.16448751357865</v>
      </c>
      <c r="BZ364" s="800">
        <f t="shared" si="605"/>
        <v>418.02598562387919</v>
      </c>
      <c r="CA364" s="800">
        <f t="shared" si="605"/>
        <v>463.26370240788384</v>
      </c>
      <c r="CB364" s="849">
        <f t="shared" si="605"/>
        <v>412.47104156993493</v>
      </c>
      <c r="CC364" s="800">
        <f t="shared" si="605"/>
        <v>375.43048477036501</v>
      </c>
      <c r="CD364" s="800">
        <f t="shared" si="605"/>
        <v>430.1487392069717</v>
      </c>
      <c r="CE364" s="800">
        <f t="shared" si="605"/>
        <v>481.56261865299518</v>
      </c>
      <c r="CF364" s="849">
        <f t="shared" si="605"/>
        <v>428.76364771194733</v>
      </c>
      <c r="CG364" s="234"/>
      <c r="CH364" s="160"/>
      <c r="CM364" s="800">
        <f>+CM165</f>
        <v>413.32142500000009</v>
      </c>
      <c r="CN364" s="800">
        <f>+CN165</f>
        <v>496.48412604367684</v>
      </c>
      <c r="CO364" s="800">
        <f>+CO165</f>
        <v>674.81751857609197</v>
      </c>
      <c r="CP364" s="800">
        <f>+CP165</f>
        <v>888.11712178307039</v>
      </c>
      <c r="CQ364" s="800">
        <f>+SUM(AW364:AZ364)</f>
        <v>1053.5242427127025</v>
      </c>
      <c r="CR364" s="800">
        <f>+SUM(BA364:BD364)</f>
        <v>1154.8662932956677</v>
      </c>
      <c r="CS364" s="800">
        <f>+SUM(BE364:BH364)</f>
        <v>1186.8479503694157</v>
      </c>
      <c r="CT364" s="800">
        <f>+SUM(BI364:BL364)</f>
        <v>1304.7980830794029</v>
      </c>
      <c r="CU364" s="800">
        <f>+SUM(BM364:BP364)</f>
        <v>1421.1677442501325</v>
      </c>
      <c r="CV364" s="800">
        <f>+SUM(BQ364:BT364)</f>
        <v>1517.2621577714308</v>
      </c>
      <c r="CW364" s="800">
        <f>+SUM(BU364:BX364)</f>
        <v>1585.1596393317025</v>
      </c>
      <c r="CX364" s="800">
        <f>+SUM(BY364:CB364)</f>
        <v>1654.9252171152766</v>
      </c>
      <c r="CY364" s="800">
        <f>+SUM(CC364:CF364)</f>
        <v>1715.9054903422793</v>
      </c>
      <c r="CZ364" s="1808">
        <f t="shared" ref="CZ364:DF364" si="606">+CZ165</f>
        <v>1784.5417099559706</v>
      </c>
      <c r="DA364" s="1808">
        <f t="shared" si="606"/>
        <v>1855.9233783542097</v>
      </c>
      <c r="DB364" s="1808">
        <f t="shared" si="606"/>
        <v>1930.1603134883781</v>
      </c>
      <c r="DC364" s="1808">
        <f t="shared" si="606"/>
        <v>2007.366726027913</v>
      </c>
      <c r="DD364" s="1808">
        <f t="shared" si="606"/>
        <v>2087.6613950690298</v>
      </c>
      <c r="DE364" s="1808">
        <f t="shared" si="606"/>
        <v>2171.167850871791</v>
      </c>
      <c r="DF364" s="1809">
        <f t="shared" si="606"/>
        <v>2258.0145649066626</v>
      </c>
    </row>
    <row r="365" spans="1:110" ht="12.75" customHeight="1">
      <c r="A365" s="12"/>
      <c r="B365" s="12"/>
      <c r="C365" s="12"/>
      <c r="D365" s="12"/>
      <c r="E365" s="12"/>
      <c r="F365" s="12"/>
      <c r="G365" s="12"/>
      <c r="H365" s="12"/>
      <c r="I365" s="185" t="s">
        <v>376</v>
      </c>
      <c r="J365" s="70"/>
      <c r="K365" s="70"/>
      <c r="P365" s="234"/>
      <c r="T365" s="234"/>
      <c r="X365" s="234"/>
      <c r="AB365" s="234"/>
      <c r="AF365" s="249"/>
      <c r="AG365" s="64"/>
      <c r="AH365" s="64"/>
      <c r="AI365" s="64"/>
      <c r="AJ365" s="180"/>
      <c r="AK365" s="64">
        <f t="shared" ref="AK365:BD365" si="607">+AK364/AG364-1</f>
        <v>0.16707565997768481</v>
      </c>
      <c r="AL365" s="64">
        <f t="shared" si="607"/>
        <v>0.18942561039662298</v>
      </c>
      <c r="AM365" s="64">
        <f t="shared" si="607"/>
        <v>0.19123857833400115</v>
      </c>
      <c r="AN365" s="180">
        <f t="shared" si="607"/>
        <v>0.26441686973223244</v>
      </c>
      <c r="AO365" s="64">
        <f t="shared" si="607"/>
        <v>0.32065605365685634</v>
      </c>
      <c r="AP365" s="64">
        <f t="shared" si="607"/>
        <v>0.40214798849396871</v>
      </c>
      <c r="AQ365" s="64">
        <f t="shared" si="607"/>
        <v>0.30760683686609447</v>
      </c>
      <c r="AR365" s="180">
        <f t="shared" si="607"/>
        <v>0.40792402190765165</v>
      </c>
      <c r="AS365" s="64">
        <f t="shared" si="607"/>
        <v>0.27323347779522034</v>
      </c>
      <c r="AT365" s="64">
        <f t="shared" si="607"/>
        <v>0.34010846044984921</v>
      </c>
      <c r="AU365" s="64">
        <f t="shared" si="607"/>
        <v>0.41020939417468227</v>
      </c>
      <c r="AV365" s="180">
        <f t="shared" si="607"/>
        <v>0.2273971160994539</v>
      </c>
      <c r="AW365" s="64">
        <f t="shared" si="607"/>
        <v>0.18039099790722557</v>
      </c>
      <c r="AX365" s="64">
        <f t="shared" si="607"/>
        <v>0.19077999957349157</v>
      </c>
      <c r="AY365" s="64">
        <f t="shared" si="607"/>
        <v>0.18184386442469846</v>
      </c>
      <c r="AZ365" s="180">
        <f t="shared" si="607"/>
        <v>0.19168082758494864</v>
      </c>
      <c r="BA365" s="64">
        <f t="shared" si="607"/>
        <v>0.13260964165802269</v>
      </c>
      <c r="BB365" s="64">
        <f t="shared" si="607"/>
        <v>2.536972589688169E-2</v>
      </c>
      <c r="BC365" s="64">
        <f t="shared" si="607"/>
        <v>0.1025926651758966</v>
      </c>
      <c r="BD365" s="180">
        <f t="shared" si="607"/>
        <v>0.14161453076872799</v>
      </c>
      <c r="BE365" s="64">
        <f t="shared" ref="BE365:BL365" si="608">+BE364/BA364-1</f>
        <v>6.050000000000022E-2</v>
      </c>
      <c r="BF365" s="64">
        <f t="shared" si="608"/>
        <v>2.2320000000000118E-2</v>
      </c>
      <c r="BG365" s="64">
        <f t="shared" si="608"/>
        <v>3.4250000000000336E-2</v>
      </c>
      <c r="BH365" s="180">
        <f t="shared" si="608"/>
        <v>-5.1499999999999879E-3</v>
      </c>
      <c r="BI365" s="64">
        <f t="shared" si="608"/>
        <v>2.0099999999999785E-2</v>
      </c>
      <c r="BJ365" s="64">
        <f>+BJ364/BF364-1</f>
        <v>6.0499999999999998E-2</v>
      </c>
      <c r="BK365" s="64">
        <f t="shared" si="608"/>
        <v>9.9439999999999973E-2</v>
      </c>
      <c r="BL365" s="180">
        <f t="shared" si="608"/>
        <v>0.22399999999999998</v>
      </c>
      <c r="BM365" s="64">
        <f t="shared" ref="BM365:CF365" si="609">+BM364/BI364-1</f>
        <v>9.1800000000000104E-2</v>
      </c>
      <c r="BN365" s="64">
        <f t="shared" si="609"/>
        <v>9.1800000000000104E-2</v>
      </c>
      <c r="BO365" s="64">
        <f t="shared" si="609"/>
        <v>9.1800000000000104E-2</v>
      </c>
      <c r="BP365" s="180">
        <f t="shared" si="609"/>
        <v>8.1500000000000128E-2</v>
      </c>
      <c r="BQ365" s="64">
        <f t="shared" si="609"/>
        <v>7.1000000000000174E-2</v>
      </c>
      <c r="BR365" s="64">
        <f t="shared" si="609"/>
        <v>7.1000000000000174E-2</v>
      </c>
      <c r="BS365" s="64">
        <f t="shared" si="609"/>
        <v>6.8375000000000075E-2</v>
      </c>
      <c r="BT365" s="180">
        <f t="shared" si="609"/>
        <v>6.0499999999999998E-2</v>
      </c>
      <c r="BU365" s="64">
        <f t="shared" si="609"/>
        <v>4.4750000000000068E-2</v>
      </c>
      <c r="BV365" s="64">
        <f t="shared" si="609"/>
        <v>4.4749999999999845E-2</v>
      </c>
      <c r="BW365" s="64">
        <f t="shared" si="609"/>
        <v>4.4750000000000068E-2</v>
      </c>
      <c r="BX365" s="180">
        <f t="shared" si="609"/>
        <v>4.4750000000000068E-2</v>
      </c>
      <c r="BY365" s="64">
        <f t="shared" si="609"/>
        <v>6.0499999999999998E-2</v>
      </c>
      <c r="BZ365" s="64">
        <f t="shared" si="609"/>
        <v>3.9500000000000091E-2</v>
      </c>
      <c r="CA365" s="64">
        <f t="shared" si="609"/>
        <v>3.9500000000000091E-2</v>
      </c>
      <c r="CB365" s="180">
        <f t="shared" si="609"/>
        <v>3.9500000000000091E-2</v>
      </c>
      <c r="CC365" s="64">
        <f t="shared" si="609"/>
        <v>3.9500000000000091E-2</v>
      </c>
      <c r="CD365" s="64">
        <f t="shared" si="609"/>
        <v>2.8999999999999915E-2</v>
      </c>
      <c r="CE365" s="64">
        <f t="shared" si="609"/>
        <v>3.9499999999999869E-2</v>
      </c>
      <c r="CF365" s="180">
        <f t="shared" si="609"/>
        <v>3.9499999999999869E-2</v>
      </c>
      <c r="CG365" s="234"/>
      <c r="CH365" s="160"/>
      <c r="CM365" s="64"/>
      <c r="CN365" s="64">
        <f t="shared" ref="CN365:CY365" si="610">+CN364/CM364-1</f>
        <v>0.20120588000894646</v>
      </c>
      <c r="CO365" s="64">
        <f t="shared" si="610"/>
        <v>0.35919253643313209</v>
      </c>
      <c r="CP365" s="64">
        <f t="shared" si="610"/>
        <v>0.31608486344138509</v>
      </c>
      <c r="CQ365" s="64">
        <f t="shared" si="610"/>
        <v>0.18624471578427038</v>
      </c>
      <c r="CR365" s="64">
        <f t="shared" si="610"/>
        <v>9.6193373132089643E-2</v>
      </c>
      <c r="CS365" s="64">
        <f t="shared" si="610"/>
        <v>2.7692952213958177E-2</v>
      </c>
      <c r="CT365" s="64">
        <f t="shared" si="610"/>
        <v>9.9380997096784274E-2</v>
      </c>
      <c r="CU365" s="64">
        <f t="shared" si="610"/>
        <v>8.9185953504844262E-2</v>
      </c>
      <c r="CV365" s="64">
        <f t="shared" si="610"/>
        <v>6.7616517409774035E-2</v>
      </c>
      <c r="CW365" s="64">
        <f t="shared" si="610"/>
        <v>4.4750000000000068E-2</v>
      </c>
      <c r="CX365" s="64">
        <f t="shared" si="610"/>
        <v>4.4011704595877221E-2</v>
      </c>
      <c r="CY365" s="64">
        <f t="shared" si="610"/>
        <v>3.684775154571529E-2</v>
      </c>
      <c r="CZ365" s="64">
        <f t="shared" ref="CZ365:DF365" si="611">+CZ364/CV364-1</f>
        <v>0.17615911055023115</v>
      </c>
      <c r="DA365" s="64">
        <f t="shared" si="611"/>
        <v>0.17081165347905292</v>
      </c>
      <c r="DB365" s="64">
        <f t="shared" si="611"/>
        <v>0.16631270919471985</v>
      </c>
      <c r="DC365" s="64">
        <f t="shared" si="611"/>
        <v>0.16985856000000021</v>
      </c>
      <c r="DD365" s="64">
        <f t="shared" si="611"/>
        <v>0.16985856000000021</v>
      </c>
      <c r="DE365" s="64">
        <f t="shared" si="611"/>
        <v>0.16985855999999999</v>
      </c>
      <c r="DF365" s="180">
        <f t="shared" si="611"/>
        <v>0.16985855999999999</v>
      </c>
    </row>
    <row r="366" spans="1:110" ht="12.75" customHeight="1">
      <c r="A366" s="18"/>
      <c r="B366" s="19"/>
      <c r="C366" s="19"/>
      <c r="D366" s="19"/>
      <c r="E366" s="19"/>
      <c r="F366" s="18"/>
      <c r="G366" s="18"/>
      <c r="H366" s="18"/>
      <c r="I366" s="728" t="s">
        <v>501</v>
      </c>
      <c r="J366" s="7"/>
      <c r="K366" s="7"/>
      <c r="P366" s="234"/>
      <c r="T366" s="234"/>
      <c r="X366" s="234"/>
      <c r="AB366" s="234"/>
      <c r="AF366" s="249"/>
      <c r="AG366" s="800">
        <f t="shared" ref="AG366:BL366" si="612">+AG335</f>
        <v>200.2</v>
      </c>
      <c r="AH366" s="800">
        <f t="shared" si="612"/>
        <v>238.09</v>
      </c>
      <c r="AI366" s="800">
        <f t="shared" si="612"/>
        <v>189.81</v>
      </c>
      <c r="AJ366" s="849">
        <f t="shared" si="612"/>
        <v>152.88</v>
      </c>
      <c r="AK366" s="800">
        <f t="shared" si="612"/>
        <v>179.23949999999999</v>
      </c>
      <c r="AL366" s="800">
        <f t="shared" si="612"/>
        <v>219.15299999999999</v>
      </c>
      <c r="AM366" s="800">
        <f t="shared" si="612"/>
        <v>238.08329999999998</v>
      </c>
      <c r="AN366" s="849">
        <f t="shared" si="612"/>
        <v>217.72400000000002</v>
      </c>
      <c r="AO366" s="800">
        <f t="shared" si="612"/>
        <v>339.22124999999994</v>
      </c>
      <c r="AP366" s="800">
        <f t="shared" si="612"/>
        <v>421.12930000000006</v>
      </c>
      <c r="AQ366" s="800">
        <f t="shared" si="612"/>
        <v>365.98085000000015</v>
      </c>
      <c r="AR366" s="849">
        <f t="shared" si="612"/>
        <v>335.66729999999984</v>
      </c>
      <c r="AS366" s="800">
        <f t="shared" si="612"/>
        <v>391.80509999999998</v>
      </c>
      <c r="AT366" s="800">
        <f t="shared" si="612"/>
        <v>420.09659999999991</v>
      </c>
      <c r="AU366" s="800">
        <f t="shared" si="612"/>
        <v>435.77999999999986</v>
      </c>
      <c r="AV366" s="849">
        <f t="shared" si="612"/>
        <v>373.79160000000007</v>
      </c>
      <c r="AW366" s="800">
        <f t="shared" si="612"/>
        <v>499.91688000000016</v>
      </c>
      <c r="AX366" s="800">
        <f t="shared" si="612"/>
        <v>561.7017000000003</v>
      </c>
      <c r="AY366" s="800">
        <f t="shared" si="612"/>
        <v>517.37760000000003</v>
      </c>
      <c r="AZ366" s="849">
        <f t="shared" si="612"/>
        <v>417.89249999999987</v>
      </c>
      <c r="BA366" s="800">
        <f t="shared" si="612"/>
        <v>518.46279245283029</v>
      </c>
      <c r="BB366" s="800">
        <f t="shared" si="612"/>
        <v>589.94255214723933</v>
      </c>
      <c r="BC366" s="800">
        <f t="shared" si="612"/>
        <v>515.88614634146347</v>
      </c>
      <c r="BD366" s="849">
        <f t="shared" si="612"/>
        <v>440.22239418181817</v>
      </c>
      <c r="BE366" s="800">
        <f t="shared" si="612"/>
        <v>544.38593207547183</v>
      </c>
      <c r="BF366" s="800">
        <f t="shared" si="612"/>
        <v>631.2385307975461</v>
      </c>
      <c r="BG366" s="800">
        <f t="shared" si="612"/>
        <v>575.53548201219519</v>
      </c>
      <c r="BH366" s="849">
        <f t="shared" si="612"/>
        <v>457.83128994909094</v>
      </c>
      <c r="BI366" s="800">
        <f t="shared" si="612"/>
        <v>595.76235441509448</v>
      </c>
      <c r="BJ366" s="800">
        <f t="shared" si="612"/>
        <v>675.42522795337436</v>
      </c>
      <c r="BK366" s="800">
        <f t="shared" si="612"/>
        <v>639.86003588414633</v>
      </c>
      <c r="BL366" s="849">
        <f t="shared" si="612"/>
        <v>612.18583913192731</v>
      </c>
      <c r="BM366" s="800">
        <f t="shared" ref="BM366:CF366" si="613">+BM335</f>
        <v>721.92379417358507</v>
      </c>
      <c r="BN366" s="800">
        <f t="shared" si="613"/>
        <v>892.75322777131305</v>
      </c>
      <c r="BO366" s="800">
        <f t="shared" si="613"/>
        <v>746.50337519817083</v>
      </c>
      <c r="BP366" s="849">
        <f t="shared" si="613"/>
        <v>601.30253532513757</v>
      </c>
      <c r="BQ366" s="800">
        <f t="shared" si="613"/>
        <v>743.58150799879263</v>
      </c>
      <c r="BR366" s="800">
        <f>+BR335</f>
        <v>955.24595371530506</v>
      </c>
      <c r="BS366" s="800">
        <f>+BS335</f>
        <v>783.82854395807942</v>
      </c>
      <c r="BT366" s="849">
        <f>+BT335</f>
        <v>625.35463673814309</v>
      </c>
      <c r="BU366" s="800">
        <f t="shared" si="613"/>
        <v>689.30005791488077</v>
      </c>
      <c r="BV366" s="800">
        <f t="shared" si="613"/>
        <v>973.44111473845385</v>
      </c>
      <c r="BW366" s="800">
        <f>+BW335</f>
        <v>781.8689725981842</v>
      </c>
      <c r="BX366" s="849">
        <f>+BX335</f>
        <v>612.11183266604121</v>
      </c>
      <c r="BY366" s="800">
        <f t="shared" si="613"/>
        <v>709.97905965232735</v>
      </c>
      <c r="BZ366" s="800">
        <f t="shared" si="613"/>
        <v>937.42379349313114</v>
      </c>
      <c r="CA366" s="800">
        <f t="shared" si="613"/>
        <v>734.54532425671528</v>
      </c>
      <c r="CB366" s="849">
        <f t="shared" si="613"/>
        <v>636.5963059726829</v>
      </c>
      <c r="CC366" s="800">
        <f t="shared" si="613"/>
        <v>745.90400007073504</v>
      </c>
      <c r="CD366" s="800">
        <f t="shared" si="613"/>
        <v>1023.1043282184033</v>
      </c>
      <c r="CE366" s="800">
        <f t="shared" si="613"/>
        <v>786.69804227894213</v>
      </c>
      <c r="CF366" s="849">
        <f t="shared" si="613"/>
        <v>675.30136137582201</v>
      </c>
      <c r="CG366" s="234"/>
      <c r="CH366" s="160"/>
      <c r="CM366" s="800">
        <f>+CM335</f>
        <v>780.9799999999999</v>
      </c>
      <c r="CN366" s="800">
        <f>+CN335</f>
        <v>854.19979999999998</v>
      </c>
      <c r="CO366" s="800">
        <f>+CO335</f>
        <v>1461.9986999999999</v>
      </c>
      <c r="CP366" s="800">
        <f>+CP335</f>
        <v>1621.4732999999997</v>
      </c>
      <c r="CQ366" s="800">
        <f>+SUM(AW366:AZ366)</f>
        <v>1996.8886800000005</v>
      </c>
      <c r="CR366" s="800">
        <f>+SUM(BA366:BD366)</f>
        <v>2064.5138851233514</v>
      </c>
      <c r="CS366" s="800">
        <f>+SUM(BE366:BH366)</f>
        <v>2208.9912348343041</v>
      </c>
      <c r="CT366" s="800">
        <f>+SUM(BI366:BL366)</f>
        <v>2523.2334573845424</v>
      </c>
      <c r="CU366" s="800">
        <f>+SUM(BM366:BP366)</f>
        <v>2962.4829324682069</v>
      </c>
      <c r="CV366" s="800">
        <f>+SUM(BQ366:BT366)</f>
        <v>3108.0106424103205</v>
      </c>
      <c r="CW366" s="800">
        <f>+SUM(BU366:BX366)</f>
        <v>3056.7219779175598</v>
      </c>
      <c r="CX366" s="800">
        <f>+SUM(BY366:CB366)</f>
        <v>3018.5444833748566</v>
      </c>
      <c r="CY366" s="800">
        <f>+SUM(CC366:CF366)</f>
        <v>3231.0077319439024</v>
      </c>
      <c r="CZ366" s="800">
        <f t="shared" ref="CZ366:DF366" si="614">+CZ335</f>
        <v>3458.4254170770382</v>
      </c>
      <c r="DA366" s="800">
        <f t="shared" si="614"/>
        <v>3701.8501216301484</v>
      </c>
      <c r="DB366" s="800">
        <f t="shared" si="614"/>
        <v>3962.4085155478397</v>
      </c>
      <c r="DC366" s="800">
        <f t="shared" si="614"/>
        <v>4241.3065705566905</v>
      </c>
      <c r="DD366" s="800">
        <f t="shared" si="614"/>
        <v>4539.8351418998645</v>
      </c>
      <c r="DE366" s="800">
        <f t="shared" si="614"/>
        <v>4859.3759429476449</v>
      </c>
      <c r="DF366" s="849">
        <f t="shared" si="614"/>
        <v>5201.4079403368687</v>
      </c>
    </row>
    <row r="367" spans="1:110" ht="12.75" customHeight="1">
      <c r="H367" s="34"/>
      <c r="I367" s="185" t="s">
        <v>376</v>
      </c>
      <c r="J367" s="70"/>
      <c r="K367" s="70"/>
      <c r="P367" s="234"/>
      <c r="T367" s="234"/>
      <c r="X367" s="234"/>
      <c r="AB367" s="234"/>
      <c r="AF367" s="249"/>
      <c r="AG367" s="64"/>
      <c r="AH367" s="64"/>
      <c r="AI367" s="64"/>
      <c r="AJ367" s="180"/>
      <c r="AK367" s="64">
        <f t="shared" ref="AK367:BD367" si="615">+AK366/AG366-1</f>
        <v>-0.10469780219780223</v>
      </c>
      <c r="AL367" s="64">
        <f t="shared" si="615"/>
        <v>-7.9537149817295982E-2</v>
      </c>
      <c r="AM367" s="64">
        <f t="shared" si="615"/>
        <v>0.25432432432432428</v>
      </c>
      <c r="AN367" s="180">
        <f t="shared" si="615"/>
        <v>0.42414965986394582</v>
      </c>
      <c r="AO367" s="64">
        <f t="shared" si="615"/>
        <v>0.89255855991564337</v>
      </c>
      <c r="AP367" s="64">
        <f t="shared" si="615"/>
        <v>0.92162233690618001</v>
      </c>
      <c r="AQ367" s="64">
        <f t="shared" si="615"/>
        <v>0.53719664503978293</v>
      </c>
      <c r="AR367" s="180">
        <f t="shared" si="615"/>
        <v>0.54171014679134966</v>
      </c>
      <c r="AS367" s="64">
        <f t="shared" si="615"/>
        <v>0.15501343149935343</v>
      </c>
      <c r="AT367" s="64">
        <f t="shared" si="615"/>
        <v>-2.4522159821227518E-3</v>
      </c>
      <c r="AU367" s="64">
        <f t="shared" si="615"/>
        <v>0.19071803893564288</v>
      </c>
      <c r="AV367" s="180">
        <f t="shared" si="615"/>
        <v>0.11357764071746113</v>
      </c>
      <c r="AW367" s="64">
        <f t="shared" si="615"/>
        <v>0.27593254911689558</v>
      </c>
      <c r="AX367" s="64">
        <f t="shared" si="615"/>
        <v>0.33707747218139938</v>
      </c>
      <c r="AY367" s="64">
        <f t="shared" si="615"/>
        <v>0.18724494010739412</v>
      </c>
      <c r="AZ367" s="180">
        <f t="shared" si="615"/>
        <v>0.11798258708863374</v>
      </c>
      <c r="BA367" s="64">
        <f t="shared" si="615"/>
        <v>3.7097992075862951E-2</v>
      </c>
      <c r="BB367" s="64">
        <f t="shared" si="615"/>
        <v>5.0277312935387286E-2</v>
      </c>
      <c r="BC367" s="64">
        <f t="shared" si="615"/>
        <v>-2.8827178805896914E-3</v>
      </c>
      <c r="BD367" s="180">
        <f t="shared" si="615"/>
        <v>5.3434541614932884E-2</v>
      </c>
      <c r="BE367" s="64">
        <f t="shared" ref="BE367:BL367" si="616">+BE366/BA366-1</f>
        <v>5.0000000000000044E-2</v>
      </c>
      <c r="BF367" s="64">
        <f t="shared" si="616"/>
        <v>7.0000000000000062E-2</v>
      </c>
      <c r="BG367" s="64">
        <f t="shared" si="616"/>
        <v>0.11562500000000009</v>
      </c>
      <c r="BH367" s="180">
        <f t="shared" si="616"/>
        <v>4.0000000000000036E-2</v>
      </c>
      <c r="BI367" s="64">
        <f t="shared" si="616"/>
        <v>9.4375000000000098E-2</v>
      </c>
      <c r="BJ367" s="64">
        <f t="shared" si="616"/>
        <v>7.0000000000000062E-2</v>
      </c>
      <c r="BK367" s="64">
        <f t="shared" si="616"/>
        <v>0.11176470588235277</v>
      </c>
      <c r="BL367" s="180">
        <f t="shared" si="616"/>
        <v>0.33714285714285719</v>
      </c>
      <c r="BM367" s="64">
        <f t="shared" ref="BM367:CF367" si="617">+BM366/BI366-1</f>
        <v>0.21176470588235285</v>
      </c>
      <c r="BN367" s="64">
        <f t="shared" si="617"/>
        <v>0.32176470588235295</v>
      </c>
      <c r="BO367" s="64">
        <f t="shared" si="617"/>
        <v>0.16666666666666674</v>
      </c>
      <c r="BP367" s="180">
        <f t="shared" si="617"/>
        <v>-1.777777777777767E-2</v>
      </c>
      <c r="BQ367" s="64">
        <f t="shared" si="617"/>
        <v>3.0000000000000027E-2</v>
      </c>
      <c r="BR367" s="64">
        <f t="shared" si="617"/>
        <v>7.0000000000000062E-2</v>
      </c>
      <c r="BS367" s="64">
        <f t="shared" si="617"/>
        <v>5.0000000000000044E-2</v>
      </c>
      <c r="BT367" s="180">
        <f t="shared" si="617"/>
        <v>4.0000000000000036E-2</v>
      </c>
      <c r="BU367" s="64">
        <f t="shared" si="617"/>
        <v>-7.2999999999999954E-2</v>
      </c>
      <c r="BV367" s="64">
        <f t="shared" si="617"/>
        <v>1.9047619047619202E-2</v>
      </c>
      <c r="BW367" s="64">
        <f t="shared" si="617"/>
        <v>-2.5000000000000577E-3</v>
      </c>
      <c r="BX367" s="180">
        <f t="shared" si="617"/>
        <v>-2.1176470588235352E-2</v>
      </c>
      <c r="BY367" s="64">
        <f t="shared" si="617"/>
        <v>3.0000000000000249E-2</v>
      </c>
      <c r="BZ367" s="64">
        <f t="shared" si="617"/>
        <v>-3.6999999999999922E-2</v>
      </c>
      <c r="CA367" s="64">
        <f t="shared" si="617"/>
        <v>-6.0526315789473539E-2</v>
      </c>
      <c r="CB367" s="180">
        <f t="shared" si="617"/>
        <v>4.0000000000000036E-2</v>
      </c>
      <c r="CC367" s="64">
        <f t="shared" si="617"/>
        <v>5.0599999999999978E-2</v>
      </c>
      <c r="CD367" s="64">
        <f t="shared" si="617"/>
        <v>9.1399999999999926E-2</v>
      </c>
      <c r="CE367" s="64">
        <f t="shared" si="617"/>
        <v>7.1000000000000174E-2</v>
      </c>
      <c r="CF367" s="180">
        <f t="shared" si="617"/>
        <v>6.0799999999999965E-2</v>
      </c>
      <c r="CG367" s="234"/>
      <c r="CH367" s="160"/>
      <c r="CM367" s="64"/>
      <c r="CN367" s="64">
        <f t="shared" ref="CN367:CY367" si="618">+CN366/CM366-1</f>
        <v>9.3753745294373747E-2</v>
      </c>
      <c r="CO367" s="64">
        <f t="shared" si="618"/>
        <v>0.71154184302080137</v>
      </c>
      <c r="CP367" s="64">
        <f t="shared" si="618"/>
        <v>0.10907985075499704</v>
      </c>
      <c r="CQ367" s="64">
        <f t="shared" si="618"/>
        <v>0.23152732764702377</v>
      </c>
      <c r="CR367" s="64">
        <f t="shared" si="618"/>
        <v>3.3865285431609937E-2</v>
      </c>
      <c r="CS367" s="64">
        <f t="shared" si="618"/>
        <v>6.9981292328445743E-2</v>
      </c>
      <c r="CT367" s="64">
        <f t="shared" si="618"/>
        <v>0.14225598435831244</v>
      </c>
      <c r="CU367" s="64">
        <f t="shared" si="618"/>
        <v>0.17408197953231341</v>
      </c>
      <c r="CV367" s="64">
        <f t="shared" si="618"/>
        <v>4.9123560627863716E-2</v>
      </c>
      <c r="CW367" s="64">
        <f t="shared" si="618"/>
        <v>-1.6502087796258502E-2</v>
      </c>
      <c r="CX367" s="64">
        <f t="shared" si="618"/>
        <v>-1.2489684969227199E-2</v>
      </c>
      <c r="CY367" s="64">
        <f t="shared" si="618"/>
        <v>7.0385992235404427E-2</v>
      </c>
      <c r="CZ367" s="64">
        <f t="shared" ref="CZ367:DF367" si="619">+CZ366/CV366-1</f>
        <v>0.11274568043144284</v>
      </c>
      <c r="DA367" s="64">
        <f t="shared" si="619"/>
        <v>0.21105228030980183</v>
      </c>
      <c r="DB367" s="64">
        <f t="shared" si="619"/>
        <v>0.31268846206225342</v>
      </c>
      <c r="DC367" s="64">
        <f t="shared" si="619"/>
        <v>0.31268846206225342</v>
      </c>
      <c r="DD367" s="64">
        <f t="shared" si="619"/>
        <v>0.31268846206225342</v>
      </c>
      <c r="DE367" s="64">
        <f t="shared" si="619"/>
        <v>0.31268846206225342</v>
      </c>
      <c r="DF367" s="180">
        <f t="shared" si="619"/>
        <v>0.31268846206225298</v>
      </c>
    </row>
    <row r="368" spans="1:110" ht="12.75" customHeight="1">
      <c r="A368" s="12"/>
      <c r="B368" s="12"/>
      <c r="C368" s="12"/>
      <c r="D368" s="12"/>
      <c r="E368" s="12"/>
      <c r="F368" s="12"/>
      <c r="G368" s="12"/>
      <c r="H368" s="12"/>
      <c r="I368" s="728" t="s">
        <v>362</v>
      </c>
      <c r="J368" s="7"/>
      <c r="K368" s="7"/>
      <c r="P368" s="234"/>
      <c r="T368" s="234"/>
      <c r="X368" s="234"/>
      <c r="AB368" s="234"/>
      <c r="AF368" s="249"/>
      <c r="AG368" s="800">
        <f t="shared" ref="AG368:BL368" si="620">+AG359</f>
        <v>48.63</v>
      </c>
      <c r="AH368" s="800">
        <f t="shared" si="620"/>
        <v>60</v>
      </c>
      <c r="AI368" s="800">
        <f t="shared" si="620"/>
        <v>61.32</v>
      </c>
      <c r="AJ368" s="849">
        <f t="shared" si="620"/>
        <v>53.67</v>
      </c>
      <c r="AK368" s="800">
        <f t="shared" si="620"/>
        <v>60.09</v>
      </c>
      <c r="AL368" s="800">
        <f t="shared" si="620"/>
        <v>68.34</v>
      </c>
      <c r="AM368" s="800">
        <f t="shared" si="620"/>
        <v>70.14</v>
      </c>
      <c r="AN368" s="849">
        <f t="shared" si="620"/>
        <v>60.06</v>
      </c>
      <c r="AO368" s="800">
        <f t="shared" si="620"/>
        <v>39.18</v>
      </c>
      <c r="AP368" s="800">
        <f t="shared" si="620"/>
        <v>84.45</v>
      </c>
      <c r="AQ368" s="800">
        <f t="shared" si="620"/>
        <v>69.989999999999995</v>
      </c>
      <c r="AR368" s="849">
        <f t="shared" si="620"/>
        <v>66.72</v>
      </c>
      <c r="AS368" s="800">
        <f t="shared" si="620"/>
        <v>45.21</v>
      </c>
      <c r="AT368" s="800">
        <f t="shared" si="620"/>
        <v>97.11</v>
      </c>
      <c r="AU368" s="800">
        <f t="shared" si="620"/>
        <v>80.724000000000004</v>
      </c>
      <c r="AV368" s="849">
        <f t="shared" si="620"/>
        <v>73.47</v>
      </c>
      <c r="AW368" s="800">
        <f t="shared" si="620"/>
        <v>92.566000000000003</v>
      </c>
      <c r="AX368" s="800">
        <f t="shared" si="620"/>
        <v>89.834000000000003</v>
      </c>
      <c r="AY368" s="800">
        <f t="shared" si="620"/>
        <v>72.3</v>
      </c>
      <c r="AZ368" s="849">
        <f t="shared" si="620"/>
        <v>65.900000000000006</v>
      </c>
      <c r="BA368" s="800">
        <f t="shared" si="620"/>
        <v>56.2</v>
      </c>
      <c r="BB368" s="800">
        <f t="shared" si="620"/>
        <v>104.6</v>
      </c>
      <c r="BC368" s="800">
        <f t="shared" si="620"/>
        <v>36.819999999999993</v>
      </c>
      <c r="BD368" s="849">
        <f t="shared" si="620"/>
        <v>48.800000000000011</v>
      </c>
      <c r="BE368" s="800">
        <f t="shared" si="620"/>
        <v>51.210000000000008</v>
      </c>
      <c r="BF368" s="800">
        <f t="shared" si="620"/>
        <v>106.60000000000002</v>
      </c>
      <c r="BG368" s="800">
        <f t="shared" si="620"/>
        <v>3.1119999999999663</v>
      </c>
      <c r="BH368" s="849">
        <f t="shared" si="620"/>
        <v>49.949999999999989</v>
      </c>
      <c r="BI368" s="800">
        <f t="shared" si="620"/>
        <v>79.133999999999986</v>
      </c>
      <c r="BJ368" s="800">
        <f>+BJ359</f>
        <v>163.5</v>
      </c>
      <c r="BK368" s="800">
        <f>+BK359</f>
        <v>-31.603200000000015</v>
      </c>
      <c r="BL368" s="849">
        <f t="shared" si="620"/>
        <v>69.275000000000006</v>
      </c>
      <c r="BM368" s="800">
        <f t="shared" ref="BM368:CF368" si="621">+BM359</f>
        <v>98.870159999999998</v>
      </c>
      <c r="BN368" s="800">
        <f t="shared" si="621"/>
        <v>174.5</v>
      </c>
      <c r="BO368" s="800">
        <f t="shared" si="621"/>
        <v>-76.412096000000076</v>
      </c>
      <c r="BP368" s="849">
        <f t="shared" si="621"/>
        <v>70.730000000000018</v>
      </c>
      <c r="BQ368" s="800">
        <f t="shared" si="621"/>
        <v>113.684192</v>
      </c>
      <c r="BR368" s="800">
        <f>+BR359</f>
        <v>210.64000000000004</v>
      </c>
      <c r="BS368" s="800">
        <f>+BS359</f>
        <v>-149.76512000000002</v>
      </c>
      <c r="BT368" s="849">
        <f>+BT359</f>
        <v>67.389500000000055</v>
      </c>
      <c r="BU368" s="800">
        <f t="shared" si="621"/>
        <v>122.61429503999994</v>
      </c>
      <c r="BV368" s="800">
        <f t="shared" si="621"/>
        <v>212.23279999999994</v>
      </c>
      <c r="BW368" s="800">
        <f>+BW359</f>
        <v>-165.25693440000009</v>
      </c>
      <c r="BX368" s="849">
        <f>+BX359</f>
        <v>85.892240000000015</v>
      </c>
      <c r="BY368" s="800">
        <f t="shared" si="621"/>
        <v>159.05572454399993</v>
      </c>
      <c r="BZ368" s="800">
        <f t="shared" si="621"/>
        <v>244.30607999999995</v>
      </c>
      <c r="CA368" s="800">
        <f t="shared" si="621"/>
        <v>-206.58262784000021</v>
      </c>
      <c r="CB368" s="849">
        <f t="shared" si="621"/>
        <v>72.781463999999971</v>
      </c>
      <c r="CC368" s="800">
        <f t="shared" si="621"/>
        <v>158.35951077119984</v>
      </c>
      <c r="CD368" s="800">
        <f t="shared" si="621"/>
        <v>253.31288399999988</v>
      </c>
      <c r="CE368" s="800">
        <f t="shared" si="621"/>
        <v>-205.13175923200026</v>
      </c>
      <c r="CF368" s="849">
        <f t="shared" si="621"/>
        <v>99.205537199999981</v>
      </c>
      <c r="CG368" s="234"/>
      <c r="CH368" s="160"/>
      <c r="CM368" s="800">
        <f t="shared" ref="CM368:DF368" si="622">+CM359</f>
        <v>223.62</v>
      </c>
      <c r="CN368" s="800">
        <f t="shared" si="622"/>
        <v>258.63</v>
      </c>
      <c r="CO368" s="800">
        <f t="shared" si="622"/>
        <v>260.34000000000003</v>
      </c>
      <c r="CP368" s="800">
        <f t="shared" si="622"/>
        <v>296.51400000000001</v>
      </c>
      <c r="CQ368" s="800">
        <f t="shared" si="622"/>
        <v>320.59999999999997</v>
      </c>
      <c r="CR368" s="800">
        <f t="shared" si="622"/>
        <v>246.41999999999996</v>
      </c>
      <c r="CS368" s="800">
        <f t="shared" si="622"/>
        <v>210.87199999999984</v>
      </c>
      <c r="CT368" s="800">
        <f t="shared" si="622"/>
        <v>280.30580000000009</v>
      </c>
      <c r="CU368" s="800">
        <f t="shared" si="622"/>
        <v>267.68806399999994</v>
      </c>
      <c r="CV368" s="800">
        <f t="shared" si="622"/>
        <v>241.94857200000001</v>
      </c>
      <c r="CW368" s="800">
        <f t="shared" si="622"/>
        <v>255.48240063999947</v>
      </c>
      <c r="CX368" s="800">
        <f t="shared" si="622"/>
        <v>269.56064070399952</v>
      </c>
      <c r="CY368" s="800">
        <f t="shared" si="622"/>
        <v>305.74617273919966</v>
      </c>
      <c r="CZ368" s="800">
        <f t="shared" si="622"/>
        <v>342.04674730287707</v>
      </c>
      <c r="DA368" s="800">
        <f t="shared" si="622"/>
        <v>377.58323809876629</v>
      </c>
      <c r="DB368" s="800">
        <f t="shared" si="622"/>
        <v>411.42186035783516</v>
      </c>
      <c r="DC368" s="800">
        <f t="shared" si="622"/>
        <v>469.59660073363875</v>
      </c>
      <c r="DD368" s="800">
        <f t="shared" si="622"/>
        <v>553.07529062955336</v>
      </c>
      <c r="DE368" s="800">
        <f t="shared" si="622"/>
        <v>662.15973515704218</v>
      </c>
      <c r="DF368" s="849">
        <f t="shared" si="622"/>
        <v>773.59571634026315</v>
      </c>
    </row>
    <row r="369" spans="1:110" ht="12.75" customHeight="1">
      <c r="A369" s="18"/>
      <c r="B369" s="19"/>
      <c r="C369" s="19"/>
      <c r="D369" s="19"/>
      <c r="E369" s="19"/>
      <c r="F369" s="18"/>
      <c r="G369" s="18"/>
      <c r="H369" s="18"/>
      <c r="I369" s="185" t="s">
        <v>376</v>
      </c>
      <c r="J369" s="70"/>
      <c r="K369" s="70"/>
      <c r="P369" s="234"/>
      <c r="T369" s="234"/>
      <c r="X369" s="234"/>
      <c r="AB369" s="234"/>
      <c r="AF369" s="249"/>
      <c r="AG369" s="64"/>
      <c r="AH369" s="64"/>
      <c r="AI369" s="64"/>
      <c r="AJ369" s="180"/>
      <c r="AK369" s="64">
        <f t="shared" ref="AK369:BD369" si="623">+AK368/AG368-1</f>
        <v>0.23565700185070937</v>
      </c>
      <c r="AL369" s="64">
        <f t="shared" si="623"/>
        <v>0.13900000000000001</v>
      </c>
      <c r="AM369" s="64">
        <f t="shared" si="623"/>
        <v>0.14383561643835607</v>
      </c>
      <c r="AN369" s="180">
        <f t="shared" si="623"/>
        <v>0.11906092789267753</v>
      </c>
      <c r="AO369" s="64">
        <f t="shared" si="623"/>
        <v>-0.34797803295057417</v>
      </c>
      <c r="AP369" s="64">
        <f t="shared" si="623"/>
        <v>0.23573309920983321</v>
      </c>
      <c r="AQ369" s="64">
        <f t="shared" si="623"/>
        <v>-2.1385799828914642E-3</v>
      </c>
      <c r="AR369" s="180">
        <f t="shared" si="623"/>
        <v>0.1108891108891108</v>
      </c>
      <c r="AS369" s="64">
        <f t="shared" si="623"/>
        <v>0.15390505359877493</v>
      </c>
      <c r="AT369" s="64">
        <f t="shared" si="623"/>
        <v>0.1499111900532859</v>
      </c>
      <c r="AU369" s="64">
        <f t="shared" si="623"/>
        <v>0.15336476639519936</v>
      </c>
      <c r="AV369" s="180">
        <f t="shared" si="623"/>
        <v>0.10116906474820153</v>
      </c>
      <c r="AW369" s="64">
        <f t="shared" si="623"/>
        <v>1.0474673744746736</v>
      </c>
      <c r="AX369" s="64">
        <f t="shared" si="623"/>
        <v>-7.4925342395221861E-2</v>
      </c>
      <c r="AY369" s="64">
        <f t="shared" si="623"/>
        <v>-0.10435558198305339</v>
      </c>
      <c r="AZ369" s="180">
        <f t="shared" si="623"/>
        <v>-0.10303525248400702</v>
      </c>
      <c r="BA369" s="64">
        <f t="shared" si="623"/>
        <v>-0.39286563100922589</v>
      </c>
      <c r="BB369" s="64">
        <f t="shared" si="623"/>
        <v>0.16436983770064773</v>
      </c>
      <c r="BC369" s="64">
        <f t="shared" si="623"/>
        <v>-0.49073305670816048</v>
      </c>
      <c r="BD369" s="180">
        <f t="shared" si="623"/>
        <v>-0.25948406676782998</v>
      </c>
      <c r="BE369" s="64">
        <f t="shared" ref="BE369:BL369" si="624">+BE368/BA368-1</f>
        <v>-8.8790035587188565E-2</v>
      </c>
      <c r="BF369" s="64">
        <f t="shared" si="624"/>
        <v>1.9120458891013659E-2</v>
      </c>
      <c r="BG369" s="64">
        <f t="shared" si="624"/>
        <v>-0.91548071700163047</v>
      </c>
      <c r="BH369" s="180">
        <f t="shared" si="624"/>
        <v>2.3565573770491399E-2</v>
      </c>
      <c r="BI369" s="64">
        <f t="shared" si="624"/>
        <v>0.54528412419449279</v>
      </c>
      <c r="BJ369" s="64">
        <f t="shared" si="624"/>
        <v>0.53377110694183827</v>
      </c>
      <c r="BK369" s="64">
        <f t="shared" si="624"/>
        <v>-11.155269922879292</v>
      </c>
      <c r="BL369" s="180">
        <f t="shared" si="624"/>
        <v>0.38688688688688733</v>
      </c>
      <c r="BM369" s="64">
        <f t="shared" ref="BM369:CF369" si="625">+BM368/BI368-1</f>
        <v>0.24940177420577769</v>
      </c>
      <c r="BN369" s="64">
        <f t="shared" si="625"/>
        <v>6.7278287461773667E-2</v>
      </c>
      <c r="BO369" s="64">
        <f t="shared" si="625"/>
        <v>1.4178594572701511</v>
      </c>
      <c r="BP369" s="180">
        <f t="shared" si="625"/>
        <v>2.100324792493713E-2</v>
      </c>
      <c r="BQ369" s="64">
        <f t="shared" si="625"/>
        <v>0.14983319537462059</v>
      </c>
      <c r="BR369" s="64">
        <f t="shared" si="625"/>
        <v>0.20710601719197741</v>
      </c>
      <c r="BS369" s="64">
        <f t="shared" si="625"/>
        <v>0.95996612892283273</v>
      </c>
      <c r="BT369" s="180">
        <f t="shared" si="625"/>
        <v>-4.7228898628587035E-2</v>
      </c>
      <c r="BU369" s="64">
        <f t="shared" si="625"/>
        <v>7.8551845097337258E-2</v>
      </c>
      <c r="BV369" s="64">
        <f t="shared" si="625"/>
        <v>7.5617166729959884E-3</v>
      </c>
      <c r="BW369" s="64">
        <f t="shared" si="625"/>
        <v>0.10344073706881862</v>
      </c>
      <c r="BX369" s="180">
        <f t="shared" si="625"/>
        <v>0.27456413833015447</v>
      </c>
      <c r="BY369" s="64">
        <f t="shared" si="625"/>
        <v>0.29720375990508985</v>
      </c>
      <c r="BZ369" s="64">
        <f t="shared" si="625"/>
        <v>0.1511231063247529</v>
      </c>
      <c r="CA369" s="64">
        <f t="shared" si="625"/>
        <v>0.25006934559231486</v>
      </c>
      <c r="CB369" s="180">
        <f t="shared" si="625"/>
        <v>-0.15264214788204433</v>
      </c>
      <c r="CC369" s="64">
        <f t="shared" si="625"/>
        <v>-4.3771689123172086E-3</v>
      </c>
      <c r="CD369" s="64">
        <f t="shared" si="625"/>
        <v>3.6866884360798213E-2</v>
      </c>
      <c r="CE369" s="64">
        <f t="shared" si="625"/>
        <v>-7.0231878796878089E-3</v>
      </c>
      <c r="CF369" s="180">
        <f t="shared" si="625"/>
        <v>0.36306047924510043</v>
      </c>
      <c r="CG369" s="234"/>
      <c r="CH369" s="160"/>
      <c r="CM369" s="64"/>
      <c r="CN369" s="64">
        <f t="shared" ref="CN369:CY369" si="626">+CN368/CM368-1</f>
        <v>0.15656023611483771</v>
      </c>
      <c r="CO369" s="64">
        <f t="shared" si="626"/>
        <v>6.6117619765688751E-3</v>
      </c>
      <c r="CP369" s="64">
        <f t="shared" si="626"/>
        <v>0.13894906660520845</v>
      </c>
      <c r="CQ369" s="64">
        <f t="shared" si="626"/>
        <v>8.1230565841747593E-2</v>
      </c>
      <c r="CR369" s="64">
        <f t="shared" si="626"/>
        <v>-0.23137866500311921</v>
      </c>
      <c r="CS369" s="64">
        <f t="shared" si="626"/>
        <v>-0.14425777128479877</v>
      </c>
      <c r="CT369" s="64">
        <f t="shared" si="626"/>
        <v>0.32926988884252206</v>
      </c>
      <c r="CU369" s="64">
        <f t="shared" si="626"/>
        <v>-4.5014180940958548E-2</v>
      </c>
      <c r="CV369" s="64">
        <f t="shared" si="626"/>
        <v>-9.6154799042515116E-2</v>
      </c>
      <c r="CW369" s="64">
        <f t="shared" si="626"/>
        <v>5.593679899875359E-2</v>
      </c>
      <c r="CX369" s="64">
        <f t="shared" si="626"/>
        <v>5.5104539603249236E-2</v>
      </c>
      <c r="CY369" s="64">
        <f t="shared" si="626"/>
        <v>0.134238930211384</v>
      </c>
      <c r="CZ369" s="64">
        <f t="shared" ref="CZ369:DF369" si="627">+CZ368/CV368-1</f>
        <v>0.4137167435023219</v>
      </c>
      <c r="DA369" s="64">
        <f t="shared" si="627"/>
        <v>0.47792269507761209</v>
      </c>
      <c r="DB369" s="64">
        <f t="shared" si="627"/>
        <v>0.52626829823279464</v>
      </c>
      <c r="DC369" s="64">
        <f t="shared" si="627"/>
        <v>0.53590344738085371</v>
      </c>
      <c r="DD369" s="64">
        <f t="shared" si="627"/>
        <v>0.61695819355304038</v>
      </c>
      <c r="DE369" s="64">
        <f t="shared" si="627"/>
        <v>0.75367884043580835</v>
      </c>
      <c r="DF369" s="180">
        <f t="shared" si="627"/>
        <v>0.88029803683116503</v>
      </c>
    </row>
    <row r="370" spans="1:110" ht="12.75" customHeight="1">
      <c r="A370" s="12"/>
      <c r="B370" s="12"/>
      <c r="C370" s="12"/>
      <c r="D370" s="12"/>
      <c r="E370" s="12"/>
      <c r="F370" s="12"/>
      <c r="G370" s="12"/>
      <c r="H370" s="12"/>
      <c r="I370" s="728" t="s">
        <v>502</v>
      </c>
      <c r="J370" s="7"/>
      <c r="K370" s="7"/>
      <c r="P370" s="234"/>
      <c r="T370" s="234"/>
      <c r="X370" s="234"/>
      <c r="AB370" s="234"/>
      <c r="AF370" s="249"/>
      <c r="AG370" s="800">
        <f t="shared" ref="AG370:BL370" si="628">+AG74-AG364-AG366-AG368</f>
        <v>126.95854999999989</v>
      </c>
      <c r="AH370" s="800">
        <f t="shared" si="628"/>
        <v>161.40337499999978</v>
      </c>
      <c r="AI370" s="800">
        <f t="shared" si="628"/>
        <v>141.26689999999991</v>
      </c>
      <c r="AJ370" s="849">
        <f t="shared" si="628"/>
        <v>125.23974999999992</v>
      </c>
      <c r="AK370" s="800">
        <f t="shared" si="628"/>
        <v>124.85413764426477</v>
      </c>
      <c r="AL370" s="800">
        <f t="shared" si="628"/>
        <v>127.95419491943409</v>
      </c>
      <c r="AM370" s="800">
        <f t="shared" si="628"/>
        <v>160.13997040742549</v>
      </c>
      <c r="AN370" s="849">
        <f t="shared" si="628"/>
        <v>132.11277098519892</v>
      </c>
      <c r="AO370" s="800">
        <f t="shared" si="628"/>
        <v>191.18210933412644</v>
      </c>
      <c r="AP370" s="800">
        <f t="shared" si="628"/>
        <v>181.14470850860056</v>
      </c>
      <c r="AQ370" s="800">
        <f t="shared" si="628"/>
        <v>188.59378932676645</v>
      </c>
      <c r="AR370" s="849">
        <f t="shared" si="628"/>
        <v>123.67517425441454</v>
      </c>
      <c r="AS370" s="800">
        <f t="shared" si="628"/>
        <v>221.39390748021012</v>
      </c>
      <c r="AT370" s="800">
        <f t="shared" si="628"/>
        <v>198.58688548137349</v>
      </c>
      <c r="AU370" s="800">
        <f t="shared" si="628"/>
        <v>235.40692488191843</v>
      </c>
      <c r="AV370" s="849">
        <f t="shared" si="628"/>
        <v>183.82686037342771</v>
      </c>
      <c r="AW370" s="800">
        <f t="shared" si="628"/>
        <v>169.3491247649508</v>
      </c>
      <c r="AX370" s="800">
        <f t="shared" si="628"/>
        <v>206.23142482757004</v>
      </c>
      <c r="AY370" s="800">
        <f t="shared" si="628"/>
        <v>239.63851810668274</v>
      </c>
      <c r="AZ370" s="849">
        <f t="shared" si="628"/>
        <v>179.99700958809413</v>
      </c>
      <c r="BA370" s="800">
        <f t="shared" si="628"/>
        <v>296.64813249324897</v>
      </c>
      <c r="BB370" s="800">
        <f t="shared" si="628"/>
        <v>309.83329557239449</v>
      </c>
      <c r="BC370" s="800">
        <f t="shared" si="628"/>
        <v>393.68534493293242</v>
      </c>
      <c r="BD370" s="849">
        <f t="shared" si="628"/>
        <v>283.03304858240506</v>
      </c>
      <c r="BE370" s="800">
        <f t="shared" si="628"/>
        <v>391.12480382984518</v>
      </c>
      <c r="BF370" s="800">
        <f t="shared" si="628"/>
        <v>328.76042584318998</v>
      </c>
      <c r="BG370" s="800">
        <f t="shared" si="628"/>
        <v>447.72891783834859</v>
      </c>
      <c r="BH370" s="849">
        <f t="shared" si="628"/>
        <v>311.6746672848966</v>
      </c>
      <c r="BI370" s="800">
        <f t="shared" si="628"/>
        <v>416.33146828191934</v>
      </c>
      <c r="BJ370" s="800">
        <f t="shared" si="628"/>
        <v>369.89446556412622</v>
      </c>
      <c r="BK370" s="800">
        <f t="shared" si="628"/>
        <v>612.04347316753569</v>
      </c>
      <c r="BL370" s="849">
        <f t="shared" si="628"/>
        <v>366.3932525224734</v>
      </c>
      <c r="BM370" s="800">
        <f t="shared" ref="BM370:CF370" si="629">+BM74-BM364-BM366-BM368</f>
        <v>511.84258264701469</v>
      </c>
      <c r="BN370" s="800">
        <f t="shared" si="629"/>
        <v>429.34771361109392</v>
      </c>
      <c r="BO370" s="800">
        <f t="shared" si="629"/>
        <v>673.63779822445554</v>
      </c>
      <c r="BP370" s="849">
        <f t="shared" si="629"/>
        <v>395.83316479909672</v>
      </c>
      <c r="BQ370" s="800">
        <f t="shared" si="629"/>
        <v>488.76103093606974</v>
      </c>
      <c r="BR370" s="800">
        <f t="shared" si="629"/>
        <v>317.19765450525273</v>
      </c>
      <c r="BS370" s="800">
        <f t="shared" si="629"/>
        <v>639.36550413331895</v>
      </c>
      <c r="BT370" s="849">
        <f t="shared" si="629"/>
        <v>244.4544382436074</v>
      </c>
      <c r="BU370" s="800">
        <f t="shared" si="629"/>
        <v>488.22519164467718</v>
      </c>
      <c r="BV370" s="800">
        <f t="shared" si="629"/>
        <v>306.66919158797458</v>
      </c>
      <c r="BW370" s="800">
        <f t="shared" si="629"/>
        <v>818.43451407970429</v>
      </c>
      <c r="BX370" s="849">
        <f>+BX74-BX364-BX366-BX368</f>
        <v>368.05932094614298</v>
      </c>
      <c r="BY370" s="800">
        <f>+BY74-BY364-BY366-BY368</f>
        <v>456.31088899038247</v>
      </c>
      <c r="BZ370" s="714">
        <f t="shared" si="629"/>
        <v>352.0283705453902</v>
      </c>
      <c r="CA370" s="800">
        <f t="shared" si="629"/>
        <v>959.67984120164124</v>
      </c>
      <c r="CB370" s="849">
        <f t="shared" si="629"/>
        <v>407.0507113773827</v>
      </c>
      <c r="CC370" s="800">
        <f t="shared" si="629"/>
        <v>473.02919180908299</v>
      </c>
      <c r="CD370" s="800">
        <f t="shared" si="629"/>
        <v>324.09523856639584</v>
      </c>
      <c r="CE370" s="800">
        <f t="shared" si="629"/>
        <v>973.40476352217502</v>
      </c>
      <c r="CF370" s="849">
        <f t="shared" si="629"/>
        <v>398.52172472823133</v>
      </c>
      <c r="CG370" s="234"/>
      <c r="CH370" s="160"/>
      <c r="CM370" s="800">
        <f>+CM74-CM364-CM366-CM368</f>
        <v>554.86857499999951</v>
      </c>
      <c r="CN370" s="800">
        <f>+CN74-CN364-CN366-CN368</f>
        <v>545.06107395632307</v>
      </c>
      <c r="CO370" s="800">
        <f>+CO74-CO364-CO366-CO368</f>
        <v>684.59578142390808</v>
      </c>
      <c r="CP370" s="800">
        <f>+CP74-CP364-CP366-CP368</f>
        <v>839.21457821693014</v>
      </c>
      <c r="CQ370" s="800">
        <f>+SUM(AW370:AZ370)</f>
        <v>795.21607728729771</v>
      </c>
      <c r="CR370" s="800">
        <f>+SUM(BA370:BD370)</f>
        <v>1283.1998215809808</v>
      </c>
      <c r="CS370" s="800">
        <f>+SUM(BE370:BH370)</f>
        <v>1479.2888147962803</v>
      </c>
      <c r="CT370" s="800">
        <f>+SUM(BI370:BL370)</f>
        <v>1764.6626595360547</v>
      </c>
      <c r="CU370" s="800">
        <f>+SUM(BM370:BP370)</f>
        <v>2010.6612592816609</v>
      </c>
      <c r="CV370" s="800">
        <f>+SUM(BQ370:BT370)</f>
        <v>1689.7786278182489</v>
      </c>
      <c r="CW370" s="800">
        <f>+SUM(BU370:BX370)</f>
        <v>1981.3882182584989</v>
      </c>
      <c r="CX370" s="800">
        <f>+SUM(BY370:CB370)</f>
        <v>2175.0698121147966</v>
      </c>
      <c r="CY370" s="800">
        <f>+SUM(CC370:CF370)</f>
        <v>2169.0509186258851</v>
      </c>
      <c r="CZ370" s="800">
        <f t="shared" ref="CZ370:DF370" si="630">+CZ74-CZ364-CZ366-CZ368</f>
        <v>2093.4024091172828</v>
      </c>
      <c r="DA370" s="800">
        <f t="shared" si="630"/>
        <v>1942.6208277697929</v>
      </c>
      <c r="DB370" s="800">
        <f t="shared" si="630"/>
        <v>1718.6944460977952</v>
      </c>
      <c r="DC370" s="800">
        <f t="shared" si="630"/>
        <v>1453.3021573731289</v>
      </c>
      <c r="DD370" s="800">
        <f t="shared" si="630"/>
        <v>1144.0215630274665</v>
      </c>
      <c r="DE370" s="800">
        <f t="shared" si="630"/>
        <v>789.01263481859996</v>
      </c>
      <c r="DF370" s="849">
        <f t="shared" si="630"/>
        <v>409.90008030816489</v>
      </c>
    </row>
    <row r="371" spans="1:110" ht="12.75" customHeight="1">
      <c r="A371" s="12"/>
      <c r="B371" s="13"/>
      <c r="C371" s="13"/>
      <c r="D371" s="13"/>
      <c r="E371" s="13"/>
      <c r="F371" s="12"/>
      <c r="G371" s="12"/>
      <c r="H371" s="12"/>
      <c r="I371" s="185" t="s">
        <v>376</v>
      </c>
      <c r="J371" s="70"/>
      <c r="K371" s="70"/>
      <c r="P371" s="234"/>
      <c r="T371" s="234"/>
      <c r="X371" s="234"/>
      <c r="AB371" s="234"/>
      <c r="AF371" s="249"/>
      <c r="AG371" s="800"/>
      <c r="AH371" s="800"/>
      <c r="AI371" s="800"/>
      <c r="AJ371" s="849"/>
      <c r="AK371" s="64">
        <f t="shared" ref="AK371:BD371" si="631">+AK370/AG370-1</f>
        <v>-1.6575585935213688E-2</v>
      </c>
      <c r="AL371" s="64">
        <f t="shared" si="631"/>
        <v>-0.20723965704289482</v>
      </c>
      <c r="AM371" s="64">
        <f t="shared" si="631"/>
        <v>0.13359867320246699</v>
      </c>
      <c r="AN371" s="180">
        <f t="shared" si="631"/>
        <v>5.4878910131958891E-2</v>
      </c>
      <c r="AO371" s="64">
        <f t="shared" si="631"/>
        <v>0.53124368115731779</v>
      </c>
      <c r="AP371" s="64">
        <f t="shared" si="631"/>
        <v>0.41569964644502422</v>
      </c>
      <c r="AQ371" s="64">
        <f t="shared" si="631"/>
        <v>0.17768093029459919</v>
      </c>
      <c r="AR371" s="180">
        <f t="shared" si="631"/>
        <v>-6.3866624459263499E-2</v>
      </c>
      <c r="AS371" s="64">
        <f t="shared" si="631"/>
        <v>0.15802628316691969</v>
      </c>
      <c r="AT371" s="64">
        <f t="shared" si="631"/>
        <v>9.628863639671148E-2</v>
      </c>
      <c r="AU371" s="64">
        <f t="shared" si="631"/>
        <v>0.24822204231784828</v>
      </c>
      <c r="AV371" s="180">
        <f t="shared" si="631"/>
        <v>0.48636831507731682</v>
      </c>
      <c r="AW371" s="64">
        <f t="shared" si="631"/>
        <v>-0.23507775488316673</v>
      </c>
      <c r="AX371" s="64">
        <f t="shared" si="631"/>
        <v>3.8494683713208078E-2</v>
      </c>
      <c r="AY371" s="64">
        <f t="shared" si="631"/>
        <v>1.7975653124422397E-2</v>
      </c>
      <c r="AZ371" s="180">
        <f t="shared" si="631"/>
        <v>-2.0834010750951037E-2</v>
      </c>
      <c r="BA371" s="64">
        <f t="shared" si="631"/>
        <v>0.75169569317221829</v>
      </c>
      <c r="BB371" s="64">
        <f t="shared" si="631"/>
        <v>0.50235734360777418</v>
      </c>
      <c r="BC371" s="64">
        <f t="shared" si="631"/>
        <v>0.64282999262109786</v>
      </c>
      <c r="BD371" s="180">
        <f t="shared" si="631"/>
        <v>0.57243194889792348</v>
      </c>
      <c r="BE371" s="64">
        <f t="shared" ref="BE371:BL371" si="632">+BE370/BA370-1</f>
        <v>0.3184805868910916</v>
      </c>
      <c r="BF371" s="64">
        <f t="shared" si="632"/>
        <v>6.1088109448756978E-2</v>
      </c>
      <c r="BG371" s="64">
        <f t="shared" si="632"/>
        <v>0.13727605967812417</v>
      </c>
      <c r="BH371" s="180">
        <f t="shared" si="632"/>
        <v>0.10119531569173823</v>
      </c>
      <c r="BI371" s="64">
        <f t="shared" si="632"/>
        <v>6.4446601711918294E-2</v>
      </c>
      <c r="BJ371" s="64">
        <f t="shared" si="632"/>
        <v>0.1251185863244868</v>
      </c>
      <c r="BK371" s="64">
        <f t="shared" si="632"/>
        <v>0.36699562789578954</v>
      </c>
      <c r="BL371" s="180">
        <f t="shared" si="632"/>
        <v>0.17556314638673998</v>
      </c>
      <c r="BM371" s="64">
        <f t="shared" ref="BM371:CF371" si="633">+BM370/BI370-1</f>
        <v>0.22941123033347055</v>
      </c>
      <c r="BN371" s="64">
        <f t="shared" si="633"/>
        <v>0.16073029899567581</v>
      </c>
      <c r="BO371" s="64">
        <f t="shared" si="633"/>
        <v>0.10063717326834309</v>
      </c>
      <c r="BP371" s="180">
        <f t="shared" si="633"/>
        <v>8.0350585263077701E-2</v>
      </c>
      <c r="BQ371" s="64">
        <f t="shared" si="633"/>
        <v>-4.5095020409552045E-2</v>
      </c>
      <c r="BR371" s="64">
        <f t="shared" si="633"/>
        <v>-0.26121033267555138</v>
      </c>
      <c r="BS371" s="64">
        <f t="shared" si="633"/>
        <v>-5.0876441585478105E-2</v>
      </c>
      <c r="BT371" s="180">
        <f t="shared" si="633"/>
        <v>-0.38243062991531018</v>
      </c>
      <c r="BU371" s="64">
        <f t="shared" si="633"/>
        <v>-1.0963216326111969E-3</v>
      </c>
      <c r="BV371" s="64">
        <f t="shared" si="633"/>
        <v>-3.319212096224311E-2</v>
      </c>
      <c r="BW371" s="64">
        <f t="shared" si="633"/>
        <v>0.28007299234749805</v>
      </c>
      <c r="BX371" s="180">
        <f t="shared" si="633"/>
        <v>0.50563566605961552</v>
      </c>
      <c r="BY371" s="64">
        <f t="shared" si="633"/>
        <v>-6.5367996573027054E-2</v>
      </c>
      <c r="BZ371" s="64">
        <f t="shared" si="633"/>
        <v>0.14790914836452806</v>
      </c>
      <c r="CA371" s="64">
        <f t="shared" si="633"/>
        <v>0.17257987620519821</v>
      </c>
      <c r="CB371" s="180">
        <f t="shared" si="633"/>
        <v>0.10593778831903355</v>
      </c>
      <c r="CC371" s="64">
        <f t="shared" si="633"/>
        <v>3.6637965961519914E-2</v>
      </c>
      <c r="CD371" s="64">
        <f t="shared" si="633"/>
        <v>-7.9349093187342068E-2</v>
      </c>
      <c r="CE371" s="64">
        <f t="shared" si="633"/>
        <v>1.4301563637461046E-2</v>
      </c>
      <c r="CF371" s="180">
        <f t="shared" si="633"/>
        <v>-2.0953130435003797E-2</v>
      </c>
      <c r="CG371" s="234"/>
      <c r="CH371" s="160"/>
      <c r="CM371" s="800"/>
      <c r="CN371" s="64">
        <f t="shared" ref="CN371:CY371" si="634">+CN370/CM370-1</f>
        <v>-1.7675358608435277E-2</v>
      </c>
      <c r="CO371" s="64">
        <f t="shared" si="634"/>
        <v>0.25599829841961208</v>
      </c>
      <c r="CP371" s="64">
        <f t="shared" si="634"/>
        <v>0.22585414778838775</v>
      </c>
      <c r="CQ371" s="64">
        <f t="shared" si="634"/>
        <v>-5.2428189490124844E-2</v>
      </c>
      <c r="CR371" s="64">
        <f t="shared" si="634"/>
        <v>0.61364924355947492</v>
      </c>
      <c r="CS371" s="64">
        <f t="shared" si="634"/>
        <v>0.15281251596006751</v>
      </c>
      <c r="CT371" s="64">
        <f t="shared" si="634"/>
        <v>0.19291286588892009</v>
      </c>
      <c r="CU371" s="64">
        <f t="shared" si="634"/>
        <v>0.13940262090108568</v>
      </c>
      <c r="CV371" s="64">
        <f t="shared" si="634"/>
        <v>-0.15959059736300496</v>
      </c>
      <c r="CW371" s="64">
        <f t="shared" si="634"/>
        <v>0.17257265871373972</v>
      </c>
      <c r="CX371" s="64">
        <f t="shared" si="634"/>
        <v>9.7750451966717611E-2</v>
      </c>
      <c r="CY371" s="64">
        <f t="shared" si="634"/>
        <v>-2.767218530360438E-3</v>
      </c>
      <c r="CZ371" s="64">
        <f t="shared" ref="CZ371:DF371" si="635">+CZ370/CV370-1</f>
        <v>0.23886192821610663</v>
      </c>
      <c r="DA371" s="64">
        <f t="shared" si="635"/>
        <v>-1.9565772185109576E-2</v>
      </c>
      <c r="DB371" s="64">
        <f t="shared" si="635"/>
        <v>-0.20982101975534873</v>
      </c>
      <c r="DC371" s="64">
        <f t="shared" si="635"/>
        <v>-0.32998246150265109</v>
      </c>
      <c r="DD371" s="64">
        <f t="shared" si="635"/>
        <v>-0.45351091694316825</v>
      </c>
      <c r="DE371" s="64">
        <f t="shared" si="635"/>
        <v>-0.59384115338430798</v>
      </c>
      <c r="DF371" s="180">
        <f t="shared" si="635"/>
        <v>-0.76150497184719401</v>
      </c>
    </row>
    <row r="372" spans="1:110" s="53" customFormat="1" ht="12.75" customHeight="1">
      <c r="A372" s="12"/>
      <c r="B372" s="13"/>
      <c r="C372" s="13"/>
      <c r="D372" s="13"/>
      <c r="E372" s="13"/>
      <c r="F372" s="12"/>
      <c r="G372" s="12"/>
      <c r="H372" s="12"/>
      <c r="I372" s="1305"/>
      <c r="J372" s="1306"/>
      <c r="K372" s="1306"/>
      <c r="L372" s="1307"/>
      <c r="M372" s="1307"/>
      <c r="N372" s="1307"/>
      <c r="O372" s="1307"/>
      <c r="P372" s="1308"/>
      <c r="Q372" s="1307"/>
      <c r="R372" s="1307"/>
      <c r="S372" s="1307"/>
      <c r="T372" s="1308"/>
      <c r="U372" s="1307"/>
      <c r="V372" s="1307"/>
      <c r="W372" s="1307"/>
      <c r="X372" s="1308"/>
      <c r="Y372" s="1307"/>
      <c r="Z372" s="1307"/>
      <c r="AA372" s="1307"/>
      <c r="AB372" s="1308"/>
      <c r="AC372" s="1309"/>
      <c r="AD372" s="1309"/>
      <c r="AE372" s="1309"/>
      <c r="AF372" s="1310"/>
      <c r="AG372" s="1311"/>
      <c r="AH372" s="1311"/>
      <c r="AI372" s="1311"/>
      <c r="AJ372" s="1312"/>
      <c r="AK372" s="1313"/>
      <c r="AL372" s="1313"/>
      <c r="AM372" s="1313"/>
      <c r="AN372" s="1314"/>
      <c r="AO372" s="1313"/>
      <c r="AP372" s="1313"/>
      <c r="AQ372" s="1313"/>
      <c r="AR372" s="1314"/>
      <c r="AS372" s="1313"/>
      <c r="AT372" s="1313"/>
      <c r="AU372" s="1313"/>
      <c r="AV372" s="1314"/>
      <c r="AW372" s="1313"/>
      <c r="AX372" s="1313"/>
      <c r="AY372" s="1313"/>
      <c r="AZ372" s="1314"/>
      <c r="BA372" s="1313"/>
      <c r="BB372" s="1313"/>
      <c r="BC372" s="1313"/>
      <c r="BD372" s="1314"/>
      <c r="BE372" s="1313"/>
      <c r="BF372" s="1313"/>
      <c r="BG372" s="1313"/>
      <c r="BH372" s="1314"/>
      <c r="BI372" s="1313"/>
      <c r="BJ372" s="1313"/>
      <c r="BK372" s="1313"/>
      <c r="BL372" s="1314"/>
      <c r="BM372" s="1313"/>
      <c r="BN372" s="1313"/>
      <c r="BO372" s="1313"/>
      <c r="BP372" s="1315"/>
      <c r="BQ372" s="1316"/>
      <c r="BR372" s="1316"/>
      <c r="BS372" s="1316"/>
      <c r="BT372" s="1315"/>
      <c r="BU372" s="1316"/>
      <c r="BV372" s="1316"/>
      <c r="BW372" s="1316"/>
      <c r="BX372" s="1315"/>
      <c r="BY372" s="1316"/>
      <c r="BZ372" s="1316"/>
      <c r="CA372" s="1316"/>
      <c r="CB372" s="1315"/>
      <c r="CC372" s="1316"/>
      <c r="CD372" s="1316"/>
      <c r="CE372" s="1316"/>
      <c r="CF372" s="1315"/>
      <c r="CG372" s="234"/>
      <c r="CH372" s="1587"/>
      <c r="CI372" s="1307"/>
      <c r="CJ372" s="1307"/>
      <c r="CK372" s="1307"/>
      <c r="CL372" s="1307"/>
      <c r="CM372" s="1311"/>
      <c r="CN372" s="1313"/>
      <c r="CO372" s="1313"/>
      <c r="CP372" s="1313"/>
      <c r="CQ372" s="1313"/>
      <c r="CR372" s="1313"/>
      <c r="CS372" s="1313"/>
      <c r="CT372" s="1313"/>
      <c r="CU372" s="1313"/>
      <c r="CV372" s="1313"/>
      <c r="CW372" s="1313"/>
      <c r="CX372" s="1313"/>
      <c r="CY372" s="1313"/>
      <c r="CZ372" s="1307"/>
      <c r="DA372" s="1307"/>
      <c r="DB372" s="1307"/>
      <c r="DC372" s="1307"/>
      <c r="DD372" s="1307"/>
      <c r="DE372" s="1307"/>
      <c r="DF372" s="1308"/>
    </row>
    <row r="373" spans="1:110" ht="12.75" customHeight="1">
      <c r="CG373" s="2"/>
      <c r="CH373" s="2"/>
      <c r="CI373" s="2"/>
    </row>
    <row r="374" spans="1:110" ht="12.75" customHeight="1">
      <c r="CG374" s="2"/>
      <c r="CH374" s="2"/>
      <c r="CI374" s="2"/>
      <c r="CX374" s="2334"/>
    </row>
    <row r="375" spans="1:110" ht="12.75" customHeight="1">
      <c r="CG375" s="2"/>
      <c r="CH375" s="2"/>
      <c r="CI375" s="2"/>
      <c r="CX375" s="2334"/>
    </row>
    <row r="376" spans="1:110" ht="12.75" customHeight="1">
      <c r="CG376" s="2"/>
      <c r="CH376" s="2"/>
      <c r="CI376" s="2"/>
    </row>
    <row r="388" spans="9:103" ht="12.75" customHeight="1">
      <c r="BM388" s="29"/>
      <c r="BN388" s="29"/>
      <c r="BO388" s="29"/>
      <c r="BP388" s="29"/>
      <c r="BQ388" s="38"/>
      <c r="BR388" s="38"/>
      <c r="BS388" s="38"/>
      <c r="BT388" s="38"/>
      <c r="BU388" s="38"/>
      <c r="BV388" s="38"/>
      <c r="BW388" s="38"/>
      <c r="BX388" s="38"/>
      <c r="BY388" s="38"/>
      <c r="BZ388" s="38"/>
      <c r="CA388" s="38"/>
      <c r="CB388" s="38"/>
      <c r="CC388" s="38"/>
      <c r="CD388" s="38"/>
      <c r="CE388" s="38"/>
      <c r="CF388" s="38"/>
      <c r="CV388" s="38"/>
      <c r="CW388" s="38"/>
      <c r="CX388" s="38"/>
      <c r="CY388" s="38"/>
    </row>
    <row r="389" spans="9:103" ht="12.75" customHeight="1">
      <c r="BQ389" s="33"/>
      <c r="BR389" s="33"/>
      <c r="BS389" s="33"/>
      <c r="BT389" s="33"/>
      <c r="BU389" s="33"/>
      <c r="BV389" s="33"/>
      <c r="BW389" s="33"/>
      <c r="BX389" s="33"/>
      <c r="BY389" s="33"/>
      <c r="BZ389" s="33"/>
      <c r="CA389" s="33"/>
      <c r="CB389" s="33"/>
      <c r="CC389" s="33"/>
      <c r="CD389" s="33"/>
      <c r="CE389" s="33"/>
      <c r="CF389" s="33"/>
      <c r="CV389" s="38"/>
      <c r="CW389" s="38"/>
      <c r="CX389" s="38"/>
      <c r="CY389" s="38"/>
    </row>
    <row r="392" spans="9:103" ht="12.75" customHeight="1">
      <c r="I392" s="69"/>
      <c r="J392" s="69"/>
      <c r="K392" s="69"/>
      <c r="AG392" s="97"/>
      <c r="AH392" s="97"/>
      <c r="AI392" s="97"/>
      <c r="AJ392" s="97"/>
      <c r="AK392" s="105"/>
      <c r="AL392" s="105"/>
      <c r="AM392" s="105"/>
      <c r="AN392" s="105"/>
      <c r="AO392" s="27"/>
      <c r="AP392" s="27"/>
      <c r="AQ392" s="27"/>
      <c r="AR392" s="27"/>
      <c r="AS392" s="27"/>
      <c r="AT392" s="27"/>
      <c r="AU392" s="27"/>
      <c r="AV392" s="27"/>
      <c r="AW392" s="847"/>
      <c r="AX392" s="847"/>
      <c r="AY392" s="847"/>
      <c r="AZ392" s="847"/>
      <c r="BA392" s="847"/>
      <c r="BB392" s="847"/>
      <c r="BC392" s="847"/>
      <c r="BD392" s="96"/>
      <c r="BE392" s="96"/>
      <c r="BF392" s="96"/>
      <c r="BG392" s="96"/>
      <c r="BH392" s="96"/>
      <c r="BI392" s="38"/>
      <c r="BJ392" s="96"/>
      <c r="BK392" s="96"/>
      <c r="BL392" s="96"/>
      <c r="BM392" s="96"/>
      <c r="BN392" s="96"/>
      <c r="BO392" s="96"/>
      <c r="BP392" s="96"/>
      <c r="BQ392" s="96"/>
      <c r="BR392" s="96"/>
      <c r="BS392" s="96"/>
      <c r="BT392" s="96"/>
      <c r="BU392" s="96"/>
      <c r="BV392" s="96"/>
      <c r="BW392" s="96"/>
      <c r="BX392" s="96"/>
      <c r="BY392" s="96"/>
      <c r="BZ392" s="96"/>
      <c r="CA392" s="96"/>
      <c r="CB392" s="96"/>
      <c r="CC392" s="96"/>
      <c r="CD392" s="96"/>
      <c r="CE392" s="96"/>
      <c r="CF392" s="96"/>
      <c r="CM392" s="97"/>
      <c r="CN392" s="105"/>
      <c r="CO392" s="27"/>
      <c r="CP392" s="27"/>
      <c r="CQ392" s="27"/>
      <c r="CR392" s="96"/>
      <c r="CS392" s="96"/>
      <c r="CT392" s="96"/>
      <c r="CU392" s="96"/>
      <c r="CV392" s="96"/>
      <c r="CW392" s="96"/>
      <c r="CX392" s="96"/>
      <c r="CY392" s="96"/>
    </row>
  </sheetData>
  <pageMargins left="0.75" right="0.75" top="1" bottom="1" header="0.5" footer="0.5"/>
  <pageSetup orientation="portrait" horizontalDpi="4294967292" verticalDpi="4294967292"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70C0"/>
  </sheetPr>
  <dimension ref="A1:DJ117"/>
  <sheetViews>
    <sheetView showGridLines="0" topLeftCell="H1" zoomScale="115" zoomScaleNormal="115" workbookViewId="0">
      <pane xSplit="5" ySplit="8" topLeftCell="BV60" activePane="bottomRight" state="frozen"/>
      <selection activeCell="H1" sqref="H1"/>
      <selection pane="topRight" activeCell="M1" sqref="M1"/>
      <selection pane="bottomLeft" activeCell="H9" sqref="H9"/>
      <selection pane="bottomRight" activeCell="CC75" sqref="CC75"/>
    </sheetView>
  </sheetViews>
  <sheetFormatPr defaultColWidth="10.6640625" defaultRowHeight="11.25" outlineLevelRow="1" outlineLevelCol="1"/>
  <cols>
    <col min="1" max="1" width="2" style="24" hidden="1" customWidth="1" outlineLevel="1"/>
    <col min="2" max="2" width="39.83203125" style="24" hidden="1" customWidth="1" outlineLevel="1"/>
    <col min="3" max="7" width="6.6640625" style="24" hidden="1" customWidth="1" outlineLevel="1"/>
    <col min="8" max="8" width="2" style="24" customWidth="1" collapsed="1"/>
    <col min="9" max="12" width="11" style="24" customWidth="1"/>
    <col min="13" max="32" width="9.33203125" style="24" hidden="1" customWidth="1" outlineLevel="1"/>
    <col min="33" max="42" width="9.33203125" style="30" hidden="1" customWidth="1" outlineLevel="1"/>
    <col min="43" max="43" width="9.33203125" style="33" hidden="1" customWidth="1" outlineLevel="1"/>
    <col min="44" max="48" width="9.33203125" style="2" hidden="1" customWidth="1" outlineLevel="1"/>
    <col min="49" max="51" width="9.33203125" style="31" hidden="1" customWidth="1" outlineLevel="1"/>
    <col min="52" max="60" width="9.33203125" style="2" hidden="1" customWidth="1" outlineLevel="1"/>
    <col min="61" max="61" width="9.33203125" style="2" customWidth="1" collapsed="1"/>
    <col min="62" max="84" width="9.33203125" style="2" customWidth="1"/>
    <col min="85" max="85" width="9.33203125" style="26" customWidth="1"/>
    <col min="86" max="88" width="9.33203125" style="26" hidden="1" customWidth="1" outlineLevel="1"/>
    <col min="89" max="90" width="9.33203125" style="24" hidden="1" customWidth="1" outlineLevel="1"/>
    <col min="91" max="91" width="9.33203125" style="28" hidden="1" customWidth="1" outlineLevel="1"/>
    <col min="92" max="93" width="9.33203125" style="2" hidden="1" customWidth="1" outlineLevel="1"/>
    <col min="94" max="94" width="9.33203125" style="31" hidden="1" customWidth="1" outlineLevel="1"/>
    <col min="95" max="95" width="9.33203125" style="2" hidden="1" customWidth="1" outlineLevel="1"/>
    <col min="96" max="96" width="9.33203125" style="2" hidden="1" customWidth="1" outlineLevel="1" collapsed="1"/>
    <col min="97" max="97" width="9.33203125" style="29" hidden="1" customWidth="1" outlineLevel="1"/>
    <col min="98" max="98" width="9.33203125" style="29" customWidth="1" collapsed="1"/>
    <col min="99" max="103" width="9.33203125" style="29" customWidth="1"/>
    <col min="104" max="104" width="10.5" style="24" bestFit="1" customWidth="1"/>
    <col min="105" max="105" width="10.5" style="26" bestFit="1" customWidth="1"/>
    <col min="106" max="108" width="10.5" bestFit="1" customWidth="1"/>
    <col min="109" max="109" width="10.1640625" bestFit="1" customWidth="1"/>
    <col min="110" max="110" width="10.5" bestFit="1" customWidth="1"/>
    <col min="112" max="16384" width="10.6640625" style="26"/>
  </cols>
  <sheetData>
    <row r="1" spans="1:114" s="24" customFormat="1" ht="11.25" customHeight="1">
      <c r="B1" s="25"/>
      <c r="C1" s="25"/>
      <c r="D1" s="25"/>
      <c r="E1" s="25"/>
      <c r="F1" s="25"/>
      <c r="G1" s="25"/>
      <c r="I1" s="266"/>
      <c r="J1" s="267"/>
      <c r="K1" s="744"/>
      <c r="L1" s="745"/>
      <c r="M1" s="33"/>
      <c r="N1" s="33"/>
      <c r="O1" s="33"/>
      <c r="P1" s="33"/>
      <c r="Q1" s="33"/>
      <c r="R1" s="33"/>
      <c r="S1" s="33"/>
      <c r="T1" s="33"/>
      <c r="U1" s="268"/>
      <c r="V1" s="268"/>
      <c r="W1" s="268"/>
      <c r="X1" s="268"/>
      <c r="Y1" s="268"/>
      <c r="Z1" s="268"/>
      <c r="AA1" s="268"/>
      <c r="AB1" s="268"/>
      <c r="AC1" s="268"/>
      <c r="AD1" s="268"/>
      <c r="AE1" s="268"/>
      <c r="AF1" s="268"/>
      <c r="AG1" s="268"/>
      <c r="AH1" s="268"/>
      <c r="AI1" s="268"/>
      <c r="AJ1" s="268"/>
      <c r="AK1" s="268"/>
      <c r="AL1" s="268"/>
      <c r="AM1" s="268"/>
      <c r="AN1" s="268"/>
      <c r="AO1" s="268"/>
      <c r="AP1" s="268"/>
      <c r="AQ1" s="268"/>
      <c r="AR1" s="268"/>
      <c r="AS1" s="268"/>
      <c r="AT1" s="268"/>
      <c r="AU1" s="268"/>
      <c r="AV1" s="268"/>
      <c r="AW1" s="268"/>
      <c r="AX1" s="268"/>
      <c r="AY1" s="268"/>
      <c r="AZ1" s="268"/>
      <c r="BA1" s="128"/>
      <c r="BB1" s="269"/>
      <c r="BC1" s="270"/>
      <c r="BD1" s="269"/>
      <c r="BE1" s="268"/>
      <c r="BF1" s="268"/>
      <c r="BG1" s="268"/>
      <c r="BH1" s="268"/>
      <c r="BI1" s="268"/>
      <c r="BJ1" s="268"/>
      <c r="BK1" s="268"/>
      <c r="BL1" s="268"/>
      <c r="BM1" s="268"/>
      <c r="BN1" s="268"/>
      <c r="BO1" s="268"/>
      <c r="BP1" s="268"/>
      <c r="BQ1" s="268"/>
      <c r="BR1" s="268"/>
      <c r="BS1" s="268"/>
      <c r="BT1" s="268"/>
      <c r="BU1" s="268"/>
      <c r="BV1" s="268"/>
      <c r="BW1" s="2000"/>
      <c r="BX1" s="2000"/>
      <c r="BY1" s="268"/>
      <c r="BZ1" s="268"/>
      <c r="CA1" s="268"/>
      <c r="CB1" s="268"/>
      <c r="CC1" s="268"/>
      <c r="CD1" s="268"/>
      <c r="CE1" s="268"/>
      <c r="CF1" s="268"/>
      <c r="CH1" s="33"/>
      <c r="CI1" s="33"/>
      <c r="CJ1" s="268"/>
      <c r="CK1" s="268"/>
      <c r="CL1" s="268"/>
      <c r="CM1" s="268"/>
      <c r="CN1" s="268"/>
      <c r="CO1" s="268"/>
      <c r="CP1" s="268"/>
      <c r="CQ1" s="268"/>
      <c r="CR1" s="268"/>
      <c r="CS1" s="268"/>
      <c r="CT1" s="111"/>
      <c r="CU1" s="111"/>
      <c r="CV1" s="111"/>
      <c r="CW1" s="111"/>
      <c r="CX1" s="111"/>
      <c r="CY1" s="111"/>
      <c r="DB1"/>
      <c r="DC1"/>
      <c r="DD1"/>
      <c r="DE1"/>
      <c r="DF1"/>
      <c r="DG1"/>
    </row>
    <row r="2" spans="1:114" s="24" customFormat="1" ht="11.25" customHeight="1">
      <c r="I2" s="267"/>
      <c r="J2" s="1902"/>
      <c r="K2" s="744"/>
      <c r="L2" s="744"/>
      <c r="M2" s="70"/>
      <c r="N2" s="70"/>
      <c r="O2" s="70"/>
      <c r="P2" s="70"/>
      <c r="Q2" s="70"/>
      <c r="R2" s="70"/>
      <c r="S2" s="70"/>
      <c r="T2" s="70"/>
      <c r="U2" s="268"/>
      <c r="V2" s="268"/>
      <c r="W2" s="268"/>
      <c r="X2" s="268"/>
      <c r="Y2" s="268"/>
      <c r="Z2" s="268"/>
      <c r="AA2" s="268"/>
      <c r="AB2" s="268"/>
      <c r="AC2" s="268"/>
      <c r="AD2" s="268"/>
      <c r="AE2" s="268"/>
      <c r="AF2" s="26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397"/>
      <c r="BR2" s="268"/>
      <c r="BS2" s="268"/>
      <c r="BT2" s="402"/>
      <c r="BU2" s="1871"/>
      <c r="BV2" s="402"/>
      <c r="BW2" s="402"/>
      <c r="BX2" s="1871"/>
      <c r="BY2" s="268"/>
      <c r="BZ2" s="268"/>
      <c r="CA2" s="268"/>
      <c r="CB2" s="268"/>
      <c r="CC2" s="268"/>
      <c r="CD2" s="268"/>
      <c r="CE2" s="268"/>
      <c r="CF2" s="268"/>
      <c r="CH2" s="70"/>
      <c r="CI2" s="70"/>
      <c r="CJ2" s="268"/>
      <c r="CK2" s="268"/>
      <c r="CL2" s="268"/>
      <c r="CM2" s="30"/>
      <c r="CN2" s="268"/>
      <c r="CO2" s="268"/>
      <c r="CP2" s="268"/>
      <c r="CQ2" s="33"/>
      <c r="CR2" s="268"/>
      <c r="CS2" s="77"/>
      <c r="CT2" s="38"/>
      <c r="CU2" s="176"/>
      <c r="CV2" s="77"/>
      <c r="CW2" s="77"/>
      <c r="CX2" s="77"/>
      <c r="CY2" s="77"/>
      <c r="DB2"/>
      <c r="DC2"/>
      <c r="DD2"/>
      <c r="DE2"/>
      <c r="DF2"/>
      <c r="DG2"/>
    </row>
    <row r="3" spans="1:114" s="24" customFormat="1" ht="11.25" customHeight="1">
      <c r="I3" s="267"/>
      <c r="J3" s="267"/>
      <c r="K3" s="744"/>
      <c r="L3" s="744"/>
      <c r="U3" s="30"/>
      <c r="V3" s="30"/>
      <c r="W3" s="30"/>
      <c r="X3" s="30"/>
      <c r="Y3" s="30"/>
      <c r="Z3" s="30"/>
      <c r="AA3" s="30"/>
      <c r="AB3" s="30"/>
      <c r="AC3" s="30"/>
      <c r="AD3" s="30"/>
      <c r="AE3" s="30"/>
      <c r="AF3" s="30"/>
      <c r="AG3" s="853"/>
      <c r="AH3" s="853"/>
      <c r="AI3" s="853"/>
      <c r="AJ3" s="853"/>
      <c r="AK3" s="853"/>
      <c r="AL3" s="853"/>
      <c r="AM3" s="853"/>
      <c r="AN3" s="853"/>
      <c r="AO3" s="853"/>
      <c r="AP3" s="853"/>
      <c r="AQ3" s="853"/>
      <c r="AR3" s="853"/>
      <c r="AS3" s="853"/>
      <c r="AT3" s="853"/>
      <c r="AU3" s="853"/>
      <c r="AV3" s="853"/>
      <c r="AW3" s="853"/>
      <c r="AX3" s="853"/>
      <c r="AY3" s="853"/>
      <c r="AZ3" s="853"/>
      <c r="BA3" s="853"/>
      <c r="BB3" s="853"/>
      <c r="BC3" s="853"/>
      <c r="BD3" s="853"/>
      <c r="BE3" s="853"/>
      <c r="BF3" s="853"/>
      <c r="BG3" s="853"/>
      <c r="BH3" s="853"/>
      <c r="BI3" s="853"/>
      <c r="BJ3" s="853"/>
      <c r="BK3" s="853"/>
      <c r="BL3" s="853"/>
      <c r="BM3" s="853"/>
      <c r="BN3" s="853"/>
      <c r="BO3" s="853"/>
      <c r="BP3" s="118"/>
      <c r="BQ3" s="1397"/>
      <c r="BR3" s="268"/>
      <c r="BS3" s="1921"/>
      <c r="BT3" s="402"/>
      <c r="BU3" s="853"/>
      <c r="BV3" s="853"/>
      <c r="BW3" s="1831"/>
      <c r="BX3" s="1831"/>
      <c r="BY3" s="268"/>
      <c r="BZ3" s="853"/>
      <c r="CA3" s="853"/>
      <c r="CB3" s="853"/>
      <c r="CC3" s="853"/>
      <c r="CD3" s="853"/>
      <c r="CE3" s="853"/>
      <c r="CF3" s="853"/>
      <c r="CJ3" s="30"/>
      <c r="CK3" s="30"/>
      <c r="CL3" s="30"/>
      <c r="CM3" s="30"/>
      <c r="CN3" s="33"/>
      <c r="CO3" s="33"/>
      <c r="CP3" s="161"/>
      <c r="CQ3" s="33"/>
      <c r="CR3" s="33"/>
      <c r="CS3" s="38"/>
      <c r="CT3" s="38"/>
      <c r="CU3" s="76"/>
      <c r="CV3" s="198"/>
      <c r="CW3" s="198"/>
      <c r="CX3" s="198"/>
      <c r="CY3" s="198"/>
      <c r="DB3"/>
      <c r="DC3"/>
      <c r="DD3"/>
      <c r="DE3"/>
      <c r="DF3"/>
      <c r="DG3"/>
    </row>
    <row r="4" spans="1:114" s="24" customFormat="1" ht="11.25" customHeight="1">
      <c r="I4" s="267"/>
      <c r="J4" s="267"/>
      <c r="K4" s="744"/>
      <c r="L4" s="744"/>
      <c r="U4" s="30"/>
      <c r="V4" s="30"/>
      <c r="W4" s="30"/>
      <c r="X4" s="30"/>
      <c r="Y4" s="30"/>
      <c r="Z4" s="30"/>
      <c r="AA4" s="30"/>
      <c r="AB4" s="30"/>
      <c r="AC4" s="30"/>
      <c r="AD4" s="30"/>
      <c r="AE4" s="30"/>
      <c r="AF4" s="30"/>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735"/>
      <c r="BR4" s="33"/>
      <c r="BS4" s="33"/>
      <c r="BT4" s="33"/>
      <c r="BU4" s="33"/>
      <c r="BV4" s="33"/>
      <c r="BW4" s="33"/>
      <c r="BX4" s="33"/>
      <c r="BY4" s="33"/>
      <c r="BZ4" s="33"/>
      <c r="CA4" s="33"/>
      <c r="CB4" s="33"/>
      <c r="CC4" s="33"/>
      <c r="CD4" s="33"/>
      <c r="CE4" s="33"/>
      <c r="CF4" s="33"/>
      <c r="CJ4" s="30"/>
      <c r="CK4" s="30"/>
      <c r="CL4" s="30"/>
      <c r="CM4" s="30"/>
      <c r="CN4" s="33"/>
      <c r="CO4" s="33"/>
      <c r="CP4" s="161"/>
      <c r="CQ4" s="33"/>
      <c r="CR4" s="33"/>
      <c r="CS4" s="38"/>
      <c r="CT4" s="38"/>
      <c r="CU4" s="76"/>
      <c r="CV4" s="38"/>
      <c r="CW4" s="38"/>
      <c r="CX4" s="38"/>
      <c r="CY4" s="38"/>
      <c r="DB4"/>
      <c r="DC4"/>
      <c r="DD4"/>
      <c r="DE4"/>
      <c r="DF4"/>
      <c r="DG4"/>
    </row>
    <row r="5" spans="1:114" s="24" customFormat="1" ht="11.25" hidden="1" customHeight="1" outlineLevel="1">
      <c r="I5" s="284"/>
      <c r="J5" s="284"/>
      <c r="K5" s="284"/>
      <c r="L5" s="284"/>
      <c r="M5" s="746" t="str">
        <f t="shared" ref="M5:AR5" si="0">+YEAR(M$6)&amp;"-Q"&amp;M8</f>
        <v>2001-Q1</v>
      </c>
      <c r="N5" s="746" t="str">
        <f t="shared" si="0"/>
        <v>2001-Q2</v>
      </c>
      <c r="O5" s="746" t="str">
        <f t="shared" si="0"/>
        <v>2001-Q3</v>
      </c>
      <c r="P5" s="746" t="str">
        <f t="shared" si="0"/>
        <v>2001-Q4</v>
      </c>
      <c r="Q5" s="746" t="str">
        <f t="shared" si="0"/>
        <v>2002-Q1</v>
      </c>
      <c r="R5" s="746" t="str">
        <f t="shared" si="0"/>
        <v>2002-Q2</v>
      </c>
      <c r="S5" s="746" t="str">
        <f t="shared" si="0"/>
        <v>2002-Q3</v>
      </c>
      <c r="T5" s="746" t="str">
        <f t="shared" si="0"/>
        <v>2002-Q4</v>
      </c>
      <c r="U5" s="746" t="str">
        <f t="shared" si="0"/>
        <v>2003-Q1</v>
      </c>
      <c r="V5" s="746" t="str">
        <f t="shared" si="0"/>
        <v>2003-Q2</v>
      </c>
      <c r="W5" s="746" t="str">
        <f t="shared" si="0"/>
        <v>2003-Q3</v>
      </c>
      <c r="X5" s="746" t="str">
        <f t="shared" si="0"/>
        <v>2003-Q4</v>
      </c>
      <c r="Y5" s="746" t="str">
        <f t="shared" si="0"/>
        <v>2004-Q1</v>
      </c>
      <c r="Z5" s="746" t="str">
        <f t="shared" si="0"/>
        <v>2004-Q2</v>
      </c>
      <c r="AA5" s="746" t="str">
        <f t="shared" si="0"/>
        <v>2004-Q3</v>
      </c>
      <c r="AB5" s="746" t="str">
        <f t="shared" si="0"/>
        <v>2004-Q4</v>
      </c>
      <c r="AC5" s="746" t="str">
        <f t="shared" si="0"/>
        <v>2005-Q1</v>
      </c>
      <c r="AD5" s="746" t="str">
        <f t="shared" si="0"/>
        <v>2005-Q2</v>
      </c>
      <c r="AE5" s="746" t="str">
        <f t="shared" si="0"/>
        <v>2005-Q3</v>
      </c>
      <c r="AF5" s="746" t="str">
        <f t="shared" si="0"/>
        <v>2005-Q4</v>
      </c>
      <c r="AG5" s="746" t="str">
        <f t="shared" si="0"/>
        <v>2006-Q1</v>
      </c>
      <c r="AH5" s="746" t="str">
        <f t="shared" si="0"/>
        <v>2006-Q2</v>
      </c>
      <c r="AI5" s="746" t="str">
        <f t="shared" si="0"/>
        <v>2006-Q3</v>
      </c>
      <c r="AJ5" s="746" t="str">
        <f t="shared" si="0"/>
        <v>2006-Q4</v>
      </c>
      <c r="AK5" s="746" t="str">
        <f t="shared" si="0"/>
        <v>2007-Q1</v>
      </c>
      <c r="AL5" s="746" t="str">
        <f t="shared" si="0"/>
        <v>2007-Q2</v>
      </c>
      <c r="AM5" s="746" t="str">
        <f t="shared" si="0"/>
        <v>2007-Q3</v>
      </c>
      <c r="AN5" s="746" t="str">
        <f t="shared" si="0"/>
        <v>2007-Q4</v>
      </c>
      <c r="AO5" s="746" t="str">
        <f t="shared" si="0"/>
        <v>2008-Q1</v>
      </c>
      <c r="AP5" s="746" t="str">
        <f t="shared" si="0"/>
        <v>2008-Q2</v>
      </c>
      <c r="AQ5" s="746" t="str">
        <f t="shared" si="0"/>
        <v>2008-Q3</v>
      </c>
      <c r="AR5" s="746" t="str">
        <f t="shared" si="0"/>
        <v>2008-Q4</v>
      </c>
      <c r="AS5" s="746" t="str">
        <f t="shared" ref="AS5:BX5" si="1">+YEAR(AS$6)&amp;"-Q"&amp;AS8</f>
        <v>2009-Q1</v>
      </c>
      <c r="AT5" s="746" t="str">
        <f t="shared" si="1"/>
        <v>2009-Q2</v>
      </c>
      <c r="AU5" s="746" t="str">
        <f t="shared" si="1"/>
        <v>2009-Q3</v>
      </c>
      <c r="AV5" s="746" t="str">
        <f t="shared" si="1"/>
        <v>2009-Q4</v>
      </c>
      <c r="AW5" s="746" t="str">
        <f t="shared" si="1"/>
        <v>2010-Q1</v>
      </c>
      <c r="AX5" s="746" t="str">
        <f t="shared" si="1"/>
        <v>2010-Q2</v>
      </c>
      <c r="AY5" s="746" t="str">
        <f t="shared" si="1"/>
        <v>2010-Q3</v>
      </c>
      <c r="AZ5" s="746" t="str">
        <f t="shared" si="1"/>
        <v>2010-Q4</v>
      </c>
      <c r="BA5" s="746" t="str">
        <f t="shared" si="1"/>
        <v>2011-Q1</v>
      </c>
      <c r="BB5" s="746" t="str">
        <f t="shared" si="1"/>
        <v>2011-Q2</v>
      </c>
      <c r="BC5" s="746" t="str">
        <f t="shared" si="1"/>
        <v>2011-Q3</v>
      </c>
      <c r="BD5" s="746" t="str">
        <f t="shared" si="1"/>
        <v>2011-Q4</v>
      </c>
      <c r="BE5" s="746" t="str">
        <f t="shared" si="1"/>
        <v>2012-Q1</v>
      </c>
      <c r="BF5" s="746" t="str">
        <f t="shared" si="1"/>
        <v>2012-Q2</v>
      </c>
      <c r="BG5" s="746" t="str">
        <f t="shared" si="1"/>
        <v>2012-Q3</v>
      </c>
      <c r="BH5" s="746" t="str">
        <f t="shared" si="1"/>
        <v>2012-Q4</v>
      </c>
      <c r="BI5" s="746" t="str">
        <f t="shared" si="1"/>
        <v>2013-Q1</v>
      </c>
      <c r="BJ5" s="746" t="str">
        <f t="shared" si="1"/>
        <v>2013-Q2</v>
      </c>
      <c r="BK5" s="746" t="str">
        <f t="shared" si="1"/>
        <v>2013-Q3</v>
      </c>
      <c r="BL5" s="746" t="str">
        <f t="shared" si="1"/>
        <v>2013-Q4</v>
      </c>
      <c r="BM5" s="746" t="str">
        <f t="shared" si="1"/>
        <v>2014-Q1</v>
      </c>
      <c r="BN5" s="746" t="str">
        <f t="shared" si="1"/>
        <v>2014-Q2</v>
      </c>
      <c r="BO5" s="746" t="str">
        <f t="shared" si="1"/>
        <v>2014-Q3</v>
      </c>
      <c r="BP5" s="746" t="str">
        <f t="shared" si="1"/>
        <v>2014-Q4</v>
      </c>
      <c r="BQ5" s="746" t="str">
        <f t="shared" si="1"/>
        <v>2015-Q1</v>
      </c>
      <c r="BR5" s="746" t="str">
        <f t="shared" si="1"/>
        <v>2015-Q2</v>
      </c>
      <c r="BS5" s="746" t="str">
        <f t="shared" si="1"/>
        <v>2015-Q3</v>
      </c>
      <c r="BT5" s="746" t="str">
        <f t="shared" si="1"/>
        <v>2015-Q4</v>
      </c>
      <c r="BU5" s="746" t="str">
        <f t="shared" si="1"/>
        <v>2016-Q1</v>
      </c>
      <c r="BV5" s="746" t="str">
        <f t="shared" si="1"/>
        <v>2016-Q2</v>
      </c>
      <c r="BW5" s="746" t="str">
        <f t="shared" si="1"/>
        <v>2016-Q3</v>
      </c>
      <c r="BX5" s="746" t="str">
        <f t="shared" si="1"/>
        <v>2016-Q4</v>
      </c>
      <c r="BY5" s="746" t="str">
        <f t="shared" ref="BY5:CF5" si="2">+YEAR(BY$6)&amp;"-Q"&amp;BY8</f>
        <v>2017-Q1</v>
      </c>
      <c r="BZ5" s="746" t="str">
        <f t="shared" si="2"/>
        <v>2017-Q2</v>
      </c>
      <c r="CA5" s="746" t="str">
        <f t="shared" si="2"/>
        <v>2017-Q3</v>
      </c>
      <c r="CB5" s="746" t="str">
        <f t="shared" si="2"/>
        <v>2017-Q4</v>
      </c>
      <c r="CC5" s="746" t="str">
        <f t="shared" si="2"/>
        <v>2018-Q1</v>
      </c>
      <c r="CD5" s="746" t="str">
        <f t="shared" si="2"/>
        <v>2018-Q2</v>
      </c>
      <c r="CE5" s="746" t="str">
        <f t="shared" si="2"/>
        <v>2018-Q3</v>
      </c>
      <c r="CF5" s="746" t="str">
        <f t="shared" si="2"/>
        <v>2018-Q4</v>
      </c>
      <c r="CH5" s="746" t="str">
        <f t="shared" ref="CH5:DF5" si="3">+YEAR(CH$8)&amp;"-FY"</f>
        <v>2001-FY</v>
      </c>
      <c r="CI5" s="746" t="str">
        <f t="shared" si="3"/>
        <v>2002-FY</v>
      </c>
      <c r="CJ5" s="746" t="str">
        <f t="shared" si="3"/>
        <v>2003-FY</v>
      </c>
      <c r="CK5" s="746" t="str">
        <f t="shared" si="3"/>
        <v>2004-FY</v>
      </c>
      <c r="CL5" s="746" t="str">
        <f t="shared" si="3"/>
        <v>2005-FY</v>
      </c>
      <c r="CM5" s="746" t="str">
        <f t="shared" si="3"/>
        <v>2006-FY</v>
      </c>
      <c r="CN5" s="746" t="str">
        <f t="shared" si="3"/>
        <v>2007-FY</v>
      </c>
      <c r="CO5" s="746" t="str">
        <f t="shared" si="3"/>
        <v>2008-FY</v>
      </c>
      <c r="CP5" s="746" t="str">
        <f t="shared" si="3"/>
        <v>2009-FY</v>
      </c>
      <c r="CQ5" s="746" t="str">
        <f t="shared" si="3"/>
        <v>2010-FY</v>
      </c>
      <c r="CR5" s="746" t="str">
        <f t="shared" si="3"/>
        <v>2011-FY</v>
      </c>
      <c r="CS5" s="746" t="str">
        <f t="shared" si="3"/>
        <v>2012-FY</v>
      </c>
      <c r="CT5" s="746" t="str">
        <f t="shared" si="3"/>
        <v>2013-FY</v>
      </c>
      <c r="CU5" s="746" t="str">
        <f t="shared" si="3"/>
        <v>2014-FY</v>
      </c>
      <c r="CV5" s="746" t="str">
        <f t="shared" si="3"/>
        <v>2015-FY</v>
      </c>
      <c r="CW5" s="746" t="str">
        <f t="shared" si="3"/>
        <v>2016-FY</v>
      </c>
      <c r="CX5" s="746" t="str">
        <f t="shared" si="3"/>
        <v>2017-FY</v>
      </c>
      <c r="CY5" s="746" t="str">
        <f t="shared" si="3"/>
        <v>2018-FY</v>
      </c>
      <c r="CZ5" s="746" t="str">
        <f t="shared" si="3"/>
        <v>2019-FY</v>
      </c>
      <c r="DA5" s="746" t="str">
        <f t="shared" si="3"/>
        <v>2020-FY</v>
      </c>
      <c r="DB5" s="746" t="str">
        <f t="shared" si="3"/>
        <v>2021-FY</v>
      </c>
      <c r="DC5" s="746" t="str">
        <f t="shared" si="3"/>
        <v>2022-FY</v>
      </c>
      <c r="DD5" s="746" t="str">
        <f t="shared" si="3"/>
        <v>2023-FY</v>
      </c>
      <c r="DE5" s="746" t="str">
        <f t="shared" si="3"/>
        <v>2024-FY</v>
      </c>
      <c r="DF5" s="746" t="str">
        <f t="shared" si="3"/>
        <v>2025-FY</v>
      </c>
      <c r="DG5"/>
    </row>
    <row r="6" spans="1:114" s="24" customFormat="1" ht="11.25" hidden="1" customHeight="1" outlineLevel="1">
      <c r="I6" s="284" t="s">
        <v>391</v>
      </c>
      <c r="J6" s="284"/>
      <c r="K6" s="284"/>
      <c r="L6" s="284"/>
      <c r="M6" s="747">
        <v>36981</v>
      </c>
      <c r="N6" s="747">
        <f t="shared" ref="N6:AS6" si="4">+EOMONTH(M6,3)</f>
        <v>37072</v>
      </c>
      <c r="O6" s="747">
        <f t="shared" si="4"/>
        <v>37164</v>
      </c>
      <c r="P6" s="747">
        <f t="shared" si="4"/>
        <v>37256</v>
      </c>
      <c r="Q6" s="747">
        <f t="shared" si="4"/>
        <v>37346</v>
      </c>
      <c r="R6" s="747">
        <f t="shared" si="4"/>
        <v>37437</v>
      </c>
      <c r="S6" s="747">
        <f t="shared" si="4"/>
        <v>37529</v>
      </c>
      <c r="T6" s="747">
        <f t="shared" si="4"/>
        <v>37621</v>
      </c>
      <c r="U6" s="747">
        <f t="shared" si="4"/>
        <v>37711</v>
      </c>
      <c r="V6" s="747">
        <f t="shared" si="4"/>
        <v>37802</v>
      </c>
      <c r="W6" s="747">
        <f t="shared" si="4"/>
        <v>37894</v>
      </c>
      <c r="X6" s="747">
        <f t="shared" si="4"/>
        <v>37986</v>
      </c>
      <c r="Y6" s="747">
        <f t="shared" si="4"/>
        <v>38077</v>
      </c>
      <c r="Z6" s="747">
        <f t="shared" si="4"/>
        <v>38168</v>
      </c>
      <c r="AA6" s="747">
        <f t="shared" si="4"/>
        <v>38260</v>
      </c>
      <c r="AB6" s="747">
        <f t="shared" si="4"/>
        <v>38352</v>
      </c>
      <c r="AC6" s="747">
        <f t="shared" si="4"/>
        <v>38442</v>
      </c>
      <c r="AD6" s="747">
        <f t="shared" si="4"/>
        <v>38533</v>
      </c>
      <c r="AE6" s="747">
        <f t="shared" si="4"/>
        <v>38625</v>
      </c>
      <c r="AF6" s="747">
        <f t="shared" si="4"/>
        <v>38717</v>
      </c>
      <c r="AG6" s="747">
        <f t="shared" si="4"/>
        <v>38807</v>
      </c>
      <c r="AH6" s="747">
        <f t="shared" si="4"/>
        <v>38898</v>
      </c>
      <c r="AI6" s="747">
        <f t="shared" si="4"/>
        <v>38990</v>
      </c>
      <c r="AJ6" s="747">
        <f t="shared" si="4"/>
        <v>39082</v>
      </c>
      <c r="AK6" s="747">
        <f t="shared" si="4"/>
        <v>39172</v>
      </c>
      <c r="AL6" s="747">
        <f t="shared" si="4"/>
        <v>39263</v>
      </c>
      <c r="AM6" s="747">
        <f t="shared" si="4"/>
        <v>39355</v>
      </c>
      <c r="AN6" s="747">
        <f t="shared" si="4"/>
        <v>39447</v>
      </c>
      <c r="AO6" s="747">
        <f t="shared" si="4"/>
        <v>39538</v>
      </c>
      <c r="AP6" s="747">
        <f t="shared" si="4"/>
        <v>39629</v>
      </c>
      <c r="AQ6" s="747">
        <f t="shared" si="4"/>
        <v>39721</v>
      </c>
      <c r="AR6" s="747">
        <f t="shared" si="4"/>
        <v>39813</v>
      </c>
      <c r="AS6" s="747">
        <f t="shared" si="4"/>
        <v>39903</v>
      </c>
      <c r="AT6" s="747">
        <f t="shared" ref="AT6:BY6" si="5">+EOMONTH(AS6,3)</f>
        <v>39994</v>
      </c>
      <c r="AU6" s="747">
        <f t="shared" si="5"/>
        <v>40086</v>
      </c>
      <c r="AV6" s="747">
        <f t="shared" si="5"/>
        <v>40178</v>
      </c>
      <c r="AW6" s="747">
        <f t="shared" si="5"/>
        <v>40268</v>
      </c>
      <c r="AX6" s="747">
        <f t="shared" si="5"/>
        <v>40359</v>
      </c>
      <c r="AY6" s="747">
        <f t="shared" si="5"/>
        <v>40451</v>
      </c>
      <c r="AZ6" s="747">
        <f t="shared" si="5"/>
        <v>40543</v>
      </c>
      <c r="BA6" s="747">
        <f t="shared" si="5"/>
        <v>40633</v>
      </c>
      <c r="BB6" s="747">
        <f t="shared" si="5"/>
        <v>40724</v>
      </c>
      <c r="BC6" s="747">
        <f t="shared" si="5"/>
        <v>40816</v>
      </c>
      <c r="BD6" s="747">
        <f t="shared" si="5"/>
        <v>40908</v>
      </c>
      <c r="BE6" s="747">
        <f t="shared" si="5"/>
        <v>40999</v>
      </c>
      <c r="BF6" s="747">
        <f t="shared" si="5"/>
        <v>41090</v>
      </c>
      <c r="BG6" s="747">
        <f t="shared" si="5"/>
        <v>41182</v>
      </c>
      <c r="BH6" s="747">
        <f t="shared" si="5"/>
        <v>41274</v>
      </c>
      <c r="BI6" s="747">
        <f t="shared" si="5"/>
        <v>41364</v>
      </c>
      <c r="BJ6" s="747">
        <f t="shared" si="5"/>
        <v>41455</v>
      </c>
      <c r="BK6" s="747">
        <f t="shared" si="5"/>
        <v>41547</v>
      </c>
      <c r="BL6" s="747">
        <f t="shared" si="5"/>
        <v>41639</v>
      </c>
      <c r="BM6" s="747">
        <f t="shared" si="5"/>
        <v>41729</v>
      </c>
      <c r="BN6" s="747">
        <f t="shared" si="5"/>
        <v>41820</v>
      </c>
      <c r="BO6" s="747">
        <f t="shared" si="5"/>
        <v>41912</v>
      </c>
      <c r="BP6" s="747">
        <f t="shared" si="5"/>
        <v>42004</v>
      </c>
      <c r="BQ6" s="747">
        <f t="shared" si="5"/>
        <v>42094</v>
      </c>
      <c r="BR6" s="747">
        <f t="shared" si="5"/>
        <v>42185</v>
      </c>
      <c r="BS6" s="747">
        <f t="shared" si="5"/>
        <v>42277</v>
      </c>
      <c r="BT6" s="747">
        <f t="shared" si="5"/>
        <v>42369</v>
      </c>
      <c r="BU6" s="747">
        <f t="shared" si="5"/>
        <v>42460</v>
      </c>
      <c r="BV6" s="747">
        <f t="shared" si="5"/>
        <v>42551</v>
      </c>
      <c r="BW6" s="747">
        <f t="shared" si="5"/>
        <v>42643</v>
      </c>
      <c r="BX6" s="747">
        <f t="shared" si="5"/>
        <v>42735</v>
      </c>
      <c r="BY6" s="747">
        <f t="shared" si="5"/>
        <v>42825</v>
      </c>
      <c r="BZ6" s="747">
        <f t="shared" ref="BZ6:CF6" si="6">+EOMONTH(BY6,3)</f>
        <v>42916</v>
      </c>
      <c r="CA6" s="747">
        <f t="shared" si="6"/>
        <v>43008</v>
      </c>
      <c r="CB6" s="747">
        <f t="shared" si="6"/>
        <v>43100</v>
      </c>
      <c r="CC6" s="747">
        <f t="shared" si="6"/>
        <v>43190</v>
      </c>
      <c r="CD6" s="747">
        <f t="shared" si="6"/>
        <v>43281</v>
      </c>
      <c r="CE6" s="747">
        <f t="shared" si="6"/>
        <v>43373</v>
      </c>
      <c r="CF6" s="747">
        <f t="shared" si="6"/>
        <v>43465</v>
      </c>
      <c r="CH6" s="748">
        <v>37256</v>
      </c>
      <c r="CI6" s="748">
        <v>37621</v>
      </c>
      <c r="CJ6" s="748">
        <v>37986</v>
      </c>
      <c r="CK6" s="748">
        <v>38352</v>
      </c>
      <c r="CL6" s="748">
        <v>38717</v>
      </c>
      <c r="CM6" s="748">
        <v>39082</v>
      </c>
      <c r="CN6" s="748">
        <f t="shared" ref="CN6:DF6" si="7">+EOMONTH(CM6,12)</f>
        <v>39447</v>
      </c>
      <c r="CO6" s="748">
        <f t="shared" si="7"/>
        <v>39813</v>
      </c>
      <c r="CP6" s="748">
        <f t="shared" si="7"/>
        <v>40178</v>
      </c>
      <c r="CQ6" s="748">
        <f t="shared" si="7"/>
        <v>40543</v>
      </c>
      <c r="CR6" s="748">
        <f t="shared" si="7"/>
        <v>40908</v>
      </c>
      <c r="CS6" s="748">
        <f t="shared" si="7"/>
        <v>41274</v>
      </c>
      <c r="CT6" s="748">
        <f t="shared" si="7"/>
        <v>41639</v>
      </c>
      <c r="CU6" s="748">
        <f t="shared" si="7"/>
        <v>42004</v>
      </c>
      <c r="CV6" s="748">
        <f t="shared" si="7"/>
        <v>42369</v>
      </c>
      <c r="CW6" s="748">
        <f t="shared" si="7"/>
        <v>42735</v>
      </c>
      <c r="CX6" s="748">
        <f t="shared" si="7"/>
        <v>43100</v>
      </c>
      <c r="CY6" s="748">
        <f t="shared" si="7"/>
        <v>43465</v>
      </c>
      <c r="CZ6" s="748">
        <f t="shared" si="7"/>
        <v>43830</v>
      </c>
      <c r="DA6" s="748">
        <f t="shared" si="7"/>
        <v>44196</v>
      </c>
      <c r="DB6" s="748">
        <f t="shared" si="7"/>
        <v>44561</v>
      </c>
      <c r="DC6" s="748">
        <f t="shared" si="7"/>
        <v>44926</v>
      </c>
      <c r="DD6" s="748">
        <f t="shared" si="7"/>
        <v>45291</v>
      </c>
      <c r="DE6" s="748">
        <f t="shared" si="7"/>
        <v>45657</v>
      </c>
      <c r="DF6" s="748">
        <f t="shared" si="7"/>
        <v>46022</v>
      </c>
      <c r="DG6"/>
    </row>
    <row r="7" spans="1:114" ht="11.25" customHeight="1" collapsed="1">
      <c r="I7" s="137" t="s">
        <v>766</v>
      </c>
      <c r="J7" s="138"/>
      <c r="K7" s="138"/>
      <c r="L7" s="138"/>
      <c r="M7" s="141">
        <v>2001</v>
      </c>
      <c r="N7" s="142"/>
      <c r="O7" s="142"/>
      <c r="P7" s="143"/>
      <c r="Q7" s="238">
        <v>2002</v>
      </c>
      <c r="R7" s="142"/>
      <c r="S7" s="142"/>
      <c r="T7" s="143"/>
      <c r="U7" s="238">
        <v>2003</v>
      </c>
      <c r="V7" s="142"/>
      <c r="W7" s="142"/>
      <c r="X7" s="143"/>
      <c r="Y7" s="238">
        <v>2004</v>
      </c>
      <c r="Z7" s="142"/>
      <c r="AA7" s="142"/>
      <c r="AB7" s="143"/>
      <c r="AC7" s="238">
        <v>2005</v>
      </c>
      <c r="AD7" s="142"/>
      <c r="AE7" s="142"/>
      <c r="AF7" s="143"/>
      <c r="AG7" s="238">
        <v>2006</v>
      </c>
      <c r="AH7" s="142"/>
      <c r="AI7" s="142"/>
      <c r="AJ7" s="143"/>
      <c r="AK7" s="238">
        <v>2007</v>
      </c>
      <c r="AL7" s="142"/>
      <c r="AM7" s="142"/>
      <c r="AN7" s="143"/>
      <c r="AO7" s="238">
        <v>2008</v>
      </c>
      <c r="AP7" s="142"/>
      <c r="AQ7" s="142"/>
      <c r="AR7" s="143"/>
      <c r="AS7" s="238">
        <v>2009</v>
      </c>
      <c r="AT7" s="142"/>
      <c r="AU7" s="142"/>
      <c r="AV7" s="143"/>
      <c r="AW7" s="238">
        <v>2010</v>
      </c>
      <c r="AX7" s="142"/>
      <c r="AY7" s="142"/>
      <c r="AZ7" s="143"/>
      <c r="BA7" s="238">
        <v>2011</v>
      </c>
      <c r="BB7" s="142"/>
      <c r="BC7" s="142"/>
      <c r="BD7" s="143"/>
      <c r="BE7" s="142">
        <v>2012</v>
      </c>
      <c r="BF7" s="144"/>
      <c r="BG7" s="144"/>
      <c r="BH7" s="145"/>
      <c r="BI7" s="142">
        <v>2013</v>
      </c>
      <c r="BJ7" s="144"/>
      <c r="BK7" s="144"/>
      <c r="BL7" s="145"/>
      <c r="BM7" s="142" t="s">
        <v>526</v>
      </c>
      <c r="BN7" s="144"/>
      <c r="BO7" s="144"/>
      <c r="BP7" s="145"/>
      <c r="BQ7" s="142" t="s">
        <v>667</v>
      </c>
      <c r="BR7" s="144"/>
      <c r="BS7" s="144"/>
      <c r="BT7" s="145"/>
      <c r="BU7" s="142" t="s">
        <v>740</v>
      </c>
      <c r="BV7" s="144"/>
      <c r="BW7" s="144"/>
      <c r="BX7" s="145"/>
      <c r="BY7" s="142" t="s">
        <v>749</v>
      </c>
      <c r="BZ7" s="144"/>
      <c r="CA7" s="144"/>
      <c r="CB7" s="145"/>
      <c r="CC7" s="239" t="s">
        <v>21</v>
      </c>
      <c r="CD7" s="146"/>
      <c r="CE7" s="146"/>
      <c r="CF7" s="147"/>
      <c r="CG7" s="741"/>
      <c r="CH7" s="749"/>
      <c r="CI7" s="750"/>
      <c r="CJ7" s="750"/>
      <c r="CK7" s="750"/>
      <c r="CL7" s="750"/>
      <c r="CM7" s="750"/>
      <c r="CN7" s="750"/>
      <c r="CO7" s="750"/>
      <c r="CP7" s="750"/>
      <c r="CQ7" s="750"/>
      <c r="CR7" s="750"/>
      <c r="CS7" s="750"/>
      <c r="CT7" s="750"/>
      <c r="CU7" s="750"/>
      <c r="CV7" s="750"/>
      <c r="CW7" s="750"/>
      <c r="CX7" s="750"/>
      <c r="CY7" s="750"/>
      <c r="CZ7" s="1736"/>
      <c r="DA7" s="1736"/>
      <c r="DB7" s="1736"/>
      <c r="DC7" s="1736"/>
      <c r="DD7" s="1736"/>
      <c r="DE7" s="1736"/>
      <c r="DF7" s="1737"/>
    </row>
    <row r="8" spans="1:114" s="88" customFormat="1" ht="11.25" customHeight="1" thickBot="1">
      <c r="A8" s="24"/>
      <c r="B8" s="24"/>
      <c r="C8" s="24"/>
      <c r="D8" s="24"/>
      <c r="E8" s="24"/>
      <c r="F8" s="24"/>
      <c r="G8" s="24"/>
      <c r="H8" s="24"/>
      <c r="I8" s="139" t="s">
        <v>392</v>
      </c>
      <c r="J8" s="140"/>
      <c r="K8" s="140"/>
      <c r="L8" s="140"/>
      <c r="M8" s="148">
        <v>1</v>
      </c>
      <c r="N8" s="149">
        <v>2</v>
      </c>
      <c r="O8" s="149">
        <v>3</v>
      </c>
      <c r="P8" s="150">
        <v>4</v>
      </c>
      <c r="Q8" s="149">
        <v>1</v>
      </c>
      <c r="R8" s="149">
        <v>2</v>
      </c>
      <c r="S8" s="149">
        <v>3</v>
      </c>
      <c r="T8" s="150">
        <v>4</v>
      </c>
      <c r="U8" s="149">
        <v>1</v>
      </c>
      <c r="V8" s="149">
        <v>2</v>
      </c>
      <c r="W8" s="149">
        <v>3</v>
      </c>
      <c r="X8" s="150">
        <v>4</v>
      </c>
      <c r="Y8" s="149">
        <v>1</v>
      </c>
      <c r="Z8" s="149">
        <v>2</v>
      </c>
      <c r="AA8" s="149">
        <v>3</v>
      </c>
      <c r="AB8" s="150">
        <v>4</v>
      </c>
      <c r="AC8" s="149">
        <v>1</v>
      </c>
      <c r="AD8" s="149">
        <v>2</v>
      </c>
      <c r="AE8" s="149">
        <v>3</v>
      </c>
      <c r="AF8" s="150">
        <v>4</v>
      </c>
      <c r="AG8" s="149">
        <v>1</v>
      </c>
      <c r="AH8" s="149">
        <v>2</v>
      </c>
      <c r="AI8" s="149">
        <v>3</v>
      </c>
      <c r="AJ8" s="150">
        <v>4</v>
      </c>
      <c r="AK8" s="149">
        <v>1</v>
      </c>
      <c r="AL8" s="149">
        <v>2</v>
      </c>
      <c r="AM8" s="149">
        <v>3</v>
      </c>
      <c r="AN8" s="150">
        <v>4</v>
      </c>
      <c r="AO8" s="149">
        <v>1</v>
      </c>
      <c r="AP8" s="149">
        <v>2</v>
      </c>
      <c r="AQ8" s="149">
        <v>3</v>
      </c>
      <c r="AR8" s="150">
        <v>4</v>
      </c>
      <c r="AS8" s="149">
        <v>1</v>
      </c>
      <c r="AT8" s="149">
        <v>2</v>
      </c>
      <c r="AU8" s="149">
        <v>3</v>
      </c>
      <c r="AV8" s="150">
        <v>4</v>
      </c>
      <c r="AW8" s="149">
        <v>1</v>
      </c>
      <c r="AX8" s="149">
        <v>2</v>
      </c>
      <c r="AY8" s="149">
        <v>3</v>
      </c>
      <c r="AZ8" s="150">
        <v>4</v>
      </c>
      <c r="BA8" s="149">
        <v>1</v>
      </c>
      <c r="BB8" s="149">
        <v>2</v>
      </c>
      <c r="BC8" s="149">
        <v>3</v>
      </c>
      <c r="BD8" s="150">
        <v>4</v>
      </c>
      <c r="BE8" s="149">
        <v>1</v>
      </c>
      <c r="BF8" s="149">
        <v>2</v>
      </c>
      <c r="BG8" s="149">
        <v>3</v>
      </c>
      <c r="BH8" s="150">
        <v>4</v>
      </c>
      <c r="BI8" s="149">
        <v>1</v>
      </c>
      <c r="BJ8" s="149">
        <v>2</v>
      </c>
      <c r="BK8" s="149">
        <v>3</v>
      </c>
      <c r="BL8" s="150">
        <v>4</v>
      </c>
      <c r="BM8" s="149">
        <v>1</v>
      </c>
      <c r="BN8" s="149">
        <v>2</v>
      </c>
      <c r="BO8" s="149">
        <v>3</v>
      </c>
      <c r="BP8" s="150">
        <v>4</v>
      </c>
      <c r="BQ8" s="149">
        <v>1</v>
      </c>
      <c r="BR8" s="149">
        <v>2</v>
      </c>
      <c r="BS8" s="149">
        <v>3</v>
      </c>
      <c r="BT8" s="150">
        <v>4</v>
      </c>
      <c r="BU8" s="149">
        <v>1</v>
      </c>
      <c r="BV8" s="149">
        <v>2</v>
      </c>
      <c r="BW8" s="149">
        <v>3</v>
      </c>
      <c r="BX8" s="150">
        <v>4</v>
      </c>
      <c r="BY8" s="149">
        <v>1</v>
      </c>
      <c r="BZ8" s="149">
        <v>2</v>
      </c>
      <c r="CA8" s="149">
        <v>3</v>
      </c>
      <c r="CB8" s="150">
        <v>4</v>
      </c>
      <c r="CC8" s="152">
        <v>1</v>
      </c>
      <c r="CD8" s="152">
        <v>2</v>
      </c>
      <c r="CE8" s="152">
        <v>3</v>
      </c>
      <c r="CF8" s="151">
        <v>4</v>
      </c>
      <c r="CG8" s="751"/>
      <c r="CH8" s="155">
        <v>37256</v>
      </c>
      <c r="CI8" s="156">
        <v>37621</v>
      </c>
      <c r="CJ8" s="156">
        <v>37986</v>
      </c>
      <c r="CK8" s="156">
        <v>38352</v>
      </c>
      <c r="CL8" s="156">
        <v>38717</v>
      </c>
      <c r="CM8" s="156">
        <v>39082</v>
      </c>
      <c r="CN8" s="156">
        <v>39447</v>
      </c>
      <c r="CO8" s="156">
        <v>39813</v>
      </c>
      <c r="CP8" s="156">
        <v>40178</v>
      </c>
      <c r="CQ8" s="156">
        <v>40543</v>
      </c>
      <c r="CR8" s="156">
        <v>40908</v>
      </c>
      <c r="CS8" s="156">
        <v>41274</v>
      </c>
      <c r="CT8" s="156">
        <v>41639</v>
      </c>
      <c r="CU8" s="156">
        <v>42004</v>
      </c>
      <c r="CV8" s="156">
        <v>42369</v>
      </c>
      <c r="CW8" s="156">
        <v>42735</v>
      </c>
      <c r="CX8" s="156">
        <v>43100</v>
      </c>
      <c r="CY8" s="157">
        <v>43465</v>
      </c>
      <c r="CZ8" s="1734">
        <v>43830</v>
      </c>
      <c r="DA8" s="1734">
        <v>44196</v>
      </c>
      <c r="DB8" s="1734">
        <v>44561</v>
      </c>
      <c r="DC8" s="1734">
        <v>44926</v>
      </c>
      <c r="DD8" s="1734">
        <v>45291</v>
      </c>
      <c r="DE8" s="1734">
        <v>45657</v>
      </c>
      <c r="DF8" s="1735">
        <v>46022</v>
      </c>
      <c r="DG8"/>
    </row>
    <row r="9" spans="1:114" ht="11.25" customHeight="1">
      <c r="I9" s="160"/>
      <c r="M9" s="315"/>
      <c r="N9" s="315"/>
      <c r="O9" s="315"/>
      <c r="P9" s="316"/>
      <c r="Q9" s="315"/>
      <c r="R9" s="315"/>
      <c r="S9" s="315"/>
      <c r="T9" s="316"/>
      <c r="U9" s="317"/>
      <c r="V9" s="317"/>
      <c r="W9" s="317"/>
      <c r="X9" s="318"/>
      <c r="Y9" s="317"/>
      <c r="Z9" s="317"/>
      <c r="AA9" s="317"/>
      <c r="AB9" s="318"/>
      <c r="AC9" s="317"/>
      <c r="AD9" s="317"/>
      <c r="AE9" s="317"/>
      <c r="AF9" s="318"/>
      <c r="AG9" s="317"/>
      <c r="AH9" s="317"/>
      <c r="AI9" s="317"/>
      <c r="AJ9" s="318"/>
      <c r="AK9" s="317"/>
      <c r="AL9" s="317"/>
      <c r="AM9" s="317"/>
      <c r="AN9" s="318"/>
      <c r="AO9" s="317"/>
      <c r="AP9" s="317"/>
      <c r="AQ9" s="317"/>
      <c r="AR9" s="318"/>
      <c r="AS9" s="317"/>
      <c r="AT9" s="317"/>
      <c r="AU9" s="317"/>
      <c r="AV9" s="318"/>
      <c r="AW9" s="319"/>
      <c r="AX9" s="319"/>
      <c r="AY9" s="319"/>
      <c r="AZ9" s="318"/>
      <c r="BA9" s="317"/>
      <c r="BB9" s="317"/>
      <c r="BC9" s="317"/>
      <c r="BD9" s="318"/>
      <c r="BE9" s="317"/>
      <c r="BF9" s="317"/>
      <c r="BG9" s="317"/>
      <c r="BH9" s="318"/>
      <c r="BI9" s="317"/>
      <c r="BJ9" s="317"/>
      <c r="BK9" s="317"/>
      <c r="BL9" s="318"/>
      <c r="BM9" s="317"/>
      <c r="BN9" s="317"/>
      <c r="BO9" s="317"/>
      <c r="BP9" s="318"/>
      <c r="BQ9" s="317"/>
      <c r="BR9" s="317"/>
      <c r="BS9" s="317"/>
      <c r="BT9" s="318"/>
      <c r="BU9" s="317"/>
      <c r="BV9" s="317"/>
      <c r="BW9" s="317"/>
      <c r="BX9" s="318"/>
      <c r="BY9" s="317"/>
      <c r="BZ9" s="317"/>
      <c r="CA9" s="317"/>
      <c r="CB9" s="318"/>
      <c r="CC9" s="317"/>
      <c r="CD9" s="317"/>
      <c r="CE9" s="317"/>
      <c r="CF9" s="318"/>
      <c r="CG9" s="742"/>
      <c r="CH9" s="320"/>
      <c r="CI9" s="315"/>
      <c r="CJ9" s="317"/>
      <c r="CK9" s="317"/>
      <c r="CL9" s="317"/>
      <c r="CM9" s="317"/>
      <c r="CN9" s="317"/>
      <c r="CO9" s="317"/>
      <c r="CP9" s="319"/>
      <c r="CQ9" s="317"/>
      <c r="CR9" s="317"/>
      <c r="CS9" s="321"/>
      <c r="CT9" s="321"/>
      <c r="CU9" s="321"/>
      <c r="CV9" s="321"/>
      <c r="CW9" s="321"/>
      <c r="CX9" s="321"/>
      <c r="CY9" s="321"/>
      <c r="CZ9" s="1810"/>
      <c r="DA9" s="1810"/>
      <c r="DB9" s="1811"/>
      <c r="DC9" s="1811"/>
      <c r="DD9" s="1811"/>
      <c r="DE9" s="1811"/>
      <c r="DF9" s="1812"/>
      <c r="DH9" s="752"/>
      <c r="DI9" s="752"/>
      <c r="DJ9" s="752"/>
    </row>
    <row r="10" spans="1:114" s="122" customFormat="1" ht="11.25" customHeight="1">
      <c r="A10" s="66"/>
      <c r="B10" s="66"/>
      <c r="C10" s="66"/>
      <c r="D10" s="66"/>
      <c r="E10" s="66"/>
      <c r="F10" s="66"/>
      <c r="G10" s="66"/>
      <c r="H10" s="709"/>
      <c r="I10" s="659" t="s">
        <v>396</v>
      </c>
      <c r="J10" s="660"/>
      <c r="K10" s="660"/>
      <c r="L10" s="660"/>
      <c r="M10" s="753"/>
      <c r="N10" s="753"/>
      <c r="O10" s="753"/>
      <c r="P10" s="754"/>
      <c r="Q10" s="753"/>
      <c r="R10" s="753"/>
      <c r="S10" s="753"/>
      <c r="T10" s="754"/>
      <c r="U10" s="755"/>
      <c r="V10" s="753"/>
      <c r="W10" s="753"/>
      <c r="X10" s="754"/>
      <c r="Y10" s="755"/>
      <c r="Z10" s="753"/>
      <c r="AA10" s="753"/>
      <c r="AB10" s="754"/>
      <c r="AC10" s="755"/>
      <c r="AD10" s="753"/>
      <c r="AE10" s="753"/>
      <c r="AF10" s="754"/>
      <c r="AG10" s="753"/>
      <c r="AH10" s="753"/>
      <c r="AI10" s="753"/>
      <c r="AJ10" s="754"/>
      <c r="AK10" s="753"/>
      <c r="AL10" s="753"/>
      <c r="AM10" s="753"/>
      <c r="AN10" s="754"/>
      <c r="AO10" s="753"/>
      <c r="AP10" s="753"/>
      <c r="AQ10" s="753"/>
      <c r="AR10" s="754"/>
      <c r="AS10" s="753"/>
      <c r="AT10" s="753"/>
      <c r="AU10" s="753"/>
      <c r="AV10" s="754"/>
      <c r="AW10" s="753"/>
      <c r="AX10" s="753"/>
      <c r="AY10" s="753"/>
      <c r="AZ10" s="754"/>
      <c r="BA10" s="753"/>
      <c r="BB10" s="753"/>
      <c r="BC10" s="753"/>
      <c r="BD10" s="754"/>
      <c r="BE10" s="753"/>
      <c r="BF10" s="753"/>
      <c r="BG10" s="753"/>
      <c r="BH10" s="754"/>
      <c r="BI10" s="753"/>
      <c r="BJ10" s="753"/>
      <c r="BK10" s="753"/>
      <c r="BL10" s="754"/>
      <c r="BM10" s="753"/>
      <c r="BN10" s="753"/>
      <c r="BO10" s="753"/>
      <c r="BP10" s="754"/>
      <c r="BQ10" s="753"/>
      <c r="BR10" s="753"/>
      <c r="BS10" s="753"/>
      <c r="BT10" s="754"/>
      <c r="BU10" s="753"/>
      <c r="BV10" s="753"/>
      <c r="BW10" s="753"/>
      <c r="BX10" s="754"/>
      <c r="BY10" s="753"/>
      <c r="BZ10" s="753"/>
      <c r="CA10" s="753"/>
      <c r="CB10" s="754"/>
      <c r="CC10" s="753"/>
      <c r="CD10" s="753"/>
      <c r="CE10" s="753"/>
      <c r="CF10" s="754"/>
      <c r="CG10" s="756"/>
      <c r="CH10" s="757"/>
      <c r="CI10" s="754"/>
      <c r="CJ10" s="754"/>
      <c r="CK10" s="754"/>
      <c r="CL10" s="754"/>
      <c r="CM10" s="754"/>
      <c r="CN10" s="754"/>
      <c r="CO10" s="754"/>
      <c r="CP10" s="754"/>
      <c r="CQ10" s="754"/>
      <c r="CR10" s="754"/>
      <c r="CS10" s="754"/>
      <c r="CT10" s="754"/>
      <c r="CU10" s="754"/>
      <c r="CV10" s="754"/>
      <c r="CW10" s="754"/>
      <c r="CX10" s="754"/>
      <c r="CY10" s="753"/>
      <c r="CZ10" s="754"/>
      <c r="DA10" s="754"/>
      <c r="DB10" s="754"/>
      <c r="DC10" s="754"/>
      <c r="DD10" s="754"/>
      <c r="DE10" s="754"/>
      <c r="DF10" s="754"/>
      <c r="DG10"/>
      <c r="DH10" s="758"/>
      <c r="DI10" s="758"/>
      <c r="DJ10" s="758"/>
    </row>
    <row r="11" spans="1:114" ht="11.25" customHeight="1">
      <c r="I11" s="185"/>
      <c r="J11" s="70"/>
      <c r="K11" s="70"/>
      <c r="L11" s="70"/>
      <c r="M11" s="315"/>
      <c r="N11" s="315"/>
      <c r="O11" s="315"/>
      <c r="P11" s="316"/>
      <c r="Q11" s="315"/>
      <c r="R11" s="315"/>
      <c r="S11" s="315"/>
      <c r="T11" s="316"/>
      <c r="U11" s="315"/>
      <c r="V11" s="315"/>
      <c r="W11" s="315"/>
      <c r="X11" s="316"/>
      <c r="Y11" s="315"/>
      <c r="Z11" s="315"/>
      <c r="AA11" s="315"/>
      <c r="AB11" s="316"/>
      <c r="AC11" s="315"/>
      <c r="AD11" s="315"/>
      <c r="AE11" s="315"/>
      <c r="AF11" s="316"/>
      <c r="AG11" s="494"/>
      <c r="AH11" s="494"/>
      <c r="AI11" s="494"/>
      <c r="AJ11" s="497"/>
      <c r="AK11" s="494"/>
      <c r="AL11" s="494"/>
      <c r="AM11" s="494"/>
      <c r="AN11" s="497"/>
      <c r="AO11" s="494"/>
      <c r="AP11" s="494"/>
      <c r="AQ11" s="494"/>
      <c r="AR11" s="497"/>
      <c r="AS11" s="494"/>
      <c r="AT11" s="494"/>
      <c r="AU11" s="494"/>
      <c r="AV11" s="497"/>
      <c r="AW11" s="494"/>
      <c r="AX11" s="494"/>
      <c r="AY11" s="494"/>
      <c r="AZ11" s="497"/>
      <c r="BA11" s="494"/>
      <c r="BB11" s="494"/>
      <c r="BC11" s="494"/>
      <c r="BD11" s="497"/>
      <c r="BE11" s="336"/>
      <c r="BF11" s="494"/>
      <c r="BG11" s="494"/>
      <c r="BH11" s="497"/>
      <c r="BI11" s="494"/>
      <c r="BJ11" s="494"/>
      <c r="BK11" s="494"/>
      <c r="BL11" s="497"/>
      <c r="BM11" s="494"/>
      <c r="BN11" s="494"/>
      <c r="BO11" s="494"/>
      <c r="BP11" s="497"/>
      <c r="BQ11" s="494"/>
      <c r="BR11" s="494"/>
      <c r="BS11" s="494"/>
      <c r="BT11" s="497"/>
      <c r="BU11" s="494"/>
      <c r="BV11" s="494"/>
      <c r="BW11" s="494"/>
      <c r="BX11" s="497"/>
      <c r="BY11" s="494"/>
      <c r="BZ11" s="494"/>
      <c r="CA11" s="494"/>
      <c r="CB11" s="497"/>
      <c r="CC11" s="494"/>
      <c r="CD11" s="494"/>
      <c r="CE11" s="494"/>
      <c r="CF11" s="497"/>
      <c r="CG11" s="742"/>
      <c r="CH11" s="320"/>
      <c r="CI11" s="315"/>
      <c r="CJ11" s="315"/>
      <c r="CK11" s="315"/>
      <c r="CL11" s="315"/>
      <c r="CM11" s="317"/>
      <c r="CN11" s="494"/>
      <c r="CO11" s="494"/>
      <c r="CP11" s="494"/>
      <c r="CQ11" s="393"/>
      <c r="CR11" s="488"/>
      <c r="CS11" s="321"/>
      <c r="CT11" s="321"/>
      <c r="CU11" s="321"/>
      <c r="CV11" s="321"/>
      <c r="CW11" s="321"/>
      <c r="CX11" s="321"/>
      <c r="CY11" s="321"/>
      <c r="CZ11" s="315"/>
      <c r="DA11" s="315"/>
      <c r="DB11" s="22"/>
      <c r="DC11" s="22"/>
      <c r="DD11" s="22"/>
      <c r="DE11" s="22"/>
      <c r="DF11" s="1657"/>
      <c r="DH11" s="752"/>
      <c r="DI11" s="752"/>
      <c r="DJ11" s="752"/>
    </row>
    <row r="12" spans="1:114" ht="11.25" customHeight="1">
      <c r="I12" s="281" t="s">
        <v>324</v>
      </c>
      <c r="J12" s="8"/>
      <c r="K12" s="8"/>
      <c r="L12" s="70"/>
      <c r="M12" s="315"/>
      <c r="N12" s="315"/>
      <c r="O12" s="315"/>
      <c r="P12" s="316"/>
      <c r="Q12" s="315"/>
      <c r="R12" s="315"/>
      <c r="S12" s="315"/>
      <c r="T12" s="316"/>
      <c r="U12" s="315"/>
      <c r="V12" s="315"/>
      <c r="W12" s="315"/>
      <c r="X12" s="316"/>
      <c r="Y12" s="315"/>
      <c r="Z12" s="315"/>
      <c r="AA12" s="315"/>
      <c r="AB12" s="316"/>
      <c r="AC12" s="315"/>
      <c r="AD12" s="315"/>
      <c r="AE12" s="315"/>
      <c r="AF12" s="316"/>
      <c r="AG12" s="494"/>
      <c r="AH12" s="494"/>
      <c r="AI12" s="494"/>
      <c r="AJ12" s="497"/>
      <c r="AK12" s="494"/>
      <c r="AL12" s="494"/>
      <c r="AM12" s="494"/>
      <c r="AN12" s="497"/>
      <c r="AO12" s="494"/>
      <c r="AP12" s="494"/>
      <c r="AQ12" s="494"/>
      <c r="AR12" s="497"/>
      <c r="AS12" s="494"/>
      <c r="AT12" s="494"/>
      <c r="AU12" s="494"/>
      <c r="AV12" s="497"/>
      <c r="AW12" s="494"/>
      <c r="AX12" s="494"/>
      <c r="AY12" s="494"/>
      <c r="AZ12" s="497"/>
      <c r="BA12" s="494"/>
      <c r="BB12" s="494"/>
      <c r="BC12" s="494"/>
      <c r="BD12" s="497"/>
      <c r="BE12" s="336"/>
      <c r="BF12" s="494"/>
      <c r="BG12" s="494"/>
      <c r="BH12" s="497"/>
      <c r="BI12" s="494"/>
      <c r="BJ12" s="494"/>
      <c r="BK12" s="494"/>
      <c r="BL12" s="497"/>
      <c r="BM12" s="494"/>
      <c r="BN12" s="494"/>
      <c r="BO12" s="494"/>
      <c r="BP12" s="497"/>
      <c r="BQ12" s="494"/>
      <c r="BR12" s="317"/>
      <c r="BS12" s="494"/>
      <c r="BT12" s="497"/>
      <c r="BU12" s="494"/>
      <c r="BV12" s="494"/>
      <c r="BW12" s="494"/>
      <c r="BX12" s="497"/>
      <c r="BY12" s="494"/>
      <c r="BZ12" s="494"/>
      <c r="CA12" s="494"/>
      <c r="CB12" s="497"/>
      <c r="CC12" s="494"/>
      <c r="CD12" s="494"/>
      <c r="CE12" s="494"/>
      <c r="CF12" s="497"/>
      <c r="CG12" s="742"/>
      <c r="CH12" s="320"/>
      <c r="CI12" s="315"/>
      <c r="CJ12" s="315"/>
      <c r="CK12" s="315"/>
      <c r="CL12" s="315"/>
      <c r="CM12" s="317"/>
      <c r="CN12" s="494"/>
      <c r="CO12" s="494"/>
      <c r="CP12" s="494"/>
      <c r="CQ12" s="393"/>
      <c r="CR12" s="488"/>
      <c r="CS12" s="321"/>
      <c r="CT12" s="321"/>
      <c r="CU12" s="321"/>
      <c r="CV12" s="321"/>
      <c r="CW12" s="321"/>
      <c r="CX12" s="321"/>
      <c r="CY12" s="321"/>
      <c r="CZ12" s="315"/>
      <c r="DA12" s="315"/>
      <c r="DB12" s="22"/>
      <c r="DC12" s="22"/>
      <c r="DD12" s="22"/>
      <c r="DE12" s="22"/>
      <c r="DF12" s="1657"/>
      <c r="DH12" s="752"/>
      <c r="DI12" s="752"/>
      <c r="DJ12" s="752"/>
    </row>
    <row r="13" spans="1:114" s="3" customFormat="1" ht="11.25" customHeight="1">
      <c r="A13" s="24"/>
      <c r="B13" s="24"/>
      <c r="C13" s="24"/>
      <c r="D13" s="24"/>
      <c r="E13" s="24"/>
      <c r="F13" s="24"/>
      <c r="G13" s="24"/>
      <c r="H13" s="24"/>
      <c r="I13" s="190" t="s">
        <v>325</v>
      </c>
      <c r="J13" s="79"/>
      <c r="K13" s="79"/>
      <c r="L13" s="7"/>
      <c r="M13" s="361"/>
      <c r="N13" s="361"/>
      <c r="O13" s="361"/>
      <c r="P13" s="362"/>
      <c r="Q13" s="361"/>
      <c r="R13" s="361"/>
      <c r="S13" s="361"/>
      <c r="T13" s="362"/>
      <c r="U13" s="361"/>
      <c r="V13" s="361"/>
      <c r="W13" s="361"/>
      <c r="X13" s="362"/>
      <c r="Y13" s="361"/>
      <c r="Z13" s="361"/>
      <c r="AA13" s="361"/>
      <c r="AB13" s="362"/>
      <c r="AC13" s="361"/>
      <c r="AD13" s="361"/>
      <c r="AE13" s="361"/>
      <c r="AF13" s="362"/>
      <c r="AG13" s="491"/>
      <c r="AH13" s="491"/>
      <c r="AI13" s="491"/>
      <c r="AJ13" s="492"/>
      <c r="AK13" s="491"/>
      <c r="AL13" s="491"/>
      <c r="AM13" s="491"/>
      <c r="AN13" s="492"/>
      <c r="AO13" s="491"/>
      <c r="AP13" s="491"/>
      <c r="AQ13" s="491"/>
      <c r="AR13" s="492"/>
      <c r="AS13" s="491"/>
      <c r="AT13" s="491"/>
      <c r="AU13" s="491"/>
      <c r="AV13" s="492"/>
      <c r="AW13" s="491"/>
      <c r="AX13" s="491"/>
      <c r="AY13" s="491"/>
      <c r="AZ13" s="492"/>
      <c r="BA13" s="491"/>
      <c r="BB13" s="491"/>
      <c r="BC13" s="491"/>
      <c r="BD13" s="492"/>
      <c r="BE13" s="759">
        <v>1.59</v>
      </c>
      <c r="BF13" s="759">
        <v>1.62</v>
      </c>
      <c r="BG13" s="759">
        <v>1.56</v>
      </c>
      <c r="BH13" s="760">
        <v>1.61</v>
      </c>
      <c r="BI13" s="759">
        <v>1.52</v>
      </c>
      <c r="BJ13" s="759">
        <v>1.56</v>
      </c>
      <c r="BK13" s="759">
        <v>1.55</v>
      </c>
      <c r="BL13" s="760">
        <v>1.61</v>
      </c>
      <c r="BM13" s="759">
        <v>1.67</v>
      </c>
      <c r="BN13" s="759">
        <v>1.7</v>
      </c>
      <c r="BO13" s="759">
        <v>1.68</v>
      </c>
      <c r="BP13" s="760">
        <v>1.58</v>
      </c>
      <c r="BQ13" s="759">
        <v>1.54</v>
      </c>
      <c r="BR13" s="759">
        <v>1.51</v>
      </c>
      <c r="BS13" s="759">
        <v>1.56</v>
      </c>
      <c r="BT13" s="760">
        <v>1.51</v>
      </c>
      <c r="BU13" s="759">
        <v>1.44</v>
      </c>
      <c r="BV13" s="494"/>
      <c r="BW13" s="473"/>
      <c r="BX13" s="492"/>
      <c r="BY13" s="491"/>
      <c r="BZ13" s="491"/>
      <c r="CA13" s="491"/>
      <c r="CB13" s="492"/>
      <c r="CC13" s="491"/>
      <c r="CD13" s="491"/>
      <c r="CE13" s="491"/>
      <c r="CF13" s="492"/>
      <c r="CG13" s="761"/>
      <c r="CH13" s="366"/>
      <c r="CI13" s="361"/>
      <c r="CJ13" s="361"/>
      <c r="CK13" s="361"/>
      <c r="CL13" s="361"/>
      <c r="CM13" s="388"/>
      <c r="CN13" s="491"/>
      <c r="CO13" s="491"/>
      <c r="CP13" s="491"/>
      <c r="CQ13" s="475"/>
      <c r="CR13" s="759"/>
      <c r="CS13" s="429"/>
      <c r="CT13" s="429"/>
      <c r="CU13" s="429"/>
      <c r="CV13" s="429"/>
      <c r="CW13" s="429"/>
      <c r="CX13" s="429"/>
      <c r="CY13" s="429"/>
      <c r="CZ13" s="361"/>
      <c r="DA13" s="361"/>
      <c r="DB13" s="22"/>
      <c r="DC13" s="22"/>
      <c r="DD13" s="22"/>
      <c r="DE13" s="22"/>
      <c r="DF13" s="1657"/>
      <c r="DG13"/>
      <c r="DH13" s="762"/>
      <c r="DI13" s="762"/>
      <c r="DJ13" s="762"/>
    </row>
    <row r="14" spans="1:114" ht="11.25" customHeight="1">
      <c r="I14" s="722" t="s">
        <v>326</v>
      </c>
      <c r="J14" s="710"/>
      <c r="K14" s="710"/>
      <c r="L14" s="70"/>
      <c r="M14" s="315"/>
      <c r="N14" s="315"/>
      <c r="O14" s="315"/>
      <c r="P14" s="316"/>
      <c r="Q14" s="315"/>
      <c r="R14" s="315"/>
      <c r="S14" s="315"/>
      <c r="T14" s="316"/>
      <c r="U14" s="315"/>
      <c r="V14" s="315"/>
      <c r="W14" s="315"/>
      <c r="X14" s="316"/>
      <c r="Y14" s="315"/>
      <c r="Z14" s="315"/>
      <c r="AA14" s="315"/>
      <c r="AB14" s="316"/>
      <c r="AC14" s="315"/>
      <c r="AD14" s="315"/>
      <c r="AE14" s="315"/>
      <c r="AF14" s="316"/>
      <c r="AG14" s="494"/>
      <c r="AH14" s="494"/>
      <c r="AI14" s="494"/>
      <c r="AJ14" s="497"/>
      <c r="AK14" s="494"/>
      <c r="AL14" s="494"/>
      <c r="AM14" s="494"/>
      <c r="AN14" s="497"/>
      <c r="AO14" s="494"/>
      <c r="AP14" s="494"/>
      <c r="AQ14" s="494"/>
      <c r="AR14" s="497"/>
      <c r="AS14" s="494"/>
      <c r="AT14" s="494"/>
      <c r="AU14" s="494"/>
      <c r="AV14" s="497"/>
      <c r="AW14" s="494"/>
      <c r="AX14" s="494"/>
      <c r="AY14" s="494"/>
      <c r="AZ14" s="497"/>
      <c r="BA14" s="494"/>
      <c r="BB14" s="494"/>
      <c r="BC14" s="494"/>
      <c r="BD14" s="497"/>
      <c r="BE14" s="391">
        <f t="shared" ref="BE14:BO14" si="8">+BE26/BE13-1</f>
        <v>-1.2069523118391268E-2</v>
      </c>
      <c r="BF14" s="391">
        <f t="shared" si="8"/>
        <v>-2.3364772079771945E-2</v>
      </c>
      <c r="BG14" s="391">
        <f t="shared" si="8"/>
        <v>1.313134476031208E-2</v>
      </c>
      <c r="BH14" s="392">
        <f t="shared" si="8"/>
        <v>-2.524547664056187E-3</v>
      </c>
      <c r="BI14" s="391">
        <f t="shared" si="8"/>
        <v>2.1186824561404194E-2</v>
      </c>
      <c r="BJ14" s="391">
        <f t="shared" si="8"/>
        <v>-1.5915986897717671E-2</v>
      </c>
      <c r="BK14" s="391">
        <f t="shared" si="8"/>
        <v>5.4597124824651289E-4</v>
      </c>
      <c r="BL14" s="392">
        <f t="shared" si="8"/>
        <v>5.6131150418576858E-3</v>
      </c>
      <c r="BM14" s="391">
        <f t="shared" si="8"/>
        <v>-8.6432794411174241E-3</v>
      </c>
      <c r="BN14" s="391">
        <f>+BN26/BN13-1</f>
        <v>-9.796354234001603E-3</v>
      </c>
      <c r="BO14" s="391">
        <f t="shared" si="8"/>
        <v>-6.3156114130435981E-3</v>
      </c>
      <c r="BP14" s="392">
        <f t="shared" ref="BP14:BU14" si="9">+BP26/BP13-1</f>
        <v>1.4296030544853622E-3</v>
      </c>
      <c r="BQ14" s="391">
        <f t="shared" si="9"/>
        <v>-1.6653486291486996E-2</v>
      </c>
      <c r="BR14" s="391">
        <f>+BR26/BR13-1</f>
        <v>1.4901452587145592E-2</v>
      </c>
      <c r="BS14" s="391">
        <f t="shared" si="9"/>
        <v>-7.2748808528462217E-3</v>
      </c>
      <c r="BT14" s="392">
        <f t="shared" si="9"/>
        <v>4.7409422689321801E-3</v>
      </c>
      <c r="BU14" s="391">
        <f t="shared" si="9"/>
        <v>-5.5771840659338823E-3</v>
      </c>
      <c r="BV14" s="391"/>
      <c r="BW14" s="494"/>
      <c r="BX14" s="497"/>
      <c r="BY14" s="494"/>
      <c r="BZ14" s="494"/>
      <c r="CA14" s="494"/>
      <c r="CB14" s="497"/>
      <c r="CC14" s="494"/>
      <c r="CD14" s="494"/>
      <c r="CE14" s="494"/>
      <c r="CF14" s="497"/>
      <c r="CG14" s="742"/>
      <c r="CH14" s="320"/>
      <c r="CI14" s="315"/>
      <c r="CJ14" s="315"/>
      <c r="CK14" s="315"/>
      <c r="CL14" s="315"/>
      <c r="CM14" s="317"/>
      <c r="CN14" s="494"/>
      <c r="CO14" s="494"/>
      <c r="CP14" s="494"/>
      <c r="CQ14" s="393"/>
      <c r="CR14" s="488"/>
      <c r="CS14" s="321"/>
      <c r="CT14" s="321"/>
      <c r="CU14" s="321"/>
      <c r="CV14" s="321"/>
      <c r="CW14" s="321"/>
      <c r="CX14" s="321"/>
      <c r="CY14" s="321"/>
      <c r="CZ14" s="315"/>
      <c r="DA14" s="315"/>
      <c r="DB14" s="22"/>
      <c r="DC14" s="22"/>
      <c r="DD14" s="22"/>
      <c r="DE14" s="22"/>
      <c r="DF14" s="1657"/>
      <c r="DH14" s="752"/>
      <c r="DI14" s="752"/>
      <c r="DJ14" s="752"/>
    </row>
    <row r="15" spans="1:114" ht="11.25" customHeight="1">
      <c r="I15" s="184"/>
      <c r="J15" s="69"/>
      <c r="K15" s="69"/>
      <c r="L15" s="70"/>
      <c r="M15" s="315"/>
      <c r="N15" s="315"/>
      <c r="O15" s="315"/>
      <c r="P15" s="316"/>
      <c r="Q15" s="315"/>
      <c r="R15" s="315"/>
      <c r="S15" s="315"/>
      <c r="T15" s="316"/>
      <c r="U15" s="315"/>
      <c r="V15" s="315"/>
      <c r="W15" s="315"/>
      <c r="X15" s="316"/>
      <c r="Y15" s="315"/>
      <c r="Z15" s="315"/>
      <c r="AA15" s="315"/>
      <c r="AB15" s="316"/>
      <c r="AC15" s="315"/>
      <c r="AD15" s="315"/>
      <c r="AE15" s="315"/>
      <c r="AF15" s="316"/>
      <c r="AG15" s="494"/>
      <c r="AH15" s="494"/>
      <c r="AI15" s="494"/>
      <c r="AJ15" s="497"/>
      <c r="AK15" s="494"/>
      <c r="AL15" s="494"/>
      <c r="AM15" s="494"/>
      <c r="AN15" s="497"/>
      <c r="AO15" s="494"/>
      <c r="AP15" s="494"/>
      <c r="AQ15" s="494"/>
      <c r="AR15" s="497"/>
      <c r="AS15" s="494"/>
      <c r="AT15" s="494"/>
      <c r="AU15" s="494"/>
      <c r="AV15" s="497"/>
      <c r="AW15" s="494"/>
      <c r="AX15" s="494"/>
      <c r="AY15" s="494"/>
      <c r="AZ15" s="497"/>
      <c r="BA15" s="494"/>
      <c r="BB15" s="494"/>
      <c r="BC15" s="494"/>
      <c r="BD15" s="497"/>
      <c r="BE15" s="393"/>
      <c r="BF15" s="393"/>
      <c r="BG15" s="393"/>
      <c r="BH15" s="472"/>
      <c r="BI15" s="393"/>
      <c r="BJ15" s="393"/>
      <c r="BK15" s="393"/>
      <c r="BL15" s="472"/>
      <c r="BM15" s="393"/>
      <c r="BN15" s="393"/>
      <c r="BO15" s="393"/>
      <c r="BP15" s="472"/>
      <c r="BQ15" s="393"/>
      <c r="BR15" s="393"/>
      <c r="BS15" s="393"/>
      <c r="BT15" s="472"/>
      <c r="BU15" s="393"/>
      <c r="BV15" s="494"/>
      <c r="BW15" s="470"/>
      <c r="BX15" s="497"/>
      <c r="BY15" s="494"/>
      <c r="BZ15" s="494"/>
      <c r="CA15" s="494"/>
      <c r="CB15" s="497"/>
      <c r="CC15" s="494"/>
      <c r="CD15" s="494"/>
      <c r="CE15" s="494"/>
      <c r="CF15" s="497"/>
      <c r="CG15" s="742"/>
      <c r="CH15" s="320"/>
      <c r="CI15" s="315"/>
      <c r="CJ15" s="315"/>
      <c r="CK15" s="315"/>
      <c r="CL15" s="315"/>
      <c r="CM15" s="317"/>
      <c r="CN15" s="494"/>
      <c r="CO15" s="494"/>
      <c r="CP15" s="494"/>
      <c r="CQ15" s="393"/>
      <c r="CR15" s="488"/>
      <c r="CS15" s="321"/>
      <c r="CT15" s="321"/>
      <c r="CU15" s="321"/>
      <c r="CV15" s="321"/>
      <c r="CW15" s="321"/>
      <c r="CX15" s="321"/>
      <c r="CY15" s="321"/>
      <c r="CZ15" s="315"/>
      <c r="DA15" s="315"/>
      <c r="DB15" s="22"/>
      <c r="DC15" s="22"/>
      <c r="DD15" s="22"/>
      <c r="DE15" s="22"/>
      <c r="DF15" s="1657"/>
      <c r="DH15" s="752"/>
      <c r="DI15" s="752"/>
      <c r="DJ15" s="752"/>
    </row>
    <row r="16" spans="1:114" s="3" customFormat="1" ht="11.25" customHeight="1">
      <c r="A16" s="24"/>
      <c r="B16" s="24"/>
      <c r="C16" s="24"/>
      <c r="D16" s="24"/>
      <c r="E16" s="24"/>
      <c r="F16" s="24"/>
      <c r="G16" s="24"/>
      <c r="H16" s="24"/>
      <c r="I16" s="190" t="s">
        <v>327</v>
      </c>
      <c r="J16" s="79"/>
      <c r="K16" s="79"/>
      <c r="L16" s="7"/>
      <c r="M16" s="361"/>
      <c r="N16" s="361"/>
      <c r="O16" s="361"/>
      <c r="P16" s="362"/>
      <c r="Q16" s="361"/>
      <c r="R16" s="361"/>
      <c r="S16" s="361"/>
      <c r="T16" s="362"/>
      <c r="U16" s="361"/>
      <c r="V16" s="361"/>
      <c r="W16" s="361"/>
      <c r="X16" s="362"/>
      <c r="Y16" s="361"/>
      <c r="Z16" s="361"/>
      <c r="AA16" s="361"/>
      <c r="AB16" s="362"/>
      <c r="AC16" s="361"/>
      <c r="AD16" s="361"/>
      <c r="AE16" s="361"/>
      <c r="AF16" s="362"/>
      <c r="AG16" s="388"/>
      <c r="AH16" s="388"/>
      <c r="AI16" s="388"/>
      <c r="AJ16" s="387"/>
      <c r="AK16" s="388"/>
      <c r="AL16" s="388"/>
      <c r="AM16" s="388"/>
      <c r="AN16" s="387"/>
      <c r="AO16" s="388"/>
      <c r="AP16" s="388"/>
      <c r="AQ16" s="388"/>
      <c r="AR16" s="387"/>
      <c r="AS16" s="388"/>
      <c r="AT16" s="388"/>
      <c r="AU16" s="388"/>
      <c r="AV16" s="387"/>
      <c r="AW16" s="491"/>
      <c r="AX16" s="491"/>
      <c r="AY16" s="491"/>
      <c r="AZ16" s="492"/>
      <c r="BA16" s="491"/>
      <c r="BB16" s="491"/>
      <c r="BC16" s="491"/>
      <c r="BD16" s="492"/>
      <c r="BE16" s="759">
        <v>1.34</v>
      </c>
      <c r="BF16" s="759">
        <v>1.3</v>
      </c>
      <c r="BG16" s="759">
        <v>1.24</v>
      </c>
      <c r="BH16" s="760">
        <v>1.3</v>
      </c>
      <c r="BI16" s="759">
        <v>1.31</v>
      </c>
      <c r="BJ16" s="759">
        <v>1.32</v>
      </c>
      <c r="BK16" s="759">
        <v>1.33</v>
      </c>
      <c r="BL16" s="760">
        <v>1.35</v>
      </c>
      <c r="BM16" s="759">
        <v>1.37</v>
      </c>
      <c r="BN16" s="759">
        <v>1.39</v>
      </c>
      <c r="BO16" s="759">
        <v>1.34</v>
      </c>
      <c r="BP16" s="760">
        <v>1.25</v>
      </c>
      <c r="BQ16" s="759">
        <v>1.1399999999999999</v>
      </c>
      <c r="BR16" s="759">
        <v>1.1200000000000001</v>
      </c>
      <c r="BS16" s="759">
        <v>1.0900000000000001</v>
      </c>
      <c r="BT16" s="760">
        <v>1.07</v>
      </c>
      <c r="BU16" s="759">
        <v>1.1200000000000001</v>
      </c>
      <c r="BV16" s="494"/>
      <c r="BW16" s="491"/>
      <c r="BX16" s="492"/>
      <c r="BY16" s="491"/>
      <c r="BZ16" s="491"/>
      <c r="CA16" s="491"/>
      <c r="CB16" s="492"/>
      <c r="CC16" s="473"/>
      <c r="CD16" s="491"/>
      <c r="CE16" s="491"/>
      <c r="CF16" s="492"/>
      <c r="CG16" s="761"/>
      <c r="CH16" s="366"/>
      <c r="CI16" s="361"/>
      <c r="CJ16" s="361"/>
      <c r="CK16" s="361"/>
      <c r="CL16" s="361"/>
      <c r="CM16" s="388"/>
      <c r="CN16" s="491"/>
      <c r="CO16" s="491"/>
      <c r="CP16" s="491"/>
      <c r="CQ16" s="491"/>
      <c r="CR16" s="759"/>
      <c r="CS16" s="429"/>
      <c r="CT16" s="429"/>
      <c r="CU16" s="429"/>
      <c r="CV16" s="429"/>
      <c r="CW16" s="429"/>
      <c r="CX16" s="429"/>
      <c r="CY16" s="429"/>
      <c r="CZ16" s="361"/>
      <c r="DA16" s="361"/>
      <c r="DB16" s="22"/>
      <c r="DC16" s="22"/>
      <c r="DD16" s="22"/>
      <c r="DE16" s="22"/>
      <c r="DF16" s="1657"/>
      <c r="DG16"/>
      <c r="DH16" s="762"/>
      <c r="DI16" s="762"/>
      <c r="DJ16" s="762"/>
    </row>
    <row r="17" spans="1:114" ht="11.25" customHeight="1">
      <c r="I17" s="722" t="s">
        <v>326</v>
      </c>
      <c r="J17" s="710"/>
      <c r="K17" s="710"/>
      <c r="L17" s="70"/>
      <c r="M17" s="315"/>
      <c r="N17" s="315"/>
      <c r="O17" s="315"/>
      <c r="P17" s="316"/>
      <c r="Q17" s="315"/>
      <c r="R17" s="315"/>
      <c r="S17" s="315"/>
      <c r="T17" s="316"/>
      <c r="U17" s="315"/>
      <c r="V17" s="315"/>
      <c r="W17" s="315"/>
      <c r="X17" s="316"/>
      <c r="Y17" s="315"/>
      <c r="Z17" s="315"/>
      <c r="AA17" s="315"/>
      <c r="AB17" s="316"/>
      <c r="AC17" s="315"/>
      <c r="AD17" s="315"/>
      <c r="AE17" s="315"/>
      <c r="AF17" s="316"/>
      <c r="AG17" s="317"/>
      <c r="AH17" s="317"/>
      <c r="AI17" s="317"/>
      <c r="AJ17" s="318"/>
      <c r="AK17" s="317"/>
      <c r="AL17" s="317"/>
      <c r="AM17" s="317"/>
      <c r="AN17" s="318"/>
      <c r="AO17" s="317"/>
      <c r="AP17" s="317"/>
      <c r="AQ17" s="317"/>
      <c r="AR17" s="318"/>
      <c r="AS17" s="317"/>
      <c r="AT17" s="317"/>
      <c r="AU17" s="317"/>
      <c r="AV17" s="318"/>
      <c r="AW17" s="494"/>
      <c r="AX17" s="494"/>
      <c r="AY17" s="494"/>
      <c r="AZ17" s="497"/>
      <c r="BA17" s="494"/>
      <c r="BB17" s="494"/>
      <c r="BC17" s="494"/>
      <c r="BD17" s="497"/>
      <c r="BE17" s="391">
        <f t="shared" ref="BE17:BO17" si="10">+BE27/BE16-1</f>
        <v>-2.1913166311300358E-2</v>
      </c>
      <c r="BF17" s="391">
        <f t="shared" si="10"/>
        <v>-1.2926397295013103E-2</v>
      </c>
      <c r="BG17" s="391">
        <f t="shared" si="10"/>
        <v>9.5189077840109881E-3</v>
      </c>
      <c r="BH17" s="392">
        <f t="shared" si="10"/>
        <v>-2.044181438127235E-3</v>
      </c>
      <c r="BI17" s="391">
        <f t="shared" si="10"/>
        <v>7.6909508057680931E-3</v>
      </c>
      <c r="BJ17" s="391">
        <f t="shared" si="10"/>
        <v>-1.0968576423576182E-2</v>
      </c>
      <c r="BK17" s="391">
        <f t="shared" si="10"/>
        <v>-3.959927263811891E-3</v>
      </c>
      <c r="BL17" s="392">
        <f t="shared" si="10"/>
        <v>8.4421215780998704E-3</v>
      </c>
      <c r="BM17" s="391">
        <f t="shared" si="10"/>
        <v>3.585506893757362E-4</v>
      </c>
      <c r="BN17" s="391">
        <f>+BN27/BN16-1</f>
        <v>-1.3378020396868973E-2</v>
      </c>
      <c r="BO17" s="391">
        <f t="shared" si="10"/>
        <v>-1.1038122160934916E-2</v>
      </c>
      <c r="BP17" s="392">
        <f t="shared" ref="BP17:BU17" si="11">+BP27/BP16-1</f>
        <v>-1.3694713043477247E-3</v>
      </c>
      <c r="BQ17" s="391">
        <f t="shared" si="11"/>
        <v>-1.1952993177385851E-2</v>
      </c>
      <c r="BR17" s="391">
        <f t="shared" si="11"/>
        <v>-1.2090815345366157E-2</v>
      </c>
      <c r="BS17" s="391">
        <f t="shared" si="11"/>
        <v>2.0227429198244939E-2</v>
      </c>
      <c r="BT17" s="392">
        <f t="shared" si="11"/>
        <v>2.3741945347420135E-2</v>
      </c>
      <c r="BU17" s="391">
        <f t="shared" si="11"/>
        <v>-1.5320257064364462E-2</v>
      </c>
      <c r="BV17" s="774"/>
      <c r="BW17" s="774"/>
      <c r="BX17" s="497"/>
      <c r="BY17" s="494"/>
      <c r="BZ17" s="494"/>
      <c r="CA17" s="494"/>
      <c r="CB17" s="497"/>
      <c r="CC17" s="494"/>
      <c r="CD17" s="494"/>
      <c r="CE17" s="494"/>
      <c r="CF17" s="497"/>
      <c r="CG17" s="742"/>
      <c r="CH17" s="320"/>
      <c r="CI17" s="315"/>
      <c r="CJ17" s="315"/>
      <c r="CK17" s="315"/>
      <c r="CL17" s="315"/>
      <c r="CM17" s="317"/>
      <c r="CN17" s="494"/>
      <c r="CO17" s="494"/>
      <c r="CP17" s="494"/>
      <c r="CQ17" s="494"/>
      <c r="CR17" s="488"/>
      <c r="CS17" s="321"/>
      <c r="CT17" s="321"/>
      <c r="CU17" s="321"/>
      <c r="CV17" s="321"/>
      <c r="CW17" s="321"/>
      <c r="CX17" s="321"/>
      <c r="CY17" s="321"/>
      <c r="CZ17" s="315"/>
      <c r="DA17" s="315"/>
      <c r="DB17" s="22"/>
      <c r="DC17" s="22"/>
      <c r="DD17" s="22"/>
      <c r="DE17" s="22"/>
      <c r="DF17" s="1657"/>
      <c r="DH17" s="752"/>
      <c r="DI17" s="752"/>
      <c r="DJ17" s="752"/>
    </row>
    <row r="18" spans="1:114" s="24" customFormat="1" ht="11.25" customHeight="1">
      <c r="A18" s="542"/>
      <c r="B18" s="542"/>
      <c r="C18" s="542"/>
      <c r="D18" s="542"/>
      <c r="E18" s="542"/>
      <c r="F18" s="542"/>
      <c r="G18" s="542"/>
      <c r="H18" s="543"/>
      <c r="I18" s="160"/>
      <c r="M18" s="388"/>
      <c r="N18" s="388"/>
      <c r="O18" s="388"/>
      <c r="P18" s="387"/>
      <c r="Q18" s="388"/>
      <c r="R18" s="388"/>
      <c r="S18" s="388"/>
      <c r="T18" s="387"/>
      <c r="U18" s="388"/>
      <c r="V18" s="388"/>
      <c r="W18" s="388"/>
      <c r="X18" s="387"/>
      <c r="Y18" s="388"/>
      <c r="Z18" s="388"/>
      <c r="AA18" s="388"/>
      <c r="AB18" s="387"/>
      <c r="AC18" s="388"/>
      <c r="AD18" s="388"/>
      <c r="AE18" s="388"/>
      <c r="AF18" s="387"/>
      <c r="AG18" s="388"/>
      <c r="AH18" s="388"/>
      <c r="AI18" s="388"/>
      <c r="AJ18" s="387"/>
      <c r="AK18" s="388"/>
      <c r="AL18" s="388"/>
      <c r="AM18" s="388"/>
      <c r="AN18" s="387"/>
      <c r="AO18" s="388"/>
      <c r="AP18" s="388"/>
      <c r="AQ18" s="388"/>
      <c r="AR18" s="387"/>
      <c r="AS18" s="388"/>
      <c r="AT18" s="388"/>
      <c r="AU18" s="388"/>
      <c r="AV18" s="387"/>
      <c r="AW18" s="763"/>
      <c r="AX18" s="763"/>
      <c r="AY18" s="763"/>
      <c r="AZ18" s="764"/>
      <c r="BA18" s="765"/>
      <c r="BB18" s="765"/>
      <c r="BC18" s="765"/>
      <c r="BD18" s="764"/>
      <c r="BE18" s="765"/>
      <c r="BF18" s="765"/>
      <c r="BG18" s="765"/>
      <c r="BH18" s="764"/>
      <c r="BI18" s="765"/>
      <c r="BJ18" s="765"/>
      <c r="BK18" s="765"/>
      <c r="BL18" s="764"/>
      <c r="BM18" s="765"/>
      <c r="BN18" s="765"/>
      <c r="BO18" s="765"/>
      <c r="BP18" s="764"/>
      <c r="BQ18" s="765"/>
      <c r="BR18" s="765"/>
      <c r="BS18" s="765"/>
      <c r="BT18" s="764"/>
      <c r="BU18" s="774"/>
      <c r="BV18" s="774"/>
      <c r="BW18" s="774"/>
      <c r="BX18" s="764"/>
      <c r="BY18" s="765"/>
      <c r="BZ18" s="765"/>
      <c r="CA18" s="765"/>
      <c r="CB18" s="764"/>
      <c r="CC18" s="765"/>
      <c r="CD18" s="765"/>
      <c r="CE18" s="765"/>
      <c r="CF18" s="764"/>
      <c r="CG18" s="742"/>
      <c r="CH18" s="766"/>
      <c r="CI18" s="767"/>
      <c r="CJ18" s="767"/>
      <c r="CK18" s="767"/>
      <c r="CL18" s="767"/>
      <c r="CM18" s="767"/>
      <c r="CN18" s="767"/>
      <c r="CO18" s="767"/>
      <c r="CP18" s="768"/>
      <c r="CQ18" s="765"/>
      <c r="CR18" s="765"/>
      <c r="CS18" s="765"/>
      <c r="CT18" s="765"/>
      <c r="CU18" s="765"/>
      <c r="CV18" s="765"/>
      <c r="CW18" s="765"/>
      <c r="CX18" s="765"/>
      <c r="CY18" s="765"/>
      <c r="CZ18" s="315"/>
      <c r="DA18" s="315"/>
      <c r="DB18" s="22"/>
      <c r="DC18" s="22"/>
      <c r="DD18" s="22"/>
      <c r="DE18" s="22"/>
      <c r="DF18" s="1657"/>
      <c r="DG18"/>
      <c r="DH18" s="273"/>
      <c r="DI18" s="273"/>
      <c r="DJ18" s="273"/>
    </row>
    <row r="19" spans="1:114" s="24" customFormat="1" ht="11.25" customHeight="1">
      <c r="A19" s="542"/>
      <c r="B19" s="542"/>
      <c r="C19" s="542"/>
      <c r="D19" s="542"/>
      <c r="E19" s="542"/>
      <c r="F19" s="542"/>
      <c r="G19" s="542"/>
      <c r="H19" s="543"/>
      <c r="I19" s="160"/>
      <c r="M19" s="315"/>
      <c r="N19" s="315"/>
      <c r="O19" s="315"/>
      <c r="P19" s="316"/>
      <c r="Q19" s="315"/>
      <c r="R19" s="315"/>
      <c r="S19" s="315"/>
      <c r="T19" s="316"/>
      <c r="U19" s="315"/>
      <c r="V19" s="315"/>
      <c r="W19" s="315"/>
      <c r="X19" s="316"/>
      <c r="Y19" s="388"/>
      <c r="Z19" s="388"/>
      <c r="AA19" s="388"/>
      <c r="AB19" s="387"/>
      <c r="AC19" s="388"/>
      <c r="AD19" s="388"/>
      <c r="AE19" s="388"/>
      <c r="AF19" s="387"/>
      <c r="AG19" s="388"/>
      <c r="AH19" s="388"/>
      <c r="AI19" s="388"/>
      <c r="AJ19" s="387"/>
      <c r="AK19" s="388"/>
      <c r="AL19" s="388"/>
      <c r="AM19" s="388"/>
      <c r="AN19" s="387"/>
      <c r="AO19" s="388"/>
      <c r="AP19" s="388"/>
      <c r="AQ19" s="388"/>
      <c r="AR19" s="387"/>
      <c r="AS19" s="388"/>
      <c r="AT19" s="388"/>
      <c r="AU19" s="388"/>
      <c r="AV19" s="387"/>
      <c r="AW19" s="763"/>
      <c r="AX19" s="763"/>
      <c r="AY19" s="763"/>
      <c r="AZ19" s="764"/>
      <c r="BA19" s="765"/>
      <c r="BB19" s="765"/>
      <c r="BC19" s="765"/>
      <c r="BD19" s="764"/>
      <c r="BE19" s="765"/>
      <c r="BF19" s="765"/>
      <c r="BG19" s="765"/>
      <c r="BH19" s="764"/>
      <c r="BI19" s="765"/>
      <c r="BJ19" s="765"/>
      <c r="BK19" s="765"/>
      <c r="BL19" s="764"/>
      <c r="BM19" s="765"/>
      <c r="BN19" s="765"/>
      <c r="BO19" s="765"/>
      <c r="BP19" s="764"/>
      <c r="BQ19" s="765"/>
      <c r="BR19" s="765"/>
      <c r="BS19" s="765"/>
      <c r="BT19" s="764"/>
      <c r="BU19" s="765"/>
      <c r="BV19" s="765"/>
      <c r="BW19" s="765"/>
      <c r="BX19" s="764"/>
      <c r="BY19" s="765"/>
      <c r="BZ19" s="765"/>
      <c r="CA19" s="765"/>
      <c r="CB19" s="764"/>
      <c r="CC19" s="765"/>
      <c r="CD19" s="765"/>
      <c r="CE19" s="765"/>
      <c r="CF19" s="764"/>
      <c r="CG19" s="742"/>
      <c r="CH19" s="320"/>
      <c r="CI19" s="315"/>
      <c r="CJ19" s="315"/>
      <c r="CK19" s="767"/>
      <c r="CL19" s="767"/>
      <c r="CM19" s="767"/>
      <c r="CN19" s="767"/>
      <c r="CO19" s="767"/>
      <c r="CP19" s="768"/>
      <c r="CQ19" s="765"/>
      <c r="CR19" s="765"/>
      <c r="CS19" s="765"/>
      <c r="CT19" s="765"/>
      <c r="CU19" s="765"/>
      <c r="CV19" s="765"/>
      <c r="CW19" s="765"/>
      <c r="CX19" s="765"/>
      <c r="CY19" s="765"/>
      <c r="CZ19" s="315"/>
      <c r="DA19" s="315"/>
      <c r="DB19" s="22"/>
      <c r="DC19" s="22"/>
      <c r="DD19" s="22"/>
      <c r="DE19" s="22"/>
      <c r="DF19" s="1657"/>
      <c r="DG19"/>
      <c r="DH19" s="273"/>
      <c r="DI19" s="273"/>
      <c r="DJ19" s="273"/>
    </row>
    <row r="20" spans="1:114" s="6" customFormat="1" ht="11.25" customHeight="1">
      <c r="A20" s="542"/>
      <c r="B20" s="542"/>
      <c r="C20" s="542"/>
      <c r="D20" s="542"/>
      <c r="E20" s="542"/>
      <c r="F20" s="542"/>
      <c r="G20" s="542"/>
      <c r="H20" s="543"/>
      <c r="I20" s="178" t="s">
        <v>233</v>
      </c>
      <c r="J20" s="8"/>
      <c r="K20" s="8"/>
      <c r="L20" s="5"/>
      <c r="M20" s="409"/>
      <c r="N20" s="409"/>
      <c r="O20" s="409"/>
      <c r="P20" s="410"/>
      <c r="Q20" s="409"/>
      <c r="R20" s="409"/>
      <c r="S20" s="409"/>
      <c r="T20" s="410"/>
      <c r="U20" s="409"/>
      <c r="V20" s="409"/>
      <c r="W20" s="409"/>
      <c r="X20" s="410"/>
      <c r="Y20" s="491"/>
      <c r="Z20" s="491"/>
      <c r="AA20" s="491"/>
      <c r="AB20" s="492"/>
      <c r="AC20" s="491"/>
      <c r="AD20" s="491"/>
      <c r="AE20" s="491"/>
      <c r="AF20" s="492"/>
      <c r="AG20" s="498">
        <f>'Bookings and Drivers'!AG11</f>
        <v>746.82099999999991</v>
      </c>
      <c r="AH20" s="498">
        <f>'Bookings and Drivers'!AH11</f>
        <v>927.34999999999991</v>
      </c>
      <c r="AI20" s="498">
        <f>'Bookings and Drivers'!AI11</f>
        <v>903.16799999999989</v>
      </c>
      <c r="AJ20" s="499">
        <f>'Bookings and Drivers'!AJ11</f>
        <v>742.41</v>
      </c>
      <c r="AK20" s="498">
        <f>'Bookings and Drivers'!AK11</f>
        <v>998.49099999999999</v>
      </c>
      <c r="AL20" s="498">
        <f>'Bookings and Drivers'!AL11</f>
        <v>1234.9110000000001</v>
      </c>
      <c r="AM20" s="498">
        <f>'Bookings and Drivers'!AM11</f>
        <v>1390.683</v>
      </c>
      <c r="AN20" s="499">
        <f>'Bookings and Drivers'!AN11</f>
        <v>1205.3309999999999</v>
      </c>
      <c r="AO20" s="498">
        <f>'Bookings and Drivers'!AO11</f>
        <v>1758.6119999999999</v>
      </c>
      <c r="AP20" s="498">
        <f>'Bookings and Drivers'!AP11</f>
        <v>2109.9650000000001</v>
      </c>
      <c r="AQ20" s="498">
        <f>'Bookings and Drivers'!AQ11</f>
        <v>2050.4270000000001</v>
      </c>
      <c r="AR20" s="499">
        <f>'Bookings and Drivers'!AR11</f>
        <v>1481.1129999999998</v>
      </c>
      <c r="AS20" s="498">
        <f>'Bookings and Drivers'!AS11</f>
        <v>1943.5839999999998</v>
      </c>
      <c r="AT20" s="498">
        <f>'Bookings and Drivers'!AT11</f>
        <v>2379.1779999999999</v>
      </c>
      <c r="AU20" s="498">
        <f>'Bookings and Drivers'!AU11</f>
        <v>2722.846</v>
      </c>
      <c r="AV20" s="499">
        <f>'Bookings and Drivers'!AV11</f>
        <v>2264.4540000000002</v>
      </c>
      <c r="AW20" s="498">
        <f>'Bookings and Drivers'!AW11</f>
        <v>2964.6950000000002</v>
      </c>
      <c r="AX20" s="498">
        <f>'Bookings and Drivers'!AX11</f>
        <v>3410.1800000000003</v>
      </c>
      <c r="AY20" s="498">
        <f>'Bookings and Drivers'!AY11</f>
        <v>4006</v>
      </c>
      <c r="AZ20" s="499">
        <f>'Bookings and Drivers'!AZ11</f>
        <v>3265</v>
      </c>
      <c r="BA20" s="498">
        <f>'Bookings and Drivers'!BA11</f>
        <v>4665</v>
      </c>
      <c r="BB20" s="498">
        <f>'Bookings and Drivers'!BB11</f>
        <v>5780</v>
      </c>
      <c r="BC20" s="498">
        <f>'Bookings and Drivers'!BC11</f>
        <v>6257</v>
      </c>
      <c r="BD20" s="499">
        <f>'Bookings and Drivers'!BD11</f>
        <v>4956</v>
      </c>
      <c r="BE20" s="498">
        <f>'Bookings and Drivers'!BE11</f>
        <v>6711</v>
      </c>
      <c r="BF20" s="498">
        <f>'Bookings and Drivers'!BF11</f>
        <v>7329</v>
      </c>
      <c r="BG20" s="498">
        <f>'Bookings and Drivers'!BG11</f>
        <v>7832</v>
      </c>
      <c r="BH20" s="499">
        <f>'Bookings and Drivers'!BH11</f>
        <v>6584</v>
      </c>
      <c r="BI20" s="498">
        <f>'Bookings and Drivers'!BI11</f>
        <v>9153</v>
      </c>
      <c r="BJ20" s="498">
        <f>'Bookings and Drivers'!BJ11</f>
        <v>10117</v>
      </c>
      <c r="BK20" s="498">
        <f>'Bookings and Drivers'!BK11</f>
        <v>10765</v>
      </c>
      <c r="BL20" s="499">
        <f>'Bookings and Drivers'!BL11</f>
        <v>9138</v>
      </c>
      <c r="BM20" s="498">
        <f>'Bookings and Drivers'!BM11</f>
        <v>12280</v>
      </c>
      <c r="BN20" s="498">
        <f>'Bookings and Drivers'!BN11</f>
        <v>13538</v>
      </c>
      <c r="BO20" s="498">
        <f>'Bookings and Drivers'!BO11</f>
        <v>13823</v>
      </c>
      <c r="BP20" s="499">
        <f>'Bookings and Drivers'!BP11</f>
        <v>10659</v>
      </c>
      <c r="BQ20" s="498">
        <f>'Bookings and Drivers'!BQ11</f>
        <v>13775</v>
      </c>
      <c r="BR20" s="498">
        <f>'Bookings and Drivers'!BR11</f>
        <v>14960</v>
      </c>
      <c r="BS20" s="498">
        <f>'Bookings and Drivers'!BS11</f>
        <v>14778</v>
      </c>
      <c r="BT20" s="499">
        <f>'Bookings and Drivers'!BT11</f>
        <v>12015</v>
      </c>
      <c r="BU20" s="498">
        <f>'Bookings and Drivers'!BU11</f>
        <v>16653</v>
      </c>
      <c r="BV20" s="498">
        <f>'Bookings and Drivers'!BV11</f>
        <v>17862</v>
      </c>
      <c r="BW20" s="498">
        <f>'Bookings and Drivers'!BW11</f>
        <v>18460</v>
      </c>
      <c r="BX20" s="499">
        <f>'Bookings and Drivers'!BX11</f>
        <v>15112</v>
      </c>
      <c r="BY20" s="498">
        <f>'Bookings and Drivers'!BY11</f>
        <v>20687</v>
      </c>
      <c r="BZ20" s="498">
        <f>'Bookings and Drivers'!BZ11</f>
        <v>20797</v>
      </c>
      <c r="CA20" s="498">
        <f>'Bookings and Drivers'!CA11</f>
        <v>21762</v>
      </c>
      <c r="CB20" s="499">
        <f>'Bookings and Drivers'!CB11</f>
        <v>17980</v>
      </c>
      <c r="CC20" s="498">
        <f>'Bookings and Drivers'!CC11</f>
        <v>24881.474049815144</v>
      </c>
      <c r="CD20" s="498">
        <f>'Bookings and Drivers'!CD11</f>
        <v>25086.12790194053</v>
      </c>
      <c r="CE20" s="498">
        <f>'Bookings and Drivers'!CE11</f>
        <v>24813.585995275425</v>
      </c>
      <c r="CF20" s="499">
        <f>'Bookings and Drivers'!CF11</f>
        <v>22004.981225315398</v>
      </c>
      <c r="CG20" s="769"/>
      <c r="CH20" s="412"/>
      <c r="CI20" s="409"/>
      <c r="CJ20" s="409"/>
      <c r="CK20" s="491"/>
      <c r="CL20" s="491"/>
      <c r="CM20" s="498">
        <f>'Bookings and Drivers'!CM11</f>
        <v>3319.7489999999998</v>
      </c>
      <c r="CN20" s="498">
        <f>'Bookings and Drivers'!CN11</f>
        <v>4829.4160000000002</v>
      </c>
      <c r="CO20" s="498">
        <f>'Bookings and Drivers'!CO11</f>
        <v>7400.1170000000002</v>
      </c>
      <c r="CP20" s="498">
        <f>'Bookings and Drivers'!CP11</f>
        <v>9310.0619999999999</v>
      </c>
      <c r="CQ20" s="498">
        <f>'Bookings and Drivers'!CQ11</f>
        <v>13645.875</v>
      </c>
      <c r="CR20" s="498">
        <f>'Bookings and Drivers'!CR11</f>
        <v>21658</v>
      </c>
      <c r="CS20" s="498">
        <f>'Bookings and Drivers'!CS11</f>
        <v>28456</v>
      </c>
      <c r="CT20" s="498">
        <f>'Bookings and Drivers'!CT11</f>
        <v>39173</v>
      </c>
      <c r="CU20" s="498">
        <f>'Bookings and Drivers'!CU11</f>
        <v>50300</v>
      </c>
      <c r="CV20" s="498">
        <f>'Bookings and Drivers'!CV11</f>
        <v>55528</v>
      </c>
      <c r="CW20" s="498">
        <f>'Bookings and Drivers'!CW11</f>
        <v>68087</v>
      </c>
      <c r="CX20" s="498">
        <f>'Bookings and Drivers'!CX11</f>
        <v>81226</v>
      </c>
      <c r="CY20" s="498">
        <f>'Bookings and Drivers'!CY11</f>
        <v>96786.16917234649</v>
      </c>
      <c r="CZ20" s="498">
        <f>'Bookings and Drivers'!CZ11</f>
        <v>110922.85145653768</v>
      </c>
      <c r="DA20" s="498">
        <f>'Bookings and Drivers'!DA11</f>
        <v>124828.89016710233</v>
      </c>
      <c r="DB20" s="498">
        <f>'Bookings and Drivers'!DB11</f>
        <v>138263.57556092652</v>
      </c>
      <c r="DC20" s="498">
        <f>'Bookings and Drivers'!DC11</f>
        <v>151436.90782473588</v>
      </c>
      <c r="DD20" s="498">
        <f>'Bookings and Drivers'!DD11</f>
        <v>164480.34456989294</v>
      </c>
      <c r="DE20" s="498">
        <f>'Bookings and Drivers'!DE11</f>
        <v>177276.69132531929</v>
      </c>
      <c r="DF20" s="499">
        <f>'Bookings and Drivers'!DF11</f>
        <v>191119.5238413497</v>
      </c>
      <c r="DG20"/>
      <c r="DH20" s="771"/>
      <c r="DI20" s="771"/>
      <c r="DJ20" s="771"/>
    </row>
    <row r="21" spans="1:114" s="282" customFormat="1" ht="11.25" customHeight="1">
      <c r="A21" s="82"/>
      <c r="B21" s="82"/>
      <c r="C21" s="82"/>
      <c r="D21" s="82"/>
      <c r="E21" s="82"/>
      <c r="F21" s="82"/>
      <c r="G21" s="82"/>
      <c r="H21" s="292"/>
      <c r="I21" s="193" t="s">
        <v>376</v>
      </c>
      <c r="J21" s="83"/>
      <c r="K21" s="83"/>
      <c r="L21" s="91"/>
      <c r="M21" s="343"/>
      <c r="N21" s="343"/>
      <c r="O21" s="343"/>
      <c r="P21" s="344"/>
      <c r="Q21" s="343"/>
      <c r="R21" s="343"/>
      <c r="S21" s="343"/>
      <c r="T21" s="344"/>
      <c r="U21" s="343"/>
      <c r="V21" s="343"/>
      <c r="W21" s="343"/>
      <c r="X21" s="344"/>
      <c r="Y21" s="475"/>
      <c r="Z21" s="475"/>
      <c r="AA21" s="475"/>
      <c r="AB21" s="476"/>
      <c r="AC21" s="475"/>
      <c r="AD21" s="475"/>
      <c r="AE21" s="475"/>
      <c r="AF21" s="476"/>
      <c r="AG21" s="475"/>
      <c r="AH21" s="475"/>
      <c r="AI21" s="475"/>
      <c r="AJ21" s="476"/>
      <c r="AK21" s="391">
        <f t="shared" ref="AK21:CF21" si="12">+AK20/AG20-1</f>
        <v>0.33698838141937637</v>
      </c>
      <c r="AL21" s="391">
        <f t="shared" si="12"/>
        <v>0.33165579338976681</v>
      </c>
      <c r="AM21" s="391">
        <f t="shared" si="12"/>
        <v>0.53978329613095255</v>
      </c>
      <c r="AN21" s="392">
        <f t="shared" si="12"/>
        <v>0.6235382066513111</v>
      </c>
      <c r="AO21" s="391">
        <f t="shared" si="12"/>
        <v>0.76126975606189728</v>
      </c>
      <c r="AP21" s="391">
        <f t="shared" si="12"/>
        <v>0.70859681385946027</v>
      </c>
      <c r="AQ21" s="391">
        <f t="shared" si="12"/>
        <v>0.47440286535464948</v>
      </c>
      <c r="AR21" s="392">
        <f t="shared" si="12"/>
        <v>0.22880188097709264</v>
      </c>
      <c r="AS21" s="391">
        <f t="shared" si="12"/>
        <v>0.1051806765790293</v>
      </c>
      <c r="AT21" s="391">
        <f t="shared" si="12"/>
        <v>0.12759121596803724</v>
      </c>
      <c r="AU21" s="391">
        <f t="shared" si="12"/>
        <v>0.32794096059015998</v>
      </c>
      <c r="AV21" s="392">
        <f t="shared" si="12"/>
        <v>0.52888672235001688</v>
      </c>
      <c r="AW21" s="391">
        <f t="shared" si="12"/>
        <v>0.52537528606944717</v>
      </c>
      <c r="AX21" s="391">
        <f t="shared" si="12"/>
        <v>0.43334378512242488</v>
      </c>
      <c r="AY21" s="391">
        <f t="shared" si="12"/>
        <v>0.47125470922703672</v>
      </c>
      <c r="AZ21" s="392">
        <f t="shared" si="12"/>
        <v>0.44184867522148807</v>
      </c>
      <c r="BA21" s="391">
        <f t="shared" si="12"/>
        <v>0.57351768057085128</v>
      </c>
      <c r="BB21" s="391">
        <f t="shared" si="12"/>
        <v>0.69492519456450963</v>
      </c>
      <c r="BC21" s="391">
        <f t="shared" si="12"/>
        <v>0.56190713929106351</v>
      </c>
      <c r="BD21" s="392">
        <f t="shared" si="12"/>
        <v>0.51791730474732001</v>
      </c>
      <c r="BE21" s="391">
        <f t="shared" si="12"/>
        <v>0.4385852090032154</v>
      </c>
      <c r="BF21" s="391">
        <f t="shared" si="12"/>
        <v>0.26799307958477514</v>
      </c>
      <c r="BG21" s="391">
        <f t="shared" si="12"/>
        <v>0.25171807575515426</v>
      </c>
      <c r="BH21" s="392">
        <f t="shared" si="12"/>
        <v>0.32849071832122689</v>
      </c>
      <c r="BI21" s="391">
        <f t="shared" si="12"/>
        <v>0.36388019669199823</v>
      </c>
      <c r="BJ21" s="391">
        <f t="shared" si="12"/>
        <v>0.38040660390230596</v>
      </c>
      <c r="BK21" s="391">
        <f t="shared" si="12"/>
        <v>0.37448927477017357</v>
      </c>
      <c r="BL21" s="392">
        <f t="shared" si="12"/>
        <v>0.38791008505467794</v>
      </c>
      <c r="BM21" s="391">
        <f t="shared" si="12"/>
        <v>0.34163662187261012</v>
      </c>
      <c r="BN21" s="391">
        <f t="shared" si="12"/>
        <v>0.33814371849362468</v>
      </c>
      <c r="BO21" s="391">
        <f t="shared" si="12"/>
        <v>0.2840687412912215</v>
      </c>
      <c r="BP21" s="392">
        <f t="shared" si="12"/>
        <v>0.16644780039395934</v>
      </c>
      <c r="BQ21" s="391">
        <f>+BQ20/BM20-1</f>
        <v>0.12174267100977199</v>
      </c>
      <c r="BR21" s="391">
        <f>+BR20/BN20-1</f>
        <v>0.10503767173880929</v>
      </c>
      <c r="BS21" s="391">
        <f>+BS20/BO20-1</f>
        <v>6.9087752296896454E-2</v>
      </c>
      <c r="BT21" s="392">
        <f>+BT20/BP20-1</f>
        <v>0.12721643681396011</v>
      </c>
      <c r="BU21" s="391">
        <f t="shared" si="12"/>
        <v>0.20892921960072597</v>
      </c>
      <c r="BV21" s="391">
        <f t="shared" si="12"/>
        <v>0.19398395721925143</v>
      </c>
      <c r="BW21" s="391">
        <f t="shared" si="12"/>
        <v>0.24915414805792402</v>
      </c>
      <c r="BX21" s="392">
        <f t="shared" si="12"/>
        <v>0.25776113191843519</v>
      </c>
      <c r="BY21" s="391">
        <f t="shared" si="12"/>
        <v>0.2422386356812587</v>
      </c>
      <c r="BZ21" s="391">
        <f t="shared" si="12"/>
        <v>0.16431530623670354</v>
      </c>
      <c r="CA21" s="391">
        <f t="shared" si="12"/>
        <v>0.1788732394366197</v>
      </c>
      <c r="CB21" s="392">
        <f t="shared" si="12"/>
        <v>0.18978295394388556</v>
      </c>
      <c r="CC21" s="391">
        <f t="shared" si="12"/>
        <v>0.20275893313748461</v>
      </c>
      <c r="CD21" s="391">
        <f t="shared" si="12"/>
        <v>0.20623781804782082</v>
      </c>
      <c r="CE21" s="391">
        <f t="shared" si="12"/>
        <v>0.14022543862124004</v>
      </c>
      <c r="CF21" s="392">
        <f t="shared" si="12"/>
        <v>0.22385880007315895</v>
      </c>
      <c r="CG21" s="1152"/>
      <c r="CH21" s="349"/>
      <c r="CI21" s="343"/>
      <c r="CJ21" s="343"/>
      <c r="CK21" s="475"/>
      <c r="CL21" s="475"/>
      <c r="CM21" s="475"/>
      <c r="CN21" s="391">
        <f t="shared" ref="CN21:DF21" si="13">+CN20/CM20-1</f>
        <v>0.45475335635314607</v>
      </c>
      <c r="CO21" s="391">
        <f t="shared" si="13"/>
        <v>0.53230059286671505</v>
      </c>
      <c r="CP21" s="391">
        <f t="shared" si="13"/>
        <v>0.25809659495924175</v>
      </c>
      <c r="CQ21" s="391">
        <f t="shared" si="13"/>
        <v>0.46571258064661647</v>
      </c>
      <c r="CR21" s="391">
        <f t="shared" si="13"/>
        <v>0.58714629878992741</v>
      </c>
      <c r="CS21" s="391">
        <f t="shared" si="13"/>
        <v>0.31387939791301145</v>
      </c>
      <c r="CT21" s="391">
        <f t="shared" si="13"/>
        <v>0.37661653078436874</v>
      </c>
      <c r="CU21" s="391">
        <f t="shared" si="13"/>
        <v>0.28404768590610874</v>
      </c>
      <c r="CV21" s="391">
        <f t="shared" si="13"/>
        <v>0.10393638170974162</v>
      </c>
      <c r="CW21" s="391">
        <f t="shared" si="13"/>
        <v>0.22617418239446763</v>
      </c>
      <c r="CX21" s="391">
        <f>+CX20/CW20-1</f>
        <v>0.19297369541909615</v>
      </c>
      <c r="CY21" s="391">
        <f t="shared" si="13"/>
        <v>0.19156636018450368</v>
      </c>
      <c r="CZ21" s="391">
        <f>+CZ20/CY20-1</f>
        <v>0.14606097549969244</v>
      </c>
      <c r="DA21" s="391">
        <f t="shared" si="13"/>
        <v>0.12536676192473628</v>
      </c>
      <c r="DB21" s="391">
        <f t="shared" si="13"/>
        <v>0.10762480845451594</v>
      </c>
      <c r="DC21" s="391">
        <f t="shared" si="13"/>
        <v>9.5276953531441722E-2</v>
      </c>
      <c r="DD21" s="391">
        <f t="shared" si="13"/>
        <v>8.6131161369543907E-2</v>
      </c>
      <c r="DE21" s="391">
        <f t="shared" si="13"/>
        <v>7.7798637818324634E-2</v>
      </c>
      <c r="DF21" s="392">
        <f t="shared" si="13"/>
        <v>7.8086027060531693E-2</v>
      </c>
      <c r="DG21"/>
      <c r="DH21" s="1153"/>
      <c r="DI21" s="1153"/>
      <c r="DJ21" s="1153"/>
    </row>
    <row r="22" spans="1:114" s="82" customFormat="1" ht="11.25" customHeight="1">
      <c r="H22" s="292"/>
      <c r="I22" s="193" t="s">
        <v>328</v>
      </c>
      <c r="J22" s="83"/>
      <c r="K22" s="83"/>
      <c r="M22" s="336"/>
      <c r="N22" s="336"/>
      <c r="O22" s="336"/>
      <c r="P22" s="337"/>
      <c r="Q22" s="336"/>
      <c r="R22" s="336"/>
      <c r="S22" s="336"/>
      <c r="T22" s="337"/>
      <c r="U22" s="336"/>
      <c r="V22" s="336"/>
      <c r="W22" s="336"/>
      <c r="X22" s="337"/>
      <c r="Y22" s="475"/>
      <c r="Z22" s="475"/>
      <c r="AA22" s="475"/>
      <c r="AB22" s="476"/>
      <c r="AC22" s="475"/>
      <c r="AD22" s="475"/>
      <c r="AE22" s="475"/>
      <c r="AF22" s="476"/>
      <c r="AG22" s="475"/>
      <c r="AH22" s="475"/>
      <c r="AI22" s="475"/>
      <c r="AJ22" s="476"/>
      <c r="AK22" s="475"/>
      <c r="AL22" s="475"/>
      <c r="AM22" s="475"/>
      <c r="AN22" s="476"/>
      <c r="AO22" s="475"/>
      <c r="AP22" s="475"/>
      <c r="AQ22" s="475"/>
      <c r="AR22" s="476"/>
      <c r="AS22" s="475"/>
      <c r="AT22" s="475"/>
      <c r="AU22" s="475"/>
      <c r="AV22" s="476"/>
      <c r="AW22" s="391">
        <f t="shared" ref="AW22:CF22" si="14">+AW21-AW31</f>
        <v>0.45763502445366888</v>
      </c>
      <c r="AX22" s="391">
        <f t="shared" si="14"/>
        <v>0.48665160573136068</v>
      </c>
      <c r="AY22" s="391">
        <f t="shared" si="14"/>
        <v>0.54997966879340643</v>
      </c>
      <c r="AZ22" s="392">
        <f t="shared" si="14"/>
        <v>0.5024115043931644</v>
      </c>
      <c r="BA22" s="391">
        <f t="shared" si="14"/>
        <v>0.6217446418900564</v>
      </c>
      <c r="BB22" s="391">
        <f t="shared" si="14"/>
        <v>0.61563720740181194</v>
      </c>
      <c r="BC22" s="391">
        <f t="shared" si="14"/>
        <v>0.52255200126934942</v>
      </c>
      <c r="BD22" s="392">
        <f t="shared" si="14"/>
        <v>0.57230353083261909</v>
      </c>
      <c r="BE22" s="391">
        <f t="shared" si="14"/>
        <v>0.47838169780731199</v>
      </c>
      <c r="BF22" s="391">
        <f t="shared" si="14"/>
        <v>0.37120271088467804</v>
      </c>
      <c r="BG22" s="391">
        <f t="shared" si="14"/>
        <v>0.35653661039149331</v>
      </c>
      <c r="BH22" s="392">
        <f t="shared" si="14"/>
        <v>0.34798272073290426</v>
      </c>
      <c r="BI22" s="391">
        <f t="shared" si="14"/>
        <v>0.36585494516329609</v>
      </c>
      <c r="BJ22" s="391">
        <f t="shared" si="14"/>
        <v>0.37906227294476524</v>
      </c>
      <c r="BK22" s="391">
        <f t="shared" si="14"/>
        <v>0.367574427603651</v>
      </c>
      <c r="BL22" s="392">
        <f t="shared" si="14"/>
        <v>0.39637340667373044</v>
      </c>
      <c r="BM22" s="391">
        <f t="shared" si="14"/>
        <v>0.35453353155415679</v>
      </c>
      <c r="BN22" s="391">
        <f t="shared" si="14"/>
        <v>0.3262111778884611</v>
      </c>
      <c r="BO22" s="391">
        <f t="shared" si="14"/>
        <v>0.28852114863871881</v>
      </c>
      <c r="BP22" s="392">
        <f t="shared" si="14"/>
        <v>0.24644915500613751</v>
      </c>
      <c r="BQ22" s="391">
        <f t="shared" si="14"/>
        <v>0.27403151771043366</v>
      </c>
      <c r="BR22" s="391">
        <f>+BR21-BR31</f>
        <v>0.28403465688858986</v>
      </c>
      <c r="BS22" s="391">
        <f>+BS21-BS31</f>
        <v>0.23608860400368381</v>
      </c>
      <c r="BT22" s="392">
        <f>+BT21-BT31</f>
        <v>0.25860045946004429</v>
      </c>
      <c r="BU22" s="391">
        <f t="shared" si="14"/>
        <v>0.2675416853699405</v>
      </c>
      <c r="BV22" s="391">
        <f t="shared" si="14"/>
        <v>0.21293929989575044</v>
      </c>
      <c r="BW22" s="391">
        <f t="shared" si="14"/>
        <v>0.26185951519833883</v>
      </c>
      <c r="BX22" s="392">
        <f t="shared" si="14"/>
        <v>0.28363489993810853</v>
      </c>
      <c r="BY22" s="391">
        <f t="shared" si="14"/>
        <v>0.26552913666772682</v>
      </c>
      <c r="BZ22" s="391">
        <f t="shared" si="14"/>
        <v>0.15085621274488736</v>
      </c>
      <c r="CA22" s="391">
        <f t="shared" si="14"/>
        <v>0.1097948852682451</v>
      </c>
      <c r="CB22" s="392">
        <f t="shared" si="14"/>
        <v>0.14293910163001455</v>
      </c>
      <c r="CC22" s="391">
        <f t="shared" si="14"/>
        <v>0.13636996605774332</v>
      </c>
      <c r="CD22" s="391">
        <f t="shared" si="14"/>
        <v>0.16816938673457882</v>
      </c>
      <c r="CE22" s="391">
        <f t="shared" si="14"/>
        <v>0.14519062292877472</v>
      </c>
      <c r="CF22" s="392">
        <f t="shared" si="14"/>
        <v>0.18414612247806428</v>
      </c>
      <c r="CG22" s="1154"/>
      <c r="CH22" s="367"/>
      <c r="CI22" s="336"/>
      <c r="CJ22" s="336"/>
      <c r="CK22" s="1155"/>
      <c r="CL22" s="1155"/>
      <c r="CM22" s="1155"/>
      <c r="CN22" s="1155"/>
      <c r="CO22" s="1155"/>
      <c r="CP22" s="1156"/>
      <c r="CQ22" s="391">
        <f>+CQ21-CQ31</f>
        <v>0.49927832865126154</v>
      </c>
      <c r="CR22" s="391">
        <f>+CR21-CR31</f>
        <v>0.58555924094684131</v>
      </c>
      <c r="CS22" s="393"/>
      <c r="CT22" s="391">
        <f t="shared" ref="CT22:CY22" si="15">+CT21-CT31</f>
        <v>0.37686482614663686</v>
      </c>
      <c r="CU22" s="391">
        <f t="shared" si="15"/>
        <v>0.30663134618741561</v>
      </c>
      <c r="CV22" s="391">
        <f t="shared" si="15"/>
        <v>0.26151125919153373</v>
      </c>
      <c r="CW22" s="391">
        <f t="shared" si="15"/>
        <v>0.25444297628970913</v>
      </c>
      <c r="CX22" s="391">
        <f t="shared" si="15"/>
        <v>0.16687891240333808</v>
      </c>
      <c r="CY22" s="391">
        <f t="shared" si="15"/>
        <v>0.15835992999600812</v>
      </c>
      <c r="CZ22" s="391">
        <f>+CZ21-CZ31</f>
        <v>0.14586751984167101</v>
      </c>
      <c r="DA22" s="391">
        <f t="shared" ref="DA22:DF22" si="16">+DA21-DA31</f>
        <v>0.12536676192473628</v>
      </c>
      <c r="DB22" s="391">
        <f t="shared" si="16"/>
        <v>0.10762480845451594</v>
      </c>
      <c r="DC22" s="391">
        <f t="shared" si="16"/>
        <v>9.5276953531441722E-2</v>
      </c>
      <c r="DD22" s="391">
        <f t="shared" si="16"/>
        <v>8.6131161369543907E-2</v>
      </c>
      <c r="DE22" s="391">
        <f t="shared" si="16"/>
        <v>7.7798637818324634E-2</v>
      </c>
      <c r="DF22" s="392">
        <f t="shared" si="16"/>
        <v>7.8086027060531693E-2</v>
      </c>
      <c r="DG22"/>
      <c r="DH22" s="276"/>
      <c r="DI22" s="276"/>
      <c r="DJ22" s="276"/>
    </row>
    <row r="23" spans="1:114" s="82" customFormat="1" ht="11.25" customHeight="1">
      <c r="H23" s="292"/>
      <c r="I23" s="193" t="s">
        <v>671</v>
      </c>
      <c r="J23" s="83"/>
      <c r="K23" s="83"/>
      <c r="M23" s="336"/>
      <c r="N23" s="336"/>
      <c r="O23" s="336"/>
      <c r="P23" s="337"/>
      <c r="Q23" s="336"/>
      <c r="R23" s="336"/>
      <c r="S23" s="336"/>
      <c r="T23" s="337"/>
      <c r="U23" s="336"/>
      <c r="V23" s="336"/>
      <c r="W23" s="336"/>
      <c r="X23" s="337"/>
      <c r="Y23" s="475"/>
      <c r="Z23" s="475"/>
      <c r="AA23" s="475"/>
      <c r="AB23" s="476"/>
      <c r="AC23" s="475"/>
      <c r="AD23" s="475"/>
      <c r="AE23" s="475"/>
      <c r="AF23" s="476"/>
      <c r="AG23" s="475"/>
      <c r="AH23" s="475"/>
      <c r="AI23" s="475"/>
      <c r="AJ23" s="476"/>
      <c r="AK23" s="475"/>
      <c r="AL23" s="475"/>
      <c r="AM23" s="475"/>
      <c r="AN23" s="476"/>
      <c r="AO23" s="475"/>
      <c r="AP23" s="475"/>
      <c r="AQ23" s="475"/>
      <c r="AR23" s="476"/>
      <c r="AS23" s="475"/>
      <c r="AT23" s="475"/>
      <c r="AU23" s="475"/>
      <c r="AV23" s="476"/>
      <c r="AW23" s="391"/>
      <c r="AX23" s="391"/>
      <c r="AY23" s="391"/>
      <c r="AZ23" s="392"/>
      <c r="BA23" s="391"/>
      <c r="BB23" s="391"/>
      <c r="BC23" s="391"/>
      <c r="BD23" s="392"/>
      <c r="BE23" s="391"/>
      <c r="BF23" s="391"/>
      <c r="BG23" s="391"/>
      <c r="BH23" s="392"/>
      <c r="BI23" s="391">
        <f t="shared" ref="BI23:CF23" si="17">+BI22+BE22</f>
        <v>0.84423664297060808</v>
      </c>
      <c r="BJ23" s="391">
        <f t="shared" si="17"/>
        <v>0.75026498382944329</v>
      </c>
      <c r="BK23" s="391">
        <f t="shared" si="17"/>
        <v>0.72411103799514431</v>
      </c>
      <c r="BL23" s="392">
        <f t="shared" si="17"/>
        <v>0.7443561274066347</v>
      </c>
      <c r="BM23" s="391">
        <f t="shared" si="17"/>
        <v>0.72038847671745287</v>
      </c>
      <c r="BN23" s="391">
        <f t="shared" si="17"/>
        <v>0.70527345083322635</v>
      </c>
      <c r="BO23" s="391">
        <f t="shared" si="17"/>
        <v>0.6560955762423698</v>
      </c>
      <c r="BP23" s="392">
        <f t="shared" si="17"/>
        <v>0.64282256167986795</v>
      </c>
      <c r="BQ23" s="391">
        <f t="shared" si="17"/>
        <v>0.62856504926459045</v>
      </c>
      <c r="BR23" s="391">
        <f t="shared" si="17"/>
        <v>0.61024583477705097</v>
      </c>
      <c r="BS23" s="391">
        <f t="shared" si="17"/>
        <v>0.52460975264240262</v>
      </c>
      <c r="BT23" s="392">
        <f t="shared" si="17"/>
        <v>0.5050496144661818</v>
      </c>
      <c r="BU23" s="391">
        <f t="shared" si="17"/>
        <v>0.54157320308037415</v>
      </c>
      <c r="BV23" s="391">
        <f t="shared" si="17"/>
        <v>0.49697395678434031</v>
      </c>
      <c r="BW23" s="391">
        <f t="shared" si="17"/>
        <v>0.49794811920202264</v>
      </c>
      <c r="BX23" s="392">
        <f t="shared" si="17"/>
        <v>0.54223535939815282</v>
      </c>
      <c r="BY23" s="391">
        <f t="shared" si="17"/>
        <v>0.53307082203766731</v>
      </c>
      <c r="BZ23" s="391">
        <f t="shared" si="17"/>
        <v>0.36379551264063781</v>
      </c>
      <c r="CA23" s="391">
        <f t="shared" si="17"/>
        <v>0.37165440046658393</v>
      </c>
      <c r="CB23" s="392">
        <f t="shared" si="17"/>
        <v>0.42657400156812308</v>
      </c>
      <c r="CC23" s="391">
        <f t="shared" si="17"/>
        <v>0.40189910272547014</v>
      </c>
      <c r="CD23" s="391">
        <f t="shared" si="17"/>
        <v>0.31902559947946618</v>
      </c>
      <c r="CE23" s="391">
        <f t="shared" si="17"/>
        <v>0.25498550819701982</v>
      </c>
      <c r="CF23" s="392">
        <f t="shared" si="17"/>
        <v>0.32708522410807883</v>
      </c>
      <c r="CG23" s="1154"/>
      <c r="CH23" s="367"/>
      <c r="CI23" s="336"/>
      <c r="CJ23" s="336"/>
      <c r="CK23" s="1155"/>
      <c r="CL23" s="1155"/>
      <c r="CM23" s="1155"/>
      <c r="CN23" s="1155"/>
      <c r="CO23" s="1155"/>
      <c r="CP23" s="1156"/>
      <c r="CQ23" s="391"/>
      <c r="CR23" s="391"/>
      <c r="CS23" s="393"/>
      <c r="CT23" s="391">
        <f t="shared" ref="CT23:CY23" si="18">+CT22+CS22</f>
        <v>0.37686482614663686</v>
      </c>
      <c r="CU23" s="391">
        <f t="shared" si="18"/>
        <v>0.68349617233405247</v>
      </c>
      <c r="CV23" s="391">
        <f t="shared" si="18"/>
        <v>0.56814260537894934</v>
      </c>
      <c r="CW23" s="391">
        <f t="shared" si="18"/>
        <v>0.51595423548124286</v>
      </c>
      <c r="CX23" s="391">
        <f t="shared" si="18"/>
        <v>0.42132188869304721</v>
      </c>
      <c r="CY23" s="391">
        <f t="shared" si="18"/>
        <v>0.3252388423993462</v>
      </c>
      <c r="CZ23" s="391">
        <f t="shared" ref="CZ23:DF23" si="19">+CZ22+CY22</f>
        <v>0.30422744983767913</v>
      </c>
      <c r="DA23" s="391">
        <f t="shared" si="19"/>
        <v>0.27123428176640729</v>
      </c>
      <c r="DB23" s="391">
        <f t="shared" si="19"/>
        <v>0.23299157037925222</v>
      </c>
      <c r="DC23" s="391">
        <f t="shared" si="19"/>
        <v>0.20290176198595766</v>
      </c>
      <c r="DD23" s="391">
        <f t="shared" si="19"/>
        <v>0.18140811490098563</v>
      </c>
      <c r="DE23" s="391">
        <f t="shared" si="19"/>
        <v>0.16392979918786854</v>
      </c>
      <c r="DF23" s="392">
        <f t="shared" si="19"/>
        <v>0.15588466487885633</v>
      </c>
      <c r="DG23"/>
      <c r="DH23" s="276"/>
      <c r="DI23" s="276"/>
      <c r="DJ23" s="276"/>
    </row>
    <row r="24" spans="1:114" s="24" customFormat="1" ht="11.25" customHeight="1">
      <c r="A24" s="547"/>
      <c r="B24" s="547"/>
      <c r="C24" s="547"/>
      <c r="D24" s="547"/>
      <c r="E24" s="547"/>
      <c r="F24" s="547"/>
      <c r="G24" s="547"/>
      <c r="H24" s="548"/>
      <c r="I24" s="185"/>
      <c r="J24" s="70"/>
      <c r="K24" s="70"/>
      <c r="M24" s="315"/>
      <c r="N24" s="315"/>
      <c r="O24" s="315"/>
      <c r="P24" s="316"/>
      <c r="Q24" s="315"/>
      <c r="R24" s="315"/>
      <c r="S24" s="315"/>
      <c r="T24" s="316"/>
      <c r="U24" s="315"/>
      <c r="V24" s="315"/>
      <c r="W24" s="315"/>
      <c r="X24" s="316"/>
      <c r="Y24" s="388"/>
      <c r="Z24" s="388"/>
      <c r="AA24" s="388"/>
      <c r="AB24" s="387"/>
      <c r="AC24" s="388"/>
      <c r="AD24" s="388"/>
      <c r="AE24" s="388"/>
      <c r="AF24" s="387"/>
      <c r="AG24" s="388"/>
      <c r="AH24" s="388"/>
      <c r="AI24" s="388"/>
      <c r="AJ24" s="387"/>
      <c r="AK24" s="388"/>
      <c r="AL24" s="388"/>
      <c r="AM24" s="388"/>
      <c r="AN24" s="387"/>
      <c r="AO24" s="388"/>
      <c r="AP24" s="388"/>
      <c r="AQ24" s="388"/>
      <c r="AR24" s="387"/>
      <c r="AS24" s="388"/>
      <c r="AT24" s="388"/>
      <c r="AU24" s="388"/>
      <c r="AV24" s="387"/>
      <c r="AW24" s="763"/>
      <c r="AX24" s="763"/>
      <c r="AY24" s="763"/>
      <c r="AZ24" s="764"/>
      <c r="BA24" s="765"/>
      <c r="BB24" s="765"/>
      <c r="BC24" s="765"/>
      <c r="BD24" s="764"/>
      <c r="BE24" s="765"/>
      <c r="BF24" s="765"/>
      <c r="BG24" s="765"/>
      <c r="BH24" s="764"/>
      <c r="BI24" s="765"/>
      <c r="BJ24" s="765"/>
      <c r="BK24" s="765"/>
      <c r="BL24" s="764"/>
      <c r="BM24" s="765"/>
      <c r="BN24" s="765"/>
      <c r="BO24" s="765"/>
      <c r="BP24" s="764"/>
      <c r="BQ24" s="765"/>
      <c r="BR24" s="765"/>
      <c r="BS24" s="765"/>
      <c r="BT24" s="764"/>
      <c r="BU24" s="765"/>
      <c r="BV24" s="765"/>
      <c r="BW24" s="765"/>
      <c r="BX24" s="764"/>
      <c r="BY24" s="765"/>
      <c r="BZ24" s="765"/>
      <c r="CA24" s="765"/>
      <c r="CB24" s="764"/>
      <c r="CC24" s="765"/>
      <c r="CD24" s="765"/>
      <c r="CE24" s="765"/>
      <c r="CF24" s="764"/>
      <c r="CG24" s="742"/>
      <c r="CH24" s="320"/>
      <c r="CI24" s="315"/>
      <c r="CJ24" s="315"/>
      <c r="CK24" s="767"/>
      <c r="CL24" s="767"/>
      <c r="CM24" s="767"/>
      <c r="CN24" s="767"/>
      <c r="CO24" s="767"/>
      <c r="CP24" s="768"/>
      <c r="CQ24" s="765"/>
      <c r="CR24" s="765"/>
      <c r="CS24" s="765"/>
      <c r="CT24" s="765"/>
      <c r="CU24" s="475"/>
      <c r="CV24" s="765"/>
      <c r="CW24" s="765"/>
      <c r="CX24" s="765"/>
      <c r="CY24" s="765"/>
      <c r="CZ24" s="315"/>
      <c r="DA24" s="315"/>
      <c r="DB24" s="22"/>
      <c r="DC24" s="22"/>
      <c r="DD24" s="22"/>
      <c r="DE24" s="22"/>
      <c r="DF24" s="1657"/>
      <c r="DG24"/>
      <c r="DH24" s="273"/>
      <c r="DI24" s="273"/>
      <c r="DJ24" s="273"/>
    </row>
    <row r="25" spans="1:114" ht="11.25" customHeight="1">
      <c r="A25" s="547"/>
      <c r="B25" s="547"/>
      <c r="C25" s="547"/>
      <c r="D25" s="547"/>
      <c r="E25" s="547"/>
      <c r="F25" s="547"/>
      <c r="G25" s="547"/>
      <c r="H25" s="548"/>
      <c r="I25" s="178" t="s">
        <v>258</v>
      </c>
      <c r="J25" s="8"/>
      <c r="K25" s="8"/>
      <c r="L25" s="8"/>
      <c r="M25" s="361"/>
      <c r="N25" s="361"/>
      <c r="O25" s="361"/>
      <c r="P25" s="362"/>
      <c r="Q25" s="361"/>
      <c r="R25" s="361"/>
      <c r="S25" s="361"/>
      <c r="T25" s="362"/>
      <c r="U25" s="361"/>
      <c r="V25" s="361"/>
      <c r="W25" s="361"/>
      <c r="X25" s="362"/>
      <c r="Y25" s="361"/>
      <c r="Z25" s="361"/>
      <c r="AA25" s="361"/>
      <c r="AB25" s="362"/>
      <c r="AC25" s="361"/>
      <c r="AD25" s="361"/>
      <c r="AE25" s="361"/>
      <c r="AF25" s="316"/>
      <c r="AG25" s="317"/>
      <c r="AH25" s="317"/>
      <c r="AI25" s="317"/>
      <c r="AJ25" s="318"/>
      <c r="AK25" s="317"/>
      <c r="AL25" s="317"/>
      <c r="AM25" s="317"/>
      <c r="AN25" s="318"/>
      <c r="AO25" s="317"/>
      <c r="AP25" s="317"/>
      <c r="AQ25" s="317"/>
      <c r="AR25" s="318"/>
      <c r="AS25" s="317"/>
      <c r="AT25" s="317"/>
      <c r="AU25" s="317"/>
      <c r="AV25" s="318"/>
      <c r="AW25" s="317"/>
      <c r="AX25" s="317"/>
      <c r="AY25" s="317"/>
      <c r="AZ25" s="318"/>
      <c r="BA25" s="317"/>
      <c r="BB25" s="317"/>
      <c r="BC25" s="317"/>
      <c r="BD25" s="318"/>
      <c r="BE25" s="317"/>
      <c r="BF25" s="393"/>
      <c r="BG25" s="393"/>
      <c r="BH25" s="472"/>
      <c r="BI25" s="393"/>
      <c r="BJ25" s="393"/>
      <c r="BK25" s="393"/>
      <c r="BL25" s="472"/>
      <c r="BM25" s="393"/>
      <c r="BN25" s="393"/>
      <c r="BO25" s="393"/>
      <c r="BP25" s="472"/>
      <c r="BQ25" s="393"/>
      <c r="BR25" s="393"/>
      <c r="BS25" s="393"/>
      <c r="BT25" s="472"/>
      <c r="BU25" s="317"/>
      <c r="BV25" s="317"/>
      <c r="BW25" s="317"/>
      <c r="BX25" s="318"/>
      <c r="BY25" s="317"/>
      <c r="BZ25" s="317"/>
      <c r="CA25" s="317"/>
      <c r="CB25" s="318"/>
      <c r="CC25" s="317"/>
      <c r="CD25" s="317"/>
      <c r="CE25" s="317"/>
      <c r="CF25" s="318"/>
      <c r="CG25" s="742"/>
      <c r="CH25" s="320"/>
      <c r="CI25" s="315"/>
      <c r="CJ25" s="315"/>
      <c r="CK25" s="361"/>
      <c r="CL25" s="315"/>
      <c r="CM25" s="317"/>
      <c r="CN25" s="317"/>
      <c r="CO25" s="317"/>
      <c r="CP25" s="317"/>
      <c r="CQ25" s="317"/>
      <c r="CR25" s="317"/>
      <c r="CS25" s="393"/>
      <c r="CT25" s="393"/>
      <c r="CU25" s="393"/>
      <c r="CV25" s="393"/>
      <c r="CW25" s="393"/>
      <c r="CX25" s="393"/>
      <c r="CY25" s="393"/>
      <c r="CZ25" s="315"/>
      <c r="DA25" s="315"/>
      <c r="DB25" s="22"/>
      <c r="DC25" s="22"/>
      <c r="DD25" s="22"/>
      <c r="DE25" s="22"/>
      <c r="DF25" s="1657"/>
      <c r="DH25" s="752"/>
      <c r="DI25" s="752"/>
      <c r="DJ25" s="752"/>
    </row>
    <row r="26" spans="1:114" ht="11.25" customHeight="1">
      <c r="A26" s="556"/>
      <c r="B26" s="557"/>
      <c r="C26" s="557"/>
      <c r="D26" s="557"/>
      <c r="E26" s="557"/>
      <c r="F26" s="556"/>
      <c r="G26" s="556"/>
      <c r="H26" s="556"/>
      <c r="I26" s="184" t="s">
        <v>325</v>
      </c>
      <c r="J26" s="69"/>
      <c r="K26" s="69"/>
      <c r="L26" s="69"/>
      <c r="M26" s="315"/>
      <c r="N26" s="315"/>
      <c r="O26" s="315"/>
      <c r="P26" s="316"/>
      <c r="Q26" s="315"/>
      <c r="R26" s="315"/>
      <c r="S26" s="315"/>
      <c r="T26" s="316"/>
      <c r="U26" s="315"/>
      <c r="V26" s="315"/>
      <c r="W26" s="315"/>
      <c r="X26" s="316"/>
      <c r="Y26" s="315"/>
      <c r="Z26" s="315"/>
      <c r="AA26" s="315"/>
      <c r="AB26" s="316"/>
      <c r="AC26" s="315"/>
      <c r="AD26" s="315"/>
      <c r="AE26" s="315"/>
      <c r="AF26" s="316"/>
      <c r="AG26" s="488">
        <v>1.7519495688888889</v>
      </c>
      <c r="AH26" s="488">
        <v>1.8270831626373627</v>
      </c>
      <c r="AI26" s="488">
        <v>1.8752685597826091</v>
      </c>
      <c r="AJ26" s="773">
        <v>1.9165609217391313</v>
      </c>
      <c r="AK26" s="488">
        <v>1.9541223677777777</v>
      </c>
      <c r="AL26" s="488">
        <v>1.9858018197802207</v>
      </c>
      <c r="AM26" s="488">
        <v>2.0214468749999996</v>
      </c>
      <c r="AN26" s="773">
        <v>2.0428610597826071</v>
      </c>
      <c r="AO26" s="488">
        <v>1.978360010989012</v>
      </c>
      <c r="AP26" s="488">
        <v>1.9719182769230772</v>
      </c>
      <c r="AQ26" s="488">
        <v>1.8930599771739127</v>
      </c>
      <c r="AR26" s="773">
        <v>1.5702299804347826</v>
      </c>
      <c r="AS26" s="488">
        <v>1.4360579199999999</v>
      </c>
      <c r="AT26" s="488">
        <v>1.5505374626373631</v>
      </c>
      <c r="AU26" s="488">
        <v>1.6402675543478256</v>
      </c>
      <c r="AV26" s="773">
        <v>1.6325718630434782</v>
      </c>
      <c r="AW26" s="488">
        <v>1.5590807388888894</v>
      </c>
      <c r="AX26" s="488">
        <v>1.4914621483516479</v>
      </c>
      <c r="AY26" s="488">
        <v>1.5507164304347825</v>
      </c>
      <c r="AZ26" s="773">
        <v>1.5806431521739135</v>
      </c>
      <c r="BA26" s="488">
        <v>1.6014423222222223</v>
      </c>
      <c r="BB26" s="488">
        <v>1.6307610835164834</v>
      </c>
      <c r="BC26" s="488">
        <v>1.6106169717391301</v>
      </c>
      <c r="BD26" s="773">
        <v>1.5728142945652186</v>
      </c>
      <c r="BE26" s="488">
        <v>1.570809458241758</v>
      </c>
      <c r="BF26" s="488">
        <v>1.5821490692307696</v>
      </c>
      <c r="BG26" s="488">
        <v>1.5804848978260868</v>
      </c>
      <c r="BH26" s="773">
        <v>1.6059354782608697</v>
      </c>
      <c r="BI26" s="488">
        <v>1.5522039733333344</v>
      </c>
      <c r="BJ26" s="488">
        <v>1.5351710604395605</v>
      </c>
      <c r="BK26" s="488">
        <v>1.5508462554347822</v>
      </c>
      <c r="BL26" s="773">
        <v>1.619037115217391</v>
      </c>
      <c r="BM26" s="488">
        <v>1.6555657233333338</v>
      </c>
      <c r="BN26" s="488">
        <v>1.6833461978021973</v>
      </c>
      <c r="BO26" s="488">
        <v>1.6693897728260867</v>
      </c>
      <c r="BP26" s="773">
        <v>1.5822587728260871</v>
      </c>
      <c r="BQ26" s="488">
        <v>1.5143536311111101</v>
      </c>
      <c r="BR26" s="488">
        <v>1.53250119340659</v>
      </c>
      <c r="BS26" s="488">
        <v>1.54865118586956</v>
      </c>
      <c r="BT26" s="773">
        <v>1.5171588228260877</v>
      </c>
      <c r="BU26" s="488">
        <v>1.4319688549450551</v>
      </c>
      <c r="BV26" s="488">
        <v>1.4342935516483506</v>
      </c>
      <c r="BW26" s="488">
        <v>1.3128109326086954</v>
      </c>
      <c r="BX26" s="773">
        <v>1.2420538641304359</v>
      </c>
      <c r="BY26" s="488">
        <v>1.2442444439560445</v>
      </c>
      <c r="BZ26" s="488">
        <v>1.2796507439560445</v>
      </c>
      <c r="CA26" s="488">
        <v>1.3093761880434782</v>
      </c>
      <c r="CB26" s="773">
        <v>1.3272783184782611</v>
      </c>
      <c r="CC26" s="488">
        <v>1.3914578688888888</v>
      </c>
      <c r="CD26" s="2135">
        <v>1.4044892175824157</v>
      </c>
      <c r="CE26" s="2135">
        <v>1.4044990999999982</v>
      </c>
      <c r="CF26" s="2127">
        <v>1.4044990999999982</v>
      </c>
      <c r="CG26" s="742"/>
      <c r="CH26" s="320"/>
      <c r="CI26" s="315"/>
      <c r="CJ26" s="315"/>
      <c r="CK26" s="315"/>
      <c r="CL26" s="315"/>
      <c r="CM26" s="787">
        <f>+AVERAGE(AG26:AJ26)</f>
        <v>1.8427155532619981</v>
      </c>
      <c r="CN26" s="787">
        <f>+AVERAGE(AK26:AN26)</f>
        <v>2.0010580305851513</v>
      </c>
      <c r="CO26" s="787">
        <f>+AVERAGE(AO26:AR26)</f>
        <v>1.8533920613801962</v>
      </c>
      <c r="CP26" s="787">
        <f>+AVERAGE(AS26:AV26)</f>
        <v>1.5648587000071668</v>
      </c>
      <c r="CQ26" s="787">
        <f>+AVERAGE(AW26:AZ26)</f>
        <v>1.5454756174623083</v>
      </c>
      <c r="CR26" s="787">
        <f>+AVERAGE(BA26:BD26)</f>
        <v>1.6039086680107637</v>
      </c>
      <c r="CS26" s="787">
        <f>+AVERAGE(BE26:BH26)</f>
        <v>1.584844725889871</v>
      </c>
      <c r="CT26" s="787">
        <f>+AVERAGE(BI26:BL26)</f>
        <v>1.564314601106267</v>
      </c>
      <c r="CU26" s="787">
        <f>+AVERAGE(BM26:BP26)</f>
        <v>1.6476401166969261</v>
      </c>
      <c r="CV26" s="787">
        <f>+AVERAGE(BQ26:BT26)</f>
        <v>1.5281662083033369</v>
      </c>
      <c r="CW26" s="787">
        <f>+AVERAGE(BU26:BX26)</f>
        <v>1.3552818008331344</v>
      </c>
      <c r="CX26" s="787">
        <f>+AVERAGE(BY26:CB26)</f>
        <v>1.2901374236084571</v>
      </c>
      <c r="CY26" s="787">
        <f>+AVERAGE(CC26:CF26)</f>
        <v>1.4012363216178252</v>
      </c>
      <c r="CZ26" s="1813">
        <f>+CF26</f>
        <v>1.4044990999999982</v>
      </c>
      <c r="DA26" s="1813">
        <f t="shared" ref="DA26:DF26" si="20">+CZ26</f>
        <v>1.4044990999999982</v>
      </c>
      <c r="DB26" s="1813">
        <f t="shared" si="20"/>
        <v>1.4044990999999982</v>
      </c>
      <c r="DC26" s="1813">
        <f t="shared" si="20"/>
        <v>1.4044990999999982</v>
      </c>
      <c r="DD26" s="1813">
        <f t="shared" si="20"/>
        <v>1.4044990999999982</v>
      </c>
      <c r="DE26" s="1813">
        <f t="shared" si="20"/>
        <v>1.4044990999999982</v>
      </c>
      <c r="DF26" s="1814">
        <f t="shared" si="20"/>
        <v>1.4044990999999982</v>
      </c>
      <c r="DH26" s="752"/>
      <c r="DI26" s="752"/>
      <c r="DJ26" s="752"/>
    </row>
    <row r="27" spans="1:114" ht="11.25" customHeight="1">
      <c r="A27" s="556"/>
      <c r="B27" s="557"/>
      <c r="C27" s="557"/>
      <c r="D27" s="557"/>
      <c r="E27" s="557"/>
      <c r="F27" s="556"/>
      <c r="G27" s="556"/>
      <c r="H27" s="556"/>
      <c r="I27" s="184" t="s">
        <v>327</v>
      </c>
      <c r="J27" s="69"/>
      <c r="K27" s="69"/>
      <c r="L27" s="69"/>
      <c r="M27" s="315"/>
      <c r="N27" s="315"/>
      <c r="O27" s="315"/>
      <c r="P27" s="316"/>
      <c r="Q27" s="315"/>
      <c r="R27" s="315"/>
      <c r="S27" s="315"/>
      <c r="T27" s="316"/>
      <c r="U27" s="315"/>
      <c r="V27" s="315"/>
      <c r="W27" s="315"/>
      <c r="X27" s="316"/>
      <c r="Y27" s="315"/>
      <c r="Z27" s="315"/>
      <c r="AA27" s="315"/>
      <c r="AB27" s="316"/>
      <c r="AC27" s="315"/>
      <c r="AD27" s="315"/>
      <c r="AE27" s="315"/>
      <c r="AF27" s="316"/>
      <c r="AG27" s="488">
        <v>1.2021256822222226</v>
      </c>
      <c r="AH27" s="488">
        <v>1.2566534582417579</v>
      </c>
      <c r="AI27" s="488">
        <v>1.2746620347826085</v>
      </c>
      <c r="AJ27" s="773">
        <v>1.2901837999999999</v>
      </c>
      <c r="AK27" s="488">
        <v>1.3100822644444443</v>
      </c>
      <c r="AL27" s="488">
        <v>1.3483913186813186</v>
      </c>
      <c r="AM27" s="488">
        <v>1.3750348673913049</v>
      </c>
      <c r="AN27" s="773">
        <v>1.4483212913043477</v>
      </c>
      <c r="AO27" s="488">
        <v>1.4990781428571425</v>
      </c>
      <c r="AP27" s="488">
        <v>1.5623456791208796</v>
      </c>
      <c r="AQ27" s="488">
        <v>1.5035756565217389</v>
      </c>
      <c r="AR27" s="773">
        <v>1.3186919869565223</v>
      </c>
      <c r="AS27" s="488">
        <v>1.3048968344444443</v>
      </c>
      <c r="AT27" s="488">
        <v>1.3628836483516484</v>
      </c>
      <c r="AU27" s="488">
        <v>1.4299316543478258</v>
      </c>
      <c r="AV27" s="773">
        <v>1.4762077054347831</v>
      </c>
      <c r="AW27" s="488">
        <v>1.3834206866666663</v>
      </c>
      <c r="AX27" s="488">
        <v>1.2738825703296703</v>
      </c>
      <c r="AY27" s="488">
        <v>1.2918321576086957</v>
      </c>
      <c r="AZ27" s="773">
        <v>1.3586707521739134</v>
      </c>
      <c r="BA27" s="488">
        <v>1.368211774444444</v>
      </c>
      <c r="BB27" s="488">
        <v>1.4390847417582422</v>
      </c>
      <c r="BC27" s="488">
        <v>1.4130544510869556</v>
      </c>
      <c r="BD27" s="773">
        <v>1.3486006445652174</v>
      </c>
      <c r="BE27" s="488">
        <v>1.3106363571428576</v>
      </c>
      <c r="BF27" s="488">
        <v>1.2831956835164831</v>
      </c>
      <c r="BG27" s="488">
        <v>1.2518034456521736</v>
      </c>
      <c r="BH27" s="773">
        <v>1.2973425641304346</v>
      </c>
      <c r="BI27" s="488">
        <v>1.3200751455555562</v>
      </c>
      <c r="BJ27" s="488">
        <v>1.3055214791208796</v>
      </c>
      <c r="BK27" s="488">
        <v>1.3247332967391303</v>
      </c>
      <c r="BL27" s="773">
        <v>1.361396864130435</v>
      </c>
      <c r="BM27" s="488">
        <v>1.3704912144444448</v>
      </c>
      <c r="BN27" s="488">
        <v>1.371404551648352</v>
      </c>
      <c r="BO27" s="488">
        <v>1.3252089163043472</v>
      </c>
      <c r="BP27" s="773">
        <v>1.2482881608695653</v>
      </c>
      <c r="BQ27" s="488">
        <v>1.1263735877777801</v>
      </c>
      <c r="BR27" s="488">
        <v>1.10645828681319</v>
      </c>
      <c r="BS27" s="488">
        <v>1.112047897826087</v>
      </c>
      <c r="BT27" s="773">
        <v>1.0954038815217395</v>
      </c>
      <c r="BU27" s="488">
        <v>1.1028413120879119</v>
      </c>
      <c r="BV27" s="488">
        <v>1.129259968131868</v>
      </c>
      <c r="BW27" s="488">
        <v>1.115971333695652</v>
      </c>
      <c r="BX27" s="773">
        <v>1.0782028108695652</v>
      </c>
      <c r="BY27" s="488">
        <v>1.0613713472527457</v>
      </c>
      <c r="BZ27" s="488">
        <v>1.1009572945054946</v>
      </c>
      <c r="CA27" s="488">
        <v>1.1753148119565213</v>
      </c>
      <c r="CB27" s="773">
        <v>1.1777463793478264</v>
      </c>
      <c r="CC27" s="488">
        <v>1.2289451011111117</v>
      </c>
      <c r="CD27" s="2135">
        <v>1.2274658296703282</v>
      </c>
      <c r="CE27" s="2135">
        <v>1.2273998999999984</v>
      </c>
      <c r="CF27" s="2127">
        <v>1.2273998999999984</v>
      </c>
      <c r="CG27" s="742"/>
      <c r="CH27" s="320"/>
      <c r="CI27" s="315"/>
      <c r="CJ27" s="315"/>
      <c r="CK27" s="315"/>
      <c r="CL27" s="315"/>
      <c r="CM27" s="787">
        <f>+AVERAGE(AG27:AJ27)</f>
        <v>1.2559062438116473</v>
      </c>
      <c r="CN27" s="787">
        <f>+AVERAGE(AK27:AN27)</f>
        <v>1.3704574354553538</v>
      </c>
      <c r="CO27" s="787">
        <f>+AVERAGE(AO27:AR27)</f>
        <v>1.4709228663640708</v>
      </c>
      <c r="CP27" s="787">
        <f>+AVERAGE(AS27:AV27)</f>
        <v>1.3934799606446753</v>
      </c>
      <c r="CQ27" s="787">
        <f>+AVERAGE(AW27:AZ27)</f>
        <v>1.3269515416947364</v>
      </c>
      <c r="CR27" s="787">
        <f>+AVERAGE(BA27:BD27)</f>
        <v>1.3922379029637149</v>
      </c>
      <c r="CS27" s="787">
        <f>+AVERAGE(BE27:BH27)</f>
        <v>1.2857445126104872</v>
      </c>
      <c r="CT27" s="787">
        <f>+AVERAGE(BI27:BL27)</f>
        <v>1.3279316963865002</v>
      </c>
      <c r="CU27" s="787">
        <f>+AVERAGE(BM27:BP27)</f>
        <v>1.3288482108166773</v>
      </c>
      <c r="CV27" s="787">
        <f>+AVERAGE(BQ27:BT27)</f>
        <v>1.1100709134846991</v>
      </c>
      <c r="CW27" s="787">
        <f>+AVERAGE(BU27:BX27)</f>
        <v>1.1065688561962492</v>
      </c>
      <c r="CX27" s="787">
        <f>+AVERAGE(BY27:CB27)</f>
        <v>1.1288474582656471</v>
      </c>
      <c r="CY27" s="787">
        <f>+AVERAGE(CC27:CF27)</f>
        <v>1.2278026826953592</v>
      </c>
      <c r="CZ27" s="1813">
        <f>+CF27</f>
        <v>1.2273998999999984</v>
      </c>
      <c r="DA27" s="1813">
        <f t="shared" ref="DA27:DF27" si="21">+CZ27</f>
        <v>1.2273998999999984</v>
      </c>
      <c r="DB27" s="1813">
        <f t="shared" si="21"/>
        <v>1.2273998999999984</v>
      </c>
      <c r="DC27" s="1813">
        <f t="shared" si="21"/>
        <v>1.2273998999999984</v>
      </c>
      <c r="DD27" s="1813">
        <f t="shared" si="21"/>
        <v>1.2273998999999984</v>
      </c>
      <c r="DE27" s="1813">
        <f t="shared" si="21"/>
        <v>1.2273998999999984</v>
      </c>
      <c r="DF27" s="1814">
        <f t="shared" si="21"/>
        <v>1.2273998999999984</v>
      </c>
      <c r="DH27" s="752"/>
      <c r="DI27" s="752"/>
      <c r="DJ27" s="752"/>
    </row>
    <row r="28" spans="1:114" ht="11.25" customHeight="1">
      <c r="A28" s="14"/>
      <c r="B28" s="15"/>
      <c r="C28" s="15"/>
      <c r="D28" s="15"/>
      <c r="E28" s="15"/>
      <c r="F28" s="14"/>
      <c r="G28" s="14"/>
      <c r="H28" s="14"/>
      <c r="I28" s="184" t="s">
        <v>88</v>
      </c>
      <c r="J28" s="69"/>
      <c r="K28" s="69"/>
      <c r="L28" s="69"/>
      <c r="M28" s="315"/>
      <c r="N28" s="315"/>
      <c r="O28" s="315"/>
      <c r="P28" s="316"/>
      <c r="Q28" s="315"/>
      <c r="R28" s="315"/>
      <c r="S28" s="315"/>
      <c r="T28" s="316"/>
      <c r="U28" s="315"/>
      <c r="V28" s="315"/>
      <c r="W28" s="315"/>
      <c r="X28" s="316"/>
      <c r="Y28" s="315"/>
      <c r="Z28" s="315"/>
      <c r="AA28" s="315"/>
      <c r="AB28" s="316"/>
      <c r="AC28" s="315"/>
      <c r="AD28" s="315"/>
      <c r="AE28" s="315"/>
      <c r="AF28" s="316"/>
      <c r="AG28" s="488">
        <v>1</v>
      </c>
      <c r="AH28" s="488">
        <v>1</v>
      </c>
      <c r="AI28" s="488">
        <v>1</v>
      </c>
      <c r="AJ28" s="773">
        <v>1</v>
      </c>
      <c r="AK28" s="488">
        <v>1</v>
      </c>
      <c r="AL28" s="488">
        <v>1</v>
      </c>
      <c r="AM28" s="488">
        <v>1</v>
      </c>
      <c r="AN28" s="773">
        <v>1</v>
      </c>
      <c r="AO28" s="488">
        <v>1</v>
      </c>
      <c r="AP28" s="488">
        <v>1</v>
      </c>
      <c r="AQ28" s="488">
        <v>1</v>
      </c>
      <c r="AR28" s="773">
        <v>1</v>
      </c>
      <c r="AS28" s="488">
        <v>1</v>
      </c>
      <c r="AT28" s="488">
        <v>1</v>
      </c>
      <c r="AU28" s="488">
        <v>1</v>
      </c>
      <c r="AV28" s="773">
        <v>1</v>
      </c>
      <c r="AW28" s="488">
        <v>1</v>
      </c>
      <c r="AX28" s="488">
        <v>1</v>
      </c>
      <c r="AY28" s="488">
        <v>1</v>
      </c>
      <c r="AZ28" s="773">
        <v>1</v>
      </c>
      <c r="BA28" s="488">
        <v>1</v>
      </c>
      <c r="BB28" s="488">
        <v>1</v>
      </c>
      <c r="BC28" s="488">
        <v>1</v>
      </c>
      <c r="BD28" s="773">
        <v>1</v>
      </c>
      <c r="BE28" s="488">
        <v>1</v>
      </c>
      <c r="BF28" s="488">
        <v>1</v>
      </c>
      <c r="BG28" s="488">
        <v>1</v>
      </c>
      <c r="BH28" s="773">
        <v>1</v>
      </c>
      <c r="BI28" s="1685">
        <f t="shared" ref="BI28:BP28" si="22">+SUMPRODUCT(BI75:BI83,BI86:BI94)</f>
        <v>0.25149414644946266</v>
      </c>
      <c r="BJ28" s="1684">
        <f t="shared" si="22"/>
        <v>0.35518120729539382</v>
      </c>
      <c r="BK28" s="1684">
        <f t="shared" si="22"/>
        <v>0.23712249241935024</v>
      </c>
      <c r="BL28" s="1686">
        <f t="shared" si="22"/>
        <v>0.16688277623074127</v>
      </c>
      <c r="BM28" s="1685">
        <f t="shared" si="22"/>
        <v>0.18882066167243142</v>
      </c>
      <c r="BN28" s="1684">
        <f>+SUMPRODUCT(BN75:BN83,BN86:BN94)</f>
        <v>0.18154896726933242</v>
      </c>
      <c r="BO28" s="1684">
        <f>+SUMPRODUCT(BO75:BO83,BO86:BO94)</f>
        <v>0.22889168336188054</v>
      </c>
      <c r="BP28" s="1686">
        <f t="shared" si="22"/>
        <v>0.24760745253821084</v>
      </c>
      <c r="BQ28" s="1685">
        <f t="shared" ref="BQ28:CF28" si="23">+SUMPRODUCT(BQ75:BQ83,BQ86:BQ94)</f>
        <v>0.20667702331044305</v>
      </c>
      <c r="BR28" s="1684">
        <f t="shared" si="23"/>
        <v>0.20116311430774642</v>
      </c>
      <c r="BS28" s="1684">
        <f t="shared" si="23"/>
        <v>0.18260300306291657</v>
      </c>
      <c r="BT28" s="1686">
        <f t="shared" si="23"/>
        <v>0.17708989640254749</v>
      </c>
      <c r="BU28" s="1685">
        <f t="shared" si="23"/>
        <v>0.20188646958161738</v>
      </c>
      <c r="BV28" s="1684">
        <f t="shared" si="23"/>
        <v>0.20996861334662012</v>
      </c>
      <c r="BW28" s="1684">
        <f t="shared" si="23"/>
        <v>0.21489713836926017</v>
      </c>
      <c r="BX28" s="1686">
        <f t="shared" si="23"/>
        <v>0.2120714209922368</v>
      </c>
      <c r="BY28" s="1685">
        <f t="shared" si="23"/>
        <v>0.21597829703638255</v>
      </c>
      <c r="BZ28" s="1684">
        <f>+SUMPRODUCT(BZ75:BZ83,BZ86:BZ94)</f>
        <v>0.21388102085152</v>
      </c>
      <c r="CA28" s="1684">
        <f>+SUMPRODUCT(CA75:CA83,CA86:CA94)</f>
        <v>0.22036389041229248</v>
      </c>
      <c r="CB28" s="1686">
        <f t="shared" si="23"/>
        <v>0.21562746525250087</v>
      </c>
      <c r="CC28" s="1685">
        <f t="shared" si="23"/>
        <v>0.21821650669385145</v>
      </c>
      <c r="CD28" s="1684">
        <f t="shared" si="23"/>
        <v>0.21463208237703399</v>
      </c>
      <c r="CE28" s="1684">
        <f t="shared" si="23"/>
        <v>0.21463565389242664</v>
      </c>
      <c r="CF28" s="1686">
        <f t="shared" si="23"/>
        <v>0.21463565389242664</v>
      </c>
      <c r="CG28" s="742"/>
      <c r="CH28" s="320"/>
      <c r="CI28" s="315"/>
      <c r="CJ28" s="315"/>
      <c r="CK28" s="315"/>
      <c r="CL28" s="315"/>
      <c r="CM28" s="787">
        <f>+AVERAGE(AG28:AJ28)</f>
        <v>1</v>
      </c>
      <c r="CN28" s="787">
        <f>+AVERAGE(AK28:AN28)</f>
        <v>1</v>
      </c>
      <c r="CO28" s="787">
        <f>+AVERAGE(AO28:AR28)</f>
        <v>1</v>
      </c>
      <c r="CP28" s="787">
        <f>+AVERAGE(AS28:AV28)</f>
        <v>1</v>
      </c>
      <c r="CQ28" s="787">
        <f>+AVERAGE(AW28:AZ28)</f>
        <v>1</v>
      </c>
      <c r="CR28" s="787">
        <f>+AVERAGE(BA28:BD28)</f>
        <v>1</v>
      </c>
      <c r="CS28" s="787">
        <f>+AVERAGE(BE28:BH28)</f>
        <v>1</v>
      </c>
      <c r="CT28" s="787">
        <f>+AVERAGE(BI28:BL28)</f>
        <v>0.25267015559873701</v>
      </c>
      <c r="CU28" s="787">
        <f>+AVERAGE(BM28:BP28)</f>
        <v>0.21171719121046378</v>
      </c>
      <c r="CV28" s="787">
        <f>+AVERAGE(BQ28:BT28)</f>
        <v>0.19188325927091338</v>
      </c>
      <c r="CW28" s="787">
        <f>+AVERAGE(BU28:BX28)</f>
        <v>0.2097059105724336</v>
      </c>
      <c r="CX28" s="787">
        <f>+AVERAGE(BY28:CB28)</f>
        <v>0.21646266838817399</v>
      </c>
      <c r="CY28" s="787">
        <f>+AVERAGE(CC28:CF28)</f>
        <v>0.21552997421393469</v>
      </c>
      <c r="CZ28" s="1813">
        <f>+CF28</f>
        <v>0.21463565389242664</v>
      </c>
      <c r="DA28" s="1813">
        <f t="shared" ref="DA28:DF28" si="24">+CZ28</f>
        <v>0.21463565389242664</v>
      </c>
      <c r="DB28" s="1813">
        <f t="shared" si="24"/>
        <v>0.21463565389242664</v>
      </c>
      <c r="DC28" s="1813">
        <f t="shared" si="24"/>
        <v>0.21463565389242664</v>
      </c>
      <c r="DD28" s="1813">
        <f t="shared" si="24"/>
        <v>0.21463565389242664</v>
      </c>
      <c r="DE28" s="1813">
        <f t="shared" si="24"/>
        <v>0.21463565389242664</v>
      </c>
      <c r="DF28" s="1814">
        <f t="shared" si="24"/>
        <v>0.21463565389242664</v>
      </c>
      <c r="DH28" s="752"/>
      <c r="DI28" s="752"/>
      <c r="DJ28" s="752"/>
    </row>
    <row r="29" spans="1:114" ht="11.25" customHeight="1">
      <c r="A29" s="298"/>
      <c r="B29" s="299"/>
      <c r="C29" s="299"/>
      <c r="D29" s="299"/>
      <c r="E29" s="299"/>
      <c r="F29" s="298"/>
      <c r="G29" s="298"/>
      <c r="H29" s="298"/>
      <c r="I29" s="178"/>
      <c r="J29" s="8"/>
      <c r="K29" s="8"/>
      <c r="L29" s="8"/>
      <c r="M29" s="361"/>
      <c r="N29" s="361"/>
      <c r="O29" s="361"/>
      <c r="P29" s="362"/>
      <c r="Q29" s="361"/>
      <c r="R29" s="361"/>
      <c r="S29" s="361"/>
      <c r="T29" s="362"/>
      <c r="U29" s="361"/>
      <c r="V29" s="361"/>
      <c r="W29" s="361"/>
      <c r="X29" s="362"/>
      <c r="Y29" s="361"/>
      <c r="Z29" s="361"/>
      <c r="AA29" s="361"/>
      <c r="AB29" s="362"/>
      <c r="AC29" s="361"/>
      <c r="AD29" s="361"/>
      <c r="AE29" s="361"/>
      <c r="AF29" s="316"/>
      <c r="AG29" s="317"/>
      <c r="AH29" s="317"/>
      <c r="AI29" s="317"/>
      <c r="AJ29" s="318"/>
      <c r="AK29" s="317"/>
      <c r="AL29" s="317"/>
      <c r="AM29" s="317"/>
      <c r="AN29" s="318"/>
      <c r="AO29" s="317"/>
      <c r="AP29" s="317"/>
      <c r="AQ29" s="317"/>
      <c r="AR29" s="318"/>
      <c r="AS29" s="317"/>
      <c r="AT29" s="317"/>
      <c r="AU29" s="317"/>
      <c r="AV29" s="318"/>
      <c r="AW29" s="317"/>
      <c r="AX29" s="317"/>
      <c r="AY29" s="317"/>
      <c r="AZ29" s="318"/>
      <c r="BA29" s="317"/>
      <c r="BB29" s="393"/>
      <c r="BC29" s="393"/>
      <c r="BD29" s="472"/>
      <c r="BE29" s="317"/>
      <c r="BF29" s="317"/>
      <c r="BG29" s="317"/>
      <c r="BH29" s="318"/>
      <c r="BI29" s="317"/>
      <c r="BJ29" s="317"/>
      <c r="BK29" s="317"/>
      <c r="BL29" s="318"/>
      <c r="BM29" s="317"/>
      <c r="BN29" s="317"/>
      <c r="BO29" s="317"/>
      <c r="BP29" s="318"/>
      <c r="BQ29" s="317"/>
      <c r="BR29" s="317"/>
      <c r="BS29" s="317"/>
      <c r="BT29" s="318"/>
      <c r="BU29" s="317"/>
      <c r="BV29" s="317"/>
      <c r="BW29" s="317"/>
      <c r="BX29" s="318"/>
      <c r="BY29" s="317"/>
      <c r="BZ29" s="317"/>
      <c r="CA29" s="317"/>
      <c r="CB29" s="318"/>
      <c r="CC29" s="317"/>
      <c r="CD29" s="317"/>
      <c r="CE29" s="317"/>
      <c r="CF29" s="318"/>
      <c r="CG29" s="742"/>
      <c r="CH29" s="320"/>
      <c r="CI29" s="315"/>
      <c r="CJ29" s="315"/>
      <c r="CK29" s="361"/>
      <c r="CL29" s="315"/>
      <c r="CM29" s="317"/>
      <c r="CN29" s="317"/>
      <c r="CO29" s="317"/>
      <c r="CP29" s="317"/>
      <c r="CQ29" s="317"/>
      <c r="CR29" s="774"/>
      <c r="CS29" s="317"/>
      <c r="CT29" s="317"/>
      <c r="CU29" s="317"/>
      <c r="CV29" s="317"/>
      <c r="CW29" s="317"/>
      <c r="CX29" s="317"/>
      <c r="CY29" s="317"/>
      <c r="CZ29" s="315"/>
      <c r="DA29" s="315"/>
      <c r="DB29" s="315"/>
      <c r="DC29" s="315"/>
      <c r="DD29" s="315"/>
      <c r="DE29" s="315"/>
      <c r="DF29" s="316"/>
      <c r="DH29" s="752"/>
      <c r="DI29" s="752"/>
      <c r="DJ29" s="752"/>
    </row>
    <row r="30" spans="1:114" s="3" customFormat="1" ht="11.25" customHeight="1">
      <c r="A30" s="1687"/>
      <c r="B30" s="1688"/>
      <c r="C30" s="1688"/>
      <c r="D30" s="1688"/>
      <c r="E30" s="1688"/>
      <c r="F30" s="1687"/>
      <c r="G30" s="1687"/>
      <c r="H30" s="1687"/>
      <c r="I30" s="728" t="s">
        <v>329</v>
      </c>
      <c r="J30" s="7"/>
      <c r="K30" s="7"/>
      <c r="L30" s="7"/>
      <c r="M30" s="361"/>
      <c r="N30" s="361"/>
      <c r="O30" s="361"/>
      <c r="P30" s="362"/>
      <c r="Q30" s="361"/>
      <c r="R30" s="361"/>
      <c r="S30" s="361"/>
      <c r="T30" s="362"/>
      <c r="U30" s="361"/>
      <c r="V30" s="361"/>
      <c r="W30" s="361"/>
      <c r="X30" s="362"/>
      <c r="Y30" s="361"/>
      <c r="Z30" s="361"/>
      <c r="AA30" s="361"/>
      <c r="AB30" s="362"/>
      <c r="AC30" s="361"/>
      <c r="AD30" s="361"/>
      <c r="AE30" s="361"/>
      <c r="AF30" s="362"/>
      <c r="AG30" s="1689">
        <f t="shared" ref="AG30:BH30" si="25">+AG34*AG26+AG35*AG27+AG37*AG28</f>
        <v>1.3764198542955559</v>
      </c>
      <c r="AH30" s="1689">
        <f t="shared" si="25"/>
        <v>1.4374796745351646</v>
      </c>
      <c r="AI30" s="1689">
        <f t="shared" si="25"/>
        <v>1.4650543032076087</v>
      </c>
      <c r="AJ30" s="1690">
        <f t="shared" si="25"/>
        <v>1.4887453475913046</v>
      </c>
      <c r="AK30" s="1689">
        <f t="shared" si="25"/>
        <v>1.514242977201111</v>
      </c>
      <c r="AL30" s="1689">
        <f t="shared" si="25"/>
        <v>1.5504504475296708</v>
      </c>
      <c r="AM30" s="1689">
        <f t="shared" si="25"/>
        <v>1.5799474738032611</v>
      </c>
      <c r="AN30" s="1690">
        <f t="shared" si="25"/>
        <v>1.6367903979119558</v>
      </c>
      <c r="AO30" s="1689">
        <f t="shared" si="25"/>
        <v>1.6372538594711914</v>
      </c>
      <c r="AP30" s="1689">
        <f t="shared" si="25"/>
        <v>1.676679644883341</v>
      </c>
      <c r="AQ30" s="1689">
        <f t="shared" si="25"/>
        <v>1.6131615807066555</v>
      </c>
      <c r="AR30" s="1690">
        <f t="shared" si="25"/>
        <v>1.3896450758077585</v>
      </c>
      <c r="AS30" s="1689">
        <f t="shared" si="25"/>
        <v>1.3306437210831044</v>
      </c>
      <c r="AT30" s="1689">
        <f t="shared" si="25"/>
        <v>1.4029915635063224</v>
      </c>
      <c r="AU30" s="1689">
        <f t="shared" si="25"/>
        <v>1.4738531855948975</v>
      </c>
      <c r="AV30" s="1690">
        <f t="shared" si="25"/>
        <v>1.5018733406545108</v>
      </c>
      <c r="AW30" s="1689">
        <f t="shared" si="25"/>
        <v>1.4207818748666665</v>
      </c>
      <c r="AX30" s="1689">
        <f t="shared" si="25"/>
        <v>1.328201140923077</v>
      </c>
      <c r="AY30" s="1689">
        <f t="shared" si="25"/>
        <v>1.357824153152174</v>
      </c>
      <c r="AZ30" s="1690">
        <f t="shared" si="25"/>
        <v>1.4109156420869569</v>
      </c>
      <c r="BA30" s="1689">
        <f t="shared" si="25"/>
        <v>1.3522618823444441</v>
      </c>
      <c r="BB30" s="1689">
        <f t="shared" si="25"/>
        <v>1.4335115359340662</v>
      </c>
      <c r="BC30" s="1689">
        <f t="shared" si="25"/>
        <v>1.4112615101086949</v>
      </c>
      <c r="BD30" s="1690">
        <f t="shared" si="25"/>
        <v>1.3341812649891307</v>
      </c>
      <c r="BE30" s="1689">
        <f t="shared" si="25"/>
        <v>1.2984466074835168</v>
      </c>
      <c r="BF30" s="1689">
        <f t="shared" si="25"/>
        <v>1.2855593388461537</v>
      </c>
      <c r="BG30" s="1689">
        <f t="shared" si="25"/>
        <v>1.2633351466304346</v>
      </c>
      <c r="BH30" s="1690">
        <f t="shared" si="25"/>
        <v>1.3081754005543478</v>
      </c>
      <c r="BI30" s="1689">
        <f t="shared" ref="BI30:CF30" si="26">+(BI34*BI26)+(BI35*BI27)+(BI37*BI28)</f>
        <v>1.2958825020303268</v>
      </c>
      <c r="BJ30" s="1689">
        <f t="shared" si="26"/>
        <v>1.2872875560631203</v>
      </c>
      <c r="BK30" s="1689">
        <f t="shared" si="26"/>
        <v>1.2720709160894803</v>
      </c>
      <c r="BL30" s="1690">
        <f t="shared" si="26"/>
        <v>1.2971038914053235</v>
      </c>
      <c r="BM30" s="1689">
        <f t="shared" si="26"/>
        <v>1.279169622443745</v>
      </c>
      <c r="BN30" s="1689">
        <f t="shared" si="26"/>
        <v>1.3026481670963652</v>
      </c>
      <c r="BO30" s="1689">
        <f t="shared" si="26"/>
        <v>1.2664071381961459</v>
      </c>
      <c r="BP30" s="1690">
        <f t="shared" ref="BP30:BU30" si="27">+(BP34*BP26)+(BP35*BP27)+(BP37*BP28)</f>
        <v>1.19333382302017</v>
      </c>
      <c r="BQ30" s="1689">
        <f t="shared" si="27"/>
        <v>1.0843663559072663</v>
      </c>
      <c r="BR30" s="1689">
        <f>+(BR34*BR26)+(BR35*BR27)+(BR37*BR28)</f>
        <v>1.0694780724752282</v>
      </c>
      <c r="BS30" s="1689">
        <f>+(BS34*BS26)+(BS35*BS27)+(BS37*BS28)</f>
        <v>1.0549160675098344</v>
      </c>
      <c r="BT30" s="1690">
        <f>+(BT34*BT26)+(BT35*BT27)+(BT37*BT28)</f>
        <v>1.0365488249921497</v>
      </c>
      <c r="BU30" s="1689">
        <f t="shared" si="27"/>
        <v>1.0208089699903637</v>
      </c>
      <c r="BV30" s="1689">
        <f t="shared" si="26"/>
        <v>1.0492057491264586</v>
      </c>
      <c r="BW30" s="1689">
        <f t="shared" si="26"/>
        <v>1.0415129715697993</v>
      </c>
      <c r="BX30" s="1690">
        <f t="shared" si="26"/>
        <v>1.0097294011532378</v>
      </c>
      <c r="BY30" s="1689">
        <f t="shared" si="26"/>
        <v>0.99703381766780763</v>
      </c>
      <c r="BZ30" s="1689">
        <f>+(BZ34*BZ26)+(BZ35*BZ27)+(BZ37*BZ28)</f>
        <v>1.0633271073961026</v>
      </c>
      <c r="CA30" s="1689">
        <f t="shared" si="26"/>
        <v>1.1134589734908542</v>
      </c>
      <c r="CB30" s="1690">
        <f t="shared" si="26"/>
        <v>1.0570290160978335</v>
      </c>
      <c r="CC30" s="1689">
        <f t="shared" si="26"/>
        <v>1.0632258629663445</v>
      </c>
      <c r="CD30" s="1689">
        <f t="shared" si="26"/>
        <v>1.1038063023475193</v>
      </c>
      <c r="CE30" s="1689">
        <f t="shared" si="26"/>
        <v>1.1079304444685938</v>
      </c>
      <c r="CF30" s="1690">
        <f t="shared" si="26"/>
        <v>1.0990064686227869</v>
      </c>
      <c r="CG30" s="761"/>
      <c r="CH30" s="366"/>
      <c r="CI30" s="361"/>
      <c r="CJ30" s="361"/>
      <c r="CK30" s="361"/>
      <c r="CL30" s="361"/>
      <c r="CM30" s="1689"/>
      <c r="CN30" s="1689">
        <f t="shared" ref="CN30:CS30" si="28">+CN34*CN26+CN35*CN27+CN37*CN28</f>
        <v>1.5703578241114995</v>
      </c>
      <c r="CO30" s="1689">
        <f t="shared" si="28"/>
        <v>1.5791850402172367</v>
      </c>
      <c r="CP30" s="1689">
        <f t="shared" si="28"/>
        <v>1.4273404527097087</v>
      </c>
      <c r="CQ30" s="1689">
        <f t="shared" si="28"/>
        <v>1.3794307027572186</v>
      </c>
      <c r="CR30" s="1689">
        <f t="shared" si="28"/>
        <v>1.3816199390730233</v>
      </c>
      <c r="CS30" s="1689">
        <f t="shared" si="28"/>
        <v>1.2893435365322354</v>
      </c>
      <c r="CT30" s="1689">
        <f t="shared" ref="CT30:DA30" si="29">+(CT34*CT26)+(CT35*CT27)+(CT37*CT28)</f>
        <v>1.2890233985117441</v>
      </c>
      <c r="CU30" s="1689">
        <f>+(CU34*CU26)+(CU35*CU27)+(CU37*CU28)</f>
        <v>1.2599125319850992</v>
      </c>
      <c r="CV30" s="1689">
        <f>+(CV34*CV26)+(CV35*CV27)+(CV37*CV28)</f>
        <v>1.0613819691197728</v>
      </c>
      <c r="CW30" s="1689">
        <f>+(CW34*CW26)+(CW35*CW27)+(CW37*CW28)</f>
        <v>1.0313779809906003</v>
      </c>
      <c r="CX30" s="1689">
        <f t="shared" si="29"/>
        <v>1.0582915656117806</v>
      </c>
      <c r="CY30" s="1689">
        <f t="shared" si="29"/>
        <v>1.0934336506043418</v>
      </c>
      <c r="CZ30" s="1689">
        <f t="shared" si="29"/>
        <v>1.0936451815307222</v>
      </c>
      <c r="DA30" s="1689">
        <f t="shared" si="29"/>
        <v>1.0936451815307222</v>
      </c>
      <c r="DB30" s="1689">
        <f>+(DB34*DB26)+(DB35*DB27)+(DB37*DB28)</f>
        <v>1.0936451815307222</v>
      </c>
      <c r="DC30" s="1689">
        <f>+(DC34*DC26)+(DC35*DC27)+(DC37*DC28)</f>
        <v>1.0936451815307222</v>
      </c>
      <c r="DD30" s="1689">
        <f>+(DD34*DD26)+(DD35*DD27)+(DD37*DD28)</f>
        <v>1.0936451815307222</v>
      </c>
      <c r="DE30" s="1689">
        <f>+(DE34*DE26)+(DE35*DE27)+(DE37*DE28)</f>
        <v>1.0936451815307222</v>
      </c>
      <c r="DF30" s="1690">
        <f>+(DF34*DF26)+(DF35*DF27)+(DF37*DF28)</f>
        <v>1.0936451815307222</v>
      </c>
      <c r="DG30" s="1"/>
      <c r="DH30" s="762"/>
      <c r="DI30" s="762"/>
      <c r="DJ30" s="762"/>
    </row>
    <row r="31" spans="1:114" s="44" customFormat="1" ht="11.25" customHeight="1">
      <c r="A31" s="12"/>
      <c r="B31" s="13"/>
      <c r="C31" s="13"/>
      <c r="D31" s="13"/>
      <c r="E31" s="13"/>
      <c r="F31" s="12"/>
      <c r="G31" s="12"/>
      <c r="H31" s="12"/>
      <c r="I31" s="187" t="s">
        <v>330</v>
      </c>
      <c r="J31" s="74"/>
      <c r="K31" s="74"/>
      <c r="L31" s="74"/>
      <c r="M31" s="439"/>
      <c r="N31" s="439"/>
      <c r="O31" s="439"/>
      <c r="P31" s="370"/>
      <c r="Q31" s="439"/>
      <c r="R31" s="439"/>
      <c r="S31" s="439"/>
      <c r="T31" s="370"/>
      <c r="U31" s="439"/>
      <c r="V31" s="439"/>
      <c r="W31" s="439"/>
      <c r="X31" s="370"/>
      <c r="Y31" s="439"/>
      <c r="Z31" s="439"/>
      <c r="AA31" s="439"/>
      <c r="AB31" s="370"/>
      <c r="AC31" s="439"/>
      <c r="AD31" s="439"/>
      <c r="AE31" s="439"/>
      <c r="AF31" s="370"/>
      <c r="AG31" s="470"/>
      <c r="AH31" s="470"/>
      <c r="AI31" s="470"/>
      <c r="AJ31" s="471"/>
      <c r="AK31" s="788">
        <f>+AK30/AG30-1</f>
        <v>0.10013160045275016</v>
      </c>
      <c r="AL31" s="788">
        <f t="shared" ref="AL31:CF31" si="30">+AL30/AH30-1</f>
        <v>7.8589475034516409E-2</v>
      </c>
      <c r="AM31" s="788">
        <f t="shared" si="30"/>
        <v>7.8422465531894581E-2</v>
      </c>
      <c r="AN31" s="789">
        <f t="shared" si="30"/>
        <v>9.9442829870251881E-2</v>
      </c>
      <c r="AO31" s="788">
        <f t="shared" si="30"/>
        <v>8.1235894187503987E-2</v>
      </c>
      <c r="AP31" s="788">
        <f t="shared" si="30"/>
        <v>8.1414531857364913E-2</v>
      </c>
      <c r="AQ31" s="788">
        <f t="shared" si="30"/>
        <v>2.1022285521582029E-2</v>
      </c>
      <c r="AR31" s="789">
        <f t="shared" si="30"/>
        <v>-0.15099387338750225</v>
      </c>
      <c r="AS31" s="788">
        <f t="shared" si="30"/>
        <v>-0.18727098220865857</v>
      </c>
      <c r="AT31" s="788">
        <f t="shared" si="30"/>
        <v>-0.16323218464077027</v>
      </c>
      <c r="AU31" s="788">
        <f t="shared" si="30"/>
        <v>-8.6357372242111707E-2</v>
      </c>
      <c r="AV31" s="789">
        <f t="shared" si="30"/>
        <v>8.0760380330580084E-2</v>
      </c>
      <c r="AW31" s="788">
        <f t="shared" si="30"/>
        <v>6.7740261615778286E-2</v>
      </c>
      <c r="AX31" s="788">
        <f t="shared" si="30"/>
        <v>-5.3307820608935796E-2</v>
      </c>
      <c r="AY31" s="788">
        <f t="shared" si="30"/>
        <v>-7.8724959566369712E-2</v>
      </c>
      <c r="AZ31" s="789">
        <f t="shared" si="30"/>
        <v>-6.0562829171676325E-2</v>
      </c>
      <c r="BA31" s="788">
        <f>+BA30/AW30-1</f>
        <v>-4.8226961319205119E-2</v>
      </c>
      <c r="BB31" s="788">
        <f t="shared" si="30"/>
        <v>7.9287987162697693E-2</v>
      </c>
      <c r="BC31" s="788">
        <f t="shared" si="30"/>
        <v>3.9355138021714087E-2</v>
      </c>
      <c r="BD31" s="789">
        <f t="shared" si="30"/>
        <v>-5.4386226085299083E-2</v>
      </c>
      <c r="BE31" s="788">
        <f t="shared" si="30"/>
        <v>-3.9796488804096586E-2</v>
      </c>
      <c r="BF31" s="788">
        <f t="shared" si="30"/>
        <v>-0.1032096312999029</v>
      </c>
      <c r="BG31" s="788">
        <f t="shared" si="30"/>
        <v>-0.10481853463633906</v>
      </c>
      <c r="BH31" s="789">
        <f t="shared" si="30"/>
        <v>-1.9492002411677367E-2</v>
      </c>
      <c r="BI31" s="788">
        <f t="shared" ref="BI31:BN31" si="31">+BI30/BE30-1</f>
        <v>-1.9747484712978602E-3</v>
      </c>
      <c r="BJ31" s="788">
        <f t="shared" si="31"/>
        <v>1.3443309575407181E-3</v>
      </c>
      <c r="BK31" s="788">
        <f t="shared" si="31"/>
        <v>6.9148471665225753E-3</v>
      </c>
      <c r="BL31" s="789">
        <f t="shared" si="31"/>
        <v>-8.4633216190524996E-3</v>
      </c>
      <c r="BM31" s="788">
        <f t="shared" si="31"/>
        <v>-1.2896909681546664E-2</v>
      </c>
      <c r="BN31" s="788">
        <f t="shared" si="31"/>
        <v>1.1932540605163577E-2</v>
      </c>
      <c r="BO31" s="788">
        <f t="shared" ref="BO31:BV31" si="32">+BO30/BK30-1</f>
        <v>-4.4524073474973003E-3</v>
      </c>
      <c r="BP31" s="789">
        <f t="shared" si="32"/>
        <v>-8.0001354612178166E-2</v>
      </c>
      <c r="BQ31" s="788">
        <f t="shared" si="32"/>
        <v>-0.15228884670066167</v>
      </c>
      <c r="BR31" s="788">
        <f t="shared" si="32"/>
        <v>-0.17899698514978057</v>
      </c>
      <c r="BS31" s="788">
        <f>+BS30/BO30-1</f>
        <v>-0.16700085170678736</v>
      </c>
      <c r="BT31" s="789">
        <f>+BT30/BP30-1</f>
        <v>-0.13138402264608418</v>
      </c>
      <c r="BU31" s="788">
        <f t="shared" si="32"/>
        <v>-5.8612465769214528E-2</v>
      </c>
      <c r="BV31" s="788">
        <f t="shared" si="32"/>
        <v>-1.895534267649901E-2</v>
      </c>
      <c r="BW31" s="788">
        <f t="shared" si="30"/>
        <v>-1.2705367140414814E-2</v>
      </c>
      <c r="BX31" s="789">
        <f t="shared" si="30"/>
        <v>-2.5873768019673338E-2</v>
      </c>
      <c r="BY31" s="788">
        <f t="shared" si="30"/>
        <v>-2.3290500986468121E-2</v>
      </c>
      <c r="BZ31" s="788">
        <f t="shared" si="30"/>
        <v>1.3459093491816176E-2</v>
      </c>
      <c r="CA31" s="788">
        <f t="shared" si="30"/>
        <v>6.9078354168374601E-2</v>
      </c>
      <c r="CB31" s="789">
        <f t="shared" si="30"/>
        <v>4.6843852313871004E-2</v>
      </c>
      <c r="CC31" s="788">
        <f t="shared" si="30"/>
        <v>6.638896707974129E-2</v>
      </c>
      <c r="CD31" s="788">
        <f t="shared" si="30"/>
        <v>3.8068431313242002E-2</v>
      </c>
      <c r="CE31" s="788">
        <f t="shared" si="30"/>
        <v>-4.9651843075346758E-3</v>
      </c>
      <c r="CF31" s="789">
        <f t="shared" si="30"/>
        <v>3.971267759509467E-2</v>
      </c>
      <c r="CG31" s="775"/>
      <c r="CH31" s="440"/>
      <c r="CI31" s="439"/>
      <c r="CJ31" s="439"/>
      <c r="CK31" s="439"/>
      <c r="CL31" s="439"/>
      <c r="CM31" s="470"/>
      <c r="CN31" s="470"/>
      <c r="CO31" s="788">
        <f t="shared" ref="CO31:CT31" si="33">+CO30/CN30-1</f>
        <v>5.6211495050382254E-3</v>
      </c>
      <c r="CP31" s="788">
        <f t="shared" si="33"/>
        <v>-9.6153765163986105E-2</v>
      </c>
      <c r="CQ31" s="788">
        <f t="shared" si="33"/>
        <v>-3.3565748004645068E-2</v>
      </c>
      <c r="CR31" s="788">
        <f t="shared" si="33"/>
        <v>1.5870578430861038E-3</v>
      </c>
      <c r="CS31" s="788">
        <f t="shared" si="33"/>
        <v>-6.6788557352971623E-2</v>
      </c>
      <c r="CT31" s="788">
        <f t="shared" si="33"/>
        <v>-2.4829536226811388E-4</v>
      </c>
      <c r="CU31" s="788">
        <f t="shared" ref="CU31:DA31" si="34">+CU30/CT30-1</f>
        <v>-2.2583660281306872E-2</v>
      </c>
      <c r="CV31" s="788">
        <f>+CV30/CU30-1</f>
        <v>-0.15757487748179211</v>
      </c>
      <c r="CW31" s="788">
        <f>+CW30/CV30-1</f>
        <v>-2.8268793895241506E-2</v>
      </c>
      <c r="CX31" s="788">
        <f t="shared" si="34"/>
        <v>2.6094783015758072E-2</v>
      </c>
      <c r="CY31" s="788">
        <f t="shared" si="34"/>
        <v>3.3206430188495561E-2</v>
      </c>
      <c r="CZ31" s="788">
        <f t="shared" si="34"/>
        <v>1.9345565802142417E-4</v>
      </c>
      <c r="DA31" s="788">
        <f t="shared" si="34"/>
        <v>0</v>
      </c>
      <c r="DB31" s="788">
        <f>+DB30/DA30-1</f>
        <v>0</v>
      </c>
      <c r="DC31" s="788">
        <f>+DC30/DB30-1</f>
        <v>0</v>
      </c>
      <c r="DD31" s="788">
        <f>+DD30/DC30-1</f>
        <v>0</v>
      </c>
      <c r="DE31" s="788">
        <f>+DE30/DD30-1</f>
        <v>0</v>
      </c>
      <c r="DF31" s="789">
        <f>+DF30/DE30-1</f>
        <v>0</v>
      </c>
      <c r="DG31"/>
      <c r="DH31" s="776"/>
      <c r="DI31" s="776"/>
      <c r="DJ31" s="776"/>
    </row>
    <row r="32" spans="1:114" ht="11.25" customHeight="1">
      <c r="A32" s="556"/>
      <c r="B32" s="557"/>
      <c r="C32" s="557"/>
      <c r="D32" s="557"/>
      <c r="E32" s="557"/>
      <c r="F32" s="556"/>
      <c r="G32" s="556"/>
      <c r="H32" s="556"/>
      <c r="I32" s="178"/>
      <c r="J32" s="8"/>
      <c r="K32" s="8"/>
      <c r="L32" s="8"/>
      <c r="M32" s="361"/>
      <c r="N32" s="361"/>
      <c r="O32" s="361"/>
      <c r="P32" s="362"/>
      <c r="Q32" s="361"/>
      <c r="R32" s="361"/>
      <c r="S32" s="361"/>
      <c r="T32" s="362"/>
      <c r="U32" s="361"/>
      <c r="V32" s="361"/>
      <c r="W32" s="361"/>
      <c r="X32" s="362"/>
      <c r="Y32" s="361"/>
      <c r="Z32" s="361"/>
      <c r="AA32" s="361"/>
      <c r="AB32" s="362"/>
      <c r="AC32" s="361"/>
      <c r="AD32" s="361"/>
      <c r="AE32" s="361"/>
      <c r="AF32" s="316"/>
      <c r="AG32" s="317"/>
      <c r="AH32" s="317"/>
      <c r="AI32" s="317"/>
      <c r="AJ32" s="318"/>
      <c r="AK32" s="317"/>
      <c r="AL32" s="317"/>
      <c r="AM32" s="391"/>
      <c r="AN32" s="318"/>
      <c r="AO32" s="317"/>
      <c r="AP32" s="317"/>
      <c r="AQ32" s="391"/>
      <c r="AR32" s="318"/>
      <c r="AS32" s="317"/>
      <c r="AT32" s="317"/>
      <c r="AU32" s="391"/>
      <c r="AV32" s="318"/>
      <c r="AW32" s="317"/>
      <c r="AX32" s="317"/>
      <c r="AY32" s="393"/>
      <c r="AZ32" s="318"/>
      <c r="BA32" s="317"/>
      <c r="BB32" s="317"/>
      <c r="BC32" s="393"/>
      <c r="BD32" s="318"/>
      <c r="BE32" s="317"/>
      <c r="BF32" s="317"/>
      <c r="BG32" s="393"/>
      <c r="BH32" s="318"/>
      <c r="BI32" s="393"/>
      <c r="BJ32" s="393"/>
      <c r="BK32" s="393"/>
      <c r="BL32" s="472"/>
      <c r="BM32" s="317"/>
      <c r="BN32" s="393"/>
      <c r="BO32" s="393"/>
      <c r="BP32" s="472"/>
      <c r="BQ32" s="317"/>
      <c r="BR32" s="317"/>
      <c r="BS32" s="317"/>
      <c r="BT32" s="318"/>
      <c r="BU32" s="317"/>
      <c r="BV32" s="317"/>
      <c r="BW32" s="317"/>
      <c r="BX32" s="469"/>
      <c r="BY32" s="317"/>
      <c r="BZ32" s="317"/>
      <c r="CA32" s="317"/>
      <c r="CB32" s="318"/>
      <c r="CC32" s="317"/>
      <c r="CD32" s="317"/>
      <c r="CE32" s="317"/>
      <c r="CF32" s="318"/>
      <c r="CG32" s="742"/>
      <c r="CH32" s="367"/>
      <c r="CI32" s="336"/>
      <c r="CJ32" s="336"/>
      <c r="CK32" s="361"/>
      <c r="CL32" s="315"/>
      <c r="CM32" s="317"/>
      <c r="CN32" s="317"/>
      <c r="CO32" s="317"/>
      <c r="CP32" s="317"/>
      <c r="CQ32" s="317"/>
      <c r="CR32" s="774"/>
      <c r="CS32" s="317"/>
      <c r="CT32" s="317"/>
      <c r="CU32" s="317"/>
      <c r="CV32" s="317"/>
      <c r="CW32" s="317"/>
      <c r="CX32" s="317"/>
      <c r="CY32" s="317"/>
      <c r="CZ32" s="315"/>
      <c r="DA32" s="315"/>
      <c r="DB32" s="315"/>
      <c r="DC32" s="315"/>
      <c r="DD32" s="315"/>
      <c r="DE32" s="315"/>
      <c r="DF32" s="316"/>
      <c r="DH32" s="752"/>
      <c r="DI32" s="752"/>
      <c r="DJ32" s="752"/>
    </row>
    <row r="33" spans="1:114" ht="11.25" customHeight="1">
      <c r="A33" s="12"/>
      <c r="B33" s="13"/>
      <c r="C33" s="13"/>
      <c r="D33" s="13"/>
      <c r="E33" s="13"/>
      <c r="F33" s="12"/>
      <c r="G33" s="12"/>
      <c r="H33" s="12"/>
      <c r="I33" s="728" t="s">
        <v>331</v>
      </c>
      <c r="J33" s="7"/>
      <c r="K33" s="7"/>
      <c r="L33" s="7"/>
      <c r="M33" s="361"/>
      <c r="N33" s="361"/>
      <c r="O33" s="361"/>
      <c r="P33" s="362"/>
      <c r="Q33" s="361"/>
      <c r="R33" s="361"/>
      <c r="S33" s="361"/>
      <c r="T33" s="362"/>
      <c r="U33" s="361"/>
      <c r="V33" s="361"/>
      <c r="W33" s="361"/>
      <c r="X33" s="362"/>
      <c r="Y33" s="361"/>
      <c r="Z33" s="361"/>
      <c r="AA33" s="361"/>
      <c r="AB33" s="362"/>
      <c r="AC33" s="361"/>
      <c r="AD33" s="361"/>
      <c r="AE33" s="361"/>
      <c r="AF33" s="316"/>
      <c r="AG33" s="774"/>
      <c r="AH33" s="774"/>
      <c r="AI33" s="774"/>
      <c r="AJ33" s="778"/>
      <c r="AK33" s="774"/>
      <c r="AL33" s="774"/>
      <c r="AM33" s="774"/>
      <c r="AN33" s="778"/>
      <c r="AO33" s="774"/>
      <c r="AP33" s="774"/>
      <c r="AQ33" s="774"/>
      <c r="AR33" s="778"/>
      <c r="AS33" s="774"/>
      <c r="AT33" s="774"/>
      <c r="AU33" s="774"/>
      <c r="AV33" s="778"/>
      <c r="AW33" s="774"/>
      <c r="AX33" s="774"/>
      <c r="AY33" s="774"/>
      <c r="AZ33" s="318"/>
      <c r="BA33" s="317"/>
      <c r="BB33" s="317"/>
      <c r="BC33" s="317"/>
      <c r="BD33" s="318"/>
      <c r="BE33" s="317"/>
      <c r="BF33" s="317"/>
      <c r="BG33" s="317"/>
      <c r="BH33" s="318"/>
      <c r="BI33" s="317"/>
      <c r="BJ33" s="317"/>
      <c r="BK33" s="317"/>
      <c r="BL33" s="318"/>
      <c r="BM33" s="317"/>
      <c r="BN33" s="494"/>
      <c r="BO33" s="494"/>
      <c r="BP33" s="469"/>
      <c r="BQ33" s="317"/>
      <c r="BR33" s="317"/>
      <c r="BS33" s="317"/>
      <c r="BT33" s="469"/>
      <c r="BU33" s="317"/>
      <c r="BV33" s="317"/>
      <c r="BW33" s="317"/>
      <c r="BX33" s="469"/>
      <c r="BY33" s="317"/>
      <c r="BZ33" s="317"/>
      <c r="CA33" s="317"/>
      <c r="CB33" s="318"/>
      <c r="CC33" s="317"/>
      <c r="CD33" s="317"/>
      <c r="CE33" s="317"/>
      <c r="CF33" s="318"/>
      <c r="CG33" s="742"/>
      <c r="CH33" s="320"/>
      <c r="CI33" s="315"/>
      <c r="CJ33" s="315"/>
      <c r="CK33" s="361"/>
      <c r="CL33" s="315"/>
      <c r="CM33" s="774"/>
      <c r="CN33" s="774"/>
      <c r="CO33" s="774"/>
      <c r="CP33" s="774"/>
      <c r="CQ33" s="317"/>
      <c r="CR33" s="317"/>
      <c r="CS33" s="321"/>
      <c r="CT33" s="321"/>
      <c r="CU33" s="321"/>
      <c r="CV33" s="321"/>
      <c r="CW33" s="321"/>
      <c r="CX33" s="321"/>
      <c r="CY33" s="321"/>
      <c r="CZ33" s="315"/>
      <c r="DA33" s="315"/>
      <c r="DB33" s="315"/>
      <c r="DC33" s="315"/>
      <c r="DD33" s="315"/>
      <c r="DE33" s="315"/>
      <c r="DF33" s="316"/>
      <c r="DH33" s="752"/>
      <c r="DI33" s="752"/>
      <c r="DJ33" s="752"/>
    </row>
    <row r="34" spans="1:114" s="44" customFormat="1" ht="11.25" customHeight="1">
      <c r="A34" s="556"/>
      <c r="B34" s="557"/>
      <c r="C34" s="557"/>
      <c r="D34" s="557"/>
      <c r="E34" s="557"/>
      <c r="F34" s="556"/>
      <c r="G34" s="556"/>
      <c r="H34" s="556"/>
      <c r="I34" s="187" t="s">
        <v>332</v>
      </c>
      <c r="J34" s="74"/>
      <c r="K34" s="74"/>
      <c r="L34" s="74"/>
      <c r="M34" s="439"/>
      <c r="N34" s="439"/>
      <c r="O34" s="439"/>
      <c r="P34" s="370"/>
      <c r="Q34" s="439"/>
      <c r="R34" s="439"/>
      <c r="S34" s="439"/>
      <c r="T34" s="370"/>
      <c r="U34" s="439"/>
      <c r="V34" s="439"/>
      <c r="W34" s="439"/>
      <c r="X34" s="370"/>
      <c r="Y34" s="439"/>
      <c r="Z34" s="439"/>
      <c r="AA34" s="439"/>
      <c r="AB34" s="370"/>
      <c r="AC34" s="439"/>
      <c r="AD34" s="439"/>
      <c r="AE34" s="439"/>
      <c r="AF34" s="370"/>
      <c r="AG34" s="770">
        <v>0.317</v>
      </c>
      <c r="AH34" s="770">
        <v>0.317</v>
      </c>
      <c r="AI34" s="770">
        <v>0.317</v>
      </c>
      <c r="AJ34" s="779">
        <v>0.317</v>
      </c>
      <c r="AK34" s="770">
        <v>0.317</v>
      </c>
      <c r="AL34" s="770">
        <v>0.317</v>
      </c>
      <c r="AM34" s="770">
        <v>0.317</v>
      </c>
      <c r="AN34" s="779">
        <v>0.317</v>
      </c>
      <c r="AO34" s="770">
        <v>0.317</v>
      </c>
      <c r="AP34" s="770">
        <v>0.317</v>
      </c>
      <c r="AQ34" s="770">
        <v>0.317</v>
      </c>
      <c r="AR34" s="779">
        <v>0.317</v>
      </c>
      <c r="AS34" s="770">
        <v>0.3</v>
      </c>
      <c r="AT34" s="770">
        <v>0.3</v>
      </c>
      <c r="AU34" s="770">
        <v>0.3</v>
      </c>
      <c r="AV34" s="779">
        <v>0.3</v>
      </c>
      <c r="AW34" s="770">
        <v>0.3</v>
      </c>
      <c r="AX34" s="770">
        <v>0.3</v>
      </c>
      <c r="AY34" s="770">
        <v>0.3</v>
      </c>
      <c r="AZ34" s="779">
        <v>0.3</v>
      </c>
      <c r="BA34" s="770">
        <v>0.2</v>
      </c>
      <c r="BB34" s="770">
        <v>0.2</v>
      </c>
      <c r="BC34" s="770">
        <v>0.2</v>
      </c>
      <c r="BD34" s="779">
        <v>0.2</v>
      </c>
      <c r="BE34" s="770">
        <v>0.18</v>
      </c>
      <c r="BF34" s="770">
        <v>0.15</v>
      </c>
      <c r="BG34" s="770">
        <v>0.15</v>
      </c>
      <c r="BH34" s="779">
        <v>0.17</v>
      </c>
      <c r="BI34" s="1691">
        <v>0.19500000000000001</v>
      </c>
      <c r="BJ34" s="770">
        <v>0.20200000000000001</v>
      </c>
      <c r="BK34" s="770">
        <v>0.2</v>
      </c>
      <c r="BL34" s="779">
        <v>0.20250000000000001</v>
      </c>
      <c r="BM34" s="1691">
        <f>+BI34-0.02</f>
        <v>0.17500000000000002</v>
      </c>
      <c r="BN34" s="770">
        <f>+BJ34-0.02</f>
        <v>0.18200000000000002</v>
      </c>
      <c r="BO34" s="770">
        <v>0.1875</v>
      </c>
      <c r="BP34" s="779">
        <f>+BL34</f>
        <v>0.20250000000000001</v>
      </c>
      <c r="BQ34" s="1691">
        <f>+BM34</f>
        <v>0.17500000000000002</v>
      </c>
      <c r="BR34" s="770">
        <f>+BQ34-0.0015</f>
        <v>0.17350000000000002</v>
      </c>
      <c r="BS34" s="770">
        <f>+BO34-0.015</f>
        <v>0.17249999999999999</v>
      </c>
      <c r="BT34" s="779">
        <f>+BP34-0.01</f>
        <v>0.1925</v>
      </c>
      <c r="BU34" s="1691">
        <f>+BQ34-0.015</f>
        <v>0.16000000000000003</v>
      </c>
      <c r="BV34" s="770">
        <f>+BR34-0.0095</f>
        <v>0.16400000000000001</v>
      </c>
      <c r="BW34" s="770">
        <f>+BS34+0.01</f>
        <v>0.1825</v>
      </c>
      <c r="BX34" s="779">
        <f>+BT34-0.0025</f>
        <v>0.19</v>
      </c>
      <c r="BY34" s="786">
        <f>+BU34+0.0175</f>
        <v>0.17750000000000005</v>
      </c>
      <c r="BZ34" s="786">
        <f>+BV34+0.03</f>
        <v>0.19400000000000001</v>
      </c>
      <c r="CA34" s="786">
        <f>+BW34+0.015</f>
        <v>0.19750000000000001</v>
      </c>
      <c r="CB34" s="469">
        <f>+BX34</f>
        <v>0.19</v>
      </c>
      <c r="CC34" s="786">
        <f t="shared" ref="CC34:CF34" si="35">+BY34</f>
        <v>0.17750000000000005</v>
      </c>
      <c r="CD34" s="786">
        <f t="shared" si="35"/>
        <v>0.19400000000000001</v>
      </c>
      <c r="CE34" s="786">
        <f t="shared" si="35"/>
        <v>0.19750000000000001</v>
      </c>
      <c r="CF34" s="469">
        <f t="shared" si="35"/>
        <v>0.19</v>
      </c>
      <c r="CG34" s="775"/>
      <c r="CH34" s="440"/>
      <c r="CI34" s="439"/>
      <c r="CJ34" s="439"/>
      <c r="CK34" s="439"/>
      <c r="CL34" s="439"/>
      <c r="CM34" s="788">
        <f>+AVERAGE(AG34:AJ34)</f>
        <v>0.317</v>
      </c>
      <c r="CN34" s="788">
        <f>+AVERAGE(AK34:AN34)</f>
        <v>0.317</v>
      </c>
      <c r="CO34" s="788">
        <f>+AVERAGE(AO34:AR34)</f>
        <v>0.317</v>
      </c>
      <c r="CP34" s="788">
        <f>+AVERAGE(AS34:AV34)</f>
        <v>0.3</v>
      </c>
      <c r="CQ34" s="788">
        <f>+AVERAGE(AW34:AZ34)</f>
        <v>0.3</v>
      </c>
      <c r="CR34" s="788">
        <f>+AVERAGE(BA34:BD34)</f>
        <v>0.2</v>
      </c>
      <c r="CS34" s="788">
        <f>+AVERAGE(BE34:BH34)</f>
        <v>0.16250000000000001</v>
      </c>
      <c r="CT34" s="788">
        <f>+AVERAGE(BI34:BL34)</f>
        <v>0.199875</v>
      </c>
      <c r="CU34" s="788">
        <f>+AVERAGE(BM34:BP34)</f>
        <v>0.18675</v>
      </c>
      <c r="CV34" s="788">
        <f>+AVERAGE(BQ34:BT34)</f>
        <v>0.17837500000000001</v>
      </c>
      <c r="CW34" s="788">
        <f>+AVERAGE(BU34:BX34)</f>
        <v>0.17412500000000003</v>
      </c>
      <c r="CX34" s="788">
        <f>+AVERAGE(BY34:CB34)</f>
        <v>0.18975000000000003</v>
      </c>
      <c r="CY34" s="788">
        <f>+AVERAGE(CC34:CF34)</f>
        <v>0.18975000000000003</v>
      </c>
      <c r="CZ34" s="1750">
        <f t="shared" ref="CZ34:DF35" si="36">+CY34</f>
        <v>0.18975000000000003</v>
      </c>
      <c r="DA34" s="1750">
        <f t="shared" si="36"/>
        <v>0.18975000000000003</v>
      </c>
      <c r="DB34" s="1750">
        <f t="shared" si="36"/>
        <v>0.18975000000000003</v>
      </c>
      <c r="DC34" s="1750">
        <f t="shared" si="36"/>
        <v>0.18975000000000003</v>
      </c>
      <c r="DD34" s="1750">
        <f t="shared" si="36"/>
        <v>0.18975000000000003</v>
      </c>
      <c r="DE34" s="1750">
        <f t="shared" si="36"/>
        <v>0.18975000000000003</v>
      </c>
      <c r="DF34" s="1815">
        <f t="shared" si="36"/>
        <v>0.18975000000000003</v>
      </c>
      <c r="DG34"/>
      <c r="DH34" s="776"/>
      <c r="DI34" s="776"/>
      <c r="DJ34" s="776"/>
    </row>
    <row r="35" spans="1:114" s="44" customFormat="1" ht="11.25" customHeight="1">
      <c r="A35" s="12"/>
      <c r="B35" s="13"/>
      <c r="C35" s="13"/>
      <c r="D35" s="13"/>
      <c r="E35" s="13"/>
      <c r="F35" s="12"/>
      <c r="G35" s="12"/>
      <c r="H35" s="12"/>
      <c r="I35" s="187" t="s">
        <v>333</v>
      </c>
      <c r="J35" s="74"/>
      <c r="K35" s="74"/>
      <c r="L35" s="74"/>
      <c r="M35" s="439"/>
      <c r="N35" s="439"/>
      <c r="O35" s="439"/>
      <c r="P35" s="370"/>
      <c r="Q35" s="439"/>
      <c r="R35" s="439"/>
      <c r="S35" s="439"/>
      <c r="T35" s="370"/>
      <c r="U35" s="439"/>
      <c r="V35" s="439"/>
      <c r="W35" s="439"/>
      <c r="X35" s="370"/>
      <c r="Y35" s="439"/>
      <c r="Z35" s="439"/>
      <c r="AA35" s="439"/>
      <c r="AB35" s="370"/>
      <c r="AC35" s="439"/>
      <c r="AD35" s="439"/>
      <c r="AE35" s="439"/>
      <c r="AF35" s="370"/>
      <c r="AG35" s="470">
        <v>0.68300000000000005</v>
      </c>
      <c r="AH35" s="470">
        <v>0.68299999999999994</v>
      </c>
      <c r="AI35" s="470">
        <v>0.68300000000000005</v>
      </c>
      <c r="AJ35" s="471">
        <v>0.68300000000000005</v>
      </c>
      <c r="AK35" s="470">
        <v>0.68299999999999994</v>
      </c>
      <c r="AL35" s="470">
        <v>0.68300000000000005</v>
      </c>
      <c r="AM35" s="470">
        <v>0.68299999999999994</v>
      </c>
      <c r="AN35" s="471">
        <v>0.68299999999999994</v>
      </c>
      <c r="AO35" s="470">
        <v>0.6554359085232645</v>
      </c>
      <c r="AP35" s="470">
        <v>0.65543590852326405</v>
      </c>
      <c r="AQ35" s="470">
        <v>0.6554359085232645</v>
      </c>
      <c r="AR35" s="471">
        <v>0.6554359085232645</v>
      </c>
      <c r="AS35" s="470">
        <v>0.65539002871974716</v>
      </c>
      <c r="AT35" s="470">
        <v>0.65539002871974716</v>
      </c>
      <c r="AU35" s="470">
        <v>0.65539002871974716</v>
      </c>
      <c r="AV35" s="471">
        <v>0.65539002871974716</v>
      </c>
      <c r="AW35" s="770">
        <v>0.66</v>
      </c>
      <c r="AX35" s="770">
        <v>0.66</v>
      </c>
      <c r="AY35" s="770">
        <v>0.66</v>
      </c>
      <c r="AZ35" s="779">
        <v>0.66</v>
      </c>
      <c r="BA35" s="770">
        <v>0.63</v>
      </c>
      <c r="BB35" s="770">
        <v>0.7</v>
      </c>
      <c r="BC35" s="770">
        <v>0.7</v>
      </c>
      <c r="BD35" s="779">
        <v>0.63</v>
      </c>
      <c r="BE35" s="786">
        <f>+BA35</f>
        <v>0.63</v>
      </c>
      <c r="BF35" s="786">
        <f>+BB35</f>
        <v>0.7</v>
      </c>
      <c r="BG35" s="786">
        <f>+BC35</f>
        <v>0.7</v>
      </c>
      <c r="BH35" s="779">
        <v>0.69</v>
      </c>
      <c r="BI35" s="1691">
        <v>0.74</v>
      </c>
      <c r="BJ35" s="770">
        <v>0.73</v>
      </c>
      <c r="BK35" s="770">
        <v>0.71</v>
      </c>
      <c r="BL35" s="779">
        <v>0.7</v>
      </c>
      <c r="BM35" s="1691">
        <v>0.70550000000000002</v>
      </c>
      <c r="BN35" s="770">
        <v>0.71250000000000002</v>
      </c>
      <c r="BO35" s="770">
        <v>0.7</v>
      </c>
      <c r="BP35" s="779">
        <v>0.67500000000000004</v>
      </c>
      <c r="BQ35" s="1691">
        <f>+BM35</f>
        <v>0.70550000000000002</v>
      </c>
      <c r="BR35" s="770">
        <f>+BQ35-0.0015</f>
        <v>0.70400000000000007</v>
      </c>
      <c r="BS35" s="770">
        <f>+BO35-0.015</f>
        <v>0.68499999999999994</v>
      </c>
      <c r="BT35" s="779">
        <f>+BP35-0.02</f>
        <v>0.65500000000000003</v>
      </c>
      <c r="BU35" s="1691">
        <f>+BQ35-0.015</f>
        <v>0.6905</v>
      </c>
      <c r="BV35" s="770">
        <f>+BR35-0.0095</f>
        <v>0.69450000000000012</v>
      </c>
      <c r="BW35" s="770">
        <f>+BS35+0.01</f>
        <v>0.69499999999999995</v>
      </c>
      <c r="BX35" s="779">
        <f>+BW35</f>
        <v>0.69499999999999995</v>
      </c>
      <c r="BY35" s="786">
        <f>+BU35+0.0175</f>
        <v>0.70799999999999996</v>
      </c>
      <c r="BZ35" s="786">
        <f>+BV35+0.03</f>
        <v>0.72450000000000014</v>
      </c>
      <c r="CA35" s="786">
        <f>+BW35+0.015</f>
        <v>0.71</v>
      </c>
      <c r="CB35" s="779">
        <v>0.65500000000000003</v>
      </c>
      <c r="CC35" s="770">
        <v>0.63</v>
      </c>
      <c r="CD35" s="770">
        <v>0.65</v>
      </c>
      <c r="CE35" s="770">
        <v>0.65</v>
      </c>
      <c r="CF35" s="779">
        <v>0.65</v>
      </c>
      <c r="CG35" s="775"/>
      <c r="CH35" s="440"/>
      <c r="CI35" s="439"/>
      <c r="CJ35" s="439"/>
      <c r="CK35" s="439"/>
      <c r="CL35" s="439"/>
      <c r="CM35" s="788">
        <f>+AVERAGE(AG35:AJ35)</f>
        <v>0.68300000000000005</v>
      </c>
      <c r="CN35" s="788">
        <f>+AVERAGE(AK35:AN35)</f>
        <v>0.68299999999999994</v>
      </c>
      <c r="CO35" s="788">
        <f>+AVERAGE(AO35:AR35)</f>
        <v>0.65543590852326439</v>
      </c>
      <c r="CP35" s="788">
        <f>+AVERAGE(AS35:AV35)</f>
        <v>0.65539002871974716</v>
      </c>
      <c r="CQ35" s="788">
        <f>+AVERAGE(AW35:AZ35)</f>
        <v>0.66</v>
      </c>
      <c r="CR35" s="788">
        <f>+AVERAGE(BA35:BD35)</f>
        <v>0.66500000000000004</v>
      </c>
      <c r="CS35" s="788">
        <f>+AVERAGE(BE35:BH35)</f>
        <v>0.68</v>
      </c>
      <c r="CT35" s="788">
        <f>+AVERAGE(BI35:BL35)</f>
        <v>0.72</v>
      </c>
      <c r="CU35" s="788">
        <f>+AVERAGE(BM35:BP35)</f>
        <v>0.69825000000000004</v>
      </c>
      <c r="CV35" s="788">
        <f>+AVERAGE(BQ35:BT35)</f>
        <v>0.68737500000000007</v>
      </c>
      <c r="CW35" s="788">
        <f>+AVERAGE(BU35:BX35)</f>
        <v>0.69374999999999998</v>
      </c>
      <c r="CX35" s="788">
        <f>+AVERAGE(BY35:CB35)</f>
        <v>0.69937500000000008</v>
      </c>
      <c r="CY35" s="788">
        <f>+AVERAGE(CC35:CF35)</f>
        <v>0.64500000000000002</v>
      </c>
      <c r="CZ35" s="1750">
        <f t="shared" si="36"/>
        <v>0.64500000000000002</v>
      </c>
      <c r="DA35" s="1750">
        <f t="shared" si="36"/>
        <v>0.64500000000000002</v>
      </c>
      <c r="DB35" s="1750">
        <f t="shared" si="36"/>
        <v>0.64500000000000002</v>
      </c>
      <c r="DC35" s="1750">
        <f t="shared" si="36"/>
        <v>0.64500000000000002</v>
      </c>
      <c r="DD35" s="1750">
        <f t="shared" si="36"/>
        <v>0.64500000000000002</v>
      </c>
      <c r="DE35" s="1750">
        <f t="shared" si="36"/>
        <v>0.64500000000000002</v>
      </c>
      <c r="DF35" s="1815">
        <f t="shared" si="36"/>
        <v>0.64500000000000002</v>
      </c>
      <c r="DG35"/>
      <c r="DH35" s="776"/>
      <c r="DI35" s="776"/>
      <c r="DJ35" s="776"/>
    </row>
    <row r="36" spans="1:114" s="44" customFormat="1" ht="11.25" customHeight="1">
      <c r="A36" s="568"/>
      <c r="B36" s="569"/>
      <c r="C36" s="569"/>
      <c r="D36" s="569"/>
      <c r="E36" s="569"/>
      <c r="F36" s="568"/>
      <c r="G36" s="568"/>
      <c r="H36" s="568"/>
      <c r="I36" s="187"/>
      <c r="J36" s="74"/>
      <c r="K36" s="74"/>
      <c r="L36" s="74"/>
      <c r="M36" s="439"/>
      <c r="N36" s="439"/>
      <c r="O36" s="439"/>
      <c r="P36" s="370"/>
      <c r="Q36" s="439"/>
      <c r="R36" s="439"/>
      <c r="S36" s="439"/>
      <c r="T36" s="370"/>
      <c r="U36" s="439"/>
      <c r="V36" s="439"/>
      <c r="W36" s="439"/>
      <c r="X36" s="370"/>
      <c r="Y36" s="439"/>
      <c r="Z36" s="439"/>
      <c r="AA36" s="439"/>
      <c r="AB36" s="370"/>
      <c r="AC36" s="439"/>
      <c r="AD36" s="439"/>
      <c r="AE36" s="439"/>
      <c r="AF36" s="370"/>
      <c r="AG36" s="470"/>
      <c r="AH36" s="470"/>
      <c r="AI36" s="470"/>
      <c r="AJ36" s="471"/>
      <c r="AK36" s="470"/>
      <c r="AL36" s="470"/>
      <c r="AM36" s="470"/>
      <c r="AN36" s="471"/>
      <c r="AO36" s="470"/>
      <c r="AP36" s="470"/>
      <c r="AQ36" s="470"/>
      <c r="AR36" s="471"/>
      <c r="AS36" s="470"/>
      <c r="AT36" s="470"/>
      <c r="AU36" s="470"/>
      <c r="AV36" s="471"/>
      <c r="AW36" s="770"/>
      <c r="AX36" s="770"/>
      <c r="AY36" s="770"/>
      <c r="AZ36" s="779"/>
      <c r="BA36" s="770"/>
      <c r="BB36" s="770"/>
      <c r="BC36" s="770"/>
      <c r="BD36" s="779"/>
      <c r="BE36" s="770"/>
      <c r="BF36" s="770"/>
      <c r="BG36" s="770"/>
      <c r="BH36" s="779"/>
      <c r="BI36" s="770"/>
      <c r="BJ36" s="770"/>
      <c r="BK36" s="770"/>
      <c r="BL36" s="779"/>
      <c r="BM36" s="770"/>
      <c r="BN36" s="770"/>
      <c r="BO36" s="770"/>
      <c r="BP36" s="779"/>
      <c r="BQ36" s="770"/>
      <c r="BR36" s="770"/>
      <c r="BS36" s="770"/>
      <c r="BT36" s="779"/>
      <c r="BU36" s="770"/>
      <c r="BV36" s="770"/>
      <c r="BW36" s="770"/>
      <c r="BX36" s="779"/>
      <c r="BY36" s="770"/>
      <c r="BZ36" s="770"/>
      <c r="CA36" s="770"/>
      <c r="CB36" s="779"/>
      <c r="CC36" s="770"/>
      <c r="CD36" s="770"/>
      <c r="CE36" s="770"/>
      <c r="CF36" s="779"/>
      <c r="CG36" s="775"/>
      <c r="CH36" s="440"/>
      <c r="CI36" s="439"/>
      <c r="CJ36" s="439"/>
      <c r="CK36" s="439"/>
      <c r="CL36" s="439"/>
      <c r="CM36" s="470"/>
      <c r="CN36" s="470"/>
      <c r="CO36" s="470"/>
      <c r="CP36" s="470"/>
      <c r="CQ36" s="470"/>
      <c r="CR36" s="470"/>
      <c r="CS36" s="470"/>
      <c r="CT36" s="470"/>
      <c r="CU36" s="470"/>
      <c r="CV36" s="470"/>
      <c r="CW36" s="470"/>
      <c r="CX36" s="470"/>
      <c r="CY36" s="470"/>
      <c r="CZ36" s="439"/>
      <c r="DA36" s="439"/>
      <c r="DB36" s="439"/>
      <c r="DC36" s="439"/>
      <c r="DD36" s="439"/>
      <c r="DE36" s="439"/>
      <c r="DF36" s="370"/>
      <c r="DG36"/>
      <c r="DH36" s="776"/>
      <c r="DI36" s="776"/>
      <c r="DJ36" s="776"/>
    </row>
    <row r="37" spans="1:114" s="44" customFormat="1" ht="11.25" customHeight="1">
      <c r="A37" s="12"/>
      <c r="B37" s="12"/>
      <c r="C37" s="12"/>
      <c r="D37" s="12"/>
      <c r="E37" s="12"/>
      <c r="F37" s="12"/>
      <c r="G37" s="12"/>
      <c r="H37" s="12"/>
      <c r="I37" s="187" t="s">
        <v>88</v>
      </c>
      <c r="J37" s="74"/>
      <c r="K37" s="74"/>
      <c r="L37" s="74"/>
      <c r="M37" s="439"/>
      <c r="N37" s="439"/>
      <c r="O37" s="439"/>
      <c r="P37" s="370"/>
      <c r="Q37" s="439"/>
      <c r="R37" s="439"/>
      <c r="S37" s="439"/>
      <c r="T37" s="370"/>
      <c r="U37" s="439"/>
      <c r="V37" s="439"/>
      <c r="W37" s="439"/>
      <c r="X37" s="370"/>
      <c r="Y37" s="439"/>
      <c r="Z37" s="439"/>
      <c r="AA37" s="439"/>
      <c r="AB37" s="370"/>
      <c r="AC37" s="439"/>
      <c r="AD37" s="439"/>
      <c r="AE37" s="439"/>
      <c r="AF37" s="370"/>
      <c r="AG37" s="788">
        <f t="shared" ref="AG37:BL37" si="37">1-AG35-AG34</f>
        <v>0</v>
      </c>
      <c r="AH37" s="788">
        <f t="shared" si="37"/>
        <v>0</v>
      </c>
      <c r="AI37" s="788">
        <f t="shared" si="37"/>
        <v>0</v>
      </c>
      <c r="AJ37" s="789">
        <f t="shared" si="37"/>
        <v>0</v>
      </c>
      <c r="AK37" s="788">
        <f t="shared" si="37"/>
        <v>0</v>
      </c>
      <c r="AL37" s="788">
        <f t="shared" si="37"/>
        <v>0</v>
      </c>
      <c r="AM37" s="788">
        <f t="shared" si="37"/>
        <v>0</v>
      </c>
      <c r="AN37" s="789">
        <f t="shared" si="37"/>
        <v>0</v>
      </c>
      <c r="AO37" s="788">
        <f t="shared" si="37"/>
        <v>2.7564091476735497E-2</v>
      </c>
      <c r="AP37" s="788">
        <f t="shared" si="37"/>
        <v>2.7564091476735941E-2</v>
      </c>
      <c r="AQ37" s="788">
        <f t="shared" si="37"/>
        <v>2.7564091476735497E-2</v>
      </c>
      <c r="AR37" s="789">
        <f t="shared" si="37"/>
        <v>2.7564091476735497E-2</v>
      </c>
      <c r="AS37" s="788">
        <f t="shared" si="37"/>
        <v>4.4609971280252847E-2</v>
      </c>
      <c r="AT37" s="788">
        <f t="shared" si="37"/>
        <v>4.4609971280252847E-2</v>
      </c>
      <c r="AU37" s="788">
        <f t="shared" si="37"/>
        <v>4.4609971280252847E-2</v>
      </c>
      <c r="AV37" s="789">
        <f t="shared" si="37"/>
        <v>4.4609971280252847E-2</v>
      </c>
      <c r="AW37" s="788">
        <f t="shared" si="37"/>
        <v>3.999999999999998E-2</v>
      </c>
      <c r="AX37" s="788">
        <f t="shared" si="37"/>
        <v>3.999999999999998E-2</v>
      </c>
      <c r="AY37" s="788">
        <f t="shared" si="37"/>
        <v>3.999999999999998E-2</v>
      </c>
      <c r="AZ37" s="789">
        <f t="shared" si="37"/>
        <v>3.999999999999998E-2</v>
      </c>
      <c r="BA37" s="788">
        <f t="shared" si="37"/>
        <v>0.16999999999999998</v>
      </c>
      <c r="BB37" s="788">
        <f t="shared" si="37"/>
        <v>0.10000000000000003</v>
      </c>
      <c r="BC37" s="788">
        <f t="shared" si="37"/>
        <v>0.10000000000000003</v>
      </c>
      <c r="BD37" s="789">
        <f t="shared" si="37"/>
        <v>0.16999999999999998</v>
      </c>
      <c r="BE37" s="788">
        <f t="shared" si="37"/>
        <v>0.19</v>
      </c>
      <c r="BF37" s="788">
        <f t="shared" si="37"/>
        <v>0.15000000000000005</v>
      </c>
      <c r="BG37" s="788">
        <f t="shared" si="37"/>
        <v>0.15000000000000005</v>
      </c>
      <c r="BH37" s="789">
        <f t="shared" si="37"/>
        <v>0.14000000000000004</v>
      </c>
      <c r="BI37" s="788">
        <f t="shared" si="37"/>
        <v>6.5000000000000002E-2</v>
      </c>
      <c r="BJ37" s="788">
        <f t="shared" si="37"/>
        <v>6.8000000000000005E-2</v>
      </c>
      <c r="BK37" s="788">
        <f t="shared" si="37"/>
        <v>9.0000000000000024E-2</v>
      </c>
      <c r="BL37" s="789">
        <f t="shared" si="37"/>
        <v>9.7500000000000031E-2</v>
      </c>
      <c r="BM37" s="788">
        <f t="shared" ref="BM37:CF37" si="38">1-BM35-BM34</f>
        <v>0.11949999999999997</v>
      </c>
      <c r="BN37" s="788">
        <f t="shared" si="38"/>
        <v>0.10549999999999995</v>
      </c>
      <c r="BO37" s="788">
        <f t="shared" si="38"/>
        <v>0.11250000000000004</v>
      </c>
      <c r="BP37" s="789">
        <f t="shared" si="38"/>
        <v>0.12249999999999994</v>
      </c>
      <c r="BQ37" s="788">
        <f t="shared" si="38"/>
        <v>0.11949999999999997</v>
      </c>
      <c r="BR37" s="788">
        <f>1-BR35-BR34</f>
        <v>0.12249999999999991</v>
      </c>
      <c r="BS37" s="788">
        <f>1-BS35-BS34</f>
        <v>0.14250000000000007</v>
      </c>
      <c r="BT37" s="789">
        <f>1-BT35-BT34</f>
        <v>0.15249999999999997</v>
      </c>
      <c r="BU37" s="788">
        <f>1-BU35-BU34</f>
        <v>0.14949999999999997</v>
      </c>
      <c r="BV37" s="788">
        <f t="shared" si="38"/>
        <v>0.14149999999999988</v>
      </c>
      <c r="BW37" s="788">
        <f t="shared" si="38"/>
        <v>0.12250000000000005</v>
      </c>
      <c r="BX37" s="789">
        <f t="shared" si="38"/>
        <v>0.11500000000000005</v>
      </c>
      <c r="BY37" s="788">
        <f>1-BY35-BY34</f>
        <v>0.11449999999999999</v>
      </c>
      <c r="BZ37" s="788">
        <f t="shared" si="38"/>
        <v>8.149999999999985E-2</v>
      </c>
      <c r="CA37" s="788">
        <f t="shared" si="38"/>
        <v>9.2500000000000027E-2</v>
      </c>
      <c r="CB37" s="789">
        <f t="shared" si="38"/>
        <v>0.15499999999999997</v>
      </c>
      <c r="CC37" s="788">
        <f t="shared" si="38"/>
        <v>0.19249999999999995</v>
      </c>
      <c r="CD37" s="788">
        <f t="shared" si="38"/>
        <v>0.15599999999999997</v>
      </c>
      <c r="CE37" s="788">
        <f t="shared" si="38"/>
        <v>0.15249999999999997</v>
      </c>
      <c r="CF37" s="789">
        <f t="shared" si="38"/>
        <v>0.15999999999999998</v>
      </c>
      <c r="CG37" s="775"/>
      <c r="CH37" s="440"/>
      <c r="CI37" s="439"/>
      <c r="CJ37" s="439"/>
      <c r="CK37" s="439"/>
      <c r="CL37" s="439"/>
      <c r="CM37" s="788"/>
      <c r="CN37" s="788">
        <f>+AVERAGE(AK37:AN37)</f>
        <v>0</v>
      </c>
      <c r="CO37" s="788">
        <f>+AVERAGE(AO37:AR37)</f>
        <v>2.7564091476735608E-2</v>
      </c>
      <c r="CP37" s="788">
        <f>+AVERAGE(AS37:AV37)</f>
        <v>4.4609971280252847E-2</v>
      </c>
      <c r="CQ37" s="788">
        <f>+AVERAGE(AW37:AZ37)</f>
        <v>3.999999999999998E-2</v>
      </c>
      <c r="CR37" s="788">
        <f>+AVERAGE(BA37:BD37)</f>
        <v>0.13500000000000001</v>
      </c>
      <c r="CS37" s="788">
        <f>+AVERAGE(BE37:BH37)</f>
        <v>0.15750000000000003</v>
      </c>
      <c r="CT37" s="788">
        <f>+AVERAGE(BI37:BL37)</f>
        <v>8.0125000000000016E-2</v>
      </c>
      <c r="CU37" s="788">
        <f>+AVERAGE(BM37:BP37)</f>
        <v>0.11499999999999998</v>
      </c>
      <c r="CV37" s="788">
        <f>+AVERAGE(BQ37:BT37)</f>
        <v>0.13424999999999998</v>
      </c>
      <c r="CW37" s="788">
        <f>+AVERAGE(BU37:BX37)</f>
        <v>0.13212499999999999</v>
      </c>
      <c r="CX37" s="788">
        <f>+AVERAGE(BY37:CB37)</f>
        <v>0.11087499999999996</v>
      </c>
      <c r="CY37" s="788">
        <f>+AVERAGE(CC37:CF37)</f>
        <v>0.16524999999999995</v>
      </c>
      <c r="CZ37" s="1750">
        <f t="shared" ref="CZ37:DF37" si="39">+CY37</f>
        <v>0.16524999999999995</v>
      </c>
      <c r="DA37" s="1750">
        <f t="shared" si="39"/>
        <v>0.16524999999999995</v>
      </c>
      <c r="DB37" s="1750">
        <f t="shared" si="39"/>
        <v>0.16524999999999995</v>
      </c>
      <c r="DC37" s="1750">
        <f t="shared" si="39"/>
        <v>0.16524999999999995</v>
      </c>
      <c r="DD37" s="1750">
        <f t="shared" si="39"/>
        <v>0.16524999999999995</v>
      </c>
      <c r="DE37" s="1750">
        <f t="shared" si="39"/>
        <v>0.16524999999999995</v>
      </c>
      <c r="DF37" s="1815">
        <f t="shared" si="39"/>
        <v>0.16524999999999995</v>
      </c>
      <c r="DG37"/>
      <c r="DH37" s="776"/>
      <c r="DI37" s="776"/>
      <c r="DJ37" s="776"/>
    </row>
    <row r="38" spans="1:114" ht="11.25" customHeight="1">
      <c r="A38" s="568"/>
      <c r="B38" s="569"/>
      <c r="C38" s="569"/>
      <c r="D38" s="569"/>
      <c r="E38" s="569"/>
      <c r="F38" s="568"/>
      <c r="G38" s="568"/>
      <c r="H38" s="568"/>
      <c r="I38" s="178"/>
      <c r="J38" s="8"/>
      <c r="K38" s="8"/>
      <c r="L38" s="8"/>
      <c r="M38" s="361"/>
      <c r="N38" s="361"/>
      <c r="O38" s="361"/>
      <c r="P38" s="362"/>
      <c r="Q38" s="361"/>
      <c r="R38" s="361"/>
      <c r="S38" s="361"/>
      <c r="T38" s="362"/>
      <c r="U38" s="361"/>
      <c r="V38" s="361"/>
      <c r="W38" s="361"/>
      <c r="X38" s="362"/>
      <c r="Y38" s="361"/>
      <c r="Z38" s="361"/>
      <c r="AA38" s="361"/>
      <c r="AB38" s="362"/>
      <c r="AC38" s="361"/>
      <c r="AD38" s="343"/>
      <c r="AE38" s="361"/>
      <c r="AF38" s="316"/>
      <c r="AG38" s="317"/>
      <c r="AH38" s="317"/>
      <c r="AI38" s="317"/>
      <c r="AJ38" s="318"/>
      <c r="AK38" s="317"/>
      <c r="AL38" s="317"/>
      <c r="AM38" s="317"/>
      <c r="AN38" s="318"/>
      <c r="AO38" s="317"/>
      <c r="AP38" s="317"/>
      <c r="AQ38" s="317"/>
      <c r="AR38" s="318"/>
      <c r="AS38" s="317"/>
      <c r="AT38" s="317"/>
      <c r="AU38" s="393"/>
      <c r="AV38" s="318"/>
      <c r="AW38" s="317"/>
      <c r="AX38" s="317"/>
      <c r="AY38" s="391"/>
      <c r="AZ38" s="389"/>
      <c r="BA38" s="317"/>
      <c r="BB38" s="317"/>
      <c r="BC38" s="393"/>
      <c r="BD38" s="318"/>
      <c r="BE38" s="317"/>
      <c r="BF38" s="317"/>
      <c r="BG38" s="393"/>
      <c r="BH38" s="318"/>
      <c r="BI38" s="393"/>
      <c r="BJ38" s="393"/>
      <c r="BK38" s="393"/>
      <c r="BL38" s="472"/>
      <c r="BM38" s="774"/>
      <c r="BN38" s="317"/>
      <c r="BO38" s="317"/>
      <c r="BP38" s="318"/>
      <c r="BQ38" s="317"/>
      <c r="BR38" s="317"/>
      <c r="BS38" s="317"/>
      <c r="BT38" s="318"/>
      <c r="BU38" s="317"/>
      <c r="BV38" s="317"/>
      <c r="BW38" s="317"/>
      <c r="BX38" s="318"/>
      <c r="BY38" s="317"/>
      <c r="BZ38" s="317"/>
      <c r="CA38" s="317"/>
      <c r="CB38" s="318"/>
      <c r="CC38" s="317"/>
      <c r="CD38" s="317"/>
      <c r="CE38" s="317"/>
      <c r="CF38" s="318"/>
      <c r="CG38" s="780"/>
      <c r="CH38" s="320"/>
      <c r="CI38" s="315"/>
      <c r="CJ38" s="315"/>
      <c r="CK38" s="361"/>
      <c r="CL38" s="315"/>
      <c r="CM38" s="317"/>
      <c r="CN38" s="317"/>
      <c r="CO38" s="317"/>
      <c r="CP38" s="317"/>
      <c r="CQ38" s="317"/>
      <c r="CR38" s="774"/>
      <c r="CS38" s="317"/>
      <c r="CT38" s="781"/>
      <c r="CU38" s="317"/>
      <c r="CV38" s="317"/>
      <c r="CW38" s="317"/>
      <c r="CX38" s="317"/>
      <c r="CY38" s="317"/>
      <c r="CZ38" s="315"/>
      <c r="DA38" s="315"/>
      <c r="DB38" s="22"/>
      <c r="DC38" s="22"/>
      <c r="DD38" s="22"/>
      <c r="DE38" s="22"/>
      <c r="DF38" s="1657"/>
      <c r="DH38" s="752"/>
      <c r="DI38" s="752"/>
      <c r="DJ38" s="752"/>
    </row>
    <row r="39" spans="1:114" ht="11.25" customHeight="1">
      <c r="A39" s="568"/>
      <c r="B39" s="569"/>
      <c r="C39" s="569"/>
      <c r="D39" s="569"/>
      <c r="E39" s="569"/>
      <c r="F39" s="568"/>
      <c r="G39" s="568"/>
      <c r="H39" s="568"/>
      <c r="I39" s="178"/>
      <c r="J39" s="8"/>
      <c r="K39" s="8"/>
      <c r="L39" s="8"/>
      <c r="M39" s="361"/>
      <c r="N39" s="361"/>
      <c r="O39" s="361"/>
      <c r="P39" s="362"/>
      <c r="Q39" s="361"/>
      <c r="R39" s="361"/>
      <c r="S39" s="361"/>
      <c r="T39" s="362"/>
      <c r="U39" s="361"/>
      <c r="V39" s="361"/>
      <c r="W39" s="361"/>
      <c r="X39" s="362"/>
      <c r="Y39" s="361"/>
      <c r="Z39" s="361"/>
      <c r="AA39" s="361"/>
      <c r="AB39" s="362"/>
      <c r="AC39" s="361"/>
      <c r="AD39" s="361"/>
      <c r="AE39" s="361"/>
      <c r="AF39" s="316"/>
      <c r="AG39" s="317"/>
      <c r="AH39" s="317"/>
      <c r="AI39" s="317"/>
      <c r="AJ39" s="318"/>
      <c r="AK39" s="317"/>
      <c r="AL39" s="317"/>
      <c r="AM39" s="393"/>
      <c r="AN39" s="318"/>
      <c r="AO39" s="317"/>
      <c r="AP39" s="317"/>
      <c r="AQ39" s="393"/>
      <c r="AR39" s="318"/>
      <c r="AS39" s="317"/>
      <c r="AT39" s="317"/>
      <c r="AU39" s="393"/>
      <c r="AV39" s="318"/>
      <c r="AW39" s="317"/>
      <c r="AX39" s="317"/>
      <c r="AY39" s="391"/>
      <c r="AZ39" s="389"/>
      <c r="BA39" s="317"/>
      <c r="BB39" s="317"/>
      <c r="BC39" s="393"/>
      <c r="BD39" s="318"/>
      <c r="BE39" s="317"/>
      <c r="BF39" s="317"/>
      <c r="BG39" s="393"/>
      <c r="BH39" s="492"/>
      <c r="BI39" s="393"/>
      <c r="BJ39" s="393"/>
      <c r="BK39" s="393"/>
      <c r="BL39" s="492"/>
      <c r="BM39" s="317"/>
      <c r="BN39" s="317"/>
      <c r="BO39" s="317"/>
      <c r="BP39" s="492"/>
      <c r="BQ39" s="1672"/>
      <c r="BR39" s="774"/>
      <c r="BS39" s="494"/>
      <c r="BT39" s="318"/>
      <c r="BU39" s="317"/>
      <c r="BV39" s="774"/>
      <c r="BW39" s="317"/>
      <c r="BX39" s="318"/>
      <c r="BY39" s="317"/>
      <c r="BZ39" s="317"/>
      <c r="CA39" s="317"/>
      <c r="CB39" s="318"/>
      <c r="CC39" s="317"/>
      <c r="CD39" s="317"/>
      <c r="CE39" s="317"/>
      <c r="CF39" s="318"/>
      <c r="CG39" s="742"/>
      <c r="CH39" s="320"/>
      <c r="CI39" s="315"/>
      <c r="CJ39" s="315"/>
      <c r="CK39" s="361"/>
      <c r="CL39" s="315"/>
      <c r="CM39" s="317"/>
      <c r="CN39" s="317"/>
      <c r="CO39" s="317"/>
      <c r="CP39" s="317"/>
      <c r="CQ39" s="317"/>
      <c r="CR39" s="774"/>
      <c r="CS39" s="317"/>
      <c r="CT39" s="317"/>
      <c r="CU39" s="317"/>
      <c r="CV39" s="317"/>
      <c r="CW39" s="317"/>
      <c r="CX39" s="317"/>
      <c r="CY39" s="317"/>
      <c r="CZ39" s="315"/>
      <c r="DA39" s="315"/>
      <c r="DB39" s="22"/>
      <c r="DC39" s="22"/>
      <c r="DD39" s="22"/>
      <c r="DE39" s="22"/>
      <c r="DF39" s="1657"/>
      <c r="DH39" s="752"/>
      <c r="DI39" s="752"/>
      <c r="DJ39" s="752"/>
    </row>
    <row r="40" spans="1:114" s="6" customFormat="1" ht="11.25" customHeight="1">
      <c r="A40" s="12"/>
      <c r="B40" s="12"/>
      <c r="C40" s="12"/>
      <c r="D40" s="12"/>
      <c r="E40" s="12"/>
      <c r="F40" s="12"/>
      <c r="G40" s="12"/>
      <c r="H40" s="12"/>
      <c r="I40" s="163" t="s">
        <v>258</v>
      </c>
      <c r="J40" s="5"/>
      <c r="K40" s="5"/>
      <c r="L40" s="5"/>
      <c r="M40" s="409"/>
      <c r="N40" s="409"/>
      <c r="O40" s="409"/>
      <c r="P40" s="410"/>
      <c r="Q40" s="409"/>
      <c r="R40" s="409"/>
      <c r="S40" s="409"/>
      <c r="T40" s="410"/>
      <c r="U40" s="409"/>
      <c r="V40" s="409"/>
      <c r="W40" s="409"/>
      <c r="X40" s="410"/>
      <c r="Y40" s="361"/>
      <c r="Z40" s="361"/>
      <c r="AA40" s="361"/>
      <c r="AB40" s="362"/>
      <c r="AC40" s="491">
        <v>71.902000000000001</v>
      </c>
      <c r="AD40" s="491">
        <v>77.515000000000001</v>
      </c>
      <c r="AE40" s="491">
        <v>164.822</v>
      </c>
      <c r="AF40" s="492">
        <v>158.46</v>
      </c>
      <c r="AG40" s="491">
        <v>272.81400000000002</v>
      </c>
      <c r="AH40" s="491">
        <v>356.59300000000002</v>
      </c>
      <c r="AI40" s="491">
        <v>398.416</v>
      </c>
      <c r="AJ40" s="492">
        <v>319.13600000000002</v>
      </c>
      <c r="AK40" s="491">
        <v>519.67899999999997</v>
      </c>
      <c r="AL40" s="491">
        <v>687.12400000000002</v>
      </c>
      <c r="AM40" s="491">
        <v>788.47799999999995</v>
      </c>
      <c r="AN40" s="492">
        <v>679.76</v>
      </c>
      <c r="AO40" s="491">
        <v>1037.644</v>
      </c>
      <c r="AP40" s="491">
        <v>1237.681</v>
      </c>
      <c r="AQ40" s="491">
        <v>1250.8499999999999</v>
      </c>
      <c r="AR40" s="492">
        <v>792.19</v>
      </c>
      <c r="AS40" s="491">
        <v>1092.4269999999999</v>
      </c>
      <c r="AT40" s="491">
        <v>1414.7139999999999</v>
      </c>
      <c r="AU40" s="491">
        <v>1724.1310000000001</v>
      </c>
      <c r="AV40" s="492">
        <v>1433.471</v>
      </c>
      <c r="AW40" s="782">
        <v>1975.345</v>
      </c>
      <c r="AX40" s="782">
        <v>2256.3009999999999</v>
      </c>
      <c r="AY40" s="782">
        <v>2885</v>
      </c>
      <c r="AZ40" s="499">
        <f>'Bookings and Drivers'!$AZ$40</f>
        <v>2363</v>
      </c>
      <c r="BA40" s="498">
        <f>'Bookings and Drivers'!BA40</f>
        <v>3536</v>
      </c>
      <c r="BB40" s="498">
        <f>'Bookings and Drivers'!BB40</f>
        <v>4472</v>
      </c>
      <c r="BC40" s="498">
        <f>'Bookings and Drivers'!BC40</f>
        <v>4989</v>
      </c>
      <c r="BD40" s="499">
        <f>'Bookings and Drivers'!BD40</f>
        <v>3912</v>
      </c>
      <c r="BE40" s="498">
        <f>'Bookings and Drivers'!BE40</f>
        <v>5451</v>
      </c>
      <c r="BF40" s="498">
        <f>'Bookings and Drivers'!BF40</f>
        <v>5952</v>
      </c>
      <c r="BG40" s="498">
        <f>'Bookings and Drivers'!BG40</f>
        <v>6473</v>
      </c>
      <c r="BH40" s="499">
        <f>'Bookings and Drivers'!BH40</f>
        <v>5494</v>
      </c>
      <c r="BI40" s="498">
        <f>'Bookings and Drivers'!BI40</f>
        <v>7783</v>
      </c>
      <c r="BJ40" s="498">
        <f>'Bookings and Drivers'!BJ40</f>
        <v>8579</v>
      </c>
      <c r="BK40" s="498">
        <f>'Bookings and Drivers'!BK40</f>
        <v>9179</v>
      </c>
      <c r="BL40" s="499">
        <f>'Bookings and Drivers'!BL40</f>
        <v>7758</v>
      </c>
      <c r="BM40" s="498">
        <f>'Bookings and Drivers'!BM40</f>
        <v>10643</v>
      </c>
      <c r="BN40" s="498">
        <f>'Bookings and Drivers'!BN40</f>
        <v>11682</v>
      </c>
      <c r="BO40" s="498">
        <f>'Bookings and Drivers'!BO40</f>
        <v>12080</v>
      </c>
      <c r="BP40" s="499">
        <f>'Bookings and Drivers'!BP40</f>
        <v>9233</v>
      </c>
      <c r="BQ40" s="498">
        <f>'Bookings and Drivers'!BQ40</f>
        <v>12104</v>
      </c>
      <c r="BR40" s="498">
        <f>'Bookings and Drivers'!BR40</f>
        <v>13092</v>
      </c>
      <c r="BS40" s="498">
        <f>'Bookings and Drivers'!BS40</f>
        <v>13078</v>
      </c>
      <c r="BT40" s="499">
        <f>'Bookings and Drivers'!BT40</f>
        <v>10697</v>
      </c>
      <c r="BU40" s="498">
        <f>'Bookings and Drivers'!BU40</f>
        <v>15012.299882544639</v>
      </c>
      <c r="BV40" s="498">
        <f>'Bookings and Drivers'!BV40</f>
        <v>15967.515493362</v>
      </c>
      <c r="BW40" s="498">
        <f>'Bookings and Drivers'!BW40</f>
        <v>16579.293320345601</v>
      </c>
      <c r="BX40" s="499">
        <f>'Bookings and Drivers'!BX40</f>
        <v>13649.139067599999</v>
      </c>
      <c r="BY40" s="498">
        <f>'Bookings and Drivers'!BY40</f>
        <v>19000.489839299713</v>
      </c>
      <c r="BZ40" s="498">
        <f>'Bookings and Drivers'!BZ40</f>
        <v>18845.2157703376</v>
      </c>
      <c r="CA40" s="498">
        <f>'Bookings and Drivers'!CA40</f>
        <v>19811.093759973759</v>
      </c>
      <c r="CB40" s="2137">
        <f>'Bookings and Drivers'!CB40</f>
        <v>16451.100477079999</v>
      </c>
      <c r="CC40" s="498">
        <f>'Bookings and Drivers'!CC40</f>
        <v>23128.750862393761</v>
      </c>
      <c r="CD40" s="498">
        <f>'Bookings and Drivers'!CD40</f>
        <v>23055.46671194876</v>
      </c>
      <c r="CE40" s="498">
        <f>'Bookings and Drivers'!CE40</f>
        <v>22777.052330053313</v>
      </c>
      <c r="CF40" s="499">
        <f>'Bookings and Drivers'!CF40</f>
        <v>20403.188954299396</v>
      </c>
      <c r="CG40" s="769"/>
      <c r="CH40" s="412"/>
      <c r="CI40" s="409"/>
      <c r="CJ40" s="409"/>
      <c r="CK40" s="491"/>
      <c r="CL40" s="409"/>
      <c r="CM40" s="498">
        <f>+SUM(AG40:AJ40)</f>
        <v>1346.9590000000001</v>
      </c>
      <c r="CN40" s="498">
        <f>+SUM(AK40:AN40)</f>
        <v>2675.0410000000002</v>
      </c>
      <c r="CO40" s="498">
        <f>+SUM(AO40:AR40)</f>
        <v>4318.3649999999998</v>
      </c>
      <c r="CP40" s="498">
        <f>+SUM(AS40:AV40)</f>
        <v>5664.7430000000004</v>
      </c>
      <c r="CQ40" s="498">
        <f>+SUM(AW40:AZ40)</f>
        <v>9479.6460000000006</v>
      </c>
      <c r="CR40" s="498">
        <f>+SUM(BA40:BD40)</f>
        <v>16909</v>
      </c>
      <c r="CS40" s="498">
        <f>+SUM(BE40:BH40)</f>
        <v>23370</v>
      </c>
      <c r="CT40" s="498">
        <f>+SUM(BI40:BL40)</f>
        <v>33299</v>
      </c>
      <c r="CU40" s="498">
        <f>+SUM(BM40:BP40)</f>
        <v>43638</v>
      </c>
      <c r="CV40" s="498">
        <f>+SUM(BQ40:BT40)</f>
        <v>48971</v>
      </c>
      <c r="CW40" s="498">
        <f>+SUM(BU40:BX40)</f>
        <v>61208.24776385224</v>
      </c>
      <c r="CX40" s="498">
        <f>+SUM(BY40:CB40)</f>
        <v>74107.899846691071</v>
      </c>
      <c r="CY40" s="498">
        <f>+SUM(CC40:CF40)</f>
        <v>89364.45885869523</v>
      </c>
      <c r="CZ40" s="498">
        <f>'Bookings and Drivers'!CZ40</f>
        <v>103244.43517308451</v>
      </c>
      <c r="DA40" s="498">
        <f>'Bookings and Drivers'!DA40</f>
        <v>116950.91260124942</v>
      </c>
      <c r="DB40" s="498">
        <f>'Bookings and Drivers'!DB40</f>
        <v>130240.89042543466</v>
      </c>
      <c r="DC40" s="498">
        <f>'Bookings and Drivers'!DC40</f>
        <v>143265.3357700445</v>
      </c>
      <c r="DD40" s="498">
        <f>'Bookings and Drivers'!DD40</f>
        <v>156155.75117926704</v>
      </c>
      <c r="DE40" s="498">
        <f>'Bookings and Drivers'!DE40</f>
        <v>168794.9751615242</v>
      </c>
      <c r="DF40" s="499">
        <f>'Bookings and Drivers'!DF40</f>
        <v>182476.60553945773</v>
      </c>
      <c r="DG40"/>
      <c r="DH40" s="771"/>
      <c r="DI40" s="771"/>
      <c r="DJ40" s="771"/>
    </row>
    <row r="41" spans="1:114" s="51" customFormat="1" ht="11.25" customHeight="1">
      <c r="A41" s="300"/>
      <c r="B41" s="301"/>
      <c r="C41" s="301"/>
      <c r="D41" s="301"/>
      <c r="E41" s="301"/>
      <c r="F41" s="300"/>
      <c r="G41" s="300"/>
      <c r="H41" s="300"/>
      <c r="I41" s="193" t="s">
        <v>376</v>
      </c>
      <c r="J41" s="83"/>
      <c r="K41" s="83"/>
      <c r="L41" s="83"/>
      <c r="M41" s="336"/>
      <c r="N41" s="336"/>
      <c r="O41" s="336"/>
      <c r="P41" s="337"/>
      <c r="Q41" s="336"/>
      <c r="R41" s="336"/>
      <c r="S41" s="336"/>
      <c r="T41" s="337"/>
      <c r="U41" s="336"/>
      <c r="V41" s="336"/>
      <c r="W41" s="336"/>
      <c r="X41" s="337"/>
      <c r="Y41" s="336"/>
      <c r="Z41" s="336"/>
      <c r="AA41" s="336"/>
      <c r="AB41" s="337"/>
      <c r="AC41" s="391"/>
      <c r="AD41" s="391"/>
      <c r="AE41" s="391"/>
      <c r="AF41" s="392"/>
      <c r="AG41" s="391">
        <f t="shared" ref="AG41:BH41" si="40">+AG40/AC40-1</f>
        <v>2.7942477260715979</v>
      </c>
      <c r="AH41" s="391">
        <f t="shared" si="40"/>
        <v>3.6003096174933882</v>
      </c>
      <c r="AI41" s="391">
        <f t="shared" si="40"/>
        <v>1.4172501243766003</v>
      </c>
      <c r="AJ41" s="392">
        <f t="shared" si="40"/>
        <v>1.0139846017922505</v>
      </c>
      <c r="AK41" s="391">
        <f>+AK40/AG40-1</f>
        <v>0.90488391358214737</v>
      </c>
      <c r="AL41" s="391">
        <f t="shared" si="40"/>
        <v>0.92691387660442004</v>
      </c>
      <c r="AM41" s="391">
        <f t="shared" si="40"/>
        <v>0.97903196658768721</v>
      </c>
      <c r="AN41" s="392">
        <f t="shared" si="40"/>
        <v>1.1300010027073095</v>
      </c>
      <c r="AO41" s="391">
        <f t="shared" si="40"/>
        <v>0.99670181015588488</v>
      </c>
      <c r="AP41" s="391">
        <f t="shared" si="40"/>
        <v>0.80124839184775953</v>
      </c>
      <c r="AQ41" s="391">
        <f t="shared" si="40"/>
        <v>0.58641078127734692</v>
      </c>
      <c r="AR41" s="392">
        <f t="shared" si="40"/>
        <v>0.16539661056843591</v>
      </c>
      <c r="AS41" s="391">
        <f t="shared" si="40"/>
        <v>5.2795563796446565E-2</v>
      </c>
      <c r="AT41" s="391">
        <f t="shared" si="40"/>
        <v>0.14303604886881183</v>
      </c>
      <c r="AU41" s="391">
        <f t="shared" si="40"/>
        <v>0.37836751009313674</v>
      </c>
      <c r="AV41" s="392">
        <f t="shared" si="40"/>
        <v>0.80950403312336672</v>
      </c>
      <c r="AW41" s="391">
        <f t="shared" si="40"/>
        <v>0.80821693348846213</v>
      </c>
      <c r="AX41" s="391">
        <f t="shared" si="40"/>
        <v>0.59488136824828208</v>
      </c>
      <c r="AY41" s="391">
        <f t="shared" si="40"/>
        <v>0.67330672669304126</v>
      </c>
      <c r="AZ41" s="392">
        <f t="shared" si="40"/>
        <v>0.64844632364379895</v>
      </c>
      <c r="BA41" s="391">
        <f t="shared" si="40"/>
        <v>0.7900670515783319</v>
      </c>
      <c r="BB41" s="391">
        <f t="shared" si="40"/>
        <v>0.98200506049503145</v>
      </c>
      <c r="BC41" s="391">
        <f t="shared" si="40"/>
        <v>0.72928942807625652</v>
      </c>
      <c r="BD41" s="392">
        <f t="shared" si="40"/>
        <v>0.65552264071096067</v>
      </c>
      <c r="BE41" s="391">
        <f t="shared" si="40"/>
        <v>0.54157239819004532</v>
      </c>
      <c r="BF41" s="391">
        <f t="shared" si="40"/>
        <v>0.33094812164579612</v>
      </c>
      <c r="BG41" s="391">
        <f t="shared" si="40"/>
        <v>0.29745439967929443</v>
      </c>
      <c r="BH41" s="392">
        <f t="shared" si="40"/>
        <v>0.40439672801635984</v>
      </c>
      <c r="BI41" s="391">
        <f t="shared" ref="BI41:CF41" si="41">+BI40/BE40-1</f>
        <v>0.42781141075032103</v>
      </c>
      <c r="BJ41" s="391">
        <f t="shared" si="41"/>
        <v>0.441364247311828</v>
      </c>
      <c r="BK41" s="391">
        <f t="shared" si="41"/>
        <v>0.41804418353159267</v>
      </c>
      <c r="BL41" s="392">
        <f t="shared" si="41"/>
        <v>0.4120859119038951</v>
      </c>
      <c r="BM41" s="391">
        <f t="shared" si="41"/>
        <v>0.36746755749710913</v>
      </c>
      <c r="BN41" s="391">
        <f t="shared" ref="BN41:BT41" si="42">+BN40/BJ40-1</f>
        <v>0.36169716750203995</v>
      </c>
      <c r="BO41" s="391">
        <f t="shared" si="42"/>
        <v>0.31604749972763924</v>
      </c>
      <c r="BP41" s="392">
        <f t="shared" si="42"/>
        <v>0.1901263212168085</v>
      </c>
      <c r="BQ41" s="391">
        <f t="shared" si="42"/>
        <v>0.1372733251902658</v>
      </c>
      <c r="BR41" s="391">
        <f t="shared" si="42"/>
        <v>0.12069851052901903</v>
      </c>
      <c r="BS41" s="391">
        <f t="shared" si="42"/>
        <v>8.2615894039735016E-2</v>
      </c>
      <c r="BT41" s="392">
        <f t="shared" si="42"/>
        <v>0.15856168092710932</v>
      </c>
      <c r="BU41" s="391">
        <f t="shared" si="41"/>
        <v>0.24027593213356235</v>
      </c>
      <c r="BV41" s="391">
        <f t="shared" si="41"/>
        <v>0.21963913025985327</v>
      </c>
      <c r="BW41" s="391">
        <f>+BW40/BS40-1</f>
        <v>0.26772391193956269</v>
      </c>
      <c r="BX41" s="391">
        <f t="shared" si="41"/>
        <v>0.27597822451154519</v>
      </c>
      <c r="BY41" s="1405">
        <f t="shared" si="41"/>
        <v>0.26566149010867357</v>
      </c>
      <c r="BZ41" s="391">
        <f t="shared" si="41"/>
        <v>0.18022216907645494</v>
      </c>
      <c r="CA41" s="391">
        <f t="shared" si="41"/>
        <v>0.19492992717983881</v>
      </c>
      <c r="CB41" s="2138">
        <f t="shared" si="41"/>
        <v>0.20528484585018481</v>
      </c>
      <c r="CC41" s="391">
        <f t="shared" si="41"/>
        <v>0.21727129447764804</v>
      </c>
      <c r="CD41" s="391">
        <f t="shared" si="41"/>
        <v>0.2234121908138671</v>
      </c>
      <c r="CE41" s="391">
        <f>+CE40/CA40-1</f>
        <v>0.14971200510251292</v>
      </c>
      <c r="CF41" s="392">
        <f t="shared" si="41"/>
        <v>0.24023246850419055</v>
      </c>
      <c r="CG41" s="1154"/>
      <c r="CH41" s="367"/>
      <c r="CI41" s="336"/>
      <c r="CJ41" s="336"/>
      <c r="CK41" s="336"/>
      <c r="CL41" s="336"/>
      <c r="CM41" s="475"/>
      <c r="CN41" s="391">
        <f t="shared" ref="CN41:CT41" si="43">+CN40/CM40-1</f>
        <v>0.98598546800607889</v>
      </c>
      <c r="CO41" s="391">
        <f t="shared" si="43"/>
        <v>0.61431731326734784</v>
      </c>
      <c r="CP41" s="391">
        <f t="shared" si="43"/>
        <v>0.31177957398228284</v>
      </c>
      <c r="CQ41" s="391">
        <f t="shared" si="43"/>
        <v>0.67344679184916245</v>
      </c>
      <c r="CR41" s="391">
        <f t="shared" si="43"/>
        <v>0.7837163961607847</v>
      </c>
      <c r="CS41" s="391">
        <f t="shared" si="43"/>
        <v>0.38210420486131635</v>
      </c>
      <c r="CT41" s="391">
        <f t="shared" si="43"/>
        <v>0.42486093281985449</v>
      </c>
      <c r="CU41" s="391">
        <f t="shared" ref="CU41:DA41" si="44">+CU40/CT40-1</f>
        <v>0.3104898044986335</v>
      </c>
      <c r="CV41" s="391">
        <f>+CV40/CU40-1</f>
        <v>0.1222100004583162</v>
      </c>
      <c r="CW41" s="391">
        <f t="shared" si="44"/>
        <v>0.24988764296935417</v>
      </c>
      <c r="CX41" s="391">
        <f t="shared" si="44"/>
        <v>0.2107502265480139</v>
      </c>
      <c r="CY41" s="391">
        <f t="shared" si="44"/>
        <v>0.20586953676417497</v>
      </c>
      <c r="CZ41" s="391">
        <f t="shared" si="44"/>
        <v>0.15531875302167442</v>
      </c>
      <c r="DA41" s="391">
        <f t="shared" si="44"/>
        <v>0.13275754189740718</v>
      </c>
      <c r="DB41" s="391">
        <f>+DB40/DA40-1</f>
        <v>0.11363723060031306</v>
      </c>
      <c r="DC41" s="391">
        <f>+DC40/DB40-1</f>
        <v>0.10000273571583573</v>
      </c>
      <c r="DD41" s="391">
        <f>+DD40/DC40-1</f>
        <v>8.9975815433211093E-2</v>
      </c>
      <c r="DE41" s="391">
        <f>+DE40/DD40-1</f>
        <v>8.0939855796584137E-2</v>
      </c>
      <c r="DF41" s="392">
        <f>+DF40/DE40-1</f>
        <v>8.1054725502588187E-2</v>
      </c>
      <c r="DG41" s="1185"/>
      <c r="DH41" s="777"/>
      <c r="DI41" s="777"/>
      <c r="DJ41" s="777"/>
    </row>
    <row r="42" spans="1:114" s="51" customFormat="1" ht="11.25" customHeight="1">
      <c r="A42" s="296"/>
      <c r="B42" s="296"/>
      <c r="C42" s="296"/>
      <c r="D42" s="296"/>
      <c r="E42" s="296"/>
      <c r="F42" s="296"/>
      <c r="G42" s="296"/>
      <c r="H42" s="296"/>
      <c r="I42" s="193" t="s">
        <v>212</v>
      </c>
      <c r="J42" s="83"/>
      <c r="K42" s="83"/>
      <c r="L42" s="83"/>
      <c r="M42" s="336"/>
      <c r="N42" s="336"/>
      <c r="O42" s="336"/>
      <c r="P42" s="337"/>
      <c r="Q42" s="336"/>
      <c r="R42" s="336"/>
      <c r="S42" s="336"/>
      <c r="T42" s="337"/>
      <c r="U42" s="336"/>
      <c r="V42" s="336"/>
      <c r="W42" s="336"/>
      <c r="X42" s="337"/>
      <c r="Y42" s="336"/>
      <c r="Z42" s="336"/>
      <c r="AA42" s="336"/>
      <c r="AB42" s="337"/>
      <c r="AC42" s="336"/>
      <c r="AD42" s="336"/>
      <c r="AE42" s="336"/>
      <c r="AF42" s="337"/>
      <c r="AG42" s="393"/>
      <c r="AH42" s="393"/>
      <c r="AI42" s="393"/>
      <c r="AJ42" s="472"/>
      <c r="AK42" s="391">
        <f>+AK41-AK43</f>
        <v>0.15988391358214737</v>
      </c>
      <c r="AL42" s="391">
        <f t="shared" ref="AL42:BL42" si="45">+AL41-AL43</f>
        <v>0.13091387660442</v>
      </c>
      <c r="AM42" s="391">
        <f t="shared" si="45"/>
        <v>0.11503196658768722</v>
      </c>
      <c r="AN42" s="392">
        <f t="shared" si="45"/>
        <v>0.2310010027073095</v>
      </c>
      <c r="AO42" s="391">
        <f t="shared" si="45"/>
        <v>0.24670181015588488</v>
      </c>
      <c r="AP42" s="391">
        <f t="shared" si="45"/>
        <v>0.24324839184775948</v>
      </c>
      <c r="AQ42" s="391">
        <f t="shared" si="45"/>
        <v>0.13941078127734691</v>
      </c>
      <c r="AR42" s="392">
        <f t="shared" si="45"/>
        <v>-0.11060338943156411</v>
      </c>
      <c r="AS42" s="391">
        <f t="shared" si="45"/>
        <v>-0.18220443620355342</v>
      </c>
      <c r="AT42" s="391">
        <f t="shared" si="45"/>
        <v>-0.18096395113118818</v>
      </c>
      <c r="AU42" s="391">
        <f t="shared" si="45"/>
        <v>-0.10663248990686325</v>
      </c>
      <c r="AV42" s="392">
        <f t="shared" si="45"/>
        <v>0.11450403312336677</v>
      </c>
      <c r="AW42" s="391">
        <f t="shared" si="45"/>
        <v>8.021693348846215E-2</v>
      </c>
      <c r="AX42" s="391">
        <f t="shared" si="45"/>
        <v>-7.6118631751717958E-2</v>
      </c>
      <c r="AY42" s="391">
        <f t="shared" si="45"/>
        <v>-0.10669327330695877</v>
      </c>
      <c r="AZ42" s="392">
        <f t="shared" si="45"/>
        <v>-6.1553676356201015E-2</v>
      </c>
      <c r="BA42" s="391">
        <f t="shared" si="45"/>
        <v>9.067051578331875E-3</v>
      </c>
      <c r="BB42" s="391">
        <f t="shared" si="45"/>
        <v>0.19700506049503141</v>
      </c>
      <c r="BC42" s="391">
        <f t="shared" si="45"/>
        <v>0.11528942807625653</v>
      </c>
      <c r="BD42" s="392">
        <f t="shared" si="45"/>
        <v>-1.347735928903937E-2</v>
      </c>
      <c r="BE42" s="391">
        <f t="shared" si="45"/>
        <v>-3.8427601809954637E-2</v>
      </c>
      <c r="BF42" s="391">
        <f t="shared" si="45"/>
        <v>-0.11205187835420388</v>
      </c>
      <c r="BG42" s="391">
        <f t="shared" si="45"/>
        <v>-0.10854560032070559</v>
      </c>
      <c r="BH42" s="392">
        <f t="shared" si="45"/>
        <v>-2.1603271983640149E-2</v>
      </c>
      <c r="BI42" s="391">
        <f t="shared" si="45"/>
        <v>-2.1885892496789627E-3</v>
      </c>
      <c r="BJ42" s="391">
        <f>+BJ41-BJ43</f>
        <v>1.364247311827993E-3</v>
      </c>
      <c r="BK42" s="391">
        <f t="shared" si="45"/>
        <v>8.0441835315926968E-3</v>
      </c>
      <c r="BL42" s="392">
        <f t="shared" si="45"/>
        <v>-7.9140880961048876E-3</v>
      </c>
      <c r="BM42" s="391">
        <f t="shared" ref="BM42:BR42" si="46">+BM41-BM43</f>
        <v>-1.2532442502890873E-2</v>
      </c>
      <c r="BN42" s="391">
        <f t="shared" si="46"/>
        <v>1.1697167502039973E-2</v>
      </c>
      <c r="BO42" s="391">
        <f t="shared" si="46"/>
        <v>-3.9525002723607705E-3</v>
      </c>
      <c r="BP42" s="392">
        <f t="shared" si="46"/>
        <v>-7.9873678783191515E-2</v>
      </c>
      <c r="BQ42" s="391">
        <f t="shared" si="46"/>
        <v>-0.15272667480973418</v>
      </c>
      <c r="BR42" s="391">
        <f t="shared" si="46"/>
        <v>-0.17930148947098096</v>
      </c>
      <c r="BS42" s="391">
        <f>+BS41-BS43</f>
        <v>-0.16738410596026498</v>
      </c>
      <c r="BT42" s="392">
        <f>+BT41-BT43</f>
        <v>-0.13143831907289066</v>
      </c>
      <c r="BU42" s="1186">
        <f>+'Bookings and Drivers'!BU42</f>
        <v>-5.8889748581603472E-2</v>
      </c>
      <c r="BV42" s="1186">
        <f>+'Bookings and Drivers'!BV42</f>
        <v>-1.8560622082329566E-2</v>
      </c>
      <c r="BW42" s="1186">
        <f>+'Bookings and Drivers'!BW42</f>
        <v>-1.241077908901627E-2</v>
      </c>
      <c r="BX42" s="1186">
        <f>+'Bookings and Drivers'!BX42</f>
        <v>-2.5694745356858568E-2</v>
      </c>
      <c r="BY42" s="1278">
        <f>+'Bookings and Drivers'!BY42</f>
        <v>-3.2011646429358519E-2</v>
      </c>
      <c r="BZ42" s="1186">
        <f>+'Bookings and Drivers'!BZ42</f>
        <v>-2.976539840502547E-2</v>
      </c>
      <c r="CA42" s="1186">
        <f>+'Bookings and Drivers'!CA42</f>
        <v>2.1596422908310788E-2</v>
      </c>
      <c r="CB42" s="2139">
        <f>+'Bookings and Drivers'!CB42</f>
        <v>5.7519129121537067E-2</v>
      </c>
      <c r="CC42" s="391">
        <f>+CC31</f>
        <v>6.638896707974129E-2</v>
      </c>
      <c r="CD42" s="391">
        <f>+CD31</f>
        <v>3.8068431313242002E-2</v>
      </c>
      <c r="CE42" s="391">
        <f>+CE31</f>
        <v>-4.9651843075346758E-3</v>
      </c>
      <c r="CF42" s="392">
        <f>+CF31</f>
        <v>3.971267759509467E-2</v>
      </c>
      <c r="CG42" s="1154"/>
      <c r="CH42" s="367"/>
      <c r="CI42" s="336"/>
      <c r="CJ42" s="336"/>
      <c r="CK42" s="336"/>
      <c r="CL42" s="336"/>
      <c r="CM42" s="393"/>
      <c r="CN42" s="393"/>
      <c r="CO42" s="391">
        <f t="shared" ref="CO42:CY42" si="47">+CO31</f>
        <v>5.6211495050382254E-3</v>
      </c>
      <c r="CP42" s="391">
        <f t="shared" si="47"/>
        <v>-9.6153765163986105E-2</v>
      </c>
      <c r="CQ42" s="391">
        <f t="shared" si="47"/>
        <v>-3.3565748004645068E-2</v>
      </c>
      <c r="CR42" s="391">
        <f t="shared" si="47"/>
        <v>1.5870578430861038E-3</v>
      </c>
      <c r="CS42" s="391">
        <f t="shared" si="47"/>
        <v>-6.6788557352971623E-2</v>
      </c>
      <c r="CT42" s="391">
        <f t="shared" si="47"/>
        <v>-2.4829536226811388E-4</v>
      </c>
      <c r="CU42" s="391">
        <f>+CU31</f>
        <v>-2.2583660281306872E-2</v>
      </c>
      <c r="CV42" s="391">
        <f>+CV31</f>
        <v>-0.15757487748179211</v>
      </c>
      <c r="CW42" s="391">
        <f>+CW31</f>
        <v>-2.8268793895241506E-2</v>
      </c>
      <c r="CX42" s="391">
        <f>+CX31</f>
        <v>2.6094783015758072E-2</v>
      </c>
      <c r="CY42" s="391">
        <f t="shared" si="47"/>
        <v>3.3206430188495561E-2</v>
      </c>
      <c r="CZ42" s="391">
        <f>+CZ31</f>
        <v>1.9345565802142417E-4</v>
      </c>
      <c r="DA42" s="391">
        <f t="shared" ref="DA42:DF42" si="48">+DA31</f>
        <v>0</v>
      </c>
      <c r="DB42" s="391">
        <f t="shared" si="48"/>
        <v>0</v>
      </c>
      <c r="DC42" s="391">
        <f t="shared" si="48"/>
        <v>0</v>
      </c>
      <c r="DD42" s="391">
        <f t="shared" si="48"/>
        <v>0</v>
      </c>
      <c r="DE42" s="391">
        <f t="shared" si="48"/>
        <v>0</v>
      </c>
      <c r="DF42" s="392">
        <f t="shared" si="48"/>
        <v>0</v>
      </c>
      <c r="DG42" s="1383"/>
      <c r="DH42" s="777"/>
      <c r="DI42" s="777"/>
      <c r="DJ42" s="777"/>
    </row>
    <row r="43" spans="1:114" s="282" customFormat="1" ht="11.25" customHeight="1">
      <c r="A43" s="298"/>
      <c r="B43" s="298"/>
      <c r="C43" s="298"/>
      <c r="D43" s="298"/>
      <c r="E43" s="298"/>
      <c r="F43" s="298"/>
      <c r="G43" s="298"/>
      <c r="H43" s="298"/>
      <c r="I43" s="192" t="s">
        <v>334</v>
      </c>
      <c r="J43" s="81"/>
      <c r="K43" s="81"/>
      <c r="L43" s="81"/>
      <c r="M43" s="343"/>
      <c r="N43" s="343"/>
      <c r="O43" s="343"/>
      <c r="P43" s="344"/>
      <c r="Q43" s="343"/>
      <c r="R43" s="343"/>
      <c r="S43" s="343"/>
      <c r="T43" s="344"/>
      <c r="U43" s="343"/>
      <c r="V43" s="343"/>
      <c r="W43" s="343"/>
      <c r="X43" s="344"/>
      <c r="Y43" s="343"/>
      <c r="Z43" s="343"/>
      <c r="AA43" s="343"/>
      <c r="AB43" s="344"/>
      <c r="AC43" s="343"/>
      <c r="AD43" s="343"/>
      <c r="AE43" s="343"/>
      <c r="AF43" s="344"/>
      <c r="AG43" s="1919">
        <f>+'Bookings and Drivers'!AG43</f>
        <v>3.1379999999999999</v>
      </c>
      <c r="AH43" s="1919">
        <f>+'Bookings and Drivers'!AH43</f>
        <v>3.6150000000000002</v>
      </c>
      <c r="AI43" s="1919">
        <f>+'Bookings and Drivers'!AI43</f>
        <v>1.3180000000000001</v>
      </c>
      <c r="AJ43" s="1920">
        <f>+'Bookings and Drivers'!AJ43</f>
        <v>0.86299999999999999</v>
      </c>
      <c r="AK43" s="1919">
        <f>+'Bookings and Drivers'!AK43</f>
        <v>0.745</v>
      </c>
      <c r="AL43" s="1919">
        <f>+'Bookings and Drivers'!AL43</f>
        <v>0.79600000000000004</v>
      </c>
      <c r="AM43" s="1919">
        <f>+'Bookings and Drivers'!AM43</f>
        <v>0.86399999999999999</v>
      </c>
      <c r="AN43" s="1920">
        <f>+'Bookings and Drivers'!AN43</f>
        <v>0.89900000000000002</v>
      </c>
      <c r="AO43" s="1919">
        <f>+'Bookings and Drivers'!AO43</f>
        <v>0.75</v>
      </c>
      <c r="AP43" s="1919">
        <f>+'Bookings and Drivers'!AP43</f>
        <v>0.55800000000000005</v>
      </c>
      <c r="AQ43" s="1919">
        <f>+'Bookings and Drivers'!AQ43</f>
        <v>0.44700000000000001</v>
      </c>
      <c r="AR43" s="1920">
        <f>+'Bookings and Drivers'!AR43</f>
        <v>0.27600000000000002</v>
      </c>
      <c r="AS43" s="1919">
        <f>+'Bookings and Drivers'!AS43</f>
        <v>0.23499999999999999</v>
      </c>
      <c r="AT43" s="1919">
        <f>+'Bookings and Drivers'!AT43</f>
        <v>0.32400000000000001</v>
      </c>
      <c r="AU43" s="1919">
        <f>+'Bookings and Drivers'!AU43</f>
        <v>0.48499999999999999</v>
      </c>
      <c r="AV43" s="1920">
        <f>+'Bookings and Drivers'!AV43</f>
        <v>0.69499999999999995</v>
      </c>
      <c r="AW43" s="1919">
        <f>+'Bookings and Drivers'!AW43</f>
        <v>0.72799999999999998</v>
      </c>
      <c r="AX43" s="1919">
        <f>+'Bookings and Drivers'!AX43</f>
        <v>0.67100000000000004</v>
      </c>
      <c r="AY43" s="1919">
        <f>+'Bookings and Drivers'!AY43</f>
        <v>0.78</v>
      </c>
      <c r="AZ43" s="1920">
        <f>+'Bookings and Drivers'!AZ43</f>
        <v>0.71</v>
      </c>
      <c r="BA43" s="1919">
        <f>+'Bookings and Drivers'!BA43</f>
        <v>0.78100000000000003</v>
      </c>
      <c r="BB43" s="1919">
        <f>+'Bookings and Drivers'!BB43</f>
        <v>0.78500000000000003</v>
      </c>
      <c r="BC43" s="1919">
        <f>+'Bookings and Drivers'!BC43</f>
        <v>0.61399999999999999</v>
      </c>
      <c r="BD43" s="1920">
        <f>+'Bookings and Drivers'!BD43</f>
        <v>0.66900000000000004</v>
      </c>
      <c r="BE43" s="1919">
        <f>+'Bookings and Drivers'!BE43</f>
        <v>0.57999999999999996</v>
      </c>
      <c r="BF43" s="1919">
        <f>+'Bookings and Drivers'!BF43</f>
        <v>0.443</v>
      </c>
      <c r="BG43" s="1919">
        <f>+'Bookings and Drivers'!BG43</f>
        <v>0.40600000000000003</v>
      </c>
      <c r="BH43" s="1920">
        <f>+'Bookings and Drivers'!BH43</f>
        <v>0.42599999999999999</v>
      </c>
      <c r="BI43" s="1919">
        <f>+'Bookings and Drivers'!BI43</f>
        <v>0.43</v>
      </c>
      <c r="BJ43" s="1919">
        <f>+'Bookings and Drivers'!BJ43</f>
        <v>0.44</v>
      </c>
      <c r="BK43" s="1919">
        <f>+'Bookings and Drivers'!BK43</f>
        <v>0.41</v>
      </c>
      <c r="BL43" s="1920">
        <f>+'Bookings and Drivers'!BL43</f>
        <v>0.42</v>
      </c>
      <c r="BM43" s="1919">
        <f>+'Bookings and Drivers'!BM43</f>
        <v>0.38</v>
      </c>
      <c r="BN43" s="1919">
        <f>+'Bookings and Drivers'!BN43</f>
        <v>0.35</v>
      </c>
      <c r="BO43" s="1919">
        <f>+'Bookings and Drivers'!BO43</f>
        <v>0.32</v>
      </c>
      <c r="BP43" s="1920">
        <f>+'Bookings and Drivers'!BP43</f>
        <v>0.27</v>
      </c>
      <c r="BQ43" s="1919">
        <f>+'Bookings and Drivers'!BQ43</f>
        <v>0.28999999999999998</v>
      </c>
      <c r="BR43" s="1919">
        <f>+'Bookings and Drivers'!BR43</f>
        <v>0.3</v>
      </c>
      <c r="BS43" s="1919">
        <f>+'Bookings and Drivers'!BS43</f>
        <v>0.25</v>
      </c>
      <c r="BT43" s="1920">
        <f>+'Bookings and Drivers'!BT43</f>
        <v>0.28999999999999998</v>
      </c>
      <c r="BU43" s="1919">
        <f>+'Bookings and Drivers'!BU43</f>
        <v>0.2991656807151658</v>
      </c>
      <c r="BV43" s="1919">
        <f>+'Bookings and Drivers'!BV43</f>
        <v>0.23819975234218282</v>
      </c>
      <c r="BW43" s="1919">
        <f>+'Bookings and Drivers'!BW43</f>
        <v>0.28013469102857896</v>
      </c>
      <c r="BX43" s="1919">
        <f>+'Bookings and Drivers'!BX43</f>
        <v>0.30167296986840375</v>
      </c>
      <c r="BY43" s="2126">
        <f>+'Bookings and Drivers'!BY43</f>
        <v>0.29767313653803207</v>
      </c>
      <c r="BZ43" s="1919">
        <f>+'Bookings and Drivers'!BZ43</f>
        <v>0.2099875674814804</v>
      </c>
      <c r="CA43" s="1919">
        <f>+'Bookings and Drivers'!CA43</f>
        <v>0.17333350427152802</v>
      </c>
      <c r="CB43" s="2140">
        <f>+'Bookings and Drivers'!CB43</f>
        <v>0.14776571672864774</v>
      </c>
      <c r="CC43" s="525">
        <f>+CC41-CC42</f>
        <v>0.15088232739790675</v>
      </c>
      <c r="CD43" s="525">
        <f>+CD41-CD42</f>
        <v>0.18534375950062509</v>
      </c>
      <c r="CE43" s="525">
        <f>+CE41-CE42</f>
        <v>0.1546771894100476</v>
      </c>
      <c r="CF43" s="526">
        <f>+CF41-CF42</f>
        <v>0.20051979090909589</v>
      </c>
      <c r="CG43" s="1152"/>
      <c r="CH43" s="349"/>
      <c r="CI43" s="343"/>
      <c r="CJ43" s="343"/>
      <c r="CK43" s="343"/>
      <c r="CL43" s="343"/>
      <c r="CM43" s="475"/>
      <c r="CN43" s="475"/>
      <c r="CO43" s="525">
        <f t="shared" ref="CO43:DF43" si="49">+CO41-CO42</f>
        <v>0.60869616376230962</v>
      </c>
      <c r="CP43" s="525">
        <f t="shared" si="49"/>
        <v>0.40793333914626895</v>
      </c>
      <c r="CQ43" s="525">
        <f t="shared" si="49"/>
        <v>0.70701253985380752</v>
      </c>
      <c r="CR43" s="525">
        <f t="shared" si="49"/>
        <v>0.7821293383176986</v>
      </c>
      <c r="CS43" s="525">
        <f t="shared" si="49"/>
        <v>0.44889276221428798</v>
      </c>
      <c r="CT43" s="525">
        <f t="shared" si="49"/>
        <v>0.4251092281821226</v>
      </c>
      <c r="CU43" s="525">
        <f>+CU41-CU42</f>
        <v>0.33307346477994038</v>
      </c>
      <c r="CV43" s="525">
        <f>+CV41-CV42</f>
        <v>0.27978487794010831</v>
      </c>
      <c r="CW43" s="525">
        <f t="shared" si="49"/>
        <v>0.27815643686459568</v>
      </c>
      <c r="CX43" s="525">
        <f>+CX41-CX42</f>
        <v>0.18465544353225583</v>
      </c>
      <c r="CY43" s="525">
        <f t="shared" si="49"/>
        <v>0.1726631065756794</v>
      </c>
      <c r="CZ43" s="525">
        <f>+CZ41-CZ42</f>
        <v>0.15512529736365299</v>
      </c>
      <c r="DA43" s="525">
        <f t="shared" si="49"/>
        <v>0.13275754189740718</v>
      </c>
      <c r="DB43" s="525">
        <f t="shared" si="49"/>
        <v>0.11363723060031306</v>
      </c>
      <c r="DC43" s="525">
        <f t="shared" si="49"/>
        <v>0.10000273571583573</v>
      </c>
      <c r="DD43" s="525">
        <f t="shared" si="49"/>
        <v>8.9975815433211093E-2</v>
      </c>
      <c r="DE43" s="525">
        <f t="shared" si="49"/>
        <v>8.0939855796584137E-2</v>
      </c>
      <c r="DF43" s="526">
        <f t="shared" si="49"/>
        <v>8.1054725502588187E-2</v>
      </c>
      <c r="DG43" s="1753"/>
      <c r="DH43" s="1153"/>
      <c r="DI43" s="1153"/>
      <c r="DJ43" s="1153"/>
    </row>
    <row r="44" spans="1:114" s="51" customFormat="1" ht="11.25" customHeight="1">
      <c r="A44" s="300"/>
      <c r="B44" s="301"/>
      <c r="C44" s="301"/>
      <c r="D44" s="301"/>
      <c r="E44" s="301"/>
      <c r="F44" s="300"/>
      <c r="G44" s="300"/>
      <c r="H44" s="300"/>
      <c r="I44" s="193" t="s">
        <v>254</v>
      </c>
      <c r="J44" s="83"/>
      <c r="K44" s="83"/>
      <c r="L44" s="83"/>
      <c r="M44" s="336"/>
      <c r="N44" s="336"/>
      <c r="O44" s="336"/>
      <c r="P44" s="337"/>
      <c r="Q44" s="336"/>
      <c r="R44" s="336"/>
      <c r="S44" s="336"/>
      <c r="T44" s="337"/>
      <c r="U44" s="336"/>
      <c r="V44" s="336"/>
      <c r="W44" s="336"/>
      <c r="X44" s="337"/>
      <c r="Y44" s="336"/>
      <c r="Z44" s="336"/>
      <c r="AA44" s="336"/>
      <c r="AB44" s="337"/>
      <c r="AC44" s="336"/>
      <c r="AD44" s="336"/>
      <c r="AE44" s="336"/>
      <c r="AF44" s="337"/>
      <c r="AG44" s="393"/>
      <c r="AH44" s="393"/>
      <c r="AI44" s="393"/>
      <c r="AJ44" s="472"/>
      <c r="AK44" s="391">
        <f t="shared" ref="AK44:CF44" si="50">+AK43+AG43</f>
        <v>3.883</v>
      </c>
      <c r="AL44" s="391">
        <f t="shared" si="50"/>
        <v>4.4110000000000005</v>
      </c>
      <c r="AM44" s="391">
        <f t="shared" si="50"/>
        <v>2.1819999999999999</v>
      </c>
      <c r="AN44" s="392">
        <f t="shared" si="50"/>
        <v>1.762</v>
      </c>
      <c r="AO44" s="391">
        <f t="shared" si="50"/>
        <v>1.4950000000000001</v>
      </c>
      <c r="AP44" s="391">
        <f t="shared" si="50"/>
        <v>1.3540000000000001</v>
      </c>
      <c r="AQ44" s="391">
        <f t="shared" si="50"/>
        <v>1.3109999999999999</v>
      </c>
      <c r="AR44" s="392">
        <f t="shared" si="50"/>
        <v>1.175</v>
      </c>
      <c r="AS44" s="391">
        <f t="shared" si="50"/>
        <v>0.98499999999999999</v>
      </c>
      <c r="AT44" s="391">
        <f t="shared" si="50"/>
        <v>0.88200000000000012</v>
      </c>
      <c r="AU44" s="391">
        <f t="shared" si="50"/>
        <v>0.93199999999999994</v>
      </c>
      <c r="AV44" s="392">
        <f t="shared" si="50"/>
        <v>0.97099999999999997</v>
      </c>
      <c r="AW44" s="391">
        <f t="shared" si="50"/>
        <v>0.96299999999999997</v>
      </c>
      <c r="AX44" s="391">
        <f t="shared" si="50"/>
        <v>0.99500000000000011</v>
      </c>
      <c r="AY44" s="391">
        <f t="shared" si="50"/>
        <v>1.2650000000000001</v>
      </c>
      <c r="AZ44" s="392">
        <f t="shared" si="50"/>
        <v>1.4049999999999998</v>
      </c>
      <c r="BA44" s="391">
        <f t="shared" si="50"/>
        <v>1.5089999999999999</v>
      </c>
      <c r="BB44" s="391">
        <f t="shared" si="50"/>
        <v>1.456</v>
      </c>
      <c r="BC44" s="391">
        <f t="shared" si="50"/>
        <v>1.3940000000000001</v>
      </c>
      <c r="BD44" s="392">
        <f t="shared" si="50"/>
        <v>1.379</v>
      </c>
      <c r="BE44" s="391">
        <f t="shared" si="50"/>
        <v>1.361</v>
      </c>
      <c r="BF44" s="391">
        <f t="shared" si="50"/>
        <v>1.228</v>
      </c>
      <c r="BG44" s="391">
        <f t="shared" si="50"/>
        <v>1.02</v>
      </c>
      <c r="BH44" s="392">
        <f t="shared" si="50"/>
        <v>1.095</v>
      </c>
      <c r="BI44" s="391">
        <f t="shared" si="50"/>
        <v>1.01</v>
      </c>
      <c r="BJ44" s="391">
        <f t="shared" si="50"/>
        <v>0.88300000000000001</v>
      </c>
      <c r="BK44" s="391">
        <f t="shared" si="50"/>
        <v>0.81600000000000006</v>
      </c>
      <c r="BL44" s="392">
        <f t="shared" si="50"/>
        <v>0.84599999999999997</v>
      </c>
      <c r="BM44" s="391">
        <f t="shared" si="50"/>
        <v>0.81</v>
      </c>
      <c r="BN44" s="391">
        <f t="shared" si="50"/>
        <v>0.79</v>
      </c>
      <c r="BO44" s="391">
        <f>+BO43+BK43</f>
        <v>0.73</v>
      </c>
      <c r="BP44" s="392">
        <f>+BP43+BL43</f>
        <v>0.69</v>
      </c>
      <c r="BQ44" s="391">
        <f t="shared" si="50"/>
        <v>0.66999999999999993</v>
      </c>
      <c r="BR44" s="391">
        <f>+BR43+BN43</f>
        <v>0.64999999999999991</v>
      </c>
      <c r="BS44" s="391">
        <f>+BS43+BO43</f>
        <v>0.57000000000000006</v>
      </c>
      <c r="BT44" s="392">
        <f>+BT43+BP43</f>
        <v>0.56000000000000005</v>
      </c>
      <c r="BU44" s="391">
        <f t="shared" si="50"/>
        <v>0.58916568071516573</v>
      </c>
      <c r="BV44" s="391">
        <f t="shared" si="50"/>
        <v>0.53819975234218287</v>
      </c>
      <c r="BW44" s="391">
        <f t="shared" si="50"/>
        <v>0.53013469102857891</v>
      </c>
      <c r="BX44" s="391">
        <f t="shared" si="50"/>
        <v>0.59167296986840379</v>
      </c>
      <c r="BY44" s="1405">
        <f t="shared" si="50"/>
        <v>0.59683881725319787</v>
      </c>
      <c r="BZ44" s="391">
        <f t="shared" si="50"/>
        <v>0.44818731982366322</v>
      </c>
      <c r="CA44" s="391">
        <f t="shared" si="50"/>
        <v>0.45346819530010696</v>
      </c>
      <c r="CB44" s="2138">
        <f t="shared" si="50"/>
        <v>0.4494386865970515</v>
      </c>
      <c r="CC44" s="391">
        <f t="shared" si="50"/>
        <v>0.44855546393593881</v>
      </c>
      <c r="CD44" s="391">
        <f t="shared" si="50"/>
        <v>0.39533132698210549</v>
      </c>
      <c r="CE44" s="391">
        <f t="shared" si="50"/>
        <v>0.32801069368157565</v>
      </c>
      <c r="CF44" s="392">
        <f t="shared" si="50"/>
        <v>0.34828550763774363</v>
      </c>
      <c r="CG44" s="1154"/>
      <c r="CH44" s="367"/>
      <c r="CI44" s="336"/>
      <c r="CJ44" s="336"/>
      <c r="CK44" s="336"/>
      <c r="CL44" s="336"/>
      <c r="CM44" s="475"/>
      <c r="CN44" s="393"/>
      <c r="CO44" s="393"/>
      <c r="CP44" s="391">
        <f t="shared" ref="CP44:DF44" si="51">+CP43+CO43</f>
        <v>1.0166295029085786</v>
      </c>
      <c r="CQ44" s="391">
        <f t="shared" si="51"/>
        <v>1.1149458790000764</v>
      </c>
      <c r="CR44" s="391">
        <f t="shared" si="51"/>
        <v>1.4891418781715062</v>
      </c>
      <c r="CS44" s="391">
        <f t="shared" si="51"/>
        <v>1.2310221005319866</v>
      </c>
      <c r="CT44" s="391">
        <f t="shared" si="51"/>
        <v>0.87400199039641058</v>
      </c>
      <c r="CU44" s="391">
        <f>+CU43+CT43</f>
        <v>0.75818269296206298</v>
      </c>
      <c r="CV44" s="391">
        <f>+CV43+CU43</f>
        <v>0.61285834272004869</v>
      </c>
      <c r="CW44" s="391">
        <f t="shared" si="51"/>
        <v>0.55794131480470399</v>
      </c>
      <c r="CX44" s="391">
        <f>+CX43+CW43</f>
        <v>0.4628118803968515</v>
      </c>
      <c r="CY44" s="391">
        <f t="shared" si="51"/>
        <v>0.35731855010793523</v>
      </c>
      <c r="CZ44" s="391">
        <f>+CZ43+CY43</f>
        <v>0.3277884039393324</v>
      </c>
      <c r="DA44" s="391">
        <f t="shared" si="51"/>
        <v>0.28788283926106017</v>
      </c>
      <c r="DB44" s="391">
        <f t="shared" si="51"/>
        <v>0.24639477249772024</v>
      </c>
      <c r="DC44" s="391">
        <f t="shared" si="51"/>
        <v>0.21363996631614879</v>
      </c>
      <c r="DD44" s="391">
        <f t="shared" si="51"/>
        <v>0.18997855114904683</v>
      </c>
      <c r="DE44" s="391">
        <f t="shared" si="51"/>
        <v>0.17091567122979523</v>
      </c>
      <c r="DF44" s="392">
        <f t="shared" si="51"/>
        <v>0.16199458129917232</v>
      </c>
      <c r="DG44" s="1185"/>
      <c r="DH44" s="777"/>
      <c r="DI44" s="777"/>
      <c r="DJ44" s="777"/>
    </row>
    <row r="45" spans="1:114" s="720" customFormat="1" ht="11.25" customHeight="1">
      <c r="A45" s="556"/>
      <c r="B45" s="556"/>
      <c r="C45" s="556"/>
      <c r="D45" s="556"/>
      <c r="E45" s="556"/>
      <c r="F45" s="556"/>
      <c r="G45" s="556"/>
      <c r="H45" s="556"/>
      <c r="I45" s="195"/>
      <c r="J45" s="135"/>
      <c r="K45" s="135"/>
      <c r="L45" s="135"/>
      <c r="M45" s="432"/>
      <c r="N45" s="432"/>
      <c r="O45" s="432"/>
      <c r="P45" s="433"/>
      <c r="Q45" s="432"/>
      <c r="R45" s="432"/>
      <c r="S45" s="432"/>
      <c r="T45" s="433"/>
      <c r="U45" s="432"/>
      <c r="V45" s="432"/>
      <c r="W45" s="432"/>
      <c r="X45" s="433"/>
      <c r="Y45" s="432"/>
      <c r="Z45" s="432"/>
      <c r="AA45" s="432"/>
      <c r="AB45" s="433"/>
      <c r="AC45" s="432"/>
      <c r="AD45" s="432"/>
      <c r="AE45" s="432"/>
      <c r="AF45" s="433"/>
      <c r="AG45" s="473"/>
      <c r="AH45" s="473"/>
      <c r="AI45" s="473"/>
      <c r="AJ45" s="474"/>
      <c r="AK45" s="473"/>
      <c r="AL45" s="473"/>
      <c r="AM45" s="473"/>
      <c r="AN45" s="474"/>
      <c r="AO45" s="473"/>
      <c r="AP45" s="473"/>
      <c r="AQ45" s="473"/>
      <c r="AR45" s="474"/>
      <c r="AS45" s="473"/>
      <c r="AT45" s="473"/>
      <c r="AU45" s="473"/>
      <c r="AV45" s="474"/>
      <c r="AW45" s="473"/>
      <c r="AX45" s="473"/>
      <c r="AY45" s="473"/>
      <c r="AZ45" s="474"/>
      <c r="BA45" s="473"/>
      <c r="BB45" s="473"/>
      <c r="BC45" s="473"/>
      <c r="BD45" s="474"/>
      <c r="BE45" s="473"/>
      <c r="BF45" s="473"/>
      <c r="BG45" s="470"/>
      <c r="BH45" s="471"/>
      <c r="BI45" s="473"/>
      <c r="BJ45" s="473"/>
      <c r="BK45" s="473"/>
      <c r="BL45" s="474"/>
      <c r="BM45" s="473"/>
      <c r="BN45" s="473"/>
      <c r="BO45" s="473"/>
      <c r="BP45" s="499"/>
      <c r="BQ45" s="498"/>
      <c r="BR45" s="473"/>
      <c r="BS45" s="473"/>
      <c r="BT45" s="1924"/>
      <c r="BU45" s="473"/>
      <c r="BV45" s="473"/>
      <c r="BW45" s="473"/>
      <c r="BX45" s="474"/>
      <c r="BY45" s="473"/>
      <c r="BZ45" s="473"/>
      <c r="CA45" s="473"/>
      <c r="CB45" s="474"/>
      <c r="CC45" s="473"/>
      <c r="CD45" s="473"/>
      <c r="CE45" s="473"/>
      <c r="CF45" s="474"/>
      <c r="CG45" s="783"/>
      <c r="CH45" s="438"/>
      <c r="CI45" s="432"/>
      <c r="CJ45" s="432"/>
      <c r="CK45" s="432"/>
      <c r="CL45" s="432"/>
      <c r="CM45" s="473"/>
      <c r="CN45" s="473"/>
      <c r="CO45" s="473"/>
      <c r="CP45" s="473"/>
      <c r="CQ45" s="473"/>
      <c r="CR45" s="473"/>
      <c r="CS45" s="473"/>
      <c r="CT45" s="498"/>
      <c r="CU45" s="473"/>
      <c r="CV45" s="473"/>
      <c r="CW45" s="473"/>
      <c r="CX45" s="473"/>
      <c r="CY45" s="473"/>
      <c r="CZ45" s="432"/>
      <c r="DA45" s="432"/>
      <c r="DB45" s="22"/>
      <c r="DC45" s="22"/>
      <c r="DD45" s="22"/>
      <c r="DE45" s="22"/>
      <c r="DF45" s="1657"/>
      <c r="DG45"/>
      <c r="DH45" s="784"/>
      <c r="DI45" s="784"/>
      <c r="DJ45" s="784"/>
    </row>
    <row r="46" spans="1:114" s="3" customFormat="1" ht="11.25" customHeight="1">
      <c r="A46" s="296"/>
      <c r="B46" s="297"/>
      <c r="C46" s="297"/>
      <c r="D46" s="297"/>
      <c r="E46" s="297"/>
      <c r="F46" s="296"/>
      <c r="G46" s="296"/>
      <c r="H46" s="296"/>
      <c r="I46" s="728" t="s">
        <v>335</v>
      </c>
      <c r="J46" s="7"/>
      <c r="K46" s="7"/>
      <c r="L46" s="7"/>
      <c r="M46" s="361"/>
      <c r="N46" s="361"/>
      <c r="O46" s="361"/>
      <c r="P46" s="362"/>
      <c r="Q46" s="361"/>
      <c r="R46" s="361"/>
      <c r="S46" s="361"/>
      <c r="T46" s="362"/>
      <c r="U46" s="361"/>
      <c r="V46" s="361"/>
      <c r="W46" s="361"/>
      <c r="X46" s="362"/>
      <c r="Y46" s="361"/>
      <c r="Z46" s="361"/>
      <c r="AA46" s="361"/>
      <c r="AB46" s="362"/>
      <c r="AC46" s="361"/>
      <c r="AD46" s="361"/>
      <c r="AE46" s="361"/>
      <c r="AF46" s="362"/>
      <c r="AG46" s="388"/>
      <c r="AH46" s="388"/>
      <c r="AI46" s="388"/>
      <c r="AJ46" s="387"/>
      <c r="AK46" s="790"/>
      <c r="AL46" s="790"/>
      <c r="AM46" s="790"/>
      <c r="AN46" s="791"/>
      <c r="AO46" s="790"/>
      <c r="AP46" s="790"/>
      <c r="AQ46" s="790"/>
      <c r="AR46" s="791"/>
      <c r="AS46" s="790">
        <f t="shared" ref="AS46:CF46" si="52">+AS31-AS42</f>
        <v>-5.0665460051051436E-3</v>
      </c>
      <c r="AT46" s="790">
        <f t="shared" si="52"/>
        <v>1.7731766490417911E-2</v>
      </c>
      <c r="AU46" s="790">
        <f t="shared" si="52"/>
        <v>2.0275117664751541E-2</v>
      </c>
      <c r="AV46" s="791">
        <f t="shared" si="52"/>
        <v>-3.3743652792786683E-2</v>
      </c>
      <c r="AW46" s="790">
        <f t="shared" si="52"/>
        <v>-1.2476671872683864E-2</v>
      </c>
      <c r="AX46" s="790">
        <f t="shared" si="52"/>
        <v>2.2810811142782161E-2</v>
      </c>
      <c r="AY46" s="790">
        <f t="shared" si="52"/>
        <v>2.7968313740589057E-2</v>
      </c>
      <c r="AZ46" s="791">
        <f t="shared" si="52"/>
        <v>9.9084718452469023E-4</v>
      </c>
      <c r="BA46" s="790">
        <f>+BA31-BA42</f>
        <v>-5.7294012897536994E-2</v>
      </c>
      <c r="BB46" s="790">
        <f>+BB31-BB42</f>
        <v>-0.11771707333233372</v>
      </c>
      <c r="BC46" s="790">
        <f>+BC31-BC42</f>
        <v>-7.5934290054542442E-2</v>
      </c>
      <c r="BD46" s="791">
        <f>+BD31-BD42</f>
        <v>-4.0908866796259713E-2</v>
      </c>
      <c r="BE46" s="790">
        <f t="shared" si="52"/>
        <v>-1.368886994141949E-3</v>
      </c>
      <c r="BF46" s="790">
        <f t="shared" si="52"/>
        <v>8.8422470543009779E-3</v>
      </c>
      <c r="BG46" s="790">
        <f t="shared" si="52"/>
        <v>3.7270656843665373E-3</v>
      </c>
      <c r="BH46" s="791">
        <f t="shared" si="52"/>
        <v>2.1112695719627816E-3</v>
      </c>
      <c r="BI46" s="790">
        <f t="shared" si="52"/>
        <v>2.1384077838110249E-4</v>
      </c>
      <c r="BJ46" s="790">
        <f t="shared" si="52"/>
        <v>-1.9916354287274896E-5</v>
      </c>
      <c r="BK46" s="790">
        <f>+BK31-BK42</f>
        <v>-1.1293363650701216E-3</v>
      </c>
      <c r="BL46" s="791">
        <f t="shared" si="52"/>
        <v>-5.4923352294761196E-4</v>
      </c>
      <c r="BM46" s="790">
        <f t="shared" ref="BM46:BR46" si="53">+BM31-BM42</f>
        <v>-3.6446717865579181E-4</v>
      </c>
      <c r="BN46" s="790">
        <f t="shared" si="53"/>
        <v>2.3537310312360393E-4</v>
      </c>
      <c r="BO46" s="790">
        <f t="shared" si="53"/>
        <v>-4.9990707513652977E-4</v>
      </c>
      <c r="BP46" s="791">
        <f t="shared" si="53"/>
        <v>-1.2767582898665086E-4</v>
      </c>
      <c r="BQ46" s="790">
        <f t="shared" si="53"/>
        <v>4.3782810907250225E-4</v>
      </c>
      <c r="BR46" s="790">
        <f t="shared" si="53"/>
        <v>3.0450432120038284E-4</v>
      </c>
      <c r="BS46" s="790">
        <f>+BS31-BS42</f>
        <v>3.8325425347762732E-4</v>
      </c>
      <c r="BT46" s="791">
        <f>+BT31-BT42</f>
        <v>5.4296426806488274E-5</v>
      </c>
      <c r="BU46" s="790">
        <f t="shared" si="52"/>
        <v>2.7728281238894453E-4</v>
      </c>
      <c r="BV46" s="790">
        <f t="shared" si="52"/>
        <v>-3.9472059416944399E-4</v>
      </c>
      <c r="BW46" s="790">
        <f t="shared" si="52"/>
        <v>-2.9458805139854355E-4</v>
      </c>
      <c r="BX46" s="791">
        <f>+BX31-BX42</f>
        <v>-1.7902266281476925E-4</v>
      </c>
      <c r="BY46" s="790">
        <f t="shared" si="52"/>
        <v>8.7211454428903976E-3</v>
      </c>
      <c r="BZ46" s="790">
        <f t="shared" si="52"/>
        <v>4.3224491896841646E-2</v>
      </c>
      <c r="CA46" s="790">
        <f t="shared" si="52"/>
        <v>4.7481931260063809E-2</v>
      </c>
      <c r="CB46" s="791">
        <f t="shared" si="52"/>
        <v>-1.0675276807666063E-2</v>
      </c>
      <c r="CC46" s="790">
        <f t="shared" si="52"/>
        <v>0</v>
      </c>
      <c r="CD46" s="790">
        <f t="shared" si="52"/>
        <v>0</v>
      </c>
      <c r="CE46" s="790">
        <f t="shared" si="52"/>
        <v>0</v>
      </c>
      <c r="CF46" s="791">
        <f t="shared" si="52"/>
        <v>0</v>
      </c>
      <c r="CG46" s="761"/>
      <c r="CH46" s="366"/>
      <c r="CI46" s="361"/>
      <c r="CJ46" s="361"/>
      <c r="CK46" s="361"/>
      <c r="CL46" s="361"/>
      <c r="CM46" s="388"/>
      <c r="CN46" s="772"/>
      <c r="CO46" s="790"/>
      <c r="CP46" s="790"/>
      <c r="CQ46" s="790"/>
      <c r="CR46" s="790"/>
      <c r="CS46" s="790"/>
      <c r="CT46" s="790"/>
      <c r="CU46" s="790"/>
      <c r="CV46" s="495"/>
      <c r="CW46" s="498"/>
      <c r="CX46" s="498"/>
      <c r="CY46" s="790"/>
      <c r="CZ46" s="361"/>
      <c r="DA46" s="361"/>
      <c r="DB46" s="22"/>
      <c r="DC46" s="22"/>
      <c r="DD46" s="22"/>
      <c r="DE46" s="22"/>
      <c r="DF46" s="1657"/>
      <c r="DG46"/>
      <c r="DH46" s="762"/>
      <c r="DI46" s="762"/>
      <c r="DJ46" s="762"/>
    </row>
    <row r="47" spans="1:114" s="44" customFormat="1" ht="11.25" customHeight="1">
      <c r="A47" s="300"/>
      <c r="B47" s="301"/>
      <c r="C47" s="301"/>
      <c r="D47" s="301"/>
      <c r="E47" s="301"/>
      <c r="F47" s="300"/>
      <c r="G47" s="300"/>
      <c r="H47" s="300"/>
      <c r="I47" s="187"/>
      <c r="J47" s="74"/>
      <c r="K47" s="74"/>
      <c r="L47" s="74"/>
      <c r="M47" s="439"/>
      <c r="N47" s="439"/>
      <c r="O47" s="439"/>
      <c r="P47" s="370"/>
      <c r="Q47" s="439"/>
      <c r="R47" s="439"/>
      <c r="S47" s="439"/>
      <c r="T47" s="370"/>
      <c r="U47" s="439"/>
      <c r="V47" s="439"/>
      <c r="W47" s="439"/>
      <c r="X47" s="370"/>
      <c r="Y47" s="439"/>
      <c r="Z47" s="439"/>
      <c r="AA47" s="439"/>
      <c r="AB47" s="370"/>
      <c r="AC47" s="439"/>
      <c r="AD47" s="439"/>
      <c r="AE47" s="439"/>
      <c r="AF47" s="370"/>
      <c r="AG47" s="470"/>
      <c r="AH47" s="470"/>
      <c r="AI47" s="470"/>
      <c r="AJ47" s="471"/>
      <c r="AK47" s="470"/>
      <c r="AL47" s="498"/>
      <c r="AM47" s="470"/>
      <c r="AN47" s="471"/>
      <c r="AO47" s="470"/>
      <c r="AP47" s="470"/>
      <c r="AQ47" s="470"/>
      <c r="AR47" s="471"/>
      <c r="AS47" s="470"/>
      <c r="AT47" s="470"/>
      <c r="AU47" s="470"/>
      <c r="AV47" s="471"/>
      <c r="AW47" s="470"/>
      <c r="AX47" s="470"/>
      <c r="AY47" s="470"/>
      <c r="AZ47" s="471"/>
      <c r="BA47" s="470"/>
      <c r="BB47" s="470"/>
      <c r="BC47" s="470"/>
      <c r="BD47" s="471"/>
      <c r="BE47" s="470"/>
      <c r="BF47" s="470"/>
      <c r="BG47" s="470"/>
      <c r="BH47" s="471"/>
      <c r="BI47" s="470"/>
      <c r="BJ47" s="470"/>
      <c r="BK47" s="470"/>
      <c r="BL47" s="471"/>
      <c r="BM47" s="470"/>
      <c r="BN47" s="470"/>
      <c r="BO47" s="470"/>
      <c r="BP47" s="471"/>
      <c r="BQ47" s="470"/>
      <c r="BR47" s="470"/>
      <c r="BS47" s="470"/>
      <c r="BT47" s="471"/>
      <c r="BU47" s="470"/>
      <c r="BV47" s="470"/>
      <c r="BW47" s="470"/>
      <c r="BX47" s="471"/>
      <c r="BY47" s="470"/>
      <c r="BZ47" s="470"/>
      <c r="CA47" s="470"/>
      <c r="CB47" s="471"/>
      <c r="CC47" s="470"/>
      <c r="CD47" s="470"/>
      <c r="CE47" s="470"/>
      <c r="CF47" s="471"/>
      <c r="CG47" s="775"/>
      <c r="CH47" s="440"/>
      <c r="CI47" s="439"/>
      <c r="CJ47" s="439"/>
      <c r="CK47" s="439"/>
      <c r="CL47" s="439"/>
      <c r="CM47" s="473"/>
      <c r="CN47" s="470"/>
      <c r="CO47" s="470"/>
      <c r="CP47" s="470"/>
      <c r="CQ47" s="470"/>
      <c r="CR47" s="470"/>
      <c r="CS47" s="498"/>
      <c r="CT47" s="498"/>
      <c r="CU47" s="470"/>
      <c r="CV47" s="470"/>
      <c r="CW47" s="470"/>
      <c r="CX47" s="470"/>
      <c r="CY47" s="470"/>
      <c r="CZ47" s="439"/>
      <c r="DA47" s="439"/>
      <c r="DB47" s="22"/>
      <c r="DC47" s="22"/>
      <c r="DD47" s="22"/>
      <c r="DE47" s="22"/>
      <c r="DF47" s="1657"/>
      <c r="DG47"/>
      <c r="DH47" s="776"/>
      <c r="DI47" s="776"/>
      <c r="DJ47" s="776"/>
    </row>
    <row r="48" spans="1:114" s="6" customFormat="1" ht="11.25" customHeight="1">
      <c r="A48" s="18"/>
      <c r="B48" s="19"/>
      <c r="C48" s="19"/>
      <c r="D48" s="19"/>
      <c r="E48" s="19"/>
      <c r="F48" s="18"/>
      <c r="G48" s="18"/>
      <c r="H48" s="18"/>
      <c r="I48" s="730" t="s">
        <v>336</v>
      </c>
      <c r="J48" s="4"/>
      <c r="K48" s="4"/>
      <c r="L48" s="4"/>
      <c r="M48" s="409"/>
      <c r="N48" s="409"/>
      <c r="O48" s="409"/>
      <c r="P48" s="410"/>
      <c r="Q48" s="409"/>
      <c r="R48" s="409"/>
      <c r="S48" s="409"/>
      <c r="T48" s="410"/>
      <c r="U48" s="409"/>
      <c r="V48" s="409"/>
      <c r="W48" s="409"/>
      <c r="X48" s="410"/>
      <c r="Y48" s="409"/>
      <c r="Z48" s="409"/>
      <c r="AA48" s="409"/>
      <c r="AB48" s="410"/>
      <c r="AC48" s="409"/>
      <c r="AD48" s="409"/>
      <c r="AE48" s="409"/>
      <c r="AF48" s="410"/>
      <c r="AG48" s="498">
        <f>+AC40*AG43</f>
        <v>225.62847600000001</v>
      </c>
      <c r="AH48" s="498">
        <f t="shared" ref="AH48:BL48" si="54">+AD40*AH43</f>
        <v>280.216725</v>
      </c>
      <c r="AI48" s="498">
        <f>+AE40*AI43</f>
        <v>217.23539600000001</v>
      </c>
      <c r="AJ48" s="499">
        <f t="shared" si="54"/>
        <v>136.75098</v>
      </c>
      <c r="AK48" s="498">
        <f>+AG40*AK43</f>
        <v>203.24643</v>
      </c>
      <c r="AL48" s="498">
        <f>+AH40*AL43</f>
        <v>283.84802800000006</v>
      </c>
      <c r="AM48" s="498">
        <f>+AI40*AM43</f>
        <v>344.231424</v>
      </c>
      <c r="AN48" s="499">
        <f t="shared" si="54"/>
        <v>286.90326400000004</v>
      </c>
      <c r="AO48" s="498">
        <f t="shared" si="54"/>
        <v>389.75924999999995</v>
      </c>
      <c r="AP48" s="498">
        <f t="shared" si="54"/>
        <v>383.41519200000005</v>
      </c>
      <c r="AQ48" s="498">
        <f t="shared" si="54"/>
        <v>352.44966599999998</v>
      </c>
      <c r="AR48" s="499">
        <f t="shared" si="54"/>
        <v>187.61376000000001</v>
      </c>
      <c r="AS48" s="498">
        <f t="shared" si="54"/>
        <v>243.84634</v>
      </c>
      <c r="AT48" s="498">
        <f t="shared" si="54"/>
        <v>401.008644</v>
      </c>
      <c r="AU48" s="498">
        <f t="shared" si="54"/>
        <v>606.66224999999997</v>
      </c>
      <c r="AV48" s="499">
        <f t="shared" si="54"/>
        <v>550.57204999999999</v>
      </c>
      <c r="AW48" s="498">
        <f t="shared" si="54"/>
        <v>795.28685599999994</v>
      </c>
      <c r="AX48" s="498">
        <f t="shared" si="54"/>
        <v>949.27309400000001</v>
      </c>
      <c r="AY48" s="498">
        <f t="shared" si="54"/>
        <v>1344.8221800000001</v>
      </c>
      <c r="AZ48" s="499">
        <f t="shared" si="54"/>
        <v>1017.76441</v>
      </c>
      <c r="BA48" s="498">
        <f t="shared" si="54"/>
        <v>1542.744445</v>
      </c>
      <c r="BB48" s="498">
        <f t="shared" si="54"/>
        <v>1771.196285</v>
      </c>
      <c r="BC48" s="498">
        <f t="shared" si="54"/>
        <v>1771.3899999999999</v>
      </c>
      <c r="BD48" s="499">
        <f t="shared" si="54"/>
        <v>1580.847</v>
      </c>
      <c r="BE48" s="498">
        <f t="shared" si="54"/>
        <v>2050.8799999999997</v>
      </c>
      <c r="BF48" s="498">
        <f t="shared" si="54"/>
        <v>1981.096</v>
      </c>
      <c r="BG48" s="498">
        <f t="shared" si="54"/>
        <v>2025.5340000000001</v>
      </c>
      <c r="BH48" s="499">
        <f t="shared" si="54"/>
        <v>1666.5119999999999</v>
      </c>
      <c r="BI48" s="498">
        <f t="shared" si="54"/>
        <v>2343.9299999999998</v>
      </c>
      <c r="BJ48" s="498">
        <f t="shared" si="54"/>
        <v>2618.88</v>
      </c>
      <c r="BK48" s="498">
        <f t="shared" si="54"/>
        <v>2653.93</v>
      </c>
      <c r="BL48" s="499">
        <f t="shared" si="54"/>
        <v>2307.48</v>
      </c>
      <c r="BM48" s="498">
        <f t="shared" ref="BM48:BR48" si="55">+BI40*BM43</f>
        <v>2957.54</v>
      </c>
      <c r="BN48" s="498">
        <f t="shared" si="55"/>
        <v>3002.6499999999996</v>
      </c>
      <c r="BO48" s="498">
        <f t="shared" si="55"/>
        <v>2937.28</v>
      </c>
      <c r="BP48" s="499">
        <f t="shared" si="55"/>
        <v>2094.6600000000003</v>
      </c>
      <c r="BQ48" s="498">
        <f t="shared" si="55"/>
        <v>3086.47</v>
      </c>
      <c r="BR48" s="498">
        <f t="shared" si="55"/>
        <v>3504.6</v>
      </c>
      <c r="BS48" s="498">
        <f>+BO40*BS43</f>
        <v>3020</v>
      </c>
      <c r="BT48" s="499">
        <f>+BP40*BT43</f>
        <v>2677.5699999999997</v>
      </c>
      <c r="BU48" s="498">
        <f t="shared" ref="BU48:CF48" si="56">+BQ40*BU43</f>
        <v>3621.1013993763668</v>
      </c>
      <c r="BV48" s="498">
        <f>+BR40*BV43</f>
        <v>3118.5111576638574</v>
      </c>
      <c r="BW48" s="498">
        <f t="shared" si="56"/>
        <v>3663.6014892717558</v>
      </c>
      <c r="BX48" s="499">
        <f t="shared" si="56"/>
        <v>3226.9957586823148</v>
      </c>
      <c r="BY48" s="498">
        <f t="shared" si="56"/>
        <v>4468.7583926865937</v>
      </c>
      <c r="BZ48" s="498">
        <f t="shared" si="56"/>
        <v>3352.9797371739369</v>
      </c>
      <c r="CA48" s="498">
        <f t="shared" si="56"/>
        <v>2873.7470095610402</v>
      </c>
      <c r="CB48" s="499">
        <f t="shared" si="56"/>
        <v>2016.8748170529007</v>
      </c>
      <c r="CC48" s="498">
        <f t="shared" si="56"/>
        <v>2866.8381286538197</v>
      </c>
      <c r="CD48" s="498">
        <f>+BZ40*CD43</f>
        <v>3492.8431394748395</v>
      </c>
      <c r="CE48" s="498">
        <f>+CA40*CE43</f>
        <v>3064.3243019316733</v>
      </c>
      <c r="CF48" s="499">
        <f t="shared" si="56"/>
        <v>3298.7712278886088</v>
      </c>
      <c r="CG48" s="769"/>
      <c r="CH48" s="412"/>
      <c r="CI48" s="409"/>
      <c r="CJ48" s="409"/>
      <c r="CK48" s="409"/>
      <c r="CL48" s="409"/>
      <c r="CM48" s="491"/>
      <c r="CN48" s="491"/>
      <c r="CO48" s="491"/>
      <c r="CP48" s="498">
        <f t="shared" ref="CP48:CW48" si="57">+CO40*CP43</f>
        <v>1761.6050541023776</v>
      </c>
      <c r="CQ48" s="498">
        <f t="shared" si="57"/>
        <v>4005.0443360490776</v>
      </c>
      <c r="CR48" s="498">
        <f t="shared" si="57"/>
        <v>7414.3092534660191</v>
      </c>
      <c r="CS48" s="498">
        <f t="shared" si="57"/>
        <v>7590.3277162813956</v>
      </c>
      <c r="CT48" s="498">
        <f t="shared" si="57"/>
        <v>9934.8026626162045</v>
      </c>
      <c r="CU48" s="498">
        <f>+CT40*CU43</f>
        <v>11091.013303707234</v>
      </c>
      <c r="CV48" s="498">
        <f>+CU40*CV43</f>
        <v>12209.252503550446</v>
      </c>
      <c r="CW48" s="498">
        <f t="shared" si="57"/>
        <v>13621.598869696116</v>
      </c>
      <c r="CX48" s="498">
        <f>+CW40*CX43</f>
        <v>11302.43613866634</v>
      </c>
      <c r="CY48" s="498">
        <f>+CX40*CY43</f>
        <v>12795.700209328996</v>
      </c>
      <c r="CZ48" s="498">
        <f t="shared" ref="CZ48:DF48" si="58">+CY40*CZ43</f>
        <v>13862.688254197032</v>
      </c>
      <c r="DA48" s="498">
        <f t="shared" si="58"/>
        <v>13706.477428164906</v>
      </c>
      <c r="DB48" s="498">
        <f t="shared" si="58"/>
        <v>13289.977824185238</v>
      </c>
      <c r="DC48" s="498">
        <f t="shared" si="58"/>
        <v>13024.445344609863</v>
      </c>
      <c r="DD48" s="498">
        <f t="shared" si="58"/>
        <v>12890.41540922254</v>
      </c>
      <c r="DE48" s="498">
        <f t="shared" si="58"/>
        <v>12639.223982257148</v>
      </c>
      <c r="DF48" s="499">
        <f t="shared" si="58"/>
        <v>13681.630377933536</v>
      </c>
      <c r="DG48"/>
      <c r="DH48" s="771"/>
      <c r="DI48" s="771"/>
      <c r="DJ48" s="771"/>
    </row>
    <row r="49" spans="1:114" ht="11.25" customHeight="1">
      <c r="A49" s="296"/>
      <c r="B49" s="297"/>
      <c r="C49" s="297"/>
      <c r="D49" s="297"/>
      <c r="E49" s="297"/>
      <c r="F49" s="296"/>
      <c r="G49" s="296"/>
      <c r="H49" s="296"/>
      <c r="I49" s="185" t="s">
        <v>337</v>
      </c>
      <c r="J49" s="70"/>
      <c r="K49" s="70"/>
      <c r="L49" s="70"/>
      <c r="M49" s="315"/>
      <c r="N49" s="315"/>
      <c r="O49" s="315"/>
      <c r="P49" s="316"/>
      <c r="Q49" s="315"/>
      <c r="R49" s="315"/>
      <c r="S49" s="315"/>
      <c r="T49" s="316"/>
      <c r="U49" s="315"/>
      <c r="V49" s="315"/>
      <c r="W49" s="315"/>
      <c r="X49" s="316"/>
      <c r="Y49" s="315"/>
      <c r="Z49" s="315"/>
      <c r="AA49" s="315"/>
      <c r="AB49" s="316"/>
      <c r="AC49" s="315"/>
      <c r="AD49" s="315"/>
      <c r="AE49" s="315"/>
      <c r="AF49" s="316"/>
      <c r="AG49" s="317"/>
      <c r="AH49" s="317"/>
      <c r="AI49" s="317"/>
      <c r="AJ49" s="318"/>
      <c r="AK49" s="391">
        <f>+AK48/AG48</f>
        <v>0.90080132438602301</v>
      </c>
      <c r="AL49" s="391">
        <f>+AL48/AH48</f>
        <v>1.0129589088588487</v>
      </c>
      <c r="AM49" s="391">
        <f t="shared" ref="AM49:CF49" si="59">+AM48/AI48</f>
        <v>1.5846009920040838</v>
      </c>
      <c r="AN49" s="392">
        <f t="shared" si="59"/>
        <v>2.0979978644394359</v>
      </c>
      <c r="AO49" s="391">
        <f t="shared" si="59"/>
        <v>1.9176683693780006</v>
      </c>
      <c r="AP49" s="391">
        <f t="shared" si="59"/>
        <v>1.3507763104840029</v>
      </c>
      <c r="AQ49" s="391">
        <f>+AQ48/AM48</f>
        <v>1.0238741771582132</v>
      </c>
      <c r="AR49" s="392">
        <f t="shared" si="59"/>
        <v>0.65392689293350104</v>
      </c>
      <c r="AS49" s="391">
        <f t="shared" si="59"/>
        <v>0.62563323384884395</v>
      </c>
      <c r="AT49" s="391">
        <f t="shared" si="59"/>
        <v>1.0458861630083764</v>
      </c>
      <c r="AU49" s="391">
        <f t="shared" si="59"/>
        <v>1.7212734427729603</v>
      </c>
      <c r="AV49" s="392">
        <f t="shared" si="59"/>
        <v>2.9346037838589236</v>
      </c>
      <c r="AW49" s="391">
        <f t="shared" si="59"/>
        <v>3.2614262572077153</v>
      </c>
      <c r="AX49" s="391">
        <f t="shared" si="59"/>
        <v>2.3672135456511505</v>
      </c>
      <c r="AY49" s="391">
        <f t="shared" si="59"/>
        <v>2.2167559956137048</v>
      </c>
      <c r="AZ49" s="392">
        <f t="shared" si="59"/>
        <v>1.8485580770037273</v>
      </c>
      <c r="BA49" s="391">
        <f t="shared" si="59"/>
        <v>1.9398591003495727</v>
      </c>
      <c r="BB49" s="391">
        <f t="shared" si="59"/>
        <v>1.8658448197837576</v>
      </c>
      <c r="BC49" s="391">
        <f t="shared" si="59"/>
        <v>1.3171927310122145</v>
      </c>
      <c r="BD49" s="392">
        <f t="shared" si="59"/>
        <v>1.553254352841833</v>
      </c>
      <c r="BE49" s="391">
        <f t="shared" si="59"/>
        <v>1.3293711778686712</v>
      </c>
      <c r="BF49" s="391">
        <f t="shared" si="59"/>
        <v>1.1185073143940114</v>
      </c>
      <c r="BG49" s="391">
        <f t="shared" si="59"/>
        <v>1.1434715110732252</v>
      </c>
      <c r="BH49" s="392">
        <f t="shared" si="59"/>
        <v>1.0541893048473381</v>
      </c>
      <c r="BI49" s="391">
        <f t="shared" si="59"/>
        <v>1.1428898814167578</v>
      </c>
      <c r="BJ49" s="391">
        <f t="shared" si="59"/>
        <v>1.3219349289484206</v>
      </c>
      <c r="BK49" s="391">
        <f t="shared" si="59"/>
        <v>1.310237201646578</v>
      </c>
      <c r="BL49" s="392">
        <f t="shared" si="59"/>
        <v>1.3846164924104958</v>
      </c>
      <c r="BM49" s="391">
        <f t="shared" si="59"/>
        <v>1.2617868281049349</v>
      </c>
      <c r="BN49" s="391">
        <f>+BN48/BJ48</f>
        <v>1.1465397421798629</v>
      </c>
      <c r="BO49" s="391">
        <f>+BO48/BK48</f>
        <v>1.1067661920246579</v>
      </c>
      <c r="BP49" s="392">
        <f>+BP48/BL48</f>
        <v>0.90776951479536128</v>
      </c>
      <c r="BQ49" s="391">
        <f t="shared" si="59"/>
        <v>1.0435936623004254</v>
      </c>
      <c r="BR49" s="391">
        <f t="shared" si="59"/>
        <v>1.1671690007160342</v>
      </c>
      <c r="BS49" s="391">
        <f>+BS48/BO48</f>
        <v>1.028162109162218</v>
      </c>
      <c r="BT49" s="392">
        <f>+BT48/BP48</f>
        <v>1.2782838264921272</v>
      </c>
      <c r="BU49" s="391">
        <f t="shared" si="59"/>
        <v>1.1732177534129173</v>
      </c>
      <c r="BV49" s="391">
        <f t="shared" si="59"/>
        <v>0.88983369219421826</v>
      </c>
      <c r="BW49" s="391">
        <f t="shared" si="59"/>
        <v>1.2131130759177999</v>
      </c>
      <c r="BX49" s="392">
        <f t="shared" si="59"/>
        <v>1.2051956657276244</v>
      </c>
      <c r="BY49" s="391">
        <f t="shared" si="59"/>
        <v>1.2340881681623752</v>
      </c>
      <c r="BZ49" s="391">
        <f t="shared" si="59"/>
        <v>1.075186064008097</v>
      </c>
      <c r="CA49" s="391">
        <f t="shared" si="59"/>
        <v>0.78440491357379549</v>
      </c>
      <c r="CB49" s="392">
        <f t="shared" si="59"/>
        <v>0.62500076475974509</v>
      </c>
      <c r="CC49" s="391">
        <f t="shared" si="59"/>
        <v>0.64152900576267047</v>
      </c>
      <c r="CD49" s="391">
        <f t="shared" si="59"/>
        <v>1.0417131665754671</v>
      </c>
      <c r="CE49" s="391">
        <f t="shared" si="59"/>
        <v>1.0663166561762663</v>
      </c>
      <c r="CF49" s="392">
        <f t="shared" si="59"/>
        <v>1.6355855108096604</v>
      </c>
      <c r="CG49" s="742"/>
      <c r="CH49" s="320"/>
      <c r="CI49" s="315"/>
      <c r="CJ49" s="315"/>
      <c r="CK49" s="315"/>
      <c r="CL49" s="315"/>
      <c r="CM49" s="388"/>
      <c r="CN49" s="774"/>
      <c r="CO49" s="774"/>
      <c r="CP49" s="774"/>
      <c r="CQ49" s="391">
        <f t="shared" ref="CQ49:CY49" si="60">+CQ48/CP48</f>
        <v>2.273520007632948</v>
      </c>
      <c r="CR49" s="391">
        <f t="shared" si="60"/>
        <v>1.8512427407433236</v>
      </c>
      <c r="CS49" s="391">
        <f t="shared" si="60"/>
        <v>1.0237403724066529</v>
      </c>
      <c r="CT49" s="391">
        <f t="shared" si="60"/>
        <v>1.3088766432713921</v>
      </c>
      <c r="CU49" s="391">
        <f>+CU48/CT48</f>
        <v>1.1163798296106826</v>
      </c>
      <c r="CV49" s="391">
        <f t="shared" si="60"/>
        <v>1.1008238985223679</v>
      </c>
      <c r="CW49" s="391">
        <f t="shared" si="60"/>
        <v>1.1156783648904762</v>
      </c>
      <c r="CX49" s="391">
        <f t="shared" si="60"/>
        <v>0.82974372148124242</v>
      </c>
      <c r="CY49" s="391">
        <f t="shared" si="60"/>
        <v>1.1321187797340526</v>
      </c>
      <c r="CZ49" s="391">
        <f t="shared" ref="CZ49:DF49" si="61">+CZ48/CY48</f>
        <v>1.0833864522779397</v>
      </c>
      <c r="DA49" s="391">
        <f t="shared" si="61"/>
        <v>0.98873156323162414</v>
      </c>
      <c r="DB49" s="391">
        <f t="shared" si="61"/>
        <v>0.96961293620753208</v>
      </c>
      <c r="DC49" s="391">
        <f t="shared" si="61"/>
        <v>0.98002009611391849</v>
      </c>
      <c r="DD49" s="391">
        <f t="shared" si="61"/>
        <v>0.98970935561238382</v>
      </c>
      <c r="DE49" s="391">
        <f t="shared" si="61"/>
        <v>0.98051331791947727</v>
      </c>
      <c r="DF49" s="392">
        <f t="shared" si="61"/>
        <v>1.0824739238057424</v>
      </c>
      <c r="DH49" s="752"/>
      <c r="DI49" s="752"/>
      <c r="DJ49" s="752"/>
    </row>
    <row r="50" spans="1:114" ht="11.25" customHeight="1">
      <c r="A50" s="528"/>
      <c r="B50" s="529"/>
      <c r="C50" s="529"/>
      <c r="D50" s="529"/>
      <c r="E50" s="529"/>
      <c r="F50" s="528"/>
      <c r="G50" s="528"/>
      <c r="H50" s="528"/>
      <c r="I50" s="185"/>
      <c r="J50" s="70"/>
      <c r="K50" s="70"/>
      <c r="L50" s="70"/>
      <c r="M50" s="315"/>
      <c r="N50" s="315"/>
      <c r="O50" s="315"/>
      <c r="P50" s="316"/>
      <c r="Q50" s="315"/>
      <c r="R50" s="315"/>
      <c r="S50" s="315"/>
      <c r="T50" s="316"/>
      <c r="U50" s="315"/>
      <c r="V50" s="315"/>
      <c r="W50" s="315"/>
      <c r="X50" s="316"/>
      <c r="Y50" s="315"/>
      <c r="Z50" s="315"/>
      <c r="AA50" s="315"/>
      <c r="AB50" s="316"/>
      <c r="AC50" s="315"/>
      <c r="AD50" s="315"/>
      <c r="AE50" s="315"/>
      <c r="AF50" s="316"/>
      <c r="AG50" s="317"/>
      <c r="AH50" s="317"/>
      <c r="AI50" s="317"/>
      <c r="AJ50" s="318"/>
      <c r="AK50" s="393"/>
      <c r="AL50" s="393"/>
      <c r="AM50" s="393"/>
      <c r="AN50" s="472"/>
      <c r="AO50" s="393"/>
      <c r="AP50" s="393"/>
      <c r="AQ50" s="393"/>
      <c r="AR50" s="472"/>
      <c r="AS50" s="393"/>
      <c r="AT50" s="393"/>
      <c r="AU50" s="393"/>
      <c r="AV50" s="472"/>
      <c r="AW50" s="393"/>
      <c r="AX50" s="393"/>
      <c r="AY50" s="393"/>
      <c r="AZ50" s="472"/>
      <c r="BA50" s="393"/>
      <c r="BB50" s="393"/>
      <c r="BC50" s="393"/>
      <c r="BD50" s="472"/>
      <c r="BE50" s="393"/>
      <c r="BF50" s="393"/>
      <c r="BG50" s="393"/>
      <c r="BH50" s="472"/>
      <c r="BI50" s="393"/>
      <c r="BJ50" s="393"/>
      <c r="BK50" s="393"/>
      <c r="BL50" s="499">
        <f>+SUM(BI48:BL48)</f>
        <v>9924.2199999999993</v>
      </c>
      <c r="BM50" s="393"/>
      <c r="BN50" s="393"/>
      <c r="BO50" s="393"/>
      <c r="BP50" s="499">
        <f>+SUM(BM48:BP48)</f>
        <v>10992.13</v>
      </c>
      <c r="BQ50" s="393"/>
      <c r="BR50" s="393"/>
      <c r="BS50" s="393"/>
      <c r="BT50" s="499">
        <f>+SUM(BQ48:BT48)</f>
        <v>12288.64</v>
      </c>
      <c r="BU50" s="393"/>
      <c r="BV50" s="393"/>
      <c r="BW50" s="393"/>
      <c r="BX50" s="499">
        <f>+SUM(BU48:BX48)</f>
        <v>13630.209804994294</v>
      </c>
      <c r="BY50" s="393"/>
      <c r="BZ50" s="393"/>
      <c r="CA50" s="393"/>
      <c r="CB50" s="499">
        <f>+SUM(BY48:CB48)</f>
        <v>12712.359956474473</v>
      </c>
      <c r="CC50" s="393"/>
      <c r="CD50" s="393"/>
      <c r="CE50" s="393"/>
      <c r="CF50" s="499">
        <f>+SUM(CC48:CF48)</f>
        <v>12722.776797948942</v>
      </c>
      <c r="CG50" s="742"/>
      <c r="CH50" s="320"/>
      <c r="CI50" s="315"/>
      <c r="CJ50" s="315"/>
      <c r="CK50" s="315"/>
      <c r="CL50" s="315"/>
      <c r="CM50" s="388"/>
      <c r="CN50" s="774"/>
      <c r="CO50" s="774"/>
      <c r="CP50" s="774"/>
      <c r="CQ50" s="774"/>
      <c r="CR50" s="774"/>
      <c r="CS50" s="393"/>
      <c r="CT50" s="393"/>
      <c r="CU50" s="393"/>
      <c r="CV50" s="393"/>
      <c r="CW50" s="393"/>
      <c r="CX50" s="393"/>
      <c r="CY50" s="393"/>
      <c r="CZ50" s="315"/>
      <c r="DA50" s="315"/>
      <c r="DB50" s="22"/>
      <c r="DC50" s="22"/>
      <c r="DD50" s="22"/>
      <c r="DE50" s="22"/>
      <c r="DF50" s="1657"/>
      <c r="DH50" s="752"/>
      <c r="DI50" s="752"/>
      <c r="DJ50" s="752"/>
    </row>
    <row r="51" spans="1:114" ht="11.25" customHeight="1">
      <c r="A51" s="12"/>
      <c r="B51" s="13"/>
      <c r="C51" s="13"/>
      <c r="D51" s="13"/>
      <c r="E51" s="13"/>
      <c r="F51" s="12"/>
      <c r="G51" s="12"/>
      <c r="H51" s="12"/>
      <c r="I51" s="160"/>
      <c r="L51" s="70"/>
      <c r="M51" s="315"/>
      <c r="N51" s="315"/>
      <c r="O51" s="315"/>
      <c r="P51" s="316"/>
      <c r="Q51" s="315"/>
      <c r="R51" s="315"/>
      <c r="S51" s="315"/>
      <c r="T51" s="316"/>
      <c r="U51" s="315"/>
      <c r="V51" s="315"/>
      <c r="W51" s="315"/>
      <c r="X51" s="316"/>
      <c r="Y51" s="315"/>
      <c r="Z51" s="315"/>
      <c r="AA51" s="315"/>
      <c r="AB51" s="316"/>
      <c r="AC51" s="315"/>
      <c r="AD51" s="315"/>
      <c r="AE51" s="315"/>
      <c r="AF51" s="316"/>
      <c r="AG51" s="317"/>
      <c r="AH51" s="317"/>
      <c r="AI51" s="317"/>
      <c r="AJ51" s="318"/>
      <c r="AK51" s="393"/>
      <c r="AL51" s="393"/>
      <c r="AM51" s="393"/>
      <c r="AN51" s="472"/>
      <c r="AO51" s="393"/>
      <c r="AP51" s="393"/>
      <c r="AQ51" s="393"/>
      <c r="AR51" s="472"/>
      <c r="AS51" s="393"/>
      <c r="AT51" s="393"/>
      <c r="AU51" s="393"/>
      <c r="AV51" s="472"/>
      <c r="AW51" s="393"/>
      <c r="AX51" s="393"/>
      <c r="AY51" s="393"/>
      <c r="AZ51" s="472"/>
      <c r="BA51" s="393"/>
      <c r="BB51" s="393"/>
      <c r="BC51" s="393"/>
      <c r="BD51" s="472"/>
      <c r="BE51" s="393"/>
      <c r="BF51" s="393"/>
      <c r="BG51" s="393"/>
      <c r="BH51" s="472"/>
      <c r="BI51" s="393"/>
      <c r="BJ51" s="393"/>
      <c r="BK51" s="393"/>
      <c r="BL51" s="472"/>
      <c r="BM51" s="393"/>
      <c r="BN51" s="393"/>
      <c r="BO51" s="393"/>
      <c r="BP51" s="472"/>
      <c r="BQ51" s="393"/>
      <c r="BR51" s="393"/>
      <c r="BS51" s="393"/>
      <c r="BT51" s="472"/>
      <c r="BU51" s="393"/>
      <c r="BV51" s="393"/>
      <c r="BW51" s="393"/>
      <c r="BX51" s="472"/>
      <c r="BY51" s="393"/>
      <c r="BZ51" s="393"/>
      <c r="CA51" s="393"/>
      <c r="CB51" s="472"/>
      <c r="CC51" s="393"/>
      <c r="CD51" s="393"/>
      <c r="CE51" s="393"/>
      <c r="CF51" s="472"/>
      <c r="CG51" s="742"/>
      <c r="CH51" s="320"/>
      <c r="CI51" s="315"/>
      <c r="CJ51" s="315"/>
      <c r="CK51" s="315"/>
      <c r="CL51" s="315"/>
      <c r="CM51" s="388"/>
      <c r="CN51" s="774"/>
      <c r="CO51" s="774"/>
      <c r="CP51" s="774"/>
      <c r="CQ51" s="774"/>
      <c r="CR51" s="774"/>
      <c r="CS51" s="393"/>
      <c r="CT51" s="393"/>
      <c r="CU51" s="393"/>
      <c r="CV51" s="393"/>
      <c r="CW51" s="393"/>
      <c r="CX51" s="393"/>
      <c r="CY51" s="393"/>
      <c r="CZ51" s="315"/>
      <c r="DA51" s="315"/>
      <c r="DB51" s="22"/>
      <c r="DC51" s="22"/>
      <c r="DD51" s="22"/>
      <c r="DE51" s="22"/>
      <c r="DF51" s="1657"/>
      <c r="DH51" s="752"/>
      <c r="DI51" s="752"/>
      <c r="DJ51" s="752"/>
    </row>
    <row r="52" spans="1:114" ht="11.25" customHeight="1">
      <c r="A52" s="82"/>
      <c r="B52" s="292"/>
      <c r="C52" s="292"/>
      <c r="D52" s="292"/>
      <c r="E52" s="292"/>
      <c r="F52" s="82"/>
      <c r="G52" s="82"/>
      <c r="H52" s="82"/>
      <c r="I52" s="163" t="s">
        <v>338</v>
      </c>
      <c r="J52" s="5"/>
      <c r="K52" s="5"/>
      <c r="L52" s="70"/>
      <c r="M52" s="315"/>
      <c r="N52" s="315"/>
      <c r="O52" s="315"/>
      <c r="P52" s="316"/>
      <c r="Q52" s="315"/>
      <c r="R52" s="315"/>
      <c r="S52" s="315"/>
      <c r="T52" s="316"/>
      <c r="U52" s="315"/>
      <c r="V52" s="315"/>
      <c r="W52" s="315"/>
      <c r="X52" s="316"/>
      <c r="Y52" s="315"/>
      <c r="Z52" s="315"/>
      <c r="AA52" s="315"/>
      <c r="AB52" s="316"/>
      <c r="AC52" s="315"/>
      <c r="AD52" s="315"/>
      <c r="AE52" s="315"/>
      <c r="AF52" s="316"/>
      <c r="AG52" s="317"/>
      <c r="AH52" s="317"/>
      <c r="AI52" s="317"/>
      <c r="AJ52" s="318"/>
      <c r="AK52" s="393"/>
      <c r="AL52" s="393"/>
      <c r="AM52" s="393"/>
      <c r="AN52" s="472"/>
      <c r="AO52" s="393"/>
      <c r="AP52" s="393"/>
      <c r="AQ52" s="393"/>
      <c r="AR52" s="472"/>
      <c r="AS52" s="393"/>
      <c r="AT52" s="393"/>
      <c r="AU52" s="393"/>
      <c r="AV52" s="472"/>
      <c r="AW52" s="393"/>
      <c r="AX52" s="393"/>
      <c r="AY52" s="393"/>
      <c r="AZ52" s="472"/>
      <c r="BA52" s="393"/>
      <c r="BB52" s="393"/>
      <c r="BC52" s="393"/>
      <c r="BD52" s="472"/>
      <c r="BE52" s="393"/>
      <c r="BF52" s="393"/>
      <c r="BG52" s="393"/>
      <c r="BH52" s="472"/>
      <c r="BI52" s="393"/>
      <c r="BJ52" s="393"/>
      <c r="BK52" s="393"/>
      <c r="BL52" s="472"/>
      <c r="BM52" s="393"/>
      <c r="BN52" s="393"/>
      <c r="BO52" s="393"/>
      <c r="BP52" s="472"/>
      <c r="BQ52" s="393"/>
      <c r="BR52" s="393"/>
      <c r="BS52" s="393"/>
      <c r="BT52" s="472"/>
      <c r="BU52" s="393"/>
      <c r="BV52" s="393"/>
      <c r="BW52" s="393"/>
      <c r="BX52" s="472"/>
      <c r="BY52" s="393"/>
      <c r="BZ52" s="393"/>
      <c r="CA52" s="393"/>
      <c r="CB52" s="472"/>
      <c r="CC52" s="393"/>
      <c r="CD52" s="393"/>
      <c r="CE52" s="393"/>
      <c r="CF52" s="472"/>
      <c r="CG52" s="742"/>
      <c r="CH52" s="320"/>
      <c r="CI52" s="315"/>
      <c r="CJ52" s="315"/>
      <c r="CK52" s="315"/>
      <c r="CL52" s="315"/>
      <c r="CM52" s="388"/>
      <c r="CN52" s="774"/>
      <c r="CO52" s="774"/>
      <c r="CP52" s="774"/>
      <c r="CQ52" s="774"/>
      <c r="CR52" s="774"/>
      <c r="CS52" s="393"/>
      <c r="CT52" s="393"/>
      <c r="CU52" s="393"/>
      <c r="CV52" s="393"/>
      <c r="CW52" s="393"/>
      <c r="CX52" s="393"/>
      <c r="CY52" s="393"/>
      <c r="CZ52" s="315"/>
      <c r="DA52" s="315"/>
      <c r="DB52" s="22"/>
      <c r="DC52" s="22"/>
      <c r="DD52" s="22"/>
      <c r="DE52" s="22"/>
      <c r="DF52" s="1657"/>
      <c r="DH52" s="752"/>
      <c r="DI52" s="752"/>
      <c r="DJ52" s="752"/>
    </row>
    <row r="53" spans="1:114" ht="11.25" customHeight="1">
      <c r="B53" s="34"/>
      <c r="C53" s="34"/>
      <c r="D53" s="34"/>
      <c r="E53" s="34"/>
      <c r="I53" s="185" t="s">
        <v>7</v>
      </c>
      <c r="J53" s="70"/>
      <c r="K53" s="70"/>
      <c r="L53" s="70"/>
      <c r="M53" s="315"/>
      <c r="N53" s="315"/>
      <c r="O53" s="315"/>
      <c r="P53" s="316"/>
      <c r="Q53" s="315"/>
      <c r="R53" s="315"/>
      <c r="S53" s="315"/>
      <c r="T53" s="316"/>
      <c r="U53" s="315"/>
      <c r="V53" s="315"/>
      <c r="W53" s="315"/>
      <c r="X53" s="316"/>
      <c r="Y53" s="315"/>
      <c r="Z53" s="315"/>
      <c r="AA53" s="315"/>
      <c r="AB53" s="316"/>
      <c r="AC53" s="315"/>
      <c r="AD53" s="315"/>
      <c r="AE53" s="315"/>
      <c r="AF53" s="316"/>
      <c r="AG53" s="317"/>
      <c r="AH53" s="317"/>
      <c r="AI53" s="317"/>
      <c r="AJ53" s="318"/>
      <c r="AK53" s="391">
        <f t="shared" ref="AK53:CF53" si="62">1-AK54</f>
        <v>0.47953561924944743</v>
      </c>
      <c r="AL53" s="391">
        <f t="shared" si="62"/>
        <v>0.4435841935167798</v>
      </c>
      <c r="AM53" s="391">
        <f t="shared" si="62"/>
        <v>0.43302823145173996</v>
      </c>
      <c r="AN53" s="392">
        <f t="shared" si="62"/>
        <v>0.43603873126966775</v>
      </c>
      <c r="AO53" s="391">
        <f t="shared" si="62"/>
        <v>0.40996422178399783</v>
      </c>
      <c r="AP53" s="391">
        <f t="shared" si="62"/>
        <v>0.41341159687482965</v>
      </c>
      <c r="AQ53" s="391">
        <f t="shared" si="62"/>
        <v>0.38995633592417589</v>
      </c>
      <c r="AR53" s="392">
        <f t="shared" si="62"/>
        <v>0.465138716627293</v>
      </c>
      <c r="AS53" s="391">
        <f t="shared" si="62"/>
        <v>0.43793167673740885</v>
      </c>
      <c r="AT53" s="391">
        <f t="shared" si="62"/>
        <v>0.40537698314291737</v>
      </c>
      <c r="AU53" s="391">
        <f t="shared" si="62"/>
        <v>0.36679085045573634</v>
      </c>
      <c r="AV53" s="392">
        <f t="shared" si="62"/>
        <v>0.36696837294994733</v>
      </c>
      <c r="AW53" s="391">
        <f t="shared" si="62"/>
        <v>0.33371055032642483</v>
      </c>
      <c r="AX53" s="391">
        <f t="shared" si="62"/>
        <v>0.33836307760880668</v>
      </c>
      <c r="AY53" s="391">
        <f t="shared" si="62"/>
        <v>0.27983025461807287</v>
      </c>
      <c r="AZ53" s="392">
        <f t="shared" si="62"/>
        <v>0.27626339969372127</v>
      </c>
      <c r="BA53" s="391">
        <f t="shared" si="62"/>
        <v>0.24201500535905685</v>
      </c>
      <c r="BB53" s="391">
        <f t="shared" si="62"/>
        <v>0.22629757785467131</v>
      </c>
      <c r="BC53" s="391">
        <f t="shared" si="62"/>
        <v>0.20265302860795908</v>
      </c>
      <c r="BD53" s="392">
        <f t="shared" si="62"/>
        <v>0.21065375302663436</v>
      </c>
      <c r="BE53" s="391">
        <f t="shared" si="62"/>
        <v>0.18775145283862316</v>
      </c>
      <c r="BF53" s="391">
        <f t="shared" si="62"/>
        <v>0.18788374948833397</v>
      </c>
      <c r="BG53" s="391">
        <f t="shared" si="62"/>
        <v>0.17351889683350352</v>
      </c>
      <c r="BH53" s="392">
        <f t="shared" si="62"/>
        <v>0.16555285540704734</v>
      </c>
      <c r="BI53" s="391">
        <f t="shared" si="62"/>
        <v>0.14967770130012015</v>
      </c>
      <c r="BJ53" s="391">
        <f t="shared" si="62"/>
        <v>0.15202135020262919</v>
      </c>
      <c r="BK53" s="391">
        <f t="shared" si="62"/>
        <v>0.14732930794240595</v>
      </c>
      <c r="BL53" s="392">
        <f t="shared" si="62"/>
        <v>0.15101772816808934</v>
      </c>
      <c r="BM53" s="391">
        <f t="shared" si="62"/>
        <v>0.13330618892508139</v>
      </c>
      <c r="BN53" s="391">
        <f t="shared" si="62"/>
        <v>0.13709558280395917</v>
      </c>
      <c r="BO53" s="391">
        <f t="shared" ref="BO53:BT53" si="63">1-BO54</f>
        <v>0.12609419084135132</v>
      </c>
      <c r="BP53" s="392">
        <f t="shared" si="63"/>
        <v>0.13378365700347128</v>
      </c>
      <c r="BQ53" s="391">
        <f t="shared" si="63"/>
        <v>0.12130671506352086</v>
      </c>
      <c r="BR53" s="391">
        <f t="shared" si="63"/>
        <v>0.12486631016042782</v>
      </c>
      <c r="BS53" s="391">
        <f t="shared" si="63"/>
        <v>0.11503586412234401</v>
      </c>
      <c r="BT53" s="392">
        <f t="shared" si="63"/>
        <v>0.10969621306699961</v>
      </c>
      <c r="BU53" s="391">
        <f t="shared" si="62"/>
        <v>9.8522795739828251E-2</v>
      </c>
      <c r="BV53" s="391">
        <f t="shared" si="62"/>
        <v>0.10606228343063484</v>
      </c>
      <c r="BW53" s="391">
        <f t="shared" si="62"/>
        <v>0.10188010182309848</v>
      </c>
      <c r="BX53" s="392">
        <f t="shared" si="62"/>
        <v>9.6801279274748575E-2</v>
      </c>
      <c r="BY53" s="391">
        <f t="shared" si="62"/>
        <v>8.1525120157600717E-2</v>
      </c>
      <c r="BZ53" s="391">
        <f t="shared" si="62"/>
        <v>9.384931623130266E-2</v>
      </c>
      <c r="CA53" s="391">
        <f t="shared" si="62"/>
        <v>8.9647377999551581E-2</v>
      </c>
      <c r="CB53" s="392">
        <f t="shared" si="62"/>
        <v>8.5033343877641832E-2</v>
      </c>
      <c r="CC53" s="391">
        <f t="shared" si="62"/>
        <v>7.0442899962930627E-2</v>
      </c>
      <c r="CD53" s="391">
        <f t="shared" si="62"/>
        <v>8.0947573811687712E-2</v>
      </c>
      <c r="CE53" s="391">
        <f t="shared" si="62"/>
        <v>8.2073331343961109E-2</v>
      </c>
      <c r="CF53" s="392">
        <f t="shared" si="62"/>
        <v>7.2792258017163713E-2</v>
      </c>
      <c r="CG53" s="742"/>
      <c r="CH53" s="320"/>
      <c r="CI53" s="315"/>
      <c r="CJ53" s="315"/>
      <c r="CK53" s="315"/>
      <c r="CL53" s="315"/>
      <c r="CM53" s="388"/>
      <c r="CN53" s="774"/>
      <c r="CO53" s="391">
        <f>1-CO54</f>
        <v>0.41644638861790972</v>
      </c>
      <c r="CP53" s="391">
        <f>1-CP54</f>
        <v>0.3915461572651181</v>
      </c>
      <c r="CQ53" s="391">
        <f>1-CQ54</f>
        <v>0.30531050592211928</v>
      </c>
      <c r="CR53" s="391">
        <f>1-CR54</f>
        <v>0.21927232431434107</v>
      </c>
      <c r="CS53" s="391">
        <f>1-CS54</f>
        <v>0.17873207759347765</v>
      </c>
      <c r="CT53" s="391">
        <f t="shared" ref="CT53:DF53" si="64">1-CT54</f>
        <v>0.14995022081535747</v>
      </c>
      <c r="CU53" s="391">
        <f>1-CU54</f>
        <v>0.1324453280318092</v>
      </c>
      <c r="CV53" s="391">
        <f>1-CV54</f>
        <v>0.11808456994669358</v>
      </c>
      <c r="CW53" s="391">
        <f t="shared" si="64"/>
        <v>0.10102886360315122</v>
      </c>
      <c r="CX53" s="391">
        <f t="shared" si="64"/>
        <v>8.7633272022615061E-2</v>
      </c>
      <c r="CY53" s="391">
        <f t="shared" si="64"/>
        <v>7.6681517381222863E-2</v>
      </c>
      <c r="CZ53" s="391">
        <f t="shared" si="64"/>
        <v>6.9223033690778979E-2</v>
      </c>
      <c r="DA53" s="391">
        <f t="shared" si="64"/>
        <v>6.3110210747744699E-2</v>
      </c>
      <c r="DB53" s="391">
        <f t="shared" si="64"/>
        <v>5.8024574461815748E-2</v>
      </c>
      <c r="DC53" s="391">
        <f t="shared" si="64"/>
        <v>5.3960241080388882E-2</v>
      </c>
      <c r="DD53" s="391">
        <f t="shared" si="64"/>
        <v>5.0611478303953294E-2</v>
      </c>
      <c r="DE53" s="391">
        <f t="shared" si="64"/>
        <v>4.7844508493394389E-2</v>
      </c>
      <c r="DF53" s="392">
        <f t="shared" si="64"/>
        <v>4.5222581807322526E-2</v>
      </c>
      <c r="DH53" s="752"/>
      <c r="DI53" s="752"/>
      <c r="DJ53" s="752"/>
    </row>
    <row r="54" spans="1:114" ht="11.25" customHeight="1">
      <c r="A54" s="82"/>
      <c r="B54" s="82"/>
      <c r="C54" s="82"/>
      <c r="D54" s="82"/>
      <c r="E54" s="82"/>
      <c r="F54" s="82"/>
      <c r="G54" s="82"/>
      <c r="H54" s="82"/>
      <c r="I54" s="185" t="s">
        <v>283</v>
      </c>
      <c r="J54" s="70"/>
      <c r="K54" s="70"/>
      <c r="L54" s="70"/>
      <c r="M54" s="315"/>
      <c r="N54" s="315"/>
      <c r="O54" s="315"/>
      <c r="P54" s="316"/>
      <c r="Q54" s="315"/>
      <c r="R54" s="315"/>
      <c r="S54" s="315"/>
      <c r="T54" s="316"/>
      <c r="U54" s="315"/>
      <c r="V54" s="315"/>
      <c r="W54" s="315"/>
      <c r="X54" s="316"/>
      <c r="Y54" s="315"/>
      <c r="Z54" s="315"/>
      <c r="AA54" s="315"/>
      <c r="AB54" s="316"/>
      <c r="AC54" s="315"/>
      <c r="AD54" s="315"/>
      <c r="AE54" s="315"/>
      <c r="AF54" s="316"/>
      <c r="AG54" s="317"/>
      <c r="AH54" s="317"/>
      <c r="AI54" s="317"/>
      <c r="AJ54" s="318"/>
      <c r="AK54" s="391">
        <f t="shared" ref="AK54:CF54" si="65">+AK40/AK20</f>
        <v>0.52046438075055257</v>
      </c>
      <c r="AL54" s="391">
        <f t="shared" si="65"/>
        <v>0.5564158064832202</v>
      </c>
      <c r="AM54" s="391">
        <f t="shared" si="65"/>
        <v>0.56697176854826004</v>
      </c>
      <c r="AN54" s="392">
        <f t="shared" si="65"/>
        <v>0.56396126873033225</v>
      </c>
      <c r="AO54" s="391">
        <f t="shared" si="65"/>
        <v>0.59003577821600217</v>
      </c>
      <c r="AP54" s="391">
        <f t="shared" si="65"/>
        <v>0.58658840312517035</v>
      </c>
      <c r="AQ54" s="391">
        <f t="shared" si="65"/>
        <v>0.61004366407582411</v>
      </c>
      <c r="AR54" s="392">
        <f t="shared" si="65"/>
        <v>0.534861283372707</v>
      </c>
      <c r="AS54" s="391">
        <f t="shared" si="65"/>
        <v>0.56206832326259115</v>
      </c>
      <c r="AT54" s="391">
        <f t="shared" si="65"/>
        <v>0.59462301685708263</v>
      </c>
      <c r="AU54" s="391">
        <f t="shared" si="65"/>
        <v>0.63320914954426366</v>
      </c>
      <c r="AV54" s="392">
        <f t="shared" si="65"/>
        <v>0.63303162705005267</v>
      </c>
      <c r="AW54" s="391">
        <f t="shared" si="65"/>
        <v>0.66628944967357517</v>
      </c>
      <c r="AX54" s="391">
        <f t="shared" si="65"/>
        <v>0.66163692239119332</v>
      </c>
      <c r="AY54" s="391">
        <f t="shared" si="65"/>
        <v>0.72016974538192713</v>
      </c>
      <c r="AZ54" s="392">
        <f t="shared" si="65"/>
        <v>0.72373660030627873</v>
      </c>
      <c r="BA54" s="391">
        <f t="shared" si="65"/>
        <v>0.75798499464094315</v>
      </c>
      <c r="BB54" s="391">
        <f t="shared" si="65"/>
        <v>0.77370242214532869</v>
      </c>
      <c r="BC54" s="391">
        <f t="shared" si="65"/>
        <v>0.79734697139204092</v>
      </c>
      <c r="BD54" s="392">
        <f t="shared" si="65"/>
        <v>0.78934624697336564</v>
      </c>
      <c r="BE54" s="391">
        <f t="shared" si="65"/>
        <v>0.81224854716137684</v>
      </c>
      <c r="BF54" s="391">
        <f t="shared" si="65"/>
        <v>0.81211625051166603</v>
      </c>
      <c r="BG54" s="391">
        <f t="shared" si="65"/>
        <v>0.82648110316649648</v>
      </c>
      <c r="BH54" s="392">
        <f t="shared" si="65"/>
        <v>0.83444714459295266</v>
      </c>
      <c r="BI54" s="391">
        <f t="shared" si="65"/>
        <v>0.85032229869987985</v>
      </c>
      <c r="BJ54" s="391">
        <f t="shared" si="65"/>
        <v>0.84797864979737081</v>
      </c>
      <c r="BK54" s="391">
        <f t="shared" si="65"/>
        <v>0.85267069205759405</v>
      </c>
      <c r="BL54" s="392">
        <f t="shared" si="65"/>
        <v>0.84898227183191066</v>
      </c>
      <c r="BM54" s="391">
        <f t="shared" si="65"/>
        <v>0.86669381107491861</v>
      </c>
      <c r="BN54" s="391">
        <f t="shared" si="65"/>
        <v>0.86290441719604083</v>
      </c>
      <c r="BO54" s="391">
        <f t="shared" si="65"/>
        <v>0.87390580915864868</v>
      </c>
      <c r="BP54" s="392">
        <f t="shared" si="65"/>
        <v>0.86621634299652872</v>
      </c>
      <c r="BQ54" s="391">
        <f t="shared" si="65"/>
        <v>0.87869328493647914</v>
      </c>
      <c r="BR54" s="391">
        <f>+BR40/BR20</f>
        <v>0.87513368983957218</v>
      </c>
      <c r="BS54" s="391">
        <f>+BS40/BS20</f>
        <v>0.88496413587765599</v>
      </c>
      <c r="BT54" s="392">
        <f>+BT40/BT20</f>
        <v>0.89030378693300039</v>
      </c>
      <c r="BU54" s="391">
        <f t="shared" si="65"/>
        <v>0.90147720426017175</v>
      </c>
      <c r="BV54" s="391">
        <f t="shared" si="65"/>
        <v>0.89393771656936516</v>
      </c>
      <c r="BW54" s="391">
        <f t="shared" si="65"/>
        <v>0.89811989817690152</v>
      </c>
      <c r="BX54" s="392">
        <f t="shared" si="65"/>
        <v>0.90319872072525142</v>
      </c>
      <c r="BY54" s="391">
        <f t="shared" si="65"/>
        <v>0.91847487984239928</v>
      </c>
      <c r="BZ54" s="391">
        <f t="shared" si="65"/>
        <v>0.90615068376869734</v>
      </c>
      <c r="CA54" s="391">
        <f t="shared" si="65"/>
        <v>0.91035262200044842</v>
      </c>
      <c r="CB54" s="392">
        <f t="shared" si="65"/>
        <v>0.91496665612235817</v>
      </c>
      <c r="CC54" s="391">
        <f t="shared" si="65"/>
        <v>0.92955710003706937</v>
      </c>
      <c r="CD54" s="391">
        <f t="shared" si="65"/>
        <v>0.91905242618831229</v>
      </c>
      <c r="CE54" s="391">
        <f t="shared" si="65"/>
        <v>0.91792666865603889</v>
      </c>
      <c r="CF54" s="392">
        <f t="shared" si="65"/>
        <v>0.92720774198283629</v>
      </c>
      <c r="CG54" s="742"/>
      <c r="CH54" s="320"/>
      <c r="CI54" s="315"/>
      <c r="CJ54" s="315"/>
      <c r="CK54" s="315"/>
      <c r="CL54" s="315"/>
      <c r="CM54" s="388"/>
      <c r="CN54" s="774"/>
      <c r="CO54" s="391">
        <f t="shared" ref="CO54:DF54" si="66">+CO40/CO20</f>
        <v>0.58355361138209028</v>
      </c>
      <c r="CP54" s="391">
        <f t="shared" si="66"/>
        <v>0.6084538427348819</v>
      </c>
      <c r="CQ54" s="391">
        <f t="shared" si="66"/>
        <v>0.69468949407788072</v>
      </c>
      <c r="CR54" s="391">
        <f t="shared" si="66"/>
        <v>0.78072767568565893</v>
      </c>
      <c r="CS54" s="391">
        <f t="shared" si="66"/>
        <v>0.82126792240652235</v>
      </c>
      <c r="CT54" s="391">
        <f t="shared" si="66"/>
        <v>0.85004977918464253</v>
      </c>
      <c r="CU54" s="391">
        <f>+CU40/CU20</f>
        <v>0.8675546719681908</v>
      </c>
      <c r="CV54" s="391">
        <f>+CV40/CV20</f>
        <v>0.88191543005330642</v>
      </c>
      <c r="CW54" s="391">
        <f t="shared" si="66"/>
        <v>0.89897113639684878</v>
      </c>
      <c r="CX54" s="391">
        <f t="shared" si="66"/>
        <v>0.91236672797738494</v>
      </c>
      <c r="CY54" s="391">
        <f t="shared" si="66"/>
        <v>0.92331848261877714</v>
      </c>
      <c r="CZ54" s="391">
        <f t="shared" si="66"/>
        <v>0.93077696630922102</v>
      </c>
      <c r="DA54" s="391">
        <f t="shared" si="66"/>
        <v>0.9368897892522553</v>
      </c>
      <c r="DB54" s="391">
        <f t="shared" si="66"/>
        <v>0.94197542553818425</v>
      </c>
      <c r="DC54" s="391">
        <f t="shared" si="66"/>
        <v>0.94603975891961112</v>
      </c>
      <c r="DD54" s="391">
        <f t="shared" si="66"/>
        <v>0.94938852169604671</v>
      </c>
      <c r="DE54" s="391">
        <f t="shared" si="66"/>
        <v>0.95215549150660561</v>
      </c>
      <c r="DF54" s="392">
        <f t="shared" si="66"/>
        <v>0.95477741819267747</v>
      </c>
      <c r="DH54" s="752"/>
      <c r="DI54" s="752"/>
      <c r="DJ54" s="752"/>
    </row>
    <row r="55" spans="1:114" ht="11.25" customHeight="1">
      <c r="A55" s="48"/>
      <c r="B55" s="48"/>
      <c r="C55" s="48"/>
      <c r="D55" s="48"/>
      <c r="E55" s="48"/>
      <c r="F55" s="48"/>
      <c r="G55" s="48"/>
      <c r="H55" s="48"/>
      <c r="I55" s="185"/>
      <c r="J55" s="70"/>
      <c r="K55" s="70"/>
      <c r="L55" s="70"/>
      <c r="M55" s="315"/>
      <c r="N55" s="315"/>
      <c r="O55" s="315"/>
      <c r="P55" s="316"/>
      <c r="Q55" s="315"/>
      <c r="R55" s="315"/>
      <c r="S55" s="315"/>
      <c r="T55" s="316"/>
      <c r="U55" s="315"/>
      <c r="V55" s="315"/>
      <c r="W55" s="315"/>
      <c r="X55" s="316"/>
      <c r="Y55" s="315"/>
      <c r="Z55" s="315"/>
      <c r="AA55" s="315"/>
      <c r="AB55" s="316"/>
      <c r="AC55" s="315"/>
      <c r="AD55" s="315"/>
      <c r="AE55" s="315"/>
      <c r="AF55" s="316"/>
      <c r="AG55" s="317"/>
      <c r="AH55" s="317"/>
      <c r="AI55" s="317"/>
      <c r="AJ55" s="318"/>
      <c r="AK55" s="393"/>
      <c r="AL55" s="393"/>
      <c r="AM55" s="393"/>
      <c r="AN55" s="472"/>
      <c r="AO55" s="393"/>
      <c r="AP55" s="393"/>
      <c r="AQ55" s="393"/>
      <c r="AR55" s="472"/>
      <c r="AS55" s="393"/>
      <c r="AT55" s="393"/>
      <c r="AU55" s="393"/>
      <c r="AV55" s="472"/>
      <c r="AW55" s="393"/>
      <c r="AX55" s="393"/>
      <c r="AY55" s="393"/>
      <c r="AZ55" s="472"/>
      <c r="BA55" s="393"/>
      <c r="BB55" s="393"/>
      <c r="BC55" s="393"/>
      <c r="BD55" s="472"/>
      <c r="BE55" s="393"/>
      <c r="BF55" s="393"/>
      <c r="BG55" s="393"/>
      <c r="BH55" s="472"/>
      <c r="BI55" s="393"/>
      <c r="BJ55" s="393"/>
      <c r="BK55" s="393"/>
      <c r="BL55" s="472"/>
      <c r="BM55" s="393"/>
      <c r="BN55" s="393"/>
      <c r="BO55" s="393"/>
      <c r="BP55" s="472"/>
      <c r="BQ55" s="393"/>
      <c r="BR55" s="393"/>
      <c r="BS55" s="393"/>
      <c r="BT55" s="472"/>
      <c r="BU55" s="393"/>
      <c r="BV55" s="393"/>
      <c r="BW55" s="393"/>
      <c r="BX55" s="472"/>
      <c r="BY55" s="393"/>
      <c r="BZ55" s="393"/>
      <c r="CA55" s="393"/>
      <c r="CB55" s="472"/>
      <c r="CC55" s="393"/>
      <c r="CD55" s="393"/>
      <c r="CE55" s="393"/>
      <c r="CF55" s="472"/>
      <c r="CG55" s="742"/>
      <c r="CH55" s="320"/>
      <c r="CI55" s="315"/>
      <c r="CJ55" s="315"/>
      <c r="CK55" s="315"/>
      <c r="CL55" s="315"/>
      <c r="CM55" s="388"/>
      <c r="CN55" s="774"/>
      <c r="CO55" s="774"/>
      <c r="CP55" s="774"/>
      <c r="CQ55" s="774"/>
      <c r="CR55" s="774"/>
      <c r="CS55" s="393"/>
      <c r="CT55" s="393"/>
      <c r="CU55" s="393"/>
      <c r="CV55" s="393"/>
      <c r="CW55" s="393"/>
      <c r="CX55" s="393"/>
      <c r="CY55" s="393"/>
      <c r="CZ55" s="315"/>
      <c r="DA55" s="315"/>
      <c r="DB55" s="22"/>
      <c r="DC55" s="22"/>
      <c r="DD55" s="22"/>
      <c r="DE55" s="22"/>
      <c r="DF55" s="1657"/>
      <c r="DH55" s="752"/>
      <c r="DI55" s="752"/>
      <c r="DJ55" s="752"/>
    </row>
    <row r="56" spans="1:114" ht="11.25" customHeight="1">
      <c r="A56" s="12"/>
      <c r="B56" s="13"/>
      <c r="C56" s="13"/>
      <c r="D56" s="13"/>
      <c r="E56" s="13"/>
      <c r="F56" s="12"/>
      <c r="G56" s="12"/>
      <c r="H56" s="12"/>
      <c r="I56" s="185"/>
      <c r="J56" s="70"/>
      <c r="K56" s="70"/>
      <c r="L56" s="70"/>
      <c r="M56" s="315"/>
      <c r="N56" s="315"/>
      <c r="O56" s="315"/>
      <c r="P56" s="316"/>
      <c r="Q56" s="315"/>
      <c r="R56" s="315"/>
      <c r="S56" s="315"/>
      <c r="T56" s="316"/>
      <c r="U56" s="315"/>
      <c r="V56" s="315"/>
      <c r="W56" s="315"/>
      <c r="X56" s="316"/>
      <c r="Y56" s="315"/>
      <c r="Z56" s="315"/>
      <c r="AA56" s="315"/>
      <c r="AB56" s="316"/>
      <c r="AC56" s="315"/>
      <c r="AD56" s="315"/>
      <c r="AE56" s="315"/>
      <c r="AF56" s="316"/>
      <c r="AG56" s="317"/>
      <c r="AH56" s="317"/>
      <c r="AI56" s="317"/>
      <c r="AJ56" s="318"/>
      <c r="AK56" s="393"/>
      <c r="AL56" s="393"/>
      <c r="AM56" s="393"/>
      <c r="AN56" s="472"/>
      <c r="AO56" s="393"/>
      <c r="AP56" s="393"/>
      <c r="AQ56" s="393"/>
      <c r="AR56" s="472"/>
      <c r="AS56" s="393"/>
      <c r="AT56" s="393"/>
      <c r="AU56" s="393"/>
      <c r="AV56" s="472"/>
      <c r="AW56" s="393"/>
      <c r="AX56" s="393"/>
      <c r="AY56" s="393"/>
      <c r="AZ56" s="472"/>
      <c r="BA56" s="393"/>
      <c r="BB56" s="393"/>
      <c r="BC56" s="393"/>
      <c r="BD56" s="472"/>
      <c r="BE56" s="393"/>
      <c r="BF56" s="393"/>
      <c r="BG56" s="393"/>
      <c r="BH56" s="472"/>
      <c r="BI56" s="393"/>
      <c r="BJ56" s="393"/>
      <c r="BK56" s="393"/>
      <c r="BL56" s="472"/>
      <c r="BM56" s="393"/>
      <c r="BN56" s="393"/>
      <c r="BO56" s="393"/>
      <c r="BP56" s="472"/>
      <c r="BQ56" s="393"/>
      <c r="BR56" s="393"/>
      <c r="BS56" s="393"/>
      <c r="BT56" s="472"/>
      <c r="BU56" s="393"/>
      <c r="BV56" s="393"/>
      <c r="BW56" s="393"/>
      <c r="BX56" s="472"/>
      <c r="BY56" s="393"/>
      <c r="BZ56" s="393"/>
      <c r="CA56" s="393"/>
      <c r="CB56" s="472"/>
      <c r="CC56" s="393"/>
      <c r="CD56" s="393"/>
      <c r="CE56" s="393"/>
      <c r="CF56" s="472"/>
      <c r="CG56" s="742"/>
      <c r="CH56" s="320"/>
      <c r="CI56" s="315"/>
      <c r="CJ56" s="315"/>
      <c r="CK56" s="315"/>
      <c r="CL56" s="315"/>
      <c r="CM56" s="388"/>
      <c r="CN56" s="774"/>
      <c r="CO56" s="774"/>
      <c r="CP56" s="774"/>
      <c r="CQ56" s="774"/>
      <c r="CR56" s="774"/>
      <c r="CS56" s="393"/>
      <c r="CT56" s="393"/>
      <c r="CU56" s="393"/>
      <c r="CV56" s="393"/>
      <c r="CW56" s="393"/>
      <c r="CX56" s="393"/>
      <c r="CY56" s="393"/>
      <c r="CZ56" s="315"/>
      <c r="DA56" s="315"/>
      <c r="DB56" s="22"/>
      <c r="DC56" s="22"/>
      <c r="DD56" s="22"/>
      <c r="DE56" s="22"/>
      <c r="DF56" s="1657"/>
      <c r="DH56" s="752"/>
      <c r="DI56" s="752"/>
      <c r="DJ56" s="752"/>
    </row>
    <row r="57" spans="1:114" s="3" customFormat="1" ht="11.25" customHeight="1">
      <c r="A57" s="12"/>
      <c r="B57" s="12"/>
      <c r="C57" s="12"/>
      <c r="D57" s="12"/>
      <c r="E57" s="12"/>
      <c r="F57" s="12"/>
      <c r="G57" s="12"/>
      <c r="H57" s="12"/>
      <c r="I57" s="728" t="s">
        <v>339</v>
      </c>
      <c r="J57" s="7"/>
      <c r="K57" s="7"/>
      <c r="L57" s="7"/>
      <c r="M57" s="361"/>
      <c r="N57" s="361"/>
      <c r="O57" s="361"/>
      <c r="P57" s="362"/>
      <c r="Q57" s="361"/>
      <c r="R57" s="361"/>
      <c r="S57" s="361"/>
      <c r="T57" s="362"/>
      <c r="U57" s="361"/>
      <c r="V57" s="361"/>
      <c r="W57" s="361"/>
      <c r="X57" s="362"/>
      <c r="Y57" s="361"/>
      <c r="Z57" s="361"/>
      <c r="AA57" s="361"/>
      <c r="AB57" s="362"/>
      <c r="AC57" s="361"/>
      <c r="AD57" s="361"/>
      <c r="AE57" s="361"/>
      <c r="AF57" s="362"/>
      <c r="AG57" s="388"/>
      <c r="AH57" s="388"/>
      <c r="AI57" s="388"/>
      <c r="AJ57" s="387"/>
      <c r="AK57" s="525">
        <f>+AK53*0+AK54*AK42</f>
        <v>8.3213882074507195E-2</v>
      </c>
      <c r="AL57" s="525">
        <f t="shared" ref="AL57:CF57" si="67">+AL53*0+AL54*AL42</f>
        <v>7.2842550230693123E-2</v>
      </c>
      <c r="AM57" s="525">
        <f t="shared" si="67"/>
        <v>6.5219877535805382E-2</v>
      </c>
      <c r="AN57" s="526">
        <f t="shared" si="67"/>
        <v>0.13027561856479319</v>
      </c>
      <c r="AO57" s="525">
        <f>+AO53*0+AO54*AO42</f>
        <v>0.14556289454262397</v>
      </c>
      <c r="AP57" s="525">
        <f t="shared" si="67"/>
        <v>0.14268668573674295</v>
      </c>
      <c r="AQ57" s="525">
        <f t="shared" si="67"/>
        <v>8.5046663822106003E-2</v>
      </c>
      <c r="AR57" s="526">
        <f t="shared" si="67"/>
        <v>-5.9157470816737681E-2</v>
      </c>
      <c r="AS57" s="525">
        <f t="shared" si="67"/>
        <v>-0.10241134194793704</v>
      </c>
      <c r="AT57" s="525">
        <f t="shared" si="67"/>
        <v>-0.10760533056400479</v>
      </c>
      <c r="AU57" s="525">
        <f t="shared" si="67"/>
        <v>-6.7520668247712162E-2</v>
      </c>
      <c r="AV57" s="526">
        <f t="shared" si="67"/>
        <v>7.2484674391877987E-2</v>
      </c>
      <c r="AW57" s="525">
        <f t="shared" si="67"/>
        <v>5.3447696468529225E-2</v>
      </c>
      <c r="AX57" s="525">
        <f t="shared" si="67"/>
        <v>-5.0362897248835241E-2</v>
      </c>
      <c r="AY57" s="525">
        <f t="shared" si="67"/>
        <v>-7.6837267471436863E-2</v>
      </c>
      <c r="AZ57" s="526">
        <f t="shared" si="67"/>
        <v>-4.4548648462389893E-2</v>
      </c>
      <c r="BA57" s="525">
        <f t="shared" si="67"/>
        <v>6.8726890420110417E-3</v>
      </c>
      <c r="BB57" s="525">
        <f t="shared" si="67"/>
        <v>0.15242329247989281</v>
      </c>
      <c r="BC57" s="525">
        <f t="shared" si="67"/>
        <v>9.1925676310123675E-2</v>
      </c>
      <c r="BD57" s="526">
        <f t="shared" si="67"/>
        <v>-1.0638302973914854E-2</v>
      </c>
      <c r="BE57" s="525">
        <f t="shared" si="67"/>
        <v>-3.121276374103155E-2</v>
      </c>
      <c r="BF57" s="525">
        <f t="shared" si="67"/>
        <v>-9.0999151311805374E-2</v>
      </c>
      <c r="BG57" s="525">
        <f t="shared" si="67"/>
        <v>-8.9710887496926378E-2</v>
      </c>
      <c r="BH57" s="526">
        <f t="shared" si="67"/>
        <v>-1.8026788620613455E-2</v>
      </c>
      <c r="BI57" s="525">
        <f t="shared" si="67"/>
        <v>-1.8610062416968608E-3</v>
      </c>
      <c r="BJ57" s="525">
        <f t="shared" si="67"/>
        <v>1.1568525934735942E-3</v>
      </c>
      <c r="BK57" s="525">
        <f t="shared" si="67"/>
        <v>6.8590395389214456E-3</v>
      </c>
      <c r="BL57" s="526">
        <f t="shared" si="67"/>
        <v>-6.718920491309008E-3</v>
      </c>
      <c r="BM57" s="525">
        <f t="shared" si="67"/>
        <v>-1.0861790354907782E-2</v>
      </c>
      <c r="BN57" s="525">
        <f t="shared" si="67"/>
        <v>1.0093537506192272E-2</v>
      </c>
      <c r="BO57" s="525">
        <f>+BO53*0+BO54*BO42</f>
        <v>-3.4541129487172186E-3</v>
      </c>
      <c r="BP57" s="526">
        <f t="shared" ref="BP57:BX57" si="68">+BP53*0+BP54*BP42</f>
        <v>-6.9187885937255583E-2</v>
      </c>
      <c r="BQ57" s="525">
        <f>+BQ53*0+BQ54*BQ42</f>
        <v>-0.13419990358599074</v>
      </c>
      <c r="BR57" s="525">
        <f>+BR53*0+BR54*BR42</f>
        <v>-0.15691277407447077</v>
      </c>
      <c r="BS57" s="525">
        <f>+BS53*0+BS54*BS42</f>
        <v>-0.1481289306907799</v>
      </c>
      <c r="BT57" s="526">
        <f>+BT53*0+BT54*BT42</f>
        <v>-0.11702003321870257</v>
      </c>
      <c r="BU57" s="525">
        <f>+'Bookings and Drivers'!BU18</f>
        <v>-5.1070780399274041E-2</v>
      </c>
      <c r="BV57" s="525">
        <f t="shared" si="68"/>
        <v>-1.6592040122384629E-2</v>
      </c>
      <c r="BW57" s="525">
        <f t="shared" si="68"/>
        <v>-1.1146367651723312E-2</v>
      </c>
      <c r="BX57" s="526">
        <f t="shared" si="68"/>
        <v>-2.3207461135675754E-2</v>
      </c>
      <c r="BY57" s="525">
        <f t="shared" si="67"/>
        <v>-2.9401893107762436E-2</v>
      </c>
      <c r="BZ57" s="525">
        <f t="shared" si="67"/>
        <v>-2.6971936117361522E-2</v>
      </c>
      <c r="CA57" s="525">
        <f t="shared" si="67"/>
        <v>1.9660360220411274E-2</v>
      </c>
      <c r="CB57" s="526">
        <f t="shared" si="67"/>
        <v>5.2628085235402924E-2</v>
      </c>
      <c r="CC57" s="525">
        <f t="shared" si="67"/>
        <v>6.171233571310078E-2</v>
      </c>
      <c r="CD57" s="525">
        <f t="shared" si="67"/>
        <v>3.4986884159618183E-2</v>
      </c>
      <c r="CE57" s="525">
        <f t="shared" si="67"/>
        <v>-4.557675090678546E-3</v>
      </c>
      <c r="CF57" s="526">
        <f t="shared" si="67"/>
        <v>3.6821902121040105E-2</v>
      </c>
      <c r="CG57" s="761"/>
      <c r="CH57" s="366"/>
      <c r="CI57" s="361"/>
      <c r="CJ57" s="361"/>
      <c r="CK57" s="361"/>
      <c r="CL57" s="361"/>
      <c r="CM57" s="388"/>
      <c r="CN57" s="772"/>
      <c r="CO57" s="525">
        <f t="shared" ref="CO57:DF57" si="69">+CO53*0+CO54*CO42</f>
        <v>3.2802420937837057E-3</v>
      </c>
      <c r="CP57" s="525">
        <f t="shared" si="69"/>
        <v>-5.8505127907454768E-2</v>
      </c>
      <c r="CQ57" s="525">
        <f t="shared" si="69"/>
        <v>-2.3317772499692517E-2</v>
      </c>
      <c r="CR57" s="525">
        <f t="shared" si="69"/>
        <v>1.2390599810113089E-3</v>
      </c>
      <c r="CS57" s="525">
        <f>+CS53*0+CS54*CS42</f>
        <v>-5.4851299737803866E-2</v>
      </c>
      <c r="CT57" s="525">
        <f>+CT53*0+CT54*CT42</f>
        <v>-2.1106341786858104E-4</v>
      </c>
      <c r="CU57" s="525">
        <f>+CU53*0+CU54*CU42</f>
        <v>-1.9592559987190242E-2</v>
      </c>
      <c r="CV57" s="525">
        <f>+CV53*0+CV54*CV42</f>
        <v>-0.13896771583995177</v>
      </c>
      <c r="CW57" s="525">
        <f>+CW53*0+CW54*CW42</f>
        <v>-2.5412829772573559E-2</v>
      </c>
      <c r="CX57" s="525">
        <f t="shared" si="69"/>
        <v>2.380801179736703E-2</v>
      </c>
      <c r="CY57" s="525">
        <f t="shared" si="69"/>
        <v>3.0660110734828074E-2</v>
      </c>
      <c r="CZ57" s="525">
        <f>+CZ53*0+CZ54*CZ42</f>
        <v>1.800640704885353E-4</v>
      </c>
      <c r="DA57" s="525">
        <f>+DA53*0+DA54*DA42</f>
        <v>0</v>
      </c>
      <c r="DB57" s="525">
        <f>+DB53*0+DB54*DB42</f>
        <v>0</v>
      </c>
      <c r="DC57" s="525">
        <f t="shared" si="69"/>
        <v>0</v>
      </c>
      <c r="DD57" s="525">
        <f t="shared" si="69"/>
        <v>0</v>
      </c>
      <c r="DE57" s="525">
        <f t="shared" si="69"/>
        <v>0</v>
      </c>
      <c r="DF57" s="526">
        <f t="shared" si="69"/>
        <v>0</v>
      </c>
      <c r="DG57"/>
      <c r="DH57" s="762"/>
      <c r="DI57" s="762"/>
      <c r="DJ57" s="762"/>
    </row>
    <row r="58" spans="1:114" ht="11.25" customHeight="1">
      <c r="A58" s="12"/>
      <c r="B58" s="12"/>
      <c r="C58" s="12"/>
      <c r="D58" s="12"/>
      <c r="E58" s="12"/>
      <c r="F58" s="12"/>
      <c r="G58" s="12"/>
      <c r="H58" s="12"/>
      <c r="I58" s="185"/>
      <c r="J58" s="70"/>
      <c r="K58" s="70"/>
      <c r="L58" s="70"/>
      <c r="M58" s="315"/>
      <c r="N58" s="315"/>
      <c r="O58" s="315"/>
      <c r="P58" s="316"/>
      <c r="Q58" s="315"/>
      <c r="R58" s="315"/>
      <c r="S58" s="315"/>
      <c r="T58" s="316"/>
      <c r="U58" s="315"/>
      <c r="V58" s="315"/>
      <c r="W58" s="315"/>
      <c r="X58" s="316"/>
      <c r="Y58" s="315"/>
      <c r="Z58" s="315"/>
      <c r="AA58" s="315"/>
      <c r="AB58" s="316"/>
      <c r="AC58" s="315"/>
      <c r="AD58" s="315"/>
      <c r="AE58" s="315"/>
      <c r="AF58" s="316"/>
      <c r="AG58" s="317"/>
      <c r="AH58" s="317"/>
      <c r="AI58" s="317"/>
      <c r="AJ58" s="318"/>
      <c r="AK58" s="393"/>
      <c r="AL58" s="393"/>
      <c r="AM58" s="393"/>
      <c r="AN58" s="472"/>
      <c r="AO58" s="393"/>
      <c r="AP58" s="393"/>
      <c r="AQ58" s="393"/>
      <c r="AR58" s="472"/>
      <c r="AS58" s="393"/>
      <c r="AT58" s="393"/>
      <c r="AU58" s="393"/>
      <c r="AV58" s="472"/>
      <c r="AW58" s="393"/>
      <c r="AX58" s="393"/>
      <c r="AY58" s="393"/>
      <c r="AZ58" s="472"/>
      <c r="BA58" s="393"/>
      <c r="BB58" s="393"/>
      <c r="BC58" s="393"/>
      <c r="BD58" s="472"/>
      <c r="BE58" s="393"/>
      <c r="BF58" s="393"/>
      <c r="BG58" s="393"/>
      <c r="BH58" s="472"/>
      <c r="BI58" s="393"/>
      <c r="BJ58" s="393"/>
      <c r="BK58" s="393"/>
      <c r="BL58" s="472"/>
      <c r="BM58" s="393"/>
      <c r="BN58" s="393"/>
      <c r="BO58" s="393"/>
      <c r="BP58" s="472"/>
      <c r="BQ58" s="393"/>
      <c r="BR58" s="393"/>
      <c r="BS58" s="393"/>
      <c r="BT58" s="472"/>
      <c r="BU58" s="393"/>
      <c r="BV58" s="393"/>
      <c r="BW58" s="393"/>
      <c r="BX58" s="472"/>
      <c r="BY58" s="393"/>
      <c r="BZ58" s="393"/>
      <c r="CA58" s="393"/>
      <c r="CB58" s="472"/>
      <c r="CC58" s="393"/>
      <c r="CD58" s="393"/>
      <c r="CE58" s="393"/>
      <c r="CF58" s="472"/>
      <c r="CG58" s="742"/>
      <c r="CH58" s="320"/>
      <c r="CI58" s="315"/>
      <c r="CJ58" s="315"/>
      <c r="CK58" s="315"/>
      <c r="CL58" s="315"/>
      <c r="CM58" s="388"/>
      <c r="CN58" s="774"/>
      <c r="CO58" s="774"/>
      <c r="CP58" s="774"/>
      <c r="CQ58" s="774"/>
      <c r="CR58" s="774"/>
      <c r="CS58" s="774"/>
      <c r="CT58" s="774"/>
      <c r="CU58" s="393"/>
      <c r="CV58" s="774"/>
      <c r="CW58" s="774"/>
      <c r="CX58" s="774"/>
      <c r="CY58" s="774"/>
      <c r="CZ58" s="315"/>
      <c r="DA58" s="315"/>
      <c r="DB58" s="22"/>
      <c r="DC58" s="22"/>
      <c r="DD58" s="22"/>
      <c r="DE58" s="22"/>
      <c r="DF58" s="1657"/>
      <c r="DH58" s="752"/>
      <c r="DI58" s="752"/>
      <c r="DJ58" s="752"/>
    </row>
    <row r="59" spans="1:114" ht="11.25" customHeight="1">
      <c r="A59" s="12"/>
      <c r="B59" s="12"/>
      <c r="C59" s="12"/>
      <c r="D59" s="12"/>
      <c r="E59" s="12"/>
      <c r="F59" s="12"/>
      <c r="G59" s="12"/>
      <c r="H59" s="12"/>
      <c r="I59" s="185"/>
      <c r="J59" s="70"/>
      <c r="K59" s="70"/>
      <c r="L59" s="70"/>
      <c r="M59" s="315"/>
      <c r="N59" s="315"/>
      <c r="O59" s="315"/>
      <c r="P59" s="316"/>
      <c r="Q59" s="315"/>
      <c r="R59" s="315"/>
      <c r="S59" s="315"/>
      <c r="T59" s="316"/>
      <c r="U59" s="315"/>
      <c r="V59" s="315"/>
      <c r="W59" s="315"/>
      <c r="X59" s="316"/>
      <c r="Y59" s="315"/>
      <c r="Z59" s="315"/>
      <c r="AA59" s="315"/>
      <c r="AB59" s="316"/>
      <c r="AC59" s="315"/>
      <c r="AD59" s="315"/>
      <c r="AE59" s="315"/>
      <c r="AF59" s="316"/>
      <c r="AG59" s="317"/>
      <c r="AH59" s="317"/>
      <c r="AI59" s="317"/>
      <c r="AJ59" s="318"/>
      <c r="AK59" s="393"/>
      <c r="AL59" s="393"/>
      <c r="AM59" s="393"/>
      <c r="AN59" s="472"/>
      <c r="AO59" s="393"/>
      <c r="AP59" s="393"/>
      <c r="AQ59" s="393"/>
      <c r="AR59" s="472"/>
      <c r="AS59" s="393"/>
      <c r="AT59" s="393"/>
      <c r="AU59" s="393"/>
      <c r="AV59" s="472"/>
      <c r="AW59" s="393"/>
      <c r="AX59" s="393"/>
      <c r="AY59" s="393"/>
      <c r="AZ59" s="472"/>
      <c r="BA59" s="393"/>
      <c r="BB59" s="393"/>
      <c r="BC59" s="393"/>
      <c r="BD59" s="472"/>
      <c r="BE59" s="393"/>
      <c r="BF59" s="393"/>
      <c r="BG59" s="393"/>
      <c r="BH59" s="472"/>
      <c r="BI59" s="393"/>
      <c r="BJ59" s="393"/>
      <c r="BK59" s="393"/>
      <c r="BL59" s="472"/>
      <c r="BM59" s="393"/>
      <c r="BN59" s="393"/>
      <c r="BO59" s="393"/>
      <c r="BP59" s="472"/>
      <c r="BQ59" s="393"/>
      <c r="BR59" s="393"/>
      <c r="BS59" s="393"/>
      <c r="BT59" s="472"/>
      <c r="BU59" s="393"/>
      <c r="BV59" s="393"/>
      <c r="BW59" s="393"/>
      <c r="BX59" s="472"/>
      <c r="BY59" s="393"/>
      <c r="BZ59" s="393"/>
      <c r="CA59" s="393"/>
      <c r="CB59" s="472"/>
      <c r="CC59" s="393"/>
      <c r="CD59" s="393"/>
      <c r="CE59" s="393"/>
      <c r="CF59" s="472"/>
      <c r="CG59" s="742"/>
      <c r="CH59" s="320"/>
      <c r="CI59" s="315"/>
      <c r="CJ59" s="315"/>
      <c r="CK59" s="315"/>
      <c r="CL59" s="315"/>
      <c r="CM59" s="388"/>
      <c r="CN59" s="774"/>
      <c r="CO59" s="774"/>
      <c r="CP59" s="774"/>
      <c r="CQ59" s="774"/>
      <c r="CR59" s="774"/>
      <c r="CS59" s="774"/>
      <c r="CT59" s="774"/>
      <c r="CU59" s="393"/>
      <c r="CV59" s="774"/>
      <c r="CW59" s="774"/>
      <c r="CX59" s="774"/>
      <c r="CY59" s="774"/>
      <c r="CZ59" s="315"/>
      <c r="DA59" s="315"/>
      <c r="DB59" s="22"/>
      <c r="DC59" s="22"/>
      <c r="DD59" s="22"/>
      <c r="DE59" s="22"/>
      <c r="DF59" s="1657"/>
      <c r="DH59" s="752"/>
      <c r="DI59" s="752"/>
      <c r="DJ59" s="752"/>
    </row>
    <row r="60" spans="1:114" s="54" customFormat="1" ht="11.25" customHeight="1">
      <c r="A60" s="1421"/>
      <c r="B60" s="1421"/>
      <c r="C60" s="1421"/>
      <c r="D60" s="1421"/>
      <c r="E60" s="1421"/>
      <c r="F60" s="1421"/>
      <c r="G60" s="1421"/>
      <c r="H60" s="1421"/>
      <c r="I60" s="1422" t="s">
        <v>572</v>
      </c>
      <c r="J60" s="80"/>
      <c r="K60" s="80"/>
      <c r="L60" s="80"/>
      <c r="M60" s="1423"/>
      <c r="N60" s="1423"/>
      <c r="O60" s="1423"/>
      <c r="P60" s="1424"/>
      <c r="Q60" s="1423"/>
      <c r="R60" s="1423"/>
      <c r="S60" s="1423"/>
      <c r="T60" s="1424"/>
      <c r="U60" s="1423"/>
      <c r="V60" s="1423"/>
      <c r="W60" s="1423"/>
      <c r="X60" s="1424"/>
      <c r="Y60" s="1423"/>
      <c r="Z60" s="1423"/>
      <c r="AA60" s="1423"/>
      <c r="AB60" s="1424"/>
      <c r="AC60" s="1423"/>
      <c r="AD60" s="1423"/>
      <c r="AE60" s="1423"/>
      <c r="AF60" s="1424"/>
      <c r="AG60" s="1425"/>
      <c r="AH60" s="1425"/>
      <c r="AI60" s="1425"/>
      <c r="AJ60" s="1426"/>
      <c r="AK60" s="1427"/>
      <c r="AL60" s="1427"/>
      <c r="AM60" s="1427"/>
      <c r="AN60" s="1428"/>
      <c r="AO60" s="1427"/>
      <c r="AP60" s="1427"/>
      <c r="AQ60" s="1427"/>
      <c r="AR60" s="1428"/>
      <c r="AS60" s="1427"/>
      <c r="AT60" s="1427"/>
      <c r="AU60" s="1427"/>
      <c r="AV60" s="1428"/>
      <c r="AW60" s="1427"/>
      <c r="AX60" s="1427"/>
      <c r="AY60" s="1427"/>
      <c r="AZ60" s="1428"/>
      <c r="BA60" s="1427"/>
      <c r="BB60" s="1427"/>
      <c r="BC60" s="1427"/>
      <c r="BD60" s="1428"/>
      <c r="BE60" s="1427"/>
      <c r="BF60" s="1427"/>
      <c r="BG60" s="1427"/>
      <c r="BH60" s="1428"/>
      <c r="BI60" s="1427"/>
      <c r="BJ60" s="1427"/>
      <c r="BK60" s="1427"/>
      <c r="BL60" s="1428"/>
      <c r="BM60" s="1427"/>
      <c r="BN60" s="1427"/>
      <c r="BO60" s="1427"/>
      <c r="BP60" s="1428"/>
      <c r="BQ60" s="1427"/>
      <c r="BR60" s="1427"/>
      <c r="BS60" s="1427"/>
      <c r="BT60" s="1428"/>
      <c r="BU60" s="1427"/>
      <c r="BV60" s="1427"/>
      <c r="BW60" s="1427"/>
      <c r="BX60" s="1428"/>
      <c r="BY60" s="1427"/>
      <c r="BZ60" s="1427"/>
      <c r="CA60" s="1427"/>
      <c r="CB60" s="1428"/>
      <c r="CC60" s="1427"/>
      <c r="CD60" s="1427"/>
      <c r="CE60" s="1427"/>
      <c r="CF60" s="1428"/>
      <c r="CG60" s="1429"/>
      <c r="CH60" s="1430"/>
      <c r="CI60" s="1423"/>
      <c r="CJ60" s="1423"/>
      <c r="CK60" s="1423"/>
      <c r="CL60" s="1423"/>
      <c r="CM60" s="1431"/>
      <c r="CN60" s="1432"/>
      <c r="CO60" s="1432"/>
      <c r="CP60" s="1432"/>
      <c r="CQ60" s="1432"/>
      <c r="CR60" s="1432"/>
      <c r="CS60" s="1432"/>
      <c r="CT60" s="1432"/>
      <c r="CU60" s="1427"/>
      <c r="CV60" s="1432"/>
      <c r="CW60" s="1432"/>
      <c r="CX60" s="1432"/>
      <c r="CY60" s="1432"/>
      <c r="CZ60" s="1423"/>
      <c r="DA60" s="1423"/>
      <c r="DB60" s="1816"/>
      <c r="DC60" s="1816"/>
      <c r="DD60" s="1816"/>
      <c r="DE60" s="1816"/>
      <c r="DF60" s="1817"/>
      <c r="DG60" s="1433"/>
      <c r="DH60" s="1434"/>
      <c r="DI60" s="1434"/>
      <c r="DJ60" s="1434"/>
    </row>
    <row r="61" spans="1:114" ht="11.25" customHeight="1">
      <c r="A61" s="12"/>
      <c r="B61" s="12"/>
      <c r="C61" s="12"/>
      <c r="D61" s="12"/>
      <c r="E61" s="12"/>
      <c r="F61" s="12"/>
      <c r="G61" s="12"/>
      <c r="H61" s="12"/>
      <c r="I61" s="185" t="s">
        <v>566</v>
      </c>
      <c r="J61" s="70"/>
      <c r="K61" s="70"/>
      <c r="L61" s="70"/>
      <c r="M61" s="315"/>
      <c r="N61" s="315"/>
      <c r="O61" s="315"/>
      <c r="P61" s="316"/>
      <c r="Q61" s="315"/>
      <c r="R61" s="315"/>
      <c r="S61" s="315"/>
      <c r="T61" s="316"/>
      <c r="U61" s="315"/>
      <c r="V61" s="315"/>
      <c r="W61" s="315"/>
      <c r="X61" s="316"/>
      <c r="Y61" s="315"/>
      <c r="Z61" s="315"/>
      <c r="AA61" s="315"/>
      <c r="AB61" s="316"/>
      <c r="AC61" s="315"/>
      <c r="AD61" s="315"/>
      <c r="AE61" s="315"/>
      <c r="AF61" s="316"/>
      <c r="AG61" s="317"/>
      <c r="AH61" s="317"/>
      <c r="AI61" s="317"/>
      <c r="AJ61" s="318"/>
      <c r="AK61" s="393"/>
      <c r="AL61" s="393"/>
      <c r="AM61" s="393"/>
      <c r="AN61" s="472"/>
      <c r="AO61" s="393"/>
      <c r="AP61" s="393"/>
      <c r="AQ61" s="393"/>
      <c r="AR61" s="472"/>
      <c r="AS61" s="393"/>
      <c r="AT61" s="393"/>
      <c r="AU61" s="393"/>
      <c r="AV61" s="472"/>
      <c r="AW61" s="393"/>
      <c r="AX61" s="393"/>
      <c r="AY61" s="393"/>
      <c r="AZ61" s="472">
        <v>0.57999999999999996</v>
      </c>
      <c r="BA61" s="393">
        <v>0.66</v>
      </c>
      <c r="BB61" s="393">
        <v>0.53</v>
      </c>
      <c r="BC61" s="393">
        <v>0.53</v>
      </c>
      <c r="BD61" s="472">
        <v>0.49</v>
      </c>
      <c r="BE61" s="393">
        <v>0.43</v>
      </c>
      <c r="BF61" s="393">
        <v>0.41</v>
      </c>
      <c r="BG61" s="393">
        <v>0.23</v>
      </c>
      <c r="BH61" s="472">
        <v>0.28000000000000003</v>
      </c>
      <c r="BI61" s="393">
        <v>0.35</v>
      </c>
      <c r="BJ61" s="393">
        <v>0.33</v>
      </c>
      <c r="BK61" s="393">
        <v>0.3</v>
      </c>
      <c r="BL61" s="472">
        <v>0.28000000000000003</v>
      </c>
      <c r="BM61" s="393">
        <v>0.25</v>
      </c>
      <c r="BN61" s="393">
        <v>0.21</v>
      </c>
      <c r="BO61" s="393">
        <v>0.21</v>
      </c>
      <c r="BP61" s="472">
        <v>0.16</v>
      </c>
      <c r="BQ61" s="393">
        <v>0.17</v>
      </c>
      <c r="BR61" s="393">
        <v>0.17</v>
      </c>
      <c r="BS61" s="393">
        <v>0.16</v>
      </c>
      <c r="BT61" s="472">
        <v>0.17</v>
      </c>
      <c r="BU61" s="393"/>
      <c r="BV61" s="393"/>
      <c r="BW61" s="393"/>
      <c r="BX61" s="472"/>
      <c r="BY61" s="393"/>
      <c r="BZ61" s="393"/>
      <c r="CA61" s="393"/>
      <c r="CB61" s="472"/>
      <c r="CC61" s="393"/>
      <c r="CD61" s="393"/>
      <c r="CE61" s="393"/>
      <c r="CF61" s="472"/>
      <c r="CG61" s="742"/>
      <c r="CH61" s="320"/>
      <c r="CI61" s="315"/>
      <c r="CJ61" s="315"/>
      <c r="CK61" s="315"/>
      <c r="CL61" s="315"/>
      <c r="CM61" s="388"/>
      <c r="CN61" s="774"/>
      <c r="CO61" s="774"/>
      <c r="CP61" s="774"/>
      <c r="CQ61" s="774"/>
      <c r="CR61" s="774"/>
      <c r="CS61" s="774"/>
      <c r="CT61" s="774"/>
      <c r="CU61" s="393"/>
      <c r="CV61" s="774"/>
      <c r="CW61" s="774"/>
      <c r="CX61" s="774"/>
      <c r="CY61" s="774"/>
      <c r="CZ61" s="315"/>
      <c r="DA61" s="315"/>
      <c r="DB61" s="22"/>
      <c r="DC61" s="22"/>
      <c r="DD61" s="22"/>
      <c r="DE61" s="22"/>
      <c r="DF61" s="1657"/>
      <c r="DH61" s="752"/>
      <c r="DI61" s="752"/>
      <c r="DJ61" s="752"/>
    </row>
    <row r="62" spans="1:114" ht="11.25" customHeight="1">
      <c r="A62" s="12"/>
      <c r="B62" s="12"/>
      <c r="C62" s="12"/>
      <c r="D62" s="12"/>
      <c r="E62" s="12"/>
      <c r="F62" s="12"/>
      <c r="G62" s="12"/>
      <c r="H62" s="12"/>
      <c r="I62" s="185" t="s">
        <v>567</v>
      </c>
      <c r="J62" s="70"/>
      <c r="K62" s="70"/>
      <c r="L62" s="70"/>
      <c r="M62" s="315"/>
      <c r="N62" s="315"/>
      <c r="O62" s="315"/>
      <c r="P62" s="316"/>
      <c r="Q62" s="315"/>
      <c r="R62" s="315"/>
      <c r="S62" s="315"/>
      <c r="T62" s="316"/>
      <c r="U62" s="315"/>
      <c r="V62" s="315"/>
      <c r="W62" s="315"/>
      <c r="X62" s="316"/>
      <c r="Y62" s="315"/>
      <c r="Z62" s="315"/>
      <c r="AA62" s="315"/>
      <c r="AB62" s="316"/>
      <c r="AC62" s="315"/>
      <c r="AD62" s="315"/>
      <c r="AE62" s="315"/>
      <c r="AF62" s="316"/>
      <c r="AG62" s="317"/>
      <c r="AH62" s="317"/>
      <c r="AI62" s="317"/>
      <c r="AJ62" s="318"/>
      <c r="AK62" s="393"/>
      <c r="AL62" s="393"/>
      <c r="AM62" s="393"/>
      <c r="AN62" s="472"/>
      <c r="AO62" s="393"/>
      <c r="AP62" s="393"/>
      <c r="AQ62" s="393"/>
      <c r="AR62" s="472"/>
      <c r="AS62" s="393"/>
      <c r="AT62" s="393"/>
      <c r="AU62" s="393"/>
      <c r="AV62" s="472"/>
      <c r="AW62" s="393"/>
      <c r="AX62" s="393"/>
      <c r="AY62" s="393"/>
      <c r="AZ62" s="472">
        <v>0.65</v>
      </c>
      <c r="BA62" s="393">
        <v>0.71</v>
      </c>
      <c r="BB62" s="393">
        <v>0.57999999999999996</v>
      </c>
      <c r="BC62" s="393">
        <v>0.57999999999999996</v>
      </c>
      <c r="BD62" s="472">
        <v>0.54</v>
      </c>
      <c r="BE62" s="393">
        <v>0.48</v>
      </c>
      <c r="BF62" s="393">
        <v>0.46</v>
      </c>
      <c r="BG62" s="393">
        <v>0.31</v>
      </c>
      <c r="BH62" s="472">
        <v>0.36</v>
      </c>
      <c r="BI62" s="393">
        <v>0.42</v>
      </c>
      <c r="BJ62" s="393">
        <v>0.4</v>
      </c>
      <c r="BK62" s="393">
        <v>0.37</v>
      </c>
      <c r="BL62" s="472">
        <v>0.35</v>
      </c>
      <c r="BM62" s="393">
        <v>0.35</v>
      </c>
      <c r="BN62" s="393">
        <v>0.31</v>
      </c>
      <c r="BO62" s="393">
        <v>0.31</v>
      </c>
      <c r="BP62" s="472">
        <v>0.23</v>
      </c>
      <c r="BQ62" s="393">
        <v>0.24</v>
      </c>
      <c r="BR62" s="393">
        <v>0.24</v>
      </c>
      <c r="BS62" s="393">
        <v>0.23</v>
      </c>
      <c r="BT62" s="472">
        <v>0.24</v>
      </c>
      <c r="BU62" s="393"/>
      <c r="BV62" s="393"/>
      <c r="BW62" s="393"/>
      <c r="BX62" s="472"/>
      <c r="BY62" s="393"/>
      <c r="BZ62" s="393"/>
      <c r="CA62" s="393"/>
      <c r="CB62" s="472"/>
      <c r="CC62" s="393"/>
      <c r="CD62" s="393"/>
      <c r="CE62" s="393"/>
      <c r="CF62" s="472"/>
      <c r="CG62" s="742"/>
      <c r="CH62" s="320"/>
      <c r="CI62" s="315"/>
      <c r="CJ62" s="315"/>
      <c r="CK62" s="315"/>
      <c r="CL62" s="315"/>
      <c r="CM62" s="388"/>
      <c r="CN62" s="774"/>
      <c r="CO62" s="774"/>
      <c r="CP62" s="774"/>
      <c r="CQ62" s="774"/>
      <c r="CR62" s="774"/>
      <c r="CS62" s="774"/>
      <c r="CT62" s="774"/>
      <c r="CU62" s="393"/>
      <c r="CV62" s="774"/>
      <c r="CW62" s="774"/>
      <c r="CX62" s="774"/>
      <c r="CY62" s="774"/>
      <c r="CZ62" s="315"/>
      <c r="DA62" s="315"/>
      <c r="DB62" s="22"/>
      <c r="DC62" s="22"/>
      <c r="DD62" s="22"/>
      <c r="DE62" s="22"/>
      <c r="DF62" s="1657"/>
      <c r="DH62" s="752"/>
      <c r="DI62" s="752"/>
      <c r="DJ62" s="752"/>
    </row>
    <row r="63" spans="1:114" ht="11.25" customHeight="1">
      <c r="I63" s="185" t="s">
        <v>568</v>
      </c>
      <c r="J63" s="70"/>
      <c r="K63" s="70"/>
      <c r="L63" s="70"/>
      <c r="M63" s="34"/>
      <c r="N63" s="34"/>
      <c r="O63" s="34"/>
      <c r="P63" s="1412"/>
      <c r="Q63" s="34"/>
      <c r="R63" s="34"/>
      <c r="S63" s="34"/>
      <c r="T63" s="1412"/>
      <c r="U63" s="34"/>
      <c r="V63" s="34"/>
      <c r="W63" s="34"/>
      <c r="X63" s="1412"/>
      <c r="Y63" s="34"/>
      <c r="Z63" s="34"/>
      <c r="AA63" s="34"/>
      <c r="AB63" s="1412"/>
      <c r="AC63" s="34"/>
      <c r="AD63" s="34"/>
      <c r="AE63" s="34"/>
      <c r="AF63" s="1412"/>
      <c r="AG63" s="995"/>
      <c r="AH63" s="995"/>
      <c r="AI63" s="995"/>
      <c r="AJ63" s="996"/>
      <c r="AK63" s="997"/>
      <c r="AL63" s="997"/>
      <c r="AM63" s="997"/>
      <c r="AN63" s="998"/>
      <c r="AO63" s="997"/>
      <c r="AP63" s="997"/>
      <c r="AQ63" s="997"/>
      <c r="AR63" s="998"/>
      <c r="AS63" s="997"/>
      <c r="AT63" s="997"/>
      <c r="AU63" s="997"/>
      <c r="AV63" s="998"/>
      <c r="AW63" s="997"/>
      <c r="AX63" s="997"/>
      <c r="AY63" s="997"/>
      <c r="AZ63" s="998">
        <f t="shared" ref="AZ63:BO63" si="70">+AVERAGE(AZ61:AZ62)</f>
        <v>0.61499999999999999</v>
      </c>
      <c r="BA63" s="1201">
        <f t="shared" si="70"/>
        <v>0.68500000000000005</v>
      </c>
      <c r="BB63" s="1201">
        <f t="shared" si="70"/>
        <v>0.55499999999999994</v>
      </c>
      <c r="BC63" s="1201">
        <f t="shared" si="70"/>
        <v>0.55499999999999994</v>
      </c>
      <c r="BD63" s="1202">
        <f t="shared" si="70"/>
        <v>0.51500000000000001</v>
      </c>
      <c r="BE63" s="1201">
        <f t="shared" si="70"/>
        <v>0.45499999999999996</v>
      </c>
      <c r="BF63" s="1201">
        <f t="shared" si="70"/>
        <v>0.435</v>
      </c>
      <c r="BG63" s="1201">
        <f t="shared" si="70"/>
        <v>0.27</v>
      </c>
      <c r="BH63" s="1202">
        <f t="shared" si="70"/>
        <v>0.32</v>
      </c>
      <c r="BI63" s="1201">
        <f t="shared" si="70"/>
        <v>0.38500000000000001</v>
      </c>
      <c r="BJ63" s="1201">
        <f t="shared" si="70"/>
        <v>0.36499999999999999</v>
      </c>
      <c r="BK63" s="1201">
        <f t="shared" si="70"/>
        <v>0.33499999999999996</v>
      </c>
      <c r="BL63" s="1202">
        <f t="shared" si="70"/>
        <v>0.315</v>
      </c>
      <c r="BM63" s="1201">
        <f t="shared" si="70"/>
        <v>0.3</v>
      </c>
      <c r="BN63" s="1201">
        <f t="shared" si="70"/>
        <v>0.26</v>
      </c>
      <c r="BO63" s="1201">
        <f t="shared" si="70"/>
        <v>0.26</v>
      </c>
      <c r="BP63" s="1202">
        <f>+AVERAGE(BP61:BP62)</f>
        <v>0.19500000000000001</v>
      </c>
      <c r="BQ63" s="1201">
        <f>+AVERAGE(BQ61:BQ62)</f>
        <v>0.20500000000000002</v>
      </c>
      <c r="BR63" s="1201">
        <f>+AVERAGE(BR61:BR62)</f>
        <v>0.20500000000000002</v>
      </c>
      <c r="BS63" s="1201">
        <f>+AVERAGE(BS61:BS62)</f>
        <v>0.19500000000000001</v>
      </c>
      <c r="BT63" s="1202">
        <f>+AVERAGE(BT61:BT62)</f>
        <v>0.20500000000000002</v>
      </c>
      <c r="BU63" s="997"/>
      <c r="BV63" s="997"/>
      <c r="BW63" s="997"/>
      <c r="BX63" s="998"/>
      <c r="BY63" s="997"/>
      <c r="BZ63" s="997"/>
      <c r="CA63" s="997"/>
      <c r="CB63" s="998"/>
      <c r="CC63" s="997"/>
      <c r="CD63" s="997"/>
      <c r="CE63" s="997"/>
      <c r="CF63" s="998"/>
      <c r="CG63" s="1413"/>
      <c r="CH63" s="1414"/>
      <c r="CI63" s="34"/>
      <c r="CJ63" s="34"/>
      <c r="CK63" s="34"/>
      <c r="CL63" s="34"/>
      <c r="CM63" s="1415"/>
      <c r="CN63" s="1416"/>
      <c r="CO63" s="1416"/>
      <c r="CP63" s="1416"/>
      <c r="CQ63" s="1416"/>
      <c r="CR63" s="1416"/>
      <c r="CS63" s="1416"/>
      <c r="CT63" s="1416"/>
      <c r="CU63" s="997"/>
      <c r="CV63" s="1416"/>
      <c r="CW63" s="1416"/>
      <c r="CX63" s="1416"/>
      <c r="CY63" s="1416"/>
      <c r="CZ63" s="34"/>
      <c r="DA63" s="34"/>
      <c r="DB63" s="745"/>
      <c r="DC63" s="745"/>
      <c r="DD63" s="745"/>
      <c r="DE63" s="745"/>
      <c r="DF63" s="792"/>
      <c r="DG63" s="122"/>
    </row>
    <row r="64" spans="1:114" ht="11.25" customHeight="1">
      <c r="A64" s="12"/>
      <c r="B64" s="12"/>
      <c r="C64" s="12"/>
      <c r="D64" s="12"/>
      <c r="E64" s="12"/>
      <c r="F64" s="12"/>
      <c r="G64" s="12"/>
      <c r="H64" s="12"/>
      <c r="I64" s="185"/>
      <c r="J64" s="70"/>
      <c r="K64" s="70"/>
      <c r="L64" s="70"/>
      <c r="M64" s="315"/>
      <c r="N64" s="315"/>
      <c r="O64" s="315"/>
      <c r="P64" s="316"/>
      <c r="Q64" s="315"/>
      <c r="R64" s="315"/>
      <c r="S64" s="315"/>
      <c r="T64" s="316"/>
      <c r="U64" s="315"/>
      <c r="V64" s="315"/>
      <c r="W64" s="315"/>
      <c r="X64" s="316"/>
      <c r="Y64" s="315"/>
      <c r="Z64" s="315"/>
      <c r="AA64" s="315"/>
      <c r="AB64" s="316"/>
      <c r="AC64" s="315"/>
      <c r="AD64" s="315"/>
      <c r="AE64" s="315"/>
      <c r="AF64" s="316"/>
      <c r="AG64" s="317"/>
      <c r="AH64" s="317"/>
      <c r="AI64" s="317"/>
      <c r="AJ64" s="318"/>
      <c r="AK64" s="393"/>
      <c r="AL64" s="393"/>
      <c r="AM64" s="393"/>
      <c r="AN64" s="472"/>
      <c r="AO64" s="393"/>
      <c r="AP64" s="393"/>
      <c r="AQ64" s="393"/>
      <c r="AR64" s="472"/>
      <c r="AS64" s="393"/>
      <c r="AT64" s="393"/>
      <c r="AU64" s="393"/>
      <c r="AV64" s="472"/>
      <c r="AW64" s="393"/>
      <c r="AX64" s="393"/>
      <c r="AY64" s="393"/>
      <c r="AZ64" s="472"/>
      <c r="BA64" s="393"/>
      <c r="BB64" s="393"/>
      <c r="BC64" s="393"/>
      <c r="BD64" s="472"/>
      <c r="BE64" s="393"/>
      <c r="BF64" s="393"/>
      <c r="BG64" s="393"/>
      <c r="BH64" s="472"/>
      <c r="BI64" s="393"/>
      <c r="BJ64" s="393"/>
      <c r="BK64" s="393"/>
      <c r="BL64" s="472"/>
      <c r="BM64" s="393"/>
      <c r="BN64" s="393"/>
      <c r="BO64" s="393"/>
      <c r="BP64" s="472"/>
      <c r="BQ64" s="393"/>
      <c r="BR64" s="393"/>
      <c r="BS64" s="393"/>
      <c r="BT64" s="472"/>
      <c r="BU64" s="393"/>
      <c r="BV64" s="393"/>
      <c r="BW64" s="393"/>
      <c r="BX64" s="472"/>
      <c r="BY64" s="393"/>
      <c r="BZ64" s="393"/>
      <c r="CA64" s="393"/>
      <c r="CB64" s="472"/>
      <c r="CC64" s="393"/>
      <c r="CD64" s="393"/>
      <c r="CE64" s="393"/>
      <c r="CF64" s="472"/>
      <c r="CG64" s="742"/>
      <c r="CH64" s="320"/>
      <c r="CI64" s="315"/>
      <c r="CJ64" s="315"/>
      <c r="CK64" s="315"/>
      <c r="CL64" s="315"/>
      <c r="CM64" s="388"/>
      <c r="CN64" s="774"/>
      <c r="CO64" s="774"/>
      <c r="CP64" s="774"/>
      <c r="CQ64" s="774"/>
      <c r="CR64" s="774"/>
      <c r="CS64" s="774"/>
      <c r="CT64" s="774"/>
      <c r="CU64" s="393"/>
      <c r="CV64" s="774"/>
      <c r="CW64" s="774"/>
      <c r="CX64" s="774"/>
      <c r="CY64" s="774"/>
      <c r="CZ64" s="315"/>
      <c r="DA64" s="315"/>
      <c r="DB64" s="22"/>
      <c r="DC64" s="22"/>
      <c r="DD64" s="22"/>
      <c r="DE64" s="22"/>
      <c r="DF64" s="1657"/>
      <c r="DH64" s="752"/>
      <c r="DI64" s="752"/>
      <c r="DJ64" s="752"/>
    </row>
    <row r="65" spans="1:114" ht="11.25" customHeight="1">
      <c r="A65" s="12"/>
      <c r="B65" s="12"/>
      <c r="C65" s="12"/>
      <c r="D65" s="12"/>
      <c r="E65" s="12"/>
      <c r="F65" s="12"/>
      <c r="G65" s="12"/>
      <c r="H65" s="12"/>
      <c r="I65" s="185" t="s">
        <v>569</v>
      </c>
      <c r="J65" s="70"/>
      <c r="K65" s="70"/>
      <c r="L65" s="70"/>
      <c r="M65" s="315"/>
      <c r="N65" s="315"/>
      <c r="O65" s="315"/>
      <c r="P65" s="316"/>
      <c r="Q65" s="315"/>
      <c r="R65" s="315"/>
      <c r="S65" s="315"/>
      <c r="T65" s="316"/>
      <c r="U65" s="315"/>
      <c r="V65" s="315"/>
      <c r="W65" s="315"/>
      <c r="X65" s="316"/>
      <c r="Y65" s="315"/>
      <c r="Z65" s="315"/>
      <c r="AA65" s="315"/>
      <c r="AB65" s="316"/>
      <c r="AC65" s="315"/>
      <c r="AD65" s="315"/>
      <c r="AE65" s="315"/>
      <c r="AF65" s="316"/>
      <c r="AG65" s="317"/>
      <c r="AH65" s="317"/>
      <c r="AI65" s="317"/>
      <c r="AJ65" s="318"/>
      <c r="AK65" s="393"/>
      <c r="AL65" s="393"/>
      <c r="AM65" s="393"/>
      <c r="AN65" s="472"/>
      <c r="AO65" s="393"/>
      <c r="AP65" s="393"/>
      <c r="AQ65" s="393"/>
      <c r="AR65" s="472"/>
      <c r="AS65" s="393"/>
      <c r="AT65" s="393"/>
      <c r="AU65" s="393"/>
      <c r="AV65" s="472"/>
      <c r="AW65" s="393"/>
      <c r="AX65" s="393"/>
      <c r="AY65" s="393"/>
      <c r="AZ65" s="998">
        <f t="shared" ref="AZ65:BL65" si="71">+AZ43</f>
        <v>0.71</v>
      </c>
      <c r="BA65" s="1201">
        <f t="shared" si="71"/>
        <v>0.78100000000000003</v>
      </c>
      <c r="BB65" s="1201">
        <f t="shared" si="71"/>
        <v>0.78500000000000003</v>
      </c>
      <c r="BC65" s="1201">
        <f t="shared" si="71"/>
        <v>0.61399999999999999</v>
      </c>
      <c r="BD65" s="1202">
        <f t="shared" si="71"/>
        <v>0.66900000000000004</v>
      </c>
      <c r="BE65" s="1201">
        <f t="shared" si="71"/>
        <v>0.57999999999999996</v>
      </c>
      <c r="BF65" s="1201">
        <f t="shared" si="71"/>
        <v>0.443</v>
      </c>
      <c r="BG65" s="1201">
        <f t="shared" si="71"/>
        <v>0.40600000000000003</v>
      </c>
      <c r="BH65" s="1202">
        <f t="shared" si="71"/>
        <v>0.42599999999999999</v>
      </c>
      <c r="BI65" s="1201">
        <f t="shared" si="71"/>
        <v>0.43</v>
      </c>
      <c r="BJ65" s="1201">
        <f t="shared" si="71"/>
        <v>0.44</v>
      </c>
      <c r="BK65" s="1201">
        <f t="shared" si="71"/>
        <v>0.41</v>
      </c>
      <c r="BL65" s="1202">
        <f t="shared" si="71"/>
        <v>0.42</v>
      </c>
      <c r="BM65" s="1201">
        <f t="shared" ref="BM65:BS65" si="72">+BM43</f>
        <v>0.38</v>
      </c>
      <c r="BN65" s="1201">
        <f t="shared" si="72"/>
        <v>0.35</v>
      </c>
      <c r="BO65" s="1201">
        <f t="shared" si="72"/>
        <v>0.32</v>
      </c>
      <c r="BP65" s="1202">
        <f t="shared" si="72"/>
        <v>0.27</v>
      </c>
      <c r="BQ65" s="1201">
        <f t="shared" si="72"/>
        <v>0.28999999999999998</v>
      </c>
      <c r="BR65" s="1201">
        <f t="shared" si="72"/>
        <v>0.3</v>
      </c>
      <c r="BS65" s="1201">
        <f t="shared" si="72"/>
        <v>0.25</v>
      </c>
      <c r="BT65" s="1202">
        <f>+BT43</f>
        <v>0.28999999999999998</v>
      </c>
      <c r="BU65" s="1201"/>
      <c r="BV65" s="1201"/>
      <c r="BW65" s="1201"/>
      <c r="BX65" s="1202"/>
      <c r="BY65" s="1201"/>
      <c r="BZ65" s="1201"/>
      <c r="CA65" s="1201"/>
      <c r="CB65" s="1202"/>
      <c r="CC65" s="1201"/>
      <c r="CD65" s="1201"/>
      <c r="CE65" s="1201"/>
      <c r="CF65" s="1202"/>
      <c r="CG65" s="742"/>
      <c r="CH65" s="320"/>
      <c r="CI65" s="315"/>
      <c r="CJ65" s="315"/>
      <c r="CK65" s="315"/>
      <c r="CL65" s="315"/>
      <c r="CM65" s="388"/>
      <c r="CN65" s="774"/>
      <c r="CO65" s="774"/>
      <c r="CP65" s="774"/>
      <c r="CQ65" s="774"/>
      <c r="CR65" s="774"/>
      <c r="CS65" s="774"/>
      <c r="CT65" s="774"/>
      <c r="CU65" s="393"/>
      <c r="CV65" s="774"/>
      <c r="CW65" s="774"/>
      <c r="CX65" s="774"/>
      <c r="CY65" s="774"/>
      <c r="CZ65" s="315"/>
      <c r="DA65" s="315"/>
      <c r="DB65" s="22"/>
      <c r="DC65" s="22"/>
      <c r="DD65" s="22"/>
      <c r="DE65" s="22"/>
      <c r="DF65" s="1657"/>
      <c r="DH65" s="752"/>
      <c r="DI65" s="752"/>
      <c r="DJ65" s="752"/>
    </row>
    <row r="66" spans="1:114" ht="11.25" customHeight="1">
      <c r="A66" s="12"/>
      <c r="B66" s="12"/>
      <c r="C66" s="12"/>
      <c r="D66" s="12"/>
      <c r="E66" s="12"/>
      <c r="F66" s="12"/>
      <c r="G66" s="12"/>
      <c r="H66" s="12"/>
      <c r="I66" s="185"/>
      <c r="J66" s="70"/>
      <c r="K66" s="70"/>
      <c r="L66" s="70"/>
      <c r="M66" s="315"/>
      <c r="N66" s="315"/>
      <c r="O66" s="315"/>
      <c r="P66" s="316"/>
      <c r="Q66" s="315"/>
      <c r="R66" s="315"/>
      <c r="S66" s="315"/>
      <c r="T66" s="316"/>
      <c r="U66" s="315"/>
      <c r="V66" s="315"/>
      <c r="W66" s="315"/>
      <c r="X66" s="316"/>
      <c r="Y66" s="315"/>
      <c r="Z66" s="315"/>
      <c r="AA66" s="315"/>
      <c r="AB66" s="316"/>
      <c r="AC66" s="315"/>
      <c r="AD66" s="315"/>
      <c r="AE66" s="315"/>
      <c r="AF66" s="316"/>
      <c r="AG66" s="317"/>
      <c r="AH66" s="317"/>
      <c r="AI66" s="317"/>
      <c r="AJ66" s="318"/>
      <c r="AK66" s="393"/>
      <c r="AL66" s="393"/>
      <c r="AM66" s="393"/>
      <c r="AN66" s="472"/>
      <c r="AO66" s="393"/>
      <c r="AP66" s="393"/>
      <c r="AQ66" s="393"/>
      <c r="AR66" s="472"/>
      <c r="AS66" s="393"/>
      <c r="AT66" s="393"/>
      <c r="AU66" s="393"/>
      <c r="AV66" s="472"/>
      <c r="AW66" s="393"/>
      <c r="AX66" s="393"/>
      <c r="AY66" s="393"/>
      <c r="AZ66" s="472"/>
      <c r="BA66" s="393"/>
      <c r="BB66" s="393"/>
      <c r="BC66" s="393"/>
      <c r="BD66" s="472"/>
      <c r="BE66" s="393"/>
      <c r="BF66" s="393"/>
      <c r="BG66" s="393"/>
      <c r="BH66" s="472"/>
      <c r="BI66" s="393"/>
      <c r="BJ66" s="393"/>
      <c r="BK66" s="393"/>
      <c r="BL66" s="472"/>
      <c r="BM66" s="393"/>
      <c r="BN66" s="393"/>
      <c r="BO66" s="393"/>
      <c r="BP66" s="472"/>
      <c r="BQ66" s="393"/>
      <c r="BR66" s="393"/>
      <c r="BS66" s="393"/>
      <c r="BT66" s="472"/>
      <c r="BU66" s="393"/>
      <c r="BV66" s="393"/>
      <c r="BW66" s="393"/>
      <c r="BX66" s="472"/>
      <c r="BY66" s="393"/>
      <c r="BZ66" s="393"/>
      <c r="CA66" s="393"/>
      <c r="CB66" s="472"/>
      <c r="CC66" s="393"/>
      <c r="CD66" s="393"/>
      <c r="CE66" s="393"/>
      <c r="CF66" s="472"/>
      <c r="CG66" s="742"/>
      <c r="CH66" s="320"/>
      <c r="CI66" s="315"/>
      <c r="CJ66" s="315"/>
      <c r="CK66" s="315"/>
      <c r="CL66" s="315"/>
      <c r="CM66" s="388"/>
      <c r="CN66" s="774"/>
      <c r="CO66" s="774"/>
      <c r="CP66" s="774"/>
      <c r="CQ66" s="774"/>
      <c r="CR66" s="774"/>
      <c r="CS66" s="774"/>
      <c r="CT66" s="774"/>
      <c r="CU66" s="393"/>
      <c r="CV66" s="774"/>
      <c r="CW66" s="774"/>
      <c r="CX66" s="774"/>
      <c r="CY66" s="774"/>
      <c r="CZ66" s="315"/>
      <c r="DA66" s="315"/>
      <c r="DB66" s="22"/>
      <c r="DC66" s="22"/>
      <c r="DD66" s="22"/>
      <c r="DE66" s="22"/>
      <c r="DF66" s="1657"/>
      <c r="DH66" s="752"/>
      <c r="DI66" s="752"/>
      <c r="DJ66" s="752"/>
    </row>
    <row r="67" spans="1:114" ht="11.25" customHeight="1">
      <c r="A67" s="12"/>
      <c r="B67" s="12"/>
      <c r="C67" s="12"/>
      <c r="D67" s="12"/>
      <c r="E67" s="12"/>
      <c r="F67" s="12"/>
      <c r="G67" s="12"/>
      <c r="H67" s="12"/>
      <c r="I67" s="185" t="s">
        <v>570</v>
      </c>
      <c r="J67" s="70"/>
      <c r="K67" s="70"/>
      <c r="L67" s="70"/>
      <c r="M67" s="315"/>
      <c r="N67" s="315"/>
      <c r="O67" s="315"/>
      <c r="P67" s="316"/>
      <c r="Q67" s="315"/>
      <c r="R67" s="315"/>
      <c r="S67" s="315"/>
      <c r="T67" s="316"/>
      <c r="U67" s="315"/>
      <c r="V67" s="315"/>
      <c r="W67" s="315"/>
      <c r="X67" s="316"/>
      <c r="Y67" s="315"/>
      <c r="Z67" s="315"/>
      <c r="AA67" s="315"/>
      <c r="AB67" s="316"/>
      <c r="AC67" s="315"/>
      <c r="AD67" s="315"/>
      <c r="AE67" s="315"/>
      <c r="AF67" s="316"/>
      <c r="AG67" s="317"/>
      <c r="AH67" s="317"/>
      <c r="AI67" s="317"/>
      <c r="AJ67" s="318"/>
      <c r="AK67" s="393"/>
      <c r="AL67" s="393"/>
      <c r="AM67" s="393"/>
      <c r="AN67" s="472"/>
      <c r="AO67" s="393"/>
      <c r="AP67" s="393"/>
      <c r="AQ67" s="393"/>
      <c r="AR67" s="472"/>
      <c r="AS67" s="393"/>
      <c r="AT67" s="393"/>
      <c r="AU67" s="393"/>
      <c r="AV67" s="472"/>
      <c r="AW67" s="393"/>
      <c r="AX67" s="393"/>
      <c r="AY67" s="393"/>
      <c r="AZ67" s="1417">
        <f>+(AZ65-AZ62)*10000</f>
        <v>599.99999999999943</v>
      </c>
      <c r="BA67" s="1418">
        <f>+(BA65-BA62)*10000</f>
        <v>710.00000000000068</v>
      </c>
      <c r="BB67" s="1419">
        <f>+(BB65-BB62)*10000</f>
        <v>2050.0000000000009</v>
      </c>
      <c r="BC67" s="1419">
        <f>+(BC65-BC62)*10000</f>
        <v>340.00000000000028</v>
      </c>
      <c r="BD67" s="1417">
        <f>+(BD65-BD62)*10000</f>
        <v>1290</v>
      </c>
      <c r="BE67" s="1418">
        <f t="shared" ref="BE67:BL67" si="73">+(BE65-BE62)*10000</f>
        <v>999.99999999999977</v>
      </c>
      <c r="BF67" s="1419">
        <f>+(BF65-BF62)*10000</f>
        <v>-170.00000000000014</v>
      </c>
      <c r="BG67" s="1419">
        <f t="shared" si="73"/>
        <v>960.00000000000034</v>
      </c>
      <c r="BH67" s="1417">
        <f t="shared" si="73"/>
        <v>660</v>
      </c>
      <c r="BI67" s="1418">
        <f t="shared" si="73"/>
        <v>100.00000000000009</v>
      </c>
      <c r="BJ67" s="1419">
        <f t="shared" si="73"/>
        <v>399.99999999999977</v>
      </c>
      <c r="BK67" s="1419">
        <f t="shared" si="73"/>
        <v>399.99999999999977</v>
      </c>
      <c r="BL67" s="1417">
        <f t="shared" si="73"/>
        <v>700.00000000000011</v>
      </c>
      <c r="BM67" s="1418">
        <f t="shared" ref="BM67:BR67" si="74">+(BM65-BM62)*10000</f>
        <v>300.00000000000028</v>
      </c>
      <c r="BN67" s="1419">
        <f t="shared" si="74"/>
        <v>399.99999999999977</v>
      </c>
      <c r="BO67" s="1419">
        <f t="shared" si="74"/>
        <v>100.00000000000009</v>
      </c>
      <c r="BP67" s="1417">
        <f t="shared" si="74"/>
        <v>400.00000000000006</v>
      </c>
      <c r="BQ67" s="1418">
        <f t="shared" si="74"/>
        <v>499.99999999999989</v>
      </c>
      <c r="BR67" s="1419">
        <f t="shared" si="74"/>
        <v>600</v>
      </c>
      <c r="BS67" s="1419">
        <f>+(BS65-BS62)*10000</f>
        <v>199.99999999999989</v>
      </c>
      <c r="BT67" s="1417">
        <f>+(BT65-BT62)*10000</f>
        <v>499.99999999999989</v>
      </c>
      <c r="BU67" s="393"/>
      <c r="BV67" s="393"/>
      <c r="BW67" s="393"/>
      <c r="BX67" s="472"/>
      <c r="BY67" s="393"/>
      <c r="BZ67" s="393"/>
      <c r="CA67" s="393"/>
      <c r="CB67" s="472"/>
      <c r="CC67" s="393"/>
      <c r="CD67" s="393"/>
      <c r="CE67" s="393"/>
      <c r="CF67" s="472"/>
      <c r="CG67" s="742"/>
      <c r="CH67" s="320"/>
      <c r="CI67" s="315"/>
      <c r="CJ67" s="315"/>
      <c r="CK67" s="315"/>
      <c r="CL67" s="315"/>
      <c r="CM67" s="388"/>
      <c r="CN67" s="774"/>
      <c r="CO67" s="774"/>
      <c r="CP67" s="774"/>
      <c r="CQ67" s="774"/>
      <c r="CR67" s="774"/>
      <c r="CS67" s="774"/>
      <c r="CT67" s="774"/>
      <c r="CU67" s="393"/>
      <c r="CV67" s="774"/>
      <c r="CW67" s="774"/>
      <c r="CX67" s="774"/>
      <c r="CY67" s="774"/>
      <c r="CZ67" s="315"/>
      <c r="DA67" s="315"/>
      <c r="DB67" s="22"/>
      <c r="DC67" s="22"/>
      <c r="DD67" s="22"/>
      <c r="DE67" s="22"/>
      <c r="DF67" s="1657"/>
      <c r="DH67" s="752"/>
      <c r="DI67" s="752"/>
      <c r="DJ67" s="752"/>
    </row>
    <row r="68" spans="1:114" ht="11.25" customHeight="1">
      <c r="A68" s="12"/>
      <c r="B68" s="12"/>
      <c r="C68" s="12"/>
      <c r="D68" s="12"/>
      <c r="E68" s="12"/>
      <c r="F68" s="12"/>
      <c r="G68" s="12"/>
      <c r="H68" s="12"/>
      <c r="I68" s="722" t="s">
        <v>573</v>
      </c>
      <c r="J68" s="70"/>
      <c r="K68" s="70"/>
      <c r="L68" s="70"/>
      <c r="M68" s="315"/>
      <c r="N68" s="315"/>
      <c r="O68" s="315"/>
      <c r="P68" s="316"/>
      <c r="Q68" s="315"/>
      <c r="R68" s="315"/>
      <c r="S68" s="315"/>
      <c r="T68" s="316"/>
      <c r="U68" s="315"/>
      <c r="V68" s="315"/>
      <c r="W68" s="315"/>
      <c r="X68" s="316"/>
      <c r="Y68" s="315"/>
      <c r="Z68" s="315"/>
      <c r="AA68" s="315"/>
      <c r="AB68" s="316"/>
      <c r="AC68" s="315"/>
      <c r="AD68" s="315"/>
      <c r="AE68" s="315"/>
      <c r="AF68" s="316"/>
      <c r="AG68" s="317"/>
      <c r="AH68" s="317"/>
      <c r="AI68" s="317"/>
      <c r="AJ68" s="318"/>
      <c r="AK68" s="393"/>
      <c r="AL68" s="393"/>
      <c r="AM68" s="393"/>
      <c r="AN68" s="472"/>
      <c r="AO68" s="393"/>
      <c r="AP68" s="393"/>
      <c r="AQ68" s="393"/>
      <c r="AR68" s="472"/>
      <c r="AS68" s="393"/>
      <c r="AT68" s="393"/>
      <c r="AU68" s="393"/>
      <c r="AV68" s="472"/>
      <c r="AW68" s="393"/>
      <c r="AX68" s="393"/>
      <c r="AY68" s="393"/>
      <c r="AZ68" s="1417"/>
      <c r="BA68" s="1418"/>
      <c r="BB68" s="1419"/>
      <c r="BC68" s="1419">
        <f t="shared" ref="BC68:BK68" si="75">+AVERAGE(BC67,BB67,BA67,AZ67)</f>
        <v>925.00000000000034</v>
      </c>
      <c r="BD68" s="1417">
        <f t="shared" si="75"/>
        <v>1097.5000000000005</v>
      </c>
      <c r="BE68" s="1418">
        <f t="shared" si="75"/>
        <v>1170.0000000000005</v>
      </c>
      <c r="BF68" s="1419">
        <f t="shared" si="75"/>
        <v>615</v>
      </c>
      <c r="BG68" s="1419">
        <f t="shared" si="75"/>
        <v>770</v>
      </c>
      <c r="BH68" s="1417">
        <f t="shared" si="75"/>
        <v>612.5</v>
      </c>
      <c r="BI68" s="1418">
        <f t="shared" si="75"/>
        <v>387.50000000000006</v>
      </c>
      <c r="BJ68" s="1419">
        <f t="shared" si="75"/>
        <v>530.00000000000011</v>
      </c>
      <c r="BK68" s="1419">
        <f t="shared" si="75"/>
        <v>389.99999999999989</v>
      </c>
      <c r="BL68" s="1417">
        <f t="shared" ref="BL68:BT68" si="76">+AVERAGE(BL67,BK67,BJ67,BI67)</f>
        <v>399.99999999999994</v>
      </c>
      <c r="BM68" s="1418">
        <f t="shared" si="76"/>
        <v>450</v>
      </c>
      <c r="BN68" s="1419">
        <f t="shared" si="76"/>
        <v>449.99999999999994</v>
      </c>
      <c r="BO68" s="1419">
        <f t="shared" si="76"/>
        <v>375.00000000000011</v>
      </c>
      <c r="BP68" s="1417">
        <f t="shared" si="76"/>
        <v>300.00000000000006</v>
      </c>
      <c r="BQ68" s="1418">
        <f t="shared" si="76"/>
        <v>350</v>
      </c>
      <c r="BR68" s="1419">
        <f t="shared" si="76"/>
        <v>400</v>
      </c>
      <c r="BS68" s="1419">
        <f>+AVERAGE(BS67,BR67,BQ67,BP67)</f>
        <v>424.99999999999994</v>
      </c>
      <c r="BT68" s="1417">
        <f t="shared" si="76"/>
        <v>449.99999999999989</v>
      </c>
      <c r="BU68" s="393"/>
      <c r="BV68" s="393"/>
      <c r="BW68" s="393"/>
      <c r="BX68" s="472"/>
      <c r="BY68" s="393"/>
      <c r="BZ68" s="393"/>
      <c r="CA68" s="393"/>
      <c r="CB68" s="472"/>
      <c r="CC68" s="393"/>
      <c r="CD68" s="393"/>
      <c r="CE68" s="393"/>
      <c r="CF68" s="472"/>
      <c r="CG68" s="742"/>
      <c r="CH68" s="320"/>
      <c r="CI68" s="315"/>
      <c r="CJ68" s="315"/>
      <c r="CK68" s="315"/>
      <c r="CL68" s="315"/>
      <c r="CM68" s="388"/>
      <c r="CN68" s="774"/>
      <c r="CO68" s="774"/>
      <c r="CP68" s="774"/>
      <c r="CQ68" s="774"/>
      <c r="CR68" s="774"/>
      <c r="CS68" s="774"/>
      <c r="CT68" s="774"/>
      <c r="CU68" s="393"/>
      <c r="CV68" s="774"/>
      <c r="CW68" s="774"/>
      <c r="CX68" s="774"/>
      <c r="CY68" s="774"/>
      <c r="CZ68" s="315"/>
      <c r="DA68" s="315"/>
      <c r="DB68" s="22"/>
      <c r="DC68" s="22"/>
      <c r="DD68" s="22"/>
      <c r="DE68" s="22"/>
      <c r="DF68" s="1657"/>
      <c r="DH68" s="752"/>
      <c r="DI68" s="752"/>
      <c r="DJ68" s="752"/>
    </row>
    <row r="69" spans="1:114" ht="11.25" customHeight="1">
      <c r="A69" s="12"/>
      <c r="B69" s="12"/>
      <c r="C69" s="12"/>
      <c r="D69" s="12"/>
      <c r="E69" s="12"/>
      <c r="F69" s="12"/>
      <c r="G69" s="12"/>
      <c r="H69" s="12"/>
      <c r="I69" s="185"/>
      <c r="J69" s="70"/>
      <c r="K69" s="70"/>
      <c r="L69" s="70"/>
      <c r="M69" s="315"/>
      <c r="N69" s="315"/>
      <c r="O69" s="315"/>
      <c r="P69" s="316"/>
      <c r="Q69" s="315"/>
      <c r="R69" s="315"/>
      <c r="S69" s="315"/>
      <c r="T69" s="316"/>
      <c r="U69" s="315"/>
      <c r="V69" s="315"/>
      <c r="W69" s="315"/>
      <c r="X69" s="316"/>
      <c r="Y69" s="315"/>
      <c r="Z69" s="315"/>
      <c r="AA69" s="315"/>
      <c r="AB69" s="316"/>
      <c r="AC69" s="315"/>
      <c r="AD69" s="315"/>
      <c r="AE69" s="315"/>
      <c r="AF69" s="316"/>
      <c r="AG69" s="317"/>
      <c r="AH69" s="317"/>
      <c r="AI69" s="317"/>
      <c r="AJ69" s="318"/>
      <c r="AK69" s="393"/>
      <c r="AL69" s="393"/>
      <c r="AM69" s="393"/>
      <c r="AN69" s="472"/>
      <c r="AO69" s="393"/>
      <c r="AP69" s="393"/>
      <c r="AQ69" s="393"/>
      <c r="AR69" s="472"/>
      <c r="AS69" s="393"/>
      <c r="AT69" s="393"/>
      <c r="AU69" s="393"/>
      <c r="AV69" s="472"/>
      <c r="AW69" s="393"/>
      <c r="AX69" s="393"/>
      <c r="AY69" s="393"/>
      <c r="AZ69" s="1417"/>
      <c r="BA69" s="1418"/>
      <c r="BB69" s="1419"/>
      <c r="BC69" s="1419"/>
      <c r="BD69" s="1417"/>
      <c r="BE69" s="1418"/>
      <c r="BF69" s="1419"/>
      <c r="BG69" s="1419"/>
      <c r="BH69" s="1417"/>
      <c r="BI69" s="1418"/>
      <c r="BJ69" s="1419"/>
      <c r="BK69" s="1419"/>
      <c r="BL69" s="1417"/>
      <c r="BM69" s="1418"/>
      <c r="BN69" s="1419"/>
      <c r="BO69" s="1419"/>
      <c r="BP69" s="1417"/>
      <c r="BQ69" s="1418"/>
      <c r="BR69" s="1419"/>
      <c r="BS69" s="1419"/>
      <c r="BT69" s="1417"/>
      <c r="BU69" s="393"/>
      <c r="BV69" s="393"/>
      <c r="BW69" s="393"/>
      <c r="BX69" s="472"/>
      <c r="BY69" s="393"/>
      <c r="BZ69" s="393"/>
      <c r="CA69" s="393"/>
      <c r="CB69" s="472"/>
      <c r="CC69" s="393"/>
      <c r="CD69" s="393"/>
      <c r="CE69" s="393"/>
      <c r="CF69" s="472"/>
      <c r="CG69" s="742"/>
      <c r="CH69" s="320"/>
      <c r="CI69" s="315"/>
      <c r="CJ69" s="315"/>
      <c r="CK69" s="315"/>
      <c r="CL69" s="315"/>
      <c r="CM69" s="388"/>
      <c r="CN69" s="774"/>
      <c r="CO69" s="774"/>
      <c r="CP69" s="774"/>
      <c r="CQ69" s="774"/>
      <c r="CR69" s="774"/>
      <c r="CS69" s="774"/>
      <c r="CT69" s="774"/>
      <c r="CU69" s="393"/>
      <c r="CV69" s="774"/>
      <c r="CW69" s="774"/>
      <c r="CX69" s="774"/>
      <c r="CY69" s="774"/>
      <c r="CZ69" s="315"/>
      <c r="DA69" s="315"/>
      <c r="DB69" s="22"/>
      <c r="DC69" s="22"/>
      <c r="DD69" s="22"/>
      <c r="DE69" s="22"/>
      <c r="DF69" s="1657"/>
      <c r="DH69" s="752"/>
      <c r="DI69" s="752"/>
      <c r="DJ69" s="752"/>
    </row>
    <row r="70" spans="1:114" ht="11.25" customHeight="1">
      <c r="A70" s="12"/>
      <c r="B70" s="12"/>
      <c r="C70" s="12"/>
      <c r="D70" s="12"/>
      <c r="E70" s="12"/>
      <c r="F70" s="12"/>
      <c r="G70" s="12"/>
      <c r="H70" s="12"/>
      <c r="I70" s="185" t="s">
        <v>571</v>
      </c>
      <c r="J70" s="70"/>
      <c r="K70" s="70"/>
      <c r="L70" s="70"/>
      <c r="M70" s="315"/>
      <c r="N70" s="315"/>
      <c r="O70" s="315"/>
      <c r="P70" s="316"/>
      <c r="Q70" s="315"/>
      <c r="R70" s="315"/>
      <c r="S70" s="315"/>
      <c r="T70" s="316"/>
      <c r="U70" s="315"/>
      <c r="V70" s="315"/>
      <c r="W70" s="315"/>
      <c r="X70" s="316"/>
      <c r="Y70" s="315"/>
      <c r="Z70" s="315"/>
      <c r="AA70" s="315"/>
      <c r="AB70" s="316"/>
      <c r="AC70" s="315"/>
      <c r="AD70" s="315"/>
      <c r="AE70" s="315"/>
      <c r="AF70" s="316"/>
      <c r="AG70" s="317"/>
      <c r="AH70" s="317"/>
      <c r="AI70" s="317"/>
      <c r="AJ70" s="318"/>
      <c r="AK70" s="393"/>
      <c r="AL70" s="393"/>
      <c r="AM70" s="393"/>
      <c r="AN70" s="472"/>
      <c r="AO70" s="393"/>
      <c r="AP70" s="393"/>
      <c r="AQ70" s="393"/>
      <c r="AR70" s="472"/>
      <c r="AS70" s="393"/>
      <c r="AT70" s="393"/>
      <c r="AU70" s="393"/>
      <c r="AV70" s="472"/>
      <c r="AW70" s="393"/>
      <c r="AX70" s="393"/>
      <c r="AY70" s="393"/>
      <c r="AZ70" s="1417">
        <f>+(AZ65-AZ63)*10000</f>
        <v>949.99999999999977</v>
      </c>
      <c r="BA70" s="1418">
        <f>+(BA65-BA63)*10000</f>
        <v>959.99999999999977</v>
      </c>
      <c r="BB70" s="1419">
        <f>+(BB65-BB63)*10000</f>
        <v>2300.0000000000009</v>
      </c>
      <c r="BC70" s="1419">
        <f>+(BC65-BC63)*10000</f>
        <v>590.00000000000057</v>
      </c>
      <c r="BD70" s="1417">
        <f>+(BD65-BD63)*10000</f>
        <v>1540.0000000000002</v>
      </c>
      <c r="BE70" s="1418">
        <f t="shared" ref="BE70:BL70" si="77">+(BE65-BE63)*10000</f>
        <v>1250</v>
      </c>
      <c r="BF70" s="1419">
        <f t="shared" si="77"/>
        <v>80.000000000000071</v>
      </c>
      <c r="BG70" s="1419">
        <f t="shared" si="77"/>
        <v>1360</v>
      </c>
      <c r="BH70" s="1417">
        <f t="shared" si="77"/>
        <v>1059.9999999999998</v>
      </c>
      <c r="BI70" s="1418">
        <f t="shared" si="77"/>
        <v>449.99999999999983</v>
      </c>
      <c r="BJ70" s="1419">
        <f t="shared" si="77"/>
        <v>750.00000000000011</v>
      </c>
      <c r="BK70" s="1419">
        <f t="shared" si="77"/>
        <v>750.00000000000011</v>
      </c>
      <c r="BL70" s="1417">
        <f t="shared" si="77"/>
        <v>1049.9999999999998</v>
      </c>
      <c r="BM70" s="1418">
        <f t="shared" ref="BM70:BR70" si="78">+(BM65-BM63)*10000</f>
        <v>800.00000000000011</v>
      </c>
      <c r="BN70" s="1419">
        <f t="shared" si="78"/>
        <v>899.99999999999966</v>
      </c>
      <c r="BO70" s="1419">
        <f t="shared" si="78"/>
        <v>600</v>
      </c>
      <c r="BP70" s="1417">
        <f t="shared" si="78"/>
        <v>750.00000000000011</v>
      </c>
      <c r="BQ70" s="1418">
        <f t="shared" si="78"/>
        <v>849.99999999999966</v>
      </c>
      <c r="BR70" s="1419">
        <f t="shared" si="78"/>
        <v>949.99999999999977</v>
      </c>
      <c r="BS70" s="1419">
        <f>+(BS65-BS63)*10000</f>
        <v>549.99999999999989</v>
      </c>
      <c r="BT70" s="1417">
        <f>+(BT65-BT63)*10000</f>
        <v>849.99999999999966</v>
      </c>
      <c r="BU70" s="393"/>
      <c r="BV70" s="393"/>
      <c r="BW70" s="393"/>
      <c r="BX70" s="472"/>
      <c r="BY70" s="393"/>
      <c r="BZ70" s="393"/>
      <c r="CA70" s="393"/>
      <c r="CB70" s="472"/>
      <c r="CC70" s="393"/>
      <c r="CD70" s="393"/>
      <c r="CE70" s="393"/>
      <c r="CF70" s="472"/>
      <c r="CG70" s="742"/>
      <c r="CH70" s="320"/>
      <c r="CI70" s="315"/>
      <c r="CJ70" s="315"/>
      <c r="CK70" s="315"/>
      <c r="CL70" s="315"/>
      <c r="CM70" s="388"/>
      <c r="CN70" s="774"/>
      <c r="CO70" s="774"/>
      <c r="CP70" s="774"/>
      <c r="CQ70" s="774"/>
      <c r="CR70" s="774"/>
      <c r="CS70" s="774"/>
      <c r="CT70" s="774"/>
      <c r="CU70" s="393"/>
      <c r="CV70" s="774"/>
      <c r="CW70" s="774"/>
      <c r="CX70" s="774"/>
      <c r="CY70" s="774"/>
      <c r="CZ70" s="315"/>
      <c r="DA70" s="315"/>
      <c r="DB70" s="22"/>
      <c r="DC70" s="22"/>
      <c r="DD70" s="22"/>
      <c r="DE70" s="22"/>
      <c r="DF70" s="1657"/>
      <c r="DH70" s="752"/>
      <c r="DI70" s="752"/>
      <c r="DJ70" s="752"/>
    </row>
    <row r="71" spans="1:114" ht="11.25" customHeight="1">
      <c r="A71" s="12"/>
      <c r="B71" s="12"/>
      <c r="C71" s="12"/>
      <c r="D71" s="12"/>
      <c r="E71" s="12"/>
      <c r="F71" s="12"/>
      <c r="G71" s="12"/>
      <c r="H71" s="12"/>
      <c r="I71" s="722" t="s">
        <v>573</v>
      </c>
      <c r="J71" s="70"/>
      <c r="K71" s="70"/>
      <c r="L71" s="70"/>
      <c r="M71" s="315"/>
      <c r="N71" s="315"/>
      <c r="O71" s="315"/>
      <c r="P71" s="316"/>
      <c r="Q71" s="315"/>
      <c r="R71" s="315"/>
      <c r="S71" s="315"/>
      <c r="T71" s="316"/>
      <c r="U71" s="315"/>
      <c r="V71" s="315"/>
      <c r="W71" s="315"/>
      <c r="X71" s="316"/>
      <c r="Y71" s="315"/>
      <c r="Z71" s="315"/>
      <c r="AA71" s="315"/>
      <c r="AB71" s="316"/>
      <c r="AC71" s="315"/>
      <c r="AD71" s="315"/>
      <c r="AE71" s="315"/>
      <c r="AF71" s="316"/>
      <c r="AG71" s="317"/>
      <c r="AH71" s="317"/>
      <c r="AI71" s="317"/>
      <c r="AJ71" s="318"/>
      <c r="AK71" s="393"/>
      <c r="AL71" s="393"/>
      <c r="AM71" s="393"/>
      <c r="AN71" s="472"/>
      <c r="AO71" s="393"/>
      <c r="AP71" s="393"/>
      <c r="AQ71" s="393"/>
      <c r="AR71" s="472"/>
      <c r="AS71" s="393"/>
      <c r="AT71" s="393"/>
      <c r="AU71" s="393"/>
      <c r="AV71" s="472"/>
      <c r="AW71" s="393"/>
      <c r="AX71" s="393"/>
      <c r="AY71" s="393"/>
      <c r="AZ71" s="1417"/>
      <c r="BA71" s="1419"/>
      <c r="BB71" s="1419"/>
      <c r="BC71" s="1419">
        <f t="shared" ref="BC71:BK71" si="79">+AVERAGE(BC70,BB70,BA70,AZ70)</f>
        <v>1200.0000000000002</v>
      </c>
      <c r="BD71" s="1417">
        <f t="shared" si="79"/>
        <v>1347.5000000000005</v>
      </c>
      <c r="BE71" s="1418">
        <f t="shared" si="79"/>
        <v>1420.0000000000005</v>
      </c>
      <c r="BF71" s="1419">
        <f t="shared" si="79"/>
        <v>865.00000000000011</v>
      </c>
      <c r="BG71" s="1419">
        <f t="shared" si="79"/>
        <v>1057.5</v>
      </c>
      <c r="BH71" s="1417">
        <f t="shared" si="79"/>
        <v>937.5</v>
      </c>
      <c r="BI71" s="1418">
        <f t="shared" si="79"/>
        <v>737.49999999999989</v>
      </c>
      <c r="BJ71" s="1419">
        <f t="shared" si="79"/>
        <v>905</v>
      </c>
      <c r="BK71" s="1419">
        <f t="shared" si="79"/>
        <v>752.5</v>
      </c>
      <c r="BL71" s="1417">
        <f t="shared" ref="BL71:BQ71" si="80">+AVERAGE(BL70,BK70,BJ70,BI70)</f>
        <v>750</v>
      </c>
      <c r="BM71" s="1418">
        <f t="shared" si="80"/>
        <v>837.5</v>
      </c>
      <c r="BN71" s="1419">
        <f t="shared" si="80"/>
        <v>874.99999999999989</v>
      </c>
      <c r="BO71" s="1419">
        <f t="shared" si="80"/>
        <v>837.49999999999977</v>
      </c>
      <c r="BP71" s="1417">
        <f t="shared" si="80"/>
        <v>762.49999999999989</v>
      </c>
      <c r="BQ71" s="1418">
        <f t="shared" si="80"/>
        <v>774.99999999999989</v>
      </c>
      <c r="BR71" s="1419">
        <f>+AVERAGE(BR70,BQ70,BP70,BO70)</f>
        <v>787.49999999999989</v>
      </c>
      <c r="BS71" s="1419">
        <f>+AVERAGE(BS70,BR70,BQ70,BP70)</f>
        <v>774.99999999999977</v>
      </c>
      <c r="BT71" s="1417">
        <f>+AVERAGE(BT70,BS70,BR70,BQ70)</f>
        <v>799.99999999999966</v>
      </c>
      <c r="BU71" s="393"/>
      <c r="BV71" s="393"/>
      <c r="BW71" s="393"/>
      <c r="BX71" s="472"/>
      <c r="BY71" s="393"/>
      <c r="BZ71" s="393"/>
      <c r="CA71" s="393"/>
      <c r="CB71" s="472"/>
      <c r="CC71" s="393"/>
      <c r="CD71" s="393"/>
      <c r="CE71" s="393"/>
      <c r="CF71" s="472"/>
      <c r="CG71" s="742"/>
      <c r="CH71" s="320"/>
      <c r="CI71" s="315"/>
      <c r="CJ71" s="315"/>
      <c r="CK71" s="315"/>
      <c r="CL71" s="315"/>
      <c r="CM71" s="388"/>
      <c r="CN71" s="774"/>
      <c r="CO71" s="774"/>
      <c r="CP71" s="774"/>
      <c r="CQ71" s="774"/>
      <c r="CR71" s="774"/>
      <c r="CS71" s="774"/>
      <c r="CT71" s="774"/>
      <c r="CU71" s="393"/>
      <c r="CV71" s="774"/>
      <c r="CW71" s="774"/>
      <c r="CX71" s="774"/>
      <c r="CY71" s="774"/>
      <c r="CZ71" s="315"/>
      <c r="DA71" s="315"/>
      <c r="DB71" s="22"/>
      <c r="DC71" s="22"/>
      <c r="DD71" s="22"/>
      <c r="DE71" s="22"/>
      <c r="DF71" s="1657"/>
      <c r="DH71" s="752"/>
      <c r="DI71" s="752"/>
      <c r="DJ71" s="752"/>
    </row>
    <row r="72" spans="1:114" ht="11.25" customHeight="1">
      <c r="A72" s="12"/>
      <c r="B72" s="12"/>
      <c r="C72" s="12"/>
      <c r="D72" s="12"/>
      <c r="E72" s="12"/>
      <c r="F72" s="12"/>
      <c r="G72" s="12"/>
      <c r="H72" s="12"/>
      <c r="I72" s="722"/>
      <c r="J72" s="70"/>
      <c r="K72" s="70"/>
      <c r="L72" s="70"/>
      <c r="M72" s="315"/>
      <c r="N72" s="315"/>
      <c r="O72" s="315"/>
      <c r="P72" s="316"/>
      <c r="Q72" s="315"/>
      <c r="R72" s="315"/>
      <c r="S72" s="315"/>
      <c r="T72" s="316"/>
      <c r="U72" s="315"/>
      <c r="V72" s="315"/>
      <c r="W72" s="315"/>
      <c r="X72" s="316"/>
      <c r="Y72" s="315"/>
      <c r="Z72" s="315"/>
      <c r="AA72" s="315"/>
      <c r="AB72" s="316"/>
      <c r="AC72" s="315"/>
      <c r="AD72" s="315"/>
      <c r="AE72" s="315"/>
      <c r="AF72" s="316"/>
      <c r="AG72" s="317"/>
      <c r="AH72" s="317"/>
      <c r="AI72" s="317"/>
      <c r="AJ72" s="318"/>
      <c r="AK72" s="393"/>
      <c r="AL72" s="393"/>
      <c r="AM72" s="393"/>
      <c r="AN72" s="472"/>
      <c r="AO72" s="393"/>
      <c r="AP72" s="393"/>
      <c r="AQ72" s="393"/>
      <c r="AR72" s="472"/>
      <c r="AS72" s="393"/>
      <c r="AT72" s="393"/>
      <c r="AU72" s="393"/>
      <c r="AV72" s="472"/>
      <c r="AW72" s="393"/>
      <c r="AX72" s="393"/>
      <c r="AY72" s="393"/>
      <c r="AZ72" s="1417"/>
      <c r="BA72" s="1419"/>
      <c r="BB72" s="1419"/>
      <c r="BC72" s="1419"/>
      <c r="BD72" s="1417"/>
      <c r="BE72" s="1419"/>
      <c r="BF72" s="1419"/>
      <c r="BG72" s="1419"/>
      <c r="BH72" s="1417"/>
      <c r="BI72" s="1419"/>
      <c r="BJ72" s="1419"/>
      <c r="BK72" s="1419"/>
      <c r="BL72" s="1417"/>
      <c r="BM72" s="1419"/>
      <c r="BN72" s="1419"/>
      <c r="BO72" s="1419"/>
      <c r="BP72" s="1417"/>
      <c r="BQ72" s="1419"/>
      <c r="BR72" s="393"/>
      <c r="BS72" s="393"/>
      <c r="BT72" s="472"/>
      <c r="BU72" s="393"/>
      <c r="BV72" s="393"/>
      <c r="BW72" s="393"/>
      <c r="BX72" s="472"/>
      <c r="BY72" s="393"/>
      <c r="BZ72" s="393"/>
      <c r="CA72" s="393"/>
      <c r="CB72" s="472"/>
      <c r="CC72" s="393"/>
      <c r="CD72" s="393"/>
      <c r="CE72" s="393"/>
      <c r="CF72" s="472"/>
      <c r="CG72" s="742"/>
      <c r="CH72" s="320"/>
      <c r="CI72" s="315"/>
      <c r="CJ72" s="315"/>
      <c r="CK72" s="315"/>
      <c r="CL72" s="315"/>
      <c r="CM72" s="388"/>
      <c r="CN72" s="774"/>
      <c r="CO72" s="774"/>
      <c r="CP72" s="774"/>
      <c r="CQ72" s="774"/>
      <c r="CR72" s="774"/>
      <c r="CS72" s="774"/>
      <c r="CT72" s="774"/>
      <c r="CU72" s="393"/>
      <c r="CV72" s="774"/>
      <c r="CW72" s="774"/>
      <c r="CX72" s="774"/>
      <c r="CY72" s="774"/>
      <c r="CZ72" s="315"/>
      <c r="DA72" s="315"/>
      <c r="DB72" s="22"/>
      <c r="DC72" s="22"/>
      <c r="DD72" s="22"/>
      <c r="DE72" s="22"/>
      <c r="DF72" s="1657"/>
      <c r="DH72" s="752"/>
      <c r="DI72" s="752"/>
      <c r="DJ72" s="752"/>
    </row>
    <row r="73" spans="1:114" ht="11.25" customHeight="1">
      <c r="A73" s="12"/>
      <c r="B73" s="12"/>
      <c r="C73" s="12"/>
      <c r="D73" s="12"/>
      <c r="E73" s="12"/>
      <c r="F73" s="12"/>
      <c r="G73" s="12"/>
      <c r="H73" s="12"/>
      <c r="I73" s="722"/>
      <c r="J73" s="70"/>
      <c r="K73" s="70"/>
      <c r="L73" s="70"/>
      <c r="M73" s="315"/>
      <c r="N73" s="315"/>
      <c r="O73" s="315"/>
      <c r="P73" s="316"/>
      <c r="Q73" s="315"/>
      <c r="R73" s="315"/>
      <c r="S73" s="315"/>
      <c r="T73" s="316"/>
      <c r="U73" s="315"/>
      <c r="V73" s="315"/>
      <c r="W73" s="315"/>
      <c r="X73" s="316"/>
      <c r="Y73" s="315"/>
      <c r="Z73" s="315"/>
      <c r="AA73" s="315"/>
      <c r="AB73" s="316"/>
      <c r="AC73" s="315"/>
      <c r="AD73" s="315"/>
      <c r="AE73" s="315"/>
      <c r="AF73" s="316"/>
      <c r="AG73" s="317"/>
      <c r="AH73" s="317"/>
      <c r="AI73" s="317"/>
      <c r="AJ73" s="318"/>
      <c r="AK73" s="393"/>
      <c r="AL73" s="393"/>
      <c r="AM73" s="393"/>
      <c r="AN73" s="472"/>
      <c r="AO73" s="393"/>
      <c r="AP73" s="393"/>
      <c r="AQ73" s="393"/>
      <c r="AR73" s="472"/>
      <c r="AS73" s="393"/>
      <c r="AT73" s="393"/>
      <c r="AU73" s="393"/>
      <c r="AV73" s="472"/>
      <c r="AW73" s="393"/>
      <c r="AX73" s="393"/>
      <c r="AY73" s="393"/>
      <c r="AZ73" s="1417"/>
      <c r="BA73" s="1419"/>
      <c r="BB73" s="1419"/>
      <c r="BC73" s="1419"/>
      <c r="BD73" s="1417"/>
      <c r="BE73" s="1419"/>
      <c r="BF73" s="1419"/>
      <c r="BG73" s="1419"/>
      <c r="BH73" s="1417"/>
      <c r="BI73" s="1419"/>
      <c r="BJ73" s="1419"/>
      <c r="BK73" s="1419"/>
      <c r="BL73" s="1417"/>
      <c r="BM73" s="1419"/>
      <c r="BN73" s="1419"/>
      <c r="BO73" s="1419"/>
      <c r="BP73" s="1417"/>
      <c r="BQ73" s="1419"/>
      <c r="BR73" s="393"/>
      <c r="BS73" s="393"/>
      <c r="BT73" s="472"/>
      <c r="BU73" s="393"/>
      <c r="BV73" s="393"/>
      <c r="BW73" s="393"/>
      <c r="BX73" s="472"/>
      <c r="BY73" s="393"/>
      <c r="BZ73" s="393"/>
      <c r="CA73" s="393"/>
      <c r="CB73" s="472"/>
      <c r="CC73" s="393"/>
      <c r="CD73" s="393"/>
      <c r="CE73" s="393"/>
      <c r="CF73" s="472"/>
      <c r="CG73" s="742"/>
      <c r="CH73" s="320"/>
      <c r="CI73" s="315"/>
      <c r="CJ73" s="315"/>
      <c r="CK73" s="315"/>
      <c r="CL73" s="315"/>
      <c r="CM73" s="388"/>
      <c r="CN73" s="774"/>
      <c r="CO73" s="774"/>
      <c r="CP73" s="774"/>
      <c r="CQ73" s="774"/>
      <c r="CR73" s="774"/>
      <c r="CS73" s="774"/>
      <c r="CT73" s="774"/>
      <c r="CU73" s="393"/>
      <c r="CV73" s="774"/>
      <c r="CW73" s="774"/>
      <c r="CX73" s="774"/>
      <c r="CY73" s="774"/>
      <c r="CZ73" s="315"/>
      <c r="DA73" s="315"/>
      <c r="DB73" s="22"/>
      <c r="DC73" s="22"/>
      <c r="DD73" s="22"/>
      <c r="DE73" s="22"/>
      <c r="DF73" s="1657"/>
      <c r="DH73" s="752"/>
      <c r="DI73" s="752"/>
      <c r="DJ73" s="752"/>
    </row>
    <row r="74" spans="1:114" ht="11.25" customHeight="1">
      <c r="A74" s="12"/>
      <c r="B74" s="12"/>
      <c r="C74" s="12"/>
      <c r="D74" s="12"/>
      <c r="E74" s="12"/>
      <c r="F74" s="12"/>
      <c r="G74" s="12"/>
      <c r="H74" s="12"/>
      <c r="I74" s="281" t="s">
        <v>608</v>
      </c>
      <c r="J74" s="70"/>
      <c r="K74" s="70"/>
      <c r="L74" s="70"/>
      <c r="M74" s="315"/>
      <c r="N74" s="315"/>
      <c r="O74" s="315"/>
      <c r="P74" s="316"/>
      <c r="Q74" s="315"/>
      <c r="R74" s="315"/>
      <c r="S74" s="315"/>
      <c r="T74" s="316"/>
      <c r="U74" s="315"/>
      <c r="V74" s="315"/>
      <c r="W74" s="315"/>
      <c r="X74" s="316"/>
      <c r="Y74" s="315"/>
      <c r="Z74" s="315"/>
      <c r="AA74" s="315"/>
      <c r="AB74" s="316"/>
      <c r="AC74" s="315"/>
      <c r="AD74" s="315"/>
      <c r="AE74" s="315"/>
      <c r="AF74" s="316"/>
      <c r="AG74" s="317"/>
      <c r="AH74" s="317"/>
      <c r="AI74" s="317"/>
      <c r="AJ74" s="318"/>
      <c r="AK74" s="393"/>
      <c r="AL74" s="393"/>
      <c r="AM74" s="393"/>
      <c r="AN74" s="472"/>
      <c r="AO74" s="393"/>
      <c r="AP74" s="393"/>
      <c r="AQ74" s="393"/>
      <c r="AR74" s="472"/>
      <c r="AS74" s="393"/>
      <c r="AT74" s="393"/>
      <c r="AU74" s="393"/>
      <c r="AV74" s="472"/>
      <c r="AW74" s="393"/>
      <c r="AX74" s="393"/>
      <c r="AY74" s="393"/>
      <c r="AZ74" s="1417"/>
      <c r="BA74" s="1419"/>
      <c r="BB74" s="1419"/>
      <c r="BC74" s="1419"/>
      <c r="BD74" s="1417"/>
      <c r="BE74" s="1419"/>
      <c r="BF74" s="1419"/>
      <c r="BG74" s="1419"/>
      <c r="BH74" s="1417"/>
      <c r="BI74" s="1419"/>
      <c r="BJ74" s="1419"/>
      <c r="BK74" s="1419"/>
      <c r="BL74" s="1417"/>
      <c r="BM74" s="1419"/>
      <c r="BN74" s="1419"/>
      <c r="BO74" s="1419"/>
      <c r="BP74" s="1417"/>
      <c r="BQ74" s="1419"/>
      <c r="BR74" s="393"/>
      <c r="BS74" s="393"/>
      <c r="BT74" s="472"/>
      <c r="BU74" s="393"/>
      <c r="BV74" s="393"/>
      <c r="BW74" s="393"/>
      <c r="BX74" s="472"/>
      <c r="BY74" s="393"/>
      <c r="BZ74" s="393"/>
      <c r="CA74" s="393"/>
      <c r="CB74" s="472"/>
      <c r="CC74" s="393"/>
      <c r="CD74" s="393"/>
      <c r="CE74" s="393"/>
      <c r="CF74" s="472"/>
      <c r="CG74" s="742"/>
      <c r="CH74" s="320"/>
      <c r="CI74" s="315"/>
      <c r="CJ74" s="315"/>
      <c r="CK74" s="315"/>
      <c r="CL74" s="315"/>
      <c r="CM74" s="388"/>
      <c r="CN74" s="774"/>
      <c r="CO74" s="774"/>
      <c r="CP74" s="774"/>
      <c r="CQ74" s="774"/>
      <c r="CR74" s="774"/>
      <c r="CS74" s="774"/>
      <c r="CT74" s="774"/>
      <c r="CU74" s="393"/>
      <c r="CV74" s="774"/>
      <c r="CW74" s="774"/>
      <c r="CX74" s="774"/>
      <c r="CY74" s="774"/>
      <c r="CZ74" s="315"/>
      <c r="DA74" s="315"/>
      <c r="DB74" s="22"/>
      <c r="DC74" s="22"/>
      <c r="DD74" s="22"/>
      <c r="DE74" s="22"/>
      <c r="DF74" s="1657"/>
      <c r="DH74" s="752"/>
      <c r="DI74" s="752"/>
      <c r="DJ74" s="752"/>
    </row>
    <row r="75" spans="1:114" ht="11.25" customHeight="1">
      <c r="A75" s="12"/>
      <c r="B75" s="12"/>
      <c r="C75" s="12"/>
      <c r="D75" s="12"/>
      <c r="E75" s="12"/>
      <c r="F75" s="12"/>
      <c r="G75" s="12"/>
      <c r="H75" s="12"/>
      <c r="I75" s="1673" t="s">
        <v>609</v>
      </c>
      <c r="J75" s="70"/>
      <c r="K75" s="70"/>
      <c r="L75" s="70"/>
      <c r="M75" s="315"/>
      <c r="N75" s="315"/>
      <c r="O75" s="315"/>
      <c r="P75" s="316"/>
      <c r="Q75" s="315"/>
      <c r="R75" s="315"/>
      <c r="S75" s="315"/>
      <c r="T75" s="316"/>
      <c r="U75" s="315"/>
      <c r="V75" s="315"/>
      <c r="W75" s="315"/>
      <c r="X75" s="316"/>
      <c r="Y75" s="315"/>
      <c r="Z75" s="315"/>
      <c r="AA75" s="315"/>
      <c r="AB75" s="316"/>
      <c r="AC75" s="315"/>
      <c r="AD75" s="315"/>
      <c r="AE75" s="315"/>
      <c r="AF75" s="316"/>
      <c r="AG75" s="1675">
        <v>0.32649103600700469</v>
      </c>
      <c r="AH75" s="1674">
        <v>0.32604952110056951</v>
      </c>
      <c r="AI75" s="1674">
        <v>0.32401310799972266</v>
      </c>
      <c r="AJ75" s="1676">
        <v>0.32495538586588724</v>
      </c>
      <c r="AK75" s="1675">
        <v>0.32300458699031326</v>
      </c>
      <c r="AL75" s="1674">
        <v>0.32429982535099028</v>
      </c>
      <c r="AM75" s="1674">
        <v>0.31881162089348125</v>
      </c>
      <c r="AN75" s="1676">
        <v>0.31789439036708322</v>
      </c>
      <c r="AO75" s="1675">
        <v>0.31722351093152029</v>
      </c>
      <c r="AP75" s="1674">
        <v>0.32055118287084966</v>
      </c>
      <c r="AQ75" s="1674">
        <v>0.32830325959426448</v>
      </c>
      <c r="AR75" s="1676">
        <v>0.30035591892391356</v>
      </c>
      <c r="AS75" s="1675">
        <v>0.28228544381848081</v>
      </c>
      <c r="AT75" s="1674">
        <v>0.26822339219724051</v>
      </c>
      <c r="AU75" s="1674">
        <v>0.26111314166988447</v>
      </c>
      <c r="AV75" s="1676">
        <v>0.26215474864848148</v>
      </c>
      <c r="AW75" s="1675">
        <v>0.26046484154159438</v>
      </c>
      <c r="AX75" s="1674">
        <v>0.2563717550127001</v>
      </c>
      <c r="AY75" s="1674">
        <v>0.25375861760324275</v>
      </c>
      <c r="AZ75" s="1676">
        <v>0.25209235991715373</v>
      </c>
      <c r="BA75" s="1675">
        <v>0.24925025696067915</v>
      </c>
      <c r="BB75" s="1674">
        <v>0.24503004255181804</v>
      </c>
      <c r="BC75" s="1674">
        <v>0.24014375316814715</v>
      </c>
      <c r="BD75" s="1676">
        <v>0.23497638024959769</v>
      </c>
      <c r="BE75" s="1675">
        <v>0.23037918426826509</v>
      </c>
      <c r="BF75" s="1674">
        <v>0.22494332610635379</v>
      </c>
      <c r="BG75" s="1674">
        <v>0.21704746581593709</v>
      </c>
      <c r="BH75" s="1676">
        <v>0.20832935450236789</v>
      </c>
      <c r="BI75" s="1675">
        <v>0.19944655945112516</v>
      </c>
      <c r="BJ75" s="1674">
        <v>0.19090898231288722</v>
      </c>
      <c r="BK75" s="1674">
        <v>0.17917430976768464</v>
      </c>
      <c r="BL75" s="1676">
        <v>0.1650462482648572</v>
      </c>
      <c r="BM75" s="1675">
        <v>0.13224553863153632</v>
      </c>
      <c r="BN75" s="1674">
        <v>0.12414839242022742</v>
      </c>
      <c r="BO75" s="1674">
        <v>0.12056991710163531</v>
      </c>
      <c r="BP75" s="1676">
        <v>0.11747073942863617</v>
      </c>
      <c r="BQ75" s="1675">
        <v>0.11514721686898902</v>
      </c>
      <c r="BR75" s="1674">
        <v>0.11174240216180401</v>
      </c>
      <c r="BS75" s="1674">
        <v>0.10815822559757729</v>
      </c>
      <c r="BT75" s="1676">
        <v>9.9796874361346918E-2</v>
      </c>
      <c r="BU75" s="1675">
        <v>6.9432846390286476E-2</v>
      </c>
      <c r="BV75" s="1674">
        <v>7.038950365754694E-2</v>
      </c>
      <c r="BW75" s="1674">
        <v>6.6923116626815701E-2</v>
      </c>
      <c r="BX75" s="1676">
        <v>6.4731836851970828E-2</v>
      </c>
      <c r="BY75" s="1675">
        <v>6.3995823510827166E-2</v>
      </c>
      <c r="BZ75" s="1674">
        <v>6.3644855926850832E-2</v>
      </c>
      <c r="CA75" s="1674">
        <v>5.7899381652521516E-2</v>
      </c>
      <c r="CB75" s="1676">
        <v>5.6958114627696725E-2</v>
      </c>
      <c r="CC75" s="1675">
        <v>5.0805783246569092E-2</v>
      </c>
      <c r="CD75" s="2135">
        <v>4.9580235420691093E-2</v>
      </c>
      <c r="CE75" s="2135">
        <v>4.9578584510589233E-2</v>
      </c>
      <c r="CF75" s="2135">
        <v>4.9578584510589233E-2</v>
      </c>
      <c r="CG75" s="742"/>
      <c r="CH75" s="320"/>
      <c r="CI75" s="315"/>
      <c r="CJ75" s="315"/>
      <c r="CK75" s="315"/>
      <c r="CL75" s="315"/>
      <c r="CM75" s="388"/>
      <c r="CN75" s="774"/>
      <c r="CO75" s="774"/>
      <c r="CP75" s="774"/>
      <c r="CQ75" s="774"/>
      <c r="CR75" s="774"/>
      <c r="CS75" s="774"/>
      <c r="CT75" s="774"/>
      <c r="CU75" s="393"/>
      <c r="CV75" s="774"/>
      <c r="CW75" s="774"/>
      <c r="CX75" s="774"/>
      <c r="CY75" s="774"/>
      <c r="CZ75" s="315"/>
      <c r="DA75" s="315"/>
      <c r="DB75" s="22"/>
      <c r="DC75" s="22"/>
      <c r="DD75" s="22"/>
      <c r="DE75" s="22"/>
      <c r="DF75" s="1657"/>
      <c r="DH75" s="752"/>
      <c r="DI75" s="752"/>
      <c r="DJ75" s="752"/>
    </row>
    <row r="76" spans="1:114" ht="11.25" customHeight="1">
      <c r="A76" s="12"/>
      <c r="B76" s="12"/>
      <c r="C76" s="12"/>
      <c r="D76" s="12"/>
      <c r="E76" s="12"/>
      <c r="F76" s="12"/>
      <c r="G76" s="12"/>
      <c r="H76" s="12"/>
      <c r="I76" s="1673" t="s">
        <v>610</v>
      </c>
      <c r="J76" s="70"/>
      <c r="K76" s="70"/>
      <c r="L76" s="70"/>
      <c r="M76" s="315"/>
      <c r="N76" s="315"/>
      <c r="O76" s="315"/>
      <c r="P76" s="316"/>
      <c r="Q76" s="315"/>
      <c r="R76" s="315"/>
      <c r="S76" s="315"/>
      <c r="T76" s="316"/>
      <c r="U76" s="315"/>
      <c r="V76" s="315"/>
      <c r="W76" s="315"/>
      <c r="X76" s="316"/>
      <c r="Y76" s="315"/>
      <c r="Z76" s="315"/>
      <c r="AA76" s="315"/>
      <c r="AB76" s="316"/>
      <c r="AC76" s="315"/>
      <c r="AD76" s="315"/>
      <c r="AE76" s="315"/>
      <c r="AF76" s="316"/>
      <c r="AG76" s="1675">
        <v>0.73898441433333328</v>
      </c>
      <c r="AH76" s="1674">
        <v>0.74685931538461525</v>
      </c>
      <c r="AI76" s="1674">
        <v>0.75695867010869566</v>
      </c>
      <c r="AJ76" s="1676">
        <v>0.77058421336956495</v>
      </c>
      <c r="AK76" s="1675">
        <v>0.78607275111111141</v>
      </c>
      <c r="AL76" s="1674">
        <v>0.83139008659340663</v>
      </c>
      <c r="AM76" s="1674">
        <v>0.84702117108695651</v>
      </c>
      <c r="AN76" s="1676">
        <v>0.88965323695652176</v>
      </c>
      <c r="AO76" s="1675">
        <v>0.90499942747252671</v>
      </c>
      <c r="AP76" s="1674">
        <v>0.94362744923076969</v>
      </c>
      <c r="AQ76" s="1674">
        <v>0.88876627913043493</v>
      </c>
      <c r="AR76" s="1676">
        <v>0.67093856282608666</v>
      </c>
      <c r="AS76" s="1675">
        <v>0.66494275622222232</v>
      </c>
      <c r="AT76" s="1674">
        <v>0.76142744769230786</v>
      </c>
      <c r="AU76" s="1674">
        <v>0.83320649760869503</v>
      </c>
      <c r="AV76" s="1676">
        <v>0.90819508434782592</v>
      </c>
      <c r="AW76" s="1675">
        <v>0.90347570933333321</v>
      </c>
      <c r="AX76" s="1674">
        <v>0.88335635582417571</v>
      </c>
      <c r="AY76" s="1674">
        <v>0.90407827978260902</v>
      </c>
      <c r="AZ76" s="1676">
        <v>0.98764393260869521</v>
      </c>
      <c r="BA76" s="1675">
        <v>1.0055209010000001</v>
      </c>
      <c r="BB76" s="1674">
        <v>1.0627803505494504</v>
      </c>
      <c r="BC76" s="1674">
        <v>1.0510403569565219</v>
      </c>
      <c r="BD76" s="1676">
        <v>1.0134534694565216</v>
      </c>
      <c r="BE76" s="1675">
        <v>1.0551424340659341</v>
      </c>
      <c r="BF76" s="1674">
        <v>1.0100464126373632</v>
      </c>
      <c r="BG76" s="1674">
        <v>1.0394191608695651</v>
      </c>
      <c r="BH76" s="1676">
        <v>1.0383920130434781</v>
      </c>
      <c r="BI76" s="1675">
        <v>1.0386745811111109</v>
      </c>
      <c r="BJ76" s="1674">
        <v>0.99028110945054881</v>
      </c>
      <c r="BK76" s="1674">
        <v>0.91560269358695678</v>
      </c>
      <c r="BL76" s="1676">
        <v>0.92719671608695653</v>
      </c>
      <c r="BM76" s="1675">
        <v>0.89683441955555598</v>
      </c>
      <c r="BN76" s="1674">
        <v>0.932919760769231</v>
      </c>
      <c r="BO76" s="1674">
        <v>0.92510432249999963</v>
      </c>
      <c r="BP76" s="1676">
        <v>0.85497116500000003</v>
      </c>
      <c r="BQ76" s="1675">
        <v>0.78695942711111111</v>
      </c>
      <c r="BR76" s="1674">
        <v>0.777190083516483</v>
      </c>
      <c r="BS76" s="1674">
        <v>0.72567062706521701</v>
      </c>
      <c r="BT76" s="1676">
        <v>0.72015432380434785</v>
      </c>
      <c r="BU76" s="1675">
        <v>0.72197744648351625</v>
      </c>
      <c r="BV76" s="1674">
        <v>0.74556371406593414</v>
      </c>
      <c r="BW76" s="1674">
        <v>0.7582097565217395</v>
      </c>
      <c r="BX76" s="1676">
        <v>0.74872117260869564</v>
      </c>
      <c r="BY76" s="1675">
        <v>0.76005821417582453</v>
      </c>
      <c r="BZ76" s="1674">
        <v>0.7508230514285712</v>
      </c>
      <c r="CA76" s="1674">
        <v>0.78971084293478255</v>
      </c>
      <c r="CB76" s="1676">
        <v>0.7688108433695654</v>
      </c>
      <c r="CC76" s="1675">
        <v>0.78591275533333327</v>
      </c>
      <c r="CD76" s="2135">
        <v>0.76753351560439553</v>
      </c>
      <c r="CE76" s="2135">
        <v>0.76754999999999995</v>
      </c>
      <c r="CF76" s="2135">
        <v>0.76754999999999995</v>
      </c>
      <c r="CG76" s="742"/>
      <c r="CH76" s="320"/>
      <c r="CI76" s="315"/>
      <c r="CJ76" s="315"/>
      <c r="CK76" s="315"/>
      <c r="CL76" s="315"/>
      <c r="CM76" s="388"/>
      <c r="CN76" s="774"/>
      <c r="CO76" s="774"/>
      <c r="CP76" s="774"/>
      <c r="CQ76" s="774"/>
      <c r="CR76" s="774"/>
      <c r="CS76" s="774"/>
      <c r="CT76" s="774"/>
      <c r="CU76" s="393"/>
      <c r="CV76" s="774"/>
      <c r="CW76" s="774"/>
      <c r="CX76" s="774"/>
      <c r="CY76" s="774"/>
      <c r="CZ76" s="315"/>
      <c r="DA76" s="315"/>
      <c r="DB76" s="22"/>
      <c r="DC76" s="22"/>
      <c r="DD76" s="22"/>
      <c r="DE76" s="22"/>
      <c r="DF76" s="1657"/>
      <c r="DH76" s="752"/>
      <c r="DI76" s="752"/>
      <c r="DJ76" s="752"/>
    </row>
    <row r="77" spans="1:114" ht="11.25" customHeight="1">
      <c r="A77" s="12"/>
      <c r="B77" s="12"/>
      <c r="C77" s="12"/>
      <c r="D77" s="12"/>
      <c r="E77" s="12"/>
      <c r="F77" s="12"/>
      <c r="G77" s="12"/>
      <c r="H77" s="12"/>
      <c r="I77" s="1673" t="s">
        <v>611</v>
      </c>
      <c r="J77" s="70"/>
      <c r="K77" s="70"/>
      <c r="L77" s="70"/>
      <c r="M77" s="315"/>
      <c r="N77" s="315"/>
      <c r="O77" s="315"/>
      <c r="P77" s="316"/>
      <c r="Q77" s="315"/>
      <c r="R77" s="315"/>
      <c r="S77" s="315"/>
      <c r="T77" s="316"/>
      <c r="U77" s="315"/>
      <c r="V77" s="315"/>
      <c r="W77" s="315"/>
      <c r="X77" s="316"/>
      <c r="Y77" s="315"/>
      <c r="Z77" s="315"/>
      <c r="AA77" s="315"/>
      <c r="AB77" s="316"/>
      <c r="AC77" s="315"/>
      <c r="AD77" s="315"/>
      <c r="AE77" s="315"/>
      <c r="AF77" s="316"/>
      <c r="AG77" s="1675">
        <v>0.45620315961708707</v>
      </c>
      <c r="AH77" s="1674">
        <v>0.45852677830420097</v>
      </c>
      <c r="AI77" s="1674">
        <v>0.46066976923095715</v>
      </c>
      <c r="AJ77" s="1676">
        <v>0.46489205331407113</v>
      </c>
      <c r="AK77" s="1675">
        <v>0.4745717522975863</v>
      </c>
      <c r="AL77" s="1674">
        <v>0.50462200540812452</v>
      </c>
      <c r="AM77" s="1674">
        <v>0.52204655384329524</v>
      </c>
      <c r="AN77" s="1676">
        <v>0.56098793315881701</v>
      </c>
      <c r="AO77" s="1675">
        <v>0.57514944809024515</v>
      </c>
      <c r="AP77" s="1674">
        <v>0.6044699876503451</v>
      </c>
      <c r="AQ77" s="1674">
        <v>0.60257671496512866</v>
      </c>
      <c r="AR77" s="1676">
        <v>0.43984672568261873</v>
      </c>
      <c r="AS77" s="1675">
        <v>0.4317953653019263</v>
      </c>
      <c r="AT77" s="1674">
        <v>0.48314162081006207</v>
      </c>
      <c r="AU77" s="1674">
        <v>0.53580831722880562</v>
      </c>
      <c r="AV77" s="1676">
        <v>0.57474898781161254</v>
      </c>
      <c r="AW77" s="1675">
        <v>0.55505105789584808</v>
      </c>
      <c r="AX77" s="1674">
        <v>0.55798390492503147</v>
      </c>
      <c r="AY77" s="1674">
        <v>0.5716739402725457</v>
      </c>
      <c r="AZ77" s="1676">
        <v>0.58913694063951338</v>
      </c>
      <c r="BA77" s="1675">
        <v>0.59996192527166936</v>
      </c>
      <c r="BB77" s="1674">
        <v>0.62700293772899829</v>
      </c>
      <c r="BC77" s="1674">
        <v>0.61427797943529272</v>
      </c>
      <c r="BD77" s="1676">
        <v>0.55643952111889239</v>
      </c>
      <c r="BE77" s="1675">
        <v>0.56581924377369031</v>
      </c>
      <c r="BF77" s="1674">
        <v>0.51126385655461282</v>
      </c>
      <c r="BG77" s="1674">
        <v>0.49316674132113958</v>
      </c>
      <c r="BH77" s="1676">
        <v>0.48607158220935331</v>
      </c>
      <c r="BI77" s="1675">
        <v>0.50076618141617568</v>
      </c>
      <c r="BJ77" s="1674">
        <v>0.48379825587484193</v>
      </c>
      <c r="BK77" s="1674">
        <v>0.43738191086743028</v>
      </c>
      <c r="BL77" s="1676">
        <v>0.439227735096407</v>
      </c>
      <c r="BM77" s="1675">
        <v>0.42331784765086899</v>
      </c>
      <c r="BN77" s="1674">
        <v>0.4485650487081525</v>
      </c>
      <c r="BO77" s="1674">
        <v>0.43966319163805939</v>
      </c>
      <c r="BP77" s="1676">
        <v>0.39291903445434573</v>
      </c>
      <c r="BQ77" s="1675">
        <v>0.35084058251387218</v>
      </c>
      <c r="BR77" s="1674">
        <v>0.32538123821732401</v>
      </c>
      <c r="BS77" s="1674">
        <v>0.28435693981550025</v>
      </c>
      <c r="BT77" s="1676">
        <v>0.26023391728641793</v>
      </c>
      <c r="BU77" s="1675">
        <v>0.25676578126483313</v>
      </c>
      <c r="BV77" s="1674">
        <v>0.28485089099886313</v>
      </c>
      <c r="BW77" s="1674">
        <v>0.30825304209302468</v>
      </c>
      <c r="BX77" s="1676">
        <v>0.30322041815567191</v>
      </c>
      <c r="BY77" s="1675">
        <v>0.31909932510454486</v>
      </c>
      <c r="BZ77" s="1674">
        <v>0.31118165828011396</v>
      </c>
      <c r="CA77" s="1674">
        <v>0.31632962020703614</v>
      </c>
      <c r="CB77" s="1676">
        <v>0.30761405616138837</v>
      </c>
      <c r="CC77" s="1675">
        <v>0.30796889443949815</v>
      </c>
      <c r="CD77" s="2135">
        <v>0.30164952298299819</v>
      </c>
      <c r="CE77" s="2135">
        <v>0.30165464814217552</v>
      </c>
      <c r="CF77" s="2135">
        <v>0.30165464814217552</v>
      </c>
      <c r="CG77" s="742"/>
      <c r="CH77" s="320"/>
      <c r="CI77" s="315"/>
      <c r="CJ77" s="315"/>
      <c r="CK77" s="315"/>
      <c r="CL77" s="315"/>
      <c r="CM77" s="388"/>
      <c r="CN77" s="774"/>
      <c r="CO77" s="774"/>
      <c r="CP77" s="774"/>
      <c r="CQ77" s="774"/>
      <c r="CR77" s="774"/>
      <c r="CS77" s="774"/>
      <c r="CT77" s="774"/>
      <c r="CU77" s="393"/>
      <c r="CV77" s="774"/>
      <c r="CW77" s="774"/>
      <c r="CX77" s="774"/>
      <c r="CY77" s="774"/>
      <c r="CZ77" s="315"/>
      <c r="DA77" s="315"/>
      <c r="DB77" s="22"/>
      <c r="DC77" s="22"/>
      <c r="DD77" s="22"/>
      <c r="DE77" s="22"/>
      <c r="DF77" s="1657"/>
      <c r="DH77" s="752"/>
      <c r="DI77" s="752"/>
      <c r="DJ77" s="752"/>
    </row>
    <row r="78" spans="1:114" ht="11.25" customHeight="1">
      <c r="A78" s="12"/>
      <c r="B78" s="12"/>
      <c r="C78" s="12"/>
      <c r="D78" s="12"/>
      <c r="E78" s="12"/>
      <c r="F78" s="12"/>
      <c r="G78" s="12"/>
      <c r="H78" s="12"/>
      <c r="I78" s="1673" t="s">
        <v>612</v>
      </c>
      <c r="J78" s="70"/>
      <c r="K78" s="70"/>
      <c r="L78" s="70"/>
      <c r="M78" s="315"/>
      <c r="N78" s="315"/>
      <c r="O78" s="315"/>
      <c r="P78" s="316"/>
      <c r="Q78" s="315"/>
      <c r="R78" s="315"/>
      <c r="S78" s="315"/>
      <c r="T78" s="316"/>
      <c r="U78" s="315"/>
      <c r="V78" s="315"/>
      <c r="W78" s="315"/>
      <c r="X78" s="316"/>
      <c r="Y78" s="315"/>
      <c r="Z78" s="315"/>
      <c r="AA78" s="315"/>
      <c r="AB78" s="316"/>
      <c r="AC78" s="315"/>
      <c r="AD78" s="315"/>
      <c r="AE78" s="315"/>
      <c r="AF78" s="316"/>
      <c r="AG78" s="1675">
        <v>0.12422012299803592</v>
      </c>
      <c r="AH78" s="1674">
        <v>0.12481116482144279</v>
      </c>
      <c r="AI78" s="1674">
        <v>0.12553507431758595</v>
      </c>
      <c r="AJ78" s="1676">
        <v>0.12719155805601873</v>
      </c>
      <c r="AK78" s="1675">
        <v>0.12888355648637068</v>
      </c>
      <c r="AL78" s="1674">
        <v>0.13025691373883111</v>
      </c>
      <c r="AM78" s="1674">
        <v>0.13231107997185995</v>
      </c>
      <c r="AN78" s="1676">
        <v>0.13457104998421271</v>
      </c>
      <c r="AO78" s="1675">
        <v>0.13964740038191609</v>
      </c>
      <c r="AP78" s="1674">
        <v>0.14373472699690451</v>
      </c>
      <c r="AQ78" s="1674">
        <v>0.14616266034265515</v>
      </c>
      <c r="AR78" s="1676">
        <v>0.14618571010048906</v>
      </c>
      <c r="AS78" s="1675">
        <v>0.14628804026334949</v>
      </c>
      <c r="AT78" s="1674">
        <v>0.14641219416336937</v>
      </c>
      <c r="AU78" s="1674">
        <v>0.1463936410705978</v>
      </c>
      <c r="AV78" s="1676">
        <v>0.14646907389780198</v>
      </c>
      <c r="AW78" s="1675">
        <v>0.14646628200370151</v>
      </c>
      <c r="AX78" s="1674">
        <v>0.14653811712181597</v>
      </c>
      <c r="AY78" s="1674">
        <v>0.14771655027745148</v>
      </c>
      <c r="AZ78" s="1676">
        <v>0.15024517843917798</v>
      </c>
      <c r="BA78" s="1675">
        <v>0.15190749236796597</v>
      </c>
      <c r="BB78" s="1674">
        <v>0.15384880020346958</v>
      </c>
      <c r="BC78" s="1674">
        <v>0.15584480359154751</v>
      </c>
      <c r="BD78" s="1676">
        <v>0.15725245071969873</v>
      </c>
      <c r="BE78" s="1675">
        <v>0.15846854432002289</v>
      </c>
      <c r="BF78" s="1674">
        <v>0.15793211273957697</v>
      </c>
      <c r="BG78" s="1674">
        <v>0.15745759214979921</v>
      </c>
      <c r="BH78" s="1676">
        <v>0.16015133141630644</v>
      </c>
      <c r="BI78" s="1675">
        <v>0.16069280735375563</v>
      </c>
      <c r="BJ78" s="1674">
        <v>0.16249301609727651</v>
      </c>
      <c r="BK78" s="1674">
        <v>0.1632509931269307</v>
      </c>
      <c r="BL78" s="1676">
        <v>0.16418215554039794</v>
      </c>
      <c r="BM78" s="1675">
        <v>0.16391204988924482</v>
      </c>
      <c r="BN78" s="1674">
        <v>0.16047613991521847</v>
      </c>
      <c r="BO78" s="1674">
        <v>0.16221715362573211</v>
      </c>
      <c r="BP78" s="1676">
        <v>0.1626472282978868</v>
      </c>
      <c r="BQ78" s="1675">
        <v>0.16036699093943441</v>
      </c>
      <c r="BR78" s="1674">
        <v>0.16119282460988499</v>
      </c>
      <c r="BS78" s="1674">
        <v>0.15870112330961642</v>
      </c>
      <c r="BT78" s="1676">
        <v>0.15646143514705155</v>
      </c>
      <c r="BU78" s="1675">
        <v>0.1528902726465966</v>
      </c>
      <c r="BV78" s="1674">
        <v>0.15307429512359194</v>
      </c>
      <c r="BW78" s="1674">
        <v>0.15001029247211042</v>
      </c>
      <c r="BX78" s="1676">
        <v>0.14642566183963973</v>
      </c>
      <c r="BY78" s="1675">
        <v>0.14532243923714422</v>
      </c>
      <c r="BZ78" s="1674">
        <v>0.14573642935182621</v>
      </c>
      <c r="CA78" s="1674">
        <v>0.14995142684751064</v>
      </c>
      <c r="CB78" s="1676">
        <v>0.1512296166229449</v>
      </c>
      <c r="CC78" s="1675">
        <v>0.15729090673667739</v>
      </c>
      <c r="CD78" s="2135">
        <v>0.15911835579530564</v>
      </c>
      <c r="CE78" s="2135">
        <v>0.15911913176200251</v>
      </c>
      <c r="CF78" s="2135">
        <v>0.15911913176200251</v>
      </c>
      <c r="CG78" s="742"/>
      <c r="CH78" s="320"/>
      <c r="CI78" s="315"/>
      <c r="CJ78" s="315"/>
      <c r="CK78" s="315"/>
      <c r="CL78" s="315"/>
      <c r="CM78" s="388"/>
      <c r="CN78" s="774"/>
      <c r="CO78" s="774"/>
      <c r="CP78" s="774"/>
      <c r="CQ78" s="774"/>
      <c r="CR78" s="774"/>
      <c r="CS78" s="774"/>
      <c r="CT78" s="774"/>
      <c r="CU78" s="393"/>
      <c r="CV78" s="774"/>
      <c r="CW78" s="774"/>
      <c r="CX78" s="774"/>
      <c r="CY78" s="774"/>
      <c r="CZ78" s="315"/>
      <c r="DA78" s="315"/>
      <c r="DB78" s="22"/>
      <c r="DC78" s="22"/>
      <c r="DD78" s="22"/>
      <c r="DE78" s="22"/>
      <c r="DF78" s="1657"/>
      <c r="DH78" s="752"/>
      <c r="DI78" s="752"/>
      <c r="DJ78" s="752"/>
    </row>
    <row r="79" spans="1:114" ht="11.25" customHeight="1">
      <c r="A79" s="12"/>
      <c r="B79" s="12"/>
      <c r="C79" s="12"/>
      <c r="D79" s="12"/>
      <c r="E79" s="12"/>
      <c r="F79" s="12"/>
      <c r="G79" s="12"/>
      <c r="H79" s="12"/>
      <c r="I79" s="160" t="s">
        <v>613</v>
      </c>
      <c r="J79" s="70"/>
      <c r="K79" s="70"/>
      <c r="L79" s="70"/>
      <c r="M79" s="315"/>
      <c r="N79" s="315"/>
      <c r="O79" s="315"/>
      <c r="P79" s="316"/>
      <c r="Q79" s="315"/>
      <c r="R79" s="315"/>
      <c r="S79" s="315"/>
      <c r="T79" s="316"/>
      <c r="U79" s="315"/>
      <c r="V79" s="315"/>
      <c r="W79" s="315"/>
      <c r="X79" s="316"/>
      <c r="Y79" s="315"/>
      <c r="Z79" s="315"/>
      <c r="AA79" s="315"/>
      <c r="AB79" s="316"/>
      <c r="AC79" s="315"/>
      <c r="AD79" s="315"/>
      <c r="AE79" s="315"/>
      <c r="AF79" s="316"/>
      <c r="AG79" s="1675">
        <v>8.5546194030791754E-3</v>
      </c>
      <c r="AH79" s="1674">
        <v>8.7438467350820382E-3</v>
      </c>
      <c r="AI79" s="1674">
        <v>8.6099388673171566E-3</v>
      </c>
      <c r="AJ79" s="1676">
        <v>8.4923871808583688E-3</v>
      </c>
      <c r="AK79" s="1675">
        <v>8.3764391970876824E-3</v>
      </c>
      <c r="AL79" s="1674">
        <v>8.2791381872528401E-3</v>
      </c>
      <c r="AM79" s="1674">
        <v>8.4983890864978612E-3</v>
      </c>
      <c r="AN79" s="1676">
        <v>8.8426379634342599E-3</v>
      </c>
      <c r="AO79" s="1675">
        <v>9.512617096112827E-3</v>
      </c>
      <c r="AP79" s="1674">
        <v>9.5636459946961284E-3</v>
      </c>
      <c r="AQ79" s="1674">
        <v>9.2943031452841253E-3</v>
      </c>
      <c r="AR79" s="1676">
        <v>1.043897638467464E-2</v>
      </c>
      <c r="AS79" s="1675">
        <v>1.0694005292897825E-2</v>
      </c>
      <c r="AT79" s="1674">
        <v>1.0264189213584582E-2</v>
      </c>
      <c r="AU79" s="1674">
        <v>1.0689896773000761E-2</v>
      </c>
      <c r="AV79" s="1676">
        <v>1.1128896034336651E-2</v>
      </c>
      <c r="AW79" s="1675">
        <v>1.1016522203446025E-2</v>
      </c>
      <c r="AX79" s="1674">
        <v>1.0866289287438312E-2</v>
      </c>
      <c r="AY79" s="1674">
        <v>1.1657516594473049E-2</v>
      </c>
      <c r="AZ79" s="1676">
        <v>1.2115489222684451E-2</v>
      </c>
      <c r="BA79" s="1675">
        <v>1.2157851942858504E-2</v>
      </c>
      <c r="BB79" s="1674">
        <v>1.2264227049788457E-2</v>
      </c>
      <c r="BC79" s="1674">
        <v>1.2870677743682892E-2</v>
      </c>
      <c r="BD79" s="1676">
        <v>1.2936731584935241E-2</v>
      </c>
      <c r="BE79" s="1675">
        <v>1.2619763361795554E-2</v>
      </c>
      <c r="BF79" s="1674">
        <v>1.2486234593979311E-2</v>
      </c>
      <c r="BG79" s="1674">
        <v>1.2720336600697133E-2</v>
      </c>
      <c r="BH79" s="1676">
        <v>1.2316475109264462E-2</v>
      </c>
      <c r="BI79" s="1675">
        <v>1.0846583646130321E-2</v>
      </c>
      <c r="BJ79" s="1674">
        <v>1.0124928801667153E-2</v>
      </c>
      <c r="BK79" s="1674">
        <v>1.0116084367037894E-2</v>
      </c>
      <c r="BL79" s="1676">
        <v>9.9590984357146254E-3</v>
      </c>
      <c r="BM79" s="1675">
        <v>9.7293743031803166E-3</v>
      </c>
      <c r="BN79" s="1674">
        <v>9.7957962441434475E-3</v>
      </c>
      <c r="BO79" s="1674">
        <v>9.6238027411935812E-3</v>
      </c>
      <c r="BP79" s="1676">
        <v>8.7426623785640204E-3</v>
      </c>
      <c r="BQ79" s="1675">
        <v>8.3881303981140354E-3</v>
      </c>
      <c r="BR79" s="1674">
        <v>8.2396809769621406E-3</v>
      </c>
      <c r="BS79" s="1674">
        <v>8.1852398896595617E-3</v>
      </c>
      <c r="BT79" s="1676">
        <v>8.2376350376679418E-3</v>
      </c>
      <c r="BU79" s="1675">
        <v>8.6777790682386353E-3</v>
      </c>
      <c r="BV79" s="1674">
        <v>9.26943881099908E-3</v>
      </c>
      <c r="BW79" s="1674">
        <v>9.7716137443246212E-3</v>
      </c>
      <c r="BX79" s="1676">
        <v>9.1566549300328617E-3</v>
      </c>
      <c r="BY79" s="1675">
        <v>8.8144056086603261E-3</v>
      </c>
      <c r="BZ79" s="1674">
        <v>9.0018211810815353E-3</v>
      </c>
      <c r="CA79" s="1674">
        <v>9.0164066300665695E-3</v>
      </c>
      <c r="CB79" s="1676">
        <v>8.857129672075045E-3</v>
      </c>
      <c r="CC79" s="1675">
        <v>9.2391305480347824E-3</v>
      </c>
      <c r="CD79" s="2135">
        <v>9.3849132403711396E-3</v>
      </c>
      <c r="CE79" s="2135">
        <v>9.3843843843843828E-3</v>
      </c>
      <c r="CF79" s="2135">
        <v>9.3843843843843828E-3</v>
      </c>
      <c r="CG79" s="742"/>
      <c r="CH79" s="320"/>
      <c r="CI79" s="315"/>
      <c r="CJ79" s="315"/>
      <c r="CK79" s="315"/>
      <c r="CL79" s="315"/>
      <c r="CM79" s="388"/>
      <c r="CN79" s="774"/>
      <c r="CO79" s="774"/>
      <c r="CP79" s="774"/>
      <c r="CQ79" s="774"/>
      <c r="CR79" s="774"/>
      <c r="CS79" s="774"/>
      <c r="CT79" s="774"/>
      <c r="CU79" s="393"/>
      <c r="CV79" s="774"/>
      <c r="CW79" s="774"/>
      <c r="CX79" s="774"/>
      <c r="CY79" s="774"/>
      <c r="CZ79" s="315"/>
      <c r="DA79" s="315"/>
      <c r="DB79" s="22"/>
      <c r="DC79" s="22"/>
      <c r="DD79" s="22"/>
      <c r="DE79" s="22"/>
      <c r="DF79" s="1657"/>
      <c r="DH79" s="752"/>
      <c r="DI79" s="752"/>
      <c r="DJ79" s="752"/>
    </row>
    <row r="80" spans="1:114" ht="11.25" customHeight="1">
      <c r="A80" s="12"/>
      <c r="B80" s="12"/>
      <c r="C80" s="12"/>
      <c r="D80" s="12"/>
      <c r="E80" s="12"/>
      <c r="F80" s="12"/>
      <c r="G80" s="12"/>
      <c r="H80" s="12"/>
      <c r="I80" s="1673" t="s">
        <v>614</v>
      </c>
      <c r="J80" s="70"/>
      <c r="K80" s="70"/>
      <c r="L80" s="70"/>
      <c r="M80" s="315"/>
      <c r="N80" s="315"/>
      <c r="O80" s="315"/>
      <c r="P80" s="316"/>
      <c r="Q80" s="315"/>
      <c r="R80" s="315"/>
      <c r="S80" s="315"/>
      <c r="T80" s="316"/>
      <c r="U80" s="315"/>
      <c r="V80" s="315"/>
      <c r="W80" s="315"/>
      <c r="X80" s="316"/>
      <c r="Y80" s="315"/>
      <c r="Z80" s="315"/>
      <c r="AA80" s="315"/>
      <c r="AB80" s="316"/>
      <c r="AC80" s="315"/>
      <c r="AD80" s="315"/>
      <c r="AE80" s="315"/>
      <c r="AF80" s="316"/>
      <c r="AG80" s="1675">
        <v>9.4429134624894134E-2</v>
      </c>
      <c r="AH80" s="1674">
        <v>8.9515021795023075E-2</v>
      </c>
      <c r="AI80" s="1674">
        <v>9.1321366151266417E-2</v>
      </c>
      <c r="AJ80" s="1676">
        <v>9.184716756874424E-2</v>
      </c>
      <c r="AK80" s="1675">
        <v>9.075530420523685E-2</v>
      </c>
      <c r="AL80" s="1674">
        <v>9.1939284233238147E-2</v>
      </c>
      <c r="AM80" s="1674">
        <v>9.1225851067192734E-2</v>
      </c>
      <c r="AN80" s="1676">
        <v>9.2178843218174752E-2</v>
      </c>
      <c r="AO80" s="1675">
        <v>9.2536118662054606E-2</v>
      </c>
      <c r="AP80" s="1674">
        <v>9.5909271401647345E-2</v>
      </c>
      <c r="AQ80" s="1674">
        <v>9.693663421088726E-2</v>
      </c>
      <c r="AR80" s="1676">
        <v>7.6825060477857143E-2</v>
      </c>
      <c r="AS80" s="1675">
        <v>6.9693926731429726E-2</v>
      </c>
      <c r="AT80" s="1674">
        <v>7.5085246900762445E-2</v>
      </c>
      <c r="AU80" s="1674">
        <v>7.5436434203736996E-2</v>
      </c>
      <c r="AV80" s="1676">
        <v>7.6551303680851238E-2</v>
      </c>
      <c r="AW80" s="1675">
        <v>7.8264006507182904E-2</v>
      </c>
      <c r="AX80" s="1674">
        <v>7.9624430131595883E-2</v>
      </c>
      <c r="AY80" s="1674">
        <v>7.8129365326421743E-2</v>
      </c>
      <c r="AZ80" s="1676">
        <v>8.0722271745271884E-2</v>
      </c>
      <c r="BA80" s="1675">
        <v>8.2897084857450939E-2</v>
      </c>
      <c r="BB80" s="1674">
        <v>8.5300952977124159E-2</v>
      </c>
      <c r="BC80" s="1674">
        <v>8.1517898030341276E-2</v>
      </c>
      <c r="BD80" s="1676">
        <v>7.3398814166505733E-2</v>
      </c>
      <c r="BE80" s="1675">
        <v>7.7049050789094325E-2</v>
      </c>
      <c r="BF80" s="1674">
        <v>7.3985158915892302E-2</v>
      </c>
      <c r="BG80" s="1674">
        <v>7.5994764501231951E-2</v>
      </c>
      <c r="BH80" s="1676">
        <v>7.7283842161553665E-2</v>
      </c>
      <c r="BI80" s="1675">
        <v>7.9118883849974536E-2</v>
      </c>
      <c r="BJ80" s="1674">
        <v>8.0180167969936905E-2</v>
      </c>
      <c r="BK80" s="1674">
        <v>7.7502741962577087E-2</v>
      </c>
      <c r="BL80" s="1676">
        <v>7.6785503975885155E-2</v>
      </c>
      <c r="BM80" s="1675">
        <v>7.5567927144605224E-2</v>
      </c>
      <c r="BN80" s="1674">
        <v>7.695075115212395E-2</v>
      </c>
      <c r="BO80" s="1674">
        <v>7.6225883632133465E-2</v>
      </c>
      <c r="BP80" s="1676">
        <v>7.2107357044805989E-2</v>
      </c>
      <c r="BQ80" s="1675">
        <v>6.6897146378474021E-2</v>
      </c>
      <c r="BR80" s="1674">
        <v>6.52501018694783E-2</v>
      </c>
      <c r="BS80" s="1674">
        <v>6.0964699144504905E-2</v>
      </c>
      <c r="BT80" s="1676">
        <v>5.9702200338529021E-2</v>
      </c>
      <c r="BU80" s="1675">
        <v>5.5507150073763341E-2</v>
      </c>
      <c r="BV80" s="1674">
        <v>5.529374498165146E-2</v>
      </c>
      <c r="BW80" s="1674">
        <v>5.3375651613809617E-2</v>
      </c>
      <c r="BX80" s="1676">
        <v>5.0404546287496563E-2</v>
      </c>
      <c r="BY80" s="1675">
        <v>4.8887361846265208E-2</v>
      </c>
      <c r="BZ80" s="1674">
        <v>5.3940276745889033E-2</v>
      </c>
      <c r="CA80" s="1674">
        <v>5.6111862818736216E-2</v>
      </c>
      <c r="CB80" s="1676">
        <v>5.2702050373182409E-2</v>
      </c>
      <c r="CC80" s="1675">
        <v>5.3414760350017687E-2</v>
      </c>
      <c r="CD80" s="2135">
        <v>5.4997441234867932E-2</v>
      </c>
      <c r="CE80" s="2135">
        <v>5.5004320589382261E-2</v>
      </c>
      <c r="CF80" s="2135">
        <v>5.5004320589382261E-2</v>
      </c>
      <c r="CG80" s="742"/>
      <c r="CH80" s="320"/>
      <c r="CI80" s="315"/>
      <c r="CJ80" s="315"/>
      <c r="CK80" s="315"/>
      <c r="CL80" s="315"/>
      <c r="CM80" s="388"/>
      <c r="CN80" s="774"/>
      <c r="CO80" s="774"/>
      <c r="CP80" s="774"/>
      <c r="CQ80" s="774"/>
      <c r="CR80" s="774"/>
      <c r="CS80" s="774"/>
      <c r="CT80" s="774"/>
      <c r="CU80" s="393"/>
      <c r="CV80" s="774"/>
      <c r="CW80" s="774"/>
      <c r="CX80" s="774"/>
      <c r="CY80" s="774"/>
      <c r="CZ80" s="315"/>
      <c r="DA80" s="315"/>
      <c r="DB80" s="22"/>
      <c r="DC80" s="22"/>
      <c r="DD80" s="22"/>
      <c r="DE80" s="22"/>
      <c r="DF80" s="1657"/>
      <c r="DH80" s="752"/>
      <c r="DI80" s="752"/>
      <c r="DJ80" s="752"/>
    </row>
    <row r="81" spans="1:114" ht="11.25" customHeight="1">
      <c r="A81" s="12"/>
      <c r="B81" s="12"/>
      <c r="C81" s="12"/>
      <c r="D81" s="12"/>
      <c r="E81" s="12"/>
      <c r="F81" s="12"/>
      <c r="G81" s="12"/>
      <c r="H81" s="12"/>
      <c r="I81" s="1673" t="s">
        <v>615</v>
      </c>
      <c r="J81" s="70"/>
      <c r="K81" s="70"/>
      <c r="L81" s="70"/>
      <c r="M81" s="315"/>
      <c r="N81" s="315"/>
      <c r="O81" s="315"/>
      <c r="P81" s="316"/>
      <c r="Q81" s="315"/>
      <c r="R81" s="315"/>
      <c r="S81" s="315"/>
      <c r="T81" s="316"/>
      <c r="U81" s="315"/>
      <c r="V81" s="315"/>
      <c r="W81" s="315"/>
      <c r="X81" s="316"/>
      <c r="Y81" s="315"/>
      <c r="Z81" s="315"/>
      <c r="AA81" s="315"/>
      <c r="AB81" s="316"/>
      <c r="AC81" s="315"/>
      <c r="AD81" s="315"/>
      <c r="AE81" s="315"/>
      <c r="AF81" s="316"/>
      <c r="AG81" s="1675">
        <v>3.5536025580564817E-2</v>
      </c>
      <c r="AH81" s="1674">
        <v>3.6773442014030093E-2</v>
      </c>
      <c r="AI81" s="1674">
        <v>3.7307449543987542E-2</v>
      </c>
      <c r="AJ81" s="1676">
        <v>3.7618341061205381E-2</v>
      </c>
      <c r="AK81" s="1675">
        <v>3.8016494677189393E-2</v>
      </c>
      <c r="AL81" s="1674">
        <v>3.8680163415439436E-2</v>
      </c>
      <c r="AM81" s="1674">
        <v>3.9232355805353746E-2</v>
      </c>
      <c r="AN81" s="1676">
        <v>4.0574950865957381E-2</v>
      </c>
      <c r="AO81" s="1675">
        <v>4.1266772894322068E-2</v>
      </c>
      <c r="AP81" s="1674">
        <v>4.2325728434155135E-2</v>
      </c>
      <c r="AQ81" s="1674">
        <v>4.1204232419176555E-2</v>
      </c>
      <c r="AR81" s="1676">
        <v>3.6593674313629719E-2</v>
      </c>
      <c r="AS81" s="1675">
        <v>2.9548270233843724E-2</v>
      </c>
      <c r="AT81" s="1674">
        <v>3.1133356495474721E-2</v>
      </c>
      <c r="AU81" s="1674">
        <v>3.1940160953956957E-2</v>
      </c>
      <c r="AV81" s="1676">
        <v>3.3918558518120041E-2</v>
      </c>
      <c r="AW81" s="1675">
        <v>3.3493844840977643E-2</v>
      </c>
      <c r="AX81" s="1674">
        <v>3.302126535308296E-2</v>
      </c>
      <c r="AY81" s="1674">
        <v>3.2679463134850734E-2</v>
      </c>
      <c r="AZ81" s="1676">
        <v>3.2561929912689108E-2</v>
      </c>
      <c r="BA81" s="1675">
        <v>3.4186058235310811E-2</v>
      </c>
      <c r="BB81" s="1674">
        <v>3.5735071135468567E-2</v>
      </c>
      <c r="BC81" s="1674">
        <v>3.4415984984254737E-2</v>
      </c>
      <c r="BD81" s="1676">
        <v>3.2063658883447199E-2</v>
      </c>
      <c r="BE81" s="1675">
        <v>3.3171518626444234E-2</v>
      </c>
      <c r="BF81" s="1674">
        <v>3.2258308045519934E-2</v>
      </c>
      <c r="BG81" s="1674">
        <v>3.1323699587716879E-2</v>
      </c>
      <c r="BH81" s="1676">
        <v>3.2187777932227726E-2</v>
      </c>
      <c r="BI81" s="1675">
        <v>3.2866671407068754E-2</v>
      </c>
      <c r="BJ81" s="1674">
        <v>3.1580032088585272E-2</v>
      </c>
      <c r="BK81" s="1674">
        <v>3.0506033365633602E-2</v>
      </c>
      <c r="BL81" s="1676">
        <v>3.073815812265511E-2</v>
      </c>
      <c r="BM81" s="1675">
        <v>2.8563443838923154E-2</v>
      </c>
      <c r="BN81" s="1674">
        <v>2.8605410982355819E-2</v>
      </c>
      <c r="BO81" s="1674">
        <v>2.7581061733603168E-2</v>
      </c>
      <c r="BP81" s="1676">
        <v>2.1273914949891469E-2</v>
      </c>
      <c r="BQ81" s="1675">
        <v>1.5969911095873219E-2</v>
      </c>
      <c r="BR81" s="1674">
        <v>1.8963649756056949E-2</v>
      </c>
      <c r="BS81" s="1674">
        <v>1.592326247873245E-2</v>
      </c>
      <c r="BT81" s="1676">
        <v>1.5167895584169824E-2</v>
      </c>
      <c r="BU81" s="1675">
        <v>1.3447053694064383E-2</v>
      </c>
      <c r="BV81" s="1674">
        <v>1.518732277666286E-2</v>
      </c>
      <c r="BW81" s="1674">
        <v>1.548660592272386E-2</v>
      </c>
      <c r="BX81" s="1676">
        <v>1.5855905546684427E-2</v>
      </c>
      <c r="BY81" s="1675">
        <v>1.6968286723345542E-2</v>
      </c>
      <c r="BZ81" s="1674">
        <v>1.7475092963756076E-2</v>
      </c>
      <c r="CA81" s="1674">
        <v>1.6979892061646483E-2</v>
      </c>
      <c r="CB81" s="1676">
        <v>1.7119670005600541E-2</v>
      </c>
      <c r="CC81" s="1675">
        <v>1.7573009808917985E-2</v>
      </c>
      <c r="CD81" s="2135">
        <v>1.7358578403903594E-2</v>
      </c>
      <c r="CE81" s="2135">
        <v>1.7358101770758968E-2</v>
      </c>
      <c r="CF81" s="2135">
        <v>1.7358101770758968E-2</v>
      </c>
      <c r="CG81" s="742"/>
      <c r="CH81" s="320"/>
      <c r="CI81" s="315"/>
      <c r="CJ81" s="315"/>
      <c r="CK81" s="315"/>
      <c r="CL81" s="315"/>
      <c r="CM81" s="388"/>
      <c r="CN81" s="774"/>
      <c r="CO81" s="774"/>
      <c r="CP81" s="774"/>
      <c r="CQ81" s="774"/>
      <c r="CR81" s="774"/>
      <c r="CS81" s="774"/>
      <c r="CT81" s="774"/>
      <c r="CU81" s="393"/>
      <c r="CV81" s="774"/>
      <c r="CW81" s="774"/>
      <c r="CX81" s="774"/>
      <c r="CY81" s="774"/>
      <c r="CZ81" s="315"/>
      <c r="DA81" s="315"/>
      <c r="DB81" s="22"/>
      <c r="DC81" s="22"/>
      <c r="DD81" s="22"/>
      <c r="DE81" s="22"/>
      <c r="DF81" s="1657"/>
      <c r="DH81" s="752"/>
      <c r="DI81" s="752"/>
      <c r="DJ81" s="752"/>
    </row>
    <row r="82" spans="1:114" ht="11.25" customHeight="1">
      <c r="A82" s="12"/>
      <c r="B82" s="12"/>
      <c r="C82" s="12"/>
      <c r="D82" s="12"/>
      <c r="E82" s="12"/>
      <c r="F82" s="12"/>
      <c r="G82" s="12"/>
      <c r="H82" s="12"/>
      <c r="I82" s="1673" t="s">
        <v>619</v>
      </c>
      <c r="J82" s="70"/>
      <c r="K82" s="70"/>
      <c r="L82" s="70"/>
      <c r="M82" s="315"/>
      <c r="N82" s="315"/>
      <c r="O82" s="315"/>
      <c r="P82" s="316"/>
      <c r="Q82" s="315"/>
      <c r="R82" s="315"/>
      <c r="S82" s="315"/>
      <c r="T82" s="316"/>
      <c r="U82" s="315"/>
      <c r="V82" s="315"/>
      <c r="W82" s="315"/>
      <c r="X82" s="316"/>
      <c r="Y82" s="315"/>
      <c r="Z82" s="315"/>
      <c r="AA82" s="315"/>
      <c r="AB82" s="316"/>
      <c r="AC82" s="315"/>
      <c r="AD82" s="315"/>
      <c r="AE82" s="315"/>
      <c r="AF82" s="316"/>
      <c r="AG82" s="1675">
        <v>2.543710634134454E-2</v>
      </c>
      <c r="AH82" s="1674">
        <v>2.6233474886796698E-2</v>
      </c>
      <c r="AI82" s="1674">
        <v>2.6543888733601723E-2</v>
      </c>
      <c r="AJ82" s="1676">
        <v>2.7367002480577086E-2</v>
      </c>
      <c r="AK82" s="1675">
        <v>2.917617204101015E-2</v>
      </c>
      <c r="AL82" s="1674">
        <v>2.8820483305271236E-2</v>
      </c>
      <c r="AM82" s="1674">
        <v>2.9362942657093025E-2</v>
      </c>
      <c r="AN82" s="1676">
        <v>2.9482419981893607E-2</v>
      </c>
      <c r="AO82" s="1675">
        <v>3.0874488876729864E-2</v>
      </c>
      <c r="AP82" s="1674">
        <v>3.098093574337419E-2</v>
      </c>
      <c r="AQ82" s="1674">
        <v>2.9525028019751254E-2</v>
      </c>
      <c r="AR82" s="1676">
        <v>2.8699039765263792E-2</v>
      </c>
      <c r="AS82" s="1675">
        <v>2.830770219933602E-2</v>
      </c>
      <c r="AT82" s="1674">
        <v>2.8796969970260173E-2</v>
      </c>
      <c r="AU82" s="1674">
        <v>2.9441718893436185E-2</v>
      </c>
      <c r="AV82" s="1676">
        <v>3.0020260642559912E-2</v>
      </c>
      <c r="AW82" s="1675">
        <v>3.0395531206737821E-2</v>
      </c>
      <c r="AX82" s="1674">
        <v>3.0884325591885194E-2</v>
      </c>
      <c r="AY82" s="1674">
        <v>3.1614963811827192E-2</v>
      </c>
      <c r="AZ82" s="1676">
        <v>3.3347245054503045E-2</v>
      </c>
      <c r="BA82" s="1675">
        <v>3.2742724702428769E-2</v>
      </c>
      <c r="BB82" s="1674">
        <v>3.3040819875878487E-2</v>
      </c>
      <c r="BC82" s="1674">
        <v>3.3193344218590444E-2</v>
      </c>
      <c r="BD82" s="1676">
        <v>3.2258413771386288E-2</v>
      </c>
      <c r="BE82" s="1675">
        <v>3.2265838694436923E-2</v>
      </c>
      <c r="BF82" s="1674">
        <v>3.19587380875095E-2</v>
      </c>
      <c r="BG82" s="1674">
        <v>3.1895627497421482E-2</v>
      </c>
      <c r="BH82" s="1676">
        <v>3.2598562148932621E-2</v>
      </c>
      <c r="BI82" s="1675">
        <v>3.3553702571230234E-2</v>
      </c>
      <c r="BJ82" s="1674">
        <v>3.3494552505053475E-2</v>
      </c>
      <c r="BK82" s="1674">
        <v>3.1782935407750887E-2</v>
      </c>
      <c r="BL82" s="1676">
        <v>3.1510763240254341E-2</v>
      </c>
      <c r="BM82" s="1675">
        <v>3.061413941768824E-2</v>
      </c>
      <c r="BN82" s="1674">
        <v>3.0811956059059623E-2</v>
      </c>
      <c r="BO82" s="1674">
        <v>3.1142943972573434E-2</v>
      </c>
      <c r="BP82" s="1676">
        <v>3.0564764371400308E-2</v>
      </c>
      <c r="BQ82" s="1675">
        <v>3.0625423997904692E-2</v>
      </c>
      <c r="BR82" s="1674">
        <v>3.0092092425433301E-2</v>
      </c>
      <c r="BS82" s="1674">
        <v>2.839110689433081E-2</v>
      </c>
      <c r="BT82" s="1676">
        <v>2.7900948714678207E-2</v>
      </c>
      <c r="BU82" s="1675">
        <v>0.14495374933445385</v>
      </c>
      <c r="BV82" s="1674">
        <v>0.14495374933445385</v>
      </c>
      <c r="BW82" s="1674">
        <v>0.14495374933445385</v>
      </c>
      <c r="BX82" s="1676">
        <v>0.14495374933445385</v>
      </c>
      <c r="BY82" s="1675">
        <v>0.14495374933445385</v>
      </c>
      <c r="BZ82" s="1674">
        <v>0.14495374933445385</v>
      </c>
      <c r="CA82" s="1674">
        <v>0.14495374933445385</v>
      </c>
      <c r="CB82" s="1676">
        <v>0.14495374933445385</v>
      </c>
      <c r="CC82" s="1675">
        <v>0.14495374933445385</v>
      </c>
      <c r="CD82" s="2135">
        <v>0.14495374933445385</v>
      </c>
      <c r="CE82" s="2135">
        <v>0.14495374933445385</v>
      </c>
      <c r="CF82" s="2135">
        <v>0.14495374933445385</v>
      </c>
      <c r="CG82" s="742"/>
      <c r="CH82" s="320"/>
      <c r="CI82" s="315"/>
      <c r="CJ82" s="315"/>
      <c r="CK82" s="315"/>
      <c r="CL82" s="315"/>
      <c r="CM82" s="388"/>
      <c r="CN82" s="774"/>
      <c r="CO82" s="774"/>
      <c r="CP82" s="774"/>
      <c r="CQ82" s="774"/>
      <c r="CR82" s="774"/>
      <c r="CS82" s="774"/>
      <c r="CT82" s="774"/>
      <c r="CU82" s="393"/>
      <c r="CV82" s="774"/>
      <c r="CW82" s="774"/>
      <c r="CX82" s="774"/>
      <c r="CY82" s="774"/>
      <c r="CZ82" s="315"/>
      <c r="DA82" s="315"/>
      <c r="DB82" s="22"/>
      <c r="DC82" s="22"/>
      <c r="DD82" s="22"/>
      <c r="DE82" s="22"/>
      <c r="DF82" s="1657"/>
      <c r="DH82" s="752"/>
      <c r="DI82" s="752"/>
      <c r="DJ82" s="752"/>
    </row>
    <row r="83" spans="1:114" ht="11.25" customHeight="1">
      <c r="A83" s="12"/>
      <c r="B83" s="12"/>
      <c r="C83" s="12"/>
      <c r="D83" s="12"/>
      <c r="E83" s="12"/>
      <c r="F83" s="12"/>
      <c r="G83" s="12"/>
      <c r="H83" s="12"/>
      <c r="I83" s="1673" t="s">
        <v>616</v>
      </c>
      <c r="J83" s="70"/>
      <c r="K83" s="70"/>
      <c r="L83" s="70"/>
      <c r="M83" s="315"/>
      <c r="N83" s="315"/>
      <c r="O83" s="315"/>
      <c r="P83" s="316"/>
      <c r="Q83" s="315"/>
      <c r="R83" s="315"/>
      <c r="S83" s="315"/>
      <c r="T83" s="316"/>
      <c r="U83" s="315"/>
      <c r="V83" s="315"/>
      <c r="W83" s="315"/>
      <c r="X83" s="316"/>
      <c r="Y83" s="315"/>
      <c r="Z83" s="315"/>
      <c r="AA83" s="315"/>
      <c r="AB83" s="316"/>
      <c r="AC83" s="315"/>
      <c r="AD83" s="315"/>
      <c r="AE83" s="315"/>
      <c r="AF83" s="316"/>
      <c r="AG83" s="1675">
        <v>0.38143690729897073</v>
      </c>
      <c r="AH83" s="1674">
        <v>0.39125624190963848</v>
      </c>
      <c r="AI83" s="1674">
        <v>0.37612447984717728</v>
      </c>
      <c r="AJ83" s="1676">
        <v>0.32681218641499976</v>
      </c>
      <c r="AK83" s="1675">
        <v>0.2645653699528529</v>
      </c>
      <c r="AL83" s="1674">
        <v>0.39523590967126981</v>
      </c>
      <c r="AM83" s="1674">
        <v>0.46570115640116932</v>
      </c>
      <c r="AN83" s="1676">
        <v>0.46570115640116932</v>
      </c>
      <c r="AO83" s="1675">
        <v>0.46570115640116932</v>
      </c>
      <c r="AP83" s="1674">
        <v>0.46570115640116932</v>
      </c>
      <c r="AQ83" s="1674">
        <v>0.46570115640116932</v>
      </c>
      <c r="AR83" s="1676">
        <v>0.46570115640116932</v>
      </c>
      <c r="AS83" s="1675">
        <v>0.46570115640116938</v>
      </c>
      <c r="AT83" s="1674">
        <v>0.46570115640116932</v>
      </c>
      <c r="AU83" s="1674">
        <v>0.46570115640116932</v>
      </c>
      <c r="AV83" s="1676">
        <v>0.46570115640116932</v>
      </c>
      <c r="AW83" s="1675">
        <v>0.25871725520488992</v>
      </c>
      <c r="AX83" s="1674">
        <v>0.23284788894981259</v>
      </c>
      <c r="AY83" s="1674">
        <v>0.2328477996677307</v>
      </c>
      <c r="AZ83" s="1676">
        <v>0.23284788894981259</v>
      </c>
      <c r="BA83" s="1675">
        <v>0.23284788894981259</v>
      </c>
      <c r="BB83" s="1674">
        <v>0.23284788894981259</v>
      </c>
      <c r="BC83" s="1674">
        <v>0.23284788894981259</v>
      </c>
      <c r="BD83" s="1676">
        <v>0.23284788894981259</v>
      </c>
      <c r="BE83" s="1675">
        <v>0.23284788894981259</v>
      </c>
      <c r="BF83" s="1674">
        <v>0.23284788894981259</v>
      </c>
      <c r="BG83" s="1674">
        <v>0.23284788894981259</v>
      </c>
      <c r="BH83" s="1676">
        <v>0.23284788894981259</v>
      </c>
      <c r="BI83" s="1675">
        <v>0.19424603813358135</v>
      </c>
      <c r="BJ83" s="1674">
        <v>0.15892945121660468</v>
      </c>
      <c r="BK83" s="1674">
        <v>0.15892945121660465</v>
      </c>
      <c r="BL83" s="1676">
        <v>0.15892945121660465</v>
      </c>
      <c r="BM83" s="1675">
        <v>0.15892945121660468</v>
      </c>
      <c r="BN83" s="1674">
        <v>0.11227421762864062</v>
      </c>
      <c r="BO83" s="1674">
        <v>8.9261189405641317E-2</v>
      </c>
      <c r="BP83" s="1676">
        <v>8.3332971159362237E-2</v>
      </c>
      <c r="BQ83" s="1675">
        <v>8.3324077776296773E-2</v>
      </c>
      <c r="BR83" s="1674">
        <v>8.2875457875457803E-2</v>
      </c>
      <c r="BS83" s="1674">
        <v>7.6848077697262582E-2</v>
      </c>
      <c r="BT83" s="1676">
        <v>7.4074074074074167E-2</v>
      </c>
      <c r="BU83" s="1675">
        <v>6.5601044262309907E-2</v>
      </c>
      <c r="BV83" s="1674">
        <v>2.3808001266188068E-3</v>
      </c>
      <c r="BW83" s="1674">
        <v>1.552312016396913E-3</v>
      </c>
      <c r="BX83" s="1676">
        <v>1.5094316819918481E-3</v>
      </c>
      <c r="BY83" s="1675">
        <v>1.4486318689724202E-3</v>
      </c>
      <c r="BZ83" s="1674">
        <v>1.068231671259523E-3</v>
      </c>
      <c r="CA83" s="1674">
        <v>3.3451368711677774E-4</v>
      </c>
      <c r="CB83" s="1676">
        <v>2.993278085202398E-4</v>
      </c>
      <c r="CC83" s="1675">
        <v>1.3807512968910042E-4</v>
      </c>
      <c r="CD83" s="2135">
        <v>2.023650443202722E-5</v>
      </c>
      <c r="CE83" s="2135">
        <v>2.023650443202722E-5</v>
      </c>
      <c r="CF83" s="2135">
        <v>2.023650443202722E-5</v>
      </c>
      <c r="CG83" s="742"/>
      <c r="CH83" s="320"/>
      <c r="CI83" s="315"/>
      <c r="CJ83" s="315"/>
      <c r="CK83" s="315"/>
      <c r="CL83" s="315"/>
      <c r="CM83" s="388"/>
      <c r="CN83" s="774"/>
      <c r="CO83" s="774"/>
      <c r="CP83" s="774"/>
      <c r="CQ83" s="774"/>
      <c r="CR83" s="774"/>
      <c r="CS83" s="774"/>
      <c r="CT83" s="774"/>
      <c r="CU83" s="393"/>
      <c r="CV83" s="774"/>
      <c r="CW83" s="774"/>
      <c r="CX83" s="774"/>
      <c r="CY83" s="774"/>
      <c r="CZ83" s="315"/>
      <c r="DA83" s="315"/>
      <c r="DB83" s="22"/>
      <c r="DC83" s="22"/>
      <c r="DD83" s="22"/>
      <c r="DE83" s="22"/>
      <c r="DF83" s="1657"/>
      <c r="DH83" s="752"/>
      <c r="DI83" s="752"/>
      <c r="DJ83" s="752"/>
    </row>
    <row r="84" spans="1:114" ht="11.25" customHeight="1">
      <c r="A84" s="12"/>
      <c r="B84" s="12"/>
      <c r="C84" s="12"/>
      <c r="D84" s="12"/>
      <c r="E84" s="12"/>
      <c r="F84" s="12"/>
      <c r="G84" s="12"/>
      <c r="H84" s="12"/>
      <c r="I84" s="160"/>
      <c r="J84" s="70"/>
      <c r="K84" s="70"/>
      <c r="L84" s="70"/>
      <c r="M84" s="315"/>
      <c r="N84" s="315"/>
      <c r="O84" s="315"/>
      <c r="P84" s="316"/>
      <c r="Q84" s="315"/>
      <c r="R84" s="315"/>
      <c r="S84" s="315"/>
      <c r="T84" s="316"/>
      <c r="U84" s="315"/>
      <c r="V84" s="315"/>
      <c r="W84" s="315"/>
      <c r="X84" s="316"/>
      <c r="Y84" s="315"/>
      <c r="Z84" s="315"/>
      <c r="AA84" s="315"/>
      <c r="AB84" s="316"/>
      <c r="AC84" s="315"/>
      <c r="AD84" s="315"/>
      <c r="AE84" s="315"/>
      <c r="AF84" s="316"/>
      <c r="AG84" s="317"/>
      <c r="AH84" s="317"/>
      <c r="AI84" s="317"/>
      <c r="AJ84" s="318"/>
      <c r="AK84" s="393"/>
      <c r="AL84" s="393"/>
      <c r="AM84" s="393"/>
      <c r="AN84" s="472"/>
      <c r="AO84" s="393"/>
      <c r="AP84" s="393"/>
      <c r="AQ84" s="393"/>
      <c r="AR84" s="472"/>
      <c r="AS84" s="393"/>
      <c r="AT84" s="393"/>
      <c r="AU84" s="393"/>
      <c r="AV84" s="472"/>
      <c r="AW84" s="393"/>
      <c r="AX84" s="393"/>
      <c r="AY84" s="393"/>
      <c r="AZ84" s="1417"/>
      <c r="BA84" s="1419"/>
      <c r="BB84" s="1419"/>
      <c r="BC84" s="1419"/>
      <c r="BD84" s="1417"/>
      <c r="BE84" s="1419"/>
      <c r="BF84" s="1419"/>
      <c r="BG84" s="1419"/>
      <c r="BH84" s="1417"/>
      <c r="BI84" s="1419"/>
      <c r="BJ84" s="1419"/>
      <c r="BK84" s="1419"/>
      <c r="BL84" s="1417"/>
      <c r="BM84" s="1419"/>
      <c r="BN84" s="1419"/>
      <c r="BO84" s="1419"/>
      <c r="BP84" s="1417"/>
      <c r="BQ84" s="1419"/>
      <c r="BR84" s="393"/>
      <c r="BS84" s="393"/>
      <c r="BT84" s="472"/>
      <c r="BU84" s="393"/>
      <c r="BV84" s="393"/>
      <c r="BW84" s="393"/>
      <c r="BX84" s="472"/>
      <c r="BY84" s="393"/>
      <c r="BZ84" s="393"/>
      <c r="CA84" s="393"/>
      <c r="CB84" s="472"/>
      <c r="CC84" s="393"/>
      <c r="CD84" s="393"/>
      <c r="CE84" s="393"/>
      <c r="CF84" s="472"/>
      <c r="CG84" s="742"/>
      <c r="CH84" s="320"/>
      <c r="CI84" s="315"/>
      <c r="CJ84" s="315"/>
      <c r="CK84" s="315"/>
      <c r="CL84" s="315"/>
      <c r="CM84" s="388"/>
      <c r="CN84" s="774"/>
      <c r="CO84" s="774"/>
      <c r="CP84" s="774"/>
      <c r="CQ84" s="774"/>
      <c r="CR84" s="774"/>
      <c r="CS84" s="774"/>
      <c r="CT84" s="774"/>
      <c r="CU84" s="393"/>
      <c r="CV84" s="774"/>
      <c r="CW84" s="774"/>
      <c r="CX84" s="774"/>
      <c r="CY84" s="774"/>
      <c r="CZ84" s="315"/>
      <c r="DA84" s="315"/>
      <c r="DB84" s="22"/>
      <c r="DC84" s="22"/>
      <c r="DD84" s="22"/>
      <c r="DE84" s="22"/>
      <c r="DF84" s="1657"/>
      <c r="DH84" s="752"/>
      <c r="DI84" s="752"/>
      <c r="DJ84" s="752"/>
    </row>
    <row r="85" spans="1:114" ht="11.25" customHeight="1">
      <c r="A85" s="12"/>
      <c r="B85" s="12"/>
      <c r="C85" s="12"/>
      <c r="D85" s="12"/>
      <c r="E85" s="12"/>
      <c r="F85" s="12"/>
      <c r="G85" s="12"/>
      <c r="H85" s="12"/>
      <c r="I85" s="281" t="s">
        <v>617</v>
      </c>
      <c r="J85" s="70"/>
      <c r="K85" s="70"/>
      <c r="L85" s="70"/>
      <c r="M85" s="315"/>
      <c r="N85" s="315"/>
      <c r="O85" s="315"/>
      <c r="P85" s="316"/>
      <c r="Q85" s="315"/>
      <c r="R85" s="315"/>
      <c r="S85" s="315"/>
      <c r="T85" s="316"/>
      <c r="U85" s="315"/>
      <c r="V85" s="315"/>
      <c r="W85" s="315"/>
      <c r="X85" s="316"/>
      <c r="Y85" s="315"/>
      <c r="Z85" s="315"/>
      <c r="AA85" s="315"/>
      <c r="AB85" s="316"/>
      <c r="AC85" s="315"/>
      <c r="AD85" s="315"/>
      <c r="AE85" s="315"/>
      <c r="AF85" s="316"/>
      <c r="AG85" s="317"/>
      <c r="AH85" s="317"/>
      <c r="AI85" s="317"/>
      <c r="AJ85" s="318"/>
      <c r="AK85" s="393"/>
      <c r="AL85" s="393"/>
      <c r="AM85" s="393"/>
      <c r="AN85" s="472"/>
      <c r="AO85" s="393"/>
      <c r="AP85" s="393"/>
      <c r="AQ85" s="393"/>
      <c r="AR85" s="472"/>
      <c r="AS85" s="393"/>
      <c r="AT85" s="393"/>
      <c r="AU85" s="393"/>
      <c r="AV85" s="472"/>
      <c r="AW85" s="393"/>
      <c r="AX85" s="393"/>
      <c r="AY85" s="393"/>
      <c r="AZ85" s="1417"/>
      <c r="BA85" s="1419"/>
      <c r="BB85" s="1419"/>
      <c r="BC85" s="1419"/>
      <c r="BD85" s="1417"/>
      <c r="BE85" s="1419"/>
      <c r="BF85" s="1419"/>
      <c r="BG85" s="1419"/>
      <c r="BH85" s="1417"/>
      <c r="BI85" s="1419"/>
      <c r="BJ85" s="1419"/>
      <c r="BK85" s="1419"/>
      <c r="BL85" s="1417"/>
      <c r="BM85" s="1419"/>
      <c r="BN85" s="1419"/>
      <c r="BO85" s="1419"/>
      <c r="BP85" s="1417"/>
      <c r="BQ85" s="1419"/>
      <c r="BR85" s="393"/>
      <c r="BS85" s="393"/>
      <c r="BT85" s="472"/>
      <c r="BU85" s="393"/>
      <c r="BV85" s="393"/>
      <c r="BW85" s="393"/>
      <c r="BX85" s="472"/>
      <c r="BY85" s="393"/>
      <c r="BZ85" s="393"/>
      <c r="CA85" s="393"/>
      <c r="CB85" s="472"/>
      <c r="CC85" s="393"/>
      <c r="CD85" s="393"/>
      <c r="CE85" s="393"/>
      <c r="CF85" s="472"/>
      <c r="CG85" s="742"/>
      <c r="CH85" s="320"/>
      <c r="CI85" s="315"/>
      <c r="CJ85" s="315"/>
      <c r="CK85" s="315"/>
      <c r="CL85" s="315"/>
      <c r="CM85" s="388"/>
      <c r="CN85" s="774"/>
      <c r="CO85" s="774"/>
      <c r="CP85" s="774"/>
      <c r="CQ85" s="774"/>
      <c r="CR85" s="774"/>
      <c r="CS85" s="774"/>
      <c r="CT85" s="774"/>
      <c r="CU85" s="393"/>
      <c r="CV85" s="774"/>
      <c r="CW85" s="774"/>
      <c r="CX85" s="774"/>
      <c r="CY85" s="774"/>
      <c r="CZ85" s="315"/>
      <c r="DA85" s="315"/>
      <c r="DB85" s="22"/>
      <c r="DC85" s="22"/>
      <c r="DD85" s="22"/>
      <c r="DE85" s="22"/>
      <c r="DF85" s="1657"/>
      <c r="DH85" s="752"/>
      <c r="DI85" s="752"/>
      <c r="DJ85" s="752"/>
    </row>
    <row r="86" spans="1:114" ht="11.25" customHeight="1">
      <c r="A86" s="12"/>
      <c r="B86" s="12"/>
      <c r="C86" s="12"/>
      <c r="D86" s="12"/>
      <c r="E86" s="12"/>
      <c r="F86" s="12"/>
      <c r="G86" s="12"/>
      <c r="H86" s="12"/>
      <c r="I86" s="1673" t="s">
        <v>609</v>
      </c>
      <c r="J86" s="70"/>
      <c r="K86" s="70"/>
      <c r="L86" s="70"/>
      <c r="M86" s="315"/>
      <c r="N86" s="315"/>
      <c r="O86" s="315"/>
      <c r="P86" s="316"/>
      <c r="Q86" s="315"/>
      <c r="R86" s="315"/>
      <c r="S86" s="315"/>
      <c r="T86" s="316"/>
      <c r="U86" s="315"/>
      <c r="V86" s="315"/>
      <c r="W86" s="315"/>
      <c r="X86" s="316"/>
      <c r="Y86" s="315"/>
      <c r="Z86" s="315"/>
      <c r="AA86" s="315"/>
      <c r="AB86" s="316"/>
      <c r="AC86" s="315"/>
      <c r="AD86" s="315"/>
      <c r="AE86" s="315"/>
      <c r="AF86" s="316"/>
      <c r="AG86" s="317"/>
      <c r="AH86" s="317"/>
      <c r="AI86" s="317"/>
      <c r="AJ86" s="318"/>
      <c r="AK86" s="393"/>
      <c r="AL86" s="393"/>
      <c r="AM86" s="393"/>
      <c r="AN86" s="472"/>
      <c r="AO86" s="393"/>
      <c r="AP86" s="393"/>
      <c r="AQ86" s="393"/>
      <c r="AR86" s="472"/>
      <c r="AS86" s="393"/>
      <c r="AT86" s="393"/>
      <c r="AU86" s="393"/>
      <c r="AV86" s="472"/>
      <c r="AW86" s="393"/>
      <c r="AX86" s="393"/>
      <c r="AY86" s="393"/>
      <c r="AZ86" s="1417"/>
      <c r="BA86" s="1419"/>
      <c r="BB86" s="1419"/>
      <c r="BC86" s="1419"/>
      <c r="BD86" s="1417"/>
      <c r="BE86" s="1419"/>
      <c r="BF86" s="1419"/>
      <c r="BG86" s="1419"/>
      <c r="BH86" s="1417"/>
      <c r="BI86" s="1679">
        <v>0.08</v>
      </c>
      <c r="BJ86" s="1677">
        <v>0.08</v>
      </c>
      <c r="BK86" s="1677">
        <v>0.08</v>
      </c>
      <c r="BL86" s="1680">
        <v>0.08</v>
      </c>
      <c r="BM86" s="1679">
        <v>0.08</v>
      </c>
      <c r="BN86" s="1677">
        <v>0.1</v>
      </c>
      <c r="BO86" s="1677">
        <v>0.08</v>
      </c>
      <c r="BP86" s="1680">
        <v>0.08</v>
      </c>
      <c r="BQ86" s="1679">
        <v>0.08</v>
      </c>
      <c r="BR86" s="1677">
        <v>0.08</v>
      </c>
      <c r="BS86" s="1677">
        <v>0.08</v>
      </c>
      <c r="BT86" s="1680">
        <v>0.08</v>
      </c>
      <c r="BU86" s="1679">
        <v>0.08</v>
      </c>
      <c r="BV86" s="1677">
        <v>0.08</v>
      </c>
      <c r="BW86" s="1677">
        <v>0.08</v>
      </c>
      <c r="BX86" s="1680">
        <v>0.08</v>
      </c>
      <c r="BY86" s="1679">
        <v>0.08</v>
      </c>
      <c r="BZ86" s="1677">
        <v>0.08</v>
      </c>
      <c r="CA86" s="1677">
        <v>0.08</v>
      </c>
      <c r="CB86" s="1680">
        <v>0.08</v>
      </c>
      <c r="CC86" s="1679">
        <v>0.08</v>
      </c>
      <c r="CD86" s="1215">
        <f t="shared" ref="CD86:CF93" si="81">+BZ86</f>
        <v>0.08</v>
      </c>
      <c r="CE86" s="1215">
        <f t="shared" si="81"/>
        <v>0.08</v>
      </c>
      <c r="CF86" s="1923">
        <f t="shared" si="81"/>
        <v>0.08</v>
      </c>
      <c r="CG86" s="742"/>
      <c r="CH86" s="320"/>
      <c r="CI86" s="315"/>
      <c r="CJ86" s="315"/>
      <c r="CK86" s="315"/>
      <c r="CL86" s="315"/>
      <c r="CM86" s="388"/>
      <c r="CN86" s="774"/>
      <c r="CO86" s="774"/>
      <c r="CP86" s="774"/>
      <c r="CQ86" s="774"/>
      <c r="CR86" s="774"/>
      <c r="CS86" s="774"/>
      <c r="CT86" s="774"/>
      <c r="CU86" s="393"/>
      <c r="CV86" s="774"/>
      <c r="CW86" s="774"/>
      <c r="CX86" s="774"/>
      <c r="CY86" s="774"/>
      <c r="CZ86" s="315"/>
      <c r="DA86" s="315"/>
      <c r="DB86" s="22"/>
      <c r="DC86" s="22"/>
      <c r="DD86" s="22"/>
      <c r="DE86" s="22"/>
      <c r="DF86" s="1657"/>
      <c r="DH86" s="752"/>
      <c r="DI86" s="752"/>
      <c r="DJ86" s="752"/>
    </row>
    <row r="87" spans="1:114" ht="11.25" customHeight="1">
      <c r="A87" s="12"/>
      <c r="B87" s="12"/>
      <c r="C87" s="12"/>
      <c r="D87" s="12"/>
      <c r="E87" s="12"/>
      <c r="F87" s="12"/>
      <c r="G87" s="12"/>
      <c r="H87" s="12"/>
      <c r="I87" s="1673" t="s">
        <v>610</v>
      </c>
      <c r="J87" s="70"/>
      <c r="K87" s="70"/>
      <c r="L87" s="70"/>
      <c r="M87" s="315"/>
      <c r="N87" s="315"/>
      <c r="O87" s="315"/>
      <c r="P87" s="316"/>
      <c r="Q87" s="315"/>
      <c r="R87" s="315"/>
      <c r="S87" s="315"/>
      <c r="T87" s="316"/>
      <c r="U87" s="315"/>
      <c r="V87" s="315"/>
      <c r="W87" s="315"/>
      <c r="X87" s="316"/>
      <c r="Y87" s="315"/>
      <c r="Z87" s="315"/>
      <c r="AA87" s="315"/>
      <c r="AB87" s="316"/>
      <c r="AC87" s="315"/>
      <c r="AD87" s="315"/>
      <c r="AE87" s="315"/>
      <c r="AF87" s="316"/>
      <c r="AG87" s="317"/>
      <c r="AH87" s="317"/>
      <c r="AI87" s="317"/>
      <c r="AJ87" s="318"/>
      <c r="AK87" s="393"/>
      <c r="AL87" s="393"/>
      <c r="AM87" s="393"/>
      <c r="AN87" s="472"/>
      <c r="AO87" s="393"/>
      <c r="AP87" s="393"/>
      <c r="AQ87" s="393"/>
      <c r="AR87" s="472"/>
      <c r="AS87" s="393"/>
      <c r="AT87" s="393"/>
      <c r="AU87" s="393"/>
      <c r="AV87" s="472"/>
      <c r="AW87" s="393"/>
      <c r="AX87" s="393"/>
      <c r="AY87" s="393"/>
      <c r="AZ87" s="1417"/>
      <c r="BA87" s="1419"/>
      <c r="BB87" s="1419"/>
      <c r="BC87" s="1419"/>
      <c r="BD87" s="1417"/>
      <c r="BE87" s="1419"/>
      <c r="BF87" s="1419"/>
      <c r="BG87" s="1419"/>
      <c r="BH87" s="1417"/>
      <c r="BI87" s="1679">
        <v>0.12</v>
      </c>
      <c r="BJ87" s="1677">
        <v>0.2</v>
      </c>
      <c r="BK87" s="1677">
        <v>0.12</v>
      </c>
      <c r="BL87" s="1680">
        <v>0.08</v>
      </c>
      <c r="BM87" s="1679">
        <v>0.11</v>
      </c>
      <c r="BN87" s="1677">
        <v>0.1</v>
      </c>
      <c r="BO87" s="1677">
        <v>0.15</v>
      </c>
      <c r="BP87" s="1680">
        <v>0.18</v>
      </c>
      <c r="BQ87" s="1679">
        <v>0.15</v>
      </c>
      <c r="BR87" s="1677">
        <v>0.15</v>
      </c>
      <c r="BS87" s="1677">
        <v>0.15</v>
      </c>
      <c r="BT87" s="1680">
        <v>0.15</v>
      </c>
      <c r="BU87" s="1679">
        <v>0.15</v>
      </c>
      <c r="BV87" s="1677">
        <v>0.15</v>
      </c>
      <c r="BW87" s="1677">
        <v>0.15</v>
      </c>
      <c r="BX87" s="1680">
        <v>0.15</v>
      </c>
      <c r="BY87" s="1679">
        <v>0.15</v>
      </c>
      <c r="BZ87" s="1677">
        <v>0.15</v>
      </c>
      <c r="CA87" s="1677">
        <v>0.15</v>
      </c>
      <c r="CB87" s="1680">
        <v>0.15</v>
      </c>
      <c r="CC87" s="1679">
        <v>0.15</v>
      </c>
      <c r="CD87" s="1215">
        <f t="shared" si="81"/>
        <v>0.15</v>
      </c>
      <c r="CE87" s="1215">
        <f t="shared" si="81"/>
        <v>0.15</v>
      </c>
      <c r="CF87" s="1923">
        <f t="shared" si="81"/>
        <v>0.15</v>
      </c>
      <c r="CG87" s="742"/>
      <c r="CH87" s="320"/>
      <c r="CI87" s="315"/>
      <c r="CJ87" s="315"/>
      <c r="CK87" s="315"/>
      <c r="CL87" s="315"/>
      <c r="CM87" s="388"/>
      <c r="CN87" s="774"/>
      <c r="CO87" s="774"/>
      <c r="CP87" s="774"/>
      <c r="CQ87" s="774"/>
      <c r="CR87" s="774"/>
      <c r="CS87" s="774"/>
      <c r="CT87" s="774"/>
      <c r="CU87" s="393"/>
      <c r="CV87" s="774"/>
      <c r="CW87" s="774"/>
      <c r="CX87" s="774"/>
      <c r="CY87" s="774"/>
      <c r="CZ87" s="315"/>
      <c r="DA87" s="315"/>
      <c r="DB87" s="22"/>
      <c r="DC87" s="22"/>
      <c r="DD87" s="22"/>
      <c r="DE87" s="22"/>
      <c r="DF87" s="1657"/>
      <c r="DH87" s="752"/>
      <c r="DI87" s="752"/>
      <c r="DJ87" s="752"/>
    </row>
    <row r="88" spans="1:114" ht="11.25" customHeight="1">
      <c r="A88" s="12"/>
      <c r="B88" s="12"/>
      <c r="C88" s="12"/>
      <c r="D88" s="12"/>
      <c r="E88" s="12"/>
      <c r="F88" s="12"/>
      <c r="G88" s="12"/>
      <c r="H88" s="12"/>
      <c r="I88" s="1673" t="s">
        <v>611</v>
      </c>
      <c r="J88" s="70"/>
      <c r="K88" s="70"/>
      <c r="L88" s="70"/>
      <c r="M88" s="315"/>
      <c r="N88" s="315"/>
      <c r="O88" s="315"/>
      <c r="P88" s="316"/>
      <c r="Q88" s="315"/>
      <c r="R88" s="315"/>
      <c r="S88" s="315"/>
      <c r="T88" s="316"/>
      <c r="U88" s="315"/>
      <c r="V88" s="315"/>
      <c r="W88" s="315"/>
      <c r="X88" s="316"/>
      <c r="Y88" s="315"/>
      <c r="Z88" s="315"/>
      <c r="AA88" s="315"/>
      <c r="AB88" s="316"/>
      <c r="AC88" s="315"/>
      <c r="AD88" s="315"/>
      <c r="AE88" s="315"/>
      <c r="AF88" s="316"/>
      <c r="AG88" s="317"/>
      <c r="AH88" s="317"/>
      <c r="AI88" s="317"/>
      <c r="AJ88" s="318"/>
      <c r="AK88" s="393"/>
      <c r="AL88" s="393"/>
      <c r="AM88" s="393"/>
      <c r="AN88" s="472"/>
      <c r="AO88" s="393"/>
      <c r="AP88" s="393"/>
      <c r="AQ88" s="393"/>
      <c r="AR88" s="472"/>
      <c r="AS88" s="393"/>
      <c r="AT88" s="393"/>
      <c r="AU88" s="393"/>
      <c r="AV88" s="472"/>
      <c r="AW88" s="393"/>
      <c r="AX88" s="393"/>
      <c r="AY88" s="393"/>
      <c r="AZ88" s="1417"/>
      <c r="BA88" s="1419"/>
      <c r="BB88" s="1419"/>
      <c r="BC88" s="1419"/>
      <c r="BD88" s="1417"/>
      <c r="BE88" s="1419"/>
      <c r="BF88" s="1419"/>
      <c r="BG88" s="1419"/>
      <c r="BH88" s="1417"/>
      <c r="BI88" s="1679">
        <v>0.1</v>
      </c>
      <c r="BJ88" s="1677">
        <v>0.2</v>
      </c>
      <c r="BK88" s="1677">
        <v>0.18</v>
      </c>
      <c r="BL88" s="1680">
        <v>0.1</v>
      </c>
      <c r="BM88" s="1679">
        <v>0.1</v>
      </c>
      <c r="BN88" s="1677">
        <v>0.1</v>
      </c>
      <c r="BO88" s="1677">
        <v>0.12</v>
      </c>
      <c r="BP88" s="1680">
        <v>0.15</v>
      </c>
      <c r="BQ88" s="1679">
        <v>0.15</v>
      </c>
      <c r="BR88" s="1677">
        <v>0.15</v>
      </c>
      <c r="BS88" s="1677">
        <v>0.15</v>
      </c>
      <c r="BT88" s="1680">
        <v>0.15</v>
      </c>
      <c r="BU88" s="1679">
        <v>0.15</v>
      </c>
      <c r="BV88" s="1677">
        <v>0.15</v>
      </c>
      <c r="BW88" s="1677">
        <v>0.15</v>
      </c>
      <c r="BX88" s="1680">
        <v>0.15</v>
      </c>
      <c r="BY88" s="1679">
        <v>0.15</v>
      </c>
      <c r="BZ88" s="1677">
        <v>0.15</v>
      </c>
      <c r="CA88" s="1677">
        <v>0.15</v>
      </c>
      <c r="CB88" s="1680">
        <v>0.15</v>
      </c>
      <c r="CC88" s="1679">
        <v>0.15</v>
      </c>
      <c r="CD88" s="1215">
        <f t="shared" si="81"/>
        <v>0.15</v>
      </c>
      <c r="CE88" s="1215">
        <f t="shared" si="81"/>
        <v>0.15</v>
      </c>
      <c r="CF88" s="1923">
        <f t="shared" si="81"/>
        <v>0.15</v>
      </c>
      <c r="CG88" s="742"/>
      <c r="CH88" s="320"/>
      <c r="CI88" s="315"/>
      <c r="CJ88" s="315"/>
      <c r="CK88" s="315"/>
      <c r="CL88" s="315"/>
      <c r="CM88" s="388"/>
      <c r="CN88" s="774"/>
      <c r="CO88" s="774"/>
      <c r="CP88" s="774"/>
      <c r="CQ88" s="774"/>
      <c r="CR88" s="774"/>
      <c r="CS88" s="774"/>
      <c r="CT88" s="774"/>
      <c r="CU88" s="393"/>
      <c r="CV88" s="774"/>
      <c r="CW88" s="774"/>
      <c r="CX88" s="774"/>
      <c r="CY88" s="774"/>
      <c r="CZ88" s="315"/>
      <c r="DA88" s="315"/>
      <c r="DB88" s="22"/>
      <c r="DC88" s="22"/>
      <c r="DD88" s="22"/>
      <c r="DE88" s="22"/>
      <c r="DF88" s="1657"/>
      <c r="DH88" s="752"/>
      <c r="DI88" s="752"/>
      <c r="DJ88" s="752"/>
    </row>
    <row r="89" spans="1:114" ht="11.25" customHeight="1">
      <c r="A89" s="12"/>
      <c r="B89" s="12"/>
      <c r="C89" s="12"/>
      <c r="D89" s="12"/>
      <c r="E89" s="12"/>
      <c r="F89" s="12"/>
      <c r="G89" s="12"/>
      <c r="H89" s="12"/>
      <c r="I89" s="1673" t="s">
        <v>612</v>
      </c>
      <c r="J89" s="70"/>
      <c r="K89" s="70"/>
      <c r="L89" s="70"/>
      <c r="M89" s="315"/>
      <c r="N89" s="315"/>
      <c r="O89" s="315"/>
      <c r="P89" s="316"/>
      <c r="Q89" s="315"/>
      <c r="R89" s="315"/>
      <c r="S89" s="315"/>
      <c r="T89" s="316"/>
      <c r="U89" s="315"/>
      <c r="V89" s="315"/>
      <c r="W89" s="315"/>
      <c r="X89" s="316"/>
      <c r="Y89" s="315"/>
      <c r="Z89" s="315"/>
      <c r="AA89" s="315"/>
      <c r="AB89" s="316"/>
      <c r="AC89" s="315"/>
      <c r="AD89" s="315"/>
      <c r="AE89" s="315"/>
      <c r="AF89" s="316"/>
      <c r="AG89" s="317"/>
      <c r="AH89" s="317"/>
      <c r="AI89" s="317"/>
      <c r="AJ89" s="318"/>
      <c r="AK89" s="393"/>
      <c r="AL89" s="393"/>
      <c r="AM89" s="393"/>
      <c r="AN89" s="472"/>
      <c r="AO89" s="393"/>
      <c r="AP89" s="393"/>
      <c r="AQ89" s="393"/>
      <c r="AR89" s="472"/>
      <c r="AS89" s="393"/>
      <c r="AT89" s="393"/>
      <c r="AU89" s="393"/>
      <c r="AV89" s="472"/>
      <c r="AW89" s="393"/>
      <c r="AX89" s="393"/>
      <c r="AY89" s="393"/>
      <c r="AZ89" s="1417"/>
      <c r="BA89" s="1419"/>
      <c r="BB89" s="1419"/>
      <c r="BC89" s="1419"/>
      <c r="BD89" s="1417"/>
      <c r="BE89" s="1419"/>
      <c r="BF89" s="1419"/>
      <c r="BG89" s="1419"/>
      <c r="BH89" s="1417"/>
      <c r="BI89" s="1679">
        <v>0.05</v>
      </c>
      <c r="BJ89" s="1677">
        <v>0.05</v>
      </c>
      <c r="BK89" s="1677">
        <v>0.05</v>
      </c>
      <c r="BL89" s="1680">
        <v>0.05</v>
      </c>
      <c r="BM89" s="1679">
        <v>0.05</v>
      </c>
      <c r="BN89" s="1677">
        <v>0.05</v>
      </c>
      <c r="BO89" s="1677">
        <v>0.05</v>
      </c>
      <c r="BP89" s="1680">
        <v>0.05</v>
      </c>
      <c r="BQ89" s="1679">
        <v>0.05</v>
      </c>
      <c r="BR89" s="1677">
        <v>0.05</v>
      </c>
      <c r="BS89" s="1677">
        <v>0.05</v>
      </c>
      <c r="BT89" s="1680">
        <v>0.05</v>
      </c>
      <c r="BU89" s="1679">
        <v>0.05</v>
      </c>
      <c r="BV89" s="1677">
        <v>0.05</v>
      </c>
      <c r="BW89" s="1677">
        <v>0.05</v>
      </c>
      <c r="BX89" s="1680">
        <v>0.05</v>
      </c>
      <c r="BY89" s="1679">
        <v>0.05</v>
      </c>
      <c r="BZ89" s="1677">
        <v>0.05</v>
      </c>
      <c r="CA89" s="1677">
        <v>0.05</v>
      </c>
      <c r="CB89" s="1680">
        <v>0.05</v>
      </c>
      <c r="CC89" s="1679">
        <v>0.05</v>
      </c>
      <c r="CD89" s="1215">
        <f t="shared" si="81"/>
        <v>0.05</v>
      </c>
      <c r="CE89" s="1215">
        <f t="shared" si="81"/>
        <v>0.05</v>
      </c>
      <c r="CF89" s="1923">
        <f t="shared" si="81"/>
        <v>0.05</v>
      </c>
      <c r="CG89" s="742"/>
      <c r="CH89" s="320"/>
      <c r="CI89" s="315"/>
      <c r="CJ89" s="315"/>
      <c r="CK89" s="315"/>
      <c r="CL89" s="315"/>
      <c r="CM89" s="388"/>
      <c r="CN89" s="774"/>
      <c r="CO89" s="774"/>
      <c r="CP89" s="774"/>
      <c r="CQ89" s="774"/>
      <c r="CR89" s="774"/>
      <c r="CS89" s="774"/>
      <c r="CT89" s="774"/>
      <c r="CU89" s="393"/>
      <c r="CV89" s="774"/>
      <c r="CW89" s="774"/>
      <c r="CX89" s="774"/>
      <c r="CY89" s="774"/>
      <c r="CZ89" s="315"/>
      <c r="DA89" s="315"/>
      <c r="DB89" s="22"/>
      <c r="DC89" s="22"/>
      <c r="DD89" s="22"/>
      <c r="DE89" s="22"/>
      <c r="DF89" s="1657"/>
      <c r="DH89" s="752"/>
      <c r="DI89" s="752"/>
      <c r="DJ89" s="752"/>
    </row>
    <row r="90" spans="1:114" ht="11.25" customHeight="1">
      <c r="A90" s="12"/>
      <c r="B90" s="12"/>
      <c r="C90" s="12"/>
      <c r="D90" s="12"/>
      <c r="E90" s="12"/>
      <c r="F90" s="12"/>
      <c r="G90" s="12"/>
      <c r="H90" s="12"/>
      <c r="I90" s="160" t="s">
        <v>613</v>
      </c>
      <c r="J90" s="70"/>
      <c r="K90" s="70"/>
      <c r="L90" s="70"/>
      <c r="M90" s="315"/>
      <c r="N90" s="315"/>
      <c r="O90" s="315"/>
      <c r="P90" s="316"/>
      <c r="Q90" s="315"/>
      <c r="R90" s="315"/>
      <c r="S90" s="315"/>
      <c r="T90" s="316"/>
      <c r="U90" s="315"/>
      <c r="V90" s="315"/>
      <c r="W90" s="315"/>
      <c r="X90" s="316"/>
      <c r="Y90" s="315"/>
      <c r="Z90" s="315"/>
      <c r="AA90" s="315"/>
      <c r="AB90" s="316"/>
      <c r="AC90" s="315"/>
      <c r="AD90" s="315"/>
      <c r="AE90" s="315"/>
      <c r="AF90" s="316"/>
      <c r="AG90" s="317"/>
      <c r="AH90" s="317"/>
      <c r="AI90" s="317"/>
      <c r="AJ90" s="318"/>
      <c r="AK90" s="393"/>
      <c r="AL90" s="393"/>
      <c r="AM90" s="393"/>
      <c r="AN90" s="472"/>
      <c r="AO90" s="393"/>
      <c r="AP90" s="393"/>
      <c r="AQ90" s="393"/>
      <c r="AR90" s="472"/>
      <c r="AS90" s="393"/>
      <c r="AT90" s="393"/>
      <c r="AU90" s="393"/>
      <c r="AV90" s="472"/>
      <c r="AW90" s="393"/>
      <c r="AX90" s="393"/>
      <c r="AY90" s="393"/>
      <c r="AZ90" s="1417"/>
      <c r="BA90" s="1419"/>
      <c r="BB90" s="1419"/>
      <c r="BC90" s="1419"/>
      <c r="BD90" s="1417"/>
      <c r="BE90" s="1419"/>
      <c r="BF90" s="1419"/>
      <c r="BG90" s="1419"/>
      <c r="BH90" s="1417"/>
      <c r="BI90" s="1679">
        <v>0.15</v>
      </c>
      <c r="BJ90" s="1677">
        <v>0.1</v>
      </c>
      <c r="BK90" s="1677">
        <v>0.15</v>
      </c>
      <c r="BL90" s="1680">
        <v>0.18</v>
      </c>
      <c r="BM90" s="1679">
        <v>0.15</v>
      </c>
      <c r="BN90" s="1677">
        <v>0.15</v>
      </c>
      <c r="BO90" s="1677">
        <v>0.15</v>
      </c>
      <c r="BP90" s="1680">
        <v>0.1</v>
      </c>
      <c r="BQ90" s="1679">
        <v>0.1</v>
      </c>
      <c r="BR90" s="1677">
        <v>0.1</v>
      </c>
      <c r="BS90" s="1677">
        <f>+BO90</f>
        <v>0.15</v>
      </c>
      <c r="BT90" s="1680">
        <v>0.15</v>
      </c>
      <c r="BU90" s="1679">
        <v>0.15</v>
      </c>
      <c r="BV90" s="1677">
        <v>0.15</v>
      </c>
      <c r="BW90" s="1677">
        <v>0.15</v>
      </c>
      <c r="BX90" s="1680">
        <v>0.15</v>
      </c>
      <c r="BY90" s="1679">
        <v>0.15</v>
      </c>
      <c r="BZ90" s="1677">
        <v>0.15</v>
      </c>
      <c r="CA90" s="1677">
        <v>0.15</v>
      </c>
      <c r="CB90" s="1680">
        <v>0.15</v>
      </c>
      <c r="CC90" s="1679">
        <v>0.15</v>
      </c>
      <c r="CD90" s="1215">
        <f t="shared" si="81"/>
        <v>0.15</v>
      </c>
      <c r="CE90" s="1215">
        <f t="shared" si="81"/>
        <v>0.15</v>
      </c>
      <c r="CF90" s="1923">
        <f t="shared" si="81"/>
        <v>0.15</v>
      </c>
      <c r="CG90" s="742"/>
      <c r="CH90" s="320"/>
      <c r="CI90" s="315"/>
      <c r="CJ90" s="315"/>
      <c r="CK90" s="315"/>
      <c r="CL90" s="315"/>
      <c r="CM90" s="388"/>
      <c r="CN90" s="774"/>
      <c r="CO90" s="774"/>
      <c r="CP90" s="774"/>
      <c r="CQ90" s="774"/>
      <c r="CR90" s="774"/>
      <c r="CS90" s="774"/>
      <c r="CT90" s="774"/>
      <c r="CU90" s="393"/>
      <c r="CV90" s="774"/>
      <c r="CW90" s="774"/>
      <c r="CX90" s="774"/>
      <c r="CY90" s="774"/>
      <c r="CZ90" s="315"/>
      <c r="DA90" s="315"/>
      <c r="DB90" s="22"/>
      <c r="DC90" s="22"/>
      <c r="DD90" s="22"/>
      <c r="DE90" s="22"/>
      <c r="DF90" s="1657"/>
      <c r="DH90" s="752"/>
      <c r="DI90" s="752"/>
      <c r="DJ90" s="752"/>
    </row>
    <row r="91" spans="1:114" ht="11.25" customHeight="1">
      <c r="A91" s="12"/>
      <c r="B91" s="12"/>
      <c r="C91" s="12"/>
      <c r="D91" s="12"/>
      <c r="E91" s="12"/>
      <c r="F91" s="12"/>
      <c r="G91" s="12"/>
      <c r="H91" s="12"/>
      <c r="I91" s="1673" t="s">
        <v>614</v>
      </c>
      <c r="J91" s="70"/>
      <c r="K91" s="70"/>
      <c r="L91" s="70"/>
      <c r="M91" s="315"/>
      <c r="N91" s="315"/>
      <c r="O91" s="315"/>
      <c r="P91" s="316"/>
      <c r="Q91" s="315"/>
      <c r="R91" s="315"/>
      <c r="S91" s="315"/>
      <c r="T91" s="316"/>
      <c r="U91" s="315"/>
      <c r="V91" s="315"/>
      <c r="W91" s="315"/>
      <c r="X91" s="316"/>
      <c r="Y91" s="315"/>
      <c r="Z91" s="315"/>
      <c r="AA91" s="315"/>
      <c r="AB91" s="316"/>
      <c r="AC91" s="315"/>
      <c r="AD91" s="315"/>
      <c r="AE91" s="315"/>
      <c r="AF91" s="316"/>
      <c r="AG91" s="317"/>
      <c r="AH91" s="317"/>
      <c r="AI91" s="317"/>
      <c r="AJ91" s="318"/>
      <c r="AK91" s="393"/>
      <c r="AL91" s="393"/>
      <c r="AM91" s="393"/>
      <c r="AN91" s="472"/>
      <c r="AO91" s="393"/>
      <c r="AP91" s="393"/>
      <c r="AQ91" s="393"/>
      <c r="AR91" s="472"/>
      <c r="AS91" s="393"/>
      <c r="AT91" s="393"/>
      <c r="AU91" s="393"/>
      <c r="AV91" s="472"/>
      <c r="AW91" s="393"/>
      <c r="AX91" s="393"/>
      <c r="AY91" s="393"/>
      <c r="AZ91" s="1417"/>
      <c r="BA91" s="1419"/>
      <c r="BB91" s="1419"/>
      <c r="BC91" s="1419"/>
      <c r="BD91" s="1417"/>
      <c r="BE91" s="1419"/>
      <c r="BF91" s="1419"/>
      <c r="BG91" s="1419"/>
      <c r="BH91" s="1417"/>
      <c r="BI91" s="1679">
        <v>0.05</v>
      </c>
      <c r="BJ91" s="1677">
        <v>0.05</v>
      </c>
      <c r="BK91" s="1677">
        <v>0.08</v>
      </c>
      <c r="BL91" s="1680">
        <v>0.1</v>
      </c>
      <c r="BM91" s="1679">
        <v>0.1</v>
      </c>
      <c r="BN91" s="1677">
        <v>0.12</v>
      </c>
      <c r="BO91" s="1677">
        <v>0.1</v>
      </c>
      <c r="BP91" s="1680">
        <v>0.08</v>
      </c>
      <c r="BQ91" s="1679">
        <v>0.08</v>
      </c>
      <c r="BR91" s="1677">
        <v>0.08</v>
      </c>
      <c r="BS91" s="1677">
        <v>0.08</v>
      </c>
      <c r="BT91" s="1680">
        <v>0.08</v>
      </c>
      <c r="BU91" s="1679">
        <v>0.08</v>
      </c>
      <c r="BV91" s="1677">
        <v>0.08</v>
      </c>
      <c r="BW91" s="1677">
        <v>0.08</v>
      </c>
      <c r="BX91" s="1680">
        <v>0.08</v>
      </c>
      <c r="BY91" s="1679">
        <v>0.08</v>
      </c>
      <c r="BZ91" s="1677">
        <v>0.08</v>
      </c>
      <c r="CA91" s="1677">
        <v>0.08</v>
      </c>
      <c r="CB91" s="1680">
        <v>0.08</v>
      </c>
      <c r="CC91" s="1679">
        <v>0.08</v>
      </c>
      <c r="CD91" s="1215">
        <f t="shared" si="81"/>
        <v>0.08</v>
      </c>
      <c r="CE91" s="1215">
        <f t="shared" si="81"/>
        <v>0.08</v>
      </c>
      <c r="CF91" s="1923">
        <f t="shared" si="81"/>
        <v>0.08</v>
      </c>
      <c r="CG91" s="742"/>
      <c r="CH91" s="320"/>
      <c r="CI91" s="315"/>
      <c r="CJ91" s="315"/>
      <c r="CK91" s="315"/>
      <c r="CL91" s="315"/>
      <c r="CM91" s="388"/>
      <c r="CN91" s="774"/>
      <c r="CO91" s="774"/>
      <c r="CP91" s="774"/>
      <c r="CQ91" s="774"/>
      <c r="CR91" s="774"/>
      <c r="CS91" s="774"/>
      <c r="CT91" s="774"/>
      <c r="CU91" s="393"/>
      <c r="CV91" s="774"/>
      <c r="CW91" s="774"/>
      <c r="CX91" s="774"/>
      <c r="CY91" s="774"/>
      <c r="CZ91" s="315"/>
      <c r="DA91" s="315"/>
      <c r="DB91" s="22"/>
      <c r="DC91" s="22"/>
      <c r="DD91" s="22"/>
      <c r="DE91" s="22"/>
      <c r="DF91" s="1657"/>
      <c r="DH91" s="752"/>
      <c r="DI91" s="752"/>
      <c r="DJ91" s="752"/>
    </row>
    <row r="92" spans="1:114" ht="11.25" customHeight="1">
      <c r="A92" s="12"/>
      <c r="B92" s="12"/>
      <c r="C92" s="12"/>
      <c r="D92" s="12"/>
      <c r="E92" s="12"/>
      <c r="F92" s="12"/>
      <c r="G92" s="12"/>
      <c r="H92" s="12"/>
      <c r="I92" s="1673" t="s">
        <v>615</v>
      </c>
      <c r="J92" s="70"/>
      <c r="K92" s="70"/>
      <c r="L92" s="70"/>
      <c r="M92" s="315"/>
      <c r="N92" s="315"/>
      <c r="O92" s="315"/>
      <c r="P92" s="316"/>
      <c r="Q92" s="315"/>
      <c r="R92" s="315"/>
      <c r="S92" s="315"/>
      <c r="T92" s="316"/>
      <c r="U92" s="315"/>
      <c r="V92" s="315"/>
      <c r="W92" s="315"/>
      <c r="X92" s="316"/>
      <c r="Y92" s="315"/>
      <c r="Z92" s="315"/>
      <c r="AA92" s="315"/>
      <c r="AB92" s="316"/>
      <c r="AC92" s="315"/>
      <c r="AD92" s="315"/>
      <c r="AE92" s="315"/>
      <c r="AF92" s="316"/>
      <c r="AG92" s="317"/>
      <c r="AH92" s="317"/>
      <c r="AI92" s="317"/>
      <c r="AJ92" s="318"/>
      <c r="AK92" s="393"/>
      <c r="AL92" s="393"/>
      <c r="AM92" s="393"/>
      <c r="AN92" s="472"/>
      <c r="AO92" s="393"/>
      <c r="AP92" s="393"/>
      <c r="AQ92" s="393"/>
      <c r="AR92" s="472"/>
      <c r="AS92" s="393"/>
      <c r="AT92" s="393"/>
      <c r="AU92" s="393"/>
      <c r="AV92" s="472"/>
      <c r="AW92" s="393"/>
      <c r="AX92" s="393"/>
      <c r="AY92" s="393"/>
      <c r="AZ92" s="1417"/>
      <c r="BA92" s="1419"/>
      <c r="BB92" s="1419"/>
      <c r="BC92" s="1419"/>
      <c r="BD92" s="1417"/>
      <c r="BE92" s="1419"/>
      <c r="BF92" s="1419"/>
      <c r="BG92" s="1419"/>
      <c r="BH92" s="1417"/>
      <c r="BI92" s="1679">
        <v>0.05</v>
      </c>
      <c r="BJ92" s="1677">
        <v>0.05</v>
      </c>
      <c r="BK92" s="1677">
        <v>0.1</v>
      </c>
      <c r="BL92" s="1680">
        <v>0.15</v>
      </c>
      <c r="BM92" s="1679">
        <v>0.1</v>
      </c>
      <c r="BN92" s="1677">
        <v>0.12</v>
      </c>
      <c r="BO92" s="1677">
        <v>0.1</v>
      </c>
      <c r="BP92" s="1680">
        <v>0.1</v>
      </c>
      <c r="BQ92" s="1679">
        <v>0.1</v>
      </c>
      <c r="BR92" s="1677">
        <v>0.1</v>
      </c>
      <c r="BS92" s="1677">
        <v>0.1</v>
      </c>
      <c r="BT92" s="1680">
        <v>0.1</v>
      </c>
      <c r="BU92" s="1679">
        <v>0.1</v>
      </c>
      <c r="BV92" s="1677">
        <v>0.1</v>
      </c>
      <c r="BW92" s="1677">
        <v>0.1</v>
      </c>
      <c r="BX92" s="1680">
        <v>0.1</v>
      </c>
      <c r="BY92" s="1679">
        <v>0.1</v>
      </c>
      <c r="BZ92" s="1677">
        <v>0.1</v>
      </c>
      <c r="CA92" s="1677">
        <v>0.1</v>
      </c>
      <c r="CB92" s="1680">
        <v>0.1</v>
      </c>
      <c r="CC92" s="1679">
        <v>0.1</v>
      </c>
      <c r="CD92" s="1215">
        <f t="shared" si="81"/>
        <v>0.1</v>
      </c>
      <c r="CE92" s="1215">
        <f t="shared" si="81"/>
        <v>0.1</v>
      </c>
      <c r="CF92" s="1923">
        <f t="shared" si="81"/>
        <v>0.1</v>
      </c>
      <c r="CG92" s="742"/>
      <c r="CH92" s="320"/>
      <c r="CI92" s="315"/>
      <c r="CJ92" s="315"/>
      <c r="CK92" s="315"/>
      <c r="CL92" s="315"/>
      <c r="CM92" s="388"/>
      <c r="CN92" s="774"/>
      <c r="CO92" s="774"/>
      <c r="CP92" s="774"/>
      <c r="CQ92" s="774"/>
      <c r="CR92" s="774"/>
      <c r="CS92" s="774"/>
      <c r="CT92" s="774"/>
      <c r="CU92" s="393"/>
      <c r="CV92" s="774"/>
      <c r="CW92" s="774"/>
      <c r="CX92" s="774"/>
      <c r="CY92" s="774"/>
      <c r="CZ92" s="315"/>
      <c r="DA92" s="315"/>
      <c r="DB92" s="22"/>
      <c r="DC92" s="22"/>
      <c r="DD92" s="22"/>
      <c r="DE92" s="22"/>
      <c r="DF92" s="1657"/>
      <c r="DH92" s="752"/>
      <c r="DI92" s="752"/>
      <c r="DJ92" s="752"/>
    </row>
    <row r="93" spans="1:114" ht="11.25" customHeight="1">
      <c r="A93" s="12"/>
      <c r="B93" s="12"/>
      <c r="C93" s="12"/>
      <c r="D93" s="12"/>
      <c r="E93" s="12"/>
      <c r="F93" s="12"/>
      <c r="G93" s="12"/>
      <c r="H93" s="12"/>
      <c r="I93" s="1673" t="s">
        <v>619</v>
      </c>
      <c r="J93" s="70"/>
      <c r="K93" s="70"/>
      <c r="L93" s="70"/>
      <c r="M93" s="315"/>
      <c r="N93" s="315"/>
      <c r="O93" s="315"/>
      <c r="P93" s="316"/>
      <c r="Q93" s="315"/>
      <c r="R93" s="315"/>
      <c r="S93" s="315"/>
      <c r="T93" s="316"/>
      <c r="U93" s="315"/>
      <c r="V93" s="315"/>
      <c r="W93" s="315"/>
      <c r="X93" s="316"/>
      <c r="Y93" s="315"/>
      <c r="Z93" s="315"/>
      <c r="AA93" s="315"/>
      <c r="AB93" s="316"/>
      <c r="AC93" s="315"/>
      <c r="AD93" s="315"/>
      <c r="AE93" s="315"/>
      <c r="AF93" s="316"/>
      <c r="AG93" s="317"/>
      <c r="AH93" s="317"/>
      <c r="AI93" s="317"/>
      <c r="AJ93" s="318"/>
      <c r="AK93" s="393"/>
      <c r="AL93" s="393"/>
      <c r="AM93" s="393"/>
      <c r="AN93" s="472"/>
      <c r="AO93" s="393"/>
      <c r="AP93" s="393"/>
      <c r="AQ93" s="393"/>
      <c r="AR93" s="472"/>
      <c r="AS93" s="393"/>
      <c r="AT93" s="393"/>
      <c r="AU93" s="393"/>
      <c r="AV93" s="472"/>
      <c r="AW93" s="393"/>
      <c r="AX93" s="393"/>
      <c r="AY93" s="393"/>
      <c r="AZ93" s="1417"/>
      <c r="BA93" s="1419"/>
      <c r="BB93" s="1419"/>
      <c r="BC93" s="1419"/>
      <c r="BD93" s="1417"/>
      <c r="BE93" s="1419"/>
      <c r="BF93" s="1419"/>
      <c r="BG93" s="1419"/>
      <c r="BH93" s="1417"/>
      <c r="BI93" s="1679">
        <v>0.2</v>
      </c>
      <c r="BJ93" s="1677">
        <v>0.1</v>
      </c>
      <c r="BK93" s="1677">
        <v>0.18</v>
      </c>
      <c r="BL93" s="1680">
        <v>0.22</v>
      </c>
      <c r="BM93" s="1679">
        <v>0.25</v>
      </c>
      <c r="BN93" s="1677">
        <v>0.25</v>
      </c>
      <c r="BO93" s="1677">
        <v>0.25</v>
      </c>
      <c r="BP93" s="1680">
        <v>0.25</v>
      </c>
      <c r="BQ93" s="1679">
        <v>0.25</v>
      </c>
      <c r="BR93" s="1677">
        <v>0.25</v>
      </c>
      <c r="BS93" s="1677">
        <v>0.24</v>
      </c>
      <c r="BT93" s="1680">
        <v>0.24</v>
      </c>
      <c r="BU93" s="1679">
        <v>0.24</v>
      </c>
      <c r="BV93" s="1677">
        <v>0.24</v>
      </c>
      <c r="BW93" s="1677">
        <v>0.24</v>
      </c>
      <c r="BX93" s="1680">
        <v>0.24</v>
      </c>
      <c r="BY93" s="1679">
        <v>0.24</v>
      </c>
      <c r="BZ93" s="1677">
        <v>0.24</v>
      </c>
      <c r="CA93" s="1677">
        <v>0.24</v>
      </c>
      <c r="CB93" s="1680">
        <v>0.24</v>
      </c>
      <c r="CC93" s="1679">
        <v>0.24</v>
      </c>
      <c r="CD93" s="1215">
        <f t="shared" si="81"/>
        <v>0.24</v>
      </c>
      <c r="CE93" s="1215">
        <f t="shared" si="81"/>
        <v>0.24</v>
      </c>
      <c r="CF93" s="1923">
        <f t="shared" si="81"/>
        <v>0.24</v>
      </c>
      <c r="CG93" s="742"/>
      <c r="CH93" s="320"/>
      <c r="CI93" s="315"/>
      <c r="CJ93" s="315"/>
      <c r="CK93" s="315"/>
      <c r="CL93" s="315"/>
      <c r="CM93" s="388"/>
      <c r="CN93" s="774"/>
      <c r="CO93" s="774"/>
      <c r="CP93" s="774"/>
      <c r="CQ93" s="774"/>
      <c r="CR93" s="774"/>
      <c r="CS93" s="774"/>
      <c r="CT93" s="774"/>
      <c r="CU93" s="393"/>
      <c r="CV93" s="774"/>
      <c r="CW93" s="774"/>
      <c r="CX93" s="774"/>
      <c r="CY93" s="774"/>
      <c r="CZ93" s="315"/>
      <c r="DA93" s="315"/>
      <c r="DB93" s="22"/>
      <c r="DC93" s="22"/>
      <c r="DD93" s="22"/>
      <c r="DE93" s="22"/>
      <c r="DF93" s="1657"/>
      <c r="DH93" s="752"/>
      <c r="DI93" s="752"/>
      <c r="DJ93" s="752"/>
    </row>
    <row r="94" spans="1:114" ht="11.25" customHeight="1">
      <c r="A94" s="12"/>
      <c r="B94" s="12"/>
      <c r="C94" s="12"/>
      <c r="D94" s="12"/>
      <c r="E94" s="12"/>
      <c r="F94" s="12"/>
      <c r="G94" s="12"/>
      <c r="H94" s="12"/>
      <c r="I94" s="227" t="s">
        <v>616</v>
      </c>
      <c r="J94" s="70"/>
      <c r="K94" s="70"/>
      <c r="L94" s="70"/>
      <c r="M94" s="315"/>
      <c r="N94" s="315"/>
      <c r="O94" s="315"/>
      <c r="P94" s="316"/>
      <c r="Q94" s="315"/>
      <c r="R94" s="315"/>
      <c r="S94" s="315"/>
      <c r="T94" s="316"/>
      <c r="U94" s="315"/>
      <c r="V94" s="315"/>
      <c r="W94" s="315"/>
      <c r="X94" s="316"/>
      <c r="Y94" s="315"/>
      <c r="Z94" s="315"/>
      <c r="AA94" s="315"/>
      <c r="AB94" s="316"/>
      <c r="AC94" s="315"/>
      <c r="AD94" s="315"/>
      <c r="AE94" s="315"/>
      <c r="AF94" s="316"/>
      <c r="AG94" s="317"/>
      <c r="AH94" s="317"/>
      <c r="AI94" s="317"/>
      <c r="AJ94" s="318"/>
      <c r="AK94" s="393"/>
      <c r="AL94" s="393"/>
      <c r="AM94" s="393"/>
      <c r="AN94" s="472"/>
      <c r="AO94" s="393"/>
      <c r="AP94" s="393"/>
      <c r="AQ94" s="393"/>
      <c r="AR94" s="472"/>
      <c r="AS94" s="393"/>
      <c r="AT94" s="393"/>
      <c r="AU94" s="393"/>
      <c r="AV94" s="472"/>
      <c r="AW94" s="393"/>
      <c r="AX94" s="393"/>
      <c r="AY94" s="393"/>
      <c r="AZ94" s="1417"/>
      <c r="BA94" s="1419"/>
      <c r="BB94" s="1419"/>
      <c r="BC94" s="1419"/>
      <c r="BD94" s="1417"/>
      <c r="BE94" s="1419"/>
      <c r="BF94" s="1419"/>
      <c r="BG94" s="1419"/>
      <c r="BH94" s="1417"/>
      <c r="BI94" s="1681">
        <f t="shared" ref="BI94:BP94" si="82">+BI95-BI93-BI92-BI91-BI90-BI89-BI88-BI87-BI86</f>
        <v>0.1999999999999999</v>
      </c>
      <c r="BJ94" s="938">
        <f t="shared" si="82"/>
        <v>0.16999999999999987</v>
      </c>
      <c r="BK94" s="938">
        <f t="shared" si="82"/>
        <v>6.0000000000000123E-2</v>
      </c>
      <c r="BL94" s="1586">
        <f t="shared" si="82"/>
        <v>4.0000000000000036E-2</v>
      </c>
      <c r="BM94" s="1681">
        <f t="shared" si="82"/>
        <v>6.0000000000000012E-2</v>
      </c>
      <c r="BN94" s="938">
        <f t="shared" si="82"/>
        <v>9.9999999999999811E-3</v>
      </c>
      <c r="BO94" s="938">
        <f t="shared" si="82"/>
        <v>0</v>
      </c>
      <c r="BP94" s="1586">
        <f t="shared" si="82"/>
        <v>1.0000000000000134E-2</v>
      </c>
      <c r="BQ94" s="1681">
        <f t="shared" ref="BQ94:BX94" si="83">+BQ95-BQ93-BQ92-BQ91-BQ90-BQ89-BQ88-BQ87-BQ86</f>
        <v>4.0000000000000133E-2</v>
      </c>
      <c r="BR94" s="938">
        <f t="shared" si="83"/>
        <v>4.0000000000000133E-2</v>
      </c>
      <c r="BS94" s="938">
        <f t="shared" si="83"/>
        <v>0</v>
      </c>
      <c r="BT94" s="1586">
        <f t="shared" si="83"/>
        <v>0</v>
      </c>
      <c r="BU94" s="938">
        <f t="shared" si="83"/>
        <v>0</v>
      </c>
      <c r="BV94" s="938">
        <f t="shared" si="83"/>
        <v>0</v>
      </c>
      <c r="BW94" s="938">
        <f t="shared" si="83"/>
        <v>0</v>
      </c>
      <c r="BX94" s="1586">
        <f t="shared" si="83"/>
        <v>0</v>
      </c>
      <c r="BY94" s="938">
        <f t="shared" ref="BY94:CF94" si="84">+BY95-BY93-BY92-BY91-BY90-BY89-BY88-BY87-BY86</f>
        <v>0</v>
      </c>
      <c r="BZ94" s="938">
        <f t="shared" si="84"/>
        <v>0</v>
      </c>
      <c r="CA94" s="938">
        <f t="shared" si="84"/>
        <v>0</v>
      </c>
      <c r="CB94" s="1586">
        <f t="shared" si="84"/>
        <v>0</v>
      </c>
      <c r="CC94" s="938">
        <f t="shared" ref="CC94" si="85">+CC95-CC93-CC92-CC91-CC90-CC89-CC88-CC87-CC86</f>
        <v>0</v>
      </c>
      <c r="CD94" s="938">
        <f t="shared" si="84"/>
        <v>0</v>
      </c>
      <c r="CE94" s="938">
        <f t="shared" si="84"/>
        <v>0</v>
      </c>
      <c r="CF94" s="1586">
        <f t="shared" si="84"/>
        <v>0</v>
      </c>
      <c r="CG94" s="742"/>
      <c r="CH94" s="320"/>
      <c r="CI94" s="315"/>
      <c r="CJ94" s="315"/>
      <c r="CK94" s="315"/>
      <c r="CL94" s="315"/>
      <c r="CM94" s="388"/>
      <c r="CN94" s="774"/>
      <c r="CO94" s="774"/>
      <c r="CP94" s="774"/>
      <c r="CQ94" s="774"/>
      <c r="CR94" s="774"/>
      <c r="CS94" s="774"/>
      <c r="CT94" s="774"/>
      <c r="CU94" s="393"/>
      <c r="CV94" s="774"/>
      <c r="CW94" s="774"/>
      <c r="CX94" s="774"/>
      <c r="CY94" s="774"/>
      <c r="CZ94" s="315"/>
      <c r="DA94" s="315"/>
      <c r="DB94" s="22"/>
      <c r="DC94" s="22"/>
      <c r="DD94" s="22"/>
      <c r="DE94" s="22"/>
      <c r="DF94" s="1657"/>
      <c r="DH94" s="752"/>
      <c r="DI94" s="752"/>
      <c r="DJ94" s="752"/>
    </row>
    <row r="95" spans="1:114" ht="11.25" customHeight="1">
      <c r="A95" s="12"/>
      <c r="B95" s="12"/>
      <c r="C95" s="12"/>
      <c r="D95" s="12"/>
      <c r="E95" s="12"/>
      <c r="F95" s="12"/>
      <c r="G95" s="12"/>
      <c r="H95" s="12"/>
      <c r="I95" s="178" t="s">
        <v>5</v>
      </c>
      <c r="J95" s="70"/>
      <c r="K95" s="70"/>
      <c r="L95" s="70"/>
      <c r="M95" s="315"/>
      <c r="N95" s="315"/>
      <c r="O95" s="315"/>
      <c r="P95" s="316"/>
      <c r="Q95" s="315"/>
      <c r="R95" s="315"/>
      <c r="S95" s="315"/>
      <c r="T95" s="316"/>
      <c r="U95" s="315"/>
      <c r="V95" s="315"/>
      <c r="W95" s="315"/>
      <c r="X95" s="316"/>
      <c r="Y95" s="315"/>
      <c r="Z95" s="315"/>
      <c r="AA95" s="315"/>
      <c r="AB95" s="316"/>
      <c r="AC95" s="315"/>
      <c r="AD95" s="315"/>
      <c r="AE95" s="315"/>
      <c r="AF95" s="316"/>
      <c r="AG95" s="317"/>
      <c r="AH95" s="317"/>
      <c r="AI95" s="317"/>
      <c r="AJ95" s="318"/>
      <c r="AK95" s="393"/>
      <c r="AL95" s="393"/>
      <c r="AM95" s="393"/>
      <c r="AN95" s="472"/>
      <c r="AO95" s="393"/>
      <c r="AP95" s="393"/>
      <c r="AQ95" s="393"/>
      <c r="AR95" s="472"/>
      <c r="AS95" s="393"/>
      <c r="AT95" s="393"/>
      <c r="AU95" s="393"/>
      <c r="AV95" s="472"/>
      <c r="AW95" s="393"/>
      <c r="AX95" s="393"/>
      <c r="AY95" s="393"/>
      <c r="AZ95" s="1417"/>
      <c r="BA95" s="1419"/>
      <c r="BB95" s="1419"/>
      <c r="BC95" s="1419"/>
      <c r="BD95" s="1417"/>
      <c r="BE95" s="1419"/>
      <c r="BF95" s="1419"/>
      <c r="BG95" s="1419"/>
      <c r="BH95" s="1417"/>
      <c r="BI95" s="1682">
        <v>1</v>
      </c>
      <c r="BJ95" s="1678">
        <v>1</v>
      </c>
      <c r="BK95" s="1678">
        <v>1</v>
      </c>
      <c r="BL95" s="1683">
        <v>1</v>
      </c>
      <c r="BM95" s="1682">
        <v>1</v>
      </c>
      <c r="BN95" s="1678">
        <v>1</v>
      </c>
      <c r="BO95" s="1678">
        <v>1</v>
      </c>
      <c r="BP95" s="1683">
        <v>1</v>
      </c>
      <c r="BQ95" s="1682">
        <v>1</v>
      </c>
      <c r="BR95" s="1678">
        <v>1</v>
      </c>
      <c r="BS95" s="1678">
        <v>1</v>
      </c>
      <c r="BT95" s="1683">
        <v>1</v>
      </c>
      <c r="BU95" s="1678">
        <v>1</v>
      </c>
      <c r="BV95" s="1678">
        <v>1</v>
      </c>
      <c r="BW95" s="1678">
        <v>1</v>
      </c>
      <c r="BX95" s="1683">
        <v>1</v>
      </c>
      <c r="BY95" s="1678">
        <v>1</v>
      </c>
      <c r="BZ95" s="1678">
        <v>1</v>
      </c>
      <c r="CA95" s="1678">
        <v>1</v>
      </c>
      <c r="CB95" s="1683">
        <v>1</v>
      </c>
      <c r="CC95" s="1678">
        <v>1</v>
      </c>
      <c r="CD95" s="1678">
        <v>1</v>
      </c>
      <c r="CE95" s="1678">
        <v>1</v>
      </c>
      <c r="CF95" s="1683">
        <v>1</v>
      </c>
      <c r="CG95" s="742"/>
      <c r="CH95" s="320"/>
      <c r="CI95" s="315"/>
      <c r="CJ95" s="315"/>
      <c r="CK95" s="315"/>
      <c r="CL95" s="315"/>
      <c r="CM95" s="388"/>
      <c r="CN95" s="774"/>
      <c r="CO95" s="774"/>
      <c r="CP95" s="774"/>
      <c r="CQ95" s="774"/>
      <c r="CR95" s="774"/>
      <c r="CS95" s="774"/>
      <c r="CT95" s="774"/>
      <c r="CU95" s="393"/>
      <c r="CV95" s="774"/>
      <c r="CW95" s="774"/>
      <c r="CX95" s="774"/>
      <c r="CY95" s="774"/>
      <c r="CZ95" s="315"/>
      <c r="DA95" s="315"/>
      <c r="DB95" s="22"/>
      <c r="DC95" s="22"/>
      <c r="DD95" s="22"/>
      <c r="DE95" s="22"/>
      <c r="DF95" s="1657"/>
      <c r="DH95" s="752"/>
      <c r="DI95" s="752"/>
      <c r="DJ95" s="752"/>
    </row>
    <row r="96" spans="1:114" ht="11.25" customHeight="1">
      <c r="A96" s="12"/>
      <c r="B96" s="12"/>
      <c r="C96" s="12"/>
      <c r="D96" s="12"/>
      <c r="E96" s="12"/>
      <c r="F96" s="12"/>
      <c r="G96" s="12"/>
      <c r="H96" s="12"/>
      <c r="I96" s="160"/>
      <c r="J96" s="70"/>
      <c r="K96" s="70"/>
      <c r="L96" s="70"/>
      <c r="M96" s="315"/>
      <c r="N96" s="315"/>
      <c r="O96" s="315"/>
      <c r="P96" s="316"/>
      <c r="Q96" s="315"/>
      <c r="R96" s="315"/>
      <c r="S96" s="315"/>
      <c r="T96" s="316"/>
      <c r="U96" s="315"/>
      <c r="V96" s="315"/>
      <c r="W96" s="315"/>
      <c r="X96" s="316"/>
      <c r="Y96" s="315"/>
      <c r="Z96" s="315"/>
      <c r="AA96" s="315"/>
      <c r="AB96" s="316"/>
      <c r="AC96" s="315"/>
      <c r="AD96" s="315"/>
      <c r="AE96" s="315"/>
      <c r="AF96" s="316"/>
      <c r="AG96" s="317"/>
      <c r="AH96" s="317"/>
      <c r="AI96" s="317"/>
      <c r="AJ96" s="318"/>
      <c r="AK96" s="393"/>
      <c r="AL96" s="393"/>
      <c r="AM96" s="393"/>
      <c r="AN96" s="472"/>
      <c r="AO96" s="393"/>
      <c r="AP96" s="393"/>
      <c r="AQ96" s="393"/>
      <c r="AR96" s="472"/>
      <c r="AS96" s="393"/>
      <c r="AT96" s="393"/>
      <c r="AU96" s="393"/>
      <c r="AV96" s="472"/>
      <c r="AW96" s="393"/>
      <c r="AX96" s="393"/>
      <c r="AY96" s="393"/>
      <c r="AZ96" s="1417"/>
      <c r="BA96" s="1419"/>
      <c r="BB96" s="1419"/>
      <c r="BC96" s="1419"/>
      <c r="BD96" s="1417"/>
      <c r="BE96" s="1419"/>
      <c r="BF96" s="1419"/>
      <c r="BG96" s="1419"/>
      <c r="BH96" s="1417"/>
      <c r="BI96" s="1419"/>
      <c r="BJ96" s="1419"/>
      <c r="BK96" s="1419"/>
      <c r="BL96" s="1417"/>
      <c r="BM96" s="1419"/>
      <c r="BN96" s="1419"/>
      <c r="BO96" s="1419"/>
      <c r="BP96" s="1417"/>
      <c r="BQ96" s="1419"/>
      <c r="BR96" s="393"/>
      <c r="BS96" s="393"/>
      <c r="BT96" s="472"/>
      <c r="BU96" s="393"/>
      <c r="BV96" s="393"/>
      <c r="BW96" s="393"/>
      <c r="BX96" s="472"/>
      <c r="BY96" s="393"/>
      <c r="BZ96" s="393"/>
      <c r="CA96" s="393"/>
      <c r="CB96" s="472"/>
      <c r="CC96" s="393"/>
      <c r="CD96" s="393"/>
      <c r="CE96" s="393"/>
      <c r="CF96" s="472"/>
      <c r="CG96" s="742"/>
      <c r="CH96" s="320"/>
      <c r="CI96" s="315"/>
      <c r="CJ96" s="315"/>
      <c r="CK96" s="315"/>
      <c r="CL96" s="315"/>
      <c r="CM96" s="388"/>
      <c r="CN96" s="774"/>
      <c r="CO96" s="774"/>
      <c r="CP96" s="774"/>
      <c r="CQ96" s="774"/>
      <c r="CR96" s="774"/>
      <c r="CS96" s="774"/>
      <c r="CT96" s="774"/>
      <c r="CU96" s="393"/>
      <c r="CV96" s="774"/>
      <c r="CW96" s="774"/>
      <c r="CX96" s="774"/>
      <c r="CY96" s="774"/>
      <c r="CZ96" s="315"/>
      <c r="DA96" s="315"/>
      <c r="DB96" s="22"/>
      <c r="DC96" s="22"/>
      <c r="DD96" s="22"/>
      <c r="DE96" s="22"/>
      <c r="DF96" s="1657"/>
      <c r="DH96" s="752"/>
      <c r="DI96" s="752"/>
      <c r="DJ96" s="752"/>
    </row>
    <row r="97" spans="1:114" ht="11.25" customHeight="1">
      <c r="A97" s="12"/>
      <c r="B97" s="12"/>
      <c r="C97" s="12"/>
      <c r="D97" s="12"/>
      <c r="E97" s="12"/>
      <c r="F97" s="12"/>
      <c r="G97" s="12"/>
      <c r="H97" s="12"/>
      <c r="I97" s="281" t="s">
        <v>618</v>
      </c>
      <c r="J97" s="70"/>
      <c r="K97" s="70"/>
      <c r="L97" s="70"/>
      <c r="M97" s="315"/>
      <c r="N97" s="315"/>
      <c r="O97" s="315"/>
      <c r="P97" s="316"/>
      <c r="Q97" s="315"/>
      <c r="R97" s="315"/>
      <c r="S97" s="315"/>
      <c r="T97" s="316"/>
      <c r="U97" s="315"/>
      <c r="V97" s="315"/>
      <c r="W97" s="315"/>
      <c r="X97" s="316"/>
      <c r="Y97" s="315"/>
      <c r="Z97" s="315"/>
      <c r="AA97" s="315"/>
      <c r="AB97" s="316"/>
      <c r="AC97" s="315"/>
      <c r="AD97" s="315"/>
      <c r="AE97" s="315"/>
      <c r="AF97" s="316"/>
      <c r="AG97" s="317"/>
      <c r="AH97" s="317"/>
      <c r="AI97" s="317"/>
      <c r="AJ97" s="318"/>
      <c r="AK97" s="393"/>
      <c r="AL97" s="393"/>
      <c r="AM97" s="393"/>
      <c r="AN97" s="472"/>
      <c r="AO97" s="393"/>
      <c r="AP97" s="393"/>
      <c r="AQ97" s="393"/>
      <c r="AR97" s="472"/>
      <c r="AS97" s="393"/>
      <c r="AT97" s="393"/>
      <c r="AU97" s="393"/>
      <c r="AV97" s="472"/>
      <c r="AW97" s="393"/>
      <c r="AX97" s="393"/>
      <c r="AY97" s="393"/>
      <c r="AZ97" s="1417"/>
      <c r="BA97" s="1419"/>
      <c r="BB97" s="1419"/>
      <c r="BC97" s="1419"/>
      <c r="BD97" s="1417"/>
      <c r="BE97" s="1419"/>
      <c r="BF97" s="1419"/>
      <c r="BG97" s="1419"/>
      <c r="BH97" s="1417"/>
      <c r="BI97" s="1419"/>
      <c r="BJ97" s="1419"/>
      <c r="BK97" s="1419"/>
      <c r="BL97" s="1417"/>
      <c r="BM97" s="1419"/>
      <c r="BN97" s="1419"/>
      <c r="BO97" s="1419"/>
      <c r="BP97" s="1417"/>
      <c r="BQ97" s="1419"/>
      <c r="BR97" s="393"/>
      <c r="BS97" s="393"/>
      <c r="BT97" s="472"/>
      <c r="BU97" s="393"/>
      <c r="BV97" s="393"/>
      <c r="BW97" s="393"/>
      <c r="BX97" s="472"/>
      <c r="BY97" s="393"/>
      <c r="BZ97" s="393"/>
      <c r="CA97" s="393"/>
      <c r="CB97" s="472"/>
      <c r="CC97" s="393"/>
      <c r="CD97" s="393"/>
      <c r="CE97" s="393"/>
      <c r="CF97" s="472"/>
      <c r="CG97" s="742"/>
      <c r="CH97" s="320"/>
      <c r="CI97" s="315"/>
      <c r="CJ97" s="315"/>
      <c r="CK97" s="315"/>
      <c r="CL97" s="315"/>
      <c r="CM97" s="388"/>
      <c r="CN97" s="774"/>
      <c r="CO97" s="774"/>
      <c r="CP97" s="774"/>
      <c r="CQ97" s="774"/>
      <c r="CR97" s="774"/>
      <c r="CS97" s="774"/>
      <c r="CT97" s="774"/>
      <c r="CU97" s="393"/>
      <c r="CV97" s="774"/>
      <c r="CW97" s="774"/>
      <c r="CX97" s="774"/>
      <c r="CY97" s="774"/>
      <c r="CZ97" s="315"/>
      <c r="DA97" s="315"/>
      <c r="DB97" s="22"/>
      <c r="DC97" s="22"/>
      <c r="DD97" s="22"/>
      <c r="DE97" s="22"/>
      <c r="DF97" s="1657"/>
      <c r="DH97" s="752"/>
      <c r="DI97" s="752"/>
      <c r="DJ97" s="752"/>
    </row>
    <row r="98" spans="1:114" ht="11.25" customHeight="1">
      <c r="A98" s="12"/>
      <c r="B98" s="12"/>
      <c r="C98" s="12"/>
      <c r="D98" s="12"/>
      <c r="E98" s="12"/>
      <c r="F98" s="12"/>
      <c r="G98" s="12"/>
      <c r="H98" s="12"/>
      <c r="I98" s="1673" t="s">
        <v>609</v>
      </c>
      <c r="J98" s="70"/>
      <c r="K98" s="70"/>
      <c r="L98" s="70"/>
      <c r="M98" s="315"/>
      <c r="N98" s="315"/>
      <c r="O98" s="315"/>
      <c r="P98" s="316"/>
      <c r="Q98" s="315"/>
      <c r="R98" s="315"/>
      <c r="S98" s="315"/>
      <c r="T98" s="316"/>
      <c r="U98" s="315"/>
      <c r="V98" s="315"/>
      <c r="W98" s="315"/>
      <c r="X98" s="316"/>
      <c r="Y98" s="315"/>
      <c r="Z98" s="315"/>
      <c r="AA98" s="315"/>
      <c r="AB98" s="316"/>
      <c r="AC98" s="315"/>
      <c r="AD98" s="315"/>
      <c r="AE98" s="315"/>
      <c r="AF98" s="316"/>
      <c r="AG98" s="317"/>
      <c r="AH98" s="317"/>
      <c r="AI98" s="317"/>
      <c r="AJ98" s="318"/>
      <c r="AK98" s="393"/>
      <c r="AL98" s="393"/>
      <c r="AM98" s="393"/>
      <c r="AN98" s="472"/>
      <c r="AO98" s="393"/>
      <c r="AP98" s="393"/>
      <c r="AQ98" s="393"/>
      <c r="AR98" s="472"/>
      <c r="AS98" s="393"/>
      <c r="AT98" s="393"/>
      <c r="AU98" s="393"/>
      <c r="AV98" s="472"/>
      <c r="AW98" s="393"/>
      <c r="AX98" s="393"/>
      <c r="AY98" s="393"/>
      <c r="AZ98" s="1417"/>
      <c r="BA98" s="1419"/>
      <c r="BB98" s="1419"/>
      <c r="BC98" s="1419"/>
      <c r="BD98" s="1417"/>
      <c r="BE98" s="1419"/>
      <c r="BF98" s="1419"/>
      <c r="BG98" s="1419"/>
      <c r="BH98" s="1417"/>
      <c r="BI98" s="1596">
        <f t="shared" ref="BI98:BI106" si="86">+BI75/BE75-1</f>
        <v>-0.13426831471510214</v>
      </c>
      <c r="BJ98" s="853">
        <f t="shared" ref="BJ98:BJ106" si="87">+BJ75/BF75-1</f>
        <v>-0.15130186070679441</v>
      </c>
      <c r="BK98" s="853">
        <f t="shared" ref="BK98:BK106" si="88">+BK75/BG75-1</f>
        <v>-0.17449250515723624</v>
      </c>
      <c r="BL98" s="854">
        <f t="shared" ref="BL98:BL106" si="89">+BL75/BH75-1</f>
        <v>-0.20776287787623671</v>
      </c>
      <c r="BM98" s="1596">
        <f t="shared" ref="BM98:BM106" si="90">+BM75/BI75-1</f>
        <v>-0.3369374784128909</v>
      </c>
      <c r="BN98" s="853">
        <f>+BN75/BJ75-1</f>
        <v>-0.34969852693072134</v>
      </c>
      <c r="BO98" s="853">
        <f t="shared" ref="BO98:BO106" si="91">+BO75/BK75-1</f>
        <v>-0.32708033167274431</v>
      </c>
      <c r="BP98" s="854">
        <f t="shared" ref="BP98:BP106" si="92">+BP75/BL75-1</f>
        <v>-0.28825562129636806</v>
      </c>
      <c r="BQ98" s="1596">
        <f>+BQ75/BM75-1</f>
        <v>-0.12929223881182716</v>
      </c>
      <c r="BR98" s="853">
        <f>+BR75/BN75-1</f>
        <v>-9.9928722527720115E-2</v>
      </c>
      <c r="BS98" s="853">
        <f>+BS75/BO75-1</f>
        <v>-0.10294185981396575</v>
      </c>
      <c r="BT98" s="854">
        <f>+BT75/BP75-1</f>
        <v>-0.15045333972743213</v>
      </c>
      <c r="BU98" s="853">
        <f>+BU75/BQ75-1</f>
        <v>-0.39700803650960104</v>
      </c>
      <c r="BV98" s="853">
        <f t="shared" ref="BV98:BX106" si="93">+BV75/BR75-1</f>
        <v>-0.37007346991142809</v>
      </c>
      <c r="BW98" s="853">
        <f t="shared" si="93"/>
        <v>-0.38124801644014061</v>
      </c>
      <c r="BX98" s="854">
        <f t="shared" si="93"/>
        <v>-0.35136408563670807</v>
      </c>
      <c r="BY98" s="853">
        <f>+BY75/BU75-1</f>
        <v>-7.8306207538971662E-2</v>
      </c>
      <c r="BZ98" s="853">
        <f t="shared" ref="BZ98:BZ106" si="94">+BZ75/BV75-1</f>
        <v>-9.5818941464761553E-2</v>
      </c>
      <c r="CA98" s="853">
        <f t="shared" ref="CA98:CA106" si="95">+CA75/BW75-1</f>
        <v>-0.1348373391605977</v>
      </c>
      <c r="CB98" s="854">
        <f t="shared" ref="CB98:CB106" si="96">+CB75/BX75-1</f>
        <v>-0.12009117309695849</v>
      </c>
      <c r="CC98" s="853">
        <f>+CC75/BY75-1</f>
        <v>-0.20610782924023952</v>
      </c>
      <c r="CD98" s="853">
        <f t="shared" ref="CD98:CD106" si="97">+CD75/BZ75-1</f>
        <v>-0.22098597445683088</v>
      </c>
      <c r="CE98" s="853">
        <f t="shared" ref="CE98:CE106" si="98">+CE75/CA75-1</f>
        <v>-0.14371132997358893</v>
      </c>
      <c r="CF98" s="854">
        <f t="shared" ref="CF98:CF106" si="99">+CF75/CB75-1</f>
        <v>-0.12956064584200766</v>
      </c>
      <c r="CG98" s="742"/>
      <c r="CH98" s="320"/>
      <c r="CI98" s="315"/>
      <c r="CJ98" s="315"/>
      <c r="CK98" s="315"/>
      <c r="CL98" s="315"/>
      <c r="CM98" s="388"/>
      <c r="CN98" s="774"/>
      <c r="CO98" s="774"/>
      <c r="CP98" s="774"/>
      <c r="CQ98" s="774"/>
      <c r="CR98" s="774"/>
      <c r="CS98" s="774"/>
      <c r="CT98" s="774"/>
      <c r="CU98" s="393"/>
      <c r="CV98" s="774"/>
      <c r="CW98" s="774"/>
      <c r="CX98" s="774"/>
      <c r="CY98" s="774"/>
      <c r="CZ98" s="315"/>
      <c r="DA98" s="315"/>
      <c r="DB98" s="22"/>
      <c r="DC98" s="22"/>
      <c r="DD98" s="22"/>
      <c r="DE98" s="22"/>
      <c r="DF98" s="1657"/>
      <c r="DH98" s="752"/>
      <c r="DI98" s="752"/>
      <c r="DJ98" s="752"/>
    </row>
    <row r="99" spans="1:114" ht="11.25" customHeight="1">
      <c r="A99" s="12"/>
      <c r="B99" s="12"/>
      <c r="C99" s="12"/>
      <c r="D99" s="12"/>
      <c r="E99" s="12"/>
      <c r="F99" s="12"/>
      <c r="G99" s="12"/>
      <c r="H99" s="12"/>
      <c r="I99" s="1673" t="s">
        <v>610</v>
      </c>
      <c r="J99" s="70"/>
      <c r="K99" s="70"/>
      <c r="L99" s="70"/>
      <c r="M99" s="315"/>
      <c r="N99" s="315"/>
      <c r="O99" s="315"/>
      <c r="P99" s="316"/>
      <c r="Q99" s="315"/>
      <c r="R99" s="315"/>
      <c r="S99" s="315"/>
      <c r="T99" s="316"/>
      <c r="U99" s="315"/>
      <c r="V99" s="315"/>
      <c r="W99" s="315"/>
      <c r="X99" s="316"/>
      <c r="Y99" s="315"/>
      <c r="Z99" s="315"/>
      <c r="AA99" s="315"/>
      <c r="AB99" s="316"/>
      <c r="AC99" s="315"/>
      <c r="AD99" s="315"/>
      <c r="AE99" s="315"/>
      <c r="AF99" s="316"/>
      <c r="AG99" s="317"/>
      <c r="AH99" s="317"/>
      <c r="AI99" s="317"/>
      <c r="AJ99" s="318"/>
      <c r="AK99" s="393"/>
      <c r="AL99" s="393"/>
      <c r="AM99" s="393"/>
      <c r="AN99" s="472"/>
      <c r="AO99" s="393"/>
      <c r="AP99" s="393"/>
      <c r="AQ99" s="393"/>
      <c r="AR99" s="472"/>
      <c r="AS99" s="393"/>
      <c r="AT99" s="393"/>
      <c r="AU99" s="393"/>
      <c r="AV99" s="472"/>
      <c r="AW99" s="393"/>
      <c r="AX99" s="393"/>
      <c r="AY99" s="393"/>
      <c r="AZ99" s="1417"/>
      <c r="BA99" s="1419"/>
      <c r="BB99" s="1419"/>
      <c r="BC99" s="1419"/>
      <c r="BD99" s="1417"/>
      <c r="BE99" s="1419"/>
      <c r="BF99" s="1419"/>
      <c r="BG99" s="1419"/>
      <c r="BH99" s="1417"/>
      <c r="BI99" s="1596">
        <f t="shared" si="86"/>
        <v>-1.5607232183208919E-2</v>
      </c>
      <c r="BJ99" s="853">
        <f t="shared" si="87"/>
        <v>-1.9568707872744784E-2</v>
      </c>
      <c r="BK99" s="853">
        <f t="shared" si="88"/>
        <v>-0.11912082434484372</v>
      </c>
      <c r="BL99" s="854">
        <f t="shared" si="89"/>
        <v>-0.1070841219498726</v>
      </c>
      <c r="BM99" s="1596">
        <f t="shared" si="90"/>
        <v>-0.13655880690160238</v>
      </c>
      <c r="BN99" s="853">
        <f t="shared" ref="BN99:BN104" si="100">+BN76/BJ76-1</f>
        <v>-5.7924308697703375E-2</v>
      </c>
      <c r="BO99" s="853">
        <f t="shared" si="91"/>
        <v>1.0377458453971311E-2</v>
      </c>
      <c r="BP99" s="854">
        <f t="shared" si="92"/>
        <v>-7.7896685604937899E-2</v>
      </c>
      <c r="BQ99" s="1596">
        <f>+BQ76/BM76-1</f>
        <v>-0.12251424571650094</v>
      </c>
      <c r="BR99" s="853">
        <f>+BR76/BN76-1</f>
        <v>-0.16692719331439865</v>
      </c>
      <c r="BS99" s="853">
        <f t="shared" ref="BR99:BU104" si="101">+BS76/BO76-1</f>
        <v>-0.21557968175506248</v>
      </c>
      <c r="BT99" s="854">
        <f t="shared" si="101"/>
        <v>-0.15768583399611169</v>
      </c>
      <c r="BU99" s="853">
        <f t="shared" si="101"/>
        <v>-8.2573482684031752E-2</v>
      </c>
      <c r="BV99" s="853">
        <f t="shared" si="93"/>
        <v>-4.0693223088297592E-2</v>
      </c>
      <c r="BW99" s="853">
        <f t="shared" si="93"/>
        <v>4.4840080668716586E-2</v>
      </c>
      <c r="BX99" s="854">
        <f t="shared" si="93"/>
        <v>3.9667676579983713E-2</v>
      </c>
      <c r="BY99" s="853">
        <f t="shared" ref="BY99:BY106" si="102">+BY76/BU76-1</f>
        <v>5.2745093185092573E-2</v>
      </c>
      <c r="BZ99" s="853">
        <f t="shared" si="94"/>
        <v>7.054175603524504E-3</v>
      </c>
      <c r="CA99" s="853">
        <f t="shared" si="95"/>
        <v>4.154666455039191E-2</v>
      </c>
      <c r="CB99" s="854">
        <f t="shared" si="96"/>
        <v>2.6831978974059645E-2</v>
      </c>
      <c r="CC99" s="853">
        <f t="shared" ref="CC99:CC106" si="103">+CC76/BY76-1</f>
        <v>3.4016527517624739E-2</v>
      </c>
      <c r="CD99" s="853">
        <f t="shared" si="97"/>
        <v>2.2256194910411642E-2</v>
      </c>
      <c r="CE99" s="853">
        <f t="shared" si="98"/>
        <v>-2.8061971205089242E-2</v>
      </c>
      <c r="CF99" s="854">
        <f t="shared" si="99"/>
        <v>-1.6399916578171414E-3</v>
      </c>
      <c r="CG99" s="742"/>
      <c r="CH99" s="320"/>
      <c r="CI99" s="315"/>
      <c r="CJ99" s="315"/>
      <c r="CK99" s="315"/>
      <c r="CL99" s="315"/>
      <c r="CM99" s="388"/>
      <c r="CN99" s="774"/>
      <c r="CO99" s="774"/>
      <c r="CP99" s="774"/>
      <c r="CQ99" s="774"/>
      <c r="CR99" s="774"/>
      <c r="CS99" s="774"/>
      <c r="CT99" s="774"/>
      <c r="CU99" s="393"/>
      <c r="CV99" s="774"/>
      <c r="CW99" s="774"/>
      <c r="CX99" s="774"/>
      <c r="CY99" s="774"/>
      <c r="CZ99" s="315"/>
      <c r="DA99" s="315"/>
      <c r="DB99" s="22"/>
      <c r="DC99" s="22"/>
      <c r="DD99" s="22"/>
      <c r="DE99" s="22"/>
      <c r="DF99" s="1657"/>
      <c r="DH99" s="752"/>
      <c r="DI99" s="752"/>
      <c r="DJ99" s="752"/>
    </row>
    <row r="100" spans="1:114" ht="11.25" customHeight="1">
      <c r="A100" s="12"/>
      <c r="B100" s="12"/>
      <c r="C100" s="12"/>
      <c r="D100" s="12"/>
      <c r="E100" s="12"/>
      <c r="F100" s="12"/>
      <c r="G100" s="12"/>
      <c r="H100" s="12"/>
      <c r="I100" s="1673" t="s">
        <v>611</v>
      </c>
      <c r="J100" s="70"/>
      <c r="K100" s="70"/>
      <c r="L100" s="70"/>
      <c r="M100" s="315"/>
      <c r="N100" s="315"/>
      <c r="O100" s="315"/>
      <c r="P100" s="316"/>
      <c r="Q100" s="315"/>
      <c r="R100" s="315"/>
      <c r="S100" s="315"/>
      <c r="T100" s="316"/>
      <c r="U100" s="315"/>
      <c r="V100" s="315"/>
      <c r="W100" s="315"/>
      <c r="X100" s="316"/>
      <c r="Y100" s="315"/>
      <c r="Z100" s="315"/>
      <c r="AA100" s="315"/>
      <c r="AB100" s="316"/>
      <c r="AC100" s="315"/>
      <c r="AD100" s="315"/>
      <c r="AE100" s="315"/>
      <c r="AF100" s="316"/>
      <c r="AG100" s="317"/>
      <c r="AH100" s="317"/>
      <c r="AI100" s="317"/>
      <c r="AJ100" s="318"/>
      <c r="AK100" s="393"/>
      <c r="AL100" s="393"/>
      <c r="AM100" s="393"/>
      <c r="AN100" s="472"/>
      <c r="AO100" s="393"/>
      <c r="AP100" s="393"/>
      <c r="AQ100" s="393"/>
      <c r="AR100" s="472"/>
      <c r="AS100" s="393"/>
      <c r="AT100" s="393"/>
      <c r="AU100" s="393"/>
      <c r="AV100" s="472"/>
      <c r="AW100" s="393"/>
      <c r="AX100" s="393"/>
      <c r="AY100" s="393"/>
      <c r="AZ100" s="1417"/>
      <c r="BA100" s="1419"/>
      <c r="BB100" s="1419"/>
      <c r="BC100" s="1419"/>
      <c r="BD100" s="1417"/>
      <c r="BE100" s="1419"/>
      <c r="BF100" s="1419"/>
      <c r="BG100" s="1419"/>
      <c r="BH100" s="1417"/>
      <c r="BI100" s="1596">
        <f t="shared" si="86"/>
        <v>-0.11497145612024073</v>
      </c>
      <c r="BJ100" s="853">
        <f t="shared" si="87"/>
        <v>-5.3720990302073224E-2</v>
      </c>
      <c r="BK100" s="853">
        <f t="shared" si="88"/>
        <v>-0.11311555662546879</v>
      </c>
      <c r="BL100" s="854">
        <f t="shared" si="89"/>
        <v>-9.637232215885938E-2</v>
      </c>
      <c r="BM100" s="1596">
        <f t="shared" si="90"/>
        <v>-0.15465967279635662</v>
      </c>
      <c r="BN100" s="853">
        <f t="shared" si="100"/>
        <v>-7.2826238496825457E-2</v>
      </c>
      <c r="BO100" s="853">
        <f t="shared" si="91"/>
        <v>5.2157638757963642E-3</v>
      </c>
      <c r="BP100" s="854">
        <f t="shared" si="92"/>
        <v>-0.10543209579398916</v>
      </c>
      <c r="BQ100" s="1596">
        <f t="shared" ref="BQ100:BQ106" si="104">+BQ77/BM77-1</f>
        <v>-0.17121240112883773</v>
      </c>
      <c r="BR100" s="853">
        <f t="shared" si="101"/>
        <v>-0.27461749604788077</v>
      </c>
      <c r="BS100" s="853">
        <f t="shared" si="101"/>
        <v>-0.35323914936779777</v>
      </c>
      <c r="BT100" s="854">
        <f t="shared" si="101"/>
        <v>-0.33769073405209349</v>
      </c>
      <c r="BU100" s="853">
        <f t="shared" si="101"/>
        <v>-0.26814116136441923</v>
      </c>
      <c r="BV100" s="853">
        <f t="shared" si="93"/>
        <v>-0.12456264362541525</v>
      </c>
      <c r="BW100" s="853">
        <f t="shared" si="93"/>
        <v>8.4035586727825073E-2</v>
      </c>
      <c r="BX100" s="854">
        <f t="shared" si="93"/>
        <v>0.16518408252657668</v>
      </c>
      <c r="BY100" s="853">
        <f t="shared" si="102"/>
        <v>0.24276421699439665</v>
      </c>
      <c r="BZ100" s="853">
        <f t="shared" si="94"/>
        <v>9.2437019202990411E-2</v>
      </c>
      <c r="CA100" s="853">
        <f t="shared" si="95"/>
        <v>2.6201130276515272E-2</v>
      </c>
      <c r="CB100" s="854">
        <f t="shared" si="96"/>
        <v>1.4489914737406684E-2</v>
      </c>
      <c r="CC100" s="853">
        <f t="shared" si="103"/>
        <v>-3.4880771563525204E-2</v>
      </c>
      <c r="CD100" s="853">
        <f t="shared" si="97"/>
        <v>-3.0632060224241475E-2</v>
      </c>
      <c r="CE100" s="853">
        <f t="shared" si="98"/>
        <v>-4.6391394063116653E-2</v>
      </c>
      <c r="CF100" s="854">
        <f t="shared" si="99"/>
        <v>-1.9373002955646035E-2</v>
      </c>
      <c r="CG100" s="742"/>
      <c r="CH100" s="320"/>
      <c r="CI100" s="315"/>
      <c r="CJ100" s="315"/>
      <c r="CK100" s="315"/>
      <c r="CL100" s="315"/>
      <c r="CM100" s="388"/>
      <c r="CN100" s="774"/>
      <c r="CO100" s="774"/>
      <c r="CP100" s="774"/>
      <c r="CQ100" s="774"/>
      <c r="CR100" s="774"/>
      <c r="CS100" s="774"/>
      <c r="CT100" s="774"/>
      <c r="CU100" s="393"/>
      <c r="CV100" s="774"/>
      <c r="CW100" s="774"/>
      <c r="CX100" s="774"/>
      <c r="CY100" s="774"/>
      <c r="CZ100" s="315"/>
      <c r="DA100" s="315"/>
      <c r="DB100" s="22"/>
      <c r="DC100" s="22"/>
      <c r="DD100" s="22"/>
      <c r="DE100" s="22"/>
      <c r="DF100" s="1657"/>
      <c r="DH100" s="752"/>
      <c r="DI100" s="752"/>
      <c r="DJ100" s="752"/>
    </row>
    <row r="101" spans="1:114" ht="11.25" customHeight="1">
      <c r="A101" s="12"/>
      <c r="B101" s="12"/>
      <c r="C101" s="12"/>
      <c r="D101" s="12"/>
      <c r="E101" s="12"/>
      <c r="F101" s="12"/>
      <c r="G101" s="12"/>
      <c r="H101" s="12"/>
      <c r="I101" s="1673" t="s">
        <v>612</v>
      </c>
      <c r="J101" s="70"/>
      <c r="K101" s="70"/>
      <c r="L101" s="70"/>
      <c r="M101" s="315"/>
      <c r="N101" s="315"/>
      <c r="O101" s="315"/>
      <c r="P101" s="316"/>
      <c r="Q101" s="315"/>
      <c r="R101" s="315"/>
      <c r="S101" s="315"/>
      <c r="T101" s="316"/>
      <c r="U101" s="315"/>
      <c r="V101" s="315"/>
      <c r="W101" s="315"/>
      <c r="X101" s="316"/>
      <c r="Y101" s="315"/>
      <c r="Z101" s="315"/>
      <c r="AA101" s="315"/>
      <c r="AB101" s="316"/>
      <c r="AC101" s="315"/>
      <c r="AD101" s="315"/>
      <c r="AE101" s="315"/>
      <c r="AF101" s="316"/>
      <c r="AG101" s="317"/>
      <c r="AH101" s="317"/>
      <c r="AI101" s="317"/>
      <c r="AJ101" s="318"/>
      <c r="AK101" s="393"/>
      <c r="AL101" s="393"/>
      <c r="AM101" s="393"/>
      <c r="AN101" s="472"/>
      <c r="AO101" s="393"/>
      <c r="AP101" s="393"/>
      <c r="AQ101" s="393"/>
      <c r="AR101" s="472"/>
      <c r="AS101" s="393"/>
      <c r="AT101" s="393"/>
      <c r="AU101" s="393"/>
      <c r="AV101" s="472"/>
      <c r="AW101" s="393"/>
      <c r="AX101" s="393"/>
      <c r="AY101" s="393"/>
      <c r="AZ101" s="1417"/>
      <c r="BA101" s="1419"/>
      <c r="BB101" s="1419"/>
      <c r="BC101" s="1419"/>
      <c r="BD101" s="1417"/>
      <c r="BE101" s="1419"/>
      <c r="BF101" s="1419"/>
      <c r="BG101" s="1419"/>
      <c r="BH101" s="1417"/>
      <c r="BI101" s="1596">
        <f t="shared" si="86"/>
        <v>1.4035990822512501E-2</v>
      </c>
      <c r="BJ101" s="853">
        <f t="shared" si="87"/>
        <v>2.8878885228492246E-2</v>
      </c>
      <c r="BK101" s="853">
        <f t="shared" si="88"/>
        <v>3.6793405119645683E-2</v>
      </c>
      <c r="BL101" s="854">
        <f t="shared" si="89"/>
        <v>2.5168845544053298E-2</v>
      </c>
      <c r="BM101" s="1596">
        <f t="shared" si="90"/>
        <v>2.0033519785376708E-2</v>
      </c>
      <c r="BN101" s="853">
        <f t="shared" si="100"/>
        <v>-1.2412079180379232E-2</v>
      </c>
      <c r="BO101" s="853">
        <f t="shared" si="91"/>
        <v>-6.3328221249763228E-3</v>
      </c>
      <c r="BP101" s="854">
        <f t="shared" si="92"/>
        <v>-9.3489285571809466E-3</v>
      </c>
      <c r="BQ101" s="1596">
        <f t="shared" si="104"/>
        <v>-2.1627811696612986E-2</v>
      </c>
      <c r="BR101" s="853">
        <f t="shared" si="101"/>
        <v>4.4659891186635825E-3</v>
      </c>
      <c r="BS101" s="853">
        <f t="shared" si="101"/>
        <v>-2.1674836708255207E-2</v>
      </c>
      <c r="BT101" s="854">
        <f t="shared" si="101"/>
        <v>-3.8031961660644042E-2</v>
      </c>
      <c r="BU101" s="853">
        <f t="shared" si="101"/>
        <v>-4.6622551492916164E-2</v>
      </c>
      <c r="BV101" s="853">
        <f t="shared" si="93"/>
        <v>-5.0365328022145661E-2</v>
      </c>
      <c r="BW101" s="853">
        <f t="shared" si="93"/>
        <v>-5.4762251559812181E-2</v>
      </c>
      <c r="BX101" s="854">
        <f t="shared" si="93"/>
        <v>-6.4142152971942368E-2</v>
      </c>
      <c r="BY101" s="853">
        <f t="shared" si="102"/>
        <v>-4.9498462383838593E-2</v>
      </c>
      <c r="BZ101" s="853">
        <f t="shared" si="94"/>
        <v>-4.7936629502955741E-2</v>
      </c>
      <c r="CA101" s="853">
        <f t="shared" si="95"/>
        <v>-3.9241057149941305E-4</v>
      </c>
      <c r="CB101" s="854">
        <f t="shared" si="96"/>
        <v>3.280814799093279E-2</v>
      </c>
      <c r="CC101" s="853">
        <f t="shared" si="103"/>
        <v>8.2358014098582899E-2</v>
      </c>
      <c r="CD101" s="853">
        <f t="shared" si="97"/>
        <v>9.1822796146416863E-2</v>
      </c>
      <c r="CE101" s="853">
        <f t="shared" si="98"/>
        <v>6.1137830477696831E-2</v>
      </c>
      <c r="CF101" s="854">
        <f t="shared" si="99"/>
        <v>5.2169114193605592E-2</v>
      </c>
      <c r="CG101" s="742"/>
      <c r="CH101" s="320"/>
      <c r="CI101" s="315"/>
      <c r="CJ101" s="315"/>
      <c r="CK101" s="315"/>
      <c r="CL101" s="315"/>
      <c r="CM101" s="388"/>
      <c r="CN101" s="774"/>
      <c r="CO101" s="774"/>
      <c r="CP101" s="774"/>
      <c r="CQ101" s="774"/>
      <c r="CR101" s="774"/>
      <c r="CS101" s="774"/>
      <c r="CT101" s="774"/>
      <c r="CU101" s="393"/>
      <c r="CV101" s="774"/>
      <c r="CW101" s="774"/>
      <c r="CX101" s="774"/>
      <c r="CY101" s="774"/>
      <c r="CZ101" s="315"/>
      <c r="DA101" s="315"/>
      <c r="DB101" s="22"/>
      <c r="DC101" s="22"/>
      <c r="DD101" s="22"/>
      <c r="DE101" s="22"/>
      <c r="DF101" s="1657"/>
      <c r="DH101" s="752"/>
      <c r="DI101" s="752"/>
      <c r="DJ101" s="752"/>
    </row>
    <row r="102" spans="1:114" ht="11.25" customHeight="1">
      <c r="A102" s="12"/>
      <c r="B102" s="12"/>
      <c r="C102" s="12"/>
      <c r="D102" s="12"/>
      <c r="E102" s="12"/>
      <c r="F102" s="12"/>
      <c r="G102" s="12"/>
      <c r="H102" s="12"/>
      <c r="I102" s="160" t="s">
        <v>613</v>
      </c>
      <c r="J102" s="70"/>
      <c r="K102" s="70"/>
      <c r="L102" s="70"/>
      <c r="M102" s="315"/>
      <c r="N102" s="315"/>
      <c r="O102" s="315"/>
      <c r="P102" s="316"/>
      <c r="Q102" s="315"/>
      <c r="R102" s="315"/>
      <c r="S102" s="315"/>
      <c r="T102" s="316"/>
      <c r="U102" s="315"/>
      <c r="V102" s="315"/>
      <c r="W102" s="315"/>
      <c r="X102" s="316"/>
      <c r="Y102" s="315"/>
      <c r="Z102" s="315"/>
      <c r="AA102" s="315"/>
      <c r="AB102" s="316"/>
      <c r="AC102" s="315"/>
      <c r="AD102" s="315"/>
      <c r="AE102" s="315"/>
      <c r="AF102" s="316"/>
      <c r="AG102" s="317"/>
      <c r="AH102" s="317"/>
      <c r="AI102" s="317"/>
      <c r="AJ102" s="318"/>
      <c r="AK102" s="393"/>
      <c r="AL102" s="393"/>
      <c r="AM102" s="393"/>
      <c r="AN102" s="472"/>
      <c r="AO102" s="393"/>
      <c r="AP102" s="393"/>
      <c r="AQ102" s="393"/>
      <c r="AR102" s="472"/>
      <c r="AS102" s="393"/>
      <c r="AT102" s="393"/>
      <c r="AU102" s="393"/>
      <c r="AV102" s="472"/>
      <c r="AW102" s="393"/>
      <c r="AX102" s="393"/>
      <c r="AY102" s="393"/>
      <c r="AZ102" s="1417"/>
      <c r="BA102" s="1419"/>
      <c r="BB102" s="1419"/>
      <c r="BC102" s="1419"/>
      <c r="BD102" s="1417"/>
      <c r="BE102" s="1419"/>
      <c r="BF102" s="1419"/>
      <c r="BG102" s="1419"/>
      <c r="BH102" s="1417"/>
      <c r="BI102" s="1596">
        <f t="shared" si="86"/>
        <v>-0.14050815889569446</v>
      </c>
      <c r="BJ102" s="853">
        <f t="shared" si="87"/>
        <v>-0.18911272045543237</v>
      </c>
      <c r="BK102" s="853">
        <f t="shared" si="88"/>
        <v>-0.20473139315484101</v>
      </c>
      <c r="BL102" s="854">
        <f t="shared" si="89"/>
        <v>-0.19140027098959644</v>
      </c>
      <c r="BM102" s="1596">
        <f t="shared" si="90"/>
        <v>-0.10300103510920555</v>
      </c>
      <c r="BN102" s="853">
        <f t="shared" si="100"/>
        <v>-3.2507147849722307E-2</v>
      </c>
      <c r="BO102" s="853">
        <f t="shared" si="91"/>
        <v>-4.8663258231451345E-2</v>
      </c>
      <c r="BP102" s="854">
        <f t="shared" si="92"/>
        <v>-0.1221431904707666</v>
      </c>
      <c r="BQ102" s="1596">
        <f t="shared" si="104"/>
        <v>-0.13785510386087807</v>
      </c>
      <c r="BR102" s="853">
        <f t="shared" si="101"/>
        <v>-0.15885541393448765</v>
      </c>
      <c r="BS102" s="853">
        <f t="shared" si="101"/>
        <v>-0.14947966933865098</v>
      </c>
      <c r="BT102" s="854">
        <f t="shared" si="101"/>
        <v>-5.7765851982840677E-2</v>
      </c>
      <c r="BU102" s="853">
        <f t="shared" si="101"/>
        <v>3.4530778180287269E-2</v>
      </c>
      <c r="BV102" s="853">
        <f t="shared" si="93"/>
        <v>0.12497544952481854</v>
      </c>
      <c r="BW102" s="853">
        <f t="shared" si="93"/>
        <v>0.19380908513984174</v>
      </c>
      <c r="BX102" s="854">
        <f t="shared" si="93"/>
        <v>0.11156356019203928</v>
      </c>
      <c r="BY102" s="853">
        <f t="shared" si="102"/>
        <v>1.5744413328262263E-2</v>
      </c>
      <c r="BZ102" s="853">
        <f t="shared" si="94"/>
        <v>-2.8870963536648087E-2</v>
      </c>
      <c r="CA102" s="853">
        <f t="shared" si="95"/>
        <v>-7.7285813174582163E-2</v>
      </c>
      <c r="CB102" s="854">
        <f t="shared" si="96"/>
        <v>-3.2711209524277862E-2</v>
      </c>
      <c r="CC102" s="853">
        <f t="shared" si="103"/>
        <v>4.8185318242804254E-2</v>
      </c>
      <c r="CD102" s="853">
        <f t="shared" si="97"/>
        <v>4.2557172774629226E-2</v>
      </c>
      <c r="CE102" s="853">
        <f t="shared" si="98"/>
        <v>4.0812018514197801E-2</v>
      </c>
      <c r="CF102" s="854">
        <f t="shared" si="99"/>
        <v>5.9528846458201778E-2</v>
      </c>
      <c r="CG102" s="742"/>
      <c r="CH102" s="320"/>
      <c r="CI102" s="315"/>
      <c r="CJ102" s="315"/>
      <c r="CK102" s="315"/>
      <c r="CL102" s="315"/>
      <c r="CM102" s="388"/>
      <c r="CN102" s="774"/>
      <c r="CO102" s="774"/>
      <c r="CP102" s="774"/>
      <c r="CQ102" s="774"/>
      <c r="CR102" s="774"/>
      <c r="CS102" s="774"/>
      <c r="CT102" s="774"/>
      <c r="CU102" s="393"/>
      <c r="CV102" s="774"/>
      <c r="CW102" s="774"/>
      <c r="CX102" s="774"/>
      <c r="CY102" s="774"/>
      <c r="CZ102" s="315"/>
      <c r="DA102" s="315"/>
      <c r="DB102" s="22"/>
      <c r="DC102" s="22"/>
      <c r="DD102" s="22"/>
      <c r="DE102" s="22"/>
      <c r="DF102" s="1657"/>
      <c r="DH102" s="752"/>
      <c r="DI102" s="752"/>
      <c r="DJ102" s="752"/>
    </row>
    <row r="103" spans="1:114" ht="11.25" customHeight="1">
      <c r="A103" s="12"/>
      <c r="B103" s="12"/>
      <c r="C103" s="12"/>
      <c r="D103" s="12"/>
      <c r="E103" s="12"/>
      <c r="F103" s="12"/>
      <c r="G103" s="12"/>
      <c r="H103" s="12"/>
      <c r="I103" s="1673" t="s">
        <v>614</v>
      </c>
      <c r="J103" s="70"/>
      <c r="K103" s="70"/>
      <c r="L103" s="70"/>
      <c r="M103" s="315"/>
      <c r="N103" s="315"/>
      <c r="O103" s="315"/>
      <c r="P103" s="316"/>
      <c r="Q103" s="315"/>
      <c r="R103" s="315"/>
      <c r="S103" s="315"/>
      <c r="T103" s="316"/>
      <c r="U103" s="315"/>
      <c r="V103" s="315"/>
      <c r="W103" s="315"/>
      <c r="X103" s="316"/>
      <c r="Y103" s="315"/>
      <c r="Z103" s="315"/>
      <c r="AA103" s="315"/>
      <c r="AB103" s="316"/>
      <c r="AC103" s="315"/>
      <c r="AD103" s="315"/>
      <c r="AE103" s="315"/>
      <c r="AF103" s="316"/>
      <c r="AG103" s="317"/>
      <c r="AH103" s="317"/>
      <c r="AI103" s="317"/>
      <c r="AJ103" s="318"/>
      <c r="AK103" s="393"/>
      <c r="AL103" s="393"/>
      <c r="AM103" s="393"/>
      <c r="AN103" s="472"/>
      <c r="AO103" s="393"/>
      <c r="AP103" s="393"/>
      <c r="AQ103" s="393"/>
      <c r="AR103" s="472"/>
      <c r="AS103" s="393"/>
      <c r="AT103" s="393"/>
      <c r="AU103" s="393"/>
      <c r="AV103" s="472"/>
      <c r="AW103" s="393"/>
      <c r="AX103" s="393"/>
      <c r="AY103" s="393"/>
      <c r="AZ103" s="1417"/>
      <c r="BA103" s="1419"/>
      <c r="BB103" s="1419"/>
      <c r="BC103" s="1419"/>
      <c r="BD103" s="1417"/>
      <c r="BE103" s="1419"/>
      <c r="BF103" s="1419"/>
      <c r="BG103" s="1419"/>
      <c r="BH103" s="1417"/>
      <c r="BI103" s="1596">
        <f t="shared" si="86"/>
        <v>2.6863835954915816E-2</v>
      </c>
      <c r="BJ103" s="853">
        <f t="shared" si="87"/>
        <v>8.3733131682358186E-2</v>
      </c>
      <c r="BK103" s="853">
        <f t="shared" si="88"/>
        <v>1.9843175661406143E-2</v>
      </c>
      <c r="BL103" s="854">
        <f t="shared" si="89"/>
        <v>-6.4481549018589046E-3</v>
      </c>
      <c r="BM103" s="1596">
        <f t="shared" si="90"/>
        <v>-4.4881279064839297E-2</v>
      </c>
      <c r="BN103" s="853">
        <f t="shared" si="100"/>
        <v>-4.0277002400690987E-2</v>
      </c>
      <c r="BO103" s="853">
        <f t="shared" si="91"/>
        <v>-1.6475008472089492E-2</v>
      </c>
      <c r="BP103" s="854">
        <f t="shared" si="92"/>
        <v>-6.0924871086974419E-2</v>
      </c>
      <c r="BQ103" s="1596">
        <f t="shared" si="104"/>
        <v>-0.11474154570283468</v>
      </c>
      <c r="BR103" s="853">
        <f t="shared" si="101"/>
        <v>-0.15205373706508252</v>
      </c>
      <c r="BS103" s="853">
        <f t="shared" si="101"/>
        <v>-0.20021000427202817</v>
      </c>
      <c r="BT103" s="854">
        <f t="shared" si="101"/>
        <v>-0.17203732343939138</v>
      </c>
      <c r="BU103" s="853">
        <f t="shared" si="101"/>
        <v>-0.17026131787851151</v>
      </c>
      <c r="BV103" s="853">
        <f t="shared" si="93"/>
        <v>-0.15258760680163896</v>
      </c>
      <c r="BW103" s="853">
        <f t="shared" si="93"/>
        <v>-0.12448265368630684</v>
      </c>
      <c r="BX103" s="854">
        <f t="shared" si="93"/>
        <v>-0.15573385902549697</v>
      </c>
      <c r="BY103" s="853">
        <f t="shared" si="102"/>
        <v>-0.11926009926110615</v>
      </c>
      <c r="BZ103" s="853">
        <f t="shared" si="94"/>
        <v>-2.4477782002495174E-2</v>
      </c>
      <c r="CA103" s="853">
        <f t="shared" si="95"/>
        <v>5.1263284329041703E-2</v>
      </c>
      <c r="CB103" s="854">
        <f t="shared" si="96"/>
        <v>4.5581286905775897E-2</v>
      </c>
      <c r="CC103" s="853">
        <f t="shared" si="103"/>
        <v>9.2608771117363098E-2</v>
      </c>
      <c r="CD103" s="853">
        <f t="shared" si="97"/>
        <v>1.9598796164119969E-2</v>
      </c>
      <c r="CE103" s="853">
        <f t="shared" si="98"/>
        <v>-1.9738111937786851E-2</v>
      </c>
      <c r="CF103" s="854">
        <f t="shared" si="99"/>
        <v>4.3684642246317074E-2</v>
      </c>
      <c r="CG103" s="742"/>
      <c r="CH103" s="320"/>
      <c r="CI103" s="315"/>
      <c r="CJ103" s="315"/>
      <c r="CK103" s="315"/>
      <c r="CL103" s="315"/>
      <c r="CM103" s="388"/>
      <c r="CN103" s="774"/>
      <c r="CO103" s="774"/>
      <c r="CP103" s="774"/>
      <c r="CQ103" s="774"/>
      <c r="CR103" s="774"/>
      <c r="CS103" s="774"/>
      <c r="CT103" s="774"/>
      <c r="CU103" s="393"/>
      <c r="CV103" s="774"/>
      <c r="CW103" s="774"/>
      <c r="CX103" s="774"/>
      <c r="CY103" s="774"/>
      <c r="CZ103" s="315"/>
      <c r="DA103" s="315"/>
      <c r="DB103" s="22"/>
      <c r="DC103" s="22"/>
      <c r="DD103" s="22"/>
      <c r="DE103" s="22"/>
      <c r="DF103" s="1657"/>
      <c r="DH103" s="752"/>
      <c r="DI103" s="752"/>
      <c r="DJ103" s="752"/>
    </row>
    <row r="104" spans="1:114" ht="11.25" customHeight="1">
      <c r="A104" s="12"/>
      <c r="B104" s="12"/>
      <c r="C104" s="12"/>
      <c r="D104" s="12"/>
      <c r="E104" s="12"/>
      <c r="F104" s="12"/>
      <c r="G104" s="12"/>
      <c r="H104" s="12"/>
      <c r="I104" s="1673" t="s">
        <v>615</v>
      </c>
      <c r="J104" s="70"/>
      <c r="K104" s="70"/>
      <c r="L104" s="70"/>
      <c r="M104" s="315"/>
      <c r="N104" s="315"/>
      <c r="O104" s="315"/>
      <c r="P104" s="316"/>
      <c r="Q104" s="315"/>
      <c r="R104" s="315"/>
      <c r="S104" s="315"/>
      <c r="T104" s="316"/>
      <c r="U104" s="315"/>
      <c r="V104" s="315"/>
      <c r="W104" s="315"/>
      <c r="X104" s="316"/>
      <c r="Y104" s="315"/>
      <c r="Z104" s="315"/>
      <c r="AA104" s="315"/>
      <c r="AB104" s="316"/>
      <c r="AC104" s="315"/>
      <c r="AD104" s="315"/>
      <c r="AE104" s="315"/>
      <c r="AF104" s="316"/>
      <c r="AG104" s="317"/>
      <c r="AH104" s="317"/>
      <c r="AI104" s="317"/>
      <c r="AJ104" s="318"/>
      <c r="AK104" s="393"/>
      <c r="AL104" s="393"/>
      <c r="AM104" s="393"/>
      <c r="AN104" s="472"/>
      <c r="AO104" s="393"/>
      <c r="AP104" s="393"/>
      <c r="AQ104" s="393"/>
      <c r="AR104" s="472"/>
      <c r="AS104" s="393"/>
      <c r="AT104" s="393"/>
      <c r="AU104" s="393"/>
      <c r="AV104" s="472"/>
      <c r="AW104" s="393"/>
      <c r="AX104" s="393"/>
      <c r="AY104" s="393"/>
      <c r="AZ104" s="1417"/>
      <c r="BA104" s="1419"/>
      <c r="BB104" s="1419"/>
      <c r="BC104" s="1419"/>
      <c r="BD104" s="1417"/>
      <c r="BE104" s="1419"/>
      <c r="BF104" s="1419"/>
      <c r="BG104" s="1419"/>
      <c r="BH104" s="1417"/>
      <c r="BI104" s="1596">
        <f t="shared" si="86"/>
        <v>-9.1900290369116844E-3</v>
      </c>
      <c r="BJ104" s="853">
        <f t="shared" si="87"/>
        <v>-2.1026395928067321E-2</v>
      </c>
      <c r="BK104" s="853">
        <f t="shared" si="88"/>
        <v>-2.6103756352072516E-2</v>
      </c>
      <c r="BL104" s="854">
        <f t="shared" si="89"/>
        <v>-4.5036343068627804E-2</v>
      </c>
      <c r="BM104" s="1596">
        <f t="shared" si="90"/>
        <v>-0.13092982598840508</v>
      </c>
      <c r="BN104" s="853">
        <f t="shared" si="100"/>
        <v>-9.4193099547376313E-2</v>
      </c>
      <c r="BO104" s="853">
        <f t="shared" si="91"/>
        <v>-9.5881742374462342E-2</v>
      </c>
      <c r="BP104" s="854">
        <f t="shared" si="92"/>
        <v>-0.30789883814762986</v>
      </c>
      <c r="BQ104" s="1596">
        <f t="shared" si="104"/>
        <v>-0.4408968615293104</v>
      </c>
      <c r="BR104" s="853">
        <f t="shared" si="101"/>
        <v>-0.33706074813069564</v>
      </c>
      <c r="BS104" s="853">
        <f t="shared" si="101"/>
        <v>-0.42267405683906401</v>
      </c>
      <c r="BT104" s="854">
        <f t="shared" si="101"/>
        <v>-0.28701907383308378</v>
      </c>
      <c r="BU104" s="853">
        <f t="shared" si="101"/>
        <v>-0.15797566978696376</v>
      </c>
      <c r="BV104" s="853">
        <f t="shared" si="93"/>
        <v>-0.19913503086018225</v>
      </c>
      <c r="BW104" s="853">
        <f t="shared" si="93"/>
        <v>-2.7422555936121862E-2</v>
      </c>
      <c r="BX104" s="854">
        <f t="shared" si="93"/>
        <v>4.5359618853959782E-2</v>
      </c>
      <c r="BY104" s="853">
        <f t="shared" si="102"/>
        <v>0.26185907406880182</v>
      </c>
      <c r="BZ104" s="853">
        <f t="shared" si="94"/>
        <v>0.15063683183244447</v>
      </c>
      <c r="CA104" s="853">
        <f t="shared" si="95"/>
        <v>9.642436479457972E-2</v>
      </c>
      <c r="CB104" s="854">
        <f t="shared" si="96"/>
        <v>7.9703076887991164E-2</v>
      </c>
      <c r="CC104" s="853">
        <f t="shared" si="103"/>
        <v>3.5638429231658719E-2</v>
      </c>
      <c r="CD104" s="853">
        <f t="shared" si="97"/>
        <v>-6.6674643788240395E-3</v>
      </c>
      <c r="CE104" s="853">
        <f t="shared" si="98"/>
        <v>2.2273976049987487E-2</v>
      </c>
      <c r="CF104" s="854">
        <f t="shared" si="99"/>
        <v>1.3927357541379415E-2</v>
      </c>
      <c r="CG104" s="742"/>
      <c r="CH104" s="320"/>
      <c r="CI104" s="315"/>
      <c r="CJ104" s="315"/>
      <c r="CK104" s="315"/>
      <c r="CL104" s="315"/>
      <c r="CM104" s="388"/>
      <c r="CN104" s="774"/>
      <c r="CO104" s="774"/>
      <c r="CP104" s="774"/>
      <c r="CQ104" s="774"/>
      <c r="CR104" s="774"/>
      <c r="CS104" s="774"/>
      <c r="CT104" s="774"/>
      <c r="CU104" s="393"/>
      <c r="CV104" s="774"/>
      <c r="CW104" s="774"/>
      <c r="CX104" s="774"/>
      <c r="CY104" s="774"/>
      <c r="CZ104" s="315"/>
      <c r="DA104" s="315"/>
      <c r="DB104" s="22"/>
      <c r="DC104" s="22"/>
      <c r="DD104" s="22"/>
      <c r="DE104" s="22"/>
      <c r="DF104" s="1657"/>
      <c r="DH104" s="752"/>
      <c r="DI104" s="752"/>
      <c r="DJ104" s="752"/>
    </row>
    <row r="105" spans="1:114" ht="11.25" customHeight="1">
      <c r="A105" s="12"/>
      <c r="B105" s="12"/>
      <c r="C105" s="12"/>
      <c r="D105" s="12"/>
      <c r="E105" s="12"/>
      <c r="F105" s="12"/>
      <c r="G105" s="12"/>
      <c r="H105" s="12"/>
      <c r="I105" s="1673" t="s">
        <v>619</v>
      </c>
      <c r="J105" s="70"/>
      <c r="K105" s="70"/>
      <c r="L105" s="70"/>
      <c r="M105" s="315"/>
      <c r="N105" s="315"/>
      <c r="O105" s="315"/>
      <c r="P105" s="316"/>
      <c r="Q105" s="315"/>
      <c r="R105" s="315"/>
      <c r="S105" s="315"/>
      <c r="T105" s="316"/>
      <c r="U105" s="315"/>
      <c r="V105" s="315"/>
      <c r="W105" s="315"/>
      <c r="X105" s="316"/>
      <c r="Y105" s="315"/>
      <c r="Z105" s="315"/>
      <c r="AA105" s="315"/>
      <c r="AB105" s="316"/>
      <c r="AC105" s="315"/>
      <c r="AD105" s="315"/>
      <c r="AE105" s="315"/>
      <c r="AF105" s="316"/>
      <c r="AG105" s="317"/>
      <c r="AH105" s="317"/>
      <c r="AI105" s="317"/>
      <c r="AJ105" s="318"/>
      <c r="AK105" s="393"/>
      <c r="AL105" s="393"/>
      <c r="AM105" s="393"/>
      <c r="AN105" s="472"/>
      <c r="AO105" s="393"/>
      <c r="AP105" s="393"/>
      <c r="AQ105" s="393"/>
      <c r="AR105" s="472"/>
      <c r="AS105" s="393"/>
      <c r="AT105" s="393"/>
      <c r="AU105" s="393"/>
      <c r="AV105" s="472"/>
      <c r="AW105" s="393"/>
      <c r="AX105" s="393"/>
      <c r="AY105" s="393"/>
      <c r="AZ105" s="1417"/>
      <c r="BA105" s="1419"/>
      <c r="BB105" s="1419"/>
      <c r="BC105" s="1419"/>
      <c r="BD105" s="1417"/>
      <c r="BE105" s="1419"/>
      <c r="BF105" s="1419"/>
      <c r="BG105" s="1419"/>
      <c r="BH105" s="1417"/>
      <c r="BI105" s="1596">
        <f t="shared" si="86"/>
        <v>3.9914160886676653E-2</v>
      </c>
      <c r="BJ105" s="853">
        <f t="shared" si="87"/>
        <v>4.8056165839170717E-2</v>
      </c>
      <c r="BK105" s="853">
        <f t="shared" si="88"/>
        <v>-3.5331516735234159E-3</v>
      </c>
      <c r="BL105" s="854">
        <f t="shared" si="89"/>
        <v>-3.336953647551899E-2</v>
      </c>
      <c r="BM105" s="1596">
        <f t="shared" si="90"/>
        <v>-8.7607713256135478E-2</v>
      </c>
      <c r="BN105" s="853">
        <f>+BN82/BJ82-1</f>
        <v>-8.0090529514885045E-2</v>
      </c>
      <c r="BO105" s="853">
        <f t="shared" si="91"/>
        <v>-2.0136322431104858E-2</v>
      </c>
      <c r="BP105" s="854">
        <f t="shared" si="92"/>
        <v>-3.002145208737883E-2</v>
      </c>
      <c r="BQ105" s="1596">
        <f t="shared" si="104"/>
        <v>3.6860680819694736E-4</v>
      </c>
      <c r="BR105" s="853">
        <f t="shared" ref="BR105:BU106" si="105">+BR82/BN82-1</f>
        <v>-2.3363126711154147E-2</v>
      </c>
      <c r="BS105" s="853">
        <f t="shared" si="105"/>
        <v>-8.8361494682907216E-2</v>
      </c>
      <c r="BT105" s="854">
        <f t="shared" si="105"/>
        <v>-8.7153155324653953E-2</v>
      </c>
      <c r="BU105" s="853">
        <f t="shared" si="105"/>
        <v>3.7331181225236651</v>
      </c>
      <c r="BV105" s="853">
        <f t="shared" si="93"/>
        <v>3.8170046564107158</v>
      </c>
      <c r="BW105" s="853">
        <f t="shared" si="93"/>
        <v>4.1056040144527959</v>
      </c>
      <c r="BX105" s="854">
        <f t="shared" si="93"/>
        <v>4.1952982250455229</v>
      </c>
      <c r="BY105" s="853">
        <f t="shared" si="102"/>
        <v>0</v>
      </c>
      <c r="BZ105" s="853">
        <f t="shared" si="94"/>
        <v>0</v>
      </c>
      <c r="CA105" s="853">
        <f t="shared" si="95"/>
        <v>0</v>
      </c>
      <c r="CB105" s="854">
        <f t="shared" si="96"/>
        <v>0</v>
      </c>
      <c r="CC105" s="853">
        <f t="shared" si="103"/>
        <v>0</v>
      </c>
      <c r="CD105" s="853">
        <f t="shared" si="97"/>
        <v>0</v>
      </c>
      <c r="CE105" s="853">
        <f t="shared" si="98"/>
        <v>0</v>
      </c>
      <c r="CF105" s="854">
        <f t="shared" si="99"/>
        <v>0</v>
      </c>
      <c r="CG105" s="742"/>
      <c r="CH105" s="320"/>
      <c r="CI105" s="315"/>
      <c r="CJ105" s="315"/>
      <c r="CK105" s="315"/>
      <c r="CL105" s="315"/>
      <c r="CM105" s="388"/>
      <c r="CN105" s="774"/>
      <c r="CO105" s="774"/>
      <c r="CP105" s="774"/>
      <c r="CQ105" s="774"/>
      <c r="CR105" s="774"/>
      <c r="CS105" s="774"/>
      <c r="CT105" s="774"/>
      <c r="CU105" s="393"/>
      <c r="CV105" s="774"/>
      <c r="CW105" s="774"/>
      <c r="CX105" s="774"/>
      <c r="CY105" s="774"/>
      <c r="CZ105" s="315"/>
      <c r="DA105" s="315"/>
      <c r="DB105" s="22"/>
      <c r="DC105" s="22"/>
      <c r="DD105" s="22"/>
      <c r="DE105" s="22"/>
      <c r="DF105" s="1657"/>
      <c r="DH105" s="752"/>
      <c r="DI105" s="752"/>
      <c r="DJ105" s="752"/>
    </row>
    <row r="106" spans="1:114" ht="11.25" customHeight="1">
      <c r="A106" s="12"/>
      <c r="B106" s="12"/>
      <c r="C106" s="12"/>
      <c r="D106" s="12"/>
      <c r="E106" s="12"/>
      <c r="F106" s="12"/>
      <c r="G106" s="12"/>
      <c r="H106" s="12"/>
      <c r="I106" s="227" t="s">
        <v>616</v>
      </c>
      <c r="J106" s="70"/>
      <c r="K106" s="70"/>
      <c r="L106" s="70"/>
      <c r="M106" s="315"/>
      <c r="N106" s="315"/>
      <c r="O106" s="315"/>
      <c r="P106" s="316"/>
      <c r="Q106" s="315"/>
      <c r="R106" s="315"/>
      <c r="S106" s="315"/>
      <c r="T106" s="316"/>
      <c r="U106" s="315"/>
      <c r="V106" s="315"/>
      <c r="W106" s="315"/>
      <c r="X106" s="316"/>
      <c r="Y106" s="315"/>
      <c r="Z106" s="315"/>
      <c r="AA106" s="315"/>
      <c r="AB106" s="316"/>
      <c r="AC106" s="315"/>
      <c r="AD106" s="315"/>
      <c r="AE106" s="315"/>
      <c r="AF106" s="316"/>
      <c r="AG106" s="317"/>
      <c r="AH106" s="317"/>
      <c r="AI106" s="317"/>
      <c r="AJ106" s="318"/>
      <c r="AK106" s="393"/>
      <c r="AL106" s="393"/>
      <c r="AM106" s="393"/>
      <c r="AN106" s="472"/>
      <c r="AO106" s="393"/>
      <c r="AP106" s="393"/>
      <c r="AQ106" s="393"/>
      <c r="AR106" s="472"/>
      <c r="AS106" s="393"/>
      <c r="AT106" s="393"/>
      <c r="AU106" s="393"/>
      <c r="AV106" s="472"/>
      <c r="AW106" s="393"/>
      <c r="AX106" s="393"/>
      <c r="AY106" s="393"/>
      <c r="AZ106" s="1417"/>
      <c r="BA106" s="1419"/>
      <c r="BB106" s="1419"/>
      <c r="BC106" s="1419"/>
      <c r="BD106" s="1417"/>
      <c r="BE106" s="1419"/>
      <c r="BF106" s="1419"/>
      <c r="BG106" s="1419"/>
      <c r="BH106" s="1417"/>
      <c r="BI106" s="1596">
        <f t="shared" si="86"/>
        <v>-0.16578140772644656</v>
      </c>
      <c r="BJ106" s="853">
        <f t="shared" si="87"/>
        <v>-0.31745375947617072</v>
      </c>
      <c r="BK106" s="853">
        <f t="shared" si="88"/>
        <v>-0.31745375947617083</v>
      </c>
      <c r="BL106" s="854">
        <f t="shared" si="89"/>
        <v>-0.31745375947617083</v>
      </c>
      <c r="BM106" s="1596">
        <f t="shared" si="90"/>
        <v>-0.18181367947741489</v>
      </c>
      <c r="BN106" s="853">
        <f>+BN83/BJ83-1</f>
        <v>-0.29355939525882913</v>
      </c>
      <c r="BO106" s="853">
        <f t="shared" si="91"/>
        <v>-0.43835967014076327</v>
      </c>
      <c r="BP106" s="854">
        <f t="shared" si="92"/>
        <v>-0.4756606121681759</v>
      </c>
      <c r="BQ106" s="1596">
        <f t="shared" si="104"/>
        <v>-0.47571657022376213</v>
      </c>
      <c r="BR106" s="853">
        <f t="shared" si="105"/>
        <v>-0.26184782556599473</v>
      </c>
      <c r="BS106" s="853">
        <f t="shared" si="105"/>
        <v>-0.13906504933480335</v>
      </c>
      <c r="BT106" s="854">
        <f t="shared" si="105"/>
        <v>-0.11110724790529514</v>
      </c>
      <c r="BU106" s="853">
        <f t="shared" si="105"/>
        <v>-0.21270002605451632</v>
      </c>
      <c r="BV106" s="853">
        <f t="shared" si="93"/>
        <v>-0.97127255537825707</v>
      </c>
      <c r="BW106" s="853">
        <f t="shared" si="93"/>
        <v>-0.97980024923314113</v>
      </c>
      <c r="BX106" s="854">
        <f t="shared" si="93"/>
        <v>-0.97962267229311006</v>
      </c>
      <c r="BY106" s="853">
        <f t="shared" si="102"/>
        <v>-0.97791754864175673</v>
      </c>
      <c r="BZ106" s="853">
        <f t="shared" si="94"/>
        <v>-0.55131400602846192</v>
      </c>
      <c r="CA106" s="853">
        <f t="shared" si="95"/>
        <v>-0.78450615367056109</v>
      </c>
      <c r="CB106" s="854">
        <f t="shared" si="96"/>
        <v>-0.80169502727990549</v>
      </c>
      <c r="CC106" s="853">
        <f t="shared" si="103"/>
        <v>-0.90468584003536845</v>
      </c>
      <c r="CD106" s="853">
        <f t="shared" si="97"/>
        <v>-0.98105607147168095</v>
      </c>
      <c r="CE106" s="853">
        <f t="shared" si="98"/>
        <v>-0.93950470425754895</v>
      </c>
      <c r="CF106" s="854">
        <f t="shared" si="99"/>
        <v>-0.93239350352354955</v>
      </c>
      <c r="CG106" s="742"/>
      <c r="CH106" s="320"/>
      <c r="CI106" s="315"/>
      <c r="CJ106" s="315"/>
      <c r="CK106" s="315"/>
      <c r="CL106" s="315"/>
      <c r="CM106" s="388"/>
      <c r="CN106" s="774"/>
      <c r="CO106" s="774"/>
      <c r="CP106" s="774"/>
      <c r="CQ106" s="774"/>
      <c r="CR106" s="774"/>
      <c r="CS106" s="774"/>
      <c r="CT106" s="774"/>
      <c r="CU106" s="393"/>
      <c r="CV106" s="774"/>
      <c r="CW106" s="774"/>
      <c r="CX106" s="774"/>
      <c r="CY106" s="774"/>
      <c r="CZ106" s="315"/>
      <c r="DA106" s="315"/>
      <c r="DB106" s="22"/>
      <c r="DC106" s="22"/>
      <c r="DD106" s="22"/>
      <c r="DE106" s="22"/>
      <c r="DF106" s="1657"/>
      <c r="DH106" s="752"/>
      <c r="DI106" s="752"/>
      <c r="DJ106" s="752"/>
    </row>
    <row r="107" spans="1:114" ht="11.25" customHeight="1">
      <c r="A107" s="12"/>
      <c r="B107" s="12"/>
      <c r="C107" s="12"/>
      <c r="D107" s="12"/>
      <c r="E107" s="12"/>
      <c r="F107" s="12"/>
      <c r="G107" s="12"/>
      <c r="H107" s="12"/>
      <c r="I107" s="178" t="s">
        <v>5</v>
      </c>
      <c r="J107" s="70"/>
      <c r="K107" s="70"/>
      <c r="L107" s="70"/>
      <c r="M107" s="315"/>
      <c r="N107" s="315"/>
      <c r="O107" s="315"/>
      <c r="P107" s="316"/>
      <c r="Q107" s="315"/>
      <c r="R107" s="315"/>
      <c r="S107" s="315"/>
      <c r="T107" s="316"/>
      <c r="U107" s="315"/>
      <c r="V107" s="315"/>
      <c r="W107" s="315"/>
      <c r="X107" s="316"/>
      <c r="Y107" s="315"/>
      <c r="Z107" s="315"/>
      <c r="AA107" s="315"/>
      <c r="AB107" s="316"/>
      <c r="AC107" s="315"/>
      <c r="AD107" s="315"/>
      <c r="AE107" s="315"/>
      <c r="AF107" s="316"/>
      <c r="AG107" s="317"/>
      <c r="AH107" s="317"/>
      <c r="AI107" s="317"/>
      <c r="AJ107" s="318"/>
      <c r="AK107" s="393"/>
      <c r="AL107" s="393"/>
      <c r="AM107" s="393"/>
      <c r="AN107" s="472"/>
      <c r="AO107" s="393"/>
      <c r="AP107" s="393"/>
      <c r="AQ107" s="393"/>
      <c r="AR107" s="472"/>
      <c r="AS107" s="393"/>
      <c r="AT107" s="393"/>
      <c r="AU107" s="393"/>
      <c r="AV107" s="472"/>
      <c r="AW107" s="393"/>
      <c r="AX107" s="393"/>
      <c r="AY107" s="393"/>
      <c r="AZ107" s="1417"/>
      <c r="BA107" s="1419"/>
      <c r="BB107" s="1419"/>
      <c r="BC107" s="1419"/>
      <c r="BD107" s="1417"/>
      <c r="BE107" s="1419"/>
      <c r="BF107" s="1419"/>
      <c r="BG107" s="1419"/>
      <c r="BH107" s="1417"/>
      <c r="BI107" s="1419"/>
      <c r="BJ107" s="1419"/>
      <c r="BK107" s="1419"/>
      <c r="BL107" s="1417"/>
      <c r="BM107" s="1419"/>
      <c r="BN107" s="1419"/>
      <c r="BO107" s="1419"/>
      <c r="BP107" s="1417"/>
      <c r="BQ107" s="1419"/>
      <c r="BR107" s="393"/>
      <c r="BS107" s="393"/>
      <c r="BT107" s="472"/>
      <c r="BU107" s="393"/>
      <c r="BV107" s="393"/>
      <c r="BW107" s="393"/>
      <c r="BX107" s="472"/>
      <c r="BY107" s="393"/>
      <c r="BZ107" s="393"/>
      <c r="CA107" s="393"/>
      <c r="CB107" s="472"/>
      <c r="CC107" s="393"/>
      <c r="CD107" s="393"/>
      <c r="CE107" s="393"/>
      <c r="CF107" s="472"/>
      <c r="CG107" s="742"/>
      <c r="CH107" s="320"/>
      <c r="CI107" s="315"/>
      <c r="CJ107" s="315"/>
      <c r="CK107" s="315"/>
      <c r="CL107" s="315"/>
      <c r="CM107" s="388"/>
      <c r="CN107" s="774"/>
      <c r="CO107" s="774"/>
      <c r="CP107" s="774"/>
      <c r="CQ107" s="774"/>
      <c r="CR107" s="774"/>
      <c r="CS107" s="774"/>
      <c r="CT107" s="774"/>
      <c r="CU107" s="393"/>
      <c r="CV107" s="774"/>
      <c r="CW107" s="774"/>
      <c r="CX107" s="774"/>
      <c r="CY107" s="774"/>
      <c r="CZ107" s="315"/>
      <c r="DA107" s="315"/>
      <c r="DB107" s="22"/>
      <c r="DC107" s="22"/>
      <c r="DD107" s="22"/>
      <c r="DE107" s="22"/>
      <c r="DF107" s="1657"/>
      <c r="DH107" s="752"/>
      <c r="DI107" s="752"/>
      <c r="DJ107" s="752"/>
    </row>
    <row r="108" spans="1:114" ht="11.25" customHeight="1">
      <c r="A108" s="12"/>
      <c r="B108" s="12"/>
      <c r="C108" s="12"/>
      <c r="D108" s="12"/>
      <c r="E108" s="12"/>
      <c r="F108" s="12"/>
      <c r="G108" s="12"/>
      <c r="H108" s="12"/>
      <c r="I108" s="722"/>
      <c r="J108" s="70"/>
      <c r="K108" s="70"/>
      <c r="L108" s="70"/>
      <c r="M108" s="315"/>
      <c r="N108" s="315"/>
      <c r="O108" s="315"/>
      <c r="P108" s="316"/>
      <c r="Q108" s="315"/>
      <c r="R108" s="315"/>
      <c r="S108" s="315"/>
      <c r="T108" s="316"/>
      <c r="U108" s="315"/>
      <c r="V108" s="315"/>
      <c r="W108" s="315"/>
      <c r="X108" s="316"/>
      <c r="Y108" s="315"/>
      <c r="Z108" s="315"/>
      <c r="AA108" s="315"/>
      <c r="AB108" s="316"/>
      <c r="AC108" s="315"/>
      <c r="AD108" s="315"/>
      <c r="AE108" s="315"/>
      <c r="AF108" s="316"/>
      <c r="AG108" s="317"/>
      <c r="AH108" s="317"/>
      <c r="AI108" s="317"/>
      <c r="AJ108" s="318"/>
      <c r="AK108" s="393"/>
      <c r="AL108" s="393"/>
      <c r="AM108" s="393"/>
      <c r="AN108" s="472"/>
      <c r="AO108" s="393"/>
      <c r="AP108" s="393"/>
      <c r="AQ108" s="393"/>
      <c r="AR108" s="472"/>
      <c r="AS108" s="393"/>
      <c r="AT108" s="393"/>
      <c r="AU108" s="393"/>
      <c r="AV108" s="472"/>
      <c r="AW108" s="393"/>
      <c r="AX108" s="393"/>
      <c r="AY108" s="393"/>
      <c r="AZ108" s="1417"/>
      <c r="BA108" s="1419"/>
      <c r="BB108" s="1419"/>
      <c r="BC108" s="1419"/>
      <c r="BD108" s="1417"/>
      <c r="BE108" s="1419"/>
      <c r="BF108" s="1419"/>
      <c r="BG108" s="1419"/>
      <c r="BH108" s="1417"/>
      <c r="BI108" s="1419"/>
      <c r="BJ108" s="1419"/>
      <c r="BK108" s="1419"/>
      <c r="BL108" s="1417"/>
      <c r="BM108" s="1419"/>
      <c r="BN108" s="1419"/>
      <c r="BO108" s="1419"/>
      <c r="BP108" s="1417"/>
      <c r="BQ108" s="1419"/>
      <c r="BR108" s="393"/>
      <c r="BS108" s="393"/>
      <c r="BT108" s="472"/>
      <c r="BU108" s="393"/>
      <c r="BV108" s="393"/>
      <c r="BW108" s="393"/>
      <c r="BX108" s="472"/>
      <c r="BY108" s="393"/>
      <c r="BZ108" s="393"/>
      <c r="CA108" s="393"/>
      <c r="CB108" s="472"/>
      <c r="CC108" s="393"/>
      <c r="CD108" s="393"/>
      <c r="CE108" s="393"/>
      <c r="CF108" s="472"/>
      <c r="CG108" s="742"/>
      <c r="CH108" s="320"/>
      <c r="CI108" s="315"/>
      <c r="CJ108" s="315"/>
      <c r="CK108" s="315"/>
      <c r="CL108" s="315"/>
      <c r="CM108" s="388"/>
      <c r="CN108" s="774"/>
      <c r="CO108" s="774"/>
      <c r="CP108" s="774"/>
      <c r="CQ108" s="774"/>
      <c r="CR108" s="774"/>
      <c r="CS108" s="774"/>
      <c r="CT108" s="774"/>
      <c r="CU108" s="393"/>
      <c r="CV108" s="774"/>
      <c r="CW108" s="774"/>
      <c r="CX108" s="774"/>
      <c r="CY108" s="774"/>
      <c r="CZ108" s="315"/>
      <c r="DA108" s="315"/>
      <c r="DB108" s="22"/>
      <c r="DC108" s="22"/>
      <c r="DD108" s="22"/>
      <c r="DE108" s="22"/>
      <c r="DF108" s="1657"/>
      <c r="DH108" s="752"/>
      <c r="DI108" s="752"/>
      <c r="DJ108" s="752"/>
    </row>
    <row r="109" spans="1:114" ht="11.25" customHeight="1">
      <c r="A109" s="12"/>
      <c r="B109" s="12"/>
      <c r="C109" s="12"/>
      <c r="D109" s="12"/>
      <c r="E109" s="12"/>
      <c r="F109" s="12"/>
      <c r="G109" s="12"/>
      <c r="H109" s="12"/>
      <c r="I109" s="722"/>
      <c r="J109" s="70"/>
      <c r="K109" s="70"/>
      <c r="L109" s="70"/>
      <c r="M109" s="315"/>
      <c r="N109" s="315"/>
      <c r="O109" s="315"/>
      <c r="P109" s="316"/>
      <c r="Q109" s="315"/>
      <c r="R109" s="315"/>
      <c r="S109" s="315"/>
      <c r="T109" s="316"/>
      <c r="U109" s="315"/>
      <c r="V109" s="315"/>
      <c r="W109" s="315"/>
      <c r="X109" s="316"/>
      <c r="Y109" s="315"/>
      <c r="Z109" s="315"/>
      <c r="AA109" s="315"/>
      <c r="AB109" s="316"/>
      <c r="AC109" s="315"/>
      <c r="AD109" s="315"/>
      <c r="AE109" s="315"/>
      <c r="AF109" s="316"/>
      <c r="AG109" s="317"/>
      <c r="AH109" s="317"/>
      <c r="AI109" s="317"/>
      <c r="AJ109" s="318"/>
      <c r="AK109" s="393"/>
      <c r="AL109" s="393"/>
      <c r="AM109" s="393"/>
      <c r="AN109" s="472"/>
      <c r="AO109" s="393"/>
      <c r="AP109" s="393"/>
      <c r="AQ109" s="393"/>
      <c r="AR109" s="472"/>
      <c r="AS109" s="393"/>
      <c r="AT109" s="393"/>
      <c r="AU109" s="393"/>
      <c r="AV109" s="472"/>
      <c r="AW109" s="393"/>
      <c r="AX109" s="393"/>
      <c r="AY109" s="393"/>
      <c r="AZ109" s="1417"/>
      <c r="BA109" s="1419"/>
      <c r="BB109" s="1419"/>
      <c r="BC109" s="1419"/>
      <c r="BD109" s="1417"/>
      <c r="BE109" s="1419"/>
      <c r="BF109" s="1419"/>
      <c r="BG109" s="1419"/>
      <c r="BH109" s="1417"/>
      <c r="BI109" s="1419"/>
      <c r="BJ109" s="1419"/>
      <c r="BK109" s="1419"/>
      <c r="BL109" s="1417"/>
      <c r="BM109" s="1419"/>
      <c r="BN109" s="1419"/>
      <c r="BO109" s="1419"/>
      <c r="BP109" s="1417"/>
      <c r="BQ109" s="1419"/>
      <c r="BR109" s="393"/>
      <c r="BS109" s="393"/>
      <c r="BT109" s="472"/>
      <c r="BU109" s="393"/>
      <c r="BV109" s="393"/>
      <c r="BW109" s="393"/>
      <c r="BX109" s="472"/>
      <c r="BY109" s="393"/>
      <c r="BZ109" s="393"/>
      <c r="CA109" s="393"/>
      <c r="CB109" s="472"/>
      <c r="CC109" s="393"/>
      <c r="CD109" s="393"/>
      <c r="CE109" s="393"/>
      <c r="CF109" s="472"/>
      <c r="CG109" s="742"/>
      <c r="CH109" s="320"/>
      <c r="CI109" s="315"/>
      <c r="CJ109" s="315"/>
      <c r="CK109" s="315"/>
      <c r="CL109" s="315"/>
      <c r="CM109" s="388"/>
      <c r="CN109" s="774"/>
      <c r="CO109" s="774"/>
      <c r="CP109" s="774"/>
      <c r="CQ109" s="774"/>
      <c r="CR109" s="774"/>
      <c r="CS109" s="774"/>
      <c r="CT109" s="774"/>
      <c r="CU109" s="393"/>
      <c r="CV109" s="774"/>
      <c r="CW109" s="774"/>
      <c r="CX109" s="774"/>
      <c r="CY109" s="774"/>
      <c r="CZ109" s="315"/>
      <c r="DA109" s="315"/>
      <c r="DB109" s="22"/>
      <c r="DC109" s="22"/>
      <c r="DD109" s="22"/>
      <c r="DE109" s="22"/>
      <c r="DF109" s="1657"/>
      <c r="DH109" s="752"/>
      <c r="DI109" s="752"/>
      <c r="DJ109" s="752"/>
    </row>
    <row r="110" spans="1:114" ht="11.25" customHeight="1">
      <c r="A110" s="12"/>
      <c r="B110" s="12"/>
      <c r="C110" s="12"/>
      <c r="D110" s="12"/>
      <c r="E110" s="12"/>
      <c r="F110" s="12"/>
      <c r="G110" s="12"/>
      <c r="H110" s="12"/>
      <c r="I110" s="722"/>
      <c r="J110" s="70"/>
      <c r="K110" s="70"/>
      <c r="L110" s="70"/>
      <c r="M110" s="315"/>
      <c r="N110" s="315"/>
      <c r="O110" s="315"/>
      <c r="P110" s="316"/>
      <c r="Q110" s="315"/>
      <c r="R110" s="315"/>
      <c r="S110" s="315"/>
      <c r="T110" s="316"/>
      <c r="U110" s="315"/>
      <c r="V110" s="315"/>
      <c r="W110" s="315"/>
      <c r="X110" s="316"/>
      <c r="Y110" s="315"/>
      <c r="Z110" s="315"/>
      <c r="AA110" s="315"/>
      <c r="AB110" s="316"/>
      <c r="AC110" s="315"/>
      <c r="AD110" s="315"/>
      <c r="AE110" s="315"/>
      <c r="AF110" s="316"/>
      <c r="AG110" s="317"/>
      <c r="AH110" s="317"/>
      <c r="AI110" s="317"/>
      <c r="AJ110" s="318"/>
      <c r="AK110" s="393"/>
      <c r="AL110" s="393"/>
      <c r="AM110" s="393"/>
      <c r="AN110" s="472"/>
      <c r="AO110" s="393"/>
      <c r="AP110" s="393"/>
      <c r="AQ110" s="393"/>
      <c r="AR110" s="472"/>
      <c r="AS110" s="393"/>
      <c r="AT110" s="393"/>
      <c r="AU110" s="393"/>
      <c r="AV110" s="472"/>
      <c r="AW110" s="393"/>
      <c r="AX110" s="393"/>
      <c r="AY110" s="393"/>
      <c r="AZ110" s="1417"/>
      <c r="BA110" s="1419"/>
      <c r="BB110" s="1419"/>
      <c r="BC110" s="1419"/>
      <c r="BD110" s="1417"/>
      <c r="BE110" s="1419"/>
      <c r="BF110" s="1419"/>
      <c r="BG110" s="1419"/>
      <c r="BH110" s="1417"/>
      <c r="BI110" s="1419"/>
      <c r="BJ110" s="1419"/>
      <c r="BK110" s="1419"/>
      <c r="BL110" s="1417"/>
      <c r="BM110" s="1419"/>
      <c r="BN110" s="1419"/>
      <c r="BO110" s="1419"/>
      <c r="BP110" s="1417"/>
      <c r="BQ110" s="1419"/>
      <c r="BR110" s="393"/>
      <c r="BS110" s="393"/>
      <c r="BT110" s="472"/>
      <c r="BU110" s="393"/>
      <c r="BV110" s="393"/>
      <c r="BW110" s="393"/>
      <c r="BX110" s="472"/>
      <c r="BY110" s="393"/>
      <c r="BZ110" s="393"/>
      <c r="CA110" s="393"/>
      <c r="CB110" s="472"/>
      <c r="CC110" s="393"/>
      <c r="CD110" s="393"/>
      <c r="CE110" s="393"/>
      <c r="CF110" s="472"/>
      <c r="CG110" s="742"/>
      <c r="CH110" s="320"/>
      <c r="CI110" s="315"/>
      <c r="CJ110" s="315"/>
      <c r="CK110" s="315"/>
      <c r="CL110" s="315"/>
      <c r="CM110" s="388"/>
      <c r="CN110" s="774"/>
      <c r="CO110" s="774"/>
      <c r="CP110" s="774"/>
      <c r="CQ110" s="774"/>
      <c r="CR110" s="774"/>
      <c r="CS110" s="774"/>
      <c r="CT110" s="774"/>
      <c r="CU110" s="393"/>
      <c r="CV110" s="774"/>
      <c r="CW110" s="774"/>
      <c r="CX110" s="774"/>
      <c r="CY110" s="774"/>
      <c r="CZ110" s="315"/>
      <c r="DA110" s="315"/>
      <c r="DB110" s="22"/>
      <c r="DC110" s="22"/>
      <c r="DD110" s="22"/>
      <c r="DE110" s="22"/>
      <c r="DF110" s="1657"/>
      <c r="DH110" s="752"/>
      <c r="DI110" s="752"/>
      <c r="DJ110" s="752"/>
    </row>
    <row r="111" spans="1:114" ht="11.25" customHeight="1">
      <c r="A111" s="12"/>
      <c r="B111" s="12"/>
      <c r="C111" s="12"/>
      <c r="D111" s="12"/>
      <c r="E111" s="12"/>
      <c r="F111" s="12"/>
      <c r="G111" s="12"/>
      <c r="H111" s="12"/>
      <c r="I111" s="722"/>
      <c r="J111" s="70"/>
      <c r="K111" s="70"/>
      <c r="L111" s="70"/>
      <c r="M111" s="315"/>
      <c r="N111" s="315"/>
      <c r="O111" s="315"/>
      <c r="P111" s="316"/>
      <c r="Q111" s="315"/>
      <c r="R111" s="315"/>
      <c r="S111" s="315"/>
      <c r="T111" s="316"/>
      <c r="U111" s="315"/>
      <c r="V111" s="315"/>
      <c r="W111" s="315"/>
      <c r="X111" s="316"/>
      <c r="Y111" s="315"/>
      <c r="Z111" s="315"/>
      <c r="AA111" s="315"/>
      <c r="AB111" s="316"/>
      <c r="AC111" s="315"/>
      <c r="AD111" s="315"/>
      <c r="AE111" s="315"/>
      <c r="AF111" s="316"/>
      <c r="AG111" s="317"/>
      <c r="AH111" s="317"/>
      <c r="AI111" s="317"/>
      <c r="AJ111" s="318"/>
      <c r="AK111" s="393"/>
      <c r="AL111" s="393"/>
      <c r="AM111" s="393"/>
      <c r="AN111" s="472"/>
      <c r="AO111" s="393"/>
      <c r="AP111" s="393"/>
      <c r="AQ111" s="393"/>
      <c r="AR111" s="472"/>
      <c r="AS111" s="393"/>
      <c r="AT111" s="393"/>
      <c r="AU111" s="393"/>
      <c r="AV111" s="472"/>
      <c r="AW111" s="393"/>
      <c r="AX111" s="393"/>
      <c r="AY111" s="393"/>
      <c r="AZ111" s="1417"/>
      <c r="BA111" s="1419"/>
      <c r="BB111" s="1419"/>
      <c r="BC111" s="1419"/>
      <c r="BD111" s="1417"/>
      <c r="BE111" s="1419"/>
      <c r="BF111" s="1419"/>
      <c r="BG111" s="1419"/>
      <c r="BH111" s="1417"/>
      <c r="BI111" s="1419"/>
      <c r="BJ111" s="1419"/>
      <c r="BK111" s="1419"/>
      <c r="BL111" s="1417"/>
      <c r="BM111" s="1419"/>
      <c r="BN111" s="1419"/>
      <c r="BO111" s="1419"/>
      <c r="BP111" s="1417"/>
      <c r="BQ111" s="1419"/>
      <c r="BR111" s="393"/>
      <c r="BS111" s="393"/>
      <c r="BT111" s="472"/>
      <c r="BU111" s="393"/>
      <c r="BV111" s="393"/>
      <c r="BW111" s="393"/>
      <c r="BX111" s="472"/>
      <c r="BY111" s="393"/>
      <c r="BZ111" s="393"/>
      <c r="CA111" s="393"/>
      <c r="CB111" s="472"/>
      <c r="CC111" s="393"/>
      <c r="CD111" s="393"/>
      <c r="CE111" s="393"/>
      <c r="CF111" s="472"/>
      <c r="CG111" s="742"/>
      <c r="CH111" s="320"/>
      <c r="CI111" s="315"/>
      <c r="CJ111" s="315"/>
      <c r="CK111" s="315"/>
      <c r="CL111" s="315"/>
      <c r="CM111" s="388"/>
      <c r="CN111" s="774"/>
      <c r="CO111" s="774"/>
      <c r="CP111" s="774"/>
      <c r="CQ111" s="774"/>
      <c r="CR111" s="774"/>
      <c r="CS111" s="774"/>
      <c r="CT111" s="774"/>
      <c r="CU111" s="393"/>
      <c r="CV111" s="774"/>
      <c r="CW111" s="774"/>
      <c r="CX111" s="774"/>
      <c r="CY111" s="774"/>
      <c r="CZ111" s="315"/>
      <c r="DA111" s="315"/>
      <c r="DB111" s="22"/>
      <c r="DC111" s="22"/>
      <c r="DD111" s="22"/>
      <c r="DE111" s="22"/>
      <c r="DF111" s="1657"/>
      <c r="DH111" s="752"/>
      <c r="DI111" s="752"/>
      <c r="DJ111" s="752"/>
    </row>
    <row r="112" spans="1:114" ht="11.25" customHeight="1">
      <c r="A112" s="12"/>
      <c r="B112" s="12"/>
      <c r="C112" s="12"/>
      <c r="D112" s="12"/>
      <c r="E112" s="12"/>
      <c r="F112" s="12"/>
      <c r="G112" s="12"/>
      <c r="H112" s="12"/>
      <c r="I112" s="722"/>
      <c r="J112" s="70"/>
      <c r="K112" s="70"/>
      <c r="L112" s="70"/>
      <c r="M112" s="315"/>
      <c r="N112" s="315"/>
      <c r="O112" s="315"/>
      <c r="P112" s="316"/>
      <c r="Q112" s="315"/>
      <c r="R112" s="315"/>
      <c r="S112" s="315"/>
      <c r="T112" s="316"/>
      <c r="U112" s="315"/>
      <c r="V112" s="315"/>
      <c r="W112" s="315"/>
      <c r="X112" s="316"/>
      <c r="Y112" s="315"/>
      <c r="Z112" s="315"/>
      <c r="AA112" s="315"/>
      <c r="AB112" s="316"/>
      <c r="AC112" s="315"/>
      <c r="AD112" s="315"/>
      <c r="AE112" s="315"/>
      <c r="AF112" s="316"/>
      <c r="AG112" s="317"/>
      <c r="AH112" s="317"/>
      <c r="AI112" s="317"/>
      <c r="AJ112" s="318"/>
      <c r="AK112" s="393"/>
      <c r="AL112" s="393"/>
      <c r="AM112" s="393"/>
      <c r="AN112" s="472"/>
      <c r="AO112" s="393"/>
      <c r="AP112" s="393"/>
      <c r="AQ112" s="393"/>
      <c r="AR112" s="472"/>
      <c r="AS112" s="393"/>
      <c r="AT112" s="393"/>
      <c r="AU112" s="393"/>
      <c r="AV112" s="472"/>
      <c r="AW112" s="393"/>
      <c r="AX112" s="393"/>
      <c r="AY112" s="393"/>
      <c r="AZ112" s="1417"/>
      <c r="BA112" s="1419"/>
      <c r="BB112" s="1419"/>
      <c r="BC112" s="1419"/>
      <c r="BD112" s="1417"/>
      <c r="BE112" s="1419"/>
      <c r="BF112" s="1419"/>
      <c r="BG112" s="1419"/>
      <c r="BH112" s="1417"/>
      <c r="BI112" s="1419"/>
      <c r="BJ112" s="1419"/>
      <c r="BK112" s="1419"/>
      <c r="BL112" s="1417"/>
      <c r="BM112" s="1419"/>
      <c r="BN112" s="1419"/>
      <c r="BO112" s="1419"/>
      <c r="BP112" s="1417"/>
      <c r="BQ112" s="1419"/>
      <c r="BR112" s="393"/>
      <c r="BS112" s="393"/>
      <c r="BT112" s="472"/>
      <c r="BU112" s="393"/>
      <c r="BV112" s="393"/>
      <c r="BW112" s="393"/>
      <c r="BX112" s="472"/>
      <c r="BY112" s="393"/>
      <c r="BZ112" s="393"/>
      <c r="CA112" s="393"/>
      <c r="CB112" s="472"/>
      <c r="CC112" s="393"/>
      <c r="CD112" s="393"/>
      <c r="CE112" s="393"/>
      <c r="CF112" s="472"/>
      <c r="CG112" s="742"/>
      <c r="CH112" s="320"/>
      <c r="CI112" s="315"/>
      <c r="CJ112" s="315"/>
      <c r="CK112" s="315"/>
      <c r="CL112" s="315"/>
      <c r="CM112" s="388"/>
      <c r="CN112" s="774"/>
      <c r="CO112" s="774"/>
      <c r="CP112" s="774"/>
      <c r="CQ112" s="774"/>
      <c r="CR112" s="774"/>
      <c r="CS112" s="774"/>
      <c r="CT112" s="774"/>
      <c r="CU112" s="393"/>
      <c r="CV112" s="774"/>
      <c r="CW112" s="774"/>
      <c r="CX112" s="774"/>
      <c r="CY112" s="774"/>
      <c r="CZ112" s="315"/>
      <c r="DA112" s="315"/>
      <c r="DB112" s="22"/>
      <c r="DC112" s="22"/>
      <c r="DD112" s="22"/>
      <c r="DE112" s="22"/>
      <c r="DF112" s="1657"/>
      <c r="DH112" s="752"/>
      <c r="DI112" s="752"/>
      <c r="DJ112" s="752"/>
    </row>
    <row r="113" spans="1:114" ht="11.25" customHeight="1">
      <c r="A113" s="12"/>
      <c r="B113" s="12"/>
      <c r="C113" s="12"/>
      <c r="D113" s="12"/>
      <c r="E113" s="12"/>
      <c r="F113" s="12"/>
      <c r="G113" s="12"/>
      <c r="H113" s="12"/>
      <c r="I113" s="722"/>
      <c r="J113" s="70"/>
      <c r="K113" s="70"/>
      <c r="L113" s="70"/>
      <c r="M113" s="315"/>
      <c r="N113" s="315"/>
      <c r="O113" s="315"/>
      <c r="P113" s="316"/>
      <c r="Q113" s="315"/>
      <c r="R113" s="315"/>
      <c r="S113" s="315"/>
      <c r="T113" s="316"/>
      <c r="U113" s="315"/>
      <c r="V113" s="315"/>
      <c r="W113" s="315"/>
      <c r="X113" s="316"/>
      <c r="Y113" s="315"/>
      <c r="Z113" s="315"/>
      <c r="AA113" s="315"/>
      <c r="AB113" s="316"/>
      <c r="AC113" s="315"/>
      <c r="AD113" s="315"/>
      <c r="AE113" s="315"/>
      <c r="AF113" s="316"/>
      <c r="AG113" s="317"/>
      <c r="AH113" s="317"/>
      <c r="AI113" s="317"/>
      <c r="AJ113" s="318"/>
      <c r="AK113" s="393"/>
      <c r="AL113" s="393"/>
      <c r="AM113" s="393"/>
      <c r="AN113" s="472"/>
      <c r="AO113" s="393"/>
      <c r="AP113" s="393"/>
      <c r="AQ113" s="393"/>
      <c r="AR113" s="472"/>
      <c r="AS113" s="393"/>
      <c r="AT113" s="393"/>
      <c r="AU113" s="393"/>
      <c r="AV113" s="472"/>
      <c r="AW113" s="393"/>
      <c r="AX113" s="393"/>
      <c r="AY113" s="393"/>
      <c r="AZ113" s="1417"/>
      <c r="BA113" s="1419"/>
      <c r="BB113" s="1419"/>
      <c r="BC113" s="1419"/>
      <c r="BD113" s="1417"/>
      <c r="BE113" s="1419"/>
      <c r="BF113" s="1419"/>
      <c r="BG113" s="1419"/>
      <c r="BH113" s="1417"/>
      <c r="BI113" s="1419"/>
      <c r="BJ113" s="1419"/>
      <c r="BK113" s="1419"/>
      <c r="BL113" s="1417"/>
      <c r="BM113" s="1419"/>
      <c r="BN113" s="1419"/>
      <c r="BO113" s="1419"/>
      <c r="BP113" s="1417"/>
      <c r="BQ113" s="1419"/>
      <c r="BR113" s="393"/>
      <c r="BS113" s="393"/>
      <c r="BT113" s="472"/>
      <c r="BU113" s="393"/>
      <c r="BV113" s="393"/>
      <c r="BW113" s="393"/>
      <c r="BX113" s="472"/>
      <c r="BY113" s="393"/>
      <c r="BZ113" s="393"/>
      <c r="CA113" s="393"/>
      <c r="CB113" s="472"/>
      <c r="CC113" s="393"/>
      <c r="CD113" s="393"/>
      <c r="CE113" s="393"/>
      <c r="CF113" s="472"/>
      <c r="CG113" s="742"/>
      <c r="CH113" s="320"/>
      <c r="CI113" s="315"/>
      <c r="CJ113" s="315"/>
      <c r="CK113" s="315"/>
      <c r="CL113" s="315"/>
      <c r="CM113" s="388"/>
      <c r="CN113" s="774"/>
      <c r="CO113" s="774"/>
      <c r="CP113" s="774"/>
      <c r="CQ113" s="774"/>
      <c r="CR113" s="774"/>
      <c r="CS113" s="774"/>
      <c r="CT113" s="774"/>
      <c r="CU113" s="393"/>
      <c r="CV113" s="774"/>
      <c r="CW113" s="774"/>
      <c r="CX113" s="774"/>
      <c r="CY113" s="774"/>
      <c r="CZ113" s="315"/>
      <c r="DA113" s="315"/>
      <c r="DB113" s="22"/>
      <c r="DC113" s="22"/>
      <c r="DD113" s="22"/>
      <c r="DE113" s="22"/>
      <c r="DF113" s="1657"/>
      <c r="DH113" s="752"/>
      <c r="DI113" s="752"/>
      <c r="DJ113" s="752"/>
    </row>
    <row r="114" spans="1:114" ht="11.25" customHeight="1">
      <c r="A114" s="12"/>
      <c r="B114" s="12"/>
      <c r="C114" s="12"/>
      <c r="D114" s="12"/>
      <c r="E114" s="12"/>
      <c r="F114" s="12"/>
      <c r="G114" s="12"/>
      <c r="H114" s="12"/>
      <c r="I114" s="722"/>
      <c r="J114" s="70"/>
      <c r="K114" s="70"/>
      <c r="L114" s="70"/>
      <c r="M114" s="315"/>
      <c r="N114" s="315"/>
      <c r="O114" s="315"/>
      <c r="P114" s="316"/>
      <c r="Q114" s="315"/>
      <c r="R114" s="315"/>
      <c r="S114" s="315"/>
      <c r="T114" s="316"/>
      <c r="U114" s="315"/>
      <c r="V114" s="315"/>
      <c r="W114" s="315"/>
      <c r="X114" s="316"/>
      <c r="Y114" s="315"/>
      <c r="Z114" s="315"/>
      <c r="AA114" s="315"/>
      <c r="AB114" s="316"/>
      <c r="AC114" s="315"/>
      <c r="AD114" s="315"/>
      <c r="AE114" s="315"/>
      <c r="AF114" s="316"/>
      <c r="AG114" s="317"/>
      <c r="AH114" s="317"/>
      <c r="AI114" s="317"/>
      <c r="AJ114" s="318"/>
      <c r="AK114" s="393"/>
      <c r="AL114" s="393"/>
      <c r="AM114" s="393"/>
      <c r="AN114" s="472"/>
      <c r="AO114" s="393"/>
      <c r="AP114" s="393"/>
      <c r="AQ114" s="393"/>
      <c r="AR114" s="472"/>
      <c r="AS114" s="393"/>
      <c r="AT114" s="393"/>
      <c r="AU114" s="393"/>
      <c r="AV114" s="472"/>
      <c r="AW114" s="393"/>
      <c r="AX114" s="393"/>
      <c r="AY114" s="393"/>
      <c r="AZ114" s="1417"/>
      <c r="BA114" s="1419"/>
      <c r="BB114" s="1419"/>
      <c r="BC114" s="1419"/>
      <c r="BD114" s="1417"/>
      <c r="BE114" s="1419"/>
      <c r="BF114" s="1419"/>
      <c r="BG114" s="1419"/>
      <c r="BH114" s="1417"/>
      <c r="BI114" s="1419"/>
      <c r="BJ114" s="1419"/>
      <c r="BK114" s="1419"/>
      <c r="BL114" s="1417"/>
      <c r="BM114" s="1419"/>
      <c r="BN114" s="1419"/>
      <c r="BO114" s="1419"/>
      <c r="BP114" s="1417"/>
      <c r="BQ114" s="1419"/>
      <c r="BR114" s="393"/>
      <c r="BS114" s="393"/>
      <c r="BT114" s="472"/>
      <c r="BU114" s="393"/>
      <c r="BV114" s="393"/>
      <c r="BW114" s="393"/>
      <c r="BX114" s="472"/>
      <c r="BY114" s="393"/>
      <c r="BZ114" s="393"/>
      <c r="CA114" s="393"/>
      <c r="CB114" s="472"/>
      <c r="CC114" s="393"/>
      <c r="CD114" s="393"/>
      <c r="CE114" s="393"/>
      <c r="CF114" s="472"/>
      <c r="CG114" s="742"/>
      <c r="CH114" s="320"/>
      <c r="CI114" s="315"/>
      <c r="CJ114" s="315"/>
      <c r="CK114" s="315"/>
      <c r="CL114" s="315"/>
      <c r="CM114" s="388"/>
      <c r="CN114" s="774"/>
      <c r="CO114" s="774"/>
      <c r="CP114" s="774"/>
      <c r="CQ114" s="774"/>
      <c r="CR114" s="774"/>
      <c r="CS114" s="774"/>
      <c r="CT114" s="774"/>
      <c r="CU114" s="393"/>
      <c r="CV114" s="774"/>
      <c r="CW114" s="774"/>
      <c r="CX114" s="774"/>
      <c r="CY114" s="774"/>
      <c r="CZ114" s="315"/>
      <c r="DA114" s="315"/>
      <c r="DB114" s="22"/>
      <c r="DC114" s="22"/>
      <c r="DD114" s="22"/>
      <c r="DE114" s="22"/>
      <c r="DF114" s="1657"/>
      <c r="DH114" s="752"/>
      <c r="DI114" s="752"/>
      <c r="DJ114" s="752"/>
    </row>
    <row r="115" spans="1:114" ht="11.25" customHeight="1">
      <c r="A115" s="12"/>
      <c r="B115" s="12"/>
      <c r="C115" s="12"/>
      <c r="D115" s="12"/>
      <c r="E115" s="12"/>
      <c r="F115" s="12"/>
      <c r="G115" s="12"/>
      <c r="H115" s="12"/>
      <c r="I115" s="722"/>
      <c r="J115" s="70"/>
      <c r="K115" s="70"/>
      <c r="L115" s="70"/>
      <c r="M115" s="315"/>
      <c r="N115" s="315"/>
      <c r="O115" s="315"/>
      <c r="P115" s="316"/>
      <c r="Q115" s="315"/>
      <c r="R115" s="315"/>
      <c r="S115" s="315"/>
      <c r="T115" s="316"/>
      <c r="U115" s="315"/>
      <c r="V115" s="315"/>
      <c r="W115" s="315"/>
      <c r="X115" s="316"/>
      <c r="Y115" s="315"/>
      <c r="Z115" s="315"/>
      <c r="AA115" s="315"/>
      <c r="AB115" s="316"/>
      <c r="AC115" s="315"/>
      <c r="AD115" s="315"/>
      <c r="AE115" s="315"/>
      <c r="AF115" s="316"/>
      <c r="AG115" s="317"/>
      <c r="AH115" s="317"/>
      <c r="AI115" s="317"/>
      <c r="AJ115" s="318"/>
      <c r="AK115" s="393"/>
      <c r="AL115" s="393"/>
      <c r="AM115" s="393"/>
      <c r="AN115" s="472"/>
      <c r="AO115" s="393"/>
      <c r="AP115" s="393"/>
      <c r="AQ115" s="393"/>
      <c r="AR115" s="472"/>
      <c r="AS115" s="393"/>
      <c r="AT115" s="393"/>
      <c r="AU115" s="393"/>
      <c r="AV115" s="472"/>
      <c r="AW115" s="393"/>
      <c r="AX115" s="393"/>
      <c r="AY115" s="393"/>
      <c r="AZ115" s="1417"/>
      <c r="BA115" s="1419"/>
      <c r="BB115" s="1419"/>
      <c r="BC115" s="1419"/>
      <c r="BD115" s="1417"/>
      <c r="BE115" s="1419"/>
      <c r="BF115" s="1419"/>
      <c r="BG115" s="1419"/>
      <c r="BH115" s="1417"/>
      <c r="BI115" s="1419"/>
      <c r="BJ115" s="1419"/>
      <c r="BK115" s="1419"/>
      <c r="BL115" s="1417"/>
      <c r="BM115" s="1419"/>
      <c r="BN115" s="1419"/>
      <c r="BO115" s="1419"/>
      <c r="BP115" s="1417"/>
      <c r="BQ115" s="1419"/>
      <c r="BR115" s="393"/>
      <c r="BS115" s="393"/>
      <c r="BT115" s="472"/>
      <c r="BU115" s="393"/>
      <c r="BV115" s="393"/>
      <c r="BW115" s="393"/>
      <c r="BX115" s="472"/>
      <c r="BY115" s="393"/>
      <c r="BZ115" s="393"/>
      <c r="CA115" s="393"/>
      <c r="CB115" s="472"/>
      <c r="CC115" s="393"/>
      <c r="CD115" s="393"/>
      <c r="CE115" s="393"/>
      <c r="CF115" s="472"/>
      <c r="CG115" s="742"/>
      <c r="CH115" s="320"/>
      <c r="CI115" s="315"/>
      <c r="CJ115" s="315"/>
      <c r="CK115" s="315"/>
      <c r="CL115" s="315"/>
      <c r="CM115" s="388"/>
      <c r="CN115" s="774"/>
      <c r="CO115" s="774"/>
      <c r="CP115" s="774"/>
      <c r="CQ115" s="774"/>
      <c r="CR115" s="774"/>
      <c r="CS115" s="774"/>
      <c r="CT115" s="774"/>
      <c r="CU115" s="393"/>
      <c r="CV115" s="774"/>
      <c r="CW115" s="774"/>
      <c r="CX115" s="774"/>
      <c r="CY115" s="774"/>
      <c r="CZ115" s="315"/>
      <c r="DA115" s="315"/>
      <c r="DB115" s="22"/>
      <c r="DC115" s="22"/>
      <c r="DD115" s="22"/>
      <c r="DE115" s="22"/>
      <c r="DF115" s="1657"/>
      <c r="DH115" s="752"/>
      <c r="DI115" s="752"/>
      <c r="DJ115" s="752"/>
    </row>
    <row r="116" spans="1:114" ht="11.25" customHeight="1">
      <c r="A116" s="12"/>
      <c r="B116" s="12"/>
      <c r="C116" s="12"/>
      <c r="D116" s="12"/>
      <c r="E116" s="12"/>
      <c r="F116" s="12"/>
      <c r="G116" s="12"/>
      <c r="H116" s="12"/>
      <c r="I116" s="722"/>
      <c r="J116" s="70"/>
      <c r="K116" s="70"/>
      <c r="L116" s="70"/>
      <c r="M116" s="315"/>
      <c r="N116" s="315"/>
      <c r="O116" s="315"/>
      <c r="P116" s="316"/>
      <c r="Q116" s="315"/>
      <c r="R116" s="315"/>
      <c r="S116" s="315"/>
      <c r="T116" s="316"/>
      <c r="U116" s="315"/>
      <c r="V116" s="315"/>
      <c r="W116" s="315"/>
      <c r="X116" s="316"/>
      <c r="Y116" s="315"/>
      <c r="Z116" s="315"/>
      <c r="AA116" s="315"/>
      <c r="AB116" s="316"/>
      <c r="AC116" s="315"/>
      <c r="AD116" s="315"/>
      <c r="AE116" s="315"/>
      <c r="AF116" s="316"/>
      <c r="AG116" s="317"/>
      <c r="AH116" s="317"/>
      <c r="AI116" s="317"/>
      <c r="AJ116" s="318"/>
      <c r="AK116" s="393"/>
      <c r="AL116" s="393"/>
      <c r="AM116" s="393"/>
      <c r="AN116" s="472"/>
      <c r="AO116" s="393"/>
      <c r="AP116" s="393"/>
      <c r="AQ116" s="393"/>
      <c r="AR116" s="472"/>
      <c r="AS116" s="393"/>
      <c r="AT116" s="393"/>
      <c r="AU116" s="393"/>
      <c r="AV116" s="472"/>
      <c r="AW116" s="393"/>
      <c r="AX116" s="393"/>
      <c r="AY116" s="393"/>
      <c r="AZ116" s="1417"/>
      <c r="BA116" s="1419"/>
      <c r="BB116" s="1419"/>
      <c r="BC116" s="1419"/>
      <c r="BD116" s="1417"/>
      <c r="BE116" s="1419"/>
      <c r="BF116" s="1419"/>
      <c r="BG116" s="1419"/>
      <c r="BH116" s="1417"/>
      <c r="BI116" s="1419"/>
      <c r="BJ116" s="1419"/>
      <c r="BK116" s="1419"/>
      <c r="BL116" s="1417"/>
      <c r="BM116" s="1419"/>
      <c r="BN116" s="1419"/>
      <c r="BO116" s="1419"/>
      <c r="BP116" s="1417"/>
      <c r="BQ116" s="1419"/>
      <c r="BR116" s="393"/>
      <c r="BS116" s="393"/>
      <c r="BT116" s="472"/>
      <c r="BU116" s="393"/>
      <c r="BV116" s="393"/>
      <c r="BW116" s="393"/>
      <c r="BX116" s="472"/>
      <c r="BY116" s="393"/>
      <c r="BZ116" s="393"/>
      <c r="CA116" s="393"/>
      <c r="CB116" s="472"/>
      <c r="CC116" s="393"/>
      <c r="CD116" s="393"/>
      <c r="CE116" s="393"/>
      <c r="CF116" s="472"/>
      <c r="CG116" s="742"/>
      <c r="CH116" s="320"/>
      <c r="CI116" s="315"/>
      <c r="CJ116" s="315"/>
      <c r="CK116" s="315"/>
      <c r="CL116" s="315"/>
      <c r="CM116" s="388"/>
      <c r="CN116" s="774"/>
      <c r="CO116" s="774"/>
      <c r="CP116" s="774"/>
      <c r="CQ116" s="774"/>
      <c r="CR116" s="774"/>
      <c r="CS116" s="774"/>
      <c r="CT116" s="774"/>
      <c r="CU116" s="393"/>
      <c r="CV116" s="774"/>
      <c r="CW116" s="774"/>
      <c r="CX116" s="774"/>
      <c r="CY116" s="774"/>
      <c r="CZ116" s="315"/>
      <c r="DA116" s="315"/>
      <c r="DB116" s="22"/>
      <c r="DC116" s="22"/>
      <c r="DD116" s="22"/>
      <c r="DE116" s="22"/>
      <c r="DF116" s="1657"/>
      <c r="DH116" s="752"/>
      <c r="DI116" s="752"/>
      <c r="DJ116" s="752"/>
    </row>
    <row r="117" spans="1:114" s="24" customFormat="1" ht="11.25" customHeight="1">
      <c r="A117" s="556"/>
      <c r="B117" s="557"/>
      <c r="C117" s="557"/>
      <c r="D117" s="557"/>
      <c r="E117" s="557"/>
      <c r="F117" s="556"/>
      <c r="G117" s="556"/>
      <c r="H117" s="556"/>
      <c r="I117" s="236"/>
      <c r="J117" s="237"/>
      <c r="K117" s="237"/>
      <c r="L117" s="237"/>
      <c r="M117" s="334"/>
      <c r="N117" s="334"/>
      <c r="O117" s="334"/>
      <c r="P117" s="335"/>
      <c r="Q117" s="334"/>
      <c r="R117" s="334"/>
      <c r="S117" s="334"/>
      <c r="T117" s="335"/>
      <c r="U117" s="334"/>
      <c r="V117" s="334"/>
      <c r="W117" s="334"/>
      <c r="X117" s="335"/>
      <c r="Y117" s="1172"/>
      <c r="Z117" s="1172"/>
      <c r="AA117" s="1172"/>
      <c r="AB117" s="1173"/>
      <c r="AC117" s="1172"/>
      <c r="AD117" s="1172"/>
      <c r="AE117" s="1172"/>
      <c r="AF117" s="1173"/>
      <c r="AG117" s="1172"/>
      <c r="AH117" s="1172"/>
      <c r="AI117" s="1172"/>
      <c r="AJ117" s="1173"/>
      <c r="AK117" s="1172"/>
      <c r="AL117" s="1172"/>
      <c r="AM117" s="1172"/>
      <c r="AN117" s="1173"/>
      <c r="AO117" s="1172"/>
      <c r="AP117" s="1172"/>
      <c r="AQ117" s="1172"/>
      <c r="AR117" s="1173"/>
      <c r="AS117" s="1172"/>
      <c r="AT117" s="1172"/>
      <c r="AU117" s="1172"/>
      <c r="AV117" s="1173"/>
      <c r="AW117" s="1172"/>
      <c r="AX117" s="1172"/>
      <c r="AY117" s="1172"/>
      <c r="AZ117" s="1173"/>
      <c r="BA117" s="1172"/>
      <c r="BB117" s="1172"/>
      <c r="BC117" s="1172"/>
      <c r="BD117" s="1173"/>
      <c r="BE117" s="1172"/>
      <c r="BF117" s="1172"/>
      <c r="BG117" s="1172"/>
      <c r="BH117" s="1173"/>
      <c r="BI117" s="1172"/>
      <c r="BJ117" s="1172"/>
      <c r="BK117" s="1172"/>
      <c r="BL117" s="1173"/>
      <c r="BM117" s="1172"/>
      <c r="BN117" s="1172"/>
      <c r="BO117" s="1172"/>
      <c r="BP117" s="1173"/>
      <c r="BQ117" s="1172"/>
      <c r="BR117" s="1172"/>
      <c r="BS117" s="1172"/>
      <c r="BT117" s="1173"/>
      <c r="BU117" s="1172"/>
      <c r="BV117" s="1172"/>
      <c r="BW117" s="1172"/>
      <c r="BX117" s="1173"/>
      <c r="BY117" s="1172"/>
      <c r="BZ117" s="1172"/>
      <c r="CA117" s="1172"/>
      <c r="CB117" s="1173"/>
      <c r="CC117" s="1172"/>
      <c r="CD117" s="1172"/>
      <c r="CE117" s="1172"/>
      <c r="CF117" s="1173"/>
      <c r="CG117" s="742"/>
      <c r="CH117" s="1174"/>
      <c r="CI117" s="1175"/>
      <c r="CJ117" s="1175"/>
      <c r="CK117" s="1175"/>
      <c r="CL117" s="1175"/>
      <c r="CM117" s="1175"/>
      <c r="CN117" s="1175"/>
      <c r="CO117" s="1175"/>
      <c r="CP117" s="1175"/>
      <c r="CQ117" s="1175"/>
      <c r="CR117" s="1175"/>
      <c r="CS117" s="1175"/>
      <c r="CT117" s="1175"/>
      <c r="CU117" s="1175"/>
      <c r="CV117" s="1175"/>
      <c r="CW117" s="1175"/>
      <c r="CX117" s="1175"/>
      <c r="CY117" s="1175"/>
      <c r="CZ117" s="334"/>
      <c r="DA117" s="334"/>
      <c r="DB117" s="1818"/>
      <c r="DC117" s="1818"/>
      <c r="DD117" s="1818"/>
      <c r="DE117" s="1818"/>
      <c r="DF117" s="1819"/>
      <c r="DG117"/>
      <c r="DH117" s="273"/>
      <c r="DI117" s="273"/>
      <c r="DJ117" s="273"/>
    </row>
  </sheetData>
  <pageMargins left="0.75" right="0.75" top="1" bottom="1" header="0.5" footer="0.5"/>
  <pageSetup orientation="portrait" horizontalDpi="4294967292" verticalDpi="4294967292"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249977111117893"/>
  </sheetPr>
  <dimension ref="A1:DH62"/>
  <sheetViews>
    <sheetView showGridLines="0" zoomScaleNormal="100" zoomScaleSheetLayoutView="85" workbookViewId="0">
      <pane xSplit="12" ySplit="9" topLeftCell="CS10" activePane="bottomRight" state="frozen"/>
      <selection activeCell="CX27" sqref="CX27"/>
      <selection pane="topRight" activeCell="CX27" sqref="CX27"/>
      <selection pane="bottomLeft" activeCell="CX27" sqref="CX27"/>
      <selection pane="bottomRight" activeCell="L44" sqref="L44"/>
    </sheetView>
  </sheetViews>
  <sheetFormatPr defaultColWidth="12.5" defaultRowHeight="13.5" customHeight="1" outlineLevelRow="1" outlineLevelCol="1"/>
  <cols>
    <col min="1" max="1" width="12.5" style="1059" hidden="1" customWidth="1" outlineLevel="1"/>
    <col min="2" max="7" width="12.5" hidden="1" customWidth="1" outlineLevel="1"/>
    <col min="8" max="8" width="2.1640625" style="1059" bestFit="1" customWidth="1" collapsed="1"/>
    <col min="9" max="12" width="12.5" style="1059" customWidth="1"/>
    <col min="13" max="95" width="12.5" style="1059" hidden="1" customWidth="1"/>
    <col min="96" max="96" width="12.5" style="1059" hidden="1" customWidth="1" outlineLevel="1"/>
    <col min="97" max="97" width="8.83203125" style="1059" bestFit="1" customWidth="1" collapsed="1"/>
    <col min="98" max="101" width="8.83203125" style="1059" bestFit="1" customWidth="1"/>
    <col min="102" max="102" width="9.83203125" style="1059" bestFit="1" customWidth="1"/>
    <col min="103" max="110" width="8.83203125" style="1059" bestFit="1" customWidth="1"/>
    <col min="111" max="111" width="11.6640625" style="1059" bestFit="1" customWidth="1"/>
    <col min="112" max="112" width="12.5" style="1059" customWidth="1"/>
    <col min="113" max="16384" width="12.5" style="1059"/>
  </cols>
  <sheetData>
    <row r="1" spans="1:111" ht="13.5" customHeight="1">
      <c r="A1" s="1057"/>
      <c r="I1" s="1060" t="s">
        <v>428</v>
      </c>
      <c r="J1" s="1060"/>
      <c r="L1" s="1061">
        <f>fair_value</f>
        <v>1737.8233427639686</v>
      </c>
      <c r="M1" s="1061"/>
      <c r="N1" s="1061"/>
      <c r="O1" s="1061"/>
      <c r="P1" s="1061"/>
      <c r="Q1" s="1061"/>
      <c r="R1" s="1061"/>
      <c r="S1" s="1061"/>
      <c r="T1" s="1061"/>
      <c r="U1" s="1061"/>
      <c r="V1" s="1061"/>
      <c r="W1" s="1061"/>
      <c r="X1" s="1061"/>
      <c r="Y1" s="1061"/>
      <c r="Z1" s="1061"/>
      <c r="AA1" s="1061"/>
      <c r="AB1" s="1061"/>
      <c r="AC1" s="1061"/>
      <c r="AD1" s="1061"/>
      <c r="AE1" s="1061"/>
      <c r="AF1" s="1061"/>
      <c r="AG1" s="1061"/>
      <c r="AH1" s="1061"/>
      <c r="AI1" s="1061"/>
      <c r="AJ1" s="1061"/>
      <c r="AK1" s="1061"/>
      <c r="AL1" s="1061"/>
      <c r="AM1" s="1061"/>
      <c r="AN1" s="1061"/>
      <c r="AO1" s="1061"/>
      <c r="AP1" s="1061"/>
      <c r="AQ1" s="1061"/>
      <c r="AR1" s="1061"/>
      <c r="AS1" s="1061"/>
      <c r="AT1" s="1061"/>
      <c r="AU1" s="1061"/>
      <c r="AV1" s="1061"/>
      <c r="AW1" s="1061"/>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111" s="1058" customFormat="1" ht="13.5" customHeight="1">
      <c r="B2"/>
      <c r="C2"/>
      <c r="D2"/>
      <c r="E2"/>
      <c r="F2"/>
      <c r="G2"/>
      <c r="I2" s="1062"/>
      <c r="J2" s="1062"/>
      <c r="K2" s="1062"/>
      <c r="L2" s="1062"/>
      <c r="M2" s="1062"/>
      <c r="N2" s="1062"/>
      <c r="O2" s="1062"/>
      <c r="P2" s="1062"/>
      <c r="Q2" s="1062"/>
      <c r="R2" s="1062"/>
      <c r="S2" s="1062"/>
      <c r="T2" s="1062"/>
      <c r="U2" s="1062"/>
      <c r="V2" s="1062"/>
      <c r="W2" s="1062"/>
      <c r="X2" s="1062"/>
      <c r="Y2" s="1062"/>
      <c r="Z2" s="1062"/>
      <c r="AA2" s="1062"/>
      <c r="AB2" s="1062"/>
      <c r="AC2" s="1062"/>
      <c r="AD2" s="1062"/>
      <c r="AE2" s="1062"/>
      <c r="AF2" s="1062"/>
      <c r="AG2" s="1062"/>
      <c r="AH2" s="1062"/>
      <c r="AI2" s="1062"/>
      <c r="AJ2" s="1062"/>
      <c r="AK2" s="1062"/>
      <c r="AL2" s="1062"/>
      <c r="AM2" s="1062"/>
      <c r="AN2" s="1062"/>
      <c r="AO2" s="1062"/>
      <c r="AP2" s="1062"/>
      <c r="AQ2" s="1062"/>
      <c r="AR2" s="1062"/>
      <c r="AS2" s="1062"/>
      <c r="AT2" s="1062"/>
      <c r="AU2" s="1062"/>
      <c r="AV2" s="1062"/>
      <c r="AW2" s="1062"/>
      <c r="AX2" s="1062"/>
      <c r="AY2" s="1062"/>
      <c r="AZ2" s="1062"/>
      <c r="BA2" s="1062"/>
      <c r="BB2" s="1062"/>
      <c r="BC2" s="1062"/>
      <c r="BD2" s="1062"/>
      <c r="BE2" s="1062"/>
      <c r="BF2" s="1062"/>
      <c r="BG2" s="1062"/>
      <c r="BH2" s="1062"/>
      <c r="BI2" s="1062"/>
      <c r="BJ2" s="1062"/>
      <c r="BK2" s="1062"/>
      <c r="BL2" s="1062"/>
      <c r="BM2" s="1062"/>
      <c r="BN2" s="1062"/>
      <c r="BO2" s="1062"/>
      <c r="BP2" s="1062"/>
      <c r="BQ2" s="1062"/>
      <c r="BR2" s="1062"/>
      <c r="BS2" s="1062"/>
      <c r="BT2" s="1062"/>
      <c r="BU2" s="1062"/>
      <c r="BV2" s="1062"/>
      <c r="BW2" s="1062"/>
      <c r="BX2" s="1062"/>
      <c r="BY2" s="1062"/>
      <c r="BZ2" s="1062"/>
      <c r="CA2" s="1062"/>
      <c r="CB2" s="1062"/>
      <c r="CC2" s="1062"/>
      <c r="CD2" s="1062"/>
      <c r="CE2" s="1062"/>
      <c r="CF2" s="1062"/>
      <c r="CG2" s="1063"/>
      <c r="CH2" s="1063"/>
      <c r="CI2" s="1063"/>
      <c r="CJ2" s="1063"/>
      <c r="CK2" s="1063"/>
      <c r="CL2" s="1063"/>
      <c r="CM2" s="1063"/>
      <c r="CN2" s="1063"/>
      <c r="CO2" s="1063"/>
      <c r="CP2" s="1063"/>
      <c r="CQ2" s="1063"/>
      <c r="CR2" s="1063"/>
      <c r="CS2" s="1063"/>
      <c r="CT2" s="1063"/>
      <c r="CU2" s="1063"/>
      <c r="CV2" s="1063"/>
      <c r="CW2" s="1063"/>
      <c r="CX2" s="1063"/>
      <c r="CY2" s="1063"/>
      <c r="CZ2" s="1063"/>
      <c r="DA2" s="1063"/>
      <c r="DB2" s="1063"/>
      <c r="DC2" s="1063"/>
      <c r="DD2" s="1063"/>
      <c r="DE2" s="1063"/>
      <c r="DF2" s="1063"/>
      <c r="DG2" s="1063"/>
    </row>
    <row r="3" spans="1:111" s="1058" customFormat="1" ht="13.5" hidden="1" customHeight="1" outlineLevel="1">
      <c r="B3"/>
      <c r="C3"/>
      <c r="D3"/>
      <c r="E3"/>
      <c r="F3"/>
      <c r="G3"/>
      <c r="I3" s="1058" t="s">
        <v>429</v>
      </c>
      <c r="CG3" s="1064"/>
      <c r="CH3" s="1064"/>
      <c r="CI3" s="1064"/>
      <c r="CJ3" s="1064"/>
      <c r="CK3" s="1064"/>
      <c r="CL3" s="1064"/>
      <c r="CM3" s="1064"/>
      <c r="CN3" s="1064"/>
      <c r="CO3" s="1064"/>
      <c r="CP3" s="1064"/>
      <c r="CQ3" s="1064"/>
      <c r="CR3" s="1064">
        <v>0</v>
      </c>
      <c r="CS3" s="1064">
        <v>0</v>
      </c>
      <c r="CT3" s="1064">
        <v>0</v>
      </c>
      <c r="CU3" s="1064">
        <v>0</v>
      </c>
      <c r="CV3" s="1064">
        <v>0</v>
      </c>
      <c r="CW3" s="1064">
        <v>0</v>
      </c>
      <c r="CX3" s="1064">
        <v>0</v>
      </c>
      <c r="CY3" s="1064">
        <v>0</v>
      </c>
      <c r="CZ3" s="1064">
        <v>0</v>
      </c>
      <c r="DA3" s="1064">
        <v>0</v>
      </c>
      <c r="DB3" s="1064">
        <v>0</v>
      </c>
      <c r="DC3" s="1064">
        <v>0</v>
      </c>
      <c r="DD3" s="1064">
        <v>0</v>
      </c>
      <c r="DE3" s="1064">
        <v>0</v>
      </c>
      <c r="DF3" s="1064">
        <v>0</v>
      </c>
      <c r="DG3" s="1064"/>
    </row>
    <row r="4" spans="1:111" s="1058" customFormat="1" ht="13.5" hidden="1" customHeight="1" outlineLevel="1">
      <c r="B4"/>
      <c r="C4"/>
      <c r="D4"/>
      <c r="E4"/>
      <c r="F4"/>
      <c r="G4"/>
      <c r="I4" s="1058" t="s">
        <v>430</v>
      </c>
      <c r="CG4" s="1064"/>
      <c r="CH4" s="1064"/>
      <c r="CI4" s="1064"/>
      <c r="CJ4" s="1064"/>
      <c r="CK4" s="1064"/>
      <c r="CL4" s="1064"/>
      <c r="CM4" s="1064"/>
      <c r="CN4" s="1064"/>
      <c r="CO4" s="1064"/>
      <c r="CP4" s="1064"/>
      <c r="CQ4" s="1064"/>
      <c r="CR4" s="1064">
        <v>1</v>
      </c>
      <c r="CS4" s="1064">
        <v>1</v>
      </c>
      <c r="CT4" s="1064">
        <v>1</v>
      </c>
      <c r="CU4" s="1064">
        <v>1</v>
      </c>
      <c r="CV4" s="1064">
        <v>1</v>
      </c>
      <c r="CW4" s="1064">
        <v>1</v>
      </c>
      <c r="CX4" s="1064">
        <v>1</v>
      </c>
      <c r="CY4" s="1064">
        <v>1</v>
      </c>
      <c r="CZ4" s="1064">
        <v>1</v>
      </c>
      <c r="DA4" s="1064">
        <v>1</v>
      </c>
      <c r="DB4" s="1064">
        <v>1</v>
      </c>
      <c r="DC4" s="1064">
        <v>1</v>
      </c>
      <c r="DD4" s="1064">
        <v>1</v>
      </c>
      <c r="DE4" s="1064">
        <v>1</v>
      </c>
      <c r="DF4" s="1064">
        <v>1</v>
      </c>
      <c r="DG4" s="1064"/>
    </row>
    <row r="5" spans="1:111" customFormat="1" ht="13.5" hidden="1" customHeight="1" outlineLevel="1"/>
    <row r="6" spans="1:111" ht="13.5" hidden="1" customHeight="1" outlineLevel="1">
      <c r="I6" s="1059" t="s">
        <v>391</v>
      </c>
      <c r="CG6" s="1065"/>
      <c r="CH6" s="1065"/>
      <c r="CI6" s="1065"/>
      <c r="CJ6" s="1065"/>
      <c r="CK6" s="1065"/>
      <c r="CL6" s="1065"/>
      <c r="CM6" s="1065"/>
      <c r="CN6" s="1065"/>
      <c r="CO6" s="1065"/>
      <c r="CP6" s="1065"/>
      <c r="CQ6" s="1065"/>
      <c r="CR6" s="1065">
        <v>40908</v>
      </c>
      <c r="CS6" s="1065">
        <v>41274</v>
      </c>
      <c r="CT6" s="1065">
        <v>41639</v>
      </c>
      <c r="CU6" s="1065">
        <v>42004</v>
      </c>
      <c r="CV6" s="1065">
        <v>42369</v>
      </c>
      <c r="CW6" s="1065">
        <v>42735</v>
      </c>
      <c r="CX6" s="1065">
        <v>43100</v>
      </c>
      <c r="CY6" s="1065">
        <v>43465</v>
      </c>
      <c r="CZ6" s="1065">
        <v>43830</v>
      </c>
      <c r="DA6" s="1065">
        <v>44196</v>
      </c>
      <c r="DB6" s="1065">
        <v>44561</v>
      </c>
      <c r="DC6" s="1065">
        <v>44926</v>
      </c>
      <c r="DD6" s="1065">
        <v>45291</v>
      </c>
      <c r="DE6" s="1065">
        <v>45657</v>
      </c>
      <c r="DF6" s="1065">
        <v>46022</v>
      </c>
    </row>
    <row r="7" spans="1:111" ht="13.5" customHeight="1" collapsed="1">
      <c r="I7" s="1385" t="s">
        <v>767</v>
      </c>
      <c r="J7" s="1066"/>
      <c r="K7" s="1066"/>
      <c r="L7" s="1066"/>
      <c r="M7" s="1066"/>
      <c r="N7" s="1066"/>
      <c r="O7" s="1066"/>
      <c r="P7" s="1066"/>
      <c r="Q7" s="1066"/>
      <c r="R7" s="1066"/>
      <c r="S7" s="1066"/>
      <c r="T7" s="1066"/>
      <c r="U7" s="1066"/>
      <c r="V7" s="1066"/>
      <c r="W7" s="1066"/>
      <c r="X7" s="1066"/>
      <c r="Y7" s="1066"/>
      <c r="Z7" s="1066"/>
      <c r="AA7" s="1066"/>
      <c r="AB7" s="1066"/>
      <c r="AC7" s="1066"/>
      <c r="AD7" s="1066"/>
      <c r="AE7" s="1066"/>
      <c r="AF7" s="1066"/>
      <c r="AG7" s="1066"/>
      <c r="AH7" s="1066"/>
      <c r="AI7" s="1066"/>
      <c r="AJ7" s="1066"/>
      <c r="AK7" s="1066"/>
      <c r="AL7" s="1066"/>
      <c r="AM7" s="1066"/>
      <c r="AN7" s="1066"/>
      <c r="AO7" s="1066"/>
      <c r="AP7" s="1066"/>
      <c r="AQ7" s="1066"/>
      <c r="AR7" s="1066"/>
      <c r="AS7" s="1066"/>
      <c r="AT7" s="1066"/>
      <c r="AU7" s="1066"/>
      <c r="AV7" s="1066"/>
      <c r="AW7" s="1066"/>
      <c r="AX7" s="1066"/>
      <c r="AY7" s="1066"/>
      <c r="AZ7" s="1066"/>
      <c r="BA7" s="1066"/>
      <c r="BB7" s="1066"/>
      <c r="BC7" s="1066"/>
      <c r="BD7" s="1066"/>
      <c r="BE7" s="1066"/>
      <c r="BF7" s="1066"/>
      <c r="BG7" s="1066"/>
      <c r="BH7" s="1066"/>
      <c r="BI7" s="1066"/>
      <c r="BJ7" s="1066"/>
      <c r="BK7" s="1066"/>
      <c r="BL7" s="1066"/>
      <c r="BM7" s="1066"/>
      <c r="BN7" s="1066"/>
      <c r="BO7" s="1066"/>
      <c r="BP7" s="1066"/>
      <c r="BQ7" s="1066"/>
      <c r="BR7" s="1066"/>
      <c r="BS7" s="1066"/>
      <c r="BT7" s="1066"/>
      <c r="BU7" s="1066"/>
      <c r="BV7" s="1066"/>
      <c r="BW7" s="1066"/>
      <c r="BX7" s="1066"/>
      <c r="BY7" s="1066"/>
      <c r="BZ7" s="1066"/>
      <c r="CA7" s="1066"/>
      <c r="CB7" s="1066"/>
      <c r="CC7" s="1066"/>
      <c r="CD7" s="1066"/>
      <c r="CE7" s="1066"/>
      <c r="CF7" s="1066"/>
      <c r="CG7" s="1067"/>
      <c r="CH7" s="1067"/>
      <c r="CI7" s="1067"/>
      <c r="CJ7" s="1067"/>
      <c r="CK7" s="1067"/>
      <c r="CL7" s="1067"/>
      <c r="CM7" s="1067"/>
      <c r="CN7" s="1067"/>
      <c r="CO7" s="1067"/>
      <c r="CP7" s="1067"/>
      <c r="CQ7" s="1067"/>
      <c r="CR7" s="1067"/>
      <c r="CS7" s="1067"/>
      <c r="CT7" s="1067"/>
      <c r="CU7" s="1067"/>
      <c r="CV7" s="1067"/>
      <c r="CW7" s="1067"/>
      <c r="CX7" s="1067"/>
      <c r="CY7" s="1067"/>
      <c r="CZ7" s="1067"/>
      <c r="DA7" s="1067"/>
      <c r="DB7" s="1067"/>
      <c r="DC7" s="1067"/>
      <c r="DD7" s="1067"/>
      <c r="DE7" s="1067"/>
      <c r="DF7" s="1067"/>
      <c r="DG7" s="1068" t="s">
        <v>431</v>
      </c>
    </row>
    <row r="8" spans="1:111" ht="13.5" customHeight="1" thickBot="1">
      <c r="I8" s="1069" t="s">
        <v>392</v>
      </c>
      <c r="J8" s="1069"/>
      <c r="K8" s="1069"/>
      <c r="L8" s="1069"/>
      <c r="M8" s="1069"/>
      <c r="N8" s="1069"/>
      <c r="O8" s="1069"/>
      <c r="P8" s="1069"/>
      <c r="Q8" s="1069"/>
      <c r="R8" s="1069"/>
      <c r="S8" s="1069"/>
      <c r="T8" s="1069"/>
      <c r="U8" s="1069"/>
      <c r="V8" s="1069"/>
      <c r="W8" s="1069"/>
      <c r="X8" s="1069"/>
      <c r="Y8" s="1069"/>
      <c r="Z8" s="1069"/>
      <c r="AA8" s="1069"/>
      <c r="AB8" s="1069"/>
      <c r="AC8" s="1069"/>
      <c r="AD8" s="1069"/>
      <c r="AE8" s="1069"/>
      <c r="AF8" s="1069"/>
      <c r="AG8" s="1069"/>
      <c r="AH8" s="1069"/>
      <c r="AI8" s="1069"/>
      <c r="AJ8" s="1069"/>
      <c r="AK8" s="1069"/>
      <c r="AL8" s="1069"/>
      <c r="AM8" s="1069"/>
      <c r="AN8" s="1069"/>
      <c r="AO8" s="1069"/>
      <c r="AP8" s="1069"/>
      <c r="AQ8" s="1069"/>
      <c r="AR8" s="1069"/>
      <c r="AS8" s="1069"/>
      <c r="AT8" s="1069"/>
      <c r="AU8" s="1069"/>
      <c r="AV8" s="1069"/>
      <c r="AW8" s="1069"/>
      <c r="AX8" s="1069"/>
      <c r="AY8" s="1069"/>
      <c r="AZ8" s="1069"/>
      <c r="BA8" s="1069"/>
      <c r="BB8" s="1069"/>
      <c r="BC8" s="1069"/>
      <c r="BD8" s="1069"/>
      <c r="BE8" s="1069"/>
      <c r="BF8" s="1069"/>
      <c r="BG8" s="1069"/>
      <c r="BH8" s="1069"/>
      <c r="BI8" s="1069"/>
      <c r="BJ8" s="1069"/>
      <c r="BK8" s="1069"/>
      <c r="BL8" s="1069"/>
      <c r="BM8" s="1069"/>
      <c r="BN8" s="1069"/>
      <c r="BO8" s="1069"/>
      <c r="BP8" s="1069"/>
      <c r="BQ8" s="1069"/>
      <c r="BR8" s="1069"/>
      <c r="BS8" s="1069"/>
      <c r="BT8" s="1069"/>
      <c r="BU8" s="1069"/>
      <c r="BV8" s="1069"/>
      <c r="BW8" s="1069"/>
      <c r="BX8" s="1069"/>
      <c r="BY8" s="1069"/>
      <c r="BZ8" s="1069"/>
      <c r="CA8" s="1069"/>
      <c r="CB8" s="1069"/>
      <c r="CC8" s="1069"/>
      <c r="CD8" s="1069"/>
      <c r="CE8" s="1069"/>
      <c r="CF8" s="1069"/>
      <c r="CG8" s="1070"/>
      <c r="CH8" s="1070"/>
      <c r="CI8" s="1070"/>
      <c r="CJ8" s="1070"/>
      <c r="CK8" s="1070"/>
      <c r="CL8" s="1070"/>
      <c r="CM8" s="1070"/>
      <c r="CN8" s="1070"/>
      <c r="CO8" s="1070"/>
      <c r="CP8" s="1070"/>
      <c r="CQ8" s="1070"/>
      <c r="CR8" s="1070">
        <v>40908</v>
      </c>
      <c r="CS8" s="1070">
        <v>41274</v>
      </c>
      <c r="CT8" s="1070">
        <v>41639</v>
      </c>
      <c r="CU8" s="1070">
        <v>42004</v>
      </c>
      <c r="CV8" s="1070">
        <v>42369</v>
      </c>
      <c r="CW8" s="1070">
        <v>42735</v>
      </c>
      <c r="CX8" s="1070">
        <v>43100</v>
      </c>
      <c r="CY8" s="1071">
        <v>43465</v>
      </c>
      <c r="CZ8" s="1071">
        <v>43830</v>
      </c>
      <c r="DA8" s="1071">
        <v>44196</v>
      </c>
      <c r="DB8" s="1071">
        <v>44561</v>
      </c>
      <c r="DC8" s="1071">
        <v>44926</v>
      </c>
      <c r="DD8" s="1071">
        <v>45291</v>
      </c>
      <c r="DE8" s="1071">
        <v>45657</v>
      </c>
      <c r="DF8" s="1071">
        <v>46022</v>
      </c>
      <c r="DG8" s="1072" t="s">
        <v>432</v>
      </c>
    </row>
    <row r="9" spans="1:111" ht="5.0999999999999996" customHeight="1"/>
    <row r="10" spans="1:111" ht="13.5" customHeight="1">
      <c r="I10" s="1073" t="s">
        <v>433</v>
      </c>
      <c r="J10" s="1073"/>
      <c r="K10" s="1073"/>
      <c r="L10" s="1073"/>
      <c r="M10" s="1073"/>
      <c r="N10" s="1073"/>
      <c r="O10" s="1073"/>
      <c r="P10" s="1073"/>
      <c r="Q10" s="1073"/>
      <c r="R10" s="1073"/>
      <c r="S10" s="1073"/>
      <c r="T10" s="1073"/>
      <c r="U10" s="1073"/>
      <c r="V10" s="1073"/>
      <c r="W10" s="1073"/>
      <c r="X10" s="1073"/>
      <c r="Y10" s="1073"/>
      <c r="Z10" s="1073"/>
      <c r="AA10" s="1073"/>
      <c r="AB10" s="1073"/>
      <c r="AC10" s="1073"/>
      <c r="AD10" s="1073"/>
      <c r="AE10" s="1073"/>
      <c r="AF10" s="1073"/>
      <c r="AG10" s="1073"/>
      <c r="AH10" s="1073"/>
      <c r="AI10" s="1073"/>
      <c r="AJ10" s="1073"/>
      <c r="AK10" s="1073"/>
      <c r="AL10" s="1073"/>
      <c r="AM10" s="1073"/>
      <c r="AN10" s="1073"/>
      <c r="AO10" s="1073"/>
      <c r="AP10" s="1073"/>
      <c r="AQ10" s="1073"/>
      <c r="AR10" s="1073"/>
      <c r="AS10" s="1073"/>
      <c r="AT10" s="1073"/>
      <c r="AU10" s="1073"/>
      <c r="AV10" s="1073"/>
      <c r="AW10" s="1073"/>
      <c r="AX10" s="1073"/>
      <c r="AY10" s="1073"/>
      <c r="AZ10" s="1073"/>
      <c r="BA10" s="1073"/>
      <c r="BB10" s="1073"/>
      <c r="BC10" s="1073"/>
      <c r="BD10" s="1073"/>
      <c r="BE10" s="1073"/>
      <c r="BF10" s="1073"/>
      <c r="BG10" s="1073"/>
      <c r="BH10" s="1073"/>
      <c r="BI10" s="1073"/>
      <c r="BJ10" s="1073"/>
      <c r="BK10" s="1073"/>
      <c r="BL10" s="1073"/>
      <c r="BM10" s="1073"/>
      <c r="BN10" s="1073"/>
      <c r="BO10" s="1073"/>
      <c r="BP10" s="1073"/>
      <c r="BQ10" s="1073"/>
      <c r="BR10" s="1073"/>
      <c r="BS10" s="1073"/>
      <c r="BT10" s="1073"/>
      <c r="BU10" s="1073"/>
      <c r="BV10" s="1073"/>
      <c r="BW10" s="1073"/>
      <c r="BX10" s="1073"/>
      <c r="BY10" s="1073"/>
      <c r="BZ10" s="1073"/>
      <c r="CA10" s="1073"/>
      <c r="CB10" s="1073"/>
      <c r="CC10" s="1073"/>
      <c r="CD10" s="1073"/>
      <c r="CE10" s="1073"/>
      <c r="CF10" s="1073"/>
      <c r="CG10" s="1073"/>
      <c r="CH10" s="1073"/>
      <c r="CI10" s="1073"/>
      <c r="CJ10" s="1073"/>
      <c r="CK10" s="1073"/>
      <c r="CL10" s="1073"/>
      <c r="CM10" s="1073"/>
      <c r="CN10" s="1073"/>
      <c r="CO10" s="1073"/>
      <c r="CP10" s="1073"/>
      <c r="CQ10" s="1073"/>
      <c r="CR10" s="1073"/>
      <c r="CS10" s="1073"/>
      <c r="CT10" s="1074"/>
      <c r="CU10" s="1074"/>
      <c r="CV10" s="1074"/>
      <c r="CW10" s="1074"/>
      <c r="CX10" s="1074"/>
      <c r="CY10" s="1074"/>
      <c r="CZ10" s="1074"/>
      <c r="DA10" s="1074"/>
      <c r="DB10" s="1074"/>
      <c r="DC10" s="1074"/>
      <c r="DD10" s="1074"/>
      <c r="DE10" s="1074"/>
      <c r="DF10" s="1074"/>
      <c r="DG10" s="1073"/>
    </row>
    <row r="11" spans="1:111" ht="13.5" customHeight="1">
      <c r="I11" s="1059" t="s">
        <v>18</v>
      </c>
      <c r="CG11" s="1075"/>
      <c r="CH11" s="1075"/>
      <c r="CI11" s="1075"/>
      <c r="CJ11" s="1075"/>
      <c r="CK11" s="1075"/>
      <c r="CL11" s="1075"/>
      <c r="CM11" s="1075"/>
      <c r="CN11" s="1075"/>
      <c r="CO11" s="1075"/>
      <c r="CP11" s="1075"/>
      <c r="CQ11" s="1075"/>
      <c r="CR11" s="1075">
        <f>Model!CR21</f>
        <v>4355.6100000000006</v>
      </c>
      <c r="CS11" s="1075">
        <f>Model!CS21</f>
        <v>5260.956000000001</v>
      </c>
      <c r="CT11" s="1075">
        <f>Model!CT21</f>
        <v>6793.3060000000005</v>
      </c>
      <c r="CU11" s="1075">
        <f>Model!CU21</f>
        <v>8441.9709999999995</v>
      </c>
      <c r="CV11" s="1075">
        <f>Model!CV21</f>
        <v>9223.987000000001</v>
      </c>
      <c r="CW11" s="1075">
        <f>Model!CW21</f>
        <v>10743.005999999999</v>
      </c>
      <c r="CX11" s="1075">
        <f>Model!CX21</f>
        <v>12681.082</v>
      </c>
      <c r="CY11" s="1075">
        <f t="shared" ref="CY11:DF11" si="0">+CX11*(1+CY12)</f>
        <v>15018.07863740331</v>
      </c>
      <c r="CZ11" s="1075">
        <f t="shared" si="0"/>
        <v>16751.360586406758</v>
      </c>
      <c r="DA11" s="1075">
        <f t="shared" si="0"/>
        <v>18390.344003017519</v>
      </c>
      <c r="DB11" s="1075">
        <f t="shared" si="0"/>
        <v>19880.292863315051</v>
      </c>
      <c r="DC11" s="1075">
        <f t="shared" si="0"/>
        <v>21261.942607771878</v>
      </c>
      <c r="DD11" s="1075">
        <f t="shared" si="0"/>
        <v>22557.389658632354</v>
      </c>
      <c r="DE11" s="1075">
        <f t="shared" si="0"/>
        <v>23754.818230929435</v>
      </c>
      <c r="DF11" s="1075">
        <f t="shared" si="0"/>
        <v>25023.02578283101</v>
      </c>
      <c r="DG11" s="1103">
        <f>+(1+$L$43)*DF11</f>
        <v>25519.732844620205</v>
      </c>
    </row>
    <row r="12" spans="1:111" ht="13.5" customHeight="1">
      <c r="I12" s="1077" t="s">
        <v>376</v>
      </c>
      <c r="CG12" s="1078"/>
      <c r="CH12" s="1078"/>
      <c r="CI12" s="1078"/>
      <c r="CJ12" s="1078"/>
      <c r="CK12" s="1078"/>
      <c r="CL12" s="1078"/>
      <c r="CM12" s="1078"/>
      <c r="CN12" s="1078"/>
      <c r="CO12" s="1078"/>
      <c r="CP12" s="1078"/>
      <c r="CQ12" s="1078"/>
      <c r="CR12" s="1078" t="str">
        <f t="shared" ref="CR12:CX12" si="1">IF(ISERROR(+CR11/CQ11-1), "NA", +CR11/CQ11-1)</f>
        <v>NA</v>
      </c>
      <c r="CS12" s="1078">
        <f t="shared" si="1"/>
        <v>0.20785745280224832</v>
      </c>
      <c r="CT12" s="1078">
        <f t="shared" si="1"/>
        <v>0.29126835502900983</v>
      </c>
      <c r="CU12" s="1078">
        <f t="shared" si="1"/>
        <v>0.2426896418327098</v>
      </c>
      <c r="CV12" s="1078">
        <f t="shared" si="1"/>
        <v>9.263429120995581E-2</v>
      </c>
      <c r="CW12" s="1078">
        <f t="shared" si="1"/>
        <v>0.16468138994558412</v>
      </c>
      <c r="CX12" s="1078">
        <f t="shared" si="1"/>
        <v>0.18040351089816031</v>
      </c>
      <c r="CY12" s="1079">
        <f>+'Base DCF'!CY10-0.02</f>
        <v>0.18429000280916966</v>
      </c>
      <c r="CZ12" s="1079">
        <f>+'Base DCF'!CZ10-0.02</f>
        <v>0.11541302924640552</v>
      </c>
      <c r="DA12" s="1079">
        <f>+'Base DCF'!DA10-0.02</f>
        <v>9.784180861945925E-2</v>
      </c>
      <c r="DB12" s="1079">
        <f>+'Base DCF'!DB10-0.02</f>
        <v>8.10179983611541E-2</v>
      </c>
      <c r="DC12" s="1079">
        <f>+'Base DCF'!DC10-0.02</f>
        <v>6.9498460307210866E-2</v>
      </c>
      <c r="DD12" s="1079">
        <f>+'Base DCF'!DD10-0.02</f>
        <v>6.0927972328687977E-2</v>
      </c>
      <c r="DE12" s="1079">
        <f>+'Base DCF'!DE10-0.02</f>
        <v>5.308364976702197E-2</v>
      </c>
      <c r="DF12" s="1079">
        <f>+'Base DCF'!DF10-0.02</f>
        <v>5.3387381859665531E-2</v>
      </c>
      <c r="DG12" s="1078">
        <f>IF(ISERROR(+DG11/DF11-1),"NA",+DG11/DF11-1)</f>
        <v>1.9849999999999923E-2</v>
      </c>
    </row>
    <row r="13" spans="1:111" ht="13.5" customHeight="1">
      <c r="CS13" s="1080"/>
      <c r="CT13" s="1081"/>
      <c r="CU13" s="1081"/>
      <c r="CV13" s="1549"/>
      <c r="CW13" s="1549"/>
      <c r="CX13" s="1549"/>
      <c r="CY13" s="1549"/>
      <c r="CZ13" s="1549"/>
      <c r="DA13" s="1549"/>
      <c r="DB13" s="1549"/>
      <c r="DC13" s="1549"/>
      <c r="DD13" s="1549"/>
      <c r="DE13" s="1549"/>
      <c r="DF13" s="1549"/>
    </row>
    <row r="14" spans="1:111" ht="13.5" customHeight="1">
      <c r="I14" s="1059" t="s">
        <v>434</v>
      </c>
      <c r="CG14" s="1075"/>
      <c r="CH14" s="1075"/>
      <c r="CI14" s="1075"/>
      <c r="CJ14" s="1075"/>
      <c r="CK14" s="1075"/>
      <c r="CL14" s="1075"/>
      <c r="CM14" s="1075"/>
      <c r="CN14" s="1075"/>
      <c r="CO14" s="1075"/>
      <c r="CP14" s="1075"/>
      <c r="CQ14" s="1082"/>
      <c r="CR14" s="1082">
        <f>Model!CR95</f>
        <v>1445.2510000000004</v>
      </c>
      <c r="CS14" s="1082">
        <f>Model!CS95</f>
        <v>1885.2130000000011</v>
      </c>
      <c r="CT14" s="1082">
        <f>Model!CT95</f>
        <v>2520.2950000000001</v>
      </c>
      <c r="CU14" s="1082">
        <f>Model!CU95</f>
        <v>3277.956999999999</v>
      </c>
      <c r="CV14" s="1082">
        <f>Model!CV95</f>
        <v>3475.257999999998</v>
      </c>
      <c r="CW14" s="1082">
        <f>Model!CW95</f>
        <v>4139.2349999999997</v>
      </c>
      <c r="CX14" s="1082">
        <f>Model!CX95</f>
        <v>4867.2319999999982</v>
      </c>
      <c r="CY14" s="1075">
        <f>+CY27*CY11</f>
        <v>5412.2960194556754</v>
      </c>
      <c r="CZ14" s="1075">
        <f t="shared" ref="CZ14:DF14" si="2">+CZ27*CZ11</f>
        <v>6066.0492489004891</v>
      </c>
      <c r="DA14" s="1075">
        <f t="shared" si="2"/>
        <v>6736.0000157361928</v>
      </c>
      <c r="DB14" s="1075">
        <f t="shared" si="2"/>
        <v>7379.4830220103631</v>
      </c>
      <c r="DC14" s="1075">
        <f t="shared" si="2"/>
        <v>7991.8480260678743</v>
      </c>
      <c r="DD14" s="1075">
        <f t="shared" si="2"/>
        <v>8563.4575038161038</v>
      </c>
      <c r="DE14" s="1075">
        <f t="shared" si="2"/>
        <v>9086.5801073272141</v>
      </c>
      <c r="DF14" s="1075">
        <f t="shared" si="2"/>
        <v>9677.7267811321217</v>
      </c>
      <c r="DG14" s="1076">
        <f>+DG27*DG11</f>
        <v>9869.829657737595</v>
      </c>
    </row>
    <row r="15" spans="1:111" ht="13.5" customHeight="1">
      <c r="I15" s="1059" t="s">
        <v>435</v>
      </c>
      <c r="CG15" s="1083"/>
      <c r="CH15" s="1083"/>
      <c r="CI15" s="1083"/>
      <c r="CJ15" s="1083"/>
      <c r="CK15" s="1083"/>
      <c r="CL15" s="1083"/>
      <c r="CM15" s="1083"/>
      <c r="CN15" s="1083"/>
      <c r="CO15" s="1083"/>
      <c r="CP15" s="1083"/>
      <c r="CQ15" s="1084"/>
      <c r="CR15" s="1082">
        <f>Model!CR540</f>
        <v>-232.762</v>
      </c>
      <c r="CS15" s="1082">
        <f>Model!CS540</f>
        <v>-300.53899999999999</v>
      </c>
      <c r="CT15" s="1082">
        <f>Model!CT540</f>
        <v>-391.16899999999998</v>
      </c>
      <c r="CU15" s="1082">
        <f>Model!CU540</f>
        <v>-491.53</v>
      </c>
      <c r="CV15" s="1082">
        <f>Model!CV540</f>
        <v>-534.10500000000002</v>
      </c>
      <c r="CW15" s="1082">
        <f>Model!CW540</f>
        <v>-636.54999999999995</v>
      </c>
      <c r="CX15" s="1082">
        <f>Model!CX540</f>
        <v>-2057.5569999999998</v>
      </c>
      <c r="CY15" s="1082"/>
      <c r="CZ15" s="1082"/>
      <c r="DA15" s="1082"/>
      <c r="DB15" s="1082"/>
      <c r="DC15" s="1082"/>
      <c r="DD15" s="1082"/>
      <c r="DE15" s="1082"/>
      <c r="DF15" s="1082"/>
    </row>
    <row r="16" spans="1:111" s="1091" customFormat="1" ht="13.5" customHeight="1">
      <c r="B16"/>
      <c r="C16"/>
      <c r="D16"/>
      <c r="E16"/>
      <c r="F16"/>
      <c r="G16"/>
      <c r="I16" s="1091" t="s">
        <v>437</v>
      </c>
      <c r="CG16" s="1533"/>
      <c r="CH16" s="1533"/>
      <c r="CI16" s="1533"/>
      <c r="CJ16" s="1533"/>
      <c r="CK16" s="1533"/>
      <c r="CL16" s="1533"/>
      <c r="CM16" s="1533"/>
      <c r="CN16" s="1533"/>
      <c r="CO16" s="1533"/>
      <c r="CP16" s="1533"/>
      <c r="CQ16" s="1534"/>
      <c r="CR16" s="1082">
        <f>-Model!CR478</f>
        <v>-65.724000000000004</v>
      </c>
      <c r="CS16" s="1082">
        <f>-Model!CS478</f>
        <v>-71.564999999999998</v>
      </c>
      <c r="CT16" s="1082">
        <f>-Model!CT478</f>
        <v>-140.52600000000001</v>
      </c>
      <c r="CU16" s="1082">
        <f>-Model!CU478</f>
        <v>-186.42500000000001</v>
      </c>
      <c r="CV16" s="1082">
        <f>-Model!CV478</f>
        <v>-247.39499999999998</v>
      </c>
      <c r="CW16" s="1082">
        <f>-Model!CW478</f>
        <v>-249.57400000000001</v>
      </c>
      <c r="CX16" s="1082">
        <f>-Model!CX478</f>
        <v>-260.90999999999997</v>
      </c>
      <c r="CY16" s="1082"/>
      <c r="CZ16" s="1082"/>
      <c r="DA16" s="1082"/>
      <c r="DB16" s="1082"/>
      <c r="DC16" s="1082"/>
      <c r="DD16" s="1082"/>
      <c r="DE16" s="1082"/>
      <c r="DF16" s="1082"/>
    </row>
    <row r="17" spans="2:112" s="1091" customFormat="1" ht="13.5" customHeight="1">
      <c r="B17"/>
      <c r="C17"/>
      <c r="D17"/>
      <c r="E17"/>
      <c r="F17"/>
      <c r="G17"/>
      <c r="I17" s="1091" t="s">
        <v>415</v>
      </c>
      <c r="CG17" s="1533"/>
      <c r="CH17" s="1533"/>
      <c r="CI17" s="1533"/>
      <c r="CJ17" s="1533"/>
      <c r="CK17" s="1533"/>
      <c r="CL17" s="1533"/>
      <c r="CM17" s="1533"/>
      <c r="CN17" s="1533"/>
      <c r="CO17" s="1533"/>
      <c r="CP17" s="1533"/>
      <c r="CQ17" s="1534"/>
      <c r="CR17" s="1082">
        <f>-Model!CR521</f>
        <v>-46.832999999999998</v>
      </c>
      <c r="CS17" s="1082">
        <f>-Model!CS521</f>
        <v>-55.158000000000001</v>
      </c>
      <c r="CT17" s="1082">
        <f>-Model!CT521</f>
        <v>-84.444999999999993</v>
      </c>
      <c r="CU17" s="1082">
        <f>-Model!CU521</f>
        <v>-131.50399999999999</v>
      </c>
      <c r="CV17" s="1082">
        <f>-Model!CV521</f>
        <v>-173.91499999999999</v>
      </c>
      <c r="CW17" s="1082">
        <f>-Model!CW521</f>
        <v>-219.88900000000001</v>
      </c>
      <c r="CX17" s="1082">
        <f>-Model!CX521</f>
        <v>-287.80500000000001</v>
      </c>
      <c r="CY17" s="1082"/>
      <c r="CZ17" s="1082"/>
      <c r="DA17" s="1082"/>
      <c r="DB17" s="1082"/>
      <c r="DC17" s="1082"/>
      <c r="DD17" s="1082"/>
      <c r="DE17" s="1082"/>
      <c r="DF17" s="1082"/>
    </row>
    <row r="18" spans="2:112" ht="13.5" customHeight="1">
      <c r="I18" s="1536" t="s">
        <v>436</v>
      </c>
      <c r="J18" s="1536"/>
      <c r="K18" s="1536"/>
      <c r="L18" s="1536"/>
      <c r="M18" s="1536"/>
      <c r="N18" s="1536"/>
      <c r="O18" s="1536"/>
      <c r="P18" s="1536"/>
      <c r="Q18" s="1536"/>
      <c r="R18" s="1536"/>
      <c r="S18" s="1536"/>
      <c r="T18" s="1536"/>
      <c r="U18" s="1536"/>
      <c r="V18" s="1536"/>
      <c r="W18" s="1536"/>
      <c r="X18" s="1536"/>
      <c r="Y18" s="1536"/>
      <c r="Z18" s="1536"/>
      <c r="AA18" s="1536"/>
      <c r="AB18" s="1536"/>
      <c r="AC18" s="1536"/>
      <c r="AD18" s="1536"/>
      <c r="AE18" s="1536"/>
      <c r="AF18" s="1536"/>
      <c r="AG18" s="1536"/>
      <c r="AH18" s="1536"/>
      <c r="AI18" s="1536"/>
      <c r="AJ18" s="1536"/>
      <c r="AK18" s="1536"/>
      <c r="AL18" s="1536"/>
      <c r="AM18" s="1536"/>
      <c r="AN18" s="1536"/>
      <c r="AO18" s="1536"/>
      <c r="AP18" s="1536"/>
      <c r="AQ18" s="1536"/>
      <c r="AR18" s="1536"/>
      <c r="AS18" s="1536"/>
      <c r="AT18" s="1536"/>
      <c r="AU18" s="1536"/>
      <c r="AV18" s="1536"/>
      <c r="AW18" s="1536"/>
      <c r="AX18" s="1536"/>
      <c r="AY18" s="1536"/>
      <c r="AZ18" s="1536"/>
      <c r="BA18" s="1536"/>
      <c r="BB18" s="1536"/>
      <c r="BC18" s="1536"/>
      <c r="BD18" s="1536"/>
      <c r="BE18" s="1536"/>
      <c r="BF18" s="1536"/>
      <c r="BG18" s="1536"/>
      <c r="BH18" s="1536"/>
      <c r="BI18" s="1536"/>
      <c r="BJ18" s="1536"/>
      <c r="BK18" s="1536"/>
      <c r="BL18" s="1536"/>
      <c r="BM18" s="1536"/>
      <c r="BN18" s="1536"/>
      <c r="BO18" s="1536"/>
      <c r="BP18" s="1536"/>
      <c r="BQ18" s="1536"/>
      <c r="BR18" s="1536"/>
      <c r="BS18" s="1536"/>
      <c r="BT18" s="1536"/>
      <c r="BU18" s="1536"/>
      <c r="BV18" s="1536"/>
      <c r="BW18" s="1536"/>
      <c r="BX18" s="1536"/>
      <c r="BY18" s="1536"/>
      <c r="BZ18" s="1536"/>
      <c r="CA18" s="1536"/>
      <c r="CB18" s="1536"/>
      <c r="CC18" s="1536"/>
      <c r="CD18" s="1536"/>
      <c r="CE18" s="1536"/>
      <c r="CF18" s="1536"/>
      <c r="CG18" s="1537"/>
      <c r="CH18" s="1537"/>
      <c r="CI18" s="1537"/>
      <c r="CJ18" s="1537"/>
      <c r="CK18" s="1537"/>
      <c r="CL18" s="1537"/>
      <c r="CM18" s="1537"/>
      <c r="CN18" s="1537"/>
      <c r="CO18" s="1537"/>
      <c r="CP18" s="1537"/>
      <c r="CQ18" s="1538"/>
      <c r="CR18" s="1772">
        <f>Model!CR664</f>
        <v>84.778999999999982</v>
      </c>
      <c r="CS18" s="1772">
        <f>Model!CS664</f>
        <v>143.81500000000003</v>
      </c>
      <c r="CT18" s="1772">
        <f>Model!CT664</f>
        <v>52.941000000000003</v>
      </c>
      <c r="CU18" s="1772">
        <f>Model!CU664</f>
        <v>-25.395000000000014</v>
      </c>
      <c r="CV18" s="1772">
        <f>Model!CV664</f>
        <v>-8.0130000000000123</v>
      </c>
      <c r="CW18" s="1772">
        <f>Model!CW664</f>
        <v>215.87299999999999</v>
      </c>
      <c r="CX18" s="1772">
        <f>Model!CX664</f>
        <v>1578.367</v>
      </c>
      <c r="CY18" s="1772"/>
      <c r="CZ18" s="1772"/>
      <c r="DA18" s="1772"/>
      <c r="DB18" s="1772"/>
      <c r="DC18" s="1772"/>
      <c r="DD18" s="1772"/>
      <c r="DE18" s="1772"/>
      <c r="DF18" s="1772"/>
    </row>
    <row r="19" spans="2:112" ht="13.5" customHeight="1">
      <c r="I19" s="1085" t="s">
        <v>438</v>
      </c>
      <c r="J19" s="1085"/>
      <c r="K19" s="1085"/>
      <c r="L19" s="1085"/>
      <c r="M19" s="1085"/>
      <c r="N19" s="1085"/>
      <c r="O19" s="1085"/>
      <c r="P19" s="1085"/>
      <c r="Q19" s="1085"/>
      <c r="R19" s="1085"/>
      <c r="S19" s="1085"/>
      <c r="T19" s="1085"/>
      <c r="U19" s="1085"/>
      <c r="V19" s="1085"/>
      <c r="W19" s="1085"/>
      <c r="X19" s="1085"/>
      <c r="Y19" s="1085"/>
      <c r="Z19" s="1085"/>
      <c r="AA19" s="1085"/>
      <c r="AB19" s="1085"/>
      <c r="AC19" s="1085"/>
      <c r="AD19" s="1085"/>
      <c r="AE19" s="1085"/>
      <c r="AF19" s="1085"/>
      <c r="AG19" s="1085"/>
      <c r="AH19" s="1085"/>
      <c r="AI19" s="1085"/>
      <c r="AJ19" s="1085"/>
      <c r="AK19" s="1085"/>
      <c r="AL19" s="1085"/>
      <c r="AM19" s="1085"/>
      <c r="AN19" s="1085"/>
      <c r="AO19" s="1085"/>
      <c r="AP19" s="1085"/>
      <c r="AQ19" s="1085"/>
      <c r="AR19" s="1085"/>
      <c r="AS19" s="1085"/>
      <c r="AT19" s="1085"/>
      <c r="AU19" s="1085"/>
      <c r="AV19" s="1085"/>
      <c r="AW19" s="1085"/>
      <c r="AX19" s="1085"/>
      <c r="AY19" s="1085"/>
      <c r="AZ19" s="1085"/>
      <c r="BA19" s="1085"/>
      <c r="BB19" s="1085"/>
      <c r="BC19" s="1085"/>
      <c r="BD19" s="1085"/>
      <c r="BE19" s="1085"/>
      <c r="BF19" s="1085"/>
      <c r="BG19" s="1085"/>
      <c r="BH19" s="1085"/>
      <c r="BI19" s="1085"/>
      <c r="BJ19" s="1085"/>
      <c r="BK19" s="1085"/>
      <c r="BL19" s="1085"/>
      <c r="BM19" s="1085"/>
      <c r="BN19" s="1085"/>
      <c r="BO19" s="1085"/>
      <c r="BP19" s="1085"/>
      <c r="BQ19" s="1085"/>
      <c r="BR19" s="1085"/>
      <c r="BS19" s="1085"/>
      <c r="BT19" s="1085"/>
      <c r="BU19" s="1085"/>
      <c r="BV19" s="1085"/>
      <c r="BW19" s="1085"/>
      <c r="BX19" s="1085"/>
      <c r="BY19" s="1085"/>
      <c r="BZ19" s="1085"/>
      <c r="CA19" s="1085"/>
      <c r="CB19" s="1085"/>
      <c r="CC19" s="1085"/>
      <c r="CD19" s="1085"/>
      <c r="CE19" s="1085"/>
      <c r="CF19" s="1085"/>
      <c r="CG19" s="1535"/>
      <c r="CH19" s="1535"/>
      <c r="CI19" s="1535"/>
      <c r="CJ19" s="1535"/>
      <c r="CK19" s="1535"/>
      <c r="CL19" s="1535"/>
      <c r="CM19" s="1535"/>
      <c r="CN19" s="1535"/>
      <c r="CO19" s="1535"/>
      <c r="CP19" s="1535"/>
      <c r="CQ19" s="1535"/>
      <c r="CR19" s="1535">
        <f t="shared" ref="CR19:CW19" si="3">IF(ISERROR(+SUM(CR14:CR18)), "NA", +SUM(CR14:CR18))</f>
        <v>1184.7110000000005</v>
      </c>
      <c r="CS19" s="1535">
        <f t="shared" si="3"/>
        <v>1601.7660000000012</v>
      </c>
      <c r="CT19" s="1535">
        <f t="shared" si="3"/>
        <v>1957.0960000000002</v>
      </c>
      <c r="CU19" s="1535">
        <f t="shared" si="3"/>
        <v>2443.1029999999987</v>
      </c>
      <c r="CV19" s="1535">
        <f t="shared" si="3"/>
        <v>2511.8299999999981</v>
      </c>
      <c r="CW19" s="1535">
        <f t="shared" si="3"/>
        <v>3249.0949999999993</v>
      </c>
      <c r="CX19" s="1535">
        <f t="shared" ref="CX19" si="4">IF(ISERROR(+SUM(CX14:CX18)), "NA", +SUM(CX14:CX18))</f>
        <v>3839.3269999999984</v>
      </c>
      <c r="CY19" s="1535">
        <f t="shared" ref="CY19:DF19" si="5">+CY28*CY14</f>
        <v>3061.3236030138805</v>
      </c>
      <c r="CZ19" s="1535">
        <f t="shared" si="5"/>
        <v>3342.5450647754437</v>
      </c>
      <c r="DA19" s="1535">
        <f t="shared" si="5"/>
        <v>3689.6256382736055</v>
      </c>
      <c r="DB19" s="1535">
        <f t="shared" si="5"/>
        <v>4018.1650399681157</v>
      </c>
      <c r="DC19" s="1535">
        <f t="shared" si="5"/>
        <v>4335.020434435517</v>
      </c>
      <c r="DD19" s="1535">
        <f t="shared" si="5"/>
        <v>4631.2033478576168</v>
      </c>
      <c r="DE19" s="1535">
        <f t="shared" si="5"/>
        <v>4895.8488093517362</v>
      </c>
      <c r="DF19" s="1535">
        <f t="shared" si="5"/>
        <v>5208.2182084424858</v>
      </c>
      <c r="DG19" s="1464">
        <f>+DG28*DG14</f>
        <v>5311.6013398800696</v>
      </c>
    </row>
    <row r="20" spans="2:112" ht="13.5" customHeight="1">
      <c r="I20" s="1077" t="s">
        <v>125</v>
      </c>
      <c r="CG20" s="1078"/>
      <c r="CH20" s="1078"/>
      <c r="CI20" s="1078"/>
      <c r="CJ20" s="1078"/>
      <c r="CK20" s="1078"/>
      <c r="CL20" s="1078"/>
      <c r="CM20" s="1078"/>
      <c r="CN20" s="1078"/>
      <c r="CO20" s="1078"/>
      <c r="CP20" s="1078"/>
      <c r="CQ20" s="1078"/>
      <c r="CR20" s="1078">
        <f t="shared" ref="CR20:DG20" si="6">IF(ISERROR(+CR19/CR11), "NA", +CR19/CR11)</f>
        <v>0.27199657453261433</v>
      </c>
      <c r="CS20" s="1078">
        <f t="shared" si="6"/>
        <v>0.30446291510516355</v>
      </c>
      <c r="CT20" s="1078">
        <f t="shared" si="6"/>
        <v>0.28809183628707435</v>
      </c>
      <c r="CU20" s="1078">
        <f t="shared" si="6"/>
        <v>0.28939959637387985</v>
      </c>
      <c r="CV20" s="1078">
        <f t="shared" si="6"/>
        <v>0.27231499784203922</v>
      </c>
      <c r="CW20" s="1078">
        <f t="shared" si="6"/>
        <v>0.30243816302438997</v>
      </c>
      <c r="CX20" s="1078">
        <f t="shared" si="6"/>
        <v>0.30276020610859533</v>
      </c>
      <c r="CY20" s="1078">
        <f t="shared" si="6"/>
        <v>0.20384256048503394</v>
      </c>
      <c r="CZ20" s="1078">
        <f t="shared" si="6"/>
        <v>0.19953872090174107</v>
      </c>
      <c r="DA20" s="1078">
        <f t="shared" si="6"/>
        <v>0.2006284187869572</v>
      </c>
      <c r="DB20" s="1078">
        <f t="shared" si="6"/>
        <v>0.2021180003531439</v>
      </c>
      <c r="DC20" s="1078">
        <f t="shared" si="6"/>
        <v>0.20388637644290022</v>
      </c>
      <c r="DD20" s="1078">
        <f t="shared" si="6"/>
        <v>0.20530759178889874</v>
      </c>
      <c r="DE20" s="1078">
        <f t="shared" si="6"/>
        <v>0.20609919056240997</v>
      </c>
      <c r="DF20" s="1078">
        <f t="shared" si="6"/>
        <v>0.20813702761781863</v>
      </c>
      <c r="DG20" s="1078">
        <f t="shared" si="6"/>
        <v>0.20813702761781866</v>
      </c>
    </row>
    <row r="21" spans="2:112" ht="13.5" customHeight="1">
      <c r="I21" s="1087"/>
      <c r="J21" s="1088"/>
      <c r="K21" s="1088"/>
      <c r="L21" s="1088"/>
      <c r="M21" s="1088"/>
      <c r="N21" s="1088"/>
      <c r="O21" s="1088"/>
      <c r="P21" s="1088"/>
      <c r="Q21" s="1088"/>
      <c r="R21" s="1088"/>
      <c r="S21" s="1088"/>
      <c r="T21" s="1088"/>
      <c r="U21" s="1088"/>
      <c r="V21" s="1088"/>
      <c r="W21" s="1088"/>
      <c r="X21" s="1088"/>
      <c r="Y21" s="1088"/>
      <c r="Z21" s="1088"/>
      <c r="AA21" s="1088"/>
      <c r="AB21" s="1088"/>
      <c r="AC21" s="1088"/>
      <c r="AD21" s="1088"/>
      <c r="AE21" s="1088"/>
      <c r="AF21" s="1088"/>
      <c r="AG21" s="1088"/>
      <c r="AH21" s="1088"/>
      <c r="AI21" s="1088"/>
      <c r="AJ21" s="1088"/>
      <c r="AK21" s="1088"/>
      <c r="AL21" s="1088"/>
      <c r="AM21" s="1088"/>
      <c r="AN21" s="1088"/>
      <c r="AO21" s="1088"/>
      <c r="AP21" s="1088"/>
      <c r="AQ21" s="1088"/>
      <c r="AR21" s="1088"/>
      <c r="AS21" s="1088"/>
      <c r="AT21" s="1088"/>
      <c r="AU21" s="1088"/>
      <c r="AV21" s="1088"/>
      <c r="AW21" s="1088"/>
      <c r="AX21" s="1088"/>
      <c r="AY21" s="1088"/>
      <c r="AZ21" s="1088"/>
      <c r="BA21" s="1088"/>
      <c r="BB21" s="1088"/>
      <c r="BC21" s="1088"/>
      <c r="BD21" s="1088"/>
      <c r="BE21" s="1088"/>
      <c r="BF21" s="1088"/>
      <c r="BG21" s="1088"/>
      <c r="BH21" s="1088"/>
      <c r="BI21" s="1088"/>
      <c r="BJ21" s="1088"/>
      <c r="BK21" s="1088"/>
      <c r="BL21" s="1088"/>
      <c r="BM21" s="1088"/>
      <c r="BN21" s="1088"/>
      <c r="BO21" s="1088"/>
      <c r="BP21" s="1088"/>
      <c r="BQ21" s="1088"/>
      <c r="BR21" s="1088"/>
      <c r="BS21" s="1088"/>
      <c r="BT21" s="1088"/>
      <c r="BU21" s="1088"/>
      <c r="BV21" s="1088"/>
      <c r="BW21" s="1088"/>
      <c r="BX21" s="1088"/>
      <c r="BY21" s="1088"/>
      <c r="BZ21" s="1088"/>
      <c r="CA21" s="1088"/>
      <c r="CB21" s="1088"/>
      <c r="CC21" s="1088"/>
      <c r="CD21" s="1088"/>
      <c r="CE21" s="1088"/>
      <c r="CF21" s="1088"/>
      <c r="CG21" s="1089"/>
      <c r="CH21" s="1089"/>
      <c r="CI21" s="1089"/>
      <c r="CJ21" s="1089"/>
      <c r="CK21" s="1089"/>
      <c r="CL21" s="1089"/>
      <c r="CM21" s="1089"/>
      <c r="CN21" s="1089"/>
      <c r="CO21" s="1089"/>
      <c r="CP21" s="1089"/>
      <c r="CQ21" s="1090"/>
      <c r="CR21" s="1090"/>
      <c r="CS21" s="1090"/>
      <c r="CT21" s="1090"/>
      <c r="CU21" s="1090"/>
      <c r="CV21" s="1090"/>
      <c r="CW21" s="1090"/>
      <c r="CX21" s="1090"/>
      <c r="CY21" s="1090"/>
      <c r="CZ21" s="1090"/>
      <c r="DA21" s="1090"/>
      <c r="DB21" s="1090"/>
      <c r="DC21" s="1090"/>
      <c r="DD21" s="1090"/>
      <c r="DE21" s="1090"/>
      <c r="DF21" s="1090"/>
      <c r="DG21" s="1090"/>
      <c r="DH21" s="1090"/>
    </row>
    <row r="22" spans="2:112" ht="13.5" hidden="1" customHeight="1" outlineLevel="1" thickBot="1">
      <c r="I22" s="1073" t="s">
        <v>439</v>
      </c>
      <c r="J22" s="1073"/>
      <c r="K22" s="1073"/>
      <c r="L22" s="1073"/>
      <c r="M22" s="1073"/>
      <c r="N22" s="1073"/>
      <c r="O22" s="1073"/>
      <c r="P22" s="1073"/>
      <c r="Q22" s="1073"/>
      <c r="R22" s="1073"/>
      <c r="S22" s="1073"/>
      <c r="T22" s="1073"/>
      <c r="U22" s="1073"/>
      <c r="V22" s="1073"/>
      <c r="W22" s="1073"/>
      <c r="X22" s="1073"/>
      <c r="Y22" s="1073"/>
      <c r="Z22" s="1073"/>
      <c r="AA22" s="1073"/>
      <c r="AB22" s="1073"/>
      <c r="AC22" s="1073"/>
      <c r="AD22" s="1073"/>
      <c r="AE22" s="1073"/>
      <c r="AF22" s="1073"/>
      <c r="AG22" s="1073"/>
      <c r="AH22" s="1073"/>
      <c r="AI22" s="1073"/>
      <c r="AJ22" s="1073"/>
      <c r="AK22" s="1073"/>
      <c r="AL22" s="1073"/>
      <c r="AM22" s="1073"/>
      <c r="AN22" s="1073"/>
      <c r="AO22" s="1073"/>
      <c r="AP22" s="1073"/>
      <c r="AQ22" s="1073"/>
      <c r="AR22" s="1073"/>
      <c r="AS22" s="1073"/>
      <c r="AT22" s="1073"/>
      <c r="AU22" s="1073"/>
      <c r="AV22" s="1073"/>
      <c r="AW22" s="1073"/>
      <c r="AX22" s="1073"/>
      <c r="AY22" s="1073"/>
      <c r="AZ22" s="1073"/>
      <c r="BA22" s="1073"/>
      <c r="BB22" s="1073"/>
      <c r="BC22" s="1073"/>
      <c r="BD22" s="1073"/>
      <c r="BE22" s="1073"/>
      <c r="BF22" s="1073"/>
      <c r="BG22" s="1073"/>
      <c r="BH22" s="1073"/>
      <c r="BI22" s="1073"/>
      <c r="BJ22" s="1073"/>
      <c r="BK22" s="1073"/>
      <c r="BL22" s="1073"/>
      <c r="BM22" s="1073"/>
      <c r="BN22" s="1073"/>
      <c r="BO22" s="1073"/>
      <c r="BP22" s="1073"/>
      <c r="BQ22" s="1073"/>
      <c r="BR22" s="1073"/>
      <c r="BS22" s="1073"/>
      <c r="BT22" s="1073"/>
      <c r="BU22" s="1073"/>
      <c r="BV22" s="1073"/>
      <c r="BW22" s="1073"/>
      <c r="BX22" s="1073"/>
      <c r="BY22" s="1073"/>
      <c r="BZ22" s="1073"/>
      <c r="CA22" s="1073"/>
      <c r="CB22" s="1073"/>
      <c r="CC22" s="1073"/>
      <c r="CD22" s="1073"/>
      <c r="CE22" s="1073"/>
      <c r="CF22" s="1073"/>
      <c r="CG22" s="1066"/>
      <c r="CH22" s="1066"/>
      <c r="CI22" s="1066"/>
      <c r="CJ22" s="1066"/>
      <c r="CK22" s="1066"/>
      <c r="CL22" s="1066"/>
      <c r="CM22" s="1066"/>
      <c r="CN22" s="1066"/>
      <c r="CO22" s="1066"/>
      <c r="CP22" s="1066"/>
      <c r="CQ22" s="1066"/>
      <c r="CR22" s="1091"/>
      <c r="CS22" s="1092"/>
      <c r="CT22" s="1092"/>
      <c r="CU22" s="1092"/>
      <c r="CV22" s="1071"/>
      <c r="CW22" s="1071"/>
      <c r="CX22" s="1071">
        <f>+CX8</f>
        <v>43100</v>
      </c>
      <c r="CY22" s="1071">
        <f t="shared" ref="CY22:DF22" si="7">+CY8</f>
        <v>43465</v>
      </c>
      <c r="CZ22" s="1071">
        <f t="shared" si="7"/>
        <v>43830</v>
      </c>
      <c r="DA22" s="1071">
        <f t="shared" si="7"/>
        <v>44196</v>
      </c>
      <c r="DB22" s="1071">
        <f t="shared" si="7"/>
        <v>44561</v>
      </c>
      <c r="DC22" s="1071">
        <f t="shared" si="7"/>
        <v>44926</v>
      </c>
      <c r="DD22" s="1071">
        <f t="shared" si="7"/>
        <v>45291</v>
      </c>
      <c r="DE22" s="1071">
        <f t="shared" si="7"/>
        <v>45657</v>
      </c>
      <c r="DF22" s="1071">
        <f t="shared" si="7"/>
        <v>46022</v>
      </c>
      <c r="DG22" s="1092"/>
      <c r="DH22" s="1092"/>
    </row>
    <row r="23" spans="2:112" ht="13.5" hidden="1" customHeight="1" outlineLevel="1">
      <c r="I23" s="1093" t="s">
        <v>440</v>
      </c>
      <c r="CG23" s="1091"/>
      <c r="CH23" s="1091"/>
      <c r="CI23" s="1091"/>
      <c r="CJ23" s="1091"/>
      <c r="CK23" s="1091"/>
      <c r="CL23" s="1091"/>
      <c r="CM23" s="1091"/>
      <c r="CN23" s="1091"/>
      <c r="CO23" s="1091"/>
      <c r="CP23" s="1091"/>
      <c r="CQ23" s="1091"/>
      <c r="CR23" s="1091"/>
      <c r="CS23" s="1094"/>
      <c r="CT23" s="1095"/>
      <c r="CU23" s="1095"/>
      <c r="CV23" s="1096"/>
      <c r="CW23" s="1096"/>
      <c r="CX23" s="1822"/>
      <c r="CY23" s="1822">
        <v>0</v>
      </c>
      <c r="CZ23" s="1096">
        <f t="shared" ref="CZ23:DF23" si="8">+CY23+1</f>
        <v>1</v>
      </c>
      <c r="DA23" s="1096">
        <f t="shared" si="8"/>
        <v>2</v>
      </c>
      <c r="DB23" s="1096">
        <f t="shared" si="8"/>
        <v>3</v>
      </c>
      <c r="DC23" s="1096">
        <f t="shared" si="8"/>
        <v>4</v>
      </c>
      <c r="DD23" s="1096">
        <f t="shared" si="8"/>
        <v>5</v>
      </c>
      <c r="DE23" s="1096">
        <f t="shared" si="8"/>
        <v>6</v>
      </c>
      <c r="DF23" s="1096">
        <f t="shared" si="8"/>
        <v>7</v>
      </c>
      <c r="DG23" s="1095"/>
      <c r="DH23" s="1095"/>
    </row>
    <row r="24" spans="2:112" ht="13.5" hidden="1" customHeight="1" outlineLevel="1">
      <c r="I24" s="1093" t="s">
        <v>441</v>
      </c>
      <c r="CG24" s="1091"/>
      <c r="CH24" s="1091"/>
      <c r="CI24" s="1091"/>
      <c r="CJ24" s="1091"/>
      <c r="CK24" s="1091"/>
      <c r="CL24" s="1091"/>
      <c r="CM24" s="1091"/>
      <c r="CN24" s="1091"/>
      <c r="CO24" s="1091"/>
      <c r="CP24" s="1091"/>
      <c r="CQ24" s="1091"/>
      <c r="CR24" s="1091"/>
      <c r="CS24" s="1097"/>
      <c r="CT24" s="1097"/>
      <c r="CU24" s="1097"/>
      <c r="CV24" s="1098"/>
      <c r="CW24" s="1098"/>
      <c r="CX24" s="1098"/>
      <c r="CY24" s="1098"/>
      <c r="CZ24" s="1098">
        <f>+CZ19/((1+$L$42)^CZ23)</f>
        <v>3114.0229966805132</v>
      </c>
      <c r="DA24" s="1098">
        <f t="shared" ref="DA24:DF24" si="9">+DA19/((1+$L$42)^DA23)</f>
        <v>3202.3691395267888</v>
      </c>
      <c r="DB24" s="1098">
        <f t="shared" si="9"/>
        <v>3249.0874713733024</v>
      </c>
      <c r="DC24" s="1098">
        <f t="shared" si="9"/>
        <v>3265.6476624527122</v>
      </c>
      <c r="DD24" s="1098">
        <f t="shared" si="9"/>
        <v>3250.2485390275133</v>
      </c>
      <c r="DE24" s="1098">
        <f t="shared" si="9"/>
        <v>3201.0706777426208</v>
      </c>
      <c r="DF24" s="1098">
        <f t="shared" si="9"/>
        <v>3172.4952556277262</v>
      </c>
      <c r="DG24" s="1097"/>
      <c r="DH24" s="1097"/>
    </row>
    <row r="25" spans="2:112" s="1091" customFormat="1" ht="13.5" hidden="1" customHeight="1" outlineLevel="1">
      <c r="B25"/>
      <c r="C25"/>
      <c r="D25"/>
      <c r="E25"/>
      <c r="F25"/>
      <c r="G25"/>
      <c r="CS25" s="1095"/>
      <c r="CT25" s="1095"/>
      <c r="CU25" s="1095"/>
      <c r="CV25" s="1095"/>
      <c r="CW25" s="1095"/>
      <c r="CX25" s="1095"/>
      <c r="CY25" s="1095"/>
      <c r="CZ25" s="1095"/>
      <c r="DA25" s="1095"/>
      <c r="DB25" s="1095"/>
      <c r="DC25" s="1095"/>
      <c r="DD25" s="1095"/>
      <c r="DE25" s="1095"/>
      <c r="DF25" s="1095"/>
      <c r="DG25" s="1095"/>
      <c r="DH25" s="1095"/>
    </row>
    <row r="26" spans="2:112" ht="13.5" hidden="1" customHeight="1" outlineLevel="1">
      <c r="CU26" s="1465"/>
      <c r="CV26" s="1465"/>
      <c r="CW26" s="1465"/>
      <c r="CX26" s="1465"/>
      <c r="CY26" s="1465"/>
      <c r="CZ26" s="1465"/>
      <c r="DA26" s="1465"/>
      <c r="DB26" s="1465"/>
      <c r="DC26" s="1465"/>
      <c r="DD26" s="1465"/>
      <c r="DE26" s="1465"/>
      <c r="DF26" s="1465"/>
    </row>
    <row r="27" spans="2:112" ht="13.5" customHeight="1" collapsed="1">
      <c r="I27" s="1059" t="s">
        <v>442</v>
      </c>
      <c r="CG27" s="1078"/>
      <c r="CH27" s="1078"/>
      <c r="CI27" s="1078"/>
      <c r="CJ27" s="1078"/>
      <c r="CK27" s="1078"/>
      <c r="CL27" s="1078"/>
      <c r="CM27" s="1078"/>
      <c r="CN27" s="1078"/>
      <c r="CO27" s="1078"/>
      <c r="CP27" s="1078"/>
      <c r="CQ27" s="1078"/>
      <c r="CR27" s="1078">
        <f t="shared" ref="CR27:CW27" si="10">IF(ISERROR(+CR14/CR11), "NA", +CR14/CR11)</f>
        <v>0.3318136839616036</v>
      </c>
      <c r="CS27" s="1078">
        <f t="shared" si="10"/>
        <v>0.35834038528358736</v>
      </c>
      <c r="CT27" s="1078">
        <f t="shared" si="10"/>
        <v>0.3709968312924517</v>
      </c>
      <c r="CU27" s="1078">
        <f t="shared" si="10"/>
        <v>0.38829285246300882</v>
      </c>
      <c r="CV27" s="1078">
        <f t="shared" si="10"/>
        <v>0.37676310688642534</v>
      </c>
      <c r="CW27" s="1078">
        <f t="shared" si="10"/>
        <v>0.38529579151310162</v>
      </c>
      <c r="CX27" s="1078">
        <f t="shared" ref="CX27" si="11">IF(ISERROR(+CX14/CX11), "NA", +CX14/CX11)</f>
        <v>0.38381835240872963</v>
      </c>
      <c r="CY27" s="1079">
        <f>+'Base DCF'!CY20-0.0275</f>
        <v>0.36038538285290828</v>
      </c>
      <c r="CZ27" s="1079">
        <f>+'Base DCF'!CZ20-0.03</f>
        <v>0.36212277907878787</v>
      </c>
      <c r="DA27" s="1079">
        <f>+'Base DCF'!DA20-0.03</f>
        <v>0.36627917425747658</v>
      </c>
      <c r="DB27" s="1079">
        <f>+'Base DCF'!DB20-0.03</f>
        <v>0.37119589096334016</v>
      </c>
      <c r="DC27" s="1079">
        <f>+'Base DCF'!DC20-0.03</f>
        <v>0.37587572187061657</v>
      </c>
      <c r="DD27" s="1079">
        <f>+'Base DCF'!DD20-0.03</f>
        <v>0.37962980794362455</v>
      </c>
      <c r="DE27" s="1079">
        <f>+'Base DCF'!DE20-0.03</f>
        <v>0.38251524465450271</v>
      </c>
      <c r="DF27" s="1079">
        <f>+'Base DCF'!DF20-0.03</f>
        <v>0.38675285975096896</v>
      </c>
      <c r="DG27" s="1463">
        <f>+DF27</f>
        <v>0.38675285975096896</v>
      </c>
    </row>
    <row r="28" spans="2:112" ht="13.5" customHeight="1">
      <c r="I28" s="1059" t="s">
        <v>443</v>
      </c>
      <c r="CG28" s="1078"/>
      <c r="CH28" s="1078"/>
      <c r="CI28" s="1078"/>
      <c r="CJ28" s="1078"/>
      <c r="CK28" s="1078"/>
      <c r="CL28" s="1078"/>
      <c r="CM28" s="1078"/>
      <c r="CN28" s="1078"/>
      <c r="CO28" s="1078"/>
      <c r="CP28" s="1078"/>
      <c r="CQ28" s="1078"/>
      <c r="CR28" s="1078">
        <f t="shared" ref="CR28:CW28" si="12">IF(ISERROR(+CR19/CR14), "NA", +CR19/CR14)</f>
        <v>0.81972681561887872</v>
      </c>
      <c r="CS28" s="1078">
        <f t="shared" si="12"/>
        <v>0.84964722819119132</v>
      </c>
      <c r="CT28" s="1078">
        <f t="shared" si="12"/>
        <v>0.77653449298594024</v>
      </c>
      <c r="CU28" s="1078">
        <f t="shared" si="12"/>
        <v>0.74531270544427508</v>
      </c>
      <c r="CV28" s="1078">
        <f t="shared" si="12"/>
        <v>0.72277511482600698</v>
      </c>
      <c r="CW28" s="1078">
        <f t="shared" si="12"/>
        <v>0.78495060077526391</v>
      </c>
      <c r="CX28" s="1078">
        <f t="shared" ref="CX28" si="13">IF(ISERROR(+CX19/CX14), "NA", +CX19/CX14)</f>
        <v>0.78881117645511856</v>
      </c>
      <c r="CY28" s="1079">
        <f>+'Base DCF'!CY21-0.02775</f>
        <v>0.5656238298883296</v>
      </c>
      <c r="CZ28" s="1079">
        <f>+'Base DCF'!CZ21-0.02775</f>
        <v>0.55102504572993727</v>
      </c>
      <c r="DA28" s="1079">
        <f>+'Base DCF'!DA21-0.02775</f>
        <v>0.54774727281088909</v>
      </c>
      <c r="DB28" s="1079">
        <f>+'Base DCF'!DB21-0.02775</f>
        <v>0.54450495081882622</v>
      </c>
      <c r="DC28" s="1079">
        <f>+'Base DCF'!DC21-0.02775</f>
        <v>0.54243028900143153</v>
      </c>
      <c r="DD28" s="1079">
        <f>+'Base DCF'!DD21-0.02775</f>
        <v>0.54080998776415135</v>
      </c>
      <c r="DE28" s="1079">
        <f>+'Base DCF'!DE21-0.02775</f>
        <v>0.53879993919866875</v>
      </c>
      <c r="DF28" s="1079">
        <f>+'Base DCF'!DF21-0.02775</f>
        <v>0.53816545209733824</v>
      </c>
      <c r="DG28" s="1463">
        <f>+DF28</f>
        <v>0.53816545209733824</v>
      </c>
    </row>
    <row r="30" spans="2:112" ht="13.5" customHeight="1">
      <c r="I30" s="1073" t="s">
        <v>444</v>
      </c>
      <c r="J30" s="1073"/>
      <c r="K30" s="1073"/>
      <c r="L30" s="1099"/>
      <c r="M30" s="1066"/>
      <c r="N30" s="1066"/>
      <c r="O30" s="1066"/>
      <c r="P30" s="1066"/>
      <c r="Q30" s="1066"/>
      <c r="R30" s="1066"/>
      <c r="S30" s="1066"/>
      <c r="T30" s="1066"/>
      <c r="U30" s="1066"/>
      <c r="V30" s="1066"/>
      <c r="W30" s="1066"/>
      <c r="X30" s="1066"/>
      <c r="Y30" s="1066"/>
      <c r="Z30" s="1066"/>
      <c r="AA30" s="1066"/>
      <c r="AB30" s="1066"/>
      <c r="AC30" s="1066"/>
      <c r="AD30" s="1066"/>
      <c r="AE30" s="1066"/>
      <c r="AF30" s="1066"/>
      <c r="AG30" s="1066"/>
      <c r="AH30" s="1066"/>
      <c r="AI30" s="1066"/>
      <c r="AJ30" s="1066"/>
      <c r="AK30" s="1066"/>
      <c r="AL30" s="1066"/>
      <c r="AM30" s="1066"/>
      <c r="AN30" s="1066"/>
      <c r="AO30" s="1066"/>
      <c r="AP30" s="1066"/>
      <c r="AQ30" s="1066"/>
      <c r="AR30" s="1066"/>
      <c r="AS30" s="1066"/>
      <c r="AT30" s="1066"/>
      <c r="AU30" s="1066"/>
      <c r="AV30" s="1066"/>
      <c r="AW30" s="1066"/>
      <c r="AX30" s="1066"/>
      <c r="AY30" s="1066"/>
      <c r="AZ30" s="1066"/>
      <c r="BA30" s="1066"/>
      <c r="BB30" s="1066"/>
      <c r="BC30" s="1066"/>
      <c r="BD30" s="1066"/>
      <c r="BE30" s="1066"/>
      <c r="BF30" s="1066"/>
      <c r="BG30" s="1066"/>
      <c r="BH30" s="1066"/>
      <c r="BI30" s="1066"/>
      <c r="BJ30" s="1066"/>
      <c r="BK30" s="1066"/>
      <c r="BL30" s="1066"/>
      <c r="BM30" s="1066"/>
      <c r="BN30" s="1066"/>
      <c r="BO30" s="1066"/>
      <c r="BP30" s="1066"/>
      <c r="BQ30" s="1066"/>
      <c r="BR30" s="1066"/>
      <c r="BS30" s="1066"/>
      <c r="BT30" s="1066"/>
      <c r="BU30" s="1066"/>
      <c r="BV30" s="1066"/>
      <c r="BW30" s="1066"/>
      <c r="BX30" s="1066"/>
      <c r="BY30" s="1066"/>
      <c r="BZ30" s="1066"/>
      <c r="CA30" s="1066"/>
      <c r="CB30" s="1066"/>
      <c r="CC30" s="1066"/>
      <c r="CD30" s="1066"/>
      <c r="CE30" s="1066"/>
      <c r="CF30" s="1066"/>
      <c r="CV30" s="1100" t="s">
        <v>445</v>
      </c>
      <c r="CW30" s="1100"/>
      <c r="CX30" s="1100"/>
      <c r="CY30" s="1100"/>
      <c r="CZ30" s="1100"/>
      <c r="DA30" s="1100"/>
    </row>
    <row r="31" spans="2:112" ht="13.5" customHeight="1">
      <c r="I31" s="1093" t="s">
        <v>446</v>
      </c>
      <c r="L31" s="1101">
        <f>+SUM(CZ24:DF24)</f>
        <v>22454.94174243118</v>
      </c>
      <c r="M31" s="1102"/>
      <c r="N31" s="1102"/>
      <c r="O31" s="1102"/>
      <c r="P31" s="1102"/>
      <c r="Q31" s="1102"/>
      <c r="R31" s="1102"/>
      <c r="S31" s="1102"/>
      <c r="T31" s="1102"/>
      <c r="U31" s="1102"/>
      <c r="V31" s="1102"/>
      <c r="W31" s="1102"/>
      <c r="X31" s="1102"/>
      <c r="Y31" s="1102"/>
      <c r="Z31" s="1102"/>
      <c r="AA31" s="1102"/>
      <c r="AB31" s="1102"/>
      <c r="AC31" s="1102"/>
      <c r="AD31" s="1102"/>
      <c r="AE31" s="1102"/>
      <c r="AF31" s="1102"/>
      <c r="AG31" s="1102"/>
      <c r="AH31" s="1102"/>
      <c r="AI31" s="1102"/>
      <c r="AJ31" s="1102"/>
      <c r="AK31" s="1102"/>
      <c r="AL31" s="1102"/>
      <c r="AM31" s="1102"/>
      <c r="AN31" s="1102"/>
      <c r="AO31" s="1102"/>
      <c r="AP31" s="1102"/>
      <c r="AQ31" s="1102"/>
      <c r="AR31" s="1102"/>
      <c r="AS31" s="1102"/>
      <c r="AT31" s="1102"/>
      <c r="AU31" s="1102"/>
      <c r="AV31" s="1102"/>
      <c r="AW31" s="1102"/>
      <c r="AX31" s="1102"/>
      <c r="AY31" s="1102"/>
      <c r="AZ31" s="1102"/>
      <c r="BA31" s="1102"/>
      <c r="BB31" s="1102"/>
      <c r="BC31" s="1102"/>
      <c r="BD31" s="1102"/>
      <c r="BE31" s="1102"/>
      <c r="BF31" s="1102"/>
      <c r="BG31" s="1102"/>
      <c r="BH31" s="1102"/>
      <c r="BI31" s="1102"/>
      <c r="BJ31" s="1102"/>
      <c r="BK31" s="1102"/>
      <c r="BL31" s="1102"/>
      <c r="BM31" s="1102"/>
      <c r="BN31" s="1102"/>
      <c r="BO31" s="1102"/>
      <c r="BP31" s="1102"/>
      <c r="BQ31" s="1102"/>
      <c r="BR31" s="1102"/>
      <c r="BS31" s="1102"/>
      <c r="BT31" s="1102"/>
      <c r="BU31" s="1102"/>
      <c r="BV31" s="1102"/>
      <c r="BW31" s="1102"/>
      <c r="BX31" s="1102"/>
      <c r="BY31" s="1102"/>
      <c r="BZ31" s="1102"/>
      <c r="CA31" s="1102"/>
      <c r="CB31" s="1102"/>
      <c r="CC31" s="1102"/>
      <c r="CD31" s="1102"/>
      <c r="CE31" s="1102"/>
      <c r="CF31" s="1102"/>
      <c r="CV31" s="1104">
        <f>+L36</f>
        <v>84026.412019739073</v>
      </c>
      <c r="CW31" s="1105">
        <f>+CX31-0.005</f>
        <v>6.3498083268344718E-2</v>
      </c>
      <c r="CX31" s="1105">
        <f>+CY31-0.005</f>
        <v>6.8498083268344723E-2</v>
      </c>
      <c r="CY31" s="1106">
        <v>7.3498083268344727E-2</v>
      </c>
      <c r="CZ31" s="1105">
        <f>+CY31+0.005</f>
        <v>7.8498083268344732E-2</v>
      </c>
      <c r="DA31" s="1105">
        <f>+CZ31+0.005</f>
        <v>8.3498083268344736E-2</v>
      </c>
    </row>
    <row r="32" spans="2:112" ht="13.5" customHeight="1">
      <c r="I32" s="1820" t="s">
        <v>447</v>
      </c>
      <c r="L32" s="1101">
        <f>+((DG19*(1+L43))/($L$42-$L$43))/((1+$L$42)^DF23)</f>
        <v>61636.376888624567</v>
      </c>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V32" s="1108">
        <f>+CV33-0.005</f>
        <v>1.4999999999999999E-2</v>
      </c>
      <c r="CW32" s="1109">
        <f t="dataTable" ref="CW32:DA34" dt2D="1" dtr="0" r1="L42" r2="L43"/>
        <v>95144.157161473646</v>
      </c>
      <c r="CX32" s="1110">
        <v>85881.785424970411</v>
      </c>
      <c r="CY32" s="1111">
        <v>78210.939140354283</v>
      </c>
      <c r="CZ32" s="1110">
        <v>71755.418845839507</v>
      </c>
      <c r="DA32" s="1110">
        <v>66248.875669079382</v>
      </c>
    </row>
    <row r="33" spans="9:110" ht="13.5" customHeight="1">
      <c r="I33" s="1085" t="s">
        <v>448</v>
      </c>
      <c r="J33" s="1085"/>
      <c r="K33" s="1085"/>
      <c r="L33" s="1112">
        <f>+L31+L32</f>
        <v>84091.31863105575</v>
      </c>
      <c r="M33" s="1113"/>
      <c r="N33" s="1113"/>
      <c r="O33" s="1113"/>
      <c r="P33" s="1113"/>
      <c r="Q33" s="1113"/>
      <c r="R33" s="1113"/>
      <c r="S33" s="1113"/>
      <c r="T33" s="1113"/>
      <c r="U33" s="1113"/>
      <c r="V33" s="1113"/>
      <c r="W33" s="1113"/>
      <c r="X33" s="1113"/>
      <c r="Y33" s="1113"/>
      <c r="Z33" s="1113"/>
      <c r="AA33" s="1113"/>
      <c r="AB33" s="1113"/>
      <c r="AC33" s="1113"/>
      <c r="AD33" s="1113"/>
      <c r="AE33" s="1113"/>
      <c r="AF33" s="1113"/>
      <c r="AG33" s="1113"/>
      <c r="AH33" s="1113"/>
      <c r="AI33" s="1113"/>
      <c r="AJ33" s="1113"/>
      <c r="AK33" s="1113"/>
      <c r="AL33" s="1113"/>
      <c r="AM33" s="1113"/>
      <c r="AN33" s="1113"/>
      <c r="AO33" s="1113"/>
      <c r="AP33" s="1113"/>
      <c r="AQ33" s="1113"/>
      <c r="AR33" s="1113"/>
      <c r="AS33" s="1113"/>
      <c r="AT33" s="1113"/>
      <c r="AU33" s="1113"/>
      <c r="AV33" s="1113"/>
      <c r="AW33" s="1113"/>
      <c r="AX33" s="1113"/>
      <c r="AY33" s="1113"/>
      <c r="AZ33" s="1113"/>
      <c r="BA33" s="1113"/>
      <c r="BB33" s="1113"/>
      <c r="BC33" s="1113"/>
      <c r="BD33" s="1113"/>
      <c r="BE33" s="1113"/>
      <c r="BF33" s="1113"/>
      <c r="BG33" s="1113"/>
      <c r="BH33" s="1113"/>
      <c r="BI33" s="1113"/>
      <c r="BJ33" s="1113"/>
      <c r="BK33" s="1113"/>
      <c r="BL33" s="1113"/>
      <c r="BM33" s="1113"/>
      <c r="BN33" s="1113"/>
      <c r="BO33" s="1113"/>
      <c r="BP33" s="1113"/>
      <c r="BQ33" s="1113"/>
      <c r="BR33" s="1113"/>
      <c r="BS33" s="1113"/>
      <c r="BT33" s="1113"/>
      <c r="BU33" s="1113"/>
      <c r="BV33" s="1113"/>
      <c r="BW33" s="1113"/>
      <c r="BX33" s="1113"/>
      <c r="BY33" s="1113"/>
      <c r="BZ33" s="1113"/>
      <c r="CA33" s="1113"/>
      <c r="CB33" s="1113"/>
      <c r="CC33" s="1113"/>
      <c r="CD33" s="1113"/>
      <c r="CE33" s="1113"/>
      <c r="CF33" s="1113"/>
      <c r="CV33" s="1114">
        <v>0.02</v>
      </c>
      <c r="CW33" s="1115">
        <v>104200.86021261534</v>
      </c>
      <c r="CX33" s="1116">
        <v>93071.962038619735</v>
      </c>
      <c r="CY33" s="1117">
        <v>84031.863351434265</v>
      </c>
      <c r="CZ33" s="1116">
        <v>76544.706338419637</v>
      </c>
      <c r="DA33" s="1116">
        <v>70243.421193032103</v>
      </c>
    </row>
    <row r="34" spans="9:110" ht="13.5" customHeight="1">
      <c r="I34" s="1093" t="s">
        <v>449</v>
      </c>
      <c r="L34" s="1101">
        <f>Model!CF616+Model!CF619+Model!CF611</f>
        <v>8109.6610000000001</v>
      </c>
      <c r="M34" s="1118"/>
      <c r="N34" s="1118"/>
      <c r="O34" s="1118"/>
      <c r="P34" s="1118"/>
      <c r="Q34" s="1118"/>
      <c r="R34" s="1118"/>
      <c r="S34" s="1118"/>
      <c r="T34" s="1118"/>
      <c r="U34" s="1118"/>
      <c r="V34" s="1118"/>
      <c r="W34" s="1118"/>
      <c r="X34" s="1118"/>
      <c r="Y34" s="1118"/>
      <c r="Z34" s="1118"/>
      <c r="AA34" s="1118"/>
      <c r="AB34" s="1118"/>
      <c r="AC34" s="1118"/>
      <c r="AD34" s="1118"/>
      <c r="AE34" s="1118"/>
      <c r="AF34" s="1118"/>
      <c r="AG34" s="1118"/>
      <c r="AH34" s="1118"/>
      <c r="AI34" s="1118"/>
      <c r="AJ34" s="1118"/>
      <c r="AK34" s="1118"/>
      <c r="AL34" s="1118"/>
      <c r="AM34" s="1118"/>
      <c r="AN34" s="1118"/>
      <c r="AO34" s="1118"/>
      <c r="AP34" s="1118"/>
      <c r="AQ34" s="1118"/>
      <c r="AR34" s="1118"/>
      <c r="AS34" s="1118"/>
      <c r="AT34" s="1118"/>
      <c r="AU34" s="1118"/>
      <c r="AV34" s="1118"/>
      <c r="AW34" s="1118"/>
      <c r="AX34" s="1118"/>
      <c r="AY34" s="1118"/>
      <c r="AZ34" s="1118"/>
      <c r="BA34" s="1118"/>
      <c r="BB34" s="1118"/>
      <c r="BC34" s="1118"/>
      <c r="BD34" s="1118"/>
      <c r="BE34" s="1118"/>
      <c r="BF34" s="1118"/>
      <c r="BG34" s="1118"/>
      <c r="BH34" s="1118"/>
      <c r="BI34" s="1118"/>
      <c r="BJ34" s="1118"/>
      <c r="BK34" s="1118"/>
      <c r="BL34" s="1118"/>
      <c r="BM34" s="1118"/>
      <c r="BN34" s="1118"/>
      <c r="BO34" s="1118"/>
      <c r="BP34" s="1118"/>
      <c r="BQ34" s="1118"/>
      <c r="BR34" s="1118"/>
      <c r="BS34" s="1118"/>
      <c r="BT34" s="1118"/>
      <c r="BU34" s="1118"/>
      <c r="BV34" s="1118"/>
      <c r="BW34" s="1118"/>
      <c r="BX34" s="1118"/>
      <c r="BY34" s="1118"/>
      <c r="BZ34" s="1118"/>
      <c r="CA34" s="1118"/>
      <c r="CB34" s="1118"/>
      <c r="CC34" s="1118"/>
      <c r="CD34" s="1118"/>
      <c r="CE34" s="1118"/>
      <c r="CF34" s="1118"/>
      <c r="CV34" s="1108">
        <f>+CV33+0.005</f>
        <v>2.5000000000000001E-2</v>
      </c>
      <c r="CW34" s="1119">
        <v>115614.4668414981</v>
      </c>
      <c r="CX34" s="1120">
        <v>101918.89071954953</v>
      </c>
      <c r="CY34" s="1121">
        <v>91056.293883593142</v>
      </c>
      <c r="CZ34" s="1120">
        <v>82232.087868595001</v>
      </c>
      <c r="DA34" s="1120">
        <v>74923.356723013916</v>
      </c>
    </row>
    <row r="35" spans="9:110" ht="13.5" customHeight="1">
      <c r="I35" s="1820" t="s">
        <v>450</v>
      </c>
      <c r="L35" s="1821">
        <f>+Model!CF587+Model!CF589</f>
        <v>8044.7543886833337</v>
      </c>
      <c r="M35" s="1118"/>
      <c r="N35" s="1118"/>
      <c r="O35" s="1118"/>
      <c r="P35" s="1118"/>
      <c r="Q35" s="1118"/>
      <c r="R35" s="1118"/>
      <c r="S35" s="1118"/>
      <c r="T35" s="1118"/>
      <c r="U35" s="1118"/>
      <c r="V35" s="1118"/>
      <c r="W35" s="1118"/>
      <c r="X35" s="1118"/>
      <c r="Y35" s="1118"/>
      <c r="Z35" s="1118"/>
      <c r="AA35" s="1118"/>
      <c r="AB35" s="1118"/>
      <c r="AC35" s="1118"/>
      <c r="AD35" s="1118"/>
      <c r="AE35" s="1118"/>
      <c r="AF35" s="1118"/>
      <c r="AG35" s="1118"/>
      <c r="AH35" s="1118"/>
      <c r="AI35" s="1118"/>
      <c r="AJ35" s="1118"/>
      <c r="AK35" s="1118"/>
      <c r="AL35" s="1118"/>
      <c r="AM35" s="1118"/>
      <c r="AN35" s="1118"/>
      <c r="AO35" s="1118"/>
      <c r="AP35" s="1118"/>
      <c r="AQ35" s="1118"/>
      <c r="AR35" s="1118"/>
      <c r="AS35" s="1118"/>
      <c r="AT35" s="1118"/>
      <c r="AU35" s="1118"/>
      <c r="AV35" s="1118"/>
      <c r="AW35" s="1118"/>
      <c r="AX35" s="1118"/>
      <c r="AY35" s="1118"/>
      <c r="AZ35" s="1118"/>
      <c r="BA35" s="1118"/>
      <c r="BB35" s="1118"/>
      <c r="BC35" s="1118"/>
      <c r="BD35" s="1118"/>
      <c r="BE35" s="1118"/>
      <c r="BF35" s="1118"/>
      <c r="BG35" s="1118"/>
      <c r="BH35" s="1118"/>
      <c r="BI35" s="1118"/>
      <c r="BJ35" s="1118"/>
      <c r="BK35" s="1118"/>
      <c r="BL35" s="1118"/>
      <c r="BM35" s="1118"/>
      <c r="BN35" s="1118"/>
      <c r="BO35" s="1118"/>
      <c r="BP35" s="1118"/>
      <c r="BQ35" s="1118"/>
      <c r="BR35" s="1118"/>
      <c r="BS35" s="1118"/>
      <c r="BT35" s="1118"/>
      <c r="BU35" s="1118"/>
      <c r="BV35" s="1118"/>
      <c r="BW35" s="1118"/>
      <c r="BX35" s="1118"/>
      <c r="BY35" s="1118"/>
      <c r="BZ35" s="1118"/>
      <c r="CA35" s="1118"/>
      <c r="CB35" s="1118"/>
      <c r="CC35" s="1118"/>
      <c r="CD35" s="1118"/>
      <c r="CE35" s="1118"/>
      <c r="CF35" s="1118"/>
    </row>
    <row r="36" spans="9:110" ht="13.5" customHeight="1">
      <c r="I36" s="1085" t="s">
        <v>451</v>
      </c>
      <c r="J36" s="1085"/>
      <c r="K36" s="1085"/>
      <c r="L36" s="1783">
        <f>+L33-L34+L35</f>
        <v>84026.412019739073</v>
      </c>
      <c r="CV36" s="1100" t="s">
        <v>452</v>
      </c>
      <c r="CW36" s="1100"/>
      <c r="CX36" s="1100"/>
      <c r="CY36" s="1100"/>
      <c r="CZ36" s="1100"/>
      <c r="DA36" s="1100"/>
    </row>
    <row r="37" spans="9:110" ht="13.5" customHeight="1">
      <c r="I37" s="1536" t="s">
        <v>453</v>
      </c>
      <c r="L37" s="1101">
        <f>Model!$CF$153</f>
        <v>48.351526850880582</v>
      </c>
      <c r="CV37" s="1104">
        <f>+L38</f>
        <v>1737.8233427639686</v>
      </c>
      <c r="CW37" s="1105">
        <f>+CW31</f>
        <v>6.3498083268344718E-2</v>
      </c>
      <c r="CX37" s="1105">
        <f>+CX31</f>
        <v>6.8498083268344723E-2</v>
      </c>
      <c r="CY37" s="1122">
        <f>+CY31</f>
        <v>7.3498083268344727E-2</v>
      </c>
      <c r="CZ37" s="1105">
        <f>+CZ31</f>
        <v>7.8498083268344732E-2</v>
      </c>
      <c r="DA37" s="1105">
        <f>+DA31</f>
        <v>8.3498083268344736E-2</v>
      </c>
    </row>
    <row r="38" spans="9:110" ht="13.5" customHeight="1">
      <c r="I38" s="1085" t="s">
        <v>454</v>
      </c>
      <c r="J38" s="1085"/>
      <c r="K38" s="1085"/>
      <c r="L38" s="1123">
        <f>+L36/L37</f>
        <v>1737.8233427639686</v>
      </c>
      <c r="CV38" s="1108">
        <f>+CV32</f>
        <v>1.4999999999999999E-2</v>
      </c>
      <c r="CW38" s="1109">
        <f t="dataTable" ref="CW38:DA40" dt2D="1" dtr="0" r1="L42" r2="L43" ca="1"/>
        <v>1967.7591041727542</v>
      </c>
      <c r="CX38" s="1110">
        <v>1776.1959346151718</v>
      </c>
      <c r="CY38" s="1111">
        <v>1617.5484877977519</v>
      </c>
      <c r="CZ38" s="1110">
        <v>1484.0362553004402</v>
      </c>
      <c r="DA38" s="1110">
        <v>1370.1506443301253</v>
      </c>
    </row>
    <row r="39" spans="9:110" ht="13.5" customHeight="1">
      <c r="CV39" s="1124">
        <f>+CV33</f>
        <v>0.02</v>
      </c>
      <c r="CW39" s="1115">
        <v>2155.0686606852755</v>
      </c>
      <c r="CX39" s="1116">
        <v>1924.9022337114613</v>
      </c>
      <c r="CY39" s="1117">
        <v>1737.9360864982461</v>
      </c>
      <c r="CZ39" s="1116">
        <v>1583.0876773444766</v>
      </c>
      <c r="DA39" s="1116">
        <v>1452.7653161743501</v>
      </c>
    </row>
    <row r="40" spans="9:110" ht="13.5" customHeight="1">
      <c r="I40" s="1073" t="s">
        <v>455</v>
      </c>
      <c r="J40" s="1073"/>
      <c r="K40" s="1073"/>
      <c r="L40" s="1073"/>
      <c r="CV40" s="1108">
        <f>+CV34</f>
        <v>2.5000000000000001E-2</v>
      </c>
      <c r="CW40" s="1119">
        <v>2391.1233909543544</v>
      </c>
      <c r="CX40" s="1120">
        <v>2107.8732639379591</v>
      </c>
      <c r="CY40" s="1121">
        <v>1883.2144466588818</v>
      </c>
      <c r="CZ40" s="1120">
        <v>1700.7133636586987</v>
      </c>
      <c r="DA40" s="1120">
        <v>1549.5551351270183</v>
      </c>
    </row>
    <row r="41" spans="9:110" ht="13.5" customHeight="1">
      <c r="I41" s="1125" t="s">
        <v>456</v>
      </c>
      <c r="J41" s="1125"/>
      <c r="K41" s="1125"/>
      <c r="L41" s="1786" t="s">
        <v>636</v>
      </c>
      <c r="CW41" s="1108"/>
      <c r="CX41" s="1120"/>
      <c r="CY41" s="1120"/>
      <c r="CZ41" s="1120"/>
      <c r="DA41" s="1120"/>
      <c r="DB41" s="1120"/>
    </row>
    <row r="42" spans="9:110" ht="13.5" customHeight="1">
      <c r="I42" s="1126" t="s">
        <v>457</v>
      </c>
      <c r="J42" s="1127"/>
      <c r="K42" s="1127"/>
      <c r="L42" s="1947">
        <f>+'Base DCF'!L45</f>
        <v>7.3384836379991533E-2</v>
      </c>
      <c r="CW42" s="1108"/>
      <c r="CX42" s="1120"/>
      <c r="CY42" s="1120"/>
      <c r="CZ42" s="1120"/>
      <c r="DA42" s="1120"/>
      <c r="DB42" s="1120"/>
    </row>
    <row r="43" spans="9:110" ht="13.5" customHeight="1">
      <c r="I43" s="1059" t="s">
        <v>458</v>
      </c>
      <c r="L43" s="2175">
        <v>1.985E-2</v>
      </c>
      <c r="CW43" s="1108"/>
      <c r="CX43" s="1120"/>
      <c r="CY43" s="1120"/>
      <c r="CZ43" s="1120"/>
      <c r="DA43" s="1120"/>
      <c r="DB43" s="1120"/>
      <c r="DC43" s="1120"/>
      <c r="DD43" s="1120"/>
      <c r="DE43" s="1120"/>
      <c r="DF43" s="1120"/>
    </row>
    <row r="44" spans="9:110" ht="13.5" customHeight="1">
      <c r="I44" s="1093"/>
      <c r="L44" s="1118"/>
      <c r="CW44" s="1108"/>
      <c r="CX44" s="1840"/>
      <c r="CY44" s="1120"/>
      <c r="CZ44" s="1120"/>
      <c r="DA44" s="1120"/>
      <c r="DB44" s="1120"/>
      <c r="DC44" s="1120"/>
      <c r="DD44" s="1120"/>
      <c r="DE44" s="1120"/>
      <c r="DF44" s="1120"/>
    </row>
    <row r="45" spans="9:110" ht="13.5" customHeight="1">
      <c r="I45" s="1093" t="s">
        <v>746</v>
      </c>
      <c r="L45" s="1118">
        <f>+L33/CZ11</f>
        <v>5.0199694644083666</v>
      </c>
      <c r="CW45" s="1108"/>
      <c r="CX45" s="1120"/>
      <c r="CY45" s="1120"/>
      <c r="CZ45" s="1120"/>
      <c r="DA45" s="1120"/>
      <c r="DB45" s="1120"/>
      <c r="DC45" s="1120"/>
      <c r="DD45" s="1120"/>
      <c r="DE45" s="1120"/>
      <c r="DF45" s="1120"/>
    </row>
    <row r="46" spans="9:110" ht="13.5" customHeight="1">
      <c r="I46" s="1093" t="s">
        <v>747</v>
      </c>
      <c r="L46" s="1118">
        <f>+L33/CZ14</f>
        <v>13.8626171962415</v>
      </c>
      <c r="CW46" s="1108"/>
      <c r="CX46" s="1120"/>
      <c r="CY46" s="1120"/>
      <c r="CZ46" s="1120"/>
      <c r="DA46" s="1120"/>
      <c r="DB46" s="1120"/>
      <c r="DC46" s="1120"/>
      <c r="DD46" s="1120"/>
      <c r="DE46" s="1120"/>
      <c r="DF46" s="1120"/>
    </row>
    <row r="47" spans="9:110" ht="13.5" customHeight="1">
      <c r="I47" s="1093" t="s">
        <v>748</v>
      </c>
      <c r="L47" s="1118">
        <f>+L38/Model!CZ159</f>
        <v>15.932826900785118</v>
      </c>
      <c r="CW47" s="1108"/>
      <c r="CX47" s="1120"/>
      <c r="CY47" s="1120"/>
      <c r="CZ47" s="1120"/>
      <c r="DA47" s="1120"/>
      <c r="DB47" s="1120"/>
      <c r="DC47" s="1120"/>
      <c r="DD47" s="1120"/>
      <c r="DE47" s="1120"/>
      <c r="DF47" s="1120"/>
    </row>
    <row r="48" spans="9:110" ht="13.5" customHeight="1">
      <c r="I48" s="1448" t="s">
        <v>639</v>
      </c>
      <c r="L48" s="1549">
        <f>+DG27</f>
        <v>0.38675285975096896</v>
      </c>
      <c r="CW48" s="1108"/>
      <c r="CX48" s="1120"/>
      <c r="CY48" s="1120"/>
      <c r="CZ48" s="1120"/>
      <c r="DA48" s="1120"/>
      <c r="DB48" s="1120"/>
      <c r="DC48" s="1120"/>
      <c r="DD48" s="1120"/>
      <c r="DE48" s="1120"/>
      <c r="DF48" s="1120"/>
    </row>
    <row r="49" spans="9:110" ht="13.5" customHeight="1">
      <c r="I49" s="1448" t="s">
        <v>640</v>
      </c>
      <c r="L49" s="1549">
        <f>+DG28</f>
        <v>0.53816545209733824</v>
      </c>
      <c r="CW49" s="1108"/>
      <c r="CX49" s="1120"/>
      <c r="CY49" s="1120"/>
      <c r="CZ49" s="1120"/>
      <c r="DA49" s="1120"/>
      <c r="DB49" s="1120"/>
      <c r="DC49" s="1120"/>
      <c r="DD49" s="1120"/>
      <c r="DE49" s="1120"/>
      <c r="DF49" s="1120"/>
    </row>
    <row r="50" spans="9:110" ht="13.5" customHeight="1">
      <c r="I50" s="20"/>
      <c r="J50" s="20"/>
      <c r="K50" s="20"/>
      <c r="L50" s="1468"/>
      <c r="CW50" s="1108"/>
      <c r="CX50" s="1120"/>
      <c r="CY50" s="1120"/>
      <c r="CZ50" s="1120"/>
      <c r="DA50" s="1120"/>
      <c r="DB50" s="1120"/>
      <c r="DC50" s="1120"/>
      <c r="DD50" s="1120"/>
      <c r="DE50" s="1120"/>
      <c r="DF50" s="1120"/>
    </row>
    <row r="51" spans="9:110" ht="13.5" customHeight="1">
      <c r="CW51" s="1108"/>
      <c r="CX51" s="1120"/>
      <c r="CY51" s="1120"/>
      <c r="CZ51" s="1120"/>
      <c r="DA51" s="1120"/>
      <c r="DB51" s="1120"/>
      <c r="DC51" s="1120"/>
      <c r="DD51" s="1120"/>
      <c r="DE51" s="1120"/>
      <c r="DF51" s="1120"/>
    </row>
    <row r="52" spans="9:110" ht="13.5" customHeight="1">
      <c r="CW52" s="1108"/>
      <c r="CX52" s="1120"/>
      <c r="CY52" s="1120"/>
      <c r="CZ52" s="1120"/>
      <c r="DA52" s="1120"/>
      <c r="DB52" s="1840"/>
      <c r="DC52" s="1120"/>
      <c r="DD52" s="1120"/>
      <c r="DE52" s="1120"/>
      <c r="DF52" s="1120"/>
    </row>
    <row r="53" spans="9:110" ht="13.5" hidden="1" customHeight="1" outlineLevel="1">
      <c r="I53" s="1073" t="s">
        <v>459</v>
      </c>
      <c r="J53" s="1073"/>
      <c r="K53" s="1073"/>
      <c r="L53" s="1073"/>
      <c r="M53" s="1073"/>
      <c r="N53" s="1073"/>
      <c r="O53" s="1073"/>
      <c r="P53" s="1073"/>
      <c r="Q53" s="1073"/>
      <c r="R53" s="1073"/>
      <c r="S53" s="1073"/>
      <c r="T53" s="1073"/>
      <c r="U53" s="1073"/>
      <c r="V53" s="1073"/>
      <c r="W53" s="1073"/>
      <c r="X53" s="1073"/>
      <c r="Y53" s="1073"/>
      <c r="Z53" s="1073"/>
      <c r="AA53" s="1073"/>
      <c r="AB53" s="1073"/>
      <c r="AC53" s="1073"/>
      <c r="AD53" s="1073"/>
      <c r="AE53" s="1073"/>
      <c r="AF53" s="1073"/>
      <c r="AG53" s="1073"/>
      <c r="AH53" s="1073"/>
      <c r="AI53" s="1073"/>
      <c r="AJ53" s="1073"/>
      <c r="AK53" s="1073"/>
      <c r="AL53" s="1073"/>
      <c r="AM53" s="1073"/>
      <c r="AN53" s="1073"/>
      <c r="AO53" s="1073"/>
      <c r="AP53" s="1073"/>
      <c r="AQ53" s="1073"/>
      <c r="AR53" s="1073"/>
      <c r="AS53" s="1073"/>
      <c r="AT53" s="1073"/>
      <c r="AU53" s="1073"/>
      <c r="AV53" s="1073"/>
      <c r="AW53" s="1073"/>
      <c r="AX53" s="1073"/>
      <c r="AY53" s="1073"/>
      <c r="AZ53" s="1073"/>
      <c r="BA53" s="1073"/>
      <c r="BB53" s="1073"/>
      <c r="BC53" s="1073"/>
      <c r="BD53" s="1073"/>
      <c r="BE53" s="1073"/>
      <c r="BF53" s="1073"/>
      <c r="BG53" s="1073"/>
      <c r="BH53" s="1073"/>
      <c r="BI53" s="1073"/>
      <c r="BJ53" s="1073"/>
      <c r="BK53" s="1073"/>
      <c r="BL53" s="1073"/>
      <c r="BM53" s="1073"/>
      <c r="BN53" s="1073"/>
      <c r="BO53" s="1073"/>
      <c r="BP53" s="1073"/>
      <c r="BQ53" s="1073"/>
      <c r="BR53" s="1073"/>
      <c r="BS53" s="1073"/>
      <c r="BT53" s="1073"/>
      <c r="BU53" s="1073"/>
      <c r="BV53" s="1073"/>
      <c r="BW53" s="1073"/>
      <c r="BX53" s="1073"/>
      <c r="BY53" s="1073"/>
      <c r="BZ53" s="1073"/>
      <c r="CA53" s="1073"/>
      <c r="CB53" s="1073"/>
      <c r="CC53" s="1073"/>
      <c r="CD53" s="1073"/>
      <c r="CE53" s="1073"/>
      <c r="CF53" s="1073"/>
      <c r="CG53" s="1073"/>
      <c r="CH53" s="1073"/>
      <c r="CI53" s="1073"/>
      <c r="CJ53" s="1073"/>
      <c r="CK53" s="1073"/>
      <c r="CL53" s="1073"/>
      <c r="CM53" s="1073"/>
      <c r="CN53" s="1073"/>
      <c r="CO53" s="1073"/>
      <c r="CP53" s="1073"/>
      <c r="CQ53" s="1073"/>
      <c r="CR53" s="1073"/>
      <c r="CS53" s="1073"/>
      <c r="CT53" s="1073"/>
      <c r="CU53" s="1073"/>
      <c r="CV53" s="1073"/>
      <c r="CW53" s="1073"/>
      <c r="CX53" s="1073"/>
      <c r="CY53" s="1073"/>
      <c r="CZ53" s="1073"/>
      <c r="DA53" s="1073"/>
      <c r="DB53" s="1073"/>
      <c r="DC53" s="1073"/>
      <c r="DD53" s="1073"/>
      <c r="DE53" s="1073"/>
      <c r="DF53" s="1073"/>
    </row>
    <row r="54" spans="9:110" ht="13.5" hidden="1" customHeight="1" outlineLevel="1">
      <c r="I54" s="1059" t="s">
        <v>460</v>
      </c>
      <c r="CG54" s="1128">
        <f t="shared" ref="CG54:DF54" si="14">+$L$42</f>
        <v>7.3384836379991533E-2</v>
      </c>
      <c r="CH54" s="1128">
        <f t="shared" si="14"/>
        <v>7.3384836379991533E-2</v>
      </c>
      <c r="CI54" s="1128">
        <f t="shared" si="14"/>
        <v>7.3384836379991533E-2</v>
      </c>
      <c r="CJ54" s="1128"/>
      <c r="CK54" s="1128"/>
      <c r="CL54" s="1128"/>
      <c r="CM54" s="1128"/>
      <c r="CN54" s="1128"/>
      <c r="CO54" s="1128"/>
      <c r="CP54" s="1128"/>
      <c r="CQ54" s="1128">
        <f t="shared" si="14"/>
        <v>7.3384836379991533E-2</v>
      </c>
      <c r="CR54" s="1128">
        <f t="shared" si="14"/>
        <v>7.3384836379991533E-2</v>
      </c>
      <c r="CS54" s="1128">
        <f t="shared" si="14"/>
        <v>7.3384836379991533E-2</v>
      </c>
      <c r="CT54" s="1128">
        <f t="shared" si="14"/>
        <v>7.3384836379991533E-2</v>
      </c>
      <c r="CU54" s="1128">
        <f t="shared" si="14"/>
        <v>7.3384836379991533E-2</v>
      </c>
      <c r="CV54" s="1128">
        <f t="shared" si="14"/>
        <v>7.3384836379991533E-2</v>
      </c>
      <c r="CW54" s="1128">
        <f t="shared" si="14"/>
        <v>7.3384836379991533E-2</v>
      </c>
      <c r="CX54" s="1128">
        <f t="shared" si="14"/>
        <v>7.3384836379991533E-2</v>
      </c>
      <c r="CY54" s="1128">
        <f t="shared" si="14"/>
        <v>7.3384836379991533E-2</v>
      </c>
      <c r="CZ54" s="1128">
        <f t="shared" si="14"/>
        <v>7.3384836379991533E-2</v>
      </c>
      <c r="DA54" s="1128">
        <f t="shared" si="14"/>
        <v>7.3384836379991533E-2</v>
      </c>
      <c r="DB54" s="1128">
        <f t="shared" si="14"/>
        <v>7.3384836379991533E-2</v>
      </c>
      <c r="DC54" s="1128">
        <f t="shared" si="14"/>
        <v>7.3384836379991533E-2</v>
      </c>
      <c r="DD54" s="1128">
        <f t="shared" si="14"/>
        <v>7.3384836379991533E-2</v>
      </c>
      <c r="DE54" s="1128">
        <f t="shared" si="14"/>
        <v>7.3384836379991533E-2</v>
      </c>
      <c r="DF54" s="1128">
        <f t="shared" si="14"/>
        <v>7.3384836379991533E-2</v>
      </c>
    </row>
    <row r="55" spans="9:110" ht="13.5" hidden="1" customHeight="1" outlineLevel="1"/>
    <row r="56" spans="9:110" ht="13.5" hidden="1" customHeight="1" outlineLevel="1">
      <c r="I56" s="1129" t="s">
        <v>458</v>
      </c>
      <c r="J56" s="1129"/>
      <c r="K56" s="1129"/>
      <c r="L56" s="1129"/>
      <c r="M56" s="1129"/>
      <c r="N56" s="1129"/>
      <c r="O56" s="1129"/>
      <c r="P56" s="1129"/>
      <c r="Q56" s="1129"/>
      <c r="R56" s="1129"/>
      <c r="S56" s="1129"/>
      <c r="T56" s="1129"/>
      <c r="U56" s="1129"/>
      <c r="V56" s="1129"/>
      <c r="W56" s="1129"/>
      <c r="X56" s="1129"/>
      <c r="Y56" s="1129"/>
      <c r="Z56" s="1129"/>
      <c r="AA56" s="1129"/>
      <c r="AB56" s="1129"/>
      <c r="AC56" s="1129"/>
      <c r="AD56" s="1129"/>
      <c r="AE56" s="1129"/>
      <c r="AF56" s="1129"/>
      <c r="AG56" s="1129"/>
      <c r="AH56" s="1129"/>
      <c r="AI56" s="1129"/>
      <c r="AJ56" s="1129"/>
      <c r="AK56" s="1129"/>
      <c r="AL56" s="1129"/>
      <c r="AM56" s="1129"/>
      <c r="AN56" s="1129"/>
      <c r="AO56" s="1129"/>
      <c r="AP56" s="1129"/>
      <c r="AQ56" s="1129"/>
      <c r="AR56" s="1129"/>
      <c r="AS56" s="1129"/>
      <c r="AT56" s="1129"/>
      <c r="AU56" s="1129"/>
      <c r="AV56" s="1129"/>
      <c r="AW56" s="1129"/>
      <c r="AX56" s="1129"/>
      <c r="AY56" s="1129"/>
      <c r="AZ56" s="1129"/>
      <c r="BA56" s="1129"/>
      <c r="BB56" s="1129"/>
      <c r="BC56" s="1129"/>
      <c r="BD56" s="1129"/>
      <c r="BE56" s="1129"/>
      <c r="BF56" s="1129"/>
      <c r="BG56" s="1129"/>
      <c r="BH56" s="1129"/>
      <c r="BI56" s="1129"/>
      <c r="BJ56" s="1129"/>
      <c r="BK56" s="1129"/>
      <c r="BL56" s="1129"/>
      <c r="BM56" s="1129"/>
      <c r="BN56" s="1129"/>
      <c r="BO56" s="1129"/>
      <c r="BP56" s="1129"/>
      <c r="BQ56" s="1129"/>
      <c r="BR56" s="1129"/>
      <c r="BS56" s="1129"/>
      <c r="BT56" s="1129"/>
      <c r="BU56" s="1129"/>
      <c r="BV56" s="1129"/>
      <c r="BW56" s="1129"/>
      <c r="BX56" s="1129"/>
      <c r="BY56" s="1129"/>
      <c r="BZ56" s="1129"/>
      <c r="CA56" s="1129"/>
      <c r="CB56" s="1129"/>
      <c r="CC56" s="1129"/>
      <c r="CD56" s="1129"/>
      <c r="CE56" s="1129"/>
      <c r="CF56" s="1129"/>
      <c r="CG56" s="1129"/>
      <c r="CH56" s="1129"/>
      <c r="CI56" s="1129"/>
      <c r="CJ56" s="1129"/>
      <c r="CK56" s="1129"/>
      <c r="CL56" s="1129"/>
      <c r="CM56" s="1129"/>
      <c r="CN56" s="1129"/>
      <c r="CO56" s="1129"/>
      <c r="CP56" s="1129"/>
      <c r="CQ56" s="1129"/>
      <c r="CR56" s="1129"/>
      <c r="CS56" s="1129"/>
      <c r="CT56" s="1129"/>
      <c r="CU56" s="1129"/>
      <c r="CV56" s="1129"/>
      <c r="CW56" s="1129"/>
      <c r="CX56" s="1129"/>
      <c r="CY56" s="1129"/>
      <c r="CZ56" s="1129"/>
      <c r="DA56" s="1129"/>
      <c r="DB56" s="1129"/>
      <c r="DC56" s="1129"/>
      <c r="DD56" s="1129"/>
      <c r="DE56" s="1129"/>
      <c r="DF56" s="1129"/>
    </row>
    <row r="57" spans="9:110" ht="13.5" hidden="1" customHeight="1" outlineLevel="1">
      <c r="I57" s="1130" t="s">
        <v>461</v>
      </c>
      <c r="CG57" s="1080">
        <f>+L43</f>
        <v>1.985E-2</v>
      </c>
      <c r="CH57" s="1080">
        <f>+L43</f>
        <v>1.985E-2</v>
      </c>
      <c r="CI57" s="1080">
        <f>+L43</f>
        <v>1.985E-2</v>
      </c>
      <c r="CJ57" s="1080"/>
      <c r="CK57" s="1080"/>
      <c r="CL57" s="1080"/>
      <c r="CM57" s="1080"/>
      <c r="CN57" s="1080"/>
      <c r="CO57" s="1080"/>
      <c r="CP57" s="1080"/>
      <c r="CQ57" s="1080">
        <f t="shared" ref="CQ57:DF57" si="15">+$L$43</f>
        <v>1.985E-2</v>
      </c>
      <c r="CR57" s="1080">
        <f t="shared" si="15"/>
        <v>1.985E-2</v>
      </c>
      <c r="CS57" s="1080">
        <f t="shared" si="15"/>
        <v>1.985E-2</v>
      </c>
      <c r="CT57" s="1080">
        <f t="shared" si="15"/>
        <v>1.985E-2</v>
      </c>
      <c r="CU57" s="1080">
        <f t="shared" si="15"/>
        <v>1.985E-2</v>
      </c>
      <c r="CV57" s="1080">
        <f t="shared" si="15"/>
        <v>1.985E-2</v>
      </c>
      <c r="CW57" s="1080">
        <f t="shared" si="15"/>
        <v>1.985E-2</v>
      </c>
      <c r="CX57" s="1080">
        <f t="shared" si="15"/>
        <v>1.985E-2</v>
      </c>
      <c r="CY57" s="1080">
        <f>+$L$43</f>
        <v>1.985E-2</v>
      </c>
      <c r="CZ57" s="1080">
        <f t="shared" si="15"/>
        <v>1.985E-2</v>
      </c>
      <c r="DA57" s="1080">
        <f t="shared" si="15"/>
        <v>1.985E-2</v>
      </c>
      <c r="DB57" s="1080">
        <f t="shared" si="15"/>
        <v>1.985E-2</v>
      </c>
      <c r="DC57" s="1080">
        <f t="shared" si="15"/>
        <v>1.985E-2</v>
      </c>
      <c r="DD57" s="1080">
        <f t="shared" si="15"/>
        <v>1.985E-2</v>
      </c>
      <c r="DE57" s="1080">
        <f t="shared" si="15"/>
        <v>1.985E-2</v>
      </c>
      <c r="DF57" s="1080">
        <f t="shared" si="15"/>
        <v>1.985E-2</v>
      </c>
    </row>
    <row r="58" spans="9:110" ht="13.5" hidden="1" customHeight="1" outlineLevel="1"/>
    <row r="59" spans="9:110" ht="13.5" customHeight="1" collapsed="1"/>
    <row r="61" spans="9:110" ht="13.5" customHeight="1">
      <c r="CS61" s="1076"/>
    </row>
    <row r="62" spans="9:110" ht="13.5" customHeight="1">
      <c r="CR62" s="1101"/>
      <c r="CS62" s="1101"/>
    </row>
  </sheetData>
  <pageMargins left="0.15" right="0.15" top="0.15" bottom="0.5" header="0.25" footer="0.25"/>
  <pageSetup orientation="landscape" r:id="rId1"/>
  <headerFooter alignWithMargins="0">
    <oddFooter>&amp;L&amp;8HomeAway, Inc. | Nasdaq: (AWAY)&amp;C&amp;8Scott Devitt | scott.devitt@ms.com | +1 212 761-3365&amp;"Arial,Bold"&amp;12 |&amp;"Arial,Regular"&amp;8 Nishant Verma | nishant.verma@ms.com | +1 212 761-6320&amp;R&amp;8Page &amp;P of &amp;N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pageSetUpPr fitToPage="1"/>
  </sheetPr>
  <dimension ref="A1:DJ80"/>
  <sheetViews>
    <sheetView showGridLines="0" zoomScaleNormal="100" zoomScaleSheetLayoutView="85" workbookViewId="0">
      <pane xSplit="12" ySplit="7" topLeftCell="CS8" activePane="bottomRight" state="frozen"/>
      <selection activeCell="CX27" sqref="CX27"/>
      <selection pane="topRight" activeCell="CX27" sqref="CX27"/>
      <selection pane="bottomLeft" activeCell="CX27" sqref="CX27"/>
      <selection pane="bottomRight" activeCell="I5" sqref="I5:DG46"/>
    </sheetView>
  </sheetViews>
  <sheetFormatPr defaultColWidth="12.5" defaultRowHeight="13.5" customHeight="1" outlineLevelRow="1" outlineLevelCol="1"/>
  <cols>
    <col min="1" max="1" width="12.5" style="1059" hidden="1" customWidth="1" outlineLevel="1"/>
    <col min="2" max="7" width="12.5" hidden="1" customWidth="1" outlineLevel="1"/>
    <col min="8" max="8" width="2.1640625" style="1059" bestFit="1" customWidth="1" collapsed="1"/>
    <col min="9" max="12" width="12.5" style="1059" customWidth="1"/>
    <col min="13" max="94" width="9.33203125" style="1059" hidden="1" customWidth="1"/>
    <col min="95" max="96" width="9.33203125" style="1059" hidden="1" customWidth="1" outlineLevel="1"/>
    <col min="97" max="97" width="9.33203125" style="1059" customWidth="1" collapsed="1"/>
    <col min="98" max="102" width="9.33203125" style="1059" customWidth="1"/>
    <col min="103" max="103" width="10.1640625" style="1059" customWidth="1"/>
    <col min="104" max="110" width="9.33203125" style="1059" customWidth="1"/>
    <col min="111" max="111" width="11.6640625" style="1059" bestFit="1" customWidth="1"/>
    <col min="112" max="112" width="12.5" style="1059" customWidth="1"/>
    <col min="113" max="16384" width="12.5" style="1059"/>
  </cols>
  <sheetData>
    <row r="1" spans="1:112" ht="13.5" customHeight="1">
      <c r="A1" s="1057"/>
      <c r="I1" s="1060" t="s">
        <v>428</v>
      </c>
      <c r="J1" s="1060"/>
      <c r="L1" s="1061">
        <f>fair_value</f>
        <v>2240.0169399344527</v>
      </c>
      <c r="M1" s="1061"/>
      <c r="N1" s="1061"/>
      <c r="O1" s="1061"/>
      <c r="P1" s="1061"/>
      <c r="Q1" s="1061"/>
      <c r="R1" s="1061"/>
      <c r="S1" s="1061"/>
      <c r="T1" s="1061"/>
      <c r="U1" s="1061"/>
      <c r="V1" s="1061"/>
      <c r="W1" s="1061"/>
      <c r="X1" s="1061"/>
      <c r="Y1" s="1061"/>
      <c r="Z1" s="1061"/>
      <c r="AA1" s="1061"/>
      <c r="AB1" s="1061"/>
      <c r="AC1" s="1061"/>
      <c r="AD1" s="1061"/>
      <c r="AE1" s="1061"/>
      <c r="AF1" s="1061"/>
      <c r="AG1" s="1061"/>
      <c r="AH1" s="1061"/>
      <c r="AI1" s="1061"/>
      <c r="AJ1" s="1061"/>
      <c r="AK1" s="1061"/>
      <c r="AL1" s="1061"/>
      <c r="AM1" s="1061"/>
      <c r="AN1" s="1061"/>
      <c r="AO1" s="1061"/>
      <c r="AP1" s="1061"/>
      <c r="AQ1" s="1061"/>
      <c r="AR1" s="1061"/>
      <c r="AS1" s="1061"/>
      <c r="AT1" s="1061"/>
      <c r="AU1" s="1061"/>
      <c r="AV1" s="1061"/>
      <c r="AW1" s="1061"/>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c r="CT1" s="1462"/>
      <c r="CW1" s="1462"/>
    </row>
    <row r="2" spans="1:112" s="1058" customFormat="1" ht="13.5" customHeight="1">
      <c r="B2"/>
      <c r="C2"/>
      <c r="D2"/>
      <c r="E2"/>
      <c r="F2"/>
      <c r="G2"/>
      <c r="I2" s="1062"/>
      <c r="J2" s="1062"/>
      <c r="K2" s="1062"/>
      <c r="L2" s="1062"/>
      <c r="M2" s="1062"/>
      <c r="N2" s="1062"/>
      <c r="O2" s="1062"/>
      <c r="P2" s="1062"/>
      <c r="Q2" s="1062"/>
      <c r="R2" s="1062"/>
      <c r="S2" s="1062"/>
      <c r="T2" s="1062"/>
      <c r="U2" s="1062"/>
      <c r="V2" s="1062"/>
      <c r="W2" s="1062"/>
      <c r="X2" s="1062"/>
      <c r="Y2" s="1062"/>
      <c r="Z2" s="1062"/>
      <c r="AA2" s="1062"/>
      <c r="AB2" s="1062"/>
      <c r="AC2" s="1062"/>
      <c r="AD2" s="1062"/>
      <c r="AE2" s="1062"/>
      <c r="AF2" s="1062"/>
      <c r="AG2" s="1062"/>
      <c r="AH2" s="1062"/>
      <c r="AI2" s="1062"/>
      <c r="AJ2" s="1062"/>
      <c r="AK2" s="1062"/>
      <c r="AL2" s="1062"/>
      <c r="AM2" s="1062"/>
      <c r="AN2" s="1062"/>
      <c r="AO2" s="1062"/>
      <c r="AP2" s="1062"/>
      <c r="AQ2" s="1062"/>
      <c r="AR2" s="1062"/>
      <c r="AS2" s="1062"/>
      <c r="AT2" s="1062"/>
      <c r="AU2" s="1062"/>
      <c r="AV2" s="1062"/>
      <c r="AW2" s="1062"/>
      <c r="AX2" s="1062"/>
      <c r="AY2" s="1062"/>
      <c r="AZ2" s="1062"/>
      <c r="BA2" s="1062"/>
      <c r="BB2" s="1062"/>
      <c r="BC2" s="1062"/>
      <c r="BD2" s="1062"/>
      <c r="BE2" s="1062"/>
      <c r="BF2" s="1062"/>
      <c r="BG2" s="1062"/>
      <c r="BH2" s="1062"/>
      <c r="BI2" s="1062"/>
      <c r="BJ2" s="1062"/>
      <c r="BK2" s="1062"/>
      <c r="BL2" s="1062"/>
      <c r="BM2" s="1062"/>
      <c r="BN2" s="1062"/>
      <c r="BO2" s="1062"/>
      <c r="BP2" s="1062"/>
      <c r="BQ2" s="1062"/>
      <c r="BR2" s="1062"/>
      <c r="BS2" s="1062"/>
      <c r="BT2" s="1062"/>
      <c r="BU2" s="1062"/>
      <c r="BV2" s="1062"/>
      <c r="BW2" s="1062"/>
      <c r="BX2" s="1062"/>
      <c r="BY2" s="1062"/>
      <c r="BZ2" s="1062"/>
      <c r="CA2" s="1062"/>
      <c r="CB2" s="1062"/>
      <c r="CC2" s="1062"/>
      <c r="CD2" s="1062"/>
      <c r="CE2" s="1062"/>
      <c r="CF2" s="1062"/>
      <c r="CG2" s="1063"/>
      <c r="CH2" s="1063"/>
      <c r="CI2" s="1063"/>
      <c r="CJ2" s="1063"/>
      <c r="CK2" s="1063"/>
      <c r="CL2" s="1063"/>
      <c r="CM2" s="1063"/>
      <c r="CN2" s="1063"/>
      <c r="CO2" s="1063"/>
      <c r="CP2" s="1063"/>
      <c r="CQ2" s="1063"/>
      <c r="CR2" s="1063"/>
      <c r="CS2" s="1063"/>
      <c r="CT2" s="1063"/>
      <c r="CU2" s="1063"/>
      <c r="CV2" s="1063"/>
      <c r="CW2" s="1063"/>
      <c r="CX2" s="1063"/>
      <c r="CY2" s="1063"/>
      <c r="CZ2" s="1063"/>
      <c r="DA2" s="1063"/>
      <c r="DB2" s="1063"/>
      <c r="DC2" s="1063"/>
      <c r="DD2" s="1063"/>
      <c r="DE2" s="1063"/>
      <c r="DF2" s="1063"/>
      <c r="DG2" s="1063"/>
    </row>
    <row r="3" spans="1:112" customFormat="1" ht="13.5" hidden="1" customHeight="1" outlineLevel="1"/>
    <row r="4" spans="1:112" ht="13.5" hidden="1" customHeight="1" outlineLevel="1">
      <c r="I4" s="1059" t="s">
        <v>391</v>
      </c>
      <c r="CG4" s="1065"/>
      <c r="CH4" s="1065"/>
      <c r="CI4" s="1065"/>
      <c r="CJ4" s="1065"/>
      <c r="CK4" s="1065"/>
      <c r="CL4" s="1065"/>
      <c r="CM4" s="1065"/>
      <c r="CN4" s="1065"/>
      <c r="CO4" s="1065"/>
      <c r="CP4" s="1065"/>
      <c r="CQ4" s="1065"/>
      <c r="CR4" s="1065">
        <v>40908</v>
      </c>
      <c r="CS4" s="1065">
        <v>41274</v>
      </c>
      <c r="CT4" s="1065">
        <v>41639</v>
      </c>
      <c r="CU4" s="1065">
        <v>42004</v>
      </c>
      <c r="CV4" s="1065">
        <v>42369</v>
      </c>
      <c r="CW4" s="1065">
        <v>42735</v>
      </c>
      <c r="CX4" s="1065">
        <v>43100</v>
      </c>
      <c r="CY4" s="1065">
        <v>43465</v>
      </c>
      <c r="CZ4" s="1065">
        <v>43830</v>
      </c>
      <c r="DA4" s="1065">
        <v>44196</v>
      </c>
      <c r="DB4" s="1065">
        <v>44561</v>
      </c>
      <c r="DC4" s="1065">
        <v>44926</v>
      </c>
      <c r="DD4" s="1065">
        <v>45291</v>
      </c>
      <c r="DE4" s="1065">
        <v>45657</v>
      </c>
      <c r="DF4" s="1065">
        <v>46022</v>
      </c>
    </row>
    <row r="5" spans="1:112" ht="13.5" customHeight="1" collapsed="1">
      <c r="I5" s="1385" t="s">
        <v>767</v>
      </c>
      <c r="J5" s="1066"/>
      <c r="K5" s="1066"/>
      <c r="L5" s="1066"/>
      <c r="M5" s="1066"/>
      <c r="N5" s="1066"/>
      <c r="O5" s="1066"/>
      <c r="P5" s="1066"/>
      <c r="Q5" s="1066"/>
      <c r="R5" s="1066"/>
      <c r="S5" s="1066"/>
      <c r="T5" s="1066"/>
      <c r="U5" s="1066"/>
      <c r="V5" s="1066"/>
      <c r="W5" s="1066"/>
      <c r="X5" s="1066"/>
      <c r="Y5" s="1066"/>
      <c r="Z5" s="1066"/>
      <c r="AA5" s="1066"/>
      <c r="AB5" s="1066"/>
      <c r="AC5" s="1066"/>
      <c r="AD5" s="1066"/>
      <c r="AE5" s="1066"/>
      <c r="AF5" s="1066"/>
      <c r="AG5" s="1066"/>
      <c r="AH5" s="1066"/>
      <c r="AI5" s="1066"/>
      <c r="AJ5" s="1066"/>
      <c r="AK5" s="1066"/>
      <c r="AL5" s="1066"/>
      <c r="AM5" s="1066"/>
      <c r="AN5" s="1066"/>
      <c r="AO5" s="1066"/>
      <c r="AP5" s="1066"/>
      <c r="AQ5" s="1066"/>
      <c r="AR5" s="1066"/>
      <c r="AS5" s="1066"/>
      <c r="AT5" s="1066"/>
      <c r="AU5" s="1066"/>
      <c r="AV5" s="1066"/>
      <c r="AW5" s="1066"/>
      <c r="AX5" s="1066"/>
      <c r="AY5" s="1066"/>
      <c r="AZ5" s="1066"/>
      <c r="BA5" s="1066"/>
      <c r="BB5" s="1066"/>
      <c r="BC5" s="1066"/>
      <c r="BD5" s="1066"/>
      <c r="BE5" s="1066"/>
      <c r="BF5" s="1066"/>
      <c r="BG5" s="1066"/>
      <c r="BH5" s="1066"/>
      <c r="BI5" s="1066"/>
      <c r="BJ5" s="1066"/>
      <c r="BK5" s="1066"/>
      <c r="BL5" s="1066"/>
      <c r="BM5" s="1066"/>
      <c r="BN5" s="1066"/>
      <c r="BO5" s="1066"/>
      <c r="BP5" s="1066"/>
      <c r="BQ5" s="1066"/>
      <c r="BR5" s="1066"/>
      <c r="BS5" s="1066"/>
      <c r="BT5" s="1066"/>
      <c r="BU5" s="1066"/>
      <c r="BV5" s="1066"/>
      <c r="BW5" s="1066"/>
      <c r="BX5" s="1066"/>
      <c r="BY5" s="1066"/>
      <c r="BZ5" s="1066"/>
      <c r="CA5" s="1066"/>
      <c r="CB5" s="1066"/>
      <c r="CC5" s="1066"/>
      <c r="CD5" s="1066"/>
      <c r="CE5" s="1066"/>
      <c r="CF5" s="1066"/>
      <c r="CG5" s="1067"/>
      <c r="CH5" s="1067"/>
      <c r="CI5" s="1067"/>
      <c r="CJ5" s="1067"/>
      <c r="CK5" s="1067"/>
      <c r="CL5" s="1067"/>
      <c r="CM5" s="1067"/>
      <c r="CN5" s="1067"/>
      <c r="CO5" s="1067"/>
      <c r="CP5" s="1067"/>
      <c r="CQ5" s="1067"/>
      <c r="CR5" s="1067"/>
      <c r="CS5" s="1067"/>
      <c r="CT5" s="1067"/>
      <c r="CU5" s="1067"/>
      <c r="CV5" s="1067"/>
      <c r="CW5" s="1067"/>
      <c r="CX5" s="1067"/>
      <c r="CY5" s="1067"/>
      <c r="CZ5" s="1067"/>
      <c r="DA5" s="1067"/>
      <c r="DB5" s="1951"/>
      <c r="DC5" s="1067"/>
      <c r="DD5" s="1067"/>
      <c r="DE5" s="1067"/>
      <c r="DF5" s="1067"/>
      <c r="DG5" s="1068" t="s">
        <v>431</v>
      </c>
    </row>
    <row r="6" spans="1:112" ht="13.5" customHeight="1" thickBot="1">
      <c r="I6" s="1069" t="s">
        <v>392</v>
      </c>
      <c r="J6" s="1069"/>
      <c r="K6" s="1069"/>
      <c r="L6" s="1069"/>
      <c r="M6" s="1069"/>
      <c r="N6" s="1069"/>
      <c r="O6" s="1069"/>
      <c r="P6" s="1069"/>
      <c r="Q6" s="1069"/>
      <c r="R6" s="1069"/>
      <c r="S6" s="1069"/>
      <c r="T6" s="1069"/>
      <c r="U6" s="1069"/>
      <c r="V6" s="1069"/>
      <c r="W6" s="1069"/>
      <c r="X6" s="1069"/>
      <c r="Y6" s="1069"/>
      <c r="Z6" s="1069"/>
      <c r="AA6" s="1069"/>
      <c r="AB6" s="1069"/>
      <c r="AC6" s="1069"/>
      <c r="AD6" s="1069"/>
      <c r="AE6" s="1069"/>
      <c r="AF6" s="1069"/>
      <c r="AG6" s="1069"/>
      <c r="AH6" s="1069"/>
      <c r="AI6" s="1069"/>
      <c r="AJ6" s="1069"/>
      <c r="AK6" s="1069"/>
      <c r="AL6" s="1069"/>
      <c r="AM6" s="1069"/>
      <c r="AN6" s="1069"/>
      <c r="AO6" s="1069"/>
      <c r="AP6" s="1069"/>
      <c r="AQ6" s="1069"/>
      <c r="AR6" s="1069"/>
      <c r="AS6" s="1069"/>
      <c r="AT6" s="1069"/>
      <c r="AU6" s="1069"/>
      <c r="AV6" s="1069"/>
      <c r="AW6" s="1069"/>
      <c r="AX6" s="1069"/>
      <c r="AY6" s="1069"/>
      <c r="AZ6" s="1069"/>
      <c r="BA6" s="1069"/>
      <c r="BB6" s="1069"/>
      <c r="BC6" s="1069"/>
      <c r="BD6" s="1069"/>
      <c r="BE6" s="1069"/>
      <c r="BF6" s="1069"/>
      <c r="BG6" s="1069"/>
      <c r="BH6" s="1069"/>
      <c r="BI6" s="1069"/>
      <c r="BJ6" s="1069"/>
      <c r="BK6" s="1069"/>
      <c r="BL6" s="1069"/>
      <c r="BM6" s="1069"/>
      <c r="BN6" s="1069"/>
      <c r="BO6" s="1069"/>
      <c r="BP6" s="1069"/>
      <c r="BQ6" s="1069"/>
      <c r="BR6" s="1069"/>
      <c r="BS6" s="1069"/>
      <c r="BT6" s="1069"/>
      <c r="BU6" s="1069"/>
      <c r="BV6" s="1069"/>
      <c r="BW6" s="1069"/>
      <c r="BX6" s="1069"/>
      <c r="BY6" s="1069"/>
      <c r="BZ6" s="1069"/>
      <c r="CA6" s="1069"/>
      <c r="CB6" s="1069"/>
      <c r="CC6" s="1069"/>
      <c r="CD6" s="1069"/>
      <c r="CE6" s="1069"/>
      <c r="CF6" s="1069"/>
      <c r="CG6" s="1070"/>
      <c r="CH6" s="1070"/>
      <c r="CI6" s="1070"/>
      <c r="CJ6" s="1070"/>
      <c r="CK6" s="1070"/>
      <c r="CL6" s="1070"/>
      <c r="CM6" s="1070"/>
      <c r="CN6" s="1070"/>
      <c r="CO6" s="1070"/>
      <c r="CP6" s="1070"/>
      <c r="CQ6" s="1070">
        <v>40543</v>
      </c>
      <c r="CR6" s="1070">
        <v>40908</v>
      </c>
      <c r="CS6" s="1070">
        <v>41274</v>
      </c>
      <c r="CT6" s="1070">
        <v>41639</v>
      </c>
      <c r="CU6" s="1070">
        <v>42004</v>
      </c>
      <c r="CV6" s="1070">
        <v>42369</v>
      </c>
      <c r="CW6" s="1070">
        <v>42735</v>
      </c>
      <c r="CX6" s="1070">
        <v>43100</v>
      </c>
      <c r="CY6" s="1071">
        <v>43465</v>
      </c>
      <c r="CZ6" s="1071">
        <v>43830</v>
      </c>
      <c r="DA6" s="1071">
        <v>44196</v>
      </c>
      <c r="DB6" s="1071">
        <v>44561</v>
      </c>
      <c r="DC6" s="1071">
        <v>44926</v>
      </c>
      <c r="DD6" s="1071">
        <v>45291</v>
      </c>
      <c r="DE6" s="1071">
        <v>45657</v>
      </c>
      <c r="DF6" s="1071">
        <v>46022</v>
      </c>
      <c r="DG6" s="1072" t="s">
        <v>432</v>
      </c>
    </row>
    <row r="7" spans="1:112" ht="5.0999999999999996" customHeight="1"/>
    <row r="8" spans="1:112" ht="13.5" customHeight="1">
      <c r="I8" s="1073" t="s">
        <v>433</v>
      </c>
      <c r="J8" s="1073"/>
      <c r="K8" s="1073"/>
      <c r="L8" s="1073"/>
      <c r="M8" s="1073"/>
      <c r="N8" s="1073"/>
      <c r="O8" s="1073"/>
      <c r="P8" s="1073"/>
      <c r="Q8" s="1073"/>
      <c r="R8" s="1073"/>
      <c r="S8" s="1073"/>
      <c r="T8" s="1073"/>
      <c r="U8" s="1073"/>
      <c r="V8" s="1073"/>
      <c r="W8" s="1073"/>
      <c r="X8" s="1073"/>
      <c r="Y8" s="1073"/>
      <c r="Z8" s="1073"/>
      <c r="AA8" s="1073"/>
      <c r="AB8" s="1073"/>
      <c r="AC8" s="1073"/>
      <c r="AD8" s="1073"/>
      <c r="AE8" s="1073"/>
      <c r="AF8" s="1073"/>
      <c r="AG8" s="1073"/>
      <c r="AH8" s="1073"/>
      <c r="AI8" s="1073"/>
      <c r="AJ8" s="1073"/>
      <c r="AK8" s="1073"/>
      <c r="AL8" s="1073"/>
      <c r="AM8" s="1073"/>
      <c r="AN8" s="1073"/>
      <c r="AO8" s="1073"/>
      <c r="AP8" s="1073"/>
      <c r="AQ8" s="1073"/>
      <c r="AR8" s="1073"/>
      <c r="AS8" s="1073"/>
      <c r="AT8" s="1073"/>
      <c r="AU8" s="1073"/>
      <c r="AV8" s="1073"/>
      <c r="AW8" s="1073"/>
      <c r="AX8" s="1073"/>
      <c r="AY8" s="1073"/>
      <c r="AZ8" s="1073"/>
      <c r="BA8" s="1073"/>
      <c r="BB8" s="1073"/>
      <c r="BC8" s="1073"/>
      <c r="BD8" s="1073"/>
      <c r="BE8" s="1073"/>
      <c r="BF8" s="1073"/>
      <c r="BG8" s="1073"/>
      <c r="BH8" s="1073"/>
      <c r="BI8" s="1073"/>
      <c r="BJ8" s="1073"/>
      <c r="BK8" s="1073"/>
      <c r="BL8" s="1073"/>
      <c r="BM8" s="1073"/>
      <c r="BN8" s="1073"/>
      <c r="BO8" s="1073"/>
      <c r="BP8" s="1073"/>
      <c r="BQ8" s="1073"/>
      <c r="BR8" s="1073"/>
      <c r="BS8" s="1073"/>
      <c r="BT8" s="1073"/>
      <c r="BU8" s="1073"/>
      <c r="BV8" s="1073"/>
      <c r="BW8" s="1073"/>
      <c r="BX8" s="1073"/>
      <c r="BY8" s="1073"/>
      <c r="BZ8" s="1073"/>
      <c r="CA8" s="1073"/>
      <c r="CB8" s="1073"/>
      <c r="CC8" s="1073"/>
      <c r="CD8" s="1073"/>
      <c r="CE8" s="1073"/>
      <c r="CF8" s="1073"/>
      <c r="CG8" s="1073"/>
      <c r="CH8" s="1073"/>
      <c r="CI8" s="1073"/>
      <c r="CJ8" s="1073"/>
      <c r="CK8" s="1073"/>
      <c r="CL8" s="1073"/>
      <c r="CM8" s="1073"/>
      <c r="CN8" s="1073"/>
      <c r="CO8" s="1073"/>
      <c r="CP8" s="1073"/>
      <c r="CQ8" s="1073"/>
      <c r="CR8" s="1073"/>
      <c r="CS8" s="1073"/>
      <c r="CT8" s="1074"/>
      <c r="CU8" s="1074"/>
      <c r="CV8" s="1074"/>
      <c r="CW8" s="1074"/>
      <c r="CX8" s="1074"/>
      <c r="CY8" s="1074"/>
      <c r="CZ8" s="1074"/>
      <c r="DA8" s="1074"/>
      <c r="DB8" s="1074"/>
      <c r="DC8" s="1074"/>
      <c r="DD8" s="1074"/>
      <c r="DE8" s="1074"/>
      <c r="DF8" s="1074"/>
      <c r="DG8" s="1073"/>
    </row>
    <row r="9" spans="1:112" ht="13.5" customHeight="1">
      <c r="I9" s="1059" t="s">
        <v>18</v>
      </c>
      <c r="CG9" s="1075"/>
      <c r="CH9" s="1075"/>
      <c r="CI9" s="1075"/>
      <c r="CJ9" s="1075"/>
      <c r="CK9" s="1075"/>
      <c r="CL9" s="1075"/>
      <c r="CM9" s="1075"/>
      <c r="CN9" s="1075"/>
      <c r="CO9" s="1075"/>
      <c r="CP9" s="1075"/>
      <c r="CQ9" s="1082">
        <f>Model!CQ21</f>
        <v>3089.6079999999997</v>
      </c>
      <c r="CR9" s="1082">
        <f>Model!CR21</f>
        <v>4355.6100000000006</v>
      </c>
      <c r="CS9" s="1082">
        <f>Model!CS21</f>
        <v>5260.956000000001</v>
      </c>
      <c r="CT9" s="1082">
        <f>Model!CT21</f>
        <v>6793.3060000000005</v>
      </c>
      <c r="CU9" s="1082">
        <f>Model!CU21</f>
        <v>8441.9709999999995</v>
      </c>
      <c r="CV9" s="1082">
        <f>Model!CV21</f>
        <v>9223.987000000001</v>
      </c>
      <c r="CW9" s="1082">
        <f>Model!CW21</f>
        <v>10743.005999999999</v>
      </c>
      <c r="CX9" s="1082">
        <f>Model!CX21</f>
        <v>12681.082</v>
      </c>
      <c r="CY9" s="1082">
        <f>Model!CY21</f>
        <v>15271.700277403312</v>
      </c>
      <c r="CZ9" s="1082">
        <f>Model!CZ21</f>
        <v>17339.687473709666</v>
      </c>
      <c r="DA9" s="1082">
        <f>Model!DA21</f>
        <v>19383.027606507796</v>
      </c>
      <c r="DB9" s="1082">
        <f>Model!DB21</f>
        <v>21341.062257496204</v>
      </c>
      <c r="DC9" s="1082">
        <f>Model!DC21</f>
        <v>23251.054470862444</v>
      </c>
      <c r="DD9" s="1082">
        <f>Model!DD21</f>
        <v>25132.715163693218</v>
      </c>
      <c r="DE9" s="1082">
        <f>Model!DE21</f>
        <v>26969.505716410895</v>
      </c>
      <c r="DF9" s="1082">
        <f>Model!DF21</f>
        <v>28948.727130987572</v>
      </c>
      <c r="DG9" s="1103">
        <f>+(1+$L$46)*DF9</f>
        <v>29517.569619111477</v>
      </c>
    </row>
    <row r="10" spans="1:112" ht="13.5" customHeight="1">
      <c r="I10" s="1077" t="s">
        <v>376</v>
      </c>
      <c r="CG10" s="1078"/>
      <c r="CH10" s="1078"/>
      <c r="CI10" s="1078"/>
      <c r="CJ10" s="1078"/>
      <c r="CK10" s="1078"/>
      <c r="CL10" s="1078"/>
      <c r="CM10" s="1078"/>
      <c r="CN10" s="1078"/>
      <c r="CO10" s="1078"/>
      <c r="CP10" s="1078"/>
      <c r="CQ10" s="1078"/>
      <c r="CR10" s="1078">
        <f>IF(ISERROR(+CR9/CQ9-1), "NA", +CR9/CQ9-1)</f>
        <v>0.40976136778516925</v>
      </c>
      <c r="CS10" s="1078">
        <f>IF(ISERROR(+CS9/CR9-1), "NA", +CS9/CR9-1)</f>
        <v>0.20785745280224832</v>
      </c>
      <c r="CT10" s="1078">
        <f t="shared" ref="CT10:DF10" si="0">IF(ISERROR(+CT9/CS9-1), "NA", +CT9/CS9-1)</f>
        <v>0.29126835502900983</v>
      </c>
      <c r="CU10" s="1078">
        <f t="shared" si="0"/>
        <v>0.2426896418327098</v>
      </c>
      <c r="CV10" s="1078">
        <f t="shared" si="0"/>
        <v>9.263429120995581E-2</v>
      </c>
      <c r="CW10" s="1078">
        <f t="shared" si="0"/>
        <v>0.16468138994558412</v>
      </c>
      <c r="CX10" s="1078">
        <f t="shared" si="0"/>
        <v>0.18040351089816031</v>
      </c>
      <c r="CY10" s="1078">
        <f t="shared" si="0"/>
        <v>0.20429000280916965</v>
      </c>
      <c r="CZ10" s="1078">
        <f>IF(ISERROR(+CZ9/CY9-1), "NA", +CZ9/CY9-1)</f>
        <v>0.13541302924640553</v>
      </c>
      <c r="DA10" s="1078">
        <f>IF(ISERROR(+DA9/CZ9-1), "NA", +DA9/CZ9-1)</f>
        <v>0.11784180861945925</v>
      </c>
      <c r="DB10" s="1078">
        <f t="shared" si="0"/>
        <v>0.1010179983611541</v>
      </c>
      <c r="DC10" s="1078">
        <f t="shared" si="0"/>
        <v>8.949846030721087E-2</v>
      </c>
      <c r="DD10" s="1078">
        <f t="shared" si="0"/>
        <v>8.092797232868798E-2</v>
      </c>
      <c r="DE10" s="1078">
        <f t="shared" si="0"/>
        <v>7.3083649767021974E-2</v>
      </c>
      <c r="DF10" s="1078">
        <f t="shared" si="0"/>
        <v>7.3387381859665535E-2</v>
      </c>
      <c r="DG10" s="1078">
        <f>IF(ISERROR(+DG9/DF9-1),"NA",+DG9/DF9-1)</f>
        <v>1.9649999999999945E-2</v>
      </c>
    </row>
    <row r="11" spans="1:112" ht="13.5" customHeight="1">
      <c r="CS11" s="1080"/>
      <c r="CT11" s="1081"/>
      <c r="CU11" s="1081"/>
      <c r="CV11" s="1076"/>
      <c r="CW11" s="1076"/>
      <c r="CX11" s="1076"/>
      <c r="CY11" s="1076"/>
      <c r="CZ11" s="1076"/>
      <c r="DA11" s="1076"/>
      <c r="DB11" s="1076"/>
      <c r="DC11" s="1076"/>
      <c r="DD11" s="1076"/>
      <c r="DE11" s="1076"/>
      <c r="DF11" s="1076"/>
    </row>
    <row r="12" spans="1:112" ht="13.5" customHeight="1">
      <c r="I12" s="1059" t="s">
        <v>434</v>
      </c>
      <c r="CG12" s="1075"/>
      <c r="CH12" s="1075"/>
      <c r="CI12" s="1075"/>
      <c r="CJ12" s="1075"/>
      <c r="CK12" s="1075"/>
      <c r="CL12" s="1075"/>
      <c r="CM12" s="1075"/>
      <c r="CN12" s="1075"/>
      <c r="CO12" s="1075"/>
      <c r="CP12" s="1075"/>
      <c r="CQ12" s="1082">
        <f>Model!CQ95</f>
        <v>834.16899999999976</v>
      </c>
      <c r="CR12" s="1082">
        <f>Model!CR95</f>
        <v>1445.2510000000004</v>
      </c>
      <c r="CS12" s="1082">
        <f>Model!CS95</f>
        <v>1885.2130000000011</v>
      </c>
      <c r="CT12" s="1082">
        <f>Model!CT95</f>
        <v>2520.2950000000001</v>
      </c>
      <c r="CU12" s="1082">
        <f>Model!CU95</f>
        <v>3277.956999999999</v>
      </c>
      <c r="CV12" s="1082">
        <f>Model!CV95</f>
        <v>3475.257999999998</v>
      </c>
      <c r="CW12" s="1082">
        <f>Model!CW95</f>
        <v>4139.2349999999997</v>
      </c>
      <c r="CX12" s="1082">
        <f>Model!CX95</f>
        <v>4867.2319999999982</v>
      </c>
      <c r="CY12" s="1082">
        <f>Model!CY95</f>
        <v>5923.6693089154496</v>
      </c>
      <c r="CZ12" s="1082">
        <f>Model!CZ95</f>
        <v>6799.2864405486807</v>
      </c>
      <c r="DA12" s="1082">
        <f>Model!DA95</f>
        <v>7681.090174516783</v>
      </c>
      <c r="DB12" s="1082">
        <f>Model!DB95</f>
        <v>8561.946486500301</v>
      </c>
      <c r="DC12" s="1082">
        <f>Model!DC95</f>
        <v>9437.0385176143209</v>
      </c>
      <c r="DD12" s="1082">
        <f>Model!DD95</f>
        <v>10295.109285605473</v>
      </c>
      <c r="DE12" s="1082">
        <f>Model!DE95</f>
        <v>11125.332248816248</v>
      </c>
      <c r="DF12" s="1082">
        <f>Model!DF95</f>
        <v>12064.464817989532</v>
      </c>
      <c r="DG12" s="1076">
        <f>+DG20*DG9</f>
        <v>12301.531551663027</v>
      </c>
    </row>
    <row r="13" spans="1:112" ht="13.5" customHeight="1">
      <c r="I13" s="1059" t="s">
        <v>435</v>
      </c>
      <c r="CG13" s="1083"/>
      <c r="CH13" s="1083"/>
      <c r="CI13" s="1083"/>
      <c r="CJ13" s="1083"/>
      <c r="CK13" s="1083"/>
      <c r="CL13" s="1083"/>
      <c r="CM13" s="1083"/>
      <c r="CN13" s="1083"/>
      <c r="CO13" s="1083"/>
      <c r="CP13" s="1083"/>
      <c r="CQ13" s="1082">
        <f>Model!CQ540</f>
        <v>-169.32</v>
      </c>
      <c r="CR13" s="1082">
        <f>Model!CR540</f>
        <v>-232.762</v>
      </c>
      <c r="CS13" s="1082">
        <f>Model!CS540</f>
        <v>-300.53899999999999</v>
      </c>
      <c r="CT13" s="1082">
        <f>Model!CT540</f>
        <v>-391.16899999999998</v>
      </c>
      <c r="CU13" s="1082">
        <f>Model!CU540</f>
        <v>-491.53</v>
      </c>
      <c r="CV13" s="1082">
        <f>Model!CV540</f>
        <v>-534.10500000000002</v>
      </c>
      <c r="CW13" s="1082">
        <f>Model!CW540</f>
        <v>-636.54999999999995</v>
      </c>
      <c r="CX13" s="1082">
        <f>Model!CX540</f>
        <v>-2057.5569999999998</v>
      </c>
      <c r="CY13" s="1075">
        <f t="shared" ref="CY13:DF13" si="1">+CY67</f>
        <v>-1882.6329006265948</v>
      </c>
      <c r="CZ13" s="1075">
        <f t="shared" si="1"/>
        <v>-2200.6449328780222</v>
      </c>
      <c r="DA13" s="1075">
        <f t="shared" si="1"/>
        <v>-2514.2273234608356</v>
      </c>
      <c r="DB13" s="1075">
        <f t="shared" si="1"/>
        <v>-2828.7952855422291</v>
      </c>
      <c r="DC13" s="1075">
        <f t="shared" si="1"/>
        <v>-3141.1089166947595</v>
      </c>
      <c r="DD13" s="1075">
        <f t="shared" si="1"/>
        <v>-3444.3436816723824</v>
      </c>
      <c r="DE13" s="1075">
        <f t="shared" si="1"/>
        <v>-3746.5333987233075</v>
      </c>
      <c r="DF13" s="1075">
        <f t="shared" si="1"/>
        <v>-4084.0675986756023</v>
      </c>
      <c r="DH13" s="1095"/>
    </row>
    <row r="14" spans="1:112" s="1091" customFormat="1" ht="13.5" customHeight="1">
      <c r="B14"/>
      <c r="C14"/>
      <c r="D14"/>
      <c r="E14"/>
      <c r="F14"/>
      <c r="G14"/>
      <c r="I14" s="1091" t="s">
        <v>437</v>
      </c>
      <c r="CG14" s="1533"/>
      <c r="CH14" s="1533"/>
      <c r="CI14" s="1533"/>
      <c r="CJ14" s="1533"/>
      <c r="CK14" s="1533"/>
      <c r="CL14" s="1533"/>
      <c r="CM14" s="1533"/>
      <c r="CN14" s="1533"/>
      <c r="CO14" s="1533"/>
      <c r="CP14" s="1533"/>
      <c r="CQ14" s="1082">
        <f>-Model!CQ478</f>
        <v>-68.199999999999989</v>
      </c>
      <c r="CR14" s="1082">
        <f>-Model!CR478</f>
        <v>-65.724000000000004</v>
      </c>
      <c r="CS14" s="1082">
        <f>-Model!CS478</f>
        <v>-71.564999999999998</v>
      </c>
      <c r="CT14" s="1082">
        <f>-Model!CT478</f>
        <v>-140.52600000000001</v>
      </c>
      <c r="CU14" s="1082">
        <f>-Model!CU478</f>
        <v>-186.42500000000001</v>
      </c>
      <c r="CV14" s="1082">
        <f>-Model!CV478</f>
        <v>-247.39499999999998</v>
      </c>
      <c r="CW14" s="1082">
        <f>-Model!CW478</f>
        <v>-249.57400000000001</v>
      </c>
      <c r="CX14" s="1082">
        <f>-Model!CX478</f>
        <v>-260.90999999999997</v>
      </c>
      <c r="CY14" s="1082">
        <f>-Model!CY478</f>
        <v>-281.78280000000007</v>
      </c>
      <c r="CZ14" s="1082">
        <f>-Model!CZ478</f>
        <v>-301.50759600000015</v>
      </c>
      <c r="DA14" s="1082">
        <f>-Model!DA478</f>
        <v>-321.10558974000026</v>
      </c>
      <c r="DB14" s="1082">
        <f>-Model!DB478</f>
        <v>-340.37192512440038</v>
      </c>
      <c r="DC14" s="1082">
        <f>-Model!DC478</f>
        <v>-359.09238100624253</v>
      </c>
      <c r="DD14" s="1082">
        <f>-Model!DD478</f>
        <v>-377.04700005655474</v>
      </c>
      <c r="DE14" s="1082">
        <f>-Model!DE478</f>
        <v>-394.01411505909982</v>
      </c>
      <c r="DF14" s="1082">
        <f>-Model!DF478</f>
        <v>-409.77467966146389</v>
      </c>
      <c r="DH14" s="1095"/>
    </row>
    <row r="15" spans="1:112" s="1091" customFormat="1" ht="13.5" customHeight="1">
      <c r="B15"/>
      <c r="C15"/>
      <c r="D15"/>
      <c r="E15"/>
      <c r="F15"/>
      <c r="G15"/>
      <c r="I15" s="1091" t="s">
        <v>415</v>
      </c>
      <c r="CG15" s="1533"/>
      <c r="CH15" s="1533"/>
      <c r="CI15" s="1533"/>
      <c r="CJ15" s="1533"/>
      <c r="CK15" s="1533"/>
      <c r="CL15" s="1533"/>
      <c r="CM15" s="1533"/>
      <c r="CN15" s="1533"/>
      <c r="CO15" s="1533"/>
      <c r="CP15" s="1533"/>
      <c r="CQ15" s="1082">
        <f>-Model!CQ521</f>
        <v>-22.593</v>
      </c>
      <c r="CR15" s="1082">
        <f>-Model!CR521</f>
        <v>-46.832999999999998</v>
      </c>
      <c r="CS15" s="1082">
        <f>-Model!CS521</f>
        <v>-55.158000000000001</v>
      </c>
      <c r="CT15" s="1082">
        <f>-Model!CT521</f>
        <v>-84.444999999999993</v>
      </c>
      <c r="CU15" s="1082">
        <f>-Model!CU521</f>
        <v>-131.50399999999999</v>
      </c>
      <c r="CV15" s="1082">
        <f>-Model!CV521</f>
        <v>-173.91499999999999</v>
      </c>
      <c r="CW15" s="1082">
        <f>-Model!CW521</f>
        <v>-219.88900000000001</v>
      </c>
      <c r="CX15" s="1082">
        <f>-Model!CX521</f>
        <v>-287.80500000000001</v>
      </c>
      <c r="CY15" s="1082">
        <f>-Model!CY521</f>
        <v>-364.07131606110823</v>
      </c>
      <c r="CZ15" s="1082">
        <f>-Model!CZ521</f>
        <v>-427.95676383952571</v>
      </c>
      <c r="DA15" s="1082">
        <f>-Model!DA521</f>
        <v>-489.1695631063231</v>
      </c>
      <c r="DB15" s="1082">
        <f>-Model!DB521</f>
        <v>-550.37656261603331</v>
      </c>
      <c r="DC15" s="1082">
        <f>-Model!DC521</f>
        <v>-612.24848722151444</v>
      </c>
      <c r="DD15" s="1082">
        <f>-Model!DD521</f>
        <v>-675.2571801792518</v>
      </c>
      <c r="DE15" s="1082">
        <f>-Model!DE521</f>
        <v>-738.89941506418631</v>
      </c>
      <c r="DF15" s="1082">
        <f>-Model!DF521</f>
        <v>-808.4463270780476</v>
      </c>
      <c r="DH15" s="1095"/>
    </row>
    <row r="16" spans="1:112" ht="13.5" customHeight="1">
      <c r="I16" s="1536" t="s">
        <v>436</v>
      </c>
      <c r="J16" s="1536"/>
      <c r="K16" s="1536"/>
      <c r="L16" s="1536"/>
      <c r="M16" s="1536"/>
      <c r="N16" s="1536"/>
      <c r="O16" s="1536"/>
      <c r="P16" s="1536"/>
      <c r="Q16" s="1536"/>
      <c r="R16" s="1536"/>
      <c r="S16" s="1536"/>
      <c r="T16" s="1536"/>
      <c r="U16" s="1536"/>
      <c r="V16" s="1536"/>
      <c r="W16" s="1536"/>
      <c r="X16" s="1536"/>
      <c r="Y16" s="1536"/>
      <c r="Z16" s="1536"/>
      <c r="AA16" s="1536"/>
      <c r="AB16" s="1536"/>
      <c r="AC16" s="1536"/>
      <c r="AD16" s="1536"/>
      <c r="AE16" s="1536"/>
      <c r="AF16" s="1536"/>
      <c r="AG16" s="1536"/>
      <c r="AH16" s="1536"/>
      <c r="AI16" s="1536"/>
      <c r="AJ16" s="1536"/>
      <c r="AK16" s="1536"/>
      <c r="AL16" s="1536"/>
      <c r="AM16" s="1536"/>
      <c r="AN16" s="1536"/>
      <c r="AO16" s="1536"/>
      <c r="AP16" s="1536"/>
      <c r="AQ16" s="1536"/>
      <c r="AR16" s="1536"/>
      <c r="AS16" s="1536"/>
      <c r="AT16" s="1536"/>
      <c r="AU16" s="1536"/>
      <c r="AV16" s="1536"/>
      <c r="AW16" s="1536"/>
      <c r="AX16" s="1536"/>
      <c r="AY16" s="1536"/>
      <c r="AZ16" s="1536"/>
      <c r="BA16" s="1536"/>
      <c r="BB16" s="1536"/>
      <c r="BC16" s="1536"/>
      <c r="BD16" s="1536"/>
      <c r="BE16" s="1536"/>
      <c r="BF16" s="1536"/>
      <c r="BG16" s="1536"/>
      <c r="BH16" s="1536"/>
      <c r="BI16" s="1536"/>
      <c r="BJ16" s="1536"/>
      <c r="BK16" s="1536"/>
      <c r="BL16" s="1536"/>
      <c r="BM16" s="1536"/>
      <c r="BN16" s="1536"/>
      <c r="BO16" s="1536"/>
      <c r="BP16" s="1536"/>
      <c r="BQ16" s="1536"/>
      <c r="BR16" s="1536"/>
      <c r="BS16" s="1536"/>
      <c r="BT16" s="1536"/>
      <c r="BU16" s="1536"/>
      <c r="BV16" s="1536"/>
      <c r="BW16" s="1536"/>
      <c r="BX16" s="1536"/>
      <c r="BY16" s="1536"/>
      <c r="BZ16" s="1536"/>
      <c r="CA16" s="1536"/>
      <c r="CB16" s="1536"/>
      <c r="CC16" s="1536"/>
      <c r="CD16" s="1536"/>
      <c r="CE16" s="1536"/>
      <c r="CF16" s="1536"/>
      <c r="CG16" s="1537"/>
      <c r="CH16" s="1537"/>
      <c r="CI16" s="1537"/>
      <c r="CJ16" s="1537"/>
      <c r="CK16" s="1537"/>
      <c r="CL16" s="1537"/>
      <c r="CM16" s="1537"/>
      <c r="CN16" s="1537"/>
      <c r="CO16" s="1537"/>
      <c r="CP16" s="1537"/>
      <c r="CQ16" s="1772">
        <f>Model!CQ664</f>
        <v>50.877000000000002</v>
      </c>
      <c r="CR16" s="1772">
        <f>Model!CR664</f>
        <v>84.778999999999982</v>
      </c>
      <c r="CS16" s="1772">
        <f>Model!CS664</f>
        <v>143.81500000000003</v>
      </c>
      <c r="CT16" s="1772">
        <f>Model!CT664</f>
        <v>52.941000000000003</v>
      </c>
      <c r="CU16" s="1772">
        <f>Model!CU664</f>
        <v>-25.395000000000014</v>
      </c>
      <c r="CV16" s="1772">
        <f>Model!CV664</f>
        <v>-8.0130000000000123</v>
      </c>
      <c r="CW16" s="1876">
        <f>Model!CW664</f>
        <v>215.87299999999999</v>
      </c>
      <c r="CX16" s="1876">
        <f>Model!CX664</f>
        <v>1578.367</v>
      </c>
      <c r="CY16" s="1876">
        <f>Model!CY664</f>
        <v>119.76805259536894</v>
      </c>
      <c r="CZ16" s="1876">
        <f>Model!CZ664</f>
        <v>66.080172728373441</v>
      </c>
      <c r="DA16" s="1876">
        <f>Model!DA664</f>
        <v>63.858749439300254</v>
      </c>
      <c r="DB16" s="1876">
        <f>Model!DB664</f>
        <v>57.213552328013179</v>
      </c>
      <c r="DC16" s="1876">
        <f>Model!DC664</f>
        <v>56.224616599169963</v>
      </c>
      <c r="DD16" s="1876">
        <f>Model!DD664</f>
        <v>54.925785757164704</v>
      </c>
      <c r="DE16" s="1876">
        <f>Model!DE664</f>
        <v>57.170989162181058</v>
      </c>
      <c r="DF16" s="1876">
        <f>Model!DF664</f>
        <v>65.290849210560395</v>
      </c>
      <c r="DG16" s="1877"/>
      <c r="DH16" s="1095"/>
    </row>
    <row r="17" spans="2:114" ht="13.5" customHeight="1">
      <c r="I17" s="1085" t="s">
        <v>438</v>
      </c>
      <c r="J17" s="1085"/>
      <c r="K17" s="1085"/>
      <c r="L17" s="1085"/>
      <c r="M17" s="1085"/>
      <c r="N17" s="1085"/>
      <c r="O17" s="1085"/>
      <c r="P17" s="1085"/>
      <c r="Q17" s="1085"/>
      <c r="R17" s="1085"/>
      <c r="S17" s="1085"/>
      <c r="T17" s="1085"/>
      <c r="U17" s="1085"/>
      <c r="V17" s="1085"/>
      <c r="W17" s="1085"/>
      <c r="X17" s="1085"/>
      <c r="Y17" s="1085"/>
      <c r="Z17" s="1085"/>
      <c r="AA17" s="1085"/>
      <c r="AB17" s="1085"/>
      <c r="AC17" s="1085"/>
      <c r="AD17" s="1085"/>
      <c r="AE17" s="1085"/>
      <c r="AF17" s="1085"/>
      <c r="AG17" s="1085"/>
      <c r="AH17" s="1085"/>
      <c r="AI17" s="1085"/>
      <c r="AJ17" s="1085"/>
      <c r="AK17" s="1085"/>
      <c r="AL17" s="1085"/>
      <c r="AM17" s="1085"/>
      <c r="AN17" s="1085"/>
      <c r="AO17" s="1085"/>
      <c r="AP17" s="1085"/>
      <c r="AQ17" s="1085"/>
      <c r="AR17" s="1085"/>
      <c r="AS17" s="1085"/>
      <c r="AT17" s="1085"/>
      <c r="AU17" s="1085"/>
      <c r="AV17" s="1085"/>
      <c r="AW17" s="1085"/>
      <c r="AX17" s="1085"/>
      <c r="AY17" s="1085"/>
      <c r="AZ17" s="1085"/>
      <c r="BA17" s="1085"/>
      <c r="BB17" s="1085"/>
      <c r="BC17" s="1085"/>
      <c r="BD17" s="1085"/>
      <c r="BE17" s="1085"/>
      <c r="BF17" s="1085"/>
      <c r="BG17" s="1085"/>
      <c r="BH17" s="1085"/>
      <c r="BI17" s="1085"/>
      <c r="BJ17" s="1085"/>
      <c r="BK17" s="1085"/>
      <c r="BL17" s="1085"/>
      <c r="BM17" s="1085"/>
      <c r="BN17" s="1085"/>
      <c r="BO17" s="1085"/>
      <c r="BP17" s="1085"/>
      <c r="BQ17" s="1085"/>
      <c r="BR17" s="1085"/>
      <c r="BS17" s="1085"/>
      <c r="BT17" s="1085"/>
      <c r="BU17" s="1085"/>
      <c r="BV17" s="1085"/>
      <c r="BW17" s="1085"/>
      <c r="BX17" s="1085"/>
      <c r="BY17" s="1085"/>
      <c r="BZ17" s="1085"/>
      <c r="CA17" s="1085"/>
      <c r="CB17" s="1085"/>
      <c r="CC17" s="1085"/>
      <c r="CD17" s="1085"/>
      <c r="CE17" s="1085"/>
      <c r="CF17" s="1085"/>
      <c r="CG17" s="1535"/>
      <c r="CH17" s="1535"/>
      <c r="CI17" s="1535"/>
      <c r="CJ17" s="1535"/>
      <c r="CK17" s="1535"/>
      <c r="CL17" s="1535"/>
      <c r="CM17" s="1535"/>
      <c r="CN17" s="1535"/>
      <c r="CO17" s="1535"/>
      <c r="CP17" s="1535"/>
      <c r="CQ17" s="1535">
        <f>IF(ISERROR(+SUM(CQ12:CQ16)), "NA", +SUM(CQ12:CQ16))</f>
        <v>624.93299999999965</v>
      </c>
      <c r="CR17" s="1535">
        <f>IF(ISERROR(+SUM(CR12:CR16)), "NA", +SUM(CR12:CR16))</f>
        <v>1184.7110000000005</v>
      </c>
      <c r="CS17" s="1535">
        <f t="shared" ref="CS17:CX17" si="2">IF(ISERROR(+SUM(CS12:CS16)), "NA", +SUM(CS12:CS16))</f>
        <v>1601.7660000000012</v>
      </c>
      <c r="CT17" s="1535">
        <f t="shared" si="2"/>
        <v>1957.0960000000002</v>
      </c>
      <c r="CU17" s="1535">
        <f t="shared" si="2"/>
        <v>2443.1029999999987</v>
      </c>
      <c r="CV17" s="1535">
        <f t="shared" si="2"/>
        <v>2511.8299999999981</v>
      </c>
      <c r="CW17" s="1535">
        <f t="shared" si="2"/>
        <v>3249.0949999999993</v>
      </c>
      <c r="CX17" s="1535">
        <f t="shared" si="2"/>
        <v>3839.3269999999984</v>
      </c>
      <c r="CY17" s="1535">
        <f t="shared" ref="CY17:DD17" si="3">IF(ISERROR(+SUM(CY12:CY16)), "NA", +SUM(CY12:CY16))</f>
        <v>3514.9503448231153</v>
      </c>
      <c r="CZ17" s="1535">
        <f t="shared" si="3"/>
        <v>3935.2573205595054</v>
      </c>
      <c r="DA17" s="1535">
        <f t="shared" si="3"/>
        <v>4420.4464476489247</v>
      </c>
      <c r="DB17" s="1535">
        <f t="shared" si="3"/>
        <v>4899.6162655456519</v>
      </c>
      <c r="DC17" s="1535">
        <f t="shared" si="3"/>
        <v>5380.8133492909747</v>
      </c>
      <c r="DD17" s="1535">
        <f t="shared" si="3"/>
        <v>5853.3872094544486</v>
      </c>
      <c r="DE17" s="1535">
        <f>IF(ISERROR(+SUM(DE12:DE16)), "NA", +SUM(DE12:DE16))</f>
        <v>6303.0563091318354</v>
      </c>
      <c r="DF17" s="1535">
        <f>IF(ISERROR(+SUM(DF12:DF16)), "NA", +SUM(DF12:DF16))</f>
        <v>6827.4670617849788</v>
      </c>
      <c r="DG17" s="1946">
        <f>+DG21*DG12</f>
        <v>6961.6267895490537</v>
      </c>
    </row>
    <row r="18" spans="2:114" ht="13.5" customHeight="1">
      <c r="I18" s="1077" t="s">
        <v>125</v>
      </c>
      <c r="CG18" s="1078"/>
      <c r="CH18" s="1078"/>
      <c r="CI18" s="1078"/>
      <c r="CJ18" s="1078"/>
      <c r="CK18" s="1078"/>
      <c r="CL18" s="1078"/>
      <c r="CM18" s="1078"/>
      <c r="CN18" s="1078"/>
      <c r="CO18" s="1078"/>
      <c r="CP18" s="1078"/>
      <c r="CQ18" s="1078">
        <f>IF(ISERROR(+CQ17/CQ9), "NA", +CQ17/CQ9)</f>
        <v>0.20226934938024491</v>
      </c>
      <c r="CR18" s="1078">
        <f>IF(ISERROR(+CR17/CR9), "NA", +CR17/CR9)</f>
        <v>0.27199657453261433</v>
      </c>
      <c r="CS18" s="1078">
        <f t="shared" ref="CS18:CY18" si="4">IF(ISERROR(+CS17/CS9), "NA", +CS17/CS9)</f>
        <v>0.30446291510516355</v>
      </c>
      <c r="CT18" s="1078">
        <f t="shared" si="4"/>
        <v>0.28809183628707435</v>
      </c>
      <c r="CU18" s="1078">
        <f t="shared" si="4"/>
        <v>0.28939959637387985</v>
      </c>
      <c r="CV18" s="1078">
        <f t="shared" si="4"/>
        <v>0.27231499784203922</v>
      </c>
      <c r="CW18" s="1078">
        <f t="shared" si="4"/>
        <v>0.30243816302438997</v>
      </c>
      <c r="CX18" s="1078">
        <f t="shared" si="4"/>
        <v>0.30276020610859533</v>
      </c>
      <c r="CY18" s="1078">
        <f t="shared" si="4"/>
        <v>0.23016103518113123</v>
      </c>
      <c r="CZ18" s="1078">
        <f t="shared" ref="CZ18:DF18" si="5">IF(ISERROR(+CZ17/CZ9), "NA", +CZ17/CZ9)</f>
        <v>0.22695087939307557</v>
      </c>
      <c r="DA18" s="1078">
        <f t="shared" si="5"/>
        <v>0.22805758405692889</v>
      </c>
      <c r="DB18" s="1078">
        <f t="shared" si="5"/>
        <v>0.22958633485194141</v>
      </c>
      <c r="DC18" s="1078">
        <f t="shared" si="5"/>
        <v>0.2314223363948528</v>
      </c>
      <c r="DD18" s="1078">
        <f t="shared" si="5"/>
        <v>0.23289911859225884</v>
      </c>
      <c r="DE18" s="1078">
        <f t="shared" si="5"/>
        <v>0.23371048677753251</v>
      </c>
      <c r="DF18" s="1078">
        <f t="shared" si="5"/>
        <v>0.2358468830388282</v>
      </c>
      <c r="DG18" s="1078">
        <f>IF(ISERROR(+DG17/DG9), "NA", +DG17/DG9)</f>
        <v>0.23584688303882823</v>
      </c>
    </row>
    <row r="19" spans="2:114" ht="13.5" customHeight="1">
      <c r="I19" s="1087"/>
      <c r="J19" s="1088"/>
      <c r="K19" s="1088"/>
      <c r="L19" s="1088"/>
      <c r="M19" s="1088"/>
      <c r="N19" s="1088"/>
      <c r="O19" s="1088"/>
      <c r="P19" s="1088"/>
      <c r="Q19" s="1088"/>
      <c r="R19" s="1088"/>
      <c r="S19" s="1088"/>
      <c r="T19" s="1088"/>
      <c r="U19" s="1088"/>
      <c r="V19" s="1088"/>
      <c r="W19" s="1088"/>
      <c r="X19" s="1088"/>
      <c r="Y19" s="1088"/>
      <c r="Z19" s="1088"/>
      <c r="AA19" s="1088"/>
      <c r="AB19" s="1088"/>
      <c r="AC19" s="1088"/>
      <c r="AD19" s="1088"/>
      <c r="AE19" s="1088"/>
      <c r="AF19" s="1088"/>
      <c r="AG19" s="1088"/>
      <c r="AH19" s="1088"/>
      <c r="AI19" s="1088"/>
      <c r="AJ19" s="1088"/>
      <c r="AK19" s="1088"/>
      <c r="AL19" s="1088"/>
      <c r="AM19" s="1088"/>
      <c r="AN19" s="1088"/>
      <c r="AO19" s="1088"/>
      <c r="AP19" s="1088"/>
      <c r="AQ19" s="1088"/>
      <c r="AR19" s="1088"/>
      <c r="AS19" s="1088"/>
      <c r="AT19" s="1088"/>
      <c r="AU19" s="1088"/>
      <c r="AV19" s="1088"/>
      <c r="AW19" s="1088"/>
      <c r="AX19" s="1088"/>
      <c r="AY19" s="1088"/>
      <c r="AZ19" s="1088"/>
      <c r="BA19" s="1088"/>
      <c r="BB19" s="1088"/>
      <c r="BC19" s="1088"/>
      <c r="BD19" s="1088"/>
      <c r="BE19" s="1088"/>
      <c r="BF19" s="1088"/>
      <c r="BG19" s="1088"/>
      <c r="BH19" s="1088"/>
      <c r="BI19" s="1088"/>
      <c r="BJ19" s="1088"/>
      <c r="BK19" s="1088"/>
      <c r="BL19" s="1088"/>
      <c r="BM19" s="1088"/>
      <c r="BN19" s="1088"/>
      <c r="BO19" s="1088"/>
      <c r="BP19" s="1088"/>
      <c r="BQ19" s="1088"/>
      <c r="BR19" s="1088"/>
      <c r="BS19" s="1088"/>
      <c r="BT19" s="1088"/>
      <c r="BU19" s="1088"/>
      <c r="BV19" s="1088"/>
      <c r="BW19" s="1088"/>
      <c r="BX19" s="1088"/>
      <c r="BY19" s="1088"/>
      <c r="BZ19" s="1088"/>
      <c r="CA19" s="1088"/>
      <c r="CB19" s="1088"/>
      <c r="CC19" s="1088"/>
      <c r="CD19" s="1088"/>
      <c r="CE19" s="1088"/>
      <c r="CF19" s="1088"/>
      <c r="CG19" s="1089"/>
      <c r="CH19" s="1089"/>
      <c r="CI19" s="1089"/>
      <c r="CJ19" s="1089"/>
      <c r="CK19" s="1089"/>
      <c r="CL19" s="1089"/>
      <c r="CM19" s="1089"/>
      <c r="CN19" s="1089"/>
      <c r="CO19" s="1089"/>
      <c r="CP19" s="1089"/>
      <c r="CQ19" s="1090"/>
      <c r="CR19" s="1090"/>
      <c r="CS19" s="2002"/>
      <c r="CT19" s="2002"/>
      <c r="CU19" s="2002"/>
      <c r="CV19" s="2002"/>
      <c r="CW19" s="2002"/>
      <c r="CX19" s="2002"/>
      <c r="CY19" s="2002"/>
      <c r="CZ19" s="2002"/>
      <c r="DA19" s="2002"/>
      <c r="DB19" s="2002"/>
      <c r="DC19" s="2002"/>
      <c r="DD19" s="2002"/>
      <c r="DE19" s="2002"/>
      <c r="DF19" s="2002"/>
      <c r="DG19" s="1090"/>
      <c r="DH19" s="1090"/>
    </row>
    <row r="20" spans="2:114" ht="13.5" customHeight="1">
      <c r="I20" s="1059" t="s">
        <v>442</v>
      </c>
      <c r="CG20" s="1078"/>
      <c r="CH20" s="1078"/>
      <c r="CI20" s="1078"/>
      <c r="CJ20" s="1078"/>
      <c r="CK20" s="1078"/>
      <c r="CL20" s="1078"/>
      <c r="CM20" s="1078"/>
      <c r="CN20" s="1078"/>
      <c r="CO20" s="1078"/>
      <c r="CP20" s="1078"/>
      <c r="CQ20" s="1078">
        <f t="shared" ref="CQ20:DD20" si="6">IF(ISERROR(+CQ12/CQ9), "NA", +CQ12/CQ9)</f>
        <v>0.26999185657209585</v>
      </c>
      <c r="CR20" s="1078">
        <f t="shared" si="6"/>
        <v>0.3318136839616036</v>
      </c>
      <c r="CS20" s="1078">
        <f t="shared" si="6"/>
        <v>0.35834038528358736</v>
      </c>
      <c r="CT20" s="1078">
        <f t="shared" si="6"/>
        <v>0.3709968312924517</v>
      </c>
      <c r="CU20" s="1078">
        <f t="shared" si="6"/>
        <v>0.38829285246300882</v>
      </c>
      <c r="CV20" s="1078">
        <f t="shared" si="6"/>
        <v>0.37676310688642534</v>
      </c>
      <c r="CW20" s="1078">
        <f t="shared" si="6"/>
        <v>0.38529579151310162</v>
      </c>
      <c r="CX20" s="1078">
        <f t="shared" si="6"/>
        <v>0.38381835240872963</v>
      </c>
      <c r="CY20" s="1078">
        <f t="shared" si="6"/>
        <v>0.3878853828529083</v>
      </c>
      <c r="CZ20" s="1078">
        <f t="shared" si="6"/>
        <v>0.3921227790787879</v>
      </c>
      <c r="DA20" s="1078">
        <f t="shared" si="6"/>
        <v>0.39627917425747661</v>
      </c>
      <c r="DB20" s="1078">
        <f t="shared" si="6"/>
        <v>0.40119589096334018</v>
      </c>
      <c r="DC20" s="1078">
        <f t="shared" si="6"/>
        <v>0.40587572187061655</v>
      </c>
      <c r="DD20" s="1078">
        <f t="shared" si="6"/>
        <v>0.40962980794362452</v>
      </c>
      <c r="DE20" s="1078">
        <f>IF(ISERROR(+DE12/DE9), "NA", +DE12/DE9)</f>
        <v>0.41251524465450268</v>
      </c>
      <c r="DF20" s="1078">
        <f>IF(ISERROR(+DF12/DF9), "NA", +DF12/DF9)</f>
        <v>0.41675285975096893</v>
      </c>
      <c r="DG20" s="1463">
        <f>+DF20</f>
        <v>0.41675285975096893</v>
      </c>
    </row>
    <row r="21" spans="2:114" ht="13.5" customHeight="1">
      <c r="I21" s="1059" t="s">
        <v>443</v>
      </c>
      <c r="CG21" s="1078"/>
      <c r="CH21" s="1078"/>
      <c r="CI21" s="1078"/>
      <c r="CJ21" s="1078"/>
      <c r="CK21" s="1078"/>
      <c r="CL21" s="1078"/>
      <c r="CM21" s="1078"/>
      <c r="CN21" s="1078"/>
      <c r="CO21" s="1078"/>
      <c r="CP21" s="1078"/>
      <c r="CQ21" s="1078">
        <f t="shared" ref="CQ21:DD21" si="7">IF(ISERROR(+CQ17/CQ12), "NA", +CQ17/CQ12)</f>
        <v>0.74916833399466998</v>
      </c>
      <c r="CR21" s="1078">
        <f t="shared" si="7"/>
        <v>0.81972681561887872</v>
      </c>
      <c r="CS21" s="1078">
        <f t="shared" si="7"/>
        <v>0.84964722819119132</v>
      </c>
      <c r="CT21" s="1078">
        <f t="shared" si="7"/>
        <v>0.77653449298594024</v>
      </c>
      <c r="CU21" s="1078">
        <f t="shared" si="7"/>
        <v>0.74531270544427508</v>
      </c>
      <c r="CV21" s="1078">
        <f t="shared" si="7"/>
        <v>0.72277511482600698</v>
      </c>
      <c r="CW21" s="1078">
        <f>IF(ISERROR(+CW17/CW12), "NA", +CW17/CW12)</f>
        <v>0.78495060077526391</v>
      </c>
      <c r="CX21" s="1078">
        <f t="shared" si="7"/>
        <v>0.78881117645511856</v>
      </c>
      <c r="CY21" s="1078">
        <f t="shared" si="7"/>
        <v>0.59337382988832965</v>
      </c>
      <c r="CZ21" s="1078">
        <f t="shared" si="7"/>
        <v>0.57877504572993732</v>
      </c>
      <c r="DA21" s="1078">
        <f t="shared" si="7"/>
        <v>0.57549727281088914</v>
      </c>
      <c r="DB21" s="1078">
        <f t="shared" si="7"/>
        <v>0.57225495081882627</v>
      </c>
      <c r="DC21" s="1078">
        <f t="shared" si="7"/>
        <v>0.57018028900143158</v>
      </c>
      <c r="DD21" s="1078">
        <f t="shared" si="7"/>
        <v>0.5685599877641514</v>
      </c>
      <c r="DE21" s="1078">
        <f>IF(ISERROR(+DE17/DE12), "NA", +DE17/DE12)</f>
        <v>0.56654993919866881</v>
      </c>
      <c r="DF21" s="1078">
        <f>IF(ISERROR(+DF17/DF12), "NA", +DF17/DF12)</f>
        <v>0.56591545209733829</v>
      </c>
      <c r="DG21" s="1463">
        <f>+DF21</f>
        <v>0.56591545209733829</v>
      </c>
    </row>
    <row r="22" spans="2:114" ht="13.5" customHeight="1">
      <c r="CG22" s="1078"/>
      <c r="CH22" s="1078"/>
      <c r="CI22" s="1078"/>
      <c r="CJ22" s="1078"/>
      <c r="CK22" s="1078"/>
      <c r="CL22" s="1078"/>
      <c r="CM22" s="1078"/>
      <c r="CN22" s="1078"/>
      <c r="CO22" s="1078"/>
      <c r="CP22" s="1078"/>
      <c r="CQ22" s="1078"/>
      <c r="CR22" s="1078"/>
      <c r="CS22" s="1078"/>
      <c r="CT22" s="1078"/>
      <c r="CU22" s="1078"/>
      <c r="CV22" s="1078"/>
      <c r="CW22" s="1078"/>
      <c r="CX22" s="1078"/>
      <c r="CY22" s="1078"/>
      <c r="CZ22" s="1078"/>
      <c r="DA22" s="1078"/>
      <c r="DB22" s="1078"/>
      <c r="DC22" s="1078"/>
      <c r="DD22" s="1078"/>
      <c r="DE22" s="1078"/>
      <c r="DF22" s="1078"/>
      <c r="DG22" s="1078"/>
    </row>
    <row r="23" spans="2:114" ht="13.5" hidden="1" customHeight="1" outlineLevel="1" thickBot="1">
      <c r="I23" s="1073" t="s">
        <v>439</v>
      </c>
      <c r="J23" s="1073"/>
      <c r="K23" s="1073"/>
      <c r="L23" s="1073"/>
      <c r="M23" s="1073"/>
      <c r="N23" s="1073"/>
      <c r="O23" s="1073"/>
      <c r="P23" s="1073"/>
      <c r="Q23" s="1073"/>
      <c r="R23" s="1073"/>
      <c r="S23" s="1073"/>
      <c r="T23" s="1073"/>
      <c r="U23" s="1073"/>
      <c r="V23" s="1073"/>
      <c r="W23" s="1073"/>
      <c r="X23" s="1073"/>
      <c r="Y23" s="1073"/>
      <c r="Z23" s="1073"/>
      <c r="AA23" s="1073"/>
      <c r="AB23" s="1073"/>
      <c r="AC23" s="1073"/>
      <c r="AD23" s="1073"/>
      <c r="AE23" s="1073"/>
      <c r="AF23" s="1073"/>
      <c r="AG23" s="1073"/>
      <c r="AH23" s="1073"/>
      <c r="AI23" s="1073"/>
      <c r="AJ23" s="1073"/>
      <c r="AK23" s="1073"/>
      <c r="AL23" s="1073"/>
      <c r="AM23" s="1073"/>
      <c r="AN23" s="1073"/>
      <c r="AO23" s="1073"/>
      <c r="AP23" s="1073"/>
      <c r="AQ23" s="1073"/>
      <c r="AR23" s="1073"/>
      <c r="AS23" s="1073"/>
      <c r="AT23" s="1073"/>
      <c r="AU23" s="1073"/>
      <c r="AV23" s="1073"/>
      <c r="AW23" s="1073"/>
      <c r="AX23" s="1073"/>
      <c r="AY23" s="1073"/>
      <c r="AZ23" s="1073"/>
      <c r="BA23" s="1073"/>
      <c r="BB23" s="1073"/>
      <c r="BC23" s="1073"/>
      <c r="BD23" s="1073"/>
      <c r="BE23" s="1073"/>
      <c r="BF23" s="1073"/>
      <c r="BG23" s="1073"/>
      <c r="BH23" s="1073"/>
      <c r="BI23" s="1073"/>
      <c r="BJ23" s="1073"/>
      <c r="BK23" s="1073"/>
      <c r="BL23" s="1073"/>
      <c r="BM23" s="1073"/>
      <c r="BN23" s="1073"/>
      <c r="BO23" s="1073"/>
      <c r="BP23" s="1073"/>
      <c r="BQ23" s="1073"/>
      <c r="BR23" s="1073"/>
      <c r="BS23" s="1073"/>
      <c r="BT23" s="1073"/>
      <c r="BU23" s="1073"/>
      <c r="BV23" s="1073"/>
      <c r="BW23" s="1073"/>
      <c r="BX23" s="1073"/>
      <c r="BY23" s="1073"/>
      <c r="BZ23" s="1073"/>
      <c r="CA23" s="1073"/>
      <c r="CB23" s="1073"/>
      <c r="CC23" s="1073"/>
      <c r="CD23" s="1073"/>
      <c r="CE23" s="1073"/>
      <c r="CF23" s="1073"/>
      <c r="CG23" s="1066"/>
      <c r="CH23" s="1066"/>
      <c r="CI23" s="1066"/>
      <c r="CJ23" s="1066"/>
      <c r="CK23" s="1066"/>
      <c r="CL23" s="1066"/>
      <c r="CM23" s="1066"/>
      <c r="CN23" s="1066"/>
      <c r="CO23" s="1066"/>
      <c r="CP23" s="1066"/>
      <c r="CQ23" s="1066"/>
      <c r="CR23" s="1091"/>
      <c r="CS23" s="1092"/>
      <c r="CT23" s="1092"/>
      <c r="CU23" s="1092"/>
      <c r="CV23" s="1092"/>
      <c r="CW23" s="1071"/>
      <c r="CX23" s="1071">
        <f t="shared" ref="CX23:DF23" si="8">+CX6</f>
        <v>43100</v>
      </c>
      <c r="CY23" s="1071">
        <f t="shared" si="8"/>
        <v>43465</v>
      </c>
      <c r="CZ23" s="1071">
        <f t="shared" si="8"/>
        <v>43830</v>
      </c>
      <c r="DA23" s="1071">
        <f t="shared" si="8"/>
        <v>44196</v>
      </c>
      <c r="DB23" s="1071">
        <f t="shared" si="8"/>
        <v>44561</v>
      </c>
      <c r="DC23" s="1071">
        <f t="shared" si="8"/>
        <v>44926</v>
      </c>
      <c r="DD23" s="1071">
        <f t="shared" si="8"/>
        <v>45291</v>
      </c>
      <c r="DE23" s="1071">
        <f t="shared" si="8"/>
        <v>45657</v>
      </c>
      <c r="DF23" s="1071">
        <f t="shared" si="8"/>
        <v>46022</v>
      </c>
      <c r="DG23" s="1092"/>
      <c r="DH23" s="1092"/>
    </row>
    <row r="24" spans="2:114" ht="13.5" hidden="1" customHeight="1" outlineLevel="1">
      <c r="I24" s="1093" t="s">
        <v>440</v>
      </c>
      <c r="CG24" s="1091"/>
      <c r="CH24" s="1091"/>
      <c r="CI24" s="1091"/>
      <c r="CJ24" s="1091"/>
      <c r="CK24" s="1091"/>
      <c r="CL24" s="1091"/>
      <c r="CM24" s="1091"/>
      <c r="CN24" s="1091"/>
      <c r="CO24" s="1091"/>
      <c r="CP24" s="1091"/>
      <c r="CQ24" s="1091"/>
      <c r="CR24" s="1091"/>
      <c r="CS24" s="1094"/>
      <c r="CT24" s="1095"/>
      <c r="CU24" s="1095"/>
      <c r="CV24" s="1095"/>
      <c r="CW24" s="1822"/>
      <c r="CX24" s="1822"/>
      <c r="CY24" s="1822">
        <v>0</v>
      </c>
      <c r="CZ24" s="1096">
        <f t="shared" ref="CZ24:DF24" si="9">+CY24+1</f>
        <v>1</v>
      </c>
      <c r="DA24" s="1096">
        <f t="shared" si="9"/>
        <v>2</v>
      </c>
      <c r="DB24" s="1096">
        <f t="shared" si="9"/>
        <v>3</v>
      </c>
      <c r="DC24" s="1096">
        <f t="shared" si="9"/>
        <v>4</v>
      </c>
      <c r="DD24" s="1096">
        <f t="shared" si="9"/>
        <v>5</v>
      </c>
      <c r="DE24" s="1096">
        <f t="shared" si="9"/>
        <v>6</v>
      </c>
      <c r="DF24" s="1096">
        <f t="shared" si="9"/>
        <v>7</v>
      </c>
      <c r="DG24" s="1095"/>
      <c r="DH24" s="1095"/>
    </row>
    <row r="25" spans="2:114" ht="13.5" hidden="1" customHeight="1" outlineLevel="1">
      <c r="I25" s="1093" t="s">
        <v>441</v>
      </c>
      <c r="CG25" s="1091"/>
      <c r="CH25" s="1091"/>
      <c r="CI25" s="1091"/>
      <c r="CJ25" s="1091"/>
      <c r="CK25" s="1091"/>
      <c r="CL25" s="1091"/>
      <c r="CM25" s="1091"/>
      <c r="CN25" s="1091"/>
      <c r="CO25" s="1091"/>
      <c r="CP25" s="1091"/>
      <c r="CQ25" s="1091"/>
      <c r="CR25" s="1091"/>
      <c r="CS25" s="1097"/>
      <c r="CT25" s="1097"/>
      <c r="CU25" s="1097"/>
      <c r="CV25" s="1098"/>
      <c r="CW25" s="1101"/>
      <c r="CX25" s="1101"/>
      <c r="CY25" s="1101"/>
      <c r="CZ25" s="1101">
        <f t="shared" ref="CZ25:DF25" si="10">+CZ17/((1+$L$45)^CZ24)</f>
        <v>3666.2128876640618</v>
      </c>
      <c r="DA25" s="1101">
        <f t="shared" si="10"/>
        <v>3836.6768541605629</v>
      </c>
      <c r="DB25" s="1101">
        <f t="shared" si="10"/>
        <v>3961.8287612814293</v>
      </c>
      <c r="DC25" s="1101">
        <f t="shared" si="10"/>
        <v>4053.4619852361852</v>
      </c>
      <c r="DD25" s="1101">
        <f t="shared" si="10"/>
        <v>4107.9956540220928</v>
      </c>
      <c r="DE25" s="1101">
        <f t="shared" si="10"/>
        <v>4121.1502881344368</v>
      </c>
      <c r="DF25" s="1101">
        <f t="shared" si="10"/>
        <v>4158.8324441469313</v>
      </c>
      <c r="DG25" s="1097"/>
      <c r="DH25" s="1097"/>
    </row>
    <row r="26" spans="2:114" s="1091" customFormat="1" ht="13.5" hidden="1" customHeight="1" outlineLevel="1">
      <c r="B26"/>
      <c r="C26"/>
      <c r="D26"/>
      <c r="E26"/>
      <c r="F26"/>
      <c r="G26"/>
      <c r="CS26" s="1095"/>
      <c r="CT26" s="1095"/>
      <c r="CU26" s="1095"/>
      <c r="CV26" s="1095"/>
      <c r="CW26" s="1095"/>
      <c r="CX26" s="1095"/>
      <c r="CY26" s="1095"/>
      <c r="CZ26" s="1095"/>
      <c r="DA26" s="1095"/>
      <c r="DB26" s="1095"/>
      <c r="DC26" s="1095"/>
      <c r="DD26" s="1095"/>
      <c r="DE26" s="1095"/>
      <c r="DF26" s="1095"/>
      <c r="DG26" s="1095"/>
      <c r="DH26" s="1095"/>
    </row>
    <row r="27" spans="2:114" ht="13.5" customHeight="1" collapsed="1">
      <c r="CS27" s="1462"/>
      <c r="CT27" s="1462"/>
      <c r="CU27" s="1462"/>
      <c r="CV27" s="1462"/>
      <c r="CW27" s="1462"/>
      <c r="CX27" s="1462"/>
      <c r="CY27" s="1462"/>
      <c r="CZ27" s="1462"/>
      <c r="DA27" s="1462"/>
      <c r="DB27" s="1462"/>
      <c r="DC27" s="1462"/>
      <c r="DD27" s="1462"/>
      <c r="DE27" s="1462"/>
      <c r="DF27" s="1462"/>
    </row>
    <row r="28" spans="2:114" ht="13.5" customHeight="1">
      <c r="I28" s="1773" t="s">
        <v>633</v>
      </c>
      <c r="J28" s="1774"/>
      <c r="K28" s="1774"/>
      <c r="L28" s="1775"/>
      <c r="M28" s="1066"/>
      <c r="N28" s="1066"/>
      <c r="O28" s="1066"/>
      <c r="P28" s="1066"/>
      <c r="Q28" s="1066"/>
      <c r="R28" s="1066"/>
      <c r="S28" s="1066"/>
      <c r="T28" s="1066"/>
      <c r="U28" s="1066"/>
      <c r="V28" s="1066"/>
      <c r="W28" s="1066"/>
      <c r="X28" s="1066"/>
      <c r="Y28" s="1066"/>
      <c r="Z28" s="1066"/>
      <c r="AA28" s="1066"/>
      <c r="AB28" s="1066"/>
      <c r="AC28" s="1066"/>
      <c r="AD28" s="1066"/>
      <c r="AE28" s="1066"/>
      <c r="AF28" s="1066"/>
      <c r="AG28" s="1066"/>
      <c r="AH28" s="1066"/>
      <c r="AI28" s="1066"/>
      <c r="AJ28" s="1066"/>
      <c r="AK28" s="1066"/>
      <c r="AL28" s="1066"/>
      <c r="AM28" s="1066"/>
      <c r="AN28" s="1066"/>
      <c r="AO28" s="1066"/>
      <c r="AP28" s="1066"/>
      <c r="AQ28" s="1066"/>
      <c r="AR28" s="1066"/>
      <c r="AS28" s="1066"/>
      <c r="AT28" s="1066"/>
      <c r="AU28" s="1066"/>
      <c r="AV28" s="1066"/>
      <c r="AW28" s="1066"/>
      <c r="AX28" s="1066"/>
      <c r="AY28" s="1066"/>
      <c r="AZ28" s="1066"/>
      <c r="BA28" s="1066"/>
      <c r="BB28" s="1066"/>
      <c r="BC28" s="1066"/>
      <c r="BD28" s="1066"/>
      <c r="BE28" s="1066"/>
      <c r="BF28" s="1066"/>
      <c r="BG28" s="1066"/>
      <c r="BH28" s="1066"/>
      <c r="BI28" s="1066"/>
      <c r="BJ28" s="1066"/>
      <c r="BK28" s="1066"/>
      <c r="BL28" s="1066"/>
      <c r="BM28" s="1066"/>
      <c r="BN28" s="1066"/>
      <c r="BO28" s="1066"/>
      <c r="BP28" s="1066"/>
      <c r="BQ28" s="1066"/>
      <c r="BR28" s="1066"/>
      <c r="BS28" s="1066"/>
      <c r="BT28" s="1066"/>
      <c r="BU28" s="1066"/>
      <c r="BV28" s="1066"/>
      <c r="BW28" s="1066"/>
      <c r="BX28" s="1066"/>
      <c r="BY28" s="1066"/>
      <c r="BZ28" s="1066"/>
      <c r="CA28" s="1066"/>
      <c r="CB28" s="1066"/>
      <c r="CC28" s="1066"/>
      <c r="CD28" s="1066"/>
      <c r="CE28" s="1066"/>
      <c r="CF28" s="1066"/>
      <c r="CV28" s="1100" t="s">
        <v>445</v>
      </c>
      <c r="CW28" s="1100"/>
      <c r="CX28" s="1100"/>
      <c r="CY28" s="1100"/>
      <c r="CZ28" s="1100"/>
      <c r="DA28" s="1100"/>
      <c r="DH28" s="1103"/>
    </row>
    <row r="29" spans="2:114" ht="13.5" customHeight="1">
      <c r="I29" s="1776" t="s">
        <v>446</v>
      </c>
      <c r="J29" s="1777"/>
      <c r="K29" s="1777"/>
      <c r="L29" s="1778">
        <f>+SUM(CZ25:DF25)</f>
        <v>27906.158874645698</v>
      </c>
      <c r="M29" s="1102"/>
      <c r="N29" s="1102"/>
      <c r="O29" s="1102"/>
      <c r="P29" s="1102"/>
      <c r="Q29" s="1102"/>
      <c r="R29" s="1102"/>
      <c r="S29" s="1102"/>
      <c r="T29" s="1102"/>
      <c r="U29" s="1102"/>
      <c r="V29" s="1102"/>
      <c r="W29" s="1102"/>
      <c r="X29" s="1102"/>
      <c r="Y29" s="1102"/>
      <c r="Z29" s="1102"/>
      <c r="AA29" s="1102"/>
      <c r="AB29" s="1102"/>
      <c r="AC29" s="1102"/>
      <c r="AD29" s="1102"/>
      <c r="AE29" s="1102"/>
      <c r="AF29" s="1102"/>
      <c r="AG29" s="1102"/>
      <c r="AH29" s="1102"/>
      <c r="AI29" s="1102"/>
      <c r="AJ29" s="1102"/>
      <c r="AK29" s="1102"/>
      <c r="AL29" s="1102"/>
      <c r="AM29" s="1102"/>
      <c r="AN29" s="1102"/>
      <c r="AO29" s="1102"/>
      <c r="AP29" s="1102"/>
      <c r="AQ29" s="1102"/>
      <c r="AR29" s="1102"/>
      <c r="AS29" s="1102"/>
      <c r="AT29" s="1102"/>
      <c r="AU29" s="1102"/>
      <c r="AV29" s="1102"/>
      <c r="AW29" s="1102"/>
      <c r="AX29" s="1102"/>
      <c r="AY29" s="1102"/>
      <c r="AZ29" s="1102"/>
      <c r="BA29" s="1102"/>
      <c r="BB29" s="1102"/>
      <c r="BC29" s="1102"/>
      <c r="BD29" s="1102"/>
      <c r="BE29" s="1102"/>
      <c r="BF29" s="1102"/>
      <c r="BG29" s="1102"/>
      <c r="BH29" s="1102"/>
      <c r="BI29" s="1102"/>
      <c r="BJ29" s="1102"/>
      <c r="BK29" s="1102"/>
      <c r="BL29" s="1102"/>
      <c r="BM29" s="1102"/>
      <c r="BN29" s="1102"/>
      <c r="BO29" s="1102"/>
      <c r="BP29" s="1102"/>
      <c r="BQ29" s="1102"/>
      <c r="BR29" s="1102"/>
      <c r="BS29" s="1102"/>
      <c r="BT29" s="1102"/>
      <c r="BU29" s="1102"/>
      <c r="BV29" s="1102"/>
      <c r="BW29" s="1102"/>
      <c r="BX29" s="1102"/>
      <c r="BY29" s="1102"/>
      <c r="BZ29" s="1102"/>
      <c r="CA29" s="1102"/>
      <c r="CB29" s="1102"/>
      <c r="CC29" s="1102"/>
      <c r="CD29" s="1102"/>
      <c r="CE29" s="1102"/>
      <c r="CF29" s="1102"/>
      <c r="CV29" s="1104">
        <f>+L34</f>
        <v>108308.23921766804</v>
      </c>
      <c r="CW29" s="1105">
        <f>+CX29-0.005</f>
        <v>6.3498083268344718E-2</v>
      </c>
      <c r="CX29" s="1105">
        <f>+CY29-0.005</f>
        <v>6.8498083268344723E-2</v>
      </c>
      <c r="CY29" s="1106">
        <v>7.3498083268344727E-2</v>
      </c>
      <c r="CZ29" s="1105">
        <f>+CY29+0.005</f>
        <v>7.8498083268344732E-2</v>
      </c>
      <c r="DA29" s="1105">
        <f>+CZ29+0.005</f>
        <v>8.3498083268344736E-2</v>
      </c>
      <c r="DD29" s="1462"/>
    </row>
    <row r="30" spans="2:114" ht="13.5" customHeight="1">
      <c r="I30" s="1779" t="s">
        <v>447</v>
      </c>
      <c r="J30" s="1777"/>
      <c r="K30" s="1777"/>
      <c r="L30" s="1780">
        <f>+((DG17*(1+L46))/($L$45-$L$46))/((1+$L$45)^DF24)</f>
        <v>80466.986954339023</v>
      </c>
      <c r="M30" s="1107"/>
      <c r="N30" s="1107"/>
      <c r="O30" s="1107"/>
      <c r="P30" s="1107"/>
      <c r="Q30" s="1107"/>
      <c r="R30" s="1107"/>
      <c r="S30" s="1107"/>
      <c r="T30" s="1107"/>
      <c r="U30" s="1107"/>
      <c r="V30" s="1107"/>
      <c r="W30" s="1107"/>
      <c r="X30" s="1107"/>
      <c r="Y30" s="1107"/>
      <c r="Z30" s="1107"/>
      <c r="AA30" s="1107"/>
      <c r="AB30" s="1107"/>
      <c r="AC30" s="1107"/>
      <c r="AD30" s="1107"/>
      <c r="AE30" s="1107"/>
      <c r="AF30" s="1107"/>
      <c r="AG30" s="1107"/>
      <c r="AH30" s="1107"/>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V30" s="1108">
        <f>+CV31-0.005</f>
        <v>1.4999999999999999E-2</v>
      </c>
      <c r="CW30" s="1109">
        <f t="dataTable" ref="CW30:DA32" dt2D="1" dtr="0" r1="L45" r2="L46"/>
        <v>123175.73384845236</v>
      </c>
      <c r="CX30" s="1110">
        <v>111053.64060852508</v>
      </c>
      <c r="CY30" s="1111">
        <v>101017.46167959485</v>
      </c>
      <c r="CZ30" s="1110">
        <v>92574.047867041081</v>
      </c>
      <c r="DA30" s="1110">
        <v>85374.253012192261</v>
      </c>
    </row>
    <row r="31" spans="2:114" ht="13.5" customHeight="1">
      <c r="I31" s="1781" t="s">
        <v>448</v>
      </c>
      <c r="J31" s="1782"/>
      <c r="K31" s="1782"/>
      <c r="L31" s="1783">
        <f>+L29+L30</f>
        <v>108373.14582898472</v>
      </c>
      <c r="M31" s="1113"/>
      <c r="N31" s="1113"/>
      <c r="O31" s="1113"/>
      <c r="P31" s="1113"/>
      <c r="Q31" s="1113"/>
      <c r="R31" s="1113"/>
      <c r="S31" s="1113"/>
      <c r="T31" s="1113"/>
      <c r="U31" s="1113"/>
      <c r="V31" s="1113"/>
      <c r="W31" s="1113"/>
      <c r="X31" s="1113"/>
      <c r="Y31" s="1113"/>
      <c r="Z31" s="1113"/>
      <c r="AA31" s="1113"/>
      <c r="AB31" s="1113"/>
      <c r="AC31" s="1113"/>
      <c r="AD31" s="1113"/>
      <c r="AE31" s="1113"/>
      <c r="AF31" s="1113"/>
      <c r="AG31" s="1113"/>
      <c r="AH31" s="1113"/>
      <c r="AI31" s="1113"/>
      <c r="AJ31" s="1113"/>
      <c r="AK31" s="1113"/>
      <c r="AL31" s="1113"/>
      <c r="AM31" s="1113"/>
      <c r="AN31" s="1113"/>
      <c r="AO31" s="1113"/>
      <c r="AP31" s="1113"/>
      <c r="AQ31" s="1113"/>
      <c r="AR31" s="1113"/>
      <c r="AS31" s="1113"/>
      <c r="AT31" s="1113"/>
      <c r="AU31" s="1113"/>
      <c r="AV31" s="1113"/>
      <c r="AW31" s="1113"/>
      <c r="AX31" s="1113"/>
      <c r="AY31" s="1113"/>
      <c r="AZ31" s="1113"/>
      <c r="BA31" s="1113"/>
      <c r="BB31" s="1113"/>
      <c r="BC31" s="1113"/>
      <c r="BD31" s="1113"/>
      <c r="BE31" s="1113"/>
      <c r="BF31" s="1113"/>
      <c r="BG31" s="1113"/>
      <c r="BH31" s="1113"/>
      <c r="BI31" s="1113"/>
      <c r="BJ31" s="1113"/>
      <c r="BK31" s="1113"/>
      <c r="BL31" s="1113"/>
      <c r="BM31" s="1113"/>
      <c r="BN31" s="1113"/>
      <c r="BO31" s="1113"/>
      <c r="BP31" s="1113"/>
      <c r="BQ31" s="1113"/>
      <c r="BR31" s="1113"/>
      <c r="BS31" s="1113"/>
      <c r="BT31" s="1113"/>
      <c r="BU31" s="1113"/>
      <c r="BV31" s="1113"/>
      <c r="BW31" s="1113"/>
      <c r="BX31" s="1113"/>
      <c r="BY31" s="1113"/>
      <c r="BZ31" s="1113"/>
      <c r="CA31" s="1113"/>
      <c r="CB31" s="1113"/>
      <c r="CC31" s="1113"/>
      <c r="CD31" s="1113"/>
      <c r="CE31" s="1113"/>
      <c r="CF31" s="1113"/>
      <c r="CV31" s="1114">
        <v>0.02</v>
      </c>
      <c r="CW31" s="1115">
        <v>135048.18989681924</v>
      </c>
      <c r="CX31" s="1116">
        <v>120479.26219990381</v>
      </c>
      <c r="CY31" s="1117">
        <v>108648.12666515046</v>
      </c>
      <c r="CZ31" s="1116">
        <v>98852.337542386347</v>
      </c>
      <c r="DA31" s="1116">
        <v>90610.713333186344</v>
      </c>
      <c r="DJ31" s="1462"/>
    </row>
    <row r="32" spans="2:114" ht="13.5" customHeight="1">
      <c r="I32" s="1776" t="s">
        <v>634</v>
      </c>
      <c r="J32" s="1777"/>
      <c r="K32" s="1777"/>
      <c r="L32" s="1778">
        <f>Model!CF616+Model!CF619+Model!CF611</f>
        <v>8109.6610000000001</v>
      </c>
      <c r="M32" s="1118"/>
      <c r="N32" s="1118"/>
      <c r="O32" s="1118"/>
      <c r="P32" s="1118"/>
      <c r="Q32" s="1118"/>
      <c r="R32" s="1118"/>
      <c r="S32" s="1118"/>
      <c r="T32" s="1118"/>
      <c r="U32" s="1118"/>
      <c r="V32" s="1118"/>
      <c r="W32" s="1118"/>
      <c r="X32" s="1118"/>
      <c r="Y32" s="1118"/>
      <c r="Z32" s="1118"/>
      <c r="AA32" s="1118"/>
      <c r="AB32" s="1118"/>
      <c r="AC32" s="1118"/>
      <c r="AD32" s="1118"/>
      <c r="AE32" s="1118"/>
      <c r="AF32" s="1118"/>
      <c r="AG32" s="1118"/>
      <c r="AH32" s="1118"/>
      <c r="AI32" s="1118"/>
      <c r="AJ32" s="1118"/>
      <c r="AK32" s="1118"/>
      <c r="AL32" s="1118"/>
      <c r="AM32" s="1118"/>
      <c r="AN32" s="1118"/>
      <c r="AO32" s="1118"/>
      <c r="AP32" s="1118"/>
      <c r="AQ32" s="1118"/>
      <c r="AR32" s="1118"/>
      <c r="AS32" s="1118"/>
      <c r="AT32" s="1118"/>
      <c r="AU32" s="1118"/>
      <c r="AV32" s="1118"/>
      <c r="AW32" s="1118"/>
      <c r="AX32" s="1118"/>
      <c r="AY32" s="1118"/>
      <c r="AZ32" s="1118"/>
      <c r="BA32" s="1118"/>
      <c r="BB32" s="1118"/>
      <c r="BC32" s="1118"/>
      <c r="BD32" s="1118"/>
      <c r="BE32" s="1118"/>
      <c r="BF32" s="1118"/>
      <c r="BG32" s="1118"/>
      <c r="BH32" s="1118"/>
      <c r="BI32" s="1118"/>
      <c r="BJ32" s="1118"/>
      <c r="BK32" s="1118"/>
      <c r="BL32" s="1118"/>
      <c r="BM32" s="1118"/>
      <c r="BN32" s="1118"/>
      <c r="BO32" s="1118"/>
      <c r="BP32" s="1118"/>
      <c r="BQ32" s="1118"/>
      <c r="BR32" s="1118"/>
      <c r="BS32" s="1118"/>
      <c r="BT32" s="1118"/>
      <c r="BU32" s="1118"/>
      <c r="BV32" s="1118"/>
      <c r="BW32" s="1118"/>
      <c r="BX32" s="1118"/>
      <c r="BY32" s="1118"/>
      <c r="BZ32" s="1118"/>
      <c r="CA32" s="1118"/>
      <c r="CB32" s="1118"/>
      <c r="CC32" s="1118"/>
      <c r="CD32" s="1118"/>
      <c r="CE32" s="1118"/>
      <c r="CF32" s="1118"/>
      <c r="CV32" s="1108">
        <f>+CV31+0.005</f>
        <v>2.5000000000000001E-2</v>
      </c>
      <c r="CW32" s="1119">
        <v>150010.31709581992</v>
      </c>
      <c r="CX32" s="1120">
        <v>132076.72447003255</v>
      </c>
      <c r="CY32" s="1121">
        <v>117856.47127874021</v>
      </c>
      <c r="CZ32" s="1120">
        <v>106307.94107338524</v>
      </c>
      <c r="DA32" s="1120">
        <v>96745.653230757045</v>
      </c>
    </row>
    <row r="33" spans="9:110" ht="13.5" customHeight="1">
      <c r="I33" s="1779" t="s">
        <v>635</v>
      </c>
      <c r="J33" s="1777"/>
      <c r="K33" s="1777"/>
      <c r="L33" s="1780">
        <f>+Model!CF587+Model!CF589</f>
        <v>8044.7543886833337</v>
      </c>
      <c r="M33" s="1118"/>
      <c r="N33" s="1118"/>
      <c r="O33" s="1118"/>
      <c r="P33" s="1118"/>
      <c r="Q33" s="1118"/>
      <c r="R33" s="1118"/>
      <c r="S33" s="1118"/>
      <c r="T33" s="1118"/>
      <c r="U33" s="1118"/>
      <c r="V33" s="1118"/>
      <c r="W33" s="1118"/>
      <c r="X33" s="1118"/>
      <c r="Y33" s="1118"/>
      <c r="Z33" s="1118"/>
      <c r="AA33" s="1118"/>
      <c r="AB33" s="1118"/>
      <c r="AC33" s="1118"/>
      <c r="AD33" s="1118"/>
      <c r="AE33" s="1118"/>
      <c r="AF33" s="1118"/>
      <c r="AG33" s="1118"/>
      <c r="AH33" s="1118"/>
      <c r="AI33" s="1118"/>
      <c r="AJ33" s="1118"/>
      <c r="AK33" s="1118"/>
      <c r="AL33" s="1118"/>
      <c r="AM33" s="1118"/>
      <c r="AN33" s="1118"/>
      <c r="AO33" s="1118"/>
      <c r="AP33" s="1118"/>
      <c r="AQ33" s="1118"/>
      <c r="AR33" s="1118"/>
      <c r="AS33" s="1118"/>
      <c r="AT33" s="1118"/>
      <c r="AU33" s="1118"/>
      <c r="AV33" s="1118"/>
      <c r="AW33" s="1118"/>
      <c r="AX33" s="1118"/>
      <c r="AY33" s="1118"/>
      <c r="AZ33" s="1118"/>
      <c r="BA33" s="1118"/>
      <c r="BB33" s="1118"/>
      <c r="BC33" s="1118"/>
      <c r="BD33" s="1118"/>
      <c r="BE33" s="1118"/>
      <c r="BF33" s="1118"/>
      <c r="BG33" s="1118"/>
      <c r="BH33" s="1118"/>
      <c r="BI33" s="1118"/>
      <c r="BJ33" s="1118"/>
      <c r="BK33" s="1118"/>
      <c r="BL33" s="1118"/>
      <c r="BM33" s="1118"/>
      <c r="BN33" s="1118"/>
      <c r="BO33" s="1118"/>
      <c r="BP33" s="1118"/>
      <c r="BQ33" s="1118"/>
      <c r="BR33" s="1118"/>
      <c r="BS33" s="1118"/>
      <c r="BT33" s="1118"/>
      <c r="BU33" s="1118"/>
      <c r="BV33" s="1118"/>
      <c r="BW33" s="1118"/>
      <c r="BX33" s="1118"/>
      <c r="BY33" s="1118"/>
      <c r="BZ33" s="1118"/>
      <c r="CA33" s="1118"/>
      <c r="CB33" s="1118"/>
      <c r="CC33" s="1118"/>
      <c r="CD33" s="1118"/>
      <c r="CE33" s="1118"/>
      <c r="CF33" s="1118"/>
    </row>
    <row r="34" spans="9:110" ht="13.5" customHeight="1">
      <c r="I34" s="1781" t="s">
        <v>451</v>
      </c>
      <c r="J34" s="1782"/>
      <c r="K34" s="1782"/>
      <c r="L34" s="1783">
        <f>+L31-L32+L33</f>
        <v>108308.23921766804</v>
      </c>
      <c r="CT34" s="1793"/>
      <c r="CV34" s="1100" t="s">
        <v>452</v>
      </c>
      <c r="CW34" s="1100"/>
      <c r="CX34" s="1100"/>
      <c r="CY34" s="1100"/>
      <c r="CZ34" s="1100"/>
      <c r="DA34" s="1100"/>
    </row>
    <row r="35" spans="9:110" ht="13.5" customHeight="1">
      <c r="I35" s="1779" t="s">
        <v>453</v>
      </c>
      <c r="J35" s="1777"/>
      <c r="K35" s="1777"/>
      <c r="L35" s="1780">
        <f>Model!CF153</f>
        <v>48.351526850880582</v>
      </c>
      <c r="CV35" s="1104">
        <f>+L36</f>
        <v>2240.0169399344527</v>
      </c>
      <c r="CW35" s="1105">
        <f>+CW29</f>
        <v>6.3498083268344718E-2</v>
      </c>
      <c r="CX35" s="1105">
        <f>+CX29</f>
        <v>6.8498083268344723E-2</v>
      </c>
      <c r="CY35" s="1122">
        <f>+CY29</f>
        <v>7.3498083268344727E-2</v>
      </c>
      <c r="CZ35" s="1105">
        <f>+CZ29</f>
        <v>7.8498083268344732E-2</v>
      </c>
      <c r="DA35" s="1105">
        <f>+DA29</f>
        <v>8.3498083268344736E-2</v>
      </c>
    </row>
    <row r="36" spans="9:110" ht="13.5" customHeight="1">
      <c r="I36" s="1781" t="s">
        <v>454</v>
      </c>
      <c r="J36" s="1782"/>
      <c r="K36" s="1782"/>
      <c r="L36" s="2039">
        <f>+L34/L35</f>
        <v>2240.0169399344527</v>
      </c>
      <c r="CV36" s="1108">
        <f>+CV30</f>
        <v>1.4999999999999999E-2</v>
      </c>
      <c r="CW36" s="1109">
        <f t="dataTable" ref="CW36:DA38" dt2D="1" dtr="0" r1="L45" r2="L46" ca="1"/>
        <v>2547.5045333797784</v>
      </c>
      <c r="CX36" s="1110">
        <v>2296.7969750163652</v>
      </c>
      <c r="CY36" s="1111">
        <v>2089.2300255820178</v>
      </c>
      <c r="CZ36" s="1110">
        <v>1914.6044374678338</v>
      </c>
      <c r="DA36" s="1110">
        <v>1765.6992151559618</v>
      </c>
      <c r="DD36" s="1462"/>
    </row>
    <row r="37" spans="9:110" ht="13.5" customHeight="1">
      <c r="I37" s="1779" t="s">
        <v>589</v>
      </c>
      <c r="J37" s="1784"/>
      <c r="K37" s="1784"/>
      <c r="L37" s="1785">
        <f>ROUND(((DG17*(1+L46))/(L45-L46))/DG12,1)</f>
        <v>10.7</v>
      </c>
      <c r="CV37" s="1124">
        <f>+CV31</f>
        <v>0.02</v>
      </c>
      <c r="CW37" s="1115">
        <v>2793.0491277621304</v>
      </c>
      <c r="CX37" s="1116">
        <v>2491.7364568748799</v>
      </c>
      <c r="CY37" s="1117">
        <v>2247.0464479897132</v>
      </c>
      <c r="CZ37" s="1116">
        <v>2044.4512093124531</v>
      </c>
      <c r="DA37" s="1116">
        <v>1873.9990075729354</v>
      </c>
    </row>
    <row r="38" spans="9:110" ht="13.5" customHeight="1">
      <c r="CV38" s="1108">
        <f>+CV32</f>
        <v>2.5000000000000001E-2</v>
      </c>
      <c r="CW38" s="1119">
        <v>3102.4938996954947</v>
      </c>
      <c r="CX38" s="1120">
        <v>2731.5936656429944</v>
      </c>
      <c r="CY38" s="1121">
        <v>2437.4922356064912</v>
      </c>
      <c r="CZ38" s="1120">
        <v>2198.647033448317</v>
      </c>
      <c r="DA38" s="1120">
        <v>2000.8810379272461</v>
      </c>
      <c r="DC38" s="1462"/>
      <c r="DD38" s="1462"/>
    </row>
    <row r="39" spans="9:110" ht="13.5" customHeight="1">
      <c r="I39" s="1773" t="s">
        <v>455</v>
      </c>
      <c r="J39" s="1787"/>
      <c r="K39" s="1787"/>
      <c r="L39" s="1788"/>
      <c r="CW39" s="1108"/>
      <c r="CX39" s="1120"/>
      <c r="CY39" s="1120"/>
      <c r="CZ39" s="1120"/>
      <c r="DA39" s="1120"/>
      <c r="DB39" s="1120"/>
    </row>
    <row r="40" spans="9:110" ht="13.5" customHeight="1">
      <c r="I40" s="1789" t="s">
        <v>456</v>
      </c>
      <c r="J40" s="1790"/>
      <c r="K40" s="1790"/>
      <c r="L40" s="1786" t="s">
        <v>636</v>
      </c>
      <c r="CW40" s="1108"/>
      <c r="CX40" s="1120"/>
      <c r="CY40" s="1120"/>
      <c r="CZ40" s="1120"/>
      <c r="DA40" s="1120"/>
      <c r="DB40" s="1120"/>
      <c r="DE40" s="1549"/>
    </row>
    <row r="41" spans="9:110" ht="13.5" hidden="1" customHeight="1" outlineLevel="1">
      <c r="I41" s="1936" t="s">
        <v>673</v>
      </c>
      <c r="J41" s="1937"/>
      <c r="K41" s="1937"/>
      <c r="L41" s="1938">
        <f>+L57</f>
        <v>7.6890600000000003E-2</v>
      </c>
      <c r="CW41" s="1108"/>
      <c r="CX41" s="1120"/>
      <c r="CY41" s="1120"/>
      <c r="CZ41" s="1120"/>
      <c r="DA41" s="1120"/>
      <c r="DB41" s="1120"/>
      <c r="DC41" s="1120"/>
      <c r="DD41" s="1120"/>
      <c r="DE41" s="1120"/>
      <c r="DF41" s="1120"/>
    </row>
    <row r="42" spans="9:110" ht="13.5" hidden="1" customHeight="1" outlineLevel="1">
      <c r="I42" s="1936" t="s">
        <v>674</v>
      </c>
      <c r="J42" s="1937"/>
      <c r="K42" s="1937"/>
      <c r="L42" s="1939">
        <v>2.5000000000000001E-2</v>
      </c>
      <c r="CT42" s="1944"/>
      <c r="CW42" s="1108"/>
      <c r="CX42" s="1120"/>
      <c r="CY42" s="1120"/>
      <c r="CZ42" s="1120"/>
      <c r="DA42" s="1120"/>
      <c r="DB42" s="1120"/>
      <c r="DC42" s="1120"/>
      <c r="DD42" s="1120"/>
      <c r="DE42" s="1120"/>
      <c r="DF42" s="1120"/>
    </row>
    <row r="43" spans="9:110" ht="13.5" hidden="1" customHeight="1" outlineLevel="1">
      <c r="I43" s="1936" t="s">
        <v>675</v>
      </c>
      <c r="J43" s="1937"/>
      <c r="K43" s="1937"/>
      <c r="L43" s="1939">
        <v>0.35</v>
      </c>
      <c r="CT43" s="1944"/>
      <c r="CW43" s="1108"/>
      <c r="CX43" s="1120"/>
      <c r="CY43" s="1120"/>
      <c r="CZ43" s="1120"/>
      <c r="DA43" s="1120"/>
      <c r="DB43" s="1120"/>
      <c r="DE43" s="1549"/>
    </row>
    <row r="44" spans="9:110" ht="13.5" hidden="1" customHeight="1" outlineLevel="1">
      <c r="I44" s="1940" t="s">
        <v>676</v>
      </c>
      <c r="J44" s="1937"/>
      <c r="K44" s="1937"/>
      <c r="L44" s="1938">
        <f>(Model!DF616+Model!DF619+Model!DF611)/Model!DF604</f>
        <v>5.7812152584382152E-2</v>
      </c>
      <c r="CT44" s="1944"/>
      <c r="CW44" s="1108"/>
      <c r="CX44" s="1120"/>
      <c r="CY44" s="1120"/>
      <c r="CZ44" s="1120"/>
      <c r="DA44" s="1120"/>
      <c r="DB44" s="1120"/>
      <c r="DE44" s="1549"/>
    </row>
    <row r="45" spans="9:110" ht="13.5" customHeight="1" collapsed="1">
      <c r="I45" s="1791" t="s">
        <v>457</v>
      </c>
      <c r="J45" s="1792"/>
      <c r="K45" s="1792"/>
      <c r="L45" s="1945">
        <f>+(L41*(1-L44))+((1-L43)*L42*L44)</f>
        <v>7.3384836379991533E-2</v>
      </c>
      <c r="CT45" s="1944"/>
      <c r="CW45" s="1108"/>
      <c r="CX45" s="1120"/>
      <c r="CY45" s="1120"/>
      <c r="CZ45" s="1120"/>
      <c r="DA45" s="1120"/>
      <c r="DB45" s="1120"/>
      <c r="DC45" s="1120"/>
      <c r="DD45" s="1120"/>
      <c r="DE45" s="1120"/>
      <c r="DF45" s="1120"/>
    </row>
    <row r="46" spans="9:110" ht="13.5" customHeight="1">
      <c r="I46" s="1779" t="s">
        <v>458</v>
      </c>
      <c r="J46" s="1784"/>
      <c r="K46" s="1784"/>
      <c r="L46" s="1828">
        <v>1.9650000000000001E-2</v>
      </c>
      <c r="CW46" s="1108"/>
      <c r="CX46" s="1840"/>
      <c r="CY46" s="1840"/>
      <c r="CZ46" s="1840"/>
      <c r="DA46" s="1840"/>
      <c r="DB46" s="1840"/>
      <c r="DC46" s="1840"/>
      <c r="DD46" s="1840"/>
      <c r="DE46" s="1840"/>
      <c r="DF46" s="1840"/>
    </row>
    <row r="47" spans="9:110" ht="13.5" customHeight="1">
      <c r="L47" s="1547"/>
      <c r="CS47" s="1547"/>
      <c r="CW47" s="1075"/>
      <c r="CX47" s="1120"/>
      <c r="CY47" s="1120"/>
      <c r="CZ47" s="1840"/>
      <c r="DA47" s="1120"/>
      <c r="DB47" s="1120"/>
      <c r="DC47" s="1120"/>
      <c r="DD47" s="1120"/>
      <c r="DE47" s="1120"/>
      <c r="DF47" s="1120"/>
    </row>
    <row r="48" spans="9:110" ht="13.5" customHeight="1">
      <c r="I48" s="1093" t="s">
        <v>746</v>
      </c>
      <c r="L48" s="1118">
        <f>+L31/CZ9</f>
        <v>6.2500057162679239</v>
      </c>
      <c r="CS48" s="1118"/>
      <c r="CV48" s="1462"/>
      <c r="CW48" s="1075"/>
      <c r="CX48" s="1120"/>
      <c r="CY48" s="1120"/>
      <c r="DA48" s="1120"/>
      <c r="DB48" s="1120"/>
      <c r="DC48" s="1120"/>
      <c r="DD48" s="1120"/>
      <c r="DE48" s="1120"/>
      <c r="DF48" s="1120"/>
    </row>
    <row r="49" spans="9:110" ht="13.5" customHeight="1">
      <c r="I49" s="1093" t="s">
        <v>747</v>
      </c>
      <c r="L49" s="1118">
        <f>+L31/CZ12</f>
        <v>15.93889987965257</v>
      </c>
      <c r="CS49" s="1118"/>
      <c r="CT49" s="1462"/>
      <c r="CW49" s="1108"/>
      <c r="CX49" s="1840"/>
      <c r="CY49" s="1120"/>
      <c r="CZ49" s="1120"/>
      <c r="DA49" s="1120"/>
      <c r="DB49" s="1120"/>
      <c r="DC49" s="1120"/>
      <c r="DD49" s="1120"/>
      <c r="DE49" s="1120"/>
      <c r="DF49" s="1120"/>
    </row>
    <row r="50" spans="9:110" ht="13.5" customHeight="1">
      <c r="I50" s="1093" t="s">
        <v>748</v>
      </c>
      <c r="L50" s="1118">
        <f>+fair_value/Model!CZ159</f>
        <v>20.537071450564238</v>
      </c>
      <c r="CS50" s="1118"/>
      <c r="CV50" s="1462"/>
      <c r="CW50" s="1108"/>
      <c r="CX50" s="1120"/>
      <c r="CY50" s="1120"/>
      <c r="CZ50" s="1120"/>
      <c r="DA50" s="1120"/>
      <c r="DB50" s="1120"/>
      <c r="DC50" s="1120"/>
      <c r="DD50" s="1120"/>
      <c r="DE50" s="1120"/>
      <c r="DF50" s="1120"/>
    </row>
    <row r="51" spans="9:110" ht="13.5" customHeight="1">
      <c r="I51" s="1448" t="s">
        <v>639</v>
      </c>
      <c r="L51" s="1549">
        <f>+DG20</f>
        <v>0.41675285975096893</v>
      </c>
      <c r="CS51" s="1549"/>
      <c r="CW51" s="1108"/>
      <c r="CX51" s="1120"/>
      <c r="CY51" s="1120"/>
      <c r="CZ51" s="1120"/>
      <c r="DA51" s="1120"/>
      <c r="DB51" s="1120"/>
      <c r="DC51" s="1120"/>
      <c r="DD51" s="1120"/>
      <c r="DE51" s="1120"/>
      <c r="DF51" s="1120"/>
    </row>
    <row r="52" spans="9:110" ht="13.5" customHeight="1">
      <c r="I52" s="1448" t="s">
        <v>640</v>
      </c>
      <c r="L52" s="1549">
        <f>+DG21</f>
        <v>0.56591545209733829</v>
      </c>
      <c r="CS52" s="1549"/>
      <c r="CW52" s="1108"/>
      <c r="CX52" s="1120"/>
      <c r="CY52" s="1120"/>
      <c r="CZ52" s="1842"/>
      <c r="DB52" s="1120"/>
      <c r="DC52" s="1120"/>
      <c r="DD52" s="1120"/>
      <c r="DE52" s="1120"/>
      <c r="DF52" s="1120"/>
    </row>
    <row r="53" spans="9:110" ht="13.5" customHeight="1">
      <c r="I53" s="1093"/>
      <c r="L53" s="1118"/>
      <c r="CS53" s="1118"/>
      <c r="CW53" s="1108"/>
      <c r="CX53" s="1120"/>
      <c r="CY53" s="1120"/>
      <c r="CZ53" s="1841"/>
      <c r="DA53" s="1841"/>
      <c r="DB53" s="1120"/>
      <c r="DC53" s="1120"/>
      <c r="DD53" s="1120"/>
      <c r="DE53" s="1120"/>
      <c r="DF53" s="1120"/>
    </row>
    <row r="54" spans="9:110" ht="13.5" hidden="1" customHeight="1" outlineLevel="1">
      <c r="I54" s="1941" t="s">
        <v>677</v>
      </c>
      <c r="J54" s="1941"/>
      <c r="K54" s="1942"/>
      <c r="L54" s="2069">
        <v>2.4899999999999999E-2</v>
      </c>
      <c r="CW54" s="1108"/>
      <c r="CX54" s="1120"/>
      <c r="CY54" s="1120"/>
      <c r="CZ54" s="1120"/>
      <c r="DA54" s="1120"/>
      <c r="DB54" s="1120"/>
      <c r="DC54" s="1120"/>
      <c r="DD54" s="1120"/>
      <c r="DE54" s="1120"/>
      <c r="DF54" s="1120"/>
    </row>
    <row r="55" spans="9:110" ht="13.5" hidden="1" customHeight="1" outlineLevel="1">
      <c r="I55" s="1941" t="s">
        <v>678</v>
      </c>
      <c r="J55" s="1941"/>
      <c r="K55" s="1942"/>
      <c r="L55" s="2069">
        <v>4.3799999999999999E-2</v>
      </c>
      <c r="CW55" s="1108"/>
      <c r="CX55" s="1120"/>
      <c r="CY55" s="1120"/>
      <c r="CZ55" s="1120"/>
      <c r="DA55" s="1120"/>
      <c r="DB55" s="1120"/>
      <c r="DC55" s="1120"/>
      <c r="DD55" s="1120"/>
      <c r="DE55" s="1120"/>
      <c r="DF55" s="1120"/>
    </row>
    <row r="56" spans="9:110" ht="13.5" hidden="1" customHeight="1" outlineLevel="1">
      <c r="I56" s="1941" t="s">
        <v>679</v>
      </c>
      <c r="J56" s="1941"/>
      <c r="K56" s="1942"/>
      <c r="L56" s="2043">
        <v>1.1870000000000001</v>
      </c>
      <c r="CW56" s="1108"/>
      <c r="CX56" s="1120"/>
      <c r="CY56" s="1120"/>
      <c r="CZ56" s="1120"/>
      <c r="DA56" s="1120"/>
      <c r="DB56" s="1120"/>
      <c r="DC56" s="1120"/>
      <c r="DD56" s="1120"/>
      <c r="DE56" s="1120"/>
      <c r="DF56" s="1120"/>
    </row>
    <row r="57" spans="9:110" ht="13.5" hidden="1" customHeight="1" outlineLevel="1">
      <c r="I57" s="1941" t="s">
        <v>680</v>
      </c>
      <c r="J57" s="1941"/>
      <c r="K57" s="1942"/>
      <c r="L57" s="1943">
        <f>+L54+(L56*(L55))</f>
        <v>7.6890600000000003E-2</v>
      </c>
      <c r="CW57" s="1108"/>
      <c r="CX57" s="1120"/>
      <c r="CY57" s="1120"/>
      <c r="CZ57" s="1120"/>
      <c r="DA57" s="1120"/>
      <c r="DB57" s="1120"/>
      <c r="DC57" s="1120"/>
      <c r="DD57" s="1120"/>
      <c r="DE57" s="1120"/>
      <c r="DF57" s="1120"/>
    </row>
    <row r="58" spans="9:110" ht="13.5" customHeight="1" collapsed="1">
      <c r="I58" s="1093"/>
      <c r="L58" s="1118"/>
      <c r="CW58" s="1108"/>
      <c r="CX58" s="1120"/>
      <c r="CY58" s="1120"/>
      <c r="CZ58" s="1120"/>
      <c r="DA58" s="1120"/>
      <c r="DB58" s="1120"/>
      <c r="DC58" s="1120"/>
      <c r="DD58" s="1120"/>
      <c r="DE58" s="1120"/>
      <c r="DF58" s="1120"/>
    </row>
    <row r="59" spans="9:110" ht="13.5" hidden="1" customHeight="1" outlineLevel="1">
      <c r="I59" s="1823" t="s">
        <v>641</v>
      </c>
      <c r="J59" s="1823"/>
      <c r="K59" s="1823"/>
      <c r="L59" s="1823"/>
      <c r="M59" s="1823"/>
      <c r="N59" s="1823"/>
      <c r="O59" s="1823"/>
      <c r="P59" s="1823"/>
      <c r="Q59" s="1823"/>
      <c r="R59" s="1823"/>
      <c r="S59" s="1823"/>
      <c r="T59" s="1823"/>
      <c r="U59" s="1823"/>
      <c r="V59" s="1823"/>
      <c r="W59" s="1823"/>
      <c r="X59" s="1823"/>
      <c r="Y59" s="1823"/>
      <c r="Z59" s="1823"/>
      <c r="AA59" s="1823"/>
      <c r="AB59" s="1823"/>
      <c r="AC59" s="1823"/>
      <c r="AD59" s="1823"/>
      <c r="AE59" s="1823"/>
      <c r="AF59" s="1823"/>
      <c r="AG59" s="1823"/>
      <c r="AH59" s="1823"/>
      <c r="AI59" s="1823"/>
      <c r="AJ59" s="1823"/>
      <c r="AK59" s="1823"/>
      <c r="AL59" s="1823"/>
      <c r="AM59" s="1823"/>
      <c r="AN59" s="1823"/>
      <c r="AO59" s="1823"/>
      <c r="AP59" s="1823"/>
      <c r="AQ59" s="1823"/>
      <c r="AR59" s="1823"/>
      <c r="AS59" s="1823"/>
      <c r="AT59" s="1823"/>
      <c r="AU59" s="1823"/>
      <c r="AV59" s="1823"/>
      <c r="AW59" s="1823"/>
      <c r="AX59" s="1823"/>
      <c r="AY59" s="1823"/>
      <c r="AZ59" s="1823"/>
      <c r="BA59" s="1823"/>
      <c r="BB59" s="1823"/>
      <c r="BC59" s="1823"/>
      <c r="BD59" s="1823"/>
      <c r="BE59" s="1823"/>
      <c r="BF59" s="1823"/>
      <c r="BG59" s="1823"/>
      <c r="BH59" s="1823"/>
      <c r="BI59" s="1823"/>
      <c r="BJ59" s="1823"/>
      <c r="BK59" s="1823"/>
      <c r="BL59" s="1823"/>
      <c r="BM59" s="1823"/>
      <c r="BN59" s="1823"/>
      <c r="BO59" s="1823"/>
      <c r="BP59" s="1823"/>
      <c r="BQ59" s="1823"/>
      <c r="BR59" s="1823"/>
      <c r="BS59" s="1823"/>
      <c r="BT59" s="1823"/>
      <c r="BU59" s="1823"/>
      <c r="BV59" s="1823"/>
      <c r="BW59" s="1823"/>
      <c r="BX59" s="1823"/>
      <c r="BY59" s="1823"/>
      <c r="BZ59" s="1823"/>
      <c r="CA59" s="1823"/>
      <c r="CB59" s="1823"/>
      <c r="CC59" s="1823"/>
      <c r="CD59" s="1823"/>
      <c r="CE59" s="1823"/>
      <c r="CF59" s="1823"/>
      <c r="CG59" s="1823"/>
      <c r="CH59" s="1823"/>
      <c r="CI59" s="1823"/>
      <c r="CJ59" s="1823"/>
      <c r="CK59" s="1823"/>
      <c r="CL59" s="1823"/>
      <c r="CM59" s="1823"/>
      <c r="CN59" s="1823"/>
      <c r="CO59" s="1823"/>
      <c r="CP59" s="1823"/>
      <c r="CQ59" s="1823"/>
      <c r="CR59" s="1823"/>
      <c r="CS59" s="1823"/>
      <c r="CT59" s="1823"/>
      <c r="CU59" s="1823"/>
      <c r="CV59" s="1823"/>
      <c r="CW59" s="1823"/>
      <c r="CX59" s="1823"/>
      <c r="CY59" s="1823"/>
      <c r="CZ59" s="1823"/>
      <c r="DA59" s="1823"/>
      <c r="DB59" s="1823"/>
      <c r="DC59" s="1823"/>
      <c r="DD59" s="1823"/>
      <c r="DE59" s="1823"/>
      <c r="DF59" s="1823"/>
    </row>
    <row r="60" spans="9:110" ht="13.5" hidden="1" customHeight="1" outlineLevel="1">
      <c r="I60" s="10" t="s">
        <v>642</v>
      </c>
      <c r="L60" s="1118"/>
      <c r="CQ60" s="1824">
        <f>Model!CQ123</f>
        <v>750.98499999999979</v>
      </c>
      <c r="CR60" s="1824">
        <f>Model!CR123</f>
        <v>1367.7940000000008</v>
      </c>
      <c r="CS60" s="1824">
        <f>Model!CS123</f>
        <v>1761.8670000000011</v>
      </c>
      <c r="CT60" s="1824">
        <f>Model!CT123</f>
        <v>2296.5370000000003</v>
      </c>
      <c r="CU60" s="1824">
        <f>Model!CU123</f>
        <v>2989.447999999999</v>
      </c>
      <c r="CV60" s="1824">
        <f>Model!CV123</f>
        <v>3128.3199999999983</v>
      </c>
      <c r="CW60" s="1824">
        <f>Model!CW123</f>
        <v>2713.2380000000003</v>
      </c>
      <c r="CX60" s="1824">
        <f>Model!CX123</f>
        <v>4399.4149999999981</v>
      </c>
      <c r="CY60" s="1824">
        <f>Model!CY123</f>
        <v>5378.9511446474144</v>
      </c>
      <c r="CZ60" s="1824">
        <f>Model!CZ123</f>
        <v>6287.5569510800642</v>
      </c>
      <c r="DA60" s="1824">
        <f>Model!DA123</f>
        <v>7183.5066384595311</v>
      </c>
      <c r="DB60" s="1824">
        <f>Model!DB123</f>
        <v>8082.2722444063693</v>
      </c>
      <c r="DC60" s="1824">
        <f>Model!DC123</f>
        <v>8974.5969048421703</v>
      </c>
      <c r="DD60" s="1824">
        <f>Model!DD123</f>
        <v>9840.9819476353787</v>
      </c>
      <c r="DE60" s="1824">
        <f>Model!DE123</f>
        <v>10704.38113920945</v>
      </c>
      <c r="DF60" s="1824">
        <f>Model!DF123</f>
        <v>11668.764567644579</v>
      </c>
    </row>
    <row r="61" spans="9:110" ht="13.5" hidden="1" customHeight="1" outlineLevel="1">
      <c r="I61" s="10" t="s">
        <v>643</v>
      </c>
      <c r="L61" s="1118"/>
      <c r="CQ61" s="1825">
        <v>2800</v>
      </c>
      <c r="CR61" s="1825">
        <v>2700</v>
      </c>
      <c r="CS61" s="1825">
        <v>2600</v>
      </c>
      <c r="CT61" s="1825">
        <v>1200</v>
      </c>
      <c r="CU61" s="1825">
        <v>1400</v>
      </c>
      <c r="CV61" s="1825">
        <v>1200</v>
      </c>
      <c r="CW61" s="1825">
        <v>847.9</v>
      </c>
      <c r="CX61" s="1826">
        <f t="shared" ref="CX61:DF61" si="11">CW63</f>
        <v>0</v>
      </c>
      <c r="CY61" s="1826">
        <f t="shared" si="11"/>
        <v>0</v>
      </c>
      <c r="CZ61" s="1826">
        <f t="shared" si="11"/>
        <v>0</v>
      </c>
      <c r="DA61" s="1826">
        <f t="shared" si="11"/>
        <v>0</v>
      </c>
      <c r="DB61" s="1826">
        <f t="shared" si="11"/>
        <v>0</v>
      </c>
      <c r="DC61" s="1826">
        <f t="shared" si="11"/>
        <v>0</v>
      </c>
      <c r="DD61" s="1826">
        <f t="shared" si="11"/>
        <v>0</v>
      </c>
      <c r="DE61" s="1826">
        <f t="shared" si="11"/>
        <v>0</v>
      </c>
      <c r="DF61" s="1826">
        <f t="shared" si="11"/>
        <v>0</v>
      </c>
    </row>
    <row r="62" spans="9:110" ht="13.5" hidden="1" customHeight="1" outlineLevel="1">
      <c r="I62" s="10" t="s">
        <v>644</v>
      </c>
      <c r="L62" s="1118"/>
      <c r="CQ62" s="1826">
        <f t="shared" ref="CQ62:CW62" si="12">(IF(CQ60&gt;0,IF(CQ61&gt;CQ60,CQ60,CQ61),0))</f>
        <v>750.98499999999979</v>
      </c>
      <c r="CR62" s="1826">
        <f t="shared" si="12"/>
        <v>1367.7940000000008</v>
      </c>
      <c r="CS62" s="1826">
        <f t="shared" si="12"/>
        <v>1761.8670000000011</v>
      </c>
      <c r="CT62" s="1826">
        <f t="shared" si="12"/>
        <v>1200</v>
      </c>
      <c r="CU62" s="1826">
        <f>(IF(CU60&gt;0,IF(CU61&gt;CU60,CU60,CU61),0))</f>
        <v>1400</v>
      </c>
      <c r="CV62" s="1826">
        <f t="shared" si="12"/>
        <v>1200</v>
      </c>
      <c r="CW62" s="1826">
        <f t="shared" si="12"/>
        <v>847.9</v>
      </c>
      <c r="CX62" s="1826">
        <f t="shared" ref="CX62:DF62" si="13">(IF(CX60&gt;0,IF(CX61&gt;CX60,CX60,CX61),0))</f>
        <v>0</v>
      </c>
      <c r="CY62" s="1826">
        <f t="shared" si="13"/>
        <v>0</v>
      </c>
      <c r="CZ62" s="1826">
        <f t="shared" si="13"/>
        <v>0</v>
      </c>
      <c r="DA62" s="1826">
        <f t="shared" si="13"/>
        <v>0</v>
      </c>
      <c r="DB62" s="1826">
        <f t="shared" si="13"/>
        <v>0</v>
      </c>
      <c r="DC62" s="1826">
        <f t="shared" si="13"/>
        <v>0</v>
      </c>
      <c r="DD62" s="1826">
        <f t="shared" si="13"/>
        <v>0</v>
      </c>
      <c r="DE62" s="1826">
        <f t="shared" si="13"/>
        <v>0</v>
      </c>
      <c r="DF62" s="1826">
        <f t="shared" si="13"/>
        <v>0</v>
      </c>
    </row>
    <row r="63" spans="9:110" ht="13.5" hidden="1" customHeight="1" outlineLevel="1">
      <c r="I63" s="10" t="s">
        <v>645</v>
      </c>
      <c r="L63" s="1118"/>
      <c r="CQ63" s="1826">
        <f t="shared" ref="CQ63:CW63" si="14">CQ61-CQ62</f>
        <v>2049.0150000000003</v>
      </c>
      <c r="CR63" s="1826">
        <f t="shared" si="14"/>
        <v>1332.2059999999992</v>
      </c>
      <c r="CS63" s="1826">
        <f t="shared" si="14"/>
        <v>838.1329999999989</v>
      </c>
      <c r="CT63" s="1826">
        <f t="shared" si="14"/>
        <v>0</v>
      </c>
      <c r="CU63" s="1826">
        <f t="shared" si="14"/>
        <v>0</v>
      </c>
      <c r="CV63" s="1826">
        <f t="shared" si="14"/>
        <v>0</v>
      </c>
      <c r="CW63" s="1826">
        <f t="shared" si="14"/>
        <v>0</v>
      </c>
      <c r="CX63" s="1826">
        <f t="shared" ref="CX63:DF63" si="15">CX61-CX62</f>
        <v>0</v>
      </c>
      <c r="CY63" s="1826">
        <f t="shared" si="15"/>
        <v>0</v>
      </c>
      <c r="CZ63" s="1826">
        <f t="shared" si="15"/>
        <v>0</v>
      </c>
      <c r="DA63" s="1826">
        <f t="shared" si="15"/>
        <v>0</v>
      </c>
      <c r="DB63" s="1826">
        <f t="shared" si="15"/>
        <v>0</v>
      </c>
      <c r="DC63" s="1826">
        <f t="shared" si="15"/>
        <v>0</v>
      </c>
      <c r="DD63" s="1826">
        <f t="shared" si="15"/>
        <v>0</v>
      </c>
      <c r="DE63" s="1826">
        <f t="shared" si="15"/>
        <v>0</v>
      </c>
      <c r="DF63" s="1826">
        <f t="shared" si="15"/>
        <v>0</v>
      </c>
    </row>
    <row r="64" spans="9:110" ht="13.5" hidden="1" customHeight="1" outlineLevel="1">
      <c r="I64" s="10"/>
      <c r="L64" s="1118"/>
      <c r="CW64" s="1108"/>
      <c r="CX64" s="1120"/>
      <c r="CY64" s="1120"/>
      <c r="CZ64" s="1120"/>
      <c r="DA64" s="1120"/>
      <c r="DB64" s="1120"/>
      <c r="DC64" s="1120"/>
      <c r="DD64" s="1120"/>
      <c r="DE64" s="1120"/>
      <c r="DF64" s="1120"/>
    </row>
    <row r="65" spans="9:110" ht="13.5" hidden="1" customHeight="1" outlineLevel="1">
      <c r="I65" s="11" t="s">
        <v>646</v>
      </c>
      <c r="L65" s="1118"/>
      <c r="CQ65" s="1826">
        <f t="shared" ref="CQ65:CW65" si="16">CQ60-CQ62</f>
        <v>0</v>
      </c>
      <c r="CR65" s="1826">
        <f t="shared" si="16"/>
        <v>0</v>
      </c>
      <c r="CS65" s="1826">
        <f>CS60-CS62</f>
        <v>0</v>
      </c>
      <c r="CT65" s="1826">
        <f>CT60-CT62</f>
        <v>1096.5370000000003</v>
      </c>
      <c r="CU65" s="1826">
        <f>CU60-CU62</f>
        <v>1589.447999999999</v>
      </c>
      <c r="CV65" s="1826">
        <f>CV60-CV62</f>
        <v>1928.3199999999983</v>
      </c>
      <c r="CW65" s="1826">
        <f t="shared" si="16"/>
        <v>1865.3380000000002</v>
      </c>
      <c r="CX65" s="1826">
        <f t="shared" ref="CX65:DF65" si="17">CX60-CX62</f>
        <v>4399.4149999999981</v>
      </c>
      <c r="CY65" s="1826">
        <f t="shared" si="17"/>
        <v>5378.9511446474144</v>
      </c>
      <c r="CZ65" s="1826">
        <f t="shared" si="17"/>
        <v>6287.5569510800642</v>
      </c>
      <c r="DA65" s="1826">
        <f t="shared" si="17"/>
        <v>7183.5066384595311</v>
      </c>
      <c r="DB65" s="1826">
        <f t="shared" si="17"/>
        <v>8082.2722444063693</v>
      </c>
      <c r="DC65" s="1826">
        <f t="shared" si="17"/>
        <v>8974.5969048421703</v>
      </c>
      <c r="DD65" s="1826">
        <f t="shared" si="17"/>
        <v>9840.9819476353787</v>
      </c>
      <c r="DE65" s="1826">
        <f t="shared" si="17"/>
        <v>10704.38113920945</v>
      </c>
      <c r="DF65" s="1826">
        <f t="shared" si="17"/>
        <v>11668.764567644579</v>
      </c>
    </row>
    <row r="66" spans="9:110" ht="13.5" hidden="1" customHeight="1" outlineLevel="1">
      <c r="I66" s="11" t="s">
        <v>647</v>
      </c>
      <c r="L66" s="1118"/>
      <c r="CQ66" s="1827" t="str">
        <f t="shared" ref="CQ66:CV66" si="18">IFERROR(+-CQ13/CQ65,"NA")</f>
        <v>NA</v>
      </c>
      <c r="CR66" s="1827" t="str">
        <f t="shared" si="18"/>
        <v>NA</v>
      </c>
      <c r="CS66" s="1827" t="str">
        <f t="shared" si="18"/>
        <v>NA</v>
      </c>
      <c r="CT66" s="1827">
        <f t="shared" si="18"/>
        <v>0.35673123661125877</v>
      </c>
      <c r="CU66" s="1827">
        <f t="shared" si="18"/>
        <v>0.30924572556006885</v>
      </c>
      <c r="CV66" s="1827">
        <f t="shared" si="18"/>
        <v>0.27697944324593454</v>
      </c>
      <c r="CW66" s="1827">
        <f>IFERROR(+-CW13/CW65,"NA")</f>
        <v>0.3412518267466807</v>
      </c>
      <c r="CX66" s="2049">
        <f>+$L$43</f>
        <v>0.35</v>
      </c>
      <c r="CY66" s="2049">
        <f t="shared" ref="CY66:DF66" si="19">+$L$43</f>
        <v>0.35</v>
      </c>
      <c r="CZ66" s="2049">
        <f t="shared" si="19"/>
        <v>0.35</v>
      </c>
      <c r="DA66" s="2049">
        <f t="shared" si="19"/>
        <v>0.35</v>
      </c>
      <c r="DB66" s="2049">
        <f t="shared" si="19"/>
        <v>0.35</v>
      </c>
      <c r="DC66" s="2049">
        <f t="shared" si="19"/>
        <v>0.35</v>
      </c>
      <c r="DD66" s="2049">
        <f t="shared" si="19"/>
        <v>0.35</v>
      </c>
      <c r="DE66" s="2049">
        <f t="shared" si="19"/>
        <v>0.35</v>
      </c>
      <c r="DF66" s="2049">
        <f t="shared" si="19"/>
        <v>0.35</v>
      </c>
    </row>
    <row r="67" spans="9:110" ht="13.5" hidden="1" customHeight="1" outlineLevel="1">
      <c r="I67" s="10" t="s">
        <v>648</v>
      </c>
      <c r="L67" s="1118"/>
      <c r="CQ67" s="1826">
        <f t="shared" ref="CQ67:CW67" si="20">+CQ13</f>
        <v>-169.32</v>
      </c>
      <c r="CR67" s="1826">
        <f t="shared" si="20"/>
        <v>-232.762</v>
      </c>
      <c r="CS67" s="1826">
        <f t="shared" si="20"/>
        <v>-300.53899999999999</v>
      </c>
      <c r="CT67" s="1826">
        <f t="shared" si="20"/>
        <v>-391.16899999999998</v>
      </c>
      <c r="CU67" s="1826">
        <f t="shared" si="20"/>
        <v>-491.53</v>
      </c>
      <c r="CV67" s="1826">
        <f t="shared" si="20"/>
        <v>-534.10500000000002</v>
      </c>
      <c r="CW67" s="1826">
        <f t="shared" si="20"/>
        <v>-636.54999999999995</v>
      </c>
      <c r="CX67" s="1826">
        <f t="shared" ref="CX67:DF67" si="21">IF(CX65&lt;=0,0,CX65*CX66*-1)</f>
        <v>-1539.7952499999992</v>
      </c>
      <c r="CY67" s="1826">
        <f t="shared" si="21"/>
        <v>-1882.6329006265948</v>
      </c>
      <c r="CZ67" s="1826">
        <f t="shared" si="21"/>
        <v>-2200.6449328780222</v>
      </c>
      <c r="DA67" s="1826">
        <f t="shared" si="21"/>
        <v>-2514.2273234608356</v>
      </c>
      <c r="DB67" s="1826">
        <f t="shared" si="21"/>
        <v>-2828.7952855422291</v>
      </c>
      <c r="DC67" s="1826">
        <f t="shared" si="21"/>
        <v>-3141.1089166947595</v>
      </c>
      <c r="DD67" s="1826">
        <f t="shared" si="21"/>
        <v>-3444.3436816723824</v>
      </c>
      <c r="DE67" s="1826">
        <f t="shared" si="21"/>
        <v>-3746.5333987233075</v>
      </c>
      <c r="DF67" s="1826">
        <f t="shared" si="21"/>
        <v>-4084.0675986756023</v>
      </c>
    </row>
    <row r="68" spans="9:110" ht="13.5" customHeight="1" collapsed="1">
      <c r="I68" s="1093"/>
      <c r="L68" s="1118"/>
      <c r="CW68" s="1826"/>
      <c r="CX68" s="1120"/>
      <c r="CY68" s="1120"/>
      <c r="CZ68" s="1120"/>
      <c r="DA68" s="1120"/>
      <c r="DB68" s="1120"/>
      <c r="DC68" s="1120"/>
      <c r="DD68" s="1120"/>
      <c r="DE68" s="1120"/>
      <c r="DF68" s="1120"/>
    </row>
    <row r="69" spans="9:110" ht="13.5" customHeight="1">
      <c r="CW69" s="1108"/>
      <c r="CX69" s="1120"/>
      <c r="CY69" s="1120"/>
      <c r="CZ69" s="1120"/>
      <c r="DA69" s="1120"/>
      <c r="DB69" s="1120"/>
      <c r="DC69" s="1120"/>
      <c r="DD69" s="1120"/>
      <c r="DE69" s="1120"/>
      <c r="DF69" s="1120"/>
    </row>
    <row r="70" spans="9:110" ht="13.5" customHeight="1">
      <c r="CW70" s="1108"/>
      <c r="CX70" s="1120"/>
      <c r="CY70" s="1120"/>
      <c r="CZ70" s="1120"/>
      <c r="DA70" s="1120"/>
      <c r="DB70" s="1120"/>
      <c r="DC70" s="1120"/>
      <c r="DD70" s="1120"/>
      <c r="DE70" s="1120"/>
      <c r="DF70" s="1120"/>
    </row>
    <row r="71" spans="9:110" ht="13.5" hidden="1" customHeight="1" outlineLevel="1">
      <c r="I71" s="1073" t="s">
        <v>459</v>
      </c>
      <c r="J71" s="1073"/>
      <c r="K71" s="1073"/>
      <c r="L71" s="1073"/>
      <c r="M71" s="1073"/>
      <c r="N71" s="1073"/>
      <c r="O71" s="1073"/>
      <c r="P71" s="1073"/>
      <c r="Q71" s="1073"/>
      <c r="R71" s="1073"/>
      <c r="S71" s="1073"/>
      <c r="T71" s="1073"/>
      <c r="U71" s="1073"/>
      <c r="V71" s="1073"/>
      <c r="W71" s="1073"/>
      <c r="X71" s="1073"/>
      <c r="Y71" s="1073"/>
      <c r="Z71" s="1073"/>
      <c r="AA71" s="1073"/>
      <c r="AB71" s="1073"/>
      <c r="AC71" s="1073"/>
      <c r="AD71" s="1073"/>
      <c r="AE71" s="1073"/>
      <c r="AF71" s="1073"/>
      <c r="AG71" s="1073"/>
      <c r="AH71" s="1073"/>
      <c r="AI71" s="1073"/>
      <c r="AJ71" s="1073"/>
      <c r="AK71" s="1073"/>
      <c r="AL71" s="1073"/>
      <c r="AM71" s="1073"/>
      <c r="AN71" s="1073"/>
      <c r="AO71" s="1073"/>
      <c r="AP71" s="1073"/>
      <c r="AQ71" s="1073"/>
      <c r="AR71" s="1073"/>
      <c r="AS71" s="1073"/>
      <c r="AT71" s="1073"/>
      <c r="AU71" s="1073"/>
      <c r="AV71" s="1073"/>
      <c r="AW71" s="1073"/>
      <c r="AX71" s="1073"/>
      <c r="AY71" s="1073"/>
      <c r="AZ71" s="1073"/>
      <c r="BA71" s="1073"/>
      <c r="BB71" s="1073"/>
      <c r="BC71" s="1073"/>
      <c r="BD71" s="1073"/>
      <c r="BE71" s="1073"/>
      <c r="BF71" s="1073"/>
      <c r="BG71" s="1073"/>
      <c r="BH71" s="1073"/>
      <c r="BI71" s="1073"/>
      <c r="BJ71" s="1073"/>
      <c r="BK71" s="1073"/>
      <c r="BL71" s="1073"/>
      <c r="BM71" s="1073"/>
      <c r="BN71" s="1073"/>
      <c r="BO71" s="1073"/>
      <c r="BP71" s="1073"/>
      <c r="BQ71" s="1073"/>
      <c r="BR71" s="1073"/>
      <c r="BS71" s="1073"/>
      <c r="BT71" s="1073"/>
      <c r="BU71" s="1073"/>
      <c r="BV71" s="1073"/>
      <c r="BW71" s="1073"/>
      <c r="BX71" s="1073"/>
      <c r="BY71" s="1073"/>
      <c r="BZ71" s="1073"/>
      <c r="CA71" s="1073"/>
      <c r="CB71" s="1073"/>
      <c r="CC71" s="1073"/>
      <c r="CD71" s="1073"/>
      <c r="CE71" s="1073"/>
      <c r="CF71" s="1073"/>
      <c r="CG71" s="1073"/>
      <c r="CH71" s="1073"/>
      <c r="CI71" s="1073"/>
      <c r="CJ71" s="1073"/>
      <c r="CK71" s="1073"/>
      <c r="CL71" s="1073"/>
      <c r="CM71" s="1073"/>
      <c r="CN71" s="1073"/>
      <c r="CO71" s="1073"/>
      <c r="CP71" s="1073"/>
      <c r="CQ71" s="1073"/>
      <c r="CR71" s="1073"/>
      <c r="CS71" s="1073"/>
      <c r="CT71" s="1073"/>
      <c r="CU71" s="1073"/>
      <c r="CV71" s="1073"/>
      <c r="CW71" s="1073"/>
      <c r="CX71" s="1073"/>
      <c r="CY71" s="1073"/>
      <c r="CZ71" s="1073"/>
      <c r="DA71" s="1073"/>
      <c r="DB71" s="1073"/>
      <c r="DC71" s="1073"/>
      <c r="DD71" s="1073"/>
      <c r="DE71" s="1073"/>
      <c r="DF71" s="1073"/>
    </row>
    <row r="72" spans="9:110" ht="13.5" hidden="1" customHeight="1" outlineLevel="1">
      <c r="I72" s="1059" t="s">
        <v>460</v>
      </c>
      <c r="CG72" s="1128">
        <f>+$L$45</f>
        <v>7.3384836379991533E-2</v>
      </c>
      <c r="CH72" s="1128">
        <f>+$L$45</f>
        <v>7.3384836379991533E-2</v>
      </c>
      <c r="CI72" s="1128">
        <f>+$L$45</f>
        <v>7.3384836379991533E-2</v>
      </c>
      <c r="CJ72" s="1128"/>
      <c r="CK72" s="1128"/>
      <c r="CL72" s="1128"/>
      <c r="CM72" s="1128"/>
      <c r="CN72" s="1128"/>
      <c r="CO72" s="1128"/>
      <c r="CP72" s="1128"/>
      <c r="CQ72" s="1128">
        <f t="shared" ref="CQ72:DF72" si="22">+$L$45</f>
        <v>7.3384836379991533E-2</v>
      </c>
      <c r="CR72" s="1128">
        <f t="shared" si="22"/>
        <v>7.3384836379991533E-2</v>
      </c>
      <c r="CS72" s="1128">
        <f t="shared" si="22"/>
        <v>7.3384836379991533E-2</v>
      </c>
      <c r="CT72" s="1128">
        <f t="shared" si="22"/>
        <v>7.3384836379991533E-2</v>
      </c>
      <c r="CU72" s="1128">
        <f t="shared" si="22"/>
        <v>7.3384836379991533E-2</v>
      </c>
      <c r="CV72" s="1128">
        <f t="shared" si="22"/>
        <v>7.3384836379991533E-2</v>
      </c>
      <c r="CW72" s="1128">
        <f t="shared" si="22"/>
        <v>7.3384836379991533E-2</v>
      </c>
      <c r="CX72" s="1128">
        <f t="shared" si="22"/>
        <v>7.3384836379991533E-2</v>
      </c>
      <c r="CY72" s="1128">
        <f t="shared" si="22"/>
        <v>7.3384836379991533E-2</v>
      </c>
      <c r="CZ72" s="1128">
        <f t="shared" si="22"/>
        <v>7.3384836379991533E-2</v>
      </c>
      <c r="DA72" s="1128">
        <f t="shared" si="22"/>
        <v>7.3384836379991533E-2</v>
      </c>
      <c r="DB72" s="1128">
        <f t="shared" si="22"/>
        <v>7.3384836379991533E-2</v>
      </c>
      <c r="DC72" s="1128">
        <f t="shared" si="22"/>
        <v>7.3384836379991533E-2</v>
      </c>
      <c r="DD72" s="1128">
        <f t="shared" si="22"/>
        <v>7.3384836379991533E-2</v>
      </c>
      <c r="DE72" s="1128">
        <f t="shared" si="22"/>
        <v>7.3384836379991533E-2</v>
      </c>
      <c r="DF72" s="1128">
        <f t="shared" si="22"/>
        <v>7.3384836379991533E-2</v>
      </c>
    </row>
    <row r="73" spans="9:110" ht="13.5" hidden="1" customHeight="1" outlineLevel="1"/>
    <row r="74" spans="9:110" ht="13.5" hidden="1" customHeight="1" outlineLevel="1">
      <c r="I74" s="1129" t="s">
        <v>458</v>
      </c>
      <c r="J74" s="1129"/>
      <c r="K74" s="1129"/>
      <c r="L74" s="1129"/>
      <c r="M74" s="1129"/>
      <c r="N74" s="1129"/>
      <c r="O74" s="1129"/>
      <c r="P74" s="1129"/>
      <c r="Q74" s="1129"/>
      <c r="R74" s="1129"/>
      <c r="S74" s="1129"/>
      <c r="T74" s="1129"/>
      <c r="U74" s="1129"/>
      <c r="V74" s="1129"/>
      <c r="W74" s="1129"/>
      <c r="X74" s="1129"/>
      <c r="Y74" s="1129"/>
      <c r="Z74" s="1129"/>
      <c r="AA74" s="1129"/>
      <c r="AB74" s="1129"/>
      <c r="AC74" s="1129"/>
      <c r="AD74" s="1129"/>
      <c r="AE74" s="1129"/>
      <c r="AF74" s="1129"/>
      <c r="AG74" s="1129"/>
      <c r="AH74" s="1129"/>
      <c r="AI74" s="1129"/>
      <c r="AJ74" s="1129"/>
      <c r="AK74" s="1129"/>
      <c r="AL74" s="1129"/>
      <c r="AM74" s="1129"/>
      <c r="AN74" s="1129"/>
      <c r="AO74" s="1129"/>
      <c r="AP74" s="1129"/>
      <c r="AQ74" s="1129"/>
      <c r="AR74" s="1129"/>
      <c r="AS74" s="1129"/>
      <c r="AT74" s="1129"/>
      <c r="AU74" s="1129"/>
      <c r="AV74" s="1129"/>
      <c r="AW74" s="1129"/>
      <c r="AX74" s="1129"/>
      <c r="AY74" s="1129"/>
      <c r="AZ74" s="1129"/>
      <c r="BA74" s="1129"/>
      <c r="BB74" s="1129"/>
      <c r="BC74" s="1129"/>
      <c r="BD74" s="1129"/>
      <c r="BE74" s="1129"/>
      <c r="BF74" s="1129"/>
      <c r="BG74" s="1129"/>
      <c r="BH74" s="1129"/>
      <c r="BI74" s="1129"/>
      <c r="BJ74" s="1129"/>
      <c r="BK74" s="1129"/>
      <c r="BL74" s="1129"/>
      <c r="BM74" s="1129"/>
      <c r="BN74" s="1129"/>
      <c r="BO74" s="1129"/>
      <c r="BP74" s="1129"/>
      <c r="BQ74" s="1129"/>
      <c r="BR74" s="1129"/>
      <c r="BS74" s="1129"/>
      <c r="BT74" s="1129"/>
      <c r="BU74" s="1129"/>
      <c r="BV74" s="1129"/>
      <c r="BW74" s="1129"/>
      <c r="BX74" s="1129"/>
      <c r="BY74" s="1129"/>
      <c r="BZ74" s="1129"/>
      <c r="CA74" s="1129"/>
      <c r="CB74" s="1129"/>
      <c r="CC74" s="1129"/>
      <c r="CD74" s="1129"/>
      <c r="CE74" s="1129"/>
      <c r="CF74" s="1129"/>
      <c r="CG74" s="1129"/>
      <c r="CH74" s="1129"/>
      <c r="CI74" s="1129"/>
      <c r="CJ74" s="1129"/>
      <c r="CK74" s="1129"/>
      <c r="CL74" s="1129"/>
      <c r="CM74" s="1129"/>
      <c r="CN74" s="1129"/>
      <c r="CO74" s="1129"/>
      <c r="CP74" s="1129"/>
      <c r="CQ74" s="1129"/>
      <c r="CR74" s="1129"/>
      <c r="CS74" s="1129"/>
      <c r="CT74" s="1129"/>
      <c r="CU74" s="1129"/>
      <c r="CV74" s="1129"/>
      <c r="CW74" s="1129"/>
      <c r="CX74" s="1129"/>
      <c r="CY74" s="1129"/>
      <c r="CZ74" s="1129"/>
      <c r="DA74" s="1129"/>
      <c r="DB74" s="1129"/>
      <c r="DC74" s="1129"/>
      <c r="DD74" s="1129"/>
      <c r="DE74" s="1129"/>
      <c r="DF74" s="1129"/>
    </row>
    <row r="75" spans="9:110" ht="13.5" hidden="1" customHeight="1" outlineLevel="1">
      <c r="I75" s="1130" t="s">
        <v>461</v>
      </c>
      <c r="CG75" s="1080">
        <f>+L46</f>
        <v>1.9650000000000001E-2</v>
      </c>
      <c r="CH75" s="1080">
        <f>+L46</f>
        <v>1.9650000000000001E-2</v>
      </c>
      <c r="CI75" s="1080">
        <f>+L46</f>
        <v>1.9650000000000001E-2</v>
      </c>
      <c r="CJ75" s="1080"/>
      <c r="CK75" s="1080"/>
      <c r="CL75" s="1080"/>
      <c r="CM75" s="1080"/>
      <c r="CN75" s="1080"/>
      <c r="CO75" s="1080"/>
      <c r="CP75" s="1080"/>
      <c r="CQ75" s="1080">
        <f t="shared" ref="CQ75:DF75" si="23">+$L$46</f>
        <v>1.9650000000000001E-2</v>
      </c>
      <c r="CR75" s="1080">
        <f t="shared" si="23"/>
        <v>1.9650000000000001E-2</v>
      </c>
      <c r="CS75" s="1080">
        <f t="shared" si="23"/>
        <v>1.9650000000000001E-2</v>
      </c>
      <c r="CT75" s="1080">
        <f t="shared" si="23"/>
        <v>1.9650000000000001E-2</v>
      </c>
      <c r="CU75" s="1080">
        <f t="shared" si="23"/>
        <v>1.9650000000000001E-2</v>
      </c>
      <c r="CV75" s="1080">
        <f t="shared" si="23"/>
        <v>1.9650000000000001E-2</v>
      </c>
      <c r="CW75" s="1080">
        <f t="shared" si="23"/>
        <v>1.9650000000000001E-2</v>
      </c>
      <c r="CX75" s="1080">
        <f t="shared" si="23"/>
        <v>1.9650000000000001E-2</v>
      </c>
      <c r="CY75" s="1080">
        <f t="shared" si="23"/>
        <v>1.9650000000000001E-2</v>
      </c>
      <c r="CZ75" s="1080">
        <f t="shared" si="23"/>
        <v>1.9650000000000001E-2</v>
      </c>
      <c r="DA75" s="1080">
        <f t="shared" si="23"/>
        <v>1.9650000000000001E-2</v>
      </c>
      <c r="DB75" s="1080">
        <f t="shared" si="23"/>
        <v>1.9650000000000001E-2</v>
      </c>
      <c r="DC75" s="1080">
        <f t="shared" si="23"/>
        <v>1.9650000000000001E-2</v>
      </c>
      <c r="DD75" s="1080">
        <f t="shared" si="23"/>
        <v>1.9650000000000001E-2</v>
      </c>
      <c r="DE75" s="1080">
        <f t="shared" si="23"/>
        <v>1.9650000000000001E-2</v>
      </c>
      <c r="DF75" s="1080">
        <f t="shared" si="23"/>
        <v>1.9650000000000001E-2</v>
      </c>
    </row>
    <row r="76" spans="9:110" ht="13.5" hidden="1" customHeight="1" outlineLevel="1"/>
    <row r="77" spans="9:110" ht="13.5" customHeight="1" collapsed="1"/>
    <row r="79" spans="9:110" ht="13.5" customHeight="1">
      <c r="CS79" s="1076"/>
    </row>
    <row r="80" spans="9:110" ht="13.5" customHeight="1">
      <c r="CR80" s="1101"/>
      <c r="CS80" s="1101"/>
    </row>
  </sheetData>
  <pageMargins left="0" right="0" top="0" bottom="0" header="0" footer="0"/>
  <pageSetup paperSize="5" orientation="landscape" r:id="rId1"/>
  <headerFooter alignWithMargins="0">
    <oddFooter>&amp;L&amp;8HomeAway, Inc. | Nasdaq: (AWAY)&amp;C&amp;8Scott Devitt | scott.devitt@ms.com | +1 212 761-3365&amp;"Arial,Bold"&amp;12 |&amp;"Arial,Regular"&amp;8 Nishant Verma | nishant.verma@ms.com | +1 212 761-6320&amp;R&amp;8Page &amp;P of &amp;N</odd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249977111117893"/>
  </sheetPr>
  <dimension ref="A1:DH1260"/>
  <sheetViews>
    <sheetView showGridLines="0" zoomScaleNormal="100" zoomScaleSheetLayoutView="85" workbookViewId="0">
      <pane xSplit="12" ySplit="9" topLeftCell="CS10" activePane="bottomRight" state="frozen"/>
      <selection activeCell="CX27" sqref="CX27"/>
      <selection pane="topRight" activeCell="CX27" sqref="CX27"/>
      <selection pane="bottomLeft" activeCell="CX27" sqref="CX27"/>
      <selection pane="bottomRight" activeCell="DE38" sqref="DE38"/>
    </sheetView>
  </sheetViews>
  <sheetFormatPr defaultColWidth="12.5" defaultRowHeight="13.5" customHeight="1" outlineLevelRow="1" outlineLevelCol="1"/>
  <cols>
    <col min="1" max="1" width="12.5" style="1059" hidden="1" customWidth="1" outlineLevel="1"/>
    <col min="2" max="7" width="12.5" hidden="1" customWidth="1" outlineLevel="1"/>
    <col min="8" max="8" width="2.1640625" style="1059" bestFit="1" customWidth="1" collapsed="1"/>
    <col min="9" max="12" width="12.5" style="1059" customWidth="1"/>
    <col min="13" max="95" width="12.5" style="1059" hidden="1" customWidth="1"/>
    <col min="96" max="96" width="12.5" style="1059" hidden="1" customWidth="1" outlineLevel="1"/>
    <col min="97" max="97" width="8.83203125" style="1059" bestFit="1" customWidth="1" collapsed="1"/>
    <col min="98" max="102" width="8.83203125" style="1059" bestFit="1" customWidth="1"/>
    <col min="103" max="103" width="9.33203125" style="1059" bestFit="1" customWidth="1"/>
    <col min="104" max="110" width="8.83203125" style="1059" bestFit="1" customWidth="1"/>
    <col min="111" max="111" width="11.6640625" style="1059" bestFit="1" customWidth="1"/>
    <col min="112" max="112" width="12.5" style="1059" customWidth="1"/>
    <col min="113" max="16384" width="12.5" style="1059"/>
  </cols>
  <sheetData>
    <row r="1" spans="1:111" ht="13.5" customHeight="1">
      <c r="A1" s="1057"/>
      <c r="I1" s="1060" t="s">
        <v>428</v>
      </c>
      <c r="J1" s="1060"/>
      <c r="L1" s="1061">
        <f>fair_value</f>
        <v>2889.9137648014535</v>
      </c>
      <c r="M1" s="1061"/>
      <c r="N1" s="1061"/>
      <c r="O1" s="1061"/>
      <c r="P1" s="1061"/>
      <c r="Q1" s="1061"/>
      <c r="R1" s="1061"/>
      <c r="S1" s="1061"/>
      <c r="T1" s="1061"/>
      <c r="U1" s="1061"/>
      <c r="V1" s="1061"/>
      <c r="W1" s="1061"/>
      <c r="X1" s="1061"/>
      <c r="Y1" s="1061"/>
      <c r="Z1" s="1061"/>
      <c r="AA1" s="1061"/>
      <c r="AB1" s="1061"/>
      <c r="AC1" s="1061"/>
      <c r="AD1" s="1061"/>
      <c r="AE1" s="1061"/>
      <c r="AF1" s="1061"/>
      <c r="AG1" s="1061"/>
      <c r="AH1" s="1061"/>
      <c r="AI1" s="1061"/>
      <c r="AJ1" s="1061"/>
      <c r="AK1" s="1061"/>
      <c r="AL1" s="1061"/>
      <c r="AM1" s="1061"/>
      <c r="AN1" s="1061"/>
      <c r="AO1" s="1061"/>
      <c r="AP1" s="1061"/>
      <c r="AQ1" s="1061"/>
      <c r="AR1" s="1061"/>
      <c r="AS1" s="1061"/>
      <c r="AT1" s="1061"/>
      <c r="AU1" s="1061"/>
      <c r="AV1" s="1061"/>
      <c r="AW1" s="1061"/>
      <c r="AX1" s="1061"/>
      <c r="AY1" s="1061"/>
      <c r="AZ1" s="1061"/>
      <c r="BA1" s="1061"/>
      <c r="BB1" s="1061"/>
      <c r="BC1" s="1061"/>
      <c r="BD1" s="1061"/>
      <c r="BE1" s="1061"/>
      <c r="BF1" s="1061"/>
      <c r="BG1" s="1061"/>
      <c r="BH1" s="1061"/>
      <c r="BI1" s="1061"/>
      <c r="BJ1" s="1061"/>
      <c r="BK1" s="1061"/>
      <c r="BL1" s="1061"/>
      <c r="BM1" s="1061"/>
      <c r="BN1" s="1061"/>
      <c r="BO1" s="1061"/>
      <c r="BP1" s="1061"/>
      <c r="BQ1" s="1061"/>
      <c r="BR1" s="1061"/>
      <c r="BS1" s="1061"/>
      <c r="BT1" s="1061"/>
      <c r="BU1" s="1061"/>
      <c r="BV1" s="1061"/>
      <c r="BW1" s="1061"/>
      <c r="BX1" s="1061"/>
      <c r="BY1" s="1061"/>
      <c r="BZ1" s="1061"/>
      <c r="CA1" s="1061"/>
      <c r="CB1" s="1061"/>
      <c r="CC1" s="1061"/>
      <c r="CD1" s="1061"/>
      <c r="CE1" s="1061"/>
      <c r="CF1" s="1061"/>
    </row>
    <row r="2" spans="1:111" s="1058" customFormat="1" ht="13.5" customHeight="1">
      <c r="B2"/>
      <c r="C2"/>
      <c r="D2"/>
      <c r="E2"/>
      <c r="F2"/>
      <c r="G2"/>
      <c r="I2" s="1062"/>
      <c r="J2" s="1062"/>
      <c r="K2" s="1062"/>
      <c r="L2" s="1062"/>
      <c r="M2" s="1062"/>
      <c r="N2" s="1062"/>
      <c r="O2" s="1062"/>
      <c r="P2" s="1062"/>
      <c r="Q2" s="1062"/>
      <c r="R2" s="1062"/>
      <c r="S2" s="1062"/>
      <c r="T2" s="1062"/>
      <c r="U2" s="1062"/>
      <c r="V2" s="1062"/>
      <c r="W2" s="1062"/>
      <c r="X2" s="1062"/>
      <c r="Y2" s="1062"/>
      <c r="Z2" s="1062"/>
      <c r="AA2" s="1062"/>
      <c r="AB2" s="1062"/>
      <c r="AC2" s="1062"/>
      <c r="AD2" s="1062"/>
      <c r="AE2" s="1062"/>
      <c r="AF2" s="1062"/>
      <c r="AG2" s="1062"/>
      <c r="AH2" s="1062"/>
      <c r="AI2" s="1062"/>
      <c r="AJ2" s="1062"/>
      <c r="AK2" s="1062"/>
      <c r="AL2" s="1062"/>
      <c r="AM2" s="1062"/>
      <c r="AN2" s="1062"/>
      <c r="AO2" s="1062"/>
      <c r="AP2" s="1062"/>
      <c r="AQ2" s="1062"/>
      <c r="AR2" s="1062"/>
      <c r="AS2" s="1062"/>
      <c r="AT2" s="1062"/>
      <c r="AU2" s="1062"/>
      <c r="AV2" s="1062"/>
      <c r="AW2" s="1062"/>
      <c r="AX2" s="1062"/>
      <c r="AY2" s="1062"/>
      <c r="AZ2" s="1062"/>
      <c r="BA2" s="1062"/>
      <c r="BB2" s="1062"/>
      <c r="BC2" s="1062"/>
      <c r="BD2" s="1062"/>
      <c r="BE2" s="1062"/>
      <c r="BF2" s="1062"/>
      <c r="BG2" s="1062"/>
      <c r="BH2" s="1062"/>
      <c r="BI2" s="1062"/>
      <c r="BJ2" s="1062"/>
      <c r="BK2" s="1062"/>
      <c r="BL2" s="1062"/>
      <c r="BM2" s="1062"/>
      <c r="BN2" s="1062"/>
      <c r="BO2" s="1062"/>
      <c r="BP2" s="1062"/>
      <c r="BQ2" s="1062"/>
      <c r="BR2" s="1062"/>
      <c r="BS2" s="1062"/>
      <c r="BT2" s="1062"/>
      <c r="BU2" s="1062"/>
      <c r="BV2" s="1062"/>
      <c r="BW2" s="1062"/>
      <c r="BX2" s="1062"/>
      <c r="BY2" s="1062"/>
      <c r="BZ2" s="1062"/>
      <c r="CA2" s="1062"/>
      <c r="CB2" s="1062"/>
      <c r="CC2" s="1062"/>
      <c r="CD2" s="1062"/>
      <c r="CE2" s="1062"/>
      <c r="CF2" s="1062"/>
      <c r="CG2" s="1063"/>
      <c r="CH2" s="1063"/>
      <c r="CI2" s="1063"/>
      <c r="CJ2" s="1063"/>
      <c r="CK2" s="1063"/>
      <c r="CL2" s="1063"/>
      <c r="CM2" s="1063"/>
      <c r="CN2" s="1063"/>
      <c r="CO2" s="1063"/>
      <c r="CP2" s="1063"/>
      <c r="CQ2" s="1063"/>
      <c r="CR2" s="1063"/>
      <c r="CS2" s="1063"/>
      <c r="CT2" s="1063"/>
      <c r="CU2" s="1063"/>
      <c r="CV2" s="1063"/>
      <c r="CW2" s="1063"/>
      <c r="CX2" s="1063"/>
      <c r="CY2" s="1063"/>
      <c r="CZ2" s="1063"/>
      <c r="DA2" s="1063"/>
      <c r="DB2" s="1063"/>
      <c r="DC2" s="1063"/>
      <c r="DD2" s="1063"/>
      <c r="DE2" s="1063"/>
      <c r="DF2" s="1063"/>
      <c r="DG2" s="1063"/>
    </row>
    <row r="3" spans="1:111" s="1058" customFormat="1" ht="13.5" hidden="1" customHeight="1" outlineLevel="1">
      <c r="B3"/>
      <c r="C3"/>
      <c r="D3"/>
      <c r="E3"/>
      <c r="F3"/>
      <c r="G3"/>
      <c r="I3" s="1058" t="s">
        <v>429</v>
      </c>
      <c r="CG3" s="1064"/>
      <c r="CH3" s="1064"/>
      <c r="CI3" s="1064"/>
      <c r="CJ3" s="1064"/>
      <c r="CK3" s="1064"/>
      <c r="CL3" s="1064"/>
      <c r="CM3" s="1064"/>
      <c r="CN3" s="1064"/>
      <c r="CO3" s="1064"/>
      <c r="CP3" s="1064"/>
      <c r="CQ3" s="1064"/>
      <c r="CR3" s="1064">
        <v>0</v>
      </c>
      <c r="CS3" s="1064">
        <v>0</v>
      </c>
      <c r="CT3" s="1064">
        <v>0</v>
      </c>
      <c r="CU3" s="1064">
        <v>0</v>
      </c>
      <c r="CV3" s="1064">
        <v>0</v>
      </c>
      <c r="CW3" s="1064">
        <v>0</v>
      </c>
      <c r="CX3" s="1064">
        <v>0</v>
      </c>
      <c r="CY3" s="1064">
        <v>0</v>
      </c>
      <c r="CZ3" s="1064">
        <v>0</v>
      </c>
      <c r="DA3" s="1064">
        <v>0</v>
      </c>
      <c r="DB3" s="1064">
        <v>0</v>
      </c>
      <c r="DC3" s="1064">
        <v>0</v>
      </c>
      <c r="DD3" s="1064">
        <v>0</v>
      </c>
      <c r="DE3" s="1064">
        <v>0</v>
      </c>
      <c r="DF3" s="1064">
        <v>0</v>
      </c>
      <c r="DG3" s="1064"/>
    </row>
    <row r="4" spans="1:111" s="1058" customFormat="1" ht="13.5" hidden="1" customHeight="1" outlineLevel="1">
      <c r="B4"/>
      <c r="C4"/>
      <c r="D4"/>
      <c r="E4"/>
      <c r="F4"/>
      <c r="G4"/>
      <c r="I4" s="1058" t="s">
        <v>430</v>
      </c>
      <c r="CG4" s="1064"/>
      <c r="CH4" s="1064"/>
      <c r="CI4" s="1064"/>
      <c r="CJ4" s="1064"/>
      <c r="CK4" s="1064"/>
      <c r="CL4" s="1064"/>
      <c r="CM4" s="1064"/>
      <c r="CN4" s="1064"/>
      <c r="CO4" s="1064"/>
      <c r="CP4" s="1064"/>
      <c r="CQ4" s="1064"/>
      <c r="CR4" s="1064">
        <v>1</v>
      </c>
      <c r="CS4" s="1064">
        <v>1</v>
      </c>
      <c r="CT4" s="1064">
        <v>1</v>
      </c>
      <c r="CU4" s="1064">
        <v>1</v>
      </c>
      <c r="CV4" s="1064">
        <v>1</v>
      </c>
      <c r="CW4" s="1064">
        <v>1</v>
      </c>
      <c r="CX4" s="1064">
        <v>1</v>
      </c>
      <c r="CY4" s="1064">
        <v>1</v>
      </c>
      <c r="CZ4" s="1064">
        <v>1</v>
      </c>
      <c r="DA4" s="1064">
        <v>1</v>
      </c>
      <c r="DB4" s="1064">
        <v>1</v>
      </c>
      <c r="DC4" s="1064">
        <v>1</v>
      </c>
      <c r="DD4" s="1064">
        <v>1</v>
      </c>
      <c r="DE4" s="1064">
        <v>1</v>
      </c>
      <c r="DF4" s="1064">
        <v>1</v>
      </c>
      <c r="DG4" s="1064"/>
    </row>
    <row r="5" spans="1:111" customFormat="1" ht="13.5" hidden="1" customHeight="1" outlineLevel="1"/>
    <row r="6" spans="1:111" ht="13.5" hidden="1" customHeight="1" outlineLevel="1">
      <c r="I6" s="1059" t="s">
        <v>391</v>
      </c>
      <c r="CG6" s="1065"/>
      <c r="CH6" s="1065"/>
      <c r="CI6" s="1065"/>
      <c r="CJ6" s="1065"/>
      <c r="CK6" s="1065"/>
      <c r="CL6" s="1065"/>
      <c r="CM6" s="1065"/>
      <c r="CN6" s="1065"/>
      <c r="CO6" s="1065"/>
      <c r="CP6" s="1065"/>
      <c r="CQ6" s="1065"/>
      <c r="CR6" s="1065">
        <v>40908</v>
      </c>
      <c r="CS6" s="1065">
        <v>41274</v>
      </c>
      <c r="CT6" s="1065">
        <v>41639</v>
      </c>
      <c r="CU6" s="1065">
        <v>42004</v>
      </c>
      <c r="CV6" s="1065">
        <v>42369</v>
      </c>
      <c r="CW6" s="1065">
        <v>42735</v>
      </c>
      <c r="CX6" s="1065">
        <v>43100</v>
      </c>
      <c r="CY6" s="1065">
        <v>43465</v>
      </c>
      <c r="CZ6" s="1065">
        <v>43830</v>
      </c>
      <c r="DA6" s="1065">
        <v>44196</v>
      </c>
      <c r="DB6" s="1065">
        <v>44561</v>
      </c>
      <c r="DC6" s="1065">
        <v>44926</v>
      </c>
      <c r="DD6" s="1065">
        <v>45291</v>
      </c>
      <c r="DE6" s="1065">
        <v>45657</v>
      </c>
      <c r="DF6" s="1065">
        <v>46022</v>
      </c>
    </row>
    <row r="7" spans="1:111" ht="13.5" customHeight="1" collapsed="1">
      <c r="I7" s="1385" t="s">
        <v>767</v>
      </c>
      <c r="J7" s="1066"/>
      <c r="K7" s="1066"/>
      <c r="L7" s="1066"/>
      <c r="M7" s="1066"/>
      <c r="N7" s="1066"/>
      <c r="O7" s="1066"/>
      <c r="P7" s="1066"/>
      <c r="Q7" s="1066"/>
      <c r="R7" s="1066"/>
      <c r="S7" s="1066"/>
      <c r="T7" s="1066"/>
      <c r="U7" s="1066"/>
      <c r="V7" s="1066"/>
      <c r="W7" s="1066"/>
      <c r="X7" s="1066"/>
      <c r="Y7" s="1066"/>
      <c r="Z7" s="1066"/>
      <c r="AA7" s="1066"/>
      <c r="AB7" s="1066"/>
      <c r="AC7" s="1066"/>
      <c r="AD7" s="1066"/>
      <c r="AE7" s="1066"/>
      <c r="AF7" s="1066"/>
      <c r="AG7" s="1066"/>
      <c r="AH7" s="1066"/>
      <c r="AI7" s="1066"/>
      <c r="AJ7" s="1066"/>
      <c r="AK7" s="1066"/>
      <c r="AL7" s="1066"/>
      <c r="AM7" s="1066"/>
      <c r="AN7" s="1066"/>
      <c r="AO7" s="1066"/>
      <c r="AP7" s="1066"/>
      <c r="AQ7" s="1066"/>
      <c r="AR7" s="1066"/>
      <c r="AS7" s="1066"/>
      <c r="AT7" s="1066"/>
      <c r="AU7" s="1066"/>
      <c r="AV7" s="1066"/>
      <c r="AW7" s="1066"/>
      <c r="AX7" s="1066"/>
      <c r="AY7" s="1066"/>
      <c r="AZ7" s="1066"/>
      <c r="BA7" s="1066"/>
      <c r="BB7" s="1066"/>
      <c r="BC7" s="1066"/>
      <c r="BD7" s="1066"/>
      <c r="BE7" s="1066"/>
      <c r="BF7" s="1066"/>
      <c r="BG7" s="1066"/>
      <c r="BH7" s="1066"/>
      <c r="BI7" s="1066"/>
      <c r="BJ7" s="1066"/>
      <c r="BK7" s="1066"/>
      <c r="BL7" s="1066"/>
      <c r="BM7" s="1066"/>
      <c r="BN7" s="1066"/>
      <c r="BO7" s="1066"/>
      <c r="BP7" s="1066"/>
      <c r="BQ7" s="1066"/>
      <c r="BR7" s="1066"/>
      <c r="BS7" s="1066"/>
      <c r="BT7" s="1066"/>
      <c r="BU7" s="1066"/>
      <c r="BV7" s="1066"/>
      <c r="BW7" s="1066"/>
      <c r="BX7" s="1066"/>
      <c r="BY7" s="1066"/>
      <c r="BZ7" s="1066"/>
      <c r="CA7" s="1066"/>
      <c r="CB7" s="1066"/>
      <c r="CC7" s="1066"/>
      <c r="CD7" s="1066"/>
      <c r="CE7" s="1066"/>
      <c r="CF7" s="1066"/>
      <c r="CG7" s="1067"/>
      <c r="CH7" s="1067"/>
      <c r="CI7" s="1067"/>
      <c r="CJ7" s="1067"/>
      <c r="CK7" s="1067"/>
      <c r="CL7" s="1067"/>
      <c r="CM7" s="1067"/>
      <c r="CN7" s="1067"/>
      <c r="CO7" s="1067"/>
      <c r="CP7" s="1067"/>
      <c r="CQ7" s="1067"/>
      <c r="CR7" s="1067"/>
      <c r="CS7" s="1067"/>
      <c r="CT7" s="1067"/>
      <c r="CU7" s="1067"/>
      <c r="CV7" s="1067"/>
      <c r="CW7" s="1067"/>
      <c r="CX7" s="1067"/>
      <c r="CY7" s="1067"/>
      <c r="CZ7" s="1067"/>
      <c r="DA7" s="1067"/>
      <c r="DB7" s="1067"/>
      <c r="DC7" s="1067"/>
      <c r="DD7" s="1067"/>
      <c r="DE7" s="1067"/>
      <c r="DF7" s="1067"/>
      <c r="DG7" s="1068" t="s">
        <v>431</v>
      </c>
    </row>
    <row r="8" spans="1:111" ht="13.5" customHeight="1" thickBot="1">
      <c r="I8" s="1069" t="s">
        <v>392</v>
      </c>
      <c r="J8" s="1069"/>
      <c r="K8" s="1069"/>
      <c r="L8" s="1069"/>
      <c r="M8" s="1069"/>
      <c r="N8" s="1069"/>
      <c r="O8" s="1069"/>
      <c r="P8" s="1069"/>
      <c r="Q8" s="1069"/>
      <c r="R8" s="1069"/>
      <c r="S8" s="1069"/>
      <c r="T8" s="1069"/>
      <c r="U8" s="1069"/>
      <c r="V8" s="1069"/>
      <c r="W8" s="1069"/>
      <c r="X8" s="1069"/>
      <c r="Y8" s="1069"/>
      <c r="Z8" s="1069"/>
      <c r="AA8" s="1069"/>
      <c r="AB8" s="1069"/>
      <c r="AC8" s="1069"/>
      <c r="AD8" s="1069"/>
      <c r="AE8" s="1069"/>
      <c r="AF8" s="1069"/>
      <c r="AG8" s="1069"/>
      <c r="AH8" s="1069"/>
      <c r="AI8" s="1069"/>
      <c r="AJ8" s="1069"/>
      <c r="AK8" s="1069"/>
      <c r="AL8" s="1069"/>
      <c r="AM8" s="1069"/>
      <c r="AN8" s="1069"/>
      <c r="AO8" s="1069"/>
      <c r="AP8" s="1069"/>
      <c r="AQ8" s="1069"/>
      <c r="AR8" s="1069"/>
      <c r="AS8" s="1069"/>
      <c r="AT8" s="1069"/>
      <c r="AU8" s="1069"/>
      <c r="AV8" s="1069"/>
      <c r="AW8" s="1069"/>
      <c r="AX8" s="1069"/>
      <c r="AY8" s="1069"/>
      <c r="AZ8" s="1069"/>
      <c r="BA8" s="1069"/>
      <c r="BB8" s="1069"/>
      <c r="BC8" s="1069"/>
      <c r="BD8" s="1069"/>
      <c r="BE8" s="1069"/>
      <c r="BF8" s="1069"/>
      <c r="BG8" s="1069"/>
      <c r="BH8" s="1069"/>
      <c r="BI8" s="1069"/>
      <c r="BJ8" s="1069"/>
      <c r="BK8" s="1069"/>
      <c r="BL8" s="1069"/>
      <c r="BM8" s="1069"/>
      <c r="BN8" s="1069"/>
      <c r="BO8" s="1069"/>
      <c r="BP8" s="1069"/>
      <c r="BQ8" s="1069"/>
      <c r="BR8" s="1069"/>
      <c r="BS8" s="1069"/>
      <c r="BT8" s="1069"/>
      <c r="BU8" s="1069"/>
      <c r="BV8" s="1069"/>
      <c r="BW8" s="1069"/>
      <c r="BX8" s="1069"/>
      <c r="BY8" s="1069"/>
      <c r="BZ8" s="1069"/>
      <c r="CA8" s="1069"/>
      <c r="CB8" s="1069"/>
      <c r="CC8" s="1069"/>
      <c r="CD8" s="1069"/>
      <c r="CE8" s="1069"/>
      <c r="CF8" s="1069"/>
      <c r="CG8" s="1070"/>
      <c r="CH8" s="1070"/>
      <c r="CI8" s="1070"/>
      <c r="CJ8" s="1070"/>
      <c r="CK8" s="1070"/>
      <c r="CL8" s="1070"/>
      <c r="CM8" s="1070"/>
      <c r="CN8" s="1070"/>
      <c r="CO8" s="1070"/>
      <c r="CP8" s="1070"/>
      <c r="CQ8" s="1070"/>
      <c r="CR8" s="1070">
        <v>40908</v>
      </c>
      <c r="CS8" s="1070">
        <v>41274</v>
      </c>
      <c r="CT8" s="1070">
        <v>41639</v>
      </c>
      <c r="CU8" s="1070">
        <v>42004</v>
      </c>
      <c r="CV8" s="1070">
        <v>42369</v>
      </c>
      <c r="CW8" s="1070">
        <v>42735</v>
      </c>
      <c r="CX8" s="1070">
        <v>43100</v>
      </c>
      <c r="CY8" s="1071">
        <v>43465</v>
      </c>
      <c r="CZ8" s="1071">
        <v>43830</v>
      </c>
      <c r="DA8" s="1071">
        <v>44196</v>
      </c>
      <c r="DB8" s="1071">
        <v>44561</v>
      </c>
      <c r="DC8" s="1071">
        <v>44926</v>
      </c>
      <c r="DD8" s="1071">
        <v>45291</v>
      </c>
      <c r="DE8" s="1071">
        <v>45657</v>
      </c>
      <c r="DF8" s="1071">
        <v>46022</v>
      </c>
      <c r="DG8" s="1072" t="s">
        <v>432</v>
      </c>
    </row>
    <row r="9" spans="1:111" ht="5.0999999999999996" customHeight="1"/>
    <row r="10" spans="1:111" ht="13.5" customHeight="1">
      <c r="I10" s="1073" t="s">
        <v>433</v>
      </c>
      <c r="J10" s="1073"/>
      <c r="K10" s="1073"/>
      <c r="L10" s="1073"/>
      <c r="M10" s="1073"/>
      <c r="N10" s="1073"/>
      <c r="O10" s="1073"/>
      <c r="P10" s="1073"/>
      <c r="Q10" s="1073"/>
      <c r="R10" s="1073"/>
      <c r="S10" s="1073"/>
      <c r="T10" s="1073"/>
      <c r="U10" s="1073"/>
      <c r="V10" s="1073"/>
      <c r="W10" s="1073"/>
      <c r="X10" s="1073"/>
      <c r="Y10" s="1073"/>
      <c r="Z10" s="1073"/>
      <c r="AA10" s="1073"/>
      <c r="AB10" s="1073"/>
      <c r="AC10" s="1073"/>
      <c r="AD10" s="1073"/>
      <c r="AE10" s="1073"/>
      <c r="AF10" s="1073"/>
      <c r="AG10" s="1073"/>
      <c r="AH10" s="1073"/>
      <c r="AI10" s="1073"/>
      <c r="AJ10" s="1073"/>
      <c r="AK10" s="1073"/>
      <c r="AL10" s="1073"/>
      <c r="AM10" s="1073"/>
      <c r="AN10" s="1073"/>
      <c r="AO10" s="1073"/>
      <c r="AP10" s="1073"/>
      <c r="AQ10" s="1073"/>
      <c r="AR10" s="1073"/>
      <c r="AS10" s="1073"/>
      <c r="AT10" s="1073"/>
      <c r="AU10" s="1073"/>
      <c r="AV10" s="1073"/>
      <c r="AW10" s="1073"/>
      <c r="AX10" s="1073"/>
      <c r="AY10" s="1073"/>
      <c r="AZ10" s="1073"/>
      <c r="BA10" s="1073"/>
      <c r="BB10" s="1073"/>
      <c r="BC10" s="1073"/>
      <c r="BD10" s="1073"/>
      <c r="BE10" s="1073"/>
      <c r="BF10" s="1073"/>
      <c r="BG10" s="1073"/>
      <c r="BH10" s="1073"/>
      <c r="BI10" s="1073"/>
      <c r="BJ10" s="1073"/>
      <c r="BK10" s="1073"/>
      <c r="BL10" s="1073"/>
      <c r="BM10" s="1073"/>
      <c r="BN10" s="1073"/>
      <c r="BO10" s="1073"/>
      <c r="BP10" s="1073"/>
      <c r="BQ10" s="1073"/>
      <c r="BR10" s="1073"/>
      <c r="BS10" s="1073"/>
      <c r="BT10" s="1073"/>
      <c r="BU10" s="1073"/>
      <c r="BV10" s="1073"/>
      <c r="BW10" s="1073"/>
      <c r="BX10" s="1073"/>
      <c r="BY10" s="1073"/>
      <c r="BZ10" s="1073"/>
      <c r="CA10" s="1073"/>
      <c r="CB10" s="1073"/>
      <c r="CC10" s="1073"/>
      <c r="CD10" s="1073"/>
      <c r="CE10" s="1073"/>
      <c r="CF10" s="1073"/>
      <c r="CG10" s="1073"/>
      <c r="CH10" s="1073"/>
      <c r="CI10" s="1073"/>
      <c r="CJ10" s="1073"/>
      <c r="CK10" s="1073"/>
      <c r="CL10" s="1073"/>
      <c r="CM10" s="1073"/>
      <c r="CN10" s="1073"/>
      <c r="CO10" s="1073"/>
      <c r="CP10" s="1073"/>
      <c r="CQ10" s="1073"/>
      <c r="CR10" s="1073"/>
      <c r="CS10" s="1073"/>
      <c r="CT10" s="1074"/>
      <c r="CU10" s="1074"/>
      <c r="CV10" s="1074"/>
      <c r="CW10" s="1074"/>
      <c r="CX10" s="1074"/>
      <c r="CY10" s="1074"/>
      <c r="CZ10" s="1074"/>
      <c r="DA10" s="1074"/>
      <c r="DB10" s="1074"/>
      <c r="DC10" s="1074"/>
      <c r="DD10" s="1074"/>
      <c r="DE10" s="1074"/>
      <c r="DF10" s="1074"/>
      <c r="DG10" s="1073"/>
    </row>
    <row r="11" spans="1:111" ht="13.5" customHeight="1">
      <c r="I11" s="1059" t="s">
        <v>18</v>
      </c>
      <c r="CG11" s="1075"/>
      <c r="CH11" s="1075"/>
      <c r="CI11" s="1075"/>
      <c r="CJ11" s="1075"/>
      <c r="CK11" s="1075"/>
      <c r="CL11" s="1075"/>
      <c r="CM11" s="1075"/>
      <c r="CN11" s="1075"/>
      <c r="CO11" s="1075"/>
      <c r="CP11" s="1075"/>
      <c r="CQ11" s="1075"/>
      <c r="CR11" s="1075">
        <f>Model!CR21</f>
        <v>4355.6100000000006</v>
      </c>
      <c r="CS11" s="1075">
        <f>Model!CS21</f>
        <v>5260.956000000001</v>
      </c>
      <c r="CT11" s="1075">
        <f>Model!CT21</f>
        <v>6793.3060000000005</v>
      </c>
      <c r="CU11" s="1075">
        <f>Model!CU21</f>
        <v>8441.9709999999995</v>
      </c>
      <c r="CV11" s="1075">
        <f>Model!CV21</f>
        <v>9223.987000000001</v>
      </c>
      <c r="CW11" s="1075">
        <f>Model!CW21</f>
        <v>10743.005999999999</v>
      </c>
      <c r="CX11" s="1075">
        <f>Model!CX21</f>
        <v>12681.082</v>
      </c>
      <c r="CY11" s="1075">
        <f>+CX11*(1+CY12)</f>
        <v>15525.321917403311</v>
      </c>
      <c r="CZ11" s="1075">
        <f t="shared" ref="CZ11:DF11" si="0">+CY11*(1+CZ12)</f>
        <v>17938.159226612574</v>
      </c>
      <c r="DA11" s="1075">
        <f t="shared" si="0"/>
        <v>20410.787537712691</v>
      </c>
      <c r="DB11" s="1075">
        <f t="shared" si="0"/>
        <v>22880.860190501469</v>
      </c>
      <c r="DC11" s="1075">
        <f t="shared" si="0"/>
        <v>25386.279151865936</v>
      </c>
      <c r="DD11" s="1075">
        <f t="shared" si="0"/>
        <v>27948.46483163381</v>
      </c>
      <c r="DE11" s="1075">
        <f t="shared" si="0"/>
        <v>30550.009943547542</v>
      </c>
      <c r="DF11" s="1075">
        <f t="shared" si="0"/>
        <v>33402.995387962197</v>
      </c>
      <c r="DG11" s="1103">
        <f>+(1+$L$43)*DF11</f>
        <v>34067.714996182644</v>
      </c>
    </row>
    <row r="12" spans="1:111" ht="13.5" customHeight="1">
      <c r="I12" s="1077" t="s">
        <v>376</v>
      </c>
      <c r="CG12" s="1078"/>
      <c r="CH12" s="1078"/>
      <c r="CI12" s="1078"/>
      <c r="CJ12" s="1078"/>
      <c r="CK12" s="1078"/>
      <c r="CL12" s="1078"/>
      <c r="CM12" s="1078"/>
      <c r="CN12" s="1078"/>
      <c r="CO12" s="1078"/>
      <c r="CP12" s="1078"/>
      <c r="CQ12" s="1078"/>
      <c r="CR12" s="1078" t="str">
        <f t="shared" ref="CR12:CX12" si="1">IF(ISERROR(+CR11/CQ11-1), "NA", +CR11/CQ11-1)</f>
        <v>NA</v>
      </c>
      <c r="CS12" s="1078">
        <f t="shared" si="1"/>
        <v>0.20785745280224832</v>
      </c>
      <c r="CT12" s="1078">
        <f t="shared" si="1"/>
        <v>0.29126835502900983</v>
      </c>
      <c r="CU12" s="1078">
        <f t="shared" si="1"/>
        <v>0.2426896418327098</v>
      </c>
      <c r="CV12" s="1078">
        <f t="shared" si="1"/>
        <v>9.263429120995581E-2</v>
      </c>
      <c r="CW12" s="1078">
        <f t="shared" si="1"/>
        <v>0.16468138994558412</v>
      </c>
      <c r="CX12" s="1078">
        <f t="shared" si="1"/>
        <v>0.18040351089816031</v>
      </c>
      <c r="CY12" s="1079">
        <f>+'Base DCF'!CY10+0.02</f>
        <v>0.22429000280916964</v>
      </c>
      <c r="CZ12" s="1079">
        <f>+'Base DCF'!CZ10+0.02</f>
        <v>0.15541302924640552</v>
      </c>
      <c r="DA12" s="1079">
        <f>+'Base DCF'!DA10+0.02</f>
        <v>0.13784180861945924</v>
      </c>
      <c r="DB12" s="1079">
        <f>+'Base DCF'!DB10+0.02</f>
        <v>0.12101799836115411</v>
      </c>
      <c r="DC12" s="1079">
        <f>+'Base DCF'!DC10+0.02</f>
        <v>0.10949846030721087</v>
      </c>
      <c r="DD12" s="1079">
        <f>+'Base DCF'!DD10+0.02</f>
        <v>0.10092797232868798</v>
      </c>
      <c r="DE12" s="1079">
        <f>+'Base DCF'!DE10+0.02</f>
        <v>9.3083649767021978E-2</v>
      </c>
      <c r="DF12" s="1079">
        <f>+'Base DCF'!DF10+0.02</f>
        <v>9.3387381859665539E-2</v>
      </c>
      <c r="DG12" s="1078">
        <f>IF(ISERROR(+DG11/DF11-1),"NA",+DG11/DF11-1)</f>
        <v>1.9900000000000029E-2</v>
      </c>
    </row>
    <row r="13" spans="1:111" ht="13.5" customHeight="1">
      <c r="CS13" s="1080"/>
      <c r="CT13" s="1081"/>
      <c r="CU13" s="1081"/>
    </row>
    <row r="14" spans="1:111" ht="13.5" customHeight="1">
      <c r="I14" s="1059" t="s">
        <v>434</v>
      </c>
      <c r="CG14" s="1075"/>
      <c r="CH14" s="1075"/>
      <c r="CI14" s="1075"/>
      <c r="CJ14" s="1075"/>
      <c r="CK14" s="1075"/>
      <c r="CL14" s="1075"/>
      <c r="CM14" s="1075"/>
      <c r="CN14" s="1075"/>
      <c r="CO14" s="1075"/>
      <c r="CP14" s="1075"/>
      <c r="CQ14" s="1082"/>
      <c r="CR14" s="1082">
        <f>Model!CR95</f>
        <v>1445.2510000000004</v>
      </c>
      <c r="CS14" s="1082">
        <f>Model!CS95</f>
        <v>1885.2130000000011</v>
      </c>
      <c r="CT14" s="1082">
        <f>Model!CT95</f>
        <v>2520.2950000000001</v>
      </c>
      <c r="CU14" s="1082">
        <f>Model!CU95</f>
        <v>3277.956999999999</v>
      </c>
      <c r="CV14" s="1082">
        <f>Model!CV95</f>
        <v>3475.257999999998</v>
      </c>
      <c r="CW14" s="1082">
        <f>Model!CW95</f>
        <v>4139.2349999999997</v>
      </c>
      <c r="CX14" s="1082">
        <f>Model!CX95</f>
        <v>4867.2319999999982</v>
      </c>
      <c r="CY14" s="1075">
        <f t="shared" ref="CY14:DF14" si="2">+CY11*CY27</f>
        <v>6487.8050933687318</v>
      </c>
      <c r="CZ14" s="1075">
        <f t="shared" si="2"/>
        <v>7572.105624295501</v>
      </c>
      <c r="DA14" s="1075">
        <f t="shared" si="2"/>
        <v>8700.6936575209602</v>
      </c>
      <c r="DB14" s="1075">
        <f t="shared" si="2"/>
        <v>9866.1328958509039</v>
      </c>
      <c r="DC14" s="1075">
        <f t="shared" si="2"/>
        <v>11065.262750928547</v>
      </c>
      <c r="DD14" s="1075">
        <f t="shared" si="2"/>
        <v>12286.978226250316</v>
      </c>
      <c r="DE14" s="1075">
        <f t="shared" si="2"/>
        <v>13518.845124366429</v>
      </c>
      <c r="DF14" s="1075">
        <f t="shared" si="2"/>
        <v>14922.883713820536</v>
      </c>
      <c r="DG14" s="1076">
        <f>+DG27*DG11</f>
        <v>15219.849099725565</v>
      </c>
    </row>
    <row r="15" spans="1:111" ht="13.5" customHeight="1">
      <c r="I15" s="1059" t="s">
        <v>435</v>
      </c>
      <c r="CG15" s="1083"/>
      <c r="CH15" s="1083"/>
      <c r="CI15" s="1083"/>
      <c r="CJ15" s="1083"/>
      <c r="CK15" s="1083"/>
      <c r="CL15" s="1083"/>
      <c r="CM15" s="1083"/>
      <c r="CN15" s="1083"/>
      <c r="CO15" s="1083"/>
      <c r="CP15" s="1083"/>
      <c r="CQ15" s="1084"/>
      <c r="CR15" s="1082">
        <f>Model!CR540</f>
        <v>-232.762</v>
      </c>
      <c r="CS15" s="1082">
        <f>Model!CS540</f>
        <v>-300.53899999999999</v>
      </c>
      <c r="CT15" s="1082">
        <f>Model!CT540</f>
        <v>-391.16899999999998</v>
      </c>
      <c r="CU15" s="1082">
        <f>Model!CU540</f>
        <v>-491.53</v>
      </c>
      <c r="CV15" s="1082">
        <f>Model!CV540</f>
        <v>-534.10500000000002</v>
      </c>
      <c r="CW15" s="1082">
        <f>Model!CW540</f>
        <v>-636.54999999999995</v>
      </c>
      <c r="CX15" s="1082">
        <f>Model!CX540</f>
        <v>-2057.5569999999998</v>
      </c>
      <c r="CY15" s="1084">
        <v>0</v>
      </c>
      <c r="CZ15" s="1084">
        <v>0</v>
      </c>
      <c r="DA15" s="1084">
        <v>0</v>
      </c>
      <c r="DB15" s="1084">
        <v>0</v>
      </c>
      <c r="DC15" s="1084">
        <v>0</v>
      </c>
      <c r="DD15" s="1084">
        <v>0</v>
      </c>
      <c r="DE15" s="1084">
        <v>0</v>
      </c>
      <c r="DF15" s="1084">
        <v>0</v>
      </c>
    </row>
    <row r="16" spans="1:111" s="1091" customFormat="1" ht="13.5" customHeight="1">
      <c r="B16"/>
      <c r="C16"/>
      <c r="D16"/>
      <c r="E16"/>
      <c r="F16"/>
      <c r="G16"/>
      <c r="I16" s="1091" t="s">
        <v>437</v>
      </c>
      <c r="CG16" s="1533"/>
      <c r="CH16" s="1533"/>
      <c r="CI16" s="1533"/>
      <c r="CJ16" s="1533"/>
      <c r="CK16" s="1533"/>
      <c r="CL16" s="1533"/>
      <c r="CM16" s="1533"/>
      <c r="CN16" s="1533"/>
      <c r="CO16" s="1533"/>
      <c r="CP16" s="1533"/>
      <c r="CQ16" s="1534"/>
      <c r="CR16" s="1082">
        <f>-Model!CR478</f>
        <v>-65.724000000000004</v>
      </c>
      <c r="CS16" s="1082">
        <f>-Model!CS478</f>
        <v>-71.564999999999998</v>
      </c>
      <c r="CT16" s="1082">
        <f>-Model!CT478</f>
        <v>-140.52600000000001</v>
      </c>
      <c r="CU16" s="1082">
        <f>-Model!CU478</f>
        <v>-186.42500000000001</v>
      </c>
      <c r="CV16" s="1082">
        <f>-Model!CV478</f>
        <v>-247.39499999999998</v>
      </c>
      <c r="CW16" s="1082">
        <f>-Model!CW478</f>
        <v>-249.57400000000001</v>
      </c>
      <c r="CX16" s="1082">
        <f>-Model!CX478</f>
        <v>-260.90999999999997</v>
      </c>
      <c r="CY16" s="1534">
        <v>0</v>
      </c>
      <c r="CZ16" s="1534">
        <v>0</v>
      </c>
      <c r="DA16" s="1534">
        <v>0</v>
      </c>
      <c r="DB16" s="1534">
        <v>0</v>
      </c>
      <c r="DC16" s="1534">
        <v>0</v>
      </c>
      <c r="DD16" s="1534">
        <v>0</v>
      </c>
      <c r="DE16" s="1534">
        <v>0</v>
      </c>
      <c r="DF16" s="1534">
        <v>0</v>
      </c>
    </row>
    <row r="17" spans="2:112" s="1091" customFormat="1" ht="13.5" customHeight="1">
      <c r="B17"/>
      <c r="C17"/>
      <c r="D17"/>
      <c r="E17"/>
      <c r="F17"/>
      <c r="G17"/>
      <c r="I17" s="1091" t="s">
        <v>415</v>
      </c>
      <c r="CG17" s="1533"/>
      <c r="CH17" s="1533"/>
      <c r="CI17" s="1533"/>
      <c r="CJ17" s="1533"/>
      <c r="CK17" s="1533"/>
      <c r="CL17" s="1533"/>
      <c r="CM17" s="1533"/>
      <c r="CN17" s="1533"/>
      <c r="CO17" s="1533"/>
      <c r="CP17" s="1533"/>
      <c r="CQ17" s="1534"/>
      <c r="CR17" s="1082">
        <f>-Model!CR521</f>
        <v>-46.832999999999998</v>
      </c>
      <c r="CS17" s="1082">
        <f>-Model!CS521</f>
        <v>-55.158000000000001</v>
      </c>
      <c r="CT17" s="1082">
        <f>-Model!CT521</f>
        <v>-84.444999999999993</v>
      </c>
      <c r="CU17" s="1082">
        <f>-Model!CU521</f>
        <v>-131.50399999999999</v>
      </c>
      <c r="CV17" s="1082">
        <f>-Model!CV521</f>
        <v>-173.91499999999999</v>
      </c>
      <c r="CW17" s="1082">
        <f>-Model!CW521</f>
        <v>-219.88900000000001</v>
      </c>
      <c r="CX17" s="1082">
        <f>-Model!CX521</f>
        <v>-287.80500000000001</v>
      </c>
      <c r="CY17" s="1534">
        <v>0</v>
      </c>
      <c r="CZ17" s="1534">
        <v>0</v>
      </c>
      <c r="DA17" s="1534">
        <v>0</v>
      </c>
      <c r="DB17" s="1534">
        <v>0</v>
      </c>
      <c r="DC17" s="1534">
        <v>0</v>
      </c>
      <c r="DD17" s="1534">
        <v>0</v>
      </c>
      <c r="DE17" s="1534">
        <v>0</v>
      </c>
      <c r="DF17" s="1534">
        <v>0</v>
      </c>
    </row>
    <row r="18" spans="2:112" ht="13.5" customHeight="1">
      <c r="I18" s="1536" t="s">
        <v>436</v>
      </c>
      <c r="J18" s="1536"/>
      <c r="K18" s="1536"/>
      <c r="L18" s="1536"/>
      <c r="M18" s="1536"/>
      <c r="N18" s="1536"/>
      <c r="O18" s="1536"/>
      <c r="P18" s="1536"/>
      <c r="Q18" s="1536"/>
      <c r="R18" s="1536"/>
      <c r="S18" s="1536"/>
      <c r="T18" s="1536"/>
      <c r="U18" s="1536"/>
      <c r="V18" s="1536"/>
      <c r="W18" s="1536"/>
      <c r="X18" s="1536"/>
      <c r="Y18" s="1536"/>
      <c r="Z18" s="1536"/>
      <c r="AA18" s="1536"/>
      <c r="AB18" s="1536"/>
      <c r="AC18" s="1536"/>
      <c r="AD18" s="1536"/>
      <c r="AE18" s="1536"/>
      <c r="AF18" s="1536"/>
      <c r="AG18" s="1536"/>
      <c r="AH18" s="1536"/>
      <c r="AI18" s="1536"/>
      <c r="AJ18" s="1536"/>
      <c r="AK18" s="1536"/>
      <c r="AL18" s="1536"/>
      <c r="AM18" s="1536"/>
      <c r="AN18" s="1536"/>
      <c r="AO18" s="1536"/>
      <c r="AP18" s="1536"/>
      <c r="AQ18" s="1536"/>
      <c r="AR18" s="1536"/>
      <c r="AS18" s="1536"/>
      <c r="AT18" s="1536"/>
      <c r="AU18" s="1536"/>
      <c r="AV18" s="1536"/>
      <c r="AW18" s="1536"/>
      <c r="AX18" s="1536"/>
      <c r="AY18" s="1536"/>
      <c r="AZ18" s="1536"/>
      <c r="BA18" s="1536"/>
      <c r="BB18" s="1536"/>
      <c r="BC18" s="1536"/>
      <c r="BD18" s="1536"/>
      <c r="BE18" s="1536"/>
      <c r="BF18" s="1536"/>
      <c r="BG18" s="1536"/>
      <c r="BH18" s="1536"/>
      <c r="BI18" s="1536"/>
      <c r="BJ18" s="1536"/>
      <c r="BK18" s="1536"/>
      <c r="BL18" s="1536"/>
      <c r="BM18" s="1536"/>
      <c r="BN18" s="1536"/>
      <c r="BO18" s="1536"/>
      <c r="BP18" s="1536"/>
      <c r="BQ18" s="1536"/>
      <c r="BR18" s="1536"/>
      <c r="BS18" s="1536"/>
      <c r="BT18" s="1536"/>
      <c r="BU18" s="1536"/>
      <c r="BV18" s="1536"/>
      <c r="BW18" s="1536"/>
      <c r="BX18" s="1536"/>
      <c r="BY18" s="1536"/>
      <c r="BZ18" s="1536"/>
      <c r="CA18" s="1536"/>
      <c r="CB18" s="1536"/>
      <c r="CC18" s="1536"/>
      <c r="CD18" s="1536"/>
      <c r="CE18" s="1536"/>
      <c r="CF18" s="1536"/>
      <c r="CG18" s="1537"/>
      <c r="CH18" s="1537"/>
      <c r="CI18" s="1537"/>
      <c r="CJ18" s="1537"/>
      <c r="CK18" s="1537"/>
      <c r="CL18" s="1537"/>
      <c r="CM18" s="1537"/>
      <c r="CN18" s="1537"/>
      <c r="CO18" s="1537"/>
      <c r="CP18" s="1537"/>
      <c r="CQ18" s="1538"/>
      <c r="CR18" s="1772">
        <f>Model!CR664</f>
        <v>84.778999999999982</v>
      </c>
      <c r="CS18" s="1772">
        <f>Model!CS664</f>
        <v>143.81500000000003</v>
      </c>
      <c r="CT18" s="1772">
        <f>Model!CT664</f>
        <v>52.941000000000003</v>
      </c>
      <c r="CU18" s="1772">
        <f>Model!CU664</f>
        <v>-25.395000000000014</v>
      </c>
      <c r="CV18" s="1772">
        <f>Model!CV664</f>
        <v>-8.0130000000000123</v>
      </c>
      <c r="CW18" s="1772">
        <f>Model!CW664</f>
        <v>215.87299999999999</v>
      </c>
      <c r="CX18" s="1772">
        <f>Model!CX664</f>
        <v>1578.367</v>
      </c>
      <c r="CY18" s="1538">
        <v>0</v>
      </c>
      <c r="CZ18" s="1538">
        <v>0</v>
      </c>
      <c r="DA18" s="1084">
        <v>0</v>
      </c>
      <c r="DB18" s="1084">
        <v>0</v>
      </c>
      <c r="DC18" s="1084">
        <v>0</v>
      </c>
      <c r="DD18" s="1084">
        <v>0</v>
      </c>
      <c r="DE18" s="1084">
        <v>0</v>
      </c>
      <c r="DF18" s="1084">
        <v>0</v>
      </c>
    </row>
    <row r="19" spans="2:112" ht="13.5" customHeight="1">
      <c r="I19" s="1085" t="s">
        <v>438</v>
      </c>
      <c r="J19" s="1085"/>
      <c r="K19" s="1085"/>
      <c r="L19" s="1085"/>
      <c r="M19" s="1085"/>
      <c r="N19" s="1085"/>
      <c r="O19" s="1085"/>
      <c r="P19" s="1085"/>
      <c r="Q19" s="1085"/>
      <c r="R19" s="1085"/>
      <c r="S19" s="1085"/>
      <c r="T19" s="1085"/>
      <c r="U19" s="1085"/>
      <c r="V19" s="1085"/>
      <c r="W19" s="1085"/>
      <c r="X19" s="1085"/>
      <c r="Y19" s="1085"/>
      <c r="Z19" s="1085"/>
      <c r="AA19" s="1085"/>
      <c r="AB19" s="1085"/>
      <c r="AC19" s="1085"/>
      <c r="AD19" s="1085"/>
      <c r="AE19" s="1085"/>
      <c r="AF19" s="1085"/>
      <c r="AG19" s="1085"/>
      <c r="AH19" s="1085"/>
      <c r="AI19" s="1085"/>
      <c r="AJ19" s="1085"/>
      <c r="AK19" s="1085"/>
      <c r="AL19" s="1085"/>
      <c r="AM19" s="1085"/>
      <c r="AN19" s="1085"/>
      <c r="AO19" s="1085"/>
      <c r="AP19" s="1085"/>
      <c r="AQ19" s="1085"/>
      <c r="AR19" s="1085"/>
      <c r="AS19" s="1085"/>
      <c r="AT19" s="1085"/>
      <c r="AU19" s="1085"/>
      <c r="AV19" s="1085"/>
      <c r="AW19" s="1085"/>
      <c r="AX19" s="1085"/>
      <c r="AY19" s="1085"/>
      <c r="AZ19" s="1085"/>
      <c r="BA19" s="1085"/>
      <c r="BB19" s="1085"/>
      <c r="BC19" s="1085"/>
      <c r="BD19" s="1085"/>
      <c r="BE19" s="1085"/>
      <c r="BF19" s="1085"/>
      <c r="BG19" s="1085"/>
      <c r="BH19" s="1085"/>
      <c r="BI19" s="1085"/>
      <c r="BJ19" s="1085"/>
      <c r="BK19" s="1085"/>
      <c r="BL19" s="1085"/>
      <c r="BM19" s="1085"/>
      <c r="BN19" s="1085"/>
      <c r="BO19" s="1085"/>
      <c r="BP19" s="1085"/>
      <c r="BQ19" s="1085"/>
      <c r="BR19" s="1085"/>
      <c r="BS19" s="1085"/>
      <c r="BT19" s="1085"/>
      <c r="BU19" s="1085"/>
      <c r="BV19" s="1085"/>
      <c r="BW19" s="1085"/>
      <c r="BX19" s="1085"/>
      <c r="BY19" s="1085"/>
      <c r="BZ19" s="1085"/>
      <c r="CA19" s="1085"/>
      <c r="CB19" s="1085"/>
      <c r="CC19" s="1085"/>
      <c r="CD19" s="1085"/>
      <c r="CE19" s="1085"/>
      <c r="CF19" s="1085"/>
      <c r="CG19" s="1535"/>
      <c r="CH19" s="1535"/>
      <c r="CI19" s="1535"/>
      <c r="CJ19" s="1535"/>
      <c r="CK19" s="1535"/>
      <c r="CL19" s="1535"/>
      <c r="CM19" s="1535"/>
      <c r="CN19" s="1535"/>
      <c r="CO19" s="1535"/>
      <c r="CP19" s="1535"/>
      <c r="CQ19" s="1535"/>
      <c r="CR19" s="1535">
        <f t="shared" ref="CR19:CW19" si="3">IF(ISERROR(+SUM(CR14:CR18)), "NA", +SUM(CR14:CR18))</f>
        <v>1184.7110000000005</v>
      </c>
      <c r="CS19" s="1535">
        <f t="shared" si="3"/>
        <v>1601.7660000000012</v>
      </c>
      <c r="CT19" s="1535">
        <f t="shared" si="3"/>
        <v>1957.0960000000002</v>
      </c>
      <c r="CU19" s="1535">
        <f t="shared" si="3"/>
        <v>2443.1029999999987</v>
      </c>
      <c r="CV19" s="1535">
        <f t="shared" si="3"/>
        <v>2511.8299999999981</v>
      </c>
      <c r="CW19" s="1535">
        <f t="shared" si="3"/>
        <v>3249.0949999999993</v>
      </c>
      <c r="CX19" s="1535">
        <f t="shared" ref="CX19" si="4">IF(ISERROR(+SUM(CX14:CX18)), "NA", +SUM(CX14:CX18))</f>
        <v>3839.3269999999984</v>
      </c>
      <c r="CY19" s="1086">
        <f t="shared" ref="CY19:DG19" si="5">+CY28*CY14</f>
        <v>4031.3522984355413</v>
      </c>
      <c r="CZ19" s="1086">
        <f t="shared" si="5"/>
        <v>4594.5647364538181</v>
      </c>
      <c r="DA19" s="1086">
        <f t="shared" si="5"/>
        <v>5250.8448938768997</v>
      </c>
      <c r="DB19" s="1086">
        <f t="shared" si="5"/>
        <v>5922.1951161709885</v>
      </c>
      <c r="DC19" s="1086">
        <f t="shared" si="5"/>
        <v>6619.0220702272145</v>
      </c>
      <c r="DD19" s="1086">
        <f t="shared" si="5"/>
        <v>7329.919580310283</v>
      </c>
      <c r="DE19" s="1086">
        <f t="shared" si="5"/>
        <v>8064.6662369770138</v>
      </c>
      <c r="DF19" s="1086">
        <f t="shared" si="5"/>
        <v>8892.7769949173726</v>
      </c>
      <c r="DG19" s="1464">
        <f t="shared" si="5"/>
        <v>9069.7432571162281</v>
      </c>
    </row>
    <row r="20" spans="2:112" ht="13.5" customHeight="1">
      <c r="I20" s="1077" t="s">
        <v>125</v>
      </c>
      <c r="CG20" s="1078"/>
      <c r="CH20" s="1078"/>
      <c r="CI20" s="1078"/>
      <c r="CJ20" s="1078"/>
      <c r="CK20" s="1078"/>
      <c r="CL20" s="1078"/>
      <c r="CM20" s="1078"/>
      <c r="CN20" s="1078"/>
      <c r="CO20" s="1078"/>
      <c r="CP20" s="1078"/>
      <c r="CQ20" s="1078"/>
      <c r="CR20" s="1078">
        <f t="shared" ref="CR20:DG20" si="6">IF(ISERROR(+CR19/CR11), "NA", +CR19/CR11)</f>
        <v>0.27199657453261433</v>
      </c>
      <c r="CS20" s="1078">
        <f t="shared" si="6"/>
        <v>0.30446291510516355</v>
      </c>
      <c r="CT20" s="1078">
        <f t="shared" si="6"/>
        <v>0.28809183628707435</v>
      </c>
      <c r="CU20" s="1078">
        <f t="shared" si="6"/>
        <v>0.28939959637387985</v>
      </c>
      <c r="CV20" s="1078">
        <f t="shared" si="6"/>
        <v>0.27231499784203922</v>
      </c>
      <c r="CW20" s="1078">
        <f t="shared" si="6"/>
        <v>0.30243816302438997</v>
      </c>
      <c r="CX20" s="1078">
        <f t="shared" ref="CX20" si="7">IF(ISERROR(+CX19/CX11), "NA", +CX19/CX11)</f>
        <v>0.30276020610859533</v>
      </c>
      <c r="CY20" s="1078">
        <f t="shared" si="6"/>
        <v>0.25966304079766261</v>
      </c>
      <c r="CZ20" s="1078">
        <f t="shared" si="6"/>
        <v>0.25613356857917979</v>
      </c>
      <c r="DA20" s="1078">
        <f t="shared" si="6"/>
        <v>0.25725831912046493</v>
      </c>
      <c r="DB20" s="1078">
        <f t="shared" si="6"/>
        <v>0.2588274683234798</v>
      </c>
      <c r="DC20" s="1078">
        <f t="shared" si="6"/>
        <v>0.260732265277273</v>
      </c>
      <c r="DD20" s="1078">
        <f t="shared" si="6"/>
        <v>0.26226555284760489</v>
      </c>
      <c r="DE20" s="1078">
        <f t="shared" si="6"/>
        <v>0.26398244229312762</v>
      </c>
      <c r="DF20" s="1078">
        <f t="shared" si="6"/>
        <v>0.26622693239427742</v>
      </c>
      <c r="DG20" s="1078">
        <f t="shared" si="6"/>
        <v>0.26622693239427742</v>
      </c>
    </row>
    <row r="21" spans="2:112" ht="13.5" customHeight="1">
      <c r="I21" s="1087"/>
      <c r="J21" s="1088"/>
      <c r="K21" s="1088"/>
      <c r="L21" s="1088"/>
      <c r="M21" s="1088"/>
      <c r="N21" s="1088"/>
      <c r="O21" s="1088"/>
      <c r="P21" s="1088"/>
      <c r="Q21" s="1088"/>
      <c r="R21" s="1088"/>
      <c r="S21" s="1088"/>
      <c r="T21" s="1088"/>
      <c r="U21" s="1088"/>
      <c r="V21" s="1088"/>
      <c r="W21" s="1088"/>
      <c r="X21" s="1088"/>
      <c r="Y21" s="1088"/>
      <c r="Z21" s="1088"/>
      <c r="AA21" s="1088"/>
      <c r="AB21" s="1088"/>
      <c r="AC21" s="1088"/>
      <c r="AD21" s="1088"/>
      <c r="AE21" s="1088"/>
      <c r="AF21" s="1088"/>
      <c r="AG21" s="1088"/>
      <c r="AH21" s="1088"/>
      <c r="AI21" s="1088"/>
      <c r="AJ21" s="1088"/>
      <c r="AK21" s="1088"/>
      <c r="AL21" s="1088"/>
      <c r="AM21" s="1088"/>
      <c r="AN21" s="1088"/>
      <c r="AO21" s="1088"/>
      <c r="AP21" s="1088"/>
      <c r="AQ21" s="1088"/>
      <c r="AR21" s="1088"/>
      <c r="AS21" s="1088"/>
      <c r="AT21" s="1088"/>
      <c r="AU21" s="1088"/>
      <c r="AV21" s="1088"/>
      <c r="AW21" s="1088"/>
      <c r="AX21" s="1088"/>
      <c r="AY21" s="1088"/>
      <c r="AZ21" s="1088"/>
      <c r="BA21" s="1088"/>
      <c r="BB21" s="1088"/>
      <c r="BC21" s="1088"/>
      <c r="BD21" s="1088"/>
      <c r="BE21" s="1088"/>
      <c r="BF21" s="1088"/>
      <c r="BG21" s="1088"/>
      <c r="BH21" s="1088"/>
      <c r="BI21" s="1088"/>
      <c r="BJ21" s="1088"/>
      <c r="BK21" s="1088"/>
      <c r="BL21" s="1088"/>
      <c r="BM21" s="1088"/>
      <c r="BN21" s="1088"/>
      <c r="BO21" s="1088"/>
      <c r="BP21" s="1088"/>
      <c r="BQ21" s="1088"/>
      <c r="BR21" s="1088"/>
      <c r="BS21" s="1088"/>
      <c r="BT21" s="1088"/>
      <c r="BU21" s="1088"/>
      <c r="BV21" s="1088"/>
      <c r="BW21" s="1088"/>
      <c r="BX21" s="1088"/>
      <c r="BY21" s="1088"/>
      <c r="BZ21" s="1088"/>
      <c r="CA21" s="1088"/>
      <c r="CB21" s="1088"/>
      <c r="CC21" s="1088"/>
      <c r="CD21" s="1088"/>
      <c r="CE21" s="1088"/>
      <c r="CF21" s="1088"/>
      <c r="CG21" s="1089"/>
      <c r="CH21" s="1089"/>
      <c r="CI21" s="1089"/>
      <c r="CJ21" s="1089"/>
      <c r="CK21" s="1089"/>
      <c r="CL21" s="1089"/>
      <c r="CM21" s="1089"/>
      <c r="CN21" s="1089"/>
      <c r="CO21" s="1089"/>
      <c r="CP21" s="1089"/>
      <c r="CQ21" s="1090"/>
      <c r="CR21" s="1090"/>
      <c r="CS21" s="1090"/>
      <c r="CT21" s="1090"/>
      <c r="CU21" s="1090"/>
      <c r="CV21" s="1090"/>
      <c r="CW21" s="1090"/>
      <c r="CX21" s="1090"/>
      <c r="CY21" s="1090"/>
      <c r="CZ21" s="1090"/>
      <c r="DA21" s="1090"/>
      <c r="DB21" s="1090"/>
      <c r="DC21" s="1090"/>
      <c r="DD21" s="1090"/>
      <c r="DE21" s="1090"/>
      <c r="DF21" s="1090"/>
      <c r="DG21" s="1090"/>
      <c r="DH21" s="1090"/>
    </row>
    <row r="22" spans="2:112" ht="13.5" hidden="1" customHeight="1" outlineLevel="1" thickBot="1">
      <c r="I22" s="1073" t="s">
        <v>439</v>
      </c>
      <c r="J22" s="1073"/>
      <c r="K22" s="1073"/>
      <c r="L22" s="1073"/>
      <c r="M22" s="1073"/>
      <c r="N22" s="1073"/>
      <c r="O22" s="1073"/>
      <c r="P22" s="1073"/>
      <c r="Q22" s="1073"/>
      <c r="R22" s="1073"/>
      <c r="S22" s="1073"/>
      <c r="T22" s="1073"/>
      <c r="U22" s="1073"/>
      <c r="V22" s="1073"/>
      <c r="W22" s="1073"/>
      <c r="X22" s="1073"/>
      <c r="Y22" s="1073"/>
      <c r="Z22" s="1073"/>
      <c r="AA22" s="1073"/>
      <c r="AB22" s="1073"/>
      <c r="AC22" s="1073"/>
      <c r="AD22" s="1073"/>
      <c r="AE22" s="1073"/>
      <c r="AF22" s="1073"/>
      <c r="AG22" s="1073"/>
      <c r="AH22" s="1073"/>
      <c r="AI22" s="1073"/>
      <c r="AJ22" s="1073"/>
      <c r="AK22" s="1073"/>
      <c r="AL22" s="1073"/>
      <c r="AM22" s="1073"/>
      <c r="AN22" s="1073"/>
      <c r="AO22" s="1073"/>
      <c r="AP22" s="1073"/>
      <c r="AQ22" s="1073"/>
      <c r="AR22" s="1073"/>
      <c r="AS22" s="1073"/>
      <c r="AT22" s="1073"/>
      <c r="AU22" s="1073"/>
      <c r="AV22" s="1073"/>
      <c r="AW22" s="1073"/>
      <c r="AX22" s="1073"/>
      <c r="AY22" s="1073"/>
      <c r="AZ22" s="1073"/>
      <c r="BA22" s="1073"/>
      <c r="BB22" s="1073"/>
      <c r="BC22" s="1073"/>
      <c r="BD22" s="1073"/>
      <c r="BE22" s="1073"/>
      <c r="BF22" s="1073"/>
      <c r="BG22" s="1073"/>
      <c r="BH22" s="1073"/>
      <c r="BI22" s="1073"/>
      <c r="BJ22" s="1073"/>
      <c r="BK22" s="1073"/>
      <c r="BL22" s="1073"/>
      <c r="BM22" s="1073"/>
      <c r="BN22" s="1073"/>
      <c r="BO22" s="1073"/>
      <c r="BP22" s="1073"/>
      <c r="BQ22" s="1073"/>
      <c r="BR22" s="1073"/>
      <c r="BS22" s="1073"/>
      <c r="BT22" s="1073"/>
      <c r="BU22" s="1073"/>
      <c r="BV22" s="1073"/>
      <c r="BW22" s="1073"/>
      <c r="BX22" s="1073"/>
      <c r="BY22" s="1073"/>
      <c r="BZ22" s="1073"/>
      <c r="CA22" s="1073"/>
      <c r="CB22" s="1073"/>
      <c r="CC22" s="1073"/>
      <c r="CD22" s="1073"/>
      <c r="CE22" s="1073"/>
      <c r="CF22" s="1073"/>
      <c r="CG22" s="1066"/>
      <c r="CH22" s="1066"/>
      <c r="CI22" s="1066"/>
      <c r="CJ22" s="1066"/>
      <c r="CK22" s="1066"/>
      <c r="CL22" s="1066"/>
      <c r="CM22" s="1066"/>
      <c r="CN22" s="1066"/>
      <c r="CO22" s="1066"/>
      <c r="CP22" s="1066"/>
      <c r="CQ22" s="1066"/>
      <c r="CR22" s="1091"/>
      <c r="CS22" s="1092"/>
      <c r="CT22" s="1092"/>
      <c r="CU22" s="1092"/>
      <c r="CV22" s="1071"/>
      <c r="CW22" s="1071"/>
      <c r="CX22" s="1071">
        <f t="shared" ref="CX22:DF22" si="8">+CX8</f>
        <v>43100</v>
      </c>
      <c r="CY22" s="1071">
        <f t="shared" si="8"/>
        <v>43465</v>
      </c>
      <c r="CZ22" s="1071">
        <f t="shared" si="8"/>
        <v>43830</v>
      </c>
      <c r="DA22" s="1071">
        <f t="shared" si="8"/>
        <v>44196</v>
      </c>
      <c r="DB22" s="1071">
        <f t="shared" si="8"/>
        <v>44561</v>
      </c>
      <c r="DC22" s="1071">
        <f t="shared" si="8"/>
        <v>44926</v>
      </c>
      <c r="DD22" s="1071">
        <f t="shared" si="8"/>
        <v>45291</v>
      </c>
      <c r="DE22" s="1071">
        <f t="shared" si="8"/>
        <v>45657</v>
      </c>
      <c r="DF22" s="1071">
        <f t="shared" si="8"/>
        <v>46022</v>
      </c>
      <c r="DG22" s="1092"/>
      <c r="DH22" s="1092"/>
    </row>
    <row r="23" spans="2:112" ht="13.5" hidden="1" customHeight="1" outlineLevel="1">
      <c r="I23" s="1093" t="s">
        <v>440</v>
      </c>
      <c r="CG23" s="1091"/>
      <c r="CH23" s="1091"/>
      <c r="CI23" s="1091"/>
      <c r="CJ23" s="1091"/>
      <c r="CK23" s="1091"/>
      <c r="CL23" s="1091"/>
      <c r="CM23" s="1091"/>
      <c r="CN23" s="1091"/>
      <c r="CO23" s="1091"/>
      <c r="CP23" s="1091"/>
      <c r="CQ23" s="1091"/>
      <c r="CR23" s="1091"/>
      <c r="CS23" s="1094"/>
      <c r="CT23" s="1095"/>
      <c r="CU23" s="1095"/>
      <c r="CV23" s="1096"/>
      <c r="CW23" s="1096"/>
      <c r="CX23" s="1822"/>
      <c r="CY23" s="1822">
        <v>0</v>
      </c>
      <c r="CZ23" s="1096">
        <f t="shared" ref="CZ23:DF23" si="9">+CY23+1</f>
        <v>1</v>
      </c>
      <c r="DA23" s="1096">
        <f t="shared" si="9"/>
        <v>2</v>
      </c>
      <c r="DB23" s="1096">
        <f t="shared" si="9"/>
        <v>3</v>
      </c>
      <c r="DC23" s="1096">
        <f t="shared" si="9"/>
        <v>4</v>
      </c>
      <c r="DD23" s="1096">
        <f t="shared" si="9"/>
        <v>5</v>
      </c>
      <c r="DE23" s="1096">
        <f t="shared" si="9"/>
        <v>6</v>
      </c>
      <c r="DF23" s="1096">
        <f t="shared" si="9"/>
        <v>7</v>
      </c>
      <c r="DG23" s="1095"/>
      <c r="DH23" s="1095"/>
    </row>
    <row r="24" spans="2:112" ht="13.5" hidden="1" customHeight="1" outlineLevel="1">
      <c r="I24" s="1093" t="s">
        <v>441</v>
      </c>
      <c r="CG24" s="1091"/>
      <c r="CH24" s="1091"/>
      <c r="CI24" s="1091"/>
      <c r="CJ24" s="1091"/>
      <c r="CK24" s="1091"/>
      <c r="CL24" s="1091"/>
      <c r="CM24" s="1091"/>
      <c r="CN24" s="1091"/>
      <c r="CO24" s="1091"/>
      <c r="CP24" s="1091"/>
      <c r="CQ24" s="1091"/>
      <c r="CR24" s="1091"/>
      <c r="CS24" s="1097"/>
      <c r="CT24" s="1097"/>
      <c r="CU24" s="1097"/>
      <c r="CV24" s="1098"/>
      <c r="CW24" s="1098"/>
      <c r="CX24" s="1098"/>
      <c r="CY24" s="1098"/>
      <c r="CZ24" s="1098">
        <f>+CZ19/((1+$L$42)^CZ23)</f>
        <v>4280.4449818287585</v>
      </c>
      <c r="DA24" s="1098">
        <f t="shared" ref="DA24:DF24" si="10">+DA19/((1+$L$42)^DA23)</f>
        <v>4557.411860478368</v>
      </c>
      <c r="DB24" s="1098">
        <f t="shared" si="10"/>
        <v>4788.6858214096656</v>
      </c>
      <c r="DC24" s="1098">
        <f t="shared" si="10"/>
        <v>4986.2265422458277</v>
      </c>
      <c r="DD24" s="1098">
        <f t="shared" si="10"/>
        <v>5144.2483988774993</v>
      </c>
      <c r="DE24" s="1098">
        <f t="shared" si="10"/>
        <v>5272.9501302525523</v>
      </c>
      <c r="DF24" s="1098">
        <f t="shared" si="10"/>
        <v>5416.8799571413538</v>
      </c>
      <c r="DG24" s="1097"/>
      <c r="DH24" s="1097"/>
    </row>
    <row r="25" spans="2:112" s="1091" customFormat="1" ht="13.5" hidden="1" customHeight="1" outlineLevel="1">
      <c r="B25"/>
      <c r="C25"/>
      <c r="D25"/>
      <c r="E25"/>
      <c r="F25"/>
      <c r="G25"/>
      <c r="CS25" s="1095"/>
      <c r="CT25" s="1095"/>
      <c r="CU25" s="1095"/>
      <c r="CV25" s="1095"/>
      <c r="CW25" s="1095"/>
      <c r="CX25" s="1095"/>
      <c r="CY25" s="1095"/>
      <c r="CZ25" s="1095"/>
      <c r="DA25" s="1095"/>
      <c r="DB25" s="1095"/>
      <c r="DC25" s="1095"/>
      <c r="DD25" s="1095"/>
      <c r="DE25" s="1095"/>
      <c r="DF25" s="1095"/>
      <c r="DG25" s="1095"/>
      <c r="DH25" s="1095"/>
    </row>
    <row r="26" spans="2:112" ht="13.5" hidden="1" customHeight="1" outlineLevel="1">
      <c r="CU26" s="1465"/>
      <c r="CV26" s="1465"/>
      <c r="CW26" s="1465"/>
      <c r="CX26" s="1465"/>
      <c r="CY26" s="1465"/>
      <c r="CZ26" s="1465"/>
      <c r="DA26" s="1465"/>
      <c r="DB26" s="1465"/>
      <c r="DC26" s="1465"/>
      <c r="DD26" s="1465"/>
      <c r="DE26" s="1465"/>
      <c r="DF26" s="1465"/>
    </row>
    <row r="27" spans="2:112" ht="13.5" customHeight="1" collapsed="1">
      <c r="I27" s="1059" t="s">
        <v>442</v>
      </c>
      <c r="CG27" s="1078"/>
      <c r="CH27" s="1078"/>
      <c r="CI27" s="1078"/>
      <c r="CJ27" s="1078"/>
      <c r="CK27" s="1078"/>
      <c r="CL27" s="1078"/>
      <c r="CM27" s="1078"/>
      <c r="CN27" s="1078"/>
      <c r="CO27" s="1078"/>
      <c r="CP27" s="1078"/>
      <c r="CQ27" s="1078"/>
      <c r="CR27" s="1078">
        <f t="shared" ref="CR27:CW27" si="11">IF(ISERROR(+CR14/CR11), "NA", +CR14/CR11)</f>
        <v>0.3318136839616036</v>
      </c>
      <c r="CS27" s="1078">
        <f t="shared" si="11"/>
        <v>0.35834038528358736</v>
      </c>
      <c r="CT27" s="1078">
        <f t="shared" si="11"/>
        <v>0.3709968312924517</v>
      </c>
      <c r="CU27" s="1078">
        <f t="shared" si="11"/>
        <v>0.38829285246300882</v>
      </c>
      <c r="CV27" s="1078">
        <f t="shared" si="11"/>
        <v>0.37676310688642534</v>
      </c>
      <c r="CW27" s="1078">
        <f t="shared" si="11"/>
        <v>0.38529579151310162</v>
      </c>
      <c r="CX27" s="1078">
        <f t="shared" ref="CX27" si="12">IF(ISERROR(+CX14/CX11), "NA", +CX14/CX11)</f>
        <v>0.38381835240872963</v>
      </c>
      <c r="CY27" s="1079">
        <f>+'Base DCF'!CY20+0.03</f>
        <v>0.41788538285290833</v>
      </c>
      <c r="CZ27" s="1079">
        <f>+'Base DCF'!CZ20+0.03</f>
        <v>0.42212277907878792</v>
      </c>
      <c r="DA27" s="1079">
        <f>+'Base DCF'!DA20+0.03</f>
        <v>0.42627917425747663</v>
      </c>
      <c r="DB27" s="1079">
        <f>+'Base DCF'!DB20+0.03</f>
        <v>0.43119589096334021</v>
      </c>
      <c r="DC27" s="1079">
        <f>+'Base DCF'!DC20+0.03</f>
        <v>0.43587572187061652</v>
      </c>
      <c r="DD27" s="1079">
        <f>+'Base DCF'!DD20+0.03</f>
        <v>0.4396298079436245</v>
      </c>
      <c r="DE27" s="1079">
        <f>+'Base DCF'!DE20+0.03</f>
        <v>0.44251524465450265</v>
      </c>
      <c r="DF27" s="1079">
        <f>+'Base DCF'!DF20+0.03</f>
        <v>0.4467528597509689</v>
      </c>
      <c r="DG27" s="1463">
        <f>+DF27</f>
        <v>0.4467528597509689</v>
      </c>
    </row>
    <row r="28" spans="2:112" ht="13.5" customHeight="1">
      <c r="I28" s="1059" t="s">
        <v>443</v>
      </c>
      <c r="CG28" s="1078"/>
      <c r="CH28" s="1078"/>
      <c r="CI28" s="1078"/>
      <c r="CJ28" s="1078"/>
      <c r="CK28" s="1078"/>
      <c r="CL28" s="1078"/>
      <c r="CM28" s="1078"/>
      <c r="CN28" s="1078"/>
      <c r="CO28" s="1078"/>
      <c r="CP28" s="1078"/>
      <c r="CQ28" s="1078"/>
      <c r="CR28" s="1078">
        <f t="shared" ref="CR28:CW28" si="13">IF(ISERROR(+CR19/CR14), "NA", +CR19/CR14)</f>
        <v>0.81972681561887872</v>
      </c>
      <c r="CS28" s="1078">
        <f t="shared" si="13"/>
        <v>0.84964722819119132</v>
      </c>
      <c r="CT28" s="1078">
        <f t="shared" si="13"/>
        <v>0.77653449298594024</v>
      </c>
      <c r="CU28" s="1078">
        <f t="shared" si="13"/>
        <v>0.74531270544427508</v>
      </c>
      <c r="CV28" s="1078">
        <f t="shared" si="13"/>
        <v>0.72277511482600698</v>
      </c>
      <c r="CW28" s="1078">
        <f t="shared" si="13"/>
        <v>0.78495060077526391</v>
      </c>
      <c r="CX28" s="1078">
        <f t="shared" ref="CX28" si="14">IF(ISERROR(+CX19/CX14), "NA", +CX19/CX14)</f>
        <v>0.78881117645511856</v>
      </c>
      <c r="CY28" s="1079">
        <f>+'Base DCF'!CY21+0.028</f>
        <v>0.62137382988832968</v>
      </c>
      <c r="CZ28" s="1079">
        <f>+'Base DCF'!CZ21+0.028</f>
        <v>0.60677504572993735</v>
      </c>
      <c r="DA28" s="1079">
        <f>+'Base DCF'!DA21+0.028</f>
        <v>0.60349727281088916</v>
      </c>
      <c r="DB28" s="1079">
        <f>+'Base DCF'!DB21+0.028</f>
        <v>0.60025495081882629</v>
      </c>
      <c r="DC28" s="1079">
        <f>+'Base DCF'!DC21+0.028</f>
        <v>0.59818028900143161</v>
      </c>
      <c r="DD28" s="1079">
        <f>+'Base DCF'!DD21+0.028</f>
        <v>0.59655998776415142</v>
      </c>
      <c r="DE28" s="1079">
        <f>+'Base DCF'!DE21+0.03</f>
        <v>0.59654993919866883</v>
      </c>
      <c r="DF28" s="1079">
        <f>+'Base DCF'!DF21+0.03</f>
        <v>0.59591545209733832</v>
      </c>
      <c r="DG28" s="1463">
        <f>+DF28</f>
        <v>0.59591545209733832</v>
      </c>
    </row>
    <row r="29" spans="2:112" ht="13.5" customHeight="1">
      <c r="CY29" s="2106">
        <f>+CY14*20</f>
        <v>129756.10186737464</v>
      </c>
    </row>
    <row r="30" spans="2:112" ht="13.5" customHeight="1">
      <c r="I30" s="1073" t="s">
        <v>444</v>
      </c>
      <c r="J30" s="1073"/>
      <c r="K30" s="1073"/>
      <c r="L30" s="1099"/>
      <c r="M30" s="1066"/>
      <c r="N30" s="1066"/>
      <c r="O30" s="1066"/>
      <c r="P30" s="1066"/>
      <c r="Q30" s="1066"/>
      <c r="R30" s="1066"/>
      <c r="S30" s="1066"/>
      <c r="T30" s="1066"/>
      <c r="U30" s="1066"/>
      <c r="V30" s="1066"/>
      <c r="W30" s="1066"/>
      <c r="X30" s="1066"/>
      <c r="Y30" s="1066"/>
      <c r="Z30" s="1066"/>
      <c r="AA30" s="1066"/>
      <c r="AB30" s="1066"/>
      <c r="AC30" s="1066"/>
      <c r="AD30" s="1066"/>
      <c r="AE30" s="1066"/>
      <c r="AF30" s="1066"/>
      <c r="AG30" s="1066"/>
      <c r="AH30" s="1066"/>
      <c r="AI30" s="1066"/>
      <c r="AJ30" s="1066"/>
      <c r="AK30" s="1066"/>
      <c r="AL30" s="1066"/>
      <c r="AM30" s="1066"/>
      <c r="AN30" s="1066"/>
      <c r="AO30" s="1066"/>
      <c r="AP30" s="1066"/>
      <c r="AQ30" s="1066"/>
      <c r="AR30" s="1066"/>
      <c r="AS30" s="1066"/>
      <c r="AT30" s="1066"/>
      <c r="AU30" s="1066"/>
      <c r="AV30" s="1066"/>
      <c r="AW30" s="1066"/>
      <c r="AX30" s="1066"/>
      <c r="AY30" s="1066"/>
      <c r="AZ30" s="1066"/>
      <c r="BA30" s="1066"/>
      <c r="BB30" s="1066"/>
      <c r="BC30" s="1066"/>
      <c r="BD30" s="1066"/>
      <c r="BE30" s="1066"/>
      <c r="BF30" s="1066"/>
      <c r="BG30" s="1066"/>
      <c r="BH30" s="1066"/>
      <c r="BI30" s="1066"/>
      <c r="BJ30" s="1066"/>
      <c r="BK30" s="1066"/>
      <c r="BL30" s="1066"/>
      <c r="BM30" s="1066"/>
      <c r="BN30" s="1066"/>
      <c r="BO30" s="1066"/>
      <c r="BP30" s="1066"/>
      <c r="BQ30" s="1066"/>
      <c r="BR30" s="1066"/>
      <c r="BS30" s="1066"/>
      <c r="BT30" s="1066"/>
      <c r="BU30" s="1066"/>
      <c r="BV30" s="1066"/>
      <c r="BW30" s="1066"/>
      <c r="BX30" s="1066"/>
      <c r="BY30" s="1066"/>
      <c r="BZ30" s="1066"/>
      <c r="CA30" s="1066"/>
      <c r="CB30" s="1066"/>
      <c r="CC30" s="1066"/>
      <c r="CD30" s="1066"/>
      <c r="CE30" s="1066"/>
      <c r="CF30" s="1066"/>
      <c r="CV30" s="1100" t="s">
        <v>445</v>
      </c>
      <c r="CW30" s="1100"/>
      <c r="CX30" s="1100"/>
      <c r="CY30" s="1100"/>
      <c r="CZ30" s="1100"/>
      <c r="DA30" s="1100"/>
    </row>
    <row r="31" spans="2:112" ht="13.5" customHeight="1">
      <c r="I31" s="1093" t="s">
        <v>446</v>
      </c>
      <c r="L31" s="1101">
        <f>+SUM(CZ24:DF24)</f>
        <v>34446.847692234027</v>
      </c>
      <c r="M31" s="1102"/>
      <c r="N31" s="1102"/>
      <c r="O31" s="1102"/>
      <c r="P31" s="1102"/>
      <c r="Q31" s="1102"/>
      <c r="R31" s="1102"/>
      <c r="S31" s="1102"/>
      <c r="T31" s="1102"/>
      <c r="U31" s="1102"/>
      <c r="V31" s="1102"/>
      <c r="W31" s="1102"/>
      <c r="X31" s="1102"/>
      <c r="Y31" s="1102"/>
      <c r="Z31" s="1102"/>
      <c r="AA31" s="1102"/>
      <c r="AB31" s="1102"/>
      <c r="AC31" s="1102"/>
      <c r="AD31" s="1102"/>
      <c r="AE31" s="1102"/>
      <c r="AF31" s="1102"/>
      <c r="AG31" s="1102"/>
      <c r="AH31" s="1102"/>
      <c r="AI31" s="1102"/>
      <c r="AJ31" s="1102"/>
      <c r="AK31" s="1102"/>
      <c r="AL31" s="1102"/>
      <c r="AM31" s="1102"/>
      <c r="AN31" s="1102"/>
      <c r="AO31" s="1102"/>
      <c r="AP31" s="1102"/>
      <c r="AQ31" s="1102"/>
      <c r="AR31" s="1102"/>
      <c r="AS31" s="1102"/>
      <c r="AT31" s="1102"/>
      <c r="AU31" s="1102"/>
      <c r="AV31" s="1102"/>
      <c r="AW31" s="1102"/>
      <c r="AX31" s="1102"/>
      <c r="AY31" s="1102"/>
      <c r="AZ31" s="1102"/>
      <c r="BA31" s="1102"/>
      <c r="BB31" s="1102"/>
      <c r="BC31" s="1102"/>
      <c r="BD31" s="1102"/>
      <c r="BE31" s="1102"/>
      <c r="BF31" s="1102"/>
      <c r="BG31" s="1102"/>
      <c r="BH31" s="1102"/>
      <c r="BI31" s="1102"/>
      <c r="BJ31" s="1102"/>
      <c r="BK31" s="1102"/>
      <c r="BL31" s="1102"/>
      <c r="BM31" s="1102"/>
      <c r="BN31" s="1102"/>
      <c r="BO31" s="1102"/>
      <c r="BP31" s="1102"/>
      <c r="BQ31" s="1102"/>
      <c r="BR31" s="1102"/>
      <c r="BS31" s="1102"/>
      <c r="BT31" s="1102"/>
      <c r="BU31" s="1102"/>
      <c r="BV31" s="1102"/>
      <c r="BW31" s="1102"/>
      <c r="BX31" s="1102"/>
      <c r="BY31" s="1102"/>
      <c r="BZ31" s="1102"/>
      <c r="CA31" s="1102"/>
      <c r="CB31" s="1102"/>
      <c r="CC31" s="1102"/>
      <c r="CD31" s="1102"/>
      <c r="CE31" s="1102"/>
      <c r="CF31" s="1102"/>
      <c r="CV31" s="1104">
        <f>+L36</f>
        <v>139731.74299552687</v>
      </c>
      <c r="CW31" s="1105">
        <f>+CX31-0.005</f>
        <v>6.3498083268344718E-2</v>
      </c>
      <c r="CX31" s="1105">
        <f>+CY31-0.005</f>
        <v>6.8498083268344723E-2</v>
      </c>
      <c r="CY31" s="1106">
        <v>7.3498083268344727E-2</v>
      </c>
      <c r="CZ31" s="1105">
        <f>+CY31+0.005</f>
        <v>7.8498083268344732E-2</v>
      </c>
      <c r="DA31" s="1105">
        <f>+CZ31+0.005</f>
        <v>8.3498083268344736E-2</v>
      </c>
    </row>
    <row r="32" spans="2:112" ht="13.5" customHeight="1">
      <c r="I32" s="1820" t="s">
        <v>447</v>
      </c>
      <c r="L32" s="1101">
        <f>+((DG19*(1+L43))/($L$42-$L$43))/((1+$L$42)^DF23)</f>
        <v>105349.8019146095</v>
      </c>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V32" s="1108">
        <f>+CV33-0.005</f>
        <v>1.4999999999999999E-2</v>
      </c>
      <c r="CW32" s="1109">
        <f t="dataTable" ref="CW32:DA34" dt2D="1" dtr="0" r1="L42" r2="L43"/>
        <v>158505.58946302731</v>
      </c>
      <c r="CX32" s="1110">
        <v>142741.87274205987</v>
      </c>
      <c r="CY32" s="1111">
        <v>129694.52139215113</v>
      </c>
      <c r="CZ32" s="1110">
        <v>118721.22353369315</v>
      </c>
      <c r="DA32" s="1110">
        <v>109367.2307581162</v>
      </c>
    </row>
    <row r="33" spans="9:111" ht="13.5" customHeight="1">
      <c r="I33" s="1085" t="s">
        <v>448</v>
      </c>
      <c r="J33" s="1085"/>
      <c r="K33" s="1085"/>
      <c r="L33" s="1112">
        <f>+L31+L32</f>
        <v>139796.64960684354</v>
      </c>
      <c r="M33" s="1113"/>
      <c r="N33" s="1113"/>
      <c r="O33" s="1113"/>
      <c r="P33" s="1113"/>
      <c r="Q33" s="1113"/>
      <c r="R33" s="1113"/>
      <c r="S33" s="1113"/>
      <c r="T33" s="1113"/>
      <c r="U33" s="1113"/>
      <c r="V33" s="1113"/>
      <c r="W33" s="1113"/>
      <c r="X33" s="1113"/>
      <c r="Y33" s="1113"/>
      <c r="Z33" s="1113"/>
      <c r="AA33" s="1113"/>
      <c r="AB33" s="1113"/>
      <c r="AC33" s="1113"/>
      <c r="AD33" s="1113"/>
      <c r="AE33" s="1113"/>
      <c r="AF33" s="1113"/>
      <c r="AG33" s="1113"/>
      <c r="AH33" s="1113"/>
      <c r="AI33" s="1113"/>
      <c r="AJ33" s="1113"/>
      <c r="AK33" s="1113"/>
      <c r="AL33" s="1113"/>
      <c r="AM33" s="1113"/>
      <c r="AN33" s="1113"/>
      <c r="AO33" s="1113"/>
      <c r="AP33" s="1113"/>
      <c r="AQ33" s="1113"/>
      <c r="AR33" s="1113"/>
      <c r="AS33" s="1113"/>
      <c r="AT33" s="1113"/>
      <c r="AU33" s="1113"/>
      <c r="AV33" s="1113"/>
      <c r="AW33" s="1113"/>
      <c r="AX33" s="1113"/>
      <c r="AY33" s="1113"/>
      <c r="AZ33" s="1113"/>
      <c r="BA33" s="1113"/>
      <c r="BB33" s="1113"/>
      <c r="BC33" s="1113"/>
      <c r="BD33" s="1113"/>
      <c r="BE33" s="1113"/>
      <c r="BF33" s="1113"/>
      <c r="BG33" s="1113"/>
      <c r="BH33" s="1113"/>
      <c r="BI33" s="1113"/>
      <c r="BJ33" s="1113"/>
      <c r="BK33" s="1113"/>
      <c r="BL33" s="1113"/>
      <c r="BM33" s="1113"/>
      <c r="BN33" s="1113"/>
      <c r="BO33" s="1113"/>
      <c r="BP33" s="1113"/>
      <c r="BQ33" s="1113"/>
      <c r="BR33" s="1113"/>
      <c r="BS33" s="1113"/>
      <c r="BT33" s="1113"/>
      <c r="BU33" s="1113"/>
      <c r="BV33" s="1113"/>
      <c r="BW33" s="1113"/>
      <c r="BX33" s="1113"/>
      <c r="BY33" s="1113"/>
      <c r="BZ33" s="1113"/>
      <c r="CA33" s="1113"/>
      <c r="CB33" s="1113"/>
      <c r="CC33" s="1113"/>
      <c r="CD33" s="1113"/>
      <c r="CE33" s="1113"/>
      <c r="CF33" s="1113"/>
      <c r="CV33" s="1114">
        <v>0.02</v>
      </c>
      <c r="CW33" s="1115">
        <v>173969.46546047257</v>
      </c>
      <c r="CX33" s="1116">
        <v>155018.74644823567</v>
      </c>
      <c r="CY33" s="1117">
        <v>139633.46381770854</v>
      </c>
      <c r="CZ33" s="1116">
        <v>126898.69689051679</v>
      </c>
      <c r="DA33" s="1116">
        <v>116187.72120588104</v>
      </c>
    </row>
    <row r="34" spans="9:111" ht="13.5" customHeight="1">
      <c r="I34" s="1093" t="s">
        <v>449</v>
      </c>
      <c r="L34" s="1101">
        <f>Model!CF616+Model!CF619+Model!CF611</f>
        <v>8109.6610000000001</v>
      </c>
      <c r="M34" s="1118"/>
      <c r="N34" s="1118"/>
      <c r="O34" s="1118"/>
      <c r="P34" s="1118"/>
      <c r="Q34" s="1118"/>
      <c r="R34" s="1118"/>
      <c r="S34" s="1118"/>
      <c r="T34" s="1118"/>
      <c r="U34" s="1118"/>
      <c r="V34" s="1118"/>
      <c r="W34" s="1118"/>
      <c r="X34" s="1118"/>
      <c r="Y34" s="1118"/>
      <c r="Z34" s="1118"/>
      <c r="AA34" s="1118"/>
      <c r="AB34" s="1118"/>
      <c r="AC34" s="1118"/>
      <c r="AD34" s="1118"/>
      <c r="AE34" s="1118"/>
      <c r="AF34" s="1118"/>
      <c r="AG34" s="1118"/>
      <c r="AH34" s="1118"/>
      <c r="AI34" s="1118"/>
      <c r="AJ34" s="1118"/>
      <c r="AK34" s="1118"/>
      <c r="AL34" s="1118"/>
      <c r="AM34" s="1118"/>
      <c r="AN34" s="1118"/>
      <c r="AO34" s="1118"/>
      <c r="AP34" s="1118"/>
      <c r="AQ34" s="1118"/>
      <c r="AR34" s="1118"/>
      <c r="AS34" s="1118"/>
      <c r="AT34" s="1118"/>
      <c r="AU34" s="1118"/>
      <c r="AV34" s="1118"/>
      <c r="AW34" s="1118"/>
      <c r="AX34" s="1118"/>
      <c r="AY34" s="1118"/>
      <c r="AZ34" s="1118"/>
      <c r="BA34" s="1118"/>
      <c r="BB34" s="1118"/>
      <c r="BC34" s="1118"/>
      <c r="BD34" s="1118"/>
      <c r="BE34" s="1118"/>
      <c r="BF34" s="1118"/>
      <c r="BG34" s="1118"/>
      <c r="BH34" s="1118"/>
      <c r="BI34" s="1118"/>
      <c r="BJ34" s="1118"/>
      <c r="BK34" s="1118"/>
      <c r="BL34" s="1118"/>
      <c r="BM34" s="1118"/>
      <c r="BN34" s="1118"/>
      <c r="BO34" s="1118"/>
      <c r="BP34" s="1118"/>
      <c r="BQ34" s="1118"/>
      <c r="BR34" s="1118"/>
      <c r="BS34" s="1118"/>
      <c r="BT34" s="1118"/>
      <c r="BU34" s="1118"/>
      <c r="BV34" s="1118"/>
      <c r="BW34" s="1118"/>
      <c r="BX34" s="1118"/>
      <c r="BY34" s="1118"/>
      <c r="BZ34" s="1118"/>
      <c r="CA34" s="1118"/>
      <c r="CB34" s="1118"/>
      <c r="CC34" s="1118"/>
      <c r="CD34" s="1118"/>
      <c r="CE34" s="1118"/>
      <c r="CF34" s="1118"/>
      <c r="CV34" s="1108">
        <f>+CV33+0.005</f>
        <v>2.5000000000000001E-2</v>
      </c>
      <c r="CW34" s="1119">
        <v>193457.63865065045</v>
      </c>
      <c r="CX34" s="1120">
        <v>170124.44300332968</v>
      </c>
      <c r="CY34" s="1121">
        <v>151627.33422381396</v>
      </c>
      <c r="CZ34" s="1120">
        <v>136609.62174210561</v>
      </c>
      <c r="DA34" s="1120">
        <v>124178.48145307208</v>
      </c>
    </row>
    <row r="35" spans="9:111" ht="13.5" customHeight="1">
      <c r="I35" s="1820" t="s">
        <v>450</v>
      </c>
      <c r="L35" s="1780">
        <f>+Model!CF587+Model!CF589</f>
        <v>8044.7543886833337</v>
      </c>
      <c r="M35" s="1118"/>
      <c r="N35" s="1118"/>
      <c r="O35" s="1118"/>
      <c r="P35" s="1118"/>
      <c r="Q35" s="1118"/>
      <c r="R35" s="1118"/>
      <c r="S35" s="1118"/>
      <c r="T35" s="1118"/>
      <c r="U35" s="1118"/>
      <c r="V35" s="1118"/>
      <c r="W35" s="1118"/>
      <c r="X35" s="1118"/>
      <c r="Y35" s="1118"/>
      <c r="Z35" s="1118"/>
      <c r="AA35" s="1118"/>
      <c r="AB35" s="1118"/>
      <c r="AC35" s="1118"/>
      <c r="AD35" s="1118"/>
      <c r="AE35" s="1118"/>
      <c r="AF35" s="1118"/>
      <c r="AG35" s="1118"/>
      <c r="AH35" s="1118"/>
      <c r="AI35" s="1118"/>
      <c r="AJ35" s="1118"/>
      <c r="AK35" s="1118"/>
      <c r="AL35" s="1118"/>
      <c r="AM35" s="1118"/>
      <c r="AN35" s="1118"/>
      <c r="AO35" s="1118"/>
      <c r="AP35" s="1118"/>
      <c r="AQ35" s="1118"/>
      <c r="AR35" s="1118"/>
      <c r="AS35" s="1118"/>
      <c r="AT35" s="1118"/>
      <c r="AU35" s="1118"/>
      <c r="AV35" s="1118"/>
      <c r="AW35" s="1118"/>
      <c r="AX35" s="1118"/>
      <c r="AY35" s="1118"/>
      <c r="AZ35" s="1118"/>
      <c r="BA35" s="1118"/>
      <c r="BB35" s="1118"/>
      <c r="BC35" s="1118"/>
      <c r="BD35" s="1118"/>
      <c r="BE35" s="1118"/>
      <c r="BF35" s="1118"/>
      <c r="BG35" s="1118"/>
      <c r="BH35" s="1118"/>
      <c r="BI35" s="1118"/>
      <c r="BJ35" s="1118"/>
      <c r="BK35" s="1118"/>
      <c r="BL35" s="1118"/>
      <c r="BM35" s="1118"/>
      <c r="BN35" s="1118"/>
      <c r="BO35" s="1118"/>
      <c r="BP35" s="1118"/>
      <c r="BQ35" s="1118"/>
      <c r="BR35" s="1118"/>
      <c r="BS35" s="1118"/>
      <c r="BT35" s="1118"/>
      <c r="BU35" s="1118"/>
      <c r="BV35" s="1118"/>
      <c r="BW35" s="1118"/>
      <c r="BX35" s="1118"/>
      <c r="BY35" s="1118"/>
      <c r="BZ35" s="1118"/>
      <c r="CA35" s="1118"/>
      <c r="CB35" s="1118"/>
      <c r="CC35" s="1118"/>
      <c r="CD35" s="1118"/>
      <c r="CE35" s="1118"/>
      <c r="CF35" s="1118"/>
    </row>
    <row r="36" spans="9:111" ht="13.5" customHeight="1">
      <c r="I36" s="1085" t="s">
        <v>451</v>
      </c>
      <c r="J36" s="1085"/>
      <c r="K36" s="1085"/>
      <c r="L36" s="1783">
        <f>+L33-L34+L35</f>
        <v>139731.74299552687</v>
      </c>
      <c r="CT36" s="1793"/>
      <c r="CV36" s="1100" t="s">
        <v>452</v>
      </c>
      <c r="CW36" s="1100"/>
      <c r="CX36" s="1100"/>
      <c r="CY36" s="1100"/>
      <c r="CZ36" s="1100"/>
      <c r="DA36" s="1100"/>
    </row>
    <row r="37" spans="9:111" ht="13.5" customHeight="1">
      <c r="I37" s="1536" t="s">
        <v>453</v>
      </c>
      <c r="L37" s="1101">
        <f>Model!$CF$153</f>
        <v>48.351526850880582</v>
      </c>
      <c r="CV37" s="1104">
        <f>+L38</f>
        <v>2889.9137648014535</v>
      </c>
      <c r="CW37" s="1105">
        <f>+CW31</f>
        <v>6.3498083268344718E-2</v>
      </c>
      <c r="CX37" s="1105">
        <f>+CX31</f>
        <v>6.8498083268344723E-2</v>
      </c>
      <c r="CY37" s="1122">
        <f>+CY31</f>
        <v>7.3498083268344727E-2</v>
      </c>
      <c r="CZ37" s="1105">
        <f>+CZ31</f>
        <v>7.8498083268344732E-2</v>
      </c>
      <c r="DA37" s="1105">
        <f>+DA31</f>
        <v>8.3498083268344736E-2</v>
      </c>
    </row>
    <row r="38" spans="9:111" ht="13.5" customHeight="1">
      <c r="I38" s="1085" t="s">
        <v>454</v>
      </c>
      <c r="J38" s="1085"/>
      <c r="K38" s="1085"/>
      <c r="L38" s="1123">
        <f>+L36/L37</f>
        <v>2889.9137648014535</v>
      </c>
      <c r="CV38" s="1108">
        <f>+CV32</f>
        <v>1.4999999999999999E-2</v>
      </c>
      <c r="CW38" s="1109">
        <f t="dataTable" ref="CW38:DA40" dt2D="1" dtr="0" r1="L42" r2="L43" ca="1"/>
        <v>3278.1920197033155</v>
      </c>
      <c r="CX38" s="1110">
        <v>2952.1688773611136</v>
      </c>
      <c r="CY38" s="1111">
        <v>2682.3252509096128</v>
      </c>
      <c r="CZ38" s="1110">
        <v>2455.3769294574199</v>
      </c>
      <c r="DA38" s="1110">
        <v>2261.9188654664872</v>
      </c>
    </row>
    <row r="39" spans="9:111" ht="13.5" customHeight="1">
      <c r="CV39" s="1124">
        <f>+CV33</f>
        <v>0.02</v>
      </c>
      <c r="CW39" s="1115">
        <v>3598.0138951352315</v>
      </c>
      <c r="CX39" s="1116">
        <v>3206.077585229606</v>
      </c>
      <c r="CY39" s="1117">
        <v>2887.8811676071305</v>
      </c>
      <c r="CZ39" s="1116">
        <v>2624.5023715979241</v>
      </c>
      <c r="DA39" s="1116">
        <v>2402.9793632828168</v>
      </c>
    </row>
    <row r="40" spans="9:111" ht="13.5" customHeight="1">
      <c r="I40" s="1073" t="s">
        <v>455</v>
      </c>
      <c r="J40" s="1073"/>
      <c r="K40" s="1073"/>
      <c r="L40" s="1073"/>
      <c r="CV40" s="1108">
        <f>+CV34</f>
        <v>2.5000000000000001E-2</v>
      </c>
      <c r="CW40" s="1119">
        <v>4001.0657625618946</v>
      </c>
      <c r="CX40" s="1120">
        <v>3518.4916399435556</v>
      </c>
      <c r="CY40" s="1121">
        <v>3135.9368379708676</v>
      </c>
      <c r="CZ40" s="1120">
        <v>2825.3424584381592</v>
      </c>
      <c r="DA40" s="1120">
        <v>2568.2432291341493</v>
      </c>
    </row>
    <row r="41" spans="9:111" ht="13.5" customHeight="1">
      <c r="I41" s="1125" t="s">
        <v>456</v>
      </c>
      <c r="J41" s="1125"/>
      <c r="K41" s="1125"/>
      <c r="L41" s="1786" t="s">
        <v>636</v>
      </c>
      <c r="CW41" s="1108"/>
      <c r="CX41" s="1120"/>
      <c r="CY41" s="1120"/>
      <c r="CZ41" s="1120"/>
      <c r="DA41" s="1120"/>
      <c r="DB41" s="1120"/>
    </row>
    <row r="42" spans="9:111" ht="13.5" customHeight="1">
      <c r="I42" s="1126" t="s">
        <v>457</v>
      </c>
      <c r="J42" s="1127"/>
      <c r="K42" s="1127"/>
      <c r="L42" s="1947">
        <f>+'Base DCF'!L45</f>
        <v>7.3384836379991533E-2</v>
      </c>
      <c r="CW42" s="1108"/>
      <c r="CX42" s="1120"/>
      <c r="CY42" s="1120"/>
      <c r="CZ42" s="1120"/>
      <c r="DA42" s="1120"/>
      <c r="DB42" s="1120"/>
    </row>
    <row r="43" spans="9:111" ht="13.5" customHeight="1">
      <c r="I43" s="1059" t="s">
        <v>458</v>
      </c>
      <c r="L43" s="2175">
        <v>1.9900000000000001E-2</v>
      </c>
      <c r="CV43" s="1120"/>
      <c r="CW43" s="1120"/>
      <c r="CX43" s="1120"/>
      <c r="CY43" s="1120"/>
      <c r="CZ43" s="1120"/>
      <c r="DA43" s="1120"/>
      <c r="DB43" s="1120"/>
      <c r="DC43" s="1120"/>
      <c r="DD43" s="1120"/>
      <c r="DE43" s="1120"/>
      <c r="DF43" s="1120"/>
      <c r="DG43" s="1120"/>
    </row>
    <row r="44" spans="9:111" ht="13.5" customHeight="1">
      <c r="I44" s="1093"/>
      <c r="L44" s="1118"/>
      <c r="CV44" s="1462"/>
      <c r="CW44" s="1120"/>
      <c r="CX44" s="1840"/>
      <c r="CY44" s="1120"/>
      <c r="CZ44" s="1120"/>
      <c r="DA44" s="1120"/>
      <c r="DB44" s="1120"/>
      <c r="DC44" s="1120"/>
      <c r="DD44" s="1120"/>
      <c r="DE44" s="1120"/>
      <c r="DF44" s="1120"/>
      <c r="DG44" s="1120"/>
    </row>
    <row r="45" spans="9:111" ht="13.5" customHeight="1">
      <c r="I45" s="1093" t="s">
        <v>746</v>
      </c>
      <c r="L45" s="1118">
        <f>+L33/CZ11</f>
        <v>7.7932550291696021</v>
      </c>
      <c r="CV45" s="1462"/>
      <c r="CW45" s="1120"/>
      <c r="CX45" s="1840"/>
      <c r="CY45" s="1120"/>
      <c r="CZ45" s="1120"/>
      <c r="DA45" s="1120"/>
      <c r="DB45" s="1120"/>
      <c r="DC45" s="1120"/>
      <c r="DD45" s="1120"/>
      <c r="DE45" s="1120"/>
      <c r="DF45" s="1120"/>
      <c r="DG45" s="1120"/>
    </row>
    <row r="46" spans="9:111" ht="13.5" customHeight="1">
      <c r="I46" s="1093" t="s">
        <v>747</v>
      </c>
      <c r="L46" s="1118">
        <f>+L33/CZ14</f>
        <v>18.462057523114655</v>
      </c>
      <c r="CV46" s="1462"/>
      <c r="CW46" s="1120"/>
      <c r="CX46" s="1840"/>
      <c r="CY46" s="1120"/>
      <c r="CZ46" s="1120"/>
      <c r="DA46" s="1120"/>
      <c r="DB46" s="1120"/>
      <c r="DC46" s="1120"/>
      <c r="DD46" s="1120"/>
      <c r="DE46" s="1120"/>
      <c r="DF46" s="1120"/>
      <c r="DG46" s="1120"/>
    </row>
    <row r="47" spans="9:111" ht="13.5" customHeight="1">
      <c r="I47" s="1093" t="s">
        <v>748</v>
      </c>
      <c r="L47" s="1118">
        <f>+L38/Model!CZ159</f>
        <v>26.495498500753861</v>
      </c>
      <c r="CV47" s="1462"/>
      <c r="CW47" s="1120"/>
      <c r="CX47" s="1840"/>
      <c r="CY47" s="1120"/>
      <c r="CZ47" s="1120"/>
      <c r="DA47" s="1120"/>
      <c r="DB47" s="1120"/>
      <c r="DC47" s="1120"/>
      <c r="DD47" s="1120"/>
      <c r="DE47" s="1120"/>
      <c r="DF47" s="1120"/>
      <c r="DG47" s="1120"/>
    </row>
    <row r="48" spans="9:111" ht="13.5" customHeight="1">
      <c r="I48" s="1448" t="s">
        <v>639</v>
      </c>
      <c r="L48" s="1549">
        <f>+DG27</f>
        <v>0.4467528597509689</v>
      </c>
      <c r="CV48" s="1462"/>
      <c r="CW48" s="1120"/>
      <c r="CX48" s="1840"/>
      <c r="CY48" s="1120"/>
      <c r="CZ48" s="1120"/>
      <c r="DA48" s="1120"/>
      <c r="DB48" s="1120"/>
      <c r="DC48" s="1120"/>
      <c r="DD48" s="1120"/>
      <c r="DE48" s="1120"/>
      <c r="DF48" s="1120"/>
      <c r="DG48" s="1120"/>
    </row>
    <row r="49" spans="1:111" ht="13.5" customHeight="1">
      <c r="I49" s="1448" t="s">
        <v>640</v>
      </c>
      <c r="L49" s="1549">
        <f>+DG28</f>
        <v>0.59591545209733832</v>
      </c>
      <c r="CV49" s="1462"/>
      <c r="CW49" s="1120"/>
      <c r="CX49" s="1840"/>
      <c r="CY49" s="1120"/>
      <c r="CZ49" s="1120"/>
      <c r="DA49" s="1120"/>
      <c r="DB49" s="1120"/>
      <c r="DC49" s="1120"/>
      <c r="DD49" s="1120"/>
      <c r="DE49" s="1120"/>
      <c r="DF49" s="1120"/>
      <c r="DG49" s="1120"/>
    </row>
    <row r="50" spans="1:111" ht="13.5" customHeight="1">
      <c r="I50" s="1093"/>
      <c r="L50" s="1118"/>
      <c r="CV50" s="1462"/>
      <c r="CW50" s="1120"/>
      <c r="CX50" s="1840"/>
      <c r="CY50" s="1120"/>
      <c r="CZ50" s="1120"/>
      <c r="DA50" s="1120"/>
      <c r="DB50" s="1120"/>
      <c r="DC50" s="1120"/>
      <c r="DD50" s="1120"/>
      <c r="DE50" s="1120"/>
      <c r="DF50" s="1120"/>
      <c r="DG50" s="1120"/>
    </row>
    <row r="51" spans="1:111" ht="13.5" customHeight="1">
      <c r="I51" s="1093"/>
      <c r="L51" s="1118"/>
      <c r="CV51" s="1462"/>
      <c r="CW51" s="1120"/>
      <c r="CX51" s="1840"/>
      <c r="CY51" s="1120"/>
      <c r="CZ51" s="1120"/>
      <c r="DA51" s="1120"/>
      <c r="DB51" s="1120"/>
      <c r="DC51" s="1120"/>
      <c r="DD51" s="1120"/>
      <c r="DE51" s="1120"/>
      <c r="DF51" s="1120"/>
      <c r="DG51" s="1120"/>
    </row>
    <row r="52" spans="1:111" ht="13.5" customHeight="1">
      <c r="I52" s="1093"/>
      <c r="L52" s="1118"/>
      <c r="CW52" s="1108"/>
      <c r="CX52" s="1120"/>
      <c r="CY52" s="1120"/>
      <c r="CZ52" s="1120"/>
      <c r="DA52" s="1120"/>
      <c r="DB52" s="1120"/>
      <c r="DC52" s="1120"/>
      <c r="DD52" s="1120"/>
      <c r="DE52" s="1120"/>
      <c r="DF52" s="1120"/>
    </row>
    <row r="53" spans="1:111" ht="13.5" customHeight="1">
      <c r="I53" s="20"/>
      <c r="J53" s="20"/>
      <c r="K53" s="20"/>
      <c r="L53" s="1468"/>
      <c r="CW53" s="1108"/>
      <c r="CX53" s="1120"/>
      <c r="CY53" s="1120"/>
      <c r="CZ53" s="1120"/>
      <c r="DA53" s="1120"/>
      <c r="DB53" s="1120"/>
      <c r="DC53" s="1120"/>
      <c r="DD53" s="1120"/>
      <c r="DE53" s="1120"/>
      <c r="DF53" s="1120"/>
    </row>
    <row r="54" spans="1:111" ht="13.5" customHeight="1">
      <c r="CW54" s="1108"/>
      <c r="CX54" s="1120"/>
      <c r="CY54" s="1120"/>
      <c r="CZ54" s="1120"/>
      <c r="DA54" s="1120"/>
      <c r="DB54" s="1120"/>
      <c r="DC54" s="1120"/>
      <c r="DD54" s="1120"/>
      <c r="DE54" s="1120"/>
      <c r="DF54" s="1120"/>
    </row>
    <row r="55" spans="1:111" ht="13.5" customHeight="1">
      <c r="CW55" s="1108"/>
      <c r="CX55" s="1120"/>
      <c r="CY55" s="1120"/>
      <c r="CZ55" s="1120"/>
      <c r="DA55" s="1120"/>
      <c r="DB55" s="1120"/>
      <c r="DC55" s="1120"/>
      <c r="DD55" s="1120"/>
      <c r="DE55" s="1120"/>
      <c r="DF55" s="1120"/>
    </row>
    <row r="56" spans="1:111" ht="13.5" hidden="1" customHeight="1" outlineLevel="1">
      <c r="I56" s="1073" t="s">
        <v>459</v>
      </c>
      <c r="J56" s="1073"/>
      <c r="K56" s="1073"/>
      <c r="L56" s="1073"/>
      <c r="M56" s="1073"/>
      <c r="N56" s="1073"/>
      <c r="O56" s="1073"/>
      <c r="P56" s="1073"/>
      <c r="Q56" s="1073"/>
      <c r="R56" s="1073"/>
      <c r="S56" s="1073"/>
      <c r="T56" s="1073"/>
      <c r="U56" s="1073"/>
      <c r="V56" s="1073"/>
      <c r="W56" s="1073"/>
      <c r="X56" s="1073"/>
      <c r="Y56" s="1073"/>
      <c r="Z56" s="1073"/>
      <c r="AA56" s="1073"/>
      <c r="AB56" s="1073"/>
      <c r="AC56" s="1073"/>
      <c r="AD56" s="1073"/>
      <c r="AE56" s="1073"/>
      <c r="AF56" s="1073"/>
      <c r="AG56" s="1073"/>
      <c r="AH56" s="1073"/>
      <c r="AI56" s="1073"/>
      <c r="AJ56" s="1073"/>
      <c r="AK56" s="1073"/>
      <c r="AL56" s="1073"/>
      <c r="AM56" s="1073"/>
      <c r="AN56" s="1073"/>
      <c r="AO56" s="1073"/>
      <c r="AP56" s="1073"/>
      <c r="AQ56" s="1073"/>
      <c r="AR56" s="1073"/>
      <c r="AS56" s="1073"/>
      <c r="AT56" s="1073"/>
      <c r="AU56" s="1073"/>
      <c r="AV56" s="1073"/>
      <c r="AW56" s="1073"/>
      <c r="AX56" s="1073"/>
      <c r="AY56" s="1073"/>
      <c r="AZ56" s="1073"/>
      <c r="BA56" s="1073"/>
      <c r="BB56" s="1073"/>
      <c r="BC56" s="1073"/>
      <c r="BD56" s="1073"/>
      <c r="BE56" s="1073"/>
      <c r="BF56" s="1073"/>
      <c r="BG56" s="1073"/>
      <c r="BH56" s="1073"/>
      <c r="BI56" s="1073"/>
      <c r="BJ56" s="1073"/>
      <c r="BK56" s="1073"/>
      <c r="BL56" s="1073"/>
      <c r="BM56" s="1073"/>
      <c r="BN56" s="1073"/>
      <c r="BO56" s="1073"/>
      <c r="BP56" s="1073"/>
      <c r="BQ56" s="1073"/>
      <c r="BR56" s="1073"/>
      <c r="BS56" s="1073"/>
      <c r="BT56" s="1073"/>
      <c r="BU56" s="1073"/>
      <c r="BV56" s="1073"/>
      <c r="BW56" s="1073"/>
      <c r="BX56" s="1073"/>
      <c r="BY56" s="1073"/>
      <c r="BZ56" s="1073"/>
      <c r="CA56" s="1073"/>
      <c r="CB56" s="1073"/>
      <c r="CC56" s="1073"/>
      <c r="CD56" s="1073"/>
      <c r="CE56" s="1073"/>
      <c r="CF56" s="1073"/>
      <c r="CG56" s="1073"/>
      <c r="CH56" s="1073"/>
      <c r="CI56" s="1073"/>
      <c r="CJ56" s="1073"/>
      <c r="CK56" s="1073"/>
      <c r="CL56" s="1073"/>
      <c r="CM56" s="1073"/>
      <c r="CN56" s="1073"/>
      <c r="CO56" s="1073"/>
      <c r="CP56" s="1073"/>
      <c r="CQ56" s="1073"/>
      <c r="CR56" s="1073"/>
      <c r="CS56" s="1073"/>
      <c r="CT56" s="1073"/>
      <c r="CU56" s="1073"/>
      <c r="CV56" s="1073"/>
      <c r="CW56" s="1073"/>
      <c r="CX56" s="1073"/>
      <c r="CY56" s="1073"/>
      <c r="CZ56" s="1073"/>
      <c r="DA56" s="1073"/>
      <c r="DB56" s="1073"/>
      <c r="DC56" s="1073"/>
      <c r="DD56" s="1073"/>
      <c r="DE56" s="1073"/>
      <c r="DF56" s="1073"/>
    </row>
    <row r="57" spans="1:111" ht="13.5" hidden="1" customHeight="1" outlineLevel="1">
      <c r="I57" s="1059" t="s">
        <v>460</v>
      </c>
      <c r="CG57" s="1128">
        <f t="shared" ref="CG57:DF57" si="15">+$L$42</f>
        <v>7.3384836379991533E-2</v>
      </c>
      <c r="CH57" s="1128">
        <f t="shared" si="15"/>
        <v>7.3384836379991533E-2</v>
      </c>
      <c r="CI57" s="1128">
        <f t="shared" si="15"/>
        <v>7.3384836379991533E-2</v>
      </c>
      <c r="CJ57" s="1128"/>
      <c r="CK57" s="1128"/>
      <c r="CL57" s="1128"/>
      <c r="CM57" s="1128"/>
      <c r="CN57" s="1128"/>
      <c r="CO57" s="1128"/>
      <c r="CP57" s="1128"/>
      <c r="CQ57" s="1128">
        <f t="shared" si="15"/>
        <v>7.3384836379991533E-2</v>
      </c>
      <c r="CR57" s="1128">
        <f t="shared" si="15"/>
        <v>7.3384836379991533E-2</v>
      </c>
      <c r="CS57" s="1128">
        <f t="shared" si="15"/>
        <v>7.3384836379991533E-2</v>
      </c>
      <c r="CT57" s="1128">
        <f t="shared" si="15"/>
        <v>7.3384836379991533E-2</v>
      </c>
      <c r="CU57" s="1128">
        <f t="shared" si="15"/>
        <v>7.3384836379991533E-2</v>
      </c>
      <c r="CV57" s="1128">
        <f t="shared" si="15"/>
        <v>7.3384836379991533E-2</v>
      </c>
      <c r="CW57" s="1128">
        <f t="shared" si="15"/>
        <v>7.3384836379991533E-2</v>
      </c>
      <c r="CX57" s="1128">
        <f t="shared" si="15"/>
        <v>7.3384836379991533E-2</v>
      </c>
      <c r="CY57" s="1128">
        <f t="shared" si="15"/>
        <v>7.3384836379991533E-2</v>
      </c>
      <c r="CZ57" s="1128">
        <f t="shared" si="15"/>
        <v>7.3384836379991533E-2</v>
      </c>
      <c r="DA57" s="1128">
        <f t="shared" si="15"/>
        <v>7.3384836379991533E-2</v>
      </c>
      <c r="DB57" s="1128">
        <f t="shared" si="15"/>
        <v>7.3384836379991533E-2</v>
      </c>
      <c r="DC57" s="1128">
        <f t="shared" si="15"/>
        <v>7.3384836379991533E-2</v>
      </c>
      <c r="DD57" s="1128">
        <f t="shared" si="15"/>
        <v>7.3384836379991533E-2</v>
      </c>
      <c r="DE57" s="1128">
        <f t="shared" si="15"/>
        <v>7.3384836379991533E-2</v>
      </c>
      <c r="DF57" s="1128">
        <f t="shared" si="15"/>
        <v>7.3384836379991533E-2</v>
      </c>
    </row>
    <row r="58" spans="1:111" ht="13.5" hidden="1" customHeight="1" outlineLevel="1"/>
    <row r="59" spans="1:111" ht="13.5" hidden="1" customHeight="1" outlineLevel="1">
      <c r="I59" s="1129" t="s">
        <v>458</v>
      </c>
      <c r="J59" s="1129"/>
      <c r="K59" s="1129"/>
      <c r="L59" s="1129"/>
      <c r="M59" s="1129"/>
      <c r="N59" s="1129"/>
      <c r="O59" s="1129"/>
      <c r="P59" s="1129"/>
      <c r="Q59" s="1129"/>
      <c r="R59" s="1129"/>
      <c r="S59" s="1129"/>
      <c r="T59" s="1129"/>
      <c r="U59" s="1129"/>
      <c r="V59" s="1129"/>
      <c r="W59" s="1129"/>
      <c r="X59" s="1129"/>
      <c r="Y59" s="1129"/>
      <c r="Z59" s="1129"/>
      <c r="AA59" s="1129"/>
      <c r="AB59" s="1129"/>
      <c r="AC59" s="1129"/>
      <c r="AD59" s="1129"/>
      <c r="AE59" s="1129"/>
      <c r="AF59" s="1129"/>
      <c r="AG59" s="1129"/>
      <c r="AH59" s="1129"/>
      <c r="AI59" s="1129"/>
      <c r="AJ59" s="1129"/>
      <c r="AK59" s="1129"/>
      <c r="AL59" s="1129"/>
      <c r="AM59" s="1129"/>
      <c r="AN59" s="1129"/>
      <c r="AO59" s="1129"/>
      <c r="AP59" s="1129"/>
      <c r="AQ59" s="1129"/>
      <c r="AR59" s="1129"/>
      <c r="AS59" s="1129"/>
      <c r="AT59" s="1129"/>
      <c r="AU59" s="1129"/>
      <c r="AV59" s="1129"/>
      <c r="AW59" s="1129"/>
      <c r="AX59" s="1129"/>
      <c r="AY59" s="1129"/>
      <c r="AZ59" s="1129"/>
      <c r="BA59" s="1129"/>
      <c r="BB59" s="1129"/>
      <c r="BC59" s="1129"/>
      <c r="BD59" s="1129"/>
      <c r="BE59" s="1129"/>
      <c r="BF59" s="1129"/>
      <c r="BG59" s="1129"/>
      <c r="BH59" s="1129"/>
      <c r="BI59" s="1129"/>
      <c r="BJ59" s="1129"/>
      <c r="BK59" s="1129"/>
      <c r="BL59" s="1129"/>
      <c r="BM59" s="1129"/>
      <c r="BN59" s="1129"/>
      <c r="BO59" s="1129"/>
      <c r="BP59" s="1129"/>
      <c r="BQ59" s="1129"/>
      <c r="BR59" s="1129"/>
      <c r="BS59" s="1129"/>
      <c r="BT59" s="1129"/>
      <c r="BU59" s="1129"/>
      <c r="BV59" s="1129"/>
      <c r="BW59" s="1129"/>
      <c r="BX59" s="1129"/>
      <c r="BY59" s="1129"/>
      <c r="BZ59" s="1129"/>
      <c r="CA59" s="1129"/>
      <c r="CB59" s="1129"/>
      <c r="CC59" s="1129"/>
      <c r="CD59" s="1129"/>
      <c r="CE59" s="1129"/>
      <c r="CF59" s="1129"/>
      <c r="CG59" s="1129"/>
      <c r="CH59" s="1129"/>
      <c r="CI59" s="1129"/>
      <c r="CJ59" s="1129"/>
      <c r="CK59" s="1129"/>
      <c r="CL59" s="1129"/>
      <c r="CM59" s="1129"/>
      <c r="CN59" s="1129"/>
      <c r="CO59" s="1129"/>
      <c r="CP59" s="1129"/>
      <c r="CQ59" s="1129"/>
      <c r="CR59" s="1129"/>
      <c r="CS59" s="1129"/>
      <c r="CT59" s="1129"/>
      <c r="CU59" s="1129"/>
      <c r="CV59" s="1129"/>
      <c r="CW59" s="1129"/>
      <c r="CX59" s="1129"/>
      <c r="CY59" s="1129"/>
      <c r="CZ59" s="1129"/>
      <c r="DA59" s="1129"/>
      <c r="DB59" s="1129"/>
      <c r="DC59" s="1129"/>
      <c r="DD59" s="1129"/>
      <c r="DE59" s="1129"/>
      <c r="DF59" s="1129"/>
    </row>
    <row r="60" spans="1:111" ht="13.5" hidden="1" customHeight="1" outlineLevel="1">
      <c r="I60" s="1130" t="s">
        <v>461</v>
      </c>
      <c r="CG60" s="1080">
        <f>+L43</f>
        <v>1.9900000000000001E-2</v>
      </c>
      <c r="CH60" s="1080">
        <f>+L43</f>
        <v>1.9900000000000001E-2</v>
      </c>
      <c r="CI60" s="1080">
        <f>+L43</f>
        <v>1.9900000000000001E-2</v>
      </c>
      <c r="CJ60" s="1080"/>
      <c r="CK60" s="1080"/>
      <c r="CL60" s="1080"/>
      <c r="CM60" s="1080"/>
      <c r="CN60" s="1080"/>
      <c r="CO60" s="1080"/>
      <c r="CP60" s="1080"/>
      <c r="CQ60" s="1080">
        <f t="shared" ref="CQ60:DF60" si="16">+$L$43</f>
        <v>1.9900000000000001E-2</v>
      </c>
      <c r="CR60" s="1080">
        <f t="shared" si="16"/>
        <v>1.9900000000000001E-2</v>
      </c>
      <c r="CS60" s="1080">
        <f t="shared" si="16"/>
        <v>1.9900000000000001E-2</v>
      </c>
      <c r="CT60" s="1080">
        <f t="shared" si="16"/>
        <v>1.9900000000000001E-2</v>
      </c>
      <c r="CU60" s="1080">
        <f t="shared" si="16"/>
        <v>1.9900000000000001E-2</v>
      </c>
      <c r="CV60" s="1080">
        <f t="shared" si="16"/>
        <v>1.9900000000000001E-2</v>
      </c>
      <c r="CW60" s="1080">
        <f t="shared" si="16"/>
        <v>1.9900000000000001E-2</v>
      </c>
      <c r="CX60" s="1080">
        <f t="shared" si="16"/>
        <v>1.9900000000000001E-2</v>
      </c>
      <c r="CY60" s="1080">
        <f>+$L$43</f>
        <v>1.9900000000000001E-2</v>
      </c>
      <c r="CZ60" s="1080">
        <f t="shared" si="16"/>
        <v>1.9900000000000001E-2</v>
      </c>
      <c r="DA60" s="1080">
        <f t="shared" si="16"/>
        <v>1.9900000000000001E-2</v>
      </c>
      <c r="DB60" s="1080">
        <f t="shared" si="16"/>
        <v>1.9900000000000001E-2</v>
      </c>
      <c r="DC60" s="1080">
        <f t="shared" si="16"/>
        <v>1.9900000000000001E-2</v>
      </c>
      <c r="DD60" s="1080">
        <f t="shared" si="16"/>
        <v>1.9900000000000001E-2</v>
      </c>
      <c r="DE60" s="1080">
        <f t="shared" si="16"/>
        <v>1.9900000000000001E-2</v>
      </c>
      <c r="DF60" s="1080">
        <f t="shared" si="16"/>
        <v>1.9900000000000001E-2</v>
      </c>
    </row>
    <row r="61" spans="1:111" ht="13.5" hidden="1" customHeight="1" outlineLevel="1">
      <c r="A61" s="1059">
        <v>42135</v>
      </c>
    </row>
    <row r="62" spans="1:111" ht="13.5" customHeight="1" collapsed="1">
      <c r="A62" s="1059">
        <v>42136</v>
      </c>
    </row>
    <row r="63" spans="1:111" ht="13.5" customHeight="1">
      <c r="A63" s="1059">
        <v>42137</v>
      </c>
    </row>
    <row r="64" spans="1:111" ht="13.5" customHeight="1">
      <c r="A64" s="1059">
        <v>42138</v>
      </c>
      <c r="CS64" s="1076"/>
    </row>
    <row r="65" spans="1:97" ht="13.5" customHeight="1">
      <c r="A65" s="1059">
        <v>42139</v>
      </c>
      <c r="CR65" s="1101"/>
      <c r="CS65" s="1101"/>
    </row>
    <row r="66" spans="1:97" ht="13.5" customHeight="1">
      <c r="A66" s="1059">
        <v>42142</v>
      </c>
    </row>
    <row r="67" spans="1:97" ht="13.5" customHeight="1">
      <c r="A67" s="1059">
        <v>42143</v>
      </c>
    </row>
    <row r="68" spans="1:97" ht="13.5" customHeight="1">
      <c r="A68" s="1059">
        <v>42144</v>
      </c>
    </row>
    <row r="69" spans="1:97" ht="13.5" customHeight="1">
      <c r="A69" s="1059">
        <v>42145</v>
      </c>
    </row>
    <row r="70" spans="1:97" ht="13.5" customHeight="1">
      <c r="A70" s="1059">
        <v>42146</v>
      </c>
    </row>
    <row r="71" spans="1:97" ht="13.5" customHeight="1">
      <c r="A71" s="1059">
        <v>42150</v>
      </c>
    </row>
    <row r="72" spans="1:97" ht="13.5" customHeight="1">
      <c r="A72" s="1059">
        <v>42151</v>
      </c>
    </row>
    <row r="73" spans="1:97" ht="13.5" customHeight="1">
      <c r="A73" s="1059">
        <v>42152</v>
      </c>
    </row>
    <row r="74" spans="1:97" ht="13.5" customHeight="1">
      <c r="A74" s="1059">
        <v>42153</v>
      </c>
    </row>
    <row r="75" spans="1:97" ht="13.5" customHeight="1">
      <c r="A75" s="1059">
        <v>42156</v>
      </c>
    </row>
    <row r="76" spans="1:97" ht="13.5" customHeight="1">
      <c r="A76" s="1059">
        <v>42157</v>
      </c>
    </row>
    <row r="77" spans="1:97" ht="13.5" customHeight="1">
      <c r="A77" s="1059">
        <v>42158</v>
      </c>
    </row>
    <row r="78" spans="1:97" ht="13.5" customHeight="1">
      <c r="A78" s="1059">
        <v>42159</v>
      </c>
    </row>
    <row r="79" spans="1:97" ht="13.5" customHeight="1">
      <c r="A79" s="1059">
        <v>42160</v>
      </c>
    </row>
    <row r="80" spans="1:97" ht="13.5" customHeight="1">
      <c r="A80" s="1059">
        <v>42163</v>
      </c>
    </row>
    <row r="81" spans="1:1" ht="13.5" customHeight="1">
      <c r="A81" s="1059">
        <v>42164</v>
      </c>
    </row>
    <row r="82" spans="1:1" ht="13.5" customHeight="1">
      <c r="A82" s="1059">
        <v>42165</v>
      </c>
    </row>
    <row r="83" spans="1:1" ht="13.5" customHeight="1">
      <c r="A83" s="1059">
        <v>42166</v>
      </c>
    </row>
    <row r="84" spans="1:1" ht="13.5" customHeight="1">
      <c r="A84" s="1059">
        <v>42167</v>
      </c>
    </row>
    <row r="85" spans="1:1" ht="13.5" customHeight="1">
      <c r="A85" s="1059">
        <v>42170</v>
      </c>
    </row>
    <row r="86" spans="1:1" ht="13.5" customHeight="1">
      <c r="A86" s="1059">
        <v>42171</v>
      </c>
    </row>
    <row r="87" spans="1:1" ht="13.5" customHeight="1">
      <c r="A87" s="1059">
        <v>42172</v>
      </c>
    </row>
    <row r="88" spans="1:1" ht="13.5" customHeight="1">
      <c r="A88" s="1059">
        <v>42173</v>
      </c>
    </row>
    <row r="89" spans="1:1" ht="13.5" customHeight="1">
      <c r="A89" s="1059">
        <v>42174</v>
      </c>
    </row>
    <row r="90" spans="1:1" ht="13.5" customHeight="1">
      <c r="A90" s="1059">
        <v>42177</v>
      </c>
    </row>
    <row r="91" spans="1:1" ht="13.5" customHeight="1">
      <c r="A91" s="1059">
        <v>42178</v>
      </c>
    </row>
    <row r="92" spans="1:1" ht="13.5" customHeight="1">
      <c r="A92" s="1059">
        <v>42179</v>
      </c>
    </row>
    <row r="93" spans="1:1" ht="13.5" customHeight="1">
      <c r="A93" s="1059">
        <v>42180</v>
      </c>
    </row>
    <row r="94" spans="1:1" ht="13.5" customHeight="1">
      <c r="A94" s="1059">
        <v>42181</v>
      </c>
    </row>
    <row r="95" spans="1:1" ht="13.5" customHeight="1">
      <c r="A95" s="1059">
        <v>42184</v>
      </c>
    </row>
    <row r="96" spans="1:1" ht="13.5" customHeight="1">
      <c r="A96" s="1059">
        <v>42185</v>
      </c>
    </row>
    <row r="97" spans="1:1" ht="13.5" customHeight="1">
      <c r="A97" s="1059">
        <v>42186</v>
      </c>
    </row>
    <row r="98" spans="1:1" ht="13.5" customHeight="1">
      <c r="A98" s="1059">
        <v>42187</v>
      </c>
    </row>
    <row r="99" spans="1:1" ht="13.5" customHeight="1">
      <c r="A99" s="1059">
        <v>42191</v>
      </c>
    </row>
    <row r="100" spans="1:1" ht="13.5" customHeight="1">
      <c r="A100" s="1059">
        <v>42192</v>
      </c>
    </row>
    <row r="101" spans="1:1" ht="13.5" customHeight="1">
      <c r="A101" s="1059">
        <v>42193</v>
      </c>
    </row>
    <row r="102" spans="1:1" ht="13.5" customHeight="1">
      <c r="A102" s="1059">
        <v>42194</v>
      </c>
    </row>
    <row r="103" spans="1:1" ht="13.5" customHeight="1">
      <c r="A103" s="1059">
        <v>42195</v>
      </c>
    </row>
    <row r="104" spans="1:1" ht="13.5" customHeight="1">
      <c r="A104" s="1059">
        <v>42198</v>
      </c>
    </row>
    <row r="105" spans="1:1" ht="13.5" customHeight="1">
      <c r="A105" s="1059">
        <v>42199</v>
      </c>
    </row>
    <row r="106" spans="1:1" ht="13.5" customHeight="1">
      <c r="A106" s="1059">
        <v>42200</v>
      </c>
    </row>
    <row r="107" spans="1:1" ht="13.5" customHeight="1">
      <c r="A107" s="1059">
        <v>42201</v>
      </c>
    </row>
    <row r="108" spans="1:1" ht="13.5" customHeight="1">
      <c r="A108" s="1059">
        <v>42202</v>
      </c>
    </row>
    <row r="109" spans="1:1" ht="13.5" customHeight="1">
      <c r="A109" s="1059">
        <v>42205</v>
      </c>
    </row>
    <row r="110" spans="1:1" ht="13.5" customHeight="1">
      <c r="A110" s="1059">
        <v>42206</v>
      </c>
    </row>
    <row r="111" spans="1:1" ht="13.5" customHeight="1">
      <c r="A111" s="1059">
        <v>42207</v>
      </c>
    </row>
    <row r="112" spans="1:1" ht="13.5" customHeight="1">
      <c r="A112" s="1059">
        <v>42208</v>
      </c>
    </row>
    <row r="113" spans="1:1" ht="13.5" customHeight="1">
      <c r="A113" s="1059">
        <v>42209</v>
      </c>
    </row>
    <row r="114" spans="1:1" ht="13.5" customHeight="1">
      <c r="A114" s="1059">
        <v>42212</v>
      </c>
    </row>
    <row r="115" spans="1:1" ht="13.5" customHeight="1">
      <c r="A115" s="1059">
        <v>42213</v>
      </c>
    </row>
    <row r="116" spans="1:1" ht="13.5" customHeight="1">
      <c r="A116" s="1059">
        <v>42214</v>
      </c>
    </row>
    <row r="117" spans="1:1" ht="13.5" customHeight="1">
      <c r="A117" s="1059">
        <v>42215</v>
      </c>
    </row>
    <row r="118" spans="1:1" ht="13.5" customHeight="1">
      <c r="A118" s="1059">
        <v>42216</v>
      </c>
    </row>
    <row r="119" spans="1:1" ht="13.5" customHeight="1">
      <c r="A119" s="1059">
        <v>42219</v>
      </c>
    </row>
    <row r="120" spans="1:1" ht="13.5" customHeight="1">
      <c r="A120" s="1059">
        <v>42220</v>
      </c>
    </row>
    <row r="121" spans="1:1" ht="13.5" customHeight="1">
      <c r="A121" s="1059">
        <v>42221</v>
      </c>
    </row>
    <row r="122" spans="1:1" ht="13.5" customHeight="1">
      <c r="A122" s="1059">
        <v>42222</v>
      </c>
    </row>
    <row r="123" spans="1:1" ht="13.5" customHeight="1">
      <c r="A123" s="1059">
        <v>42223</v>
      </c>
    </row>
    <row r="124" spans="1:1" ht="13.5" customHeight="1">
      <c r="A124" s="1059">
        <v>42226</v>
      </c>
    </row>
    <row r="125" spans="1:1" ht="13.5" customHeight="1">
      <c r="A125" s="1059">
        <v>42227</v>
      </c>
    </row>
    <row r="126" spans="1:1" ht="13.5" customHeight="1">
      <c r="A126" s="1059">
        <v>42228</v>
      </c>
    </row>
    <row r="127" spans="1:1" ht="13.5" customHeight="1">
      <c r="A127" s="1059">
        <v>42229</v>
      </c>
    </row>
    <row r="128" spans="1:1" ht="13.5" customHeight="1">
      <c r="A128" s="1059">
        <v>42230</v>
      </c>
    </row>
    <row r="129" spans="1:1" ht="13.5" customHeight="1">
      <c r="A129" s="1059">
        <v>42233</v>
      </c>
    </row>
    <row r="130" spans="1:1" ht="13.5" customHeight="1">
      <c r="A130" s="1059">
        <v>42234</v>
      </c>
    </row>
    <row r="131" spans="1:1" ht="13.5" customHeight="1">
      <c r="A131" s="1059">
        <v>42235</v>
      </c>
    </row>
    <row r="132" spans="1:1" ht="13.5" customHeight="1">
      <c r="A132" s="1059">
        <v>42236</v>
      </c>
    </row>
    <row r="133" spans="1:1" ht="13.5" customHeight="1">
      <c r="A133" s="1059">
        <v>42237</v>
      </c>
    </row>
    <row r="134" spans="1:1" ht="13.5" customHeight="1">
      <c r="A134" s="1059">
        <v>42240</v>
      </c>
    </row>
    <row r="135" spans="1:1" ht="13.5" customHeight="1">
      <c r="A135" s="1059">
        <v>42241</v>
      </c>
    </row>
    <row r="136" spans="1:1" ht="13.5" customHeight="1">
      <c r="A136" s="1059">
        <v>42242</v>
      </c>
    </row>
    <row r="137" spans="1:1" ht="13.5" customHeight="1">
      <c r="A137" s="1059">
        <v>42243</v>
      </c>
    </row>
    <row r="138" spans="1:1" ht="13.5" customHeight="1">
      <c r="A138" s="1059">
        <v>42244</v>
      </c>
    </row>
    <row r="139" spans="1:1" ht="13.5" customHeight="1">
      <c r="A139" s="1059">
        <v>42247</v>
      </c>
    </row>
    <row r="140" spans="1:1" ht="13.5" customHeight="1">
      <c r="A140" s="1059">
        <v>42248</v>
      </c>
    </row>
    <row r="141" spans="1:1" ht="13.5" customHeight="1">
      <c r="A141" s="1059">
        <v>42249</v>
      </c>
    </row>
    <row r="142" spans="1:1" ht="13.5" customHeight="1">
      <c r="A142" s="1059">
        <v>42250</v>
      </c>
    </row>
    <row r="143" spans="1:1" ht="13.5" customHeight="1">
      <c r="A143" s="1059">
        <v>42251</v>
      </c>
    </row>
    <row r="144" spans="1:1" ht="13.5" customHeight="1">
      <c r="A144" s="1059">
        <v>42255</v>
      </c>
    </row>
    <row r="145" spans="1:1" ht="13.5" customHeight="1">
      <c r="A145" s="1059">
        <v>42256</v>
      </c>
    </row>
    <row r="146" spans="1:1" ht="13.5" customHeight="1">
      <c r="A146" s="1059">
        <v>42257</v>
      </c>
    </row>
    <row r="147" spans="1:1" ht="13.5" customHeight="1">
      <c r="A147" s="1059">
        <v>42258</v>
      </c>
    </row>
    <row r="148" spans="1:1" ht="13.5" customHeight="1">
      <c r="A148" s="1059">
        <v>42261</v>
      </c>
    </row>
    <row r="149" spans="1:1" ht="13.5" customHeight="1">
      <c r="A149" s="1059">
        <v>42262</v>
      </c>
    </row>
    <row r="150" spans="1:1" ht="13.5" customHeight="1">
      <c r="A150" s="1059">
        <v>42263</v>
      </c>
    </row>
    <row r="151" spans="1:1" ht="13.5" customHeight="1">
      <c r="A151" s="1059">
        <v>42264</v>
      </c>
    </row>
    <row r="152" spans="1:1" ht="13.5" customHeight="1">
      <c r="A152" s="1059">
        <v>42265</v>
      </c>
    </row>
    <row r="153" spans="1:1" ht="13.5" customHeight="1">
      <c r="A153" s="1059">
        <v>42268</v>
      </c>
    </row>
    <row r="154" spans="1:1" ht="13.5" customHeight="1">
      <c r="A154" s="1059">
        <v>42269</v>
      </c>
    </row>
    <row r="155" spans="1:1" ht="13.5" customHeight="1">
      <c r="A155" s="1059">
        <v>42270</v>
      </c>
    </row>
    <row r="156" spans="1:1" ht="13.5" customHeight="1">
      <c r="A156" s="1059">
        <v>42271</v>
      </c>
    </row>
    <row r="157" spans="1:1" ht="13.5" customHeight="1">
      <c r="A157" s="1059">
        <v>42272</v>
      </c>
    </row>
    <row r="158" spans="1:1" ht="13.5" customHeight="1">
      <c r="A158" s="1059">
        <v>42275</v>
      </c>
    </row>
    <row r="159" spans="1:1" ht="13.5" customHeight="1">
      <c r="A159" s="1059">
        <v>42276</v>
      </c>
    </row>
    <row r="160" spans="1:1" ht="13.5" customHeight="1">
      <c r="A160" s="1059">
        <v>42277</v>
      </c>
    </row>
    <row r="161" spans="1:1" ht="13.5" customHeight="1">
      <c r="A161" s="1059">
        <v>42278</v>
      </c>
    </row>
    <row r="162" spans="1:1" ht="13.5" customHeight="1">
      <c r="A162" s="1059">
        <v>42279</v>
      </c>
    </row>
    <row r="163" spans="1:1" ht="13.5" customHeight="1">
      <c r="A163" s="1059">
        <v>42282</v>
      </c>
    </row>
    <row r="164" spans="1:1" ht="13.5" customHeight="1">
      <c r="A164" s="1059">
        <v>42283</v>
      </c>
    </row>
    <row r="165" spans="1:1" ht="13.5" customHeight="1">
      <c r="A165" s="1059">
        <v>42284</v>
      </c>
    </row>
    <row r="166" spans="1:1" ht="13.5" customHeight="1">
      <c r="A166" s="1059">
        <v>42285</v>
      </c>
    </row>
    <row r="167" spans="1:1" ht="13.5" customHeight="1">
      <c r="A167" s="1059">
        <v>42286</v>
      </c>
    </row>
    <row r="168" spans="1:1" ht="13.5" customHeight="1">
      <c r="A168" s="1059">
        <v>42289</v>
      </c>
    </row>
    <row r="169" spans="1:1" ht="13.5" customHeight="1">
      <c r="A169" s="1059">
        <v>42290</v>
      </c>
    </row>
    <row r="170" spans="1:1" ht="13.5" customHeight="1">
      <c r="A170" s="1059">
        <v>42291</v>
      </c>
    </row>
    <row r="171" spans="1:1" ht="13.5" customHeight="1">
      <c r="A171" s="1059">
        <v>42292</v>
      </c>
    </row>
    <row r="172" spans="1:1" ht="13.5" customHeight="1">
      <c r="A172" s="1059">
        <v>42293</v>
      </c>
    </row>
    <row r="173" spans="1:1" ht="13.5" customHeight="1">
      <c r="A173" s="1059">
        <v>42296</v>
      </c>
    </row>
    <row r="174" spans="1:1" ht="13.5" customHeight="1">
      <c r="A174" s="1059">
        <v>42297</v>
      </c>
    </row>
    <row r="175" spans="1:1" ht="13.5" customHeight="1">
      <c r="A175" s="1059">
        <v>42298</v>
      </c>
    </row>
    <row r="176" spans="1:1" ht="13.5" customHeight="1">
      <c r="A176" s="1059">
        <v>42299</v>
      </c>
    </row>
    <row r="177" spans="1:1" ht="13.5" customHeight="1">
      <c r="A177" s="1059">
        <v>42300</v>
      </c>
    </row>
    <row r="178" spans="1:1" ht="13.5" customHeight="1">
      <c r="A178" s="1059">
        <v>42303</v>
      </c>
    </row>
    <row r="179" spans="1:1" ht="13.5" customHeight="1">
      <c r="A179" s="1059">
        <v>42304</v>
      </c>
    </row>
    <row r="180" spans="1:1" ht="13.5" customHeight="1">
      <c r="A180" s="1059">
        <v>42305</v>
      </c>
    </row>
    <row r="181" spans="1:1" ht="13.5" customHeight="1">
      <c r="A181" s="1059">
        <v>42306</v>
      </c>
    </row>
    <row r="182" spans="1:1" ht="13.5" customHeight="1">
      <c r="A182" s="1059">
        <v>42307</v>
      </c>
    </row>
    <row r="183" spans="1:1" ht="13.5" customHeight="1">
      <c r="A183" s="1059">
        <v>42310</v>
      </c>
    </row>
    <row r="184" spans="1:1" ht="13.5" customHeight="1">
      <c r="A184" s="1059">
        <v>42311</v>
      </c>
    </row>
    <row r="185" spans="1:1" ht="13.5" customHeight="1">
      <c r="A185" s="1059">
        <v>42312</v>
      </c>
    </row>
    <row r="186" spans="1:1" ht="13.5" customHeight="1">
      <c r="A186" s="1059">
        <v>42313</v>
      </c>
    </row>
    <row r="187" spans="1:1" ht="13.5" customHeight="1">
      <c r="A187" s="1059">
        <v>42314</v>
      </c>
    </row>
    <row r="188" spans="1:1" ht="13.5" customHeight="1">
      <c r="A188" s="1059">
        <v>42317</v>
      </c>
    </row>
    <row r="189" spans="1:1" ht="13.5" customHeight="1">
      <c r="A189" s="1059">
        <v>42318</v>
      </c>
    </row>
    <row r="190" spans="1:1" ht="13.5" customHeight="1">
      <c r="A190" s="1059">
        <v>42319</v>
      </c>
    </row>
    <row r="191" spans="1:1" ht="13.5" customHeight="1">
      <c r="A191" s="1059">
        <v>42320</v>
      </c>
    </row>
    <row r="192" spans="1:1" ht="13.5" customHeight="1">
      <c r="A192" s="1059">
        <v>42321</v>
      </c>
    </row>
    <row r="193" spans="1:1" ht="13.5" customHeight="1">
      <c r="A193" s="1059">
        <v>42324</v>
      </c>
    </row>
    <row r="194" spans="1:1" ht="13.5" customHeight="1">
      <c r="A194" s="1059">
        <v>42325</v>
      </c>
    </row>
    <row r="195" spans="1:1" ht="13.5" customHeight="1">
      <c r="A195" s="1059">
        <v>42326</v>
      </c>
    </row>
    <row r="196" spans="1:1" ht="13.5" customHeight="1">
      <c r="A196" s="1059">
        <v>42327</v>
      </c>
    </row>
    <row r="197" spans="1:1" ht="13.5" customHeight="1">
      <c r="A197" s="1059">
        <v>42328</v>
      </c>
    </row>
    <row r="198" spans="1:1" ht="13.5" customHeight="1">
      <c r="A198" s="1059">
        <v>42331</v>
      </c>
    </row>
    <row r="199" spans="1:1" ht="13.5" customHeight="1">
      <c r="A199" s="1059">
        <v>42332</v>
      </c>
    </row>
    <row r="200" spans="1:1" ht="13.5" customHeight="1">
      <c r="A200" s="1059">
        <v>42333</v>
      </c>
    </row>
    <row r="201" spans="1:1" ht="13.5" customHeight="1">
      <c r="A201" s="1059">
        <v>42335</v>
      </c>
    </row>
    <row r="202" spans="1:1" ht="13.5" customHeight="1">
      <c r="A202" s="1059">
        <v>42338</v>
      </c>
    </row>
    <row r="203" spans="1:1" ht="13.5" customHeight="1">
      <c r="A203" s="1059">
        <v>42339</v>
      </c>
    </row>
    <row r="204" spans="1:1" ht="13.5" customHeight="1">
      <c r="A204" s="1059">
        <v>42340</v>
      </c>
    </row>
    <row r="205" spans="1:1" ht="13.5" customHeight="1">
      <c r="A205" s="1059">
        <v>42341</v>
      </c>
    </row>
    <row r="206" spans="1:1" ht="13.5" customHeight="1">
      <c r="A206" s="1059">
        <v>42342</v>
      </c>
    </row>
    <row r="207" spans="1:1" ht="13.5" customHeight="1">
      <c r="A207" s="1059">
        <v>42345</v>
      </c>
    </row>
    <row r="208" spans="1:1" ht="13.5" customHeight="1">
      <c r="A208" s="1059">
        <v>42346</v>
      </c>
    </row>
    <row r="209" spans="1:1" ht="13.5" customHeight="1">
      <c r="A209" s="1059">
        <v>42347</v>
      </c>
    </row>
    <row r="210" spans="1:1" ht="13.5" customHeight="1">
      <c r="A210" s="1059">
        <v>42348</v>
      </c>
    </row>
    <row r="211" spans="1:1" ht="13.5" customHeight="1">
      <c r="A211" s="1059">
        <v>42349</v>
      </c>
    </row>
    <row r="212" spans="1:1" ht="13.5" customHeight="1">
      <c r="A212" s="1059">
        <v>42352</v>
      </c>
    </row>
    <row r="213" spans="1:1" ht="13.5" customHeight="1">
      <c r="A213" s="1059">
        <v>42353</v>
      </c>
    </row>
    <row r="214" spans="1:1" ht="13.5" customHeight="1">
      <c r="A214" s="1059">
        <v>42354</v>
      </c>
    </row>
    <row r="215" spans="1:1" ht="13.5" customHeight="1">
      <c r="A215" s="1059">
        <v>42355</v>
      </c>
    </row>
    <row r="216" spans="1:1" ht="13.5" customHeight="1">
      <c r="A216" s="1059">
        <v>42356</v>
      </c>
    </row>
    <row r="217" spans="1:1" ht="13.5" customHeight="1">
      <c r="A217" s="1059">
        <v>42359</v>
      </c>
    </row>
    <row r="218" spans="1:1" ht="13.5" customHeight="1">
      <c r="A218" s="1059">
        <v>42360</v>
      </c>
    </row>
    <row r="219" spans="1:1" ht="13.5" customHeight="1">
      <c r="A219" s="1059">
        <v>42361</v>
      </c>
    </row>
    <row r="220" spans="1:1" ht="13.5" customHeight="1">
      <c r="A220" s="1059">
        <v>42362</v>
      </c>
    </row>
    <row r="221" spans="1:1" ht="13.5" customHeight="1">
      <c r="A221" s="1059">
        <v>42366</v>
      </c>
    </row>
    <row r="222" spans="1:1" ht="13.5" customHeight="1">
      <c r="A222" s="1059">
        <v>42367</v>
      </c>
    </row>
    <row r="223" spans="1:1" ht="13.5" customHeight="1">
      <c r="A223" s="1059">
        <v>42368</v>
      </c>
    </row>
    <row r="224" spans="1:1" ht="13.5" customHeight="1">
      <c r="A224" s="1059">
        <v>42369</v>
      </c>
    </row>
    <row r="225" spans="1:1" ht="13.5" customHeight="1">
      <c r="A225" s="1059">
        <v>42373</v>
      </c>
    </row>
    <row r="226" spans="1:1" ht="13.5" customHeight="1">
      <c r="A226" s="1059">
        <v>42374</v>
      </c>
    </row>
    <row r="227" spans="1:1" ht="13.5" customHeight="1">
      <c r="A227" s="1059">
        <v>42375</v>
      </c>
    </row>
    <row r="228" spans="1:1" ht="13.5" customHeight="1">
      <c r="A228" s="1059">
        <v>42376</v>
      </c>
    </row>
    <row r="229" spans="1:1" ht="13.5" customHeight="1">
      <c r="A229" s="1059">
        <v>42377</v>
      </c>
    </row>
    <row r="230" spans="1:1" ht="13.5" customHeight="1">
      <c r="A230" s="1059">
        <v>42380</v>
      </c>
    </row>
    <row r="231" spans="1:1" ht="13.5" customHeight="1">
      <c r="A231" s="1059">
        <v>42381</v>
      </c>
    </row>
    <row r="232" spans="1:1" ht="13.5" customHeight="1">
      <c r="A232" s="1059">
        <v>42382</v>
      </c>
    </row>
    <row r="233" spans="1:1" ht="13.5" customHeight="1">
      <c r="A233" s="1059">
        <v>42383</v>
      </c>
    </row>
    <row r="234" spans="1:1" ht="13.5" customHeight="1">
      <c r="A234" s="1059">
        <v>42384</v>
      </c>
    </row>
    <row r="235" spans="1:1" ht="13.5" customHeight="1">
      <c r="A235" s="1059">
        <v>42388</v>
      </c>
    </row>
    <row r="236" spans="1:1" ht="13.5" customHeight="1">
      <c r="A236" s="1059">
        <v>42389</v>
      </c>
    </row>
    <row r="237" spans="1:1" ht="13.5" customHeight="1">
      <c r="A237" s="1059">
        <v>42390</v>
      </c>
    </row>
    <row r="238" spans="1:1" ht="13.5" customHeight="1">
      <c r="A238" s="1059">
        <v>42391</v>
      </c>
    </row>
    <row r="239" spans="1:1" ht="13.5" customHeight="1">
      <c r="A239" s="1059">
        <v>42394</v>
      </c>
    </row>
    <row r="240" spans="1:1" ht="13.5" customHeight="1">
      <c r="A240" s="1059">
        <v>42395</v>
      </c>
    </row>
    <row r="241" spans="1:1" ht="13.5" customHeight="1">
      <c r="A241" s="1059">
        <v>42396</v>
      </c>
    </row>
    <row r="242" spans="1:1" ht="13.5" customHeight="1">
      <c r="A242" s="1059">
        <v>42397</v>
      </c>
    </row>
    <row r="243" spans="1:1" ht="13.5" customHeight="1">
      <c r="A243" s="1059">
        <v>42398</v>
      </c>
    </row>
    <row r="244" spans="1:1" ht="13.5" customHeight="1">
      <c r="A244" s="1059">
        <v>42401</v>
      </c>
    </row>
    <row r="245" spans="1:1" ht="13.5" customHeight="1">
      <c r="A245" s="1059">
        <v>42402</v>
      </c>
    </row>
    <row r="246" spans="1:1" ht="13.5" customHeight="1">
      <c r="A246" s="1059">
        <v>42403</v>
      </c>
    </row>
    <row r="247" spans="1:1" ht="13.5" customHeight="1">
      <c r="A247" s="1059">
        <v>42404</v>
      </c>
    </row>
    <row r="248" spans="1:1" ht="13.5" customHeight="1">
      <c r="A248" s="1059">
        <v>42405</v>
      </c>
    </row>
    <row r="249" spans="1:1" ht="13.5" customHeight="1">
      <c r="A249" s="1059">
        <v>42408</v>
      </c>
    </row>
    <row r="250" spans="1:1" ht="13.5" customHeight="1">
      <c r="A250" s="1059">
        <v>42409</v>
      </c>
    </row>
    <row r="251" spans="1:1" ht="13.5" customHeight="1">
      <c r="A251" s="1059">
        <v>42410</v>
      </c>
    </row>
    <row r="252" spans="1:1" ht="13.5" customHeight="1">
      <c r="A252" s="1059">
        <v>42411</v>
      </c>
    </row>
    <row r="253" spans="1:1" ht="13.5" customHeight="1">
      <c r="A253" s="1059">
        <v>42412</v>
      </c>
    </row>
    <row r="254" spans="1:1" ht="13.5" customHeight="1">
      <c r="A254" s="1059">
        <v>42416</v>
      </c>
    </row>
    <row r="255" spans="1:1" ht="13.5" customHeight="1">
      <c r="A255" s="1059">
        <v>42417</v>
      </c>
    </row>
    <row r="256" spans="1:1" ht="13.5" customHeight="1">
      <c r="A256" s="1059">
        <v>42418</v>
      </c>
    </row>
    <row r="257" spans="1:1" ht="13.5" customHeight="1">
      <c r="A257" s="1059">
        <v>42419</v>
      </c>
    </row>
    <row r="258" spans="1:1" ht="13.5" customHeight="1">
      <c r="A258" s="1059">
        <v>42422</v>
      </c>
    </row>
    <row r="259" spans="1:1" ht="13.5" customHeight="1">
      <c r="A259" s="1059">
        <v>42423</v>
      </c>
    </row>
    <row r="260" spans="1:1" ht="13.5" customHeight="1">
      <c r="A260" s="1059">
        <v>42424</v>
      </c>
    </row>
    <row r="261" spans="1:1" ht="13.5" customHeight="1">
      <c r="A261" s="1059">
        <v>42425</v>
      </c>
    </row>
    <row r="262" spans="1:1" ht="13.5" customHeight="1">
      <c r="A262" s="1059">
        <v>42426</v>
      </c>
    </row>
    <row r="263" spans="1:1" ht="13.5" customHeight="1">
      <c r="A263" s="1059">
        <v>42429</v>
      </c>
    </row>
    <row r="264" spans="1:1" ht="13.5" customHeight="1">
      <c r="A264" s="1059">
        <v>42430</v>
      </c>
    </row>
    <row r="265" spans="1:1" ht="13.5" customHeight="1">
      <c r="A265" s="1059">
        <v>42431</v>
      </c>
    </row>
    <row r="266" spans="1:1" ht="13.5" customHeight="1">
      <c r="A266" s="1059">
        <v>42432</v>
      </c>
    </row>
    <row r="267" spans="1:1" ht="13.5" customHeight="1">
      <c r="A267" s="1059">
        <v>42433</v>
      </c>
    </row>
    <row r="268" spans="1:1" ht="13.5" customHeight="1">
      <c r="A268" s="1059">
        <v>42436</v>
      </c>
    </row>
    <row r="269" spans="1:1" ht="13.5" customHeight="1">
      <c r="A269" s="1059">
        <v>42437</v>
      </c>
    </row>
    <row r="270" spans="1:1" ht="13.5" customHeight="1">
      <c r="A270" s="1059">
        <v>42438</v>
      </c>
    </row>
    <row r="271" spans="1:1" ht="13.5" customHeight="1">
      <c r="A271" s="1059">
        <v>42439</v>
      </c>
    </row>
    <row r="272" spans="1:1" ht="13.5" customHeight="1">
      <c r="A272" s="1059">
        <v>42440</v>
      </c>
    </row>
    <row r="273" spans="1:1" ht="13.5" customHeight="1">
      <c r="A273" s="1059">
        <v>42443</v>
      </c>
    </row>
    <row r="274" spans="1:1" ht="13.5" customHeight="1">
      <c r="A274" s="1059">
        <v>42444</v>
      </c>
    </row>
    <row r="275" spans="1:1" ht="13.5" customHeight="1">
      <c r="A275" s="1059">
        <v>42445</v>
      </c>
    </row>
    <row r="276" spans="1:1" ht="13.5" customHeight="1">
      <c r="A276" s="1059">
        <v>42446</v>
      </c>
    </row>
    <row r="277" spans="1:1" ht="13.5" customHeight="1">
      <c r="A277" s="1059">
        <v>42447</v>
      </c>
    </row>
    <row r="278" spans="1:1" ht="13.5" customHeight="1">
      <c r="A278" s="1059">
        <v>42450</v>
      </c>
    </row>
    <row r="279" spans="1:1" ht="13.5" customHeight="1">
      <c r="A279" s="1059">
        <v>42451</v>
      </c>
    </row>
    <row r="280" spans="1:1" ht="13.5" customHeight="1">
      <c r="A280" s="1059">
        <v>42452</v>
      </c>
    </row>
    <row r="281" spans="1:1" ht="13.5" customHeight="1">
      <c r="A281" s="1059">
        <v>42453</v>
      </c>
    </row>
    <row r="282" spans="1:1" ht="13.5" customHeight="1">
      <c r="A282" s="1059">
        <v>42457</v>
      </c>
    </row>
    <row r="283" spans="1:1" ht="13.5" customHeight="1">
      <c r="A283" s="1059">
        <v>42458</v>
      </c>
    </row>
    <row r="284" spans="1:1" ht="13.5" customHeight="1">
      <c r="A284" s="1059">
        <v>42459</v>
      </c>
    </row>
    <row r="285" spans="1:1" ht="13.5" customHeight="1">
      <c r="A285" s="1059">
        <v>42460</v>
      </c>
    </row>
    <row r="286" spans="1:1" ht="13.5" customHeight="1">
      <c r="A286" s="1059">
        <v>42461</v>
      </c>
    </row>
    <row r="287" spans="1:1" ht="13.5" customHeight="1">
      <c r="A287" s="1059">
        <v>42464</v>
      </c>
    </row>
    <row r="288" spans="1:1" ht="13.5" customHeight="1">
      <c r="A288" s="1059">
        <v>42465</v>
      </c>
    </row>
    <row r="289" spans="1:1" ht="13.5" customHeight="1">
      <c r="A289" s="1059">
        <v>42466</v>
      </c>
    </row>
    <row r="290" spans="1:1" ht="13.5" customHeight="1">
      <c r="A290" s="1059">
        <v>42467</v>
      </c>
    </row>
    <row r="291" spans="1:1" ht="13.5" customHeight="1">
      <c r="A291" s="1059">
        <v>42468</v>
      </c>
    </row>
    <row r="292" spans="1:1" ht="13.5" customHeight="1">
      <c r="A292" s="1059">
        <v>42471</v>
      </c>
    </row>
    <row r="293" spans="1:1" ht="13.5" customHeight="1">
      <c r="A293" s="1059">
        <v>42472</v>
      </c>
    </row>
    <row r="294" spans="1:1" ht="13.5" customHeight="1">
      <c r="A294" s="1059">
        <v>42473</v>
      </c>
    </row>
    <row r="295" spans="1:1" ht="13.5" customHeight="1">
      <c r="A295" s="1059">
        <v>42474</v>
      </c>
    </row>
    <row r="296" spans="1:1" ht="13.5" customHeight="1">
      <c r="A296" s="1059">
        <v>42475</v>
      </c>
    </row>
    <row r="297" spans="1:1" ht="13.5" customHeight="1">
      <c r="A297" s="1059">
        <v>42478</v>
      </c>
    </row>
    <row r="298" spans="1:1" ht="13.5" customHeight="1">
      <c r="A298" s="1059">
        <v>42479</v>
      </c>
    </row>
    <row r="299" spans="1:1" ht="13.5" customHeight="1">
      <c r="A299" s="1059">
        <v>42480</v>
      </c>
    </row>
    <row r="300" spans="1:1" ht="13.5" customHeight="1">
      <c r="A300" s="1059">
        <v>42481</v>
      </c>
    </row>
    <row r="301" spans="1:1" ht="13.5" customHeight="1">
      <c r="A301" s="1059">
        <v>42482</v>
      </c>
    </row>
    <row r="302" spans="1:1" ht="13.5" customHeight="1">
      <c r="A302" s="1059">
        <v>42485</v>
      </c>
    </row>
    <row r="303" spans="1:1" ht="13.5" customHeight="1">
      <c r="A303" s="1059">
        <v>42486</v>
      </c>
    </row>
    <row r="304" spans="1:1" ht="13.5" customHeight="1">
      <c r="A304" s="1059">
        <v>42487</v>
      </c>
    </row>
    <row r="305" spans="1:1" ht="13.5" customHeight="1">
      <c r="A305" s="1059">
        <v>42488</v>
      </c>
    </row>
    <row r="306" spans="1:1" ht="13.5" customHeight="1">
      <c r="A306" s="1059">
        <v>42489</v>
      </c>
    </row>
    <row r="307" spans="1:1" ht="13.5" customHeight="1">
      <c r="A307" s="1059">
        <v>42492</v>
      </c>
    </row>
    <row r="308" spans="1:1" ht="13.5" customHeight="1">
      <c r="A308" s="1059">
        <v>42493</v>
      </c>
    </row>
    <row r="309" spans="1:1" ht="13.5" customHeight="1">
      <c r="A309" s="1059">
        <v>42494</v>
      </c>
    </row>
    <row r="310" spans="1:1" ht="13.5" customHeight="1">
      <c r="A310" s="1059">
        <v>42495</v>
      </c>
    </row>
    <row r="311" spans="1:1" ht="13.5" customHeight="1">
      <c r="A311" s="1059">
        <v>42496</v>
      </c>
    </row>
    <row r="312" spans="1:1" ht="13.5" customHeight="1">
      <c r="A312" s="1059">
        <v>42499</v>
      </c>
    </row>
    <row r="313" spans="1:1" ht="13.5" customHeight="1">
      <c r="A313" s="1059">
        <v>42500</v>
      </c>
    </row>
    <row r="314" spans="1:1" ht="13.5" customHeight="1">
      <c r="A314" s="1059">
        <v>42501</v>
      </c>
    </row>
    <row r="315" spans="1:1" ht="13.5" customHeight="1">
      <c r="A315" s="1059">
        <v>42502</v>
      </c>
    </row>
    <row r="316" spans="1:1" ht="13.5" customHeight="1">
      <c r="A316" s="1059">
        <v>42503</v>
      </c>
    </row>
    <row r="317" spans="1:1" ht="13.5" customHeight="1">
      <c r="A317" s="1059">
        <v>42506</v>
      </c>
    </row>
    <row r="318" spans="1:1" ht="13.5" customHeight="1">
      <c r="A318" s="1059">
        <v>42507</v>
      </c>
    </row>
    <row r="319" spans="1:1" ht="13.5" customHeight="1">
      <c r="A319" s="1059">
        <v>42508</v>
      </c>
    </row>
    <row r="320" spans="1:1" ht="13.5" customHeight="1">
      <c r="A320" s="1059">
        <v>42509</v>
      </c>
    </row>
    <row r="321" spans="1:1" ht="13.5" customHeight="1">
      <c r="A321" s="1059">
        <v>42510</v>
      </c>
    </row>
    <row r="322" spans="1:1" ht="13.5" customHeight="1">
      <c r="A322" s="1059">
        <v>42513</v>
      </c>
    </row>
    <row r="323" spans="1:1" ht="13.5" customHeight="1">
      <c r="A323" s="1059">
        <v>42514</v>
      </c>
    </row>
    <row r="324" spans="1:1" ht="13.5" customHeight="1">
      <c r="A324" s="1059">
        <v>42515</v>
      </c>
    </row>
    <row r="325" spans="1:1" ht="13.5" customHeight="1">
      <c r="A325" s="1059">
        <v>42516</v>
      </c>
    </row>
    <row r="326" spans="1:1" ht="13.5" customHeight="1">
      <c r="A326" s="1059">
        <v>42517</v>
      </c>
    </row>
    <row r="327" spans="1:1" ht="13.5" customHeight="1">
      <c r="A327" s="1059">
        <v>42521</v>
      </c>
    </row>
    <row r="328" spans="1:1" ht="13.5" customHeight="1">
      <c r="A328" s="1059">
        <v>42522</v>
      </c>
    </row>
    <row r="329" spans="1:1" ht="13.5" customHeight="1">
      <c r="A329" s="1059">
        <v>42523</v>
      </c>
    </row>
    <row r="330" spans="1:1" ht="13.5" customHeight="1">
      <c r="A330" s="1059">
        <v>42524</v>
      </c>
    </row>
    <row r="331" spans="1:1" ht="13.5" customHeight="1">
      <c r="A331" s="1059">
        <v>42527</v>
      </c>
    </row>
    <row r="332" spans="1:1" ht="13.5" customHeight="1">
      <c r="A332" s="1059">
        <v>42528</v>
      </c>
    </row>
    <row r="333" spans="1:1" ht="13.5" customHeight="1">
      <c r="A333" s="1059">
        <v>42529</v>
      </c>
    </row>
    <row r="334" spans="1:1" ht="13.5" customHeight="1">
      <c r="A334" s="1059">
        <v>42530</v>
      </c>
    </row>
    <row r="335" spans="1:1" ht="13.5" customHeight="1">
      <c r="A335" s="1059">
        <v>42531</v>
      </c>
    </row>
    <row r="336" spans="1:1" ht="13.5" customHeight="1">
      <c r="A336" s="1059">
        <v>42534</v>
      </c>
    </row>
    <row r="337" spans="1:1" ht="13.5" customHeight="1">
      <c r="A337" s="1059">
        <v>42535</v>
      </c>
    </row>
    <row r="338" spans="1:1" ht="13.5" customHeight="1">
      <c r="A338" s="1059">
        <v>42536</v>
      </c>
    </row>
    <row r="339" spans="1:1" ht="13.5" customHeight="1">
      <c r="A339" s="1059">
        <v>42537</v>
      </c>
    </row>
    <row r="340" spans="1:1" ht="13.5" customHeight="1">
      <c r="A340" s="1059">
        <v>42538</v>
      </c>
    </row>
    <row r="341" spans="1:1" ht="13.5" customHeight="1">
      <c r="A341" s="1059">
        <v>42541</v>
      </c>
    </row>
    <row r="342" spans="1:1" ht="13.5" customHeight="1">
      <c r="A342" s="1059">
        <v>42542</v>
      </c>
    </row>
    <row r="343" spans="1:1" ht="13.5" customHeight="1">
      <c r="A343" s="1059">
        <v>42543</v>
      </c>
    </row>
    <row r="344" spans="1:1" ht="13.5" customHeight="1">
      <c r="A344" s="1059">
        <v>42544</v>
      </c>
    </row>
    <row r="345" spans="1:1" ht="13.5" customHeight="1">
      <c r="A345" s="1059">
        <v>42545</v>
      </c>
    </row>
    <row r="346" spans="1:1" ht="13.5" customHeight="1">
      <c r="A346" s="1059">
        <v>42548</v>
      </c>
    </row>
    <row r="347" spans="1:1" ht="13.5" customHeight="1">
      <c r="A347" s="1059">
        <v>42549</v>
      </c>
    </row>
    <row r="348" spans="1:1" ht="13.5" customHeight="1">
      <c r="A348" s="1059">
        <v>42550</v>
      </c>
    </row>
    <row r="349" spans="1:1" ht="13.5" customHeight="1">
      <c r="A349" s="1059">
        <v>42551</v>
      </c>
    </row>
    <row r="350" spans="1:1" ht="13.5" customHeight="1">
      <c r="A350" s="1059">
        <v>42552</v>
      </c>
    </row>
    <row r="351" spans="1:1" ht="13.5" customHeight="1">
      <c r="A351" s="1059">
        <v>42556</v>
      </c>
    </row>
    <row r="352" spans="1:1" ht="13.5" customHeight="1">
      <c r="A352" s="1059">
        <v>42557</v>
      </c>
    </row>
    <row r="353" spans="1:1" ht="13.5" customHeight="1">
      <c r="A353" s="1059">
        <v>42558</v>
      </c>
    </row>
    <row r="354" spans="1:1" ht="13.5" customHeight="1">
      <c r="A354" s="1059">
        <v>42559</v>
      </c>
    </row>
    <row r="355" spans="1:1" ht="13.5" customHeight="1">
      <c r="A355" s="1059">
        <v>42562</v>
      </c>
    </row>
    <row r="356" spans="1:1" ht="13.5" customHeight="1">
      <c r="A356" s="1059">
        <v>42563</v>
      </c>
    </row>
    <row r="357" spans="1:1" ht="13.5" customHeight="1">
      <c r="A357" s="1059">
        <v>42564</v>
      </c>
    </row>
    <row r="358" spans="1:1" ht="13.5" customHeight="1">
      <c r="A358" s="1059">
        <v>42565</v>
      </c>
    </row>
    <row r="359" spans="1:1" ht="13.5" customHeight="1">
      <c r="A359" s="1059">
        <v>42566</v>
      </c>
    </row>
    <row r="360" spans="1:1" ht="13.5" customHeight="1">
      <c r="A360" s="1059">
        <v>42569</v>
      </c>
    </row>
    <row r="361" spans="1:1" ht="13.5" customHeight="1">
      <c r="A361" s="1059">
        <v>42570</v>
      </c>
    </row>
    <row r="362" spans="1:1" ht="13.5" customHeight="1">
      <c r="A362" s="1059">
        <v>42571</v>
      </c>
    </row>
    <row r="363" spans="1:1" ht="13.5" customHeight="1">
      <c r="A363" s="1059">
        <v>42572</v>
      </c>
    </row>
    <row r="364" spans="1:1" ht="13.5" customHeight="1">
      <c r="A364" s="1059">
        <v>42573</v>
      </c>
    </row>
    <row r="365" spans="1:1" ht="13.5" customHeight="1">
      <c r="A365" s="1059">
        <v>42576</v>
      </c>
    </row>
    <row r="366" spans="1:1" ht="13.5" customHeight="1">
      <c r="A366" s="1059">
        <v>42577</v>
      </c>
    </row>
    <row r="367" spans="1:1" ht="13.5" customHeight="1">
      <c r="A367" s="1059">
        <v>42578</v>
      </c>
    </row>
    <row r="368" spans="1:1" ht="13.5" customHeight="1">
      <c r="A368" s="1059">
        <v>42579</v>
      </c>
    </row>
    <row r="369" spans="1:1" ht="13.5" customHeight="1">
      <c r="A369" s="1059">
        <v>42580</v>
      </c>
    </row>
    <row r="370" spans="1:1" ht="13.5" customHeight="1">
      <c r="A370" s="1059">
        <v>42583</v>
      </c>
    </row>
    <row r="371" spans="1:1" ht="13.5" customHeight="1">
      <c r="A371" s="1059">
        <v>42584</v>
      </c>
    </row>
    <row r="372" spans="1:1" ht="13.5" customHeight="1">
      <c r="A372" s="1059">
        <v>42585</v>
      </c>
    </row>
    <row r="373" spans="1:1" ht="13.5" customHeight="1">
      <c r="A373" s="1059">
        <v>42586</v>
      </c>
    </row>
    <row r="374" spans="1:1" ht="13.5" customHeight="1">
      <c r="A374" s="1059">
        <v>42587</v>
      </c>
    </row>
    <row r="375" spans="1:1" ht="13.5" customHeight="1">
      <c r="A375" s="1059">
        <v>42590</v>
      </c>
    </row>
    <row r="376" spans="1:1" ht="13.5" customHeight="1">
      <c r="A376" s="1059">
        <v>42591</v>
      </c>
    </row>
    <row r="377" spans="1:1" ht="13.5" customHeight="1">
      <c r="A377" s="1059">
        <v>42592</v>
      </c>
    </row>
    <row r="378" spans="1:1" ht="13.5" customHeight="1">
      <c r="A378" s="1059">
        <v>42593</v>
      </c>
    </row>
    <row r="379" spans="1:1" ht="13.5" customHeight="1">
      <c r="A379" s="1059">
        <v>42594</v>
      </c>
    </row>
    <row r="380" spans="1:1" ht="13.5" customHeight="1">
      <c r="A380" s="1059">
        <v>42597</v>
      </c>
    </row>
    <row r="381" spans="1:1" ht="13.5" customHeight="1">
      <c r="A381" s="1059">
        <v>42598</v>
      </c>
    </row>
    <row r="382" spans="1:1" ht="13.5" customHeight="1">
      <c r="A382" s="1059">
        <v>42599</v>
      </c>
    </row>
    <row r="383" spans="1:1" ht="13.5" customHeight="1">
      <c r="A383" s="1059">
        <v>42600</v>
      </c>
    </row>
    <row r="384" spans="1:1" ht="13.5" customHeight="1">
      <c r="A384" s="1059">
        <v>42601</v>
      </c>
    </row>
    <row r="385" spans="1:1" ht="13.5" customHeight="1">
      <c r="A385" s="1059">
        <v>42604</v>
      </c>
    </row>
    <row r="386" spans="1:1" ht="13.5" customHeight="1">
      <c r="A386" s="1059">
        <v>42605</v>
      </c>
    </row>
    <row r="387" spans="1:1" ht="13.5" customHeight="1">
      <c r="A387" s="1059">
        <v>42606</v>
      </c>
    </row>
    <row r="388" spans="1:1" ht="13.5" customHeight="1">
      <c r="A388" s="1059">
        <v>42607</v>
      </c>
    </row>
    <row r="389" spans="1:1" ht="13.5" customHeight="1">
      <c r="A389" s="1059">
        <v>42608</v>
      </c>
    </row>
    <row r="390" spans="1:1" ht="13.5" customHeight="1">
      <c r="A390" s="1059">
        <v>42611</v>
      </c>
    </row>
    <row r="391" spans="1:1" ht="13.5" customHeight="1">
      <c r="A391" s="1059">
        <v>42612</v>
      </c>
    </row>
    <row r="392" spans="1:1" ht="13.5" customHeight="1">
      <c r="A392" s="1059">
        <v>42613</v>
      </c>
    </row>
    <row r="393" spans="1:1" ht="13.5" customHeight="1">
      <c r="A393" s="1059">
        <v>42614</v>
      </c>
    </row>
    <row r="394" spans="1:1" ht="13.5" customHeight="1">
      <c r="A394" s="1059">
        <v>42615</v>
      </c>
    </row>
    <row r="395" spans="1:1" ht="13.5" customHeight="1">
      <c r="A395" s="1059">
        <v>42619</v>
      </c>
    </row>
    <row r="396" spans="1:1" ht="13.5" customHeight="1">
      <c r="A396" s="1059">
        <v>42620</v>
      </c>
    </row>
    <row r="397" spans="1:1" ht="13.5" customHeight="1">
      <c r="A397" s="1059">
        <v>42621</v>
      </c>
    </row>
    <row r="398" spans="1:1" ht="13.5" customHeight="1">
      <c r="A398" s="1059">
        <v>42622</v>
      </c>
    </row>
    <row r="399" spans="1:1" ht="13.5" customHeight="1">
      <c r="A399" s="1059">
        <v>42625</v>
      </c>
    </row>
    <row r="400" spans="1:1" ht="13.5" customHeight="1">
      <c r="A400" s="1059">
        <v>42626</v>
      </c>
    </row>
    <row r="401" spans="1:1" ht="13.5" customHeight="1">
      <c r="A401" s="1059">
        <v>42627</v>
      </c>
    </row>
    <row r="402" spans="1:1" ht="13.5" customHeight="1">
      <c r="A402" s="1059">
        <v>42628</v>
      </c>
    </row>
    <row r="403" spans="1:1" ht="13.5" customHeight="1">
      <c r="A403" s="1059">
        <v>42629</v>
      </c>
    </row>
    <row r="404" spans="1:1" ht="13.5" customHeight="1">
      <c r="A404" s="1059">
        <v>42632</v>
      </c>
    </row>
    <row r="405" spans="1:1" ht="13.5" customHeight="1">
      <c r="A405" s="1059">
        <v>42633</v>
      </c>
    </row>
    <row r="406" spans="1:1" ht="13.5" customHeight="1">
      <c r="A406" s="1059">
        <v>42634</v>
      </c>
    </row>
    <row r="407" spans="1:1" ht="13.5" customHeight="1">
      <c r="A407" s="1059">
        <v>42635</v>
      </c>
    </row>
    <row r="408" spans="1:1" ht="13.5" customHeight="1">
      <c r="A408" s="1059">
        <v>42636</v>
      </c>
    </row>
    <row r="409" spans="1:1" ht="13.5" customHeight="1">
      <c r="A409" s="1059">
        <v>42639</v>
      </c>
    </row>
    <row r="410" spans="1:1" ht="13.5" customHeight="1">
      <c r="A410" s="1059">
        <v>42640</v>
      </c>
    </row>
    <row r="411" spans="1:1" ht="13.5" customHeight="1">
      <c r="A411" s="1059">
        <v>42641</v>
      </c>
    </row>
    <row r="412" spans="1:1" ht="13.5" customHeight="1">
      <c r="A412" s="1059">
        <v>42642</v>
      </c>
    </row>
    <row r="413" spans="1:1" ht="13.5" customHeight="1">
      <c r="A413" s="1059">
        <v>42643</v>
      </c>
    </row>
    <row r="414" spans="1:1" ht="13.5" customHeight="1">
      <c r="A414" s="1059">
        <v>42646</v>
      </c>
    </row>
    <row r="415" spans="1:1" ht="13.5" customHeight="1">
      <c r="A415" s="1059">
        <v>42647</v>
      </c>
    </row>
    <row r="416" spans="1:1" ht="13.5" customHeight="1">
      <c r="A416" s="1059">
        <v>42648</v>
      </c>
    </row>
    <row r="417" spans="1:1" ht="13.5" customHeight="1">
      <c r="A417" s="1059">
        <v>42649</v>
      </c>
    </row>
    <row r="418" spans="1:1" ht="13.5" customHeight="1">
      <c r="A418" s="1059">
        <v>42650</v>
      </c>
    </row>
    <row r="419" spans="1:1" ht="13.5" customHeight="1">
      <c r="A419" s="1059">
        <v>42653</v>
      </c>
    </row>
    <row r="420" spans="1:1" ht="13.5" customHeight="1">
      <c r="A420" s="1059">
        <v>42654</v>
      </c>
    </row>
    <row r="421" spans="1:1" ht="13.5" customHeight="1">
      <c r="A421" s="1059">
        <v>42655</v>
      </c>
    </row>
    <row r="422" spans="1:1" ht="13.5" customHeight="1">
      <c r="A422" s="1059">
        <v>42656</v>
      </c>
    </row>
    <row r="423" spans="1:1" ht="13.5" customHeight="1">
      <c r="A423" s="1059">
        <v>42657</v>
      </c>
    </row>
    <row r="424" spans="1:1" ht="13.5" customHeight="1">
      <c r="A424" s="1059">
        <v>42660</v>
      </c>
    </row>
    <row r="425" spans="1:1" ht="13.5" customHeight="1">
      <c r="A425" s="1059">
        <v>42661</v>
      </c>
    </row>
    <row r="426" spans="1:1" ht="13.5" customHeight="1">
      <c r="A426" s="1059">
        <v>42662</v>
      </c>
    </row>
    <row r="427" spans="1:1" ht="13.5" customHeight="1">
      <c r="A427" s="1059">
        <v>42663</v>
      </c>
    </row>
    <row r="428" spans="1:1" ht="13.5" customHeight="1">
      <c r="A428" s="1059">
        <v>42664</v>
      </c>
    </row>
    <row r="429" spans="1:1" ht="13.5" customHeight="1">
      <c r="A429" s="1059">
        <v>42667</v>
      </c>
    </row>
    <row r="430" spans="1:1" ht="13.5" customHeight="1">
      <c r="A430" s="1059">
        <v>42668</v>
      </c>
    </row>
    <row r="431" spans="1:1" ht="13.5" customHeight="1">
      <c r="A431" s="1059">
        <v>42669</v>
      </c>
    </row>
    <row r="432" spans="1:1" ht="13.5" customHeight="1">
      <c r="A432" s="1059">
        <v>42670</v>
      </c>
    </row>
    <row r="433" spans="1:1" ht="13.5" customHeight="1">
      <c r="A433" s="1059">
        <v>42671</v>
      </c>
    </row>
    <row r="434" spans="1:1" ht="13.5" customHeight="1">
      <c r="A434" s="1059">
        <v>42674</v>
      </c>
    </row>
    <row r="435" spans="1:1" ht="13.5" customHeight="1">
      <c r="A435" s="1059">
        <v>42675</v>
      </c>
    </row>
    <row r="436" spans="1:1" ht="13.5" customHeight="1">
      <c r="A436" s="1059">
        <v>42676</v>
      </c>
    </row>
    <row r="437" spans="1:1" ht="13.5" customHeight="1">
      <c r="A437" s="1059">
        <v>42677</v>
      </c>
    </row>
    <row r="438" spans="1:1" ht="13.5" customHeight="1">
      <c r="A438" s="1059">
        <v>42678</v>
      </c>
    </row>
    <row r="439" spans="1:1" ht="13.5" customHeight="1">
      <c r="A439" s="1059">
        <v>42681</v>
      </c>
    </row>
    <row r="440" spans="1:1" ht="13.5" customHeight="1">
      <c r="A440" s="1059">
        <v>42682</v>
      </c>
    </row>
    <row r="441" spans="1:1" ht="13.5" customHeight="1">
      <c r="A441" s="1059">
        <v>42683</v>
      </c>
    </row>
    <row r="442" spans="1:1" ht="13.5" customHeight="1">
      <c r="A442" s="1059">
        <v>42684</v>
      </c>
    </row>
    <row r="443" spans="1:1" ht="13.5" customHeight="1">
      <c r="A443" s="1059">
        <v>42685</v>
      </c>
    </row>
    <row r="444" spans="1:1" ht="13.5" customHeight="1">
      <c r="A444" s="1059">
        <v>42688</v>
      </c>
    </row>
    <row r="445" spans="1:1" ht="13.5" customHeight="1">
      <c r="A445" s="1059">
        <v>42689</v>
      </c>
    </row>
    <row r="446" spans="1:1" ht="13.5" customHeight="1">
      <c r="A446" s="1059">
        <v>42690</v>
      </c>
    </row>
    <row r="447" spans="1:1" ht="13.5" customHeight="1">
      <c r="A447" s="1059">
        <v>42691</v>
      </c>
    </row>
    <row r="448" spans="1:1" ht="13.5" customHeight="1">
      <c r="A448" s="1059">
        <v>42692</v>
      </c>
    </row>
    <row r="449" spans="1:1" ht="13.5" customHeight="1">
      <c r="A449" s="1059">
        <v>42695</v>
      </c>
    </row>
    <row r="450" spans="1:1" ht="13.5" customHeight="1">
      <c r="A450" s="1059">
        <v>42696</v>
      </c>
    </row>
    <row r="451" spans="1:1" ht="13.5" customHeight="1">
      <c r="A451" s="1059">
        <v>42697</v>
      </c>
    </row>
    <row r="452" spans="1:1" ht="13.5" customHeight="1">
      <c r="A452" s="1059">
        <v>42699</v>
      </c>
    </row>
    <row r="453" spans="1:1" ht="13.5" customHeight="1">
      <c r="A453" s="1059">
        <v>42702</v>
      </c>
    </row>
    <row r="454" spans="1:1" ht="13.5" customHeight="1">
      <c r="A454" s="1059">
        <v>42703</v>
      </c>
    </row>
    <row r="455" spans="1:1" ht="13.5" customHeight="1">
      <c r="A455" s="1059">
        <v>42704</v>
      </c>
    </row>
    <row r="456" spans="1:1" ht="13.5" customHeight="1">
      <c r="A456" s="1059">
        <v>42705</v>
      </c>
    </row>
    <row r="457" spans="1:1" ht="13.5" customHeight="1">
      <c r="A457" s="1059">
        <v>42706</v>
      </c>
    </row>
    <row r="458" spans="1:1" ht="13.5" customHeight="1">
      <c r="A458" s="1059">
        <v>42709</v>
      </c>
    </row>
    <row r="459" spans="1:1" ht="13.5" customHeight="1">
      <c r="A459" s="1059">
        <v>42710</v>
      </c>
    </row>
    <row r="460" spans="1:1" ht="13.5" customHeight="1">
      <c r="A460" s="1059">
        <v>42711</v>
      </c>
    </row>
    <row r="461" spans="1:1" ht="13.5" customHeight="1">
      <c r="A461" s="1059">
        <v>42712</v>
      </c>
    </row>
    <row r="462" spans="1:1" ht="13.5" customHeight="1">
      <c r="A462" s="1059">
        <v>42713</v>
      </c>
    </row>
    <row r="463" spans="1:1" ht="13.5" customHeight="1">
      <c r="A463" s="1059">
        <v>42716</v>
      </c>
    </row>
    <row r="464" spans="1:1" ht="13.5" customHeight="1">
      <c r="A464" s="1059">
        <v>42717</v>
      </c>
    </row>
    <row r="465" spans="1:1" ht="13.5" customHeight="1">
      <c r="A465" s="1059">
        <v>42718</v>
      </c>
    </row>
    <row r="466" spans="1:1" ht="13.5" customHeight="1">
      <c r="A466" s="1059">
        <v>42719</v>
      </c>
    </row>
    <row r="467" spans="1:1" ht="13.5" customHeight="1">
      <c r="A467" s="1059">
        <v>42720</v>
      </c>
    </row>
    <row r="468" spans="1:1" ht="13.5" customHeight="1">
      <c r="A468" s="1059">
        <v>42723</v>
      </c>
    </row>
    <row r="469" spans="1:1" ht="13.5" customHeight="1">
      <c r="A469" s="1059">
        <v>42724</v>
      </c>
    </row>
    <row r="470" spans="1:1" ht="13.5" customHeight="1">
      <c r="A470" s="1059">
        <v>42725</v>
      </c>
    </row>
    <row r="471" spans="1:1" ht="13.5" customHeight="1">
      <c r="A471" s="1059">
        <v>42726</v>
      </c>
    </row>
    <row r="472" spans="1:1" ht="13.5" customHeight="1">
      <c r="A472" s="1059">
        <v>42727</v>
      </c>
    </row>
    <row r="473" spans="1:1" ht="13.5" customHeight="1">
      <c r="A473" s="1059">
        <v>42731</v>
      </c>
    </row>
    <row r="474" spans="1:1" ht="13.5" customHeight="1">
      <c r="A474" s="1059">
        <v>42732</v>
      </c>
    </row>
    <row r="475" spans="1:1" ht="13.5" customHeight="1">
      <c r="A475" s="1059">
        <v>42733</v>
      </c>
    </row>
    <row r="476" spans="1:1" ht="13.5" customHeight="1">
      <c r="A476" s="1059">
        <v>42734</v>
      </c>
    </row>
    <row r="477" spans="1:1" ht="13.5" customHeight="1">
      <c r="A477" s="1059">
        <v>42738</v>
      </c>
    </row>
    <row r="478" spans="1:1" ht="13.5" customHeight="1">
      <c r="A478" s="1059">
        <v>42739</v>
      </c>
    </row>
    <row r="479" spans="1:1" ht="13.5" customHeight="1">
      <c r="A479" s="1059">
        <v>42740</v>
      </c>
    </row>
    <row r="480" spans="1:1" ht="13.5" customHeight="1">
      <c r="A480" s="1059">
        <v>42741</v>
      </c>
    </row>
    <row r="481" spans="1:1" ht="13.5" customHeight="1">
      <c r="A481" s="1059">
        <v>42744</v>
      </c>
    </row>
    <row r="482" spans="1:1" ht="13.5" customHeight="1">
      <c r="A482" s="1059">
        <v>42745</v>
      </c>
    </row>
    <row r="483" spans="1:1" ht="13.5" customHeight="1">
      <c r="A483" s="1059">
        <v>42746</v>
      </c>
    </row>
    <row r="484" spans="1:1" ht="13.5" customHeight="1">
      <c r="A484" s="1059">
        <v>42747</v>
      </c>
    </row>
    <row r="485" spans="1:1" ht="13.5" customHeight="1">
      <c r="A485" s="1059">
        <v>42748</v>
      </c>
    </row>
    <row r="486" spans="1:1" ht="13.5" customHeight="1">
      <c r="A486" s="1059">
        <v>42752</v>
      </c>
    </row>
    <row r="487" spans="1:1" ht="13.5" customHeight="1">
      <c r="A487" s="1059">
        <v>42753</v>
      </c>
    </row>
    <row r="488" spans="1:1" ht="13.5" customHeight="1">
      <c r="A488" s="1059">
        <v>42754</v>
      </c>
    </row>
    <row r="489" spans="1:1" ht="13.5" customHeight="1">
      <c r="A489" s="1059">
        <v>42755</v>
      </c>
    </row>
    <row r="490" spans="1:1" ht="13.5" customHeight="1">
      <c r="A490" s="1059">
        <v>42758</v>
      </c>
    </row>
    <row r="491" spans="1:1" ht="13.5" customHeight="1">
      <c r="A491" s="1059">
        <v>42759</v>
      </c>
    </row>
    <row r="492" spans="1:1" ht="13.5" customHeight="1">
      <c r="A492" s="1059">
        <v>42760</v>
      </c>
    </row>
    <row r="493" spans="1:1" ht="13.5" customHeight="1">
      <c r="A493" s="1059">
        <v>42761</v>
      </c>
    </row>
    <row r="494" spans="1:1" ht="13.5" customHeight="1">
      <c r="A494" s="1059">
        <v>42762</v>
      </c>
    </row>
    <row r="495" spans="1:1" ht="13.5" customHeight="1">
      <c r="A495" s="1059">
        <v>42765</v>
      </c>
    </row>
    <row r="496" spans="1:1" ht="13.5" customHeight="1">
      <c r="A496" s="1059">
        <v>42766</v>
      </c>
    </row>
    <row r="497" spans="1:1" ht="13.5" customHeight="1">
      <c r="A497" s="1059">
        <v>42767</v>
      </c>
    </row>
    <row r="498" spans="1:1" ht="13.5" customHeight="1">
      <c r="A498" s="1059">
        <v>42768</v>
      </c>
    </row>
    <row r="499" spans="1:1" ht="13.5" customHeight="1">
      <c r="A499" s="1059">
        <v>42769</v>
      </c>
    </row>
    <row r="500" spans="1:1" ht="13.5" customHeight="1">
      <c r="A500" s="1059">
        <v>42772</v>
      </c>
    </row>
    <row r="501" spans="1:1" ht="13.5" customHeight="1">
      <c r="A501" s="1059">
        <v>42773</v>
      </c>
    </row>
    <row r="502" spans="1:1" ht="13.5" customHeight="1">
      <c r="A502" s="1059">
        <v>42774</v>
      </c>
    </row>
    <row r="503" spans="1:1" ht="13.5" customHeight="1">
      <c r="A503" s="1059">
        <v>42775</v>
      </c>
    </row>
    <row r="504" spans="1:1" ht="13.5" customHeight="1">
      <c r="A504" s="1059">
        <v>42776</v>
      </c>
    </row>
    <row r="505" spans="1:1" ht="13.5" customHeight="1">
      <c r="A505" s="1059">
        <v>42779</v>
      </c>
    </row>
    <row r="506" spans="1:1" ht="13.5" customHeight="1">
      <c r="A506" s="1059">
        <v>42780</v>
      </c>
    </row>
    <row r="507" spans="1:1" ht="13.5" customHeight="1">
      <c r="A507" s="1059">
        <v>42781</v>
      </c>
    </row>
    <row r="508" spans="1:1" ht="13.5" customHeight="1">
      <c r="A508" s="1059">
        <v>42782</v>
      </c>
    </row>
    <row r="509" spans="1:1" ht="13.5" customHeight="1">
      <c r="A509" s="1059">
        <v>42783</v>
      </c>
    </row>
    <row r="510" spans="1:1" ht="13.5" customHeight="1">
      <c r="A510" s="1059">
        <v>42787</v>
      </c>
    </row>
    <row r="511" spans="1:1" ht="13.5" customHeight="1">
      <c r="A511" s="1059">
        <v>42788</v>
      </c>
    </row>
    <row r="512" spans="1:1" ht="13.5" customHeight="1">
      <c r="A512" s="1059">
        <v>42789</v>
      </c>
    </row>
    <row r="513" spans="1:1" ht="13.5" customHeight="1">
      <c r="A513" s="1059">
        <v>42790</v>
      </c>
    </row>
    <row r="514" spans="1:1" ht="13.5" customHeight="1">
      <c r="A514" s="1059">
        <v>42793</v>
      </c>
    </row>
    <row r="515" spans="1:1" ht="13.5" customHeight="1">
      <c r="A515" s="1059">
        <v>42794</v>
      </c>
    </row>
    <row r="516" spans="1:1" ht="13.5" customHeight="1">
      <c r="A516" s="1059">
        <v>42795</v>
      </c>
    </row>
    <row r="517" spans="1:1" ht="13.5" customHeight="1">
      <c r="A517" s="1059">
        <v>42796</v>
      </c>
    </row>
    <row r="518" spans="1:1" ht="13.5" customHeight="1">
      <c r="A518" s="1059">
        <v>42797</v>
      </c>
    </row>
    <row r="519" spans="1:1" ht="13.5" customHeight="1">
      <c r="A519" s="1059">
        <v>42800</v>
      </c>
    </row>
    <row r="520" spans="1:1" ht="13.5" customHeight="1">
      <c r="A520" s="1059">
        <v>42801</v>
      </c>
    </row>
    <row r="521" spans="1:1" ht="13.5" customHeight="1">
      <c r="A521" s="1059">
        <v>42802</v>
      </c>
    </row>
    <row r="522" spans="1:1" ht="13.5" customHeight="1">
      <c r="A522" s="1059">
        <v>42803</v>
      </c>
    </row>
    <row r="523" spans="1:1" ht="13.5" customHeight="1">
      <c r="A523" s="1059">
        <v>42804</v>
      </c>
    </row>
    <row r="524" spans="1:1" ht="13.5" customHeight="1">
      <c r="A524" s="1059">
        <v>42807</v>
      </c>
    </row>
    <row r="525" spans="1:1" ht="13.5" customHeight="1">
      <c r="A525" s="1059">
        <v>42808</v>
      </c>
    </row>
    <row r="526" spans="1:1" ht="13.5" customHeight="1">
      <c r="A526" s="1059">
        <v>42809</v>
      </c>
    </row>
    <row r="527" spans="1:1" ht="13.5" customHeight="1">
      <c r="A527" s="1059">
        <v>42810</v>
      </c>
    </row>
    <row r="528" spans="1:1" ht="13.5" customHeight="1">
      <c r="A528" s="1059">
        <v>42811</v>
      </c>
    </row>
    <row r="529" spans="1:1" ht="13.5" customHeight="1">
      <c r="A529" s="1059">
        <v>42814</v>
      </c>
    </row>
    <row r="530" spans="1:1" ht="13.5" customHeight="1">
      <c r="A530" s="1059">
        <v>42815</v>
      </c>
    </row>
    <row r="531" spans="1:1" ht="13.5" customHeight="1">
      <c r="A531" s="1059">
        <v>42816</v>
      </c>
    </row>
    <row r="532" spans="1:1" ht="13.5" customHeight="1">
      <c r="A532" s="1059">
        <v>42817</v>
      </c>
    </row>
    <row r="533" spans="1:1" ht="13.5" customHeight="1">
      <c r="A533" s="1059">
        <v>42818</v>
      </c>
    </row>
    <row r="534" spans="1:1" ht="13.5" customHeight="1">
      <c r="A534" s="1059">
        <v>42821</v>
      </c>
    </row>
    <row r="535" spans="1:1" ht="13.5" customHeight="1">
      <c r="A535" s="1059">
        <v>42822</v>
      </c>
    </row>
    <row r="536" spans="1:1" ht="13.5" customHeight="1">
      <c r="A536" s="1059">
        <v>42823</v>
      </c>
    </row>
    <row r="537" spans="1:1" ht="13.5" customHeight="1">
      <c r="A537" s="1059">
        <v>42824</v>
      </c>
    </row>
    <row r="538" spans="1:1" ht="13.5" customHeight="1">
      <c r="A538" s="1059">
        <v>42825</v>
      </c>
    </row>
    <row r="539" spans="1:1" ht="13.5" customHeight="1">
      <c r="A539" s="1059">
        <v>42828</v>
      </c>
    </row>
    <row r="540" spans="1:1" ht="13.5" customHeight="1">
      <c r="A540" s="1059">
        <v>42829</v>
      </c>
    </row>
    <row r="541" spans="1:1" ht="13.5" customHeight="1">
      <c r="A541" s="1059">
        <v>42830</v>
      </c>
    </row>
    <row r="542" spans="1:1" ht="13.5" customHeight="1">
      <c r="A542" s="1059">
        <v>42831</v>
      </c>
    </row>
    <row r="543" spans="1:1" ht="13.5" customHeight="1">
      <c r="A543" s="1059">
        <v>42832</v>
      </c>
    </row>
    <row r="544" spans="1:1" ht="13.5" customHeight="1">
      <c r="A544" s="1059">
        <v>42835</v>
      </c>
    </row>
    <row r="545" spans="1:1" ht="13.5" customHeight="1">
      <c r="A545" s="1059">
        <v>42836</v>
      </c>
    </row>
    <row r="546" spans="1:1" ht="13.5" customHeight="1">
      <c r="A546" s="1059">
        <v>42837</v>
      </c>
    </row>
    <row r="547" spans="1:1" ht="13.5" customHeight="1">
      <c r="A547" s="1059">
        <v>42838</v>
      </c>
    </row>
    <row r="548" spans="1:1" ht="13.5" customHeight="1">
      <c r="A548" s="1059">
        <v>42842</v>
      </c>
    </row>
    <row r="549" spans="1:1" ht="13.5" customHeight="1">
      <c r="A549" s="1059">
        <v>42843</v>
      </c>
    </row>
    <row r="550" spans="1:1" ht="13.5" customHeight="1">
      <c r="A550" s="1059">
        <v>42844</v>
      </c>
    </row>
    <row r="551" spans="1:1" ht="13.5" customHeight="1">
      <c r="A551" s="1059">
        <v>42845</v>
      </c>
    </row>
    <row r="552" spans="1:1" ht="13.5" customHeight="1">
      <c r="A552" s="1059">
        <v>42846</v>
      </c>
    </row>
    <row r="553" spans="1:1" ht="13.5" customHeight="1">
      <c r="A553" s="1059">
        <v>42849</v>
      </c>
    </row>
    <row r="554" spans="1:1" ht="13.5" customHeight="1">
      <c r="A554" s="1059">
        <v>42850</v>
      </c>
    </row>
    <row r="555" spans="1:1" ht="13.5" customHeight="1">
      <c r="A555" s="1059">
        <v>42851</v>
      </c>
    </row>
    <row r="556" spans="1:1" ht="13.5" customHeight="1">
      <c r="A556" s="1059">
        <v>42852</v>
      </c>
    </row>
    <row r="557" spans="1:1" ht="13.5" customHeight="1">
      <c r="A557" s="1059">
        <v>42853</v>
      </c>
    </row>
    <row r="558" spans="1:1" ht="13.5" customHeight="1">
      <c r="A558" s="1059">
        <v>42856</v>
      </c>
    </row>
    <row r="559" spans="1:1" ht="13.5" customHeight="1">
      <c r="A559" s="1059">
        <v>42857</v>
      </c>
    </row>
    <row r="560" spans="1:1" ht="13.5" customHeight="1">
      <c r="A560" s="1059">
        <v>42858</v>
      </c>
    </row>
    <row r="561" spans="1:1" ht="13.5" customHeight="1">
      <c r="A561" s="1059">
        <v>42859</v>
      </c>
    </row>
    <row r="562" spans="1:1" ht="13.5" customHeight="1">
      <c r="A562" s="1059">
        <v>42860</v>
      </c>
    </row>
    <row r="563" spans="1:1" ht="13.5" customHeight="1">
      <c r="A563" s="1059">
        <v>42863</v>
      </c>
    </row>
    <row r="564" spans="1:1" ht="13.5" customHeight="1">
      <c r="A564" s="1059">
        <v>42864</v>
      </c>
    </row>
    <row r="565" spans="1:1" ht="13.5" customHeight="1">
      <c r="A565" s="1059">
        <v>42865</v>
      </c>
    </row>
    <row r="566" spans="1:1" ht="13.5" customHeight="1">
      <c r="A566" s="1059">
        <v>42866</v>
      </c>
    </row>
    <row r="567" spans="1:1" ht="13.5" customHeight="1">
      <c r="A567" s="1059">
        <v>42867</v>
      </c>
    </row>
    <row r="568" spans="1:1" ht="13.5" customHeight="1">
      <c r="A568" s="1059">
        <v>42870</v>
      </c>
    </row>
    <row r="569" spans="1:1" ht="13.5" customHeight="1">
      <c r="A569" s="1059">
        <v>42871</v>
      </c>
    </row>
    <row r="570" spans="1:1" ht="13.5" customHeight="1">
      <c r="A570" s="1059">
        <v>42872</v>
      </c>
    </row>
    <row r="571" spans="1:1" ht="13.5" customHeight="1">
      <c r="A571" s="1059">
        <v>42873</v>
      </c>
    </row>
    <row r="572" spans="1:1" ht="13.5" customHeight="1">
      <c r="A572" s="1059">
        <v>42874</v>
      </c>
    </row>
    <row r="573" spans="1:1" ht="13.5" customHeight="1">
      <c r="A573" s="1059">
        <v>42877</v>
      </c>
    </row>
    <row r="574" spans="1:1" ht="13.5" customHeight="1">
      <c r="A574" s="1059">
        <v>42878</v>
      </c>
    </row>
    <row r="575" spans="1:1" ht="13.5" customHeight="1">
      <c r="A575" s="1059">
        <v>42879</v>
      </c>
    </row>
    <row r="576" spans="1:1" ht="13.5" customHeight="1">
      <c r="A576" s="1059">
        <v>42880</v>
      </c>
    </row>
    <row r="577" spans="1:1" ht="13.5" customHeight="1">
      <c r="A577" s="1059">
        <v>42881</v>
      </c>
    </row>
    <row r="578" spans="1:1" ht="13.5" customHeight="1">
      <c r="A578" s="1059">
        <v>42885</v>
      </c>
    </row>
    <row r="579" spans="1:1" ht="13.5" customHeight="1">
      <c r="A579" s="1059">
        <v>42886</v>
      </c>
    </row>
    <row r="580" spans="1:1" ht="13.5" customHeight="1">
      <c r="A580" s="1059">
        <v>42887</v>
      </c>
    </row>
    <row r="581" spans="1:1" ht="13.5" customHeight="1">
      <c r="A581" s="1059">
        <v>42888</v>
      </c>
    </row>
    <row r="582" spans="1:1" ht="13.5" customHeight="1">
      <c r="A582" s="1059">
        <v>42891</v>
      </c>
    </row>
    <row r="583" spans="1:1" ht="13.5" customHeight="1">
      <c r="A583" s="1059">
        <v>42892</v>
      </c>
    </row>
    <row r="584" spans="1:1" ht="13.5" customHeight="1">
      <c r="A584" s="1059">
        <v>42893</v>
      </c>
    </row>
    <row r="585" spans="1:1" ht="13.5" customHeight="1">
      <c r="A585" s="1059">
        <v>42894</v>
      </c>
    </row>
    <row r="586" spans="1:1" ht="13.5" customHeight="1">
      <c r="A586" s="1059">
        <v>42895</v>
      </c>
    </row>
    <row r="587" spans="1:1" ht="13.5" customHeight="1">
      <c r="A587" s="1059">
        <v>42898</v>
      </c>
    </row>
    <row r="588" spans="1:1" ht="13.5" customHeight="1">
      <c r="A588" s="1059">
        <v>42899</v>
      </c>
    </row>
    <row r="589" spans="1:1" ht="13.5" customHeight="1">
      <c r="A589" s="1059">
        <v>42900</v>
      </c>
    </row>
    <row r="590" spans="1:1" ht="13.5" customHeight="1">
      <c r="A590" s="1059">
        <v>42901</v>
      </c>
    </row>
    <row r="591" spans="1:1" ht="13.5" customHeight="1">
      <c r="A591" s="1059">
        <v>42902</v>
      </c>
    </row>
    <row r="592" spans="1:1" ht="13.5" customHeight="1">
      <c r="A592" s="1059">
        <v>42905</v>
      </c>
    </row>
    <row r="593" spans="1:1" ht="13.5" customHeight="1">
      <c r="A593" s="1059">
        <v>42906</v>
      </c>
    </row>
    <row r="594" spans="1:1" ht="13.5" customHeight="1">
      <c r="A594" s="1059">
        <v>42907</v>
      </c>
    </row>
    <row r="595" spans="1:1" ht="13.5" customHeight="1">
      <c r="A595" s="1059">
        <v>42908</v>
      </c>
    </row>
    <row r="596" spans="1:1" ht="13.5" customHeight="1">
      <c r="A596" s="1059">
        <v>42909</v>
      </c>
    </row>
    <row r="597" spans="1:1" ht="13.5" customHeight="1">
      <c r="A597" s="1059">
        <v>42912</v>
      </c>
    </row>
    <row r="598" spans="1:1" ht="13.5" customHeight="1">
      <c r="A598" s="1059">
        <v>42913</v>
      </c>
    </row>
    <row r="599" spans="1:1" ht="13.5" customHeight="1">
      <c r="A599" s="1059">
        <v>42914</v>
      </c>
    </row>
    <row r="600" spans="1:1" ht="13.5" customHeight="1">
      <c r="A600" s="1059">
        <v>42915</v>
      </c>
    </row>
    <row r="601" spans="1:1" ht="13.5" customHeight="1">
      <c r="A601" s="1059">
        <v>42916</v>
      </c>
    </row>
    <row r="602" spans="1:1" ht="13.5" customHeight="1">
      <c r="A602" s="1059">
        <v>42919</v>
      </c>
    </row>
    <row r="603" spans="1:1" ht="13.5" customHeight="1">
      <c r="A603" s="1059">
        <v>42921</v>
      </c>
    </row>
    <row r="604" spans="1:1" ht="13.5" customHeight="1">
      <c r="A604" s="1059">
        <v>42922</v>
      </c>
    </row>
    <row r="605" spans="1:1" ht="13.5" customHeight="1">
      <c r="A605" s="1059">
        <v>42923</v>
      </c>
    </row>
    <row r="606" spans="1:1" ht="13.5" customHeight="1">
      <c r="A606" s="1059">
        <v>42926</v>
      </c>
    </row>
    <row r="607" spans="1:1" ht="13.5" customHeight="1">
      <c r="A607" s="1059">
        <v>42927</v>
      </c>
    </row>
    <row r="608" spans="1:1" ht="13.5" customHeight="1">
      <c r="A608" s="1059">
        <v>42928</v>
      </c>
    </row>
    <row r="609" spans="1:1" ht="13.5" customHeight="1">
      <c r="A609" s="1059">
        <v>42929</v>
      </c>
    </row>
    <row r="610" spans="1:1" ht="13.5" customHeight="1">
      <c r="A610" s="1059">
        <v>42930</v>
      </c>
    </row>
    <row r="611" spans="1:1" ht="13.5" customHeight="1">
      <c r="A611" s="1059">
        <v>42933</v>
      </c>
    </row>
    <row r="612" spans="1:1" ht="13.5" customHeight="1">
      <c r="A612" s="1059">
        <v>42934</v>
      </c>
    </row>
    <row r="613" spans="1:1" ht="13.5" customHeight="1">
      <c r="A613" s="1059">
        <v>42935</v>
      </c>
    </row>
    <row r="614" spans="1:1" ht="13.5" customHeight="1">
      <c r="A614" s="1059">
        <v>42936</v>
      </c>
    </row>
    <row r="615" spans="1:1" ht="13.5" customHeight="1">
      <c r="A615" s="1059">
        <v>42937</v>
      </c>
    </row>
    <row r="616" spans="1:1" ht="13.5" customHeight="1">
      <c r="A616" s="1059">
        <v>42940</v>
      </c>
    </row>
    <row r="617" spans="1:1" ht="13.5" customHeight="1">
      <c r="A617" s="1059">
        <v>42941</v>
      </c>
    </row>
    <row r="618" spans="1:1" ht="13.5" customHeight="1">
      <c r="A618" s="1059">
        <v>42942</v>
      </c>
    </row>
    <row r="619" spans="1:1" ht="13.5" customHeight="1">
      <c r="A619" s="1059">
        <v>42943</v>
      </c>
    </row>
    <row r="620" spans="1:1" ht="13.5" customHeight="1">
      <c r="A620" s="1059">
        <v>42944</v>
      </c>
    </row>
    <row r="621" spans="1:1" ht="13.5" customHeight="1">
      <c r="A621" s="1059">
        <v>42947</v>
      </c>
    </row>
    <row r="622" spans="1:1" ht="13.5" customHeight="1">
      <c r="A622" s="1059">
        <v>42948</v>
      </c>
    </row>
    <row r="623" spans="1:1" ht="13.5" customHeight="1">
      <c r="A623" s="1059">
        <v>42949</v>
      </c>
    </row>
    <row r="624" spans="1:1" ht="13.5" customHeight="1">
      <c r="A624" s="1059">
        <v>42950</v>
      </c>
    </row>
    <row r="625" spans="1:1" ht="13.5" customHeight="1">
      <c r="A625" s="1059">
        <v>42951</v>
      </c>
    </row>
    <row r="626" spans="1:1" ht="13.5" customHeight="1">
      <c r="A626" s="1059">
        <v>42954</v>
      </c>
    </row>
    <row r="627" spans="1:1" ht="13.5" customHeight="1">
      <c r="A627" s="1059">
        <v>42955</v>
      </c>
    </row>
    <row r="628" spans="1:1" ht="13.5" customHeight="1">
      <c r="A628" s="1059">
        <v>42956</v>
      </c>
    </row>
    <row r="629" spans="1:1" ht="13.5" customHeight="1">
      <c r="A629" s="1059">
        <v>42957</v>
      </c>
    </row>
    <row r="630" spans="1:1" ht="13.5" customHeight="1">
      <c r="A630" s="1059">
        <v>42958</v>
      </c>
    </row>
    <row r="631" spans="1:1" ht="13.5" customHeight="1">
      <c r="A631" s="1059">
        <v>42961</v>
      </c>
    </row>
    <row r="632" spans="1:1" ht="13.5" customHeight="1">
      <c r="A632" s="1059">
        <v>42962</v>
      </c>
    </row>
    <row r="633" spans="1:1" ht="13.5" customHeight="1">
      <c r="A633" s="1059">
        <v>42963</v>
      </c>
    </row>
    <row r="634" spans="1:1" ht="13.5" customHeight="1">
      <c r="A634" s="1059">
        <v>42964</v>
      </c>
    </row>
    <row r="635" spans="1:1" ht="13.5" customHeight="1">
      <c r="A635" s="1059">
        <v>42965</v>
      </c>
    </row>
    <row r="636" spans="1:1" ht="13.5" customHeight="1">
      <c r="A636" s="1059">
        <v>42968</v>
      </c>
    </row>
    <row r="637" spans="1:1" ht="13.5" customHeight="1">
      <c r="A637" s="1059">
        <v>42969</v>
      </c>
    </row>
    <row r="638" spans="1:1" ht="13.5" customHeight="1">
      <c r="A638" s="1059">
        <v>42970</v>
      </c>
    </row>
    <row r="639" spans="1:1" ht="13.5" customHeight="1">
      <c r="A639" s="1059">
        <v>42971</v>
      </c>
    </row>
    <row r="640" spans="1:1" ht="13.5" customHeight="1">
      <c r="A640" s="1059">
        <v>42972</v>
      </c>
    </row>
    <row r="641" spans="1:1" ht="13.5" customHeight="1">
      <c r="A641" s="1059">
        <v>42975</v>
      </c>
    </row>
    <row r="642" spans="1:1" ht="13.5" customHeight="1">
      <c r="A642" s="1059">
        <v>42976</v>
      </c>
    </row>
    <row r="643" spans="1:1" ht="13.5" customHeight="1">
      <c r="A643" s="1059">
        <v>42977</v>
      </c>
    </row>
    <row r="644" spans="1:1" ht="13.5" customHeight="1">
      <c r="A644" s="1059">
        <v>42978</v>
      </c>
    </row>
    <row r="645" spans="1:1" ht="13.5" customHeight="1">
      <c r="A645" s="1059">
        <v>42979</v>
      </c>
    </row>
    <row r="646" spans="1:1" ht="13.5" customHeight="1">
      <c r="A646" s="1059">
        <v>42983</v>
      </c>
    </row>
    <row r="647" spans="1:1" ht="13.5" customHeight="1">
      <c r="A647" s="1059">
        <v>42984</v>
      </c>
    </row>
    <row r="648" spans="1:1" ht="13.5" customHeight="1">
      <c r="A648" s="1059">
        <v>42985</v>
      </c>
    </row>
    <row r="649" spans="1:1" ht="13.5" customHeight="1">
      <c r="A649" s="1059">
        <v>42986</v>
      </c>
    </row>
    <row r="650" spans="1:1" ht="13.5" customHeight="1">
      <c r="A650" s="1059">
        <v>42989</v>
      </c>
    </row>
    <row r="651" spans="1:1" ht="13.5" customHeight="1">
      <c r="A651" s="1059">
        <v>42990</v>
      </c>
    </row>
    <row r="652" spans="1:1" ht="13.5" customHeight="1">
      <c r="A652" s="1059">
        <v>42991</v>
      </c>
    </row>
    <row r="653" spans="1:1" ht="13.5" customHeight="1">
      <c r="A653" s="1059">
        <v>42992</v>
      </c>
    </row>
    <row r="654" spans="1:1" ht="13.5" customHeight="1">
      <c r="A654" s="1059">
        <v>42993</v>
      </c>
    </row>
    <row r="655" spans="1:1" ht="13.5" customHeight="1">
      <c r="A655" s="1059">
        <v>42996</v>
      </c>
    </row>
    <row r="656" spans="1:1" ht="13.5" customHeight="1">
      <c r="A656" s="1059">
        <v>42997</v>
      </c>
    </row>
    <row r="657" spans="1:1" ht="13.5" customHeight="1">
      <c r="A657" s="1059">
        <v>42998</v>
      </c>
    </row>
    <row r="658" spans="1:1" ht="13.5" customHeight="1">
      <c r="A658" s="1059">
        <v>42999</v>
      </c>
    </row>
    <row r="659" spans="1:1" ht="13.5" customHeight="1">
      <c r="A659" s="1059">
        <v>43000</v>
      </c>
    </row>
    <row r="660" spans="1:1" ht="13.5" customHeight="1">
      <c r="A660" s="1059">
        <v>43003</v>
      </c>
    </row>
    <row r="661" spans="1:1" ht="13.5" customHeight="1">
      <c r="A661" s="1059">
        <v>43004</v>
      </c>
    </row>
    <row r="662" spans="1:1" ht="13.5" customHeight="1">
      <c r="A662" s="1059">
        <v>43005</v>
      </c>
    </row>
    <row r="663" spans="1:1" ht="13.5" customHeight="1">
      <c r="A663" s="1059">
        <v>43006</v>
      </c>
    </row>
    <row r="664" spans="1:1" ht="13.5" customHeight="1">
      <c r="A664" s="1059">
        <v>43007</v>
      </c>
    </row>
    <row r="665" spans="1:1" ht="13.5" customHeight="1">
      <c r="A665" s="1059">
        <v>43010</v>
      </c>
    </row>
    <row r="666" spans="1:1" ht="13.5" customHeight="1">
      <c r="A666" s="1059">
        <v>43011</v>
      </c>
    </row>
    <row r="667" spans="1:1" ht="13.5" customHeight="1">
      <c r="A667" s="1059">
        <v>43012</v>
      </c>
    </row>
    <row r="668" spans="1:1" ht="13.5" customHeight="1">
      <c r="A668" s="1059">
        <v>43013</v>
      </c>
    </row>
    <row r="669" spans="1:1" ht="13.5" customHeight="1">
      <c r="A669" s="1059">
        <v>43014</v>
      </c>
    </row>
    <row r="670" spans="1:1" ht="13.5" customHeight="1">
      <c r="A670" s="1059">
        <v>43017</v>
      </c>
    </row>
    <row r="671" spans="1:1" ht="13.5" customHeight="1">
      <c r="A671" s="1059">
        <v>43018</v>
      </c>
    </row>
    <row r="672" spans="1:1" ht="13.5" customHeight="1">
      <c r="A672" s="1059">
        <v>43019</v>
      </c>
    </row>
    <row r="673" spans="1:1" ht="13.5" customHeight="1">
      <c r="A673" s="1059">
        <v>43020</v>
      </c>
    </row>
    <row r="674" spans="1:1" ht="13.5" customHeight="1">
      <c r="A674" s="1059">
        <v>43021</v>
      </c>
    </row>
    <row r="675" spans="1:1" ht="13.5" customHeight="1">
      <c r="A675" s="1059">
        <v>43024</v>
      </c>
    </row>
    <row r="676" spans="1:1" ht="13.5" customHeight="1">
      <c r="A676" s="1059">
        <v>43025</v>
      </c>
    </row>
    <row r="677" spans="1:1" ht="13.5" customHeight="1">
      <c r="A677" s="1059">
        <v>43026</v>
      </c>
    </row>
    <row r="678" spans="1:1" ht="13.5" customHeight="1">
      <c r="A678" s="1059">
        <v>43027</v>
      </c>
    </row>
    <row r="679" spans="1:1" ht="13.5" customHeight="1">
      <c r="A679" s="1059">
        <v>43028</v>
      </c>
    </row>
    <row r="680" spans="1:1" ht="13.5" customHeight="1">
      <c r="A680" s="1059">
        <v>43031</v>
      </c>
    </row>
    <row r="681" spans="1:1" ht="13.5" customHeight="1">
      <c r="A681" s="1059">
        <v>43032</v>
      </c>
    </row>
    <row r="682" spans="1:1" ht="13.5" customHeight="1">
      <c r="A682" s="1059">
        <v>43033</v>
      </c>
    </row>
    <row r="683" spans="1:1" ht="13.5" customHeight="1">
      <c r="A683" s="1059">
        <v>43034</v>
      </c>
    </row>
    <row r="684" spans="1:1" ht="13.5" customHeight="1">
      <c r="A684" s="1059">
        <v>43035</v>
      </c>
    </row>
    <row r="685" spans="1:1" ht="13.5" customHeight="1">
      <c r="A685" s="1059">
        <v>43038</v>
      </c>
    </row>
    <row r="686" spans="1:1" ht="13.5" customHeight="1">
      <c r="A686" s="1059">
        <v>43039</v>
      </c>
    </row>
    <row r="687" spans="1:1" ht="13.5" customHeight="1">
      <c r="A687" s="1059">
        <v>43040</v>
      </c>
    </row>
    <row r="688" spans="1:1" ht="13.5" customHeight="1">
      <c r="A688" s="1059">
        <v>43041</v>
      </c>
    </row>
    <row r="689" spans="1:1" ht="13.5" customHeight="1">
      <c r="A689" s="1059">
        <v>43042</v>
      </c>
    </row>
    <row r="690" spans="1:1" ht="13.5" customHeight="1">
      <c r="A690" s="1059">
        <v>43045</v>
      </c>
    </row>
    <row r="691" spans="1:1" ht="13.5" customHeight="1">
      <c r="A691" s="1059">
        <v>43046</v>
      </c>
    </row>
    <row r="692" spans="1:1" ht="13.5" customHeight="1">
      <c r="A692" s="1059">
        <v>43047</v>
      </c>
    </row>
    <row r="693" spans="1:1" ht="13.5" customHeight="1">
      <c r="A693" s="1059">
        <v>43048</v>
      </c>
    </row>
    <row r="694" spans="1:1" ht="13.5" customHeight="1">
      <c r="A694" s="1059">
        <v>43049</v>
      </c>
    </row>
    <row r="695" spans="1:1" ht="13.5" customHeight="1">
      <c r="A695" s="1059">
        <v>43052</v>
      </c>
    </row>
    <row r="696" spans="1:1" ht="13.5" customHeight="1">
      <c r="A696" s="1059">
        <v>43053</v>
      </c>
    </row>
    <row r="697" spans="1:1" ht="13.5" customHeight="1">
      <c r="A697" s="1059">
        <v>43054</v>
      </c>
    </row>
    <row r="698" spans="1:1" ht="13.5" customHeight="1">
      <c r="A698" s="1059">
        <v>43055</v>
      </c>
    </row>
    <row r="699" spans="1:1" ht="13.5" customHeight="1">
      <c r="A699" s="1059">
        <v>43056</v>
      </c>
    </row>
    <row r="700" spans="1:1" ht="13.5" customHeight="1">
      <c r="A700" s="1059">
        <v>43059</v>
      </c>
    </row>
    <row r="701" spans="1:1" ht="13.5" customHeight="1">
      <c r="A701" s="1059">
        <v>43060</v>
      </c>
    </row>
    <row r="702" spans="1:1" ht="13.5" customHeight="1">
      <c r="A702" s="1059">
        <v>43061</v>
      </c>
    </row>
    <row r="703" spans="1:1" ht="13.5" customHeight="1">
      <c r="A703" s="1059">
        <v>43063</v>
      </c>
    </row>
    <row r="704" spans="1:1" ht="13.5" customHeight="1">
      <c r="A704" s="1059">
        <v>43066</v>
      </c>
    </row>
    <row r="705" spans="1:1" ht="13.5" customHeight="1">
      <c r="A705" s="1059">
        <v>43067</v>
      </c>
    </row>
    <row r="706" spans="1:1" ht="13.5" customHeight="1">
      <c r="A706" s="1059">
        <v>43068</v>
      </c>
    </row>
    <row r="707" spans="1:1" ht="13.5" customHeight="1">
      <c r="A707" s="1059">
        <v>43069</v>
      </c>
    </row>
    <row r="708" spans="1:1" ht="13.5" customHeight="1">
      <c r="A708" s="1059">
        <v>43070</v>
      </c>
    </row>
    <row r="709" spans="1:1" ht="13.5" customHeight="1">
      <c r="A709" s="1059">
        <v>43073</v>
      </c>
    </row>
    <row r="710" spans="1:1" ht="13.5" customHeight="1">
      <c r="A710" s="1059">
        <v>43074</v>
      </c>
    </row>
    <row r="711" spans="1:1" ht="13.5" customHeight="1">
      <c r="A711" s="1059">
        <v>43075</v>
      </c>
    </row>
    <row r="712" spans="1:1" ht="13.5" customHeight="1">
      <c r="A712" s="1059">
        <v>43076</v>
      </c>
    </row>
    <row r="713" spans="1:1" ht="13.5" customHeight="1">
      <c r="A713" s="1059">
        <v>43077</v>
      </c>
    </row>
    <row r="714" spans="1:1" ht="13.5" customHeight="1">
      <c r="A714" s="1059">
        <v>43080</v>
      </c>
    </row>
    <row r="715" spans="1:1" ht="13.5" customHeight="1">
      <c r="A715" s="1059">
        <v>43081</v>
      </c>
    </row>
    <row r="716" spans="1:1" ht="13.5" customHeight="1">
      <c r="A716" s="1059">
        <v>43082</v>
      </c>
    </row>
    <row r="717" spans="1:1" ht="13.5" customHeight="1">
      <c r="A717" s="1059">
        <v>43083</v>
      </c>
    </row>
    <row r="718" spans="1:1" ht="13.5" customHeight="1">
      <c r="A718" s="1059">
        <v>43084</v>
      </c>
    </row>
    <row r="719" spans="1:1" ht="13.5" customHeight="1">
      <c r="A719" s="1059">
        <v>43087</v>
      </c>
    </row>
    <row r="720" spans="1:1" ht="13.5" customHeight="1">
      <c r="A720" s="1059">
        <v>43088</v>
      </c>
    </row>
    <row r="721" spans="1:1" ht="13.5" customHeight="1">
      <c r="A721" s="1059">
        <v>43089</v>
      </c>
    </row>
    <row r="722" spans="1:1" ht="13.5" customHeight="1">
      <c r="A722" s="1059">
        <v>43090</v>
      </c>
    </row>
    <row r="723" spans="1:1" ht="13.5" customHeight="1">
      <c r="A723" s="1059">
        <v>43091</v>
      </c>
    </row>
    <row r="724" spans="1:1" ht="13.5" customHeight="1">
      <c r="A724" s="1059">
        <v>43095</v>
      </c>
    </row>
    <row r="725" spans="1:1" ht="13.5" customHeight="1">
      <c r="A725" s="1059">
        <v>43096</v>
      </c>
    </row>
    <row r="726" spans="1:1" ht="13.5" customHeight="1">
      <c r="A726" s="1059">
        <v>43097</v>
      </c>
    </row>
    <row r="727" spans="1:1" ht="13.5" customHeight="1">
      <c r="A727" s="1059">
        <v>43098</v>
      </c>
    </row>
    <row r="728" spans="1:1" ht="13.5" customHeight="1">
      <c r="A728" s="1059">
        <v>43102</v>
      </c>
    </row>
    <row r="729" spans="1:1" ht="13.5" customHeight="1">
      <c r="A729" s="1059">
        <v>43103</v>
      </c>
    </row>
    <row r="730" spans="1:1" ht="13.5" customHeight="1">
      <c r="A730" s="1059">
        <v>43104</v>
      </c>
    </row>
    <row r="731" spans="1:1" ht="13.5" customHeight="1">
      <c r="A731" s="1059">
        <v>43105</v>
      </c>
    </row>
    <row r="732" spans="1:1" ht="13.5" customHeight="1">
      <c r="A732" s="1059">
        <v>43108</v>
      </c>
    </row>
    <row r="733" spans="1:1" ht="13.5" customHeight="1">
      <c r="A733" s="1059">
        <v>43109</v>
      </c>
    </row>
    <row r="734" spans="1:1" ht="13.5" customHeight="1">
      <c r="A734" s="1059">
        <v>43110</v>
      </c>
    </row>
    <row r="735" spans="1:1" ht="13.5" customHeight="1">
      <c r="A735" s="1059">
        <v>43111</v>
      </c>
    </row>
    <row r="736" spans="1:1" ht="13.5" customHeight="1">
      <c r="A736" s="1059">
        <v>43112</v>
      </c>
    </row>
    <row r="737" spans="1:1" ht="13.5" customHeight="1">
      <c r="A737" s="1059">
        <v>43116</v>
      </c>
    </row>
    <row r="738" spans="1:1" ht="13.5" customHeight="1">
      <c r="A738" s="1059">
        <v>43117</v>
      </c>
    </row>
    <row r="739" spans="1:1" ht="13.5" customHeight="1">
      <c r="A739" s="1059">
        <v>43118</v>
      </c>
    </row>
    <row r="740" spans="1:1" ht="13.5" customHeight="1">
      <c r="A740" s="1059">
        <v>43119</v>
      </c>
    </row>
    <row r="741" spans="1:1" ht="13.5" customHeight="1">
      <c r="A741" s="1059">
        <v>43122</v>
      </c>
    </row>
    <row r="742" spans="1:1" ht="13.5" customHeight="1">
      <c r="A742" s="1059">
        <v>43123</v>
      </c>
    </row>
    <row r="743" spans="1:1" ht="13.5" customHeight="1">
      <c r="A743" s="1059">
        <v>43124</v>
      </c>
    </row>
    <row r="744" spans="1:1" ht="13.5" customHeight="1">
      <c r="A744" s="1059">
        <v>43125</v>
      </c>
    </row>
    <row r="745" spans="1:1" ht="13.5" customHeight="1">
      <c r="A745" s="1059">
        <v>43126</v>
      </c>
    </row>
    <row r="746" spans="1:1" ht="13.5" customHeight="1">
      <c r="A746" s="1059">
        <v>43129</v>
      </c>
    </row>
    <row r="747" spans="1:1" ht="13.5" customHeight="1">
      <c r="A747" s="1059">
        <v>43130</v>
      </c>
    </row>
    <row r="748" spans="1:1" ht="13.5" customHeight="1">
      <c r="A748" s="1059">
        <v>43131</v>
      </c>
    </row>
    <row r="749" spans="1:1" ht="13.5" customHeight="1">
      <c r="A749" s="1059">
        <v>43132</v>
      </c>
    </row>
    <row r="750" spans="1:1" ht="13.5" customHeight="1">
      <c r="A750" s="1059">
        <v>43133</v>
      </c>
    </row>
    <row r="751" spans="1:1" ht="13.5" customHeight="1">
      <c r="A751" s="1059">
        <v>43136</v>
      </c>
    </row>
    <row r="752" spans="1:1" ht="13.5" customHeight="1">
      <c r="A752" s="1059">
        <v>43137</v>
      </c>
    </row>
    <row r="753" spans="1:1" ht="13.5" customHeight="1">
      <c r="A753" s="1059">
        <v>43138</v>
      </c>
    </row>
    <row r="754" spans="1:1" ht="13.5" customHeight="1">
      <c r="A754" s="1059">
        <v>43139</v>
      </c>
    </row>
    <row r="755" spans="1:1" ht="13.5" customHeight="1">
      <c r="A755" s="1059">
        <v>43140</v>
      </c>
    </row>
    <row r="756" spans="1:1" ht="13.5" customHeight="1">
      <c r="A756" s="1059">
        <v>43143</v>
      </c>
    </row>
    <row r="757" spans="1:1" ht="13.5" customHeight="1">
      <c r="A757" s="1059">
        <v>43144</v>
      </c>
    </row>
    <row r="758" spans="1:1" ht="13.5" customHeight="1">
      <c r="A758" s="1059">
        <v>43145</v>
      </c>
    </row>
    <row r="759" spans="1:1" ht="13.5" customHeight="1">
      <c r="A759" s="1059">
        <v>43146</v>
      </c>
    </row>
    <row r="760" spans="1:1" ht="13.5" customHeight="1">
      <c r="A760" s="1059">
        <v>43147</v>
      </c>
    </row>
    <row r="761" spans="1:1" ht="13.5" customHeight="1">
      <c r="A761" s="1059">
        <v>43151</v>
      </c>
    </row>
    <row r="762" spans="1:1" ht="13.5" customHeight="1">
      <c r="A762" s="1059">
        <v>43152</v>
      </c>
    </row>
    <row r="763" spans="1:1" ht="13.5" customHeight="1">
      <c r="A763" s="1059">
        <v>43153</v>
      </c>
    </row>
    <row r="764" spans="1:1" ht="13.5" customHeight="1">
      <c r="A764" s="1059">
        <v>43154</v>
      </c>
    </row>
    <row r="765" spans="1:1" ht="13.5" customHeight="1">
      <c r="A765" s="1059">
        <v>43157</v>
      </c>
    </row>
    <row r="766" spans="1:1" ht="13.5" customHeight="1">
      <c r="A766" s="1059">
        <v>43158</v>
      </c>
    </row>
    <row r="767" spans="1:1" ht="13.5" customHeight="1">
      <c r="A767" s="1059">
        <v>43159</v>
      </c>
    </row>
    <row r="768" spans="1:1" ht="13.5" customHeight="1">
      <c r="A768" s="1059">
        <v>43160</v>
      </c>
    </row>
    <row r="769" spans="1:1" ht="13.5" customHeight="1">
      <c r="A769" s="1059">
        <v>43161</v>
      </c>
    </row>
    <row r="770" spans="1:1" ht="13.5" customHeight="1">
      <c r="A770" s="1059">
        <v>43164</v>
      </c>
    </row>
    <row r="771" spans="1:1" ht="13.5" customHeight="1">
      <c r="A771" s="1059">
        <v>43165</v>
      </c>
    </row>
    <row r="772" spans="1:1" ht="13.5" customHeight="1">
      <c r="A772" s="1059">
        <v>43166</v>
      </c>
    </row>
    <row r="773" spans="1:1" ht="13.5" customHeight="1">
      <c r="A773" s="1059">
        <v>43167</v>
      </c>
    </row>
    <row r="774" spans="1:1" ht="13.5" customHeight="1">
      <c r="A774" s="1059">
        <v>43168</v>
      </c>
    </row>
    <row r="775" spans="1:1" ht="13.5" customHeight="1">
      <c r="A775" s="1059">
        <v>43171</v>
      </c>
    </row>
    <row r="776" spans="1:1" ht="13.5" customHeight="1">
      <c r="A776" s="1059">
        <v>43172</v>
      </c>
    </row>
    <row r="777" spans="1:1" ht="13.5" customHeight="1">
      <c r="A777" s="1059">
        <v>43173</v>
      </c>
    </row>
    <row r="778" spans="1:1" ht="13.5" customHeight="1">
      <c r="A778" s="1059">
        <v>43174</v>
      </c>
    </row>
    <row r="779" spans="1:1" ht="13.5" customHeight="1">
      <c r="A779" s="1059">
        <v>43175</v>
      </c>
    </row>
    <row r="780" spans="1:1" ht="13.5" customHeight="1">
      <c r="A780" s="1059">
        <v>43178</v>
      </c>
    </row>
    <row r="781" spans="1:1" ht="13.5" customHeight="1">
      <c r="A781" s="1059">
        <v>43179</v>
      </c>
    </row>
    <row r="782" spans="1:1" ht="13.5" customHeight="1">
      <c r="A782" s="1059">
        <v>43180</v>
      </c>
    </row>
    <row r="783" spans="1:1" ht="13.5" customHeight="1">
      <c r="A783" s="1059">
        <v>43181</v>
      </c>
    </row>
    <row r="784" spans="1:1" ht="13.5" customHeight="1">
      <c r="A784" s="1059">
        <v>43182</v>
      </c>
    </row>
    <row r="785" spans="1:1" ht="13.5" customHeight="1">
      <c r="A785" s="1059">
        <v>43185</v>
      </c>
    </row>
    <row r="786" spans="1:1" ht="13.5" customHeight="1">
      <c r="A786" s="1059">
        <v>43186</v>
      </c>
    </row>
    <row r="787" spans="1:1" ht="13.5" customHeight="1">
      <c r="A787" s="1059">
        <v>43187</v>
      </c>
    </row>
    <row r="788" spans="1:1" ht="13.5" customHeight="1">
      <c r="A788" s="1059">
        <v>43188</v>
      </c>
    </row>
    <row r="789" spans="1:1" ht="13.5" customHeight="1">
      <c r="A789" s="1059">
        <v>43192</v>
      </c>
    </row>
    <row r="790" spans="1:1" ht="13.5" customHeight="1">
      <c r="A790" s="1059">
        <v>43193</v>
      </c>
    </row>
    <row r="791" spans="1:1" ht="13.5" customHeight="1">
      <c r="A791" s="1059">
        <v>43194</v>
      </c>
    </row>
    <row r="792" spans="1:1" ht="13.5" customHeight="1">
      <c r="A792" s="1059">
        <v>43195</v>
      </c>
    </row>
    <row r="793" spans="1:1" ht="13.5" customHeight="1">
      <c r="A793" s="1059">
        <v>43196</v>
      </c>
    </row>
    <row r="794" spans="1:1" ht="13.5" customHeight="1">
      <c r="A794" s="1059">
        <v>43199</v>
      </c>
    </row>
    <row r="795" spans="1:1" ht="13.5" customHeight="1">
      <c r="A795" s="1059">
        <v>43200</v>
      </c>
    </row>
    <row r="796" spans="1:1" ht="13.5" customHeight="1">
      <c r="A796" s="1059">
        <v>43201</v>
      </c>
    </row>
    <row r="797" spans="1:1" ht="13.5" customHeight="1">
      <c r="A797" s="1059">
        <v>43202</v>
      </c>
    </row>
    <row r="798" spans="1:1" ht="13.5" customHeight="1">
      <c r="A798" s="1059">
        <v>43203</v>
      </c>
    </row>
    <row r="799" spans="1:1" ht="13.5" customHeight="1">
      <c r="A799" s="1059">
        <v>43206</v>
      </c>
    </row>
    <row r="800" spans="1:1" ht="13.5" customHeight="1">
      <c r="A800" s="1059">
        <v>43207</v>
      </c>
    </row>
    <row r="801" spans="1:1" ht="13.5" customHeight="1">
      <c r="A801" s="1059">
        <v>43208</v>
      </c>
    </row>
    <row r="802" spans="1:1" ht="13.5" customHeight="1">
      <c r="A802" s="1059">
        <v>43209</v>
      </c>
    </row>
    <row r="803" spans="1:1" ht="13.5" customHeight="1">
      <c r="A803" s="1059">
        <v>43210</v>
      </c>
    </row>
    <row r="804" spans="1:1" ht="13.5" customHeight="1">
      <c r="A804" s="1059">
        <v>43213</v>
      </c>
    </row>
    <row r="805" spans="1:1" ht="13.5" customHeight="1">
      <c r="A805" s="1059">
        <v>43214</v>
      </c>
    </row>
    <row r="806" spans="1:1" ht="13.5" customHeight="1">
      <c r="A806" s="1059">
        <v>43215</v>
      </c>
    </row>
    <row r="807" spans="1:1" ht="13.5" customHeight="1">
      <c r="A807" s="1059">
        <v>43216</v>
      </c>
    </row>
    <row r="808" spans="1:1" ht="13.5" customHeight="1">
      <c r="A808" s="1059">
        <v>43217</v>
      </c>
    </row>
    <row r="809" spans="1:1" ht="13.5" customHeight="1">
      <c r="A809" s="1059">
        <v>43220</v>
      </c>
    </row>
    <row r="810" spans="1:1" ht="13.5" customHeight="1">
      <c r="A810" s="1059">
        <v>43221</v>
      </c>
    </row>
    <row r="811" spans="1:1" ht="13.5" customHeight="1">
      <c r="A811" s="1059">
        <v>43222</v>
      </c>
    </row>
    <row r="812" spans="1:1" ht="13.5" customHeight="1">
      <c r="A812" s="1059">
        <v>43223</v>
      </c>
    </row>
    <row r="813" spans="1:1" ht="13.5" customHeight="1">
      <c r="A813" s="1059">
        <v>43224</v>
      </c>
    </row>
    <row r="814" spans="1:1" ht="13.5" customHeight="1">
      <c r="A814" s="1059">
        <v>43227</v>
      </c>
    </row>
    <row r="815" spans="1:1" ht="13.5" customHeight="1">
      <c r="A815" s="1059">
        <v>43228</v>
      </c>
    </row>
    <row r="816" spans="1:1" ht="13.5" customHeight="1">
      <c r="A816" s="1059">
        <v>43229</v>
      </c>
    </row>
    <row r="817" spans="1:1" ht="13.5" customHeight="1">
      <c r="A817" s="1059" t="s">
        <v>604</v>
      </c>
    </row>
    <row r="818" spans="1:1" ht="13.5" customHeight="1">
      <c r="A818" s="1059" t="s">
        <v>604</v>
      </c>
    </row>
    <row r="819" spans="1:1" ht="13.5" customHeight="1">
      <c r="A819" s="1059" t="s">
        <v>604</v>
      </c>
    </row>
    <row r="820" spans="1:1" ht="13.5" customHeight="1">
      <c r="A820" s="1059" t="s">
        <v>604</v>
      </c>
    </row>
    <row r="821" spans="1:1" ht="13.5" customHeight="1">
      <c r="A821" s="1059" t="s">
        <v>604</v>
      </c>
    </row>
    <row r="822" spans="1:1" ht="13.5" customHeight="1">
      <c r="A822" s="1059" t="s">
        <v>604</v>
      </c>
    </row>
    <row r="823" spans="1:1" ht="13.5" customHeight="1">
      <c r="A823" s="1059" t="s">
        <v>604</v>
      </c>
    </row>
    <row r="824" spans="1:1" ht="13.5" customHeight="1">
      <c r="A824" s="1059" t="s">
        <v>604</v>
      </c>
    </row>
    <row r="825" spans="1:1" ht="13.5" customHeight="1">
      <c r="A825" s="1059" t="s">
        <v>604</v>
      </c>
    </row>
    <row r="826" spans="1:1" ht="13.5" customHeight="1">
      <c r="A826" s="1059" t="s">
        <v>604</v>
      </c>
    </row>
    <row r="827" spans="1:1" ht="13.5" customHeight="1">
      <c r="A827" s="1059" t="s">
        <v>604</v>
      </c>
    </row>
    <row r="828" spans="1:1" ht="13.5" customHeight="1">
      <c r="A828" s="1059" t="s">
        <v>604</v>
      </c>
    </row>
    <row r="829" spans="1:1" ht="13.5" customHeight="1">
      <c r="A829" s="1059" t="s">
        <v>604</v>
      </c>
    </row>
    <row r="830" spans="1:1" ht="13.5" customHeight="1">
      <c r="A830" s="1059" t="s">
        <v>604</v>
      </c>
    </row>
    <row r="831" spans="1:1" ht="13.5" customHeight="1">
      <c r="A831" s="1059" t="s">
        <v>604</v>
      </c>
    </row>
    <row r="832" spans="1:1" ht="13.5" customHeight="1">
      <c r="A832" s="1059" t="s">
        <v>604</v>
      </c>
    </row>
    <row r="833" spans="1:1" ht="13.5" customHeight="1">
      <c r="A833" s="1059" t="s">
        <v>604</v>
      </c>
    </row>
    <row r="834" spans="1:1" ht="13.5" customHeight="1">
      <c r="A834" s="1059" t="s">
        <v>604</v>
      </c>
    </row>
    <row r="835" spans="1:1" ht="13.5" customHeight="1">
      <c r="A835" s="1059" t="s">
        <v>604</v>
      </c>
    </row>
    <row r="836" spans="1:1" ht="13.5" customHeight="1">
      <c r="A836" s="1059" t="s">
        <v>604</v>
      </c>
    </row>
    <row r="837" spans="1:1" ht="13.5" customHeight="1">
      <c r="A837" s="1059" t="s">
        <v>604</v>
      </c>
    </row>
    <row r="838" spans="1:1" ht="13.5" customHeight="1">
      <c r="A838" s="1059" t="s">
        <v>604</v>
      </c>
    </row>
    <row r="839" spans="1:1" ht="13.5" customHeight="1">
      <c r="A839" s="1059" t="s">
        <v>604</v>
      </c>
    </row>
    <row r="840" spans="1:1" ht="13.5" customHeight="1">
      <c r="A840" s="1059" t="s">
        <v>604</v>
      </c>
    </row>
    <row r="841" spans="1:1" ht="13.5" customHeight="1">
      <c r="A841" s="1059" t="s">
        <v>604</v>
      </c>
    </row>
    <row r="842" spans="1:1" ht="13.5" customHeight="1">
      <c r="A842" s="1059" t="s">
        <v>604</v>
      </c>
    </row>
    <row r="843" spans="1:1" ht="13.5" customHeight="1">
      <c r="A843" s="1059" t="s">
        <v>604</v>
      </c>
    </row>
    <row r="844" spans="1:1" ht="13.5" customHeight="1">
      <c r="A844" s="1059" t="s">
        <v>604</v>
      </c>
    </row>
    <row r="845" spans="1:1" ht="13.5" customHeight="1">
      <c r="A845" s="1059" t="s">
        <v>604</v>
      </c>
    </row>
    <row r="846" spans="1:1" ht="13.5" customHeight="1">
      <c r="A846" s="1059" t="s">
        <v>604</v>
      </c>
    </row>
    <row r="847" spans="1:1" ht="13.5" customHeight="1">
      <c r="A847" s="1059" t="s">
        <v>604</v>
      </c>
    </row>
    <row r="848" spans="1:1" ht="13.5" customHeight="1">
      <c r="A848" s="1059" t="s">
        <v>604</v>
      </c>
    </row>
    <row r="849" spans="1:1" ht="13.5" customHeight="1">
      <c r="A849" s="1059" t="s">
        <v>604</v>
      </c>
    </row>
    <row r="850" spans="1:1" ht="13.5" customHeight="1">
      <c r="A850" s="1059" t="s">
        <v>604</v>
      </c>
    </row>
    <row r="851" spans="1:1" ht="13.5" customHeight="1">
      <c r="A851" s="1059" t="s">
        <v>604</v>
      </c>
    </row>
    <row r="852" spans="1:1" ht="13.5" customHeight="1">
      <c r="A852" s="1059" t="s">
        <v>604</v>
      </c>
    </row>
    <row r="853" spans="1:1" ht="13.5" customHeight="1">
      <c r="A853" s="1059" t="s">
        <v>604</v>
      </c>
    </row>
    <row r="854" spans="1:1" ht="13.5" customHeight="1">
      <c r="A854" s="1059" t="s">
        <v>604</v>
      </c>
    </row>
    <row r="855" spans="1:1" ht="13.5" customHeight="1">
      <c r="A855" s="1059" t="s">
        <v>604</v>
      </c>
    </row>
    <row r="856" spans="1:1" ht="13.5" customHeight="1">
      <c r="A856" s="1059" t="s">
        <v>604</v>
      </c>
    </row>
    <row r="857" spans="1:1" ht="13.5" customHeight="1">
      <c r="A857" s="1059" t="s">
        <v>604</v>
      </c>
    </row>
    <row r="858" spans="1:1" ht="13.5" customHeight="1">
      <c r="A858" s="1059" t="s">
        <v>604</v>
      </c>
    </row>
    <row r="859" spans="1:1" ht="13.5" customHeight="1">
      <c r="A859" s="1059" t="s">
        <v>604</v>
      </c>
    </row>
    <row r="860" spans="1:1" ht="13.5" customHeight="1">
      <c r="A860" s="1059" t="s">
        <v>604</v>
      </c>
    </row>
    <row r="861" spans="1:1" ht="13.5" customHeight="1">
      <c r="A861" s="1059" t="s">
        <v>604</v>
      </c>
    </row>
    <row r="862" spans="1:1" ht="13.5" customHeight="1">
      <c r="A862" s="1059" t="s">
        <v>604</v>
      </c>
    </row>
    <row r="863" spans="1:1" ht="13.5" customHeight="1">
      <c r="A863" s="1059" t="s">
        <v>604</v>
      </c>
    </row>
    <row r="864" spans="1:1" ht="13.5" customHeight="1">
      <c r="A864" s="1059" t="s">
        <v>604</v>
      </c>
    </row>
    <row r="865" spans="1:1" ht="13.5" customHeight="1">
      <c r="A865" s="1059" t="s">
        <v>604</v>
      </c>
    </row>
    <row r="866" spans="1:1" ht="13.5" customHeight="1">
      <c r="A866" s="1059" t="s">
        <v>604</v>
      </c>
    </row>
    <row r="867" spans="1:1" ht="13.5" customHeight="1">
      <c r="A867" s="1059" t="s">
        <v>604</v>
      </c>
    </row>
    <row r="868" spans="1:1" ht="13.5" customHeight="1">
      <c r="A868" s="1059" t="s">
        <v>604</v>
      </c>
    </row>
    <row r="869" spans="1:1" ht="13.5" customHeight="1">
      <c r="A869" s="1059" t="s">
        <v>604</v>
      </c>
    </row>
    <row r="870" spans="1:1" ht="13.5" customHeight="1">
      <c r="A870" s="1059" t="s">
        <v>604</v>
      </c>
    </row>
    <row r="871" spans="1:1" ht="13.5" customHeight="1">
      <c r="A871" s="1059" t="s">
        <v>604</v>
      </c>
    </row>
    <row r="872" spans="1:1" ht="13.5" customHeight="1">
      <c r="A872" s="1059" t="s">
        <v>604</v>
      </c>
    </row>
    <row r="873" spans="1:1" ht="13.5" customHeight="1">
      <c r="A873" s="1059" t="s">
        <v>604</v>
      </c>
    </row>
    <row r="874" spans="1:1" ht="13.5" customHeight="1">
      <c r="A874" s="1059" t="s">
        <v>604</v>
      </c>
    </row>
    <row r="875" spans="1:1" ht="13.5" customHeight="1">
      <c r="A875" s="1059" t="s">
        <v>604</v>
      </c>
    </row>
    <row r="876" spans="1:1" ht="13.5" customHeight="1">
      <c r="A876" s="1059" t="s">
        <v>604</v>
      </c>
    </row>
    <row r="877" spans="1:1" ht="13.5" customHeight="1">
      <c r="A877" s="1059" t="s">
        <v>604</v>
      </c>
    </row>
    <row r="878" spans="1:1" ht="13.5" customHeight="1">
      <c r="A878" s="1059" t="s">
        <v>604</v>
      </c>
    </row>
    <row r="879" spans="1:1" ht="13.5" customHeight="1">
      <c r="A879" s="1059" t="s">
        <v>604</v>
      </c>
    </row>
    <row r="880" spans="1:1" ht="13.5" customHeight="1">
      <c r="A880" s="1059" t="s">
        <v>604</v>
      </c>
    </row>
    <row r="881" spans="1:1" ht="13.5" customHeight="1">
      <c r="A881" s="1059" t="s">
        <v>604</v>
      </c>
    </row>
    <row r="882" spans="1:1" ht="13.5" customHeight="1">
      <c r="A882" s="1059" t="s">
        <v>604</v>
      </c>
    </row>
    <row r="883" spans="1:1" ht="13.5" customHeight="1">
      <c r="A883" s="1059" t="s">
        <v>604</v>
      </c>
    </row>
    <row r="884" spans="1:1" ht="13.5" customHeight="1">
      <c r="A884" s="1059" t="s">
        <v>604</v>
      </c>
    </row>
    <row r="885" spans="1:1" ht="13.5" customHeight="1">
      <c r="A885" s="1059" t="s">
        <v>604</v>
      </c>
    </row>
    <row r="886" spans="1:1" ht="13.5" customHeight="1">
      <c r="A886" s="1059" t="s">
        <v>604</v>
      </c>
    </row>
    <row r="887" spans="1:1" ht="13.5" customHeight="1">
      <c r="A887" s="1059" t="s">
        <v>604</v>
      </c>
    </row>
    <row r="888" spans="1:1" ht="13.5" customHeight="1">
      <c r="A888" s="1059" t="s">
        <v>604</v>
      </c>
    </row>
    <row r="889" spans="1:1" ht="13.5" customHeight="1">
      <c r="A889" s="1059" t="s">
        <v>604</v>
      </c>
    </row>
    <row r="890" spans="1:1" ht="13.5" customHeight="1">
      <c r="A890" s="1059" t="s">
        <v>604</v>
      </c>
    </row>
    <row r="891" spans="1:1" ht="13.5" customHeight="1">
      <c r="A891" s="1059" t="s">
        <v>604</v>
      </c>
    </row>
    <row r="892" spans="1:1" ht="13.5" customHeight="1">
      <c r="A892" s="1059" t="s">
        <v>604</v>
      </c>
    </row>
    <row r="893" spans="1:1" ht="13.5" customHeight="1">
      <c r="A893" s="1059" t="s">
        <v>604</v>
      </c>
    </row>
    <row r="894" spans="1:1" ht="13.5" customHeight="1">
      <c r="A894" s="1059" t="s">
        <v>604</v>
      </c>
    </row>
    <row r="895" spans="1:1" ht="13.5" customHeight="1">
      <c r="A895" s="1059" t="s">
        <v>604</v>
      </c>
    </row>
    <row r="896" spans="1:1" ht="13.5" customHeight="1">
      <c r="A896" s="1059" t="s">
        <v>604</v>
      </c>
    </row>
    <row r="897" spans="1:1" ht="13.5" customHeight="1">
      <c r="A897" s="1059" t="s">
        <v>604</v>
      </c>
    </row>
    <row r="898" spans="1:1" ht="13.5" customHeight="1">
      <c r="A898" s="1059" t="s">
        <v>604</v>
      </c>
    </row>
    <row r="899" spans="1:1" ht="13.5" customHeight="1">
      <c r="A899" s="1059" t="s">
        <v>604</v>
      </c>
    </row>
    <row r="900" spans="1:1" ht="13.5" customHeight="1">
      <c r="A900" s="1059" t="s">
        <v>604</v>
      </c>
    </row>
    <row r="901" spans="1:1" ht="13.5" customHeight="1">
      <c r="A901" s="1059" t="s">
        <v>604</v>
      </c>
    </row>
    <row r="902" spans="1:1" ht="13.5" customHeight="1">
      <c r="A902" s="1059" t="s">
        <v>604</v>
      </c>
    </row>
    <row r="903" spans="1:1" ht="13.5" customHeight="1">
      <c r="A903" s="1059" t="s">
        <v>604</v>
      </c>
    </row>
    <row r="904" spans="1:1" ht="13.5" customHeight="1">
      <c r="A904" s="1059" t="s">
        <v>604</v>
      </c>
    </row>
    <row r="905" spans="1:1" ht="13.5" customHeight="1">
      <c r="A905" s="1059" t="s">
        <v>604</v>
      </c>
    </row>
    <row r="906" spans="1:1" ht="13.5" customHeight="1">
      <c r="A906" s="1059" t="s">
        <v>604</v>
      </c>
    </row>
    <row r="907" spans="1:1" ht="13.5" customHeight="1">
      <c r="A907" s="1059" t="s">
        <v>604</v>
      </c>
    </row>
    <row r="908" spans="1:1" ht="13.5" customHeight="1">
      <c r="A908" s="1059" t="s">
        <v>604</v>
      </c>
    </row>
    <row r="909" spans="1:1" ht="13.5" customHeight="1">
      <c r="A909" s="1059" t="s">
        <v>604</v>
      </c>
    </row>
    <row r="910" spans="1:1" ht="13.5" customHeight="1">
      <c r="A910" s="1059" t="s">
        <v>604</v>
      </c>
    </row>
    <row r="911" spans="1:1" ht="13.5" customHeight="1">
      <c r="A911" s="1059" t="s">
        <v>604</v>
      </c>
    </row>
    <row r="912" spans="1:1" ht="13.5" customHeight="1">
      <c r="A912" s="1059" t="s">
        <v>604</v>
      </c>
    </row>
    <row r="913" spans="1:1" ht="13.5" customHeight="1">
      <c r="A913" s="1059" t="s">
        <v>604</v>
      </c>
    </row>
    <row r="914" spans="1:1" ht="13.5" customHeight="1">
      <c r="A914" s="1059" t="s">
        <v>604</v>
      </c>
    </row>
    <row r="915" spans="1:1" ht="13.5" customHeight="1">
      <c r="A915" s="1059" t="s">
        <v>604</v>
      </c>
    </row>
    <row r="916" spans="1:1" ht="13.5" customHeight="1">
      <c r="A916" s="1059" t="s">
        <v>604</v>
      </c>
    </row>
    <row r="917" spans="1:1" ht="13.5" customHeight="1">
      <c r="A917" s="1059" t="s">
        <v>604</v>
      </c>
    </row>
    <row r="918" spans="1:1" ht="13.5" customHeight="1">
      <c r="A918" s="1059" t="s">
        <v>604</v>
      </c>
    </row>
    <row r="919" spans="1:1" ht="13.5" customHeight="1">
      <c r="A919" s="1059" t="s">
        <v>604</v>
      </c>
    </row>
    <row r="920" spans="1:1" ht="13.5" customHeight="1">
      <c r="A920" s="1059" t="s">
        <v>604</v>
      </c>
    </row>
    <row r="921" spans="1:1" ht="13.5" customHeight="1">
      <c r="A921" s="1059" t="s">
        <v>604</v>
      </c>
    </row>
    <row r="922" spans="1:1" ht="13.5" customHeight="1">
      <c r="A922" s="1059" t="s">
        <v>604</v>
      </c>
    </row>
    <row r="923" spans="1:1" ht="13.5" customHeight="1">
      <c r="A923" s="1059" t="s">
        <v>604</v>
      </c>
    </row>
    <row r="924" spans="1:1" ht="13.5" customHeight="1">
      <c r="A924" s="1059" t="s">
        <v>604</v>
      </c>
    </row>
    <row r="925" spans="1:1" ht="13.5" customHeight="1">
      <c r="A925" s="1059" t="s">
        <v>604</v>
      </c>
    </row>
    <row r="926" spans="1:1" ht="13.5" customHeight="1">
      <c r="A926" s="1059" t="s">
        <v>604</v>
      </c>
    </row>
    <row r="927" spans="1:1" ht="13.5" customHeight="1">
      <c r="A927" s="1059" t="s">
        <v>604</v>
      </c>
    </row>
    <row r="928" spans="1:1" ht="13.5" customHeight="1">
      <c r="A928" s="1059" t="s">
        <v>604</v>
      </c>
    </row>
    <row r="929" spans="1:1" ht="13.5" customHeight="1">
      <c r="A929" s="1059" t="s">
        <v>604</v>
      </c>
    </row>
    <row r="930" spans="1:1" ht="13.5" customHeight="1">
      <c r="A930" s="1059" t="s">
        <v>604</v>
      </c>
    </row>
    <row r="931" spans="1:1" ht="13.5" customHeight="1">
      <c r="A931" s="1059" t="s">
        <v>604</v>
      </c>
    </row>
    <row r="932" spans="1:1" ht="13.5" customHeight="1">
      <c r="A932" s="1059" t="s">
        <v>604</v>
      </c>
    </row>
    <row r="933" spans="1:1" ht="13.5" customHeight="1">
      <c r="A933" s="1059" t="s">
        <v>604</v>
      </c>
    </row>
    <row r="934" spans="1:1" ht="13.5" customHeight="1">
      <c r="A934" s="1059" t="s">
        <v>604</v>
      </c>
    </row>
    <row r="935" spans="1:1" ht="13.5" customHeight="1">
      <c r="A935" s="1059" t="s">
        <v>604</v>
      </c>
    </row>
    <row r="936" spans="1:1" ht="13.5" customHeight="1">
      <c r="A936" s="1059" t="s">
        <v>604</v>
      </c>
    </row>
    <row r="937" spans="1:1" ht="13.5" customHeight="1">
      <c r="A937" s="1059" t="s">
        <v>604</v>
      </c>
    </row>
    <row r="938" spans="1:1" ht="13.5" customHeight="1">
      <c r="A938" s="1059" t="s">
        <v>604</v>
      </c>
    </row>
    <row r="939" spans="1:1" ht="13.5" customHeight="1">
      <c r="A939" s="1059" t="s">
        <v>604</v>
      </c>
    </row>
    <row r="940" spans="1:1" ht="13.5" customHeight="1">
      <c r="A940" s="1059" t="s">
        <v>604</v>
      </c>
    </row>
    <row r="941" spans="1:1" ht="13.5" customHeight="1">
      <c r="A941" s="1059" t="s">
        <v>604</v>
      </c>
    </row>
    <row r="942" spans="1:1" ht="13.5" customHeight="1">
      <c r="A942" s="1059" t="s">
        <v>604</v>
      </c>
    </row>
    <row r="943" spans="1:1" ht="13.5" customHeight="1">
      <c r="A943" s="1059" t="s">
        <v>604</v>
      </c>
    </row>
    <row r="944" spans="1:1" ht="13.5" customHeight="1">
      <c r="A944" s="1059" t="s">
        <v>604</v>
      </c>
    </row>
    <row r="945" spans="1:1" ht="13.5" customHeight="1">
      <c r="A945" s="1059" t="s">
        <v>604</v>
      </c>
    </row>
    <row r="946" spans="1:1" ht="13.5" customHeight="1">
      <c r="A946" s="1059" t="s">
        <v>604</v>
      </c>
    </row>
    <row r="947" spans="1:1" ht="13.5" customHeight="1">
      <c r="A947" s="1059" t="s">
        <v>604</v>
      </c>
    </row>
    <row r="948" spans="1:1" ht="13.5" customHeight="1">
      <c r="A948" s="1059" t="s">
        <v>604</v>
      </c>
    </row>
    <row r="949" spans="1:1" ht="13.5" customHeight="1">
      <c r="A949" s="1059" t="s">
        <v>604</v>
      </c>
    </row>
    <row r="950" spans="1:1" ht="13.5" customHeight="1">
      <c r="A950" s="1059" t="s">
        <v>604</v>
      </c>
    </row>
    <row r="951" spans="1:1" ht="13.5" customHeight="1">
      <c r="A951" s="1059" t="s">
        <v>604</v>
      </c>
    </row>
    <row r="952" spans="1:1" ht="13.5" customHeight="1">
      <c r="A952" s="1059" t="s">
        <v>604</v>
      </c>
    </row>
    <row r="953" spans="1:1" ht="13.5" customHeight="1">
      <c r="A953" s="1059" t="s">
        <v>604</v>
      </c>
    </row>
    <row r="954" spans="1:1" ht="13.5" customHeight="1">
      <c r="A954" s="1059" t="s">
        <v>604</v>
      </c>
    </row>
    <row r="955" spans="1:1" ht="13.5" customHeight="1">
      <c r="A955" s="1059" t="s">
        <v>604</v>
      </c>
    </row>
    <row r="956" spans="1:1" ht="13.5" customHeight="1">
      <c r="A956" s="1059" t="s">
        <v>604</v>
      </c>
    </row>
    <row r="957" spans="1:1" ht="13.5" customHeight="1">
      <c r="A957" s="1059" t="s">
        <v>604</v>
      </c>
    </row>
    <row r="958" spans="1:1" ht="13.5" customHeight="1">
      <c r="A958" s="1059" t="s">
        <v>604</v>
      </c>
    </row>
    <row r="959" spans="1:1" ht="13.5" customHeight="1">
      <c r="A959" s="1059" t="s">
        <v>604</v>
      </c>
    </row>
    <row r="960" spans="1:1" ht="13.5" customHeight="1">
      <c r="A960" s="1059" t="s">
        <v>604</v>
      </c>
    </row>
    <row r="961" spans="1:1" ht="13.5" customHeight="1">
      <c r="A961" s="1059" t="s">
        <v>604</v>
      </c>
    </row>
    <row r="962" spans="1:1" ht="13.5" customHeight="1">
      <c r="A962" s="1059" t="s">
        <v>604</v>
      </c>
    </row>
    <row r="963" spans="1:1" ht="13.5" customHeight="1">
      <c r="A963" s="1059" t="s">
        <v>604</v>
      </c>
    </row>
    <row r="964" spans="1:1" ht="13.5" customHeight="1">
      <c r="A964" s="1059" t="s">
        <v>604</v>
      </c>
    </row>
    <row r="965" spans="1:1" ht="13.5" customHeight="1">
      <c r="A965" s="1059" t="s">
        <v>604</v>
      </c>
    </row>
    <row r="966" spans="1:1" ht="13.5" customHeight="1">
      <c r="A966" s="1059" t="s">
        <v>604</v>
      </c>
    </row>
    <row r="967" spans="1:1" ht="13.5" customHeight="1">
      <c r="A967" s="1059" t="s">
        <v>604</v>
      </c>
    </row>
    <row r="968" spans="1:1" ht="13.5" customHeight="1">
      <c r="A968" s="1059" t="s">
        <v>604</v>
      </c>
    </row>
    <row r="969" spans="1:1" ht="13.5" customHeight="1">
      <c r="A969" s="1059" t="s">
        <v>604</v>
      </c>
    </row>
    <row r="970" spans="1:1" ht="13.5" customHeight="1">
      <c r="A970" s="1059" t="s">
        <v>604</v>
      </c>
    </row>
    <row r="971" spans="1:1" ht="13.5" customHeight="1">
      <c r="A971" s="1059" t="s">
        <v>604</v>
      </c>
    </row>
    <row r="972" spans="1:1" ht="13.5" customHeight="1">
      <c r="A972" s="1059" t="s">
        <v>604</v>
      </c>
    </row>
    <row r="973" spans="1:1" ht="13.5" customHeight="1">
      <c r="A973" s="1059" t="s">
        <v>604</v>
      </c>
    </row>
    <row r="974" spans="1:1" ht="13.5" customHeight="1">
      <c r="A974" s="1059" t="s">
        <v>604</v>
      </c>
    </row>
    <row r="975" spans="1:1" ht="13.5" customHeight="1">
      <c r="A975" s="1059" t="s">
        <v>604</v>
      </c>
    </row>
    <row r="976" spans="1:1" ht="13.5" customHeight="1">
      <c r="A976" s="1059" t="s">
        <v>604</v>
      </c>
    </row>
    <row r="977" spans="1:1" ht="13.5" customHeight="1">
      <c r="A977" s="1059" t="s">
        <v>604</v>
      </c>
    </row>
    <row r="978" spans="1:1" ht="13.5" customHeight="1">
      <c r="A978" s="1059" t="s">
        <v>604</v>
      </c>
    </row>
    <row r="979" spans="1:1" ht="13.5" customHeight="1">
      <c r="A979" s="1059" t="s">
        <v>604</v>
      </c>
    </row>
    <row r="980" spans="1:1" ht="13.5" customHeight="1">
      <c r="A980" s="1059" t="s">
        <v>604</v>
      </c>
    </row>
    <row r="981" spans="1:1" ht="13.5" customHeight="1">
      <c r="A981" s="1059" t="s">
        <v>604</v>
      </c>
    </row>
    <row r="982" spans="1:1" ht="13.5" customHeight="1">
      <c r="A982" s="1059" t="s">
        <v>604</v>
      </c>
    </row>
    <row r="983" spans="1:1" ht="13.5" customHeight="1">
      <c r="A983" s="1059" t="s">
        <v>604</v>
      </c>
    </row>
    <row r="984" spans="1:1" ht="13.5" customHeight="1">
      <c r="A984" s="1059" t="s">
        <v>604</v>
      </c>
    </row>
    <row r="985" spans="1:1" ht="13.5" customHeight="1">
      <c r="A985" s="1059" t="s">
        <v>604</v>
      </c>
    </row>
    <row r="986" spans="1:1" ht="13.5" customHeight="1">
      <c r="A986" s="1059" t="s">
        <v>604</v>
      </c>
    </row>
    <row r="987" spans="1:1" ht="13.5" customHeight="1">
      <c r="A987" s="1059" t="s">
        <v>604</v>
      </c>
    </row>
    <row r="988" spans="1:1" ht="13.5" customHeight="1">
      <c r="A988" s="1059" t="s">
        <v>604</v>
      </c>
    </row>
    <row r="989" spans="1:1" ht="13.5" customHeight="1">
      <c r="A989" s="1059" t="s">
        <v>604</v>
      </c>
    </row>
    <row r="990" spans="1:1" ht="13.5" customHeight="1">
      <c r="A990" s="1059" t="s">
        <v>604</v>
      </c>
    </row>
    <row r="991" spans="1:1" ht="13.5" customHeight="1">
      <c r="A991" s="1059" t="s">
        <v>604</v>
      </c>
    </row>
    <row r="992" spans="1:1" ht="13.5" customHeight="1">
      <c r="A992" s="1059" t="s">
        <v>604</v>
      </c>
    </row>
    <row r="993" spans="1:1" ht="13.5" customHeight="1">
      <c r="A993" s="1059" t="s">
        <v>604</v>
      </c>
    </row>
    <row r="994" spans="1:1" ht="13.5" customHeight="1">
      <c r="A994" s="1059" t="s">
        <v>604</v>
      </c>
    </row>
    <row r="995" spans="1:1" ht="13.5" customHeight="1">
      <c r="A995" s="1059" t="s">
        <v>604</v>
      </c>
    </row>
    <row r="996" spans="1:1" ht="13.5" customHeight="1">
      <c r="A996" s="1059" t="s">
        <v>604</v>
      </c>
    </row>
    <row r="997" spans="1:1" ht="13.5" customHeight="1">
      <c r="A997" s="1059" t="s">
        <v>604</v>
      </c>
    </row>
    <row r="998" spans="1:1" ht="13.5" customHeight="1">
      <c r="A998" s="1059" t="s">
        <v>604</v>
      </c>
    </row>
    <row r="999" spans="1:1" ht="13.5" customHeight="1">
      <c r="A999" s="1059" t="s">
        <v>604</v>
      </c>
    </row>
    <row r="1000" spans="1:1" ht="13.5" customHeight="1">
      <c r="A1000" s="1059" t="s">
        <v>604</v>
      </c>
    </row>
    <row r="1001" spans="1:1" ht="13.5" customHeight="1">
      <c r="A1001" s="1059" t="s">
        <v>604</v>
      </c>
    </row>
    <row r="1002" spans="1:1" ht="13.5" customHeight="1">
      <c r="A1002" s="1059" t="s">
        <v>604</v>
      </c>
    </row>
    <row r="1003" spans="1:1" ht="13.5" customHeight="1">
      <c r="A1003" s="1059" t="s">
        <v>604</v>
      </c>
    </row>
    <row r="1004" spans="1:1" ht="13.5" customHeight="1">
      <c r="A1004" s="1059" t="s">
        <v>604</v>
      </c>
    </row>
    <row r="1005" spans="1:1" ht="13.5" customHeight="1">
      <c r="A1005" s="1059" t="s">
        <v>604</v>
      </c>
    </row>
    <row r="1006" spans="1:1" ht="13.5" customHeight="1">
      <c r="A1006" s="1059" t="s">
        <v>604</v>
      </c>
    </row>
    <row r="1007" spans="1:1" ht="13.5" customHeight="1">
      <c r="A1007" s="1059" t="s">
        <v>604</v>
      </c>
    </row>
    <row r="1008" spans="1:1" ht="13.5" customHeight="1">
      <c r="A1008" s="1059" t="s">
        <v>604</v>
      </c>
    </row>
    <row r="1009" spans="1:1" ht="13.5" customHeight="1">
      <c r="A1009" s="1059" t="s">
        <v>604</v>
      </c>
    </row>
    <row r="1010" spans="1:1" ht="13.5" customHeight="1">
      <c r="A1010" s="1059" t="s">
        <v>604</v>
      </c>
    </row>
    <row r="1011" spans="1:1" ht="13.5" customHeight="1">
      <c r="A1011" s="1059" t="s">
        <v>604</v>
      </c>
    </row>
    <row r="1012" spans="1:1" ht="13.5" customHeight="1">
      <c r="A1012" s="1059" t="s">
        <v>604</v>
      </c>
    </row>
    <row r="1013" spans="1:1" ht="13.5" customHeight="1">
      <c r="A1013" s="1059" t="s">
        <v>604</v>
      </c>
    </row>
    <row r="1014" spans="1:1" ht="13.5" customHeight="1">
      <c r="A1014" s="1059" t="s">
        <v>604</v>
      </c>
    </row>
    <row r="1015" spans="1:1" ht="13.5" customHeight="1">
      <c r="A1015" s="1059" t="s">
        <v>604</v>
      </c>
    </row>
    <row r="1016" spans="1:1" ht="13.5" customHeight="1">
      <c r="A1016" s="1059" t="s">
        <v>604</v>
      </c>
    </row>
    <row r="1017" spans="1:1" ht="13.5" customHeight="1">
      <c r="A1017" s="1059" t="s">
        <v>604</v>
      </c>
    </row>
    <row r="1018" spans="1:1" ht="13.5" customHeight="1">
      <c r="A1018" s="1059" t="s">
        <v>604</v>
      </c>
    </row>
    <row r="1019" spans="1:1" ht="13.5" customHeight="1">
      <c r="A1019" s="1059" t="s">
        <v>604</v>
      </c>
    </row>
    <row r="1020" spans="1:1" ht="13.5" customHeight="1">
      <c r="A1020" s="1059" t="s">
        <v>604</v>
      </c>
    </row>
    <row r="1021" spans="1:1" ht="13.5" customHeight="1">
      <c r="A1021" s="1059" t="s">
        <v>604</v>
      </c>
    </row>
    <row r="1022" spans="1:1" ht="13.5" customHeight="1">
      <c r="A1022" s="1059" t="s">
        <v>604</v>
      </c>
    </row>
    <row r="1023" spans="1:1" ht="13.5" customHeight="1">
      <c r="A1023" s="1059" t="s">
        <v>604</v>
      </c>
    </row>
    <row r="1024" spans="1:1" ht="13.5" customHeight="1">
      <c r="A1024" s="1059" t="s">
        <v>604</v>
      </c>
    </row>
    <row r="1025" spans="1:1" ht="13.5" customHeight="1">
      <c r="A1025" s="1059" t="s">
        <v>604</v>
      </c>
    </row>
    <row r="1026" spans="1:1" ht="13.5" customHeight="1">
      <c r="A1026" s="1059" t="s">
        <v>604</v>
      </c>
    </row>
    <row r="1027" spans="1:1" ht="13.5" customHeight="1">
      <c r="A1027" s="1059" t="s">
        <v>604</v>
      </c>
    </row>
    <row r="1028" spans="1:1" ht="13.5" customHeight="1">
      <c r="A1028" s="1059" t="s">
        <v>604</v>
      </c>
    </row>
    <row r="1029" spans="1:1" ht="13.5" customHeight="1">
      <c r="A1029" s="1059" t="s">
        <v>604</v>
      </c>
    </row>
    <row r="1030" spans="1:1" ht="13.5" customHeight="1">
      <c r="A1030" s="1059" t="s">
        <v>604</v>
      </c>
    </row>
    <row r="1031" spans="1:1" ht="13.5" customHeight="1">
      <c r="A1031" s="1059" t="s">
        <v>604</v>
      </c>
    </row>
    <row r="1032" spans="1:1" ht="13.5" customHeight="1">
      <c r="A1032" s="1059" t="s">
        <v>604</v>
      </c>
    </row>
    <row r="1033" spans="1:1" ht="13.5" customHeight="1">
      <c r="A1033" s="1059" t="s">
        <v>604</v>
      </c>
    </row>
    <row r="1034" spans="1:1" ht="13.5" customHeight="1">
      <c r="A1034" s="1059" t="s">
        <v>604</v>
      </c>
    </row>
    <row r="1035" spans="1:1" ht="13.5" customHeight="1">
      <c r="A1035" s="1059" t="s">
        <v>604</v>
      </c>
    </row>
    <row r="1036" spans="1:1" ht="13.5" customHeight="1">
      <c r="A1036" s="1059" t="s">
        <v>604</v>
      </c>
    </row>
    <row r="1037" spans="1:1" ht="13.5" customHeight="1">
      <c r="A1037" s="1059" t="s">
        <v>604</v>
      </c>
    </row>
    <row r="1038" spans="1:1" ht="13.5" customHeight="1">
      <c r="A1038" s="1059" t="s">
        <v>604</v>
      </c>
    </row>
    <row r="1039" spans="1:1" ht="13.5" customHeight="1">
      <c r="A1039" s="1059" t="s">
        <v>604</v>
      </c>
    </row>
    <row r="1040" spans="1:1" ht="13.5" customHeight="1">
      <c r="A1040" s="1059" t="s">
        <v>604</v>
      </c>
    </row>
    <row r="1041" spans="1:1" ht="13.5" customHeight="1">
      <c r="A1041" s="1059" t="s">
        <v>604</v>
      </c>
    </row>
    <row r="1042" spans="1:1" ht="13.5" customHeight="1">
      <c r="A1042" s="1059" t="s">
        <v>604</v>
      </c>
    </row>
    <row r="1043" spans="1:1" ht="13.5" customHeight="1">
      <c r="A1043" s="1059" t="s">
        <v>604</v>
      </c>
    </row>
    <row r="1044" spans="1:1" ht="13.5" customHeight="1">
      <c r="A1044" s="1059" t="s">
        <v>604</v>
      </c>
    </row>
    <row r="1045" spans="1:1" ht="13.5" customHeight="1">
      <c r="A1045" s="1059" t="s">
        <v>604</v>
      </c>
    </row>
    <row r="1046" spans="1:1" ht="13.5" customHeight="1">
      <c r="A1046" s="1059" t="s">
        <v>604</v>
      </c>
    </row>
    <row r="1047" spans="1:1" ht="13.5" customHeight="1">
      <c r="A1047" s="1059" t="s">
        <v>604</v>
      </c>
    </row>
    <row r="1048" spans="1:1" ht="13.5" customHeight="1">
      <c r="A1048" s="1059" t="s">
        <v>604</v>
      </c>
    </row>
    <row r="1049" spans="1:1" ht="13.5" customHeight="1">
      <c r="A1049" s="1059" t="s">
        <v>604</v>
      </c>
    </row>
    <row r="1050" spans="1:1" ht="13.5" customHeight="1">
      <c r="A1050" s="1059" t="s">
        <v>604</v>
      </c>
    </row>
    <row r="1051" spans="1:1" ht="13.5" customHeight="1">
      <c r="A1051" s="1059" t="s">
        <v>604</v>
      </c>
    </row>
    <row r="1052" spans="1:1" ht="13.5" customHeight="1">
      <c r="A1052" s="1059" t="s">
        <v>604</v>
      </c>
    </row>
    <row r="1053" spans="1:1" ht="13.5" customHeight="1">
      <c r="A1053" s="1059" t="s">
        <v>604</v>
      </c>
    </row>
    <row r="1054" spans="1:1" ht="13.5" customHeight="1">
      <c r="A1054" s="1059" t="s">
        <v>604</v>
      </c>
    </row>
    <row r="1055" spans="1:1" ht="13.5" customHeight="1">
      <c r="A1055" s="1059" t="s">
        <v>604</v>
      </c>
    </row>
    <row r="1056" spans="1:1" ht="13.5" customHeight="1">
      <c r="A1056" s="1059" t="s">
        <v>604</v>
      </c>
    </row>
    <row r="1057" spans="1:1" ht="13.5" customHeight="1">
      <c r="A1057" s="1059" t="s">
        <v>604</v>
      </c>
    </row>
    <row r="1058" spans="1:1" ht="13.5" customHeight="1">
      <c r="A1058" s="1059" t="s">
        <v>604</v>
      </c>
    </row>
    <row r="1059" spans="1:1" ht="13.5" customHeight="1">
      <c r="A1059" s="1059" t="s">
        <v>604</v>
      </c>
    </row>
    <row r="1060" spans="1:1" ht="13.5" customHeight="1">
      <c r="A1060" s="1059" t="s">
        <v>604</v>
      </c>
    </row>
    <row r="1061" spans="1:1" ht="13.5" customHeight="1">
      <c r="A1061" s="1059" t="s">
        <v>604</v>
      </c>
    </row>
    <row r="1062" spans="1:1" ht="13.5" customHeight="1">
      <c r="A1062" s="1059" t="s">
        <v>604</v>
      </c>
    </row>
    <row r="1063" spans="1:1" ht="13.5" customHeight="1">
      <c r="A1063" s="1059" t="s">
        <v>604</v>
      </c>
    </row>
    <row r="1064" spans="1:1" ht="13.5" customHeight="1">
      <c r="A1064" s="1059" t="s">
        <v>604</v>
      </c>
    </row>
    <row r="1065" spans="1:1" ht="13.5" customHeight="1">
      <c r="A1065" s="1059" t="s">
        <v>604</v>
      </c>
    </row>
    <row r="1066" spans="1:1" ht="13.5" customHeight="1">
      <c r="A1066" s="1059" t="s">
        <v>604</v>
      </c>
    </row>
    <row r="1067" spans="1:1" ht="13.5" customHeight="1">
      <c r="A1067" s="1059" t="s">
        <v>604</v>
      </c>
    </row>
    <row r="1068" spans="1:1" ht="13.5" customHeight="1">
      <c r="A1068" s="1059" t="s">
        <v>604</v>
      </c>
    </row>
    <row r="1069" spans="1:1" ht="13.5" customHeight="1">
      <c r="A1069" s="1059" t="s">
        <v>604</v>
      </c>
    </row>
    <row r="1070" spans="1:1" ht="13.5" customHeight="1">
      <c r="A1070" s="1059" t="s">
        <v>604</v>
      </c>
    </row>
    <row r="1071" spans="1:1" ht="13.5" customHeight="1">
      <c r="A1071" s="1059" t="s">
        <v>604</v>
      </c>
    </row>
    <row r="1072" spans="1:1" ht="13.5" customHeight="1">
      <c r="A1072" s="1059" t="s">
        <v>604</v>
      </c>
    </row>
    <row r="1073" spans="1:1" ht="13.5" customHeight="1">
      <c r="A1073" s="1059" t="s">
        <v>604</v>
      </c>
    </row>
    <row r="1074" spans="1:1" ht="13.5" customHeight="1">
      <c r="A1074" s="1059" t="s">
        <v>604</v>
      </c>
    </row>
    <row r="1075" spans="1:1" ht="13.5" customHeight="1">
      <c r="A1075" s="1059" t="s">
        <v>604</v>
      </c>
    </row>
    <row r="1076" spans="1:1" ht="13.5" customHeight="1">
      <c r="A1076" s="1059" t="s">
        <v>604</v>
      </c>
    </row>
    <row r="1077" spans="1:1" ht="13.5" customHeight="1">
      <c r="A1077" s="1059" t="s">
        <v>604</v>
      </c>
    </row>
    <row r="1078" spans="1:1" ht="13.5" customHeight="1">
      <c r="A1078" s="1059" t="s">
        <v>604</v>
      </c>
    </row>
    <row r="1079" spans="1:1" ht="13.5" customHeight="1">
      <c r="A1079" s="1059" t="s">
        <v>604</v>
      </c>
    </row>
    <row r="1080" spans="1:1" ht="13.5" customHeight="1">
      <c r="A1080" s="1059" t="s">
        <v>604</v>
      </c>
    </row>
    <row r="1081" spans="1:1" ht="13.5" customHeight="1">
      <c r="A1081" s="1059" t="s">
        <v>604</v>
      </c>
    </row>
    <row r="1082" spans="1:1" ht="13.5" customHeight="1">
      <c r="A1082" s="1059" t="s">
        <v>604</v>
      </c>
    </row>
    <row r="1083" spans="1:1" ht="13.5" customHeight="1">
      <c r="A1083" s="1059" t="s">
        <v>604</v>
      </c>
    </row>
    <row r="1084" spans="1:1" ht="13.5" customHeight="1">
      <c r="A1084" s="1059" t="s">
        <v>604</v>
      </c>
    </row>
    <row r="1085" spans="1:1" ht="13.5" customHeight="1">
      <c r="A1085" s="1059" t="s">
        <v>604</v>
      </c>
    </row>
    <row r="1086" spans="1:1" ht="13.5" customHeight="1">
      <c r="A1086" s="1059" t="s">
        <v>604</v>
      </c>
    </row>
    <row r="1087" spans="1:1" ht="13.5" customHeight="1">
      <c r="A1087" s="1059" t="s">
        <v>604</v>
      </c>
    </row>
    <row r="1088" spans="1:1" ht="13.5" customHeight="1">
      <c r="A1088" s="1059" t="s">
        <v>604</v>
      </c>
    </row>
    <row r="1089" spans="1:1" ht="13.5" customHeight="1">
      <c r="A1089" s="1059" t="s">
        <v>604</v>
      </c>
    </row>
    <row r="1090" spans="1:1" ht="13.5" customHeight="1">
      <c r="A1090" s="1059" t="s">
        <v>604</v>
      </c>
    </row>
    <row r="1091" spans="1:1" ht="13.5" customHeight="1">
      <c r="A1091" s="1059" t="s">
        <v>604</v>
      </c>
    </row>
    <row r="1092" spans="1:1" ht="13.5" customHeight="1">
      <c r="A1092" s="1059" t="s">
        <v>604</v>
      </c>
    </row>
    <row r="1093" spans="1:1" ht="13.5" customHeight="1">
      <c r="A1093" s="1059" t="s">
        <v>604</v>
      </c>
    </row>
    <row r="1094" spans="1:1" ht="13.5" customHeight="1">
      <c r="A1094" s="1059" t="s">
        <v>604</v>
      </c>
    </row>
    <row r="1095" spans="1:1" ht="13.5" customHeight="1">
      <c r="A1095" s="1059" t="s">
        <v>604</v>
      </c>
    </row>
    <row r="1096" spans="1:1" ht="13.5" customHeight="1">
      <c r="A1096" s="1059" t="s">
        <v>604</v>
      </c>
    </row>
    <row r="1097" spans="1:1" ht="13.5" customHeight="1">
      <c r="A1097" s="1059" t="s">
        <v>604</v>
      </c>
    </row>
    <row r="1098" spans="1:1" ht="13.5" customHeight="1">
      <c r="A1098" s="1059" t="s">
        <v>604</v>
      </c>
    </row>
    <row r="1099" spans="1:1" ht="13.5" customHeight="1">
      <c r="A1099" s="1059" t="s">
        <v>604</v>
      </c>
    </row>
    <row r="1100" spans="1:1" ht="13.5" customHeight="1">
      <c r="A1100" s="1059" t="s">
        <v>604</v>
      </c>
    </row>
    <row r="1101" spans="1:1" ht="13.5" customHeight="1">
      <c r="A1101" s="1059" t="s">
        <v>604</v>
      </c>
    </row>
    <row r="1102" spans="1:1" ht="13.5" customHeight="1">
      <c r="A1102" s="1059" t="s">
        <v>604</v>
      </c>
    </row>
    <row r="1103" spans="1:1" ht="13.5" customHeight="1">
      <c r="A1103" s="1059" t="s">
        <v>604</v>
      </c>
    </row>
    <row r="1104" spans="1:1" ht="13.5" customHeight="1">
      <c r="A1104" s="1059" t="s">
        <v>604</v>
      </c>
    </row>
    <row r="1105" spans="1:1" ht="13.5" customHeight="1">
      <c r="A1105" s="1059" t="s">
        <v>604</v>
      </c>
    </row>
    <row r="1106" spans="1:1" ht="13.5" customHeight="1">
      <c r="A1106" s="1059" t="s">
        <v>604</v>
      </c>
    </row>
    <row r="1107" spans="1:1" ht="13.5" customHeight="1">
      <c r="A1107" s="1059" t="s">
        <v>604</v>
      </c>
    </row>
    <row r="1108" spans="1:1" ht="13.5" customHeight="1">
      <c r="A1108" s="1059" t="s">
        <v>604</v>
      </c>
    </row>
    <row r="1109" spans="1:1" ht="13.5" customHeight="1">
      <c r="A1109" s="1059" t="s">
        <v>604</v>
      </c>
    </row>
    <row r="1110" spans="1:1" ht="13.5" customHeight="1">
      <c r="A1110" s="1059" t="s">
        <v>604</v>
      </c>
    </row>
    <row r="1111" spans="1:1" ht="13.5" customHeight="1">
      <c r="A1111" s="1059" t="s">
        <v>604</v>
      </c>
    </row>
    <row r="1112" spans="1:1" ht="13.5" customHeight="1">
      <c r="A1112" s="1059" t="s">
        <v>604</v>
      </c>
    </row>
    <row r="1113" spans="1:1" ht="13.5" customHeight="1">
      <c r="A1113" s="1059" t="s">
        <v>604</v>
      </c>
    </row>
    <row r="1114" spans="1:1" ht="13.5" customHeight="1">
      <c r="A1114" s="1059" t="s">
        <v>604</v>
      </c>
    </row>
    <row r="1115" spans="1:1" ht="13.5" customHeight="1">
      <c r="A1115" s="1059" t="s">
        <v>604</v>
      </c>
    </row>
    <row r="1116" spans="1:1" ht="13.5" customHeight="1">
      <c r="A1116" s="1059" t="s">
        <v>604</v>
      </c>
    </row>
    <row r="1117" spans="1:1" ht="13.5" customHeight="1">
      <c r="A1117" s="1059" t="s">
        <v>604</v>
      </c>
    </row>
    <row r="1118" spans="1:1" ht="13.5" customHeight="1">
      <c r="A1118" s="1059" t="s">
        <v>604</v>
      </c>
    </row>
    <row r="1119" spans="1:1" ht="13.5" customHeight="1">
      <c r="A1119" s="1059" t="s">
        <v>604</v>
      </c>
    </row>
    <row r="1120" spans="1:1" ht="13.5" customHeight="1">
      <c r="A1120" s="1059" t="s">
        <v>604</v>
      </c>
    </row>
    <row r="1121" spans="1:1" ht="13.5" customHeight="1">
      <c r="A1121" s="1059" t="s">
        <v>604</v>
      </c>
    </row>
    <row r="1122" spans="1:1" ht="13.5" customHeight="1">
      <c r="A1122" s="1059" t="s">
        <v>604</v>
      </c>
    </row>
    <row r="1123" spans="1:1" ht="13.5" customHeight="1">
      <c r="A1123" s="1059" t="s">
        <v>604</v>
      </c>
    </row>
    <row r="1124" spans="1:1" ht="13.5" customHeight="1">
      <c r="A1124" s="1059" t="s">
        <v>604</v>
      </c>
    </row>
    <row r="1125" spans="1:1" ht="13.5" customHeight="1">
      <c r="A1125" s="1059" t="s">
        <v>604</v>
      </c>
    </row>
    <row r="1126" spans="1:1" ht="13.5" customHeight="1">
      <c r="A1126" s="1059" t="s">
        <v>604</v>
      </c>
    </row>
    <row r="1127" spans="1:1" ht="13.5" customHeight="1">
      <c r="A1127" s="1059" t="s">
        <v>604</v>
      </c>
    </row>
    <row r="1128" spans="1:1" ht="13.5" customHeight="1">
      <c r="A1128" s="1059" t="s">
        <v>604</v>
      </c>
    </row>
    <row r="1129" spans="1:1" ht="13.5" customHeight="1">
      <c r="A1129" s="1059" t="s">
        <v>604</v>
      </c>
    </row>
    <row r="1130" spans="1:1" ht="13.5" customHeight="1">
      <c r="A1130" s="1059" t="s">
        <v>604</v>
      </c>
    </row>
    <row r="1131" spans="1:1" ht="13.5" customHeight="1">
      <c r="A1131" s="1059" t="s">
        <v>604</v>
      </c>
    </row>
    <row r="1132" spans="1:1" ht="13.5" customHeight="1">
      <c r="A1132" s="1059" t="s">
        <v>604</v>
      </c>
    </row>
    <row r="1133" spans="1:1" ht="13.5" customHeight="1">
      <c r="A1133" s="1059" t="s">
        <v>604</v>
      </c>
    </row>
    <row r="1134" spans="1:1" ht="13.5" customHeight="1">
      <c r="A1134" s="1059" t="s">
        <v>604</v>
      </c>
    </row>
    <row r="1135" spans="1:1" ht="13.5" customHeight="1">
      <c r="A1135" s="1059" t="s">
        <v>604</v>
      </c>
    </row>
    <row r="1136" spans="1:1" ht="13.5" customHeight="1">
      <c r="A1136" s="1059" t="s">
        <v>604</v>
      </c>
    </row>
    <row r="1137" spans="1:1" ht="13.5" customHeight="1">
      <c r="A1137" s="1059" t="s">
        <v>604</v>
      </c>
    </row>
    <row r="1138" spans="1:1" ht="13.5" customHeight="1">
      <c r="A1138" s="1059" t="s">
        <v>604</v>
      </c>
    </row>
    <row r="1139" spans="1:1" ht="13.5" customHeight="1">
      <c r="A1139" s="1059" t="s">
        <v>604</v>
      </c>
    </row>
    <row r="1140" spans="1:1" ht="13.5" customHeight="1">
      <c r="A1140" s="1059" t="s">
        <v>604</v>
      </c>
    </row>
    <row r="1141" spans="1:1" ht="13.5" customHeight="1">
      <c r="A1141" s="1059" t="s">
        <v>604</v>
      </c>
    </row>
    <row r="1142" spans="1:1" ht="13.5" customHeight="1">
      <c r="A1142" s="1059" t="s">
        <v>604</v>
      </c>
    </row>
    <row r="1143" spans="1:1" ht="13.5" customHeight="1">
      <c r="A1143" s="1059" t="s">
        <v>604</v>
      </c>
    </row>
    <row r="1144" spans="1:1" ht="13.5" customHeight="1">
      <c r="A1144" s="1059" t="s">
        <v>604</v>
      </c>
    </row>
    <row r="1145" spans="1:1" ht="13.5" customHeight="1">
      <c r="A1145" s="1059" t="s">
        <v>604</v>
      </c>
    </row>
    <row r="1146" spans="1:1" ht="13.5" customHeight="1">
      <c r="A1146" s="1059" t="s">
        <v>604</v>
      </c>
    </row>
    <row r="1147" spans="1:1" ht="13.5" customHeight="1">
      <c r="A1147" s="1059" t="s">
        <v>604</v>
      </c>
    </row>
    <row r="1148" spans="1:1" ht="13.5" customHeight="1">
      <c r="A1148" s="1059" t="s">
        <v>604</v>
      </c>
    </row>
    <row r="1149" spans="1:1" ht="13.5" customHeight="1">
      <c r="A1149" s="1059" t="s">
        <v>604</v>
      </c>
    </row>
    <row r="1150" spans="1:1" ht="13.5" customHeight="1">
      <c r="A1150" s="1059" t="s">
        <v>604</v>
      </c>
    </row>
    <row r="1151" spans="1:1" ht="13.5" customHeight="1">
      <c r="A1151" s="1059" t="s">
        <v>604</v>
      </c>
    </row>
    <row r="1152" spans="1:1" ht="13.5" customHeight="1">
      <c r="A1152" s="1059" t="s">
        <v>604</v>
      </c>
    </row>
    <row r="1153" spans="1:1" ht="13.5" customHeight="1">
      <c r="A1153" s="1059" t="s">
        <v>604</v>
      </c>
    </row>
    <row r="1154" spans="1:1" ht="13.5" customHeight="1">
      <c r="A1154" s="1059" t="s">
        <v>604</v>
      </c>
    </row>
    <row r="1155" spans="1:1" ht="13.5" customHeight="1">
      <c r="A1155" s="1059" t="s">
        <v>604</v>
      </c>
    </row>
    <row r="1156" spans="1:1" ht="13.5" customHeight="1">
      <c r="A1156" s="1059" t="s">
        <v>604</v>
      </c>
    </row>
    <row r="1157" spans="1:1" ht="13.5" customHeight="1">
      <c r="A1157" s="1059" t="s">
        <v>604</v>
      </c>
    </row>
    <row r="1158" spans="1:1" ht="13.5" customHeight="1">
      <c r="A1158" s="1059" t="s">
        <v>604</v>
      </c>
    </row>
    <row r="1159" spans="1:1" ht="13.5" customHeight="1">
      <c r="A1159" s="1059" t="s">
        <v>604</v>
      </c>
    </row>
    <row r="1160" spans="1:1" ht="13.5" customHeight="1">
      <c r="A1160" s="1059" t="s">
        <v>604</v>
      </c>
    </row>
    <row r="1161" spans="1:1" ht="13.5" customHeight="1">
      <c r="A1161" s="1059" t="s">
        <v>604</v>
      </c>
    </row>
    <row r="1162" spans="1:1" ht="13.5" customHeight="1">
      <c r="A1162" s="1059" t="s">
        <v>604</v>
      </c>
    </row>
    <row r="1163" spans="1:1" ht="13.5" customHeight="1">
      <c r="A1163" s="1059" t="s">
        <v>604</v>
      </c>
    </row>
    <row r="1164" spans="1:1" ht="13.5" customHeight="1">
      <c r="A1164" s="1059" t="s">
        <v>604</v>
      </c>
    </row>
    <row r="1165" spans="1:1" ht="13.5" customHeight="1">
      <c r="A1165" s="1059" t="s">
        <v>604</v>
      </c>
    </row>
    <row r="1166" spans="1:1" ht="13.5" customHeight="1">
      <c r="A1166" s="1059" t="s">
        <v>604</v>
      </c>
    </row>
    <row r="1167" spans="1:1" ht="13.5" customHeight="1">
      <c r="A1167" s="1059" t="s">
        <v>604</v>
      </c>
    </row>
    <row r="1168" spans="1:1" ht="13.5" customHeight="1">
      <c r="A1168" s="1059" t="s">
        <v>604</v>
      </c>
    </row>
    <row r="1169" spans="1:1" ht="13.5" customHeight="1">
      <c r="A1169" s="1059" t="s">
        <v>604</v>
      </c>
    </row>
    <row r="1170" spans="1:1" ht="13.5" customHeight="1">
      <c r="A1170" s="1059" t="s">
        <v>604</v>
      </c>
    </row>
    <row r="1171" spans="1:1" ht="13.5" customHeight="1">
      <c r="A1171" s="1059" t="s">
        <v>604</v>
      </c>
    </row>
    <row r="1172" spans="1:1" ht="13.5" customHeight="1">
      <c r="A1172" s="1059" t="s">
        <v>604</v>
      </c>
    </row>
    <row r="1173" spans="1:1" ht="13.5" customHeight="1">
      <c r="A1173" s="1059" t="s">
        <v>604</v>
      </c>
    </row>
    <row r="1174" spans="1:1" ht="13.5" customHeight="1">
      <c r="A1174" s="1059" t="s">
        <v>604</v>
      </c>
    </row>
    <row r="1175" spans="1:1" ht="13.5" customHeight="1">
      <c r="A1175" s="1059" t="s">
        <v>604</v>
      </c>
    </row>
    <row r="1176" spans="1:1" ht="13.5" customHeight="1">
      <c r="A1176" s="1059" t="s">
        <v>604</v>
      </c>
    </row>
    <row r="1177" spans="1:1" ht="13.5" customHeight="1">
      <c r="A1177" s="1059" t="s">
        <v>604</v>
      </c>
    </row>
    <row r="1178" spans="1:1" ht="13.5" customHeight="1">
      <c r="A1178" s="1059" t="s">
        <v>604</v>
      </c>
    </row>
    <row r="1179" spans="1:1" ht="13.5" customHeight="1">
      <c r="A1179" s="1059" t="s">
        <v>604</v>
      </c>
    </row>
    <row r="1180" spans="1:1" ht="13.5" customHeight="1">
      <c r="A1180" s="1059" t="s">
        <v>604</v>
      </c>
    </row>
    <row r="1181" spans="1:1" ht="13.5" customHeight="1">
      <c r="A1181" s="1059" t="s">
        <v>604</v>
      </c>
    </row>
    <row r="1182" spans="1:1" ht="13.5" customHeight="1">
      <c r="A1182" s="1059" t="s">
        <v>604</v>
      </c>
    </row>
    <row r="1183" spans="1:1" ht="13.5" customHeight="1">
      <c r="A1183" s="1059" t="s">
        <v>604</v>
      </c>
    </row>
    <row r="1184" spans="1:1" ht="13.5" customHeight="1">
      <c r="A1184" s="1059" t="s">
        <v>604</v>
      </c>
    </row>
    <row r="1185" spans="1:1" ht="13.5" customHeight="1">
      <c r="A1185" s="1059" t="s">
        <v>604</v>
      </c>
    </row>
    <row r="1186" spans="1:1" ht="13.5" customHeight="1">
      <c r="A1186" s="1059" t="s">
        <v>604</v>
      </c>
    </row>
    <row r="1187" spans="1:1" ht="13.5" customHeight="1">
      <c r="A1187" s="1059" t="s">
        <v>604</v>
      </c>
    </row>
    <row r="1188" spans="1:1" ht="13.5" customHeight="1">
      <c r="A1188" s="1059" t="s">
        <v>604</v>
      </c>
    </row>
    <row r="1189" spans="1:1" ht="13.5" customHeight="1">
      <c r="A1189" s="1059" t="s">
        <v>604</v>
      </c>
    </row>
    <row r="1190" spans="1:1" ht="13.5" customHeight="1">
      <c r="A1190" s="1059" t="s">
        <v>604</v>
      </c>
    </row>
    <row r="1191" spans="1:1" ht="13.5" customHeight="1">
      <c r="A1191" s="1059" t="s">
        <v>604</v>
      </c>
    </row>
    <row r="1192" spans="1:1" ht="13.5" customHeight="1">
      <c r="A1192" s="1059" t="s">
        <v>604</v>
      </c>
    </row>
    <row r="1193" spans="1:1" ht="13.5" customHeight="1">
      <c r="A1193" s="1059" t="s">
        <v>604</v>
      </c>
    </row>
    <row r="1194" spans="1:1" ht="13.5" customHeight="1">
      <c r="A1194" s="1059" t="s">
        <v>604</v>
      </c>
    </row>
    <row r="1195" spans="1:1" ht="13.5" customHeight="1">
      <c r="A1195" s="1059" t="s">
        <v>604</v>
      </c>
    </row>
    <row r="1196" spans="1:1" ht="13.5" customHeight="1">
      <c r="A1196" s="1059" t="s">
        <v>604</v>
      </c>
    </row>
    <row r="1197" spans="1:1" ht="13.5" customHeight="1">
      <c r="A1197" s="1059" t="s">
        <v>604</v>
      </c>
    </row>
    <row r="1198" spans="1:1" ht="13.5" customHeight="1">
      <c r="A1198" s="1059" t="s">
        <v>604</v>
      </c>
    </row>
    <row r="1199" spans="1:1" ht="13.5" customHeight="1">
      <c r="A1199" s="1059" t="s">
        <v>604</v>
      </c>
    </row>
    <row r="1200" spans="1:1" ht="13.5" customHeight="1">
      <c r="A1200" s="1059" t="s">
        <v>604</v>
      </c>
    </row>
    <row r="1201" spans="1:1" ht="13.5" customHeight="1">
      <c r="A1201" s="1059" t="s">
        <v>604</v>
      </c>
    </row>
    <row r="1202" spans="1:1" ht="13.5" customHeight="1">
      <c r="A1202" s="1059" t="s">
        <v>604</v>
      </c>
    </row>
    <row r="1203" spans="1:1" ht="13.5" customHeight="1">
      <c r="A1203" s="1059" t="s">
        <v>604</v>
      </c>
    </row>
    <row r="1204" spans="1:1" ht="13.5" customHeight="1">
      <c r="A1204" s="1059" t="s">
        <v>604</v>
      </c>
    </row>
    <row r="1205" spans="1:1" ht="13.5" customHeight="1">
      <c r="A1205" s="1059" t="s">
        <v>604</v>
      </c>
    </row>
    <row r="1206" spans="1:1" ht="13.5" customHeight="1">
      <c r="A1206" s="1059" t="s">
        <v>604</v>
      </c>
    </row>
    <row r="1207" spans="1:1" ht="13.5" customHeight="1">
      <c r="A1207" s="1059" t="s">
        <v>604</v>
      </c>
    </row>
    <row r="1208" spans="1:1" ht="13.5" customHeight="1">
      <c r="A1208" s="1059" t="s">
        <v>604</v>
      </c>
    </row>
    <row r="1209" spans="1:1" ht="13.5" customHeight="1">
      <c r="A1209" s="1059" t="s">
        <v>604</v>
      </c>
    </row>
    <row r="1210" spans="1:1" ht="13.5" customHeight="1">
      <c r="A1210" s="1059" t="s">
        <v>604</v>
      </c>
    </row>
    <row r="1211" spans="1:1" ht="13.5" customHeight="1">
      <c r="A1211" s="1059" t="s">
        <v>604</v>
      </c>
    </row>
    <row r="1212" spans="1:1" ht="13.5" customHeight="1">
      <c r="A1212" s="1059" t="s">
        <v>604</v>
      </c>
    </row>
    <row r="1213" spans="1:1" ht="13.5" customHeight="1">
      <c r="A1213" s="1059" t="s">
        <v>604</v>
      </c>
    </row>
    <row r="1214" spans="1:1" ht="13.5" customHeight="1">
      <c r="A1214" s="1059" t="s">
        <v>604</v>
      </c>
    </row>
    <row r="1215" spans="1:1" ht="13.5" customHeight="1">
      <c r="A1215" s="1059" t="s">
        <v>604</v>
      </c>
    </row>
    <row r="1216" spans="1:1" ht="13.5" customHeight="1">
      <c r="A1216" s="1059" t="s">
        <v>604</v>
      </c>
    </row>
    <row r="1217" spans="1:1" ht="13.5" customHeight="1">
      <c r="A1217" s="1059" t="s">
        <v>604</v>
      </c>
    </row>
    <row r="1218" spans="1:1" ht="13.5" customHeight="1">
      <c r="A1218" s="1059" t="s">
        <v>604</v>
      </c>
    </row>
    <row r="1219" spans="1:1" ht="13.5" customHeight="1">
      <c r="A1219" s="1059" t="s">
        <v>604</v>
      </c>
    </row>
    <row r="1220" spans="1:1" ht="13.5" customHeight="1">
      <c r="A1220" s="1059" t="s">
        <v>604</v>
      </c>
    </row>
    <row r="1221" spans="1:1" ht="13.5" customHeight="1">
      <c r="A1221" s="1059" t="s">
        <v>604</v>
      </c>
    </row>
    <row r="1222" spans="1:1" ht="13.5" customHeight="1">
      <c r="A1222" s="1059" t="s">
        <v>604</v>
      </c>
    </row>
    <row r="1223" spans="1:1" ht="13.5" customHeight="1">
      <c r="A1223" s="1059" t="s">
        <v>604</v>
      </c>
    </row>
    <row r="1224" spans="1:1" ht="13.5" customHeight="1">
      <c r="A1224" s="1059" t="s">
        <v>604</v>
      </c>
    </row>
    <row r="1225" spans="1:1" ht="13.5" customHeight="1">
      <c r="A1225" s="1059" t="s">
        <v>604</v>
      </c>
    </row>
    <row r="1226" spans="1:1" ht="13.5" customHeight="1">
      <c r="A1226" s="1059" t="s">
        <v>604</v>
      </c>
    </row>
    <row r="1227" spans="1:1" ht="13.5" customHeight="1">
      <c r="A1227" s="1059" t="s">
        <v>604</v>
      </c>
    </row>
    <row r="1228" spans="1:1" ht="13.5" customHeight="1">
      <c r="A1228" s="1059" t="s">
        <v>604</v>
      </c>
    </row>
    <row r="1229" spans="1:1" ht="13.5" customHeight="1">
      <c r="A1229" s="1059" t="s">
        <v>604</v>
      </c>
    </row>
    <row r="1230" spans="1:1" ht="13.5" customHeight="1">
      <c r="A1230" s="1059" t="s">
        <v>604</v>
      </c>
    </row>
    <row r="1231" spans="1:1" ht="13.5" customHeight="1">
      <c r="A1231" s="1059" t="s">
        <v>604</v>
      </c>
    </row>
    <row r="1232" spans="1:1" ht="13.5" customHeight="1">
      <c r="A1232" s="1059" t="s">
        <v>604</v>
      </c>
    </row>
    <row r="1233" spans="1:1" ht="13.5" customHeight="1">
      <c r="A1233" s="1059" t="s">
        <v>604</v>
      </c>
    </row>
    <row r="1234" spans="1:1" ht="13.5" customHeight="1">
      <c r="A1234" s="1059" t="s">
        <v>604</v>
      </c>
    </row>
    <row r="1235" spans="1:1" ht="13.5" customHeight="1">
      <c r="A1235" s="1059" t="s">
        <v>604</v>
      </c>
    </row>
    <row r="1236" spans="1:1" ht="13.5" customHeight="1">
      <c r="A1236" s="1059" t="s">
        <v>604</v>
      </c>
    </row>
    <row r="1237" spans="1:1" ht="13.5" customHeight="1">
      <c r="A1237" s="1059" t="s">
        <v>604</v>
      </c>
    </row>
    <row r="1238" spans="1:1" ht="13.5" customHeight="1">
      <c r="A1238" s="1059" t="s">
        <v>604</v>
      </c>
    </row>
    <row r="1239" spans="1:1" ht="13.5" customHeight="1">
      <c r="A1239" s="1059" t="s">
        <v>604</v>
      </c>
    </row>
    <row r="1240" spans="1:1" ht="13.5" customHeight="1">
      <c r="A1240" s="1059" t="s">
        <v>604</v>
      </c>
    </row>
    <row r="1241" spans="1:1" ht="13.5" customHeight="1">
      <c r="A1241" s="1059" t="s">
        <v>604</v>
      </c>
    </row>
    <row r="1242" spans="1:1" ht="13.5" customHeight="1">
      <c r="A1242" s="1059" t="s">
        <v>604</v>
      </c>
    </row>
    <row r="1243" spans="1:1" ht="13.5" customHeight="1">
      <c r="A1243" s="1059" t="s">
        <v>604</v>
      </c>
    </row>
    <row r="1244" spans="1:1" ht="13.5" customHeight="1">
      <c r="A1244" s="1059" t="s">
        <v>604</v>
      </c>
    </row>
    <row r="1245" spans="1:1" ht="13.5" customHeight="1">
      <c r="A1245" s="1059" t="s">
        <v>604</v>
      </c>
    </row>
    <row r="1246" spans="1:1" ht="13.5" customHeight="1">
      <c r="A1246" s="1059" t="s">
        <v>604</v>
      </c>
    </row>
    <row r="1247" spans="1:1" ht="13.5" customHeight="1">
      <c r="A1247" s="1059" t="s">
        <v>604</v>
      </c>
    </row>
    <row r="1248" spans="1:1" ht="13.5" customHeight="1">
      <c r="A1248" s="1059" t="s">
        <v>604</v>
      </c>
    </row>
    <row r="1249" spans="1:1" ht="13.5" customHeight="1">
      <c r="A1249" s="1059" t="s">
        <v>604</v>
      </c>
    </row>
    <row r="1250" spans="1:1" ht="13.5" customHeight="1">
      <c r="A1250" s="1059" t="s">
        <v>604</v>
      </c>
    </row>
    <row r="1251" spans="1:1" ht="13.5" customHeight="1">
      <c r="A1251" s="1059" t="s">
        <v>604</v>
      </c>
    </row>
    <row r="1252" spans="1:1" ht="13.5" customHeight="1">
      <c r="A1252" s="1059" t="s">
        <v>604</v>
      </c>
    </row>
    <row r="1253" spans="1:1" ht="13.5" customHeight="1">
      <c r="A1253" s="1059" t="s">
        <v>604</v>
      </c>
    </row>
    <row r="1254" spans="1:1" ht="13.5" customHeight="1">
      <c r="A1254" s="1059" t="s">
        <v>604</v>
      </c>
    </row>
    <row r="1255" spans="1:1" ht="13.5" customHeight="1">
      <c r="A1255" s="1059" t="s">
        <v>604</v>
      </c>
    </row>
    <row r="1256" spans="1:1" ht="13.5" customHeight="1">
      <c r="A1256" s="1059" t="s">
        <v>604</v>
      </c>
    </row>
    <row r="1257" spans="1:1" ht="13.5" customHeight="1">
      <c r="A1257" s="1059" t="s">
        <v>604</v>
      </c>
    </row>
    <row r="1258" spans="1:1" ht="13.5" customHeight="1">
      <c r="A1258" s="1059" t="s">
        <v>604</v>
      </c>
    </row>
    <row r="1259" spans="1:1" ht="13.5" customHeight="1">
      <c r="A1259" s="1059" t="s">
        <v>604</v>
      </c>
    </row>
    <row r="1260" spans="1:1" ht="13.5" customHeight="1">
      <c r="A1260" s="1059" t="s">
        <v>604</v>
      </c>
    </row>
  </sheetData>
  <pageMargins left="0.15" right="0.15" top="0.15" bottom="0.5" header="0.25" footer="0.25"/>
  <pageSetup scale="80" orientation="landscape" r:id="rId1"/>
  <headerFooter alignWithMargins="0">
    <oddFooter>&amp;L&amp;8HomeAway, Inc. | Nasdaq: (AWAY)&amp;C&amp;8Scott Devitt | scott.devitt@ms.com | +1 212 761-3365&amp;"Arial,Bold"&amp;12 |&amp;"Arial,Regular"&amp;8 Nishant Verma | nishant.verma@ms.com | +1 212 761-6320&amp;R&amp;8Page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A1337"/>
  <sheetViews>
    <sheetView showGridLines="0" workbookViewId="0">
      <pane xSplit="1" ySplit="1" topLeftCell="B891" activePane="bottomRight" state="frozen"/>
      <selection pane="topRight" activeCell="B1" sqref="B1"/>
      <selection pane="bottomLeft" activeCell="A2" sqref="A2"/>
      <selection pane="bottomRight" activeCell="C918" sqref="C918"/>
    </sheetView>
  </sheetViews>
  <sheetFormatPr defaultRowHeight="11.25"/>
  <cols>
    <col min="1" max="1" width="29.5" customWidth="1"/>
  </cols>
  <sheetData>
    <row r="1" spans="1:104" ht="62.25">
      <c r="A1" s="1206" t="s">
        <v>472</v>
      </c>
    </row>
    <row r="2" spans="1:104">
      <c r="A2" t="str">
        <f>Model!I10</f>
        <v>Income Statement</v>
      </c>
      <c r="B2">
        <f>Model!J10</f>
        <v>0</v>
      </c>
      <c r="C2">
        <f>Model!K10</f>
        <v>0</v>
      </c>
      <c r="D2">
        <f>Model!L10</f>
        <v>0</v>
      </c>
      <c r="E2">
        <f>Model!M10</f>
        <v>0</v>
      </c>
      <c r="F2">
        <f>Model!N10</f>
        <v>0</v>
      </c>
      <c r="G2">
        <f>Model!O10</f>
        <v>0</v>
      </c>
      <c r="H2">
        <f>Model!P10</f>
        <v>0</v>
      </c>
      <c r="I2">
        <f>Model!Q10</f>
        <v>0</v>
      </c>
      <c r="J2">
        <f>Model!R10</f>
        <v>0</v>
      </c>
      <c r="K2">
        <f>Model!S10</f>
        <v>0</v>
      </c>
      <c r="L2">
        <f>Model!T10</f>
        <v>0</v>
      </c>
      <c r="M2">
        <f>Model!U10</f>
        <v>0</v>
      </c>
      <c r="N2">
        <f>Model!V10</f>
        <v>0</v>
      </c>
      <c r="O2">
        <f>Model!W10</f>
        <v>0</v>
      </c>
      <c r="P2">
        <f>Model!X10</f>
        <v>0</v>
      </c>
      <c r="Q2">
        <f>Model!Y10</f>
        <v>0</v>
      </c>
      <c r="R2">
        <f>Model!Z10</f>
        <v>0</v>
      </c>
      <c r="S2">
        <f>Model!AA10</f>
        <v>0</v>
      </c>
      <c r="T2">
        <f>Model!AB10</f>
        <v>0</v>
      </c>
      <c r="U2">
        <f>Model!AC10</f>
        <v>0</v>
      </c>
      <c r="V2">
        <f>Model!AD10</f>
        <v>0</v>
      </c>
      <c r="W2">
        <f>Model!AE10</f>
        <v>0</v>
      </c>
      <c r="X2">
        <f>Model!AF10</f>
        <v>0</v>
      </c>
      <c r="Y2">
        <f>Model!AG10</f>
        <v>0</v>
      </c>
      <c r="Z2">
        <f>Model!AH10</f>
        <v>0</v>
      </c>
      <c r="AA2">
        <f>Model!AI10</f>
        <v>0</v>
      </c>
      <c r="AB2">
        <f>Model!AJ10</f>
        <v>0</v>
      </c>
      <c r="AC2">
        <f>Model!AK10</f>
        <v>0</v>
      </c>
      <c r="AD2">
        <f>Model!AL10</f>
        <v>0</v>
      </c>
      <c r="AE2">
        <f>Model!AM10</f>
        <v>0</v>
      </c>
      <c r="AF2">
        <f>Model!AN10</f>
        <v>0</v>
      </c>
      <c r="AG2">
        <f>Model!AO10</f>
        <v>0</v>
      </c>
      <c r="AH2">
        <f>Model!AP10</f>
        <v>0</v>
      </c>
      <c r="AI2">
        <f>Model!AQ10</f>
        <v>0</v>
      </c>
      <c r="AJ2">
        <f>Model!AR10</f>
        <v>0</v>
      </c>
      <c r="AK2">
        <f>Model!AS10</f>
        <v>0</v>
      </c>
      <c r="AL2">
        <f>Model!AT10</f>
        <v>0</v>
      </c>
      <c r="AM2">
        <f>Model!AU10</f>
        <v>0</v>
      </c>
      <c r="AN2">
        <f>Model!AV10</f>
        <v>0</v>
      </c>
      <c r="AO2">
        <f>Model!AW10</f>
        <v>0</v>
      </c>
      <c r="AP2">
        <f>Model!AX10</f>
        <v>0</v>
      </c>
      <c r="AQ2">
        <f>Model!AY10</f>
        <v>0</v>
      </c>
      <c r="AR2">
        <f>Model!AZ10</f>
        <v>0</v>
      </c>
      <c r="AS2">
        <f>Model!BA10</f>
        <v>0</v>
      </c>
      <c r="AT2">
        <f>Model!BB10</f>
        <v>0</v>
      </c>
      <c r="AU2">
        <f>Model!BC10</f>
        <v>0</v>
      </c>
      <c r="AV2">
        <f>Model!BD10</f>
        <v>0</v>
      </c>
      <c r="AW2">
        <f>Model!BE10</f>
        <v>0</v>
      </c>
      <c r="AX2">
        <f>Model!BF10</f>
        <v>0</v>
      </c>
      <c r="AY2">
        <f>Model!BG10</f>
        <v>0</v>
      </c>
      <c r="AZ2">
        <f>Model!BH10</f>
        <v>0</v>
      </c>
      <c r="BA2">
        <f>Model!BI10</f>
        <v>0</v>
      </c>
      <c r="BB2">
        <f>Model!BJ10</f>
        <v>0</v>
      </c>
      <c r="BC2">
        <f>Model!BK10</f>
        <v>0</v>
      </c>
      <c r="BD2">
        <f>Model!BL10</f>
        <v>0</v>
      </c>
      <c r="BE2">
        <f>Model!BM10</f>
        <v>0</v>
      </c>
      <c r="BF2">
        <f>Model!BN10</f>
        <v>0</v>
      </c>
      <c r="BG2">
        <f>Model!BO10</f>
        <v>0</v>
      </c>
      <c r="BH2">
        <f>Model!BP10</f>
        <v>0</v>
      </c>
      <c r="BI2">
        <f>Model!BQ10</f>
        <v>0</v>
      </c>
      <c r="BJ2">
        <f>Model!BR10</f>
        <v>0</v>
      </c>
      <c r="BK2">
        <f>Model!BS10</f>
        <v>0</v>
      </c>
      <c r="BL2">
        <f>Model!BT10</f>
        <v>0</v>
      </c>
      <c r="BM2">
        <f>Model!BU10</f>
        <v>0</v>
      </c>
      <c r="BN2">
        <f>Model!BV10</f>
        <v>0</v>
      </c>
      <c r="BO2">
        <f>Model!BW10</f>
        <v>0</v>
      </c>
      <c r="BP2">
        <f>Model!BX10</f>
        <v>0</v>
      </c>
      <c r="BQ2">
        <f>Model!BY10</f>
        <v>0</v>
      </c>
      <c r="BR2">
        <f>Model!BZ10</f>
        <v>0</v>
      </c>
      <c r="BS2">
        <f>Model!CA10</f>
        <v>0</v>
      </c>
      <c r="BT2">
        <f>Model!CB10</f>
        <v>0</v>
      </c>
      <c r="BU2">
        <f>Model!CC10</f>
        <v>0</v>
      </c>
      <c r="BV2">
        <f>Model!CD10</f>
        <v>0</v>
      </c>
      <c r="BW2">
        <f>Model!CE10</f>
        <v>0</v>
      </c>
      <c r="BX2">
        <f>Model!CF10</f>
        <v>0</v>
      </c>
      <c r="BY2">
        <f>Model!CG10</f>
        <v>0</v>
      </c>
      <c r="BZ2">
        <f>Model!CH10</f>
        <v>0</v>
      </c>
      <c r="CA2">
        <f>Model!CI10</f>
        <v>0</v>
      </c>
      <c r="CB2">
        <f>Model!CJ10</f>
        <v>0</v>
      </c>
      <c r="CC2">
        <f>Model!CK10</f>
        <v>0</v>
      </c>
      <c r="CD2">
        <f>Model!CL10</f>
        <v>0</v>
      </c>
      <c r="CE2">
        <f>Model!CM10</f>
        <v>0</v>
      </c>
      <c r="CF2">
        <f>Model!CN10</f>
        <v>0</v>
      </c>
      <c r="CG2">
        <f>Model!CO10</f>
        <v>0</v>
      </c>
      <c r="CH2">
        <f>Model!CP10</f>
        <v>0</v>
      </c>
      <c r="CI2">
        <f>Model!CQ10</f>
        <v>0</v>
      </c>
      <c r="CJ2">
        <f>Model!CR10</f>
        <v>0</v>
      </c>
      <c r="CK2">
        <f>Model!CS10</f>
        <v>0</v>
      </c>
      <c r="CL2">
        <f>Model!CT10</f>
        <v>0</v>
      </c>
      <c r="CM2">
        <f>Model!CU10</f>
        <v>0</v>
      </c>
      <c r="CN2">
        <f>Model!CV10</f>
        <v>0</v>
      </c>
      <c r="CO2">
        <f>Model!CW10</f>
        <v>0</v>
      </c>
      <c r="CP2">
        <f>Model!CX10</f>
        <v>0</v>
      </c>
      <c r="CQ2">
        <f>Model!CY10</f>
        <v>0</v>
      </c>
      <c r="CR2">
        <f>Model!CZ10</f>
        <v>0</v>
      </c>
      <c r="CS2">
        <f>Model!DA10</f>
        <v>0</v>
      </c>
      <c r="CT2">
        <f>Model!DB10</f>
        <v>0</v>
      </c>
      <c r="CU2">
        <f>Model!DC10</f>
        <v>0</v>
      </c>
      <c r="CV2">
        <f>Model!DD10</f>
        <v>0</v>
      </c>
      <c r="CW2">
        <f>Model!DE10</f>
        <v>0</v>
      </c>
      <c r="CX2">
        <f>Model!DF10</f>
        <v>0</v>
      </c>
      <c r="CY2">
        <f>Model!DG10</f>
        <v>0</v>
      </c>
      <c r="CZ2">
        <f>Model!DH10</f>
        <v>0</v>
      </c>
    </row>
    <row r="3" spans="1:104">
      <c r="A3">
        <f>Model!I11</f>
        <v>0</v>
      </c>
      <c r="B3">
        <f>Model!J11</f>
        <v>0</v>
      </c>
      <c r="C3">
        <f>Model!K11</f>
        <v>0</v>
      </c>
      <c r="D3">
        <f>Model!L11</f>
        <v>0</v>
      </c>
      <c r="E3">
        <f>Model!M11</f>
        <v>0</v>
      </c>
      <c r="F3">
        <f>Model!N11</f>
        <v>0</v>
      </c>
      <c r="G3">
        <f>Model!O11</f>
        <v>0</v>
      </c>
      <c r="H3">
        <f>Model!P11</f>
        <v>0</v>
      </c>
      <c r="I3">
        <f>Model!Q11</f>
        <v>0</v>
      </c>
      <c r="J3">
        <f>Model!R11</f>
        <v>0</v>
      </c>
      <c r="K3">
        <f>Model!S11</f>
        <v>0</v>
      </c>
      <c r="L3">
        <f>Model!T11</f>
        <v>0</v>
      </c>
      <c r="M3">
        <f>Model!U11</f>
        <v>0</v>
      </c>
      <c r="N3">
        <f>Model!V11</f>
        <v>0</v>
      </c>
      <c r="O3">
        <f>Model!W11</f>
        <v>0</v>
      </c>
      <c r="P3">
        <f>Model!X11</f>
        <v>0</v>
      </c>
      <c r="Q3">
        <f>Model!Y11</f>
        <v>0</v>
      </c>
      <c r="R3">
        <f>Model!Z11</f>
        <v>0</v>
      </c>
      <c r="S3">
        <f>Model!AA11</f>
        <v>0</v>
      </c>
      <c r="T3">
        <f>Model!AB11</f>
        <v>0</v>
      </c>
      <c r="U3">
        <f>Model!AC11</f>
        <v>0</v>
      </c>
      <c r="V3">
        <f>Model!AD11</f>
        <v>0</v>
      </c>
      <c r="W3">
        <f>Model!AE11</f>
        <v>0</v>
      </c>
      <c r="X3">
        <f>Model!AF11</f>
        <v>0</v>
      </c>
      <c r="Y3">
        <f>Model!AG11</f>
        <v>0</v>
      </c>
      <c r="Z3">
        <f>Model!AH11</f>
        <v>0</v>
      </c>
      <c r="AA3">
        <f>Model!AI11</f>
        <v>0</v>
      </c>
      <c r="AB3">
        <f>Model!AJ11</f>
        <v>0</v>
      </c>
      <c r="AC3">
        <f>Model!AK11</f>
        <v>0</v>
      </c>
      <c r="AD3">
        <f>Model!AL11</f>
        <v>0</v>
      </c>
      <c r="AE3">
        <f>Model!AM11</f>
        <v>0</v>
      </c>
      <c r="AF3">
        <f>Model!AN11</f>
        <v>0</v>
      </c>
      <c r="AG3">
        <f>Model!AO11</f>
        <v>0</v>
      </c>
      <c r="AH3">
        <f>Model!AP11</f>
        <v>0</v>
      </c>
      <c r="AI3">
        <f>Model!AQ11</f>
        <v>0</v>
      </c>
      <c r="AJ3">
        <f>Model!AR11</f>
        <v>0</v>
      </c>
      <c r="AK3">
        <f>Model!AS11</f>
        <v>0</v>
      </c>
      <c r="AL3">
        <f>Model!AT11</f>
        <v>0</v>
      </c>
      <c r="AM3">
        <f>Model!AU11</f>
        <v>0</v>
      </c>
      <c r="AN3">
        <f>Model!AV11</f>
        <v>0</v>
      </c>
      <c r="AO3">
        <f>Model!AW11</f>
        <v>0</v>
      </c>
      <c r="AP3">
        <f>Model!AX11</f>
        <v>0</v>
      </c>
      <c r="AQ3">
        <f>Model!AY11</f>
        <v>0</v>
      </c>
      <c r="AR3">
        <f>Model!AZ11</f>
        <v>0</v>
      </c>
      <c r="AS3">
        <f>Model!BA11</f>
        <v>0</v>
      </c>
      <c r="AT3">
        <f>Model!BB11</f>
        <v>0</v>
      </c>
      <c r="AU3">
        <f>Model!BC11</f>
        <v>0</v>
      </c>
      <c r="AV3">
        <f>Model!BD11</f>
        <v>0</v>
      </c>
      <c r="AW3">
        <f>Model!BE11</f>
        <v>0</v>
      </c>
      <c r="AX3">
        <f>Model!BF11</f>
        <v>0</v>
      </c>
      <c r="AY3">
        <f>Model!BG11</f>
        <v>0</v>
      </c>
      <c r="AZ3">
        <f>Model!BH11</f>
        <v>0</v>
      </c>
      <c r="BA3">
        <f>Model!BI11</f>
        <v>0</v>
      </c>
      <c r="BB3">
        <f>Model!BJ11</f>
        <v>0</v>
      </c>
      <c r="BC3">
        <f>Model!BK11</f>
        <v>0</v>
      </c>
      <c r="BD3">
        <f>Model!BL11</f>
        <v>0</v>
      </c>
      <c r="BE3">
        <f>Model!BM11</f>
        <v>0</v>
      </c>
      <c r="BF3">
        <f>Model!BN11</f>
        <v>0</v>
      </c>
      <c r="BG3">
        <f>Model!BO11</f>
        <v>0</v>
      </c>
      <c r="BH3">
        <f>Model!BP11</f>
        <v>0</v>
      </c>
      <c r="BI3">
        <f>Model!BQ11</f>
        <v>0</v>
      </c>
      <c r="BJ3">
        <f>Model!BR11</f>
        <v>0</v>
      </c>
      <c r="BK3">
        <f>Model!BS11</f>
        <v>0</v>
      </c>
      <c r="BL3">
        <f>Model!BT11</f>
        <v>0</v>
      </c>
      <c r="BM3">
        <f>Model!BU11</f>
        <v>0</v>
      </c>
      <c r="BN3">
        <f>Model!BV11</f>
        <v>0</v>
      </c>
      <c r="BO3">
        <f>Model!BW11</f>
        <v>0</v>
      </c>
      <c r="BP3">
        <f>Model!BX11</f>
        <v>0</v>
      </c>
      <c r="BQ3">
        <f>Model!BY11</f>
        <v>0</v>
      </c>
      <c r="BR3">
        <f>Model!BZ11</f>
        <v>0</v>
      </c>
      <c r="BS3">
        <f>Model!CA11</f>
        <v>0</v>
      </c>
      <c r="BT3">
        <f>Model!CB11</f>
        <v>0</v>
      </c>
      <c r="BU3">
        <f>Model!CC11</f>
        <v>0</v>
      </c>
      <c r="BV3">
        <f>Model!CD11</f>
        <v>0</v>
      </c>
      <c r="BW3">
        <f>Model!CE11</f>
        <v>0</v>
      </c>
      <c r="BX3">
        <f>Model!CF11</f>
        <v>0</v>
      </c>
      <c r="BY3">
        <f>Model!CG11</f>
        <v>0</v>
      </c>
      <c r="BZ3">
        <f>Model!CH11</f>
        <v>0</v>
      </c>
      <c r="CA3">
        <f>Model!CI11</f>
        <v>0</v>
      </c>
      <c r="CB3">
        <f>Model!CJ11</f>
        <v>0</v>
      </c>
      <c r="CC3">
        <f>Model!CK11</f>
        <v>0</v>
      </c>
      <c r="CD3">
        <f>Model!CL11</f>
        <v>0</v>
      </c>
      <c r="CE3">
        <f>Model!CM11</f>
        <v>0</v>
      </c>
      <c r="CF3">
        <f>Model!CN11</f>
        <v>0</v>
      </c>
      <c r="CG3">
        <f>Model!CO11</f>
        <v>0</v>
      </c>
      <c r="CH3">
        <f>Model!CP11</f>
        <v>0</v>
      </c>
      <c r="CI3">
        <f>Model!CQ11</f>
        <v>0</v>
      </c>
      <c r="CJ3">
        <f>Model!CR11</f>
        <v>0</v>
      </c>
      <c r="CK3">
        <f>Model!CS11</f>
        <v>0</v>
      </c>
      <c r="CL3">
        <f>Model!CT11</f>
        <v>0</v>
      </c>
      <c r="CM3">
        <f>Model!CU11</f>
        <v>0</v>
      </c>
      <c r="CN3">
        <f>Model!CV11</f>
        <v>0</v>
      </c>
      <c r="CO3">
        <f>Model!CW11</f>
        <v>0</v>
      </c>
      <c r="CP3">
        <f>Model!CX11</f>
        <v>0</v>
      </c>
      <c r="CQ3">
        <f>Model!CY11</f>
        <v>0</v>
      </c>
      <c r="CR3">
        <f>Model!CZ11</f>
        <v>0</v>
      </c>
      <c r="CS3">
        <f>Model!DA11</f>
        <v>0</v>
      </c>
      <c r="CT3">
        <f>Model!DB11</f>
        <v>0</v>
      </c>
      <c r="CU3">
        <f>Model!DC11</f>
        <v>0</v>
      </c>
      <c r="CV3">
        <f>Model!DD11</f>
        <v>0</v>
      </c>
      <c r="CW3">
        <f>Model!DE11</f>
        <v>0</v>
      </c>
      <c r="CX3">
        <f>Model!DF11</f>
        <v>0</v>
      </c>
      <c r="CY3">
        <f>Model!DG11</f>
        <v>0</v>
      </c>
      <c r="CZ3">
        <f>Model!DH11</f>
        <v>0</v>
      </c>
    </row>
    <row r="5" spans="1:104">
      <c r="A5" t="str">
        <f>Model!I12</f>
        <v>Gross Bookings</v>
      </c>
      <c r="B5">
        <f>Model!J12</f>
        <v>0</v>
      </c>
      <c r="C5">
        <f>Model!K12</f>
        <v>0</v>
      </c>
      <c r="D5">
        <f>Model!L12</f>
        <v>0</v>
      </c>
      <c r="E5">
        <f>Model!M12</f>
        <v>0</v>
      </c>
      <c r="F5">
        <f>Model!N12</f>
        <v>0</v>
      </c>
      <c r="G5">
        <f>Model!O12</f>
        <v>0</v>
      </c>
      <c r="H5">
        <f>Model!P12</f>
        <v>0</v>
      </c>
      <c r="I5">
        <f>Model!Q12</f>
        <v>0</v>
      </c>
      <c r="J5">
        <f>Model!R12</f>
        <v>0</v>
      </c>
      <c r="K5">
        <f>Model!S12</f>
        <v>0</v>
      </c>
      <c r="L5">
        <f>Model!T12</f>
        <v>0</v>
      </c>
      <c r="M5">
        <f>Model!U12</f>
        <v>0</v>
      </c>
      <c r="N5">
        <f>Model!V12</f>
        <v>0</v>
      </c>
      <c r="O5">
        <f>Model!W12</f>
        <v>0</v>
      </c>
      <c r="P5">
        <f>Model!X12</f>
        <v>0</v>
      </c>
      <c r="Q5">
        <f>Model!Y12</f>
        <v>0</v>
      </c>
      <c r="R5">
        <f>Model!Z12</f>
        <v>0</v>
      </c>
      <c r="S5">
        <f>Model!AA12</f>
        <v>0</v>
      </c>
      <c r="T5">
        <f>Model!AB12</f>
        <v>0</v>
      </c>
      <c r="U5">
        <f>Model!AC12</f>
        <v>0</v>
      </c>
      <c r="V5">
        <f>Model!AD12</f>
        <v>0</v>
      </c>
      <c r="W5">
        <f>Model!AE12</f>
        <v>0</v>
      </c>
      <c r="X5">
        <f>Model!AF12</f>
        <v>0</v>
      </c>
      <c r="Y5">
        <f>Model!AG12</f>
        <v>746.82099999999991</v>
      </c>
      <c r="Z5">
        <f>Model!AH12</f>
        <v>927.34999999999991</v>
      </c>
      <c r="AA5">
        <f>Model!AI12</f>
        <v>903.16799999999989</v>
      </c>
      <c r="AB5">
        <f>Model!AJ12</f>
        <v>742.41</v>
      </c>
      <c r="AC5">
        <f>Model!AK12</f>
        <v>998.49099999999999</v>
      </c>
      <c r="AD5">
        <f>Model!AL12</f>
        <v>1234.9110000000001</v>
      </c>
      <c r="AE5">
        <f>Model!AM12</f>
        <v>1390.683</v>
      </c>
      <c r="AF5">
        <f>Model!AN12</f>
        <v>1205.3309999999999</v>
      </c>
      <c r="AG5">
        <f>Model!AO12</f>
        <v>1758.6119999999999</v>
      </c>
      <c r="AH5">
        <f>Model!AP12</f>
        <v>2109.9650000000001</v>
      </c>
      <c r="AI5">
        <f>Model!AQ12</f>
        <v>2050.4270000000001</v>
      </c>
      <c r="AJ5">
        <f>Model!AR12</f>
        <v>1481.1129999999998</v>
      </c>
      <c r="AK5">
        <f>Model!AS12</f>
        <v>1943.5839999999998</v>
      </c>
      <c r="AL5">
        <f>Model!AT12</f>
        <v>2379.1779999999999</v>
      </c>
      <c r="AM5">
        <f>Model!AU12</f>
        <v>2722.846</v>
      </c>
      <c r="AN5">
        <f>Model!AV12</f>
        <v>2264.4540000000002</v>
      </c>
      <c r="AO5">
        <f>Model!AW12</f>
        <v>2964.6950000000002</v>
      </c>
      <c r="AP5">
        <f>Model!AX12</f>
        <v>3410.1800000000003</v>
      </c>
      <c r="AQ5">
        <f>Model!AY12</f>
        <v>4006</v>
      </c>
      <c r="AR5">
        <f>Model!AZ12</f>
        <v>3265</v>
      </c>
      <c r="AS5">
        <f>Model!BA12</f>
        <v>4665</v>
      </c>
      <c r="AT5">
        <f>Model!BB12</f>
        <v>5780</v>
      </c>
      <c r="AU5">
        <f>Model!BC12</f>
        <v>6257</v>
      </c>
      <c r="AV5">
        <f>Model!BD12</f>
        <v>4956</v>
      </c>
      <c r="AW5">
        <f>Model!BE12</f>
        <v>6711</v>
      </c>
      <c r="AX5">
        <f>Model!BF12</f>
        <v>7329</v>
      </c>
      <c r="AY5">
        <f>Model!BG12</f>
        <v>7832</v>
      </c>
      <c r="AZ5">
        <f>Model!BH12</f>
        <v>6584</v>
      </c>
      <c r="BA5">
        <f>Model!BI12</f>
        <v>9153</v>
      </c>
      <c r="BB5">
        <f>Model!BJ12</f>
        <v>10117</v>
      </c>
      <c r="BC5">
        <f>Model!BK12</f>
        <v>10765</v>
      </c>
      <c r="BD5">
        <f>Model!BL12</f>
        <v>9137</v>
      </c>
      <c r="BE5">
        <f>Model!BM12</f>
        <v>12280</v>
      </c>
      <c r="BF5">
        <f>Model!BN12</f>
        <v>13538</v>
      </c>
      <c r="BG5">
        <f>Model!BO12</f>
        <v>13823</v>
      </c>
      <c r="BH5">
        <f>Model!BP12</f>
        <v>10659</v>
      </c>
      <c r="BI5">
        <f>Model!BQ12</f>
        <v>13776</v>
      </c>
      <c r="BJ5">
        <f>Model!BR12</f>
        <v>14960</v>
      </c>
      <c r="BK5">
        <f>Model!BS12</f>
        <v>14778</v>
      </c>
      <c r="BL5">
        <f>Model!BT12</f>
        <v>12014</v>
      </c>
      <c r="BM5">
        <f>Model!BU12</f>
        <v>16653</v>
      </c>
      <c r="BN5">
        <f>Model!BV12</f>
        <v>17862</v>
      </c>
      <c r="BO5">
        <f>Model!BW12</f>
        <v>18460</v>
      </c>
      <c r="BP5">
        <f>Model!BX12</f>
        <v>15112</v>
      </c>
      <c r="BQ5">
        <f>Model!BY12</f>
        <v>20687</v>
      </c>
      <c r="BR5">
        <f>Model!BZ12</f>
        <v>20797</v>
      </c>
      <c r="BS5">
        <f>Model!CA12</f>
        <v>21762</v>
      </c>
      <c r="BT5">
        <f>Model!CB12</f>
        <v>17980</v>
      </c>
      <c r="BU5">
        <f>Model!CC12</f>
        <v>24881.474049815144</v>
      </c>
      <c r="BV5">
        <f>Model!CD12</f>
        <v>25086.12790194053</v>
      </c>
      <c r="BW5">
        <f>Model!CE12</f>
        <v>24813.585995275425</v>
      </c>
      <c r="BX5">
        <f>Model!CF12</f>
        <v>22004.981225315398</v>
      </c>
      <c r="BY5">
        <f>Model!CG12</f>
        <v>0</v>
      </c>
      <c r="BZ5">
        <f>Model!CH12</f>
        <v>0</v>
      </c>
      <c r="CA5">
        <f>Model!CI12</f>
        <v>0</v>
      </c>
      <c r="CB5">
        <f>Model!CJ12</f>
        <v>0</v>
      </c>
      <c r="CC5">
        <f>Model!CK12</f>
        <v>0</v>
      </c>
      <c r="CD5">
        <f>Model!CL12</f>
        <v>0</v>
      </c>
      <c r="CE5">
        <f>Model!CM12</f>
        <v>3319.7489999999998</v>
      </c>
      <c r="CF5">
        <f>Model!CN12</f>
        <v>4829.4160000000002</v>
      </c>
      <c r="CG5">
        <f>Model!CO12</f>
        <v>7400.1170000000002</v>
      </c>
      <c r="CH5">
        <f>Model!CP12</f>
        <v>9310.0619999999999</v>
      </c>
      <c r="CI5">
        <f>Model!CQ12</f>
        <v>13645.875</v>
      </c>
      <c r="CJ5">
        <f>Model!CR12</f>
        <v>21658</v>
      </c>
      <c r="CK5">
        <f>Model!CS12</f>
        <v>28456</v>
      </c>
      <c r="CL5">
        <f>Model!CT12</f>
        <v>39172</v>
      </c>
      <c r="CM5">
        <f>Model!CU12</f>
        <v>50300</v>
      </c>
      <c r="CN5">
        <f>Model!CV12</f>
        <v>55528</v>
      </c>
      <c r="CO5">
        <f>Model!CW12</f>
        <v>68087</v>
      </c>
      <c r="CP5">
        <f>Model!CX12</f>
        <v>81226</v>
      </c>
      <c r="CQ5">
        <f>Model!CY12</f>
        <v>96786.16917234649</v>
      </c>
      <c r="CR5">
        <f>Model!CZ12</f>
        <v>110922.85145653768</v>
      </c>
      <c r="CS5">
        <f>Model!DA12</f>
        <v>124828.89016710233</v>
      </c>
      <c r="CT5">
        <f>Model!DB12</f>
        <v>138263.57556092652</v>
      </c>
      <c r="CU5">
        <f>Model!DC12</f>
        <v>151436.90782473588</v>
      </c>
      <c r="CV5">
        <f>Model!DD12</f>
        <v>164480.34456989294</v>
      </c>
      <c r="CW5">
        <f>Model!DE12</f>
        <v>177276.69132531929</v>
      </c>
      <c r="CX5">
        <f>Model!DF12</f>
        <v>191119.5238413497</v>
      </c>
      <c r="CY5">
        <f>Model!DG12</f>
        <v>0.32404311869657421</v>
      </c>
      <c r="CZ5">
        <f>Model!DH12</f>
        <v>0.17587353398620187</v>
      </c>
    </row>
    <row r="6" spans="1:104">
      <c r="A6" t="str">
        <f>Model!I13</f>
        <v>% change Y/Y</v>
      </c>
      <c r="B6">
        <f>Model!J13</f>
        <v>0</v>
      </c>
      <c r="C6">
        <f>Model!K13</f>
        <v>0</v>
      </c>
      <c r="D6">
        <f>Model!L13</f>
        <v>0</v>
      </c>
      <c r="E6">
        <f>Model!M13</f>
        <v>0</v>
      </c>
      <c r="F6">
        <f>Model!N13</f>
        <v>0</v>
      </c>
      <c r="G6">
        <f>Model!O13</f>
        <v>0</v>
      </c>
      <c r="H6">
        <f>Model!P13</f>
        <v>0</v>
      </c>
      <c r="I6">
        <f>Model!Q13</f>
        <v>0</v>
      </c>
      <c r="J6">
        <f>Model!R13</f>
        <v>0</v>
      </c>
      <c r="K6">
        <f>Model!S13</f>
        <v>0</v>
      </c>
      <c r="L6">
        <f>Model!T13</f>
        <v>0</v>
      </c>
      <c r="M6">
        <f>Model!U13</f>
        <v>0</v>
      </c>
      <c r="N6">
        <f>Model!V13</f>
        <v>0</v>
      </c>
      <c r="O6">
        <f>Model!W13</f>
        <v>0</v>
      </c>
      <c r="P6">
        <f>Model!X13</f>
        <v>0</v>
      </c>
      <c r="Q6">
        <f>Model!Y13</f>
        <v>0</v>
      </c>
      <c r="R6">
        <f>Model!Z13</f>
        <v>0</v>
      </c>
      <c r="S6">
        <f>Model!AA13</f>
        <v>0</v>
      </c>
      <c r="T6">
        <f>Model!AB13</f>
        <v>0</v>
      </c>
      <c r="U6">
        <f>Model!AC13</f>
        <v>0</v>
      </c>
      <c r="V6">
        <f>Model!AD13</f>
        <v>0</v>
      </c>
      <c r="W6">
        <f>Model!AE13</f>
        <v>0</v>
      </c>
      <c r="X6">
        <f>Model!AF13</f>
        <v>0</v>
      </c>
      <c r="Y6">
        <f>Model!AG13</f>
        <v>0</v>
      </c>
      <c r="Z6">
        <f>Model!AH13</f>
        <v>0</v>
      </c>
      <c r="AA6">
        <f>Model!AI13</f>
        <v>0</v>
      </c>
      <c r="AB6">
        <f>Model!AJ13</f>
        <v>0</v>
      </c>
      <c r="AC6">
        <f>Model!AK13</f>
        <v>0.33698838141937637</v>
      </c>
      <c r="AD6">
        <f>Model!AL13</f>
        <v>0.33165579338976681</v>
      </c>
      <c r="AE6">
        <f>Model!AM13</f>
        <v>0.53978329613095255</v>
      </c>
      <c r="AF6">
        <f>Model!AN13</f>
        <v>0.6235382066513111</v>
      </c>
      <c r="AG6">
        <f>Model!AO13</f>
        <v>0.76126975606189728</v>
      </c>
      <c r="AH6">
        <f>Model!AP13</f>
        <v>0.70859681385946027</v>
      </c>
      <c r="AI6">
        <f>Model!AQ13</f>
        <v>0.47440286535464948</v>
      </c>
      <c r="AJ6">
        <f>Model!AR13</f>
        <v>0.22880188097709264</v>
      </c>
      <c r="AK6">
        <f>Model!AS13</f>
        <v>0.1051806765790293</v>
      </c>
      <c r="AL6">
        <f>Model!AT13</f>
        <v>0.12759121596803724</v>
      </c>
      <c r="AM6">
        <f>Model!AU13</f>
        <v>0.32794096059015998</v>
      </c>
      <c r="AN6">
        <f>Model!AV13</f>
        <v>0.52888672235001688</v>
      </c>
      <c r="AO6">
        <f>Model!AW13</f>
        <v>0.52537528606944717</v>
      </c>
      <c r="AP6">
        <f>Model!AX13</f>
        <v>0.43334378512242488</v>
      </c>
      <c r="AQ6">
        <f>Model!AY13</f>
        <v>0.47125470922703672</v>
      </c>
      <c r="AR6">
        <f>Model!AZ13</f>
        <v>0.44184867522148807</v>
      </c>
      <c r="AS6">
        <f>Model!BA13</f>
        <v>0.57351768057085128</v>
      </c>
      <c r="AT6">
        <f>Model!BB13</f>
        <v>0.69492519456450963</v>
      </c>
      <c r="AU6">
        <f>Model!BC13</f>
        <v>0.56190713929106351</v>
      </c>
      <c r="AV6">
        <f>Model!BD13</f>
        <v>0.51791730474732001</v>
      </c>
      <c r="AW6">
        <f>Model!BE13</f>
        <v>0.4385852090032154</v>
      </c>
      <c r="AX6">
        <f>Model!BF13</f>
        <v>0.26799307958477514</v>
      </c>
      <c r="AY6">
        <f>Model!BG13</f>
        <v>0.25171807575515426</v>
      </c>
      <c r="AZ6">
        <f>Model!BH13</f>
        <v>0.32849071832122689</v>
      </c>
      <c r="BA6">
        <f>Model!BI13</f>
        <v>0.36388019669199823</v>
      </c>
      <c r="BB6">
        <f>Model!BJ13</f>
        <v>0.38040660390230596</v>
      </c>
      <c r="BC6">
        <f>Model!BK13</f>
        <v>0.37448927477017357</v>
      </c>
      <c r="BD6">
        <f>Model!BL13</f>
        <v>0.38775820170109365</v>
      </c>
      <c r="BE6">
        <f>Model!BM13</f>
        <v>0.34163662187261012</v>
      </c>
      <c r="BF6">
        <f>Model!BN13</f>
        <v>0.33814371849362468</v>
      </c>
      <c r="BG6">
        <f>Model!BO13</f>
        <v>0.2840687412912215</v>
      </c>
      <c r="BH6">
        <f>Model!BP13</f>
        <v>0.1665754624056035</v>
      </c>
      <c r="BI6">
        <f>Model!BQ13</f>
        <v>0.12182410423452761</v>
      </c>
      <c r="BJ6">
        <f>Model!BR13</f>
        <v>0.10503767173880929</v>
      </c>
      <c r="BK6">
        <f>Model!BS13</f>
        <v>6.9087752296896454E-2</v>
      </c>
      <c r="BL6">
        <f>Model!BT13</f>
        <v>0.12712261938268132</v>
      </c>
      <c r="BM6">
        <f>Model!BU13</f>
        <v>0.20884146341463405</v>
      </c>
      <c r="BN6">
        <f>Model!BV13</f>
        <v>0.19398395721925143</v>
      </c>
      <c r="BO6">
        <f>Model!BW13</f>
        <v>0.24915414805792402</v>
      </c>
      <c r="BP6">
        <f>Model!BX13</f>
        <v>0.25786582320625939</v>
      </c>
      <c r="BQ6">
        <f>Model!BY13</f>
        <v>0.2422386356812587</v>
      </c>
      <c r="BR6">
        <f>Model!BZ13</f>
        <v>0.16431530623670354</v>
      </c>
      <c r="BS6">
        <f>Model!CA13</f>
        <v>0.1788732394366197</v>
      </c>
      <c r="BT6">
        <f>Model!CB13</f>
        <v>0.18978295394388556</v>
      </c>
      <c r="BU6">
        <f>Model!CC13</f>
        <v>0.20275893313748461</v>
      </c>
      <c r="BV6">
        <f>Model!CD13</f>
        <v>0.20623781804782082</v>
      </c>
      <c r="BW6">
        <f>Model!CE13</f>
        <v>0.14022543862124004</v>
      </c>
      <c r="BX6">
        <f>Model!CF13</f>
        <v>0.22385880007315895</v>
      </c>
      <c r="BY6">
        <f>Model!CG13</f>
        <v>0</v>
      </c>
      <c r="BZ6">
        <f>Model!CH13</f>
        <v>0</v>
      </c>
      <c r="CA6">
        <f>Model!CI13</f>
        <v>0</v>
      </c>
      <c r="CB6">
        <f>Model!CJ13</f>
        <v>0</v>
      </c>
      <c r="CC6">
        <f>Model!CK13</f>
        <v>0</v>
      </c>
      <c r="CD6">
        <f>Model!CL13</f>
        <v>0</v>
      </c>
      <c r="CE6">
        <f>Model!CM13</f>
        <v>0</v>
      </c>
      <c r="CF6">
        <f>Model!CN13</f>
        <v>0.45475335635314607</v>
      </c>
      <c r="CG6">
        <f>Model!CO13</f>
        <v>0.53230059286671505</v>
      </c>
      <c r="CH6">
        <f>Model!CP13</f>
        <v>0.25809659495924175</v>
      </c>
      <c r="CI6">
        <f>Model!CQ13</f>
        <v>0.46571258064661647</v>
      </c>
      <c r="CJ6">
        <f>Model!CR13</f>
        <v>0.58714629878992741</v>
      </c>
      <c r="CK6">
        <f>Model!CS13</f>
        <v>0.31387939791301145</v>
      </c>
      <c r="CL6">
        <f>Model!CT13</f>
        <v>0.37658138881079561</v>
      </c>
      <c r="CM6">
        <f>Model!CU13</f>
        <v>0.28408046563872147</v>
      </c>
      <c r="CN6">
        <f>Model!CV13</f>
        <v>0.10393638170974162</v>
      </c>
      <c r="CO6">
        <f>Model!CW13</f>
        <v>0.22617418239446763</v>
      </c>
      <c r="CP6">
        <f>Model!CX13</f>
        <v>0.19297369541909615</v>
      </c>
      <c r="CQ6">
        <f>Model!CY13</f>
        <v>0.19156636018450368</v>
      </c>
      <c r="CR6">
        <f>Model!CZ13</f>
        <v>0.14606097549969244</v>
      </c>
      <c r="CS6">
        <f>Model!DA13</f>
        <v>0.12536676192473628</v>
      </c>
      <c r="CT6">
        <f>Model!DB13</f>
        <v>0.10762480845451594</v>
      </c>
      <c r="CU6">
        <f>Model!DC13</f>
        <v>9.5276953531441722E-2</v>
      </c>
      <c r="CV6">
        <f>Model!DD13</f>
        <v>8.6131161369543907E-2</v>
      </c>
      <c r="CW6">
        <f>Model!DE13</f>
        <v>7.7798637818324634E-2</v>
      </c>
      <c r="CX6">
        <f>Model!DF13</f>
        <v>7.8086027060531693E-2</v>
      </c>
      <c r="CY6">
        <f>Model!DG13</f>
        <v>0</v>
      </c>
      <c r="CZ6">
        <f>Model!DH13</f>
        <v>0</v>
      </c>
    </row>
    <row r="7" spans="1:104">
      <c r="A7">
        <f>Model!I14</f>
        <v>0</v>
      </c>
      <c r="B7">
        <f>Model!J14</f>
        <v>0</v>
      </c>
      <c r="C7">
        <f>Model!K14</f>
        <v>0</v>
      </c>
      <c r="D7">
        <f>Model!L14</f>
        <v>0</v>
      </c>
      <c r="E7">
        <f>Model!M14</f>
        <v>0</v>
      </c>
      <c r="F7">
        <f>Model!N14</f>
        <v>0</v>
      </c>
      <c r="G7">
        <f>Model!O14</f>
        <v>0</v>
      </c>
      <c r="H7">
        <f>Model!P14</f>
        <v>0</v>
      </c>
      <c r="I7">
        <f>Model!Q14</f>
        <v>0</v>
      </c>
      <c r="J7">
        <f>Model!R14</f>
        <v>0</v>
      </c>
      <c r="K7">
        <f>Model!S14</f>
        <v>0</v>
      </c>
      <c r="L7">
        <f>Model!T14</f>
        <v>0</v>
      </c>
      <c r="M7">
        <f>Model!U14</f>
        <v>0</v>
      </c>
      <c r="N7">
        <f>Model!V14</f>
        <v>0</v>
      </c>
      <c r="O7">
        <f>Model!W14</f>
        <v>0</v>
      </c>
      <c r="P7">
        <f>Model!X14</f>
        <v>0</v>
      </c>
      <c r="Q7">
        <f>Model!Y14</f>
        <v>0</v>
      </c>
      <c r="R7">
        <f>Model!Z14</f>
        <v>0</v>
      </c>
      <c r="S7">
        <f>Model!AA14</f>
        <v>0</v>
      </c>
      <c r="T7">
        <f>Model!AB14</f>
        <v>0</v>
      </c>
      <c r="U7">
        <f>Model!AC14</f>
        <v>0</v>
      </c>
      <c r="V7">
        <f>Model!AD14</f>
        <v>0</v>
      </c>
      <c r="W7">
        <f>Model!AE14</f>
        <v>0</v>
      </c>
      <c r="X7">
        <f>Model!AF14</f>
        <v>0</v>
      </c>
      <c r="Y7">
        <f>Model!AG14</f>
        <v>0</v>
      </c>
      <c r="Z7">
        <f>Model!AH14</f>
        <v>0</v>
      </c>
      <c r="AA7">
        <f>Model!AI14</f>
        <v>0</v>
      </c>
      <c r="AB7">
        <f>Model!AJ14</f>
        <v>0</v>
      </c>
      <c r="AC7">
        <f>Model!AK14</f>
        <v>0</v>
      </c>
      <c r="AD7">
        <f>Model!AL14</f>
        <v>0</v>
      </c>
      <c r="AE7">
        <f>Model!AM14</f>
        <v>0</v>
      </c>
      <c r="AF7">
        <f>Model!AN14</f>
        <v>0</v>
      </c>
      <c r="AG7">
        <f>Model!AO14</f>
        <v>0</v>
      </c>
      <c r="AH7">
        <f>Model!AP14</f>
        <v>0</v>
      </c>
      <c r="AI7">
        <f>Model!AQ14</f>
        <v>0</v>
      </c>
      <c r="AJ7">
        <f>Model!AR14</f>
        <v>0</v>
      </c>
      <c r="AK7">
        <f>Model!AS14</f>
        <v>0</v>
      </c>
      <c r="AL7">
        <f>Model!AT14</f>
        <v>0</v>
      </c>
      <c r="AM7">
        <f>Model!AU14</f>
        <v>0</v>
      </c>
      <c r="AN7">
        <f>Model!AV14</f>
        <v>0</v>
      </c>
      <c r="AO7">
        <f>Model!AW14</f>
        <v>0</v>
      </c>
      <c r="AP7">
        <f>Model!AX14</f>
        <v>0</v>
      </c>
      <c r="AQ7">
        <f>Model!AY14</f>
        <v>0</v>
      </c>
      <c r="AR7">
        <f>Model!AZ14</f>
        <v>0</v>
      </c>
      <c r="AS7">
        <f>Model!BA14</f>
        <v>0</v>
      </c>
      <c r="AT7">
        <f>Model!BB14</f>
        <v>0</v>
      </c>
      <c r="AU7">
        <f>Model!BC14</f>
        <v>0</v>
      </c>
      <c r="AV7">
        <f>Model!BD14</f>
        <v>0</v>
      </c>
      <c r="AW7">
        <f>Model!BE14</f>
        <v>0</v>
      </c>
      <c r="AX7">
        <f>Model!BF14</f>
        <v>0</v>
      </c>
      <c r="AY7">
        <f>Model!BG14</f>
        <v>0</v>
      </c>
      <c r="AZ7">
        <f>Model!BH14</f>
        <v>0</v>
      </c>
      <c r="BA7">
        <f>Model!BI14</f>
        <v>0</v>
      </c>
      <c r="BB7">
        <f>Model!BJ14</f>
        <v>0</v>
      </c>
      <c r="BC7">
        <f>Model!BK14</f>
        <v>0</v>
      </c>
      <c r="BD7">
        <f>Model!BL14</f>
        <v>0</v>
      </c>
      <c r="BE7">
        <f>Model!BM14</f>
        <v>0</v>
      </c>
      <c r="BF7">
        <f>Model!BN14</f>
        <v>0</v>
      </c>
      <c r="BG7">
        <f>Model!BO14</f>
        <v>0</v>
      </c>
      <c r="BH7">
        <f>Model!BP14</f>
        <v>0</v>
      </c>
      <c r="BI7">
        <f>Model!BQ14</f>
        <v>0</v>
      </c>
      <c r="BJ7">
        <f>Model!BR14</f>
        <v>0</v>
      </c>
      <c r="BK7">
        <f>Model!BS14</f>
        <v>0</v>
      </c>
      <c r="BL7">
        <f>Model!BT14</f>
        <v>0</v>
      </c>
      <c r="BM7">
        <f>Model!BU14</f>
        <v>0</v>
      </c>
      <c r="BN7">
        <f>Model!BV14</f>
        <v>0</v>
      </c>
      <c r="BO7">
        <f>Model!BW14</f>
        <v>0</v>
      </c>
      <c r="BP7">
        <f>Model!BX14</f>
        <v>0</v>
      </c>
      <c r="BQ7">
        <f>Model!BY14</f>
        <v>0</v>
      </c>
      <c r="BR7">
        <f>Model!BZ14</f>
        <v>0</v>
      </c>
      <c r="BS7">
        <f>Model!CA14</f>
        <v>0</v>
      </c>
      <c r="BT7">
        <f>Model!CB14</f>
        <v>0</v>
      </c>
      <c r="BU7">
        <f>Model!CC14</f>
        <v>0</v>
      </c>
      <c r="BV7">
        <f>Model!CD14</f>
        <v>0</v>
      </c>
      <c r="BW7">
        <f>Model!CE14</f>
        <v>0</v>
      </c>
      <c r="BX7">
        <f>Model!CF14</f>
        <v>0</v>
      </c>
      <c r="BY7">
        <f>Model!CG14</f>
        <v>0</v>
      </c>
      <c r="BZ7">
        <f>Model!CH14</f>
        <v>0</v>
      </c>
      <c r="CA7">
        <f>Model!CI14</f>
        <v>0</v>
      </c>
      <c r="CB7">
        <f>Model!CJ14</f>
        <v>0</v>
      </c>
      <c r="CC7">
        <f>Model!CK14</f>
        <v>0</v>
      </c>
      <c r="CD7">
        <f>Model!CL14</f>
        <v>0</v>
      </c>
      <c r="CE7">
        <f>Model!CM14</f>
        <v>0</v>
      </c>
      <c r="CF7">
        <f>Model!CN14</f>
        <v>0</v>
      </c>
      <c r="CG7">
        <f>Model!CO14</f>
        <v>0</v>
      </c>
      <c r="CH7">
        <f>Model!CP14</f>
        <v>0</v>
      </c>
      <c r="CI7">
        <f>Model!CQ14</f>
        <v>0</v>
      </c>
      <c r="CJ7">
        <f>Model!CR14</f>
        <v>0</v>
      </c>
      <c r="CK7">
        <f>Model!CS14</f>
        <v>0</v>
      </c>
      <c r="CL7">
        <f>Model!CT14</f>
        <v>0</v>
      </c>
      <c r="CM7">
        <f>Model!CU14</f>
        <v>0</v>
      </c>
      <c r="CN7">
        <f>Model!CV14</f>
        <v>0</v>
      </c>
      <c r="CO7">
        <f>Model!CW14</f>
        <v>0</v>
      </c>
      <c r="CP7">
        <f>Model!CX14</f>
        <v>0</v>
      </c>
      <c r="CQ7">
        <f>Model!CY14</f>
        <v>0</v>
      </c>
      <c r="CR7">
        <f>Model!CZ14</f>
        <v>0</v>
      </c>
      <c r="CS7">
        <f>Model!DA14</f>
        <v>0</v>
      </c>
      <c r="CT7">
        <f>Model!DB14</f>
        <v>0</v>
      </c>
      <c r="CU7">
        <f>Model!DC14</f>
        <v>0</v>
      </c>
      <c r="CV7">
        <f>Model!DD14</f>
        <v>0</v>
      </c>
      <c r="CW7">
        <f>Model!DE14</f>
        <v>0</v>
      </c>
      <c r="CX7">
        <f>Model!DF14</f>
        <v>0</v>
      </c>
      <c r="CY7">
        <f>Model!DG14</f>
        <v>0</v>
      </c>
      <c r="CZ7">
        <f>Model!DH14</f>
        <v>0</v>
      </c>
    </row>
    <row r="8" spans="1:104">
      <c r="A8" t="str">
        <f>Model!I15</f>
        <v>Merchant Revenue</v>
      </c>
      <c r="B8">
        <f>Model!J15</f>
        <v>0</v>
      </c>
      <c r="C8">
        <f>Model!K15</f>
        <v>0</v>
      </c>
      <c r="D8">
        <f>Model!L15</f>
        <v>0</v>
      </c>
      <c r="E8">
        <f>Model!M15</f>
        <v>0</v>
      </c>
      <c r="F8">
        <f>Model!N15</f>
        <v>0</v>
      </c>
      <c r="G8">
        <f>Model!O15</f>
        <v>0</v>
      </c>
      <c r="H8">
        <f>Model!P15</f>
        <v>0</v>
      </c>
      <c r="I8">
        <f>Model!Q15</f>
        <v>0</v>
      </c>
      <c r="J8">
        <f>Model!R15</f>
        <v>0</v>
      </c>
      <c r="K8">
        <f>Model!S15</f>
        <v>0</v>
      </c>
      <c r="L8">
        <f>Model!T15</f>
        <v>0</v>
      </c>
      <c r="M8">
        <f>Model!U15</f>
        <v>0</v>
      </c>
      <c r="N8">
        <f>Model!V15</f>
        <v>0</v>
      </c>
      <c r="O8">
        <f>Model!W15</f>
        <v>0</v>
      </c>
      <c r="P8">
        <f>Model!X15</f>
        <v>0</v>
      </c>
      <c r="Q8">
        <f>Model!Y15</f>
        <v>0</v>
      </c>
      <c r="R8">
        <f>Model!Z15</f>
        <v>0</v>
      </c>
      <c r="S8">
        <f>Model!AA15</f>
        <v>0</v>
      </c>
      <c r="T8">
        <f>Model!AB15</f>
        <v>0</v>
      </c>
      <c r="U8">
        <f>Model!AC15</f>
        <v>0</v>
      </c>
      <c r="V8">
        <f>Model!AD15</f>
        <v>0</v>
      </c>
      <c r="W8">
        <f>Model!AE15</f>
        <v>0</v>
      </c>
      <c r="X8">
        <f>Model!AF15</f>
        <v>0</v>
      </c>
      <c r="Y8">
        <f>Model!AG15</f>
        <v>210.43799999999999</v>
      </c>
      <c r="Z8">
        <f>Model!AH15</f>
        <v>250.524</v>
      </c>
      <c r="AA8">
        <f>Model!AI15</f>
        <v>236.958</v>
      </c>
      <c r="AB8">
        <f>Model!AJ15</f>
        <v>204.649</v>
      </c>
      <c r="AC8">
        <f>Model!AK15</f>
        <v>230.13299999999998</v>
      </c>
      <c r="AD8">
        <f>Model!AL15</f>
        <v>252.59099999999998</v>
      </c>
      <c r="AE8">
        <f>Model!AM15</f>
        <v>275.21100000000001</v>
      </c>
      <c r="AF8">
        <f>Model!AN15</f>
        <v>226.69300000000001</v>
      </c>
      <c r="AG8">
        <f>Model!AO15</f>
        <v>289.15899999999999</v>
      </c>
      <c r="AH8">
        <f>Model!AP15</f>
        <v>336.23</v>
      </c>
      <c r="AI8">
        <f>Model!AQ15</f>
        <v>323.95699999999999</v>
      </c>
      <c r="AJ8">
        <f>Model!AR15</f>
        <v>268.81599999999997</v>
      </c>
      <c r="AK8">
        <f>Model!AS15</f>
        <v>337.03399999999999</v>
      </c>
      <c r="AL8">
        <f>Model!AT15</f>
        <v>392.822</v>
      </c>
      <c r="AM8">
        <f>Model!AU15</f>
        <v>400.31400000000002</v>
      </c>
      <c r="AN8">
        <f>Model!AV15</f>
        <v>317.40699999999998</v>
      </c>
      <c r="AO8">
        <f>Model!AW15</f>
        <v>368.26499999999999</v>
      </c>
      <c r="AP8">
        <f>Model!AX15</f>
        <v>447.59799999999996</v>
      </c>
      <c r="AQ8">
        <f>Model!AY15</f>
        <v>496.49299999999999</v>
      </c>
      <c r="AR8">
        <f>Model!AZ15</f>
        <v>383.98699999999997</v>
      </c>
      <c r="AS8">
        <f>Model!BA15</f>
        <v>454.80399999999997</v>
      </c>
      <c r="AT8">
        <f>Model!BB15</f>
        <v>530.53</v>
      </c>
      <c r="AU8">
        <f>Model!BC15</f>
        <v>573.23</v>
      </c>
      <c r="AV8">
        <f>Model!BD15</f>
        <v>445.86900000000003</v>
      </c>
      <c r="AW8">
        <f>Model!BE15</f>
        <v>496.40899999999999</v>
      </c>
      <c r="AX8">
        <f>Model!BF15</f>
        <v>551.024</v>
      </c>
      <c r="AY8">
        <f>Model!BG15</f>
        <v>584.96900000000005</v>
      </c>
      <c r="AZ8">
        <f>Model!BH15</f>
        <v>472.35</v>
      </c>
      <c r="BA8">
        <f>Model!BI15</f>
        <v>528.56399999999996</v>
      </c>
      <c r="BB8">
        <f>Model!BJ15</f>
        <v>580.22400000000005</v>
      </c>
      <c r="BC8">
        <f>Model!BK15</f>
        <v>620.904</v>
      </c>
      <c r="BD8">
        <f>Model!BL15</f>
        <v>481.78199999999998</v>
      </c>
      <c r="BE8">
        <f>Model!BM15</f>
        <v>526.99800000000005</v>
      </c>
      <c r="BF8">
        <f>Model!BN15</f>
        <v>567.25300000000004</v>
      </c>
      <c r="BG8">
        <f>Model!BO15</f>
        <v>613.53499999999997</v>
      </c>
      <c r="BH8">
        <f>Model!BP15</f>
        <v>478.26799999999997</v>
      </c>
      <c r="BI8">
        <f>Model!BQ15</f>
        <v>494.67500000000001</v>
      </c>
      <c r="BJ8">
        <f>Model!BR15</f>
        <v>546.01300000000003</v>
      </c>
      <c r="BK8">
        <f>Model!BS15</f>
        <v>596.50300000000004</v>
      </c>
      <c r="BL8">
        <f>Model!BT15</f>
        <v>445.78199999999998</v>
      </c>
      <c r="BM8">
        <f>Model!BU15</f>
        <v>470.03199999999998</v>
      </c>
      <c r="BN8">
        <f>Model!BV15</f>
        <v>517.86699999999996</v>
      </c>
      <c r="BO8">
        <f>Model!BW15</f>
        <v>620.29</v>
      </c>
      <c r="BP8">
        <f>Model!BX15</f>
        <v>439.81599999999997</v>
      </c>
      <c r="BQ8">
        <f>Model!BY15</f>
        <v>442.04500000000002</v>
      </c>
      <c r="BR8">
        <f>Model!BZ15</f>
        <v>498.13299999999998</v>
      </c>
      <c r="BS8">
        <f>Model!CA15</f>
        <v>684.28899999999999</v>
      </c>
      <c r="BT8">
        <f>Model!CB15</f>
        <v>508.55</v>
      </c>
      <c r="BU8">
        <f>Model!CC15</f>
        <v>529.90190295195089</v>
      </c>
      <c r="BV8">
        <f>Model!CD15</f>
        <v>599.7599850680599</v>
      </c>
      <c r="BW8">
        <f>Model!CE15</f>
        <v>830.70202207982061</v>
      </c>
      <c r="BX8">
        <f>Model!CF15</f>
        <v>663.89397722907552</v>
      </c>
      <c r="BY8">
        <f>Model!CG15</f>
        <v>0</v>
      </c>
      <c r="BZ8">
        <f>Model!CH15</f>
        <v>0</v>
      </c>
      <c r="CA8">
        <f>Model!CI15</f>
        <v>0</v>
      </c>
      <c r="CB8">
        <f>Model!CJ15</f>
        <v>0</v>
      </c>
      <c r="CC8">
        <f>Model!CK15</f>
        <v>0</v>
      </c>
      <c r="CD8">
        <f>Model!CL15</f>
        <v>0</v>
      </c>
      <c r="CE8">
        <f>Model!CM15</f>
        <v>902.56899999999996</v>
      </c>
      <c r="CF8">
        <f>Model!CN15</f>
        <v>984.62799999999993</v>
      </c>
      <c r="CG8">
        <f>Model!CO15</f>
        <v>1218.162</v>
      </c>
      <c r="CH8">
        <f>Model!CP15</f>
        <v>1447.577</v>
      </c>
      <c r="CI8">
        <f>Model!CQ15</f>
        <v>1696.3429999999998</v>
      </c>
      <c r="CJ8">
        <f>Model!CR15</f>
        <v>2004.433</v>
      </c>
      <c r="CK8">
        <f>Model!CS15</f>
        <v>2104.752</v>
      </c>
      <c r="CL8">
        <f>Model!CT15</f>
        <v>2211.4740000000002</v>
      </c>
      <c r="CM8">
        <f>Model!CU15</f>
        <v>2186.0540000000001</v>
      </c>
      <c r="CN8">
        <f>Model!CV15</f>
        <v>2082.9730000000004</v>
      </c>
      <c r="CO8">
        <f>Model!CW15</f>
        <v>2048.0049999999997</v>
      </c>
      <c r="CP8">
        <f>Model!CX15</f>
        <v>2133.0170000000003</v>
      </c>
      <c r="CQ8">
        <f>Model!CY15</f>
        <v>2624.2578873289067</v>
      </c>
      <c r="CR8">
        <f>Model!CZ15</f>
        <v>2853.8710190180036</v>
      </c>
      <c r="CS8">
        <f>Model!DA15</f>
        <v>3060.0454337567216</v>
      </c>
      <c r="CT8">
        <f>Model!DB15</f>
        <v>3243.6575876290117</v>
      </c>
      <c r="CU8">
        <f>Model!DC15</f>
        <v>3410.6339703068065</v>
      </c>
      <c r="CV8">
        <f>Model!DD15</f>
        <v>3586.3690922589562</v>
      </c>
      <c r="CW8">
        <f>Model!DE15</f>
        <v>3771.6955912278318</v>
      </c>
      <c r="CX8">
        <f>Model!DF15</f>
        <v>3970.7578822106975</v>
      </c>
      <c r="CY8">
        <f>Model!DG15</f>
        <v>4.191908683532386E-2</v>
      </c>
      <c r="CZ8">
        <f>Model!DH15</f>
        <v>7.9962925896407855E-2</v>
      </c>
    </row>
    <row r="9" spans="1:104">
      <c r="A9" t="str">
        <f>Model!I16</f>
        <v>Agency Revenue</v>
      </c>
      <c r="B9">
        <f>Model!J16</f>
        <v>0</v>
      </c>
      <c r="C9">
        <f>Model!K16</f>
        <v>0</v>
      </c>
      <c r="D9">
        <f>Model!L16</f>
        <v>0</v>
      </c>
      <c r="E9">
        <f>Model!M16</f>
        <v>0</v>
      </c>
      <c r="F9">
        <f>Model!N16</f>
        <v>0</v>
      </c>
      <c r="G9">
        <f>Model!O16</f>
        <v>0</v>
      </c>
      <c r="H9">
        <f>Model!P16</f>
        <v>0</v>
      </c>
      <c r="I9">
        <f>Model!Q16</f>
        <v>0</v>
      </c>
      <c r="J9">
        <f>Model!R16</f>
        <v>0</v>
      </c>
      <c r="K9">
        <f>Model!S16</f>
        <v>0</v>
      </c>
      <c r="L9">
        <f>Model!T16</f>
        <v>0</v>
      </c>
      <c r="M9">
        <f>Model!U16</f>
        <v>0</v>
      </c>
      <c r="N9">
        <f>Model!V16</f>
        <v>0</v>
      </c>
      <c r="O9">
        <f>Model!W16</f>
        <v>0</v>
      </c>
      <c r="P9">
        <f>Model!X16</f>
        <v>0</v>
      </c>
      <c r="Q9">
        <f>Model!Y16</f>
        <v>0</v>
      </c>
      <c r="R9">
        <f>Model!Z16</f>
        <v>0</v>
      </c>
      <c r="S9">
        <f>Model!AA16</f>
        <v>0</v>
      </c>
      <c r="T9">
        <f>Model!AB16</f>
        <v>0</v>
      </c>
      <c r="U9">
        <f>Model!AC16</f>
        <v>0</v>
      </c>
      <c r="V9">
        <f>Model!AD16</f>
        <v>0</v>
      </c>
      <c r="W9">
        <f>Model!AE16</f>
        <v>0</v>
      </c>
      <c r="X9">
        <f>Model!AF16</f>
        <v>0</v>
      </c>
      <c r="Y9">
        <f>Model!AG16</f>
        <v>30.381</v>
      </c>
      <c r="Z9">
        <f>Model!AH16</f>
        <v>55.892000000000003</v>
      </c>
      <c r="AA9">
        <f>Model!AI16</f>
        <v>73.325999999999993</v>
      </c>
      <c r="AB9">
        <f>Model!AJ16</f>
        <v>54.301000000000002</v>
      </c>
      <c r="AC9">
        <f>Model!AK16</f>
        <v>54.511000000000003</v>
      </c>
      <c r="AD9">
        <f>Model!AL16</f>
        <v>98.343999999999994</v>
      </c>
      <c r="AE9">
        <f>Model!AM16</f>
        <v>139.62299999999999</v>
      </c>
      <c r="AF9">
        <f>Model!AN16</f>
        <v>105.768</v>
      </c>
      <c r="AG9">
        <f>Model!AO16</f>
        <v>109.932</v>
      </c>
      <c r="AH9">
        <f>Model!AP16</f>
        <v>173.249</v>
      </c>
      <c r="AI9">
        <f>Model!AQ16</f>
        <v>232.63800000000001</v>
      </c>
      <c r="AJ9">
        <f>Model!AR16</f>
        <v>132.97300000000001</v>
      </c>
      <c r="AK9">
        <f>Model!AS16</f>
        <v>120.22499999999999</v>
      </c>
      <c r="AL9">
        <f>Model!AT16</f>
        <v>204.48500000000001</v>
      </c>
      <c r="AM9">
        <f>Model!AU16</f>
        <v>323.18799999999999</v>
      </c>
      <c r="AN9">
        <f>Model!AV16</f>
        <v>220.49600000000001</v>
      </c>
      <c r="AO9">
        <f>Model!AW16</f>
        <v>213.24199999999999</v>
      </c>
      <c r="AP9">
        <f>Model!AX16</f>
        <v>317.512</v>
      </c>
      <c r="AQ9">
        <f>Model!AY16</f>
        <v>504.01</v>
      </c>
      <c r="AR9">
        <f>Model!AZ16</f>
        <v>345.83800000000002</v>
      </c>
      <c r="AS9">
        <f>Model!BA16</f>
        <v>351.42200000000003</v>
      </c>
      <c r="AT9">
        <f>Model!BB16</f>
        <v>569.18100000000004</v>
      </c>
      <c r="AU9">
        <f>Model!BC16</f>
        <v>876.601</v>
      </c>
      <c r="AV9">
        <f>Model!BD16</f>
        <v>542.048</v>
      </c>
      <c r="AW9">
        <f>Model!BE16</f>
        <v>537.62699999999995</v>
      </c>
      <c r="AX9">
        <f>Model!BF16</f>
        <v>771.99599999999998</v>
      </c>
      <c r="AY9">
        <f>Model!BG16</f>
        <v>1118.1279999999999</v>
      </c>
      <c r="AZ9">
        <f>Model!BH16</f>
        <v>715.06299999999999</v>
      </c>
      <c r="BA9">
        <f>Model!BI16</f>
        <v>769.928</v>
      </c>
      <c r="BB9">
        <f>Model!BJ16</f>
        <v>1064.6400000000001</v>
      </c>
      <c r="BC9">
        <f>Model!BK16</f>
        <v>1576.434</v>
      </c>
      <c r="BD9">
        <f>Model!BL16</f>
        <v>999.68700000000001</v>
      </c>
      <c r="BE9">
        <f>Model!BM16</f>
        <v>1041.144</v>
      </c>
      <c r="BF9">
        <f>Model!BN16</f>
        <v>1474.396</v>
      </c>
      <c r="BG9">
        <f>Model!BO16</f>
        <v>2099.6289999999999</v>
      </c>
      <c r="BH9">
        <f>Model!BP16</f>
        <v>1230.633</v>
      </c>
      <c r="BI9">
        <f>Model!BQ16</f>
        <v>1199.348</v>
      </c>
      <c r="BJ9">
        <f>Model!BR16</f>
        <v>1582.153</v>
      </c>
      <c r="BK9">
        <f>Model!BS16</f>
        <v>2345.6729999999998</v>
      </c>
      <c r="BL9">
        <f>Model!BT16</f>
        <v>1400.7239999999999</v>
      </c>
      <c r="BM9">
        <f>Model!BU16</f>
        <v>1500.029</v>
      </c>
      <c r="BN9">
        <f>Model!BV16</f>
        <v>1852.961</v>
      </c>
      <c r="BO9">
        <f>Model!BW16</f>
        <v>2892.4490000000001</v>
      </c>
      <c r="BP9">
        <f>Model!BX16</f>
        <v>1736.6769999999999</v>
      </c>
      <c r="BQ9">
        <f>Model!BY16</f>
        <v>1785.3130000000001</v>
      </c>
      <c r="BR9">
        <f>Model!BZ16</f>
        <v>2332.3710000000001</v>
      </c>
      <c r="BS9">
        <f>Model!CA16</f>
        <v>3523.7060000000001</v>
      </c>
      <c r="BT9">
        <f>Model!CB16</f>
        <v>2072.7359999999999</v>
      </c>
      <c r="BU9">
        <f>Model!CC16</f>
        <v>2190.0364561776123</v>
      </c>
      <c r="BV9">
        <f>Model!CD16</f>
        <v>2876.0999284314821</v>
      </c>
      <c r="BW9">
        <f>Model!CE16</f>
        <v>4083.2526724124418</v>
      </c>
      <c r="BX9">
        <f>Model!CF16</f>
        <v>2612.2718709832075</v>
      </c>
      <c r="BY9">
        <f>Model!CG16</f>
        <v>0</v>
      </c>
      <c r="BZ9">
        <f>Model!CH16</f>
        <v>0</v>
      </c>
      <c r="CA9">
        <f>Model!CI16</f>
        <v>0</v>
      </c>
      <c r="CB9">
        <f>Model!CJ16</f>
        <v>0</v>
      </c>
      <c r="CC9">
        <f>Model!CK16</f>
        <v>0</v>
      </c>
      <c r="CD9">
        <f>Model!CL16</f>
        <v>0</v>
      </c>
      <c r="CE9">
        <f>Model!CM16</f>
        <v>213.89999999999998</v>
      </c>
      <c r="CF9">
        <f>Model!CN16</f>
        <v>398.24599999999998</v>
      </c>
      <c r="CG9">
        <f>Model!CO16</f>
        <v>648.79199999999992</v>
      </c>
      <c r="CH9">
        <f>Model!CP16</f>
        <v>868.39400000000001</v>
      </c>
      <c r="CI9">
        <f>Model!CQ16</f>
        <v>1380.6020000000001</v>
      </c>
      <c r="CJ9">
        <f>Model!CR16</f>
        <v>2339.2520000000004</v>
      </c>
      <c r="CK9">
        <f>Model!CS16</f>
        <v>3142.8140000000003</v>
      </c>
      <c r="CL9">
        <f>Model!CT16</f>
        <v>4410.6890000000003</v>
      </c>
      <c r="CM9">
        <f>Model!CU16</f>
        <v>5845.8019999999997</v>
      </c>
      <c r="CN9">
        <f>Model!CV16</f>
        <v>6527.8980000000001</v>
      </c>
      <c r="CO9">
        <f>Model!CW16</f>
        <v>7982.116</v>
      </c>
      <c r="CP9">
        <f>Model!CX16</f>
        <v>9714.1260000000002</v>
      </c>
      <c r="CQ9">
        <f>Model!CY16</f>
        <v>11761.660928004745</v>
      </c>
      <c r="CR9">
        <f>Model!CZ16</f>
        <v>13551.386663448857</v>
      </c>
      <c r="CS9">
        <f>Model!DA16</f>
        <v>15336.573064356466</v>
      </c>
      <c r="CT9">
        <f>Model!DB16</f>
        <v>17055.446821221594</v>
      </c>
      <c r="CU9">
        <f>Model!DC16</f>
        <v>18739.088380825568</v>
      </c>
      <c r="CV9">
        <f>Model!DD16</f>
        <v>20381.539025738901</v>
      </c>
      <c r="CW9">
        <f>Model!DE16</f>
        <v>21965.131910591412</v>
      </c>
      <c r="CX9">
        <f>Model!DF16</f>
        <v>23672.706010480768</v>
      </c>
      <c r="CY9">
        <f>Model!DG16</f>
        <v>0.36439768019349583</v>
      </c>
      <c r="CZ9">
        <f>Model!DH16</f>
        <v>0.18629033913115545</v>
      </c>
    </row>
    <row r="10" spans="1:104">
      <c r="A10" t="str">
        <f>Model!I17</f>
        <v>Kayak Revenue</v>
      </c>
      <c r="B10">
        <f>Model!J17</f>
        <v>0</v>
      </c>
      <c r="C10">
        <f>Model!K17</f>
        <v>0</v>
      </c>
      <c r="D10">
        <f>Model!L17</f>
        <v>0</v>
      </c>
      <c r="E10">
        <f>Model!M17</f>
        <v>0</v>
      </c>
      <c r="F10">
        <f>Model!N17</f>
        <v>0</v>
      </c>
      <c r="G10">
        <f>Model!O17</f>
        <v>0</v>
      </c>
      <c r="H10">
        <f>Model!P17</f>
        <v>0</v>
      </c>
      <c r="I10">
        <f>Model!Q17</f>
        <v>0</v>
      </c>
      <c r="J10">
        <f>Model!R17</f>
        <v>0</v>
      </c>
      <c r="K10">
        <f>Model!S17</f>
        <v>0</v>
      </c>
      <c r="L10">
        <f>Model!T17</f>
        <v>0</v>
      </c>
      <c r="M10">
        <f>Model!U17</f>
        <v>0</v>
      </c>
      <c r="N10">
        <f>Model!V17</f>
        <v>0</v>
      </c>
      <c r="O10">
        <f>Model!W17</f>
        <v>0</v>
      </c>
      <c r="P10">
        <f>Model!X17</f>
        <v>0</v>
      </c>
      <c r="Q10">
        <f>Model!Y17</f>
        <v>0</v>
      </c>
      <c r="R10">
        <f>Model!Z17</f>
        <v>0</v>
      </c>
      <c r="S10">
        <f>Model!AA17</f>
        <v>0</v>
      </c>
      <c r="T10">
        <f>Model!AB17</f>
        <v>0</v>
      </c>
      <c r="U10">
        <f>Model!AC17</f>
        <v>0</v>
      </c>
      <c r="V10">
        <f>Model!AD17</f>
        <v>0</v>
      </c>
      <c r="W10">
        <f>Model!AE17</f>
        <v>0</v>
      </c>
      <c r="X10">
        <f>Model!AF17</f>
        <v>0</v>
      </c>
      <c r="Y10">
        <f>Model!AG17</f>
        <v>0</v>
      </c>
      <c r="Z10">
        <f>Model!AH17</f>
        <v>0</v>
      </c>
      <c r="AA10">
        <f>Model!AI17</f>
        <v>0</v>
      </c>
      <c r="AB10">
        <f>Model!AJ17</f>
        <v>0</v>
      </c>
      <c r="AC10">
        <f>Model!AK17</f>
        <v>0</v>
      </c>
      <c r="AD10">
        <f>Model!AL17</f>
        <v>0</v>
      </c>
      <c r="AE10">
        <f>Model!AM17</f>
        <v>0</v>
      </c>
      <c r="AF10">
        <f>Model!AN17</f>
        <v>0</v>
      </c>
      <c r="AG10">
        <f>Model!AO17</f>
        <v>0</v>
      </c>
      <c r="AH10">
        <f>Model!AP17</f>
        <v>0</v>
      </c>
      <c r="AI10">
        <f>Model!AQ17</f>
        <v>0</v>
      </c>
      <c r="AJ10">
        <f>Model!AR17</f>
        <v>0</v>
      </c>
      <c r="AK10">
        <f>Model!AS17</f>
        <v>0</v>
      </c>
      <c r="AL10">
        <f>Model!AT17</f>
        <v>0</v>
      </c>
      <c r="AM10">
        <f>Model!AU17</f>
        <v>0</v>
      </c>
      <c r="AN10">
        <f>Model!AV17</f>
        <v>0</v>
      </c>
      <c r="AO10">
        <f>Model!AW17</f>
        <v>0</v>
      </c>
      <c r="AP10">
        <f>Model!AX17</f>
        <v>0</v>
      </c>
      <c r="AQ10">
        <f>Model!AY17</f>
        <v>0</v>
      </c>
      <c r="AR10">
        <f>Model!AZ17</f>
        <v>0</v>
      </c>
      <c r="AS10">
        <f>Model!BA17</f>
        <v>0</v>
      </c>
      <c r="AT10">
        <f>Model!BB17</f>
        <v>0</v>
      </c>
      <c r="AU10">
        <f>Model!BC17</f>
        <v>0</v>
      </c>
      <c r="AV10">
        <f>Model!BD17</f>
        <v>0</v>
      </c>
      <c r="AW10">
        <f>Model!BE17</f>
        <v>0</v>
      </c>
      <c r="AX10">
        <f>Model!BF17</f>
        <v>0</v>
      </c>
      <c r="AY10">
        <f>Model!BG17</f>
        <v>0</v>
      </c>
      <c r="AZ10">
        <f>Model!BH17</f>
        <v>0</v>
      </c>
      <c r="BA10">
        <f>Model!BI17</f>
        <v>0</v>
      </c>
      <c r="BB10">
        <f>Model!BJ17</f>
        <v>0</v>
      </c>
      <c r="BC10">
        <f>Model!BK17</f>
        <v>0</v>
      </c>
      <c r="BD10">
        <f>Model!BL17</f>
        <v>0</v>
      </c>
      <c r="BE10">
        <f>Model!BM17</f>
        <v>0</v>
      </c>
      <c r="BF10">
        <f>Model!BN17</f>
        <v>0</v>
      </c>
      <c r="BG10">
        <f>Model!BO17</f>
        <v>0</v>
      </c>
      <c r="BH10">
        <f>Model!BP17</f>
        <v>0</v>
      </c>
      <c r="BI10">
        <f>Model!BQ17</f>
        <v>0</v>
      </c>
      <c r="BJ10">
        <f>Model!BR17</f>
        <v>0</v>
      </c>
      <c r="BK10">
        <f>Model!BS17</f>
        <v>0</v>
      </c>
      <c r="BL10">
        <f>Model!BT17</f>
        <v>0</v>
      </c>
      <c r="BM10">
        <f>Model!BU17</f>
        <v>0</v>
      </c>
      <c r="BN10">
        <f>Model!BV17</f>
        <v>0</v>
      </c>
      <c r="BO10">
        <f>Model!BW17</f>
        <v>0</v>
      </c>
      <c r="BP10">
        <f>Model!BX17</f>
        <v>0</v>
      </c>
      <c r="BQ10">
        <f>Model!BY17</f>
        <v>0</v>
      </c>
      <c r="BR10">
        <f>Model!BZ17</f>
        <v>0</v>
      </c>
      <c r="BS10">
        <f>Model!CA17</f>
        <v>0</v>
      </c>
      <c r="BT10">
        <f>Model!CB17</f>
        <v>0</v>
      </c>
      <c r="BU10">
        <f>Model!CC17</f>
        <v>93.236960737741953</v>
      </c>
      <c r="BV10">
        <f>Model!CD17</f>
        <v>95.101699952496801</v>
      </c>
      <c r="BW10">
        <f>Model!CE17</f>
        <v>102.67129860587418</v>
      </c>
      <c r="BX10">
        <f>Model!CF17</f>
        <v>82.908944166774205</v>
      </c>
      <c r="BY10">
        <f>Model!CG17</f>
        <v>0</v>
      </c>
      <c r="BZ10">
        <f>Model!CH17</f>
        <v>0</v>
      </c>
      <c r="CA10">
        <f>Model!CI17</f>
        <v>0</v>
      </c>
      <c r="CB10">
        <f>Model!CJ17</f>
        <v>0</v>
      </c>
      <c r="CC10">
        <f>Model!CK17</f>
        <v>0</v>
      </c>
      <c r="CD10">
        <f>Model!CL17</f>
        <v>0</v>
      </c>
      <c r="CE10">
        <f>Model!CM17</f>
        <v>0</v>
      </c>
      <c r="CF10">
        <f>Model!CN17</f>
        <v>0</v>
      </c>
      <c r="CG10">
        <f>Model!CO17</f>
        <v>0</v>
      </c>
      <c r="CH10">
        <f>Model!CP17</f>
        <v>0</v>
      </c>
      <c r="CI10">
        <f>Model!CQ17</f>
        <v>0</v>
      </c>
      <c r="CJ10">
        <f>Model!CR17</f>
        <v>0</v>
      </c>
      <c r="CK10">
        <f>Model!CS17</f>
        <v>0</v>
      </c>
      <c r="CL10">
        <f>Model!CT17</f>
        <v>0</v>
      </c>
      <c r="CM10">
        <f>Model!CU17</f>
        <v>0</v>
      </c>
      <c r="CN10">
        <f>Model!CV17</f>
        <v>0</v>
      </c>
      <c r="CO10">
        <f>Model!CW17</f>
        <v>0</v>
      </c>
      <c r="CP10">
        <f>Model!CX17</f>
        <v>0</v>
      </c>
      <c r="CQ10">
        <f>Model!CY17</f>
        <v>373.9189034628871</v>
      </c>
      <c r="CR10">
        <f>Model!CZ17</f>
        <v>392.61484863603141</v>
      </c>
      <c r="CS10">
        <f>Model!DA17</f>
        <v>412.24559106783295</v>
      </c>
      <c r="CT10">
        <f>Model!DB17</f>
        <v>432.85787062122449</v>
      </c>
      <c r="CU10">
        <f>Model!DC17</f>
        <v>454.50076415228563</v>
      </c>
      <c r="CV10">
        <f>Model!DD17</f>
        <v>477.22580235989983</v>
      </c>
      <c r="CW10">
        <f>Model!DE17</f>
        <v>501.08709247789471</v>
      </c>
      <c r="CX10">
        <f>Model!DF17</f>
        <v>526.14144710178937</v>
      </c>
      <c r="CY10">
        <f>Model!DG17</f>
        <v>0</v>
      </c>
      <c r="CZ10">
        <f>Model!DH17</f>
        <v>0</v>
      </c>
    </row>
    <row r="11" spans="1:104">
      <c r="A11" t="str">
        <f>Model!I18</f>
        <v>OpenTable Revenue</v>
      </c>
      <c r="B11">
        <f>Model!J18</f>
        <v>0</v>
      </c>
      <c r="C11">
        <f>Model!K18</f>
        <v>0</v>
      </c>
      <c r="D11">
        <f>Model!L18</f>
        <v>0</v>
      </c>
      <c r="E11">
        <f>Model!M18</f>
        <v>0</v>
      </c>
      <c r="F11">
        <f>Model!N18</f>
        <v>0</v>
      </c>
      <c r="G11">
        <f>Model!O18</f>
        <v>0</v>
      </c>
      <c r="H11">
        <f>Model!P18</f>
        <v>0</v>
      </c>
      <c r="I11">
        <f>Model!Q18</f>
        <v>0</v>
      </c>
      <c r="J11">
        <f>Model!R18</f>
        <v>0</v>
      </c>
      <c r="K11">
        <f>Model!S18</f>
        <v>0</v>
      </c>
      <c r="L11">
        <f>Model!T18</f>
        <v>0</v>
      </c>
      <c r="M11">
        <f>Model!U18</f>
        <v>0</v>
      </c>
      <c r="N11">
        <f>Model!V18</f>
        <v>0</v>
      </c>
      <c r="O11">
        <f>Model!W18</f>
        <v>0</v>
      </c>
      <c r="P11">
        <f>Model!X18</f>
        <v>0</v>
      </c>
      <c r="Q11">
        <f>Model!Y18</f>
        <v>0</v>
      </c>
      <c r="R11">
        <f>Model!Z18</f>
        <v>0</v>
      </c>
      <c r="S11">
        <f>Model!AA18</f>
        <v>0</v>
      </c>
      <c r="T11">
        <f>Model!AB18</f>
        <v>0</v>
      </c>
      <c r="U11">
        <f>Model!AC18</f>
        <v>0</v>
      </c>
      <c r="V11">
        <f>Model!AD18</f>
        <v>0</v>
      </c>
      <c r="W11">
        <f>Model!AE18</f>
        <v>0</v>
      </c>
      <c r="X11">
        <f>Model!AF18</f>
        <v>0</v>
      </c>
      <c r="Y11">
        <f>Model!AG18</f>
        <v>0</v>
      </c>
      <c r="Z11">
        <f>Model!AH18</f>
        <v>0</v>
      </c>
      <c r="AA11">
        <f>Model!AI18</f>
        <v>0</v>
      </c>
      <c r="AB11">
        <f>Model!AJ18</f>
        <v>0</v>
      </c>
      <c r="AC11">
        <f>Model!AK18</f>
        <v>0</v>
      </c>
      <c r="AD11">
        <f>Model!AL18</f>
        <v>0</v>
      </c>
      <c r="AE11">
        <f>Model!AM18</f>
        <v>0</v>
      </c>
      <c r="AF11">
        <f>Model!AN18</f>
        <v>0</v>
      </c>
      <c r="AG11">
        <f>Model!AO18</f>
        <v>0</v>
      </c>
      <c r="AH11">
        <f>Model!AP18</f>
        <v>0</v>
      </c>
      <c r="AI11">
        <f>Model!AQ18</f>
        <v>0</v>
      </c>
      <c r="AJ11">
        <f>Model!AR18</f>
        <v>0</v>
      </c>
      <c r="AK11">
        <f>Model!AS18</f>
        <v>0</v>
      </c>
      <c r="AL11">
        <f>Model!AT18</f>
        <v>0</v>
      </c>
      <c r="AM11">
        <f>Model!AU18</f>
        <v>0</v>
      </c>
      <c r="AN11">
        <f>Model!AV18</f>
        <v>0</v>
      </c>
      <c r="AO11">
        <f>Model!AW18</f>
        <v>0</v>
      </c>
      <c r="AP11">
        <f>Model!AX18</f>
        <v>0</v>
      </c>
      <c r="AQ11">
        <f>Model!AY18</f>
        <v>0</v>
      </c>
      <c r="AR11">
        <f>Model!AZ18</f>
        <v>0</v>
      </c>
      <c r="AS11">
        <f>Model!BA18</f>
        <v>0</v>
      </c>
      <c r="AT11">
        <f>Model!BB18</f>
        <v>0</v>
      </c>
      <c r="AU11">
        <f>Model!BC18</f>
        <v>0</v>
      </c>
      <c r="AV11">
        <f>Model!BD18</f>
        <v>0</v>
      </c>
      <c r="AW11">
        <f>Model!BE18</f>
        <v>0</v>
      </c>
      <c r="AX11">
        <f>Model!BF18</f>
        <v>0</v>
      </c>
      <c r="AY11">
        <f>Model!BG18</f>
        <v>0</v>
      </c>
      <c r="AZ11">
        <f>Model!BH18</f>
        <v>0</v>
      </c>
      <c r="BA11">
        <f>Model!BI18</f>
        <v>0</v>
      </c>
      <c r="BB11">
        <f>Model!BJ18</f>
        <v>0</v>
      </c>
      <c r="BC11">
        <f>Model!BK18</f>
        <v>0</v>
      </c>
      <c r="BD11">
        <f>Model!BL18</f>
        <v>0</v>
      </c>
      <c r="BE11">
        <f>Model!BM18</f>
        <v>0</v>
      </c>
      <c r="BF11">
        <f>Model!BN18</f>
        <v>0</v>
      </c>
      <c r="BH11">
        <f>Model!BP18</f>
        <v>0</v>
      </c>
      <c r="BI11">
        <f>Model!BQ18</f>
        <v>0</v>
      </c>
      <c r="BJ11">
        <f>Model!BR18</f>
        <v>0</v>
      </c>
      <c r="BK11">
        <f>Model!BS18</f>
        <v>0</v>
      </c>
      <c r="BL11">
        <f>Model!BT18</f>
        <v>0</v>
      </c>
      <c r="BM11">
        <f>Model!BU18</f>
        <v>0</v>
      </c>
      <c r="BN11">
        <f>Model!BV18</f>
        <v>0</v>
      </c>
      <c r="BO11">
        <f>Model!BW18</f>
        <v>0</v>
      </c>
      <c r="BP11">
        <f>Model!BX18</f>
        <v>0</v>
      </c>
      <c r="BQ11">
        <f>Model!BY18</f>
        <v>0</v>
      </c>
      <c r="BR11">
        <f>Model!BZ18</f>
        <v>0</v>
      </c>
      <c r="BS11">
        <f>Model!CA18</f>
        <v>0</v>
      </c>
      <c r="BT11">
        <f>Model!CB18</f>
        <v>0</v>
      </c>
      <c r="BU11">
        <f>Model!CC18</f>
        <v>88.457600000000014</v>
      </c>
      <c r="BV11">
        <f>Model!CD18</f>
        <v>91.907200000000017</v>
      </c>
      <c r="BW11">
        <f>Model!CE18</f>
        <v>91.414400000000029</v>
      </c>
      <c r="BX11">
        <f>Model!CF18</f>
        <v>102.62560000000002</v>
      </c>
      <c r="BY11">
        <f>Model!CG18</f>
        <v>0</v>
      </c>
      <c r="BZ11">
        <f>Model!CH18</f>
        <v>0</v>
      </c>
      <c r="CA11">
        <f>Model!CI18</f>
        <v>0</v>
      </c>
      <c r="CB11">
        <f>Model!CJ18</f>
        <v>0</v>
      </c>
      <c r="CC11">
        <f>Model!CK18</f>
        <v>0</v>
      </c>
      <c r="CD11">
        <f>Model!CL18</f>
        <v>0</v>
      </c>
      <c r="CE11">
        <f>Model!CM18</f>
        <v>0</v>
      </c>
      <c r="CF11">
        <f>Model!CN18</f>
        <v>0</v>
      </c>
      <c r="CG11">
        <f>Model!CO18</f>
        <v>0</v>
      </c>
      <c r="CH11">
        <f>Model!CP18</f>
        <v>0</v>
      </c>
      <c r="CI11">
        <f>Model!CQ18</f>
        <v>0</v>
      </c>
      <c r="CJ11">
        <f>Model!CR18</f>
        <v>0</v>
      </c>
      <c r="CK11">
        <f>Model!CS18</f>
        <v>0</v>
      </c>
      <c r="CL11">
        <f>Model!CT18</f>
        <v>0</v>
      </c>
      <c r="CM11">
        <f>Model!CU18</f>
        <v>0</v>
      </c>
      <c r="CN11">
        <f>Model!CV18</f>
        <v>0</v>
      </c>
      <c r="CO11">
        <f>Model!CW18</f>
        <v>0</v>
      </c>
      <c r="CP11">
        <f>Model!CX18</f>
        <v>0</v>
      </c>
      <c r="CQ11">
        <f>Model!CY18</f>
        <v>374.40480000000008</v>
      </c>
      <c r="CR11">
        <f>Model!CZ18</f>
        <v>404.35718400000013</v>
      </c>
      <c r="CS11">
        <f>Model!DA18</f>
        <v>436.70575872000018</v>
      </c>
      <c r="CT11">
        <f>Model!DB18</f>
        <v>471.64221941760024</v>
      </c>
      <c r="CU11">
        <f>Model!DC18</f>
        <v>509.37359697100828</v>
      </c>
      <c r="CV11">
        <f>Model!DD18</f>
        <v>550.12348472868894</v>
      </c>
      <c r="CW11">
        <f>Model!DE18</f>
        <v>594.1333635069841</v>
      </c>
      <c r="CX11">
        <f>Model!DF18</f>
        <v>641.66403258754292</v>
      </c>
      <c r="CY11">
        <f>Model!DG18</f>
        <v>0</v>
      </c>
      <c r="CZ11">
        <f>Model!DH18</f>
        <v>0</v>
      </c>
    </row>
    <row r="12" spans="1:104">
      <c r="A12" t="str">
        <f>Model!I20</f>
        <v>Total Other Revenue</v>
      </c>
      <c r="B12">
        <f>Model!J20</f>
        <v>0</v>
      </c>
      <c r="C12">
        <f>Model!K20</f>
        <v>0</v>
      </c>
      <c r="D12">
        <f>Model!L20</f>
        <v>0</v>
      </c>
      <c r="E12">
        <f>Model!M20</f>
        <v>0</v>
      </c>
      <c r="F12">
        <f>Model!N20</f>
        <v>0</v>
      </c>
      <c r="G12">
        <f>Model!O20</f>
        <v>0</v>
      </c>
      <c r="H12">
        <f>Model!P20</f>
        <v>0</v>
      </c>
      <c r="I12">
        <f>Model!Q20</f>
        <v>0</v>
      </c>
      <c r="J12">
        <f>Model!R20</f>
        <v>0</v>
      </c>
      <c r="K12">
        <f>Model!S20</f>
        <v>0</v>
      </c>
      <c r="L12">
        <f>Model!T20</f>
        <v>0</v>
      </c>
      <c r="M12">
        <f>Model!U20</f>
        <v>0</v>
      </c>
      <c r="N12">
        <f>Model!V20</f>
        <v>0</v>
      </c>
      <c r="O12">
        <f>Model!W20</f>
        <v>0</v>
      </c>
      <c r="P12">
        <f>Model!X20</f>
        <v>0</v>
      </c>
      <c r="Q12">
        <f>Model!Y20</f>
        <v>0</v>
      </c>
      <c r="R12">
        <f>Model!Z20</f>
        <v>0</v>
      </c>
      <c r="S12">
        <f>Model!AA20</f>
        <v>0</v>
      </c>
      <c r="T12">
        <f>Model!AB20</f>
        <v>0</v>
      </c>
      <c r="U12">
        <f>Model!AC20</f>
        <v>0</v>
      </c>
      <c r="V12">
        <f>Model!AD20</f>
        <v>0</v>
      </c>
      <c r="W12">
        <f>Model!AE20</f>
        <v>0</v>
      </c>
      <c r="X12">
        <f>Model!AF20</f>
        <v>0</v>
      </c>
      <c r="Y12">
        <f>Model!AG20</f>
        <v>1.095</v>
      </c>
      <c r="Z12">
        <f>Model!AH20</f>
        <v>1.2350000000000001</v>
      </c>
      <c r="AA12">
        <f>Model!AI20</f>
        <v>1.583</v>
      </c>
      <c r="AB12">
        <f>Model!AJ20</f>
        <v>1.121</v>
      </c>
      <c r="AC12">
        <f>Model!AK20</f>
        <v>0.86699999999999999</v>
      </c>
      <c r="AD12">
        <f>Model!AL20</f>
        <v>2.6269999999999998</v>
      </c>
      <c r="AE12">
        <f>Model!AM20</f>
        <v>2.4529999999999998</v>
      </c>
      <c r="AF12">
        <f>Model!AN20</f>
        <v>2.3919999999999999</v>
      </c>
      <c r="AG12">
        <f>Model!AO20</f>
        <v>4.0890000000000004</v>
      </c>
      <c r="AH12">
        <f>Model!AP20</f>
        <v>4.4969999999999999</v>
      </c>
      <c r="AI12">
        <f>Model!AQ20</f>
        <v>5.0140000000000002</v>
      </c>
      <c r="AJ12">
        <f>Model!AR20</f>
        <v>4.2519999999999998</v>
      </c>
      <c r="AK12">
        <f>Model!AS20</f>
        <v>4.7990000000000004</v>
      </c>
      <c r="AL12">
        <f>Model!AT20</f>
        <v>6.4340000000000002</v>
      </c>
      <c r="AM12">
        <f>Model!AU20</f>
        <v>7.1580000000000004</v>
      </c>
      <c r="AN12">
        <f>Model!AV20</f>
        <v>3.85</v>
      </c>
      <c r="AO12">
        <f>Model!AW20</f>
        <v>2.887</v>
      </c>
      <c r="AP12">
        <f>Model!AX20</f>
        <v>3.258</v>
      </c>
      <c r="AQ12">
        <f>Model!AY20</f>
        <v>3.274</v>
      </c>
      <c r="AR12">
        <f>Model!AZ20</f>
        <v>3.2440000000000002</v>
      </c>
      <c r="AS12">
        <f>Model!BA20</f>
        <v>3.0939999999999999</v>
      </c>
      <c r="AT12">
        <f>Model!BB20</f>
        <v>3.0049999999999999</v>
      </c>
      <c r="AU12">
        <f>Model!BC20</f>
        <v>2.9729999999999999</v>
      </c>
      <c r="AV12">
        <f>Model!BD20</f>
        <v>2.8530000000000002</v>
      </c>
      <c r="AW12">
        <f>Model!BE20</f>
        <v>3.2109999999999999</v>
      </c>
      <c r="AX12">
        <f>Model!BF20</f>
        <v>3.7389999999999999</v>
      </c>
      <c r="AY12">
        <f>Model!BG20</f>
        <v>3.2130000000000001</v>
      </c>
      <c r="AZ12">
        <f>Model!BH20</f>
        <v>3.2269999999999999</v>
      </c>
      <c r="BA12">
        <f>Model!BI20</f>
        <v>3.52</v>
      </c>
      <c r="BB12">
        <f>Model!BJ20</f>
        <v>35.374000000000002</v>
      </c>
      <c r="BC12">
        <f>Model!BK20</f>
        <v>72.564999999999998</v>
      </c>
      <c r="BD12">
        <f>Model!BL20</f>
        <v>59.683999999999997</v>
      </c>
      <c r="BE12">
        <f>Model!BM20</f>
        <v>73.66</v>
      </c>
      <c r="BF12">
        <f>Model!BN20</f>
        <v>81.926000000000002</v>
      </c>
      <c r="BG12">
        <f>Model!BO20</f>
        <v>123.333</v>
      </c>
      <c r="BH12">
        <f>Model!BP20</f>
        <v>131.196</v>
      </c>
      <c r="BI12">
        <f>Model!BQ19</f>
        <v>0</v>
      </c>
      <c r="BJ12">
        <f>Model!BR19</f>
        <v>0</v>
      </c>
      <c r="BK12">
        <f>Model!BS19</f>
        <v>0</v>
      </c>
      <c r="BL12">
        <f>Model!BT19</f>
        <v>0</v>
      </c>
      <c r="BM12">
        <f>Model!BU19</f>
        <v>0</v>
      </c>
      <c r="BN12">
        <f>Model!BV19</f>
        <v>0</v>
      </c>
      <c r="BO12">
        <f>Model!BW19</f>
        <v>0</v>
      </c>
      <c r="BP12">
        <f>Model!BX19</f>
        <v>0</v>
      </c>
      <c r="BQ12">
        <f>Model!BY19</f>
        <v>0</v>
      </c>
      <c r="BR12">
        <f>Model!BZ19</f>
        <v>0</v>
      </c>
      <c r="BS12">
        <f>Model!CA19</f>
        <v>0</v>
      </c>
      <c r="BT12">
        <f>Model!CB19</f>
        <v>0</v>
      </c>
      <c r="BU12">
        <f>Model!CC19</f>
        <v>22.832894535483831</v>
      </c>
      <c r="BV12">
        <f>Model!CD19</f>
        <v>19.926952426193509</v>
      </c>
      <c r="BW12">
        <f>Model!CE19</f>
        <v>45.147810851548371</v>
      </c>
      <c r="BX12">
        <f>Model!CF19</f>
        <v>49.550100793548367</v>
      </c>
      <c r="BY12">
        <f>Model!CG20</f>
        <v>0</v>
      </c>
      <c r="BZ12">
        <f>Model!CH20</f>
        <v>0</v>
      </c>
      <c r="CA12">
        <f>Model!CI20</f>
        <v>0</v>
      </c>
      <c r="CB12">
        <f>Model!CJ20</f>
        <v>0</v>
      </c>
      <c r="CC12">
        <f>Model!CK20</f>
        <v>0</v>
      </c>
      <c r="CD12">
        <f>Model!CL20</f>
        <v>0</v>
      </c>
      <c r="CE12">
        <f>Model!CM20</f>
        <v>5.0340000000000007</v>
      </c>
      <c r="CF12">
        <f>Model!CN20</f>
        <v>8.3389999999999986</v>
      </c>
      <c r="CG12">
        <f>Model!CO20</f>
        <v>17.852</v>
      </c>
      <c r="CH12">
        <f>Model!CP20</f>
        <v>22.241000000000003</v>
      </c>
      <c r="CI12">
        <f>Model!CQ20</f>
        <v>12.663</v>
      </c>
      <c r="CJ12">
        <f>Model!CR20</f>
        <v>11.924999999999999</v>
      </c>
      <c r="CK12">
        <f>Model!CS20</f>
        <v>13.39</v>
      </c>
      <c r="CL12">
        <f>Model!CT20</f>
        <v>171.143</v>
      </c>
      <c r="CM12">
        <f>Model!CU20</f>
        <v>410.11500000000001</v>
      </c>
      <c r="CN12">
        <f>Model!CV20</f>
        <v>613.11599999999999</v>
      </c>
      <c r="CO12">
        <f>Model!CW20</f>
        <v>712.88499999999999</v>
      </c>
      <c r="CP12">
        <f>Model!CX20</f>
        <v>833.93899999999996</v>
      </c>
      <c r="CQ12">
        <f>Model!CY20</f>
        <v>885.7814620696613</v>
      </c>
      <c r="CR12">
        <f>Model!CZ20</f>
        <v>934.42979124280566</v>
      </c>
      <c r="CS12">
        <f>Model!DA20</f>
        <v>986.40910839460719</v>
      </c>
      <c r="CT12">
        <f>Model!DB20</f>
        <v>1041.9578486455989</v>
      </c>
      <c r="CU12">
        <f>Model!DC20</f>
        <v>1101.3321197300679</v>
      </c>
      <c r="CV12">
        <f>Model!DD20</f>
        <v>1164.8070456953628</v>
      </c>
      <c r="CW12">
        <f>Model!DE20</f>
        <v>1232.6782145916527</v>
      </c>
      <c r="CX12">
        <f>Model!DF20</f>
        <v>1305.2632382961065</v>
      </c>
      <c r="CY12">
        <f>Model!DG20</f>
        <v>1.1727072251299053</v>
      </c>
      <c r="CZ12">
        <f>Model!DH20</f>
        <v>9.9772573312596258E-2</v>
      </c>
    </row>
    <row r="13" spans="1:104">
      <c r="A13" t="str">
        <f>Model!I21</f>
        <v>Total Revenue</v>
      </c>
      <c r="B13">
        <f>Model!J21</f>
        <v>0</v>
      </c>
      <c r="C13">
        <f>Model!K21</f>
        <v>0</v>
      </c>
      <c r="D13">
        <f>Model!L21</f>
        <v>0</v>
      </c>
      <c r="E13">
        <f>Model!M21</f>
        <v>269.70400000000001</v>
      </c>
      <c r="F13">
        <f>Model!N21</f>
        <v>364.75599999999997</v>
      </c>
      <c r="G13">
        <f>Model!O21</f>
        <v>301.98899999999998</v>
      </c>
      <c r="H13">
        <f>Model!P21</f>
        <v>235.304</v>
      </c>
      <c r="I13">
        <f>Model!Q21</f>
        <v>261.88499999999999</v>
      </c>
      <c r="J13">
        <f>Model!R21</f>
        <v>304.45600000000002</v>
      </c>
      <c r="K13">
        <f>Model!S21</f>
        <v>239.964</v>
      </c>
      <c r="L13">
        <f>Model!T21</f>
        <v>197.30099999999999</v>
      </c>
      <c r="M13">
        <f>Model!U21</f>
        <v>200.48699999999999</v>
      </c>
      <c r="N13">
        <f>Model!V21</f>
        <v>239.566</v>
      </c>
      <c r="O13">
        <f>Model!W21</f>
        <v>243.441</v>
      </c>
      <c r="P13">
        <f>Model!X21</f>
        <v>180.167</v>
      </c>
      <c r="Q13">
        <f>Model!Y21</f>
        <v>224.131</v>
      </c>
      <c r="R13">
        <f>Model!Z21</f>
        <v>259.38900000000001</v>
      </c>
      <c r="S13">
        <f>Model!AA21</f>
        <v>235.88200000000001</v>
      </c>
      <c r="T13">
        <f>Model!AB21</f>
        <v>194.96799999999999</v>
      </c>
      <c r="U13">
        <f>Model!AC21</f>
        <v>233.392</v>
      </c>
      <c r="V13">
        <f>Model!AD21</f>
        <v>266.55700000000002</v>
      </c>
      <c r="W13">
        <f>Model!AE21</f>
        <v>258.79700000000003</v>
      </c>
      <c r="X13">
        <f>Model!AF21</f>
        <v>203.91300000000001</v>
      </c>
      <c r="Y13">
        <f>Model!AG21</f>
        <v>241.91399999999999</v>
      </c>
      <c r="Z13">
        <f>Model!AH21</f>
        <v>307.65100000000001</v>
      </c>
      <c r="AA13">
        <f>Model!AI21</f>
        <v>311.86700000000002</v>
      </c>
      <c r="AB13">
        <f>Model!AJ21</f>
        <v>260.07099999999997</v>
      </c>
      <c r="AC13">
        <f>Model!AK21</f>
        <v>285.51100000000002</v>
      </c>
      <c r="AD13">
        <f>Model!AL21</f>
        <v>353.56199999999995</v>
      </c>
      <c r="AE13">
        <f>Model!AM21</f>
        <v>417.28699999999998</v>
      </c>
      <c r="AF13">
        <f>Model!AN21</f>
        <v>334.85300000000001</v>
      </c>
      <c r="AG13">
        <f>Model!AO21</f>
        <v>403.18</v>
      </c>
      <c r="AH13">
        <f>Model!AP21</f>
        <v>513.976</v>
      </c>
      <c r="AI13">
        <f>Model!AQ21</f>
        <v>561.60900000000004</v>
      </c>
      <c r="AJ13">
        <f>Model!AR21</f>
        <v>406.041</v>
      </c>
      <c r="AK13">
        <f>Model!AS21</f>
        <v>462.05799999999999</v>
      </c>
      <c r="AL13">
        <f>Model!AT21</f>
        <v>603.74099999999999</v>
      </c>
      <c r="AM13">
        <f>Model!AU21</f>
        <v>730.66</v>
      </c>
      <c r="AN13">
        <f>Model!AV21</f>
        <v>541.75300000000004</v>
      </c>
      <c r="AO13">
        <f>Model!AW21</f>
        <v>584.39399999999989</v>
      </c>
      <c r="AP13">
        <f>Model!AX21</f>
        <v>768.36799999999994</v>
      </c>
      <c r="AQ13">
        <f>Model!AY21</f>
        <v>1003.7769999999999</v>
      </c>
      <c r="AR13">
        <f>Model!AZ21</f>
        <v>733.06900000000007</v>
      </c>
      <c r="AS13">
        <f>Model!BA21</f>
        <v>809.32</v>
      </c>
      <c r="AT13">
        <f>Model!BB21</f>
        <v>1102.7160000000001</v>
      </c>
      <c r="AU13">
        <f>Model!BC21</f>
        <v>1452.8040000000001</v>
      </c>
      <c r="AV13">
        <f>Model!BD21</f>
        <v>990.77</v>
      </c>
      <c r="AW13">
        <f>Model!BE21</f>
        <v>1037.2470000000001</v>
      </c>
      <c r="AX13">
        <f>Model!BF21</f>
        <v>1326.759</v>
      </c>
      <c r="AY13">
        <f>Model!BG21</f>
        <v>1706.31</v>
      </c>
      <c r="AZ13">
        <f>Model!BH21</f>
        <v>1190.6400000000001</v>
      </c>
      <c r="BA13">
        <f>Model!BI21</f>
        <v>1302.0119999999999</v>
      </c>
      <c r="BB13">
        <f>Model!BJ21</f>
        <v>1680.2380000000001</v>
      </c>
      <c r="BC13">
        <f>Model!BK21</f>
        <v>2269.9029999999998</v>
      </c>
      <c r="BD13">
        <f>Model!BL21</f>
        <v>1541.153</v>
      </c>
      <c r="BE13">
        <f>Model!BM21</f>
        <v>1641.8020000000001</v>
      </c>
      <c r="BF13">
        <f>Model!BN21</f>
        <v>2123.5749999999998</v>
      </c>
      <c r="BG13">
        <f>Model!BO21</f>
        <v>2836.4969999999998</v>
      </c>
      <c r="BH13">
        <f>Model!BP21</f>
        <v>1840.097</v>
      </c>
      <c r="BI13">
        <f>Model!BQ21</f>
        <v>1840.694</v>
      </c>
      <c r="BJ13">
        <f>Model!BR21</f>
        <v>2280.3969999999999</v>
      </c>
      <c r="BK13">
        <f>Model!BS21</f>
        <v>3102.9009999999998</v>
      </c>
      <c r="BL13">
        <f>Model!BT21</f>
        <v>1999.9949999999999</v>
      </c>
      <c r="BM13">
        <f>Model!BU21</f>
        <v>2148.1189999999997</v>
      </c>
      <c r="BN13">
        <f>Model!BV21</f>
        <v>2555.902</v>
      </c>
      <c r="BO13">
        <f>Model!BW21</f>
        <v>3690.5520000000001</v>
      </c>
      <c r="BP13">
        <f>Model!BX21</f>
        <v>2348.433</v>
      </c>
      <c r="BQ13">
        <f>Model!BY21</f>
        <v>2419.404</v>
      </c>
      <c r="BR13">
        <f>Model!BZ21</f>
        <v>3024.556</v>
      </c>
      <c r="BS13">
        <f>Model!CA21</f>
        <v>4434.0289999999995</v>
      </c>
      <c r="BT13">
        <f>Model!CB21</f>
        <v>2803.0929999999998</v>
      </c>
      <c r="BU13">
        <f>Model!CC21</f>
        <v>2924.465814402789</v>
      </c>
      <c r="BV13">
        <f>Model!CD21</f>
        <v>3682.7957658782325</v>
      </c>
      <c r="BW13">
        <f>Model!CE21</f>
        <v>5153.188203949685</v>
      </c>
      <c r="BX13">
        <f>Model!CF21</f>
        <v>3511.2504931726057</v>
      </c>
      <c r="BY13">
        <f>Model!CG21</f>
        <v>0</v>
      </c>
      <c r="BZ13">
        <f>Model!CH21</f>
        <v>1171.7529999999999</v>
      </c>
      <c r="CA13">
        <f>Model!CI21</f>
        <v>1003.606</v>
      </c>
      <c r="CB13">
        <f>Model!CJ21</f>
        <v>863.66099999999994</v>
      </c>
      <c r="CC13">
        <f>Model!CK21</f>
        <v>914.37</v>
      </c>
      <c r="CD13">
        <f>Model!CL21</f>
        <v>962.65899999999999</v>
      </c>
      <c r="CE13">
        <f>Model!CM21</f>
        <v>1121.5030000000002</v>
      </c>
      <c r="CF13">
        <f>Model!CN21</f>
        <v>1391.2129999999997</v>
      </c>
      <c r="CG13">
        <f>Model!CO21</f>
        <v>1884.806</v>
      </c>
      <c r="CH13">
        <f>Model!CP21</f>
        <v>2338.212</v>
      </c>
      <c r="CI13">
        <f>Model!CQ21</f>
        <v>3089.6079999999997</v>
      </c>
      <c r="CJ13">
        <f>Model!CR21</f>
        <v>4355.6100000000006</v>
      </c>
      <c r="CK13">
        <f>Model!CS21</f>
        <v>5260.956000000001</v>
      </c>
      <c r="CL13">
        <f>Model!CT21</f>
        <v>6793.3060000000005</v>
      </c>
      <c r="CM13">
        <f>Model!CU21</f>
        <v>8441.9709999999995</v>
      </c>
      <c r="CN13">
        <f>Model!CV21</f>
        <v>9223.987000000001</v>
      </c>
      <c r="CO13" s="2066">
        <f>Model!CW21</f>
        <v>10743.005999999999</v>
      </c>
      <c r="CP13" s="2066">
        <f>Model!CX21</f>
        <v>12681.082</v>
      </c>
      <c r="CQ13">
        <f>Model!CY21</f>
        <v>15271.700277403312</v>
      </c>
      <c r="CR13">
        <f>Model!CZ21</f>
        <v>17339.687473709666</v>
      </c>
      <c r="CS13">
        <f>Model!DA21</f>
        <v>19383.027606507796</v>
      </c>
      <c r="CT13">
        <f>Model!DB21</f>
        <v>21341.062257496204</v>
      </c>
      <c r="CU13">
        <f>Model!DC21</f>
        <v>23251.054470862444</v>
      </c>
      <c r="CV13">
        <f>Model!DD21</f>
        <v>25132.715163693218</v>
      </c>
      <c r="CW13">
        <f>Model!DE21</f>
        <v>26969.505716410895</v>
      </c>
      <c r="CX13">
        <f>Model!DF21</f>
        <v>28948.727130987572</v>
      </c>
      <c r="CY13">
        <f>Model!DG21</f>
        <v>0.24452338125109985</v>
      </c>
      <c r="CZ13">
        <f>Model!DH21</f>
        <v>0.16011378262951359</v>
      </c>
    </row>
    <row r="14" spans="1:104">
      <c r="A14" t="str">
        <f>Model!I22</f>
        <v>% change Y/Y</v>
      </c>
      <c r="B14">
        <f>Model!J22</f>
        <v>0</v>
      </c>
      <c r="C14">
        <f>Model!K22</f>
        <v>0</v>
      </c>
      <c r="D14">
        <f>Model!L22</f>
        <v>0</v>
      </c>
      <c r="E14">
        <f>Model!M22</f>
        <v>0</v>
      </c>
      <c r="F14">
        <f>Model!N22</f>
        <v>0</v>
      </c>
      <c r="G14">
        <f>Model!O22</f>
        <v>0</v>
      </c>
      <c r="H14">
        <f>Model!P22</f>
        <v>0</v>
      </c>
      <c r="I14">
        <f>Model!Q22</f>
        <v>-2.8991042031264014E-2</v>
      </c>
      <c r="J14">
        <f>Model!R22</f>
        <v>-0.16531599206044578</v>
      </c>
      <c r="K14">
        <f>Model!S22</f>
        <v>-0.20538827573189744</v>
      </c>
      <c r="L14">
        <f>Model!T22</f>
        <v>-0.16150596674939655</v>
      </c>
      <c r="M14">
        <f>Model!U22</f>
        <v>-0.23444641732057969</v>
      </c>
      <c r="N14">
        <f>Model!V22</f>
        <v>-0.21313424599942199</v>
      </c>
      <c r="O14">
        <f>Model!W22</f>
        <v>1.4489673451017593E-2</v>
      </c>
      <c r="P14">
        <f>Model!X22</f>
        <v>-8.6841931870593636E-2</v>
      </c>
      <c r="Q14">
        <f>Model!Y22</f>
        <v>0.11793283355030493</v>
      </c>
      <c r="R14">
        <f>Model!Z22</f>
        <v>8.2745464715360262E-2</v>
      </c>
      <c r="S14">
        <f>Model!AA22</f>
        <v>-3.1050644714735842E-2</v>
      </c>
      <c r="T14">
        <f>Model!AB22</f>
        <v>8.2151559386569151E-2</v>
      </c>
      <c r="U14">
        <f>Model!AC22</f>
        <v>4.1319585421025984E-2</v>
      </c>
      <c r="V14">
        <f>Model!AD22</f>
        <v>2.7634171071248215E-2</v>
      </c>
      <c r="W14">
        <f>Model!AE22</f>
        <v>9.7146030642439873E-2</v>
      </c>
      <c r="X14">
        <f>Model!AF22</f>
        <v>4.5879323786467641E-2</v>
      </c>
      <c r="Y14">
        <f>Model!AG22</f>
        <v>3.6513676561321651E-2</v>
      </c>
      <c r="Z14">
        <f>Model!AH22</f>
        <v>0.1541659007266738</v>
      </c>
      <c r="AA14">
        <f>Model!AI22</f>
        <v>0.20506420089877397</v>
      </c>
      <c r="AB14">
        <f>Model!AJ22</f>
        <v>0.27540176447798803</v>
      </c>
      <c r="AC14">
        <f>Model!AK22</f>
        <v>0.18021693659730342</v>
      </c>
      <c r="AD14">
        <f>Model!AL22</f>
        <v>0.14923078423278313</v>
      </c>
      <c r="AE14">
        <f>Model!AM22</f>
        <v>0.33802871095691422</v>
      </c>
      <c r="AF14">
        <f>Model!AN22</f>
        <v>0.28754455514071187</v>
      </c>
      <c r="AG14">
        <f>Model!AO22</f>
        <v>0.41213473386314359</v>
      </c>
      <c r="AH14">
        <f>Model!AP22</f>
        <v>0.45370826050310864</v>
      </c>
      <c r="AI14">
        <f>Model!AQ22</f>
        <v>0.34585788677816476</v>
      </c>
      <c r="AJ14">
        <f>Model!AR22</f>
        <v>0.21259478039617385</v>
      </c>
      <c r="AK14">
        <f>Model!AS22</f>
        <v>0.14603402946574717</v>
      </c>
      <c r="AL14">
        <f>Model!AT22</f>
        <v>0.17464823260230045</v>
      </c>
      <c r="AM14">
        <f>Model!AU22</f>
        <v>0.30101191398285976</v>
      </c>
      <c r="AN14">
        <f>Model!AV22</f>
        <v>0.33423225733361916</v>
      </c>
      <c r="AO14">
        <f>Model!AW22</f>
        <v>0.26476329811408927</v>
      </c>
      <c r="AP14">
        <f>Model!AX22</f>
        <v>0.27267818485078865</v>
      </c>
      <c r="AQ14">
        <f>Model!AY22</f>
        <v>0.37379492513617829</v>
      </c>
      <c r="AR14">
        <f>Model!AZ22</f>
        <v>0.35314248375182045</v>
      </c>
      <c r="AS14">
        <f>Model!BA22</f>
        <v>0.38488759295954478</v>
      </c>
      <c r="AT14">
        <f>Model!BB22</f>
        <v>0.4351404535326826</v>
      </c>
      <c r="AU14">
        <f>Model!BC22</f>
        <v>0.44733740661521448</v>
      </c>
      <c r="AV14">
        <f>Model!BD22</f>
        <v>0.35153716771545374</v>
      </c>
      <c r="AW14">
        <f>Model!BE22</f>
        <v>0.28162778628972474</v>
      </c>
      <c r="AX14">
        <f>Model!BF22</f>
        <v>0.20317379996300033</v>
      </c>
      <c r="AY14">
        <f>Model!BG22</f>
        <v>0.17449428828665114</v>
      </c>
      <c r="AZ14">
        <f>Model!BH22</f>
        <v>0.20173198623293009</v>
      </c>
      <c r="BA14">
        <f>Model!BI22</f>
        <v>0.25525742663030093</v>
      </c>
      <c r="BB14">
        <f>Model!BJ22</f>
        <v>0.26642291478708646</v>
      </c>
      <c r="BC14">
        <f>Model!BK22</f>
        <v>0.3302993008304469</v>
      </c>
      <c r="BD14">
        <f>Model!BL22</f>
        <v>0.29439041187932524</v>
      </c>
      <c r="BE14">
        <f>Model!BM22</f>
        <v>0.26097301714577137</v>
      </c>
      <c r="BF14">
        <f>Model!BN22</f>
        <v>0.26385369215551591</v>
      </c>
      <c r="BG14">
        <f>Model!BO22</f>
        <v>0.24961154727757084</v>
      </c>
      <c r="BH14">
        <f>Model!BP22</f>
        <v>0.19397425174528427</v>
      </c>
      <c r="BI14">
        <f>Model!BQ22</f>
        <v>0.1211425007400404</v>
      </c>
      <c r="BJ14">
        <f>Model!BR22</f>
        <v>7.3848109908997817E-2</v>
      </c>
      <c r="BK14">
        <f>Model!BS22</f>
        <v>9.3920071129988791E-2</v>
      </c>
      <c r="BL14">
        <f>Model!BT22</f>
        <v>8.689650599941201E-2</v>
      </c>
      <c r="BM14">
        <f>Model!BU22</f>
        <v>0.16701581034109947</v>
      </c>
      <c r="BN14">
        <f>Model!BV22</f>
        <v>0.12081448975770459</v>
      </c>
      <c r="BO14">
        <f>Model!BW22</f>
        <v>0.18938760856372805</v>
      </c>
      <c r="BP14">
        <f>Model!BX22</f>
        <v>0.17421943554858887</v>
      </c>
      <c r="BQ14">
        <f>Model!BY22</f>
        <v>0.12628955844625001</v>
      </c>
      <c r="BR14">
        <f>Model!BZ22</f>
        <v>0.18336149038578164</v>
      </c>
      <c r="BS14">
        <f>Model!CA22</f>
        <v>0.20145414561290553</v>
      </c>
      <c r="BT14">
        <f>Model!CB22</f>
        <v>0.19360143551040188</v>
      </c>
      <c r="BU14">
        <f>Model!CC22</f>
        <v>0.20875464139217303</v>
      </c>
      <c r="BV14">
        <f>Model!CD22</f>
        <v>0.21763186592618311</v>
      </c>
      <c r="BW14">
        <f>Model!CE22</f>
        <v>0.16219091123438423</v>
      </c>
      <c r="BX14">
        <f>Model!CF22</f>
        <v>0.25263431972203776</v>
      </c>
      <c r="BY14">
        <f>Model!CG22</f>
        <v>0</v>
      </c>
      <c r="BZ14">
        <f>Model!CH22</f>
        <v>0</v>
      </c>
      <c r="CA14">
        <f>Model!CI22</f>
        <v>-0.14350037934615911</v>
      </c>
      <c r="CB14">
        <f>Model!CJ22</f>
        <v>-0.13944217152946481</v>
      </c>
      <c r="CC14">
        <f>Model!CK22</f>
        <v>5.8714009316155336E-2</v>
      </c>
      <c r="CD14">
        <f>Model!CL22</f>
        <v>5.2811225215175561E-2</v>
      </c>
      <c r="CE14">
        <f>Model!CM22</f>
        <v>0.16500546922638248</v>
      </c>
      <c r="CF14">
        <f>Model!CN22</f>
        <v>0.24048977131581428</v>
      </c>
      <c r="CG14">
        <f>Model!CO22</f>
        <v>0.35479326314518356</v>
      </c>
      <c r="CH14">
        <f>Model!CP22</f>
        <v>0.240558444741793</v>
      </c>
      <c r="CI14">
        <f>Model!CQ22</f>
        <v>0.32135494985056945</v>
      </c>
      <c r="CJ14">
        <f>Model!CR22</f>
        <v>0.40976136778516925</v>
      </c>
      <c r="CK14">
        <f>Model!CS22</f>
        <v>0.20785745280224832</v>
      </c>
      <c r="CL14">
        <f>Model!CT22</f>
        <v>0.29126835502900983</v>
      </c>
      <c r="CM14">
        <f>Model!CU22</f>
        <v>0.2426896418327098</v>
      </c>
      <c r="CN14">
        <f>Model!CV22</f>
        <v>9.263429120995581E-2</v>
      </c>
      <c r="CO14">
        <f>Model!CW22</f>
        <v>0.16468138994558412</v>
      </c>
      <c r="CP14">
        <f>Model!CX22</f>
        <v>0.18040351089816031</v>
      </c>
      <c r="CQ14">
        <f>Model!CY22</f>
        <v>0.20429000280916965</v>
      </c>
      <c r="CR14">
        <f>Model!CZ22</f>
        <v>0.13541302924640553</v>
      </c>
      <c r="CS14">
        <f>Model!DA22</f>
        <v>0.11784180861945925</v>
      </c>
      <c r="CT14">
        <f>Model!DB22</f>
        <v>0.1010179983611541</v>
      </c>
      <c r="CU14">
        <f>Model!DC22</f>
        <v>8.949846030721087E-2</v>
      </c>
      <c r="CV14">
        <f>Model!DD22</f>
        <v>8.092797232868798E-2</v>
      </c>
      <c r="CW14">
        <f>Model!DE22</f>
        <v>7.3083649767021974E-2</v>
      </c>
      <c r="CX14">
        <f>Model!DF22</f>
        <v>7.3387381859665535E-2</v>
      </c>
      <c r="CY14">
        <f>Model!DG22</f>
        <v>0</v>
      </c>
      <c r="CZ14">
        <f>Model!DH22</f>
        <v>0</v>
      </c>
    </row>
    <row r="15" spans="1:104">
      <c r="A15">
        <f>Model!I23</f>
        <v>0</v>
      </c>
      <c r="B15">
        <f>Model!J23</f>
        <v>0</v>
      </c>
      <c r="C15">
        <f>Model!K23</f>
        <v>0</v>
      </c>
      <c r="D15">
        <f>Model!L23</f>
        <v>0</v>
      </c>
      <c r="E15">
        <f>Model!M23</f>
        <v>0</v>
      </c>
      <c r="F15">
        <f>Model!N23</f>
        <v>0</v>
      </c>
      <c r="G15">
        <f>Model!O23</f>
        <v>0</v>
      </c>
      <c r="H15">
        <f>Model!P23</f>
        <v>0</v>
      </c>
      <c r="I15">
        <f>Model!Q23</f>
        <v>0</v>
      </c>
      <c r="J15">
        <f>Model!R23</f>
        <v>0</v>
      </c>
      <c r="K15">
        <f>Model!S23</f>
        <v>0</v>
      </c>
      <c r="L15">
        <f>Model!T23</f>
        <v>0</v>
      </c>
      <c r="M15">
        <f>Model!U23</f>
        <v>0</v>
      </c>
      <c r="N15">
        <f>Model!V23</f>
        <v>0</v>
      </c>
      <c r="O15">
        <f>Model!W23</f>
        <v>0</v>
      </c>
      <c r="P15">
        <f>Model!X23</f>
        <v>0</v>
      </c>
      <c r="Q15">
        <f>Model!Y23</f>
        <v>0</v>
      </c>
      <c r="R15">
        <f>Model!Z23</f>
        <v>0</v>
      </c>
      <c r="S15">
        <f>Model!AA23</f>
        <v>0</v>
      </c>
      <c r="T15">
        <f>Model!AB23</f>
        <v>0</v>
      </c>
      <c r="U15">
        <f>Model!AC23</f>
        <v>0</v>
      </c>
      <c r="V15">
        <f>Model!AD23</f>
        <v>0</v>
      </c>
      <c r="W15">
        <f>Model!AE23</f>
        <v>0</v>
      </c>
      <c r="X15">
        <f>Model!AF23</f>
        <v>0</v>
      </c>
      <c r="Y15">
        <f>Model!AG23</f>
        <v>0</v>
      </c>
      <c r="Z15">
        <f>Model!AH23</f>
        <v>0</v>
      </c>
      <c r="AA15">
        <f>Model!AI23</f>
        <v>0</v>
      </c>
      <c r="AB15">
        <f>Model!AJ23</f>
        <v>0</v>
      </c>
      <c r="AC15">
        <f>Model!AK23</f>
        <v>0</v>
      </c>
      <c r="AD15">
        <f>Model!AL23</f>
        <v>0</v>
      </c>
      <c r="AE15">
        <f>Model!AM23</f>
        <v>0</v>
      </c>
      <c r="AF15">
        <f>Model!AN23</f>
        <v>0</v>
      </c>
      <c r="AG15">
        <f>Model!AO23</f>
        <v>0</v>
      </c>
      <c r="AH15">
        <f>Model!AP23</f>
        <v>0</v>
      </c>
      <c r="AI15">
        <f>Model!AQ23</f>
        <v>0</v>
      </c>
      <c r="AJ15">
        <f>Model!AR23</f>
        <v>0</v>
      </c>
      <c r="AK15">
        <f>Model!AS23</f>
        <v>0</v>
      </c>
      <c r="AL15">
        <f>Model!AT23</f>
        <v>0</v>
      </c>
      <c r="AM15">
        <f>Model!AU23</f>
        <v>0</v>
      </c>
      <c r="AN15">
        <f>Model!AV23</f>
        <v>0</v>
      </c>
      <c r="AO15">
        <f>Model!AW23</f>
        <v>0</v>
      </c>
      <c r="AP15">
        <f>Model!AX23</f>
        <v>0</v>
      </c>
      <c r="AQ15">
        <f>Model!AY23</f>
        <v>0</v>
      </c>
      <c r="AR15">
        <f>Model!AZ23</f>
        <v>0.36139981366010554</v>
      </c>
      <c r="AS15">
        <f>Model!BA23</f>
        <v>0</v>
      </c>
      <c r="AT15">
        <f>Model!BB23</f>
        <v>0</v>
      </c>
      <c r="AU15">
        <f>Model!BC23</f>
        <v>0</v>
      </c>
      <c r="AV15">
        <f>Model!BD23</f>
        <v>0</v>
      </c>
      <c r="AW15">
        <f>Model!BE23</f>
        <v>0</v>
      </c>
      <c r="AX15">
        <f>Model!BF23</f>
        <v>0</v>
      </c>
      <c r="AY15">
        <f>Model!BG23</f>
        <v>0</v>
      </c>
      <c r="AZ15">
        <f>Model!BH23</f>
        <v>0</v>
      </c>
      <c r="BA15">
        <f>Model!BI23</f>
        <v>0</v>
      </c>
      <c r="BB15">
        <f>Model!BJ23</f>
        <v>0</v>
      </c>
      <c r="BC15">
        <f>Model!BK23</f>
        <v>0</v>
      </c>
      <c r="BD15">
        <f>Model!BL23</f>
        <v>0</v>
      </c>
      <c r="BE15">
        <f>Model!BM23</f>
        <v>0</v>
      </c>
      <c r="BF15">
        <f>Model!BN23</f>
        <v>0</v>
      </c>
      <c r="BG15">
        <f>Model!BO23</f>
        <v>0</v>
      </c>
      <c r="BH15">
        <f>Model!BP23</f>
        <v>0</v>
      </c>
      <c r="BI15">
        <f>Model!BQ23</f>
        <v>0</v>
      </c>
      <c r="BJ15">
        <f>Model!BR23</f>
        <v>0</v>
      </c>
      <c r="BK15">
        <f>Model!BS23</f>
        <v>0</v>
      </c>
      <c r="BL15">
        <f>Model!BT23</f>
        <v>0</v>
      </c>
      <c r="BM15">
        <f>Model!BU23</f>
        <v>0</v>
      </c>
      <c r="BN15">
        <f>Model!BV23</f>
        <v>0</v>
      </c>
      <c r="BO15">
        <f>Model!BW23</f>
        <v>0</v>
      </c>
      <c r="BP15">
        <f>Model!BX23</f>
        <v>0</v>
      </c>
      <c r="BQ15">
        <f>Model!BY23</f>
        <v>0</v>
      </c>
      <c r="BR15">
        <f>Model!BZ23</f>
        <v>0</v>
      </c>
      <c r="BS15">
        <f>Model!CA23</f>
        <v>0</v>
      </c>
      <c r="BT15">
        <f>Model!CB23</f>
        <v>0</v>
      </c>
      <c r="BU15">
        <f>Model!CC23</f>
        <v>0</v>
      </c>
      <c r="BV15">
        <f>Model!CD23</f>
        <v>0</v>
      </c>
      <c r="BW15">
        <f>Model!CE23</f>
        <v>0</v>
      </c>
      <c r="BX15">
        <f>Model!CF23</f>
        <v>0</v>
      </c>
      <c r="BY15">
        <f>Model!CG23</f>
        <v>0</v>
      </c>
      <c r="BZ15">
        <f>Model!CH23</f>
        <v>0</v>
      </c>
      <c r="CA15">
        <f>Model!CI23</f>
        <v>0</v>
      </c>
      <c r="CB15">
        <f>Model!CJ23</f>
        <v>0</v>
      </c>
      <c r="CC15">
        <f>Model!CK23</f>
        <v>0</v>
      </c>
      <c r="CD15">
        <f>Model!CL23</f>
        <v>0</v>
      </c>
      <c r="CE15">
        <f>Model!CM23</f>
        <v>0</v>
      </c>
      <c r="CF15">
        <f>Model!CN23</f>
        <v>0</v>
      </c>
      <c r="CG15">
        <f>Model!CO23</f>
        <v>0</v>
      </c>
      <c r="CH15">
        <f>Model!CP23</f>
        <v>0</v>
      </c>
      <c r="CI15">
        <f>Model!CQ23</f>
        <v>0</v>
      </c>
      <c r="CJ15">
        <f>Model!CR23</f>
        <v>0</v>
      </c>
      <c r="CK15">
        <f>Model!CS23</f>
        <v>0</v>
      </c>
      <c r="CL15">
        <f>Model!CT23</f>
        <v>0</v>
      </c>
      <c r="CM15">
        <f>Model!CU23</f>
        <v>0</v>
      </c>
      <c r="CN15">
        <f>Model!CV23</f>
        <v>0</v>
      </c>
      <c r="CO15">
        <f>Model!CW23</f>
        <v>0</v>
      </c>
      <c r="CP15">
        <f>Model!CX23</f>
        <v>0</v>
      </c>
      <c r="CQ15">
        <f>Model!CY23</f>
        <v>0</v>
      </c>
      <c r="CR15">
        <f>Model!CZ23</f>
        <v>0</v>
      </c>
      <c r="CS15">
        <f>Model!DA23</f>
        <v>0</v>
      </c>
      <c r="CT15">
        <f>Model!DB23</f>
        <v>0</v>
      </c>
      <c r="CU15">
        <f>Model!DC23</f>
        <v>0</v>
      </c>
      <c r="CV15">
        <f>Model!DD23</f>
        <v>0</v>
      </c>
      <c r="CW15">
        <f>Model!DE23</f>
        <v>0</v>
      </c>
      <c r="CX15">
        <f>Model!DF23</f>
        <v>0</v>
      </c>
      <c r="CY15">
        <f>Model!DG23</f>
        <v>0</v>
      </c>
      <c r="CZ15">
        <f>Model!DH23</f>
        <v>0</v>
      </c>
    </row>
    <row r="16" spans="1:104">
      <c r="A16" t="str">
        <f>Model!I24</f>
        <v>Net Revenue Take Rate</v>
      </c>
      <c r="B16">
        <f>Model!J24</f>
        <v>0</v>
      </c>
      <c r="C16">
        <f>Model!K24</f>
        <v>0</v>
      </c>
      <c r="D16">
        <f>Model!L24</f>
        <v>0</v>
      </c>
      <c r="E16">
        <f>Model!M24</f>
        <v>0</v>
      </c>
      <c r="F16">
        <f>Model!N24</f>
        <v>0</v>
      </c>
      <c r="G16">
        <f>Model!O24</f>
        <v>0</v>
      </c>
      <c r="H16">
        <f>Model!P24</f>
        <v>0</v>
      </c>
      <c r="I16">
        <f>Model!Q24</f>
        <v>0</v>
      </c>
      <c r="J16">
        <f>Model!R24</f>
        <v>0</v>
      </c>
      <c r="K16">
        <f>Model!S24</f>
        <v>0</v>
      </c>
      <c r="L16">
        <f>Model!T24</f>
        <v>0</v>
      </c>
      <c r="M16">
        <f>Model!U24</f>
        <v>0</v>
      </c>
      <c r="N16">
        <f>Model!V24</f>
        <v>0</v>
      </c>
      <c r="O16">
        <f>Model!W24</f>
        <v>0</v>
      </c>
      <c r="P16">
        <f>Model!X24</f>
        <v>0</v>
      </c>
      <c r="Q16">
        <f>Model!Y24</f>
        <v>0</v>
      </c>
      <c r="R16">
        <f>Model!Z24</f>
        <v>0</v>
      </c>
      <c r="S16">
        <f>Model!AA24</f>
        <v>0</v>
      </c>
      <c r="T16">
        <f>Model!AB24</f>
        <v>0</v>
      </c>
      <c r="U16">
        <f>Model!AC24</f>
        <v>0</v>
      </c>
      <c r="V16">
        <f>Model!AD24</f>
        <v>0</v>
      </c>
      <c r="W16">
        <f>Model!AE24</f>
        <v>0</v>
      </c>
      <c r="X16">
        <f>Model!AF24</f>
        <v>0</v>
      </c>
      <c r="Y16">
        <f>Model!AG24</f>
        <v>0.3239250101429928</v>
      </c>
      <c r="Z16">
        <f>Model!AH24</f>
        <v>0.33175284412573469</v>
      </c>
      <c r="AA16">
        <f>Model!AI24</f>
        <v>0.3453034208475057</v>
      </c>
      <c r="AB16">
        <f>Model!AJ24</f>
        <v>0.35030643444996695</v>
      </c>
      <c r="AC16">
        <f>Model!AK24</f>
        <v>0.28594248721320475</v>
      </c>
      <c r="AD16">
        <f>Model!AL24</f>
        <v>0.28630565279603143</v>
      </c>
      <c r="AE16">
        <f>Model!AM24</f>
        <v>0.30005903573999249</v>
      </c>
      <c r="AF16">
        <f>Model!AN24</f>
        <v>0.27780999576050069</v>
      </c>
      <c r="AG16">
        <f>Model!AO24</f>
        <v>0.22926034850211419</v>
      </c>
      <c r="AH16">
        <f>Model!AP24</f>
        <v>0.24359456199510418</v>
      </c>
      <c r="AI16">
        <f>Model!AQ24</f>
        <v>0.27389855869045815</v>
      </c>
      <c r="AJ16">
        <f>Model!AR24</f>
        <v>0.27414586192950846</v>
      </c>
      <c r="AK16">
        <f>Model!AS24</f>
        <v>0.23773502971829363</v>
      </c>
      <c r="AL16">
        <f>Model!AT24</f>
        <v>0.25376033235008055</v>
      </c>
      <c r="AM16">
        <f>Model!AU24</f>
        <v>0.26834422512327172</v>
      </c>
      <c r="AN16">
        <f>Model!AV24</f>
        <v>0.23924221909564072</v>
      </c>
      <c r="AO16">
        <f>Model!AW24</f>
        <v>0.19711774735681067</v>
      </c>
      <c r="AP16">
        <f>Model!AX24</f>
        <v>0.22531596572614931</v>
      </c>
      <c r="AQ16">
        <f>Model!AY24</f>
        <v>0.25056839740389414</v>
      </c>
      <c r="AR16">
        <f>Model!AZ24</f>
        <v>0.22452343032159267</v>
      </c>
      <c r="AS16">
        <f>Model!BA24</f>
        <v>0.17348767416934621</v>
      </c>
      <c r="AT16">
        <f>Model!BB24</f>
        <v>0.19078131487889274</v>
      </c>
      <c r="AU16">
        <f>Model!BC24</f>
        <v>0.23218858878056578</v>
      </c>
      <c r="AV16">
        <f>Model!BD24</f>
        <v>0.1999132364810331</v>
      </c>
      <c r="AW16">
        <f>Model!BE24</f>
        <v>0.15455923111309791</v>
      </c>
      <c r="AX16">
        <f>Model!BF24</f>
        <v>0.18102865329512893</v>
      </c>
      <c r="AY16">
        <f>Model!BG24</f>
        <v>0.21786389172625126</v>
      </c>
      <c r="AZ16">
        <f>Model!BH24</f>
        <v>0.18083839611178618</v>
      </c>
      <c r="BA16">
        <f>Model!BI24</f>
        <v>0.14224975417895772</v>
      </c>
      <c r="BB16">
        <f>Model!BJ24</f>
        <v>0.1660806563210438</v>
      </c>
      <c r="BC16">
        <f>Model!BK24</f>
        <v>0.21085954482117972</v>
      </c>
      <c r="BD16">
        <f>Model!BL24</f>
        <v>0.16867166466017292</v>
      </c>
      <c r="BE16">
        <f>Model!BM24</f>
        <v>0.13369723127035832</v>
      </c>
      <c r="BF16">
        <f>Model!BN24</f>
        <v>0.15686031910178755</v>
      </c>
      <c r="BG16">
        <f>Model!BO24</f>
        <v>0.20520125877161252</v>
      </c>
      <c r="BH16">
        <f>Model!BP24</f>
        <v>0.17263317384370017</v>
      </c>
      <c r="BI16">
        <f>Model!BQ24</f>
        <v>0.13361599883855982</v>
      </c>
      <c r="BJ16">
        <f>Model!BR24</f>
        <v>0.15243295454545455</v>
      </c>
      <c r="BK16">
        <f>Model!BS24</f>
        <v>0.20996758695357964</v>
      </c>
      <c r="BL16">
        <f>Model!BT24</f>
        <v>0.16647203262859997</v>
      </c>
      <c r="BM16">
        <f>Model!BU24</f>
        <v>0.12899291418963549</v>
      </c>
      <c r="BN16">
        <f>Model!BV24</f>
        <v>0.14309159108722427</v>
      </c>
      <c r="BO16">
        <f>Model!BW24</f>
        <v>0.19992156013001083</v>
      </c>
      <c r="BP16">
        <f>Model!BX24</f>
        <v>0.15540186606670195</v>
      </c>
      <c r="BQ16">
        <f>Model!BY24</f>
        <v>0.11695286895151544</v>
      </c>
      <c r="BR16">
        <f>Model!BZ24</f>
        <v>0.14543232196951483</v>
      </c>
      <c r="BS16">
        <f>Model!CA24</f>
        <v>0.20375098796066535</v>
      </c>
      <c r="BT16">
        <f>Model!CB24</f>
        <v>0.15590061179087875</v>
      </c>
      <c r="BU16">
        <f>Model!CC24</f>
        <v>0.11753587462494072</v>
      </c>
      <c r="BV16">
        <f>Model!CD24</f>
        <v>0.14680606669446786</v>
      </c>
      <c r="BW16">
        <f>Model!CE24</f>
        <v>0.20767607732839849</v>
      </c>
      <c r="BX16">
        <f>Model!CF24</f>
        <v>0.15956616627934792</v>
      </c>
      <c r="BY16">
        <f>Model!CG24</f>
        <v>0</v>
      </c>
      <c r="BZ16">
        <f>Model!CH24</f>
        <v>0</v>
      </c>
      <c r="CA16">
        <f>Model!CI24</f>
        <v>0</v>
      </c>
      <c r="CB16">
        <f>Model!CJ24</f>
        <v>0</v>
      </c>
      <c r="CC16">
        <f>Model!CK24</f>
        <v>0</v>
      </c>
      <c r="CD16">
        <f>Model!CL24</f>
        <v>0</v>
      </c>
      <c r="CE16">
        <f>Model!CM24</f>
        <v>0.3378276490180433</v>
      </c>
      <c r="CF16">
        <f>Model!CN24</f>
        <v>0.28807064870783544</v>
      </c>
      <c r="CG16">
        <f>Model!CO24</f>
        <v>0.25469948650811874</v>
      </c>
      <c r="CH16">
        <f>Model!CP24</f>
        <v>0.25114891823491614</v>
      </c>
      <c r="CI16">
        <f>Model!CQ24</f>
        <v>0.22641333003563346</v>
      </c>
      <c r="CJ16">
        <f>Model!CR24</f>
        <v>0.20110859728506791</v>
      </c>
      <c r="CK16">
        <f>Model!CS24</f>
        <v>0.18488037672195673</v>
      </c>
      <c r="CL16">
        <f>Model!CT24</f>
        <v>0.17342249566016543</v>
      </c>
      <c r="CM16">
        <f>Model!CU24</f>
        <v>0.16783242544731611</v>
      </c>
      <c r="CN16">
        <f>Model!CV24</f>
        <v>0.16611415862267687</v>
      </c>
      <c r="CO16">
        <f>Model!CW24</f>
        <v>0.15778351227106496</v>
      </c>
      <c r="CP16">
        <f>Model!CX24</f>
        <v>0.15612097111762244</v>
      </c>
      <c r="CQ16">
        <f>Model!CY24</f>
        <v>0.15778804356032622</v>
      </c>
      <c r="CR16">
        <f>Model!CZ24</f>
        <v>0.15632204947872066</v>
      </c>
      <c r="CS16">
        <f>Model!DA24</f>
        <v>0.15527677591750344</v>
      </c>
      <c r="CT16">
        <f>Model!DB24</f>
        <v>0.1543505740461063</v>
      </c>
      <c r="CU16">
        <f>Model!DC24</f>
        <v>0.15353624690865875</v>
      </c>
      <c r="CV16">
        <f>Model!DD24</f>
        <v>0.15280072053237659</v>
      </c>
      <c r="CW16">
        <f>Model!DE24</f>
        <v>0.15213227139330648</v>
      </c>
      <c r="CX16">
        <f>Model!DF24</f>
        <v>0.15146923008775498</v>
      </c>
      <c r="CY16">
        <f>Model!DG24</f>
        <v>0</v>
      </c>
      <c r="CZ16">
        <f>Model!DH24</f>
        <v>0</v>
      </c>
    </row>
    <row r="17" spans="1:104">
      <c r="A17" t="str">
        <f>Model!I25</f>
        <v>bp Change Y/Y</v>
      </c>
      <c r="B17">
        <f>Model!J25</f>
        <v>0</v>
      </c>
      <c r="C17">
        <f>Model!K25</f>
        <v>0</v>
      </c>
      <c r="D17">
        <f>Model!L25</f>
        <v>0</v>
      </c>
      <c r="E17">
        <f>Model!M25</f>
        <v>0</v>
      </c>
      <c r="F17">
        <f>Model!N25</f>
        <v>0</v>
      </c>
      <c r="G17">
        <f>Model!O25</f>
        <v>0</v>
      </c>
      <c r="H17">
        <f>Model!P25</f>
        <v>0</v>
      </c>
      <c r="I17">
        <f>Model!Q25</f>
        <v>0</v>
      </c>
      <c r="J17">
        <f>Model!R25</f>
        <v>0</v>
      </c>
      <c r="K17">
        <f>Model!S25</f>
        <v>0</v>
      </c>
      <c r="L17">
        <f>Model!T25</f>
        <v>0</v>
      </c>
      <c r="M17">
        <f>Model!U25</f>
        <v>0</v>
      </c>
      <c r="N17">
        <f>Model!V25</f>
        <v>0</v>
      </c>
      <c r="O17">
        <f>Model!W25</f>
        <v>0</v>
      </c>
      <c r="P17">
        <f>Model!X25</f>
        <v>0</v>
      </c>
      <c r="Q17">
        <f>Model!Y25</f>
        <v>0</v>
      </c>
      <c r="R17">
        <f>Model!Z25</f>
        <v>0</v>
      </c>
      <c r="S17">
        <f>Model!AA25</f>
        <v>0</v>
      </c>
      <c r="T17">
        <f>Model!AB25</f>
        <v>0</v>
      </c>
      <c r="U17">
        <f>Model!AC25</f>
        <v>0</v>
      </c>
      <c r="V17">
        <f>Model!AD25</f>
        <v>0</v>
      </c>
      <c r="W17">
        <f>Model!AE25</f>
        <v>0</v>
      </c>
      <c r="X17">
        <f>Model!AF25</f>
        <v>0</v>
      </c>
      <c r="Y17">
        <f>Model!AG25</f>
        <v>0</v>
      </c>
      <c r="Z17">
        <f>Model!AH25</f>
        <v>0</v>
      </c>
      <c r="AA17">
        <f>Model!AI25</f>
        <v>0</v>
      </c>
      <c r="AB17">
        <f>Model!AJ25</f>
        <v>0</v>
      </c>
      <c r="AC17">
        <f>Model!AK25</f>
        <v>-379.82522929788041</v>
      </c>
      <c r="AD17">
        <f>Model!AL25</f>
        <v>-454.47191329703264</v>
      </c>
      <c r="AE17">
        <f>Model!AM25</f>
        <v>-452.44385107513216</v>
      </c>
      <c r="AF17">
        <f>Model!AN25</f>
        <v>-724.96438689466254</v>
      </c>
      <c r="AG17">
        <f>Model!AO25</f>
        <v>-566.82138711090568</v>
      </c>
      <c r="AH17">
        <f>Model!AP25</f>
        <v>-427.11090800927246</v>
      </c>
      <c r="AI17">
        <f>Model!AQ25</f>
        <v>-261.60477049534336</v>
      </c>
      <c r="AJ17">
        <f>Model!AR25</f>
        <v>-36.641338309922332</v>
      </c>
      <c r="AK17">
        <f>Model!AS25</f>
        <v>84.746812161794466</v>
      </c>
      <c r="AL17">
        <f>Model!AT25</f>
        <v>101.65770354976372</v>
      </c>
      <c r="AM17">
        <f>Model!AU25</f>
        <v>-55.543335671864313</v>
      </c>
      <c r="AN17">
        <f>Model!AV25</f>
        <v>-349.03642833867735</v>
      </c>
      <c r="AO17">
        <f>Model!AW25</f>
        <v>-406.17282361482961</v>
      </c>
      <c r="AP17">
        <f>Model!AX25</f>
        <v>-284.44366623931239</v>
      </c>
      <c r="AQ17">
        <f>Model!AY25</f>
        <v>-177.7582771937758</v>
      </c>
      <c r="AR17">
        <f>Model!AZ25</f>
        <v>-147.18788774048059</v>
      </c>
      <c r="AS17">
        <f>Model!BA25</f>
        <v>-236.30073187464461</v>
      </c>
      <c r="AT17">
        <f>Model!BB25</f>
        <v>-345.34650847256569</v>
      </c>
      <c r="AU17">
        <f>Model!BC25</f>
        <v>-183.79808623328358</v>
      </c>
      <c r="AV17">
        <f>Model!BD25</f>
        <v>-246.10193840559569</v>
      </c>
      <c r="AW17">
        <f>Model!BE25</f>
        <v>-189.28443056248301</v>
      </c>
      <c r="AX17">
        <f>Model!BF25</f>
        <v>-97.526615837638104</v>
      </c>
      <c r="AY17">
        <f>Model!BG25</f>
        <v>-143.24697054314524</v>
      </c>
      <c r="AZ17">
        <f>Model!BH25</f>
        <v>-190.7484036924692</v>
      </c>
      <c r="BA17">
        <f>Model!BI25</f>
        <v>-123.09476934140196</v>
      </c>
      <c r="BB17">
        <f>Model!BJ25</f>
        <v>-149.47996974085137</v>
      </c>
      <c r="BC17">
        <f>Model!BK25</f>
        <v>-70.043469050715402</v>
      </c>
      <c r="BD17">
        <f>Model!BL25</f>
        <v>-121.66731451613261</v>
      </c>
      <c r="BE17">
        <f>Model!BM25</f>
        <v>-85.525229085993971</v>
      </c>
      <c r="BF17">
        <f>Model!BN25</f>
        <v>-92.203372192562469</v>
      </c>
      <c r="BG17">
        <f>Model!BO25</f>
        <v>-56.582860495671959</v>
      </c>
      <c r="BH17">
        <f>Model!BP25</f>
        <v>39.615091835272509</v>
      </c>
      <c r="BI17">
        <f>Model!BQ25</f>
        <v>-0.8123243179850026</v>
      </c>
      <c r="BJ17">
        <f>Model!BR25</f>
        <v>-44.273645563329964</v>
      </c>
      <c r="BK17">
        <f>Model!BS25</f>
        <v>47.663281819671219</v>
      </c>
      <c r="BL17">
        <f>Model!BT25</f>
        <v>-61.611412151001964</v>
      </c>
      <c r="BM17">
        <f>Model!BU25</f>
        <v>-46.230846489243305</v>
      </c>
      <c r="BN17">
        <f>Model!BV25</f>
        <v>-93.413634582302791</v>
      </c>
      <c r="BO17">
        <f>Model!BW25</f>
        <v>-100.4602682356881</v>
      </c>
      <c r="BP17">
        <f>Model!BX25</f>
        <v>-110.7016656189802</v>
      </c>
      <c r="BQ17">
        <f>Model!BY25</f>
        <v>-120.40045238120051</v>
      </c>
      <c r="BR17">
        <f>Model!BZ25</f>
        <v>23.407308822905591</v>
      </c>
      <c r="BS17">
        <f>Model!CA25</f>
        <v>38.294278306545138</v>
      </c>
      <c r="BT17">
        <f>Model!CB25</f>
        <v>4.9874572417679675</v>
      </c>
      <c r="BU17">
        <f>Model!CC25</f>
        <v>5.8300567342528531</v>
      </c>
      <c r="BV17">
        <f>Model!CD25</f>
        <v>13.737447249530243</v>
      </c>
      <c r="BW17">
        <f>Model!CE25</f>
        <v>39.250893677331419</v>
      </c>
      <c r="BX17">
        <f>Model!CF25</f>
        <v>36.655544884691693</v>
      </c>
      <c r="BY17">
        <f>Model!CG25</f>
        <v>0</v>
      </c>
      <c r="BZ17">
        <f>Model!CH25</f>
        <v>0</v>
      </c>
      <c r="CA17">
        <f>Model!CI25</f>
        <v>0</v>
      </c>
      <c r="CB17">
        <f>Model!CJ25</f>
        <v>0</v>
      </c>
      <c r="CC17">
        <f>Model!CK25</f>
        <v>0</v>
      </c>
      <c r="CD17">
        <f>Model!CL25</f>
        <v>0</v>
      </c>
      <c r="CE17">
        <f>Model!CM25</f>
        <v>0</v>
      </c>
      <c r="CF17">
        <f>Model!CN25</f>
        <v>-497.57000310207854</v>
      </c>
      <c r="CG17">
        <f>Model!CO25</f>
        <v>-333.71162199716696</v>
      </c>
      <c r="CH17">
        <f>Model!CP25</f>
        <v>-35.505682732026031</v>
      </c>
      <c r="CI17">
        <f>Model!CQ25</f>
        <v>-247.35588199282677</v>
      </c>
      <c r="CJ17">
        <f>Model!CR25</f>
        <v>-253.04732750565552</v>
      </c>
      <c r="CK17">
        <f>Model!CS25</f>
        <v>-162.28220563111185</v>
      </c>
      <c r="CL17">
        <f>Model!CT25</f>
        <v>-114.57881061791298</v>
      </c>
      <c r="CM17">
        <f>Model!CU25</f>
        <v>-55.900702128493243</v>
      </c>
      <c r="CN17">
        <f>Model!CV25</f>
        <v>-17.182668246392417</v>
      </c>
      <c r="CO17">
        <f>Model!CW25</f>
        <v>-83.306463516119038</v>
      </c>
      <c r="CP17">
        <f>Model!CX25</f>
        <v>-16.625411534425261</v>
      </c>
      <c r="CQ17">
        <f>Model!CY25</f>
        <v>16.670724427037818</v>
      </c>
      <c r="CR17">
        <f>Model!CZ25</f>
        <v>-14.659940816055538</v>
      </c>
      <c r="CS17">
        <f>Model!DA25</f>
        <v>-10.452735612172248</v>
      </c>
      <c r="CT17">
        <f>Model!DB25</f>
        <v>-9.262018713971365</v>
      </c>
      <c r="CU17">
        <f>Model!DC25</f>
        <v>-8.1432713744755691</v>
      </c>
      <c r="CV17">
        <f>Model!DD25</f>
        <v>-7.3552637628215845</v>
      </c>
      <c r="CW17">
        <f>Model!DE25</f>
        <v>-6.6844913907010417</v>
      </c>
      <c r="CX17">
        <f>Model!DF25</f>
        <v>-6.6304130555150387</v>
      </c>
      <c r="CY17">
        <f>Model!DG25</f>
        <v>0</v>
      </c>
      <c r="CZ17">
        <f>Model!DH25</f>
        <v>0</v>
      </c>
    </row>
    <row r="18" spans="1:104">
      <c r="A18">
        <f>Model!I26</f>
        <v>0</v>
      </c>
      <c r="B18">
        <f>Model!J26</f>
        <v>0</v>
      </c>
      <c r="C18">
        <f>Model!K26</f>
        <v>0</v>
      </c>
      <c r="D18">
        <f>Model!L26</f>
        <v>0</v>
      </c>
      <c r="E18">
        <f>Model!M26</f>
        <v>0</v>
      </c>
      <c r="F18">
        <f>Model!N26</f>
        <v>0</v>
      </c>
      <c r="G18">
        <f>Model!O26</f>
        <v>0</v>
      </c>
      <c r="H18">
        <f>Model!P26</f>
        <v>0</v>
      </c>
      <c r="I18">
        <f>Model!Q26</f>
        <v>0</v>
      </c>
      <c r="J18">
        <f>Model!R26</f>
        <v>0</v>
      </c>
      <c r="K18">
        <f>Model!S26</f>
        <v>0</v>
      </c>
      <c r="L18">
        <f>Model!T26</f>
        <v>0</v>
      </c>
      <c r="M18">
        <f>Model!U26</f>
        <v>0</v>
      </c>
      <c r="N18">
        <f>Model!V26</f>
        <v>0</v>
      </c>
      <c r="O18">
        <f>Model!W26</f>
        <v>0</v>
      </c>
      <c r="P18">
        <f>Model!X26</f>
        <v>0</v>
      </c>
      <c r="Q18">
        <f>Model!Y26</f>
        <v>0</v>
      </c>
      <c r="R18">
        <f>Model!Z26</f>
        <v>0</v>
      </c>
      <c r="S18">
        <f>Model!AA26</f>
        <v>0</v>
      </c>
      <c r="T18">
        <f>Model!AB26</f>
        <v>0</v>
      </c>
      <c r="U18">
        <f>Model!AC26</f>
        <v>0</v>
      </c>
      <c r="V18">
        <f>Model!AD26</f>
        <v>0</v>
      </c>
      <c r="W18">
        <f>Model!AE26</f>
        <v>0</v>
      </c>
      <c r="X18">
        <f>Model!AF26</f>
        <v>0</v>
      </c>
      <c r="Y18">
        <f>Model!AG26</f>
        <v>0</v>
      </c>
      <c r="Z18">
        <f>Model!AH26</f>
        <v>0</v>
      </c>
      <c r="AA18">
        <f>Model!AI26</f>
        <v>0</v>
      </c>
      <c r="AB18">
        <f>Model!AJ26</f>
        <v>0</v>
      </c>
      <c r="AC18">
        <f>Model!AK26</f>
        <v>0</v>
      </c>
      <c r="AD18">
        <f>Model!AL26</f>
        <v>0</v>
      </c>
      <c r="AE18">
        <f>Model!AM26</f>
        <v>0</v>
      </c>
      <c r="AF18">
        <f>Model!AN26</f>
        <v>0</v>
      </c>
      <c r="AG18">
        <f>Model!AO26</f>
        <v>0</v>
      </c>
      <c r="AH18">
        <f>Model!AP26</f>
        <v>0</v>
      </c>
      <c r="AI18">
        <f>Model!AQ26</f>
        <v>0</v>
      </c>
      <c r="AJ18">
        <f>Model!AR26</f>
        <v>0</v>
      </c>
      <c r="AK18">
        <f>Model!AS26</f>
        <v>0</v>
      </c>
      <c r="AL18">
        <f>Model!AT26</f>
        <v>0</v>
      </c>
      <c r="AM18">
        <f>Model!AU26</f>
        <v>0</v>
      </c>
      <c r="AN18">
        <f>Model!AV26</f>
        <v>0</v>
      </c>
      <c r="AO18">
        <f>Model!AW26</f>
        <v>0</v>
      </c>
      <c r="AP18">
        <f>Model!AX26</f>
        <v>0</v>
      </c>
      <c r="AQ18">
        <f>Model!AY26</f>
        <v>0</v>
      </c>
      <c r="AR18">
        <f>Model!AZ26</f>
        <v>0</v>
      </c>
      <c r="AS18">
        <f>Model!BA26</f>
        <v>0</v>
      </c>
      <c r="AT18">
        <f>Model!BB26</f>
        <v>0</v>
      </c>
      <c r="AU18">
        <f>Model!BC26</f>
        <v>0</v>
      </c>
      <c r="AV18">
        <f>Model!BD26</f>
        <v>0</v>
      </c>
      <c r="AW18">
        <f>Model!BE26</f>
        <v>0</v>
      </c>
      <c r="AX18">
        <f>Model!BF26</f>
        <v>0</v>
      </c>
      <c r="AY18">
        <f>Model!BG26</f>
        <v>0</v>
      </c>
      <c r="AZ18">
        <f>Model!BH26</f>
        <v>0</v>
      </c>
      <c r="BA18">
        <f>Model!BI26</f>
        <v>0</v>
      </c>
      <c r="BB18">
        <f>Model!BJ26</f>
        <v>0</v>
      </c>
      <c r="BC18">
        <f>Model!BK26</f>
        <v>0</v>
      </c>
      <c r="BD18">
        <f>Model!BL26</f>
        <v>0</v>
      </c>
      <c r="BE18">
        <f>Model!BM26</f>
        <v>0</v>
      </c>
      <c r="BF18">
        <f>Model!BN26</f>
        <v>0</v>
      </c>
      <c r="BG18">
        <f>Model!BO26</f>
        <v>0</v>
      </c>
      <c r="BH18">
        <f>Model!BP26</f>
        <v>0</v>
      </c>
      <c r="BI18">
        <f>Model!BQ26</f>
        <v>0</v>
      </c>
      <c r="BJ18">
        <f>Model!BR26</f>
        <v>0</v>
      </c>
      <c r="BK18">
        <f>Model!BS26</f>
        <v>0</v>
      </c>
      <c r="BL18">
        <f>Model!BT26</f>
        <v>0</v>
      </c>
      <c r="BM18">
        <f>Model!BU26</f>
        <v>0</v>
      </c>
      <c r="BN18">
        <f>Model!BV26</f>
        <v>0</v>
      </c>
      <c r="BO18">
        <f>Model!BW26</f>
        <v>0</v>
      </c>
      <c r="BP18">
        <f>Model!BX26</f>
        <v>0</v>
      </c>
      <c r="BQ18">
        <f>Model!BY26</f>
        <v>0</v>
      </c>
      <c r="BR18">
        <f>Model!BZ26</f>
        <v>0</v>
      </c>
      <c r="BS18">
        <f>Model!CA26</f>
        <v>0</v>
      </c>
      <c r="BT18">
        <f>Model!CB26</f>
        <v>0</v>
      </c>
      <c r="BU18">
        <f>Model!CC26</f>
        <v>0</v>
      </c>
      <c r="BV18">
        <f>Model!CD26</f>
        <v>0</v>
      </c>
      <c r="BW18">
        <f>Model!CE26</f>
        <v>0</v>
      </c>
      <c r="BX18">
        <f>Model!CF26</f>
        <v>0</v>
      </c>
      <c r="BY18">
        <f>Model!CG26</f>
        <v>0</v>
      </c>
      <c r="BZ18">
        <f>Model!CH26</f>
        <v>0</v>
      </c>
      <c r="CA18">
        <f>Model!CI26</f>
        <v>0</v>
      </c>
      <c r="CB18">
        <f>Model!CJ26</f>
        <v>0</v>
      </c>
      <c r="CC18">
        <f>Model!CK26</f>
        <v>0</v>
      </c>
      <c r="CD18">
        <f>Model!CL26</f>
        <v>0</v>
      </c>
      <c r="CE18">
        <f>Model!CM26</f>
        <v>0</v>
      </c>
      <c r="CF18">
        <f>Model!CN26</f>
        <v>0</v>
      </c>
      <c r="CG18">
        <f>Model!CO26</f>
        <v>0</v>
      </c>
      <c r="CH18">
        <f>Model!CP26</f>
        <v>0</v>
      </c>
      <c r="CI18">
        <f>Model!CQ26</f>
        <v>0</v>
      </c>
      <c r="CJ18">
        <f>Model!CR26</f>
        <v>0</v>
      </c>
      <c r="CK18">
        <f>Model!CS26</f>
        <v>0</v>
      </c>
      <c r="CL18">
        <f>Model!CT26</f>
        <v>0</v>
      </c>
      <c r="CM18">
        <f>Model!CU26</f>
        <v>0</v>
      </c>
      <c r="CN18">
        <f>Model!CV26</f>
        <v>0</v>
      </c>
      <c r="CO18">
        <f>Model!CW26</f>
        <v>0</v>
      </c>
      <c r="CP18">
        <f>Model!CX26</f>
        <v>0</v>
      </c>
      <c r="CQ18">
        <f>Model!CY26</f>
        <v>0</v>
      </c>
      <c r="CR18">
        <f>Model!CZ26</f>
        <v>0</v>
      </c>
      <c r="CS18">
        <f>Model!DA26</f>
        <v>0</v>
      </c>
      <c r="CT18">
        <f>Model!DB26</f>
        <v>0</v>
      </c>
      <c r="CU18">
        <f>Model!DC26</f>
        <v>0</v>
      </c>
      <c r="CV18">
        <f>Model!DD26</f>
        <v>0</v>
      </c>
      <c r="CW18">
        <f>Model!DE26</f>
        <v>0</v>
      </c>
      <c r="CX18">
        <f>Model!DF26</f>
        <v>0</v>
      </c>
      <c r="CY18">
        <f>Model!DG26</f>
        <v>0</v>
      </c>
      <c r="CZ18">
        <f>Model!DH26</f>
        <v>0</v>
      </c>
    </row>
    <row r="19" spans="1:104">
      <c r="A19" t="str">
        <f>Model!I27</f>
        <v>Cost of Revenue</v>
      </c>
      <c r="B19">
        <f>Model!J27</f>
        <v>0</v>
      </c>
      <c r="C19">
        <f>Model!K27</f>
        <v>0</v>
      </c>
      <c r="D19">
        <f>Model!L27</f>
        <v>0</v>
      </c>
      <c r="E19">
        <f>Model!M27</f>
        <v>0</v>
      </c>
      <c r="F19">
        <f>Model!N27</f>
        <v>0</v>
      </c>
      <c r="G19">
        <f>Model!O27</f>
        <v>0</v>
      </c>
      <c r="H19">
        <f>Model!P27</f>
        <v>0</v>
      </c>
      <c r="I19">
        <f>Model!Q27</f>
        <v>0</v>
      </c>
      <c r="J19">
        <f>Model!R27</f>
        <v>0</v>
      </c>
      <c r="K19">
        <f>Model!S27</f>
        <v>0</v>
      </c>
      <c r="L19">
        <f>Model!T27</f>
        <v>0</v>
      </c>
      <c r="M19">
        <f>Model!U27</f>
        <v>0</v>
      </c>
      <c r="N19">
        <f>Model!V27</f>
        <v>0</v>
      </c>
      <c r="O19">
        <f>Model!W27</f>
        <v>0</v>
      </c>
      <c r="P19">
        <f>Model!X27</f>
        <v>0</v>
      </c>
      <c r="Q19">
        <f>Model!Y27</f>
        <v>0</v>
      </c>
      <c r="R19">
        <f>Model!Z27</f>
        <v>0</v>
      </c>
      <c r="S19">
        <f>Model!AA27</f>
        <v>0</v>
      </c>
      <c r="T19">
        <f>Model!AB27</f>
        <v>0</v>
      </c>
      <c r="U19">
        <f>Model!AC27</f>
        <v>0</v>
      </c>
      <c r="V19">
        <f>Model!AD27</f>
        <v>0</v>
      </c>
      <c r="W19">
        <f>Model!AE27</f>
        <v>0</v>
      </c>
      <c r="X19">
        <f>Model!AF27</f>
        <v>0</v>
      </c>
      <c r="Y19">
        <f>Model!AG27</f>
        <v>169.68299999999999</v>
      </c>
      <c r="Z19">
        <f>Model!AH27</f>
        <v>201.84700000000001</v>
      </c>
      <c r="AA19">
        <f>Model!AI27</f>
        <v>189.547</v>
      </c>
      <c r="AB19">
        <f>Model!AJ27</f>
        <v>160.554</v>
      </c>
      <c r="AC19">
        <f>Model!AK27</f>
        <v>181.672</v>
      </c>
      <c r="AD19">
        <f>Model!AL27</f>
        <v>198.66900000000001</v>
      </c>
      <c r="AE19">
        <f>Model!AM27</f>
        <v>214.95599999999999</v>
      </c>
      <c r="AF19">
        <f>Model!AN27</f>
        <v>174.70099999999999</v>
      </c>
      <c r="AG19">
        <f>Model!AO27</f>
        <v>222.077</v>
      </c>
      <c r="AH19">
        <f>Model!AP27</f>
        <v>260.25099999999998</v>
      </c>
      <c r="AI19">
        <f>Model!AQ27</f>
        <v>245.53100000000001</v>
      </c>
      <c r="AJ19">
        <f>Model!AR27</f>
        <v>200.976</v>
      </c>
      <c r="AK19">
        <f>Model!AS27</f>
        <v>253.72800000000001</v>
      </c>
      <c r="AL19">
        <f>Model!AT27</f>
        <v>298.50299999999999</v>
      </c>
      <c r="AM19">
        <f>Model!AU27</f>
        <v>296.654</v>
      </c>
      <c r="AN19">
        <f>Model!AV27</f>
        <v>228.56399999999999</v>
      </c>
      <c r="AO19">
        <f>Model!AW27</f>
        <v>265.27800000000002</v>
      </c>
      <c r="AP19">
        <f>Model!AX27</f>
        <v>322.18400000000003</v>
      </c>
      <c r="AQ19">
        <f>Model!AY27</f>
        <v>335.56900000000002</v>
      </c>
      <c r="AR19">
        <f>Model!AZ27</f>
        <v>252.90299999999999</v>
      </c>
      <c r="AS19">
        <f>Model!BA27</f>
        <v>303.512</v>
      </c>
      <c r="AT19">
        <f>Model!BB27</f>
        <v>353.48899999999998</v>
      </c>
      <c r="AU19">
        <f>Model!BC27</f>
        <v>352.65600000000001</v>
      </c>
      <c r="AV19">
        <f>Model!BD27</f>
        <v>266.07299999999998</v>
      </c>
      <c r="AW19">
        <f>Model!BE27</f>
        <v>293.959</v>
      </c>
      <c r="AX19">
        <f>Model!BF27</f>
        <v>322.61700000000002</v>
      </c>
      <c r="AY19">
        <f>Model!BG27</f>
        <v>309.80900000000003</v>
      </c>
      <c r="AZ19">
        <f>Model!BH27</f>
        <v>250.89</v>
      </c>
      <c r="BA19">
        <f>Model!BI27</f>
        <v>292.34699999999998</v>
      </c>
      <c r="BB19">
        <f>Model!BJ27</f>
        <v>296.38299999999998</v>
      </c>
      <c r="BC19">
        <f>Model!BK27</f>
        <v>280.83800000000002</v>
      </c>
      <c r="BD19">
        <f>Model!BL27</f>
        <v>207.852</v>
      </c>
      <c r="BE19">
        <f>Model!BM27</f>
        <v>235.33099999999999</v>
      </c>
      <c r="BF19">
        <f>Model!BN27</f>
        <v>240.57900000000001</v>
      </c>
      <c r="BG19">
        <f>Model!BO27</f>
        <v>216.51900000000001</v>
      </c>
      <c r="BH19">
        <f>Model!BP27</f>
        <v>165.41200000000001</v>
      </c>
      <c r="BI19">
        <f>Model!BQ27</f>
        <v>168.458</v>
      </c>
      <c r="BJ19">
        <f>Model!BR27</f>
        <v>187.49100000000001</v>
      </c>
      <c r="BK19">
        <f>Model!BS27</f>
        <v>155.619</v>
      </c>
      <c r="BL19">
        <f>Model!BT27</f>
        <v>120.61199999999999</v>
      </c>
      <c r="BM19">
        <f>Model!BU27</f>
        <v>128.66900000000001</v>
      </c>
      <c r="BN19">
        <f>Model!BV27</f>
        <v>126.084</v>
      </c>
      <c r="BO19">
        <f>Model!BW27</f>
        <v>101.489</v>
      </c>
      <c r="BP19">
        <f>Model!BX27</f>
        <v>72.072000000000003</v>
      </c>
      <c r="BQ19">
        <f>Model!BY27</f>
        <v>85.168999999999997</v>
      </c>
      <c r="BR19">
        <f>Model!BZ27</f>
        <v>72.742000000000004</v>
      </c>
      <c r="BS19">
        <f>Model!CA27</f>
        <v>59.475999999999999</v>
      </c>
      <c r="BT19">
        <f>Model!CB27</f>
        <v>33.15</v>
      </c>
      <c r="BU19">
        <f>Model!CC27</f>
        <v>126.98305125547586</v>
      </c>
      <c r="BV19">
        <f>Model!CD27</f>
        <v>120.60903099211555</v>
      </c>
      <c r="BW19">
        <f>Model!CE27</f>
        <v>148.77724568926988</v>
      </c>
      <c r="BX19">
        <f>Model!CF27</f>
        <v>133.4599602126741</v>
      </c>
      <c r="BY19">
        <f>Model!CG27</f>
        <v>0</v>
      </c>
      <c r="BZ19">
        <f>Model!CH27</f>
        <v>0</v>
      </c>
      <c r="CA19">
        <f>Model!CI27</f>
        <v>0</v>
      </c>
      <c r="CB19">
        <f>Model!CJ27</f>
        <v>0</v>
      </c>
      <c r="CC19">
        <f>Model!CK27</f>
        <v>0</v>
      </c>
      <c r="CD19">
        <f>Model!CL27</f>
        <v>0</v>
      </c>
      <c r="CE19">
        <f>Model!CM27</f>
        <v>721.63099999999997</v>
      </c>
      <c r="CF19">
        <f>Model!CN27</f>
        <v>769.99800000000005</v>
      </c>
      <c r="CG19">
        <f>Model!CO27</f>
        <v>928.83499999999992</v>
      </c>
      <c r="CH19">
        <f>Model!CP27</f>
        <v>1077.4490000000001</v>
      </c>
      <c r="CI19">
        <f>Model!CQ27</f>
        <v>1175.934</v>
      </c>
      <c r="CJ19">
        <f>Model!CR27</f>
        <v>1275.73</v>
      </c>
      <c r="CK19">
        <f>Model!CS27</f>
        <v>1177.2750000000001</v>
      </c>
      <c r="CL19">
        <f>Model!CT27</f>
        <v>1077.42</v>
      </c>
      <c r="CM19">
        <f>Model!CU27</f>
        <v>857.84100000000001</v>
      </c>
      <c r="CN19">
        <f>Model!CV27</f>
        <v>632.17999999999995</v>
      </c>
      <c r="CO19">
        <f>Model!CW27</f>
        <v>428.31400000000002</v>
      </c>
      <c r="CP19">
        <f>Model!CX27</f>
        <v>250.53700000000001</v>
      </c>
      <c r="CQ19">
        <f>Model!CY27</f>
        <v>529.82928814953539</v>
      </c>
      <c r="CR19">
        <f>Model!CZ27</f>
        <v>550.22570285666006</v>
      </c>
      <c r="CS19">
        <f>Model!DA27</f>
        <v>561.28921779125085</v>
      </c>
      <c r="CT19">
        <f>Model!DB27</f>
        <v>563.98597105107183</v>
      </c>
      <c r="CU19">
        <f>Model!DC27</f>
        <v>566.45175924822979</v>
      </c>
      <c r="CV19">
        <f>Model!DD27</f>
        <v>568.62419070430406</v>
      </c>
      <c r="CW19">
        <f>Model!DE27</f>
        <v>570.4410900255607</v>
      </c>
      <c r="CX19">
        <f>Model!DF27</f>
        <v>571.84014036080043</v>
      </c>
      <c r="CY19">
        <f>Model!DG27</f>
        <v>-0.1167339029749318</v>
      </c>
      <c r="CZ19">
        <f>Model!DH27</f>
        <v>-2.350687609489488E-2</v>
      </c>
    </row>
    <row r="20" spans="1:104">
      <c r="A20">
        <f>Model!I28</f>
        <v>0</v>
      </c>
      <c r="B20">
        <f>Model!J28</f>
        <v>0</v>
      </c>
      <c r="C20">
        <f>Model!K28</f>
        <v>0</v>
      </c>
      <c r="D20">
        <f>Model!L28</f>
        <v>0</v>
      </c>
      <c r="E20">
        <f>Model!M28</f>
        <v>0</v>
      </c>
      <c r="F20">
        <f>Model!N28</f>
        <v>0</v>
      </c>
      <c r="G20">
        <f>Model!O28</f>
        <v>0</v>
      </c>
      <c r="H20">
        <f>Model!P28</f>
        <v>0</v>
      </c>
      <c r="I20">
        <f>Model!Q28</f>
        <v>0</v>
      </c>
      <c r="J20">
        <f>Model!R28</f>
        <v>0</v>
      </c>
      <c r="K20">
        <f>Model!S28</f>
        <v>0</v>
      </c>
      <c r="L20">
        <f>Model!T28</f>
        <v>0</v>
      </c>
      <c r="M20">
        <f>Model!U28</f>
        <v>0</v>
      </c>
      <c r="N20">
        <f>Model!V28</f>
        <v>0</v>
      </c>
      <c r="O20">
        <f>Model!W28</f>
        <v>0</v>
      </c>
      <c r="P20">
        <f>Model!X28</f>
        <v>0</v>
      </c>
      <c r="Q20">
        <f>Model!Y28</f>
        <v>0</v>
      </c>
      <c r="R20">
        <f>Model!Z28</f>
        <v>0</v>
      </c>
      <c r="S20">
        <f>Model!AA28</f>
        <v>0</v>
      </c>
      <c r="T20">
        <f>Model!AB28</f>
        <v>0</v>
      </c>
      <c r="U20">
        <f>Model!AC28</f>
        <v>0</v>
      </c>
      <c r="V20">
        <f>Model!AD28</f>
        <v>0</v>
      </c>
      <c r="W20">
        <f>Model!AE28</f>
        <v>0</v>
      </c>
      <c r="X20">
        <f>Model!AF28</f>
        <v>0</v>
      </c>
      <c r="Y20">
        <f>Model!AG28</f>
        <v>0</v>
      </c>
      <c r="Z20">
        <f>Model!AH28</f>
        <v>0</v>
      </c>
      <c r="AA20">
        <f>Model!AI28</f>
        <v>0</v>
      </c>
      <c r="AB20">
        <f>Model!AJ28</f>
        <v>0</v>
      </c>
      <c r="AC20">
        <f>Model!AK28</f>
        <v>0</v>
      </c>
      <c r="AD20">
        <f>Model!AL28</f>
        <v>0</v>
      </c>
      <c r="AE20">
        <f>Model!AM28</f>
        <v>0</v>
      </c>
      <c r="AF20">
        <f>Model!AN28</f>
        <v>0</v>
      </c>
      <c r="AG20">
        <f>Model!AO28</f>
        <v>0</v>
      </c>
      <c r="AH20">
        <f>Model!AP28</f>
        <v>0</v>
      </c>
      <c r="AI20">
        <f>Model!AQ28</f>
        <v>0</v>
      </c>
      <c r="AJ20">
        <f>Model!AR28</f>
        <v>0</v>
      </c>
      <c r="AK20">
        <f>Model!AS28</f>
        <v>0</v>
      </c>
      <c r="AL20">
        <f>Model!AT28</f>
        <v>0</v>
      </c>
      <c r="AM20">
        <f>Model!AU28</f>
        <v>0</v>
      </c>
      <c r="AN20">
        <f>Model!AV28</f>
        <v>0</v>
      </c>
      <c r="AO20">
        <f>Model!AW28</f>
        <v>0</v>
      </c>
      <c r="AP20">
        <f>Model!AX28</f>
        <v>0</v>
      </c>
      <c r="AQ20">
        <f>Model!AY28</f>
        <v>0</v>
      </c>
      <c r="AR20">
        <f>Model!AZ28</f>
        <v>0</v>
      </c>
      <c r="AS20">
        <f>Model!BA28</f>
        <v>0</v>
      </c>
      <c r="AT20">
        <f>Model!BB28</f>
        <v>0</v>
      </c>
      <c r="AU20">
        <f>Model!BC28</f>
        <v>0</v>
      </c>
      <c r="AV20">
        <f>Model!BD28</f>
        <v>0</v>
      </c>
      <c r="AW20">
        <f>Model!BE28</f>
        <v>0</v>
      </c>
      <c r="AX20">
        <f>Model!BF28</f>
        <v>0</v>
      </c>
      <c r="AY20">
        <f>Model!BG28</f>
        <v>0</v>
      </c>
      <c r="AZ20">
        <f>Model!BH28</f>
        <v>0</v>
      </c>
      <c r="BA20">
        <f>Model!BI28</f>
        <v>0</v>
      </c>
      <c r="BB20">
        <f>Model!BJ28</f>
        <v>0</v>
      </c>
      <c r="BC20">
        <f>Model!BK28</f>
        <v>0</v>
      </c>
      <c r="BD20">
        <f>Model!BL28</f>
        <v>0</v>
      </c>
      <c r="BE20">
        <f>Model!BM28</f>
        <v>0</v>
      </c>
      <c r="BF20">
        <f>Model!BN28</f>
        <v>0</v>
      </c>
      <c r="BG20">
        <f>Model!BO28</f>
        <v>0</v>
      </c>
      <c r="BH20">
        <f>Model!BP28</f>
        <v>0</v>
      </c>
      <c r="BI20">
        <f>Model!BQ28</f>
        <v>0</v>
      </c>
      <c r="BJ20">
        <f>Model!BR28</f>
        <v>0</v>
      </c>
      <c r="BK20">
        <f>Model!BS28</f>
        <v>0</v>
      </c>
      <c r="BL20">
        <f>Model!BT28</f>
        <v>0</v>
      </c>
      <c r="BM20">
        <f>Model!BU28</f>
        <v>0</v>
      </c>
      <c r="BN20">
        <f>Model!BV28</f>
        <v>0</v>
      </c>
      <c r="BO20">
        <f>Model!BW28</f>
        <v>0</v>
      </c>
      <c r="BP20">
        <f>Model!BX28</f>
        <v>0</v>
      </c>
      <c r="BQ20">
        <f>Model!BY28</f>
        <v>0</v>
      </c>
      <c r="BR20">
        <f>Model!BZ28</f>
        <v>0</v>
      </c>
      <c r="BS20">
        <f>Model!CA28</f>
        <v>0</v>
      </c>
      <c r="BT20">
        <f>Model!CB28</f>
        <v>0</v>
      </c>
      <c r="BU20">
        <f>Model!CC28</f>
        <v>0</v>
      </c>
      <c r="BV20">
        <f>Model!CD28</f>
        <v>0</v>
      </c>
      <c r="BW20">
        <f>Model!CE28</f>
        <v>0</v>
      </c>
      <c r="BX20">
        <f>Model!CF28</f>
        <v>0</v>
      </c>
      <c r="BY20">
        <f>Model!CG28</f>
        <v>0</v>
      </c>
      <c r="BZ20">
        <f>Model!CH28</f>
        <v>0</v>
      </c>
      <c r="CA20">
        <f>Model!CI28</f>
        <v>0</v>
      </c>
      <c r="CB20">
        <f>Model!CJ28</f>
        <v>0</v>
      </c>
      <c r="CC20">
        <f>Model!CK28</f>
        <v>0</v>
      </c>
      <c r="CD20">
        <f>Model!CL28</f>
        <v>0</v>
      </c>
      <c r="CE20">
        <f>Model!CM28</f>
        <v>0</v>
      </c>
      <c r="CF20">
        <f>Model!CN28</f>
        <v>0</v>
      </c>
      <c r="CG20">
        <f>Model!CO28</f>
        <v>0</v>
      </c>
      <c r="CH20">
        <f>Model!CP28</f>
        <v>0</v>
      </c>
      <c r="CI20">
        <f>Model!CQ28</f>
        <v>0</v>
      </c>
      <c r="CJ20">
        <f>Model!CR28</f>
        <v>0</v>
      </c>
      <c r="CK20">
        <f>Model!CS28</f>
        <v>0</v>
      </c>
      <c r="CL20">
        <f>Model!CT28</f>
        <v>0</v>
      </c>
      <c r="CM20">
        <f>Model!CU28</f>
        <v>0</v>
      </c>
      <c r="CN20">
        <f>Model!CV28</f>
        <v>0</v>
      </c>
      <c r="CO20">
        <f>Model!CW28</f>
        <v>0</v>
      </c>
      <c r="CP20">
        <f>Model!CX28</f>
        <v>0</v>
      </c>
      <c r="CQ20">
        <f>Model!CY28</f>
        <v>0</v>
      </c>
      <c r="CR20">
        <f>Model!CZ28</f>
        <v>0</v>
      </c>
      <c r="CS20">
        <f>Model!DA28</f>
        <v>0</v>
      </c>
      <c r="CT20">
        <f>Model!DB28</f>
        <v>0</v>
      </c>
      <c r="CU20">
        <f>Model!DC28</f>
        <v>0</v>
      </c>
      <c r="CV20">
        <f>Model!DD28</f>
        <v>0</v>
      </c>
      <c r="CW20">
        <f>Model!DE28</f>
        <v>0</v>
      </c>
      <c r="CX20">
        <f>Model!DF28</f>
        <v>0</v>
      </c>
      <c r="CY20">
        <f>Model!DG28</f>
        <v>0</v>
      </c>
      <c r="CZ20">
        <f>Model!DH28</f>
        <v>0</v>
      </c>
    </row>
    <row r="21" spans="1:104">
      <c r="A21" t="str">
        <f>Model!I29</f>
        <v>Merchant Revenue Gross Profit</v>
      </c>
      <c r="B21">
        <f>Model!J29</f>
        <v>0</v>
      </c>
      <c r="C21">
        <f>Model!K29</f>
        <v>0</v>
      </c>
      <c r="D21">
        <f>Model!L29</f>
        <v>0</v>
      </c>
      <c r="E21">
        <f>Model!M29</f>
        <v>0</v>
      </c>
      <c r="F21">
        <f>Model!N29</f>
        <v>0</v>
      </c>
      <c r="G21">
        <f>Model!O29</f>
        <v>0</v>
      </c>
      <c r="H21">
        <f>Model!P29</f>
        <v>0</v>
      </c>
      <c r="I21">
        <f>Model!Q29</f>
        <v>0</v>
      </c>
      <c r="J21">
        <f>Model!R29</f>
        <v>0</v>
      </c>
      <c r="K21">
        <f>Model!S29</f>
        <v>0</v>
      </c>
      <c r="L21">
        <f>Model!T29</f>
        <v>0</v>
      </c>
      <c r="M21">
        <f>Model!U29</f>
        <v>0</v>
      </c>
      <c r="N21">
        <f>Model!V29</f>
        <v>0</v>
      </c>
      <c r="O21">
        <f>Model!W29</f>
        <v>0</v>
      </c>
      <c r="P21">
        <f>Model!X29</f>
        <v>0</v>
      </c>
      <c r="Q21">
        <f>Model!Y29</f>
        <v>0</v>
      </c>
      <c r="R21">
        <f>Model!Z29</f>
        <v>0</v>
      </c>
      <c r="S21">
        <f>Model!AA29</f>
        <v>0</v>
      </c>
      <c r="T21">
        <f>Model!AB29</f>
        <v>0</v>
      </c>
      <c r="U21">
        <f>Model!AC29</f>
        <v>0</v>
      </c>
      <c r="V21">
        <f>Model!AD29</f>
        <v>0</v>
      </c>
      <c r="W21">
        <f>Model!AE29</f>
        <v>0</v>
      </c>
      <c r="X21">
        <f>Model!AF29</f>
        <v>0</v>
      </c>
      <c r="Y21">
        <f>Model!AG29</f>
        <v>40.754999999999995</v>
      </c>
      <c r="Z21">
        <f>Model!AH29</f>
        <v>48.676999999999992</v>
      </c>
      <c r="AA21">
        <f>Model!AI29</f>
        <v>47.411000000000001</v>
      </c>
      <c r="AB21">
        <f>Model!AJ29</f>
        <v>44.094999999999999</v>
      </c>
      <c r="AC21">
        <f>Model!AK29</f>
        <v>48.460999999999984</v>
      </c>
      <c r="AD21">
        <f>Model!AL29</f>
        <v>53.921999999999969</v>
      </c>
      <c r="AE21">
        <f>Model!AM29</f>
        <v>60.255000000000024</v>
      </c>
      <c r="AF21">
        <f>Model!AN29</f>
        <v>51.992000000000019</v>
      </c>
      <c r="AG21">
        <f>Model!AO29</f>
        <v>67.081999999999994</v>
      </c>
      <c r="AH21">
        <f>Model!AP29</f>
        <v>75.979000000000042</v>
      </c>
      <c r="AI21">
        <f>Model!AQ29</f>
        <v>78.425999999999988</v>
      </c>
      <c r="AJ21">
        <f>Model!AR29</f>
        <v>67.839999999999975</v>
      </c>
      <c r="AK21">
        <f>Model!AS29</f>
        <v>83.305999999999983</v>
      </c>
      <c r="AL21">
        <f>Model!AT29</f>
        <v>94.319000000000017</v>
      </c>
      <c r="AM21">
        <f>Model!AU29</f>
        <v>103.66000000000003</v>
      </c>
      <c r="AN21">
        <f>Model!AV29</f>
        <v>88.842999999999989</v>
      </c>
      <c r="AO21">
        <f>Model!AW29</f>
        <v>102.98699999999997</v>
      </c>
      <c r="AP21">
        <f>Model!AX29</f>
        <v>125.41399999999993</v>
      </c>
      <c r="AQ21">
        <f>Model!AY29</f>
        <v>160.92399999999998</v>
      </c>
      <c r="AR21">
        <f>Model!AZ29</f>
        <v>131.08399999999997</v>
      </c>
      <c r="AS21">
        <f>Model!BA29</f>
        <v>151.29199999999997</v>
      </c>
      <c r="AT21">
        <f>Model!BB29</f>
        <v>177.041</v>
      </c>
      <c r="AU21">
        <f>Model!BC29</f>
        <v>220.57400000000001</v>
      </c>
      <c r="AV21">
        <f>Model!BD29</f>
        <v>179.79600000000005</v>
      </c>
      <c r="AW21">
        <f>Model!BE29</f>
        <v>202.45</v>
      </c>
      <c r="AX21">
        <f>Model!BF29</f>
        <v>228.40699999999998</v>
      </c>
      <c r="AY21">
        <f>Model!BG29</f>
        <v>275.16000000000003</v>
      </c>
      <c r="AZ21">
        <f>Model!BH29</f>
        <v>221.46000000000004</v>
      </c>
      <c r="BA21">
        <f>Model!BI29</f>
        <v>236.21699999999998</v>
      </c>
      <c r="BB21">
        <f>Model!BJ29</f>
        <v>283.84100000000007</v>
      </c>
      <c r="BC21">
        <f>Model!BK29</f>
        <v>340.06599999999997</v>
      </c>
      <c r="BD21">
        <f>Model!BL29</f>
        <v>273.92999999999995</v>
      </c>
      <c r="BE21">
        <f>Model!BM29</f>
        <v>291.66700000000003</v>
      </c>
      <c r="BF21">
        <f>Model!BN29</f>
        <v>326.67400000000004</v>
      </c>
      <c r="BG21">
        <f>Model!BO29</f>
        <v>397.01599999999996</v>
      </c>
      <c r="BH21">
        <f>Model!BP29</f>
        <v>312.85599999999999</v>
      </c>
      <c r="BI21">
        <f>Model!BQ29</f>
        <v>326.21699999999998</v>
      </c>
      <c r="BJ21">
        <f>Model!BR29</f>
        <v>358.52200000000005</v>
      </c>
      <c r="BK21">
        <f>Model!BS29</f>
        <v>440.88400000000001</v>
      </c>
      <c r="BL21">
        <f>Model!BT29</f>
        <v>325.16999999999996</v>
      </c>
      <c r="BM21">
        <f>Model!BU29</f>
        <v>341.36299999999994</v>
      </c>
      <c r="BN21">
        <f>Model!BV29</f>
        <v>391.78299999999996</v>
      </c>
      <c r="BO21">
        <f>Model!BW29</f>
        <v>518.80099999999993</v>
      </c>
      <c r="BP21">
        <f>Model!BX29</f>
        <v>367.74399999999997</v>
      </c>
      <c r="BQ21">
        <f>Model!BY29</f>
        <v>356.87600000000003</v>
      </c>
      <c r="BR21">
        <f>Model!BZ29</f>
        <v>425.39099999999996</v>
      </c>
      <c r="BS21">
        <f>Model!CA29</f>
        <v>624.81299999999999</v>
      </c>
      <c r="BT21">
        <f>Model!CB29</f>
        <v>475.40000000000003</v>
      </c>
      <c r="BU21">
        <f>Model!CC29</f>
        <v>402.91885169647503</v>
      </c>
      <c r="BV21">
        <f>Model!CD29</f>
        <v>479.15095407594436</v>
      </c>
      <c r="BW21">
        <f>Model!CE29</f>
        <v>681.92477639055073</v>
      </c>
      <c r="BX21">
        <f>Model!CF29</f>
        <v>530.43401701640141</v>
      </c>
      <c r="BY21">
        <f>Model!CG29</f>
        <v>0</v>
      </c>
      <c r="BZ21">
        <f>Model!CH29</f>
        <v>0</v>
      </c>
      <c r="CA21">
        <f>Model!CI29</f>
        <v>0</v>
      </c>
      <c r="CB21">
        <f>Model!CJ29</f>
        <v>0</v>
      </c>
      <c r="CC21">
        <f>Model!CK29</f>
        <v>0</v>
      </c>
      <c r="CD21">
        <f>Model!CL29</f>
        <v>0</v>
      </c>
      <c r="CE21">
        <f>Model!CM29</f>
        <v>180.93799999999999</v>
      </c>
      <c r="CF21">
        <f>Model!CN29</f>
        <v>214.62999999999988</v>
      </c>
      <c r="CG21">
        <f>Model!CO29</f>
        <v>289.32700000000011</v>
      </c>
      <c r="CH21">
        <f>Model!CP29</f>
        <v>370.12799999999993</v>
      </c>
      <c r="CI21">
        <f>Model!CQ29</f>
        <v>520.40899999999988</v>
      </c>
      <c r="CJ21">
        <f>Model!CR29</f>
        <v>728.70299999999997</v>
      </c>
      <c r="CK21">
        <f>Model!CS29</f>
        <v>927.47699999999986</v>
      </c>
      <c r="CL21">
        <f>Model!CT29</f>
        <v>1134.0540000000001</v>
      </c>
      <c r="CM21">
        <f>Model!CU29</f>
        <v>1328.2130000000002</v>
      </c>
      <c r="CN21">
        <f>Model!CV29</f>
        <v>1450.7930000000006</v>
      </c>
      <c r="CO21">
        <f>Model!CW29</f>
        <v>1619.6909999999996</v>
      </c>
      <c r="CP21">
        <f>Model!CX29</f>
        <v>1882.4800000000002</v>
      </c>
      <c r="CQ21">
        <f>Model!CY29</f>
        <v>2094.4285991793713</v>
      </c>
      <c r="CR21">
        <f>Model!CZ29</f>
        <v>2303.6453161613435</v>
      </c>
      <c r="CS21">
        <f>Model!DA29</f>
        <v>2498.7562159654708</v>
      </c>
      <c r="CT21">
        <f>Model!DB29</f>
        <v>2679.6716165779399</v>
      </c>
      <c r="CU21">
        <f>Model!DC29</f>
        <v>2844.1822110585767</v>
      </c>
      <c r="CV21">
        <f>Model!DD29</f>
        <v>3017.7449015546522</v>
      </c>
      <c r="CW21">
        <f>Model!DE29</f>
        <v>3201.2545012022711</v>
      </c>
      <c r="CX21">
        <f>Model!DF29</f>
        <v>3398.9177418498971</v>
      </c>
      <c r="CY21">
        <f>Model!DG29</f>
        <v>0.22758657572184804</v>
      </c>
      <c r="CZ21">
        <f>Model!DH29</f>
        <v>0.11486860865119608</v>
      </c>
    </row>
    <row r="22" spans="1:104">
      <c r="A22">
        <f>Model!I30</f>
        <v>0</v>
      </c>
      <c r="B22">
        <f>Model!J30</f>
        <v>0</v>
      </c>
      <c r="C22">
        <f>Model!K30</f>
        <v>0</v>
      </c>
      <c r="D22">
        <f>Model!L30</f>
        <v>0</v>
      </c>
      <c r="E22">
        <f>Model!M30</f>
        <v>0</v>
      </c>
      <c r="F22">
        <f>Model!N30</f>
        <v>0</v>
      </c>
      <c r="G22">
        <f>Model!O30</f>
        <v>0</v>
      </c>
      <c r="H22">
        <f>Model!P30</f>
        <v>0</v>
      </c>
      <c r="I22">
        <f>Model!Q30</f>
        <v>0</v>
      </c>
      <c r="J22">
        <f>Model!R30</f>
        <v>0</v>
      </c>
      <c r="K22">
        <f>Model!S30</f>
        <v>0</v>
      </c>
      <c r="L22">
        <f>Model!T30</f>
        <v>0</v>
      </c>
      <c r="M22">
        <f>Model!U30</f>
        <v>0</v>
      </c>
      <c r="N22">
        <f>Model!V30</f>
        <v>0</v>
      </c>
      <c r="O22">
        <f>Model!W30</f>
        <v>0</v>
      </c>
      <c r="P22">
        <f>Model!X30</f>
        <v>0</v>
      </c>
      <c r="Q22">
        <f>Model!Y30</f>
        <v>0</v>
      </c>
      <c r="R22">
        <f>Model!Z30</f>
        <v>0</v>
      </c>
      <c r="S22">
        <f>Model!AA30</f>
        <v>0</v>
      </c>
      <c r="T22">
        <f>Model!AB30</f>
        <v>0</v>
      </c>
      <c r="U22">
        <f>Model!AC30</f>
        <v>0</v>
      </c>
      <c r="V22">
        <f>Model!AD30</f>
        <v>0</v>
      </c>
      <c r="W22">
        <f>Model!AE30</f>
        <v>0</v>
      </c>
      <c r="X22">
        <f>Model!AF30</f>
        <v>0</v>
      </c>
      <c r="Y22">
        <f>Model!AG30</f>
        <v>0</v>
      </c>
      <c r="Z22">
        <f>Model!AH30</f>
        <v>0</v>
      </c>
      <c r="AA22">
        <f>Model!AI30</f>
        <v>0</v>
      </c>
      <c r="AB22">
        <f>Model!AJ30</f>
        <v>0</v>
      </c>
      <c r="AC22">
        <f>Model!AK30</f>
        <v>0</v>
      </c>
      <c r="AD22">
        <f>Model!AL30</f>
        <v>0</v>
      </c>
      <c r="AE22">
        <f>Model!AM30</f>
        <v>0</v>
      </c>
      <c r="AF22">
        <f>Model!AN30</f>
        <v>0</v>
      </c>
      <c r="AG22">
        <f>Model!AO30</f>
        <v>0</v>
      </c>
      <c r="AH22">
        <f>Model!AP30</f>
        <v>0</v>
      </c>
      <c r="AI22">
        <f>Model!AQ30</f>
        <v>0</v>
      </c>
      <c r="AJ22">
        <f>Model!AR30</f>
        <v>0</v>
      </c>
      <c r="AK22">
        <f>Model!AS30</f>
        <v>0</v>
      </c>
      <c r="AL22">
        <f>Model!AT30</f>
        <v>0</v>
      </c>
      <c r="AM22">
        <f>Model!AU30</f>
        <v>0</v>
      </c>
      <c r="AN22">
        <f>Model!AV30</f>
        <v>0</v>
      </c>
      <c r="AO22">
        <f>Model!AW30</f>
        <v>0</v>
      </c>
      <c r="AP22">
        <f>Model!AX30</f>
        <v>0</v>
      </c>
      <c r="AQ22">
        <f>Model!AY30</f>
        <v>0</v>
      </c>
      <c r="AR22">
        <f>Model!AZ30</f>
        <v>0</v>
      </c>
      <c r="AS22">
        <f>Model!BA30</f>
        <v>0</v>
      </c>
      <c r="AT22">
        <f>Model!BB30</f>
        <v>0</v>
      </c>
      <c r="AU22">
        <f>Model!BC30</f>
        <v>0</v>
      </c>
      <c r="AV22">
        <f>Model!BD30</f>
        <v>0</v>
      </c>
      <c r="AW22">
        <f>Model!BE30</f>
        <v>0</v>
      </c>
      <c r="AX22">
        <f>Model!BF30</f>
        <v>0</v>
      </c>
      <c r="AY22">
        <f>Model!BG30</f>
        <v>0</v>
      </c>
      <c r="AZ22">
        <f>Model!BH30</f>
        <v>0</v>
      </c>
      <c r="BA22">
        <f>Model!BI30</f>
        <v>0</v>
      </c>
      <c r="BB22">
        <f>Model!BJ30</f>
        <v>0</v>
      </c>
      <c r="BC22">
        <f>Model!BK30</f>
        <v>0</v>
      </c>
      <c r="BD22">
        <f>Model!BL30</f>
        <v>0</v>
      </c>
      <c r="BE22">
        <f>Model!BM30</f>
        <v>0</v>
      </c>
      <c r="BF22">
        <f>Model!BN30</f>
        <v>0</v>
      </c>
      <c r="BG22">
        <f>Model!BO30</f>
        <v>0</v>
      </c>
      <c r="BH22">
        <f>Model!BP30</f>
        <v>0</v>
      </c>
      <c r="BI22">
        <f>Model!BQ30</f>
        <v>0</v>
      </c>
      <c r="BJ22">
        <f>Model!BR30</f>
        <v>0</v>
      </c>
      <c r="BK22">
        <f>Model!BS30</f>
        <v>0</v>
      </c>
      <c r="BL22">
        <f>Model!BT30</f>
        <v>0</v>
      </c>
      <c r="BM22">
        <f>Model!BU30</f>
        <v>0</v>
      </c>
      <c r="BN22">
        <f>Model!BV30</f>
        <v>0</v>
      </c>
      <c r="BO22">
        <f>Model!BW30</f>
        <v>0</v>
      </c>
      <c r="BP22">
        <f>Model!BX30</f>
        <v>0</v>
      </c>
      <c r="BQ22">
        <f>Model!BY30</f>
        <v>0</v>
      </c>
      <c r="BR22">
        <f>Model!BZ30</f>
        <v>0</v>
      </c>
      <c r="BS22">
        <f>Model!CA30</f>
        <v>0</v>
      </c>
      <c r="BT22">
        <f>Model!CB30</f>
        <v>0</v>
      </c>
      <c r="BU22">
        <f>Model!CC30</f>
        <v>0</v>
      </c>
      <c r="BV22">
        <f>Model!CD30</f>
        <v>0</v>
      </c>
      <c r="BW22">
        <f>Model!CE30</f>
        <v>0</v>
      </c>
      <c r="BX22">
        <f>Model!CF30</f>
        <v>0</v>
      </c>
      <c r="BY22">
        <f>Model!CG30</f>
        <v>0</v>
      </c>
      <c r="BZ22">
        <f>Model!CH30</f>
        <v>0</v>
      </c>
      <c r="CA22">
        <f>Model!CI30</f>
        <v>0</v>
      </c>
      <c r="CB22">
        <f>Model!CJ30</f>
        <v>0</v>
      </c>
      <c r="CC22">
        <f>Model!CK30</f>
        <v>0</v>
      </c>
      <c r="CD22">
        <f>Model!CL30</f>
        <v>0</v>
      </c>
      <c r="CE22">
        <f>Model!CM30</f>
        <v>0</v>
      </c>
      <c r="CF22">
        <f>Model!CN30</f>
        <v>0</v>
      </c>
      <c r="CG22">
        <f>Model!CO30</f>
        <v>0</v>
      </c>
      <c r="CH22">
        <f>Model!CP30</f>
        <v>0</v>
      </c>
      <c r="CI22">
        <f>Model!CQ30</f>
        <v>0</v>
      </c>
      <c r="CJ22">
        <f>Model!CR30</f>
        <v>0</v>
      </c>
      <c r="CK22">
        <f>Model!CS30</f>
        <v>0</v>
      </c>
      <c r="CL22">
        <f>Model!CT30</f>
        <v>0</v>
      </c>
      <c r="CM22">
        <f>Model!CU30</f>
        <v>0</v>
      </c>
      <c r="CN22">
        <f>Model!CV30</f>
        <v>0</v>
      </c>
      <c r="CO22">
        <f>Model!CW30</f>
        <v>0</v>
      </c>
      <c r="CP22">
        <f>Model!CX30</f>
        <v>0</v>
      </c>
      <c r="CQ22">
        <f>Model!CY30</f>
        <v>0</v>
      </c>
      <c r="CR22">
        <f>Model!CZ30</f>
        <v>0</v>
      </c>
      <c r="CS22">
        <f>Model!DA30</f>
        <v>0</v>
      </c>
      <c r="CT22">
        <f>Model!DB30</f>
        <v>0</v>
      </c>
      <c r="CU22">
        <f>Model!DC30</f>
        <v>0</v>
      </c>
      <c r="CV22">
        <f>Model!DD30</f>
        <v>0</v>
      </c>
      <c r="CW22">
        <f>Model!DE30</f>
        <v>0</v>
      </c>
      <c r="CX22">
        <f>Model!DF30</f>
        <v>0</v>
      </c>
      <c r="CY22">
        <f>Model!DG30</f>
        <v>0</v>
      </c>
      <c r="CZ22">
        <f>Model!DH30</f>
        <v>0</v>
      </c>
    </row>
    <row r="23" spans="1:104">
      <c r="A23" t="str">
        <f>Model!I31</f>
        <v>Core Gross Profit</v>
      </c>
      <c r="B23">
        <f>Model!J31</f>
        <v>0</v>
      </c>
      <c r="C23">
        <f>Model!K31</f>
        <v>0</v>
      </c>
      <c r="D23">
        <f>Model!L31</f>
        <v>0</v>
      </c>
      <c r="E23">
        <f>Model!M31</f>
        <v>0</v>
      </c>
      <c r="F23">
        <f>Model!N31</f>
        <v>0</v>
      </c>
      <c r="G23">
        <f>Model!O31</f>
        <v>0</v>
      </c>
      <c r="H23">
        <f>Model!P31</f>
        <v>0</v>
      </c>
      <c r="I23">
        <f>Model!Q31</f>
        <v>0</v>
      </c>
      <c r="J23">
        <f>Model!R31</f>
        <v>0</v>
      </c>
      <c r="K23">
        <f>Model!S31</f>
        <v>0</v>
      </c>
      <c r="L23">
        <f>Model!T31</f>
        <v>0</v>
      </c>
      <c r="M23">
        <f>Model!U31</f>
        <v>0</v>
      </c>
      <c r="N23">
        <f>Model!V31</f>
        <v>0</v>
      </c>
      <c r="O23">
        <f>Model!W31</f>
        <v>0</v>
      </c>
      <c r="P23">
        <f>Model!X31</f>
        <v>0</v>
      </c>
      <c r="Q23">
        <f>Model!Y31</f>
        <v>0</v>
      </c>
      <c r="R23">
        <f>Model!Z31</f>
        <v>0</v>
      </c>
      <c r="S23">
        <f>Model!AA31</f>
        <v>0</v>
      </c>
      <c r="T23">
        <f>Model!AB31</f>
        <v>0</v>
      </c>
      <c r="U23">
        <f>Model!AC31</f>
        <v>0</v>
      </c>
      <c r="V23">
        <f>Model!AD31</f>
        <v>0</v>
      </c>
      <c r="W23">
        <f>Model!AE31</f>
        <v>0</v>
      </c>
      <c r="X23">
        <f>Model!AF31</f>
        <v>0</v>
      </c>
      <c r="Y23">
        <f>Model!AG31</f>
        <v>72.230999999999995</v>
      </c>
      <c r="Z23">
        <f>Model!AH31</f>
        <v>105.804</v>
      </c>
      <c r="AA23">
        <f>Model!AI31</f>
        <v>122.32000000000002</v>
      </c>
      <c r="AB23">
        <f>Model!AJ31</f>
        <v>99.516999999999967</v>
      </c>
      <c r="AC23">
        <f>Model!AK31</f>
        <v>103.83900000000003</v>
      </c>
      <c r="AD23">
        <f>Model!AL31</f>
        <v>154.89299999999994</v>
      </c>
      <c r="AE23">
        <f>Model!AM31</f>
        <v>202.33099999999999</v>
      </c>
      <c r="AF23">
        <f>Model!AN31</f>
        <v>160.15200000000002</v>
      </c>
      <c r="AG23">
        <f>Model!AO31</f>
        <v>181.10300000000001</v>
      </c>
      <c r="AH23">
        <f>Model!AP31</f>
        <v>253.72500000000002</v>
      </c>
      <c r="AI23">
        <f>Model!AQ31</f>
        <v>316.07800000000003</v>
      </c>
      <c r="AJ23">
        <f>Model!AR31</f>
        <v>205.065</v>
      </c>
      <c r="AK23">
        <f>Model!AS31</f>
        <v>208.32999999999998</v>
      </c>
      <c r="AL23">
        <f>Model!AT31</f>
        <v>305.238</v>
      </c>
      <c r="AM23">
        <f>Model!AU31</f>
        <v>434.00599999999997</v>
      </c>
      <c r="AN23">
        <f>Model!AV31</f>
        <v>313.18900000000008</v>
      </c>
      <c r="AO23">
        <f>Model!AW31</f>
        <v>319.11599999999987</v>
      </c>
      <c r="AP23">
        <f>Model!AX31</f>
        <v>446.18399999999991</v>
      </c>
      <c r="AQ23">
        <f>Model!AY31</f>
        <v>668.20799999999986</v>
      </c>
      <c r="AR23">
        <f>Model!AZ31</f>
        <v>480.16600000000005</v>
      </c>
      <c r="AS23">
        <f>Model!BA31</f>
        <v>505.80800000000005</v>
      </c>
      <c r="AT23">
        <f>Model!BB31</f>
        <v>749.22700000000009</v>
      </c>
      <c r="AU23">
        <f>Model!BC31</f>
        <v>1100.1480000000001</v>
      </c>
      <c r="AV23">
        <f>Model!BD31</f>
        <v>724.697</v>
      </c>
      <c r="AW23">
        <f>Model!BE31</f>
        <v>743.28800000000001</v>
      </c>
      <c r="AX23">
        <f>Model!BF31</f>
        <v>1004.1420000000001</v>
      </c>
      <c r="AY23">
        <f>Model!BG31</f>
        <v>1396.501</v>
      </c>
      <c r="AZ23">
        <f>Model!BH31</f>
        <v>939.75000000000011</v>
      </c>
      <c r="BA23">
        <f>Model!BI31</f>
        <v>1009.665</v>
      </c>
      <c r="BB23">
        <f>Model!BJ31</f>
        <v>1355.739024</v>
      </c>
      <c r="BC23">
        <f>Model!BK31</f>
        <v>1926.2224549999999</v>
      </c>
      <c r="BD23">
        <f>Model!BL31</f>
        <v>1282.5545</v>
      </c>
      <c r="BE23">
        <f>Model!BM31</f>
        <v>1340.8427750000003</v>
      </c>
      <c r="BF23">
        <f>Model!BN31</f>
        <v>1816.0552104999999</v>
      </c>
      <c r="BG23">
        <f>Model!BO31</f>
        <v>2506.5090732500003</v>
      </c>
      <c r="BH23">
        <f>Model!BP31</f>
        <v>1557.3265249999999</v>
      </c>
      <c r="BI23">
        <f>Model!BQ31</f>
        <v>1538.132388</v>
      </c>
      <c r="BJ23">
        <f>Model!BR31</f>
        <v>1955.7323157599999</v>
      </c>
      <c r="BK23">
        <f>Model!BS31</f>
        <v>2801.5408020399996</v>
      </c>
      <c r="BL23">
        <f>Model!BT31</f>
        <v>1741.3215079999998</v>
      </c>
      <c r="BM23">
        <f>Model!BU31</f>
        <v>1869.0011351599996</v>
      </c>
      <c r="BN23">
        <f>Model!BV31</f>
        <v>2274.9961578632001</v>
      </c>
      <c r="BO23">
        <f>Model!BW31</f>
        <v>3428.2559181828001</v>
      </c>
      <c r="BP23">
        <f>Model!BX31</f>
        <v>2123.1242035599998</v>
      </c>
      <c r="BQ23">
        <f>Model!BY31</f>
        <v>2171.2376919180001</v>
      </c>
      <c r="BR23">
        <f>Model!BZ31</f>
        <v>2784.0290657563596</v>
      </c>
      <c r="BS23">
        <f>Model!CA31</f>
        <v>4200.5115640919394</v>
      </c>
      <c r="BT23">
        <f>Model!CB31</f>
        <v>2603.2133637379998</v>
      </c>
      <c r="BU23">
        <f>Model!CC31</f>
        <v>2622.3147896612131</v>
      </c>
      <c r="BV23">
        <f>Model!CD31</f>
        <v>3381.8349539302949</v>
      </c>
      <c r="BW23">
        <f>Model!CE31</f>
        <v>4817.5122505569525</v>
      </c>
      <c r="BX23">
        <f>Model!CF31</f>
        <v>3198.0596148848317</v>
      </c>
      <c r="BY23">
        <f>Model!CG31</f>
        <v>0</v>
      </c>
      <c r="BZ23">
        <f>Model!CH31</f>
        <v>0</v>
      </c>
      <c r="CA23">
        <f>Model!CI31</f>
        <v>0</v>
      </c>
      <c r="CB23">
        <f>Model!CJ31</f>
        <v>145.94499999999999</v>
      </c>
      <c r="CC23">
        <f>Model!CK31</f>
        <v>201.13900000000001</v>
      </c>
      <c r="CD23">
        <f>Model!CL31</f>
        <v>269.85000000000002</v>
      </c>
      <c r="CE23">
        <f>Model!CM31</f>
        <v>399.87200000000018</v>
      </c>
      <c r="CF23">
        <f>Model!CN31</f>
        <v>621.21499999999969</v>
      </c>
      <c r="CG23">
        <f>Model!CO31</f>
        <v>955.97100000000012</v>
      </c>
      <c r="CH23">
        <f>Model!CP31</f>
        <v>1260.7629999999999</v>
      </c>
      <c r="CI23">
        <f>Model!CQ31</f>
        <v>1913.6739999999998</v>
      </c>
      <c r="CJ23">
        <f>Model!CR31</f>
        <v>3079.8800000000006</v>
      </c>
      <c r="CK23">
        <f>Model!CS31</f>
        <v>4083.6810000000009</v>
      </c>
      <c r="CL23">
        <f>Model!CT31</f>
        <v>5574.1809790000007</v>
      </c>
      <c r="CM23">
        <f>Model!CU31</f>
        <v>7220.7335837499995</v>
      </c>
      <c r="CN23">
        <f>Model!CV31</f>
        <v>8036.7270137999994</v>
      </c>
      <c r="CO23">
        <f>Model!CW31</f>
        <v>9695.3774147659988</v>
      </c>
      <c r="CP23">
        <f>Model!CX31</f>
        <v>11758.991685504297</v>
      </c>
      <c r="CQ23">
        <f>Model!CY31</f>
        <v>14019.721609033291</v>
      </c>
      <c r="CR23">
        <f>Model!CZ31</f>
        <v>16019.972777621497</v>
      </c>
      <c r="CS23">
        <f>Model!DA31</f>
        <v>18001.64423030346</v>
      </c>
      <c r="CT23">
        <f>Model!DB31</f>
        <v>19902.876247349792</v>
      </c>
      <c r="CU23">
        <f>Model!DC31</f>
        <v>21752.543403981581</v>
      </c>
      <c r="CV23">
        <f>Model!DD31</f>
        <v>23570.147492065516</v>
      </c>
      <c r="CW23">
        <f>Model!DE31</f>
        <v>25338.920266873909</v>
      </c>
      <c r="CX23">
        <f>Model!DF31</f>
        <v>27245.911412234567</v>
      </c>
      <c r="CY23">
        <f>Model!DG31</f>
        <v>0.33242340279632177</v>
      </c>
      <c r="CZ23">
        <f>Model!DH31</f>
        <v>0.17502360584598065</v>
      </c>
    </row>
    <row r="24" spans="1:104">
      <c r="A24" t="str">
        <f>Model!I32</f>
        <v>% change Y/Y</v>
      </c>
      <c r="B24">
        <f>Model!J32</f>
        <v>0</v>
      </c>
      <c r="C24">
        <f>Model!K32</f>
        <v>0</v>
      </c>
      <c r="D24">
        <f>Model!L32</f>
        <v>0</v>
      </c>
      <c r="E24">
        <f>Model!M32</f>
        <v>0</v>
      </c>
      <c r="F24">
        <f>Model!N32</f>
        <v>0</v>
      </c>
      <c r="G24">
        <f>Model!O32</f>
        <v>0</v>
      </c>
      <c r="H24">
        <f>Model!P32</f>
        <v>0</v>
      </c>
      <c r="I24">
        <f>Model!Q32</f>
        <v>0</v>
      </c>
      <c r="J24">
        <f>Model!R32</f>
        <v>0</v>
      </c>
      <c r="K24">
        <f>Model!S32</f>
        <v>0</v>
      </c>
      <c r="L24">
        <f>Model!T32</f>
        <v>0</v>
      </c>
      <c r="M24">
        <f>Model!U32</f>
        <v>0</v>
      </c>
      <c r="N24">
        <f>Model!V32</f>
        <v>0</v>
      </c>
      <c r="O24">
        <f>Model!W32</f>
        <v>0</v>
      </c>
      <c r="P24">
        <f>Model!X32</f>
        <v>0</v>
      </c>
      <c r="Q24">
        <f>Model!Y32</f>
        <v>0</v>
      </c>
      <c r="R24">
        <f>Model!Z32</f>
        <v>0</v>
      </c>
      <c r="S24">
        <f>Model!AA32</f>
        <v>0</v>
      </c>
      <c r="T24">
        <f>Model!AB32</f>
        <v>0</v>
      </c>
      <c r="U24">
        <f>Model!AC32</f>
        <v>0</v>
      </c>
      <c r="V24">
        <f>Model!AD32</f>
        <v>0</v>
      </c>
      <c r="W24">
        <f>Model!AE32</f>
        <v>0</v>
      </c>
      <c r="X24">
        <f>Model!AF32</f>
        <v>0</v>
      </c>
      <c r="Y24">
        <f>Model!AG32</f>
        <v>0</v>
      </c>
      <c r="Z24">
        <f>Model!AH32</f>
        <v>0</v>
      </c>
      <c r="AA24">
        <f>Model!AI32</f>
        <v>0</v>
      </c>
      <c r="AB24">
        <f>Model!AJ32</f>
        <v>0</v>
      </c>
      <c r="AC24">
        <f>Model!AK32</f>
        <v>0.43759604601902269</v>
      </c>
      <c r="AD24">
        <f>Model!AL32</f>
        <v>0.46396166496540725</v>
      </c>
      <c r="AE24">
        <f>Model!AM32</f>
        <v>0.65411216481360324</v>
      </c>
      <c r="AF24">
        <f>Model!AN32</f>
        <v>0.60929288463277698</v>
      </c>
      <c r="AG24">
        <f>Model!AO32</f>
        <v>0.74407496220109937</v>
      </c>
      <c r="AH24">
        <f>Model!AP32</f>
        <v>0.63806627801127314</v>
      </c>
      <c r="AI24">
        <f>Model!AQ32</f>
        <v>0.56218275993298139</v>
      </c>
      <c r="AJ24">
        <f>Model!AR32</f>
        <v>0.28043983215944834</v>
      </c>
      <c r="AK24">
        <f>Model!AS32</f>
        <v>0.15033986184657344</v>
      </c>
      <c r="AL24">
        <f>Model!AT32</f>
        <v>0.20302689920189176</v>
      </c>
      <c r="AM24">
        <f>Model!AU32</f>
        <v>0.37309777966198188</v>
      </c>
      <c r="AN24">
        <f>Model!AV32</f>
        <v>0.52726696413332408</v>
      </c>
      <c r="AO24">
        <f>Model!AW32</f>
        <v>0.53178130850093552</v>
      </c>
      <c r="AP24">
        <f>Model!AX32</f>
        <v>0.46175771037682045</v>
      </c>
      <c r="AQ24">
        <f>Model!AY32</f>
        <v>0.53962848439883304</v>
      </c>
      <c r="AR24">
        <f>Model!AZ32</f>
        <v>0.53315090887610972</v>
      </c>
      <c r="AS24">
        <f>Model!BA32</f>
        <v>0.5850286416224828</v>
      </c>
      <c r="AT24">
        <f>Model!BB32</f>
        <v>0.67918840657665958</v>
      </c>
      <c r="AU24">
        <f>Model!BC32</f>
        <v>0.64641548739314758</v>
      </c>
      <c r="AV24">
        <f>Model!BD32</f>
        <v>0.50926346305236092</v>
      </c>
      <c r="AW24">
        <f>Model!BE32</f>
        <v>0.46950621579729845</v>
      </c>
      <c r="AX24">
        <f>Model!BF32</f>
        <v>0.34023733794964661</v>
      </c>
      <c r="AY24">
        <f>Model!BG32</f>
        <v>0.26937557492264652</v>
      </c>
      <c r="AZ24">
        <f>Model!BH32</f>
        <v>0.29674884813929148</v>
      </c>
      <c r="BA24">
        <f>Model!BI32</f>
        <v>0.35837656466941481</v>
      </c>
      <c r="BB24">
        <f>Model!BJ32</f>
        <v>0.35014671630108074</v>
      </c>
      <c r="BC24">
        <f>Model!BK32</f>
        <v>0.37932049815932811</v>
      </c>
      <c r="BD24">
        <f>Model!BL32</f>
        <v>0.3647826549614257</v>
      </c>
      <c r="BE24">
        <f>Model!BM32</f>
        <v>0.32800758172265088</v>
      </c>
      <c r="BF24">
        <f>Model!BN32</f>
        <v>0.33953156053727351</v>
      </c>
      <c r="BG24">
        <f>Model!BO32</f>
        <v>0.30125628363625334</v>
      </c>
      <c r="BH24">
        <f>Model!BP32</f>
        <v>0.21423808890772289</v>
      </c>
      <c r="BI24">
        <f>Model!BQ32</f>
        <v>0.14713851368591646</v>
      </c>
      <c r="BJ24">
        <f>Model!BR32</f>
        <v>7.6912367230038026E-2</v>
      </c>
      <c r="BK24">
        <f>Model!BS32</f>
        <v>0.11770622813164366</v>
      </c>
      <c r="BL24">
        <f>Model!BT32</f>
        <v>0.11814797991705683</v>
      </c>
      <c r="BM24">
        <f>Model!BU32</f>
        <v>0.21511070811675781</v>
      </c>
      <c r="BN24">
        <f>Model!BV32</f>
        <v>0.16324516373250897</v>
      </c>
      <c r="BO24">
        <f>Model!BW32</f>
        <v>0.22370372606618649</v>
      </c>
      <c r="BP24">
        <f>Model!BX32</f>
        <v>0.219260311094716</v>
      </c>
      <c r="BQ24">
        <f>Model!BY32</f>
        <v>0.16171020502463573</v>
      </c>
      <c r="BR24">
        <f>Model!BZ32</f>
        <v>0.22375110662660225</v>
      </c>
      <c r="BS24">
        <f>Model!CA32</f>
        <v>0.22526195953261419</v>
      </c>
      <c r="BT24">
        <f>Model!CB32</f>
        <v>0.22612391652499597</v>
      </c>
      <c r="BU24">
        <f>Model!CC32</f>
        <v>0.2077511363321749</v>
      </c>
      <c r="BV24">
        <f>Model!CD32</f>
        <v>0.2147268846891599</v>
      </c>
      <c r="BW24">
        <f>Model!CE32</f>
        <v>0.14688703436491912</v>
      </c>
      <c r="BX24">
        <f>Model!CF32</f>
        <v>0.22850460873967005</v>
      </c>
      <c r="BY24">
        <f>Model!CG32</f>
        <v>0</v>
      </c>
      <c r="BZ24">
        <f>Model!CH32</f>
        <v>0</v>
      </c>
      <c r="CA24">
        <f>Model!CI32</f>
        <v>0</v>
      </c>
      <c r="CB24">
        <f>Model!CJ32</f>
        <v>0</v>
      </c>
      <c r="CC24">
        <f>Model!CK32</f>
        <v>0</v>
      </c>
      <c r="CD24">
        <f>Model!CL32</f>
        <v>0</v>
      </c>
      <c r="CE24">
        <f>Model!CM32</f>
        <v>0</v>
      </c>
      <c r="CF24">
        <f>Model!CN32</f>
        <v>0.55353463108194467</v>
      </c>
      <c r="CG24">
        <f>Model!CO32</f>
        <v>0.53887301497871198</v>
      </c>
      <c r="CH24">
        <f>Model!CP32</f>
        <v>0.31882975529592406</v>
      </c>
      <c r="CI24">
        <f>Model!CQ32</f>
        <v>0.51786973443858986</v>
      </c>
      <c r="CJ24">
        <f>Model!CR32</f>
        <v>0.60940682686810876</v>
      </c>
      <c r="CK24">
        <f>Model!CS32</f>
        <v>0.32592211384859149</v>
      </c>
      <c r="CL24">
        <f>Model!CT32</f>
        <v>0.3649893267862987</v>
      </c>
      <c r="CM24">
        <f>Model!CU32</f>
        <v>0.29538915420097966</v>
      </c>
      <c r="CN24">
        <f>Model!CV32</f>
        <v>0.11300699860833574</v>
      </c>
      <c r="CO24">
        <f>Model!CW32</f>
        <v>0.20638381745677092</v>
      </c>
      <c r="CP24">
        <f>Model!CX32</f>
        <v>0.21284517172022888</v>
      </c>
      <c r="CQ24">
        <f>Model!CY32</f>
        <v>0.19225542325332801</v>
      </c>
      <c r="CR24">
        <f>Model!CZ32</f>
        <v>0.14267410041147954</v>
      </c>
      <c r="CS24">
        <f>Model!DA32</f>
        <v>0.12370005119173388</v>
      </c>
      <c r="CT24">
        <f>Model!DB32</f>
        <v>0.10561435348476955</v>
      </c>
      <c r="CU24">
        <f>Model!DC32</f>
        <v>9.2934666007285616E-2</v>
      </c>
      <c r="CV24">
        <f>Model!DD32</f>
        <v>8.3558232907662733E-2</v>
      </c>
      <c r="CW24">
        <f>Model!DE32</f>
        <v>7.5042923486321911E-2</v>
      </c>
      <c r="CX24">
        <f>Model!DF32</f>
        <v>7.5259368800086879E-2</v>
      </c>
      <c r="CY24">
        <f>Model!DG32</f>
        <v>0</v>
      </c>
      <c r="CZ24">
        <f>Model!DH32</f>
        <v>0</v>
      </c>
    </row>
    <row r="25" spans="1:104">
      <c r="A25" t="str">
        <f>Model!I33</f>
        <v xml:space="preserve">Two Year Growth </v>
      </c>
      <c r="B25">
        <f>Model!J33</f>
        <v>0</v>
      </c>
      <c r="C25">
        <f>Model!K33</f>
        <v>0</v>
      </c>
      <c r="D25">
        <f>Model!L33</f>
        <v>0</v>
      </c>
      <c r="E25">
        <f>Model!M33</f>
        <v>0</v>
      </c>
      <c r="F25">
        <f>Model!N33</f>
        <v>0</v>
      </c>
      <c r="G25">
        <f>Model!O33</f>
        <v>0</v>
      </c>
      <c r="H25">
        <f>Model!P33</f>
        <v>0</v>
      </c>
      <c r="I25">
        <f>Model!Q33</f>
        <v>0</v>
      </c>
      <c r="J25">
        <f>Model!R33</f>
        <v>0</v>
      </c>
      <c r="K25">
        <f>Model!S33</f>
        <v>0</v>
      </c>
      <c r="L25">
        <f>Model!T33</f>
        <v>0</v>
      </c>
      <c r="M25">
        <f>Model!U33</f>
        <v>0</v>
      </c>
      <c r="N25">
        <f>Model!V33</f>
        <v>0</v>
      </c>
      <c r="O25">
        <f>Model!W33</f>
        <v>0</v>
      </c>
      <c r="P25">
        <f>Model!X33</f>
        <v>0</v>
      </c>
      <c r="Q25">
        <f>Model!Y33</f>
        <v>0</v>
      </c>
      <c r="R25">
        <f>Model!Z33</f>
        <v>0</v>
      </c>
      <c r="S25">
        <f>Model!AA33</f>
        <v>0</v>
      </c>
      <c r="T25">
        <f>Model!AB33</f>
        <v>0</v>
      </c>
      <c r="U25">
        <f>Model!AC33</f>
        <v>0</v>
      </c>
      <c r="V25">
        <f>Model!AD33</f>
        <v>0</v>
      </c>
      <c r="W25">
        <f>Model!AE33</f>
        <v>0</v>
      </c>
      <c r="X25">
        <f>Model!AF33</f>
        <v>0</v>
      </c>
      <c r="Y25">
        <f>Model!AG33</f>
        <v>0</v>
      </c>
      <c r="Z25">
        <f>Model!AH33</f>
        <v>0</v>
      </c>
      <c r="AA25">
        <f>Model!AI33</f>
        <v>0</v>
      </c>
      <c r="AB25">
        <f>Model!AJ33</f>
        <v>0</v>
      </c>
      <c r="AC25">
        <f>Model!AK33</f>
        <v>0.43759604601902269</v>
      </c>
      <c r="AD25">
        <f>Model!AL33</f>
        <v>0.46396166496540725</v>
      </c>
      <c r="AE25">
        <f>Model!AM33</f>
        <v>0.65411216481360324</v>
      </c>
      <c r="AF25">
        <f>Model!AN33</f>
        <v>0.60929288463277698</v>
      </c>
      <c r="AG25">
        <f>Model!AO33</f>
        <v>1.1816710082201221</v>
      </c>
      <c r="AH25">
        <f>Model!AP33</f>
        <v>1.1020279429766804</v>
      </c>
      <c r="AI25">
        <f>Model!AQ33</f>
        <v>1.2162949247465846</v>
      </c>
      <c r="AJ25">
        <f>Model!AR33</f>
        <v>0.88973271679222532</v>
      </c>
      <c r="AK25">
        <f>Model!AS33</f>
        <v>0.89441482404767281</v>
      </c>
      <c r="AL25">
        <f>Model!AT33</f>
        <v>0.8410931772131649</v>
      </c>
      <c r="AM25">
        <f>Model!AU33</f>
        <v>0.93528053959496327</v>
      </c>
      <c r="AN25">
        <f>Model!AV33</f>
        <v>0.80770679629277242</v>
      </c>
      <c r="AO25">
        <f>Model!AW33</f>
        <v>0.68212117034750896</v>
      </c>
      <c r="AP25">
        <f>Model!AX33</f>
        <v>0.66478460957871222</v>
      </c>
      <c r="AQ25">
        <f>Model!AY33</f>
        <v>0.91272626406081492</v>
      </c>
      <c r="AR25">
        <f>Model!AZ33</f>
        <v>1.0604178730094338</v>
      </c>
      <c r="AS25">
        <f>Model!BA33</f>
        <v>1.1168099501234183</v>
      </c>
      <c r="AT25">
        <f>Model!BB33</f>
        <v>1.14094611695348</v>
      </c>
      <c r="AU25">
        <f>Model!BC33</f>
        <v>1.1860439717919806</v>
      </c>
      <c r="AV25">
        <f>Model!BD33</f>
        <v>1.0424143719284706</v>
      </c>
      <c r="AW25">
        <f>Model!BE33</f>
        <v>1.0545348574197813</v>
      </c>
      <c r="AX25">
        <f>Model!BF33</f>
        <v>1.0194257445263062</v>
      </c>
      <c r="AY25">
        <f>Model!BG33</f>
        <v>0.9157910623157941</v>
      </c>
      <c r="AZ25">
        <f>Model!BH33</f>
        <v>0.8060123111916524</v>
      </c>
      <c r="BA25">
        <f>Model!BI33</f>
        <v>0.82788278046671326</v>
      </c>
      <c r="BB25">
        <f>Model!BJ33</f>
        <v>0.69038405425072735</v>
      </c>
      <c r="BC25">
        <f>Model!BK33</f>
        <v>0.64869607308197463</v>
      </c>
      <c r="BD25">
        <f>Model!BL33</f>
        <v>0.66153150310071718</v>
      </c>
      <c r="BE25">
        <f>Model!BM33</f>
        <v>0.68638414639206569</v>
      </c>
      <c r="BF25">
        <f>Model!BN33</f>
        <v>0.68967827683835425</v>
      </c>
      <c r="BG25">
        <f>Model!BO33</f>
        <v>0.68057678179558145</v>
      </c>
      <c r="BH25">
        <f>Model!BP33</f>
        <v>0.57902074386914859</v>
      </c>
      <c r="BI25">
        <f>Model!BQ33</f>
        <v>0.47514609540856734</v>
      </c>
      <c r="BJ25">
        <f>Model!BR33</f>
        <v>0.41644392776731154</v>
      </c>
      <c r="BK25">
        <f>Model!BS33</f>
        <v>0.41896251176789701</v>
      </c>
      <c r="BL25">
        <f>Model!BT33</f>
        <v>0.33238606882477972</v>
      </c>
      <c r="BM25">
        <f>Model!BU33</f>
        <v>0.36224922180267427</v>
      </c>
      <c r="BN25">
        <f>Model!BV33</f>
        <v>0.24015753096254699</v>
      </c>
      <c r="BO25">
        <f>Model!BW33</f>
        <v>0.34140995419783016</v>
      </c>
      <c r="BP25">
        <f>Model!BX33</f>
        <v>0.33740829101177283</v>
      </c>
      <c r="BQ25">
        <f>Model!BY33</f>
        <v>0.37682091314139354</v>
      </c>
      <c r="BR25">
        <f>Model!BZ33</f>
        <v>0.38699627035911122</v>
      </c>
      <c r="BS25">
        <f>Model!CA33</f>
        <v>0.44896568559880068</v>
      </c>
      <c r="BT25">
        <f>Model!CB33</f>
        <v>0.44538422761971197</v>
      </c>
      <c r="BU25">
        <f>Model!CC33</f>
        <v>0.36946134135681064</v>
      </c>
      <c r="BV25">
        <f>Model!CD33</f>
        <v>0.43847799131576215</v>
      </c>
      <c r="BW25">
        <f>Model!CE33</f>
        <v>0.37214899389753331</v>
      </c>
      <c r="BX25">
        <f>Model!CF33</f>
        <v>0.45462852526466602</v>
      </c>
      <c r="BY25">
        <f>Model!CG33</f>
        <v>0</v>
      </c>
      <c r="BZ25">
        <f>Model!CH33</f>
        <v>0</v>
      </c>
      <c r="CA25">
        <f>Model!CI33</f>
        <v>0</v>
      </c>
      <c r="CB25">
        <f>Model!CJ33</f>
        <v>0</v>
      </c>
      <c r="CC25">
        <f>Model!CK33</f>
        <v>0</v>
      </c>
      <c r="CD25">
        <f>Model!CL33</f>
        <v>0</v>
      </c>
      <c r="CE25">
        <f>Model!CM33</f>
        <v>0</v>
      </c>
      <c r="CF25">
        <f>Model!CN33</f>
        <v>0.55353463108194467</v>
      </c>
      <c r="CG25">
        <f>Model!CO33</f>
        <v>1.0924076460606567</v>
      </c>
      <c r="CH25">
        <f>Model!CP33</f>
        <v>0.85770277027463604</v>
      </c>
      <c r="CI25">
        <f>Model!CQ33</f>
        <v>0.83669948973451391</v>
      </c>
      <c r="CJ25">
        <f>Model!CR33</f>
        <v>1.1272765613066986</v>
      </c>
      <c r="CK25">
        <f>Model!CS33</f>
        <v>0.93532894071670025</v>
      </c>
      <c r="CL25">
        <f>Model!CT33</f>
        <v>0.69091144063489018</v>
      </c>
      <c r="CM25">
        <f>Model!CU33</f>
        <v>0.66037848098727836</v>
      </c>
      <c r="CN25">
        <f>Model!CV33</f>
        <v>0.4083961528093154</v>
      </c>
      <c r="CO25">
        <f>Model!CW33</f>
        <v>0.31939081606510666</v>
      </c>
      <c r="CP25">
        <f>Model!CX33</f>
        <v>0.4192289891769998</v>
      </c>
      <c r="CQ25">
        <f>Model!CY33</f>
        <v>0.40510059497355688</v>
      </c>
      <c r="CR25">
        <f>Model!CZ33</f>
        <v>0.33492952366480755</v>
      </c>
      <c r="CS25">
        <f>Model!DA33</f>
        <v>0.26637415160321343</v>
      </c>
      <c r="CT25">
        <f>Model!DB33</f>
        <v>0.22931440467650344</v>
      </c>
      <c r="CU25">
        <f>Model!DC33</f>
        <v>0.19854901949205517</v>
      </c>
      <c r="CV25">
        <f>Model!DD33</f>
        <v>0.17649289891494835</v>
      </c>
      <c r="CW25">
        <f>Model!DE33</f>
        <v>0.15860115639398464</v>
      </c>
      <c r="CX25">
        <f>Model!DF33</f>
        <v>0.15030229228640879</v>
      </c>
      <c r="CY25">
        <f>Model!DG33</f>
        <v>0</v>
      </c>
      <c r="CZ25">
        <f>Model!DH33</f>
        <v>0</v>
      </c>
    </row>
    <row r="26" spans="1:104">
      <c r="A26" t="str">
        <f>Model!I34</f>
        <v>Period-to-period change Y/Y</v>
      </c>
      <c r="B26">
        <f>Model!J34</f>
        <v>0</v>
      </c>
      <c r="C26">
        <f>Model!K34</f>
        <v>0</v>
      </c>
      <c r="D26">
        <f>Model!L34</f>
        <v>0</v>
      </c>
      <c r="E26">
        <f>Model!M34</f>
        <v>0</v>
      </c>
      <c r="F26">
        <f>Model!N34</f>
        <v>0</v>
      </c>
      <c r="G26">
        <f>Model!O34</f>
        <v>0</v>
      </c>
      <c r="H26">
        <f>Model!P34</f>
        <v>0</v>
      </c>
      <c r="I26">
        <f>Model!Q34</f>
        <v>0</v>
      </c>
      <c r="J26">
        <f>Model!R34</f>
        <v>0</v>
      </c>
      <c r="K26">
        <f>Model!S34</f>
        <v>0</v>
      </c>
      <c r="L26">
        <f>Model!T34</f>
        <v>0</v>
      </c>
      <c r="M26">
        <f>Model!U34</f>
        <v>0</v>
      </c>
      <c r="N26">
        <f>Model!V34</f>
        <v>0</v>
      </c>
      <c r="O26">
        <f>Model!W34</f>
        <v>0</v>
      </c>
      <c r="P26">
        <f>Model!X34</f>
        <v>0</v>
      </c>
      <c r="Q26">
        <f>Model!Y34</f>
        <v>0</v>
      </c>
      <c r="R26">
        <f>Model!Z34</f>
        <v>0</v>
      </c>
      <c r="S26">
        <f>Model!AA34</f>
        <v>0</v>
      </c>
      <c r="T26">
        <f>Model!AB34</f>
        <v>0</v>
      </c>
      <c r="U26">
        <f>Model!AC34</f>
        <v>0</v>
      </c>
      <c r="V26">
        <f>Model!AD34</f>
        <v>0</v>
      </c>
      <c r="W26">
        <f>Model!AE34</f>
        <v>0</v>
      </c>
      <c r="X26">
        <f>Model!AF34</f>
        <v>0</v>
      </c>
      <c r="Y26">
        <f>Model!AG34</f>
        <v>0</v>
      </c>
      <c r="Z26">
        <f>Model!AH34</f>
        <v>0</v>
      </c>
      <c r="AA26">
        <f>Model!AI34</f>
        <v>0</v>
      </c>
      <c r="AB26">
        <f>Model!AJ34</f>
        <v>0</v>
      </c>
      <c r="AC26">
        <f>Model!AK34</f>
        <v>31.608000000000033</v>
      </c>
      <c r="AD26">
        <f>Model!AL34</f>
        <v>49.088999999999942</v>
      </c>
      <c r="AE26">
        <f>Model!AM34</f>
        <v>80.010999999999967</v>
      </c>
      <c r="AF26">
        <f>Model!AN34</f>
        <v>60.635000000000048</v>
      </c>
      <c r="AG26">
        <f>Model!AO34</f>
        <v>77.263999999999982</v>
      </c>
      <c r="AH26">
        <f>Model!AP34</f>
        <v>98.832000000000079</v>
      </c>
      <c r="AI26">
        <f>Model!AQ34</f>
        <v>113.74700000000004</v>
      </c>
      <c r="AJ26">
        <f>Model!AR34</f>
        <v>44.912999999999982</v>
      </c>
      <c r="AK26">
        <f>Model!AS34</f>
        <v>27.226999999999975</v>
      </c>
      <c r="AL26">
        <f>Model!AT34</f>
        <v>51.512999999999977</v>
      </c>
      <c r="AM26">
        <f>Model!AU34</f>
        <v>117.92799999999994</v>
      </c>
      <c r="AN26">
        <f>Model!AV34</f>
        <v>108.12400000000008</v>
      </c>
      <c r="AO26">
        <f>Model!AW34</f>
        <v>110.78599999999989</v>
      </c>
      <c r="AP26">
        <f>Model!AX34</f>
        <v>140.94599999999991</v>
      </c>
      <c r="AQ26">
        <f>Model!AY34</f>
        <v>234.20199999999988</v>
      </c>
      <c r="AR26">
        <f>Model!AZ34</f>
        <v>166.97699999999998</v>
      </c>
      <c r="AS26">
        <f>Model!BA34</f>
        <v>186.69200000000018</v>
      </c>
      <c r="AT26">
        <f>Model!BB34</f>
        <v>303.04300000000018</v>
      </c>
      <c r="AU26">
        <f>Model!BC34</f>
        <v>431.94000000000028</v>
      </c>
      <c r="AV26">
        <f>Model!BD34</f>
        <v>244.53099999999995</v>
      </c>
      <c r="AW26">
        <f>Model!BE34</f>
        <v>237.47999999999996</v>
      </c>
      <c r="AX26">
        <f>Model!BF34</f>
        <v>254.91499999999996</v>
      </c>
      <c r="AY26">
        <f>Model!BG34</f>
        <v>296.35299999999984</v>
      </c>
      <c r="AZ26">
        <f>Model!BH34</f>
        <v>215.05300000000011</v>
      </c>
      <c r="BA26">
        <f>Model!BI34</f>
        <v>266.37699999999995</v>
      </c>
      <c r="BB26">
        <f>Model!BJ34</f>
        <v>351.59702399999992</v>
      </c>
      <c r="BC26">
        <f>Model!BK34</f>
        <v>529.72145499999988</v>
      </c>
      <c r="BD26">
        <f>Model!BL34</f>
        <v>342.80449999999985</v>
      </c>
      <c r="BE26">
        <f>Model!BM34</f>
        <v>331.17777500000034</v>
      </c>
      <c r="BF26">
        <f>Model!BN34</f>
        <v>460.31618649999996</v>
      </c>
      <c r="BG26">
        <f>Model!BO34</f>
        <v>580.2866182500004</v>
      </c>
      <c r="BH26">
        <f>Model!BP34</f>
        <v>274.77202499999999</v>
      </c>
      <c r="BI26">
        <f>Model!BQ34</f>
        <v>197.28961299999969</v>
      </c>
      <c r="BJ26">
        <f>Model!BR34</f>
        <v>139.67710525999996</v>
      </c>
      <c r="BK26">
        <f>Model!BS34</f>
        <v>295.03172878999931</v>
      </c>
      <c r="BL26">
        <f>Model!BT34</f>
        <v>183.99498299999982</v>
      </c>
      <c r="BM26">
        <f>Model!BU34</f>
        <v>330.86874715999966</v>
      </c>
      <c r="BN26">
        <f>Model!BV34</f>
        <v>319.2638421032002</v>
      </c>
      <c r="BO26">
        <f>Model!BW34</f>
        <v>626.71511614280053</v>
      </c>
      <c r="BP26">
        <f>Model!BX34</f>
        <v>381.80269556000007</v>
      </c>
      <c r="BQ26">
        <f>Model!BY34</f>
        <v>302.23655675800046</v>
      </c>
      <c r="BR26">
        <f>Model!BZ34</f>
        <v>509.03290789315952</v>
      </c>
      <c r="BS26">
        <f>Model!CA34</f>
        <v>772.25564590913928</v>
      </c>
      <c r="BT26">
        <f>Model!CB34</f>
        <v>480.08916017799993</v>
      </c>
      <c r="BU26">
        <f>Model!CC34</f>
        <v>451.07709774321302</v>
      </c>
      <c r="BV26">
        <f>Model!CD34</f>
        <v>597.80588817393527</v>
      </c>
      <c r="BW26">
        <f>Model!CE34</f>
        <v>617.00068646501313</v>
      </c>
      <c r="BX26">
        <f>Model!CF34</f>
        <v>594.84625114683195</v>
      </c>
      <c r="BY26">
        <f>Model!CG34</f>
        <v>0</v>
      </c>
      <c r="BZ26">
        <f>Model!CH34</f>
        <v>0</v>
      </c>
      <c r="CA26">
        <f>Model!CI34</f>
        <v>0</v>
      </c>
      <c r="CB26">
        <f>Model!CJ34</f>
        <v>0</v>
      </c>
      <c r="CC26">
        <f>Model!CK34</f>
        <v>0</v>
      </c>
      <c r="CD26">
        <f>Model!CL34</f>
        <v>0</v>
      </c>
      <c r="CE26">
        <f>Model!CM34</f>
        <v>0</v>
      </c>
      <c r="CF26">
        <f>Model!CN34</f>
        <v>221.34299999999951</v>
      </c>
      <c r="CG26">
        <f>Model!CO34</f>
        <v>334.75600000000043</v>
      </c>
      <c r="CH26">
        <f>Model!CP34</f>
        <v>304.7919999999998</v>
      </c>
      <c r="CI26">
        <f>Model!CQ34</f>
        <v>652.91099999999983</v>
      </c>
      <c r="CJ26">
        <f>Model!CR34</f>
        <v>1166.2060000000008</v>
      </c>
      <c r="CK26">
        <f>Model!CS34</f>
        <v>1003.8010000000004</v>
      </c>
      <c r="CL26">
        <f>Model!CT34</f>
        <v>1490.4999789999997</v>
      </c>
      <c r="CM26">
        <f>Model!CU34</f>
        <v>1646.5526047499989</v>
      </c>
      <c r="CN26">
        <f>Model!CV34</f>
        <v>815.99343004999992</v>
      </c>
      <c r="CO26">
        <f>Model!CW34</f>
        <v>1658.6504009659993</v>
      </c>
      <c r="CP26">
        <f>Model!CX34</f>
        <v>2063.6142707382987</v>
      </c>
      <c r="CQ26">
        <f>Model!CY34</f>
        <v>2260.7299235289938</v>
      </c>
      <c r="CR26">
        <f>Model!CZ34</f>
        <v>2000.2511685882055</v>
      </c>
      <c r="CS26">
        <f>Model!DA34</f>
        <v>1981.6714526819633</v>
      </c>
      <c r="CT26">
        <f>Model!DB34</f>
        <v>1901.2320170463317</v>
      </c>
      <c r="CU26">
        <f>Model!DC34</f>
        <v>1849.6671566317891</v>
      </c>
      <c r="CV26">
        <f>Model!DD34</f>
        <v>1817.6040880839355</v>
      </c>
      <c r="CW26">
        <f>Model!DE34</f>
        <v>1768.7727748083926</v>
      </c>
      <c r="CX26">
        <f>Model!DF34</f>
        <v>1906.9911453606583</v>
      </c>
      <c r="CY26">
        <f>Model!DG34</f>
        <v>0</v>
      </c>
      <c r="CZ26">
        <f>Model!DH34</f>
        <v>0</v>
      </c>
    </row>
    <row r="27" spans="1:104">
      <c r="A27">
        <f>Model!I35</f>
        <v>0</v>
      </c>
      <c r="B27">
        <f>Model!J35</f>
        <v>0</v>
      </c>
      <c r="C27">
        <f>Model!K35</f>
        <v>0</v>
      </c>
      <c r="D27">
        <f>Model!L35</f>
        <v>0</v>
      </c>
      <c r="E27">
        <f>Model!M35</f>
        <v>0</v>
      </c>
      <c r="F27">
        <f>Model!N35</f>
        <v>0</v>
      </c>
      <c r="G27">
        <f>Model!O35</f>
        <v>0</v>
      </c>
      <c r="H27">
        <f>Model!P35</f>
        <v>0</v>
      </c>
      <c r="I27">
        <f>Model!Q35</f>
        <v>0</v>
      </c>
      <c r="J27">
        <f>Model!R35</f>
        <v>0</v>
      </c>
      <c r="K27">
        <f>Model!S35</f>
        <v>0</v>
      </c>
      <c r="L27">
        <f>Model!T35</f>
        <v>0</v>
      </c>
      <c r="M27">
        <f>Model!U35</f>
        <v>0</v>
      </c>
      <c r="N27">
        <f>Model!V35</f>
        <v>0</v>
      </c>
      <c r="O27">
        <f>Model!W35</f>
        <v>0</v>
      </c>
      <c r="P27">
        <f>Model!X35</f>
        <v>0</v>
      </c>
      <c r="Q27">
        <f>Model!Y35</f>
        <v>0</v>
      </c>
      <c r="R27">
        <f>Model!Z35</f>
        <v>0</v>
      </c>
      <c r="S27">
        <f>Model!AA35</f>
        <v>0</v>
      </c>
      <c r="T27">
        <f>Model!AB35</f>
        <v>0</v>
      </c>
      <c r="U27">
        <f>Model!AC35</f>
        <v>0</v>
      </c>
      <c r="V27">
        <f>Model!AD35</f>
        <v>0</v>
      </c>
      <c r="W27">
        <f>Model!AE35</f>
        <v>0</v>
      </c>
      <c r="X27">
        <f>Model!AF35</f>
        <v>0</v>
      </c>
      <c r="Y27">
        <f>Model!AG35</f>
        <v>0</v>
      </c>
      <c r="Z27">
        <f>Model!AH35</f>
        <v>0</v>
      </c>
      <c r="AA27">
        <f>Model!AI35</f>
        <v>0</v>
      </c>
      <c r="AB27">
        <f>Model!AJ35</f>
        <v>0</v>
      </c>
      <c r="AC27">
        <f>Model!AK35</f>
        <v>0</v>
      </c>
      <c r="AD27">
        <f>Model!AL35</f>
        <v>0</v>
      </c>
      <c r="AE27">
        <f>Model!AM35</f>
        <v>0</v>
      </c>
      <c r="AF27">
        <f>Model!AN35</f>
        <v>0</v>
      </c>
      <c r="AG27">
        <f>Model!AO35</f>
        <v>0</v>
      </c>
      <c r="AH27">
        <f>Model!AP35</f>
        <v>0</v>
      </c>
      <c r="AI27">
        <f>Model!AQ35</f>
        <v>0</v>
      </c>
      <c r="AJ27">
        <f>Model!AR35</f>
        <v>0</v>
      </c>
      <c r="AK27">
        <f>Model!AS35</f>
        <v>0</v>
      </c>
      <c r="AL27">
        <f>Model!AT35</f>
        <v>0</v>
      </c>
      <c r="AM27">
        <f>Model!AU35</f>
        <v>0</v>
      </c>
      <c r="AN27">
        <f>Model!AV35</f>
        <v>0</v>
      </c>
      <c r="AO27">
        <f>Model!AW35</f>
        <v>0</v>
      </c>
      <c r="AP27">
        <f>Model!AX35</f>
        <v>0</v>
      </c>
      <c r="AQ27">
        <f>Model!AY35</f>
        <v>0</v>
      </c>
      <c r="AR27">
        <f>Model!AZ35</f>
        <v>0</v>
      </c>
      <c r="AS27">
        <f>Model!BA35</f>
        <v>0</v>
      </c>
      <c r="AT27">
        <f>Model!BB35</f>
        <v>0</v>
      </c>
      <c r="AU27">
        <f>Model!BC35</f>
        <v>0</v>
      </c>
      <c r="AV27">
        <f>Model!BD35</f>
        <v>0</v>
      </c>
      <c r="AW27">
        <f>Model!BE35</f>
        <v>0</v>
      </c>
      <c r="AX27">
        <f>Model!BF35</f>
        <v>0</v>
      </c>
      <c r="AY27">
        <f>Model!BG35</f>
        <v>0</v>
      </c>
      <c r="AZ27">
        <f>Model!BH35</f>
        <v>0</v>
      </c>
      <c r="BA27">
        <f>Model!BI35</f>
        <v>0</v>
      </c>
      <c r="BB27">
        <f>Model!BJ35</f>
        <v>0</v>
      </c>
      <c r="BC27">
        <f>Model!BK35</f>
        <v>0</v>
      </c>
      <c r="BD27">
        <f>Model!BL35</f>
        <v>0</v>
      </c>
      <c r="BE27">
        <f>Model!BM35</f>
        <v>0</v>
      </c>
      <c r="BF27">
        <f>Model!BN35</f>
        <v>0</v>
      </c>
      <c r="BG27">
        <f>Model!BO35</f>
        <v>0</v>
      </c>
      <c r="BH27">
        <f>Model!BP35</f>
        <v>0</v>
      </c>
      <c r="BI27">
        <f>Model!BQ35</f>
        <v>0</v>
      </c>
      <c r="BJ27">
        <f>Model!BR35</f>
        <v>0</v>
      </c>
      <c r="BK27">
        <f>Model!BS35</f>
        <v>0</v>
      </c>
      <c r="BL27">
        <f>Model!BT35</f>
        <v>0</v>
      </c>
      <c r="BM27">
        <f>Model!BU35</f>
        <v>0</v>
      </c>
      <c r="BN27">
        <f>Model!BV35</f>
        <v>0</v>
      </c>
      <c r="BO27">
        <f>Model!BW35</f>
        <v>0</v>
      </c>
      <c r="BP27">
        <f>Model!BX35</f>
        <v>0</v>
      </c>
      <c r="BQ27">
        <f>Model!BY35</f>
        <v>0</v>
      </c>
      <c r="BR27">
        <f>Model!BZ35</f>
        <v>0</v>
      </c>
      <c r="BS27">
        <f>Model!CA35</f>
        <v>0</v>
      </c>
      <c r="BT27">
        <f>Model!CB35</f>
        <v>0</v>
      </c>
      <c r="BU27">
        <f>Model!CC35</f>
        <v>0</v>
      </c>
      <c r="BV27">
        <f>Model!CD35</f>
        <v>0</v>
      </c>
      <c r="BW27">
        <f>Model!CE35</f>
        <v>0</v>
      </c>
      <c r="BX27">
        <f>Model!CF35</f>
        <v>0</v>
      </c>
      <c r="BY27">
        <f>Model!CG35</f>
        <v>0</v>
      </c>
      <c r="BZ27">
        <f>Model!CH35</f>
        <v>0</v>
      </c>
      <c r="CA27">
        <f>Model!CI35</f>
        <v>0</v>
      </c>
      <c r="CB27">
        <f>Model!CJ35</f>
        <v>0</v>
      </c>
      <c r="CC27">
        <f>Model!CK35</f>
        <v>0</v>
      </c>
      <c r="CD27">
        <f>Model!CL35</f>
        <v>0</v>
      </c>
      <c r="CE27">
        <f>Model!CM35</f>
        <v>0</v>
      </c>
      <c r="CF27">
        <f>Model!CN35</f>
        <v>0</v>
      </c>
      <c r="CG27">
        <f>Model!CO35</f>
        <v>0</v>
      </c>
      <c r="CH27">
        <f>Model!CP35</f>
        <v>0</v>
      </c>
      <c r="CI27">
        <f>Model!CQ35</f>
        <v>0</v>
      </c>
      <c r="CJ27">
        <f>Model!CR35</f>
        <v>0</v>
      </c>
      <c r="CK27">
        <f>Model!CS35</f>
        <v>0</v>
      </c>
      <c r="CL27">
        <f>Model!CT35</f>
        <v>0</v>
      </c>
      <c r="CM27">
        <f>Model!CU35</f>
        <v>0</v>
      </c>
      <c r="CN27">
        <f>Model!CV35</f>
        <v>0</v>
      </c>
      <c r="CO27">
        <f>Model!CW35</f>
        <v>0</v>
      </c>
      <c r="CP27">
        <f>Model!CX35</f>
        <v>0</v>
      </c>
      <c r="CQ27">
        <f>Model!CY35</f>
        <v>0</v>
      </c>
      <c r="CR27">
        <f>Model!CZ35</f>
        <v>0</v>
      </c>
      <c r="CS27">
        <f>Model!DA35</f>
        <v>0</v>
      </c>
      <c r="CT27">
        <f>Model!DB35</f>
        <v>0</v>
      </c>
      <c r="CU27">
        <f>Model!DC35</f>
        <v>0</v>
      </c>
      <c r="CV27">
        <f>Model!DD35</f>
        <v>0</v>
      </c>
      <c r="CW27">
        <f>Model!DE35</f>
        <v>0</v>
      </c>
      <c r="CX27">
        <f>Model!DF35</f>
        <v>0</v>
      </c>
      <c r="CY27">
        <f>Model!DG35</f>
        <v>0</v>
      </c>
      <c r="CZ27">
        <f>Model!DH35</f>
        <v>0</v>
      </c>
    </row>
    <row r="28" spans="1:104">
      <c r="A28" t="str">
        <f>Model!I36</f>
        <v>Kayak Gross Profit</v>
      </c>
      <c r="B28">
        <f>Model!J36</f>
        <v>0</v>
      </c>
      <c r="C28">
        <f>Model!K36</f>
        <v>0</v>
      </c>
      <c r="D28">
        <f>Model!L36</f>
        <v>0</v>
      </c>
      <c r="E28">
        <f>Model!M36</f>
        <v>0</v>
      </c>
      <c r="F28">
        <f>Model!N36</f>
        <v>0</v>
      </c>
      <c r="G28">
        <f>Model!O36</f>
        <v>0</v>
      </c>
      <c r="H28">
        <f>Model!P36</f>
        <v>0</v>
      </c>
      <c r="I28">
        <f>Model!Q36</f>
        <v>0</v>
      </c>
      <c r="J28">
        <f>Model!R36</f>
        <v>0</v>
      </c>
      <c r="K28">
        <f>Model!S36</f>
        <v>0</v>
      </c>
      <c r="L28">
        <f>Model!T36</f>
        <v>0</v>
      </c>
      <c r="M28">
        <f>Model!U36</f>
        <v>0</v>
      </c>
      <c r="N28">
        <f>Model!V36</f>
        <v>0</v>
      </c>
      <c r="O28">
        <f>Model!W36</f>
        <v>0</v>
      </c>
      <c r="P28">
        <f>Model!X36</f>
        <v>0</v>
      </c>
      <c r="Q28">
        <f>Model!Y36</f>
        <v>0</v>
      </c>
      <c r="R28">
        <f>Model!Z36</f>
        <v>0</v>
      </c>
      <c r="S28">
        <f>Model!AA36</f>
        <v>0</v>
      </c>
      <c r="T28">
        <f>Model!AB36</f>
        <v>0</v>
      </c>
      <c r="U28">
        <f>Model!AC36</f>
        <v>0</v>
      </c>
      <c r="V28">
        <f>Model!AD36</f>
        <v>0</v>
      </c>
      <c r="W28">
        <f>Model!AE36</f>
        <v>0</v>
      </c>
      <c r="X28">
        <f>Model!AF36</f>
        <v>0</v>
      </c>
      <c r="Y28">
        <f>Model!AG36</f>
        <v>0</v>
      </c>
      <c r="Z28">
        <f>Model!AH36</f>
        <v>0</v>
      </c>
      <c r="AA28">
        <f>Model!AI36</f>
        <v>0</v>
      </c>
      <c r="AB28">
        <f>Model!AJ36</f>
        <v>0</v>
      </c>
      <c r="AC28">
        <f>Model!AK36</f>
        <v>0</v>
      </c>
      <c r="AD28">
        <f>Model!AL36</f>
        <v>0</v>
      </c>
      <c r="AE28">
        <f>Model!AM36</f>
        <v>0</v>
      </c>
      <c r="AF28">
        <f>Model!AN36</f>
        <v>0</v>
      </c>
      <c r="AG28">
        <f>Model!AO36</f>
        <v>0</v>
      </c>
      <c r="AH28">
        <f>Model!AP36</f>
        <v>0</v>
      </c>
      <c r="AI28">
        <f>Model!AQ36</f>
        <v>0</v>
      </c>
      <c r="AJ28">
        <f>Model!AR36</f>
        <v>0</v>
      </c>
      <c r="AK28">
        <f>Model!AS36</f>
        <v>0</v>
      </c>
      <c r="AL28">
        <f>Model!AT36</f>
        <v>0</v>
      </c>
      <c r="AM28">
        <f>Model!AU36</f>
        <v>0</v>
      </c>
      <c r="AN28">
        <f>Model!AV36</f>
        <v>0</v>
      </c>
      <c r="AO28">
        <f>Model!AW36</f>
        <v>0</v>
      </c>
      <c r="AP28">
        <f>Model!AX36</f>
        <v>0</v>
      </c>
      <c r="AQ28">
        <f>Model!AY36</f>
        <v>0</v>
      </c>
      <c r="AR28">
        <f>Model!AZ36</f>
        <v>0</v>
      </c>
      <c r="AS28">
        <f>Model!BA36</f>
        <v>0</v>
      </c>
      <c r="AT28">
        <f>Model!BB36</f>
        <v>0</v>
      </c>
      <c r="AU28">
        <f>Model!BC36</f>
        <v>0</v>
      </c>
      <c r="AV28">
        <f>Model!BD36</f>
        <v>0</v>
      </c>
      <c r="AW28">
        <f>Model!BE36</f>
        <v>0</v>
      </c>
      <c r="AX28">
        <f>Model!BF36</f>
        <v>0</v>
      </c>
      <c r="AY28">
        <f>Model!BG36</f>
        <v>0</v>
      </c>
      <c r="AZ28">
        <f>Model!BH36</f>
        <v>0</v>
      </c>
      <c r="BA28">
        <f>Model!BI36</f>
        <v>0</v>
      </c>
      <c r="BB28">
        <f>Model!BJ36</f>
        <v>28.115976000000003</v>
      </c>
      <c r="BC28">
        <f>Model!BK36</f>
        <v>62.842544999999994</v>
      </c>
      <c r="BD28">
        <f>Model!BL36</f>
        <v>50.746500000000005</v>
      </c>
      <c r="BE28">
        <f>Model!BM36</f>
        <v>65.628225</v>
      </c>
      <c r="BF28">
        <f>Model!BN36</f>
        <v>66.940789500000008</v>
      </c>
      <c r="BG28">
        <f>Model!BO36</f>
        <v>72.268926749999991</v>
      </c>
      <c r="BH28">
        <f>Model!BP36</f>
        <v>58.358474999999999</v>
      </c>
      <c r="BI28">
        <f>Model!BQ36</f>
        <v>73.503612000000004</v>
      </c>
      <c r="BJ28">
        <f>Model!BR36</f>
        <v>74.973684240000011</v>
      </c>
      <c r="BK28">
        <f>Model!BS36</f>
        <v>80.941197959999997</v>
      </c>
      <c r="BL28">
        <f>Model!BT36</f>
        <v>65.361491999999998</v>
      </c>
      <c r="BM28">
        <f>Model!BU36</f>
        <v>78.648864840000016</v>
      </c>
      <c r="BN28">
        <f>Model!BV36</f>
        <v>80.221842136800021</v>
      </c>
      <c r="BO28">
        <f>Model!BW36</f>
        <v>86.607081817199997</v>
      </c>
      <c r="BP28">
        <f>Model!BX36</f>
        <v>69.936796440000009</v>
      </c>
      <c r="BQ28">
        <f>Model!BY36</f>
        <v>82.581308082000021</v>
      </c>
      <c r="BR28">
        <f>Model!BZ36</f>
        <v>84.232934243640031</v>
      </c>
      <c r="BS28">
        <f>Model!CA36</f>
        <v>90.937435908059996</v>
      </c>
      <c r="BT28">
        <f>Model!CB36</f>
        <v>73.433636262000007</v>
      </c>
      <c r="BU28">
        <f>Model!CC36</f>
        <v>86.710373486100025</v>
      </c>
      <c r="BV28">
        <f>Model!CD36</f>
        <v>88.444580955822033</v>
      </c>
      <c r="BW28">
        <f>Model!CE36</f>
        <v>95.484307703463003</v>
      </c>
      <c r="BX28">
        <f>Model!CF36</f>
        <v>77.105318075100016</v>
      </c>
      <c r="BY28">
        <f>Model!CG36</f>
        <v>0</v>
      </c>
      <c r="BZ28">
        <f>Model!CH36</f>
        <v>0</v>
      </c>
      <c r="CA28">
        <f>Model!CI36</f>
        <v>0</v>
      </c>
      <c r="CB28">
        <f>Model!CJ36</f>
        <v>0</v>
      </c>
      <c r="CC28">
        <f>Model!CK36</f>
        <v>0</v>
      </c>
      <c r="CD28">
        <f>Model!CL36</f>
        <v>0</v>
      </c>
      <c r="CE28">
        <f>Model!CM36</f>
        <v>0</v>
      </c>
      <c r="CF28">
        <f>Model!CN36</f>
        <v>0</v>
      </c>
      <c r="CG28">
        <f>Model!CO36</f>
        <v>0</v>
      </c>
      <c r="CH28">
        <f>Model!CP36</f>
        <v>0</v>
      </c>
      <c r="CI28">
        <f>Model!CQ36</f>
        <v>0</v>
      </c>
      <c r="CJ28">
        <f>Model!CR36</f>
        <v>0</v>
      </c>
      <c r="CK28">
        <f>Model!CS36</f>
        <v>0</v>
      </c>
      <c r="CL28">
        <f>Model!CT36</f>
        <v>141.70502099999999</v>
      </c>
      <c r="CM28">
        <f>Model!CU36</f>
        <v>263.19641624999997</v>
      </c>
      <c r="CN28">
        <f>Model!CV36</f>
        <v>294.7799862</v>
      </c>
      <c r="CO28">
        <f>Model!CW36</f>
        <v>315.41458523400001</v>
      </c>
      <c r="CP28">
        <f>Model!CX36</f>
        <v>331.18531449570008</v>
      </c>
      <c r="CQ28">
        <f>Model!CY36</f>
        <v>347.74458022048503</v>
      </c>
      <c r="CR28">
        <f>Model!CZ36</f>
        <v>365.13180923150924</v>
      </c>
      <c r="CS28">
        <f>Model!DA36</f>
        <v>383.38839969308464</v>
      </c>
      <c r="CT28">
        <f>Model!DB36</f>
        <v>402.55781967773879</v>
      </c>
      <c r="CU28">
        <f>Model!DC36</f>
        <v>422.68571066162565</v>
      </c>
      <c r="CV28">
        <f>Model!DD36</f>
        <v>443.81999619470685</v>
      </c>
      <c r="CW28">
        <f>Model!DE36</f>
        <v>466.01099600444212</v>
      </c>
      <c r="CX28">
        <f>Model!DF36</f>
        <v>489.31154580466415</v>
      </c>
      <c r="CY28">
        <f>Model!DG36</f>
        <v>0</v>
      </c>
      <c r="CZ28">
        <f>Model!DH36</f>
        <v>5.3969867531071358E-2</v>
      </c>
    </row>
    <row r="29" spans="1:104">
      <c r="A29" t="str">
        <f>Model!I37</f>
        <v>OpenTable Gross Profit</v>
      </c>
      <c r="B29">
        <f>Model!J37</f>
        <v>0</v>
      </c>
      <c r="C29">
        <f>Model!K37</f>
        <v>0</v>
      </c>
      <c r="D29">
        <f>Model!L37</f>
        <v>0</v>
      </c>
      <c r="E29">
        <f>Model!M37</f>
        <v>0</v>
      </c>
      <c r="F29">
        <f>Model!N37</f>
        <v>0</v>
      </c>
      <c r="G29">
        <f>Model!O37</f>
        <v>0</v>
      </c>
      <c r="H29">
        <f>Model!P37</f>
        <v>0</v>
      </c>
      <c r="I29">
        <f>Model!Q37</f>
        <v>0</v>
      </c>
      <c r="J29">
        <f>Model!R37</f>
        <v>0</v>
      </c>
      <c r="K29">
        <f>Model!S37</f>
        <v>0</v>
      </c>
      <c r="L29">
        <f>Model!T37</f>
        <v>0</v>
      </c>
      <c r="M29">
        <f>Model!U37</f>
        <v>0</v>
      </c>
      <c r="N29">
        <f>Model!V37</f>
        <v>0</v>
      </c>
      <c r="O29">
        <f>Model!W37</f>
        <v>0</v>
      </c>
      <c r="P29">
        <f>Model!X37</f>
        <v>0</v>
      </c>
      <c r="Q29">
        <f>Model!Y37</f>
        <v>0</v>
      </c>
      <c r="R29">
        <f>Model!Z37</f>
        <v>0</v>
      </c>
      <c r="S29">
        <f>Model!AA37</f>
        <v>0</v>
      </c>
      <c r="T29">
        <f>Model!AB37</f>
        <v>0</v>
      </c>
      <c r="U29">
        <f>Model!AC37</f>
        <v>0</v>
      </c>
      <c r="V29">
        <f>Model!AD37</f>
        <v>0</v>
      </c>
      <c r="W29">
        <f>Model!AE37</f>
        <v>0</v>
      </c>
      <c r="X29">
        <f>Model!AF37</f>
        <v>0</v>
      </c>
      <c r="Y29">
        <f>Model!AG37</f>
        <v>0</v>
      </c>
      <c r="Z29">
        <f>Model!AH37</f>
        <v>0</v>
      </c>
      <c r="AA29">
        <f>Model!AI37</f>
        <v>0</v>
      </c>
      <c r="AB29">
        <f>Model!AJ37</f>
        <v>0</v>
      </c>
      <c r="AC29">
        <f>Model!AK37</f>
        <v>0</v>
      </c>
      <c r="AD29">
        <f>Model!AL37</f>
        <v>0</v>
      </c>
      <c r="AE29">
        <f>Model!AM37</f>
        <v>0</v>
      </c>
      <c r="AF29">
        <f>Model!AN37</f>
        <v>0</v>
      </c>
      <c r="AG29">
        <f>Model!AO37</f>
        <v>0</v>
      </c>
      <c r="AH29">
        <f>Model!AP37</f>
        <v>0</v>
      </c>
      <c r="AI29">
        <f>Model!AQ37</f>
        <v>0</v>
      </c>
      <c r="AJ29">
        <f>Model!AR37</f>
        <v>0</v>
      </c>
      <c r="AK29">
        <f>Model!AS37</f>
        <v>0</v>
      </c>
      <c r="AL29">
        <f>Model!AT37</f>
        <v>0</v>
      </c>
      <c r="AM29">
        <f>Model!AU37</f>
        <v>0</v>
      </c>
      <c r="AN29">
        <f>Model!AV37</f>
        <v>0</v>
      </c>
      <c r="AO29">
        <f>Model!AW37</f>
        <v>0</v>
      </c>
      <c r="AP29">
        <f>Model!AX37</f>
        <v>0</v>
      </c>
      <c r="AQ29">
        <f>Model!AY37</f>
        <v>0</v>
      </c>
      <c r="AR29">
        <f>Model!AZ37</f>
        <v>0</v>
      </c>
      <c r="AS29">
        <f>Model!BA37</f>
        <v>0</v>
      </c>
      <c r="AT29">
        <f>Model!BB37</f>
        <v>0</v>
      </c>
      <c r="AU29">
        <f>Model!BC37</f>
        <v>0</v>
      </c>
      <c r="AV29">
        <f>Model!BD37</f>
        <v>0</v>
      </c>
      <c r="AW29">
        <f>Model!BE37</f>
        <v>0</v>
      </c>
      <c r="AX29">
        <f>Model!BF37</f>
        <v>0</v>
      </c>
      <c r="AY29">
        <f>Model!BG37</f>
        <v>0</v>
      </c>
      <c r="AZ29">
        <f>Model!BH37</f>
        <v>0</v>
      </c>
      <c r="BA29">
        <f>Model!BI37</f>
        <v>0</v>
      </c>
      <c r="BB29">
        <f>Model!BJ37</f>
        <v>0</v>
      </c>
      <c r="BC29">
        <f>Model!BK37</f>
        <v>0</v>
      </c>
      <c r="BD29">
        <f>Model!BL37</f>
        <v>0</v>
      </c>
      <c r="BE29">
        <f>Model!BM37</f>
        <v>0</v>
      </c>
      <c r="BF29">
        <f>Model!BN37</f>
        <v>0</v>
      </c>
      <c r="BG29">
        <f>Model!BO37</f>
        <v>41.2</v>
      </c>
      <c r="BH29">
        <f>Model!BP37</f>
        <v>59</v>
      </c>
      <c r="BI29">
        <f>Model!BQ37</f>
        <v>60.6</v>
      </c>
      <c r="BJ29">
        <f>Model!BR37</f>
        <v>62.2</v>
      </c>
      <c r="BK29">
        <f>Model!BS37</f>
        <v>64.8</v>
      </c>
      <c r="BL29">
        <f>Model!BT37</f>
        <v>72.7</v>
      </c>
      <c r="BM29">
        <f>Model!BU37</f>
        <v>71.8</v>
      </c>
      <c r="BN29">
        <f>Model!BV37</f>
        <v>74.599999999999994</v>
      </c>
      <c r="BO29">
        <f>Model!BW37</f>
        <v>74.2</v>
      </c>
      <c r="BP29">
        <f>Model!BX37</f>
        <v>83.3</v>
      </c>
      <c r="BQ29">
        <f>Model!BY37</f>
        <v>80.416000000000011</v>
      </c>
      <c r="BR29">
        <f>Model!BZ37</f>
        <v>83.552000000000007</v>
      </c>
      <c r="BS29">
        <f>Model!CA37</f>
        <v>83.104000000000013</v>
      </c>
      <c r="BT29">
        <f>Model!CB37</f>
        <v>93.296000000000006</v>
      </c>
      <c r="BU29">
        <f>Model!CC37</f>
        <v>88.457600000000014</v>
      </c>
      <c r="BV29">
        <f>Model!CD37</f>
        <v>91.907200000000017</v>
      </c>
      <c r="BW29">
        <f>Model!CE37</f>
        <v>91.414400000000029</v>
      </c>
      <c r="BX29">
        <f>Model!CF37</f>
        <v>102.62560000000002</v>
      </c>
      <c r="BY29">
        <f>Model!CG37</f>
        <v>0</v>
      </c>
      <c r="BZ29">
        <f>Model!CH37</f>
        <v>0</v>
      </c>
      <c r="CA29">
        <f>Model!CI37</f>
        <v>0</v>
      </c>
      <c r="CB29">
        <f>Model!CJ37</f>
        <v>0</v>
      </c>
      <c r="CC29">
        <f>Model!CK37</f>
        <v>0</v>
      </c>
      <c r="CD29">
        <f>Model!CL37</f>
        <v>0</v>
      </c>
      <c r="CE29">
        <f>Model!CM37</f>
        <v>0</v>
      </c>
      <c r="CF29">
        <f>Model!CN37</f>
        <v>0</v>
      </c>
      <c r="CG29">
        <f>Model!CO37</f>
        <v>0</v>
      </c>
      <c r="CH29">
        <f>Model!CP37</f>
        <v>0</v>
      </c>
      <c r="CI29">
        <f>Model!CQ37</f>
        <v>0</v>
      </c>
      <c r="CJ29">
        <f>Model!CR37</f>
        <v>0</v>
      </c>
      <c r="CK29">
        <f>Model!CS37</f>
        <v>0</v>
      </c>
      <c r="CL29">
        <f>Model!CT37</f>
        <v>0</v>
      </c>
      <c r="CM29">
        <f>Model!CU37</f>
        <v>100.2</v>
      </c>
      <c r="CN29">
        <f>Model!CV37</f>
        <v>260.3</v>
      </c>
      <c r="CO29">
        <f>Model!CW37</f>
        <v>303.89999999999998</v>
      </c>
      <c r="CP29">
        <f>Model!CX37</f>
        <v>340.36800000000005</v>
      </c>
      <c r="CQ29">
        <f>Model!CY37</f>
        <v>374.40480000000008</v>
      </c>
      <c r="CR29">
        <f>Model!CZ37</f>
        <v>404.35718400000013</v>
      </c>
      <c r="CS29">
        <f>Model!DA37</f>
        <v>436.70575872000018</v>
      </c>
      <c r="CT29">
        <f>Model!DB37</f>
        <v>471.64221941760024</v>
      </c>
      <c r="CU29">
        <f>Model!DC37</f>
        <v>509.37359697100828</v>
      </c>
      <c r="CV29">
        <f>Model!DD37</f>
        <v>550.12348472868894</v>
      </c>
      <c r="CW29">
        <f>Model!DE37</f>
        <v>594.1333635069841</v>
      </c>
      <c r="CX29">
        <f>Model!DF37</f>
        <v>641.66403258754292</v>
      </c>
      <c r="CY29">
        <f>Model!DG37</f>
        <v>0</v>
      </c>
      <c r="CZ29">
        <f>Model!DH37</f>
        <v>0.10902912127280384</v>
      </c>
    </row>
    <row r="31" spans="1:104">
      <c r="A31">
        <f>Model!I38</f>
        <v>0</v>
      </c>
      <c r="B31">
        <f>Model!J38</f>
        <v>0</v>
      </c>
      <c r="C31">
        <f>Model!K38</f>
        <v>0</v>
      </c>
      <c r="D31">
        <f>Model!L38</f>
        <v>0</v>
      </c>
      <c r="E31">
        <f>Model!M38</f>
        <v>0</v>
      </c>
      <c r="F31">
        <f>Model!N38</f>
        <v>0</v>
      </c>
      <c r="G31">
        <f>Model!O38</f>
        <v>0</v>
      </c>
      <c r="H31">
        <f>Model!P38</f>
        <v>0</v>
      </c>
      <c r="I31">
        <f>Model!Q38</f>
        <v>0</v>
      </c>
      <c r="J31">
        <f>Model!R38</f>
        <v>0</v>
      </c>
      <c r="K31">
        <f>Model!S38</f>
        <v>0</v>
      </c>
      <c r="L31">
        <f>Model!T38</f>
        <v>0</v>
      </c>
      <c r="M31">
        <f>Model!U38</f>
        <v>0</v>
      </c>
      <c r="N31">
        <f>Model!V38</f>
        <v>0</v>
      </c>
      <c r="O31">
        <f>Model!W38</f>
        <v>0</v>
      </c>
      <c r="P31">
        <f>Model!X38</f>
        <v>0</v>
      </c>
      <c r="Q31">
        <f>Model!Y38</f>
        <v>0</v>
      </c>
      <c r="R31">
        <f>Model!Z38</f>
        <v>0</v>
      </c>
      <c r="S31">
        <f>Model!AA38</f>
        <v>0</v>
      </c>
      <c r="T31">
        <f>Model!AB38</f>
        <v>0</v>
      </c>
      <c r="U31">
        <f>Model!AC38</f>
        <v>0</v>
      </c>
      <c r="V31">
        <f>Model!AD38</f>
        <v>0</v>
      </c>
      <c r="W31">
        <f>Model!AE38</f>
        <v>0</v>
      </c>
      <c r="X31">
        <f>Model!AF38</f>
        <v>0</v>
      </c>
      <c r="Y31">
        <f>Model!AG38</f>
        <v>0</v>
      </c>
      <c r="Z31">
        <f>Model!AH38</f>
        <v>0</v>
      </c>
      <c r="AA31">
        <f>Model!AI38</f>
        <v>0</v>
      </c>
      <c r="AB31">
        <f>Model!AJ38</f>
        <v>0</v>
      </c>
      <c r="AC31">
        <f>Model!AK38</f>
        <v>0</v>
      </c>
      <c r="AD31">
        <f>Model!AL38</f>
        <v>0</v>
      </c>
      <c r="AE31">
        <f>Model!AM38</f>
        <v>0</v>
      </c>
      <c r="AF31">
        <f>Model!AN38</f>
        <v>0</v>
      </c>
      <c r="AG31">
        <f>Model!AO38</f>
        <v>0</v>
      </c>
      <c r="AH31">
        <f>Model!AP38</f>
        <v>0</v>
      </c>
      <c r="AI31">
        <f>Model!AQ38</f>
        <v>0</v>
      </c>
      <c r="AJ31">
        <f>Model!AR38</f>
        <v>0</v>
      </c>
      <c r="AK31">
        <f>Model!AS38</f>
        <v>0</v>
      </c>
      <c r="AL31">
        <f>Model!AT38</f>
        <v>0</v>
      </c>
      <c r="AM31">
        <f>Model!AU38</f>
        <v>0</v>
      </c>
      <c r="AN31">
        <f>Model!AV38</f>
        <v>0</v>
      </c>
      <c r="AO31">
        <f>Model!AW38</f>
        <v>0</v>
      </c>
      <c r="AP31">
        <f>Model!AX38</f>
        <v>0</v>
      </c>
      <c r="AQ31">
        <f>Model!AY38</f>
        <v>0</v>
      </c>
      <c r="AR31">
        <f>Model!AZ38</f>
        <v>0</v>
      </c>
      <c r="AS31">
        <f>Model!BA38</f>
        <v>0</v>
      </c>
      <c r="AT31">
        <f>Model!BB38</f>
        <v>0</v>
      </c>
      <c r="AU31">
        <f>Model!BC38</f>
        <v>0</v>
      </c>
      <c r="AV31">
        <f>Model!BD38</f>
        <v>0</v>
      </c>
      <c r="AW31">
        <f>Model!BE38</f>
        <v>0</v>
      </c>
      <c r="AX31">
        <f>Model!BF38</f>
        <v>0</v>
      </c>
      <c r="AY31">
        <f>Model!BG38</f>
        <v>0</v>
      </c>
      <c r="AZ31">
        <f>Model!BH38</f>
        <v>0</v>
      </c>
      <c r="BA31">
        <f>Model!BI38</f>
        <v>0</v>
      </c>
      <c r="BB31">
        <f>Model!BJ38</f>
        <v>0</v>
      </c>
      <c r="BC31">
        <f>Model!BK38</f>
        <v>0</v>
      </c>
      <c r="BD31">
        <f>Model!BL38</f>
        <v>0</v>
      </c>
      <c r="BE31">
        <f>Model!BM38</f>
        <v>0</v>
      </c>
      <c r="BF31">
        <f>Model!BN38</f>
        <v>0</v>
      </c>
      <c r="BG31">
        <f>Model!BO38</f>
        <v>0</v>
      </c>
      <c r="BH31">
        <f>Model!BP38</f>
        <v>0</v>
      </c>
      <c r="BJ31">
        <f>Model!BR38</f>
        <v>0</v>
      </c>
      <c r="BK31">
        <f>Model!BS38</f>
        <v>0</v>
      </c>
      <c r="BL31">
        <f>Model!BT38</f>
        <v>0</v>
      </c>
      <c r="BM31">
        <f>Model!BU38</f>
        <v>0</v>
      </c>
      <c r="BN31">
        <f>Model!BV38</f>
        <v>0</v>
      </c>
      <c r="BO31">
        <f>Model!BW38</f>
        <v>0</v>
      </c>
      <c r="BP31">
        <f>Model!BX38</f>
        <v>0</v>
      </c>
      <c r="BQ31">
        <f>Model!BY38</f>
        <v>0</v>
      </c>
      <c r="BR31">
        <f>Model!BZ38</f>
        <v>0</v>
      </c>
      <c r="BS31">
        <f>Model!CA38</f>
        <v>0</v>
      </c>
      <c r="BT31">
        <f>Model!CB38</f>
        <v>0</v>
      </c>
      <c r="BU31">
        <f>Model!CC38</f>
        <v>0</v>
      </c>
      <c r="BV31">
        <f>Model!CD38</f>
        <v>0</v>
      </c>
      <c r="BW31">
        <f>Model!CE38</f>
        <v>0</v>
      </c>
      <c r="BX31">
        <f>Model!CF38</f>
        <v>0</v>
      </c>
      <c r="BY31">
        <f>Model!CG38</f>
        <v>0</v>
      </c>
      <c r="BZ31">
        <f>Model!CH38</f>
        <v>0</v>
      </c>
      <c r="CA31">
        <f>Model!CI38</f>
        <v>0</v>
      </c>
      <c r="CB31">
        <f>Model!CJ38</f>
        <v>0</v>
      </c>
      <c r="CC31">
        <f>Model!CK38</f>
        <v>0</v>
      </c>
      <c r="CD31">
        <f>Model!CL38</f>
        <v>0</v>
      </c>
      <c r="CE31">
        <f>Model!CM38</f>
        <v>0</v>
      </c>
      <c r="CF31">
        <f>Model!CN38</f>
        <v>0</v>
      </c>
      <c r="CG31">
        <f>Model!CO38</f>
        <v>0</v>
      </c>
      <c r="CH31">
        <f>Model!CP38</f>
        <v>0</v>
      </c>
      <c r="CI31">
        <f>Model!CQ38</f>
        <v>0</v>
      </c>
      <c r="CJ31">
        <f>Model!CR38</f>
        <v>0</v>
      </c>
      <c r="CK31">
        <f>Model!CS38</f>
        <v>0</v>
      </c>
      <c r="CL31">
        <f>Model!CT38</f>
        <v>0</v>
      </c>
      <c r="CM31">
        <f>Model!CU38</f>
        <v>0</v>
      </c>
      <c r="CN31">
        <f>Model!CV38</f>
        <v>0</v>
      </c>
      <c r="CO31">
        <f>Model!CW38</f>
        <v>0</v>
      </c>
      <c r="CP31">
        <f>Model!CX38</f>
        <v>0</v>
      </c>
      <c r="CQ31">
        <f>Model!CY38</f>
        <v>0</v>
      </c>
      <c r="CR31">
        <f>Model!CZ38</f>
        <v>0</v>
      </c>
      <c r="CS31">
        <f>Model!DA38</f>
        <v>0</v>
      </c>
      <c r="CT31">
        <f>Model!DB38</f>
        <v>0</v>
      </c>
      <c r="CU31">
        <f>Model!DC38</f>
        <v>0</v>
      </c>
      <c r="CV31">
        <f>Model!DD38</f>
        <v>0</v>
      </c>
      <c r="CW31">
        <f>Model!DE38</f>
        <v>0</v>
      </c>
      <c r="CX31">
        <f>Model!DF38</f>
        <v>0</v>
      </c>
      <c r="CY31">
        <f>Model!DG38</f>
        <v>0</v>
      </c>
      <c r="CZ31">
        <f>Model!DH38</f>
        <v>0</v>
      </c>
    </row>
    <row r="32" spans="1:104">
      <c r="A32" t="str">
        <f>Model!I39</f>
        <v>Total Gross Profit</v>
      </c>
      <c r="B32">
        <f>Model!J39</f>
        <v>0</v>
      </c>
      <c r="C32">
        <f>Model!K39</f>
        <v>0</v>
      </c>
      <c r="D32">
        <f>Model!L39</f>
        <v>0</v>
      </c>
      <c r="E32">
        <f>Model!M39</f>
        <v>43.115000000000002</v>
      </c>
      <c r="F32">
        <f>Model!N39</f>
        <v>60.106000000000002</v>
      </c>
      <c r="G32">
        <f>Model!O39</f>
        <v>50.432000000000002</v>
      </c>
      <c r="H32">
        <f>Model!P39</f>
        <v>39.253</v>
      </c>
      <c r="I32">
        <f>Model!Q39</f>
        <v>41.993000000000002</v>
      </c>
      <c r="J32">
        <f>Model!R39</f>
        <v>48.148000000000003</v>
      </c>
      <c r="K32">
        <f>Model!S39</f>
        <v>37.741</v>
      </c>
      <c r="L32">
        <f>Model!T39</f>
        <v>30.484000000000002</v>
      </c>
      <c r="M32">
        <f>Model!U39</f>
        <v>32.987000000000002</v>
      </c>
      <c r="N32">
        <f>Model!V39</f>
        <v>40.494</v>
      </c>
      <c r="O32">
        <f>Model!W39</f>
        <v>40.648000000000003</v>
      </c>
      <c r="P32">
        <f>Model!X39</f>
        <v>31.815999999999999</v>
      </c>
      <c r="Q32">
        <f>Model!Y39</f>
        <v>43.374000000000002</v>
      </c>
      <c r="R32">
        <f>Model!Z39</f>
        <v>54.607999999999997</v>
      </c>
      <c r="S32">
        <f>Model!AA39</f>
        <v>51.658000000000001</v>
      </c>
      <c r="T32">
        <f>Model!AB39</f>
        <v>51.499000000000002</v>
      </c>
      <c r="U32">
        <f>Model!AC39</f>
        <v>58.067999999999998</v>
      </c>
      <c r="V32">
        <f>Model!AD39</f>
        <v>65.573999999999998</v>
      </c>
      <c r="W32">
        <f>Model!AE39</f>
        <v>80.864999999999995</v>
      </c>
      <c r="X32">
        <f>Model!AF39</f>
        <v>65.343000000000004</v>
      </c>
      <c r="Y32">
        <f>Model!AG39</f>
        <v>72.230999999999995</v>
      </c>
      <c r="Z32">
        <f>Model!AH39</f>
        <v>105.804</v>
      </c>
      <c r="AA32">
        <f>Model!AI39</f>
        <v>122.32000000000002</v>
      </c>
      <c r="AB32">
        <f>Model!AJ39</f>
        <v>99.516999999999967</v>
      </c>
      <c r="AC32">
        <f>Model!AK39</f>
        <v>103.83900000000003</v>
      </c>
      <c r="AD32">
        <f>Model!AL39</f>
        <v>154.89299999999994</v>
      </c>
      <c r="AE32">
        <f>Model!AM39</f>
        <v>202.33099999999999</v>
      </c>
      <c r="AF32">
        <f>Model!AN39</f>
        <v>160.15200000000002</v>
      </c>
      <c r="AG32">
        <f>Model!AO39</f>
        <v>181.10300000000001</v>
      </c>
      <c r="AH32">
        <f>Model!AP39</f>
        <v>253.72500000000002</v>
      </c>
      <c r="AI32">
        <f>Model!AQ39</f>
        <v>316.07800000000003</v>
      </c>
      <c r="AJ32">
        <f>Model!AR39</f>
        <v>205.065</v>
      </c>
      <c r="AK32">
        <f>Model!AS39</f>
        <v>208.32999999999998</v>
      </c>
      <c r="AL32">
        <f>Model!AT39</f>
        <v>305.238</v>
      </c>
      <c r="AM32">
        <f>Model!AU39</f>
        <v>434.00599999999997</v>
      </c>
      <c r="AN32">
        <f>Model!AV39</f>
        <v>313.18900000000008</v>
      </c>
      <c r="AO32">
        <f>Model!AW39</f>
        <v>319.11599999999987</v>
      </c>
      <c r="AP32">
        <f>Model!AX39</f>
        <v>446.18399999999991</v>
      </c>
      <c r="AQ32">
        <f>Model!AY39</f>
        <v>668.20799999999986</v>
      </c>
      <c r="AR32">
        <f>Model!AZ39</f>
        <v>480.16600000000005</v>
      </c>
      <c r="AS32">
        <f>Model!BA39</f>
        <v>505.80800000000005</v>
      </c>
      <c r="AT32">
        <f>Model!BB39</f>
        <v>749.22700000000009</v>
      </c>
      <c r="AU32">
        <f>Model!BC39</f>
        <v>1100.1480000000001</v>
      </c>
      <c r="AV32">
        <f>Model!BD39</f>
        <v>724.697</v>
      </c>
      <c r="AW32">
        <f>Model!BE39</f>
        <v>743.28800000000001</v>
      </c>
      <c r="AX32">
        <f>Model!BF39</f>
        <v>1004.1420000000001</v>
      </c>
      <c r="AY32">
        <f>Model!BG39</f>
        <v>1396.501</v>
      </c>
      <c r="AZ32">
        <f>Model!BH39</f>
        <v>939.75000000000011</v>
      </c>
      <c r="BA32">
        <f>Model!BI39</f>
        <v>1009.665</v>
      </c>
      <c r="BB32">
        <f>Model!BJ39</f>
        <v>1383.855</v>
      </c>
      <c r="BC32">
        <f>Model!BK39</f>
        <v>1989.0649999999998</v>
      </c>
      <c r="BD32">
        <f>Model!BL39</f>
        <v>1333.3009999999999</v>
      </c>
      <c r="BE32">
        <f>Model!BM39</f>
        <v>1406.4710000000002</v>
      </c>
      <c r="BF32">
        <f>Model!BN39</f>
        <v>1882.9959999999999</v>
      </c>
      <c r="BG32">
        <f>Model!BO39</f>
        <v>2619.9780000000001</v>
      </c>
      <c r="BH32">
        <f>Model!BP39</f>
        <v>1674.6849999999999</v>
      </c>
      <c r="BI32">
        <f>Model!BQ39</f>
        <v>1672.2359999999999</v>
      </c>
      <c r="BJ32">
        <f>Model!BR39</f>
        <v>2092.9059999999999</v>
      </c>
      <c r="BK32">
        <f>Model!BS39</f>
        <v>2947.2819999999997</v>
      </c>
      <c r="BL32">
        <f>Model!BT39</f>
        <v>1879.3829999999998</v>
      </c>
      <c r="BM32">
        <f>Model!BU39</f>
        <v>2019.4499999999996</v>
      </c>
      <c r="BN32">
        <f>Model!BV39</f>
        <v>2429.8180000000002</v>
      </c>
      <c r="BO32">
        <f>Model!BW39</f>
        <v>3589.0630000000001</v>
      </c>
      <c r="BP32">
        <f>Model!BX39</f>
        <v>2276.3609999999999</v>
      </c>
      <c r="BQ32">
        <f>Model!BY39</f>
        <v>2334.2350000000001</v>
      </c>
      <c r="BR32">
        <f>Model!BZ39</f>
        <v>2951.8139999999999</v>
      </c>
      <c r="BS32">
        <f>Model!CA39</f>
        <v>4374.5529999999999</v>
      </c>
      <c r="BT32">
        <f>Model!CB39</f>
        <v>2769.9429999999998</v>
      </c>
      <c r="BU32">
        <f>Model!CC39</f>
        <v>2797.4827631473131</v>
      </c>
      <c r="BV32">
        <f>Model!CD39</f>
        <v>3562.1867348861169</v>
      </c>
      <c r="BW32">
        <f>Model!CE39</f>
        <v>5004.4109582604151</v>
      </c>
      <c r="BX32">
        <f>Model!CF39</f>
        <v>3377.7905329599316</v>
      </c>
      <c r="BY32">
        <f>Model!CG39</f>
        <v>0</v>
      </c>
      <c r="BZ32">
        <f>Model!CH39</f>
        <v>192.90600000000001</v>
      </c>
      <c r="CA32">
        <f>Model!CI39</f>
        <v>158.36600000000001</v>
      </c>
      <c r="CB32">
        <f>Model!CJ39</f>
        <v>145.94499999999999</v>
      </c>
      <c r="CC32">
        <f>Model!CK39</f>
        <v>201.13900000000001</v>
      </c>
      <c r="CD32">
        <f>Model!CL39</f>
        <v>269.85000000000002</v>
      </c>
      <c r="CE32">
        <f>Model!CM39</f>
        <v>399.87200000000018</v>
      </c>
      <c r="CF32">
        <f>Model!CN39</f>
        <v>621.21499999999969</v>
      </c>
      <c r="CG32">
        <f>Model!CO39</f>
        <v>955.97100000000012</v>
      </c>
      <c r="CH32">
        <f>Model!CP39</f>
        <v>1260.7629999999999</v>
      </c>
      <c r="CI32">
        <f>Model!CQ39</f>
        <v>1913.6739999999998</v>
      </c>
      <c r="CJ32">
        <f>Model!CR39</f>
        <v>3079.8800000000006</v>
      </c>
      <c r="CK32">
        <f>Model!CS39</f>
        <v>4083.6810000000009</v>
      </c>
      <c r="CL32">
        <f>Model!CT39</f>
        <v>5715.8860000000004</v>
      </c>
      <c r="CM32">
        <f>Model!CU39</f>
        <v>7584.1299999999992</v>
      </c>
      <c r="CN32">
        <f>Model!CV39</f>
        <v>8591.8069999999989</v>
      </c>
      <c r="CO32" s="2066">
        <f>Model!CW39</f>
        <v>10314.691999999999</v>
      </c>
      <c r="CP32" s="2066">
        <f>Model!CX39</f>
        <v>12430.544999999998</v>
      </c>
      <c r="CQ32">
        <f>Model!CY39</f>
        <v>14741.870989253777</v>
      </c>
      <c r="CR32">
        <f>Model!CZ39</f>
        <v>16789.461770853006</v>
      </c>
      <c r="CS32">
        <f>Model!DA39</f>
        <v>18821.738388716545</v>
      </c>
      <c r="CT32">
        <f>Model!DB39</f>
        <v>20777.076286445132</v>
      </c>
      <c r="CU32">
        <f>Model!DC39</f>
        <v>22684.602711614214</v>
      </c>
      <c r="CV32">
        <f>Model!DD39</f>
        <v>24564.090972988914</v>
      </c>
      <c r="CW32">
        <f>Model!DE39</f>
        <v>26399.064626385334</v>
      </c>
      <c r="CX32">
        <f>Model!DF39</f>
        <v>28376.886990626772</v>
      </c>
      <c r="CY32">
        <f>Model!DG39</f>
        <v>0.35034055558371602</v>
      </c>
      <c r="CZ32">
        <f>Model!DH39</f>
        <v>0.169809230745531</v>
      </c>
    </row>
    <row r="33" spans="1:104">
      <c r="A33" t="str">
        <f>Model!I40</f>
        <v>% change Y/Y</v>
      </c>
      <c r="B33">
        <f>Model!J40</f>
        <v>0</v>
      </c>
      <c r="C33">
        <f>Model!K40</f>
        <v>0</v>
      </c>
      <c r="D33">
        <f>Model!L40</f>
        <v>0</v>
      </c>
      <c r="E33">
        <f>Model!M40</f>
        <v>0</v>
      </c>
      <c r="F33">
        <f>Model!N40</f>
        <v>0</v>
      </c>
      <c r="G33">
        <f>Model!O40</f>
        <v>0</v>
      </c>
      <c r="H33">
        <f>Model!P40</f>
        <v>0</v>
      </c>
      <c r="I33">
        <f>Model!Q40</f>
        <v>-2.6023425721906523E-2</v>
      </c>
      <c r="J33">
        <f>Model!R40</f>
        <v>-0.19894852427378296</v>
      </c>
      <c r="K33">
        <f>Model!S40</f>
        <v>-0.25164578045685282</v>
      </c>
      <c r="L33">
        <f>Model!T40</f>
        <v>-0.2233969378136702</v>
      </c>
      <c r="M33">
        <f>Model!U40</f>
        <v>-0.21446431548115164</v>
      </c>
      <c r="N33">
        <f>Model!V40</f>
        <v>-0.15896818144055835</v>
      </c>
      <c r="O33">
        <f>Model!W40</f>
        <v>7.7024986089398784E-2</v>
      </c>
      <c r="P33">
        <f>Model!X40</f>
        <v>4.3695053142632112E-2</v>
      </c>
      <c r="Q33">
        <f>Model!Y40</f>
        <v>0.31488162003213382</v>
      </c>
      <c r="R33">
        <f>Model!Z40</f>
        <v>0.34854546352546056</v>
      </c>
      <c r="S33">
        <f>Model!AA40</f>
        <v>0.27086203503247375</v>
      </c>
      <c r="T33">
        <f>Model!AB40</f>
        <v>0.61865099321096317</v>
      </c>
      <c r="U33">
        <f>Model!AC40</f>
        <v>0.33877438096555523</v>
      </c>
      <c r="V33">
        <f>Model!AD40</f>
        <v>0.20081306768239093</v>
      </c>
      <c r="W33">
        <f>Model!AE40</f>
        <v>0.56539161407719996</v>
      </c>
      <c r="X33">
        <f>Model!AF40</f>
        <v>0.26882075380104475</v>
      </c>
      <c r="Y33">
        <f>Model!AG40</f>
        <v>0.24390369911138654</v>
      </c>
      <c r="Z33">
        <f>Model!AH40</f>
        <v>0.6135053527312655</v>
      </c>
      <c r="AA33">
        <f>Model!AI40</f>
        <v>0.51264453100847129</v>
      </c>
      <c r="AB33">
        <f>Model!AJ40</f>
        <v>0.52299404679919759</v>
      </c>
      <c r="AC33">
        <f>Model!AK40</f>
        <v>0.43759604601902269</v>
      </c>
      <c r="AD33">
        <f>Model!AL40</f>
        <v>0.46396166496540725</v>
      </c>
      <c r="AE33">
        <f>Model!AM40</f>
        <v>0.65411216481360324</v>
      </c>
      <c r="AF33">
        <f>Model!AN40</f>
        <v>0.60929288463277698</v>
      </c>
      <c r="AG33">
        <f>Model!AO40</f>
        <v>0.74407496220109937</v>
      </c>
      <c r="AH33">
        <f>Model!AP40</f>
        <v>0.63806627801127314</v>
      </c>
      <c r="AI33">
        <f>Model!AQ40</f>
        <v>0.56218275993298139</v>
      </c>
      <c r="AJ33">
        <f>Model!AR40</f>
        <v>0.28043983215944834</v>
      </c>
      <c r="AK33">
        <f>Model!AS40</f>
        <v>0.15033986184657344</v>
      </c>
      <c r="AL33">
        <f>Model!AT40</f>
        <v>0.20302689920189176</v>
      </c>
      <c r="AM33">
        <f>Model!AU40</f>
        <v>0.37309777966198188</v>
      </c>
      <c r="AN33">
        <f>Model!AV40</f>
        <v>0.52726696413332408</v>
      </c>
      <c r="AO33">
        <f>Model!AW40</f>
        <v>0.53178130850093552</v>
      </c>
      <c r="AP33">
        <f>Model!AX40</f>
        <v>0.46175771037682045</v>
      </c>
      <c r="AQ33">
        <f>Model!AY40</f>
        <v>0.53962848439883304</v>
      </c>
      <c r="AR33">
        <f>Model!AZ40</f>
        <v>0.53315090887610972</v>
      </c>
      <c r="AS33">
        <f>Model!BA40</f>
        <v>0.5850286416224828</v>
      </c>
      <c r="AT33">
        <f>Model!BB40</f>
        <v>0.67918840657665958</v>
      </c>
      <c r="AU33">
        <f>Model!BC40</f>
        <v>0.64641548739314758</v>
      </c>
      <c r="AV33">
        <f>Model!BD40</f>
        <v>0.50926346305236092</v>
      </c>
      <c r="AW33">
        <f>Model!BE40</f>
        <v>0.46950621579729845</v>
      </c>
      <c r="AX33">
        <f>Model!BF40</f>
        <v>0.34023733794964661</v>
      </c>
      <c r="AY33">
        <f>Model!BG40</f>
        <v>0.26937557492264652</v>
      </c>
      <c r="AZ33">
        <f>Model!BH40</f>
        <v>0.29674884813929148</v>
      </c>
      <c r="BA33">
        <f>Model!BI40</f>
        <v>0.35837656466941481</v>
      </c>
      <c r="BB33">
        <f>Model!BJ40</f>
        <v>0.37814671630108077</v>
      </c>
      <c r="BC33">
        <f>Model!BK40</f>
        <v>0.42432049815932804</v>
      </c>
      <c r="BD33">
        <f>Model!BL40</f>
        <v>0.41878265496142575</v>
      </c>
      <c r="BE33">
        <f>Model!BM40</f>
        <v>0.39300758172265082</v>
      </c>
      <c r="BF33">
        <f>Model!BN40</f>
        <v>0.36068880048849028</v>
      </c>
      <c r="BG33">
        <f>Model!BO40</f>
        <v>0.31719074037298944</v>
      </c>
      <c r="BH33">
        <f>Model!BP40</f>
        <v>0.25604420907207004</v>
      </c>
      <c r="BI33">
        <f>Model!BQ40</f>
        <v>0.18895874852734229</v>
      </c>
      <c r="BJ33">
        <f>Model!BR40</f>
        <v>0.11147660430505435</v>
      </c>
      <c r="BK33">
        <f>Model!BS40</f>
        <v>0.12492623983865503</v>
      </c>
      <c r="BL33">
        <f>Model!BT40</f>
        <v>0.12223074787198773</v>
      </c>
      <c r="BM33">
        <f>Model!BU40</f>
        <v>0.20763456832647997</v>
      </c>
      <c r="BN33">
        <f>Model!BV40</f>
        <v>0.16097808501671862</v>
      </c>
      <c r="BO33">
        <f>Model!BW40</f>
        <v>0.21775350984398534</v>
      </c>
      <c r="BP33">
        <f>Model!BX40</f>
        <v>0.21122783381567256</v>
      </c>
      <c r="BQ33">
        <f>Model!BY40</f>
        <v>0.15587660006437432</v>
      </c>
      <c r="BR33">
        <f>Model!BZ40</f>
        <v>0.21482925881691539</v>
      </c>
      <c r="BS33">
        <f>Model!CA40</f>
        <v>0.21885656507004736</v>
      </c>
      <c r="BT33">
        <f>Model!CB40</f>
        <v>0.21682940447494925</v>
      </c>
      <c r="BU33">
        <f>Model!CC40</f>
        <v>0.19845806576771952</v>
      </c>
      <c r="BV33">
        <f>Model!CD40</f>
        <v>0.20677886035031912</v>
      </c>
      <c r="BW33">
        <f>Model!CE40</f>
        <v>0.1439822441882439</v>
      </c>
      <c r="BX33">
        <f>Model!CF40</f>
        <v>0.21944405822066804</v>
      </c>
      <c r="BY33">
        <f>Model!CG40</f>
        <v>0</v>
      </c>
      <c r="BZ33">
        <f>Model!CH40</f>
        <v>0</v>
      </c>
      <c r="CA33">
        <f>Model!CI40</f>
        <v>-0.17905093672565908</v>
      </c>
      <c r="CB33">
        <f>Model!CJ40</f>
        <v>-7.8432239243272028E-2</v>
      </c>
      <c r="CC33">
        <f>Model!CK40</f>
        <v>0.37818356230086692</v>
      </c>
      <c r="CD33">
        <f>Model!CL40</f>
        <v>0.34160953370554692</v>
      </c>
      <c r="CE33">
        <f>Model!CM40</f>
        <v>0.48183064665554998</v>
      </c>
      <c r="CF33">
        <f>Model!CN40</f>
        <v>0.55353463108194467</v>
      </c>
      <c r="CG33">
        <f>Model!CO40</f>
        <v>0.53887301497871198</v>
      </c>
      <c r="CH33">
        <f>Model!CP40</f>
        <v>0.31882975529592406</v>
      </c>
      <c r="CI33">
        <f>Model!CQ40</f>
        <v>0.51786973443858986</v>
      </c>
      <c r="CJ33">
        <f>Model!CR40</f>
        <v>0.60940682686810876</v>
      </c>
      <c r="CK33">
        <f>Model!CS40</f>
        <v>0.32592211384859149</v>
      </c>
      <c r="CL33">
        <f>Model!CT40</f>
        <v>0.39968964275123331</v>
      </c>
      <c r="CM33">
        <f>Model!CU40</f>
        <v>0.32685116533114877</v>
      </c>
      <c r="CN33">
        <f>Model!CV40</f>
        <v>0.13286652523097575</v>
      </c>
      <c r="CO33">
        <f>Model!CW40</f>
        <v>0.20052650158459095</v>
      </c>
      <c r="CP33">
        <f>Model!CX40</f>
        <v>0.20513002230216859</v>
      </c>
      <c r="CQ33">
        <f>Model!CY40</f>
        <v>0.18593923188836681</v>
      </c>
      <c r="CR33">
        <f>Model!CZ40</f>
        <v>0.13889626242773656</v>
      </c>
      <c r="CS33">
        <f>Model!DA40</f>
        <v>0.12104477472837338</v>
      </c>
      <c r="CT33">
        <f>Model!DB40</f>
        <v>0.10388721048746441</v>
      </c>
      <c r="CU33">
        <f>Model!DC40</f>
        <v>9.1809184260132959E-2</v>
      </c>
      <c r="CV33">
        <f>Model!DD40</f>
        <v>8.285303848025638E-2</v>
      </c>
      <c r="CW33">
        <f>Model!DE40</f>
        <v>7.4701467903460772E-2</v>
      </c>
      <c r="CX33">
        <f>Model!DF40</f>
        <v>7.4920168279926314E-2</v>
      </c>
      <c r="CY33">
        <f>Model!DG40</f>
        <v>0</v>
      </c>
      <c r="CZ33">
        <f>Model!DH40</f>
        <v>0</v>
      </c>
    </row>
    <row r="34" spans="1:104">
      <c r="A34" t="str">
        <f>Model!I41</f>
        <v xml:space="preserve">Two Year Growth </v>
      </c>
      <c r="B34">
        <f>Model!J41</f>
        <v>0</v>
      </c>
      <c r="C34">
        <f>Model!K41</f>
        <v>0</v>
      </c>
      <c r="D34">
        <f>Model!L41</f>
        <v>0</v>
      </c>
      <c r="E34">
        <f>Model!M41</f>
        <v>0</v>
      </c>
      <c r="F34">
        <f>Model!N41</f>
        <v>0</v>
      </c>
      <c r="G34">
        <f>Model!O41</f>
        <v>0</v>
      </c>
      <c r="H34">
        <f>Model!P41</f>
        <v>0</v>
      </c>
      <c r="I34">
        <f>Model!Q41</f>
        <v>0</v>
      </c>
      <c r="J34">
        <f>Model!R41</f>
        <v>0</v>
      </c>
      <c r="K34">
        <f>Model!S41</f>
        <v>0</v>
      </c>
      <c r="L34">
        <f>Model!T41</f>
        <v>0</v>
      </c>
      <c r="M34">
        <f>Model!U41</f>
        <v>-0.24048774120305816</v>
      </c>
      <c r="N34">
        <f>Model!V41</f>
        <v>-0.35791670571434131</v>
      </c>
      <c r="O34">
        <f>Model!W41</f>
        <v>-0.17462079436745404</v>
      </c>
      <c r="P34">
        <f>Model!X41</f>
        <v>-0.17970188467103809</v>
      </c>
      <c r="Q34">
        <f>Model!Y41</f>
        <v>0.10041730455098219</v>
      </c>
      <c r="R34">
        <f>Model!Z41</f>
        <v>0.18957728208490221</v>
      </c>
      <c r="S34">
        <f>Model!AA41</f>
        <v>0.34788702112187253</v>
      </c>
      <c r="T34">
        <f>Model!AB41</f>
        <v>0.66234604635359529</v>
      </c>
      <c r="U34">
        <f>Model!AC41</f>
        <v>0.65365600099768906</v>
      </c>
      <c r="V34">
        <f>Model!AD41</f>
        <v>0.5493585312078515</v>
      </c>
      <c r="W34">
        <f>Model!AE41</f>
        <v>0.8362536491096737</v>
      </c>
      <c r="X34">
        <f>Model!AF41</f>
        <v>0.88747174701200793</v>
      </c>
      <c r="Y34">
        <f>Model!AG41</f>
        <v>0.58267808007694177</v>
      </c>
      <c r="Z34">
        <f>Model!AH41</f>
        <v>0.81431842041365643</v>
      </c>
      <c r="AA34">
        <f>Model!AI41</f>
        <v>1.0780361450856712</v>
      </c>
      <c r="AB34">
        <f>Model!AJ41</f>
        <v>0.79181480060024234</v>
      </c>
      <c r="AC34">
        <f>Model!AK41</f>
        <v>0.68149974513040923</v>
      </c>
      <c r="AD34">
        <f>Model!AL41</f>
        <v>1.0774670176966727</v>
      </c>
      <c r="AE34">
        <f>Model!AM41</f>
        <v>1.1667566958220745</v>
      </c>
      <c r="AF34">
        <f>Model!AN41</f>
        <v>1.1322869314319746</v>
      </c>
      <c r="AG34">
        <f>Model!AO41</f>
        <v>1.1816710082201221</v>
      </c>
      <c r="AH34">
        <f>Model!AP41</f>
        <v>1.1020279429766804</v>
      </c>
      <c r="AI34">
        <f>Model!AQ41</f>
        <v>1.2162949247465846</v>
      </c>
      <c r="AJ34">
        <f>Model!AR41</f>
        <v>0.88973271679222532</v>
      </c>
      <c r="AK34">
        <f>Model!AS41</f>
        <v>0.89441482404767281</v>
      </c>
      <c r="AL34">
        <f>Model!AT41</f>
        <v>0.8410931772131649</v>
      </c>
      <c r="AM34">
        <f>Model!AU41</f>
        <v>0.93528053959496327</v>
      </c>
      <c r="AN34">
        <f>Model!AV41</f>
        <v>0.80770679629277242</v>
      </c>
      <c r="AO34">
        <f>Model!AW41</f>
        <v>0.68212117034750896</v>
      </c>
      <c r="AP34">
        <f>Model!AX41</f>
        <v>0.66478460957871222</v>
      </c>
      <c r="AQ34">
        <f>Model!AY41</f>
        <v>0.91272626406081492</v>
      </c>
      <c r="AR34">
        <f>Model!AZ41</f>
        <v>1.0604178730094338</v>
      </c>
      <c r="AS34">
        <f>Model!BA41</f>
        <v>1.1168099501234183</v>
      </c>
      <c r="AT34">
        <f>Model!BB41</f>
        <v>1.14094611695348</v>
      </c>
      <c r="AU34">
        <f>Model!BC41</f>
        <v>1.1860439717919806</v>
      </c>
      <c r="AV34">
        <f>Model!BD41</f>
        <v>1.0424143719284706</v>
      </c>
      <c r="AW34">
        <f>Model!BE41</f>
        <v>1.0545348574197813</v>
      </c>
      <c r="AX34">
        <f>Model!BF41</f>
        <v>1.0194257445263062</v>
      </c>
      <c r="AY34">
        <f>Model!BG41</f>
        <v>0.9157910623157941</v>
      </c>
      <c r="AZ34">
        <f>Model!BH41</f>
        <v>0.8060123111916524</v>
      </c>
      <c r="BA34">
        <f>Model!BI41</f>
        <v>0.82788278046671326</v>
      </c>
      <c r="BB34">
        <f>Model!BJ41</f>
        <v>0.71838405425072738</v>
      </c>
      <c r="BC34">
        <f>Model!BK41</f>
        <v>0.69369607308197456</v>
      </c>
      <c r="BD34">
        <f>Model!BL41</f>
        <v>0.71553150310071723</v>
      </c>
      <c r="BE34">
        <f>Model!BM41</f>
        <v>0.75138414639206563</v>
      </c>
      <c r="BF34">
        <f>Model!BN41</f>
        <v>0.73883551678957105</v>
      </c>
      <c r="BG34">
        <f>Model!BO41</f>
        <v>0.74151123853231748</v>
      </c>
      <c r="BH34">
        <f>Model!BP41</f>
        <v>0.67482686403349579</v>
      </c>
      <c r="BI34">
        <f>Model!BQ41</f>
        <v>0.58196633024999311</v>
      </c>
      <c r="BJ34">
        <f>Model!BR41</f>
        <v>0.47216540479354463</v>
      </c>
      <c r="BK34">
        <f>Model!BS41</f>
        <v>0.44211698021164447</v>
      </c>
      <c r="BL34">
        <f>Model!BT41</f>
        <v>0.37827495694405777</v>
      </c>
      <c r="BM34">
        <f>Model!BU41</f>
        <v>0.39659331685382226</v>
      </c>
      <c r="BN34">
        <f>Model!BV41</f>
        <v>0.27245468932177297</v>
      </c>
      <c r="BO34">
        <f>Model!BW41</f>
        <v>0.34267974968264037</v>
      </c>
      <c r="BP34">
        <f>Model!BX41</f>
        <v>0.33345858168766029</v>
      </c>
      <c r="BQ34">
        <f>Model!BY41</f>
        <v>0.36351116839085429</v>
      </c>
      <c r="BR34">
        <f>Model!BZ41</f>
        <v>0.37580734383363401</v>
      </c>
      <c r="BS34">
        <f>Model!CA41</f>
        <v>0.4366100749140327</v>
      </c>
      <c r="BT34">
        <f>Model!CB41</f>
        <v>0.42805723829062181</v>
      </c>
      <c r="BU34">
        <f>Model!CC41</f>
        <v>0.35433466583209383</v>
      </c>
      <c r="BV34">
        <f>Model!CD41</f>
        <v>0.42160811916723451</v>
      </c>
      <c r="BW34">
        <f>Model!CE41</f>
        <v>0.36283880925829126</v>
      </c>
      <c r="BX34">
        <f>Model!CF41</f>
        <v>0.43627346269561729</v>
      </c>
      <c r="BY34">
        <f>Model!CG41</f>
        <v>0</v>
      </c>
      <c r="BZ34">
        <f>Model!CH41</f>
        <v>0</v>
      </c>
      <c r="CA34">
        <f>Model!CI41</f>
        <v>0</v>
      </c>
      <c r="CB34">
        <f>Model!CJ41</f>
        <v>-0.25748317596893111</v>
      </c>
      <c r="CC34">
        <f>Model!CK41</f>
        <v>0.29975132305759489</v>
      </c>
      <c r="CD34">
        <f>Model!CL41</f>
        <v>0.71979309600641384</v>
      </c>
      <c r="CE34">
        <f>Model!CM41</f>
        <v>0.8234401803610969</v>
      </c>
      <c r="CF34">
        <f>Model!CN41</f>
        <v>1.0353652777374946</v>
      </c>
      <c r="CG34">
        <f>Model!CO41</f>
        <v>1.0924076460606567</v>
      </c>
      <c r="CH34">
        <f>Model!CP41</f>
        <v>0.85770277027463604</v>
      </c>
      <c r="CI34">
        <f>Model!CQ41</f>
        <v>0.83669948973451391</v>
      </c>
      <c r="CJ34">
        <f>Model!CR41</f>
        <v>1.1272765613066986</v>
      </c>
      <c r="CK34">
        <f>Model!CS41</f>
        <v>0.93532894071670025</v>
      </c>
      <c r="CL34">
        <f>Model!CT41</f>
        <v>0.7256117565998248</v>
      </c>
      <c r="CM34">
        <f>Model!CU41</f>
        <v>0.72654080808238208</v>
      </c>
      <c r="CN34">
        <f>Model!CV41</f>
        <v>0.45971769056212453</v>
      </c>
      <c r="CO34">
        <f>Model!CW41</f>
        <v>0.33339302681556671</v>
      </c>
      <c r="CP34">
        <f>Model!CX41</f>
        <v>0.40565652388675955</v>
      </c>
      <c r="CQ34">
        <f>Model!CY41</f>
        <v>0.3910692541905354</v>
      </c>
      <c r="CR34">
        <f>Model!CZ41</f>
        <v>0.32483549431610337</v>
      </c>
      <c r="CS34">
        <f>Model!DA41</f>
        <v>0.25994103715610994</v>
      </c>
      <c r="CT34">
        <f>Model!DB41</f>
        <v>0.22493198521583779</v>
      </c>
      <c r="CU34">
        <f>Model!DC41</f>
        <v>0.19569639474759737</v>
      </c>
      <c r="CV34">
        <f>Model!DD41</f>
        <v>0.17466222274038934</v>
      </c>
      <c r="CW34">
        <f>Model!DE41</f>
        <v>0.15755450638371715</v>
      </c>
      <c r="CX34">
        <f>Model!DF41</f>
        <v>0.14962163618338709</v>
      </c>
      <c r="CY34">
        <f>Model!DG41</f>
        <v>0</v>
      </c>
      <c r="CZ34">
        <f>Model!DH41</f>
        <v>0</v>
      </c>
    </row>
    <row r="35" spans="1:104">
      <c r="A35" t="str">
        <f>Model!I43</f>
        <v>Period-to-period change Y/Y</v>
      </c>
      <c r="B35">
        <f>Model!J43</f>
        <v>0</v>
      </c>
      <c r="C35">
        <f>Model!K43</f>
        <v>0</v>
      </c>
      <c r="D35">
        <f>Model!L43</f>
        <v>0</v>
      </c>
      <c r="E35">
        <f>Model!M43</f>
        <v>0</v>
      </c>
      <c r="F35">
        <f>Model!N43</f>
        <v>0</v>
      </c>
      <c r="G35">
        <f>Model!O43</f>
        <v>0</v>
      </c>
      <c r="H35">
        <f>Model!P43</f>
        <v>0</v>
      </c>
      <c r="I35">
        <f>Model!Q43</f>
        <v>-1.1219999999999999</v>
      </c>
      <c r="J35">
        <f>Model!R43</f>
        <v>-11.957999999999998</v>
      </c>
      <c r="K35">
        <f>Model!S43</f>
        <v>-12.691000000000003</v>
      </c>
      <c r="L35">
        <f>Model!T43</f>
        <v>-8.7689999999999984</v>
      </c>
      <c r="M35">
        <f>Model!U43</f>
        <v>-9.0060000000000002</v>
      </c>
      <c r="N35">
        <f>Model!V43</f>
        <v>-7.6540000000000035</v>
      </c>
      <c r="O35">
        <f>Model!W43</f>
        <v>2.9070000000000036</v>
      </c>
      <c r="P35">
        <f>Model!X43</f>
        <v>1.3319999999999972</v>
      </c>
      <c r="Q35">
        <f>Model!Y43</f>
        <v>10.387</v>
      </c>
      <c r="R35">
        <f>Model!Z43</f>
        <v>14.113999999999997</v>
      </c>
      <c r="S35">
        <f>Model!AA43</f>
        <v>11.009999999999998</v>
      </c>
      <c r="T35">
        <f>Model!AB43</f>
        <v>19.683000000000003</v>
      </c>
      <c r="U35">
        <f>Model!AC43</f>
        <v>14.693999999999996</v>
      </c>
      <c r="V35">
        <f>Model!AD43</f>
        <v>10.966000000000001</v>
      </c>
      <c r="W35">
        <f>Model!AE43</f>
        <v>29.206999999999994</v>
      </c>
      <c r="X35">
        <f>Model!AF43</f>
        <v>13.844000000000001</v>
      </c>
      <c r="Y35">
        <f>Model!AG43</f>
        <v>14.162999999999997</v>
      </c>
      <c r="Z35">
        <f>Model!AH43</f>
        <v>40.230000000000004</v>
      </c>
      <c r="AA35">
        <f>Model!AI43</f>
        <v>41.455000000000027</v>
      </c>
      <c r="AB35">
        <f>Model!AJ43</f>
        <v>34.173999999999964</v>
      </c>
      <c r="AC35">
        <f>Model!AK43</f>
        <v>31.608000000000033</v>
      </c>
      <c r="AD35">
        <f>Model!AL43</f>
        <v>49.088999999999942</v>
      </c>
      <c r="AE35">
        <f>Model!AM43</f>
        <v>80.010999999999967</v>
      </c>
      <c r="AF35">
        <f>Model!AN43</f>
        <v>60.635000000000048</v>
      </c>
      <c r="AG35">
        <f>Model!AO43</f>
        <v>77.263999999999982</v>
      </c>
      <c r="AH35">
        <f>Model!AP43</f>
        <v>98.832000000000079</v>
      </c>
      <c r="AI35">
        <f>Model!AQ43</f>
        <v>113.74700000000004</v>
      </c>
      <c r="AJ35">
        <f>Model!AR43</f>
        <v>44.912999999999982</v>
      </c>
      <c r="AK35">
        <f>Model!AS43</f>
        <v>27.226999999999975</v>
      </c>
      <c r="AL35">
        <f>Model!AT43</f>
        <v>51.512999999999977</v>
      </c>
      <c r="AM35">
        <f>Model!AU43</f>
        <v>117.92799999999994</v>
      </c>
      <c r="AN35">
        <f>Model!AV43</f>
        <v>108.12400000000008</v>
      </c>
      <c r="AO35">
        <f>Model!AW43</f>
        <v>110.78599999999989</v>
      </c>
      <c r="AP35">
        <f>Model!AX43</f>
        <v>140.94599999999991</v>
      </c>
      <c r="AQ35">
        <f>Model!AY43</f>
        <v>234.20199999999988</v>
      </c>
      <c r="AR35">
        <f>Model!AZ43</f>
        <v>166.97699999999998</v>
      </c>
      <c r="AS35">
        <f>Model!BA43</f>
        <v>186.69200000000018</v>
      </c>
      <c r="AT35">
        <f>Model!BB43</f>
        <v>303.04300000000018</v>
      </c>
      <c r="AU35">
        <f>Model!BC43</f>
        <v>431.94000000000028</v>
      </c>
      <c r="AV35">
        <f>Model!BD43</f>
        <v>244.53099999999995</v>
      </c>
      <c r="AW35">
        <f>Model!BE43</f>
        <v>237.47999999999996</v>
      </c>
      <c r="AX35">
        <f>Model!BF43</f>
        <v>254.91499999999996</v>
      </c>
      <c r="AY35">
        <f>Model!BG43</f>
        <v>296.35299999999984</v>
      </c>
      <c r="AZ35">
        <f>Model!BH43</f>
        <v>215.05300000000011</v>
      </c>
      <c r="BA35">
        <f>Model!BI43</f>
        <v>266.37699999999995</v>
      </c>
      <c r="BB35">
        <f>Model!BJ43</f>
        <v>379.71299999999997</v>
      </c>
      <c r="BC35">
        <f>Model!BK43</f>
        <v>592.56399999999985</v>
      </c>
      <c r="BD35">
        <f>Model!BL43</f>
        <v>393.55099999999982</v>
      </c>
      <c r="BE35">
        <f>Model!BM43</f>
        <v>396.80600000000027</v>
      </c>
      <c r="BF35">
        <f>Model!BN43</f>
        <v>499.14099999999985</v>
      </c>
      <c r="BG35">
        <f>Model!BO43</f>
        <v>630.91300000000024</v>
      </c>
      <c r="BH35">
        <f>Model!BP43</f>
        <v>341.38400000000001</v>
      </c>
      <c r="BI35">
        <f>Model!BQ43</f>
        <v>265.76499999999965</v>
      </c>
      <c r="BJ35">
        <f>Model!BR43</f>
        <v>209.91000000000008</v>
      </c>
      <c r="BK35">
        <f>Model!BS43</f>
        <v>327.30399999999963</v>
      </c>
      <c r="BL35">
        <f>Model!BT43</f>
        <v>204.69799999999987</v>
      </c>
      <c r="BM35">
        <f>Model!BU43</f>
        <v>347.21399999999971</v>
      </c>
      <c r="BN35">
        <f>Model!BV43</f>
        <v>336.91200000000026</v>
      </c>
      <c r="BO35">
        <f>Model!BW43</f>
        <v>641.7810000000004</v>
      </c>
      <c r="BP35">
        <f>Model!BX43</f>
        <v>396.97800000000007</v>
      </c>
      <c r="BQ35">
        <f>Model!BY43</f>
        <v>314.78500000000054</v>
      </c>
      <c r="BR35">
        <f>Model!BZ43</f>
        <v>521.99599999999964</v>
      </c>
      <c r="BS35">
        <f>Model!CA43</f>
        <v>785.48999999999978</v>
      </c>
      <c r="BT35">
        <f>Model!CB43</f>
        <v>493.58199999999988</v>
      </c>
      <c r="BU35">
        <f>Model!CC43</f>
        <v>463.24776314731298</v>
      </c>
      <c r="BV35">
        <f>Model!CD43</f>
        <v>610.37273488611709</v>
      </c>
      <c r="BW35">
        <f>Model!CE43</f>
        <v>629.85795826041522</v>
      </c>
      <c r="BX35">
        <f>Model!CF43</f>
        <v>607.84753295993187</v>
      </c>
      <c r="BY35">
        <f>Model!CG43</f>
        <v>0</v>
      </c>
      <c r="BZ35">
        <f>Model!CH43</f>
        <v>0</v>
      </c>
      <c r="CA35">
        <f>Model!CI43</f>
        <v>-34.539999999999992</v>
      </c>
      <c r="CB35">
        <f>Model!CJ43</f>
        <v>-12.421000000000021</v>
      </c>
      <c r="CC35">
        <f>Model!CK43</f>
        <v>55.194000000000017</v>
      </c>
      <c r="CD35">
        <f>Model!CL43</f>
        <v>68.711000000000013</v>
      </c>
      <c r="CE35">
        <f>Model!CM43</f>
        <v>130.02200000000016</v>
      </c>
      <c r="CF35">
        <f>Model!CN43</f>
        <v>221.34299999999951</v>
      </c>
      <c r="CG35">
        <f>Model!CO43</f>
        <v>334.75600000000043</v>
      </c>
      <c r="CH35">
        <f>Model!CP43</f>
        <v>304.7919999999998</v>
      </c>
      <c r="CI35">
        <f>Model!CQ43</f>
        <v>652.91099999999983</v>
      </c>
      <c r="CJ35">
        <f>Model!CR43</f>
        <v>1166.2060000000008</v>
      </c>
      <c r="CK35">
        <f>Model!CS43</f>
        <v>1003.8010000000004</v>
      </c>
      <c r="CL35">
        <f>Model!CT43</f>
        <v>1632.2049999999995</v>
      </c>
      <c r="CM35">
        <f>Model!CU43</f>
        <v>1868.2439999999988</v>
      </c>
      <c r="CN35">
        <f>Model!CV43</f>
        <v>1007.6769999999997</v>
      </c>
      <c r="CO35">
        <f>Model!CW43</f>
        <v>1722.8850000000002</v>
      </c>
      <c r="CP35">
        <f>Model!CX43</f>
        <v>2115.8529999999992</v>
      </c>
      <c r="CQ35">
        <f>Model!CY43</f>
        <v>2311.325989253779</v>
      </c>
      <c r="CR35">
        <f>Model!CZ43</f>
        <v>2047.5907815992286</v>
      </c>
      <c r="CS35">
        <f>Model!DA43</f>
        <v>2032.2766178635393</v>
      </c>
      <c r="CT35">
        <f>Model!DB43</f>
        <v>1955.3378977285865</v>
      </c>
      <c r="CU35">
        <f>Model!DC43</f>
        <v>1907.5264251690824</v>
      </c>
      <c r="CV35">
        <f>Model!DD43</f>
        <v>1879.4882613746995</v>
      </c>
      <c r="CW35">
        <f>Model!DE43</f>
        <v>1834.9736533964206</v>
      </c>
      <c r="CX35">
        <f>Model!DF43</f>
        <v>1977.8223642414378</v>
      </c>
      <c r="CY35">
        <f>Model!DG43</f>
        <v>0</v>
      </c>
      <c r="CZ35">
        <f>Model!DH43</f>
        <v>0</v>
      </c>
    </row>
    <row r="36" spans="1:104">
      <c r="A36" t="str">
        <f>Model!I44</f>
        <v>Seasonality to Growth</v>
      </c>
      <c r="B36">
        <f>Model!J44</f>
        <v>0</v>
      </c>
      <c r="C36">
        <f>Model!K44</f>
        <v>0</v>
      </c>
      <c r="D36">
        <f>Model!L44</f>
        <v>0</v>
      </c>
      <c r="E36">
        <f>Model!M44</f>
        <v>0</v>
      </c>
      <c r="F36">
        <f>Model!N44</f>
        <v>0</v>
      </c>
      <c r="G36">
        <f>Model!O44</f>
        <v>0</v>
      </c>
      <c r="H36">
        <f>Model!P44</f>
        <v>0</v>
      </c>
      <c r="I36">
        <f>Model!Q44</f>
        <v>3.2484076433121026E-2</v>
      </c>
      <c r="J36">
        <f>Model!R44</f>
        <v>0.3462072958888246</v>
      </c>
      <c r="K36">
        <f>Model!S44</f>
        <v>0.36742906774753925</v>
      </c>
      <c r="L36">
        <f>Model!T44</f>
        <v>0.25387955993051536</v>
      </c>
      <c r="M36">
        <f>Model!U44</f>
        <v>0.72506239433217823</v>
      </c>
      <c r="N36">
        <f>Model!V44</f>
        <v>0.61621447548506492</v>
      </c>
      <c r="O36">
        <f>Model!W44</f>
        <v>-0.23403912728443754</v>
      </c>
      <c r="P36">
        <f>Model!X44</f>
        <v>-0.10723774253280693</v>
      </c>
      <c r="Q36">
        <f>Model!Y44</f>
        <v>0.1881907453708736</v>
      </c>
      <c r="R36">
        <f>Model!Z44</f>
        <v>0.2557162010363444</v>
      </c>
      <c r="S36">
        <f>Model!AA44</f>
        <v>0.19947820415262518</v>
      </c>
      <c r="T36">
        <f>Model!AB44</f>
        <v>0.35661484944015648</v>
      </c>
      <c r="U36">
        <f>Model!AC44</f>
        <v>0.21385222162390291</v>
      </c>
      <c r="V36">
        <f>Model!AD44</f>
        <v>0.15959598899739488</v>
      </c>
      <c r="W36">
        <f>Model!AE44</f>
        <v>0.42507022165301028</v>
      </c>
      <c r="X36">
        <f>Model!AF44</f>
        <v>0.20148156772569165</v>
      </c>
      <c r="Y36">
        <f>Model!AG44</f>
        <v>0.10892771992432033</v>
      </c>
      <c r="Z36">
        <f>Model!AH44</f>
        <v>0.30940917690852282</v>
      </c>
      <c r="AA36">
        <f>Model!AI44</f>
        <v>0.31883065942686606</v>
      </c>
      <c r="AB36">
        <f>Model!AJ44</f>
        <v>0.26283244374028952</v>
      </c>
      <c r="AC36">
        <f>Model!AK44</f>
        <v>0.14280099212534439</v>
      </c>
      <c r="AD36">
        <f>Model!AL44</f>
        <v>0.22177796451661019</v>
      </c>
      <c r="AE36">
        <f>Model!AM44</f>
        <v>0.36147969441093752</v>
      </c>
      <c r="AF36">
        <f>Model!AN44</f>
        <v>0.27394134894711009</v>
      </c>
      <c r="AG36">
        <f>Model!AO44</f>
        <v>0.23080691608216097</v>
      </c>
      <c r="AH36">
        <f>Model!AP44</f>
        <v>0.29523593303779455</v>
      </c>
      <c r="AI36">
        <f>Model!AQ44</f>
        <v>0.33979077298091714</v>
      </c>
      <c r="AJ36">
        <f>Model!AR44</f>
        <v>0.1341663778991263</v>
      </c>
      <c r="AK36">
        <f>Model!AS44</f>
        <v>8.9329772434972018E-2</v>
      </c>
      <c r="AL36">
        <f>Model!AT44</f>
        <v>0.169010341478779</v>
      </c>
      <c r="AM36">
        <f>Model!AU44</f>
        <v>0.38691304233706925</v>
      </c>
      <c r="AN36">
        <f>Model!AV44</f>
        <v>0.35474684374918025</v>
      </c>
      <c r="AO36">
        <f>Model!AW44</f>
        <v>0.16968009422417438</v>
      </c>
      <c r="AP36">
        <f>Model!AX44</f>
        <v>0.21587322008665799</v>
      </c>
      <c r="AQ36">
        <f>Model!AY44</f>
        <v>0.35870432570442212</v>
      </c>
      <c r="AR36">
        <f>Model!AZ44</f>
        <v>0.25574235998474526</v>
      </c>
      <c r="AS36">
        <f>Model!BA44</f>
        <v>0.16008492496179924</v>
      </c>
      <c r="AT36">
        <f>Model!BB44</f>
        <v>0.25985374796562527</v>
      </c>
      <c r="AU36">
        <f>Model!BC44</f>
        <v>0.37038053311336072</v>
      </c>
      <c r="AV36">
        <f>Model!BD44</f>
        <v>0.20968079395921457</v>
      </c>
      <c r="AW36">
        <f>Model!BE44</f>
        <v>0.23658075654437472</v>
      </c>
      <c r="AX36">
        <f>Model!BF44</f>
        <v>0.25394973704947482</v>
      </c>
      <c r="AY36">
        <f>Model!BG44</f>
        <v>0.29523082762420017</v>
      </c>
      <c r="AZ36">
        <f>Model!BH44</f>
        <v>0.21423867878194983</v>
      </c>
      <c r="BA36">
        <f>Model!BI44</f>
        <v>0.16320070089235117</v>
      </c>
      <c r="BB36">
        <f>Model!BJ44</f>
        <v>0.2326380571067973</v>
      </c>
      <c r="BC36">
        <f>Model!BK44</f>
        <v>0.3630450831850166</v>
      </c>
      <c r="BD36">
        <f>Model!BL44</f>
        <v>0.24111615881583498</v>
      </c>
      <c r="BE36">
        <f>Model!BM44</f>
        <v>0.21239516893938937</v>
      </c>
      <c r="BF36">
        <f>Model!BN44</f>
        <v>0.26717120461781235</v>
      </c>
      <c r="BG36">
        <f>Model!BO44</f>
        <v>0.33770374747624005</v>
      </c>
      <c r="BH36">
        <f>Model!BP44</f>
        <v>0.1827298789665591</v>
      </c>
      <c r="BI36">
        <f>Model!BQ44</f>
        <v>0.26374026597808597</v>
      </c>
      <c r="BJ36">
        <f>Model!BR44</f>
        <v>0.20831079800372554</v>
      </c>
      <c r="BK36">
        <f>Model!BS44</f>
        <v>0.32481043032638407</v>
      </c>
      <c r="BL36">
        <f>Model!BT44</f>
        <v>0.20313850569180394</v>
      </c>
      <c r="BM36">
        <f>Model!BU44</f>
        <v>0.20153057226686613</v>
      </c>
      <c r="BN36">
        <f>Model!BV44</f>
        <v>0.19555106696036023</v>
      </c>
      <c r="BO36">
        <f>Model!BW44</f>
        <v>0.37250367842311027</v>
      </c>
      <c r="BP36">
        <f>Model!BX44</f>
        <v>0.2304146823496635</v>
      </c>
      <c r="BQ36">
        <f>Model!BY44</f>
        <v>0.13619238543743029</v>
      </c>
      <c r="BR36">
        <f>Model!BZ44</f>
        <v>0.2467071200125906</v>
      </c>
      <c r="BS36">
        <f>Model!CA44</f>
        <v>0.37124034609209622</v>
      </c>
      <c r="BT36">
        <f>Model!CB44</f>
        <v>0.24287146526287609</v>
      </c>
      <c r="BU36">
        <f>Model!CC44</f>
        <v>0.20042510892064794</v>
      </c>
      <c r="BV36">
        <f>Model!CD44</f>
        <v>0.26407903416652118</v>
      </c>
      <c r="BW36">
        <f>Model!CE44</f>
        <v>0.27250935661557951</v>
      </c>
      <c r="BX36">
        <f>Model!CF44</f>
        <v>0.26298650029725057</v>
      </c>
      <c r="BY36">
        <f>Model!CG44</f>
        <v>0</v>
      </c>
      <c r="BZ36">
        <f>Model!CH44</f>
        <v>0</v>
      </c>
      <c r="CA36">
        <f>Model!CI44</f>
        <v>0</v>
      </c>
      <c r="CB36">
        <f>Model!CJ44</f>
        <v>0</v>
      </c>
      <c r="CC36">
        <f>Model!CK44</f>
        <v>0</v>
      </c>
      <c r="CD36">
        <f>Model!CL44</f>
        <v>0</v>
      </c>
      <c r="CE36">
        <f>Model!CM44</f>
        <v>0</v>
      </c>
      <c r="CF36">
        <f>Model!CN44</f>
        <v>0</v>
      </c>
      <c r="CG36">
        <f>Model!CO44</f>
        <v>0</v>
      </c>
      <c r="CH36">
        <f>Model!CP44</f>
        <v>0</v>
      </c>
      <c r="CI36">
        <f>Model!CQ44</f>
        <v>0</v>
      </c>
      <c r="CJ36">
        <f>Model!CR44</f>
        <v>0</v>
      </c>
      <c r="CK36">
        <f>Model!CS44</f>
        <v>0</v>
      </c>
      <c r="CL36">
        <f>Model!CT44</f>
        <v>0</v>
      </c>
      <c r="CM36">
        <f>Model!CU44</f>
        <v>0</v>
      </c>
      <c r="CN36">
        <f>Model!CV44</f>
        <v>0</v>
      </c>
      <c r="CO36">
        <f>Model!CW44</f>
        <v>0</v>
      </c>
      <c r="CP36">
        <f>Model!CX44</f>
        <v>0</v>
      </c>
      <c r="CQ36">
        <f>Model!CY44</f>
        <v>0</v>
      </c>
      <c r="CR36">
        <f>Model!CZ44</f>
        <v>0</v>
      </c>
      <c r="CS36">
        <f>Model!DA44</f>
        <v>0</v>
      </c>
      <c r="CT36">
        <f>Model!DB44</f>
        <v>0</v>
      </c>
      <c r="CU36">
        <f>Model!DC44</f>
        <v>0</v>
      </c>
      <c r="CV36">
        <f>Model!DD44</f>
        <v>0</v>
      </c>
      <c r="CW36">
        <f>Model!DE44</f>
        <v>0</v>
      </c>
      <c r="CX36">
        <f>Model!DF44</f>
        <v>0</v>
      </c>
      <c r="CY36">
        <f>Model!DG44</f>
        <v>0</v>
      </c>
      <c r="CZ36">
        <f>Model!DH44</f>
        <v>0</v>
      </c>
    </row>
    <row r="37" spans="1:104">
      <c r="A37" t="str">
        <f>Model!I49</f>
        <v>Gross Margin % of Gross Bookings</v>
      </c>
      <c r="B37">
        <f>Model!J49</f>
        <v>0</v>
      </c>
      <c r="C37">
        <f>Model!K49</f>
        <v>0</v>
      </c>
      <c r="D37">
        <f>Model!L49</f>
        <v>0</v>
      </c>
      <c r="E37">
        <f>Model!M49</f>
        <v>0</v>
      </c>
      <c r="F37">
        <f>Model!N49</f>
        <v>0</v>
      </c>
      <c r="G37">
        <f>Model!O49</f>
        <v>0</v>
      </c>
      <c r="H37">
        <f>Model!P49</f>
        <v>0</v>
      </c>
      <c r="I37">
        <f>Model!Q49</f>
        <v>0</v>
      </c>
      <c r="J37">
        <f>Model!R49</f>
        <v>0</v>
      </c>
      <c r="K37">
        <f>Model!S49</f>
        <v>0</v>
      </c>
      <c r="L37">
        <f>Model!T49</f>
        <v>0</v>
      </c>
      <c r="M37">
        <f>Model!U49</f>
        <v>0</v>
      </c>
      <c r="N37">
        <f>Model!V49</f>
        <v>0</v>
      </c>
      <c r="O37">
        <f>Model!W49</f>
        <v>0</v>
      </c>
      <c r="P37">
        <f>Model!X49</f>
        <v>0</v>
      </c>
      <c r="Q37">
        <f>Model!Y49</f>
        <v>0</v>
      </c>
      <c r="R37">
        <f>Model!Z49</f>
        <v>0</v>
      </c>
      <c r="S37">
        <f>Model!AA49</f>
        <v>0</v>
      </c>
      <c r="T37">
        <f>Model!AB49</f>
        <v>0</v>
      </c>
      <c r="U37">
        <f>Model!AC49</f>
        <v>0</v>
      </c>
      <c r="V37">
        <f>Model!AD49</f>
        <v>0</v>
      </c>
      <c r="W37">
        <f>Model!AE49</f>
        <v>0</v>
      </c>
      <c r="X37">
        <f>Model!AF49</f>
        <v>0</v>
      </c>
      <c r="Y37">
        <f>Model!AG49</f>
        <v>0</v>
      </c>
      <c r="Z37">
        <f>Model!AH49</f>
        <v>0</v>
      </c>
      <c r="AA37">
        <f>Model!AI49</f>
        <v>0</v>
      </c>
      <c r="AB37">
        <f>Model!AJ49</f>
        <v>0</v>
      </c>
      <c r="AC37">
        <f>Model!AK49</f>
        <v>0.10399592985815599</v>
      </c>
      <c r="AD37">
        <f>Model!AL49</f>
        <v>0.12542847217329828</v>
      </c>
      <c r="AE37">
        <f>Model!AM49</f>
        <v>0.14549038134499379</v>
      </c>
      <c r="AF37">
        <f>Model!AN49</f>
        <v>0.1328697262411736</v>
      </c>
      <c r="AG37">
        <f>Model!AO49</f>
        <v>0.10298064610044741</v>
      </c>
      <c r="AH37">
        <f>Model!AP49</f>
        <v>0.12025080984755672</v>
      </c>
      <c r="AI37">
        <f>Model!AQ49</f>
        <v>0.1541522814516196</v>
      </c>
      <c r="AJ37">
        <f>Model!AR49</f>
        <v>0.13845331179997747</v>
      </c>
      <c r="AK37">
        <f>Model!AS49</f>
        <v>0.10718857533299307</v>
      </c>
      <c r="AL37">
        <f>Model!AT49</f>
        <v>0.12829557099132557</v>
      </c>
      <c r="AM37">
        <f>Model!AU49</f>
        <v>0.1593942514560133</v>
      </c>
      <c r="AN37">
        <f>Model!AV49</f>
        <v>0.13830662932433163</v>
      </c>
      <c r="AO37">
        <f>Model!AW49</f>
        <v>0.1076387284358087</v>
      </c>
      <c r="AP37">
        <f>Model!AX49</f>
        <v>0.13083884135148288</v>
      </c>
      <c r="AQ37">
        <f>Model!AY49</f>
        <v>0.1668017973040439</v>
      </c>
      <c r="AR37">
        <f>Model!AZ49</f>
        <v>0.14706462480857582</v>
      </c>
      <c r="AS37">
        <f>Model!BA49</f>
        <v>0.1084261521972133</v>
      </c>
      <c r="AT37">
        <f>Model!BB49</f>
        <v>0.12962404844290659</v>
      </c>
      <c r="AU37">
        <f>Model!BC49</f>
        <v>0.17582675403548029</v>
      </c>
      <c r="AV37">
        <f>Model!BD49</f>
        <v>0.14622619047619048</v>
      </c>
      <c r="AW37">
        <f>Model!BE49</f>
        <v>0.11075666815675757</v>
      </c>
      <c r="AX37">
        <f>Model!BF49</f>
        <v>0.13700941465411381</v>
      </c>
      <c r="AY37">
        <f>Model!BG49</f>
        <v>0.17830707354443309</v>
      </c>
      <c r="AZ37">
        <f>Model!BH49</f>
        <v>0.14273238153098422</v>
      </c>
      <c r="BA37">
        <f>Model!BI49</f>
        <v>0.11030973451327433</v>
      </c>
      <c r="BB37">
        <f>Model!BJ49</f>
        <v>0.13678511416427794</v>
      </c>
      <c r="BC37">
        <f>Model!BK49</f>
        <v>0.18477148165350671</v>
      </c>
      <c r="BD37">
        <f>Model!BL49</f>
        <v>0.14592327897559373</v>
      </c>
      <c r="BE37">
        <f>Model!BM49</f>
        <v>0.11453346905537461</v>
      </c>
      <c r="BF37">
        <f>Model!BN49</f>
        <v>0.13908967351159698</v>
      </c>
      <c r="BG37">
        <f>Model!BO49</f>
        <v>0.18953758229038559</v>
      </c>
      <c r="BH37">
        <f>Model!BP49</f>
        <v>0.15711464490102262</v>
      </c>
      <c r="BI37">
        <f>Model!BQ49</f>
        <v>0.12138763066202089</v>
      </c>
      <c r="BJ37">
        <f>Model!BR49</f>
        <v>0.13990013368983956</v>
      </c>
      <c r="BK37">
        <f>Model!BS49</f>
        <v>0.19943713628366488</v>
      </c>
      <c r="BL37">
        <f>Model!BT49</f>
        <v>0.15643274513068087</v>
      </c>
      <c r="BM37">
        <f>Model!BU49</f>
        <v>0.12126643847955321</v>
      </c>
      <c r="BN37">
        <f>Model!BV49</f>
        <v>0.13603280707647522</v>
      </c>
      <c r="BO37">
        <f>Model!BW49</f>
        <v>0.19442378114842904</v>
      </c>
      <c r="BP37">
        <f>Model!BX49</f>
        <v>0.15063267601905769</v>
      </c>
      <c r="BQ37">
        <f>Model!BY49</f>
        <v>0.11283583893266304</v>
      </c>
      <c r="BR37">
        <f>Model!BZ49</f>
        <v>0.14193460595278165</v>
      </c>
      <c r="BS37">
        <f>Model!CA49</f>
        <v>0.20101796709861225</v>
      </c>
      <c r="BT37">
        <f>Model!CB49</f>
        <v>0.15405689655172414</v>
      </c>
      <c r="BU37">
        <f>Model!CC49</f>
        <v>0.11243235660180258</v>
      </c>
      <c r="BV37">
        <f>Model!CD49</f>
        <v>0.1419982688763444</v>
      </c>
      <c r="BW37">
        <f>Model!CE49</f>
        <v>0.20168027947323972</v>
      </c>
      <c r="BX37">
        <f>Model!CF49</f>
        <v>0.153501177682169</v>
      </c>
      <c r="BY37">
        <f>Model!CG49</f>
        <v>0</v>
      </c>
      <c r="BZ37">
        <f>Model!CH49</f>
        <v>0</v>
      </c>
      <c r="CA37">
        <f>Model!CI49</f>
        <v>0</v>
      </c>
      <c r="CB37">
        <f>Model!CJ49</f>
        <v>0</v>
      </c>
      <c r="CC37">
        <f>Model!CK49</f>
        <v>0</v>
      </c>
      <c r="CD37">
        <f>Model!CL49</f>
        <v>0</v>
      </c>
      <c r="CE37">
        <f>Model!CM49</f>
        <v>0.12045247999171028</v>
      </c>
      <c r="CF37">
        <f>Model!CN49</f>
        <v>0.12863149498821383</v>
      </c>
      <c r="CG37">
        <f>Model!CO49</f>
        <v>0.12918322777869595</v>
      </c>
      <c r="CH37">
        <f>Model!CP49</f>
        <v>0.13541939892559254</v>
      </c>
      <c r="CI37">
        <f>Model!CQ49</f>
        <v>0.14023827713503162</v>
      </c>
      <c r="CJ37">
        <f>Model!CR49</f>
        <v>0.142205189768215</v>
      </c>
      <c r="CK37">
        <f>Model!CS49</f>
        <v>0.14350860978352548</v>
      </c>
      <c r="CL37">
        <f>Model!CT49</f>
        <v>0.14591764525681611</v>
      </c>
      <c r="CM37">
        <f>Model!CU49</f>
        <v>0.15077793240556658</v>
      </c>
      <c r="CN37">
        <f>Model!CV49</f>
        <v>0.15472927171877249</v>
      </c>
      <c r="CO37">
        <f>Model!CW49</f>
        <v>0.15149282535579478</v>
      </c>
      <c r="CP37">
        <f>Model!CX49</f>
        <v>0.1530365277128013</v>
      </c>
      <c r="CQ37">
        <f>Model!CY49</f>
        <v>0.1523138183411622</v>
      </c>
      <c r="CR37">
        <f>Model!CZ49</f>
        <v>0.1513616135033414</v>
      </c>
      <c r="CS37">
        <f>Model!DA49</f>
        <v>0.15078030705488774</v>
      </c>
      <c r="CT37">
        <f>Model!DB49</f>
        <v>0.15027151006441036</v>
      </c>
      <c r="CU37">
        <f>Model!DC49</f>
        <v>0.14979573366532306</v>
      </c>
      <c r="CV37">
        <f>Model!DD49</f>
        <v>0.14934362544790783</v>
      </c>
      <c r="CW37">
        <f>Model!DE49</f>
        <v>0.14891447053205989</v>
      </c>
      <c r="CX37">
        <f>Model!DF49</f>
        <v>0.14847717501736096</v>
      </c>
      <c r="CY37">
        <f>Model!DG49</f>
        <v>0</v>
      </c>
      <c r="CZ37">
        <f>Model!DH49</f>
        <v>0</v>
      </c>
    </row>
    <row r="38" spans="1:104">
      <c r="A38" t="str">
        <f>Model!I50</f>
        <v>bp Change Y/Y</v>
      </c>
      <c r="B38">
        <f>Model!J50</f>
        <v>0</v>
      </c>
      <c r="C38">
        <f>Model!K50</f>
        <v>0</v>
      </c>
      <c r="D38">
        <f>Model!L50</f>
        <v>0</v>
      </c>
      <c r="E38">
        <f>Model!M50</f>
        <v>0</v>
      </c>
      <c r="F38">
        <f>Model!N50</f>
        <v>0</v>
      </c>
      <c r="G38">
        <f>Model!O50</f>
        <v>0</v>
      </c>
      <c r="H38">
        <f>Model!P50</f>
        <v>0</v>
      </c>
      <c r="I38">
        <f>Model!Q50</f>
        <v>0</v>
      </c>
      <c r="J38">
        <f>Model!R50</f>
        <v>0</v>
      </c>
      <c r="K38">
        <f>Model!S50</f>
        <v>0</v>
      </c>
      <c r="L38">
        <f>Model!T50</f>
        <v>0</v>
      </c>
      <c r="M38">
        <f>Model!U50</f>
        <v>0</v>
      </c>
      <c r="N38">
        <f>Model!V50</f>
        <v>0</v>
      </c>
      <c r="O38">
        <f>Model!W50</f>
        <v>0</v>
      </c>
      <c r="P38">
        <f>Model!X50</f>
        <v>0</v>
      </c>
      <c r="Q38">
        <f>Model!Y50</f>
        <v>0</v>
      </c>
      <c r="R38">
        <f>Model!Z50</f>
        <v>0</v>
      </c>
      <c r="S38">
        <f>Model!AA50</f>
        <v>0</v>
      </c>
      <c r="T38">
        <f>Model!AB50</f>
        <v>0</v>
      </c>
      <c r="U38">
        <f>Model!AC50</f>
        <v>0</v>
      </c>
      <c r="V38">
        <f>Model!AD50</f>
        <v>0</v>
      </c>
      <c r="W38">
        <f>Model!AE50</f>
        <v>0</v>
      </c>
      <c r="X38">
        <f>Model!AF50</f>
        <v>0</v>
      </c>
      <c r="Y38">
        <f>Model!AG50</f>
        <v>0</v>
      </c>
      <c r="Z38">
        <f>Model!AH50</f>
        <v>0</v>
      </c>
      <c r="AA38">
        <f>Model!AI50</f>
        <v>0</v>
      </c>
      <c r="AB38">
        <f>Model!AJ50</f>
        <v>0</v>
      </c>
      <c r="AC38">
        <f>Model!AK50</f>
        <v>1039.95929858156</v>
      </c>
      <c r="AD38">
        <f>Model!AL50</f>
        <v>1254.2847217329827</v>
      </c>
      <c r="AE38">
        <f>Model!AM50</f>
        <v>1454.9038134499378</v>
      </c>
      <c r="AF38">
        <f>Model!AN50</f>
        <v>1328.6972624117361</v>
      </c>
      <c r="AG38">
        <f>Model!AO50</f>
        <v>-10.152837577085821</v>
      </c>
      <c r="AH38">
        <f>Model!AP50</f>
        <v>-51.776623257415579</v>
      </c>
      <c r="AI38">
        <f>Model!AQ50</f>
        <v>86.619001066258193</v>
      </c>
      <c r="AJ38">
        <f>Model!AR50</f>
        <v>55.835855588038662</v>
      </c>
      <c r="AK38">
        <f>Model!AS50</f>
        <v>42.079292325456628</v>
      </c>
      <c r="AL38">
        <f>Model!AT50</f>
        <v>80.44761143768855</v>
      </c>
      <c r="AM38">
        <f>Model!AU50</f>
        <v>52.419700043936921</v>
      </c>
      <c r="AN38">
        <f>Model!AV50</f>
        <v>-1.4668247564583736</v>
      </c>
      <c r="AO38">
        <f>Model!AW50</f>
        <v>4.5015310281562577</v>
      </c>
      <c r="AP38">
        <f>Model!AX50</f>
        <v>25.432703601573071</v>
      </c>
      <c r="AQ38">
        <f>Model!AY50</f>
        <v>74.075458480306054</v>
      </c>
      <c r="AR38">
        <f>Model!AZ50</f>
        <v>87.579954842441907</v>
      </c>
      <c r="AS38">
        <f>Model!BA50</f>
        <v>7.8742376140460149</v>
      </c>
      <c r="AT38">
        <f>Model!BB50</f>
        <v>-12.147929085762899</v>
      </c>
      <c r="AU38">
        <f>Model!BC50</f>
        <v>90.249567314363844</v>
      </c>
      <c r="AV38">
        <f>Model!BD50</f>
        <v>-8.384343323853404</v>
      </c>
      <c r="AW38">
        <f>Model!BE50</f>
        <v>23.305159595442689</v>
      </c>
      <c r="AX38">
        <f>Model!BF50</f>
        <v>73.853662112072229</v>
      </c>
      <c r="AY38">
        <f>Model!BG50</f>
        <v>24.803195089528053</v>
      </c>
      <c r="AZ38">
        <f>Model!BH50</f>
        <v>-34.938089452062613</v>
      </c>
      <c r="BA38">
        <f>Model!BI50</f>
        <v>-4.4693364348323552</v>
      </c>
      <c r="BB38">
        <f>Model!BJ50</f>
        <v>-2.2430048983587692</v>
      </c>
      <c r="BC38">
        <f>Model!BK50</f>
        <v>64.644081090736165</v>
      </c>
      <c r="BD38">
        <f>Model!BL50</f>
        <v>31.90897444609514</v>
      </c>
      <c r="BE38">
        <f>Model!BM50</f>
        <v>42.237345421002743</v>
      </c>
      <c r="BF38">
        <f>Model!BN50</f>
        <v>23.045593473190461</v>
      </c>
      <c r="BG38">
        <f>Model!BO50</f>
        <v>47.661006368788783</v>
      </c>
      <c r="BH38">
        <f>Model!BP50</f>
        <v>111.91365925428882</v>
      </c>
      <c r="BI38">
        <f>Model!BQ50</f>
        <v>68.541616066462865</v>
      </c>
      <c r="BJ38">
        <f>Model!BR50</f>
        <v>8.1046017824257248</v>
      </c>
      <c r="BK38">
        <f>Model!BS50</f>
        <v>98.99553993279298</v>
      </c>
      <c r="BL38">
        <f>Model!BT50</f>
        <v>-6.8189977034174838</v>
      </c>
      <c r="BM38">
        <f>Model!BU50</f>
        <v>-1.2119218246768593</v>
      </c>
      <c r="BN38">
        <f>Model!BV50</f>
        <v>-38.673266133643359</v>
      </c>
      <c r="BO38">
        <f>Model!BW50</f>
        <v>-50.133551352358474</v>
      </c>
      <c r="BP38">
        <f>Model!BX50</f>
        <v>-58.000691116231742</v>
      </c>
      <c r="BQ38">
        <f>Model!BY50</f>
        <v>-84.305995468901685</v>
      </c>
      <c r="BR38">
        <f>Model!BZ50</f>
        <v>59.017988763064302</v>
      </c>
      <c r="BS38">
        <f>Model!CA50</f>
        <v>65.941859501832127</v>
      </c>
      <c r="BT38">
        <f>Model!CB50</f>
        <v>34.242205326664447</v>
      </c>
      <c r="BU38">
        <f>Model!CC50</f>
        <v>-4.034823308604607</v>
      </c>
      <c r="BV38">
        <f>Model!CD50</f>
        <v>0.63662923562746165</v>
      </c>
      <c r="BW38">
        <f>Model!CE50</f>
        <v>6.6231237462746613</v>
      </c>
      <c r="BX38">
        <f>Model!CF50</f>
        <v>-5.5571886955513294</v>
      </c>
      <c r="BY38">
        <f>Model!CG50</f>
        <v>0</v>
      </c>
      <c r="BZ38">
        <f>Model!CH50</f>
        <v>0</v>
      </c>
      <c r="CA38">
        <f>Model!CI50</f>
        <v>0</v>
      </c>
      <c r="CB38">
        <f>Model!CJ50</f>
        <v>0</v>
      </c>
      <c r="CC38">
        <f>Model!CK50</f>
        <v>0</v>
      </c>
      <c r="CD38">
        <f>Model!CL50</f>
        <v>0</v>
      </c>
      <c r="CE38">
        <f>Model!CM50</f>
        <v>0</v>
      </c>
      <c r="CF38">
        <f>Model!CN50</f>
        <v>81.790149965035454</v>
      </c>
      <c r="CG38">
        <f>Model!CO50</f>
        <v>5.5173279048212347</v>
      </c>
      <c r="CH38">
        <f>Model!CP50</f>
        <v>62.361711468965908</v>
      </c>
      <c r="CI38">
        <f>Model!CQ50</f>
        <v>48.18878209439076</v>
      </c>
      <c r="CJ38">
        <f>Model!CR50</f>
        <v>19.669126331833819</v>
      </c>
      <c r="CK38">
        <f>Model!CS50</f>
        <v>13.034200153104747</v>
      </c>
      <c r="CL38">
        <f>Model!CT50</f>
        <v>24.090354732906327</v>
      </c>
      <c r="CM38">
        <f>Model!CU50</f>
        <v>48.60287148750475</v>
      </c>
      <c r="CN38">
        <f>Model!CV50</f>
        <v>39.513393132059036</v>
      </c>
      <c r="CO38">
        <f>Model!CW50</f>
        <v>-32.364463629777077</v>
      </c>
      <c r="CP38">
        <f>Model!CX50</f>
        <v>15.437023570065156</v>
      </c>
      <c r="CQ38">
        <f>Model!CY50</f>
        <v>-7.2270937163909643</v>
      </c>
      <c r="CR38">
        <f>Model!CZ50</f>
        <v>-9.5220483782079697</v>
      </c>
      <c r="CS38">
        <f>Model!DA50</f>
        <v>-5.8130644845366675</v>
      </c>
      <c r="CT38">
        <f>Model!DB50</f>
        <v>-5.0879699047737255</v>
      </c>
      <c r="CU38">
        <f>Model!DC50</f>
        <v>-4.7577639908730207</v>
      </c>
      <c r="CV38">
        <f>Model!DD50</f>
        <v>-4.5210821741523137</v>
      </c>
      <c r="CW38">
        <f>Model!DE50</f>
        <v>-4.2915491584794019</v>
      </c>
      <c r="CX38">
        <f>Model!DF50</f>
        <v>-4.3729551469892662</v>
      </c>
      <c r="CY38">
        <f>Model!DG50</f>
        <v>0</v>
      </c>
      <c r="CZ38">
        <f>Model!DH50</f>
        <v>0</v>
      </c>
    </row>
    <row r="39" spans="1:104">
      <c r="A39" t="str">
        <f>Model!I52</f>
        <v>Merchant Revenue Gross Margin %</v>
      </c>
      <c r="B39">
        <f>Model!J52</f>
        <v>0</v>
      </c>
      <c r="C39">
        <f>Model!K52</f>
        <v>0</v>
      </c>
      <c r="D39">
        <f>Model!L52</f>
        <v>0</v>
      </c>
      <c r="E39">
        <f>Model!M52</f>
        <v>0</v>
      </c>
      <c r="F39">
        <f>Model!N52</f>
        <v>0</v>
      </c>
      <c r="G39">
        <f>Model!O52</f>
        <v>0</v>
      </c>
      <c r="H39">
        <f>Model!P52</f>
        <v>0</v>
      </c>
      <c r="I39">
        <f>Model!Q52</f>
        <v>0</v>
      </c>
      <c r="J39">
        <f>Model!R52</f>
        <v>0</v>
      </c>
      <c r="K39">
        <f>Model!S52</f>
        <v>0</v>
      </c>
      <c r="L39">
        <f>Model!T52</f>
        <v>0</v>
      </c>
      <c r="M39">
        <f>Model!U52</f>
        <v>0</v>
      </c>
      <c r="N39">
        <f>Model!V52</f>
        <v>0</v>
      </c>
      <c r="O39">
        <f>Model!W52</f>
        <v>0</v>
      </c>
      <c r="P39">
        <f>Model!X52</f>
        <v>0</v>
      </c>
      <c r="Q39">
        <f>Model!Y52</f>
        <v>0</v>
      </c>
      <c r="R39">
        <f>Model!Z52</f>
        <v>0</v>
      </c>
      <c r="S39">
        <f>Model!AA52</f>
        <v>0</v>
      </c>
      <c r="T39">
        <f>Model!AB52</f>
        <v>0</v>
      </c>
      <c r="U39">
        <f>Model!AC52</f>
        <v>0</v>
      </c>
      <c r="V39">
        <f>Model!AD52</f>
        <v>0</v>
      </c>
      <c r="W39">
        <f>Model!AE52</f>
        <v>0</v>
      </c>
      <c r="X39">
        <f>Model!AF52</f>
        <v>0</v>
      </c>
      <c r="Y39">
        <f>Model!AG52</f>
        <v>0.19366749351352891</v>
      </c>
      <c r="Z39">
        <f>Model!AH52</f>
        <v>0.1943007456371445</v>
      </c>
      <c r="AA39">
        <f>Model!AI52</f>
        <v>0.20008187104887787</v>
      </c>
      <c r="AB39">
        <f>Model!AJ52</f>
        <v>0.21546648163440818</v>
      </c>
      <c r="AC39">
        <f>Model!AK52</f>
        <v>0.21057823084911764</v>
      </c>
      <c r="AD39">
        <f>Model!AL52</f>
        <v>0.21347553950853346</v>
      </c>
      <c r="AE39">
        <f>Model!AM52</f>
        <v>0.21894110337159498</v>
      </c>
      <c r="AF39">
        <f>Model!AN52</f>
        <v>0.22934982553497468</v>
      </c>
      <c r="AG39">
        <f>Model!AO52</f>
        <v>0.23199001241531475</v>
      </c>
      <c r="AH39">
        <f>Model!AP52</f>
        <v>0.22597329209172304</v>
      </c>
      <c r="AI39">
        <f>Model!AQ52</f>
        <v>0.24208768447664347</v>
      </c>
      <c r="AJ39">
        <f>Model!AR52</f>
        <v>0.25236593059936901</v>
      </c>
      <c r="AK39">
        <f>Model!AS52</f>
        <v>0.24717387563272544</v>
      </c>
      <c r="AL39">
        <f>Model!AT52</f>
        <v>0.2401062058642337</v>
      </c>
      <c r="AM39">
        <f>Model!AU52</f>
        <v>0.2589467268194468</v>
      </c>
      <c r="AN39">
        <f>Model!AV52</f>
        <v>0.27990245961809285</v>
      </c>
      <c r="AO39">
        <f>Model!AW52</f>
        <v>0.27965459655411179</v>
      </c>
      <c r="AP39">
        <f>Model!AX52</f>
        <v>0.28019338781674613</v>
      </c>
      <c r="AQ39">
        <f>Model!AY52</f>
        <v>0.32412138741130286</v>
      </c>
      <c r="AR39">
        <f>Model!AZ52</f>
        <v>0.34137614033808433</v>
      </c>
      <c r="AS39">
        <f>Model!BA52</f>
        <v>0.33265318686730982</v>
      </c>
      <c r="AT39">
        <f>Model!BB52</f>
        <v>0.33370591672478467</v>
      </c>
      <c r="AU39">
        <f>Model!BC52</f>
        <v>0.38479144496973294</v>
      </c>
      <c r="AV39">
        <f>Model!BD52</f>
        <v>0.40324848778452871</v>
      </c>
      <c r="AW39">
        <f>Model!BE52</f>
        <v>0.40782902807966814</v>
      </c>
      <c r="AX39">
        <f>Model!BF52</f>
        <v>0.41451370539214261</v>
      </c>
      <c r="AY39">
        <f>Model!BG52</f>
        <v>0.47038390068533548</v>
      </c>
      <c r="AZ39">
        <f>Model!BH52</f>
        <v>0.46884725309622105</v>
      </c>
      <c r="BA39">
        <f>Model!BI52</f>
        <v>0.44690330783027221</v>
      </c>
      <c r="BB39">
        <f>Model!BJ52</f>
        <v>0.48919210511802347</v>
      </c>
      <c r="BC39">
        <f>Model!BK52</f>
        <v>0.54769497378016563</v>
      </c>
      <c r="BD39">
        <f>Model!BL52</f>
        <v>0.56857665915289479</v>
      </c>
      <c r="BE39">
        <f>Model!BM52</f>
        <v>0.55344991821600842</v>
      </c>
      <c r="BF39">
        <f>Model!BN52</f>
        <v>0.57588765506749195</v>
      </c>
      <c r="BG39">
        <f>Model!BO52</f>
        <v>0.64709592769768631</v>
      </c>
      <c r="BH39">
        <f>Model!BP52</f>
        <v>0.65414370185753601</v>
      </c>
      <c r="BI39">
        <f>Model!BQ52</f>
        <v>0.65945721938646584</v>
      </c>
      <c r="BJ39">
        <f>Model!BR52</f>
        <v>0.65661806587022653</v>
      </c>
      <c r="BK39">
        <f>Model!BS52</f>
        <v>0.7391144721820343</v>
      </c>
      <c r="BL39">
        <f>Model!BT52</f>
        <v>0.72943725857033248</v>
      </c>
      <c r="BM39">
        <f>Model!BU52</f>
        <v>0.72625480818327248</v>
      </c>
      <c r="BN39">
        <f>Model!BV52</f>
        <v>0.75653208256173876</v>
      </c>
      <c r="BO39">
        <f>Model!BW52</f>
        <v>0.83638459430266487</v>
      </c>
      <c r="BP39">
        <f>Model!BX52</f>
        <v>0.83613147316150394</v>
      </c>
      <c r="BQ39">
        <f>Model!BY52</f>
        <v>0.80732957051883858</v>
      </c>
      <c r="BR39">
        <f>Model!BZ52</f>
        <v>0.8539707266934734</v>
      </c>
      <c r="BS39">
        <f>Model!CA52</f>
        <v>0.913083507114684</v>
      </c>
      <c r="BT39">
        <f>Model!CB52</f>
        <v>0.93481466915740841</v>
      </c>
      <c r="BU39">
        <f>Model!CC52</f>
        <v>0.76036498350338988</v>
      </c>
      <c r="BV39">
        <f>Model!CD52</f>
        <v>0.79890450514395517</v>
      </c>
      <c r="BW39">
        <f>Model!CE52</f>
        <v>0.82090178940845993</v>
      </c>
      <c r="BX39">
        <f>Model!CF52</f>
        <v>0.79897398562086375</v>
      </c>
      <c r="BY39">
        <f>Model!CG52</f>
        <v>0</v>
      </c>
      <c r="BZ39">
        <f>Model!CH52</f>
        <v>0</v>
      </c>
      <c r="CA39">
        <f>Model!CI52</f>
        <v>0</v>
      </c>
      <c r="CB39">
        <f>Model!CJ52</f>
        <v>0</v>
      </c>
      <c r="CC39">
        <f>Model!CK52</f>
        <v>0</v>
      </c>
      <c r="CD39">
        <f>Model!CL52</f>
        <v>0</v>
      </c>
      <c r="CE39">
        <f>Model!CM52</f>
        <v>0.20046999176794239</v>
      </c>
      <c r="CF39">
        <f>Model!CN52</f>
        <v>0.21798080087098873</v>
      </c>
      <c r="CG39">
        <f>Model!CO52</f>
        <v>0.2375111027925679</v>
      </c>
      <c r="CH39">
        <f>Model!CP52</f>
        <v>0.25568795304153075</v>
      </c>
      <c r="CI39">
        <f>Model!CQ52</f>
        <v>0.30678288530090903</v>
      </c>
      <c r="CJ39">
        <f>Model!CR52</f>
        <v>0.36354570095383582</v>
      </c>
      <c r="CK39">
        <f>Model!CS52</f>
        <v>0.44065856690004329</v>
      </c>
      <c r="CL39">
        <f>Model!CT52</f>
        <v>0.51280458192137912</v>
      </c>
      <c r="CM39">
        <f>Model!CU52</f>
        <v>0.60758471657150293</v>
      </c>
      <c r="CN39">
        <f>Model!CV52</f>
        <v>0.69650110683143773</v>
      </c>
      <c r="CO39">
        <f>Model!CW52</f>
        <v>0.79086281527632984</v>
      </c>
      <c r="CP39">
        <f>Model!CX52</f>
        <v>0.88254336463328698</v>
      </c>
      <c r="CQ39">
        <f>Model!CY52</f>
        <v>0.79810319301780952</v>
      </c>
      <c r="CR39">
        <f>Model!CZ52</f>
        <v>0.80720022061614094</v>
      </c>
      <c r="CS39">
        <f>Model!DA52</f>
        <v>0.81657487447754207</v>
      </c>
      <c r="CT39">
        <f>Model!DB52</f>
        <v>0.82612653900274235</v>
      </c>
      <c r="CU39">
        <f>Model!DC52</f>
        <v>0.83391599210592682</v>
      </c>
      <c r="CV39">
        <f>Model!DD52</f>
        <v>0.84144850234972801</v>
      </c>
      <c r="CW39">
        <f>Model!DE52</f>
        <v>0.84875738875844431</v>
      </c>
      <c r="CX39">
        <f>Model!DF52</f>
        <v>0.8559871547639083</v>
      </c>
      <c r="CY39">
        <f>Model!DG52</f>
        <v>0</v>
      </c>
      <c r="CZ39">
        <f>Model!DH52</f>
        <v>0</v>
      </c>
    </row>
    <row r="40" spans="1:104">
      <c r="A40" t="str">
        <f>Model!I53</f>
        <v>bp Change Y/Y</v>
      </c>
      <c r="B40">
        <f>Model!J53</f>
        <v>0</v>
      </c>
      <c r="C40">
        <f>Model!K53</f>
        <v>0</v>
      </c>
      <c r="D40">
        <f>Model!L53</f>
        <v>0</v>
      </c>
      <c r="E40">
        <f>Model!M53</f>
        <v>0</v>
      </c>
      <c r="F40">
        <f>Model!N53</f>
        <v>0</v>
      </c>
      <c r="G40">
        <f>Model!O53</f>
        <v>0</v>
      </c>
      <c r="H40">
        <f>Model!P53</f>
        <v>0</v>
      </c>
      <c r="I40">
        <f>Model!Q53</f>
        <v>0</v>
      </c>
      <c r="J40">
        <f>Model!R53</f>
        <v>0</v>
      </c>
      <c r="K40">
        <f>Model!S53</f>
        <v>0</v>
      </c>
      <c r="L40">
        <f>Model!T53</f>
        <v>0</v>
      </c>
      <c r="M40">
        <f>Model!U53</f>
        <v>0</v>
      </c>
      <c r="N40">
        <f>Model!V53</f>
        <v>0</v>
      </c>
      <c r="O40">
        <f>Model!W53</f>
        <v>0</v>
      </c>
      <c r="P40">
        <f>Model!X53</f>
        <v>0</v>
      </c>
      <c r="Q40">
        <f>Model!Y53</f>
        <v>0</v>
      </c>
      <c r="R40">
        <f>Model!Z53</f>
        <v>0</v>
      </c>
      <c r="S40">
        <f>Model!AA53</f>
        <v>0</v>
      </c>
      <c r="T40">
        <f>Model!AB53</f>
        <v>0</v>
      </c>
      <c r="U40">
        <f>Model!AC53</f>
        <v>0</v>
      </c>
      <c r="V40">
        <f>Model!AD53</f>
        <v>0</v>
      </c>
      <c r="W40">
        <f>Model!AE53</f>
        <v>0</v>
      </c>
      <c r="X40">
        <f>Model!AF53</f>
        <v>0</v>
      </c>
      <c r="Y40">
        <f>Model!AG53</f>
        <v>0</v>
      </c>
      <c r="Z40">
        <f>Model!AH53</f>
        <v>0</v>
      </c>
      <c r="AA40">
        <f>Model!AI53</f>
        <v>0</v>
      </c>
      <c r="AB40">
        <f>Model!AJ53</f>
        <v>0</v>
      </c>
      <c r="AC40">
        <f>Model!AK53</f>
        <v>169.10737335588732</v>
      </c>
      <c r="AD40">
        <f>Model!AL53</f>
        <v>191.74793871388957</v>
      </c>
      <c r="AE40">
        <f>Model!AM53</f>
        <v>188.59232322717108</v>
      </c>
      <c r="AF40">
        <f>Model!AN53</f>
        <v>138.83343900566501</v>
      </c>
      <c r="AG40">
        <f>Model!AO53</f>
        <v>214.11781566197106</v>
      </c>
      <c r="AH40">
        <f>Model!AP53</f>
        <v>124.9775258318958</v>
      </c>
      <c r="AI40">
        <f>Model!AQ53</f>
        <v>231.46581105048497</v>
      </c>
      <c r="AJ40">
        <f>Model!AR53</f>
        <v>230.16105064394333</v>
      </c>
      <c r="AK40">
        <f>Model!AS53</f>
        <v>151.83863217410692</v>
      </c>
      <c r="AL40">
        <f>Model!AT53</f>
        <v>141.32913772510665</v>
      </c>
      <c r="AM40">
        <f>Model!AU53</f>
        <v>168.59042342803332</v>
      </c>
      <c r="AN40">
        <f>Model!AV53</f>
        <v>275.36529018723832</v>
      </c>
      <c r="AO40">
        <f>Model!AW53</f>
        <v>324.80720921386347</v>
      </c>
      <c r="AP40">
        <f>Model!AX53</f>
        <v>400.87181952512429</v>
      </c>
      <c r="AQ40">
        <f>Model!AY53</f>
        <v>651.74660591856059</v>
      </c>
      <c r="AR40">
        <f>Model!AZ53</f>
        <v>614.73680719991489</v>
      </c>
      <c r="AS40">
        <f>Model!BA53</f>
        <v>529.98590313198031</v>
      </c>
      <c r="AT40">
        <f>Model!BB53</f>
        <v>535.12528908038541</v>
      </c>
      <c r="AU40">
        <f>Model!BC53</f>
        <v>606.70057558430085</v>
      </c>
      <c r="AV40">
        <f>Model!BD53</f>
        <v>618.72347446444371</v>
      </c>
      <c r="AW40">
        <f>Model!BE53</f>
        <v>751.75841212358318</v>
      </c>
      <c r="AX40">
        <f>Model!BF53</f>
        <v>808.07788667357943</v>
      </c>
      <c r="AY40">
        <f>Model!BG53</f>
        <v>855.92455715602534</v>
      </c>
      <c r="AZ40">
        <f>Model!BH53</f>
        <v>655.98765311692341</v>
      </c>
      <c r="BA40">
        <f>Model!BI53</f>
        <v>390.74279750604069</v>
      </c>
      <c r="BB40">
        <f>Model!BJ53</f>
        <v>746.78399725880865</v>
      </c>
      <c r="BC40">
        <f>Model!BK53</f>
        <v>773.11073094830147</v>
      </c>
      <c r="BD40">
        <f>Model!BL53</f>
        <v>997.29406056673747</v>
      </c>
      <c r="BE40">
        <f>Model!BM53</f>
        <v>1065.466103857362</v>
      </c>
      <c r="BF40">
        <f>Model!BN53</f>
        <v>866.95549949468489</v>
      </c>
      <c r="BG40">
        <f>Model!BO53</f>
        <v>994.0095391752069</v>
      </c>
      <c r="BH40">
        <f>Model!BP53</f>
        <v>855.67042704641221</v>
      </c>
      <c r="BI40">
        <f>Model!BQ53</f>
        <v>1060.0730117045741</v>
      </c>
      <c r="BJ40">
        <f>Model!BR53</f>
        <v>807.30410802734571</v>
      </c>
      <c r="BK40">
        <f>Model!BS53</f>
        <v>920.1854448434799</v>
      </c>
      <c r="BL40">
        <f>Model!BT53</f>
        <v>752.93556712796476</v>
      </c>
      <c r="BM40">
        <f>Model!BU53</f>
        <v>667.97588796806644</v>
      </c>
      <c r="BN40">
        <f>Model!BV53</f>
        <v>999.14016691512234</v>
      </c>
      <c r="BO40">
        <f>Model!BW53</f>
        <v>972.70122120630572</v>
      </c>
      <c r="BP40">
        <f>Model!BX53</f>
        <v>1066.9421459117145</v>
      </c>
      <c r="BQ40">
        <f>Model!BY53</f>
        <v>810.74762335566095</v>
      </c>
      <c r="BR40">
        <f>Model!BZ53</f>
        <v>974.38644131734645</v>
      </c>
      <c r="BS40">
        <f>Model!CA53</f>
        <v>766.98912812019125</v>
      </c>
      <c r="BT40">
        <f>Model!CB53</f>
        <v>986.83195995904475</v>
      </c>
      <c r="BU40">
        <f>Model!CC53</f>
        <v>-469.645870154487</v>
      </c>
      <c r="BV40">
        <f>Model!CD53</f>
        <v>-550.66221549518229</v>
      </c>
      <c r="BW40">
        <f>Model!CE53</f>
        <v>-921.81717706224072</v>
      </c>
      <c r="BX40">
        <f>Model!CF53</f>
        <v>-1358.4068353654466</v>
      </c>
      <c r="BY40">
        <f>Model!CG53</f>
        <v>0</v>
      </c>
      <c r="BZ40">
        <f>Model!CH53</f>
        <v>0</v>
      </c>
      <c r="CA40">
        <f>Model!CI53</f>
        <v>0</v>
      </c>
      <c r="CB40">
        <f>Model!CJ53</f>
        <v>0</v>
      </c>
      <c r="CC40">
        <f>Model!CK53</f>
        <v>0</v>
      </c>
      <c r="CD40">
        <f>Model!CL53</f>
        <v>0</v>
      </c>
      <c r="CE40">
        <f>Model!CM53</f>
        <v>0</v>
      </c>
      <c r="CF40">
        <f>Model!CN53</f>
        <v>175.10809103046338</v>
      </c>
      <c r="CG40">
        <f>Model!CO53</f>
        <v>195.30301921579175</v>
      </c>
      <c r="CH40">
        <f>Model!CP53</f>
        <v>181.76850248962845</v>
      </c>
      <c r="CI40">
        <f>Model!CQ53</f>
        <v>510.94932259378277</v>
      </c>
      <c r="CJ40">
        <f>Model!CR53</f>
        <v>567.62815652926793</v>
      </c>
      <c r="CK40">
        <f>Model!CS53</f>
        <v>771.12865946207478</v>
      </c>
      <c r="CL40">
        <f>Model!CT53</f>
        <v>721.46015021335825</v>
      </c>
      <c r="CM40">
        <f>Model!CU53</f>
        <v>947.80134650123807</v>
      </c>
      <c r="CN40">
        <f>Model!CV53</f>
        <v>889.16390259934803</v>
      </c>
      <c r="CO40">
        <f>Model!CW53</f>
        <v>943.6170844489211</v>
      </c>
      <c r="CP40">
        <f>Model!CX53</f>
        <v>916.80549356957135</v>
      </c>
      <c r="CQ40">
        <f>Model!CY53</f>
        <v>-844.40171615477459</v>
      </c>
      <c r="CR40">
        <f>Model!CZ53</f>
        <v>90.970275983314195</v>
      </c>
      <c r="CS40">
        <f>Model!DA53</f>
        <v>93.746538614011271</v>
      </c>
      <c r="CT40">
        <f>Model!DB53</f>
        <v>95.516645252002874</v>
      </c>
      <c r="CU40">
        <f>Model!DC53</f>
        <v>77.894531031844622</v>
      </c>
      <c r="CV40">
        <f>Model!DD53</f>
        <v>75.325102438011939</v>
      </c>
      <c r="CW40">
        <f>Model!DE53</f>
        <v>73.088864087162975</v>
      </c>
      <c r="CX40">
        <f>Model!DF53</f>
        <v>72.297660054639891</v>
      </c>
      <c r="CY40">
        <f>Model!DG53</f>
        <v>0</v>
      </c>
      <c r="CZ40">
        <f>Model!DH53</f>
        <v>0</v>
      </c>
    </row>
    <row r="41" spans="1:104">
      <c r="A41">
        <f>Model!I54</f>
        <v>0</v>
      </c>
      <c r="B41">
        <f>Model!J54</f>
        <v>0</v>
      </c>
      <c r="C41">
        <f>Model!K54</f>
        <v>0</v>
      </c>
      <c r="D41">
        <f>Model!L54</f>
        <v>0</v>
      </c>
      <c r="E41">
        <f>Model!M54</f>
        <v>0</v>
      </c>
      <c r="F41">
        <f>Model!N54</f>
        <v>0</v>
      </c>
      <c r="G41">
        <f>Model!O54</f>
        <v>0</v>
      </c>
      <c r="H41">
        <f>Model!P54</f>
        <v>0</v>
      </c>
      <c r="I41">
        <f>Model!Q54</f>
        <v>0</v>
      </c>
      <c r="J41">
        <f>Model!R54</f>
        <v>0</v>
      </c>
      <c r="K41">
        <f>Model!S54</f>
        <v>0</v>
      </c>
      <c r="L41">
        <f>Model!T54</f>
        <v>0</v>
      </c>
      <c r="M41">
        <f>Model!U54</f>
        <v>0</v>
      </c>
      <c r="N41">
        <f>Model!V54</f>
        <v>0</v>
      </c>
      <c r="O41">
        <f>Model!W54</f>
        <v>0</v>
      </c>
      <c r="P41">
        <f>Model!X54</f>
        <v>0</v>
      </c>
      <c r="Q41">
        <f>Model!Y54</f>
        <v>0</v>
      </c>
      <c r="R41">
        <f>Model!Z54</f>
        <v>0</v>
      </c>
      <c r="S41">
        <f>Model!AA54</f>
        <v>0</v>
      </c>
      <c r="T41">
        <f>Model!AB54</f>
        <v>0</v>
      </c>
      <c r="U41">
        <f>Model!AC54</f>
        <v>0</v>
      </c>
      <c r="V41">
        <f>Model!AD54</f>
        <v>0</v>
      </c>
      <c r="W41">
        <f>Model!AE54</f>
        <v>0</v>
      </c>
      <c r="X41">
        <f>Model!AF54</f>
        <v>0</v>
      </c>
      <c r="Y41">
        <f>Model!AG54</f>
        <v>0</v>
      </c>
      <c r="Z41">
        <f>Model!AH54</f>
        <v>0</v>
      </c>
      <c r="AA41">
        <f>Model!AI54</f>
        <v>0</v>
      </c>
      <c r="AB41">
        <f>Model!AJ54</f>
        <v>0</v>
      </c>
      <c r="AC41">
        <f>Model!AK54</f>
        <v>0</v>
      </c>
      <c r="AD41">
        <f>Model!AL54</f>
        <v>0</v>
      </c>
      <c r="AE41">
        <f>Model!AM54</f>
        <v>0</v>
      </c>
      <c r="AF41">
        <f>Model!AN54</f>
        <v>0</v>
      </c>
      <c r="AG41">
        <f>Model!AO54</f>
        <v>0</v>
      </c>
      <c r="AH41">
        <f>Model!AP54</f>
        <v>0</v>
      </c>
      <c r="AI41">
        <f>Model!AQ54</f>
        <v>0</v>
      </c>
      <c r="AJ41">
        <f>Model!AR54</f>
        <v>0</v>
      </c>
      <c r="AK41">
        <f>Model!AS54</f>
        <v>0</v>
      </c>
      <c r="AL41">
        <f>Model!AT54</f>
        <v>0</v>
      </c>
      <c r="AM41">
        <f>Model!AU54</f>
        <v>0</v>
      </c>
      <c r="AN41">
        <f>Model!AV54</f>
        <v>0</v>
      </c>
      <c r="AO41">
        <f>Model!AW54</f>
        <v>0</v>
      </c>
      <c r="AP41">
        <f>Model!AX54</f>
        <v>0</v>
      </c>
      <c r="AQ41">
        <f>Model!AY54</f>
        <v>0</v>
      </c>
      <c r="AR41">
        <f>Model!AZ54</f>
        <v>0</v>
      </c>
      <c r="AS41">
        <f>Model!BA54</f>
        <v>0</v>
      </c>
      <c r="AT41">
        <f>Model!BB54</f>
        <v>0</v>
      </c>
      <c r="AU41">
        <f>Model!BC54</f>
        <v>0</v>
      </c>
      <c r="AV41">
        <f>Model!BD54</f>
        <v>0</v>
      </c>
      <c r="AW41">
        <f>Model!BE54</f>
        <v>0</v>
      </c>
      <c r="AX41">
        <f>Model!BF54</f>
        <v>0</v>
      </c>
      <c r="AY41">
        <f>Model!BG54</f>
        <v>0</v>
      </c>
      <c r="AZ41">
        <f>Model!BH54</f>
        <v>0</v>
      </c>
      <c r="BA41">
        <f>Model!BI54</f>
        <v>0</v>
      </c>
      <c r="BB41">
        <f>Model!BJ54</f>
        <v>0</v>
      </c>
      <c r="BC41">
        <f>Model!BK54</f>
        <v>0</v>
      </c>
      <c r="BD41">
        <f>Model!BL54</f>
        <v>0</v>
      </c>
      <c r="BE41">
        <f>Model!BM54</f>
        <v>0</v>
      </c>
      <c r="BF41">
        <f>Model!BN54</f>
        <v>0</v>
      </c>
      <c r="BG41">
        <f>Model!BO54</f>
        <v>0</v>
      </c>
      <c r="BH41">
        <f>Model!BP54</f>
        <v>0</v>
      </c>
      <c r="BI41">
        <f>Model!BQ54</f>
        <v>0</v>
      </c>
      <c r="BJ41">
        <f>Model!BR54</f>
        <v>0</v>
      </c>
      <c r="BK41">
        <f>Model!BS54</f>
        <v>0</v>
      </c>
      <c r="BL41">
        <f>Model!BT54</f>
        <v>0</v>
      </c>
      <c r="BM41">
        <f>Model!BU54</f>
        <v>0</v>
      </c>
      <c r="BN41">
        <f>Model!BV54</f>
        <v>0</v>
      </c>
      <c r="BO41">
        <f>Model!BW54</f>
        <v>0</v>
      </c>
      <c r="BP41">
        <f>Model!BX54</f>
        <v>0</v>
      </c>
      <c r="BQ41">
        <f>Model!BY54</f>
        <v>0</v>
      </c>
      <c r="BR41">
        <f>Model!BZ54</f>
        <v>0</v>
      </c>
      <c r="BS41">
        <f>Model!CA54</f>
        <v>0</v>
      </c>
      <c r="BT41">
        <f>Model!CB54</f>
        <v>0</v>
      </c>
      <c r="BU41">
        <f>Model!CC54</f>
        <v>0</v>
      </c>
      <c r="BV41">
        <f>Model!CD54</f>
        <v>0</v>
      </c>
      <c r="BW41">
        <f>Model!CE54</f>
        <v>0</v>
      </c>
      <c r="BX41">
        <f>Model!CF54</f>
        <v>0</v>
      </c>
      <c r="BY41">
        <f>Model!CG54</f>
        <v>0</v>
      </c>
      <c r="BZ41">
        <f>Model!CH54</f>
        <v>0</v>
      </c>
      <c r="CA41">
        <f>Model!CI54</f>
        <v>0</v>
      </c>
      <c r="CB41">
        <f>Model!CJ54</f>
        <v>0</v>
      </c>
      <c r="CC41">
        <f>Model!CK54</f>
        <v>0</v>
      </c>
      <c r="CD41">
        <f>Model!CL54</f>
        <v>0</v>
      </c>
      <c r="CE41">
        <f>Model!CM54</f>
        <v>0</v>
      </c>
      <c r="CF41">
        <f>Model!CN54</f>
        <v>0</v>
      </c>
      <c r="CG41">
        <f>Model!CO54</f>
        <v>0</v>
      </c>
      <c r="CH41">
        <f>Model!CP54</f>
        <v>0</v>
      </c>
      <c r="CI41">
        <f>Model!CQ54</f>
        <v>0</v>
      </c>
      <c r="CJ41">
        <f>Model!CR54</f>
        <v>0</v>
      </c>
      <c r="CK41">
        <f>Model!CS54</f>
        <v>0</v>
      </c>
      <c r="CL41">
        <f>Model!CT54</f>
        <v>0</v>
      </c>
      <c r="CM41">
        <f>Model!CU54</f>
        <v>0</v>
      </c>
      <c r="CN41">
        <f>Model!CV54</f>
        <v>0</v>
      </c>
      <c r="CO41">
        <f>Model!CW54</f>
        <v>0</v>
      </c>
      <c r="CP41">
        <f>Model!CX54</f>
        <v>0</v>
      </c>
      <c r="CQ41">
        <f>Model!CY54</f>
        <v>0</v>
      </c>
      <c r="CR41">
        <f>Model!CZ54</f>
        <v>0</v>
      </c>
      <c r="CS41">
        <f>Model!DA54</f>
        <v>0</v>
      </c>
      <c r="CT41">
        <f>Model!DB54</f>
        <v>0</v>
      </c>
      <c r="CU41">
        <f>Model!DC54</f>
        <v>0</v>
      </c>
      <c r="CV41">
        <f>Model!DD54</f>
        <v>0</v>
      </c>
      <c r="CW41">
        <f>Model!DE54</f>
        <v>0</v>
      </c>
      <c r="CX41">
        <f>Model!DF54</f>
        <v>0</v>
      </c>
      <c r="CY41">
        <f>Model!DG54</f>
        <v>0</v>
      </c>
      <c r="CZ41">
        <f>Model!DH54</f>
        <v>0</v>
      </c>
    </row>
    <row r="42" spans="1:104">
      <c r="A42" t="str">
        <f>Model!I55</f>
        <v>Total Gross Margin %</v>
      </c>
      <c r="B42">
        <f>Model!J55</f>
        <v>0</v>
      </c>
      <c r="C42">
        <f>Model!K55</f>
        <v>0</v>
      </c>
      <c r="D42">
        <f>Model!L55</f>
        <v>0</v>
      </c>
      <c r="E42">
        <f>Model!M55</f>
        <v>0.15986043959303534</v>
      </c>
      <c r="F42">
        <f>Model!N55</f>
        <v>0.16478412966476222</v>
      </c>
      <c r="G42">
        <f>Model!O55</f>
        <v>0.16699946024524073</v>
      </c>
      <c r="H42">
        <f>Model!P55</f>
        <v>0.16681824363376738</v>
      </c>
      <c r="I42">
        <f>Model!Q55</f>
        <v>0.16034900815243333</v>
      </c>
      <c r="J42">
        <f>Model!R55</f>
        <v>0.15814436240376278</v>
      </c>
      <c r="K42">
        <f>Model!S55</f>
        <v>0.15727775833041624</v>
      </c>
      <c r="L42">
        <f>Model!T55</f>
        <v>0.15450504559024031</v>
      </c>
      <c r="M42">
        <f>Model!U55</f>
        <v>0.1645343588362338</v>
      </c>
      <c r="N42">
        <f>Model!V55</f>
        <v>0.16903066378367548</v>
      </c>
      <c r="O42">
        <f>Model!W55</f>
        <v>0.16697269564288678</v>
      </c>
      <c r="P42">
        <f>Model!X55</f>
        <v>0.17659171768414858</v>
      </c>
      <c r="Q42">
        <f>Model!Y55</f>
        <v>0.19352075348791556</v>
      </c>
      <c r="R42">
        <f>Model!Z55</f>
        <v>0.21052550416555826</v>
      </c>
      <c r="S42">
        <f>Model!AA55</f>
        <v>0.21899933017356135</v>
      </c>
      <c r="T42">
        <f>Model!AB55</f>
        <v>0.26414078207705882</v>
      </c>
      <c r="U42">
        <f>Model!AC55</f>
        <v>0.24880030163844519</v>
      </c>
      <c r="V42">
        <f>Model!AD55</f>
        <v>0.24600366900887988</v>
      </c>
      <c r="W42">
        <f>Model!AE55</f>
        <v>0.31246498220613061</v>
      </c>
      <c r="X42">
        <f>Model!AF55</f>
        <v>0.32044548410351475</v>
      </c>
      <c r="Y42">
        <f>Model!AG55</f>
        <v>0.29858131402068505</v>
      </c>
      <c r="Z42">
        <f>Model!AH55</f>
        <v>0.34390916980604647</v>
      </c>
      <c r="AA42">
        <f>Model!AI55</f>
        <v>0.39221847774852747</v>
      </c>
      <c r="AB42">
        <f>Model!AJ55</f>
        <v>0.38265319854962676</v>
      </c>
      <c r="AC42">
        <f>Model!AK55</f>
        <v>0.36369526918402451</v>
      </c>
      <c r="AD42">
        <f>Model!AL55</f>
        <v>0.43809289459840128</v>
      </c>
      <c r="AE42">
        <f>Model!AM55</f>
        <v>0.4848725217895597</v>
      </c>
      <c r="AF42">
        <f>Model!AN55</f>
        <v>0.47827554180491144</v>
      </c>
      <c r="AG42">
        <f>Model!AO55</f>
        <v>0.44918646758271741</v>
      </c>
      <c r="AH42">
        <f>Model!AP55</f>
        <v>0.4936514545426246</v>
      </c>
      <c r="AI42">
        <f>Model!AQ55</f>
        <v>0.56280793220906367</v>
      </c>
      <c r="AJ42">
        <f>Model!AR55</f>
        <v>0.50503520580433992</v>
      </c>
      <c r="AK42">
        <f>Model!AS55</f>
        <v>0.45087413268464127</v>
      </c>
      <c r="AL42">
        <f>Model!AT55</f>
        <v>0.50557772289773262</v>
      </c>
      <c r="AM42">
        <f>Model!AU55</f>
        <v>0.59399173350121803</v>
      </c>
      <c r="AN42">
        <f>Model!AV55</f>
        <v>0.5781029362089366</v>
      </c>
      <c r="AO42">
        <f>Model!AW55</f>
        <v>0.54606310126387325</v>
      </c>
      <c r="AP42">
        <f>Model!AX55</f>
        <v>0.58069050246756759</v>
      </c>
      <c r="AQ42">
        <f>Model!AY55</f>
        <v>0.66569367498956433</v>
      </c>
      <c r="AR42">
        <f>Model!AZ55</f>
        <v>0.65500791876344522</v>
      </c>
      <c r="AS42">
        <f>Model!BA55</f>
        <v>0.62497899471160978</v>
      </c>
      <c r="AT42">
        <f>Model!BB55</f>
        <v>0.67943786070030721</v>
      </c>
      <c r="AU42">
        <f>Model!BC55</f>
        <v>0.75725837759257275</v>
      </c>
      <c r="AV42">
        <f>Model!BD55</f>
        <v>0.73144826750910907</v>
      </c>
      <c r="AW42">
        <f>Model!BE55</f>
        <v>0.71659691471751663</v>
      </c>
      <c r="AX42">
        <f>Model!BF55</f>
        <v>0.75683828035083989</v>
      </c>
      <c r="AY42">
        <f>Model!BG55</f>
        <v>0.81843334446847293</v>
      </c>
      <c r="AZ42">
        <f>Model!BH55</f>
        <v>0.78928139488006455</v>
      </c>
      <c r="BA42">
        <f>Model!BI55</f>
        <v>0.77546520308568589</v>
      </c>
      <c r="BB42">
        <f>Model!BJ55</f>
        <v>0.82360653669301609</v>
      </c>
      <c r="BC42">
        <f>Model!BK55</f>
        <v>0.87627753256416685</v>
      </c>
      <c r="BD42">
        <f>Model!BL55</f>
        <v>0.86513214456968246</v>
      </c>
      <c r="BE42">
        <f>Model!BM55</f>
        <v>0.85666298372154503</v>
      </c>
      <c r="BF42">
        <f>Model!BN55</f>
        <v>0.88671038225633658</v>
      </c>
      <c r="BG42">
        <f>Model!BO55</f>
        <v>0.92366676220704635</v>
      </c>
      <c r="BH42">
        <f>Model!BP55</f>
        <v>0.91010691284209477</v>
      </c>
      <c r="BI42">
        <f>Model!BQ55</f>
        <v>0.90848125761261778</v>
      </c>
      <c r="BJ42">
        <f>Model!BR55</f>
        <v>0.91778142139285401</v>
      </c>
      <c r="BK42">
        <f>Model!BS55</f>
        <v>0.94984725584219409</v>
      </c>
      <c r="BL42">
        <f>Model!BT55</f>
        <v>0.93969384923462307</v>
      </c>
      <c r="BM42">
        <f>Model!BU55</f>
        <v>0.94010154930895351</v>
      </c>
      <c r="BN42">
        <f>Model!BV55</f>
        <v>0.95066947011270386</v>
      </c>
      <c r="BO42">
        <f>Model!BW55</f>
        <v>0.97250031973536755</v>
      </c>
      <c r="BP42">
        <f>Model!BX55</f>
        <v>0.96931059987659851</v>
      </c>
      <c r="BQ42">
        <f>Model!BY55</f>
        <v>0.96479752864755131</v>
      </c>
      <c r="BR42">
        <f>Model!BZ55</f>
        <v>0.97594952779846023</v>
      </c>
      <c r="BS42">
        <f>Model!CA55</f>
        <v>0.986586465717748</v>
      </c>
      <c r="BT42">
        <f>Model!CB55</f>
        <v>0.98817377803733231</v>
      </c>
      <c r="BU42">
        <f>Model!CC55</f>
        <v>0.9565790611638908</v>
      </c>
      <c r="BV42">
        <f>Model!CD55</f>
        <v>0.96725068707051853</v>
      </c>
      <c r="BW42">
        <f>Model!CE55</f>
        <v>0.97112908750834315</v>
      </c>
      <c r="BX42">
        <f>Model!CF55</f>
        <v>0.96199076070699652</v>
      </c>
      <c r="BY42">
        <f>Model!CG55</f>
        <v>0</v>
      </c>
      <c r="BZ42">
        <f>Model!CH55</f>
        <v>0.16463025910750817</v>
      </c>
      <c r="CA42">
        <f>Model!CI55</f>
        <v>0.15779698407542403</v>
      </c>
      <c r="CB42">
        <f>Model!CJ55</f>
        <v>0.16898412687385445</v>
      </c>
      <c r="CC42">
        <f>Model!CK55</f>
        <v>0.21997550225838555</v>
      </c>
      <c r="CD42">
        <f>Model!CL55</f>
        <v>0.28031732939701393</v>
      </c>
      <c r="CE42">
        <f>Model!CM55</f>
        <v>0.35655009393644077</v>
      </c>
      <c r="CF42">
        <f>Model!CN55</f>
        <v>0.44652759857764396</v>
      </c>
      <c r="CG42">
        <f>Model!CO55</f>
        <v>0.50719861884989759</v>
      </c>
      <c r="CH42">
        <f>Model!CP55</f>
        <v>0.53919961064266198</v>
      </c>
      <c r="CI42">
        <f>Model!CQ55</f>
        <v>0.61939055051644087</v>
      </c>
      <c r="CJ42">
        <f>Model!CR55</f>
        <v>0.70710646729160787</v>
      </c>
      <c r="CK42">
        <f>Model!CS55</f>
        <v>0.77622413112749855</v>
      </c>
      <c r="CL42">
        <f>Model!CT55</f>
        <v>0.84139975440529247</v>
      </c>
      <c r="CM42">
        <f>Model!CU55</f>
        <v>0.8983838016027299</v>
      </c>
      <c r="CN42">
        <f>Model!CV55</f>
        <v>0.93146347669397167</v>
      </c>
      <c r="CO42">
        <f>Model!CW55</f>
        <v>0.96013089818622455</v>
      </c>
      <c r="CP42">
        <f>Model!CX55</f>
        <v>0.9802432473822027</v>
      </c>
      <c r="CQ42">
        <f>Model!CY55</f>
        <v>0.96530646368607076</v>
      </c>
      <c r="CR42">
        <f>Model!CZ55</f>
        <v>0.9682678419844124</v>
      </c>
      <c r="CS42">
        <f>Model!DA55</f>
        <v>0.97104223193683115</v>
      </c>
      <c r="CT42">
        <f>Model!DB55</f>
        <v>0.97357273202963612</v>
      </c>
      <c r="CU42">
        <f>Model!DC55</f>
        <v>0.97563758839591164</v>
      </c>
      <c r="CV42">
        <f>Model!DD55</f>
        <v>0.97737513885782867</v>
      </c>
      <c r="CW42">
        <f>Model!DE55</f>
        <v>0.97884866352302302</v>
      </c>
      <c r="CX42">
        <f>Model!DF55</f>
        <v>0.98024644960127849</v>
      </c>
      <c r="CY42">
        <f>Model!DG55</f>
        <v>0</v>
      </c>
      <c r="CZ42">
        <f>Model!DH55</f>
        <v>0</v>
      </c>
    </row>
    <row r="43" spans="1:104">
      <c r="A43" t="str">
        <f>Model!I56</f>
        <v>bp Change Y/Y</v>
      </c>
      <c r="B43">
        <f>Model!J56</f>
        <v>0</v>
      </c>
      <c r="C43">
        <f>Model!K56</f>
        <v>0</v>
      </c>
      <c r="D43">
        <f>Model!L56</f>
        <v>0</v>
      </c>
      <c r="E43">
        <f>Model!M56</f>
        <v>0</v>
      </c>
      <c r="F43">
        <f>Model!N56</f>
        <v>0</v>
      </c>
      <c r="G43">
        <f>Model!O56</f>
        <v>0</v>
      </c>
      <c r="H43">
        <f>Model!P56</f>
        <v>0</v>
      </c>
      <c r="I43">
        <f>Model!Q56</f>
        <v>0</v>
      </c>
      <c r="J43">
        <f>Model!R56</f>
        <v>0</v>
      </c>
      <c r="K43">
        <f>Model!S56</f>
        <v>0</v>
      </c>
      <c r="L43">
        <f>Model!T56</f>
        <v>0</v>
      </c>
      <c r="M43">
        <f>Model!U56</f>
        <v>0</v>
      </c>
      <c r="N43">
        <f>Model!V56</f>
        <v>0</v>
      </c>
      <c r="O43">
        <f>Model!W56</f>
        <v>0</v>
      </c>
      <c r="P43">
        <f>Model!X56</f>
        <v>0</v>
      </c>
      <c r="Q43">
        <f>Model!Y56</f>
        <v>0</v>
      </c>
      <c r="R43">
        <f>Model!Z56</f>
        <v>0</v>
      </c>
      <c r="S43">
        <f>Model!AA56</f>
        <v>0</v>
      </c>
      <c r="T43">
        <f>Model!AB56</f>
        <v>0</v>
      </c>
      <c r="U43">
        <f>Model!AC56</f>
        <v>0</v>
      </c>
      <c r="V43">
        <f>Model!AD56</f>
        <v>0</v>
      </c>
      <c r="W43">
        <f>Model!AE56</f>
        <v>0</v>
      </c>
      <c r="X43">
        <f>Model!AF56</f>
        <v>0</v>
      </c>
      <c r="Y43">
        <f>Model!AG56</f>
        <v>0</v>
      </c>
      <c r="Z43">
        <f>Model!AH56</f>
        <v>0</v>
      </c>
      <c r="AA43">
        <f>Model!AI56</f>
        <v>0</v>
      </c>
      <c r="AB43">
        <f>Model!AJ56</f>
        <v>0</v>
      </c>
      <c r="AC43">
        <f>Model!AK56</f>
        <v>651.13955163339449</v>
      </c>
      <c r="AD43">
        <f>Model!AL56</f>
        <v>941.83724792354815</v>
      </c>
      <c r="AE43">
        <f>Model!AM56</f>
        <v>926.54044041032228</v>
      </c>
      <c r="AF43">
        <f>Model!AN56</f>
        <v>956.22343255284682</v>
      </c>
      <c r="AG43">
        <f>Model!AO56</f>
        <v>854.91198398692904</v>
      </c>
      <c r="AH43">
        <f>Model!AP56</f>
        <v>555.58559944223316</v>
      </c>
      <c r="AI43">
        <f>Model!AQ56</f>
        <v>779.35410419503967</v>
      </c>
      <c r="AJ43">
        <f>Model!AR56</f>
        <v>267.59663999428471</v>
      </c>
      <c r="AK43">
        <f>Model!AS56</f>
        <v>16.876651019238629</v>
      </c>
      <c r="AL43">
        <f>Model!AT56</f>
        <v>119.26268355108016</v>
      </c>
      <c r="AM43">
        <f>Model!AU56</f>
        <v>311.83801292154368</v>
      </c>
      <c r="AN43">
        <f>Model!AV56</f>
        <v>730.67730404596682</v>
      </c>
      <c r="AO43">
        <f>Model!AW56</f>
        <v>951.88968579231982</v>
      </c>
      <c r="AP43">
        <f>Model!AX56</f>
        <v>751.1277956983497</v>
      </c>
      <c r="AQ43">
        <f>Model!AY56</f>
        <v>717.01941488346301</v>
      </c>
      <c r="AR43">
        <f>Model!AZ56</f>
        <v>769.04982554508615</v>
      </c>
      <c r="AS43">
        <f>Model!BA56</f>
        <v>789.15893447736528</v>
      </c>
      <c r="AT43">
        <f>Model!BB56</f>
        <v>987.47358232739612</v>
      </c>
      <c r="AU43">
        <f>Model!BC56</f>
        <v>915.64702603008413</v>
      </c>
      <c r="AV43">
        <f>Model!BD56</f>
        <v>764.40348745663857</v>
      </c>
      <c r="AW43">
        <f>Model!BE56</f>
        <v>916.17920005906853</v>
      </c>
      <c r="AX43">
        <f>Model!BF56</f>
        <v>774.00419650532683</v>
      </c>
      <c r="AY43">
        <f>Model!BG56</f>
        <v>611.74966875900179</v>
      </c>
      <c r="AZ43">
        <f>Model!BH56</f>
        <v>578.33127370955469</v>
      </c>
      <c r="BA43">
        <f>Model!BI56</f>
        <v>588.6828836816926</v>
      </c>
      <c r="BB43">
        <f>Model!BJ56</f>
        <v>667.68256342176198</v>
      </c>
      <c r="BC43">
        <f>Model!BK56</f>
        <v>578.44188095693914</v>
      </c>
      <c r="BD43">
        <f>Model!BL56</f>
        <v>758.50749689617919</v>
      </c>
      <c r="BE43">
        <f>Model!BM56</f>
        <v>811.97780635859135</v>
      </c>
      <c r="BF43">
        <f>Model!BN56</f>
        <v>631.03845563320488</v>
      </c>
      <c r="BG43">
        <f>Model!BO56</f>
        <v>473.89229642879502</v>
      </c>
      <c r="BH43">
        <f>Model!BP56</f>
        <v>449.74768272412314</v>
      </c>
      <c r="BI43">
        <f>Model!BQ56</f>
        <v>518.18273891072738</v>
      </c>
      <c r="BJ43">
        <f>Model!BR56</f>
        <v>310.7103913651743</v>
      </c>
      <c r="BK43">
        <f>Model!BS56</f>
        <v>261.80493635147741</v>
      </c>
      <c r="BL43">
        <f>Model!BT56</f>
        <v>295.86936392528298</v>
      </c>
      <c r="BM43">
        <f>Model!BU56</f>
        <v>316.20291696335732</v>
      </c>
      <c r="BN43">
        <f>Model!BV56</f>
        <v>328.88048719849849</v>
      </c>
      <c r="BO43">
        <f>Model!BW56</f>
        <v>226.53063893173453</v>
      </c>
      <c r="BP43">
        <f>Model!BX56</f>
        <v>296.16750641975443</v>
      </c>
      <c r="BQ43">
        <f>Model!BY56</f>
        <v>246.95979338597795</v>
      </c>
      <c r="BR43">
        <f>Model!BZ56</f>
        <v>252.80057685756364</v>
      </c>
      <c r="BS43">
        <f>Model!CA56</f>
        <v>140.86145982380449</v>
      </c>
      <c r="BT43">
        <f>Model!CB56</f>
        <v>188.63178160733796</v>
      </c>
      <c r="BU43">
        <f>Model!CC56</f>
        <v>-82.184674836605069</v>
      </c>
      <c r="BV43">
        <f>Model!CD56</f>
        <v>-86.988407279416919</v>
      </c>
      <c r="BW43">
        <f>Model!CE56</f>
        <v>-154.57378209404848</v>
      </c>
      <c r="BX43">
        <f>Model!CF56</f>
        <v>-261.83017330335787</v>
      </c>
      <c r="BY43">
        <f>Model!CG56</f>
        <v>0</v>
      </c>
      <c r="BZ43">
        <f>Model!CH56</f>
        <v>0</v>
      </c>
      <c r="CA43">
        <f>Model!CI56</f>
        <v>0</v>
      </c>
      <c r="CB43">
        <f>Model!CJ56</f>
        <v>0</v>
      </c>
      <c r="CC43">
        <f>Model!CK56</f>
        <v>0</v>
      </c>
      <c r="CD43">
        <f>Model!CL56</f>
        <v>0</v>
      </c>
      <c r="CE43">
        <f>Model!CM56</f>
        <v>0</v>
      </c>
      <c r="CF43">
        <f>Model!CN56</f>
        <v>899.77504641203188</v>
      </c>
      <c r="CG43">
        <f>Model!CO56</f>
        <v>606.71020272253634</v>
      </c>
      <c r="CH43">
        <f>Model!CP56</f>
        <v>320.00991792764387</v>
      </c>
      <c r="CI43">
        <f>Model!CQ56</f>
        <v>801.90939873778905</v>
      </c>
      <c r="CJ43">
        <f>Model!CR56</f>
        <v>877.15916775166988</v>
      </c>
      <c r="CK43">
        <f>Model!CS56</f>
        <v>691.17663835890687</v>
      </c>
      <c r="CL43">
        <f>Model!CT56</f>
        <v>651.7562327779392</v>
      </c>
      <c r="CM43">
        <f>Model!CU56</f>
        <v>569.8404719743744</v>
      </c>
      <c r="CN43">
        <f>Model!CV56</f>
        <v>330.79675091241768</v>
      </c>
      <c r="CO43">
        <f>Model!CW56</f>
        <v>286.67421492252873</v>
      </c>
      <c r="CP43">
        <f>Model!CX56</f>
        <v>201.12349195978152</v>
      </c>
      <c r="CQ43">
        <f>Model!CY56</f>
        <v>-149.3678369613194</v>
      </c>
      <c r="CR43">
        <f>Model!CZ56</f>
        <v>29.613782983416435</v>
      </c>
      <c r="CS43">
        <f>Model!DA56</f>
        <v>27.743899524187434</v>
      </c>
      <c r="CT43">
        <f>Model!DB56</f>
        <v>25.305000928049772</v>
      </c>
      <c r="CU43">
        <f>Model!DC56</f>
        <v>20.648563662755137</v>
      </c>
      <c r="CV43">
        <f>Model!DD56</f>
        <v>17.375504619170368</v>
      </c>
      <c r="CW43">
        <f>Model!DE56</f>
        <v>14.735246651943479</v>
      </c>
      <c r="CX43">
        <f>Model!DF56</f>
        <v>13.977860782554696</v>
      </c>
      <c r="CY43">
        <f>Model!DG56</f>
        <v>0</v>
      </c>
      <c r="CZ43">
        <f>Model!DH56</f>
        <v>0</v>
      </c>
    </row>
    <row r="44" spans="1:104">
      <c r="A44" t="str">
        <f>Model!I58</f>
        <v>Merchant GP % of Merchant Bookings</v>
      </c>
      <c r="B44">
        <f>Model!J58</f>
        <v>0</v>
      </c>
      <c r="C44">
        <f>Model!K58</f>
        <v>0</v>
      </c>
      <c r="D44">
        <f>Model!L58</f>
        <v>0</v>
      </c>
      <c r="E44">
        <f>Model!M58</f>
        <v>0</v>
      </c>
      <c r="F44">
        <f>Model!N58</f>
        <v>0</v>
      </c>
      <c r="G44">
        <f>Model!O58</f>
        <v>0</v>
      </c>
      <c r="H44">
        <f>Model!P58</f>
        <v>0</v>
      </c>
      <c r="I44">
        <f>Model!Q58</f>
        <v>0</v>
      </c>
      <c r="J44">
        <f>Model!R58</f>
        <v>0</v>
      </c>
      <c r="K44">
        <f>Model!S58</f>
        <v>0</v>
      </c>
      <c r="L44">
        <f>Model!T58</f>
        <v>0</v>
      </c>
      <c r="M44">
        <f>Model!U58</f>
        <v>0</v>
      </c>
      <c r="N44">
        <f>Model!V58</f>
        <v>0</v>
      </c>
      <c r="O44">
        <f>Model!W58</f>
        <v>0</v>
      </c>
      <c r="P44">
        <f>Model!X58</f>
        <v>0</v>
      </c>
      <c r="Q44">
        <f>Model!Y58</f>
        <v>0</v>
      </c>
      <c r="R44">
        <f>Model!Z58</f>
        <v>0</v>
      </c>
      <c r="S44">
        <f>Model!AA58</f>
        <v>0</v>
      </c>
      <c r="T44">
        <f>Model!AB58</f>
        <v>0</v>
      </c>
      <c r="U44">
        <f>Model!AC58</f>
        <v>0</v>
      </c>
      <c r="V44">
        <f>Model!AD58</f>
        <v>0</v>
      </c>
      <c r="W44">
        <f>Model!AE58</f>
        <v>0</v>
      </c>
      <c r="X44">
        <f>Model!AF58</f>
        <v>0</v>
      </c>
      <c r="Y44">
        <f>Model!AG58</f>
        <v>0.15303306235097533</v>
      </c>
      <c r="Z44">
        <f>Model!AH58</f>
        <v>0.15304056390811968</v>
      </c>
      <c r="AA44">
        <f>Model!AI58</f>
        <v>0.15659494916799335</v>
      </c>
      <c r="AB44">
        <f>Model!AJ58</f>
        <v>0.1754396435107822</v>
      </c>
      <c r="AC44">
        <f>Model!AK58</f>
        <v>0.16828898157054892</v>
      </c>
      <c r="AD44">
        <f>Model!AL58</f>
        <v>0.17082790803767442</v>
      </c>
      <c r="AE44">
        <f>Model!AM58</f>
        <v>0.17311471453525795</v>
      </c>
      <c r="AF44">
        <f>Model!AN58</f>
        <v>0.17766964081289541</v>
      </c>
      <c r="AG44">
        <f>Model!AO58</f>
        <v>0.17267235188278809</v>
      </c>
      <c r="AH44">
        <f>Model!AP58</f>
        <v>0.16765374346300677</v>
      </c>
      <c r="AI44">
        <f>Model!AQ58</f>
        <v>0.17555413288444577</v>
      </c>
      <c r="AJ44">
        <f>Model!AR58</f>
        <v>0.18183328910796076</v>
      </c>
      <c r="AK44">
        <f>Model!AS58</f>
        <v>0.17588909439475703</v>
      </c>
      <c r="AL44">
        <f>Model!AT58</f>
        <v>0.17007898153491061</v>
      </c>
      <c r="AM44">
        <f>Model!AU58</f>
        <v>0.175020049807944</v>
      </c>
      <c r="AN44">
        <f>Model!AV58</f>
        <v>0.17834265766552443</v>
      </c>
      <c r="AO44">
        <f>Model!AW58</f>
        <v>0.1742205606211831</v>
      </c>
      <c r="AP44">
        <f>Model!AX58</f>
        <v>0.17245793884889601</v>
      </c>
      <c r="AQ44">
        <f>Model!AY58</f>
        <v>0.19203341288782813</v>
      </c>
      <c r="AR44">
        <f>Model!AZ58</f>
        <v>0.18514689265536718</v>
      </c>
      <c r="AS44">
        <f>Model!BA58</f>
        <v>0.17114479638009047</v>
      </c>
      <c r="AT44">
        <f>Model!BB58</f>
        <v>0.16781137440758293</v>
      </c>
      <c r="AU44">
        <f>Model!BC58</f>
        <v>0.19416725352112676</v>
      </c>
      <c r="AV44">
        <f>Model!BD58</f>
        <v>0.18478520041109975</v>
      </c>
      <c r="AW44">
        <f>Model!BE58</f>
        <v>0.17098817567567567</v>
      </c>
      <c r="AX44">
        <f>Model!BF58</f>
        <v>0.17596841294298921</v>
      </c>
      <c r="AY44">
        <f>Model!BG58</f>
        <v>0.19542613636363637</v>
      </c>
      <c r="AZ44">
        <f>Model!BH58</f>
        <v>0.17274570982839316</v>
      </c>
      <c r="BA44">
        <f>Model!BI58</f>
        <v>0.1569548172757475</v>
      </c>
      <c r="BB44">
        <f>Model!BJ58</f>
        <v>0.16775472813238773</v>
      </c>
      <c r="BC44">
        <f>Model!BK58</f>
        <v>0.19521584385763488</v>
      </c>
      <c r="BD44">
        <f>Model!BL58</f>
        <v>0.175371318822023</v>
      </c>
      <c r="BE44">
        <f>Model!BM58</f>
        <v>0.16534410430839003</v>
      </c>
      <c r="BF44">
        <f>Model!BN58</f>
        <v>0.16692590700051099</v>
      </c>
      <c r="BG44">
        <f>Model!BO58</f>
        <v>0.19830969030969028</v>
      </c>
      <c r="BH44">
        <f>Model!BP58</f>
        <v>0.18567121661721067</v>
      </c>
      <c r="BI44">
        <f>Model!BQ58</f>
        <v>0.17472790573111943</v>
      </c>
      <c r="BJ44">
        <f>Model!BR58</f>
        <v>0.17121394460362943</v>
      </c>
      <c r="BK44">
        <f>Model!BS58</f>
        <v>0.22867427385892117</v>
      </c>
      <c r="BL44">
        <f>Model!BT58</f>
        <v>0.19471257485029939</v>
      </c>
      <c r="BM44">
        <f>Model!BU58</f>
        <v>0.16109627182633315</v>
      </c>
      <c r="BN44">
        <f>Model!BV58</f>
        <v>0.15709021651964714</v>
      </c>
      <c r="BO44">
        <f>Model!BW58</f>
        <v>0.19193525712171658</v>
      </c>
      <c r="BP44">
        <f>Model!BX58</f>
        <v>0.17232614807872537</v>
      </c>
      <c r="BQ44">
        <f>Model!BY58</f>
        <v>0.14017124901806757</v>
      </c>
      <c r="BR44">
        <f>Model!BZ58</f>
        <v>0.14925999999999998</v>
      </c>
      <c r="BS44">
        <f>Model!CA58</f>
        <v>0.19722632575757576</v>
      </c>
      <c r="BT44">
        <f>Model!CB58</f>
        <v>0.1603372681281619</v>
      </c>
      <c r="BU44">
        <f>Model!CC58</f>
        <v>0.13764759974642529</v>
      </c>
      <c r="BV44">
        <f>Model!CD58</f>
        <v>0.14626411697644487</v>
      </c>
      <c r="BW44">
        <f>Model!CE58</f>
        <v>0.22693167875104245</v>
      </c>
      <c r="BX44">
        <f>Model!CF58</f>
        <v>0.18540262747394545</v>
      </c>
      <c r="BY44">
        <f>Model!CG58</f>
        <v>0</v>
      </c>
      <c r="BZ44">
        <f>Model!CH58</f>
        <v>0</v>
      </c>
      <c r="CA44">
        <f>Model!CI58</f>
        <v>0</v>
      </c>
      <c r="CB44">
        <f>Model!CJ58</f>
        <v>0</v>
      </c>
      <c r="CC44">
        <f>Model!CK58</f>
        <v>0</v>
      </c>
      <c r="CD44">
        <f>Model!CL58</f>
        <v>0</v>
      </c>
      <c r="CE44">
        <f>Model!CM58</f>
        <v>0.1589290310000237</v>
      </c>
      <c r="CF44">
        <f>Model!CN58</f>
        <v>0.17248903208281519</v>
      </c>
      <c r="CG44">
        <f>Model!CO58</f>
        <v>0.17413539283036</v>
      </c>
      <c r="CH44">
        <f>Model!CP58</f>
        <v>0.174702235698487</v>
      </c>
      <c r="CI44">
        <f>Model!CQ58</f>
        <v>0.18168516711499483</v>
      </c>
      <c r="CJ44">
        <f>Model!CR58</f>
        <v>0.18001556324110671</v>
      </c>
      <c r="CK44">
        <f>Model!CS58</f>
        <v>0.17932656612528999</v>
      </c>
      <c r="CL44">
        <f>Model!CT58</f>
        <v>0.17444300876788188</v>
      </c>
      <c r="CM44">
        <f>Model!CU58</f>
        <v>0.17929441144708427</v>
      </c>
      <c r="CN44">
        <f>Model!CV58</f>
        <v>0.19192922344225435</v>
      </c>
      <c r="CO44">
        <f>Model!CW58</f>
        <v>0.17139587301587297</v>
      </c>
      <c r="CP44">
        <f>Model!CX58</f>
        <v>0.16328215803625643</v>
      </c>
      <c r="CQ44">
        <f>Model!CY58</f>
        <v>0.17353688102258272</v>
      </c>
      <c r="CR44">
        <f>Model!CZ58</f>
        <v>0.17230056578570097</v>
      </c>
      <c r="CS44">
        <f>Model!DA58</f>
        <v>0.17106572237767492</v>
      </c>
      <c r="CT44">
        <f>Model!DB58</f>
        <v>0.16975314915992626</v>
      </c>
      <c r="CU44">
        <f>Model!DC58</f>
        <v>0.16880086909230624</v>
      </c>
      <c r="CV44">
        <f>Model!DD58</f>
        <v>0.16790069353652864</v>
      </c>
      <c r="CW44">
        <f>Model!DE58</f>
        <v>0.16704524983926833</v>
      </c>
      <c r="CX44">
        <f>Model!DF58</f>
        <v>0.16619529038825953</v>
      </c>
      <c r="CY44">
        <f>Model!DG58</f>
        <v>0</v>
      </c>
      <c r="CZ44">
        <f>Model!DH58</f>
        <v>0</v>
      </c>
    </row>
    <row r="45" spans="1:104">
      <c r="A45" t="str">
        <f>Model!I59</f>
        <v>bp Change Y/Y</v>
      </c>
      <c r="B45">
        <f>Model!J59</f>
        <v>0</v>
      </c>
      <c r="C45">
        <f>Model!K59</f>
        <v>0</v>
      </c>
      <c r="D45">
        <f>Model!L59</f>
        <v>0</v>
      </c>
      <c r="E45">
        <f>Model!M59</f>
        <v>0</v>
      </c>
      <c r="F45">
        <f>Model!N59</f>
        <v>0</v>
      </c>
      <c r="G45">
        <f>Model!O59</f>
        <v>0</v>
      </c>
      <c r="H45">
        <f>Model!P59</f>
        <v>0</v>
      </c>
      <c r="I45">
        <f>Model!Q59</f>
        <v>0</v>
      </c>
      <c r="J45">
        <f>Model!R59</f>
        <v>0</v>
      </c>
      <c r="K45">
        <f>Model!S59</f>
        <v>0</v>
      </c>
      <c r="L45">
        <f>Model!T59</f>
        <v>0</v>
      </c>
      <c r="M45">
        <f>Model!U59</f>
        <v>0</v>
      </c>
      <c r="N45">
        <f>Model!V59</f>
        <v>0</v>
      </c>
      <c r="O45">
        <f>Model!W59</f>
        <v>0</v>
      </c>
      <c r="P45">
        <f>Model!X59</f>
        <v>0</v>
      </c>
      <c r="Q45">
        <f>Model!Y59</f>
        <v>0</v>
      </c>
      <c r="R45">
        <f>Model!Z59</f>
        <v>0</v>
      </c>
      <c r="S45">
        <f>Model!AA59</f>
        <v>0</v>
      </c>
      <c r="T45">
        <f>Model!AB59</f>
        <v>0</v>
      </c>
      <c r="U45">
        <f>Model!AC59</f>
        <v>0</v>
      </c>
      <c r="V45">
        <f>Model!AD59</f>
        <v>0</v>
      </c>
      <c r="W45">
        <f>Model!AE59</f>
        <v>0</v>
      </c>
      <c r="X45">
        <f>Model!AF59</f>
        <v>0</v>
      </c>
      <c r="Y45">
        <f>Model!AG59</f>
        <v>0</v>
      </c>
      <c r="Z45">
        <f>Model!AH59</f>
        <v>0</v>
      </c>
      <c r="AA45">
        <f>Model!AI59</f>
        <v>0</v>
      </c>
      <c r="AB45">
        <f>Model!AJ59</f>
        <v>0</v>
      </c>
      <c r="AC45">
        <f>Model!AK59</f>
        <v>152.55919219573587</v>
      </c>
      <c r="AD45">
        <f>Model!AL59</f>
        <v>177.87344129554739</v>
      </c>
      <c r="AE45">
        <f>Model!AM59</f>
        <v>165.197653672646</v>
      </c>
      <c r="AF45">
        <f>Model!AN59</f>
        <v>22.299973021132068</v>
      </c>
      <c r="AG45">
        <f>Model!AO59</f>
        <v>43.833703122391768</v>
      </c>
      <c r="AH45">
        <f>Model!AP59</f>
        <v>-31.741645746676539</v>
      </c>
      <c r="AI45">
        <f>Model!AQ59</f>
        <v>24.394183491878163</v>
      </c>
      <c r="AJ45">
        <f>Model!AR59</f>
        <v>41.63648295065353</v>
      </c>
      <c r="AK45">
        <f>Model!AS59</f>
        <v>32.167425119689341</v>
      </c>
      <c r="AL45">
        <f>Model!AT59</f>
        <v>24.252380719038403</v>
      </c>
      <c r="AM45">
        <f>Model!AU59</f>
        <v>-5.3408307650176789</v>
      </c>
      <c r="AN45">
        <f>Model!AV59</f>
        <v>-34.906314424363316</v>
      </c>
      <c r="AO45">
        <f>Model!AW59</f>
        <v>-16.685337735739271</v>
      </c>
      <c r="AP45">
        <f>Model!AX59</f>
        <v>23.789573139854081</v>
      </c>
      <c r="AQ45">
        <f>Model!AY59</f>
        <v>170.1336307988413</v>
      </c>
      <c r="AR45">
        <f>Model!AZ59</f>
        <v>68.04234989842756</v>
      </c>
      <c r="AS45">
        <f>Model!BA59</f>
        <v>-30.757642410926266</v>
      </c>
      <c r="AT45">
        <f>Model!BB59</f>
        <v>-46.465644413130889</v>
      </c>
      <c r="AU45">
        <f>Model!BC59</f>
        <v>21.338406332986338</v>
      </c>
      <c r="AV45">
        <f>Model!BD59</f>
        <v>-3.616922442674364</v>
      </c>
      <c r="AW45">
        <f>Model!BE59</f>
        <v>-1.5662070441480047</v>
      </c>
      <c r="AX45">
        <f>Model!BF59</f>
        <v>81.570385354062807</v>
      </c>
      <c r="AY45">
        <f>Model!BG59</f>
        <v>12.588828425096066</v>
      </c>
      <c r="AZ45">
        <f>Model!BH59</f>
        <v>-120.39490582706591</v>
      </c>
      <c r="BA45">
        <f>Model!BI59</f>
        <v>-140.3335839992817</v>
      </c>
      <c r="BB45">
        <f>Model!BJ59</f>
        <v>-82.136848106014739</v>
      </c>
      <c r="BC45">
        <f>Model!BK59</f>
        <v>-2.1029250600149152</v>
      </c>
      <c r="BD45">
        <f>Model!BL59</f>
        <v>26.256089936298466</v>
      </c>
      <c r="BE45">
        <f>Model!BM59</f>
        <v>83.892870326425225</v>
      </c>
      <c r="BF45">
        <f>Model!BN59</f>
        <v>-8.2882113187673916</v>
      </c>
      <c r="BG45">
        <f>Model!BO59</f>
        <v>30.938464520554042</v>
      </c>
      <c r="BH45">
        <f>Model!BP59</f>
        <v>102.99897795187668</v>
      </c>
      <c r="BI45">
        <f>Model!BQ59</f>
        <v>93.838014227294039</v>
      </c>
      <c r="BJ45">
        <f>Model!BR59</f>
        <v>42.880376031184383</v>
      </c>
      <c r="BK45">
        <f>Model!BS59</f>
        <v>303.64583549230883</v>
      </c>
      <c r="BL45">
        <f>Model!BT59</f>
        <v>90.413582330887138</v>
      </c>
      <c r="BM45">
        <f>Model!BU59</f>
        <v>-136.31633904786278</v>
      </c>
      <c r="BN45">
        <f>Model!BV59</f>
        <v>-141.23728083982294</v>
      </c>
      <c r="BO45">
        <f>Model!BW59</f>
        <v>-367.39016737204588</v>
      </c>
      <c r="BP45">
        <f>Model!BX59</f>
        <v>-223.86426771574014</v>
      </c>
      <c r="BQ45">
        <f>Model!BY59</f>
        <v>-209.25022808265581</v>
      </c>
      <c r="BR45">
        <f>Model!BZ59</f>
        <v>-78.302165196471591</v>
      </c>
      <c r="BS45">
        <f>Model!CA59</f>
        <v>52.910686358591811</v>
      </c>
      <c r="BT45">
        <f>Model!CB59</f>
        <v>-119.88879950563469</v>
      </c>
      <c r="BU45">
        <f>Model!CC59</f>
        <v>-25.236492716422809</v>
      </c>
      <c r="BV45">
        <f>Model!CD59</f>
        <v>-29.958830235551069</v>
      </c>
      <c r="BW45">
        <f>Model!CE59</f>
        <v>297.05352993466687</v>
      </c>
      <c r="BX45">
        <f>Model!CF59</f>
        <v>250.65359345783551</v>
      </c>
      <c r="BY45">
        <f>Model!CG59</f>
        <v>0</v>
      </c>
      <c r="BZ45">
        <f>Model!CH59</f>
        <v>0</v>
      </c>
      <c r="CA45">
        <f>Model!CI59</f>
        <v>0</v>
      </c>
      <c r="CB45">
        <f>Model!CJ59</f>
        <v>0</v>
      </c>
      <c r="CC45">
        <f>Model!CK59</f>
        <v>0</v>
      </c>
      <c r="CD45">
        <f>Model!CL59</f>
        <v>0</v>
      </c>
      <c r="CE45">
        <f>Model!CM59</f>
        <v>0</v>
      </c>
      <c r="CF45">
        <f>Model!CN59</f>
        <v>135.60001082791484</v>
      </c>
      <c r="CG45">
        <f>Model!CO59</f>
        <v>16.463607475448171</v>
      </c>
      <c r="CH45">
        <f>Model!CP59</f>
        <v>5.6684286812699884</v>
      </c>
      <c r="CI45">
        <f>Model!CQ59</f>
        <v>69.829314165078259</v>
      </c>
      <c r="CJ45">
        <f>Model!CR59</f>
        <v>-16.696038738881203</v>
      </c>
      <c r="CK45">
        <f>Model!CS59</f>
        <v>-6.8899711581671408</v>
      </c>
      <c r="CL45">
        <f>Model!CT59</f>
        <v>-48.835573574081138</v>
      </c>
      <c r="CM45">
        <f>Model!CU59</f>
        <v>48.514026792023934</v>
      </c>
      <c r="CN45">
        <f>Model!CV59</f>
        <v>126.34811995170081</v>
      </c>
      <c r="CO45">
        <f>Model!CW59</f>
        <v>-205.33350426381381</v>
      </c>
      <c r="CP45">
        <f>Model!CX59</f>
        <v>-81.137149796165488</v>
      </c>
      <c r="CQ45">
        <f>Model!CY59</f>
        <v>102.54722986326293</v>
      </c>
      <c r="CR45">
        <f>Model!CZ59</f>
        <v>-12.36315236881752</v>
      </c>
      <c r="CS45">
        <f>Model!DA59</f>
        <v>-12.348434080260429</v>
      </c>
      <c r="CT45">
        <f>Model!DB59</f>
        <v>-13.125732177486638</v>
      </c>
      <c r="CU45">
        <f>Model!DC59</f>
        <v>-9.5228006762002053</v>
      </c>
      <c r="CV45">
        <f>Model!DD59</f>
        <v>-9.0017555577759367</v>
      </c>
      <c r="CW45">
        <f>Model!DE59</f>
        <v>-8.5544369726031633</v>
      </c>
      <c r="CX45">
        <f>Model!DF59</f>
        <v>-8.4995945100879702</v>
      </c>
      <c r="CY45">
        <f>Model!DG59</f>
        <v>0</v>
      </c>
      <c r="CZ45">
        <f>Model!DH59</f>
        <v>0</v>
      </c>
    </row>
    <row r="48" spans="1:104">
      <c r="A48">
        <f>Model!I60</f>
        <v>0</v>
      </c>
      <c r="B48">
        <f>Model!J60</f>
        <v>0</v>
      </c>
      <c r="C48">
        <f>Model!K60</f>
        <v>0</v>
      </c>
      <c r="D48">
        <f>Model!L60</f>
        <v>0</v>
      </c>
      <c r="E48">
        <f>Model!M60</f>
        <v>0</v>
      </c>
      <c r="F48">
        <f>Model!N60</f>
        <v>0</v>
      </c>
      <c r="G48">
        <f>Model!O60</f>
        <v>0</v>
      </c>
      <c r="H48">
        <f>Model!P60</f>
        <v>0</v>
      </c>
      <c r="I48">
        <f>Model!Q60</f>
        <v>0</v>
      </c>
      <c r="J48">
        <f>Model!R60</f>
        <v>0</v>
      </c>
      <c r="K48">
        <f>Model!S60</f>
        <v>0</v>
      </c>
      <c r="L48">
        <f>Model!T60</f>
        <v>0</v>
      </c>
      <c r="M48">
        <f>Model!U60</f>
        <v>0</v>
      </c>
      <c r="N48">
        <f>Model!V60</f>
        <v>0</v>
      </c>
      <c r="O48">
        <f>Model!W60</f>
        <v>0</v>
      </c>
      <c r="P48">
        <f>Model!X60</f>
        <v>0</v>
      </c>
      <c r="Q48">
        <f>Model!Y60</f>
        <v>0</v>
      </c>
      <c r="R48">
        <f>Model!Z60</f>
        <v>0</v>
      </c>
      <c r="S48">
        <f>Model!AA60</f>
        <v>0</v>
      </c>
      <c r="T48">
        <f>Model!AB60</f>
        <v>0</v>
      </c>
      <c r="U48">
        <f>Model!AC60</f>
        <v>0</v>
      </c>
      <c r="V48">
        <f>Model!AD60</f>
        <v>0</v>
      </c>
      <c r="W48">
        <f>Model!AE60</f>
        <v>0</v>
      </c>
      <c r="X48">
        <f>Model!AF60</f>
        <v>0</v>
      </c>
      <c r="Y48">
        <f>Model!AG60</f>
        <v>0</v>
      </c>
      <c r="Z48">
        <f>Model!AH60</f>
        <v>0</v>
      </c>
      <c r="AA48">
        <f>Model!AI60</f>
        <v>0</v>
      </c>
      <c r="AB48">
        <f>Model!AJ60</f>
        <v>0</v>
      </c>
      <c r="AC48">
        <f>Model!AK60</f>
        <v>0</v>
      </c>
      <c r="AD48">
        <f>Model!AL60</f>
        <v>0</v>
      </c>
      <c r="AE48">
        <f>Model!AM60</f>
        <v>0</v>
      </c>
      <c r="AF48">
        <f>Model!AN60</f>
        <v>0</v>
      </c>
      <c r="AG48">
        <f>Model!AO60</f>
        <v>0</v>
      </c>
      <c r="AH48">
        <f>Model!AP60</f>
        <v>0</v>
      </c>
      <c r="AI48">
        <f>Model!AQ60</f>
        <v>0</v>
      </c>
      <c r="AJ48">
        <f>Model!AR60</f>
        <v>0</v>
      </c>
      <c r="AK48">
        <f>Model!AS60</f>
        <v>0</v>
      </c>
      <c r="AL48">
        <f>Model!AT60</f>
        <v>0</v>
      </c>
      <c r="AM48">
        <f>Model!AU60</f>
        <v>0</v>
      </c>
      <c r="AN48">
        <f>Model!AV60</f>
        <v>0</v>
      </c>
      <c r="AO48">
        <f>Model!AW60</f>
        <v>0</v>
      </c>
      <c r="AP48">
        <f>Model!AX60</f>
        <v>0</v>
      </c>
      <c r="AQ48">
        <f>Model!AY60</f>
        <v>0</v>
      </c>
      <c r="AR48">
        <f>Model!AZ60</f>
        <v>0</v>
      </c>
      <c r="AS48">
        <f>Model!BA60</f>
        <v>0</v>
      </c>
      <c r="AT48">
        <f>Model!BB60</f>
        <v>0</v>
      </c>
      <c r="AU48">
        <f>Model!BC60</f>
        <v>0</v>
      </c>
      <c r="AV48">
        <f>Model!BD60</f>
        <v>0</v>
      </c>
      <c r="AW48">
        <f>Model!BE60</f>
        <v>0</v>
      </c>
      <c r="AX48">
        <f>Model!BF60</f>
        <v>0</v>
      </c>
      <c r="AY48">
        <f>Model!BG60</f>
        <v>0</v>
      </c>
      <c r="AZ48">
        <f>Model!BH60</f>
        <v>0</v>
      </c>
      <c r="BA48">
        <f>Model!BI60</f>
        <v>0</v>
      </c>
      <c r="BB48">
        <f>Model!BJ60</f>
        <v>0</v>
      </c>
      <c r="BC48">
        <f>Model!BK60</f>
        <v>0</v>
      </c>
      <c r="BD48">
        <f>Model!BL60</f>
        <v>0</v>
      </c>
      <c r="BE48">
        <f>Model!BM60</f>
        <v>0</v>
      </c>
      <c r="BF48">
        <f>Model!BN60</f>
        <v>0</v>
      </c>
      <c r="BG48">
        <f>Model!BO60</f>
        <v>0</v>
      </c>
      <c r="BH48">
        <f>Model!BP60</f>
        <v>0</v>
      </c>
      <c r="BI48">
        <f>Model!BQ60</f>
        <v>0</v>
      </c>
      <c r="BJ48">
        <f>Model!BR60</f>
        <v>0</v>
      </c>
      <c r="BK48">
        <f>Model!BS60</f>
        <v>0</v>
      </c>
      <c r="BL48">
        <f>Model!BT60</f>
        <v>0</v>
      </c>
      <c r="BM48">
        <f>Model!BU60</f>
        <v>0</v>
      </c>
      <c r="BN48">
        <f>Model!BV60</f>
        <v>0</v>
      </c>
      <c r="BO48">
        <f>Model!BW60</f>
        <v>0</v>
      </c>
      <c r="BP48">
        <f>Model!BX60</f>
        <v>0</v>
      </c>
      <c r="BQ48">
        <f>Model!BY60</f>
        <v>0</v>
      </c>
      <c r="BR48">
        <f>Model!BZ60</f>
        <v>0</v>
      </c>
      <c r="BS48">
        <f>Model!CA60</f>
        <v>0</v>
      </c>
      <c r="BT48">
        <f>Model!CB60</f>
        <v>0</v>
      </c>
      <c r="BU48">
        <f>Model!CC60</f>
        <v>0</v>
      </c>
      <c r="BV48">
        <f>Model!CD60</f>
        <v>0</v>
      </c>
      <c r="BW48">
        <f>Model!CE60</f>
        <v>0</v>
      </c>
      <c r="BX48">
        <f>Model!CF60</f>
        <v>0</v>
      </c>
      <c r="BY48">
        <f>Model!CG60</f>
        <v>0</v>
      </c>
      <c r="BZ48">
        <f>Model!CH60</f>
        <v>0</v>
      </c>
      <c r="CA48">
        <f>Model!CI60</f>
        <v>0</v>
      </c>
      <c r="CB48">
        <f>Model!CJ60</f>
        <v>0</v>
      </c>
      <c r="CC48">
        <f>Model!CK60</f>
        <v>0</v>
      </c>
      <c r="CD48">
        <f>Model!CL60</f>
        <v>0</v>
      </c>
      <c r="CE48">
        <f>Model!CM60</f>
        <v>0</v>
      </c>
      <c r="CF48">
        <f>Model!CN60</f>
        <v>0</v>
      </c>
      <c r="CG48">
        <f>Model!CO60</f>
        <v>0</v>
      </c>
      <c r="CH48">
        <f>Model!CP60</f>
        <v>0</v>
      </c>
      <c r="CI48">
        <f>Model!CQ60</f>
        <v>0</v>
      </c>
      <c r="CJ48">
        <f>Model!CR60</f>
        <v>0</v>
      </c>
      <c r="CK48">
        <f>Model!CS60</f>
        <v>0</v>
      </c>
      <c r="CL48">
        <f>Model!CT60</f>
        <v>0</v>
      </c>
      <c r="CM48">
        <f>Model!CU60</f>
        <v>0</v>
      </c>
      <c r="CN48">
        <f>Model!CV60</f>
        <v>0</v>
      </c>
      <c r="CO48">
        <f>Model!CW60</f>
        <v>0</v>
      </c>
      <c r="CP48">
        <f>Model!CX60</f>
        <v>0</v>
      </c>
      <c r="CQ48">
        <f>Model!CY60</f>
        <v>0</v>
      </c>
      <c r="CR48">
        <f>Model!CZ60</f>
        <v>0</v>
      </c>
      <c r="CS48">
        <f>Model!DA60</f>
        <v>0</v>
      </c>
      <c r="CT48">
        <f>Model!DB60</f>
        <v>0</v>
      </c>
      <c r="CU48">
        <f>Model!DC60</f>
        <v>0</v>
      </c>
      <c r="CV48">
        <f>Model!DD60</f>
        <v>0</v>
      </c>
      <c r="CW48">
        <f>Model!DE60</f>
        <v>0</v>
      </c>
      <c r="CX48">
        <f>Model!DF60</f>
        <v>0</v>
      </c>
      <c r="CY48">
        <f>Model!DG60</f>
        <v>0</v>
      </c>
      <c r="CZ48">
        <f>Model!DH60</f>
        <v>0</v>
      </c>
    </row>
    <row r="49" spans="1:104">
      <c r="A49" t="str">
        <f>Model!I61</f>
        <v>Advertising - Offline</v>
      </c>
      <c r="B49">
        <f>Model!J61</f>
        <v>0</v>
      </c>
      <c r="C49">
        <f>Model!K61</f>
        <v>0</v>
      </c>
      <c r="D49">
        <f>Model!L61</f>
        <v>0</v>
      </c>
      <c r="E49">
        <f>Model!M61</f>
        <v>16.189</v>
      </c>
      <c r="F49">
        <f>Model!N61</f>
        <v>13.701000000000001</v>
      </c>
      <c r="G49">
        <f>Model!O61</f>
        <v>9.6</v>
      </c>
      <c r="H49">
        <f>Model!P61</f>
        <v>7.3849999999999998</v>
      </c>
      <c r="I49">
        <f>Model!Q61</f>
        <v>10.227</v>
      </c>
      <c r="J49">
        <f>Model!R61</f>
        <v>12.776999999999999</v>
      </c>
      <c r="K49">
        <f>Model!S61</f>
        <v>11.648999999999999</v>
      </c>
      <c r="L49">
        <f>Model!T61</f>
        <v>10.010999999999999</v>
      </c>
      <c r="M49">
        <f>Model!U61</f>
        <v>6.9859999999999998</v>
      </c>
      <c r="N49">
        <f>Model!V61</f>
        <v>6.5010000000000003</v>
      </c>
      <c r="O49">
        <f>Model!W61</f>
        <v>5.524</v>
      </c>
      <c r="P49">
        <f>Model!X61</f>
        <v>6.0279999999999996</v>
      </c>
      <c r="Q49">
        <f>Model!Y61</f>
        <v>10.664</v>
      </c>
      <c r="R49">
        <f>Model!Z61</f>
        <v>9.6170000000000009</v>
      </c>
      <c r="S49">
        <f>Model!AA61</f>
        <v>7.4710000000000001</v>
      </c>
      <c r="T49">
        <f>Model!AB61</f>
        <v>6.0179999999999998</v>
      </c>
      <c r="U49">
        <f>Model!AC61</f>
        <v>11.071999999999999</v>
      </c>
      <c r="V49">
        <f>Model!AD61</f>
        <v>8.0890000000000004</v>
      </c>
      <c r="W49">
        <f>Model!AE61</f>
        <v>7.32</v>
      </c>
      <c r="X49">
        <f>Model!AF61</f>
        <v>4.4749999999999996</v>
      </c>
      <c r="Y49">
        <f>Model!AG61</f>
        <v>9.4379999999999988</v>
      </c>
      <c r="Z49">
        <f>Model!AH61</f>
        <v>8.8610000000000007</v>
      </c>
      <c r="AA49">
        <f>Model!AI61</f>
        <v>6.6649999999999991</v>
      </c>
      <c r="AB49">
        <f>Model!AJ61</f>
        <v>6.8689999999999998</v>
      </c>
      <c r="AC49">
        <f>Model!AK61</f>
        <v>11.333999999999996</v>
      </c>
      <c r="AD49">
        <f>Model!AL61</f>
        <v>9.2810000000000006</v>
      </c>
      <c r="AE49">
        <f>Model!AM61</f>
        <v>8.4130000000000003</v>
      </c>
      <c r="AF49">
        <f>Model!AN61</f>
        <v>6.9349999999999996</v>
      </c>
      <c r="AG49">
        <f>Model!AO61</f>
        <v>12.031000000000006</v>
      </c>
      <c r="AH49">
        <f>Model!AP61</f>
        <v>9.9280000000000008</v>
      </c>
      <c r="AI49">
        <f>Model!AQ61</f>
        <v>8.2929999999999993</v>
      </c>
      <c r="AJ49">
        <f>Model!AR61</f>
        <v>7.7789999999999999</v>
      </c>
      <c r="AK49">
        <f>Model!AS61</f>
        <v>10.766</v>
      </c>
      <c r="AL49">
        <f>Model!AT61</f>
        <v>11.053000000000001</v>
      </c>
      <c r="AM49">
        <f>Model!AU61</f>
        <v>8.4740000000000002</v>
      </c>
      <c r="AN49">
        <f>Model!AV61</f>
        <v>5.9779999999999998</v>
      </c>
      <c r="AO49">
        <f>Model!AW61</f>
        <v>11.788</v>
      </c>
      <c r="AP49">
        <f>Model!AX61</f>
        <v>10.122999999999999</v>
      </c>
      <c r="AQ49">
        <f>Model!AY61</f>
        <v>7.7729999999999997</v>
      </c>
      <c r="AR49">
        <f>Model!AZ61</f>
        <v>6.03</v>
      </c>
      <c r="AS49">
        <f>Model!BA61</f>
        <v>11.614000000000001</v>
      </c>
      <c r="AT49">
        <f>Model!BB61</f>
        <v>9.8149999999999995</v>
      </c>
      <c r="AU49">
        <f>Model!BC61</f>
        <v>8.0350000000000001</v>
      </c>
      <c r="AV49">
        <f>Model!BD61</f>
        <v>6.0060000000000002</v>
      </c>
      <c r="AW49">
        <f>Model!BE61</f>
        <v>11.157</v>
      </c>
      <c r="AX49">
        <f>Model!BF61</f>
        <v>9.9220000000000006</v>
      </c>
      <c r="AY49">
        <f>Model!BG61</f>
        <v>8.4410000000000007</v>
      </c>
      <c r="AZ49">
        <f>Model!BH61</f>
        <v>5.9729999999999999</v>
      </c>
      <c r="BA49">
        <f>Model!BI61</f>
        <v>27.728999999999999</v>
      </c>
      <c r="BB49">
        <f>Model!BJ61</f>
        <v>32.130000000000003</v>
      </c>
      <c r="BC49">
        <f>Model!BK61</f>
        <v>39.890999999999998</v>
      </c>
      <c r="BD49">
        <f>Model!BL61</f>
        <v>27.709</v>
      </c>
      <c r="BE49">
        <f>Model!BM61</f>
        <v>53.473999999999997</v>
      </c>
      <c r="BF49">
        <f>Model!BN61</f>
        <v>58.026000000000003</v>
      </c>
      <c r="BG49">
        <f>Model!BO61</f>
        <v>71.593000000000004</v>
      </c>
      <c r="BH49">
        <f>Model!BP61</f>
        <v>48.216000000000001</v>
      </c>
      <c r="BI49">
        <f>Model!BQ61</f>
        <v>63.582000000000001</v>
      </c>
      <c r="BJ49">
        <f>Model!BR61</f>
        <v>66.302999999999997</v>
      </c>
      <c r="BK49">
        <f>Model!BS61</f>
        <v>51.44</v>
      </c>
      <c r="BL49">
        <f>Model!BT61</f>
        <v>33.36</v>
      </c>
      <c r="BM49">
        <f>Model!BU61</f>
        <v>69.844999999999999</v>
      </c>
      <c r="BN49">
        <f>Model!BV61</f>
        <v>112.321</v>
      </c>
      <c r="BO49">
        <f>Model!BW61</f>
        <v>72.792000000000002</v>
      </c>
      <c r="BP49">
        <f>Model!BX61</f>
        <v>40.74</v>
      </c>
      <c r="BQ49">
        <f>Model!BY61</f>
        <v>73.012</v>
      </c>
      <c r="BR49">
        <f>Model!BZ61</f>
        <v>121.187</v>
      </c>
      <c r="BS49">
        <f>Model!CA61</f>
        <v>112.79600000000001</v>
      </c>
      <c r="BT49">
        <f>Model!CB61</f>
        <v>84.588999999999999</v>
      </c>
      <c r="BU49">
        <f>Model!CC61</f>
        <v>123.012</v>
      </c>
      <c r="BV49">
        <f>Model!CD61</f>
        <v>176.18700000000001</v>
      </c>
      <c r="BW49">
        <f>Model!CE61</f>
        <v>142.79599999999999</v>
      </c>
      <c r="BX49">
        <f>Model!CF61</f>
        <v>94.588999999999999</v>
      </c>
      <c r="BY49">
        <f>Model!CG61</f>
        <v>0</v>
      </c>
      <c r="BZ49">
        <f>Model!CH61</f>
        <v>46.875</v>
      </c>
      <c r="CA49">
        <f>Model!CI61</f>
        <v>44.664000000000001</v>
      </c>
      <c r="CB49">
        <f>Model!CJ61</f>
        <v>25.039000000000001</v>
      </c>
      <c r="CC49">
        <f>Model!CK61</f>
        <v>33.475999999999999</v>
      </c>
      <c r="CD49">
        <f>Model!CL61</f>
        <v>30.956</v>
      </c>
      <c r="CE49">
        <f>Model!CM61</f>
        <v>31.832999999999998</v>
      </c>
      <c r="CF49">
        <f>Model!CN61</f>
        <v>35.962999999999994</v>
      </c>
      <c r="CG49">
        <f>Model!CO61</f>
        <v>38.031000000000006</v>
      </c>
      <c r="CH49">
        <f>Model!CP61</f>
        <v>36.271000000000001</v>
      </c>
      <c r="CI49">
        <f>Model!CQ61</f>
        <v>35.713999999999999</v>
      </c>
      <c r="CJ49">
        <f>Model!CR61</f>
        <v>35.47</v>
      </c>
      <c r="CK49">
        <f>Model!CS61</f>
        <v>35.493000000000002</v>
      </c>
      <c r="CL49">
        <f>Model!CT61</f>
        <v>127.459</v>
      </c>
      <c r="CM49">
        <f>Model!CU61</f>
        <v>231.30900000000003</v>
      </c>
      <c r="CN49">
        <f>Model!CV61</f>
        <v>214.685</v>
      </c>
      <c r="CO49">
        <f>Model!CW61</f>
        <v>295.69799999999998</v>
      </c>
      <c r="CP49">
        <f>Model!CX61</f>
        <v>391.584</v>
      </c>
      <c r="CQ49">
        <f>Model!CY61</f>
        <v>536.58400000000006</v>
      </c>
      <c r="CR49">
        <f>Model!CZ61</f>
        <v>616.58400000000006</v>
      </c>
      <c r="CS49">
        <f>Model!DA61</f>
        <v>686.58400000000006</v>
      </c>
      <c r="CT49">
        <f>Model!DB61</f>
        <v>746.58400000000006</v>
      </c>
      <c r="CU49">
        <f>Model!DC61</f>
        <v>806.58400000000006</v>
      </c>
      <c r="CV49">
        <f>Model!DD61</f>
        <v>866.58400000000006</v>
      </c>
      <c r="CW49">
        <f>Model!DE61</f>
        <v>926.58400000000006</v>
      </c>
      <c r="CX49">
        <f>Model!DF61</f>
        <v>976.58400000000006</v>
      </c>
      <c r="CY49">
        <f>Model!DG61</f>
        <v>0.43150424897348749</v>
      </c>
      <c r="CZ49">
        <f>Model!DH61</f>
        <v>0.26176476478492061</v>
      </c>
    </row>
    <row r="50" spans="1:104">
      <c r="A50" t="str">
        <f>Model!I62</f>
        <v>Advertising - Online</v>
      </c>
      <c r="B50">
        <f>Model!J62</f>
        <v>0</v>
      </c>
      <c r="C50">
        <f>Model!K62</f>
        <v>0</v>
      </c>
      <c r="D50">
        <f>Model!L62</f>
        <v>0</v>
      </c>
      <c r="E50">
        <f>Model!M62</f>
        <v>0</v>
      </c>
      <c r="F50">
        <f>Model!N62</f>
        <v>0</v>
      </c>
      <c r="G50">
        <f>Model!O62</f>
        <v>0</v>
      </c>
      <c r="H50">
        <f>Model!P62</f>
        <v>0</v>
      </c>
      <c r="I50">
        <f>Model!Q62</f>
        <v>0</v>
      </c>
      <c r="J50">
        <f>Model!R62</f>
        <v>0</v>
      </c>
      <c r="K50">
        <f>Model!S62</f>
        <v>0</v>
      </c>
      <c r="L50">
        <f>Model!T62</f>
        <v>0</v>
      </c>
      <c r="M50">
        <f>Model!U62</f>
        <v>4.1120000000000001</v>
      </c>
      <c r="N50">
        <f>Model!V62</f>
        <v>4.2729999999999997</v>
      </c>
      <c r="O50">
        <f>Model!W62</f>
        <v>4.76</v>
      </c>
      <c r="P50">
        <f>Model!X62</f>
        <v>4.0640000000000001</v>
      </c>
      <c r="Q50">
        <f>Model!Y62</f>
        <v>4.7409999999999997</v>
      </c>
      <c r="R50">
        <f>Model!Z62</f>
        <v>6.7489999999999997</v>
      </c>
      <c r="S50">
        <f>Model!AA62</f>
        <v>7.1779999999999999</v>
      </c>
      <c r="T50">
        <f>Model!AB62</f>
        <v>8.5180000000000007</v>
      </c>
      <c r="U50">
        <f>Model!AC62</f>
        <v>9.9320000000000004</v>
      </c>
      <c r="V50">
        <f>Model!AD62</f>
        <v>12.205</v>
      </c>
      <c r="W50">
        <f>Model!AE62</f>
        <v>19.864999999999998</v>
      </c>
      <c r="X50">
        <f>Model!AF62</f>
        <v>16.533000000000001</v>
      </c>
      <c r="Y50">
        <f>Model!AG62</f>
        <v>21.861000000000001</v>
      </c>
      <c r="Z50">
        <f>Model!AH62</f>
        <v>30.492999999999999</v>
      </c>
      <c r="AA50">
        <f>Model!AI62</f>
        <v>34.56</v>
      </c>
      <c r="AB50">
        <f>Model!AJ62</f>
        <v>26.908000000000001</v>
      </c>
      <c r="AC50">
        <f>Model!AK62</f>
        <v>31.927</v>
      </c>
      <c r="AD50">
        <f>Model!AL62</f>
        <v>43.47</v>
      </c>
      <c r="AE50">
        <f>Model!AM62</f>
        <v>53.844000000000001</v>
      </c>
      <c r="AF50">
        <f>Model!AN62</f>
        <v>43.433999999999997</v>
      </c>
      <c r="AG50">
        <f>Model!AO62</f>
        <v>57.8</v>
      </c>
      <c r="AH50">
        <f>Model!AP62</f>
        <v>72.86</v>
      </c>
      <c r="AI50">
        <f>Model!AQ62</f>
        <v>84.290999999999997</v>
      </c>
      <c r="AJ50">
        <f>Model!AR62</f>
        <v>55.761000000000003</v>
      </c>
      <c r="AK50">
        <f>Model!AS62</f>
        <v>68.117000000000004</v>
      </c>
      <c r="AL50">
        <f>Model!AT62</f>
        <v>90.106999999999999</v>
      </c>
      <c r="AM50">
        <f>Model!AU62</f>
        <v>115.10299999999999</v>
      </c>
      <c r="AN50">
        <f>Model!AV62</f>
        <v>92.054000000000002</v>
      </c>
      <c r="AO50">
        <f>Model!AW62</f>
        <v>113.10899999999999</v>
      </c>
      <c r="AP50">
        <f>Model!AX62</f>
        <v>132.518</v>
      </c>
      <c r="AQ50">
        <f>Model!AY62</f>
        <v>172.727</v>
      </c>
      <c r="AR50">
        <f>Model!AZ62</f>
        <v>133.786</v>
      </c>
      <c r="AS50">
        <f>Model!BA62</f>
        <v>185.108</v>
      </c>
      <c r="AT50">
        <f>Model!BB62</f>
        <v>236.28200000000001</v>
      </c>
      <c r="AU50">
        <f>Model!BC62</f>
        <v>279.92599999999999</v>
      </c>
      <c r="AV50">
        <f>Model!BD62</f>
        <v>217.89699999999999</v>
      </c>
      <c r="AW50">
        <f>Model!BE62</f>
        <v>277.13600000000002</v>
      </c>
      <c r="AX50">
        <f>Model!BF62</f>
        <v>314.48</v>
      </c>
      <c r="AY50">
        <f>Model!BG62</f>
        <v>375.20400000000001</v>
      </c>
      <c r="AZ50">
        <f>Model!BH62</f>
        <v>306.81700000000001</v>
      </c>
      <c r="BA50">
        <f>Model!BI62</f>
        <v>403.15300000000002</v>
      </c>
      <c r="BB50">
        <f>Model!BJ62</f>
        <v>463.13499999999999</v>
      </c>
      <c r="BC50">
        <f>Model!BK62</f>
        <v>533.16399999999999</v>
      </c>
      <c r="BD50">
        <f>Model!BL62</f>
        <v>399.19299999999998</v>
      </c>
      <c r="BE50">
        <f>Model!BM62</f>
        <v>520.84799999999996</v>
      </c>
      <c r="BF50">
        <f>Model!BN62</f>
        <v>639.65499999999997</v>
      </c>
      <c r="BG50">
        <f>Model!BO62</f>
        <v>699.81399999999996</v>
      </c>
      <c r="BH50">
        <f>Model!BP62</f>
        <v>499.904</v>
      </c>
      <c r="BI50">
        <f>Model!BQ62</f>
        <v>643.21600000000001</v>
      </c>
      <c r="BJ50">
        <f>Model!BR62</f>
        <v>770.81799999999998</v>
      </c>
      <c r="BK50">
        <f>Model!BS62</f>
        <v>801.14700000000005</v>
      </c>
      <c r="BL50">
        <f>Model!BT62</f>
        <v>582.05600000000004</v>
      </c>
      <c r="BM50">
        <f>Model!BU62</f>
        <v>779.90899999999999</v>
      </c>
      <c r="BN50">
        <f>Model!BV62</f>
        <v>920.76300000000003</v>
      </c>
      <c r="BO50">
        <f>Model!BW62</f>
        <v>1040.1489999999999</v>
      </c>
      <c r="BP50">
        <f>Model!BX62</f>
        <v>738.46600000000001</v>
      </c>
      <c r="BQ50">
        <f>Model!BY62</f>
        <v>980.77300000000002</v>
      </c>
      <c r="BR50">
        <f>Model!BZ62</f>
        <v>1147.5889999999999</v>
      </c>
      <c r="BS50">
        <f>Model!CA62</f>
        <v>1224.345</v>
      </c>
      <c r="BT50">
        <f>Model!CB62</f>
        <v>789.06399999999996</v>
      </c>
      <c r="BU50">
        <f>Model!CC62</f>
        <v>1091.4908296427843</v>
      </c>
      <c r="BV50">
        <f>Model!CD62</f>
        <v>1313.6424108728399</v>
      </c>
      <c r="BW50">
        <f>Model!CE62</f>
        <v>1350.5848311780512</v>
      </c>
      <c r="BX50">
        <f>Model!CF62</f>
        <v>952.08603475695327</v>
      </c>
      <c r="BY50">
        <f>Model!CG62</f>
        <v>0</v>
      </c>
      <c r="BZ50">
        <f>Model!CH62</f>
        <v>0</v>
      </c>
      <c r="CA50">
        <f>Model!CI62</f>
        <v>0</v>
      </c>
      <c r="CB50">
        <f>Model!CJ62</f>
        <v>17.209</v>
      </c>
      <c r="CC50">
        <f>Model!CK62</f>
        <v>27.48</v>
      </c>
      <c r="CD50">
        <f>Model!CL62</f>
        <v>58.534999999999997</v>
      </c>
      <c r="CE50">
        <f>Model!CM62</f>
        <v>113.822</v>
      </c>
      <c r="CF50">
        <f>Model!CN62</f>
        <v>172.67499999999998</v>
      </c>
      <c r="CG50">
        <f>Model!CO62</f>
        <v>270.71199999999999</v>
      </c>
      <c r="CH50">
        <f>Model!CP62</f>
        <v>365.38099999999997</v>
      </c>
      <c r="CI50">
        <f>Model!CQ62</f>
        <v>552.1400000000001</v>
      </c>
      <c r="CJ50">
        <f>Model!CR62</f>
        <v>919.21299999999997</v>
      </c>
      <c r="CK50">
        <f>Model!CS62</f>
        <v>1273.6369999999999</v>
      </c>
      <c r="CL50">
        <f>Model!CT62</f>
        <v>1798.645</v>
      </c>
      <c r="CM50">
        <f>Model!CU62</f>
        <v>2360.221</v>
      </c>
      <c r="CN50">
        <f>Model!CV62</f>
        <v>2797.2370000000001</v>
      </c>
      <c r="CO50">
        <f>Model!CW62</f>
        <v>3479.2869999999998</v>
      </c>
      <c r="CP50">
        <f>Model!CX62</f>
        <v>4141.7710000000006</v>
      </c>
      <c r="CQ50">
        <f>Model!CY62</f>
        <v>4707.8041064506288</v>
      </c>
      <c r="CR50">
        <f>Model!CZ62</f>
        <v>5361.7005010785706</v>
      </c>
      <c r="CS50">
        <f>Model!DA62</f>
        <v>6029.5280687813502</v>
      </c>
      <c r="CT50">
        <f>Model!DB62</f>
        <v>6676.6959966893583</v>
      </c>
      <c r="CU50">
        <f>Model!DC62</f>
        <v>7312.3626124099183</v>
      </c>
      <c r="CV50">
        <f>Model!DD62</f>
        <v>7942.7781642904947</v>
      </c>
      <c r="CW50">
        <f>Model!DE62</f>
        <v>8562.5144170209351</v>
      </c>
      <c r="CX50">
        <f>Model!DF62</f>
        <v>9232.3963250340639</v>
      </c>
      <c r="CY50">
        <f>Model!DG62</f>
        <v>0.38336253804219367</v>
      </c>
      <c r="CZ50">
        <f>Model!DH62</f>
        <v>0.16603291894818528</v>
      </c>
    </row>
    <row r="51" spans="1:104">
      <c r="A51" t="str">
        <f>Model!I63</f>
        <v>Sales &amp; Marketing</v>
      </c>
      <c r="B51">
        <f>Model!J63</f>
        <v>0</v>
      </c>
      <c r="C51">
        <f>Model!K63</f>
        <v>0</v>
      </c>
      <c r="D51">
        <f>Model!L63</f>
        <v>0</v>
      </c>
      <c r="E51">
        <f>Model!M63</f>
        <v>0</v>
      </c>
      <c r="F51">
        <f>Model!N63</f>
        <v>0</v>
      </c>
      <c r="G51">
        <f>Model!O63</f>
        <v>0</v>
      </c>
      <c r="H51">
        <f>Model!P63</f>
        <v>0</v>
      </c>
      <c r="I51">
        <f>Model!Q63</f>
        <v>0</v>
      </c>
      <c r="J51">
        <f>Model!R63</f>
        <v>0</v>
      </c>
      <c r="K51">
        <f>Model!S63</f>
        <v>0</v>
      </c>
      <c r="L51">
        <f>Model!T63</f>
        <v>0</v>
      </c>
      <c r="M51">
        <f>Model!U63</f>
        <v>0</v>
      </c>
      <c r="N51">
        <f>Model!V63</f>
        <v>0</v>
      </c>
      <c r="O51">
        <f>Model!W63</f>
        <v>0</v>
      </c>
      <c r="P51">
        <f>Model!X63</f>
        <v>0</v>
      </c>
      <c r="Q51">
        <f>Model!Y63</f>
        <v>0</v>
      </c>
      <c r="R51">
        <f>Model!Z63</f>
        <v>0</v>
      </c>
      <c r="S51">
        <f>Model!AA63</f>
        <v>0</v>
      </c>
      <c r="T51">
        <f>Model!AB63</f>
        <v>0</v>
      </c>
      <c r="U51">
        <f>Model!AC63</f>
        <v>0</v>
      </c>
      <c r="V51">
        <f>Model!AD63</f>
        <v>0</v>
      </c>
      <c r="W51">
        <f>Model!AE63</f>
        <v>0</v>
      </c>
      <c r="X51">
        <f>Model!AF63</f>
        <v>0</v>
      </c>
      <c r="Y51">
        <f>Model!AG63</f>
        <v>9.5820000000000007</v>
      </c>
      <c r="Z51">
        <f>Model!AH63</f>
        <v>10.708</v>
      </c>
      <c r="AA51">
        <f>Model!AI63</f>
        <v>11.204000000000001</v>
      </c>
      <c r="AB51">
        <f>Model!AJ63</f>
        <v>10.624000000000001</v>
      </c>
      <c r="AC51">
        <f>Model!AK63</f>
        <v>11.41</v>
      </c>
      <c r="AD51">
        <f>Model!AL63</f>
        <v>11.525</v>
      </c>
      <c r="AE51">
        <f>Model!AM63</f>
        <v>13.093</v>
      </c>
      <c r="AF51">
        <f>Model!AN63</f>
        <v>11.131</v>
      </c>
      <c r="AG51">
        <f>Model!AO63</f>
        <v>16.332999999999998</v>
      </c>
      <c r="AH51">
        <f>Model!AP63</f>
        <v>19.93</v>
      </c>
      <c r="AI51">
        <f>Model!AQ63</f>
        <v>21.452000000000002</v>
      </c>
      <c r="AJ51">
        <f>Model!AR63</f>
        <v>20.233000000000001</v>
      </c>
      <c r="AK51">
        <f>Model!AS63</f>
        <v>18.419</v>
      </c>
      <c r="AL51">
        <f>Model!AT63</f>
        <v>20.690999999999999</v>
      </c>
      <c r="AM51">
        <f>Model!AU63</f>
        <v>24.472999999999999</v>
      </c>
      <c r="AN51">
        <f>Model!AV63</f>
        <v>17.655000000000001</v>
      </c>
      <c r="AO51">
        <f>Model!AW63</f>
        <v>24.113</v>
      </c>
      <c r="AP51">
        <f>Model!AX63</f>
        <v>28.49</v>
      </c>
      <c r="AQ51">
        <f>Model!AY63</f>
        <v>33.06</v>
      </c>
      <c r="AR51">
        <f>Model!AZ63</f>
        <v>30.640999999999998</v>
      </c>
      <c r="AS51">
        <f>Model!BA63</f>
        <v>34.777999999999999</v>
      </c>
      <c r="AT51">
        <f>Model!BB63</f>
        <v>41.03</v>
      </c>
      <c r="AU51">
        <f>Model!BC63</f>
        <v>47.124000000000002</v>
      </c>
      <c r="AV51">
        <f>Model!BD63</f>
        <v>39.759</v>
      </c>
      <c r="AW51">
        <f>Model!BE63</f>
        <v>45.536999999999999</v>
      </c>
      <c r="AX51">
        <f>Model!BF63</f>
        <v>47.445</v>
      </c>
      <c r="AY51">
        <f>Model!BG63</f>
        <v>52.960999999999999</v>
      </c>
      <c r="AZ51">
        <f>Model!BH63</f>
        <v>49.991</v>
      </c>
      <c r="BA51">
        <f>Model!BI63</f>
        <v>52.262999999999998</v>
      </c>
      <c r="BB51">
        <f>Model!BJ63</f>
        <v>59.854999999999997</v>
      </c>
      <c r="BC51">
        <f>Model!BK63</f>
        <v>65.274000000000001</v>
      </c>
      <c r="BD51">
        <f>Model!BL63</f>
        <v>58.424999999999997</v>
      </c>
      <c r="BE51">
        <f>Model!BM63</f>
        <v>64.311000000000007</v>
      </c>
      <c r="BF51">
        <f>Model!BN63</f>
        <v>75.052999999999997</v>
      </c>
      <c r="BG51">
        <f>Model!BO63</f>
        <v>86.091999999999999</v>
      </c>
      <c r="BH51">
        <f>Model!BP63</f>
        <v>85.453999999999994</v>
      </c>
      <c r="BI51">
        <f>Model!BQ63</f>
        <v>81.944000000000003</v>
      </c>
      <c r="BJ51">
        <f>Model!BR63</f>
        <v>94.522999999999996</v>
      </c>
      <c r="BK51">
        <f>Model!BS63</f>
        <v>93.069000000000003</v>
      </c>
      <c r="BL51">
        <f>Model!BT63</f>
        <v>83.685000000000002</v>
      </c>
      <c r="BM51">
        <f>Model!BU63</f>
        <v>92.322999999999993</v>
      </c>
      <c r="BN51">
        <f>Model!BV63</f>
        <v>105.52200000000001</v>
      </c>
      <c r="BO51">
        <f>Model!BW63</f>
        <v>124.86499999999999</v>
      </c>
      <c r="BP51">
        <f>Model!BX63</f>
        <v>112.515</v>
      </c>
      <c r="BQ51">
        <f>Model!BY63</f>
        <v>114.036</v>
      </c>
      <c r="BR51">
        <f>Model!BZ63</f>
        <v>131.73400000000001</v>
      </c>
      <c r="BS51">
        <f>Model!CA63</f>
        <v>165.53899999999999</v>
      </c>
      <c r="BT51">
        <f>Model!CB63</f>
        <v>150.649</v>
      </c>
      <c r="BU51">
        <f>Model!CC63</f>
        <v>154.036</v>
      </c>
      <c r="BV51">
        <f>Model!CD63</f>
        <v>161.73400000000001</v>
      </c>
      <c r="BW51">
        <f>Model!CE63</f>
        <v>185.53899999999999</v>
      </c>
      <c r="BX51">
        <f>Model!CF63</f>
        <v>170.649</v>
      </c>
      <c r="BY51">
        <f>Model!CG63</f>
        <v>0</v>
      </c>
      <c r="BZ51">
        <f>Model!CH63</f>
        <v>0</v>
      </c>
      <c r="CA51">
        <f>Model!CI63</f>
        <v>0</v>
      </c>
      <c r="CB51">
        <f>Model!CJ63</f>
        <v>33.441000000000003</v>
      </c>
      <c r="CC51">
        <f>Model!CK63</f>
        <v>32.091000000000001</v>
      </c>
      <c r="CD51">
        <f>Model!CL63</f>
        <v>34.295000000000002</v>
      </c>
      <c r="CE51">
        <f>Model!CM63</f>
        <v>42.118000000000002</v>
      </c>
      <c r="CF51">
        <f>Model!CN63</f>
        <v>47.159000000000006</v>
      </c>
      <c r="CG51">
        <f>Model!CO63</f>
        <v>77.948000000000008</v>
      </c>
      <c r="CH51">
        <f>Model!CP63</f>
        <v>81.238</v>
      </c>
      <c r="CI51">
        <f>Model!CQ63</f>
        <v>116.304</v>
      </c>
      <c r="CJ51">
        <f>Model!CR63</f>
        <v>162.69099999999997</v>
      </c>
      <c r="CK51">
        <f>Model!CS63</f>
        <v>195.93399999999997</v>
      </c>
      <c r="CL51">
        <f>Model!CT63</f>
        <v>235.81700000000001</v>
      </c>
      <c r="CM51">
        <f>Model!CU63</f>
        <v>310.91000000000003</v>
      </c>
      <c r="CN51">
        <f>Model!CV63</f>
        <v>353.221</v>
      </c>
      <c r="CO51">
        <f>Model!CW63</f>
        <v>435.22499999999997</v>
      </c>
      <c r="CP51">
        <f>Model!CX63</f>
        <v>561.95799999999997</v>
      </c>
      <c r="CQ51">
        <f>Model!CY63</f>
        <v>671.95799999999997</v>
      </c>
      <c r="CR51">
        <f>Model!CZ63</f>
        <v>771.95799999999997</v>
      </c>
      <c r="CS51">
        <f>Model!DA63</f>
        <v>866.95799999999997</v>
      </c>
      <c r="CT51">
        <f>Model!DB63</f>
        <v>936.95799999999997</v>
      </c>
      <c r="CU51">
        <f>Model!DC63</f>
        <v>1001.958</v>
      </c>
      <c r="CV51">
        <f>Model!DD63</f>
        <v>1066.9580000000001</v>
      </c>
      <c r="CW51">
        <f>Model!DE63</f>
        <v>1131.9580000000001</v>
      </c>
      <c r="CX51">
        <f>Model!DF63</f>
        <v>1196.9580000000001</v>
      </c>
      <c r="CY51">
        <f>Model!DG63</f>
        <v>0.24879276185711063</v>
      </c>
      <c r="CZ51">
        <f>Model!DH63</f>
        <v>0.19671382587877462</v>
      </c>
    </row>
    <row r="52" spans="1:104">
      <c r="A52" t="str">
        <f>Model!I64</f>
        <v>Personnel, ex SBC</v>
      </c>
      <c r="B52">
        <f>Model!J64</f>
        <v>0</v>
      </c>
      <c r="C52">
        <f>Model!K64</f>
        <v>0</v>
      </c>
      <c r="D52">
        <f>Model!L64</f>
        <v>0</v>
      </c>
      <c r="E52">
        <f>Model!M64</f>
        <v>0</v>
      </c>
      <c r="F52">
        <f>Model!N64</f>
        <v>0</v>
      </c>
      <c r="G52">
        <f>Model!O64</f>
        <v>0</v>
      </c>
      <c r="H52">
        <f>Model!P64</f>
        <v>0</v>
      </c>
      <c r="I52">
        <f>Model!Q64</f>
        <v>0</v>
      </c>
      <c r="J52">
        <f>Model!R64</f>
        <v>0</v>
      </c>
      <c r="K52">
        <f>Model!S64</f>
        <v>0</v>
      </c>
      <c r="L52">
        <f>Model!T64</f>
        <v>0</v>
      </c>
      <c r="M52">
        <f>Model!U64</f>
        <v>0</v>
      </c>
      <c r="N52">
        <f>Model!V64</f>
        <v>0</v>
      </c>
      <c r="O52">
        <f>Model!W64</f>
        <v>0</v>
      </c>
      <c r="P52">
        <f>Model!X64</f>
        <v>0</v>
      </c>
      <c r="Q52">
        <f>Model!Y64</f>
        <v>0</v>
      </c>
      <c r="R52">
        <f>Model!Z64</f>
        <v>0</v>
      </c>
      <c r="S52">
        <f>Model!AA64</f>
        <v>0</v>
      </c>
      <c r="T52">
        <f>Model!AB64</f>
        <v>0</v>
      </c>
      <c r="U52">
        <f>Model!AC64</f>
        <v>0</v>
      </c>
      <c r="V52">
        <f>Model!AD64</f>
        <v>0</v>
      </c>
      <c r="W52">
        <f>Model!AE64</f>
        <v>0</v>
      </c>
      <c r="X52">
        <f>Model!AF64</f>
        <v>0</v>
      </c>
      <c r="Y52">
        <f>Model!AG64</f>
        <v>13.437000000000001</v>
      </c>
      <c r="Z52">
        <f>Model!AH64</f>
        <v>15.04</v>
      </c>
      <c r="AA52">
        <f>Model!AI64</f>
        <v>18.115000000000002</v>
      </c>
      <c r="AB52">
        <f>Model!AJ64</f>
        <v>17.901</v>
      </c>
      <c r="AC52">
        <f>Model!AK64</f>
        <v>18.323999999999998</v>
      </c>
      <c r="AD52">
        <f>Model!AL64</f>
        <v>19.968999999999998</v>
      </c>
      <c r="AE52">
        <f>Model!AM64</f>
        <v>23.055</v>
      </c>
      <c r="AF52">
        <f>Model!AN64</f>
        <v>25.391000000000002</v>
      </c>
      <c r="AG52">
        <f>Model!AO64</f>
        <v>26.944000000000003</v>
      </c>
      <c r="AH52">
        <f>Model!AP64</f>
        <v>30.567</v>
      </c>
      <c r="AI52">
        <f>Model!AQ64</f>
        <v>35.204000000000001</v>
      </c>
      <c r="AJ52">
        <f>Model!AR64</f>
        <v>30.545999999999999</v>
      </c>
      <c r="AK52">
        <f>Model!AS64</f>
        <v>28.916999999999998</v>
      </c>
      <c r="AL52">
        <f>Model!AT64</f>
        <v>33.599999999999994</v>
      </c>
      <c r="AM52">
        <f>Model!AU64</f>
        <v>40.089000000000006</v>
      </c>
      <c r="AN52">
        <f>Model!AV64</f>
        <v>36.875</v>
      </c>
      <c r="AO52">
        <f>Model!AW64</f>
        <v>37.868000000000002</v>
      </c>
      <c r="AP52">
        <f>Model!AX64</f>
        <v>47.385000000000005</v>
      </c>
      <c r="AQ52">
        <f>Model!AY64</f>
        <v>60.831000000000003</v>
      </c>
      <c r="AR52">
        <f>Model!AZ64</f>
        <v>55.786999999999999</v>
      </c>
      <c r="AS52">
        <f>Model!BA64</f>
        <v>61.228000000000002</v>
      </c>
      <c r="AT52">
        <f>Model!BB64</f>
        <v>72.653000000000006</v>
      </c>
      <c r="AU52">
        <f>Model!BC64</f>
        <v>81.164999999999992</v>
      </c>
      <c r="AV52">
        <f>Model!BD64</f>
        <v>71.524000000000001</v>
      </c>
      <c r="AW52">
        <f>Model!BE64</f>
        <v>84.153000000000006</v>
      </c>
      <c r="AX52">
        <f>Model!BF64</f>
        <v>90.418000000000006</v>
      </c>
      <c r="AY52">
        <f>Model!BG64</f>
        <v>117.655</v>
      </c>
      <c r="AZ52">
        <f>Model!BH64</f>
        <v>103.03700000000001</v>
      </c>
      <c r="BA52">
        <f>Model!BI64</f>
        <v>112.50899999999999</v>
      </c>
      <c r="BB52">
        <f>Model!BJ64</f>
        <v>131.26100000000002</v>
      </c>
      <c r="BC52">
        <f>Model!BK64</f>
        <v>151.892</v>
      </c>
      <c r="BD52">
        <f>Model!BL64</f>
        <v>162.50399999999999</v>
      </c>
      <c r="BE52">
        <f>Model!BM64</f>
        <v>155.72800000000001</v>
      </c>
      <c r="BF52">
        <f>Model!BN64</f>
        <v>186.684</v>
      </c>
      <c r="BG52">
        <f>Model!BO64</f>
        <v>213.33500000000001</v>
      </c>
      <c r="BH52">
        <f>Model!BP64</f>
        <v>208.01900000000001</v>
      </c>
      <c r="BI52">
        <f>Model!BQ64</f>
        <v>204.97599999999997</v>
      </c>
      <c r="BJ52">
        <f>Model!BR64</f>
        <v>228.99200000000002</v>
      </c>
      <c r="BK52">
        <f>Model!BS64</f>
        <v>247.05500000000001</v>
      </c>
      <c r="BL52">
        <f>Model!BT64</f>
        <v>237.80799999999999</v>
      </c>
      <c r="BM52">
        <f>Model!BU64</f>
        <v>242.351</v>
      </c>
      <c r="BN52">
        <f>Model!BV64</f>
        <v>277.678</v>
      </c>
      <c r="BO52">
        <f>Model!BW64</f>
        <v>293.536</v>
      </c>
      <c r="BP52">
        <f>Model!BX64</f>
        <v>286.89299999999997</v>
      </c>
      <c r="BQ52">
        <f>Model!BY64</f>
        <v>292.08199999999999</v>
      </c>
      <c r="BR52">
        <f>Model!BZ64</f>
        <v>318.82900000000001</v>
      </c>
      <c r="BS52">
        <f>Model!CA64</f>
        <v>417.017</v>
      </c>
      <c r="BT52">
        <f>Model!CB64</f>
        <v>370.74299999999994</v>
      </c>
      <c r="BU52">
        <f>Model!CC64</f>
        <v>385.10706243975392</v>
      </c>
      <c r="BV52">
        <f>Model!CD64</f>
        <v>404.98383328972693</v>
      </c>
      <c r="BW52">
        <f>Model!CE64</f>
        <v>470.11637200671049</v>
      </c>
      <c r="BX52">
        <f>Model!CF64</f>
        <v>434.39446245806073</v>
      </c>
      <c r="BY52">
        <f>Model!CG64</f>
        <v>0</v>
      </c>
      <c r="BZ52">
        <f>Model!CH64</f>
        <v>0</v>
      </c>
      <c r="CA52">
        <f>Model!CI64</f>
        <v>0</v>
      </c>
      <c r="CB52">
        <f>Model!CJ64</f>
        <v>29.962</v>
      </c>
      <c r="CC52">
        <f>Model!CK64</f>
        <v>34.973999999999997</v>
      </c>
      <c r="CD52">
        <f>Model!CL64</f>
        <v>45.458999999999996</v>
      </c>
      <c r="CE52">
        <f>Model!CM64</f>
        <v>64.492999999999995</v>
      </c>
      <c r="CF52">
        <f>Model!CN64</f>
        <v>86.73899999999999</v>
      </c>
      <c r="CG52">
        <f>Model!CO64</f>
        <v>123.261</v>
      </c>
      <c r="CH52">
        <f>Model!CP64</f>
        <v>139.48099999999999</v>
      </c>
      <c r="CI52">
        <f>Model!CQ64</f>
        <v>201.87100000000001</v>
      </c>
      <c r="CJ52">
        <f>Model!CR64</f>
        <v>286.57</v>
      </c>
      <c r="CK52">
        <f>Model!CS64</f>
        <v>395.26300000000003</v>
      </c>
      <c r="CL52">
        <f>Model!CT64</f>
        <v>558.16600000000005</v>
      </c>
      <c r="CM52">
        <f>Model!CU64</f>
        <v>763.76600000000008</v>
      </c>
      <c r="CN52">
        <f>Model!CV64</f>
        <v>918.8309999999999</v>
      </c>
      <c r="CO52">
        <f>Model!CW64</f>
        <v>1100.4580000000001</v>
      </c>
      <c r="CP52">
        <f>Model!CX64</f>
        <v>1398.671</v>
      </c>
      <c r="CQ52">
        <f>Model!CY64</f>
        <v>1694.601730194252</v>
      </c>
      <c r="CR52">
        <f>Model!CZ64</f>
        <v>1927.9541895323068</v>
      </c>
      <c r="CS52">
        <f>Model!DA64</f>
        <v>2151.0015119849659</v>
      </c>
      <c r="CT52">
        <f>Model!DB64</f>
        <v>2364.0488344376249</v>
      </c>
      <c r="CU52">
        <f>Model!DC64</f>
        <v>2567.096156890284</v>
      </c>
      <c r="CV52">
        <f>Model!DD64</f>
        <v>2765.143479342943</v>
      </c>
      <c r="CW52">
        <f>Model!DE64</f>
        <v>2958.1908017956021</v>
      </c>
      <c r="CX52">
        <f>Model!DF64</f>
        <v>3146.2381242482611</v>
      </c>
      <c r="CY52">
        <f>Model!DG64</f>
        <v>0.35404264027523125</v>
      </c>
      <c r="CZ52">
        <f>Model!DH64</f>
        <v>0.1854439247261872</v>
      </c>
    </row>
    <row r="53" spans="1:104">
      <c r="A53" t="str">
        <f>Model!I65</f>
        <v>G&amp;A</v>
      </c>
      <c r="B53">
        <f>Model!J65</f>
        <v>0</v>
      </c>
      <c r="C53">
        <f>Model!K65</f>
        <v>0</v>
      </c>
      <c r="D53">
        <f>Model!L65</f>
        <v>0</v>
      </c>
      <c r="E53">
        <f>Model!M65</f>
        <v>0</v>
      </c>
      <c r="F53">
        <f>Model!N65</f>
        <v>0</v>
      </c>
      <c r="G53">
        <f>Model!O65</f>
        <v>0</v>
      </c>
      <c r="H53">
        <f>Model!P65</f>
        <v>0</v>
      </c>
      <c r="I53">
        <f>Model!Q65</f>
        <v>0</v>
      </c>
      <c r="J53">
        <f>Model!R65</f>
        <v>0</v>
      </c>
      <c r="K53">
        <f>Model!S65</f>
        <v>0</v>
      </c>
      <c r="L53">
        <f>Model!T65</f>
        <v>0</v>
      </c>
      <c r="M53">
        <f>Model!U65</f>
        <v>0</v>
      </c>
      <c r="N53">
        <f>Model!V65</f>
        <v>0</v>
      </c>
      <c r="O53">
        <f>Model!W65</f>
        <v>0</v>
      </c>
      <c r="P53">
        <f>Model!X65</f>
        <v>0</v>
      </c>
      <c r="Q53">
        <f>Model!Y65</f>
        <v>0</v>
      </c>
      <c r="R53">
        <f>Model!Z65</f>
        <v>0</v>
      </c>
      <c r="S53">
        <f>Model!AA65</f>
        <v>0</v>
      </c>
      <c r="T53">
        <f>Model!AB65</f>
        <v>0</v>
      </c>
      <c r="U53">
        <f>Model!AC65</f>
        <v>0</v>
      </c>
      <c r="V53">
        <f>Model!AD65</f>
        <v>0</v>
      </c>
      <c r="W53">
        <f>Model!AE65</f>
        <v>0</v>
      </c>
      <c r="X53">
        <f>Model!AF65</f>
        <v>0</v>
      </c>
      <c r="Y53">
        <f>Model!AG65</f>
        <v>5.7370000000000001</v>
      </c>
      <c r="Z53">
        <f>Model!AH65</f>
        <v>7.2560000000000002</v>
      </c>
      <c r="AA53">
        <f>Model!AI65</f>
        <v>6.6429999999999998</v>
      </c>
      <c r="AB53">
        <f>Model!AJ65</f>
        <v>8.9499999999999993</v>
      </c>
      <c r="AC53">
        <f>Model!AK65</f>
        <v>9.0180000000000007</v>
      </c>
      <c r="AD53">
        <f>Model!AL65</f>
        <v>9.7769999999999992</v>
      </c>
      <c r="AE53">
        <f>Model!AM65</f>
        <v>9.2409999999999997</v>
      </c>
      <c r="AF53">
        <f>Model!AN65</f>
        <v>8.9429999999999996</v>
      </c>
      <c r="AG53">
        <f>Model!AO65</f>
        <v>11.789</v>
      </c>
      <c r="AH53">
        <f>Model!AP65</f>
        <v>14.209</v>
      </c>
      <c r="AI53">
        <f>Model!AQ65</f>
        <v>13.523999999999999</v>
      </c>
      <c r="AJ53">
        <f>Model!AR65</f>
        <v>15.749000000000001</v>
      </c>
      <c r="AK53">
        <f>Model!AS65</f>
        <v>14.788</v>
      </c>
      <c r="AL53">
        <f>Model!AT65</f>
        <v>14.728</v>
      </c>
      <c r="AM53">
        <f>Model!AU65</f>
        <v>19.367000000000001</v>
      </c>
      <c r="AN53">
        <f>Model!AV65</f>
        <v>19.672999999999998</v>
      </c>
      <c r="AO53">
        <f>Model!AW65</f>
        <v>18.033000000000001</v>
      </c>
      <c r="AP53">
        <f>Model!AX65</f>
        <v>22.462</v>
      </c>
      <c r="AQ53">
        <f>Model!AY65</f>
        <v>15.73</v>
      </c>
      <c r="AR53">
        <f>Model!AZ65</f>
        <v>24.960999999999999</v>
      </c>
      <c r="AS53">
        <f>Model!BA65</f>
        <v>25.879000000000001</v>
      </c>
      <c r="AT53">
        <f>Model!BB65</f>
        <v>29.736000000000001</v>
      </c>
      <c r="AU53">
        <f>Model!BC65</f>
        <v>31.716999999999999</v>
      </c>
      <c r="AV53">
        <f>Model!BD65</f>
        <v>36.32</v>
      </c>
      <c r="AW53">
        <f>Model!BE65</f>
        <v>40.673999999999999</v>
      </c>
      <c r="AX53">
        <f>Model!BF65</f>
        <v>39.807000000000002</v>
      </c>
      <c r="AY53">
        <f>Model!BG65</f>
        <v>42.286999999999999</v>
      </c>
      <c r="AZ53">
        <f>Model!BH65</f>
        <v>50.402999999999999</v>
      </c>
      <c r="BA53">
        <f>Model!BI65</f>
        <v>50.161000000000001</v>
      </c>
      <c r="BB53">
        <f>Model!BJ65</f>
        <v>64.921000000000006</v>
      </c>
      <c r="BC53">
        <f>Model!BK65</f>
        <v>63.113</v>
      </c>
      <c r="BD53">
        <f>Model!BL65</f>
        <v>74.799000000000007</v>
      </c>
      <c r="BE53">
        <f>Model!BM65</f>
        <v>72.980999999999995</v>
      </c>
      <c r="BF53">
        <f>Model!BN65</f>
        <v>91.066999999999993</v>
      </c>
      <c r="BG53">
        <f>Model!BO65</f>
        <v>97.902000000000001</v>
      </c>
      <c r="BH53">
        <f>Model!BP65</f>
        <v>90.918999999999997</v>
      </c>
      <c r="BI53">
        <f>Model!BQ65</f>
        <v>100.178</v>
      </c>
      <c r="BJ53">
        <f>Model!BR65</f>
        <v>98.944999999999993</v>
      </c>
      <c r="BK53">
        <f>Model!BS65</f>
        <v>109.706</v>
      </c>
      <c r="BL53">
        <f>Model!BT65</f>
        <v>106.59099999999999</v>
      </c>
      <c r="BM53">
        <f>Model!BU65</f>
        <v>113.045</v>
      </c>
      <c r="BN53">
        <f>Model!BV65</f>
        <v>112.642</v>
      </c>
      <c r="BO53">
        <f>Model!BW65</f>
        <v>114.586</v>
      </c>
      <c r="BP53">
        <f>Model!BX65</f>
        <v>115.636</v>
      </c>
      <c r="BQ53">
        <f>Model!BY65</f>
        <v>135.547</v>
      </c>
      <c r="BR53">
        <f>Model!BZ65</f>
        <v>141.63399999999999</v>
      </c>
      <c r="BS53">
        <f>Model!CA65</f>
        <v>142.82300000000001</v>
      </c>
      <c r="BT53">
        <f>Model!CB65</f>
        <v>165.53700000000001</v>
      </c>
      <c r="BU53">
        <f>Model!CC65</f>
        <v>165.547</v>
      </c>
      <c r="BV53">
        <f>Model!CD65</f>
        <v>166.63399999999999</v>
      </c>
      <c r="BW53">
        <f>Model!CE65</f>
        <v>167.82300000000001</v>
      </c>
      <c r="BX53">
        <f>Model!CF65</f>
        <v>188.53700000000001</v>
      </c>
      <c r="BY53">
        <f>Model!CG65</f>
        <v>0</v>
      </c>
      <c r="BZ53">
        <f>Model!CH65</f>
        <v>0</v>
      </c>
      <c r="CA53">
        <f>Model!CI65</f>
        <v>0</v>
      </c>
      <c r="CB53">
        <f>Model!CJ65</f>
        <v>12.031000000000001</v>
      </c>
      <c r="CC53">
        <f>Model!CK65</f>
        <v>16.452000000000002</v>
      </c>
      <c r="CD53">
        <f>Model!CL65</f>
        <v>20.881</v>
      </c>
      <c r="CE53">
        <f>Model!CM65</f>
        <v>28.585999999999999</v>
      </c>
      <c r="CF53">
        <f>Model!CN65</f>
        <v>36.978999999999999</v>
      </c>
      <c r="CG53">
        <f>Model!CO65</f>
        <v>55.271000000000001</v>
      </c>
      <c r="CH53">
        <f>Model!CP65</f>
        <v>68.555999999999997</v>
      </c>
      <c r="CI53">
        <f>Model!CQ65</f>
        <v>81.186000000000007</v>
      </c>
      <c r="CJ53">
        <f>Model!CR65</f>
        <v>123.65199999999999</v>
      </c>
      <c r="CK53">
        <f>Model!CS65</f>
        <v>173.17099999999999</v>
      </c>
      <c r="CL53">
        <f>Model!CT65</f>
        <v>252.994</v>
      </c>
      <c r="CM53">
        <f>Model!CU65</f>
        <v>352.86899999999997</v>
      </c>
      <c r="CN53">
        <f>Model!CV65</f>
        <v>415.42</v>
      </c>
      <c r="CO53">
        <f>Model!CW65</f>
        <v>455.90899999999999</v>
      </c>
      <c r="CP53">
        <f>Model!CX65</f>
        <v>585.54100000000005</v>
      </c>
      <c r="CQ53">
        <f>Model!CY65</f>
        <v>688.54100000000005</v>
      </c>
      <c r="CR53">
        <f>Model!CZ65</f>
        <v>733.54100000000005</v>
      </c>
      <c r="CS53">
        <f>Model!DA65</f>
        <v>768.54100000000005</v>
      </c>
      <c r="CT53">
        <f>Model!DB65</f>
        <v>793.54100000000005</v>
      </c>
      <c r="CU53">
        <f>Model!DC65</f>
        <v>803.54100000000005</v>
      </c>
      <c r="CV53">
        <f>Model!DD65</f>
        <v>813.54100000000005</v>
      </c>
      <c r="CW53">
        <f>Model!DE65</f>
        <v>823.54100000000005</v>
      </c>
      <c r="CX53">
        <f>Model!DF65</f>
        <v>833.54100000000005</v>
      </c>
      <c r="CY53">
        <f>Model!DG65</f>
        <v>0.38612134525953712</v>
      </c>
      <c r="CZ53">
        <f>Model!DH65</f>
        <v>0.13093052930976579</v>
      </c>
    </row>
    <row r="54" spans="1:104">
      <c r="A54" t="str">
        <f>Model!I66</f>
        <v>Information Technology (Core only)</v>
      </c>
      <c r="B54">
        <f>Model!J66</f>
        <v>0</v>
      </c>
      <c r="C54">
        <f>Model!K66</f>
        <v>0</v>
      </c>
      <c r="D54">
        <f>Model!L66</f>
        <v>0</v>
      </c>
      <c r="E54">
        <f>Model!M66</f>
        <v>0</v>
      </c>
      <c r="F54">
        <f>Model!N66</f>
        <v>0</v>
      </c>
      <c r="G54">
        <f>Model!O66</f>
        <v>0</v>
      </c>
      <c r="H54">
        <f>Model!P66</f>
        <v>0</v>
      </c>
      <c r="I54">
        <f>Model!Q66</f>
        <v>0</v>
      </c>
      <c r="J54">
        <f>Model!R66</f>
        <v>0</v>
      </c>
      <c r="K54">
        <f>Model!S66</f>
        <v>0</v>
      </c>
      <c r="L54">
        <f>Model!T66</f>
        <v>0</v>
      </c>
      <c r="M54">
        <f>Model!U66</f>
        <v>0</v>
      </c>
      <c r="N54">
        <f>Model!V66</f>
        <v>0</v>
      </c>
      <c r="O54">
        <f>Model!W66</f>
        <v>0</v>
      </c>
      <c r="P54">
        <f>Model!X66</f>
        <v>0</v>
      </c>
      <c r="Q54">
        <f>Model!Y66</f>
        <v>0</v>
      </c>
      <c r="R54">
        <f>Model!Z66</f>
        <v>0</v>
      </c>
      <c r="S54">
        <f>Model!AA66</f>
        <v>0</v>
      </c>
      <c r="T54">
        <f>Model!AB66</f>
        <v>0</v>
      </c>
      <c r="U54">
        <f>Model!AC66</f>
        <v>0</v>
      </c>
      <c r="V54">
        <f>Model!AD66</f>
        <v>0</v>
      </c>
      <c r="W54">
        <f>Model!AE66</f>
        <v>0</v>
      </c>
      <c r="X54">
        <f>Model!AF66</f>
        <v>0</v>
      </c>
      <c r="Y54">
        <f>Model!AG66</f>
        <v>2.3069999999999999</v>
      </c>
      <c r="Z54">
        <f>Model!AH66</f>
        <v>2.3319999999999999</v>
      </c>
      <c r="AA54">
        <f>Model!AI66</f>
        <v>2.5510000000000002</v>
      </c>
      <c r="AB54">
        <f>Model!AJ66</f>
        <v>2.5590000000000002</v>
      </c>
      <c r="AC54">
        <f>Model!AK66</f>
        <v>2.911</v>
      </c>
      <c r="AD54">
        <f>Model!AL66</f>
        <v>3.1520000000000001</v>
      </c>
      <c r="AE54">
        <f>Model!AM66</f>
        <v>3.343</v>
      </c>
      <c r="AF54">
        <f>Model!AN66</f>
        <v>4.3730000000000002</v>
      </c>
      <c r="AG54">
        <f>Model!AO66</f>
        <v>4.149</v>
      </c>
      <c r="AH54">
        <f>Model!AP66</f>
        <v>5.1360000000000001</v>
      </c>
      <c r="AI54">
        <f>Model!AQ66</f>
        <v>4.4020000000000001</v>
      </c>
      <c r="AJ54">
        <f>Model!AR66</f>
        <v>4.2679999999999998</v>
      </c>
      <c r="AK54">
        <f>Model!AS66</f>
        <v>4.5270000000000001</v>
      </c>
      <c r="AL54">
        <f>Model!AT66</f>
        <v>4.6970000000000001</v>
      </c>
      <c r="AM54">
        <f>Model!AU66</f>
        <v>4.7770000000000001</v>
      </c>
      <c r="AN54">
        <f>Model!AV66</f>
        <v>5.1369999999999996</v>
      </c>
      <c r="AO54">
        <f>Model!AW66</f>
        <v>4.6079999999999997</v>
      </c>
      <c r="AP54">
        <f>Model!AX66</f>
        <v>4.8949999999999996</v>
      </c>
      <c r="AQ54">
        <f>Model!AY66</f>
        <v>5.3470000000000004</v>
      </c>
      <c r="AR54">
        <f>Model!AZ66</f>
        <v>6.1479999999999997</v>
      </c>
      <c r="AS54">
        <f>Model!BA66</f>
        <v>6.67</v>
      </c>
      <c r="AT54">
        <f>Model!BB66</f>
        <v>8.2390000000000008</v>
      </c>
      <c r="AU54">
        <f>Model!BC66</f>
        <v>8.548</v>
      </c>
      <c r="AV54">
        <f>Model!BD66</f>
        <v>10.356999999999999</v>
      </c>
      <c r="AW54">
        <f>Model!BE66</f>
        <v>10.734999999999999</v>
      </c>
      <c r="AX54">
        <f>Model!BF66</f>
        <v>10.44</v>
      </c>
      <c r="AY54">
        <f>Model!BG66</f>
        <v>10.798999999999999</v>
      </c>
      <c r="AZ54">
        <f>Model!BH66</f>
        <v>11.711</v>
      </c>
      <c r="BA54">
        <f>Model!BI66</f>
        <v>13.222</v>
      </c>
      <c r="BB54">
        <f>Model!BJ66</f>
        <v>16.959</v>
      </c>
      <c r="BC54">
        <f>Model!BK66</f>
        <v>18.536000000000001</v>
      </c>
      <c r="BD54">
        <f>Model!BL66</f>
        <v>23.172999999999998</v>
      </c>
      <c r="BE54">
        <f>Model!BM66</f>
        <v>23.224</v>
      </c>
      <c r="BF54">
        <f>Model!BN66</f>
        <v>24.042000000000002</v>
      </c>
      <c r="BG54">
        <f>Model!BO66</f>
        <v>24.802</v>
      </c>
      <c r="BH54">
        <f>Model!BP66</f>
        <v>25.43</v>
      </c>
      <c r="BI54">
        <f>Model!BQ66</f>
        <v>25.361000000000001</v>
      </c>
      <c r="BJ54">
        <f>Model!BR66</f>
        <v>27.155999999999999</v>
      </c>
      <c r="BK54">
        <f>Model!BS66</f>
        <v>28.83</v>
      </c>
      <c r="BL54">
        <f>Model!BT66</f>
        <v>32.270000000000003</v>
      </c>
      <c r="BM54">
        <f>Model!BU66</f>
        <v>32.787999999999997</v>
      </c>
      <c r="BN54">
        <f>Model!BV66</f>
        <v>35.796999999999997</v>
      </c>
      <c r="BO54">
        <f>Model!BW66</f>
        <v>36.389000000000003</v>
      </c>
      <c r="BP54">
        <f>Model!BX66</f>
        <v>37.418999999999997</v>
      </c>
      <c r="BQ54">
        <f>Model!BY66</f>
        <v>39.945</v>
      </c>
      <c r="BR54">
        <f>Model!BZ66</f>
        <v>44.831000000000003</v>
      </c>
      <c r="BS54">
        <f>Model!CA66</f>
        <v>47.901000000000003</v>
      </c>
      <c r="BT54">
        <f>Model!CB66</f>
        <v>56.667000000000002</v>
      </c>
      <c r="BU54">
        <f>Model!CC66</f>
        <v>49.970519509452046</v>
      </c>
      <c r="BV54">
        <f>Model!CD66</f>
        <v>56.772743139529744</v>
      </c>
      <c r="BW54">
        <f>Model!CE66</f>
        <v>58.551201697556394</v>
      </c>
      <c r="BX54">
        <f>Model!CF66</f>
        <v>71.635579346910561</v>
      </c>
      <c r="BY54">
        <f>Model!CG66</f>
        <v>0</v>
      </c>
      <c r="BZ54">
        <f>Model!CH66</f>
        <v>0</v>
      </c>
      <c r="CA54">
        <f>Model!CI66</f>
        <v>0</v>
      </c>
      <c r="CB54">
        <f>Model!CJ66</f>
        <v>8.8979999999999997</v>
      </c>
      <c r="CC54">
        <f>Model!CK66</f>
        <v>9.1709999999999994</v>
      </c>
      <c r="CD54">
        <f>Model!CL66</f>
        <v>10.622</v>
      </c>
      <c r="CE54">
        <f>Model!CM66</f>
        <v>9.7489999999999988</v>
      </c>
      <c r="CF54">
        <f>Model!CN66</f>
        <v>13.779</v>
      </c>
      <c r="CG54">
        <f>Model!CO66</f>
        <v>17.955000000000002</v>
      </c>
      <c r="CH54">
        <f>Model!CP66</f>
        <v>19.138000000000002</v>
      </c>
      <c r="CI54">
        <f>Model!CQ66</f>
        <v>20.998000000000001</v>
      </c>
      <c r="CJ54">
        <f>Model!CR66</f>
        <v>33.814</v>
      </c>
      <c r="CK54">
        <f>Model!CS66</f>
        <v>43.684999999999995</v>
      </c>
      <c r="CL54">
        <f>Model!CT66</f>
        <v>71.89</v>
      </c>
      <c r="CM54">
        <f>Model!CU66</f>
        <v>97.498000000000019</v>
      </c>
      <c r="CN54">
        <f>Model!CV66</f>
        <v>113.61699999999999</v>
      </c>
      <c r="CO54">
        <f>Model!CW66</f>
        <v>142.39299999999997</v>
      </c>
      <c r="CP54">
        <f>Model!CX66</f>
        <v>189.34400000000002</v>
      </c>
      <c r="CQ54">
        <f>Model!CY66</f>
        <v>236.93004369344874</v>
      </c>
      <c r="CR54">
        <f>Model!CZ66</f>
        <v>276.93004369344874</v>
      </c>
      <c r="CS54">
        <f>Model!DA66</f>
        <v>316.93004369344874</v>
      </c>
      <c r="CT54">
        <f>Model!DB66</f>
        <v>356.93004369344874</v>
      </c>
      <c r="CU54">
        <f>Model!DC66</f>
        <v>396.93004369344874</v>
      </c>
      <c r="CV54">
        <f>Model!DD66</f>
        <v>436.93004369344874</v>
      </c>
      <c r="CW54">
        <f>Model!DE66</f>
        <v>476.93004369344874</v>
      </c>
      <c r="CX54">
        <f>Model!DF66</f>
        <v>516.93004369344874</v>
      </c>
      <c r="CY54">
        <f>Model!DG66</f>
        <v>0.40169355764773251</v>
      </c>
      <c r="CZ54">
        <f>Model!DH66</f>
        <v>0.22773325225467755</v>
      </c>
    </row>
    <row r="55" spans="1:104">
      <c r="A55" t="str">
        <f>Model!I67</f>
        <v>Stock-Based Comp</v>
      </c>
      <c r="B55">
        <f>Model!J67</f>
        <v>0</v>
      </c>
      <c r="C55">
        <f>Model!K67</f>
        <v>0</v>
      </c>
      <c r="D55">
        <f>Model!L67</f>
        <v>0</v>
      </c>
      <c r="E55">
        <f>Model!M67</f>
        <v>0</v>
      </c>
      <c r="F55">
        <f>Model!N67</f>
        <v>0</v>
      </c>
      <c r="G55">
        <f>Model!O67</f>
        <v>0</v>
      </c>
      <c r="H55">
        <f>Model!P67</f>
        <v>0</v>
      </c>
      <c r="I55">
        <f>Model!Q67</f>
        <v>0</v>
      </c>
      <c r="J55">
        <f>Model!R67</f>
        <v>0</v>
      </c>
      <c r="K55">
        <f>Model!S67</f>
        <v>0</v>
      </c>
      <c r="L55">
        <f>Model!T67</f>
        <v>0</v>
      </c>
      <c r="M55">
        <f>Model!U67</f>
        <v>0</v>
      </c>
      <c r="N55">
        <f>Model!V67</f>
        <v>0</v>
      </c>
      <c r="O55">
        <f>Model!W67</f>
        <v>0</v>
      </c>
      <c r="P55">
        <f>Model!X67</f>
        <v>0</v>
      </c>
      <c r="Q55">
        <f>Model!Y67</f>
        <v>0</v>
      </c>
      <c r="R55">
        <f>Model!Z67</f>
        <v>0</v>
      </c>
      <c r="S55">
        <f>Model!AA67</f>
        <v>0</v>
      </c>
      <c r="T55">
        <f>Model!AB67</f>
        <v>0</v>
      </c>
      <c r="U55">
        <f>Model!AC67</f>
        <v>0</v>
      </c>
      <c r="V55">
        <f>Model!AD67</f>
        <v>0</v>
      </c>
      <c r="W55">
        <f>Model!AE67</f>
        <v>0</v>
      </c>
      <c r="X55">
        <f>Model!AF67</f>
        <v>0</v>
      </c>
      <c r="Y55">
        <f>Model!AG67</f>
        <v>3.0169999999999999</v>
      </c>
      <c r="Z55">
        <f>Model!AH67</f>
        <v>3.7170000000000001</v>
      </c>
      <c r="AA55">
        <f>Model!AI67</f>
        <v>3.5430000000000001</v>
      </c>
      <c r="AB55">
        <f>Model!AJ67</f>
        <v>4.6509999999999998</v>
      </c>
      <c r="AC55">
        <f>Model!AK67</f>
        <v>3.1659999999999999</v>
      </c>
      <c r="AD55">
        <f>Model!AL67</f>
        <v>3.4660000000000002</v>
      </c>
      <c r="AE55">
        <f>Model!AM67</f>
        <v>4.1269999999999998</v>
      </c>
      <c r="AF55">
        <f>Model!AN67</f>
        <v>5.4939999999999998</v>
      </c>
      <c r="AG55">
        <f>Model!AO67</f>
        <v>9.9390000000000001</v>
      </c>
      <c r="AH55">
        <f>Model!AP67</f>
        <v>9.077</v>
      </c>
      <c r="AI55">
        <f>Model!AQ67</f>
        <v>10.055</v>
      </c>
      <c r="AJ55">
        <f>Model!AR67</f>
        <v>11.452</v>
      </c>
      <c r="AK55">
        <f>Model!AS67</f>
        <v>10.593</v>
      </c>
      <c r="AL55">
        <f>Model!AT67</f>
        <v>11.263999999999999</v>
      </c>
      <c r="AM55">
        <f>Model!AU67</f>
        <v>10.87</v>
      </c>
      <c r="AN55">
        <f>Model!AV67</f>
        <v>7.944</v>
      </c>
      <c r="AO55">
        <f>Model!AW67</f>
        <v>11.909000000000001</v>
      </c>
      <c r="AP55">
        <f>Model!AX67</f>
        <v>15.465</v>
      </c>
      <c r="AQ55">
        <f>Model!AY67</f>
        <v>21.175999999999998</v>
      </c>
      <c r="AR55">
        <f>Model!AZ67</f>
        <v>19.649999999999999</v>
      </c>
      <c r="AS55">
        <f>Model!BA67</f>
        <v>13.993</v>
      </c>
      <c r="AT55">
        <f>Model!BB67</f>
        <v>13.113</v>
      </c>
      <c r="AU55">
        <f>Model!BC67</f>
        <v>13.298</v>
      </c>
      <c r="AV55">
        <f>Model!BD67</f>
        <v>25.32</v>
      </c>
      <c r="AW55">
        <f>Model!BE67</f>
        <v>16.523</v>
      </c>
      <c r="AX55">
        <f>Model!BF67</f>
        <v>17.611999999999998</v>
      </c>
      <c r="AY55">
        <f>Model!BG67</f>
        <v>17.555</v>
      </c>
      <c r="AZ55">
        <f>Model!BH67</f>
        <v>19.875</v>
      </c>
      <c r="BA55">
        <f>Model!BI67</f>
        <v>21.709</v>
      </c>
      <c r="BB55">
        <f>Model!BJ67</f>
        <v>34.735999999999997</v>
      </c>
      <c r="BC55">
        <f>Model!BK67</f>
        <v>34.551000000000002</v>
      </c>
      <c r="BD55">
        <f>Model!BL67</f>
        <v>49.53</v>
      </c>
      <c r="BE55">
        <f>Model!BM67</f>
        <v>38.802999999999997</v>
      </c>
      <c r="BF55">
        <f>Model!BN67</f>
        <v>35.167999999999999</v>
      </c>
      <c r="BG55">
        <f>Model!BO67</f>
        <v>46.136000000000003</v>
      </c>
      <c r="BH55">
        <f>Model!BP67</f>
        <v>66.317999999999998</v>
      </c>
      <c r="BI55">
        <f>Model!BQ67</f>
        <v>54.008000000000003</v>
      </c>
      <c r="BJ55">
        <f>Model!BR67</f>
        <v>60.164000000000001</v>
      </c>
      <c r="BK55">
        <f>Model!BS67</f>
        <v>58.274000000000001</v>
      </c>
      <c r="BL55">
        <f>Model!BT67</f>
        <v>74.948999999999998</v>
      </c>
      <c r="BM55">
        <f>Model!BU67</f>
        <v>66</v>
      </c>
      <c r="BN55">
        <f>Model!BV67</f>
        <v>54.975999999999999</v>
      </c>
      <c r="BO55">
        <f>Model!BW67</f>
        <v>54.073999999999998</v>
      </c>
      <c r="BP55">
        <f>Model!BX67</f>
        <v>74.524000000000001</v>
      </c>
      <c r="BQ55">
        <f>Model!BY67</f>
        <v>58.948</v>
      </c>
      <c r="BR55">
        <f>Model!BZ67</f>
        <v>66.879000000000005</v>
      </c>
      <c r="BS55">
        <f>Model!CA67</f>
        <v>66.421000000000006</v>
      </c>
      <c r="BT55">
        <f>Model!CB67</f>
        <v>68.662000000000006</v>
      </c>
      <c r="BU55">
        <f>Model!CC67</f>
        <v>63.663840000000008</v>
      </c>
      <c r="BV55">
        <f>Model!CD67</f>
        <v>72.229320000000016</v>
      </c>
      <c r="BW55">
        <f>Model!CE67</f>
        <v>71.734680000000012</v>
      </c>
      <c r="BX55">
        <f>Model!CF67</f>
        <v>74.154960000000017</v>
      </c>
      <c r="BY55">
        <f>Model!CG67</f>
        <v>0</v>
      </c>
      <c r="BZ55">
        <f>Model!CH67</f>
        <v>0</v>
      </c>
      <c r="CA55">
        <f>Model!CI67</f>
        <v>0</v>
      </c>
      <c r="CB55">
        <f>Model!CJ67</f>
        <v>0.28199999999999997</v>
      </c>
      <c r="CC55">
        <f>Model!CK67</f>
        <v>0.63800000000000001</v>
      </c>
      <c r="CD55">
        <f>Model!CL67</f>
        <v>4.1689999999999996</v>
      </c>
      <c r="CE55">
        <f>Model!CM67</f>
        <v>14.928000000000001</v>
      </c>
      <c r="CF55">
        <f>Model!CN67</f>
        <v>16.253</v>
      </c>
      <c r="CG55">
        <f>Model!CO67</f>
        <v>40.522999999999996</v>
      </c>
      <c r="CH55">
        <f>Model!CP67</f>
        <v>40.670999999999999</v>
      </c>
      <c r="CI55">
        <f>Model!CQ67</f>
        <v>68.199999999999989</v>
      </c>
      <c r="CJ55">
        <f>Model!CR67</f>
        <v>65.724000000000004</v>
      </c>
      <c r="CK55">
        <f>Model!CS67</f>
        <v>71.564999999999998</v>
      </c>
      <c r="CL55">
        <f>Model!CT67</f>
        <v>140.52600000000001</v>
      </c>
      <c r="CM55">
        <f>Model!CU67</f>
        <v>186.42500000000001</v>
      </c>
      <c r="CN55">
        <f>Model!CV67</f>
        <v>247.39499999999998</v>
      </c>
      <c r="CO55">
        <f>Model!CW67</f>
        <v>249.57400000000001</v>
      </c>
      <c r="CP55">
        <f>Model!CX67</f>
        <v>260.90999999999997</v>
      </c>
      <c r="CQ55">
        <f>Model!CY67</f>
        <v>281.78280000000007</v>
      </c>
      <c r="CR55">
        <f>Model!CZ67</f>
        <v>301.50759600000015</v>
      </c>
      <c r="CS55">
        <f>Model!DA67</f>
        <v>321.10558974000026</v>
      </c>
      <c r="CT55">
        <f>Model!DB67</f>
        <v>340.37192512440038</v>
      </c>
      <c r="CU55">
        <f>Model!DC67</f>
        <v>359.09238100624253</v>
      </c>
      <c r="CV55">
        <f>Model!DD67</f>
        <v>377.04700005655474</v>
      </c>
      <c r="CW55">
        <f>Model!DE67</f>
        <v>394.01411505909982</v>
      </c>
      <c r="CX55">
        <f>Model!DF67</f>
        <v>409.77467966146389</v>
      </c>
      <c r="CY55">
        <f>Model!DG67</f>
        <v>0.29396136285621721</v>
      </c>
      <c r="CZ55">
        <f>Model!DH67</f>
        <v>5.3540874098712665E-2</v>
      </c>
    </row>
    <row r="56" spans="1:104">
      <c r="A56" t="str">
        <f>Model!I69</f>
        <v>D&amp;A</v>
      </c>
      <c r="B56">
        <f>Model!J69</f>
        <v>0</v>
      </c>
      <c r="C56">
        <f>Model!K69</f>
        <v>0</v>
      </c>
      <c r="D56">
        <f>Model!L69</f>
        <v>0</v>
      </c>
      <c r="E56">
        <f>Model!M69</f>
        <v>0</v>
      </c>
      <c r="F56">
        <f>Model!N69</f>
        <v>0</v>
      </c>
      <c r="G56">
        <f>Model!O69</f>
        <v>0</v>
      </c>
      <c r="H56">
        <f>Model!P69</f>
        <v>0</v>
      </c>
      <c r="I56">
        <f>Model!Q69</f>
        <v>0</v>
      </c>
      <c r="J56">
        <f>Model!R69</f>
        <v>0</v>
      </c>
      <c r="K56">
        <f>Model!S69</f>
        <v>0</v>
      </c>
      <c r="L56">
        <f>Model!T69</f>
        <v>0</v>
      </c>
      <c r="M56">
        <f>Model!U69</f>
        <v>0</v>
      </c>
      <c r="N56">
        <f>Model!V69</f>
        <v>0</v>
      </c>
      <c r="O56">
        <f>Model!W69</f>
        <v>0</v>
      </c>
      <c r="P56">
        <f>Model!X69</f>
        <v>0</v>
      </c>
      <c r="Q56">
        <f>Model!Y69</f>
        <v>0</v>
      </c>
      <c r="R56">
        <f>Model!Z69</f>
        <v>0</v>
      </c>
      <c r="S56">
        <f>Model!AA69</f>
        <v>0</v>
      </c>
      <c r="T56">
        <f>Model!AB69</f>
        <v>0</v>
      </c>
      <c r="U56">
        <f>Model!AC69</f>
        <v>0</v>
      </c>
      <c r="V56">
        <f>Model!AD69</f>
        <v>0</v>
      </c>
      <c r="W56">
        <f>Model!AE69</f>
        <v>0</v>
      </c>
      <c r="X56">
        <f>Model!AF69</f>
        <v>0</v>
      </c>
      <c r="Y56">
        <f>Model!AG69</f>
        <v>2.387</v>
      </c>
      <c r="Z56">
        <f>Model!AH69</f>
        <v>2.5859999999999999</v>
      </c>
      <c r="AA56">
        <f>Model!AI69</f>
        <v>2.6850000000000001</v>
      </c>
      <c r="AB56">
        <f>Model!AJ69</f>
        <v>2.5859999999999994</v>
      </c>
      <c r="AC56">
        <f>Model!AK69</f>
        <v>2.5920000000000005</v>
      </c>
      <c r="AD56">
        <f>Model!AL69</f>
        <v>2.7030000000000003</v>
      </c>
      <c r="AE56">
        <f>Model!AM69</f>
        <v>3.0140000000000002</v>
      </c>
      <c r="AF56">
        <f>Model!AN69</f>
        <v>3.5860000000000003</v>
      </c>
      <c r="AG56">
        <f>Model!AO69</f>
        <v>3.6079999999999997</v>
      </c>
      <c r="AH56">
        <f>Model!AP69</f>
        <v>3.6079999999999997</v>
      </c>
      <c r="AI56">
        <f>Model!AQ69</f>
        <v>3.5830000000000002</v>
      </c>
      <c r="AJ56">
        <f>Model!AR69</f>
        <v>3.5890000000000004</v>
      </c>
      <c r="AK56">
        <f>Model!AS69</f>
        <v>3.4560000000000004</v>
      </c>
      <c r="AL56">
        <f>Model!AT69</f>
        <v>3.5130000000000008</v>
      </c>
      <c r="AM56">
        <f>Model!AU69</f>
        <v>3.6710000000000012</v>
      </c>
      <c r="AN56">
        <f>Model!AV69</f>
        <v>3.895999999999999</v>
      </c>
      <c r="AO56">
        <f>Model!AW69</f>
        <v>3.9820000000000002</v>
      </c>
      <c r="AP56">
        <f>Model!AX69</f>
        <v>3.9129999999999994</v>
      </c>
      <c r="AQ56">
        <f>Model!AY69</f>
        <v>4.2170000000000005</v>
      </c>
      <c r="AR56">
        <f>Model!AZ69</f>
        <v>4.18</v>
      </c>
      <c r="AS56">
        <f>Model!BA69</f>
        <v>4.2519999999999989</v>
      </c>
      <c r="AT56">
        <f>Model!BB69</f>
        <v>5.1899999999999995</v>
      </c>
      <c r="AU56">
        <f>Model!BC69</f>
        <v>5.7469999999999999</v>
      </c>
      <c r="AV56">
        <f>Model!BD69</f>
        <v>6.0250000000000004</v>
      </c>
      <c r="AW56">
        <f>Model!BE69</f>
        <v>7.6850000000000005</v>
      </c>
      <c r="AX56">
        <f>Model!BF69</f>
        <v>7.4649999999999999</v>
      </c>
      <c r="AY56">
        <f>Model!BG69</f>
        <v>8.1710000000000012</v>
      </c>
      <c r="AZ56">
        <f>Model!BH69</f>
        <v>9.4969999999999999</v>
      </c>
      <c r="BA56">
        <f>Model!BI69</f>
        <v>9.8019999999999978</v>
      </c>
      <c r="BB56">
        <f>Model!BJ69</f>
        <v>4.8230000000000004</v>
      </c>
      <c r="BC56">
        <f>Model!BK69</f>
        <v>12.896999999999998</v>
      </c>
      <c r="BD56">
        <f>Model!BL69</f>
        <v>14.399000000000001</v>
      </c>
      <c r="BE56">
        <f>Model!BM69</f>
        <v>15.551999999999996</v>
      </c>
      <c r="BF56">
        <f>Model!BN69</f>
        <v>17.337</v>
      </c>
      <c r="BG56">
        <f>Model!BO69</f>
        <v>21.814999999999998</v>
      </c>
      <c r="BH56">
        <f>Model!BP69</f>
        <v>23.537000000000006</v>
      </c>
      <c r="BI56">
        <f>Model!BQ69</f>
        <v>21.673999999999992</v>
      </c>
      <c r="BJ56">
        <f>Model!BR69</f>
        <v>25.021000000000008</v>
      </c>
      <c r="BK56">
        <f>Model!BS69</f>
        <v>26.825000000000003</v>
      </c>
      <c r="BL56">
        <f>Model!BT69</f>
        <v>27.996999999999993</v>
      </c>
      <c r="BM56">
        <f>Model!BU69</f>
        <v>30.485999999999997</v>
      </c>
      <c r="BN56">
        <f>Model!BV69</f>
        <v>34.671000000000006</v>
      </c>
      <c r="BO56">
        <f>Model!BW69</f>
        <v>36.796000000000006</v>
      </c>
      <c r="BP56">
        <f>Model!BX69</f>
        <v>38.106000000000002</v>
      </c>
      <c r="BQ56">
        <f>Model!BY69</f>
        <v>40.412000000000006</v>
      </c>
      <c r="BR56">
        <f>Model!BZ69</f>
        <v>44.710999999999999</v>
      </c>
      <c r="BS56">
        <f>Model!CA69</f>
        <v>50.613</v>
      </c>
      <c r="BT56">
        <f>Model!CB69</f>
        <v>51.494999999999997</v>
      </c>
      <c r="BU56">
        <f>Model!CC69</f>
        <v>54.865422558556318</v>
      </c>
      <c r="BV56">
        <f>Model!CD69</f>
        <v>60.770257247692818</v>
      </c>
      <c r="BW56">
        <f>Model!CE69</f>
        <v>65.303793061066244</v>
      </c>
      <c r="BX56">
        <f>Model!CF69</f>
        <v>70.194950400720117</v>
      </c>
      <c r="BY56">
        <f>Model!CG69</f>
        <v>0</v>
      </c>
      <c r="BZ56">
        <f>Model!CH69</f>
        <v>0</v>
      </c>
      <c r="CA56">
        <f>Model!CI69</f>
        <v>0</v>
      </c>
      <c r="CB56">
        <f>Model!CJ69</f>
        <v>11.532999999999999</v>
      </c>
      <c r="CC56">
        <f>Model!CK69</f>
        <v>13.500999999999999</v>
      </c>
      <c r="CD56">
        <f>Model!CL69</f>
        <v>25.366</v>
      </c>
      <c r="CE56">
        <f>Model!CM69</f>
        <v>10.244</v>
      </c>
      <c r="CF56">
        <f>Model!CN69</f>
        <v>11.895000000000001</v>
      </c>
      <c r="CG56">
        <f>Model!CO69</f>
        <v>14.388</v>
      </c>
      <c r="CH56">
        <f>Model!CP69</f>
        <v>14.536000000000001</v>
      </c>
      <c r="CI56">
        <f>Model!CQ69</f>
        <v>16.292000000000002</v>
      </c>
      <c r="CJ56">
        <f>Model!CR69</f>
        <v>21.213999999999999</v>
      </c>
      <c r="CK56">
        <f>Model!CS69</f>
        <v>32.817999999999998</v>
      </c>
      <c r="CL56">
        <f>Model!CT69</f>
        <v>41.920999999999999</v>
      </c>
      <c r="CM56">
        <f>Model!CU69</f>
        <v>78.241</v>
      </c>
      <c r="CN56">
        <f>Model!CV69</f>
        <v>101.517</v>
      </c>
      <c r="CO56">
        <f>Model!CW69</f>
        <v>140.05900000000003</v>
      </c>
      <c r="CP56">
        <f>Model!CX69</f>
        <v>187.23099999999999</v>
      </c>
      <c r="CQ56">
        <f>Model!CY69</f>
        <v>251.1344232680355</v>
      </c>
      <c r="CR56">
        <f>Model!CZ69</f>
        <v>319.59497956861679</v>
      </c>
      <c r="CS56">
        <f>Model!DA69</f>
        <v>395.92375865225227</v>
      </c>
      <c r="CT56">
        <f>Model!DB69</f>
        <v>499.38640236368224</v>
      </c>
      <c r="CU56">
        <f>Model!DC69</f>
        <v>613.28846873013708</v>
      </c>
      <c r="CV56">
        <f>Model!DD69</f>
        <v>737.79355474829936</v>
      </c>
      <c r="CW56">
        <f>Model!DE69</f>
        <v>872.10501017686568</v>
      </c>
      <c r="CX56">
        <f>Model!DF69</f>
        <v>1022.5739252689636</v>
      </c>
      <c r="CY56">
        <f>Model!DG69</f>
        <v>0.44182607300130416</v>
      </c>
      <c r="CZ56">
        <f>Model!DH69</f>
        <v>0.31284833502239184</v>
      </c>
    </row>
    <row r="57" spans="1:104">
      <c r="A57" t="str">
        <f>Model!I70</f>
        <v>Acquisition-related Amortization</v>
      </c>
      <c r="B57">
        <f>Model!J70</f>
        <v>0</v>
      </c>
      <c r="C57">
        <f>Model!K70</f>
        <v>0</v>
      </c>
      <c r="D57">
        <f>Model!L70</f>
        <v>0</v>
      </c>
      <c r="E57">
        <f>Model!M70</f>
        <v>0</v>
      </c>
      <c r="F57">
        <f>Model!N70</f>
        <v>0</v>
      </c>
      <c r="G57">
        <f>Model!O70</f>
        <v>0</v>
      </c>
      <c r="H57">
        <f>Model!P70</f>
        <v>0</v>
      </c>
      <c r="I57">
        <f>Model!Q70</f>
        <v>0</v>
      </c>
      <c r="J57">
        <f>Model!R70</f>
        <v>0</v>
      </c>
      <c r="K57">
        <f>Model!S70</f>
        <v>0</v>
      </c>
      <c r="L57">
        <f>Model!T70</f>
        <v>0</v>
      </c>
      <c r="M57">
        <f>Model!U70</f>
        <v>0</v>
      </c>
      <c r="N57">
        <f>Model!V70</f>
        <v>0</v>
      </c>
      <c r="O57">
        <f>Model!W70</f>
        <v>0</v>
      </c>
      <c r="P57">
        <f>Model!X70</f>
        <v>0</v>
      </c>
      <c r="Q57">
        <f>Model!Y70</f>
        <v>0</v>
      </c>
      <c r="R57">
        <f>Model!Z70</f>
        <v>0</v>
      </c>
      <c r="S57">
        <f>Model!AA70</f>
        <v>0</v>
      </c>
      <c r="T57">
        <f>Model!AB70</f>
        <v>0</v>
      </c>
      <c r="U57">
        <f>Model!AC70</f>
        <v>0</v>
      </c>
      <c r="V57">
        <f>Model!AD70</f>
        <v>0</v>
      </c>
      <c r="W57">
        <f>Model!AE70</f>
        <v>0</v>
      </c>
      <c r="X57">
        <f>Model!AF70</f>
        <v>0</v>
      </c>
      <c r="Y57">
        <f>Model!AG70</f>
        <v>5.5590000000000002</v>
      </c>
      <c r="Z57">
        <f>Model!AH70</f>
        <v>5.774</v>
      </c>
      <c r="AA57">
        <f>Model!AI70</f>
        <v>5.9790000000000001</v>
      </c>
      <c r="AB57">
        <f>Model!AJ70</f>
        <v>5.8929999999999998</v>
      </c>
      <c r="AC57">
        <f>Model!AK70</f>
        <v>5.9130000000000003</v>
      </c>
      <c r="AD57">
        <f>Model!AL70</f>
        <v>6.2939999999999996</v>
      </c>
      <c r="AE57">
        <f>Model!AM70</f>
        <v>6.117</v>
      </c>
      <c r="AF57">
        <f>Model!AN70</f>
        <v>6.8529999999999998</v>
      </c>
      <c r="AG57">
        <f>Model!AO70</f>
        <v>6.7450000000000001</v>
      </c>
      <c r="AH57">
        <f>Model!AP70</f>
        <v>7.4560000000000004</v>
      </c>
      <c r="AI57">
        <f>Model!AQ70</f>
        <v>7.3520000000000003</v>
      </c>
      <c r="AJ57">
        <f>Model!AR70</f>
        <v>6.8550000000000004</v>
      </c>
      <c r="AK57">
        <f>Model!AS70</f>
        <v>5.9050000000000002</v>
      </c>
      <c r="AL57">
        <f>Model!AT70</f>
        <v>6.21</v>
      </c>
      <c r="AM57">
        <f>Model!AU70</f>
        <v>6.4269999999999996</v>
      </c>
      <c r="AN57">
        <f>Model!AV70</f>
        <v>6.1150000000000002</v>
      </c>
      <c r="AO57">
        <f>Model!AW70</f>
        <v>5.7969999999999997</v>
      </c>
      <c r="AP57">
        <f>Model!AX70</f>
        <v>6.8449999999999998</v>
      </c>
      <c r="AQ57">
        <f>Model!AY70</f>
        <v>8.5579999999999998</v>
      </c>
      <c r="AR57">
        <f>Model!AZ70</f>
        <v>8.2710000000000008</v>
      </c>
      <c r="AS57">
        <f>Model!BA70</f>
        <v>8.2270000000000003</v>
      </c>
      <c r="AT57">
        <f>Model!BB70</f>
        <v>8.4610000000000003</v>
      </c>
      <c r="AU57">
        <f>Model!BC70</f>
        <v>8.2100000000000009</v>
      </c>
      <c r="AV57">
        <f>Model!BD70</f>
        <v>7.7119999999999997</v>
      </c>
      <c r="AW57">
        <f>Model!BE70</f>
        <v>8.157</v>
      </c>
      <c r="AX57">
        <f>Model!BF70</f>
        <v>8.1980000000000004</v>
      </c>
      <c r="AY57">
        <f>Model!BG70</f>
        <v>7.8360000000000003</v>
      </c>
      <c r="AZ57">
        <f>Model!BH70</f>
        <v>8.1310000000000002</v>
      </c>
      <c r="BA57">
        <f>Model!BI70</f>
        <v>9.2780000000000005</v>
      </c>
      <c r="BB57">
        <f>Model!BJ70</f>
        <v>21.204000000000001</v>
      </c>
      <c r="BC57">
        <f>Model!BK70</f>
        <v>22.85</v>
      </c>
      <c r="BD57">
        <f>Model!BL70</f>
        <v>22.722000000000001</v>
      </c>
      <c r="BE57">
        <f>Model!BM70</f>
        <v>22.824000000000002</v>
      </c>
      <c r="BF57">
        <f>Model!BN70</f>
        <v>22.95</v>
      </c>
      <c r="BG57">
        <f>Model!BO70</f>
        <v>35.783999999999999</v>
      </c>
      <c r="BH57">
        <f>Model!BP70</f>
        <v>48.021000000000001</v>
      </c>
      <c r="BI57">
        <f>Model!BQ70</f>
        <v>43.328000000000003</v>
      </c>
      <c r="BJ57">
        <f>Model!BR70</f>
        <v>42.652999999999999</v>
      </c>
      <c r="BK57">
        <f>Model!BS70</f>
        <v>42.228999999999999</v>
      </c>
      <c r="BL57">
        <f>Model!BT70</f>
        <v>42.767000000000003</v>
      </c>
      <c r="BM57">
        <f>Model!BU70</f>
        <v>42.384999999999998</v>
      </c>
      <c r="BN57">
        <f>Model!BV70</f>
        <v>43.040999999999997</v>
      </c>
      <c r="BO57">
        <f>Model!BW70</f>
        <v>41.948999999999998</v>
      </c>
      <c r="BP57">
        <f>Model!BX70</f>
        <v>41.701000000000001</v>
      </c>
      <c r="BQ57">
        <f>Model!BY70</f>
        <v>43.018000000000001</v>
      </c>
      <c r="BR57">
        <f>Model!BZ70</f>
        <v>41.161000000000001</v>
      </c>
      <c r="BS57">
        <f>Model!CA70</f>
        <v>45.296999999999997</v>
      </c>
      <c r="BT57">
        <f>Model!CB70</f>
        <v>46.067</v>
      </c>
      <c r="BU57">
        <f>Model!CC70</f>
        <v>43.018000000000001</v>
      </c>
      <c r="BV57">
        <f>Model!CD70</f>
        <v>41.161000000000001</v>
      </c>
      <c r="BW57">
        <f>Model!CE70</f>
        <v>45.296999999999997</v>
      </c>
      <c r="BX57">
        <f>Model!CF70</f>
        <v>46.067</v>
      </c>
      <c r="BY57">
        <f>Model!CG70</f>
        <v>0</v>
      </c>
      <c r="BZ57">
        <f>Model!CH70</f>
        <v>0</v>
      </c>
      <c r="CA57">
        <f>Model!CI70</f>
        <v>0</v>
      </c>
      <c r="CB57">
        <f>Model!CJ70</f>
        <v>0</v>
      </c>
      <c r="CC57">
        <f>Model!CK70</f>
        <v>0</v>
      </c>
      <c r="CD57">
        <f>Model!CL70</f>
        <v>0</v>
      </c>
      <c r="CE57">
        <f>Model!CM70</f>
        <v>23.205000000000002</v>
      </c>
      <c r="CF57">
        <f>Model!CN70</f>
        <v>25.177</v>
      </c>
      <c r="CG57">
        <f>Model!CO70</f>
        <v>28.408000000000001</v>
      </c>
      <c r="CH57">
        <f>Model!CP70</f>
        <v>24.657000000000004</v>
      </c>
      <c r="CI57">
        <f>Model!CQ70</f>
        <v>29.471</v>
      </c>
      <c r="CJ57">
        <f>Model!CR70</f>
        <v>32.61</v>
      </c>
      <c r="CK57">
        <f>Model!CS70</f>
        <v>32.322000000000003</v>
      </c>
      <c r="CL57">
        <f>Model!CT70</f>
        <v>76.054000000000002</v>
      </c>
      <c r="CM57">
        <f>Model!CU70</f>
        <v>129.57900000000001</v>
      </c>
      <c r="CN57">
        <f>Model!CV70</f>
        <v>170.97699999999998</v>
      </c>
      <c r="CO57">
        <f>Model!CW70</f>
        <v>169.07599999999999</v>
      </c>
      <c r="CP57">
        <f>Model!CX70</f>
        <v>175.54300000000001</v>
      </c>
      <c r="CQ57">
        <f>Model!CY70</f>
        <v>175.54300000000001</v>
      </c>
      <c r="CR57">
        <f>Model!CZ70</f>
        <v>175.54300000000001</v>
      </c>
      <c r="CS57">
        <f>Model!DA70</f>
        <v>175.54300000000001</v>
      </c>
      <c r="CT57">
        <f>Model!DB70</f>
        <v>175.54300000000001</v>
      </c>
      <c r="CU57">
        <f>Model!DC70</f>
        <v>175.54300000000001</v>
      </c>
      <c r="CV57">
        <f>Model!DD70</f>
        <v>175.54300000000001</v>
      </c>
      <c r="CW57">
        <f>Model!DE70</f>
        <v>175.54300000000001</v>
      </c>
      <c r="CX57">
        <f>Model!DF70</f>
        <v>175.54300000000001</v>
      </c>
      <c r="CY57">
        <f>Model!DG70</f>
        <v>0.42137464486429144</v>
      </c>
      <c r="CZ57">
        <f>Model!DH70</f>
        <v>5.2849126635652333E-3</v>
      </c>
    </row>
    <row r="58" spans="1:104">
      <c r="A58" t="str">
        <f>Model!I71</f>
        <v>Total Operating Expenses</v>
      </c>
      <c r="B58">
        <f>Model!J71</f>
        <v>0</v>
      </c>
      <c r="C58">
        <f>Model!K71</f>
        <v>0</v>
      </c>
      <c r="D58">
        <f>Model!L71</f>
        <v>0</v>
      </c>
      <c r="E58">
        <f>Model!M71</f>
        <v>0</v>
      </c>
      <c r="F58">
        <f>Model!N71</f>
        <v>0</v>
      </c>
      <c r="G58">
        <f>Model!O71</f>
        <v>0</v>
      </c>
      <c r="H58">
        <f>Model!P71</f>
        <v>0</v>
      </c>
      <c r="I58">
        <f>Model!Q71</f>
        <v>0</v>
      </c>
      <c r="J58">
        <f>Model!R71</f>
        <v>0</v>
      </c>
      <c r="K58">
        <f>Model!S71</f>
        <v>0</v>
      </c>
      <c r="L58">
        <f>Model!T71</f>
        <v>0</v>
      </c>
      <c r="M58">
        <f>Model!U71</f>
        <v>0</v>
      </c>
      <c r="N58">
        <f>Model!V71</f>
        <v>0</v>
      </c>
      <c r="O58">
        <f>Model!W71</f>
        <v>0</v>
      </c>
      <c r="P58">
        <f>Model!X71</f>
        <v>0</v>
      </c>
      <c r="Q58">
        <f>Model!Y71</f>
        <v>0</v>
      </c>
      <c r="R58">
        <f>Model!Z71</f>
        <v>0</v>
      </c>
      <c r="S58">
        <f>Model!AA71</f>
        <v>0</v>
      </c>
      <c r="T58">
        <f>Model!AB71</f>
        <v>0</v>
      </c>
      <c r="U58">
        <f>Model!AC71</f>
        <v>0</v>
      </c>
      <c r="V58">
        <f>Model!AD71</f>
        <v>0</v>
      </c>
      <c r="W58">
        <f>Model!AE71</f>
        <v>0</v>
      </c>
      <c r="X58">
        <f>Model!AF71</f>
        <v>0</v>
      </c>
      <c r="Y58">
        <f>Model!AG71</f>
        <v>73.325000000000003</v>
      </c>
      <c r="Z58">
        <f>Model!AH71</f>
        <v>86.766999999999996</v>
      </c>
      <c r="AA58">
        <f>Model!AI71</f>
        <v>91.945000000000022</v>
      </c>
      <c r="AB58">
        <f>Model!AJ71</f>
        <v>86.941000000000003</v>
      </c>
      <c r="AC58">
        <f>Model!AK71</f>
        <v>96.594999999999985</v>
      </c>
      <c r="AD58">
        <f>Model!AL71</f>
        <v>109.63699999999999</v>
      </c>
      <c r="AE58">
        <f>Model!AM71</f>
        <v>124.247</v>
      </c>
      <c r="AF58">
        <f>Model!AN71</f>
        <v>116.14</v>
      </c>
      <c r="AG58">
        <f>Model!AO71</f>
        <v>149.33799999999999</v>
      </c>
      <c r="AH58">
        <f>Model!AP71</f>
        <v>172.77099999999999</v>
      </c>
      <c r="AI58">
        <f>Model!AQ71</f>
        <v>188.15600000000001</v>
      </c>
      <c r="AJ58">
        <f>Model!AR71</f>
        <v>156.232</v>
      </c>
      <c r="AK58">
        <f>Model!AS71</f>
        <v>165.48799999999997</v>
      </c>
      <c r="AL58">
        <f>Model!AT71</f>
        <v>195.86300000000003</v>
      </c>
      <c r="AM58">
        <f>Model!AU71</f>
        <v>233.25099999999998</v>
      </c>
      <c r="AN58">
        <f>Model!AV71</f>
        <v>195.327</v>
      </c>
      <c r="AO58">
        <f>Model!AW71</f>
        <v>231.20699999999999</v>
      </c>
      <c r="AP58">
        <f>Model!AX71</f>
        <v>272.09600000000006</v>
      </c>
      <c r="AQ58">
        <f>Model!AY71</f>
        <v>329.41899999999998</v>
      </c>
      <c r="AR58">
        <f>Model!AZ71</f>
        <v>289.45400000000001</v>
      </c>
      <c r="AS58">
        <f>Model!BA71</f>
        <v>351.74900000000002</v>
      </c>
      <c r="AT58">
        <f>Model!BB71</f>
        <v>424.51900000000001</v>
      </c>
      <c r="AU58">
        <f>Model!BC71</f>
        <v>483.77</v>
      </c>
      <c r="AV58">
        <f>Model!BD71</f>
        <v>420.9199999999999</v>
      </c>
      <c r="AW58">
        <f>Model!BE71</f>
        <v>501.75700000000001</v>
      </c>
      <c r="AX58">
        <f>Model!BF71</f>
        <v>545.78700000000003</v>
      </c>
      <c r="AY58">
        <f>Model!BG71</f>
        <v>640.90899999999999</v>
      </c>
      <c r="AZ58">
        <f>Model!BH71</f>
        <v>565.43499999999995</v>
      </c>
      <c r="BA58">
        <f>Model!BI71</f>
        <v>699.82600000000002</v>
      </c>
      <c r="BB58">
        <f>Model!BJ71</f>
        <v>829.024</v>
      </c>
      <c r="BC58">
        <f>Model!BK71</f>
        <v>942.16800000000023</v>
      </c>
      <c r="BD58">
        <f>Model!BL71</f>
        <v>832.45399999999995</v>
      </c>
      <c r="BE58">
        <f>Model!BM71</f>
        <v>967.74500000000012</v>
      </c>
      <c r="BF58">
        <f>Model!BN71</f>
        <v>1149.9819999999997</v>
      </c>
      <c r="BG58">
        <f>Model!BO71</f>
        <v>1297.2729999999999</v>
      </c>
      <c r="BH58">
        <f>Model!BP71</f>
        <v>1095.818</v>
      </c>
      <c r="BI58">
        <f>Model!BQ71</f>
        <v>1238.2670000000001</v>
      </c>
      <c r="BJ58">
        <f>Model!BR71</f>
        <v>1414.5749999999998</v>
      </c>
      <c r="BK58">
        <f>Model!BS71</f>
        <v>1458.5749999999998</v>
      </c>
      <c r="BL58">
        <f>Model!BT71</f>
        <v>1221.4830000000002</v>
      </c>
      <c r="BM58">
        <f>Model!BU71</f>
        <v>1469.1320000000001</v>
      </c>
      <c r="BN58">
        <f>Model!BV71</f>
        <v>1697.4110000000001</v>
      </c>
      <c r="BO58">
        <f>Model!BW71</f>
        <v>2755.8359999999998</v>
      </c>
      <c r="BP58">
        <f>Model!BX71</f>
        <v>1486.0000000000002</v>
      </c>
      <c r="BQ58">
        <f>Model!BY71</f>
        <v>1777.7730000000004</v>
      </c>
      <c r="BR58">
        <f>Model!BZ71</f>
        <v>2058.5549999999994</v>
      </c>
      <c r="BS58">
        <f>Model!CA71</f>
        <v>2272.7519999999995</v>
      </c>
      <c r="BT58">
        <f>Model!CB71</f>
        <v>1783.473</v>
      </c>
      <c r="BU58">
        <f>Model!CC71</f>
        <v>2130.7106741505468</v>
      </c>
      <c r="BV58">
        <f>Model!CD71</f>
        <v>2454.1145645497895</v>
      </c>
      <c r="BW58">
        <f>Model!CE71</f>
        <v>2557.7458779433841</v>
      </c>
      <c r="BX58">
        <f>Model!CF71</f>
        <v>2102.3079869626449</v>
      </c>
      <c r="BY58">
        <f>Model!CG71</f>
        <v>0</v>
      </c>
      <c r="BZ58">
        <f>Model!CH71</f>
        <v>0</v>
      </c>
      <c r="CA58">
        <f>Model!CI71</f>
        <v>0</v>
      </c>
      <c r="CB58">
        <f>Model!CJ71</f>
        <v>138.39500000000001</v>
      </c>
      <c r="CC58">
        <f>Model!CK71</f>
        <v>167.78299999999999</v>
      </c>
      <c r="CD58">
        <f>Model!CL71</f>
        <v>230.28300000000002</v>
      </c>
      <c r="CE58">
        <f>Model!CM71</f>
        <v>338.97800000000001</v>
      </c>
      <c r="CF58">
        <f>Model!CN71</f>
        <v>446.61899999999991</v>
      </c>
      <c r="CG58">
        <f>Model!CO71</f>
        <v>666.49700000000007</v>
      </c>
      <c r="CH58">
        <f>Model!CP71</f>
        <v>789.9290000000002</v>
      </c>
      <c r="CI58">
        <f>Model!CQ71</f>
        <v>1122.1759999999999</v>
      </c>
      <c r="CJ58">
        <f>Model!CR71</f>
        <v>1680.9579999999999</v>
      </c>
      <c r="CK58">
        <f>Model!CS71</f>
        <v>2253.8879999999999</v>
      </c>
      <c r="CL58">
        <f>Model!CT71</f>
        <v>3303.4720000000002</v>
      </c>
      <c r="CM58">
        <f>Model!CU71</f>
        <v>4510.8180000000002</v>
      </c>
      <c r="CN58">
        <f>Model!CV71</f>
        <v>5332.9000000000005</v>
      </c>
      <c r="CO58">
        <f>Model!CW71</f>
        <v>7408.378999999999</v>
      </c>
      <c r="CP58">
        <f>Model!CX71</f>
        <v>7892.5529999999999</v>
      </c>
      <c r="CQ58">
        <f>Model!CY71</f>
        <v>9244.8791036063631</v>
      </c>
      <c r="CR58">
        <f>Model!CZ71</f>
        <v>10485.313309872941</v>
      </c>
      <c r="CS58">
        <f>Model!DA71</f>
        <v>11712.114972852014</v>
      </c>
      <c r="CT58">
        <f>Model!DB71</f>
        <v>12890.059202308512</v>
      </c>
      <c r="CU58">
        <f>Model!DC71</f>
        <v>14036.39566273003</v>
      </c>
      <c r="CV58">
        <f>Model!DD71</f>
        <v>15182.31824213174</v>
      </c>
      <c r="CW58">
        <f>Model!DE71</f>
        <v>16321.38038774595</v>
      </c>
      <c r="CX58">
        <f>Model!DF71</f>
        <v>17510.539097906203</v>
      </c>
      <c r="CY58">
        <f>Model!DG71</f>
        <v>0.36577919492775157</v>
      </c>
      <c r="CZ58">
        <f>Model!DH71</f>
        <v>0.1704001732080429</v>
      </c>
    </row>
    <row r="59" spans="1:104">
      <c r="A59">
        <f>Model!I72</f>
        <v>0</v>
      </c>
      <c r="B59">
        <f>Model!J72</f>
        <v>0</v>
      </c>
      <c r="C59">
        <f>Model!K72</f>
        <v>0</v>
      </c>
      <c r="D59">
        <f>Model!L72</f>
        <v>0</v>
      </c>
      <c r="E59">
        <f>Model!M72</f>
        <v>0</v>
      </c>
      <c r="F59">
        <f>Model!N72</f>
        <v>0</v>
      </c>
      <c r="G59">
        <f>Model!O72</f>
        <v>0</v>
      </c>
      <c r="H59">
        <f>Model!P72</f>
        <v>0</v>
      </c>
      <c r="I59">
        <f>Model!Q72</f>
        <v>0</v>
      </c>
      <c r="J59">
        <f>Model!R72</f>
        <v>0</v>
      </c>
      <c r="K59">
        <f>Model!S72</f>
        <v>0</v>
      </c>
      <c r="L59">
        <f>Model!T72</f>
        <v>0</v>
      </c>
      <c r="M59">
        <f>Model!U72</f>
        <v>0</v>
      </c>
      <c r="N59">
        <f>Model!V72</f>
        <v>0</v>
      </c>
      <c r="O59">
        <f>Model!W72</f>
        <v>0</v>
      </c>
      <c r="P59">
        <f>Model!X72</f>
        <v>0</v>
      </c>
      <c r="Q59">
        <f>Model!Y72</f>
        <v>0</v>
      </c>
      <c r="R59">
        <f>Model!Z72</f>
        <v>0</v>
      </c>
      <c r="S59">
        <f>Model!AA72</f>
        <v>0</v>
      </c>
      <c r="T59">
        <f>Model!AB72</f>
        <v>0</v>
      </c>
      <c r="U59">
        <f>Model!AC72</f>
        <v>0</v>
      </c>
      <c r="V59">
        <f>Model!AD72</f>
        <v>0</v>
      </c>
      <c r="W59">
        <f>Model!AE72</f>
        <v>0</v>
      </c>
      <c r="X59">
        <f>Model!AF72</f>
        <v>0</v>
      </c>
      <c r="Y59">
        <f>Model!AG72</f>
        <v>0</v>
      </c>
      <c r="Z59">
        <f>Model!AH72</f>
        <v>0</v>
      </c>
      <c r="AA59">
        <f>Model!AI72</f>
        <v>0</v>
      </c>
      <c r="AB59">
        <f>Model!AJ72</f>
        <v>0</v>
      </c>
      <c r="AC59">
        <f>Model!AK72</f>
        <v>0</v>
      </c>
      <c r="AD59">
        <f>Model!AL72</f>
        <v>0</v>
      </c>
      <c r="AE59">
        <f>Model!AM72</f>
        <v>0</v>
      </c>
      <c r="AF59">
        <f>Model!AN72</f>
        <v>0</v>
      </c>
      <c r="AG59">
        <f>Model!AO72</f>
        <v>0</v>
      </c>
      <c r="AH59">
        <f>Model!AP72</f>
        <v>0</v>
      </c>
      <c r="AI59">
        <f>Model!AQ72</f>
        <v>0</v>
      </c>
      <c r="AJ59">
        <f>Model!AR72</f>
        <v>0</v>
      </c>
      <c r="AK59">
        <f>Model!AS72</f>
        <v>0</v>
      </c>
      <c r="AL59">
        <f>Model!AT72</f>
        <v>0</v>
      </c>
      <c r="AM59">
        <f>Model!AU72</f>
        <v>0</v>
      </c>
      <c r="AN59">
        <f>Model!AV72</f>
        <v>0</v>
      </c>
      <c r="AO59">
        <f>Model!AW72</f>
        <v>0</v>
      </c>
      <c r="AP59">
        <f>Model!AX72</f>
        <v>0</v>
      </c>
      <c r="AQ59">
        <f>Model!AY72</f>
        <v>0</v>
      </c>
      <c r="AR59">
        <f>Model!AZ72</f>
        <v>0</v>
      </c>
      <c r="AS59">
        <f>Model!BA72</f>
        <v>0</v>
      </c>
      <c r="AT59">
        <f>Model!BB72</f>
        <v>0</v>
      </c>
      <c r="AU59">
        <f>Model!BC72</f>
        <v>0</v>
      </c>
      <c r="AV59">
        <f>Model!BD72</f>
        <v>0</v>
      </c>
      <c r="AW59">
        <f>Model!BE72</f>
        <v>0</v>
      </c>
      <c r="AX59">
        <f>Model!BF72</f>
        <v>0</v>
      </c>
      <c r="AY59">
        <f>Model!BG72</f>
        <v>0</v>
      </c>
      <c r="AZ59">
        <f>Model!BH72</f>
        <v>0</v>
      </c>
      <c r="BA59">
        <f>Model!BI72</f>
        <v>0</v>
      </c>
      <c r="BB59">
        <f>Model!BJ72</f>
        <v>0</v>
      </c>
      <c r="BC59">
        <f>Model!BK72</f>
        <v>0</v>
      </c>
      <c r="BD59">
        <f>Model!BL72</f>
        <v>0</v>
      </c>
      <c r="BE59">
        <f>Model!BM72</f>
        <v>0</v>
      </c>
      <c r="BF59">
        <f>Model!BN72</f>
        <v>0</v>
      </c>
      <c r="BG59">
        <f>Model!BO72</f>
        <v>0</v>
      </c>
      <c r="BH59">
        <f>Model!BP72</f>
        <v>0</v>
      </c>
      <c r="BI59">
        <f>Model!BQ72</f>
        <v>0</v>
      </c>
      <c r="BJ59">
        <f>Model!BR72</f>
        <v>0</v>
      </c>
      <c r="BK59">
        <f>Model!BS72</f>
        <v>0</v>
      </c>
      <c r="BL59">
        <f>Model!BT72</f>
        <v>0</v>
      </c>
      <c r="BM59">
        <f>Model!BU72</f>
        <v>0</v>
      </c>
      <c r="BN59">
        <f>Model!BV72</f>
        <v>0</v>
      </c>
      <c r="BO59">
        <f>Model!BW72</f>
        <v>0</v>
      </c>
      <c r="BP59">
        <f>Model!BX72</f>
        <v>0</v>
      </c>
      <c r="BQ59">
        <f>Model!BY72</f>
        <v>0</v>
      </c>
      <c r="BR59">
        <f>Model!BZ72</f>
        <v>0</v>
      </c>
      <c r="BS59">
        <f>Model!CA72</f>
        <v>0</v>
      </c>
      <c r="BT59">
        <f>Model!CB72</f>
        <v>0</v>
      </c>
      <c r="BU59">
        <f>Model!CC72</f>
        <v>0</v>
      </c>
      <c r="BV59">
        <f>Model!CD72</f>
        <v>0</v>
      </c>
      <c r="BW59">
        <f>Model!CE72</f>
        <v>0</v>
      </c>
      <c r="BX59">
        <f>Model!CF72</f>
        <v>0</v>
      </c>
      <c r="BY59">
        <f>Model!CG72</f>
        <v>0</v>
      </c>
      <c r="BZ59">
        <f>Model!CH72</f>
        <v>0</v>
      </c>
      <c r="CA59">
        <f>Model!CI72</f>
        <v>0</v>
      </c>
      <c r="CB59">
        <f>Model!CJ72</f>
        <v>0</v>
      </c>
      <c r="CC59">
        <f>Model!CK72</f>
        <v>0</v>
      </c>
      <c r="CD59">
        <f>Model!CL72</f>
        <v>0</v>
      </c>
      <c r="CE59">
        <f>Model!CM72</f>
        <v>0</v>
      </c>
      <c r="CF59">
        <f>Model!CN72</f>
        <v>0</v>
      </c>
      <c r="CG59">
        <f>Model!CO72</f>
        <v>0</v>
      </c>
      <c r="CH59">
        <f>Model!CP72</f>
        <v>0</v>
      </c>
      <c r="CI59">
        <f>Model!CQ72</f>
        <v>0</v>
      </c>
      <c r="CJ59">
        <f>Model!CR72</f>
        <v>0</v>
      </c>
      <c r="CK59">
        <f>Model!CS72</f>
        <v>0</v>
      </c>
      <c r="CL59">
        <f>Model!CT72</f>
        <v>0</v>
      </c>
      <c r="CM59">
        <f>Model!CU72</f>
        <v>0</v>
      </c>
      <c r="CN59">
        <f>Model!CV72</f>
        <v>0</v>
      </c>
      <c r="CO59">
        <f>Model!CW72</f>
        <v>0</v>
      </c>
      <c r="CP59">
        <f>Model!CX72</f>
        <v>0</v>
      </c>
      <c r="CQ59">
        <f>Model!CY72</f>
        <v>0</v>
      </c>
      <c r="CR59">
        <f>Model!CZ72</f>
        <v>0</v>
      </c>
      <c r="CS59">
        <f>Model!DA72</f>
        <v>0</v>
      </c>
      <c r="CT59">
        <f>Model!DB72</f>
        <v>0</v>
      </c>
      <c r="CU59">
        <f>Model!DC72</f>
        <v>0</v>
      </c>
      <c r="CV59">
        <f>Model!DD72</f>
        <v>0</v>
      </c>
      <c r="CW59">
        <f>Model!DE72</f>
        <v>0</v>
      </c>
      <c r="CX59">
        <f>Model!DF72</f>
        <v>0</v>
      </c>
      <c r="CY59">
        <f>Model!DG72</f>
        <v>0</v>
      </c>
      <c r="CZ59">
        <f>Model!DH72</f>
        <v>0</v>
      </c>
    </row>
    <row r="60" spans="1:104">
      <c r="A60" t="str">
        <f>Model!I73</f>
        <v>Operating Income (GAAP)</v>
      </c>
      <c r="B60">
        <f>Model!J73</f>
        <v>0</v>
      </c>
      <c r="C60">
        <f>Model!K73</f>
        <v>0</v>
      </c>
      <c r="D60">
        <f>Model!L73</f>
        <v>0</v>
      </c>
      <c r="E60">
        <f>Model!M73</f>
        <v>0</v>
      </c>
      <c r="F60">
        <f>Model!N73</f>
        <v>0</v>
      </c>
      <c r="G60">
        <f>Model!O73</f>
        <v>0</v>
      </c>
      <c r="H60">
        <f>Model!P73</f>
        <v>0</v>
      </c>
      <c r="I60">
        <f>Model!Q73</f>
        <v>0</v>
      </c>
      <c r="J60">
        <f>Model!R73</f>
        <v>0</v>
      </c>
      <c r="K60">
        <f>Model!S73</f>
        <v>0</v>
      </c>
      <c r="L60">
        <f>Model!T73</f>
        <v>0</v>
      </c>
      <c r="M60">
        <f>Model!U73</f>
        <v>0</v>
      </c>
      <c r="N60">
        <f>Model!V73</f>
        <v>0</v>
      </c>
      <c r="O60">
        <f>Model!W73</f>
        <v>0</v>
      </c>
      <c r="P60">
        <f>Model!X73</f>
        <v>0</v>
      </c>
      <c r="Q60">
        <f>Model!Y73</f>
        <v>0</v>
      </c>
      <c r="R60">
        <f>Model!Z73</f>
        <v>0</v>
      </c>
      <c r="S60">
        <f>Model!AA73</f>
        <v>0</v>
      </c>
      <c r="T60">
        <f>Model!AB73</f>
        <v>0</v>
      </c>
      <c r="U60">
        <f>Model!AC73</f>
        <v>0</v>
      </c>
      <c r="V60">
        <f>Model!AD73</f>
        <v>0</v>
      </c>
      <c r="W60">
        <f>Model!AE73</f>
        <v>0</v>
      </c>
      <c r="X60">
        <f>Model!AF73</f>
        <v>0</v>
      </c>
      <c r="Y60">
        <f>Model!AG73</f>
        <v>-1.0940000000000083</v>
      </c>
      <c r="Z60">
        <f>Model!AH73</f>
        <v>19.037000000000006</v>
      </c>
      <c r="AA60">
        <f>Model!AI73</f>
        <v>30.375</v>
      </c>
      <c r="AB60">
        <f>Model!AJ73</f>
        <v>12.575999999999965</v>
      </c>
      <c r="AC60">
        <f>Model!AK73</f>
        <v>7.2440000000000424</v>
      </c>
      <c r="AD60">
        <f>Model!AL73</f>
        <v>45.255999999999958</v>
      </c>
      <c r="AE60">
        <f>Model!AM73</f>
        <v>78.083999999999989</v>
      </c>
      <c r="AF60">
        <f>Model!AN73</f>
        <v>44.012000000000015</v>
      </c>
      <c r="AG60">
        <f>Model!AO73</f>
        <v>31.765000000000015</v>
      </c>
      <c r="AH60">
        <f>Model!AP73</f>
        <v>80.954000000000036</v>
      </c>
      <c r="AI60">
        <f>Model!AQ73</f>
        <v>127.92200000000003</v>
      </c>
      <c r="AJ60">
        <f>Model!AR73</f>
        <v>48.832999999999998</v>
      </c>
      <c r="AK60">
        <f>Model!AS73</f>
        <v>42.842000000000013</v>
      </c>
      <c r="AL60">
        <f>Model!AT73</f>
        <v>109.37499999999997</v>
      </c>
      <c r="AM60">
        <f>Model!AU73</f>
        <v>200.755</v>
      </c>
      <c r="AN60">
        <f>Model!AV73</f>
        <v>117.86200000000008</v>
      </c>
      <c r="AO60">
        <f>Model!AW73</f>
        <v>87.908999999999878</v>
      </c>
      <c r="AP60">
        <f>Model!AX73</f>
        <v>174.08799999999985</v>
      </c>
      <c r="AQ60">
        <f>Model!AY73</f>
        <v>338.78899999999987</v>
      </c>
      <c r="AR60">
        <f>Model!AZ73</f>
        <v>190.71200000000005</v>
      </c>
      <c r="AS60">
        <f>Model!BA73</f>
        <v>154.05900000000003</v>
      </c>
      <c r="AT60">
        <f>Model!BB73</f>
        <v>324.70800000000008</v>
      </c>
      <c r="AU60">
        <f>Model!BC73</f>
        <v>616.37800000000016</v>
      </c>
      <c r="AV60">
        <f>Model!BD73</f>
        <v>303.7770000000001</v>
      </c>
      <c r="AW60">
        <f>Model!BE73</f>
        <v>241.53100000000001</v>
      </c>
      <c r="AX60">
        <f>Model!BF73</f>
        <v>458.35500000000002</v>
      </c>
      <c r="AY60">
        <f>Model!BG73</f>
        <v>755.59199999999998</v>
      </c>
      <c r="AZ60">
        <f>Model!BH73</f>
        <v>374.31500000000017</v>
      </c>
      <c r="BA60">
        <f>Model!BI73</f>
        <v>309.83899999999994</v>
      </c>
      <c r="BB60">
        <f>Model!BJ73</f>
        <v>554.83100000000002</v>
      </c>
      <c r="BC60">
        <f>Model!BK73</f>
        <v>1046.8969999999995</v>
      </c>
      <c r="BD60">
        <f>Model!BL73</f>
        <v>500.84699999999998</v>
      </c>
      <c r="BE60">
        <f>Model!BM73</f>
        <v>438.72600000000011</v>
      </c>
      <c r="BF60">
        <f>Model!BN73</f>
        <v>733.01400000000012</v>
      </c>
      <c r="BG60">
        <f>Model!BO73</f>
        <v>1322.7050000000002</v>
      </c>
      <c r="BH60">
        <f>Model!BP73</f>
        <v>578.86699999999996</v>
      </c>
      <c r="BI60">
        <f>Model!BQ73</f>
        <v>433.96899999999982</v>
      </c>
      <c r="BJ60">
        <f>Model!BR73</f>
        <v>678.33100000000013</v>
      </c>
      <c r="BK60">
        <f>Model!BS73</f>
        <v>1488.7069999999999</v>
      </c>
      <c r="BL60">
        <f>Model!BT73</f>
        <v>657.89999999999964</v>
      </c>
      <c r="BM60">
        <f>Model!BU73</f>
        <v>550.31799999999953</v>
      </c>
      <c r="BN60">
        <f>Model!BV73</f>
        <v>732.40700000000015</v>
      </c>
      <c r="BO60">
        <f>Model!BW73</f>
        <v>833.22700000000032</v>
      </c>
      <c r="BP60">
        <f>Model!BX73</f>
        <v>790.36099999999965</v>
      </c>
      <c r="BQ60">
        <f>Model!BY73</f>
        <v>556.46199999999976</v>
      </c>
      <c r="BR60">
        <f>Model!BZ73</f>
        <v>893.25900000000047</v>
      </c>
      <c r="BS60">
        <f>Model!CA73</f>
        <v>2101.8010000000004</v>
      </c>
      <c r="BT60">
        <f>Model!CB73</f>
        <v>986.4699999999998</v>
      </c>
      <c r="BU60">
        <f>Model!CC73</f>
        <v>666.77208899676634</v>
      </c>
      <c r="BV60">
        <f>Model!CD73</f>
        <v>1108.0721703363274</v>
      </c>
      <c r="BW60">
        <f>Model!CE73</f>
        <v>2446.665080317031</v>
      </c>
      <c r="BX60">
        <f>Model!CF73</f>
        <v>1275.4825459972867</v>
      </c>
      <c r="BY60">
        <f>Model!CG73</f>
        <v>0</v>
      </c>
      <c r="BZ60">
        <f>Model!CH73</f>
        <v>0</v>
      </c>
      <c r="CA60">
        <f>Model!CI73</f>
        <v>0</v>
      </c>
      <c r="CB60">
        <f>Model!CJ73</f>
        <v>7.5499999999999829</v>
      </c>
      <c r="CC60">
        <f>Model!CK73</f>
        <v>33.356000000000023</v>
      </c>
      <c r="CD60">
        <f>Model!CL73</f>
        <v>39.567000000000007</v>
      </c>
      <c r="CE60">
        <f>Model!CM73</f>
        <v>60.894000000000176</v>
      </c>
      <c r="CF60">
        <f>Model!CN73</f>
        <v>174.59599999999978</v>
      </c>
      <c r="CG60">
        <f>Model!CO73</f>
        <v>289.47400000000005</v>
      </c>
      <c r="CH60">
        <f>Model!CP73</f>
        <v>470.83399999999972</v>
      </c>
      <c r="CI60">
        <f>Model!CQ73</f>
        <v>791.49799999999982</v>
      </c>
      <c r="CJ60">
        <f>Model!CR73</f>
        <v>1398.9220000000007</v>
      </c>
      <c r="CK60">
        <f>Model!CS73</f>
        <v>1829.793000000001</v>
      </c>
      <c r="CL60">
        <f>Model!CT73</f>
        <v>2412.4140000000002</v>
      </c>
      <c r="CM60">
        <f>Model!CU73</f>
        <v>3073.311999999999</v>
      </c>
      <c r="CN60">
        <f>Model!CV73</f>
        <v>3258.9069999999983</v>
      </c>
      <c r="CO60">
        <f>Model!CW73</f>
        <v>2906.3130000000001</v>
      </c>
      <c r="CP60">
        <f>Model!CX73</f>
        <v>4537.9919999999984</v>
      </c>
      <c r="CQ60">
        <f>Model!CY73</f>
        <v>5496.9918856474142</v>
      </c>
      <c r="CR60">
        <f>Model!CZ73</f>
        <v>6304.1484609800646</v>
      </c>
      <c r="CS60">
        <f>Model!DA73</f>
        <v>7109.6234158645311</v>
      </c>
      <c r="CT60">
        <f>Model!DB73</f>
        <v>7887.0170841366198</v>
      </c>
      <c r="CU60">
        <f>Model!DC73</f>
        <v>8648.2070488841837</v>
      </c>
      <c r="CV60">
        <f>Model!DD73</f>
        <v>9381.7727308571739</v>
      </c>
      <c r="CW60">
        <f>Model!DE73</f>
        <v>10077.684238639384</v>
      </c>
      <c r="CX60">
        <f>Model!DF73</f>
        <v>10866.347892720569</v>
      </c>
      <c r="CY60">
        <f>Model!DG73</f>
        <v>0.32716349988174054</v>
      </c>
      <c r="CZ60">
        <f>Model!DH73</f>
        <v>0.16883962454227364</v>
      </c>
    </row>
    <row r="61" spans="1:104">
      <c r="A61" t="str">
        <f>Model!I74</f>
        <v>Operating Margin % GP</v>
      </c>
      <c r="B61">
        <f>Model!J74</f>
        <v>0</v>
      </c>
      <c r="C61">
        <f>Model!K74</f>
        <v>0</v>
      </c>
      <c r="D61">
        <f>Model!L74</f>
        <v>0</v>
      </c>
      <c r="E61">
        <f>Model!M74</f>
        <v>0</v>
      </c>
      <c r="F61">
        <f>Model!N74</f>
        <v>0</v>
      </c>
      <c r="G61">
        <f>Model!O74</f>
        <v>0</v>
      </c>
      <c r="H61">
        <f>Model!P74</f>
        <v>0</v>
      </c>
      <c r="I61">
        <f>Model!Q74</f>
        <v>0</v>
      </c>
      <c r="J61">
        <f>Model!R74</f>
        <v>0</v>
      </c>
      <c r="K61">
        <f>Model!S74</f>
        <v>0</v>
      </c>
      <c r="L61">
        <f>Model!T74</f>
        <v>0</v>
      </c>
      <c r="M61">
        <f>Model!U74</f>
        <v>0</v>
      </c>
      <c r="N61">
        <f>Model!V74</f>
        <v>0</v>
      </c>
      <c r="O61">
        <f>Model!W74</f>
        <v>0</v>
      </c>
      <c r="P61">
        <f>Model!X74</f>
        <v>0</v>
      </c>
      <c r="Q61">
        <f>Model!Y74</f>
        <v>0</v>
      </c>
      <c r="R61">
        <f>Model!Z74</f>
        <v>0</v>
      </c>
      <c r="S61">
        <f>Model!AA74</f>
        <v>0</v>
      </c>
      <c r="T61">
        <f>Model!AB74</f>
        <v>0</v>
      </c>
      <c r="U61">
        <f>Model!AC74</f>
        <v>0</v>
      </c>
      <c r="V61">
        <f>Model!AD74</f>
        <v>0</v>
      </c>
      <c r="W61">
        <f>Model!AE74</f>
        <v>0</v>
      </c>
      <c r="X61">
        <f>Model!AF74</f>
        <v>0</v>
      </c>
      <c r="Y61">
        <f>Model!AG74</f>
        <v>-1.5145851504201913E-2</v>
      </c>
      <c r="Z61">
        <f>Model!AH74</f>
        <v>0.17992703489471104</v>
      </c>
      <c r="AA61">
        <f>Model!AI74</f>
        <v>0.24832406801831258</v>
      </c>
      <c r="AB61">
        <f>Model!AJ74</f>
        <v>0.12637036888169828</v>
      </c>
      <c r="AC61">
        <f>Model!AK74</f>
        <v>6.9761842852878397E-2</v>
      </c>
      <c r="AD61">
        <f>Model!AL74</f>
        <v>0.29217588916219567</v>
      </c>
      <c r="AE61">
        <f>Model!AM74</f>
        <v>0.38592207817882573</v>
      </c>
      <c r="AF61">
        <f>Model!AN74</f>
        <v>0.27481392676956895</v>
      </c>
      <c r="AG61">
        <f>Model!AO74</f>
        <v>0.17539742577428322</v>
      </c>
      <c r="AH61">
        <f>Model!AP74</f>
        <v>0.31906197654941387</v>
      </c>
      <c r="AI61">
        <f>Model!AQ74</f>
        <v>0.40471655730547529</v>
      </c>
      <c r="AJ61">
        <f>Model!AR74</f>
        <v>0.23813425011581693</v>
      </c>
      <c r="AK61">
        <f>Model!AS74</f>
        <v>0.20564489031824518</v>
      </c>
      <c r="AL61">
        <f>Model!AT74</f>
        <v>0.35832694487580175</v>
      </c>
      <c r="AM61">
        <f>Model!AU74</f>
        <v>0.46256272954751781</v>
      </c>
      <c r="AN61">
        <f>Model!AV74</f>
        <v>0.37632867054717772</v>
      </c>
      <c r="AO61">
        <f>Model!AW74</f>
        <v>0.27547662918813193</v>
      </c>
      <c r="AP61">
        <f>Model!AX74</f>
        <v>0.39017087121008348</v>
      </c>
      <c r="AQ61">
        <f>Model!AY74</f>
        <v>0.50701128989775635</v>
      </c>
      <c r="AR61">
        <f>Model!AZ74</f>
        <v>0.39717930882236563</v>
      </c>
      <c r="AS61">
        <f>Model!BA74</f>
        <v>0.30457999873469777</v>
      </c>
      <c r="AT61">
        <f>Model!BB74</f>
        <v>0.43339068132888969</v>
      </c>
      <c r="AU61">
        <f>Model!BC74</f>
        <v>0.56026825481662479</v>
      </c>
      <c r="AV61">
        <f>Model!BD74</f>
        <v>0.41917794609333292</v>
      </c>
      <c r="AW61">
        <f>Model!BE74</f>
        <v>0.32494941395529053</v>
      </c>
      <c r="AX61">
        <f>Model!BF74</f>
        <v>0.45646432476681587</v>
      </c>
      <c r="AY61">
        <f>Model!BG74</f>
        <v>0.54106083704916785</v>
      </c>
      <c r="AZ61">
        <f>Model!BH74</f>
        <v>0.39831338121840926</v>
      </c>
      <c r="BA61">
        <f>Model!BI74</f>
        <v>0.30687307176142575</v>
      </c>
      <c r="BB61">
        <f>Model!BJ74</f>
        <v>0.40093145596901408</v>
      </c>
      <c r="BC61">
        <f>Model!BK74</f>
        <v>0.52632618843526957</v>
      </c>
      <c r="BD61">
        <f>Model!BL74</f>
        <v>0.37564435937571489</v>
      </c>
      <c r="BE61">
        <f>Model!BM74</f>
        <v>0.31193391118622427</v>
      </c>
      <c r="BF61">
        <f>Model!BN74</f>
        <v>0.38928069948103988</v>
      </c>
      <c r="BG61">
        <f>Model!BO74</f>
        <v>0.50485347586888141</v>
      </c>
      <c r="BH61">
        <f>Model!BP74</f>
        <v>0.34565724300390821</v>
      </c>
      <c r="BI61">
        <f>Model!BQ74</f>
        <v>0.25951420732480335</v>
      </c>
      <c r="BJ61">
        <f>Model!BR74</f>
        <v>0.32410963511978091</v>
      </c>
      <c r="BK61">
        <f>Model!BS74</f>
        <v>0.50511182845754155</v>
      </c>
      <c r="BL61">
        <f>Model!BT74</f>
        <v>0.35006169577994461</v>
      </c>
      <c r="BM61">
        <f>Model!BU74</f>
        <v>0.27250885141994091</v>
      </c>
      <c r="BN61">
        <f>Model!BV74</f>
        <v>0.30142463344991277</v>
      </c>
      <c r="BO61">
        <f>Model!BW74</f>
        <v>0.23215725107082275</v>
      </c>
      <c r="BP61">
        <f>Model!BX74</f>
        <v>0.34720371680941631</v>
      </c>
      <c r="BQ61">
        <f>Model!BY74</f>
        <v>0.23839159296300488</v>
      </c>
      <c r="BR61">
        <f>Model!BZ74</f>
        <v>0.30261357931089172</v>
      </c>
      <c r="BS61">
        <f>Model!CA74</f>
        <v>0.48046074650370002</v>
      </c>
      <c r="BT61">
        <f>Model!CB74</f>
        <v>0.35613368217324326</v>
      </c>
      <c r="BU61">
        <f>Model!CC74</f>
        <v>0.22799790844295753</v>
      </c>
      <c r="BV61">
        <f>Model!CD74</f>
        <v>0.30087798530747106</v>
      </c>
      <c r="BW61">
        <f>Model!CE74</f>
        <v>0.47478667253832746</v>
      </c>
      <c r="BX61">
        <f>Model!CF74</f>
        <v>0.36325592505501336</v>
      </c>
      <c r="BY61">
        <f>Model!CG74</f>
        <v>0</v>
      </c>
      <c r="BZ61">
        <f>Model!CH74</f>
        <v>0</v>
      </c>
      <c r="CA61">
        <f>Model!CI74</f>
        <v>0</v>
      </c>
      <c r="CB61">
        <f>Model!CJ74</f>
        <v>8.7418558902161644E-3</v>
      </c>
      <c r="CC61">
        <f>Model!CK74</f>
        <v>3.647976202193863E-2</v>
      </c>
      <c r="CD61">
        <f>Model!CL74</f>
        <v>4.1101781627762277E-2</v>
      </c>
      <c r="CE61">
        <f>Model!CM74</f>
        <v>5.4296778519540442E-2</v>
      </c>
      <c r="CF61">
        <f>Model!CN74</f>
        <v>0.12549911480125603</v>
      </c>
      <c r="CG61">
        <f>Model!CO74</f>
        <v>0.15358291516474376</v>
      </c>
      <c r="CH61">
        <f>Model!CP74</f>
        <v>0.20136497460452676</v>
      </c>
      <c r="CI61">
        <f>Model!CQ74</f>
        <v>0.25618071936634029</v>
      </c>
      <c r="CJ61">
        <f>Model!CR74</f>
        <v>0.32117705671536262</v>
      </c>
      <c r="CK61">
        <f>Model!CS74</f>
        <v>0.34780617819270881</v>
      </c>
      <c r="CL61">
        <f>Model!CT74</f>
        <v>0.35511634541414738</v>
      </c>
      <c r="CM61">
        <f>Model!CU74</f>
        <v>0.36405147565657348</v>
      </c>
      <c r="CN61">
        <f>Model!CV74</f>
        <v>0.35330784833066198</v>
      </c>
      <c r="CO61">
        <f>Model!CW74</f>
        <v>0.27053070621016129</v>
      </c>
      <c r="CP61">
        <f>Model!CX74</f>
        <v>0.35785526818610575</v>
      </c>
      <c r="CQ61">
        <f>Model!CY74</f>
        <v>0.35994629188611094</v>
      </c>
      <c r="CR61">
        <f>Model!CZ74</f>
        <v>0.36356759431439456</v>
      </c>
      <c r="CS61">
        <f>Model!DA74</f>
        <v>0.36679633131603728</v>
      </c>
      <c r="CT61">
        <f>Model!DB74</f>
        <v>0.36957003306460284</v>
      </c>
      <c r="CU61">
        <f>Model!DC74</f>
        <v>0.37194902535374769</v>
      </c>
      <c r="CV61">
        <f>Model!DD74</f>
        <v>0.37328926340637109</v>
      </c>
      <c r="CW61">
        <f>Model!DE74</f>
        <v>0.37366959352566598</v>
      </c>
      <c r="CX61">
        <f>Model!DF74</f>
        <v>0.37536530858688116</v>
      </c>
      <c r="CY61">
        <f>Model!DG74</f>
        <v>0</v>
      </c>
      <c r="CZ61">
        <f>Model!DH74</f>
        <v>0</v>
      </c>
    </row>
    <row r="62" spans="1:104">
      <c r="A62">
        <f>Model!I76</f>
        <v>0</v>
      </c>
      <c r="B62">
        <f>Model!J76</f>
        <v>0</v>
      </c>
      <c r="C62">
        <f>Model!K76</f>
        <v>0</v>
      </c>
      <c r="D62">
        <f>Model!L76</f>
        <v>0</v>
      </c>
      <c r="E62">
        <f>Model!M76</f>
        <v>0</v>
      </c>
      <c r="F62">
        <f>Model!N76</f>
        <v>0</v>
      </c>
      <c r="G62">
        <f>Model!O76</f>
        <v>0</v>
      </c>
      <c r="H62">
        <f>Model!P76</f>
        <v>0</v>
      </c>
      <c r="I62">
        <f>Model!Q76</f>
        <v>0</v>
      </c>
      <c r="J62">
        <f>Model!R76</f>
        <v>0</v>
      </c>
      <c r="K62">
        <f>Model!S76</f>
        <v>0</v>
      </c>
      <c r="L62">
        <f>Model!T76</f>
        <v>0</v>
      </c>
      <c r="M62">
        <f>Model!U76</f>
        <v>0</v>
      </c>
      <c r="N62">
        <f>Model!V76</f>
        <v>0</v>
      </c>
      <c r="O62">
        <f>Model!W76</f>
        <v>0</v>
      </c>
      <c r="P62">
        <f>Model!X76</f>
        <v>0</v>
      </c>
      <c r="Q62">
        <f>Model!Y76</f>
        <v>0</v>
      </c>
      <c r="R62">
        <f>Model!Z76</f>
        <v>0</v>
      </c>
      <c r="S62">
        <f>Model!AA76</f>
        <v>0</v>
      </c>
      <c r="T62">
        <f>Model!AB76</f>
        <v>0</v>
      </c>
      <c r="U62">
        <f>Model!AC76</f>
        <v>0</v>
      </c>
      <c r="V62">
        <f>Model!AD76</f>
        <v>0</v>
      </c>
      <c r="W62">
        <f>Model!AE76</f>
        <v>0</v>
      </c>
      <c r="X62">
        <f>Model!AF76</f>
        <v>0</v>
      </c>
      <c r="Y62">
        <f>Model!AG76</f>
        <v>0</v>
      </c>
      <c r="Z62">
        <f>Model!AH76</f>
        <v>0</v>
      </c>
      <c r="AA62">
        <f>Model!AI76</f>
        <v>0</v>
      </c>
      <c r="AB62">
        <f>Model!AJ76</f>
        <v>0</v>
      </c>
      <c r="AC62">
        <f>Model!AK76</f>
        <v>0</v>
      </c>
      <c r="AD62">
        <f>Model!AL76</f>
        <v>0</v>
      </c>
      <c r="AE62">
        <f>Model!AM76</f>
        <v>0</v>
      </c>
      <c r="AF62">
        <f>Model!AN76</f>
        <v>0</v>
      </c>
      <c r="AG62">
        <f>Model!AO76</f>
        <v>0</v>
      </c>
      <c r="AH62">
        <f>Model!AP76</f>
        <v>0</v>
      </c>
      <c r="AI62">
        <f>Model!AQ76</f>
        <v>0</v>
      </c>
      <c r="AJ62">
        <f>Model!AR76</f>
        <v>0</v>
      </c>
      <c r="AK62">
        <f>Model!AS76</f>
        <v>0</v>
      </c>
      <c r="AL62">
        <f>Model!AT76</f>
        <v>0</v>
      </c>
      <c r="AM62">
        <f>Model!AU76</f>
        <v>0</v>
      </c>
      <c r="AN62">
        <f>Model!AV76</f>
        <v>0</v>
      </c>
      <c r="AO62">
        <f>Model!AW76</f>
        <v>0</v>
      </c>
      <c r="AP62">
        <f>Model!AX76</f>
        <v>0</v>
      </c>
      <c r="AQ62">
        <f>Model!AY76</f>
        <v>0</v>
      </c>
      <c r="AR62">
        <f>Model!AZ76</f>
        <v>0</v>
      </c>
      <c r="AS62">
        <f>Model!BA76</f>
        <v>0</v>
      </c>
      <c r="AT62">
        <f>Model!BB76</f>
        <v>0</v>
      </c>
      <c r="AU62">
        <f>Model!BC76</f>
        <v>0</v>
      </c>
      <c r="AV62">
        <f>Model!BD76</f>
        <v>0</v>
      </c>
      <c r="AW62">
        <f>Model!BE76</f>
        <v>0</v>
      </c>
      <c r="AX62">
        <f>Model!BF76</f>
        <v>0</v>
      </c>
      <c r="AY62">
        <f>Model!BG76</f>
        <v>0</v>
      </c>
      <c r="AZ62">
        <f>Model!BH76</f>
        <v>0</v>
      </c>
      <c r="BA62">
        <f>Model!BI76</f>
        <v>0</v>
      </c>
      <c r="BB62">
        <f>Model!BJ76</f>
        <v>0</v>
      </c>
      <c r="BC62">
        <f>Model!BK76</f>
        <v>0</v>
      </c>
      <c r="BD62">
        <f>Model!BL76</f>
        <v>0</v>
      </c>
      <c r="BE62">
        <f>Model!BM76</f>
        <v>0</v>
      </c>
      <c r="BF62">
        <f>Model!BN76</f>
        <v>0</v>
      </c>
      <c r="BG62">
        <f>Model!BO76</f>
        <v>0</v>
      </c>
      <c r="BH62">
        <f>Model!BP76</f>
        <v>0</v>
      </c>
      <c r="BI62">
        <f>Model!BQ76</f>
        <v>0</v>
      </c>
      <c r="BJ62">
        <f>Model!BR76</f>
        <v>0</v>
      </c>
      <c r="BK62">
        <f>Model!BS76</f>
        <v>0</v>
      </c>
      <c r="BL62">
        <f>Model!BT76</f>
        <v>0</v>
      </c>
      <c r="BM62">
        <f>Model!BU76</f>
        <v>0</v>
      </c>
      <c r="BN62">
        <f>Model!BV76</f>
        <v>0</v>
      </c>
      <c r="BO62">
        <f>Model!BW76</f>
        <v>0</v>
      </c>
      <c r="BP62">
        <f>Model!BX76</f>
        <v>0</v>
      </c>
      <c r="BQ62">
        <f>Model!BY76</f>
        <v>0</v>
      </c>
      <c r="BR62">
        <f>Model!BZ76</f>
        <v>0</v>
      </c>
      <c r="BS62">
        <f>Model!CA76</f>
        <v>0</v>
      </c>
      <c r="BT62">
        <f>Model!CB76</f>
        <v>0</v>
      </c>
      <c r="BU62">
        <f>Model!CC76</f>
        <v>0</v>
      </c>
      <c r="BV62">
        <f>Model!CD76</f>
        <v>0</v>
      </c>
      <c r="BW62">
        <f>Model!CE76</f>
        <v>0</v>
      </c>
      <c r="BX62">
        <f>Model!CF76</f>
        <v>0</v>
      </c>
      <c r="BY62">
        <f>Model!CG76</f>
        <v>0</v>
      </c>
      <c r="BZ62">
        <f>Model!CH76</f>
        <v>0</v>
      </c>
      <c r="CA62">
        <f>Model!CI76</f>
        <v>0</v>
      </c>
      <c r="CB62">
        <f>Model!CJ76</f>
        <v>0</v>
      </c>
      <c r="CC62">
        <f>Model!CK76</f>
        <v>0</v>
      </c>
      <c r="CD62">
        <f>Model!CL76</f>
        <v>0</v>
      </c>
      <c r="CE62">
        <f>Model!CM76</f>
        <v>0</v>
      </c>
      <c r="CF62">
        <f>Model!CN76</f>
        <v>0</v>
      </c>
      <c r="CG62">
        <f>Model!CO76</f>
        <v>0</v>
      </c>
      <c r="CH62">
        <f>Model!CP76</f>
        <v>0</v>
      </c>
      <c r="CI62">
        <f>Model!CQ76</f>
        <v>0</v>
      </c>
      <c r="CJ62">
        <f>Model!CR76</f>
        <v>0</v>
      </c>
      <c r="CK62">
        <f>Model!CS76</f>
        <v>0</v>
      </c>
      <c r="CL62">
        <f>Model!CT76</f>
        <v>0</v>
      </c>
      <c r="CM62">
        <f>Model!CU76</f>
        <v>0</v>
      </c>
      <c r="CN62">
        <f>Model!CV76</f>
        <v>0</v>
      </c>
      <c r="CO62">
        <f>Model!CW76</f>
        <v>0</v>
      </c>
      <c r="CP62">
        <f>Model!CX76</f>
        <v>0</v>
      </c>
      <c r="CQ62">
        <f>Model!CY76</f>
        <v>0</v>
      </c>
      <c r="CR62">
        <f>Model!CZ76</f>
        <v>0</v>
      </c>
      <c r="CS62">
        <f>Model!DA76</f>
        <v>0</v>
      </c>
      <c r="CT62">
        <f>Model!DB76</f>
        <v>0</v>
      </c>
      <c r="CU62">
        <f>Model!DC76</f>
        <v>0</v>
      </c>
      <c r="CV62">
        <f>Model!DD76</f>
        <v>0</v>
      </c>
      <c r="CW62">
        <f>Model!DE76</f>
        <v>0</v>
      </c>
      <c r="CX62">
        <f>Model!DF76</f>
        <v>0</v>
      </c>
      <c r="CY62">
        <f>Model!DG76</f>
        <v>0</v>
      </c>
      <c r="CZ62">
        <f>Model!DH76</f>
        <v>0</v>
      </c>
    </row>
    <row r="63" spans="1:104">
      <c r="A63" t="str">
        <f>Model!I77</f>
        <v>Adjusted Operating Expenses (Exclude SBC and Aquis Amort)</v>
      </c>
      <c r="B63">
        <f>Model!J77</f>
        <v>0</v>
      </c>
      <c r="C63">
        <f>Model!K77</f>
        <v>0</v>
      </c>
      <c r="D63">
        <f>Model!L77</f>
        <v>0</v>
      </c>
      <c r="E63">
        <f>Model!M77</f>
        <v>0</v>
      </c>
      <c r="F63">
        <f>Model!N77</f>
        <v>0</v>
      </c>
      <c r="G63">
        <f>Model!O77</f>
        <v>0</v>
      </c>
      <c r="H63">
        <f>Model!P77</f>
        <v>0</v>
      </c>
      <c r="I63">
        <f>Model!Q77</f>
        <v>0</v>
      </c>
      <c r="J63">
        <f>Model!R77</f>
        <v>0</v>
      </c>
      <c r="K63">
        <f>Model!S77</f>
        <v>0</v>
      </c>
      <c r="L63">
        <f>Model!T77</f>
        <v>0</v>
      </c>
      <c r="M63">
        <f>Model!U77</f>
        <v>0</v>
      </c>
      <c r="N63">
        <f>Model!V77</f>
        <v>0</v>
      </c>
      <c r="O63">
        <f>Model!W77</f>
        <v>0</v>
      </c>
      <c r="P63">
        <f>Model!X77</f>
        <v>0</v>
      </c>
      <c r="Q63">
        <f>Model!Y77</f>
        <v>0</v>
      </c>
      <c r="R63">
        <f>Model!Z77</f>
        <v>0</v>
      </c>
      <c r="S63">
        <f>Model!AA77</f>
        <v>0</v>
      </c>
      <c r="T63">
        <f>Model!AB77</f>
        <v>0</v>
      </c>
      <c r="U63">
        <f>Model!AC77</f>
        <v>0</v>
      </c>
      <c r="V63">
        <f>Model!AD77</f>
        <v>0</v>
      </c>
      <c r="W63">
        <f>Model!AE77</f>
        <v>0</v>
      </c>
      <c r="X63">
        <f>Model!AF77</f>
        <v>0</v>
      </c>
      <c r="Y63">
        <f>Model!AG77</f>
        <v>64.319999999999993</v>
      </c>
      <c r="Z63">
        <f>Model!AH77</f>
        <v>76.805999999999997</v>
      </c>
      <c r="AA63">
        <f>Model!AI77</f>
        <v>84.04000000000002</v>
      </c>
      <c r="AB63">
        <f>Model!AJ77</f>
        <v>75.874000000000009</v>
      </c>
      <c r="AC63">
        <f>Model!AK77</f>
        <v>87.077999999999989</v>
      </c>
      <c r="AD63">
        <f>Model!AL77</f>
        <v>99.402000000000001</v>
      </c>
      <c r="AE63">
        <f>Model!AM77</f>
        <v>114.044</v>
      </c>
      <c r="AF63">
        <f>Model!AN77</f>
        <v>104.42200000000001</v>
      </c>
      <c r="AG63">
        <f>Model!AO77</f>
        <v>131.89400000000001</v>
      </c>
      <c r="AH63">
        <f>Model!AP77</f>
        <v>156.05199999999999</v>
      </c>
      <c r="AI63">
        <f>Model!AQ77</f>
        <v>170.71299999999999</v>
      </c>
      <c r="AJ63">
        <f>Model!AR77</f>
        <v>137.91500000000002</v>
      </c>
      <c r="AK63">
        <f>Model!AS77</f>
        <v>148.98999999999998</v>
      </c>
      <c r="AL63">
        <f>Model!AT77</f>
        <v>178.38900000000001</v>
      </c>
      <c r="AM63">
        <f>Model!AU77</f>
        <v>212.27399999999997</v>
      </c>
      <c r="AN63">
        <f>Model!AV77</f>
        <v>182.31700000000001</v>
      </c>
      <c r="AO63">
        <f>Model!AW77</f>
        <v>213.501</v>
      </c>
      <c r="AP63">
        <f>Model!AX77</f>
        <v>249.78600000000003</v>
      </c>
      <c r="AQ63">
        <f>Model!AY77</f>
        <v>302.40500000000003</v>
      </c>
      <c r="AR63">
        <f>Model!AZ77</f>
        <v>259.80099999999999</v>
      </c>
      <c r="AS63">
        <f>Model!BA77</f>
        <v>329.52900000000005</v>
      </c>
      <c r="AT63">
        <f>Model!BB77</f>
        <v>402.94499999999999</v>
      </c>
      <c r="AU63">
        <f>Model!BC77</f>
        <v>462.262</v>
      </c>
      <c r="AV63">
        <f>Model!BD77</f>
        <v>387.88799999999992</v>
      </c>
      <c r="AW63">
        <f>Model!BE77</f>
        <v>477.077</v>
      </c>
      <c r="AX63">
        <f>Model!BF77</f>
        <v>519.97700000000009</v>
      </c>
      <c r="AY63">
        <f>Model!BG77</f>
        <v>615.51800000000003</v>
      </c>
      <c r="AZ63">
        <f>Model!BH77</f>
        <v>521.303</v>
      </c>
      <c r="BA63">
        <f>Model!BI77</f>
        <v>648.2890000000001</v>
      </c>
      <c r="BB63">
        <f>Model!BJ77</f>
        <v>773.08400000000006</v>
      </c>
      <c r="BC63">
        <f>Model!BK77</f>
        <v>884.76700000000017</v>
      </c>
      <c r="BD63">
        <f>Model!BL77</f>
        <v>766.51300000000003</v>
      </c>
      <c r="BE63">
        <f>Model!BM77</f>
        <v>906.11800000000017</v>
      </c>
      <c r="BF63">
        <f>Model!BN77</f>
        <v>1091.8639999999998</v>
      </c>
      <c r="BG63">
        <f>Model!BO77</f>
        <v>1215.3529999999998</v>
      </c>
      <c r="BH63">
        <f>Model!BP77</f>
        <v>981.47900000000004</v>
      </c>
      <c r="BI63">
        <f>Model!BQ77</f>
        <v>1140.931</v>
      </c>
      <c r="BJ63">
        <f>Model!BR77</f>
        <v>1311.7579999999998</v>
      </c>
      <c r="BK63">
        <f>Model!BS77</f>
        <v>1358.0719999999999</v>
      </c>
      <c r="BL63">
        <f>Model!BT77</f>
        <v>1103.7670000000001</v>
      </c>
      <c r="BM63">
        <f>Model!BU77</f>
        <v>1360.7470000000001</v>
      </c>
      <c r="BN63">
        <f>Model!BV77</f>
        <v>1599.394</v>
      </c>
      <c r="BO63">
        <f>Model!BW77</f>
        <v>2659.8129999999996</v>
      </c>
      <c r="BP63">
        <f>Model!BX77</f>
        <v>1369.7750000000001</v>
      </c>
      <c r="BQ63">
        <f>Model!BY77</f>
        <v>1675.8070000000002</v>
      </c>
      <c r="BR63">
        <f>Model!BZ77</f>
        <v>1950.5149999999994</v>
      </c>
      <c r="BS63">
        <f>Model!CA77</f>
        <v>2161.0339999999997</v>
      </c>
      <c r="BT63">
        <f>Model!CB77</f>
        <v>1668.7439999999999</v>
      </c>
      <c r="BU63">
        <f>Model!CC77</f>
        <v>2024.0288341505466</v>
      </c>
      <c r="BV63">
        <f>Model!CD77</f>
        <v>2340.7242445497895</v>
      </c>
      <c r="BW63">
        <f>Model!CE77</f>
        <v>2440.7141979433841</v>
      </c>
      <c r="BX63">
        <f>Model!CF77</f>
        <v>1982.0860269626448</v>
      </c>
      <c r="BY63">
        <f>Model!CG77</f>
        <v>0</v>
      </c>
      <c r="BZ63">
        <f>Model!CH77</f>
        <v>0</v>
      </c>
      <c r="CA63">
        <f>Model!CI77</f>
        <v>0</v>
      </c>
      <c r="CB63">
        <f>Model!CJ77</f>
        <v>137.684</v>
      </c>
      <c r="CC63">
        <f>Model!CK77</f>
        <v>166.71599999999998</v>
      </c>
      <c r="CD63">
        <f>Model!CL77</f>
        <v>225.68499999999997</v>
      </c>
      <c r="CE63">
        <f>Model!CM77</f>
        <v>301.04000000000002</v>
      </c>
      <c r="CF63">
        <f>Model!CN77</f>
        <v>404.94600000000003</v>
      </c>
      <c r="CG63">
        <f>Model!CO77</f>
        <v>596.57400000000007</v>
      </c>
      <c r="CH63">
        <f>Model!CP77</f>
        <v>721.97</v>
      </c>
      <c r="CI63">
        <f>Model!CQ77</f>
        <v>1025.4929999999999</v>
      </c>
      <c r="CJ63">
        <f>Model!CR77</f>
        <v>1582.624</v>
      </c>
      <c r="CK63">
        <f>Model!CS77</f>
        <v>2133.875</v>
      </c>
      <c r="CL63">
        <f>Model!CT77</f>
        <v>3072.6530000000002</v>
      </c>
      <c r="CM63">
        <f>Model!CU77</f>
        <v>4194.8140000000003</v>
      </c>
      <c r="CN63">
        <f>Model!CV77</f>
        <v>4914.5279999999993</v>
      </c>
      <c r="CO63" s="1548">
        <f>Model!CW77</f>
        <v>6989.7289999999994</v>
      </c>
      <c r="CP63" s="1548">
        <f>Model!CX77</f>
        <v>7456.0999999999995</v>
      </c>
      <c r="CQ63">
        <f>Model!CY77</f>
        <v>8787.5533036063644</v>
      </c>
      <c r="CR63">
        <f>Model!CZ77</f>
        <v>10008.262713872942</v>
      </c>
      <c r="CS63">
        <f>Model!DA77</f>
        <v>11215.466383112014</v>
      </c>
      <c r="CT63">
        <f>Model!DB77</f>
        <v>12374.144277184112</v>
      </c>
      <c r="CU63">
        <f>Model!DC77</f>
        <v>13501.760281723788</v>
      </c>
      <c r="CV63">
        <f>Model!DD77</f>
        <v>14629.728242075185</v>
      </c>
      <c r="CW63">
        <f>Model!DE77</f>
        <v>15751.82327268685</v>
      </c>
      <c r="CX63">
        <f>Model!DF77</f>
        <v>16925.221418244739</v>
      </c>
      <c r="CY63">
        <f>Model!DG77</f>
        <v>0.36807473529697043</v>
      </c>
      <c r="CZ63">
        <f>Model!DH77</f>
        <v>0.17941624361208786</v>
      </c>
    </row>
    <row r="69" spans="1:99">
      <c r="A69">
        <f>Model!I78</f>
        <v>0</v>
      </c>
      <c r="B69">
        <f>Model!J78</f>
        <v>0</v>
      </c>
      <c r="C69">
        <f>Model!K78</f>
        <v>0</v>
      </c>
      <c r="D69">
        <f>Model!L78</f>
        <v>0</v>
      </c>
      <c r="E69">
        <f>Model!M78</f>
        <v>0</v>
      </c>
      <c r="F69">
        <f>Model!N78</f>
        <v>0</v>
      </c>
      <c r="G69">
        <f>Model!O78</f>
        <v>0</v>
      </c>
      <c r="H69">
        <f>Model!P78</f>
        <v>0</v>
      </c>
      <c r="I69">
        <f>Model!Q78</f>
        <v>0</v>
      </c>
      <c r="J69">
        <f>Model!R78</f>
        <v>0</v>
      </c>
      <c r="K69">
        <f>Model!S78</f>
        <v>0</v>
      </c>
      <c r="L69">
        <f>Model!T78</f>
        <v>0</v>
      </c>
      <c r="M69">
        <f>Model!U78</f>
        <v>0</v>
      </c>
      <c r="N69">
        <f>Model!V78</f>
        <v>0</v>
      </c>
      <c r="O69">
        <f>Model!W78</f>
        <v>0</v>
      </c>
      <c r="P69">
        <f>Model!X78</f>
        <v>0</v>
      </c>
      <c r="Q69">
        <f>Model!Y78</f>
        <v>0</v>
      </c>
      <c r="R69">
        <f>Model!Z78</f>
        <v>0</v>
      </c>
      <c r="S69">
        <f>Model!AA78</f>
        <v>0</v>
      </c>
      <c r="T69">
        <f>Model!AB78</f>
        <v>0</v>
      </c>
      <c r="U69">
        <f>Model!AC78</f>
        <v>0</v>
      </c>
      <c r="V69">
        <f>Model!AD78</f>
        <v>0</v>
      </c>
      <c r="W69">
        <f>Model!AE78</f>
        <v>0</v>
      </c>
      <c r="X69">
        <f>Model!AF78</f>
        <v>0</v>
      </c>
      <c r="Y69">
        <f>Model!AG78</f>
        <v>0</v>
      </c>
      <c r="Z69">
        <f>Model!AH78</f>
        <v>0</v>
      </c>
      <c r="AA69">
        <f>Model!AI78</f>
        <v>0</v>
      </c>
      <c r="AB69">
        <f>Model!AJ78</f>
        <v>0</v>
      </c>
      <c r="AC69">
        <f>Model!AK78</f>
        <v>0</v>
      </c>
      <c r="AD69">
        <f>Model!AL78</f>
        <v>0</v>
      </c>
      <c r="AE69">
        <f>Model!AM78</f>
        <v>0</v>
      </c>
      <c r="AF69">
        <f>Model!AN78</f>
        <v>0</v>
      </c>
      <c r="AG69">
        <f>Model!AO78</f>
        <v>0</v>
      </c>
      <c r="AH69">
        <f>Model!AP78</f>
        <v>0</v>
      </c>
      <c r="AI69">
        <f>Model!AQ78</f>
        <v>0</v>
      </c>
      <c r="AJ69">
        <f>Model!AR78</f>
        <v>0</v>
      </c>
      <c r="AK69">
        <f>Model!AS78</f>
        <v>0</v>
      </c>
      <c r="AL69">
        <f>Model!AT78</f>
        <v>0</v>
      </c>
      <c r="AM69">
        <f>Model!AU78</f>
        <v>0</v>
      </c>
      <c r="AN69">
        <f>Model!AV78</f>
        <v>0</v>
      </c>
      <c r="AO69">
        <f>Model!AW78</f>
        <v>0</v>
      </c>
      <c r="AP69">
        <f>Model!AX78</f>
        <v>0</v>
      </c>
      <c r="AQ69">
        <f>Model!AY78</f>
        <v>0</v>
      </c>
      <c r="AR69">
        <f>Model!AZ78</f>
        <v>0</v>
      </c>
      <c r="AS69">
        <f>Model!BA78</f>
        <v>0</v>
      </c>
      <c r="AT69">
        <f>Model!BB78</f>
        <v>0</v>
      </c>
      <c r="AU69">
        <f>Model!BC78</f>
        <v>0</v>
      </c>
      <c r="AV69">
        <f>Model!BD78</f>
        <v>0</v>
      </c>
      <c r="AW69">
        <f>Model!BE78</f>
        <v>0</v>
      </c>
      <c r="AX69">
        <f>Model!BF78</f>
        <v>0</v>
      </c>
      <c r="AY69">
        <f>Model!BG78</f>
        <v>0</v>
      </c>
      <c r="AZ69">
        <f>Model!BH78</f>
        <v>0</v>
      </c>
      <c r="BA69">
        <f>Model!BI78</f>
        <v>0</v>
      </c>
      <c r="BB69">
        <f>Model!BJ78</f>
        <v>0</v>
      </c>
      <c r="BC69">
        <f>Model!BK78</f>
        <v>0</v>
      </c>
      <c r="BD69">
        <f>Model!BL78</f>
        <v>0</v>
      </c>
      <c r="BE69">
        <f>Model!BM78</f>
        <v>0</v>
      </c>
      <c r="BF69">
        <f>Model!BN78</f>
        <v>0</v>
      </c>
      <c r="BG69">
        <f>Model!BO78</f>
        <v>0</v>
      </c>
      <c r="BH69">
        <f>Model!BP78</f>
        <v>0</v>
      </c>
      <c r="BI69">
        <f>Model!BQ78</f>
        <v>0</v>
      </c>
      <c r="BJ69">
        <f>Model!BR78</f>
        <v>0</v>
      </c>
      <c r="BK69">
        <f>Model!BS78</f>
        <v>0</v>
      </c>
      <c r="BL69">
        <f>Model!BT78</f>
        <v>0</v>
      </c>
      <c r="BM69">
        <f>Model!BU78</f>
        <v>0</v>
      </c>
      <c r="BN69">
        <f>Model!BV78</f>
        <v>0</v>
      </c>
      <c r="BO69">
        <f>Model!BW78</f>
        <v>0</v>
      </c>
      <c r="BP69">
        <f>Model!BX78</f>
        <v>0</v>
      </c>
      <c r="BQ69">
        <f>Model!BY78</f>
        <v>0</v>
      </c>
      <c r="BR69">
        <f>Model!BZ78</f>
        <v>0</v>
      </c>
      <c r="BS69">
        <f>Model!CA78</f>
        <v>0</v>
      </c>
      <c r="BT69">
        <f>Model!CB78</f>
        <v>0</v>
      </c>
      <c r="BU69">
        <f>Model!CC78</f>
        <v>0</v>
      </c>
      <c r="BV69">
        <f>Model!CD78</f>
        <v>0</v>
      </c>
      <c r="BW69">
        <f>Model!CE78</f>
        <v>0</v>
      </c>
      <c r="BX69">
        <f>Model!CF78</f>
        <v>0</v>
      </c>
      <c r="BY69">
        <f>Model!CG78</f>
        <v>0</v>
      </c>
      <c r="BZ69">
        <f>Model!CH78</f>
        <v>0</v>
      </c>
      <c r="CA69">
        <f>Model!CI78</f>
        <v>0</v>
      </c>
      <c r="CB69">
        <f>Model!CJ78</f>
        <v>0</v>
      </c>
      <c r="CC69">
        <f>Model!CK78</f>
        <v>0</v>
      </c>
      <c r="CD69">
        <f>Model!CL78</f>
        <v>0</v>
      </c>
      <c r="CE69">
        <f>Model!CM78</f>
        <v>0</v>
      </c>
      <c r="CF69">
        <f>Model!CN78</f>
        <v>0</v>
      </c>
      <c r="CG69">
        <f>Model!CO78</f>
        <v>0</v>
      </c>
      <c r="CH69">
        <f>Model!CP78</f>
        <v>0</v>
      </c>
      <c r="CI69">
        <f>Model!CQ78</f>
        <v>0</v>
      </c>
      <c r="CJ69">
        <f>Model!CR78</f>
        <v>0</v>
      </c>
      <c r="CK69">
        <f>Model!CS78</f>
        <v>0</v>
      </c>
      <c r="CL69">
        <f>Model!CT78</f>
        <v>0</v>
      </c>
      <c r="CM69">
        <f>Model!CU78</f>
        <v>0</v>
      </c>
      <c r="CN69">
        <f>Model!CV78</f>
        <v>0</v>
      </c>
      <c r="CO69">
        <f>Model!CW78</f>
        <v>0</v>
      </c>
      <c r="CP69">
        <f>Model!CX78</f>
        <v>0</v>
      </c>
      <c r="CQ69">
        <f>Model!CY78</f>
        <v>0</v>
      </c>
      <c r="CR69">
        <f>Model!DG78</f>
        <v>0</v>
      </c>
      <c r="CS69">
        <f>Model!DH78</f>
        <v>0</v>
      </c>
      <c r="CT69">
        <f>Model!DI78</f>
        <v>0</v>
      </c>
      <c r="CU69">
        <f>Model!DJ78</f>
        <v>0</v>
      </c>
    </row>
    <row r="70" spans="1:99">
      <c r="A70" t="str">
        <f>Model!I79</f>
        <v>Total Adjusted Operating Income (old non-GAAP method)</v>
      </c>
      <c r="B70">
        <f>Model!J79</f>
        <v>0</v>
      </c>
      <c r="C70">
        <f>Model!K79</f>
        <v>0</v>
      </c>
      <c r="D70">
        <f>Model!L79</f>
        <v>0</v>
      </c>
      <c r="E70">
        <f>Model!M79</f>
        <v>0</v>
      </c>
      <c r="F70">
        <f>Model!N79</f>
        <v>0</v>
      </c>
      <c r="G70">
        <f>Model!O79</f>
        <v>0</v>
      </c>
      <c r="H70">
        <f>Model!P79</f>
        <v>0</v>
      </c>
      <c r="I70">
        <f>Model!Q79</f>
        <v>0</v>
      </c>
      <c r="J70">
        <f>Model!R79</f>
        <v>0</v>
      </c>
      <c r="K70">
        <f>Model!S79</f>
        <v>0</v>
      </c>
      <c r="L70">
        <f>Model!T79</f>
        <v>0</v>
      </c>
      <c r="M70">
        <f>Model!U79</f>
        <v>0</v>
      </c>
      <c r="N70">
        <f>Model!V79</f>
        <v>0</v>
      </c>
      <c r="O70">
        <f>Model!W79</f>
        <v>0</v>
      </c>
      <c r="P70">
        <f>Model!X79</f>
        <v>0</v>
      </c>
      <c r="Q70">
        <f>Model!Y79</f>
        <v>0</v>
      </c>
      <c r="R70">
        <f>Model!Z79</f>
        <v>0</v>
      </c>
      <c r="S70">
        <f>Model!AA79</f>
        <v>0</v>
      </c>
      <c r="T70">
        <f>Model!AB79</f>
        <v>0</v>
      </c>
      <c r="U70">
        <f>Model!AC79</f>
        <v>0</v>
      </c>
      <c r="V70">
        <f>Model!AD79</f>
        <v>0</v>
      </c>
      <c r="W70">
        <f>Model!AE79</f>
        <v>0</v>
      </c>
      <c r="X70">
        <f>Model!AF79</f>
        <v>0</v>
      </c>
      <c r="Y70">
        <f>Model!AG79</f>
        <v>7.9110000000000014</v>
      </c>
      <c r="Z70">
        <f>Model!AH79</f>
        <v>28.998000000000005</v>
      </c>
      <c r="AA70">
        <f>Model!AI79</f>
        <v>38.28</v>
      </c>
      <c r="AB70">
        <f>Model!AJ79</f>
        <v>23.642999999999958</v>
      </c>
      <c r="AC70">
        <f>Model!AK79</f>
        <v>16.761000000000038</v>
      </c>
      <c r="AD70">
        <f>Model!AL79</f>
        <v>55.490999999999943</v>
      </c>
      <c r="AE70">
        <f>Model!AM79</f>
        <v>88.286999999999992</v>
      </c>
      <c r="AF70">
        <f>Model!AN79</f>
        <v>55.730000000000004</v>
      </c>
      <c r="AG70">
        <f>Model!AO79</f>
        <v>49.209000000000003</v>
      </c>
      <c r="AH70">
        <f>Model!AP79</f>
        <v>97.67300000000003</v>
      </c>
      <c r="AI70">
        <f>Model!AQ79</f>
        <v>145.36500000000004</v>
      </c>
      <c r="AJ70">
        <f>Model!AR79</f>
        <v>67.149999999999977</v>
      </c>
      <c r="AK70">
        <f>Model!AS79</f>
        <v>59.34</v>
      </c>
      <c r="AL70">
        <f>Model!AT79</f>
        <v>126.84899999999999</v>
      </c>
      <c r="AM70">
        <f>Model!AU79</f>
        <v>221.732</v>
      </c>
      <c r="AN70">
        <f>Model!AV79</f>
        <v>130.87200000000007</v>
      </c>
      <c r="AO70">
        <f>Model!AW79</f>
        <v>105.61499999999987</v>
      </c>
      <c r="AP70">
        <f>Model!AX79</f>
        <v>196.39799999999988</v>
      </c>
      <c r="AQ70">
        <f>Model!AY79</f>
        <v>365.80299999999983</v>
      </c>
      <c r="AR70">
        <f>Model!AZ79</f>
        <v>220.36500000000007</v>
      </c>
      <c r="AS70">
        <f>Model!BA79</f>
        <v>176.279</v>
      </c>
      <c r="AT70">
        <f>Model!BB79</f>
        <v>346.2820000000001</v>
      </c>
      <c r="AU70">
        <f>Model!BC79</f>
        <v>637.88600000000019</v>
      </c>
      <c r="AV70">
        <f>Model!BD79</f>
        <v>336.80900000000008</v>
      </c>
      <c r="AW70">
        <f>Model!BE79</f>
        <v>266.21100000000001</v>
      </c>
      <c r="AX70">
        <f>Model!BF79</f>
        <v>484.16499999999996</v>
      </c>
      <c r="AY70">
        <f>Model!BG79</f>
        <v>780.98299999999995</v>
      </c>
      <c r="AZ70">
        <f>Model!BH79</f>
        <v>418.44700000000012</v>
      </c>
      <c r="BA70">
        <f>Model!BI79</f>
        <v>361.37599999999986</v>
      </c>
      <c r="BB70">
        <f>Model!BJ79</f>
        <v>610.77099999999996</v>
      </c>
      <c r="BC70">
        <f>Model!BK79</f>
        <v>1104.2979999999998</v>
      </c>
      <c r="BD70">
        <f>Model!BL79</f>
        <v>566.7879999999999</v>
      </c>
      <c r="BE70">
        <f>Model!BM79</f>
        <v>500.35300000000007</v>
      </c>
      <c r="BF70">
        <f>Model!BN79</f>
        <v>791.13200000000006</v>
      </c>
      <c r="BG70">
        <f>Model!BO79</f>
        <v>1404.6250000000002</v>
      </c>
      <c r="BH70">
        <f>Model!BP79</f>
        <v>693.2059999999999</v>
      </c>
      <c r="BI70">
        <f>Model!BQ79</f>
        <v>514.90099999999984</v>
      </c>
      <c r="BJ70">
        <f>Model!BR79</f>
        <v>781.14800000000014</v>
      </c>
      <c r="BK70">
        <f>Model!BS79</f>
        <v>1575.5549999999998</v>
      </c>
      <c r="BL70">
        <f>Model!BT79</f>
        <v>775.61599999999976</v>
      </c>
      <c r="BM70">
        <f>Model!BU79</f>
        <v>658.70299999999952</v>
      </c>
      <c r="BN70">
        <f>Model!BV79</f>
        <v>830.42400000000021</v>
      </c>
      <c r="BO70">
        <f>Model!BW79</f>
        <v>1869.9500000000005</v>
      </c>
      <c r="BP70">
        <f>Model!BX79</f>
        <v>906.58599999999979</v>
      </c>
      <c r="BQ70">
        <f>Model!BY79</f>
        <v>658.42799999999988</v>
      </c>
      <c r="BR70">
        <f>Model!BZ79</f>
        <v>1001.2990000000004</v>
      </c>
      <c r="BS70">
        <f>Model!CA79</f>
        <v>2213.5190000000002</v>
      </c>
      <c r="BT70">
        <f>Model!CB79</f>
        <v>1101.1989999999998</v>
      </c>
      <c r="BU70">
        <f>Model!CC79</f>
        <v>773.45392899676654</v>
      </c>
      <c r="BV70">
        <f>Model!CD79</f>
        <v>1221.4624903363274</v>
      </c>
      <c r="BW70">
        <f>Model!CE79</f>
        <v>2563.696760317031</v>
      </c>
      <c r="BX70">
        <f>Model!CF79</f>
        <v>1395.7045059972868</v>
      </c>
      <c r="BY70">
        <f>Model!CG79</f>
        <v>0</v>
      </c>
      <c r="BZ70">
        <f>Model!CH79</f>
        <v>0</v>
      </c>
      <c r="CA70">
        <f>Model!CI79</f>
        <v>0</v>
      </c>
      <c r="CB70">
        <f>Model!CJ79</f>
        <v>8.2609999999999957</v>
      </c>
      <c r="CC70">
        <f>Model!CK79</f>
        <v>34.42300000000003</v>
      </c>
      <c r="CD70">
        <f>Model!CL79</f>
        <v>44.165000000000049</v>
      </c>
      <c r="CE70">
        <f>Model!CM79</f>
        <v>98.832000000000164</v>
      </c>
      <c r="CF70">
        <f>Model!CN79</f>
        <v>216.26899999999966</v>
      </c>
      <c r="CG70">
        <f>Model!CO79</f>
        <v>359.39700000000005</v>
      </c>
      <c r="CH70">
        <f>Model!CP79</f>
        <v>538.79299999999989</v>
      </c>
      <c r="CI70">
        <f>Model!CQ79</f>
        <v>888.18099999999981</v>
      </c>
      <c r="CJ70">
        <f>Model!CR79</f>
        <v>1497.2560000000005</v>
      </c>
      <c r="CK70">
        <f>Model!CS79</f>
        <v>1949.8060000000009</v>
      </c>
      <c r="CL70">
        <f>Model!CT79</f>
        <v>2643.2330000000002</v>
      </c>
      <c r="CM70">
        <f>Model!CU79</f>
        <v>3389.3159999999989</v>
      </c>
      <c r="CN70">
        <f>Model!CV79</f>
        <v>3647.2199999999993</v>
      </c>
      <c r="CO70" s="2066">
        <f>Model!CW79</f>
        <v>4265.6629999999996</v>
      </c>
      <c r="CP70" s="2066">
        <f>Model!CX79</f>
        <v>4974.4449999999988</v>
      </c>
      <c r="CQ70">
        <f>Model!CY79</f>
        <v>5954.3176856474129</v>
      </c>
      <c r="CR70">
        <f>Model!DG79</f>
        <v>0.32645370291067488</v>
      </c>
      <c r="CS70">
        <f>Model!DH79</f>
        <v>0.15835580186815545</v>
      </c>
      <c r="CT70">
        <f>Model!DI79</f>
        <v>0</v>
      </c>
      <c r="CU70">
        <f>Model!DJ79</f>
        <v>0</v>
      </c>
    </row>
    <row r="71" spans="1:99">
      <c r="A71" t="str">
        <f>Model!I80</f>
        <v>Operating Margin % GP</v>
      </c>
      <c r="B71">
        <f>Model!J80</f>
        <v>0</v>
      </c>
      <c r="C71">
        <f>Model!K80</f>
        <v>0</v>
      </c>
      <c r="D71">
        <f>Model!L80</f>
        <v>0</v>
      </c>
      <c r="E71">
        <f>Model!M80</f>
        <v>0</v>
      </c>
      <c r="F71">
        <f>Model!N80</f>
        <v>0</v>
      </c>
      <c r="G71">
        <f>Model!O80</f>
        <v>0</v>
      </c>
      <c r="H71">
        <f>Model!P80</f>
        <v>0</v>
      </c>
      <c r="I71">
        <f>Model!Q80</f>
        <v>0</v>
      </c>
      <c r="J71">
        <f>Model!R80</f>
        <v>0</v>
      </c>
      <c r="K71">
        <f>Model!S80</f>
        <v>0</v>
      </c>
      <c r="L71">
        <f>Model!T80</f>
        <v>0</v>
      </c>
      <c r="M71">
        <f>Model!U80</f>
        <v>0</v>
      </c>
      <c r="N71">
        <f>Model!V80</f>
        <v>0</v>
      </c>
      <c r="O71">
        <f>Model!W80</f>
        <v>0</v>
      </c>
      <c r="P71">
        <f>Model!X80</f>
        <v>0</v>
      </c>
      <c r="Q71">
        <f>Model!Y80</f>
        <v>0</v>
      </c>
      <c r="R71">
        <f>Model!Z80</f>
        <v>0</v>
      </c>
      <c r="S71">
        <f>Model!AA80</f>
        <v>0</v>
      </c>
      <c r="T71">
        <f>Model!AB80</f>
        <v>0</v>
      </c>
      <c r="U71">
        <f>Model!AC80</f>
        <v>0</v>
      </c>
      <c r="V71">
        <f>Model!AD80</f>
        <v>0</v>
      </c>
      <c r="W71">
        <f>Model!AE80</f>
        <v>0</v>
      </c>
      <c r="X71">
        <f>Model!AF80</f>
        <v>0</v>
      </c>
      <c r="Y71">
        <f>Model!AG80</f>
        <v>0.1095236117456494</v>
      </c>
      <c r="Z71">
        <f>Model!AH80</f>
        <v>0.27407281388227295</v>
      </c>
      <c r="AA71">
        <f>Model!AI80</f>
        <v>0.31294964028776973</v>
      </c>
      <c r="AB71">
        <f>Model!AJ80</f>
        <v>0.23757749932172359</v>
      </c>
      <c r="AC71">
        <f>Model!AK80</f>
        <v>0.16141334180799155</v>
      </c>
      <c r="AD71">
        <f>Model!AL80</f>
        <v>0.35825376227460221</v>
      </c>
      <c r="AE71">
        <f>Model!AM80</f>
        <v>0.43634934834503858</v>
      </c>
      <c r="AF71">
        <f>Model!AN80</f>
        <v>0.34798191717868027</v>
      </c>
      <c r="AG71">
        <f>Model!AO80</f>
        <v>0.27171830394858176</v>
      </c>
      <c r="AH71">
        <f>Model!AP80</f>
        <v>0.38495615331559768</v>
      </c>
      <c r="AI71">
        <f>Model!AQ80</f>
        <v>0.45990230259619469</v>
      </c>
      <c r="AJ71">
        <f>Model!AR80</f>
        <v>0.32745714773364532</v>
      </c>
      <c r="AK71">
        <f>Model!AS80</f>
        <v>0.2848365573849182</v>
      </c>
      <c r="AL71">
        <f>Model!AT80</f>
        <v>0.41557407662217677</v>
      </c>
      <c r="AM71">
        <f>Model!AU80</f>
        <v>0.51089616272586091</v>
      </c>
      <c r="AN71">
        <f>Model!AV80</f>
        <v>0.41786908224746094</v>
      </c>
      <c r="AO71">
        <f>Model!AW80</f>
        <v>0.33096115519121544</v>
      </c>
      <c r="AP71">
        <f>Model!AX80</f>
        <v>0.44017266419235096</v>
      </c>
      <c r="AQ71">
        <f>Model!AY80</f>
        <v>0.54743882144481948</v>
      </c>
      <c r="AR71">
        <f>Model!AZ80</f>
        <v>0.458935034967074</v>
      </c>
      <c r="AS71">
        <f>Model!BA80</f>
        <v>0.3485097111947616</v>
      </c>
      <c r="AT71">
        <f>Model!BB80</f>
        <v>0.46218569272063081</v>
      </c>
      <c r="AU71">
        <f>Model!BC80</f>
        <v>0.57981835171267881</v>
      </c>
      <c r="AV71">
        <f>Model!BD80</f>
        <v>0.4647583748794325</v>
      </c>
      <c r="AW71">
        <f>Model!BE80</f>
        <v>0.35815323266351673</v>
      </c>
      <c r="AX71">
        <f>Model!BF80</f>
        <v>0.48216786072089401</v>
      </c>
      <c r="AY71">
        <f>Model!BG80</f>
        <v>0.55924270730919634</v>
      </c>
      <c r="AZ71">
        <f>Model!BH80</f>
        <v>0.44527480712955581</v>
      </c>
      <c r="BA71">
        <f>Model!BI80</f>
        <v>0.3579167347585584</v>
      </c>
      <c r="BB71">
        <f>Model!BJ80</f>
        <v>0.4413547662146684</v>
      </c>
      <c r="BC71">
        <f>Model!BK80</f>
        <v>0.55518447109571578</v>
      </c>
      <c r="BD71">
        <f>Model!BL80</f>
        <v>0.42510130870673607</v>
      </c>
      <c r="BE71">
        <f>Model!BM80</f>
        <v>0.35575066958366008</v>
      </c>
      <c r="BF71">
        <f>Model!BN80</f>
        <v>0.42014534284724986</v>
      </c>
      <c r="BG71">
        <f>Model!BO80</f>
        <v>0.53612091399240769</v>
      </c>
      <c r="BH71">
        <f>Model!BP80</f>
        <v>0.41393217231897339</v>
      </c>
      <c r="BI71">
        <f>Model!BQ80</f>
        <v>0.30791168232235155</v>
      </c>
      <c r="BJ71">
        <f>Model!BR80</f>
        <v>0.37323606506933427</v>
      </c>
      <c r="BK71">
        <f>Model!BS80</f>
        <v>0.5345789781907534</v>
      </c>
      <c r="BL71">
        <f>Model!BT80</f>
        <v>0.41269714581860101</v>
      </c>
      <c r="BM71">
        <f>Model!BU80</f>
        <v>0.32617940528361666</v>
      </c>
      <c r="BN71">
        <f>Model!BV80</f>
        <v>0.34176386873420156</v>
      </c>
      <c r="BO71">
        <f>Model!BW80</f>
        <v>0.52101342328067257</v>
      </c>
      <c r="BP71">
        <f>Model!BX80</f>
        <v>0.39826108424806078</v>
      </c>
      <c r="BQ71">
        <f>Model!BY80</f>
        <v>0.28207442695358431</v>
      </c>
      <c r="BR71">
        <f>Model!BZ80</f>
        <v>0.3392148014746188</v>
      </c>
      <c r="BS71">
        <f>Model!CA80</f>
        <v>0.50599889863032865</v>
      </c>
      <c r="BT71">
        <f>Model!CB80</f>
        <v>0.39755294603535163</v>
      </c>
      <c r="BU71">
        <f>Model!CC80</f>
        <v>0.27648210712354515</v>
      </c>
      <c r="BV71">
        <f>Model!CD80</f>
        <v>0.34289681626569124</v>
      </c>
      <c r="BW71">
        <f>Model!CE80</f>
        <v>0.51228741638120756</v>
      </c>
      <c r="BX71">
        <f>Model!CF80</f>
        <v>0.4132004315774554</v>
      </c>
      <c r="BY71">
        <f>Model!CG80</f>
        <v>0</v>
      </c>
      <c r="BZ71">
        <f>Model!CH80</f>
        <v>0</v>
      </c>
      <c r="CA71">
        <f>Model!CI80</f>
        <v>0</v>
      </c>
      <c r="CB71">
        <f>Model!CJ80</f>
        <v>0</v>
      </c>
      <c r="CC71">
        <f>Model!CK80</f>
        <v>0</v>
      </c>
      <c r="CD71">
        <f>Model!CL80</f>
        <v>0</v>
      </c>
      <c r="CE71">
        <f>Model!CM80</f>
        <v>0.24715909090909122</v>
      </c>
      <c r="CF71">
        <f>Model!CN80</f>
        <v>0.34813872813760094</v>
      </c>
      <c r="CG71">
        <f>Model!CO80</f>
        <v>0.37594968885039398</v>
      </c>
      <c r="CH71">
        <f>Model!CP80</f>
        <v>0.4273547050476576</v>
      </c>
      <c r="CI71">
        <f>Model!CQ80</f>
        <v>0.46412346094475859</v>
      </c>
      <c r="CJ71">
        <f>Model!CR80</f>
        <v>0.48614101848123964</v>
      </c>
      <c r="CK71">
        <f>Model!CS80</f>
        <v>0.47746285765220164</v>
      </c>
      <c r="CL71">
        <f>Model!CT80</f>
        <v>0.46243626972266416</v>
      </c>
      <c r="CM71">
        <f>Model!CU80</f>
        <v>0.44689582061488914</v>
      </c>
      <c r="CN71">
        <f>Model!CV80</f>
        <v>0.42449975889821545</v>
      </c>
      <c r="CO71">
        <f>Model!CW80</f>
        <v>0.41355214484349118</v>
      </c>
      <c r="CP71">
        <f>Model!CX80</f>
        <v>0.40017915545939453</v>
      </c>
      <c r="CQ71">
        <f>Model!CY80</f>
        <v>0.40390515491472334</v>
      </c>
      <c r="CR71">
        <f>Model!DG80</f>
        <v>0</v>
      </c>
      <c r="CS71">
        <f>Model!DH80</f>
        <v>0</v>
      </c>
      <c r="CT71">
        <f>Model!DI80</f>
        <v>0</v>
      </c>
      <c r="CU71">
        <f>Model!DJ80</f>
        <v>0</v>
      </c>
    </row>
    <row r="72" spans="1:99">
      <c r="A72" t="str">
        <f>Model!I81</f>
        <v>% change Y/Y (in bp)</v>
      </c>
      <c r="B72">
        <f>Model!J81</f>
        <v>0</v>
      </c>
      <c r="C72">
        <f>Model!K81</f>
        <v>0</v>
      </c>
      <c r="D72">
        <f>Model!L81</f>
        <v>0</v>
      </c>
      <c r="E72">
        <f>Model!M81</f>
        <v>0</v>
      </c>
      <c r="F72">
        <f>Model!N81</f>
        <v>0</v>
      </c>
      <c r="G72">
        <f>Model!O81</f>
        <v>0</v>
      </c>
      <c r="H72">
        <f>Model!P81</f>
        <v>0</v>
      </c>
      <c r="I72">
        <f>Model!Q81</f>
        <v>0</v>
      </c>
      <c r="J72">
        <f>Model!R81</f>
        <v>0</v>
      </c>
      <c r="K72">
        <f>Model!S81</f>
        <v>0</v>
      </c>
      <c r="L72">
        <f>Model!T81</f>
        <v>0</v>
      </c>
      <c r="M72">
        <f>Model!U81</f>
        <v>0</v>
      </c>
      <c r="N72">
        <f>Model!V81</f>
        <v>0</v>
      </c>
      <c r="O72">
        <f>Model!W81</f>
        <v>0</v>
      </c>
      <c r="P72">
        <f>Model!X81</f>
        <v>0</v>
      </c>
      <c r="Q72">
        <f>Model!Y81</f>
        <v>0</v>
      </c>
      <c r="R72">
        <f>Model!Z81</f>
        <v>0</v>
      </c>
      <c r="S72">
        <f>Model!AA81</f>
        <v>0</v>
      </c>
      <c r="T72">
        <f>Model!AB81</f>
        <v>0</v>
      </c>
      <c r="U72">
        <f>Model!AC81</f>
        <v>0</v>
      </c>
      <c r="V72">
        <f>Model!AD81</f>
        <v>0</v>
      </c>
      <c r="W72">
        <f>Model!AE81</f>
        <v>0</v>
      </c>
      <c r="X72">
        <f>Model!AF81</f>
        <v>0</v>
      </c>
      <c r="Y72">
        <f>Model!AG81</f>
        <v>0</v>
      </c>
      <c r="Z72">
        <f>Model!AH81</f>
        <v>0</v>
      </c>
      <c r="AA72">
        <f>Model!AI81</f>
        <v>0</v>
      </c>
      <c r="AB72">
        <f>Model!AJ81</f>
        <v>0</v>
      </c>
      <c r="AC72">
        <f>Model!AK81</f>
        <v>518.89730062342153</v>
      </c>
      <c r="AD72">
        <f>Model!AL81</f>
        <v>841.80948392329253</v>
      </c>
      <c r="AE72">
        <f>Model!AM81</f>
        <v>1233.9970805726884</v>
      </c>
      <c r="AF72">
        <f>Model!AN81</f>
        <v>1104.0441785695668</v>
      </c>
      <c r="AG72">
        <f>Model!AO81</f>
        <v>1103.0496214059021</v>
      </c>
      <c r="AH72">
        <f>Model!AP81</f>
        <v>267.02391040995479</v>
      </c>
      <c r="AI72">
        <f>Model!AQ81</f>
        <v>235.52954251156112</v>
      </c>
      <c r="AJ72">
        <f>Model!AR81</f>
        <v>-205.24769445034951</v>
      </c>
      <c r="AK72">
        <f>Model!AS81</f>
        <v>131.18253436336437</v>
      </c>
      <c r="AL72">
        <f>Model!AT81</f>
        <v>306.17923306579087</v>
      </c>
      <c r="AM72">
        <f>Model!AU81</f>
        <v>509.93860129666223</v>
      </c>
      <c r="AN72">
        <f>Model!AV81</f>
        <v>904.11934513815629</v>
      </c>
      <c r="AO72">
        <f>Model!AW81</f>
        <v>461.24597806297243</v>
      </c>
      <c r="AP72">
        <f>Model!AX81</f>
        <v>245.98587570174192</v>
      </c>
      <c r="AQ72">
        <f>Model!AY81</f>
        <v>365.42658718958563</v>
      </c>
      <c r="AR72">
        <f>Model!AZ81</f>
        <v>410.65952719613051</v>
      </c>
      <c r="AS72">
        <f>Model!BA81</f>
        <v>175.48556003546156</v>
      </c>
      <c r="AT72">
        <f>Model!BB81</f>
        <v>220.13028528279855</v>
      </c>
      <c r="AU72">
        <f>Model!BC81</f>
        <v>323.79530267859337</v>
      </c>
      <c r="AV72">
        <f>Model!BD81</f>
        <v>58.233399123585052</v>
      </c>
      <c r="AW72">
        <f>Model!BE81</f>
        <v>96.435214687551337</v>
      </c>
      <c r="AX72">
        <f>Model!BF81</f>
        <v>199.82168000263201</v>
      </c>
      <c r="AY72">
        <f>Model!BG81</f>
        <v>-205.75644403482474</v>
      </c>
      <c r="AZ72">
        <f>Model!BH81</f>
        <v>-194.83567749876696</v>
      </c>
      <c r="BA72">
        <f>Model!BI81</f>
        <v>-2.3649790495833267</v>
      </c>
      <c r="BB72">
        <f>Model!BJ81</f>
        <v>-408.1309450622561</v>
      </c>
      <c r="BC72">
        <f>Model!BK81</f>
        <v>-40.582362134805592</v>
      </c>
      <c r="BD72">
        <f>Model!BL81</f>
        <v>-201.73498422819736</v>
      </c>
      <c r="BE72">
        <f>Model!BM81</f>
        <v>-21.660651748983128</v>
      </c>
      <c r="BF72">
        <f>Model!BN81</f>
        <v>-212.09423367418546</v>
      </c>
      <c r="BG72">
        <f>Model!BO81</f>
        <v>-190.63557103308094</v>
      </c>
      <c r="BH72">
        <f>Model!BP81</f>
        <v>-111.6913638776268</v>
      </c>
      <c r="BI72">
        <f>Model!BQ81</f>
        <v>-478.38987261308529</v>
      </c>
      <c r="BJ72">
        <f>Model!BR81</f>
        <v>-469.09277777915594</v>
      </c>
      <c r="BK72">
        <f>Model!BS81</f>
        <v>-15.419358016542928</v>
      </c>
      <c r="BL72">
        <f>Model!BT81</f>
        <v>-12.350265003723827</v>
      </c>
      <c r="BM72">
        <f>Model!BU81</f>
        <v>182.6772296126511</v>
      </c>
      <c r="BN72">
        <f>Model!BV81</f>
        <v>-314.72196335132708</v>
      </c>
      <c r="BO72">
        <f>Model!BW81</f>
        <v>-135.65554910080823</v>
      </c>
      <c r="BP72">
        <f>Model!BX81</f>
        <v>-144.36061570540227</v>
      </c>
      <c r="BQ72">
        <f>Model!BY81</f>
        <v>-441.0497833003235</v>
      </c>
      <c r="BR72">
        <f>Model!BZ81</f>
        <v>-25.490672595827601</v>
      </c>
      <c r="BS72">
        <f>Model!CA81</f>
        <v>-150.14524650343918</v>
      </c>
      <c r="BT72">
        <f>Model!CB81</f>
        <v>-7.0813821270915289</v>
      </c>
      <c r="BU72">
        <f>Model!CC81</f>
        <v>-55.923198300391604</v>
      </c>
      <c r="BV72">
        <f>Model!CD81</f>
        <v>36.820147910724408</v>
      </c>
      <c r="BW72">
        <f>Model!CE81</f>
        <v>62.885177508789084</v>
      </c>
      <c r="BX72">
        <f>Model!CF81</f>
        <v>156.47485542103766</v>
      </c>
      <c r="BY72">
        <f>Model!CG81</f>
        <v>0</v>
      </c>
      <c r="BZ72">
        <f>Model!CH81</f>
        <v>0</v>
      </c>
      <c r="CA72">
        <f>Model!CI81</f>
        <v>0</v>
      </c>
      <c r="CB72">
        <f>Model!CJ81</f>
        <v>0</v>
      </c>
      <c r="CC72">
        <f>Model!CK81</f>
        <v>0</v>
      </c>
      <c r="CD72">
        <f>Model!CL81</f>
        <v>0</v>
      </c>
      <c r="CE72">
        <f>Model!CM81</f>
        <v>0</v>
      </c>
      <c r="CF72">
        <f>Model!CN81</f>
        <v>1009.7963722850973</v>
      </c>
      <c r="CG72">
        <f>Model!CO81</f>
        <v>278.10960712793042</v>
      </c>
      <c r="CH72">
        <f>Model!CP81</f>
        <v>514.05016197263615</v>
      </c>
      <c r="CI72">
        <f>Model!CQ81</f>
        <v>367.68755897100993</v>
      </c>
      <c r="CJ72">
        <f>Model!CR81</f>
        <v>220.17557536481047</v>
      </c>
      <c r="CK72">
        <f>Model!CS81</f>
        <v>-86.78160829037995</v>
      </c>
      <c r="CL72">
        <f>Model!CT81</f>
        <v>-150.26587929537482</v>
      </c>
      <c r="CM72">
        <f>Model!CU81</f>
        <v>-155.40449107775024</v>
      </c>
      <c r="CN72">
        <f>Model!CV81</f>
        <v>-223.96061716673688</v>
      </c>
      <c r="CO72">
        <f>Model!CW81</f>
        <v>-109.47614054724275</v>
      </c>
      <c r="CP72">
        <f>Model!CX81</f>
        <v>-133.72989384096644</v>
      </c>
      <c r="CQ72">
        <f>Model!CY81</f>
        <v>37.259994553288102</v>
      </c>
      <c r="CR72">
        <f>Model!DG81</f>
        <v>0</v>
      </c>
      <c r="CS72">
        <f>Model!DH81</f>
        <v>0</v>
      </c>
      <c r="CT72">
        <f>Model!DI81</f>
        <v>0</v>
      </c>
      <c r="CU72">
        <f>Model!DJ81</f>
        <v>0</v>
      </c>
    </row>
    <row r="73" spans="1:99">
      <c r="A73" t="str">
        <f>Model!I83</f>
        <v>Adjusted Operating Income (new Non-GAAP method)</v>
      </c>
      <c r="B73">
        <f>Model!J83</f>
        <v>0</v>
      </c>
      <c r="C73">
        <f>Model!K83</f>
        <v>0</v>
      </c>
      <c r="D73">
        <f>Model!L83</f>
        <v>0</v>
      </c>
      <c r="E73">
        <f>Model!M83</f>
        <v>0</v>
      </c>
      <c r="F73">
        <f>Model!N83</f>
        <v>0</v>
      </c>
      <c r="G73">
        <f>Model!O83</f>
        <v>0</v>
      </c>
      <c r="H73">
        <f>Model!P83</f>
        <v>0</v>
      </c>
      <c r="I73">
        <f>Model!Q83</f>
        <v>0</v>
      </c>
      <c r="J73">
        <f>Model!R83</f>
        <v>0</v>
      </c>
      <c r="K73">
        <f>Model!S83</f>
        <v>0</v>
      </c>
      <c r="L73">
        <f>Model!T83</f>
        <v>0</v>
      </c>
      <c r="M73">
        <f>Model!U83</f>
        <v>0</v>
      </c>
      <c r="N73">
        <f>Model!V83</f>
        <v>0</v>
      </c>
      <c r="O73">
        <f>Model!W83</f>
        <v>0</v>
      </c>
      <c r="P73">
        <f>Model!X83</f>
        <v>0</v>
      </c>
      <c r="Q73">
        <f>Model!Y83</f>
        <v>0</v>
      </c>
      <c r="R73">
        <f>Model!Z83</f>
        <v>0</v>
      </c>
      <c r="S73">
        <f>Model!AA83</f>
        <v>0</v>
      </c>
      <c r="T73">
        <f>Model!AB83</f>
        <v>0</v>
      </c>
      <c r="U73">
        <f>Model!AC83</f>
        <v>0</v>
      </c>
      <c r="V73">
        <f>Model!AD83</f>
        <v>0</v>
      </c>
      <c r="W73">
        <f>Model!AE83</f>
        <v>0</v>
      </c>
      <c r="X73">
        <f>Model!AF83</f>
        <v>0</v>
      </c>
      <c r="Y73">
        <f>Model!AG83</f>
        <v>4.4649999999999919</v>
      </c>
      <c r="Z73">
        <f>Model!AH83</f>
        <v>24.811000000000007</v>
      </c>
      <c r="AA73">
        <f>Model!AI83</f>
        <v>36.353999999999999</v>
      </c>
      <c r="AB73">
        <f>Model!AJ83</f>
        <v>18.468999999999966</v>
      </c>
      <c r="AC73">
        <f>Model!AK83</f>
        <v>13.157000000000043</v>
      </c>
      <c r="AD73">
        <f>Model!AL83</f>
        <v>51.549999999999955</v>
      </c>
      <c r="AE73">
        <f>Model!AM83</f>
        <v>84.200999999999993</v>
      </c>
      <c r="AF73">
        <f>Model!AN83</f>
        <v>50.865000000000016</v>
      </c>
      <c r="AG73">
        <f>Model!AO83</f>
        <v>38.510000000000012</v>
      </c>
      <c r="AH73">
        <f>Model!AP83</f>
        <v>88.410000000000039</v>
      </c>
      <c r="AI73">
        <f>Model!AQ83</f>
        <v>135.27400000000003</v>
      </c>
      <c r="AJ73">
        <f>Model!AR83</f>
        <v>55.688000000000002</v>
      </c>
      <c r="AK73">
        <f>Model!AS83</f>
        <v>48.747000000000014</v>
      </c>
      <c r="AL73">
        <f>Model!AT83</f>
        <v>115.58499999999997</v>
      </c>
      <c r="AM73">
        <f>Model!AU83</f>
        <v>207.18199999999999</v>
      </c>
      <c r="AN73">
        <f>Model!AV83</f>
        <v>123.97700000000007</v>
      </c>
      <c r="AO73">
        <f>Model!AW83</f>
        <v>93.705999999999875</v>
      </c>
      <c r="AP73">
        <f>Model!AX83</f>
        <v>180.93299999999985</v>
      </c>
      <c r="AQ73">
        <f>Model!AY83</f>
        <v>347.34699999999987</v>
      </c>
      <c r="AR73">
        <f>Model!AZ83</f>
        <v>198.98300000000006</v>
      </c>
      <c r="AS73">
        <f>Model!BA83</f>
        <v>162.28600000000003</v>
      </c>
      <c r="AT73">
        <f>Model!BB83</f>
        <v>333.1690000000001</v>
      </c>
      <c r="AU73">
        <f>Model!BC83</f>
        <v>624.58800000000019</v>
      </c>
      <c r="AV73">
        <f>Model!BD83</f>
        <v>311.48900000000009</v>
      </c>
      <c r="AW73">
        <f>Model!BE83</f>
        <v>249.68800000000002</v>
      </c>
      <c r="AX73">
        <f>Model!BF83</f>
        <v>466.553</v>
      </c>
      <c r="AY73">
        <f>Model!BG83</f>
        <v>763.428</v>
      </c>
      <c r="AZ73">
        <f>Model!BH83</f>
        <v>382.44600000000014</v>
      </c>
      <c r="BA73">
        <f>Model!BI83</f>
        <v>319.11699999999996</v>
      </c>
      <c r="BB73">
        <f>Model!BJ83</f>
        <v>576.03499999999997</v>
      </c>
      <c r="BC73">
        <f>Model!BK83</f>
        <v>1069.7469999999994</v>
      </c>
      <c r="BD73">
        <f>Model!BL83</f>
        <v>523.56899999999996</v>
      </c>
      <c r="BE73">
        <f>Model!BM83</f>
        <v>461.55000000000013</v>
      </c>
      <c r="BF73">
        <f>Model!BN83</f>
        <v>755.96400000000017</v>
      </c>
      <c r="BG73">
        <f>Model!BO83</f>
        <v>1358.4890000000003</v>
      </c>
      <c r="BH73">
        <f>Model!BP83</f>
        <v>626.88799999999992</v>
      </c>
      <c r="BI73">
        <f>Model!BQ83</f>
        <v>460.8929999999998</v>
      </c>
      <c r="BJ73">
        <f>Model!BR83</f>
        <v>720.98400000000015</v>
      </c>
      <c r="BK73">
        <f>Model!BS83</f>
        <v>1517.2809999999999</v>
      </c>
      <c r="BL73">
        <f>Model!BT83</f>
        <v>700.66699999999969</v>
      </c>
      <c r="BM73">
        <f>Model!BU83</f>
        <v>592.70299999999952</v>
      </c>
      <c r="BN73">
        <f>Model!BV83</f>
        <v>775.44800000000009</v>
      </c>
      <c r="BO73">
        <f>Model!BW83</f>
        <v>1815.8760000000002</v>
      </c>
      <c r="BP73">
        <f>Model!BX83</f>
        <v>832.06199999999967</v>
      </c>
      <c r="BQ73">
        <f>Model!BY83</f>
        <v>599.47999999999979</v>
      </c>
      <c r="BR73">
        <f>Model!BZ83</f>
        <v>934.42000000000053</v>
      </c>
      <c r="BS73">
        <f>Model!CA83</f>
        <v>2147.0980000000004</v>
      </c>
      <c r="BT73">
        <f>Model!CB83</f>
        <v>1032.5369999999998</v>
      </c>
      <c r="BU73">
        <f>Model!CC83</f>
        <v>709.79008899676637</v>
      </c>
      <c r="BV73">
        <f>Model!CD83</f>
        <v>1149.2331703363275</v>
      </c>
      <c r="BW73">
        <f>Model!CE83</f>
        <v>2491.962080317031</v>
      </c>
      <c r="BX73">
        <f>Model!CF83</f>
        <v>1321.5495459972867</v>
      </c>
      <c r="BY73">
        <f>Model!CG83</f>
        <v>0</v>
      </c>
      <c r="BZ73">
        <f>Model!CH83</f>
        <v>0</v>
      </c>
      <c r="CA73">
        <f>Model!CI83</f>
        <v>0</v>
      </c>
      <c r="CB73">
        <f>Model!CJ83</f>
        <v>7.5499999999999829</v>
      </c>
      <c r="CC73">
        <f>Model!CK83</f>
        <v>33.356000000000023</v>
      </c>
      <c r="CD73">
        <f>Model!CL83</f>
        <v>39.567000000000007</v>
      </c>
      <c r="CE73">
        <f>Model!CM83</f>
        <v>84.099000000000174</v>
      </c>
      <c r="CF73">
        <f>Model!CN83</f>
        <v>199.77299999999977</v>
      </c>
      <c r="CG73">
        <f>Model!CO83</f>
        <v>317.88200000000006</v>
      </c>
      <c r="CH73">
        <f>Model!CP83</f>
        <v>495.4909999999997</v>
      </c>
      <c r="CI73">
        <f>Model!CQ83</f>
        <v>820.96899999999982</v>
      </c>
      <c r="CJ73">
        <f>Model!CR83</f>
        <v>1431.5320000000006</v>
      </c>
      <c r="CK73">
        <f>Model!CS83</f>
        <v>1862.1150000000011</v>
      </c>
      <c r="CL73">
        <f>Model!CT83</f>
        <v>2488.4680000000003</v>
      </c>
      <c r="CM73">
        <f>Model!CU83</f>
        <v>3202.8909999999992</v>
      </c>
      <c r="CN73">
        <f>Model!CV83</f>
        <v>3399.824999999998</v>
      </c>
      <c r="CO73">
        <f>Model!CW83</f>
        <v>4016.0889999999999</v>
      </c>
      <c r="CP73">
        <f>Model!CX83</f>
        <v>4713.534999999998</v>
      </c>
      <c r="CQ73">
        <f>Model!CY83</f>
        <v>5672.5348856474138</v>
      </c>
      <c r="CR73">
        <f>Model!DG83</f>
        <v>0.32869701991708933</v>
      </c>
      <c r="CS73">
        <f>Model!DH83</f>
        <v>0.164653088617146</v>
      </c>
      <c r="CT73">
        <f>Model!DI83</f>
        <v>0</v>
      </c>
      <c r="CU73">
        <f>Model!DJ83</f>
        <v>0</v>
      </c>
    </row>
    <row r="74" spans="1:99">
      <c r="A74" t="str">
        <f>Model!I84</f>
        <v>Operating Margin % GP</v>
      </c>
      <c r="B74">
        <f>Model!J84</f>
        <v>0</v>
      </c>
      <c r="C74">
        <f>Model!K84</f>
        <v>0</v>
      </c>
      <c r="D74">
        <f>Model!L84</f>
        <v>0</v>
      </c>
      <c r="E74">
        <f>Model!M84</f>
        <v>0</v>
      </c>
      <c r="F74">
        <f>Model!N84</f>
        <v>0</v>
      </c>
      <c r="G74">
        <f>Model!O84</f>
        <v>0</v>
      </c>
      <c r="H74">
        <f>Model!P84</f>
        <v>0</v>
      </c>
      <c r="I74">
        <f>Model!Q84</f>
        <v>0</v>
      </c>
      <c r="J74">
        <f>Model!R84</f>
        <v>0</v>
      </c>
      <c r="K74">
        <f>Model!S84</f>
        <v>0</v>
      </c>
      <c r="L74">
        <f>Model!T84</f>
        <v>0</v>
      </c>
      <c r="M74">
        <f>Model!U84</f>
        <v>0</v>
      </c>
      <c r="N74">
        <f>Model!V84</f>
        <v>0</v>
      </c>
      <c r="O74">
        <f>Model!W84</f>
        <v>0</v>
      </c>
      <c r="P74">
        <f>Model!X84</f>
        <v>0</v>
      </c>
      <c r="Q74">
        <f>Model!Y84</f>
        <v>0</v>
      </c>
      <c r="R74">
        <f>Model!Z84</f>
        <v>0</v>
      </c>
      <c r="S74">
        <f>Model!AA84</f>
        <v>0</v>
      </c>
      <c r="T74">
        <f>Model!AB84</f>
        <v>0</v>
      </c>
      <c r="U74">
        <f>Model!AC84</f>
        <v>0</v>
      </c>
      <c r="V74">
        <f>Model!AD84</f>
        <v>0</v>
      </c>
      <c r="W74">
        <f>Model!AE84</f>
        <v>0</v>
      </c>
      <c r="X74">
        <f>Model!AF84</f>
        <v>0</v>
      </c>
      <c r="Y74">
        <f>Model!AG84</f>
        <v>6.181556395453465E-2</v>
      </c>
      <c r="Z74">
        <f>Model!AH84</f>
        <v>0.23449964084533673</v>
      </c>
      <c r="AA74">
        <f>Model!AI84</f>
        <v>0.29720405493786783</v>
      </c>
      <c r="AB74">
        <f>Model!AJ84</f>
        <v>0.18558638222615204</v>
      </c>
      <c r="AC74">
        <f>Model!AK84</f>
        <v>0.12670576565644931</v>
      </c>
      <c r="AD74">
        <f>Model!AL84</f>
        <v>0.33281039168974696</v>
      </c>
      <c r="AE74">
        <f>Model!AM84</f>
        <v>0.41615471677597599</v>
      </c>
      <c r="AF74">
        <f>Model!AN84</f>
        <v>0.31760452570058451</v>
      </c>
      <c r="AG74">
        <f>Model!AO84</f>
        <v>0.21264142504541619</v>
      </c>
      <c r="AH74">
        <f>Model!AP84</f>
        <v>0.34844812296778022</v>
      </c>
      <c r="AI74">
        <f>Model!AQ84</f>
        <v>0.42797663867779479</v>
      </c>
      <c r="AJ74">
        <f>Model!AR84</f>
        <v>0.27156267524931121</v>
      </c>
      <c r="AK74">
        <f>Model!AS84</f>
        <v>0.23398934382950135</v>
      </c>
      <c r="AL74">
        <f>Model!AT84</f>
        <v>0.37867172501457869</v>
      </c>
      <c r="AM74">
        <f>Model!AU84</f>
        <v>0.47737128058137446</v>
      </c>
      <c r="AN74">
        <f>Model!AV84</f>
        <v>0.39585362193435925</v>
      </c>
      <c r="AO74">
        <f>Model!AW84</f>
        <v>0.29364243723285549</v>
      </c>
      <c r="AP74">
        <f>Model!AX84</f>
        <v>0.40551207573557074</v>
      </c>
      <c r="AQ74">
        <f>Model!AY84</f>
        <v>0.51981867921365799</v>
      </c>
      <c r="AR74">
        <f>Model!AZ84</f>
        <v>0.41440460174189769</v>
      </c>
      <c r="AS74">
        <f>Model!BA84</f>
        <v>0.32084506373960081</v>
      </c>
      <c r="AT74">
        <f>Model!BB84</f>
        <v>0.44468365395267395</v>
      </c>
      <c r="AU74">
        <f>Model!BC84</f>
        <v>0.56773088711700614</v>
      </c>
      <c r="AV74">
        <f>Model!BD84</f>
        <v>0.4298196349646819</v>
      </c>
      <c r="AW74">
        <f>Model!BE84</f>
        <v>0.33592362583547697</v>
      </c>
      <c r="AX74">
        <f>Model!BF84</f>
        <v>0.46462850871689459</v>
      </c>
      <c r="AY74">
        <f>Model!BG84</f>
        <v>0.54667200381524972</v>
      </c>
      <c r="AZ74">
        <f>Model!BH84</f>
        <v>0.40696568236233049</v>
      </c>
      <c r="BA74">
        <f>Model!BI84</f>
        <v>0.31606225827378387</v>
      </c>
      <c r="BB74">
        <f>Model!BJ84</f>
        <v>0.4162538705283429</v>
      </c>
      <c r="BC74">
        <f>Model!BK84</f>
        <v>0.53781399803425201</v>
      </c>
      <c r="BD74">
        <f>Model!BL84</f>
        <v>0.39268627264211159</v>
      </c>
      <c r="BE74">
        <f>Model!BM84</f>
        <v>0.32816176088948867</v>
      </c>
      <c r="BF74">
        <f>Model!BN84</f>
        <v>0.40146872324742072</v>
      </c>
      <c r="BG74">
        <f>Model!BO84</f>
        <v>0.51851160582264444</v>
      </c>
      <c r="BH74">
        <f>Model!BP84</f>
        <v>0.37433188928067068</v>
      </c>
      <c r="BI74">
        <f>Model!BQ84</f>
        <v>0.27561480556572149</v>
      </c>
      <c r="BJ74">
        <f>Model!BR84</f>
        <v>0.34448943239686836</v>
      </c>
      <c r="BK74">
        <f>Model!BS84</f>
        <v>0.51480686272979648</v>
      </c>
      <c r="BL74">
        <f>Model!BT84</f>
        <v>0.37281756831896412</v>
      </c>
      <c r="BM74">
        <f>Model!BU84</f>
        <v>0.29349723934734689</v>
      </c>
      <c r="BN74">
        <f>Model!BV84</f>
        <v>0.31913830583195946</v>
      </c>
      <c r="BO74">
        <f>Model!BW84</f>
        <v>0.50594709538394844</v>
      </c>
      <c r="BP74">
        <f>Model!BX84</f>
        <v>0.36552286741865625</v>
      </c>
      <c r="BQ74">
        <f>Model!BY84</f>
        <v>0.25682075712171215</v>
      </c>
      <c r="BR74">
        <f>Model!BZ84</f>
        <v>0.31655788609986962</v>
      </c>
      <c r="BS74">
        <f>Model!CA84</f>
        <v>0.49081540445389515</v>
      </c>
      <c r="BT74">
        <f>Model!CB84</f>
        <v>0.37276471032075387</v>
      </c>
      <c r="BU74">
        <f>Model!CC84</f>
        <v>0.25372456207673494</v>
      </c>
      <c r="BV74">
        <f>Model!CD84</f>
        <v>0.32262013641266013</v>
      </c>
      <c r="BW74">
        <f>Model!CE84</f>
        <v>0.4979531259725446</v>
      </c>
      <c r="BX74">
        <f>Model!CF84</f>
        <v>0.3912467434264561</v>
      </c>
      <c r="BY74">
        <f>Model!CG84</f>
        <v>0</v>
      </c>
      <c r="BZ74">
        <f>Model!CH84</f>
        <v>0</v>
      </c>
      <c r="CA74">
        <f>Model!CI84</f>
        <v>0</v>
      </c>
      <c r="CB74">
        <f>Model!CJ84</f>
        <v>5.1731816780293829E-2</v>
      </c>
      <c r="CC74">
        <f>Model!CK84</f>
        <v>0.16583556644907263</v>
      </c>
      <c r="CD74">
        <f>Model!CL84</f>
        <v>0.14662590327959979</v>
      </c>
      <c r="CE74">
        <f>Model!CM84</f>
        <v>0.21031480073623593</v>
      </c>
      <c r="CF74">
        <f>Model!CN84</f>
        <v>0.32158431460927356</v>
      </c>
      <c r="CG74">
        <f>Model!CO84</f>
        <v>0.33252263928508297</v>
      </c>
      <c r="CH74">
        <f>Model!CP84</f>
        <v>0.39300883671237158</v>
      </c>
      <c r="CI74">
        <f>Model!CQ84</f>
        <v>0.42900149137209365</v>
      </c>
      <c r="CJ74">
        <f>Model!CR84</f>
        <v>0.46480122602179319</v>
      </c>
      <c r="CK74">
        <f>Model!CS84</f>
        <v>0.45598933903015459</v>
      </c>
      <c r="CL74">
        <f>Model!CT84</f>
        <v>0.43535997743831845</v>
      </c>
      <c r="CM74">
        <f>Model!CU84</f>
        <v>0.42231488648005766</v>
      </c>
      <c r="CN74">
        <f>Model!CV84</f>
        <v>0.39570546684766061</v>
      </c>
      <c r="CO74">
        <f>Model!CW84</f>
        <v>0.38935617272915179</v>
      </c>
      <c r="CP74">
        <f>Model!CX84</f>
        <v>0.37918972981474253</v>
      </c>
      <c r="CQ74">
        <f>Model!CY84</f>
        <v>0.384790701925316</v>
      </c>
      <c r="CR74">
        <f>Model!DG84</f>
        <v>0</v>
      </c>
      <c r="CS74">
        <f>Model!DH84</f>
        <v>0</v>
      </c>
      <c r="CT74">
        <f>Model!DI84</f>
        <v>0</v>
      </c>
      <c r="CU74">
        <f>Model!DJ84</f>
        <v>0</v>
      </c>
    </row>
    <row r="75" spans="1:99">
      <c r="A75" t="str">
        <f>Model!I87</f>
        <v>Adjusted EBITDA (old Non-GAAP method)</v>
      </c>
      <c r="B75">
        <f>Model!J87</f>
        <v>0</v>
      </c>
      <c r="C75">
        <f>Model!K87</f>
        <v>0</v>
      </c>
      <c r="D75">
        <f>Model!L87</f>
        <v>0</v>
      </c>
      <c r="E75">
        <f>Model!M87</f>
        <v>0</v>
      </c>
      <c r="F75">
        <f>Model!N87</f>
        <v>0</v>
      </c>
      <c r="G75">
        <f>Model!O87</f>
        <v>0</v>
      </c>
      <c r="H75">
        <f>Model!P87</f>
        <v>0</v>
      </c>
      <c r="I75">
        <f>Model!Q87</f>
        <v>0</v>
      </c>
      <c r="J75">
        <f>Model!R87</f>
        <v>0</v>
      </c>
      <c r="K75">
        <f>Model!S87</f>
        <v>0</v>
      </c>
      <c r="L75">
        <f>Model!T87</f>
        <v>0</v>
      </c>
      <c r="M75">
        <f>Model!U87</f>
        <v>0</v>
      </c>
      <c r="N75">
        <f>Model!V87</f>
        <v>0</v>
      </c>
      <c r="O75">
        <f>Model!W87</f>
        <v>0</v>
      </c>
      <c r="P75">
        <f>Model!X87</f>
        <v>0</v>
      </c>
      <c r="Q75">
        <f>Model!Y87</f>
        <v>0</v>
      </c>
      <c r="R75">
        <f>Model!Z87</f>
        <v>0</v>
      </c>
      <c r="S75">
        <f>Model!AA87</f>
        <v>0</v>
      </c>
      <c r="T75">
        <f>Model!AB87</f>
        <v>0</v>
      </c>
      <c r="U75">
        <f>Model!AC87</f>
        <v>0</v>
      </c>
      <c r="V75">
        <f>Model!AD87</f>
        <v>0</v>
      </c>
      <c r="W75">
        <f>Model!AE87</f>
        <v>0</v>
      </c>
      <c r="X75">
        <f>Model!AF87</f>
        <v>0</v>
      </c>
      <c r="Y75">
        <f>Model!AG87</f>
        <v>10.409000000000002</v>
      </c>
      <c r="Z75">
        <f>Model!AH87</f>
        <v>30.962000000000003</v>
      </c>
      <c r="AA75">
        <f>Model!AI87</f>
        <v>41.319000000000003</v>
      </c>
      <c r="AB75">
        <f>Model!AJ87</f>
        <v>25.778999999999957</v>
      </c>
      <c r="AC75">
        <f>Model!AK87</f>
        <v>19.139000000000038</v>
      </c>
      <c r="AD75">
        <f>Model!AL87</f>
        <v>57.861999999999945</v>
      </c>
      <c r="AE75">
        <f>Model!AM87</f>
        <v>89.984999999999985</v>
      </c>
      <c r="AF75">
        <f>Model!AN87</f>
        <v>57.902000000000001</v>
      </c>
      <c r="AG75">
        <f>Model!AO87</f>
        <v>47.733000000000004</v>
      </c>
      <c r="AH75">
        <f>Model!AP87</f>
        <v>101.31100000000004</v>
      </c>
      <c r="AI75">
        <f>Model!AQ87</f>
        <v>152.44800000000004</v>
      </c>
      <c r="AJ75">
        <f>Model!AR87</f>
        <v>76.101999999999975</v>
      </c>
      <c r="AK75">
        <f>Model!AS87</f>
        <v>63.743000000000009</v>
      </c>
      <c r="AL75">
        <f>Model!AT87</f>
        <v>126.22200000000001</v>
      </c>
      <c r="AM75">
        <f>Model!AU87</f>
        <v>224.577</v>
      </c>
      <c r="AN75">
        <f>Model!AV87</f>
        <v>133.16300000000004</v>
      </c>
      <c r="AO75">
        <f>Model!AW87</f>
        <v>111.71799999999988</v>
      </c>
      <c r="AP75">
        <f>Model!AX87</f>
        <v>204.20699999999988</v>
      </c>
      <c r="AQ75">
        <f>Model!AY87</f>
        <v>362.53099999999984</v>
      </c>
      <c r="AR75">
        <f>Model!AZ87</f>
        <v>222.92500000000007</v>
      </c>
      <c r="AS75">
        <f>Model!BA87</f>
        <v>173.458</v>
      </c>
      <c r="AT75">
        <f>Model!BB87</f>
        <v>349.05300000000005</v>
      </c>
      <c r="AU75">
        <f>Model!BC87</f>
        <v>644.46000000000015</v>
      </c>
      <c r="AV75">
        <f>Model!BD87</f>
        <v>344.00400000000008</v>
      </c>
      <c r="AW75">
        <f>Model!BE87</f>
        <v>271.52000000000004</v>
      </c>
      <c r="AX75">
        <f>Model!BF87</f>
        <v>494.83499999999992</v>
      </c>
      <c r="AY75">
        <f>Model!BG87</f>
        <v>780.89800000000002</v>
      </c>
      <c r="AZ75">
        <f>Model!BH87</f>
        <v>425.65100000000012</v>
      </c>
      <c r="BA75">
        <f>Model!BI87</f>
        <v>368.23599999999988</v>
      </c>
      <c r="BB75">
        <f>Model!BJ87</f>
        <v>621.25599999999986</v>
      </c>
      <c r="BC75">
        <f>Model!BK87</f>
        <v>1113.9169999999997</v>
      </c>
      <c r="BD75">
        <f>Model!BL87</f>
        <v>578.09499999999991</v>
      </c>
      <c r="BE75">
        <f>Model!BM87</f>
        <v>513.33199999999999</v>
      </c>
      <c r="BF75">
        <f>Model!BN87</f>
        <v>809.42499999999995</v>
      </c>
      <c r="BG75">
        <f>Model!BO87</f>
        <v>1429.9110000000003</v>
      </c>
      <c r="BH75">
        <f>Model!BP87</f>
        <v>711.71399999999994</v>
      </c>
      <c r="BI75">
        <f>Model!BQ87</f>
        <v>531.7349999999999</v>
      </c>
      <c r="BJ75">
        <f>Model!BR87</f>
        <v>804.72500000000014</v>
      </c>
      <c r="BK75">
        <f>Model!BS87</f>
        <v>1596.597</v>
      </c>
      <c r="BL75">
        <f>Model!BT87</f>
        <v>789.59599999999966</v>
      </c>
      <c r="BM75">
        <f>Model!BU87</f>
        <v>676.26099999999951</v>
      </c>
      <c r="BN75">
        <f>Model!BV87</f>
        <v>867.09200000000021</v>
      </c>
      <c r="BO75">
        <f>Model!BW87</f>
        <v>1902.3150000000005</v>
      </c>
      <c r="BP75">
        <f>Model!BX87</f>
        <v>943.14099999999974</v>
      </c>
      <c r="BQ75">
        <f>Model!BY87</f>
        <v>693.71299999999997</v>
      </c>
      <c r="BR75">
        <f>Model!BZ87</f>
        <v>1041.0160000000005</v>
      </c>
      <c r="BS75">
        <f>Model!CA87</f>
        <v>2254.0970000000002</v>
      </c>
      <c r="BT75">
        <f>Model!CB87</f>
        <v>1139.3159999999998</v>
      </c>
      <c r="BU75">
        <f>Model!CC87</f>
        <v>828.3193515553229</v>
      </c>
      <c r="BV75">
        <f>Model!CD87</f>
        <v>1282.2327475840202</v>
      </c>
      <c r="BW75">
        <f>Model!CE87</f>
        <v>2629.0005533780973</v>
      </c>
      <c r="BX75">
        <f>Model!CF87</f>
        <v>1465.8994563980068</v>
      </c>
      <c r="BY75">
        <f>Model!CG87</f>
        <v>0</v>
      </c>
      <c r="BZ75">
        <f>Model!CH87</f>
        <v>0</v>
      </c>
      <c r="CA75">
        <f>Model!CI87</f>
        <v>0</v>
      </c>
      <c r="CB75">
        <f>Model!CJ87</f>
        <v>19.793999999999997</v>
      </c>
      <c r="CC75">
        <f>Model!CK87</f>
        <v>48.624000000000031</v>
      </c>
      <c r="CD75">
        <f>Model!CL87</f>
        <v>68.875000000000043</v>
      </c>
      <c r="CE75">
        <f>Model!CM87</f>
        <v>108.46900000000016</v>
      </c>
      <c r="CF75">
        <f>Model!CN87</f>
        <v>221.54199999999966</v>
      </c>
      <c r="CG75">
        <f>Model!CO87</f>
        <v>388.50800000000004</v>
      </c>
      <c r="CH75">
        <f>Model!CP87</f>
        <v>564.8599999999999</v>
      </c>
      <c r="CI75">
        <f>Model!CQ87</f>
        <v>901.38099999999974</v>
      </c>
      <c r="CJ75">
        <f>Model!CR87</f>
        <v>1510.9750000000004</v>
      </c>
      <c r="CK75">
        <f>Model!CS87</f>
        <v>1972.9040000000009</v>
      </c>
      <c r="CL75">
        <f>Model!CT87</f>
        <v>2681.5039999999995</v>
      </c>
      <c r="CM75">
        <f>Model!CU87</f>
        <v>3464.3819999999987</v>
      </c>
      <c r="CN75">
        <f>Model!CV87</f>
        <v>3722.6529999999993</v>
      </c>
      <c r="CO75">
        <f>Model!CW87</f>
        <v>4388.8089999999993</v>
      </c>
      <c r="CP75">
        <f>Model!CX87</f>
        <v>5128.1419999999989</v>
      </c>
      <c r="CQ75">
        <f>Model!CY87</f>
        <v>6205.4521089154487</v>
      </c>
      <c r="CR75">
        <f>Model!DG87</f>
        <v>0.32797173465502083</v>
      </c>
      <c r="CS75">
        <f>Model!DH87</f>
        <v>0.16539009642064162</v>
      </c>
      <c r="CT75">
        <f>Model!DI87</f>
        <v>0</v>
      </c>
      <c r="CU75">
        <f>Model!DJ87</f>
        <v>0</v>
      </c>
    </row>
    <row r="76" spans="1:99">
      <c r="A76" t="str">
        <f>Model!I88</f>
        <v>EBITDA Margin % of GP</v>
      </c>
      <c r="B76">
        <f>Model!J88</f>
        <v>0</v>
      </c>
      <c r="C76">
        <f>Model!K88</f>
        <v>0</v>
      </c>
      <c r="D76">
        <f>Model!L88</f>
        <v>0</v>
      </c>
      <c r="E76">
        <f>Model!M88</f>
        <v>0</v>
      </c>
      <c r="F76">
        <f>Model!N88</f>
        <v>0</v>
      </c>
      <c r="G76">
        <f>Model!O88</f>
        <v>0</v>
      </c>
      <c r="H76">
        <f>Model!P88</f>
        <v>0</v>
      </c>
      <c r="I76">
        <f>Model!Q88</f>
        <v>0</v>
      </c>
      <c r="J76">
        <f>Model!R88</f>
        <v>0</v>
      </c>
      <c r="K76">
        <f>Model!S88</f>
        <v>0</v>
      </c>
      <c r="L76">
        <f>Model!T88</f>
        <v>0</v>
      </c>
      <c r="M76">
        <f>Model!U88</f>
        <v>0</v>
      </c>
      <c r="N76">
        <f>Model!V88</f>
        <v>0</v>
      </c>
      <c r="O76">
        <f>Model!W88</f>
        <v>0</v>
      </c>
      <c r="P76">
        <f>Model!X88</f>
        <v>0</v>
      </c>
      <c r="Q76">
        <f>Model!Y88</f>
        <v>0</v>
      </c>
      <c r="R76">
        <f>Model!Z88</f>
        <v>0</v>
      </c>
      <c r="S76">
        <f>Model!AA88</f>
        <v>0</v>
      </c>
      <c r="T76">
        <f>Model!AB88</f>
        <v>0</v>
      </c>
      <c r="U76">
        <f>Model!AC88</f>
        <v>0</v>
      </c>
      <c r="V76">
        <f>Model!AD88</f>
        <v>0</v>
      </c>
      <c r="W76">
        <f>Model!AE88</f>
        <v>0</v>
      </c>
      <c r="X76">
        <f>Model!AF88</f>
        <v>0</v>
      </c>
      <c r="Y76">
        <f>Model!AG88</f>
        <v>0.14410710082928388</v>
      </c>
      <c r="Z76">
        <f>Model!AH88</f>
        <v>0.29263543911383316</v>
      </c>
      <c r="AA76">
        <f>Model!AI88</f>
        <v>0.3377943100065402</v>
      </c>
      <c r="AB76">
        <f>Model!AJ88</f>
        <v>0.25904116884552353</v>
      </c>
      <c r="AC76">
        <f>Model!AK88</f>
        <v>0.18431417868045757</v>
      </c>
      <c r="AD76">
        <f>Model!AL88</f>
        <v>0.37356110347142846</v>
      </c>
      <c r="AE76">
        <f>Model!AM88</f>
        <v>0.44474153738181488</v>
      </c>
      <c r="AF76">
        <f>Model!AN88</f>
        <v>0.36154403316848993</v>
      </c>
      <c r="AG76">
        <f>Model!AO88</f>
        <v>0.2635682456944391</v>
      </c>
      <c r="AH76">
        <f>Model!AP88</f>
        <v>0.39929451177455916</v>
      </c>
      <c r="AI76">
        <f>Model!AQ88</f>
        <v>0.48231132821645295</v>
      </c>
      <c r="AJ76">
        <f>Model!AR88</f>
        <v>0.37111159876136823</v>
      </c>
      <c r="AK76">
        <f>Model!AS88</f>
        <v>0.30597129554072872</v>
      </c>
      <c r="AL76">
        <f>Model!AT88</f>
        <v>0.41351994181589452</v>
      </c>
      <c r="AM76">
        <f>Model!AU88</f>
        <v>0.51745137164002342</v>
      </c>
      <c r="AN76">
        <f>Model!AV88</f>
        <v>0.42518415397731085</v>
      </c>
      <c r="AO76">
        <f>Model!AW88</f>
        <v>0.35008586219431154</v>
      </c>
      <c r="AP76">
        <f>Model!AX88</f>
        <v>0.45767441235006168</v>
      </c>
      <c r="AQ76">
        <f>Model!AY88</f>
        <v>0.54254214256638633</v>
      </c>
      <c r="AR76">
        <f>Model!AZ88</f>
        <v>0.46426652449361272</v>
      </c>
      <c r="AS76">
        <f>Model!BA88</f>
        <v>0.34293249612501181</v>
      </c>
      <c r="AT76">
        <f>Model!BB88</f>
        <v>0.46588417128587201</v>
      </c>
      <c r="AU76">
        <f>Model!BC88</f>
        <v>0.58579391136465286</v>
      </c>
      <c r="AV76">
        <f>Model!BD88</f>
        <v>0.47468666214983651</v>
      </c>
      <c r="AW76">
        <f>Model!BE88</f>
        <v>0.365295820731668</v>
      </c>
      <c r="AX76">
        <f>Model!BF88</f>
        <v>0.49279384788207237</v>
      </c>
      <c r="AY76">
        <f>Model!BG88</f>
        <v>0.55918184090093748</v>
      </c>
      <c r="AZ76">
        <f>Model!BH88</f>
        <v>0.4529406757116255</v>
      </c>
      <c r="BA76">
        <f>Model!BI88</f>
        <v>0.3647110675323002</v>
      </c>
      <c r="BB76">
        <f>Model!BJ88</f>
        <v>0.44893142706425154</v>
      </c>
      <c r="BC76">
        <f>Model!BK88</f>
        <v>0.56002041160042526</v>
      </c>
      <c r="BD76">
        <f>Model!BL88</f>
        <v>0.43358176435778562</v>
      </c>
      <c r="BE76">
        <f>Model!BM88</f>
        <v>0.36497873045373841</v>
      </c>
      <c r="BF76">
        <f>Model!BN88</f>
        <v>0.42986018026591666</v>
      </c>
      <c r="BG76">
        <f>Model!BO88</f>
        <v>0.54577214007140529</v>
      </c>
      <c r="BH76">
        <f>Model!BP88</f>
        <v>0.42498380292413196</v>
      </c>
      <c r="BI76">
        <f>Model!BQ88</f>
        <v>0.31797844323408891</v>
      </c>
      <c r="BJ76">
        <f>Model!BR88</f>
        <v>0.3845012628374137</v>
      </c>
      <c r="BK76">
        <f>Model!BS88</f>
        <v>0.54171843752990045</v>
      </c>
      <c r="BL76">
        <f>Model!BT88</f>
        <v>0.42013575732035446</v>
      </c>
      <c r="BM76">
        <f>Model!BU88</f>
        <v>0.33487385179132917</v>
      </c>
      <c r="BN76">
        <f>Model!BV88</f>
        <v>0.35685471092896676</v>
      </c>
      <c r="BO76">
        <f>Model!BW88</f>
        <v>0.53003109725296005</v>
      </c>
      <c r="BP76">
        <f>Model!BX88</f>
        <v>0.41431960923596906</v>
      </c>
      <c r="BQ76">
        <f>Model!BY88</f>
        <v>0.29719072843993855</v>
      </c>
      <c r="BR76">
        <f>Model!BZ88</f>
        <v>0.35266991754900567</v>
      </c>
      <c r="BS76">
        <f>Model!CA88</f>
        <v>0.51527481779281226</v>
      </c>
      <c r="BT76">
        <f>Model!CB88</f>
        <v>0.41131387902205924</v>
      </c>
      <c r="BU76">
        <f>Model!CC88</f>
        <v>0.29609453272320457</v>
      </c>
      <c r="BV76">
        <f>Model!CD88</f>
        <v>0.35995663422878171</v>
      </c>
      <c r="BW76">
        <f>Model!CE88</f>
        <v>0.52533666305693749</v>
      </c>
      <c r="BX76">
        <f>Model!CF88</f>
        <v>0.43398175289260771</v>
      </c>
      <c r="BY76">
        <f>Model!CG88</f>
        <v>0</v>
      </c>
      <c r="BZ76">
        <f>Model!CH88</f>
        <v>0</v>
      </c>
      <c r="CA76">
        <f>Model!CI88</f>
        <v>0</v>
      </c>
      <c r="CB76">
        <f>Model!CJ88</f>
        <v>0.13562643461577989</v>
      </c>
      <c r="CC76">
        <f>Model!CK88</f>
        <v>0.24174327206558663</v>
      </c>
      <c r="CD76">
        <f>Model!CL88</f>
        <v>0.25523438947563476</v>
      </c>
      <c r="CE76">
        <f>Model!CM88</f>
        <v>0.27125930297695289</v>
      </c>
      <c r="CF76">
        <f>Model!CN88</f>
        <v>0.35662693270445783</v>
      </c>
      <c r="CG76">
        <f>Model!CO88</f>
        <v>0.40640144941635259</v>
      </c>
      <c r="CH76">
        <f>Model!CP88</f>
        <v>0.44803028007642987</v>
      </c>
      <c r="CI76">
        <f>Model!CQ88</f>
        <v>0.47102118751678701</v>
      </c>
      <c r="CJ76">
        <f>Model!CR88</f>
        <v>0.49059541280829128</v>
      </c>
      <c r="CK76">
        <f>Model!CS88</f>
        <v>0.48311902913082594</v>
      </c>
      <c r="CL76">
        <f>Model!CT88</f>
        <v>0.46913181963391137</v>
      </c>
      <c r="CM76">
        <f>Model!CU88</f>
        <v>0.45679359399166403</v>
      </c>
      <c r="CN76">
        <f>Model!CV88</f>
        <v>0.43327940210947474</v>
      </c>
      <c r="CO76">
        <f>Model!CW88</f>
        <v>0.42549103744445299</v>
      </c>
      <c r="CP76">
        <f>Model!CX88</f>
        <v>0.4125436173554739</v>
      </c>
      <c r="CQ76">
        <f>Model!CY88</f>
        <v>0.420940606076323</v>
      </c>
      <c r="CR76">
        <f>Model!DG88</f>
        <v>0</v>
      </c>
      <c r="CS76">
        <f>Model!DH88</f>
        <v>0</v>
      </c>
      <c r="CT76">
        <f>Model!DI88</f>
        <v>0</v>
      </c>
      <c r="CU76">
        <f>Model!DJ88</f>
        <v>0</v>
      </c>
    </row>
    <row r="77" spans="1:99">
      <c r="A77" t="str">
        <f>Model!I89</f>
        <v>% change Y/Y (in bp)</v>
      </c>
      <c r="B77">
        <f>Model!J89</f>
        <v>0</v>
      </c>
      <c r="C77">
        <f>Model!K89</f>
        <v>0</v>
      </c>
      <c r="D77">
        <f>Model!L89</f>
        <v>0</v>
      </c>
      <c r="E77">
        <f>Model!M89</f>
        <v>0</v>
      </c>
      <c r="F77">
        <f>Model!N89</f>
        <v>0</v>
      </c>
      <c r="G77">
        <f>Model!O89</f>
        <v>0</v>
      </c>
      <c r="H77">
        <f>Model!P89</f>
        <v>0</v>
      </c>
      <c r="I77">
        <f>Model!Q89</f>
        <v>0</v>
      </c>
      <c r="J77">
        <f>Model!R89</f>
        <v>0</v>
      </c>
      <c r="K77">
        <f>Model!S89</f>
        <v>0</v>
      </c>
      <c r="L77">
        <f>Model!T89</f>
        <v>0</v>
      </c>
      <c r="M77">
        <f>Model!U89</f>
        <v>0</v>
      </c>
      <c r="N77">
        <f>Model!V89</f>
        <v>0</v>
      </c>
      <c r="O77">
        <f>Model!W89</f>
        <v>0</v>
      </c>
      <c r="P77">
        <f>Model!X89</f>
        <v>0</v>
      </c>
      <c r="Q77">
        <f>Model!Y89</f>
        <v>0</v>
      </c>
      <c r="R77">
        <f>Model!Z89</f>
        <v>0</v>
      </c>
      <c r="S77">
        <f>Model!AA89</f>
        <v>0</v>
      </c>
      <c r="T77">
        <f>Model!AB89</f>
        <v>0</v>
      </c>
      <c r="U77">
        <f>Model!AC89</f>
        <v>0</v>
      </c>
      <c r="V77">
        <f>Model!AD89</f>
        <v>0</v>
      </c>
      <c r="W77">
        <f>Model!AE89</f>
        <v>0</v>
      </c>
      <c r="X77">
        <f>Model!AF89</f>
        <v>0</v>
      </c>
      <c r="Y77">
        <f>Model!AG89</f>
        <v>0</v>
      </c>
      <c r="Z77">
        <f>Model!AH89</f>
        <v>0</v>
      </c>
      <c r="AA77">
        <f>Model!AI89</f>
        <v>0</v>
      </c>
      <c r="AB77">
        <f>Model!AJ89</f>
        <v>0</v>
      </c>
      <c r="AC77">
        <f>Model!AK89</f>
        <v>402.07077851173693</v>
      </c>
      <c r="AD77">
        <f>Model!AL89</f>
        <v>809.25664357595292</v>
      </c>
      <c r="AE77">
        <f>Model!AM89</f>
        <v>1069.4722737527468</v>
      </c>
      <c r="AF77">
        <f>Model!AN89</f>
        <v>1025.0286432296641</v>
      </c>
      <c r="AG77">
        <f>Model!AO89</f>
        <v>792.54067013981523</v>
      </c>
      <c r="AH77">
        <f>Model!AP89</f>
        <v>257.33408303130699</v>
      </c>
      <c r="AI77">
        <f>Model!AQ89</f>
        <v>375.6979083463807</v>
      </c>
      <c r="AJ77">
        <f>Model!AR89</f>
        <v>95.675655928783016</v>
      </c>
      <c r="AK77">
        <f>Model!AS89</f>
        <v>424.03049846289622</v>
      </c>
      <c r="AL77">
        <f>Model!AT89</f>
        <v>142.25430041335363</v>
      </c>
      <c r="AM77">
        <f>Model!AU89</f>
        <v>351.40043423570467</v>
      </c>
      <c r="AN77">
        <f>Model!AV89</f>
        <v>540.72555215942623</v>
      </c>
      <c r="AO77">
        <f>Model!AW89</f>
        <v>441.14566653582818</v>
      </c>
      <c r="AP77">
        <f>Model!AX89</f>
        <v>441.54470534167154</v>
      </c>
      <c r="AQ77">
        <f>Model!AY89</f>
        <v>250.90770926362916</v>
      </c>
      <c r="AR77">
        <f>Model!AZ89</f>
        <v>390.8237051630187</v>
      </c>
      <c r="AS77">
        <f>Model!BA89</f>
        <v>-71.533660692997273</v>
      </c>
      <c r="AT77">
        <f>Model!BB89</f>
        <v>82.097589358103292</v>
      </c>
      <c r="AU77">
        <f>Model!BC89</f>
        <v>432.51768798266534</v>
      </c>
      <c r="AV77">
        <f>Model!BD89</f>
        <v>104.20137656223794</v>
      </c>
      <c r="AW77">
        <f>Model!BE89</f>
        <v>223.63324606656187</v>
      </c>
      <c r="AX77">
        <f>Model!BF89</f>
        <v>269.09676596200359</v>
      </c>
      <c r="AY77">
        <f>Model!BG89</f>
        <v>-266.12070463715389</v>
      </c>
      <c r="AZ77">
        <f>Model!BH89</f>
        <v>-217.45986438211017</v>
      </c>
      <c r="BA77">
        <f>Model!BI89</f>
        <v>-5.8475319936779346</v>
      </c>
      <c r="BB77">
        <f>Model!BJ89</f>
        <v>-438.62420817820822</v>
      </c>
      <c r="BC77">
        <f>Model!BK89</f>
        <v>8.3857069948778395</v>
      </c>
      <c r="BD77">
        <f>Model!BL89</f>
        <v>-193.58911353839881</v>
      </c>
      <c r="BE77">
        <f>Model!BM89</f>
        <v>2.6766292143820536</v>
      </c>
      <c r="BF77">
        <f>Model!BN89</f>
        <v>-190.71246798334883</v>
      </c>
      <c r="BG77">
        <f>Model!BO89</f>
        <v>-142.48271529019974</v>
      </c>
      <c r="BH77">
        <f>Model!BP89</f>
        <v>-85.979614336536557</v>
      </c>
      <c r="BI77">
        <f>Model!BQ89</f>
        <v>-470.00287219649493</v>
      </c>
      <c r="BJ77">
        <f>Model!BR89</f>
        <v>-453.58917428502951</v>
      </c>
      <c r="BK77">
        <f>Model!BS89</f>
        <v>-40.537025415048333</v>
      </c>
      <c r="BL77">
        <f>Model!BT89</f>
        <v>-48.480456037774957</v>
      </c>
      <c r="BM77">
        <f>Model!BU89</f>
        <v>168.95408557240253</v>
      </c>
      <c r="BN77">
        <f>Model!BV89</f>
        <v>-276.46551908446946</v>
      </c>
      <c r="BO77">
        <f>Model!BW89</f>
        <v>-116.87340276940405</v>
      </c>
      <c r="BP77">
        <f>Model!BX89</f>
        <v>-58.161480843854086</v>
      </c>
      <c r="BQ77">
        <f>Model!BY89</f>
        <v>-376.83123351390623</v>
      </c>
      <c r="BR77">
        <f>Model!BZ89</f>
        <v>-41.847933799610828</v>
      </c>
      <c r="BS77">
        <f>Model!CA89</f>
        <v>-147.56279460147792</v>
      </c>
      <c r="BT77">
        <f>Model!CB89</f>
        <v>-30.057302139098184</v>
      </c>
      <c r="BU77">
        <f>Model!CC89</f>
        <v>-10.961957167339719</v>
      </c>
      <c r="BV77">
        <f>Model!CD89</f>
        <v>72.86716679776039</v>
      </c>
      <c r="BW77">
        <f>Model!CE89</f>
        <v>100.61845264125236</v>
      </c>
      <c r="BX77">
        <f>Model!CF89</f>
        <v>226.6787387054847</v>
      </c>
      <c r="BY77">
        <f>Model!CG89</f>
        <v>0</v>
      </c>
      <c r="BZ77">
        <f>Model!CH89</f>
        <v>0</v>
      </c>
      <c r="CA77">
        <f>Model!CI89</f>
        <v>0</v>
      </c>
      <c r="CB77">
        <f>Model!CJ89</f>
        <v>1356.2643461577989</v>
      </c>
      <c r="CC77">
        <f>Model!CK89</f>
        <v>1061.1683744980674</v>
      </c>
      <c r="CD77">
        <f>Model!CL89</f>
        <v>134.9111741004813</v>
      </c>
      <c r="CE77">
        <f>Model!CM89</f>
        <v>160.24913501318127</v>
      </c>
      <c r="CF77">
        <f>Model!CN89</f>
        <v>853.67629727504948</v>
      </c>
      <c r="CG77">
        <f>Model!CO89</f>
        <v>497.74516711894756</v>
      </c>
      <c r="CH77">
        <f>Model!CP89</f>
        <v>416.28830660077278</v>
      </c>
      <c r="CI77">
        <f>Model!CQ89</f>
        <v>229.90907440357145</v>
      </c>
      <c r="CJ77">
        <f>Model!CR89</f>
        <v>195.74225291504266</v>
      </c>
      <c r="CK77">
        <f>Model!CS89</f>
        <v>-74.76383677465337</v>
      </c>
      <c r="CL77">
        <f>Model!CT89</f>
        <v>-139.87209496914565</v>
      </c>
      <c r="CM77">
        <f>Model!CU89</f>
        <v>-123.38225642247347</v>
      </c>
      <c r="CN77">
        <f>Model!CV89</f>
        <v>-235.14191882189283</v>
      </c>
      <c r="CO77">
        <f>Model!CW89</f>
        <v>-77.883646650217514</v>
      </c>
      <c r="CP77">
        <f>Model!CX89</f>
        <v>-129.47420088979089</v>
      </c>
      <c r="CQ77">
        <f>Model!CY89</f>
        <v>83.969887208490974</v>
      </c>
      <c r="CR77">
        <f>Model!DG89</f>
        <v>0</v>
      </c>
      <c r="CS77">
        <f>Model!DH89</f>
        <v>0</v>
      </c>
      <c r="CT77">
        <f>Model!DI89</f>
        <v>0</v>
      </c>
      <c r="CU77">
        <f>Model!DJ89</f>
        <v>0</v>
      </c>
    </row>
    <row r="78" spans="1:99">
      <c r="A78" t="str">
        <f>Model!I90</f>
        <v>Incremental Margin (% of Gross Profit)</v>
      </c>
      <c r="B78">
        <f>Model!J90</f>
        <v>0</v>
      </c>
      <c r="C78">
        <f>Model!K90</f>
        <v>0</v>
      </c>
      <c r="D78">
        <f>Model!L90</f>
        <v>0</v>
      </c>
      <c r="E78">
        <f>Model!M90</f>
        <v>0</v>
      </c>
      <c r="F78">
        <f>Model!N90</f>
        <v>0</v>
      </c>
      <c r="G78">
        <f>Model!O90</f>
        <v>0</v>
      </c>
      <c r="H78">
        <f>Model!P90</f>
        <v>0</v>
      </c>
      <c r="I78">
        <f>Model!Q90</f>
        <v>0</v>
      </c>
      <c r="J78">
        <f>Model!R90</f>
        <v>0</v>
      </c>
      <c r="K78">
        <f>Model!S90</f>
        <v>0</v>
      </c>
      <c r="L78">
        <f>Model!T90</f>
        <v>0</v>
      </c>
      <c r="M78">
        <f>Model!U90</f>
        <v>0</v>
      </c>
      <c r="N78">
        <f>Model!V90</f>
        <v>0</v>
      </c>
      <c r="O78">
        <f>Model!W90</f>
        <v>0</v>
      </c>
      <c r="P78">
        <f>Model!X90</f>
        <v>0</v>
      </c>
      <c r="Q78">
        <f>Model!Y90</f>
        <v>0</v>
      </c>
      <c r="R78">
        <f>Model!Z90</f>
        <v>0</v>
      </c>
      <c r="S78">
        <f>Model!AA90</f>
        <v>0</v>
      </c>
      <c r="T78">
        <f>Model!AB90</f>
        <v>0</v>
      </c>
      <c r="U78">
        <f>Model!AC90</f>
        <v>0</v>
      </c>
      <c r="V78">
        <f>Model!AD90</f>
        <v>0</v>
      </c>
      <c r="W78">
        <f>Model!AE90</f>
        <v>0</v>
      </c>
      <c r="X78">
        <f>Model!AF90</f>
        <v>0</v>
      </c>
      <c r="Y78">
        <f>Model!AG90</f>
        <v>0</v>
      </c>
      <c r="Z78">
        <f>Model!AH90</f>
        <v>0</v>
      </c>
      <c r="AA78">
        <f>Model!AI90</f>
        <v>0</v>
      </c>
      <c r="AB78">
        <f>Model!AJ90</f>
        <v>0</v>
      </c>
      <c r="AC78">
        <f>Model!AK90</f>
        <v>0.27619589977221043</v>
      </c>
      <c r="AD78">
        <f>Model!AL90</f>
        <v>0.54798427346248602</v>
      </c>
      <c r="AE78">
        <f>Model!AM90</f>
        <v>0.60824136681206342</v>
      </c>
      <c r="AF78">
        <f>Model!AN90</f>
        <v>0.52977653170611072</v>
      </c>
      <c r="AG78">
        <f>Model!AO90</f>
        <v>0.37008179747359665</v>
      </c>
      <c r="AH78">
        <f>Model!AP90</f>
        <v>0.43962481787275431</v>
      </c>
      <c r="AI78">
        <f>Model!AQ90</f>
        <v>0.54913975753206701</v>
      </c>
      <c r="AJ78">
        <f>Model!AR90</f>
        <v>0.40522788502215351</v>
      </c>
      <c r="AK78">
        <f>Model!AS90</f>
        <v>0.58801924560179308</v>
      </c>
      <c r="AL78">
        <f>Model!AT90</f>
        <v>0.48358666744316936</v>
      </c>
      <c r="AM78">
        <f>Model!AU90</f>
        <v>0.61163591343870838</v>
      </c>
      <c r="AN78">
        <f>Model!AV90</f>
        <v>0.52773667270911195</v>
      </c>
      <c r="AO78">
        <f>Model!AW90</f>
        <v>0.4330420811293838</v>
      </c>
      <c r="AP78">
        <f>Model!AX90</f>
        <v>0.55329700736452203</v>
      </c>
      <c r="AQ78">
        <f>Model!AY90</f>
        <v>0.58903852230126086</v>
      </c>
      <c r="AR78">
        <f>Model!AZ90</f>
        <v>0.53757104271845846</v>
      </c>
      <c r="AS78">
        <f>Model!BA90</f>
        <v>0.33070511859104867</v>
      </c>
      <c r="AT78">
        <f>Model!BB90</f>
        <v>0.47797177298271232</v>
      </c>
      <c r="AU78">
        <f>Model!BC90</f>
        <v>0.6527040792702693</v>
      </c>
      <c r="AV78">
        <f>Model!BD90</f>
        <v>0.4951478544642603</v>
      </c>
      <c r="AW78">
        <f>Model!BE90</f>
        <v>0.41292740441300346</v>
      </c>
      <c r="AX78">
        <f>Model!BF90</f>
        <v>0.57188474589569027</v>
      </c>
      <c r="AY78">
        <f>Model!BG90</f>
        <v>0.4603901428364145</v>
      </c>
      <c r="AZ78">
        <f>Model!BH90</f>
        <v>0.3796598977926372</v>
      </c>
      <c r="BA78">
        <f>Model!BI90</f>
        <v>0.36307939499281039</v>
      </c>
      <c r="BB78">
        <f>Model!BJ90</f>
        <v>0.33293829813569709</v>
      </c>
      <c r="BC78">
        <f>Model!BK90</f>
        <v>0.56199667883975357</v>
      </c>
      <c r="BD78">
        <f>Model!BL90</f>
        <v>0.38735513313395181</v>
      </c>
      <c r="BE78">
        <f>Model!BM90</f>
        <v>0.36565979345070393</v>
      </c>
      <c r="BF78">
        <f>Model!BN90</f>
        <v>0.37698566136622746</v>
      </c>
      <c r="BG78">
        <f>Model!BO90</f>
        <v>0.50085193996636701</v>
      </c>
      <c r="BH78">
        <f>Model!BP90</f>
        <v>0.39140381505870231</v>
      </c>
      <c r="BI78">
        <f>Model!BQ90</f>
        <v>6.9245385961281325E-2</v>
      </c>
      <c r="BJ78">
        <f>Model!BR90</f>
        <v>-2.2390548330235894E-2</v>
      </c>
      <c r="BK78">
        <f>Model!BS90</f>
        <v>0.50926966978710886</v>
      </c>
      <c r="BL78">
        <f>Model!BT90</f>
        <v>0.38047269636244502</v>
      </c>
      <c r="BM78">
        <f>Model!BU90</f>
        <v>0.41624473667536371</v>
      </c>
      <c r="BN78">
        <f>Model!BV90</f>
        <v>0.18511362017381403</v>
      </c>
      <c r="BO78">
        <f>Model!BW90</f>
        <v>0.47635875789404847</v>
      </c>
      <c r="BP78">
        <f>Model!BX90</f>
        <v>0.38678465809188428</v>
      </c>
      <c r="BQ78">
        <f>Model!BY90</f>
        <v>5.544101529615586E-2</v>
      </c>
      <c r="BR78">
        <f>Model!BZ90</f>
        <v>0.33319029264592148</v>
      </c>
      <c r="BS78">
        <f>Model!CA90</f>
        <v>0.44785038638302183</v>
      </c>
      <c r="BT78">
        <f>Model!CB90</f>
        <v>0.39745168989144686</v>
      </c>
      <c r="BU78">
        <f>Model!CC90</f>
        <v>0.29057096928176218</v>
      </c>
      <c r="BV78">
        <f>Model!CD90</f>
        <v>0.39519581035844553</v>
      </c>
      <c r="BW78">
        <f>Model!CE90</f>
        <v>0.59521920531659445</v>
      </c>
      <c r="BX78">
        <f>Model!CF90</f>
        <v>0.53727857511849897</v>
      </c>
      <c r="BY78">
        <f>Model!CG90</f>
        <v>0</v>
      </c>
      <c r="BZ78">
        <f>Model!CH90</f>
        <v>0</v>
      </c>
      <c r="CA78">
        <f>Model!CI90</f>
        <v>0</v>
      </c>
      <c r="CB78">
        <f>Model!CJ90</f>
        <v>0</v>
      </c>
      <c r="CC78">
        <f>Model!CK90</f>
        <v>0.52233938471573038</v>
      </c>
      <c r="CD78">
        <f>Model!CL90</f>
        <v>0.29472719069726838</v>
      </c>
      <c r="CE78">
        <f>Model!CM90</f>
        <v>0.30451769700512277</v>
      </c>
      <c r="CF78">
        <f>Model!CN90</f>
        <v>0.51084967674604465</v>
      </c>
      <c r="CG78">
        <f>Model!CO90</f>
        <v>0.49876925282892665</v>
      </c>
      <c r="CH78">
        <f>Model!CP90</f>
        <v>0.57859786346098319</v>
      </c>
      <c r="CI78">
        <f>Model!CQ90</f>
        <v>0.51541634311567719</v>
      </c>
      <c r="CJ78">
        <f>Model!CR90</f>
        <v>0.52271554082211902</v>
      </c>
      <c r="CK78">
        <f>Model!CS90</f>
        <v>0.46017985636595338</v>
      </c>
      <c r="CL78">
        <f>Model!CT90</f>
        <v>0.43413664337506547</v>
      </c>
      <c r="CM78">
        <f>Model!CU90</f>
        <v>0.4190448356852744</v>
      </c>
      <c r="CN78">
        <f>Model!CV90</f>
        <v>0.25630335911209717</v>
      </c>
      <c r="CO78">
        <f>Model!CW90</f>
        <v>0.38665145961570263</v>
      </c>
      <c r="CP78">
        <f>Model!CX90</f>
        <v>0.34942550356759183</v>
      </c>
      <c r="CQ78">
        <f>Model!CY90</f>
        <v>0.46610046091475987</v>
      </c>
      <c r="CR78">
        <f>Model!DG90</f>
        <v>0</v>
      </c>
      <c r="CS78">
        <f>Model!DH90</f>
        <v>0</v>
      </c>
      <c r="CT78">
        <f>Model!DI90</f>
        <v>0</v>
      </c>
      <c r="CU78">
        <f>Model!DJ90</f>
        <v>0</v>
      </c>
    </row>
    <row r="79" spans="1:99">
      <c r="A79" t="str">
        <f>Model!I91</f>
        <v>% change Y/Y</v>
      </c>
      <c r="B79">
        <f>Model!J91</f>
        <v>0</v>
      </c>
      <c r="C79">
        <f>Model!K91</f>
        <v>0</v>
      </c>
      <c r="D79">
        <f>Model!L91</f>
        <v>0</v>
      </c>
      <c r="E79">
        <f>Model!M91</f>
        <v>0</v>
      </c>
      <c r="F79">
        <f>Model!N91</f>
        <v>0</v>
      </c>
      <c r="G79">
        <f>Model!O91</f>
        <v>0</v>
      </c>
      <c r="H79">
        <f>Model!P91</f>
        <v>0</v>
      </c>
      <c r="I79">
        <f>Model!Q91</f>
        <v>0</v>
      </c>
      <c r="J79">
        <f>Model!R91</f>
        <v>0</v>
      </c>
      <c r="K79">
        <f>Model!S91</f>
        <v>0</v>
      </c>
      <c r="L79">
        <f>Model!T91</f>
        <v>0</v>
      </c>
      <c r="M79">
        <f>Model!U91</f>
        <v>0</v>
      </c>
      <c r="N79">
        <f>Model!V91</f>
        <v>0</v>
      </c>
      <c r="O79">
        <f>Model!W91</f>
        <v>0</v>
      </c>
      <c r="P79">
        <f>Model!X91</f>
        <v>0</v>
      </c>
      <c r="Q79">
        <f>Model!Y91</f>
        <v>0</v>
      </c>
      <c r="R79">
        <f>Model!Z91</f>
        <v>0</v>
      </c>
      <c r="S79">
        <f>Model!AA91</f>
        <v>0</v>
      </c>
      <c r="T79">
        <f>Model!AB91</f>
        <v>0</v>
      </c>
      <c r="U79">
        <f>Model!AC91</f>
        <v>0</v>
      </c>
      <c r="V79">
        <f>Model!AD91</f>
        <v>0</v>
      </c>
      <c r="W79">
        <f>Model!AE91</f>
        <v>0</v>
      </c>
      <c r="X79">
        <f>Model!AF91</f>
        <v>0</v>
      </c>
      <c r="Y79">
        <f>Model!AG91</f>
        <v>0</v>
      </c>
      <c r="Z79">
        <f>Model!AH91</f>
        <v>0</v>
      </c>
      <c r="AA79">
        <f>Model!AI91</f>
        <v>0</v>
      </c>
      <c r="AB79">
        <f>Model!AJ91</f>
        <v>0</v>
      </c>
      <c r="AC79">
        <f>Model!AK91</f>
        <v>0.83869728119896569</v>
      </c>
      <c r="AD79">
        <f>Model!AL91</f>
        <v>0.86880692461727071</v>
      </c>
      <c r="AE79">
        <f>Model!AM91</f>
        <v>1.1778116604951712</v>
      </c>
      <c r="AF79">
        <f>Model!AN91</f>
        <v>1.2460917801311182</v>
      </c>
      <c r="AG79">
        <f>Model!AO91</f>
        <v>1.4940174512774913</v>
      </c>
      <c r="AH79">
        <f>Model!AP91</f>
        <v>0.75090733123639231</v>
      </c>
      <c r="AI79">
        <f>Model!AQ91</f>
        <v>0.69414902483747354</v>
      </c>
      <c r="AJ79">
        <f>Model!AR91</f>
        <v>0.31432420296362773</v>
      </c>
      <c r="AK79">
        <f>Model!AS91</f>
        <v>0.33540737016319944</v>
      </c>
      <c r="AL79">
        <f>Model!AT91</f>
        <v>0.24588642891689916</v>
      </c>
      <c r="AM79">
        <f>Model!AU91</f>
        <v>0.47313838161209043</v>
      </c>
      <c r="AN79">
        <f>Model!AV91</f>
        <v>0.74979632598354939</v>
      </c>
      <c r="AO79">
        <f>Model!AW91</f>
        <v>0.75263166151577199</v>
      </c>
      <c r="AP79">
        <f>Model!AX91</f>
        <v>0.61783999619717545</v>
      </c>
      <c r="AQ79">
        <f>Model!AY91</f>
        <v>0.61428374232445826</v>
      </c>
      <c r="AR79">
        <f>Model!AZ91</f>
        <v>0.67407613225896079</v>
      </c>
      <c r="AS79">
        <f>Model!BA91</f>
        <v>0.55264147227841698</v>
      </c>
      <c r="AT79">
        <f>Model!BB91</f>
        <v>0.70930967106906362</v>
      </c>
      <c r="AU79">
        <f>Model!BC91</f>
        <v>0.77766866833457127</v>
      </c>
      <c r="AV79">
        <f>Model!BD91</f>
        <v>0.54313782662330357</v>
      </c>
      <c r="AW79">
        <f>Model!BE91</f>
        <v>0.5653357008613038</v>
      </c>
      <c r="AX79">
        <f>Model!BF91</f>
        <v>0.41765004168421371</v>
      </c>
      <c r="AY79">
        <f>Model!BG91</f>
        <v>0.21170902771312394</v>
      </c>
      <c r="AZ79">
        <f>Model!BH91</f>
        <v>0.23734317042825093</v>
      </c>
      <c r="BA79">
        <f>Model!BI91</f>
        <v>0.35620212139068874</v>
      </c>
      <c r="BB79">
        <f>Model!BJ91</f>
        <v>0.25548111996928258</v>
      </c>
      <c r="BC79">
        <f>Model!BK91</f>
        <v>0.42645646422452055</v>
      </c>
      <c r="BD79">
        <f>Model!BL91</f>
        <v>0.35814317363285819</v>
      </c>
      <c r="BE79">
        <f>Model!BM91</f>
        <v>0.39402991559760636</v>
      </c>
      <c r="BF79">
        <f>Model!BN91</f>
        <v>0.30288480111258509</v>
      </c>
      <c r="BG79">
        <f>Model!BO91</f>
        <v>0.28367822737241699</v>
      </c>
      <c r="BH79">
        <f>Model!BP91</f>
        <v>0.2311367508800457</v>
      </c>
      <c r="BI79">
        <f>Model!BQ91</f>
        <v>3.5850093117124837E-2</v>
      </c>
      <c r="BJ79">
        <f>Model!BR91</f>
        <v>-5.8065910986191405E-3</v>
      </c>
      <c r="BK79">
        <f>Model!BS91</f>
        <v>0.11657089147506361</v>
      </c>
      <c r="BL79">
        <f>Model!BT91</f>
        <v>0.10942878740617679</v>
      </c>
      <c r="BM79">
        <f>Model!BU91</f>
        <v>0.2718008030315846</v>
      </c>
      <c r="BN79">
        <f>Model!BV91</f>
        <v>7.7501009661685716E-2</v>
      </c>
      <c r="BO79">
        <f>Model!BW91</f>
        <v>0.19148100616498742</v>
      </c>
      <c r="BP79">
        <f>Model!BX91</f>
        <v>0.19446020496557748</v>
      </c>
      <c r="BQ79">
        <f>Model!BY91</f>
        <v>2.5806604254866805E-2</v>
      </c>
      <c r="BR79">
        <f>Model!BZ91</f>
        <v>0.20058309844860789</v>
      </c>
      <c r="BS79">
        <f>Model!CA91</f>
        <v>0.18492310684613211</v>
      </c>
      <c r="BT79">
        <f>Model!CB91</f>
        <v>0.20800177279961329</v>
      </c>
      <c r="BU79">
        <f>Model!CC91</f>
        <v>0.19403752208092251</v>
      </c>
      <c r="BV79">
        <f>Model!CD91</f>
        <v>0.23171281477327876</v>
      </c>
      <c r="BW79">
        <f>Model!CE91</f>
        <v>0.16632094953238341</v>
      </c>
      <c r="BX79">
        <f>Model!CF91</f>
        <v>0.28664870536181986</v>
      </c>
      <c r="BY79">
        <f>Model!CG91</f>
        <v>0</v>
      </c>
      <c r="BZ79">
        <f>Model!CH91</f>
        <v>0</v>
      </c>
      <c r="CA79">
        <f>Model!CI91</f>
        <v>0</v>
      </c>
      <c r="CB79">
        <f>Model!CJ91</f>
        <v>0</v>
      </c>
      <c r="CC79">
        <f>Model!CK91</f>
        <v>1.4565019702940303</v>
      </c>
      <c r="CD79">
        <f>Model!CL91</f>
        <v>0.41648157288581777</v>
      </c>
      <c r="CE79">
        <f>Model!CM91</f>
        <v>0.57486751361161659</v>
      </c>
      <c r="CF79">
        <f>Model!CN91</f>
        <v>1.0424453069540545</v>
      </c>
      <c r="CG79">
        <f>Model!CO91</f>
        <v>0.75365393469410158</v>
      </c>
      <c r="CH79">
        <f>Model!CP91</f>
        <v>0.45392115477673523</v>
      </c>
      <c r="CI79">
        <f>Model!CQ91</f>
        <v>0.59576001133024103</v>
      </c>
      <c r="CJ79">
        <f>Model!CR91</f>
        <v>0.67628893886159225</v>
      </c>
      <c r="CK79">
        <f>Model!CS91</f>
        <v>0.30571584572875166</v>
      </c>
      <c r="CL79">
        <f>Model!CT91</f>
        <v>0.35916598070661232</v>
      </c>
      <c r="CM79">
        <f>Model!CU91</f>
        <v>0.29195481341814133</v>
      </c>
      <c r="CN79">
        <f>Model!CV91</f>
        <v>7.4550381568776469E-2</v>
      </c>
      <c r="CO79">
        <f>Model!CW91</f>
        <v>0.17894657385472135</v>
      </c>
      <c r="CP79">
        <f>Model!CX91</f>
        <v>0.16845868662773889</v>
      </c>
      <c r="CQ79">
        <f>Model!CY91</f>
        <v>0.2100780572993981</v>
      </c>
      <c r="CR79">
        <f>Model!DG91</f>
        <v>0</v>
      </c>
      <c r="CS79">
        <f>Model!DH91</f>
        <v>0</v>
      </c>
      <c r="CT79">
        <f>Model!DI91</f>
        <v>0</v>
      </c>
      <c r="CU79">
        <f>Model!DJ91</f>
        <v>0</v>
      </c>
    </row>
    <row r="80" spans="1:99">
      <c r="A80" t="str">
        <f>Model!I92</f>
        <v>Abs. change Y/Y</v>
      </c>
      <c r="B80">
        <f>Model!J92</f>
        <v>0</v>
      </c>
      <c r="C80">
        <f>Model!K92</f>
        <v>0</v>
      </c>
      <c r="D80">
        <f>Model!L92</f>
        <v>0</v>
      </c>
      <c r="E80">
        <f>Model!M92</f>
        <v>0</v>
      </c>
      <c r="F80">
        <f>Model!N92</f>
        <v>0</v>
      </c>
      <c r="G80">
        <f>Model!O92</f>
        <v>0</v>
      </c>
      <c r="H80">
        <f>Model!P92</f>
        <v>0</v>
      </c>
      <c r="I80">
        <f>Model!Q92</f>
        <v>0</v>
      </c>
      <c r="J80">
        <f>Model!R92</f>
        <v>0</v>
      </c>
      <c r="K80">
        <f>Model!S92</f>
        <v>0</v>
      </c>
      <c r="L80">
        <f>Model!T92</f>
        <v>0</v>
      </c>
      <c r="M80">
        <f>Model!U92</f>
        <v>0</v>
      </c>
      <c r="N80">
        <f>Model!V92</f>
        <v>0</v>
      </c>
      <c r="O80">
        <f>Model!W92</f>
        <v>0</v>
      </c>
      <c r="P80">
        <f>Model!X92</f>
        <v>0</v>
      </c>
      <c r="Q80">
        <f>Model!Y92</f>
        <v>0</v>
      </c>
      <c r="R80">
        <f>Model!Z92</f>
        <v>0</v>
      </c>
      <c r="S80">
        <f>Model!AA92</f>
        <v>0</v>
      </c>
      <c r="T80">
        <f>Model!AB92</f>
        <v>0</v>
      </c>
      <c r="U80">
        <f>Model!AC92</f>
        <v>0</v>
      </c>
      <c r="V80">
        <f>Model!AD92</f>
        <v>0</v>
      </c>
      <c r="W80">
        <f>Model!AE92</f>
        <v>0</v>
      </c>
      <c r="X80">
        <f>Model!AF92</f>
        <v>0</v>
      </c>
      <c r="Y80">
        <f>Model!AG92</f>
        <v>0</v>
      </c>
      <c r="Z80">
        <f>Model!AH92</f>
        <v>0</v>
      </c>
      <c r="AA80">
        <f>Model!AI92</f>
        <v>0</v>
      </c>
      <c r="AB80">
        <f>Model!AJ92</f>
        <v>0</v>
      </c>
      <c r="AC80">
        <f>Model!AK92</f>
        <v>8.730000000000036</v>
      </c>
      <c r="AD80">
        <f>Model!AL92</f>
        <v>26.899999999999942</v>
      </c>
      <c r="AE80">
        <f>Model!AM92</f>
        <v>48.665999999999983</v>
      </c>
      <c r="AF80">
        <f>Model!AN92</f>
        <v>32.123000000000047</v>
      </c>
      <c r="AG80">
        <f>Model!AO92</f>
        <v>28.593999999999966</v>
      </c>
      <c r="AH80">
        <f>Model!AP92</f>
        <v>43.44900000000009</v>
      </c>
      <c r="AI80">
        <f>Model!AQ92</f>
        <v>62.463000000000051</v>
      </c>
      <c r="AJ80">
        <f>Model!AR92</f>
        <v>18.199999999999974</v>
      </c>
      <c r="AK80">
        <f>Model!AS92</f>
        <v>16.010000000000005</v>
      </c>
      <c r="AL80">
        <f>Model!AT92</f>
        <v>24.910999999999973</v>
      </c>
      <c r="AM80">
        <f>Model!AU92</f>
        <v>72.128999999999962</v>
      </c>
      <c r="AN80">
        <f>Model!AV92</f>
        <v>57.061000000000064</v>
      </c>
      <c r="AO80">
        <f>Model!AW92</f>
        <v>47.974999999999866</v>
      </c>
      <c r="AP80">
        <f>Model!AX92</f>
        <v>77.984999999999872</v>
      </c>
      <c r="AQ80">
        <f>Model!AY92</f>
        <v>137.95399999999984</v>
      </c>
      <c r="AR80">
        <f>Model!AZ92</f>
        <v>89.762000000000029</v>
      </c>
      <c r="AS80">
        <f>Model!BA92</f>
        <v>61.740000000000123</v>
      </c>
      <c r="AT80">
        <f>Model!BB92</f>
        <v>144.84600000000017</v>
      </c>
      <c r="AU80">
        <f>Model!BC92</f>
        <v>281.92900000000031</v>
      </c>
      <c r="AV80">
        <f>Model!BD92</f>
        <v>121.07900000000001</v>
      </c>
      <c r="AW80">
        <f>Model!BE92</f>
        <v>98.06200000000004</v>
      </c>
      <c r="AX80">
        <f>Model!BF92</f>
        <v>145.78199999999987</v>
      </c>
      <c r="AY80">
        <f>Model!BG92</f>
        <v>136.43799999999987</v>
      </c>
      <c r="AZ80">
        <f>Model!BH92</f>
        <v>81.647000000000048</v>
      </c>
      <c r="BA80">
        <f>Model!BI92</f>
        <v>96.715999999999838</v>
      </c>
      <c r="BB80">
        <f>Model!BJ92</f>
        <v>126.42099999999994</v>
      </c>
      <c r="BC80">
        <f>Model!BK92</f>
        <v>333.01899999999966</v>
      </c>
      <c r="BD80">
        <f>Model!BL92</f>
        <v>152.44399999999979</v>
      </c>
      <c r="BE80">
        <f>Model!BM92</f>
        <v>145.09600000000012</v>
      </c>
      <c r="BF80">
        <f>Model!BN92</f>
        <v>188.1690000000001</v>
      </c>
      <c r="BG80">
        <f>Model!BO92</f>
        <v>315.9940000000006</v>
      </c>
      <c r="BH80">
        <f>Model!BP92</f>
        <v>133.61900000000003</v>
      </c>
      <c r="BI80">
        <f>Model!BQ92</f>
        <v>18.402999999999906</v>
      </c>
      <c r="BJ80">
        <f>Model!BR92</f>
        <v>-4.6999999999998181</v>
      </c>
      <c r="BK80">
        <f>Model!BS92</f>
        <v>166.68599999999969</v>
      </c>
      <c r="BL80">
        <f>Model!BT92</f>
        <v>77.881999999999721</v>
      </c>
      <c r="BM80">
        <f>Model!BU92</f>
        <v>144.52599999999961</v>
      </c>
      <c r="BN80">
        <f>Model!BV92</f>
        <v>62.367000000000075</v>
      </c>
      <c r="BO80">
        <f>Model!BW92</f>
        <v>305.71800000000053</v>
      </c>
      <c r="BP80">
        <f>Model!BX92</f>
        <v>153.54500000000007</v>
      </c>
      <c r="BQ80">
        <f>Model!BY92</f>
        <v>17.452000000000453</v>
      </c>
      <c r="BR80">
        <f>Model!BZ92</f>
        <v>173.92400000000032</v>
      </c>
      <c r="BS80">
        <f>Model!CA92</f>
        <v>351.7819999999997</v>
      </c>
      <c r="BT80">
        <f>Model!CB92</f>
        <v>196.17500000000007</v>
      </c>
      <c r="BU80">
        <f>Model!CC92</f>
        <v>134.60635155532293</v>
      </c>
      <c r="BV80">
        <f>Model!CD92</f>
        <v>241.21674758401969</v>
      </c>
      <c r="BW80">
        <f>Model!CE92</f>
        <v>374.90355337809706</v>
      </c>
      <c r="BX80">
        <f>Model!CF92</f>
        <v>326.583456398007</v>
      </c>
      <c r="BY80">
        <f>Model!CG92</f>
        <v>0</v>
      </c>
      <c r="BZ80">
        <f>Model!CH92</f>
        <v>0</v>
      </c>
      <c r="CA80">
        <f>Model!CI92</f>
        <v>0</v>
      </c>
      <c r="CB80">
        <f>Model!CJ92</f>
        <v>0</v>
      </c>
      <c r="CC80">
        <f>Model!CK92</f>
        <v>28.830000000000034</v>
      </c>
      <c r="CD80">
        <f>Model!CL92</f>
        <v>20.251000000000012</v>
      </c>
      <c r="CE80">
        <f>Model!CM92</f>
        <v>39.594000000000122</v>
      </c>
      <c r="CF80">
        <f>Model!CN92</f>
        <v>113.0729999999995</v>
      </c>
      <c r="CG80">
        <f>Model!CO92</f>
        <v>166.96600000000038</v>
      </c>
      <c r="CH80">
        <f>Model!CP92</f>
        <v>176.35199999999986</v>
      </c>
      <c r="CI80">
        <f>Model!CQ92</f>
        <v>336.52099999999984</v>
      </c>
      <c r="CJ80">
        <f>Model!CR92</f>
        <v>609.59400000000062</v>
      </c>
      <c r="CK80">
        <f>Model!CS92</f>
        <v>461.92900000000054</v>
      </c>
      <c r="CL80">
        <f>Model!CT92</f>
        <v>708.59999999999854</v>
      </c>
      <c r="CM80">
        <f>Model!CU92</f>
        <v>782.87799999999925</v>
      </c>
      <c r="CN80">
        <f>Model!CV92</f>
        <v>258.27100000000064</v>
      </c>
      <c r="CO80">
        <f>Model!CW92</f>
        <v>666.15599999999995</v>
      </c>
      <c r="CP80">
        <f>Model!CX92</f>
        <v>739.33299999999963</v>
      </c>
      <c r="CQ80">
        <f>Model!CY92</f>
        <v>1077.3101089154497</v>
      </c>
      <c r="CR80">
        <f>Model!DG92</f>
        <v>0</v>
      </c>
      <c r="CS80">
        <f>Model!DH92</f>
        <v>0</v>
      </c>
      <c r="CT80">
        <f>Model!DI92</f>
        <v>0</v>
      </c>
      <c r="CU80">
        <f>Model!DJ92</f>
        <v>0</v>
      </c>
    </row>
    <row r="81" spans="1:99">
      <c r="A81" t="str">
        <f>Model!I93</f>
        <v>Sequential Growth</v>
      </c>
      <c r="B81">
        <f>Model!J93</f>
        <v>0</v>
      </c>
      <c r="C81">
        <f>Model!K93</f>
        <v>0</v>
      </c>
      <c r="D81">
        <f>Model!L93</f>
        <v>0</v>
      </c>
      <c r="E81">
        <f>Model!M93</f>
        <v>0</v>
      </c>
      <c r="F81">
        <f>Model!N93</f>
        <v>0</v>
      </c>
      <c r="G81">
        <f>Model!O93</f>
        <v>0</v>
      </c>
      <c r="H81">
        <f>Model!P93</f>
        <v>0</v>
      </c>
      <c r="I81">
        <f>Model!Q93</f>
        <v>0</v>
      </c>
      <c r="J81">
        <f>Model!R93</f>
        <v>0</v>
      </c>
      <c r="K81">
        <f>Model!S93</f>
        <v>0</v>
      </c>
      <c r="L81">
        <f>Model!T93</f>
        <v>0</v>
      </c>
      <c r="M81">
        <f>Model!U93</f>
        <v>0</v>
      </c>
      <c r="N81">
        <f>Model!V93</f>
        <v>0</v>
      </c>
      <c r="O81">
        <f>Model!W93</f>
        <v>0</v>
      </c>
      <c r="P81">
        <f>Model!X93</f>
        <v>0</v>
      </c>
      <c r="Q81">
        <f>Model!Y93</f>
        <v>0</v>
      </c>
      <c r="R81">
        <f>Model!Z93</f>
        <v>0</v>
      </c>
      <c r="S81">
        <f>Model!AA93</f>
        <v>0</v>
      </c>
      <c r="T81">
        <f>Model!AB93</f>
        <v>0</v>
      </c>
      <c r="U81">
        <f>Model!AC93</f>
        <v>0</v>
      </c>
      <c r="V81">
        <f>Model!AD93</f>
        <v>0</v>
      </c>
      <c r="W81">
        <f>Model!AE93</f>
        <v>0</v>
      </c>
      <c r="X81">
        <f>Model!AF93</f>
        <v>0</v>
      </c>
      <c r="Y81">
        <f>Model!AG93</f>
        <v>0</v>
      </c>
      <c r="Z81">
        <f>Model!AH93</f>
        <v>0</v>
      </c>
      <c r="AA81">
        <f>Model!AI93</f>
        <v>0</v>
      </c>
      <c r="AB81">
        <f>Model!AJ93</f>
        <v>0</v>
      </c>
      <c r="AC81">
        <f>Model!AK93</f>
        <v>-6.6399999999999189</v>
      </c>
      <c r="AD81">
        <f>Model!AL93</f>
        <v>38.722999999999907</v>
      </c>
      <c r="AE81">
        <f>Model!AM93</f>
        <v>32.12300000000004</v>
      </c>
      <c r="AF81">
        <f>Model!AN93</f>
        <v>-32.082999999999984</v>
      </c>
      <c r="AG81">
        <f>Model!AO93</f>
        <v>-10.168999999999997</v>
      </c>
      <c r="AH81">
        <f>Model!AP93</f>
        <v>53.578000000000031</v>
      </c>
      <c r="AI81">
        <f>Model!AQ93</f>
        <v>51.137</v>
      </c>
      <c r="AJ81">
        <f>Model!AR93</f>
        <v>-76.34600000000006</v>
      </c>
      <c r="AK81">
        <f>Model!AS93</f>
        <v>-12.358999999999966</v>
      </c>
      <c r="AL81">
        <f>Model!AT93</f>
        <v>62.478999999999999</v>
      </c>
      <c r="AM81">
        <f>Model!AU93</f>
        <v>98.35499999999999</v>
      </c>
      <c r="AN81">
        <f>Model!AV93</f>
        <v>-91.413999999999959</v>
      </c>
      <c r="AO81">
        <f>Model!AW93</f>
        <v>-21.445000000000164</v>
      </c>
      <c r="AP81">
        <f>Model!AX93</f>
        <v>92.489000000000004</v>
      </c>
      <c r="AQ81">
        <f>Model!AY93</f>
        <v>158.32399999999996</v>
      </c>
      <c r="AR81">
        <f>Model!AZ93</f>
        <v>-139.60599999999977</v>
      </c>
      <c r="AS81">
        <f>Model!BA93</f>
        <v>-49.46700000000007</v>
      </c>
      <c r="AT81">
        <f>Model!BB93</f>
        <v>175.59500000000006</v>
      </c>
      <c r="AU81">
        <f>Model!BC93</f>
        <v>295.4070000000001</v>
      </c>
      <c r="AV81">
        <f>Model!BD93</f>
        <v>-300.45600000000007</v>
      </c>
      <c r="AW81">
        <f>Model!BE93</f>
        <v>-72.484000000000037</v>
      </c>
      <c r="AX81">
        <f>Model!BF93</f>
        <v>223.31499999999988</v>
      </c>
      <c r="AY81">
        <f>Model!BG93</f>
        <v>286.0630000000001</v>
      </c>
      <c r="AZ81">
        <f>Model!BH93</f>
        <v>-355.2469999999999</v>
      </c>
      <c r="BA81">
        <f>Model!BI93</f>
        <v>-57.415000000000248</v>
      </c>
      <c r="BB81">
        <f>Model!BJ93</f>
        <v>253.01999999999998</v>
      </c>
      <c r="BC81">
        <f>Model!BK93</f>
        <v>492.66099999999983</v>
      </c>
      <c r="BD81">
        <f>Model!BL93</f>
        <v>-535.82199999999978</v>
      </c>
      <c r="BE81">
        <f>Model!BM93</f>
        <v>-64.76299999999992</v>
      </c>
      <c r="BF81">
        <f>Model!BN93</f>
        <v>296.09299999999996</v>
      </c>
      <c r="BG81">
        <f>Model!BO93</f>
        <v>620.48600000000033</v>
      </c>
      <c r="BH81">
        <f>Model!BP93</f>
        <v>-718.19700000000034</v>
      </c>
      <c r="BI81">
        <f>Model!BQ93</f>
        <v>-179.97900000000004</v>
      </c>
      <c r="BJ81">
        <f>Model!BR93</f>
        <v>272.99000000000024</v>
      </c>
      <c r="BK81">
        <f>Model!BS93</f>
        <v>791.87199999999984</v>
      </c>
      <c r="BL81">
        <f>Model!BT93</f>
        <v>-807.00100000000032</v>
      </c>
      <c r="BM81">
        <f>Model!BU93</f>
        <v>-113.33500000000015</v>
      </c>
      <c r="BN81">
        <f>Model!BV93</f>
        <v>190.8310000000007</v>
      </c>
      <c r="BO81">
        <f>Model!BW93</f>
        <v>1035.2230000000004</v>
      </c>
      <c r="BP81">
        <f>Model!BX93</f>
        <v>-959.17400000000077</v>
      </c>
      <c r="BQ81">
        <f>Model!BY93</f>
        <v>-249.42799999999977</v>
      </c>
      <c r="BR81">
        <f>Model!BZ93</f>
        <v>347.30300000000057</v>
      </c>
      <c r="BS81">
        <f>Model!CA93</f>
        <v>1213.0809999999997</v>
      </c>
      <c r="BT81">
        <f>Model!CB93</f>
        <v>-1114.7810000000004</v>
      </c>
      <c r="BU81">
        <f>Model!CC93</f>
        <v>-310.99664844467691</v>
      </c>
      <c r="BV81">
        <f>Model!CD93</f>
        <v>453.91339602869732</v>
      </c>
      <c r="BW81">
        <f>Model!CE93</f>
        <v>1346.767805794077</v>
      </c>
      <c r="BX81">
        <f>Model!CF93</f>
        <v>-1163.1010969800905</v>
      </c>
      <c r="BY81">
        <f>Model!CG93</f>
        <v>0</v>
      </c>
      <c r="BZ81">
        <f>Model!CH93</f>
        <v>0</v>
      </c>
      <c r="CA81">
        <f>Model!CI93</f>
        <v>0</v>
      </c>
      <c r="CB81">
        <f>Model!CJ93</f>
        <v>0</v>
      </c>
      <c r="CC81">
        <f>Model!CK93</f>
        <v>0</v>
      </c>
      <c r="CD81">
        <f>Model!CL93</f>
        <v>0</v>
      </c>
      <c r="CE81">
        <f>Model!CM93</f>
        <v>0</v>
      </c>
      <c r="CF81">
        <f>Model!CN93</f>
        <v>0</v>
      </c>
      <c r="CG81">
        <f>Model!CO93</f>
        <v>0</v>
      </c>
      <c r="CH81">
        <f>Model!CP93</f>
        <v>0</v>
      </c>
      <c r="CI81">
        <f>Model!CQ93</f>
        <v>0</v>
      </c>
      <c r="CJ81">
        <f>Model!CR93</f>
        <v>0</v>
      </c>
      <c r="CK81">
        <f>Model!CS93</f>
        <v>0</v>
      </c>
      <c r="CL81">
        <f>Model!CT93</f>
        <v>0</v>
      </c>
      <c r="CM81">
        <f>Model!CU93</f>
        <v>0</v>
      </c>
      <c r="CN81">
        <f>Model!CV93</f>
        <v>0</v>
      </c>
      <c r="CO81">
        <f>Model!CW93</f>
        <v>0</v>
      </c>
      <c r="CP81">
        <f>Model!CX93</f>
        <v>0</v>
      </c>
      <c r="CQ81">
        <f>Model!CY93</f>
        <v>0</v>
      </c>
      <c r="CR81">
        <f>Model!DG93</f>
        <v>0</v>
      </c>
      <c r="CS81">
        <f>Model!DH93</f>
        <v>0</v>
      </c>
      <c r="CT81">
        <f>Model!DI93</f>
        <v>0</v>
      </c>
      <c r="CU81">
        <f>Model!DJ93</f>
        <v>0</v>
      </c>
    </row>
    <row r="82" spans="1:99">
      <c r="A82">
        <f>Model!I94</f>
        <v>0</v>
      </c>
      <c r="B82">
        <f>Model!J94</f>
        <v>0</v>
      </c>
      <c r="C82">
        <f>Model!K94</f>
        <v>0</v>
      </c>
      <c r="D82">
        <f>Model!L94</f>
        <v>0</v>
      </c>
      <c r="E82">
        <f>Model!M94</f>
        <v>0</v>
      </c>
      <c r="F82">
        <f>Model!N94</f>
        <v>0</v>
      </c>
      <c r="G82">
        <f>Model!O94</f>
        <v>0</v>
      </c>
      <c r="H82">
        <f>Model!P94</f>
        <v>0</v>
      </c>
      <c r="I82">
        <f>Model!Q94</f>
        <v>0</v>
      </c>
      <c r="J82">
        <f>Model!R94</f>
        <v>0</v>
      </c>
      <c r="K82">
        <f>Model!S94</f>
        <v>0</v>
      </c>
      <c r="L82">
        <f>Model!T94</f>
        <v>0</v>
      </c>
      <c r="M82">
        <f>Model!U94</f>
        <v>0</v>
      </c>
      <c r="N82">
        <f>Model!V94</f>
        <v>0</v>
      </c>
      <c r="O82">
        <f>Model!W94</f>
        <v>0</v>
      </c>
      <c r="P82">
        <f>Model!X94</f>
        <v>0</v>
      </c>
      <c r="Q82">
        <f>Model!Y94</f>
        <v>0</v>
      </c>
      <c r="R82">
        <f>Model!Z94</f>
        <v>0</v>
      </c>
      <c r="S82">
        <f>Model!AA94</f>
        <v>0</v>
      </c>
      <c r="T82">
        <f>Model!AB94</f>
        <v>0</v>
      </c>
      <c r="U82">
        <f>Model!AC94</f>
        <v>0</v>
      </c>
      <c r="V82">
        <f>Model!AD94</f>
        <v>0</v>
      </c>
      <c r="W82">
        <f>Model!AE94</f>
        <v>0</v>
      </c>
      <c r="X82">
        <f>Model!AF94</f>
        <v>0</v>
      </c>
      <c r="Y82">
        <f>Model!AG94</f>
        <v>0</v>
      </c>
      <c r="Z82">
        <f>Model!AH94</f>
        <v>0</v>
      </c>
      <c r="AA82">
        <f>Model!AI94</f>
        <v>0</v>
      </c>
      <c r="AB82">
        <f>Model!AJ94</f>
        <v>0</v>
      </c>
      <c r="AC82">
        <f>Model!AK94</f>
        <v>0</v>
      </c>
      <c r="AD82">
        <f>Model!AL94</f>
        <v>0</v>
      </c>
      <c r="AE82">
        <f>Model!AM94</f>
        <v>0</v>
      </c>
      <c r="AF82">
        <f>Model!AN94</f>
        <v>0</v>
      </c>
      <c r="AG82">
        <f>Model!AO94</f>
        <v>0</v>
      </c>
      <c r="AH82">
        <f>Model!AP94</f>
        <v>0</v>
      </c>
      <c r="AI82">
        <f>Model!AQ94</f>
        <v>0</v>
      </c>
      <c r="AJ82">
        <f>Model!AR94</f>
        <v>0</v>
      </c>
      <c r="AK82">
        <f>Model!AS94</f>
        <v>0</v>
      </c>
      <c r="AL82">
        <f>Model!AT94</f>
        <v>0</v>
      </c>
      <c r="AM82">
        <f>Model!AU94</f>
        <v>0</v>
      </c>
      <c r="AN82">
        <f>Model!AV94</f>
        <v>0</v>
      </c>
      <c r="AO82">
        <f>Model!AW94</f>
        <v>0</v>
      </c>
      <c r="AP82">
        <f>Model!AX94</f>
        <v>0</v>
      </c>
      <c r="AQ82">
        <f>Model!AY94</f>
        <v>0</v>
      </c>
      <c r="AR82">
        <f>Model!AZ94</f>
        <v>0</v>
      </c>
      <c r="AS82">
        <f>Model!BA94</f>
        <v>0</v>
      </c>
      <c r="AT82">
        <f>Model!BB94</f>
        <v>0</v>
      </c>
      <c r="AU82">
        <f>Model!BC94</f>
        <v>0</v>
      </c>
      <c r="AV82">
        <f>Model!BD94</f>
        <v>0</v>
      </c>
      <c r="AW82">
        <f>Model!BE94</f>
        <v>0</v>
      </c>
      <c r="AX82">
        <f>Model!BF94</f>
        <v>0</v>
      </c>
      <c r="AY82">
        <f>Model!BG94</f>
        <v>0</v>
      </c>
      <c r="AZ82">
        <f>Model!BH94</f>
        <v>0</v>
      </c>
      <c r="BA82">
        <f>Model!BI94</f>
        <v>0</v>
      </c>
      <c r="BB82">
        <f>Model!BJ94</f>
        <v>0</v>
      </c>
      <c r="BC82">
        <f>Model!BK94</f>
        <v>0</v>
      </c>
      <c r="BD82">
        <f>Model!BL94</f>
        <v>0</v>
      </c>
      <c r="BE82">
        <f>Model!BM94</f>
        <v>0</v>
      </c>
      <c r="BF82">
        <f>Model!BN94</f>
        <v>0</v>
      </c>
      <c r="BG82">
        <f>Model!BO94</f>
        <v>0</v>
      </c>
      <c r="BH82">
        <f>Model!BP94</f>
        <v>0</v>
      </c>
      <c r="BI82">
        <f>Model!BQ94</f>
        <v>0</v>
      </c>
      <c r="BJ82">
        <f>Model!BR94</f>
        <v>0</v>
      </c>
      <c r="BK82">
        <f>Model!BS94</f>
        <v>0</v>
      </c>
      <c r="BL82">
        <f>Model!BT94</f>
        <v>0</v>
      </c>
      <c r="BM82">
        <f>Model!BU94</f>
        <v>0</v>
      </c>
      <c r="BN82">
        <f>Model!BV94</f>
        <v>0</v>
      </c>
      <c r="BO82">
        <f>Model!BW3</f>
        <v>0</v>
      </c>
      <c r="BP82">
        <f>Model!BX94</f>
        <v>0</v>
      </c>
      <c r="BQ82">
        <f>Model!BY94</f>
        <v>0</v>
      </c>
      <c r="BR82">
        <f>Model!BZ94</f>
        <v>0</v>
      </c>
      <c r="BS82">
        <f>Model!CA94</f>
        <v>0</v>
      </c>
      <c r="BT82">
        <f>Model!CB94</f>
        <v>0</v>
      </c>
      <c r="BU82">
        <f>Model!CC94</f>
        <v>0</v>
      </c>
      <c r="BV82">
        <f>Model!CD94</f>
        <v>0</v>
      </c>
      <c r="BW82">
        <f>Model!CE94</f>
        <v>0</v>
      </c>
      <c r="BX82">
        <f>Model!CF94</f>
        <v>0</v>
      </c>
      <c r="BY82">
        <f>Model!CG94</f>
        <v>0</v>
      </c>
      <c r="BZ82">
        <f>Model!CH94</f>
        <v>0</v>
      </c>
      <c r="CA82">
        <f>Model!CI94</f>
        <v>0</v>
      </c>
      <c r="CB82">
        <f>Model!CJ94</f>
        <v>0</v>
      </c>
      <c r="CC82">
        <f>Model!CK94</f>
        <v>0</v>
      </c>
      <c r="CD82">
        <f>Model!CL94</f>
        <v>0</v>
      </c>
      <c r="CE82">
        <f>Model!CM94</f>
        <v>0</v>
      </c>
      <c r="CF82">
        <f>Model!CN94</f>
        <v>0</v>
      </c>
      <c r="CG82">
        <f>Model!CO94</f>
        <v>0</v>
      </c>
      <c r="CH82">
        <f>Model!CP94</f>
        <v>0</v>
      </c>
      <c r="CI82">
        <f>Model!CQ94</f>
        <v>0</v>
      </c>
      <c r="CJ82">
        <f>Model!CR94</f>
        <v>0</v>
      </c>
      <c r="CK82">
        <f>Model!CS94</f>
        <v>0</v>
      </c>
      <c r="CL82">
        <f>Model!CT94</f>
        <v>0</v>
      </c>
      <c r="CM82">
        <f>Model!CU94</f>
        <v>0</v>
      </c>
      <c r="CN82">
        <f>Model!CV94</f>
        <v>0</v>
      </c>
      <c r="CO82">
        <f>Model!CW125</f>
        <v>0</v>
      </c>
      <c r="CP82">
        <f>Model!CX125</f>
        <v>0</v>
      </c>
      <c r="CQ82">
        <f>Model!CY125</f>
        <v>0</v>
      </c>
      <c r="CR82">
        <f>Model!DG94</f>
        <v>0</v>
      </c>
      <c r="CS82">
        <f>Model!DH94</f>
        <v>0</v>
      </c>
      <c r="CT82">
        <f>Model!DI94</f>
        <v>0</v>
      </c>
      <c r="CU82">
        <f>Model!DJ94</f>
        <v>0</v>
      </c>
    </row>
    <row r="84" spans="1:99">
      <c r="A84" t="str">
        <f>Model!I103</f>
        <v>Interest Income</v>
      </c>
      <c r="B84">
        <f>Model!J103</f>
        <v>0</v>
      </c>
      <c r="C84">
        <f>Model!K103</f>
        <v>0</v>
      </c>
      <c r="D84">
        <f>Model!L103</f>
        <v>0</v>
      </c>
      <c r="E84">
        <f>Model!M103</f>
        <v>0</v>
      </c>
      <c r="F84">
        <f>Model!N103</f>
        <v>0</v>
      </c>
      <c r="G84">
        <f>Model!O103</f>
        <v>0</v>
      </c>
      <c r="H84">
        <f>Model!P103</f>
        <v>0</v>
      </c>
      <c r="I84">
        <f>Model!Q103</f>
        <v>0</v>
      </c>
      <c r="J84">
        <f>Model!R103</f>
        <v>0</v>
      </c>
      <c r="K84">
        <f>Model!S103</f>
        <v>0</v>
      </c>
      <c r="L84">
        <f>Model!T103</f>
        <v>0</v>
      </c>
      <c r="M84">
        <f>Model!U103</f>
        <v>0</v>
      </c>
      <c r="N84">
        <f>Model!V103</f>
        <v>0</v>
      </c>
      <c r="O84">
        <f>Model!W103</f>
        <v>0</v>
      </c>
      <c r="P84">
        <f>Model!X103</f>
        <v>0</v>
      </c>
      <c r="Q84">
        <f>Model!Y103</f>
        <v>0</v>
      </c>
      <c r="R84">
        <f>Model!Z103</f>
        <v>0</v>
      </c>
      <c r="S84">
        <f>Model!AA103</f>
        <v>0</v>
      </c>
      <c r="T84">
        <f>Model!AB103</f>
        <v>0</v>
      </c>
      <c r="U84">
        <f>Model!AC103</f>
        <v>0</v>
      </c>
      <c r="V84">
        <f>Model!AD103</f>
        <v>0</v>
      </c>
      <c r="W84">
        <f>Model!AE103</f>
        <v>0</v>
      </c>
      <c r="X84">
        <f>Model!AF103</f>
        <v>0</v>
      </c>
      <c r="Y84">
        <f>Model!AG103</f>
        <v>1.575</v>
      </c>
      <c r="Z84">
        <f>Model!AH103</f>
        <v>2.121</v>
      </c>
      <c r="AA84">
        <f>Model!AI103</f>
        <v>2.6259999999999999</v>
      </c>
      <c r="AB84">
        <f>Model!AJ103</f>
        <v>4.9909999999999997</v>
      </c>
      <c r="AC84">
        <f>Model!AK103</f>
        <v>8.2029999999999994</v>
      </c>
      <c r="AD84">
        <f>Model!AL103</f>
        <v>6.1120000000000001</v>
      </c>
      <c r="AE84">
        <f>Model!AM103</f>
        <v>6.0629999999999997</v>
      </c>
      <c r="AF84">
        <f>Model!AN103</f>
        <v>5.3979999999999997</v>
      </c>
      <c r="AG84">
        <f>Model!AO103</f>
        <v>4.1719999999999997</v>
      </c>
      <c r="AH84">
        <f>Model!AP103</f>
        <v>2.9049999999999998</v>
      </c>
      <c r="AI84">
        <f>Model!AQ103</f>
        <v>3.0609999999999999</v>
      </c>
      <c r="AJ84">
        <f>Model!AR103</f>
        <v>1.5209999999999999</v>
      </c>
      <c r="AK84">
        <f>Model!AS103</f>
        <v>0.74099999999999999</v>
      </c>
      <c r="AL84">
        <f>Model!AT103</f>
        <v>0.48299999999999998</v>
      </c>
      <c r="AM84">
        <f>Model!AU103</f>
        <v>0.47099999999999997</v>
      </c>
      <c r="AN84">
        <f>Model!AV103</f>
        <v>0.52800000000000002</v>
      </c>
      <c r="AO84">
        <f>Model!AW103</f>
        <v>0.85499999999999998</v>
      </c>
      <c r="AP84">
        <f>Model!AX103</f>
        <v>0.94</v>
      </c>
      <c r="AQ84">
        <f>Model!AY103</f>
        <v>0.91800000000000004</v>
      </c>
      <c r="AR84">
        <f>Model!AZ103</f>
        <v>1.1439999999999999</v>
      </c>
      <c r="AS84">
        <f>Model!BA103</f>
        <v>1.421</v>
      </c>
      <c r="AT84">
        <f>Model!BB103</f>
        <v>2.129</v>
      </c>
      <c r="AU84">
        <f>Model!BC103</f>
        <v>2.5259999999999998</v>
      </c>
      <c r="AV84">
        <f>Model!BD103</f>
        <v>2.044</v>
      </c>
      <c r="AW84">
        <f>Model!BE103</f>
        <v>1.0980000000000001</v>
      </c>
      <c r="AX84">
        <f>Model!BF103</f>
        <v>1.0009999999999999</v>
      </c>
      <c r="AY84">
        <f>Model!BG103</f>
        <v>0.90200000000000002</v>
      </c>
      <c r="AZ84">
        <f>Model!BH103</f>
        <v>0.85599999999999998</v>
      </c>
      <c r="BA84">
        <f>Model!BI103</f>
        <v>0.874</v>
      </c>
      <c r="BB84">
        <f>Model!BJ103</f>
        <v>1.141</v>
      </c>
      <c r="BC84">
        <f>Model!BK103</f>
        <v>0.86699999999999999</v>
      </c>
      <c r="BD84">
        <f>Model!BL103</f>
        <v>1.2849999999999999</v>
      </c>
      <c r="BE84">
        <f>Model!BM103</f>
        <v>1.0409999999999999</v>
      </c>
      <c r="BF84">
        <f>Model!BN103</f>
        <v>1.6339999999999999</v>
      </c>
      <c r="BG84">
        <f>Model!BO103</f>
        <v>2.4900000000000002</v>
      </c>
      <c r="BH84">
        <f>Model!BP103</f>
        <v>8.7680000000000007</v>
      </c>
      <c r="BI84">
        <f>Model!BQ103</f>
        <v>11.596</v>
      </c>
      <c r="BJ84">
        <f>Model!BR103</f>
        <v>13.037000000000001</v>
      </c>
      <c r="BK84">
        <f>Model!BS103</f>
        <v>14.682</v>
      </c>
      <c r="BL84">
        <f>Model!BT103</f>
        <v>16.414000000000001</v>
      </c>
      <c r="BM84">
        <f>Model!BU103</f>
        <v>20.347000000000001</v>
      </c>
      <c r="BN84">
        <f>Model!BV103</f>
        <v>21.292000000000002</v>
      </c>
      <c r="BO84">
        <f>Model!BW103</f>
        <v>24.218</v>
      </c>
      <c r="BP84">
        <f>Model!BX103</f>
        <v>29.088999999999999</v>
      </c>
      <c r="BQ84">
        <f>Model!BY103</f>
        <v>31.992000000000001</v>
      </c>
      <c r="BR84">
        <f>Model!BZ103</f>
        <v>36.820999999999998</v>
      </c>
      <c r="BS84">
        <f>Model!CA103</f>
        <v>41.482999999999997</v>
      </c>
      <c r="BT84">
        <f>Model!CB103</f>
        <v>46.898000000000003</v>
      </c>
      <c r="BU84">
        <f>Model!CC103</f>
        <v>33.5916</v>
      </c>
      <c r="BV84">
        <f>Model!CD103</f>
        <v>38.662050000000001</v>
      </c>
      <c r="BW84">
        <f>Model!CE103</f>
        <v>43.55715</v>
      </c>
      <c r="BX84">
        <f>Model!CF103</f>
        <v>33.597795000000005</v>
      </c>
      <c r="BY84">
        <f>Model!CG103</f>
        <v>0</v>
      </c>
      <c r="BZ84">
        <f>Model!CH103</f>
        <v>0</v>
      </c>
      <c r="CA84">
        <f>Model!CI103</f>
        <v>0</v>
      </c>
      <c r="CB84">
        <f>Model!CJ103</f>
        <v>2.4740000000000002</v>
      </c>
      <c r="CC84">
        <f>Model!CK103</f>
        <v>5.1120000000000001</v>
      </c>
      <c r="CD84">
        <f>Model!CL103</f>
        <v>5.55</v>
      </c>
      <c r="CE84">
        <f>Model!CM103</f>
        <v>11.312999999999999</v>
      </c>
      <c r="CF84">
        <f>Model!CN103</f>
        <v>25.776</v>
      </c>
      <c r="CG84">
        <f>Model!CO103</f>
        <v>11.658999999999999</v>
      </c>
      <c r="CH84">
        <f>Model!CP103</f>
        <v>2.2229999999999999</v>
      </c>
      <c r="CI84">
        <f>Model!CQ103</f>
        <v>3.8570000000000002</v>
      </c>
      <c r="CJ84">
        <f>Model!CR103</f>
        <v>8.1199999999999992</v>
      </c>
      <c r="CK84">
        <f>Model!CS103</f>
        <v>3.8570000000000002</v>
      </c>
      <c r="CL84">
        <f>Model!CT103</f>
        <v>4.1669999999999998</v>
      </c>
      <c r="CM84">
        <f>Model!CU103</f>
        <v>13.933</v>
      </c>
      <c r="CN84">
        <f>Model!CV103</f>
        <v>55.729000000000006</v>
      </c>
      <c r="CO84">
        <f>Model!CW103</f>
        <v>94.945999999999998</v>
      </c>
      <c r="CP84">
        <f>Model!CX103</f>
        <v>157.19399999999999</v>
      </c>
      <c r="CQ84">
        <f>Model!CY103</f>
        <v>149.40859499999999</v>
      </c>
      <c r="CR84">
        <f>Model!DG103</f>
        <v>0.70595009449438728</v>
      </c>
      <c r="CS84">
        <f>Model!DH103</f>
        <v>0.40263241680462802</v>
      </c>
      <c r="CT84">
        <f>Model!DI103</f>
        <v>0</v>
      </c>
      <c r="CU84">
        <f>Model!DJ103</f>
        <v>0</v>
      </c>
    </row>
    <row r="85" spans="1:99">
      <c r="A85" t="str">
        <f>Model!I104</f>
        <v>Interest Expense</v>
      </c>
      <c r="B85">
        <f>Model!J104</f>
        <v>0</v>
      </c>
      <c r="C85">
        <f>Model!K104</f>
        <v>0</v>
      </c>
      <c r="D85">
        <f>Model!L104</f>
        <v>0</v>
      </c>
      <c r="E85">
        <f>Model!M104</f>
        <v>0</v>
      </c>
      <c r="F85">
        <f>Model!N104</f>
        <v>0</v>
      </c>
      <c r="G85">
        <f>Model!O104</f>
        <v>0</v>
      </c>
      <c r="H85">
        <f>Model!P104</f>
        <v>0</v>
      </c>
      <c r="I85">
        <f>Model!Q104</f>
        <v>0</v>
      </c>
      <c r="J85">
        <f>Model!R104</f>
        <v>0</v>
      </c>
      <c r="K85">
        <f>Model!S104</f>
        <v>0</v>
      </c>
      <c r="L85">
        <f>Model!T104</f>
        <v>0</v>
      </c>
      <c r="M85">
        <f>Model!U104</f>
        <v>0</v>
      </c>
      <c r="N85">
        <f>Model!V104</f>
        <v>0</v>
      </c>
      <c r="O85">
        <f>Model!W104</f>
        <v>0</v>
      </c>
      <c r="P85">
        <f>Model!X104</f>
        <v>0</v>
      </c>
      <c r="Q85">
        <f>Model!Y104</f>
        <v>0</v>
      </c>
      <c r="R85">
        <f>Model!Z104</f>
        <v>0</v>
      </c>
      <c r="S85">
        <f>Model!AA104</f>
        <v>0</v>
      </c>
      <c r="T85">
        <f>Model!AB104</f>
        <v>0</v>
      </c>
      <c r="U85">
        <f>Model!AC104</f>
        <v>0</v>
      </c>
      <c r="V85">
        <f>Model!AD104</f>
        <v>0</v>
      </c>
      <c r="W85">
        <f>Model!AE104</f>
        <v>0</v>
      </c>
      <c r="X85">
        <f>Model!AF104</f>
        <v>0</v>
      </c>
      <c r="Y85">
        <f>Model!AG104</f>
        <v>-1.498</v>
      </c>
      <c r="Z85">
        <f>Model!AH104</f>
        <v>-1.554</v>
      </c>
      <c r="AA85">
        <f>Model!AI104</f>
        <v>-1.55</v>
      </c>
      <c r="AB85">
        <f>Model!AJ104</f>
        <v>-2.4569999999999999</v>
      </c>
      <c r="AC85">
        <f>Model!AK104</f>
        <v>-2.4700000000000002</v>
      </c>
      <c r="AD85">
        <f>Model!AL104</f>
        <v>-2.484</v>
      </c>
      <c r="AE85">
        <f>Model!AM104</f>
        <v>-2.6070000000000002</v>
      </c>
      <c r="AF85">
        <f>Model!AN104</f>
        <v>-2.851</v>
      </c>
      <c r="AG85">
        <f>Model!AO104</f>
        <v>-2.6709999999999998</v>
      </c>
      <c r="AH85">
        <f>Model!AP104</f>
        <v>-2.351</v>
      </c>
      <c r="AI85">
        <f>Model!AQ104</f>
        <v>-1.7629999999999999</v>
      </c>
      <c r="AJ85">
        <f>Model!AR104</f>
        <v>-7.532</v>
      </c>
      <c r="AK85">
        <f>Model!AS104</f>
        <v>-6.8049999999999997</v>
      </c>
      <c r="AL85">
        <f>Model!AT104</f>
        <v>-6.5049999999999999</v>
      </c>
      <c r="AM85">
        <f>Model!AU104</f>
        <v>-5.9109999999999996</v>
      </c>
      <c r="AN85">
        <f>Model!AV104</f>
        <v>-4.8630000000000004</v>
      </c>
      <c r="AO85">
        <f>Model!AW104</f>
        <v>-4.806</v>
      </c>
      <c r="AP85">
        <f>Model!AX104</f>
        <v>-9.2669999999999995</v>
      </c>
      <c r="AQ85">
        <f>Model!AY104</f>
        <v>-8.2929999999999993</v>
      </c>
      <c r="AR85">
        <f>Model!AZ104</f>
        <v>-7.5780000000000003</v>
      </c>
      <c r="AS85">
        <f>Model!BA104</f>
        <v>-7.7149999999999999</v>
      </c>
      <c r="AT85">
        <f>Model!BB104</f>
        <v>-7.7949999999999999</v>
      </c>
      <c r="AU85">
        <f>Model!BC104</f>
        <v>-7.8789999999999996</v>
      </c>
      <c r="AV85">
        <f>Model!BD104</f>
        <v>-8.3320000000000007</v>
      </c>
      <c r="AW85">
        <f>Model!BE104</f>
        <v>-11.257999999999999</v>
      </c>
      <c r="AX85">
        <f>Model!BF104</f>
        <v>-16.882000000000001</v>
      </c>
      <c r="AY85">
        <f>Model!BG104</f>
        <v>-17.067</v>
      </c>
      <c r="AZ85">
        <f>Model!BH104</f>
        <v>-16.856000000000002</v>
      </c>
      <c r="BA85">
        <f>Model!BI104</f>
        <v>-17.329000000000001</v>
      </c>
      <c r="BB85">
        <f>Model!BJ104</f>
        <v>-19.632999999999999</v>
      </c>
      <c r="BC85">
        <f>Model!BK104</f>
        <v>-24.135000000000002</v>
      </c>
      <c r="BD85">
        <f>Model!BL104</f>
        <v>-22.192</v>
      </c>
      <c r="BE85">
        <f>Model!BM104</f>
        <v>-17.745000000000001</v>
      </c>
      <c r="BF85">
        <f>Model!BN104</f>
        <v>-17.106000000000002</v>
      </c>
      <c r="BG85">
        <f>Model!BO104</f>
        <v>-22.952999999999999</v>
      </c>
      <c r="BH85">
        <f>Model!BP104</f>
        <v>-30.548999999999999</v>
      </c>
      <c r="BI85">
        <f>Model!BQ104</f>
        <v>-33.478999999999999</v>
      </c>
      <c r="BJ85">
        <f>Model!BR104</f>
        <v>-41.546999999999997</v>
      </c>
      <c r="BK85">
        <f>Model!BS104</f>
        <v>-41.436</v>
      </c>
      <c r="BL85">
        <f>Model!BT104</f>
        <v>-43.767000000000003</v>
      </c>
      <c r="BM85">
        <f>Model!BU104</f>
        <v>-46.893999999999998</v>
      </c>
      <c r="BN85">
        <f>Model!BV104</f>
        <v>-50.29</v>
      </c>
      <c r="BO85">
        <f>Model!BW104</f>
        <v>-55.48</v>
      </c>
      <c r="BP85">
        <f>Model!BX104</f>
        <v>-55.235999999999997</v>
      </c>
      <c r="BQ85">
        <f>Model!BY104</f>
        <v>-55.716999999999999</v>
      </c>
      <c r="BR85">
        <f>Model!BZ104</f>
        <v>-60.942</v>
      </c>
      <c r="BS85">
        <f>Model!CA104</f>
        <v>-66.337999999999994</v>
      </c>
      <c r="BT85">
        <f>Model!CB104</f>
        <v>-70.978999999999999</v>
      </c>
      <c r="BU85">
        <f>Model!CC104</f>
        <v>-66.860399999999998</v>
      </c>
      <c r="BV85">
        <f>Model!CD104</f>
        <v>-63.989100000000001</v>
      </c>
      <c r="BW85">
        <f>Model!CE104</f>
        <v>-68.328139999999991</v>
      </c>
      <c r="BX85">
        <f>Model!CF104</f>
        <v>-68.271695999999991</v>
      </c>
      <c r="BY85">
        <f>Model!CG104</f>
        <v>0</v>
      </c>
      <c r="BZ85">
        <f>Model!CH104</f>
        <v>0</v>
      </c>
      <c r="CA85">
        <f>Model!CI104</f>
        <v>0</v>
      </c>
      <c r="CB85">
        <f>Model!CJ104</f>
        <v>-0.90700000000000003</v>
      </c>
      <c r="CC85">
        <f>Model!CK104</f>
        <v>-3.722</v>
      </c>
      <c r="CD85">
        <f>Model!CL104</f>
        <v>-5.0750000000000002</v>
      </c>
      <c r="CE85">
        <f>Model!CM104</f>
        <v>-7.0590000000000002</v>
      </c>
      <c r="CF85">
        <f>Model!CN104</f>
        <v>-10.412000000000001</v>
      </c>
      <c r="CG85">
        <f>Model!CO104</f>
        <v>-14.317</v>
      </c>
      <c r="CH85">
        <f>Model!CP104</f>
        <v>-24.083999999999996</v>
      </c>
      <c r="CI85">
        <f>Model!CQ104</f>
        <v>-29.943999999999999</v>
      </c>
      <c r="CJ85">
        <f>Model!CR104</f>
        <v>-31.721</v>
      </c>
      <c r="CK85">
        <f>Model!CS104</f>
        <v>-62.063000000000002</v>
      </c>
      <c r="CL85">
        <f>Model!CT104</f>
        <v>-83.289000000000016</v>
      </c>
      <c r="CM85">
        <f>Model!CU104</f>
        <v>-88.353000000000009</v>
      </c>
      <c r="CN85">
        <f>Model!CV104</f>
        <v>-160.22899999999998</v>
      </c>
      <c r="CO85">
        <f>Model!CW104</f>
        <v>-207.89999999999998</v>
      </c>
      <c r="CP85">
        <f>Model!CX104</f>
        <v>-253.976</v>
      </c>
      <c r="CQ85">
        <f>Model!CY104</f>
        <v>-267.44933600000002</v>
      </c>
      <c r="CR85">
        <f>Model!DG104</f>
        <v>0.39857661278718526</v>
      </c>
      <c r="CS85">
        <f>Model!DH104</f>
        <v>7.3725588929511643E-2</v>
      </c>
      <c r="CT85">
        <f>Model!DI104</f>
        <v>0</v>
      </c>
      <c r="CU85">
        <f>Model!DJ104</f>
        <v>0</v>
      </c>
    </row>
    <row r="86" spans="1:99">
      <c r="A86" t="str">
        <f>Model!I105</f>
        <v>Foreign Currency &amp; Other</v>
      </c>
      <c r="B86">
        <f>Model!J105</f>
        <v>0</v>
      </c>
      <c r="C86">
        <f>Model!K105</f>
        <v>0</v>
      </c>
      <c r="D86">
        <f>Model!L105</f>
        <v>0</v>
      </c>
      <c r="E86">
        <f>Model!M105</f>
        <v>0</v>
      </c>
      <c r="F86">
        <f>Model!N105</f>
        <v>0</v>
      </c>
      <c r="G86">
        <f>Model!O105</f>
        <v>0</v>
      </c>
      <c r="H86">
        <f>Model!P105</f>
        <v>0</v>
      </c>
      <c r="I86">
        <f>Model!Q105</f>
        <v>0</v>
      </c>
      <c r="J86">
        <f>Model!R105</f>
        <v>0</v>
      </c>
      <c r="K86">
        <f>Model!S105</f>
        <v>0</v>
      </c>
      <c r="L86">
        <f>Model!T105</f>
        <v>0</v>
      </c>
      <c r="M86">
        <f>Model!U105</f>
        <v>0</v>
      </c>
      <c r="N86">
        <f>Model!V105</f>
        <v>0</v>
      </c>
      <c r="O86">
        <f>Model!W105</f>
        <v>0</v>
      </c>
      <c r="P86">
        <f>Model!X105</f>
        <v>0</v>
      </c>
      <c r="Q86">
        <f>Model!Y105</f>
        <v>0</v>
      </c>
      <c r="R86">
        <f>Model!Z105</f>
        <v>0</v>
      </c>
      <c r="S86">
        <f>Model!AA105</f>
        <v>0</v>
      </c>
      <c r="T86">
        <f>Model!AB105</f>
        <v>0</v>
      </c>
      <c r="U86">
        <f>Model!AC105</f>
        <v>0</v>
      </c>
      <c r="V86">
        <f>Model!AD105</f>
        <v>0</v>
      </c>
      <c r="W86">
        <f>Model!AE105</f>
        <v>0</v>
      </c>
      <c r="X86">
        <f>Model!AF105</f>
        <v>0</v>
      </c>
      <c r="Y86">
        <f>Model!AG105</f>
        <v>0.111</v>
      </c>
      <c r="Z86">
        <f>Model!AH105</f>
        <v>-0.622</v>
      </c>
      <c r="AA86">
        <f>Model!AI105</f>
        <v>0.35399999999999998</v>
      </c>
      <c r="AB86">
        <f>Model!AJ105</f>
        <v>-0.45</v>
      </c>
      <c r="AC86">
        <f>Model!AK105</f>
        <v>-0.214</v>
      </c>
      <c r="AD86">
        <f>Model!AL105</f>
        <v>-0.33200000000000002</v>
      </c>
      <c r="AE86">
        <f>Model!AM105</f>
        <v>-1.3160000000000001</v>
      </c>
      <c r="AF86">
        <f>Model!AN105</f>
        <v>-1.4139999999999999</v>
      </c>
      <c r="AG86">
        <f>Model!AO105</f>
        <v>-5.0839999999999996</v>
      </c>
      <c r="AH86">
        <f>Model!AP105</f>
        <v>0.03</v>
      </c>
      <c r="AI86">
        <f>Model!AQ105</f>
        <v>3.5</v>
      </c>
      <c r="AJ86">
        <f>Model!AR105</f>
        <v>11.333</v>
      </c>
      <c r="AK86">
        <f>Model!AS105</f>
        <v>3.8170000000000002</v>
      </c>
      <c r="AL86">
        <f>Model!AT105</f>
        <v>-3.88</v>
      </c>
      <c r="AM86">
        <f>Model!AU105</f>
        <v>-1.22</v>
      </c>
      <c r="AN86">
        <f>Model!AV105</f>
        <v>-5.3890000000000002</v>
      </c>
      <c r="AO86">
        <f>Model!AW105</f>
        <v>-3.13</v>
      </c>
      <c r="AP86">
        <f>Model!AX105</f>
        <v>1.0389999999999999</v>
      </c>
      <c r="AQ86">
        <f>Model!AY105</f>
        <v>-10.715</v>
      </c>
      <c r="AR86">
        <f>Model!AZ105</f>
        <v>-1.62</v>
      </c>
      <c r="AS86">
        <f>Model!BA105</f>
        <v>-7.0730000000000004</v>
      </c>
      <c r="AT86">
        <f>Model!BB105</f>
        <v>-2.4510000000000001</v>
      </c>
      <c r="AU86">
        <f>Model!BC105</f>
        <v>0.82699999999999996</v>
      </c>
      <c r="AV86">
        <f>Model!BD105</f>
        <v>1.17</v>
      </c>
      <c r="AW86">
        <f>Model!BE105</f>
        <v>-2.3759999999999999</v>
      </c>
      <c r="AX86">
        <f>Model!BF105</f>
        <v>3.2050000000000001</v>
      </c>
      <c r="AY86">
        <f>Model!BG105</f>
        <v>-8.2560000000000002</v>
      </c>
      <c r="AZ86">
        <f>Model!BH105</f>
        <v>-2.2930000000000001</v>
      </c>
      <c r="BA86">
        <f>Model!BI105</f>
        <v>-2.9420000000000002</v>
      </c>
      <c r="BB86">
        <f>Model!BJ105</f>
        <v>-0.78200000000000003</v>
      </c>
      <c r="BC86">
        <f>Model!BK105</f>
        <v>-3.278</v>
      </c>
      <c r="BD86">
        <f>Model!BL105</f>
        <v>-29.753</v>
      </c>
      <c r="BE86">
        <f>Model!BM105</f>
        <v>-5.9690000000000003</v>
      </c>
      <c r="BF86">
        <f>Model!BN105</f>
        <v>-1.7769999999999999</v>
      </c>
      <c r="BG86">
        <f>Model!BO105</f>
        <v>3.347</v>
      </c>
      <c r="BH86">
        <f>Model!BP105</f>
        <v>-5.0449999999999999</v>
      </c>
      <c r="BI86">
        <f>Model!BQ105</f>
        <v>-4.843</v>
      </c>
      <c r="BJ86">
        <f>Model!BR105</f>
        <v>-1.444</v>
      </c>
      <c r="BK86">
        <f>Model!BS105</f>
        <v>-5.7830000000000004</v>
      </c>
      <c r="BL86">
        <f>Model!BT105</f>
        <v>-14.016999999999999</v>
      </c>
      <c r="BM86">
        <f>Model!BU105</f>
        <v>-63.278000000000006</v>
      </c>
      <c r="BN86">
        <f>Model!BV105</f>
        <v>-10.861000000000001</v>
      </c>
      <c r="BO86">
        <f>Model!BW105</f>
        <v>-4.431</v>
      </c>
      <c r="BP86">
        <f>Model!BX105</f>
        <v>-1.5509999999999999</v>
      </c>
      <c r="BQ86">
        <f>Model!BY105</f>
        <v>-5.1269999999999998</v>
      </c>
      <c r="BR86">
        <f>Model!BZ105</f>
        <v>-4.9939999999999998</v>
      </c>
      <c r="BS86">
        <f>Model!CA105</f>
        <v>-10.035</v>
      </c>
      <c r="BT86">
        <f>Model!CB105</f>
        <v>-21.638999999999999</v>
      </c>
      <c r="BU86">
        <f>Model!CC105</f>
        <v>0</v>
      </c>
      <c r="BV86">
        <f>Model!CD105</f>
        <v>0</v>
      </c>
      <c r="BW86">
        <f>Model!CE105</f>
        <v>0</v>
      </c>
      <c r="BX86">
        <f>Model!CF105</f>
        <v>0</v>
      </c>
      <c r="BY86">
        <f>Model!CG105</f>
        <v>0</v>
      </c>
      <c r="BZ86">
        <f>Model!CH105</f>
        <v>0</v>
      </c>
      <c r="CA86">
        <f>Model!CI105</f>
        <v>0</v>
      </c>
      <c r="CB86">
        <f>Model!CJ105</f>
        <v>0</v>
      </c>
      <c r="CC86">
        <f>Model!CK105</f>
        <v>0.7</v>
      </c>
      <c r="CD86">
        <f>Model!CL105</f>
        <v>-0.65600000000000003</v>
      </c>
      <c r="CE86">
        <f>Model!CM105</f>
        <v>-0.60699999999999998</v>
      </c>
      <c r="CF86">
        <f>Model!CN105</f>
        <v>-3.2759999999999998</v>
      </c>
      <c r="CG86">
        <f>Model!CO105</f>
        <v>9.7789999999999999</v>
      </c>
      <c r="CH86">
        <f>Model!CP105</f>
        <v>-6.6719999999999997</v>
      </c>
      <c r="CI86">
        <f>Model!CQ105</f>
        <v>-14.426000000000002</v>
      </c>
      <c r="CJ86">
        <f>Model!CR105</f>
        <v>-7.527000000000001</v>
      </c>
      <c r="CK86">
        <f>Model!CS105</f>
        <v>-9.7199999999999989</v>
      </c>
      <c r="CL86">
        <f>Model!CT105</f>
        <v>-36.755000000000003</v>
      </c>
      <c r="CM86">
        <f>Model!CU105</f>
        <v>-9.4440000000000008</v>
      </c>
      <c r="CN86">
        <f>Model!CV105</f>
        <v>-26.087</v>
      </c>
      <c r="CO86">
        <f>Model!CW105</f>
        <v>-80.121000000000009</v>
      </c>
      <c r="CP86">
        <f>Model!CX105</f>
        <v>-41.795000000000002</v>
      </c>
      <c r="CQ86">
        <f>Model!CY105</f>
        <v>0</v>
      </c>
      <c r="CR86">
        <f>Model!DG105</f>
        <v>0.12578547764109382</v>
      </c>
      <c r="CS86" t="str">
        <f>Model!DH105</f>
        <v>NM</v>
      </c>
      <c r="CT86">
        <f>Model!DI105</f>
        <v>0</v>
      </c>
      <c r="CU86">
        <f>Model!DJ105</f>
        <v>0</v>
      </c>
    </row>
    <row r="87" spans="1:99">
      <c r="A87" t="str">
        <f>Model!I106</f>
        <v>Total Reported Non-Operating Income (Expense)</v>
      </c>
      <c r="B87">
        <f>Model!J106</f>
        <v>0</v>
      </c>
      <c r="C87">
        <f>Model!K106</f>
        <v>0</v>
      </c>
      <c r="D87">
        <f>Model!L106</f>
        <v>0</v>
      </c>
      <c r="E87">
        <f>Model!M106</f>
        <v>0</v>
      </c>
      <c r="F87">
        <f>Model!N106</f>
        <v>0</v>
      </c>
      <c r="G87">
        <f>Model!O106</f>
        <v>0</v>
      </c>
      <c r="H87">
        <f>Model!P106</f>
        <v>0</v>
      </c>
      <c r="I87">
        <f>Model!Q106</f>
        <v>0</v>
      </c>
      <c r="J87">
        <f>Model!R106</f>
        <v>0</v>
      </c>
      <c r="K87">
        <f>Model!S106</f>
        <v>0</v>
      </c>
      <c r="L87">
        <f>Model!T106</f>
        <v>0</v>
      </c>
      <c r="M87">
        <f>Model!U106</f>
        <v>0</v>
      </c>
      <c r="N87">
        <f>Model!V106</f>
        <v>0</v>
      </c>
      <c r="O87">
        <f>Model!W106</f>
        <v>0</v>
      </c>
      <c r="P87">
        <f>Model!X106</f>
        <v>0</v>
      </c>
      <c r="Q87">
        <f>Model!Y106</f>
        <v>0</v>
      </c>
      <c r="R87">
        <f>Model!Z106</f>
        <v>0</v>
      </c>
      <c r="S87">
        <f>Model!AA106</f>
        <v>0</v>
      </c>
      <c r="T87">
        <f>Model!AB106</f>
        <v>0</v>
      </c>
      <c r="U87">
        <f>Model!AC106</f>
        <v>0</v>
      </c>
      <c r="V87">
        <f>Model!AD106</f>
        <v>0</v>
      </c>
      <c r="W87">
        <f>Model!AE106</f>
        <v>0</v>
      </c>
      <c r="X87">
        <f>Model!AF106</f>
        <v>0</v>
      </c>
      <c r="Y87">
        <f>Model!AG106</f>
        <v>0.18799999999999994</v>
      </c>
      <c r="Z87">
        <f>Model!AH106</f>
        <v>-5.5000000000000049E-2</v>
      </c>
      <c r="AA87">
        <f>Model!AI106</f>
        <v>1.4299999999999997</v>
      </c>
      <c r="AB87">
        <f>Model!AJ106</f>
        <v>2.0839999999999996</v>
      </c>
      <c r="AC87">
        <f>Model!AK106</f>
        <v>5.5189999999999984</v>
      </c>
      <c r="AD87">
        <f>Model!AL106</f>
        <v>3.2960000000000003</v>
      </c>
      <c r="AE87">
        <f>Model!AM106</f>
        <v>2.1399999999999997</v>
      </c>
      <c r="AF87">
        <f>Model!AN106</f>
        <v>1.1329999999999998</v>
      </c>
      <c r="AG87">
        <f>Model!AO106</f>
        <v>-3.5829999999999997</v>
      </c>
      <c r="AH87">
        <f>Model!AP106</f>
        <v>0.58399999999999985</v>
      </c>
      <c r="AI87">
        <f>Model!AQ106</f>
        <v>4.798</v>
      </c>
      <c r="AJ87">
        <f>Model!AR106</f>
        <v>5.3220000000000001</v>
      </c>
      <c r="AK87">
        <f>Model!AS106</f>
        <v>-2.2469999999999999</v>
      </c>
      <c r="AL87">
        <f>Model!AT106</f>
        <v>-9.902000000000001</v>
      </c>
      <c r="AM87">
        <f>Model!AU106</f>
        <v>-6.6599999999999993</v>
      </c>
      <c r="AN87">
        <f>Model!AV106</f>
        <v>-9.7240000000000002</v>
      </c>
      <c r="AO87">
        <f>Model!AW106</f>
        <v>-7.0809999999999995</v>
      </c>
      <c r="AP87">
        <f>Model!AX106</f>
        <v>-7.2880000000000003</v>
      </c>
      <c r="AQ87">
        <f>Model!AY106</f>
        <v>-18.09</v>
      </c>
      <c r="AR87">
        <f>Model!AZ106</f>
        <v>-8.0540000000000003</v>
      </c>
      <c r="AS87">
        <f>Model!BA106</f>
        <v>-13.367000000000001</v>
      </c>
      <c r="AT87">
        <f>Model!BB106</f>
        <v>-8.1170000000000009</v>
      </c>
      <c r="AU87">
        <f>Model!BC106</f>
        <v>-4.5259999999999998</v>
      </c>
      <c r="AV87">
        <f>Model!BD106</f>
        <v>-5.1180000000000003</v>
      </c>
      <c r="AW87">
        <f>Model!BE106</f>
        <v>-12.535999999999998</v>
      </c>
      <c r="AX87">
        <f>Model!BF106</f>
        <v>-12.676000000000002</v>
      </c>
      <c r="AY87">
        <f>Model!BG106</f>
        <v>-24.420999999999999</v>
      </c>
      <c r="AZ87">
        <f>Model!BH106</f>
        <v>-18.292999999999999</v>
      </c>
      <c r="BA87">
        <f>Model!BI106</f>
        <v>-19.397000000000002</v>
      </c>
      <c r="BB87">
        <f>Model!BJ106</f>
        <v>-19.273999999999997</v>
      </c>
      <c r="BC87">
        <f>Model!BK106</f>
        <v>-26.545999999999999</v>
      </c>
      <c r="BD87">
        <f>Model!BL106</f>
        <v>-50.66</v>
      </c>
      <c r="BE87">
        <f>Model!BM106</f>
        <v>-22.673000000000002</v>
      </c>
      <c r="BF87">
        <f>Model!BN106</f>
        <v>-17.249000000000002</v>
      </c>
      <c r="BG87">
        <f>Model!BO106</f>
        <v>-17.116</v>
      </c>
      <c r="BH87">
        <f>Model!BP106</f>
        <v>-26.826000000000001</v>
      </c>
      <c r="BI87">
        <f>Model!BQ106</f>
        <v>-26.725999999999999</v>
      </c>
      <c r="BJ87">
        <f>Model!BR106</f>
        <v>-29.953999999999997</v>
      </c>
      <c r="BK87">
        <f>Model!BS106</f>
        <v>-32.536999999999999</v>
      </c>
      <c r="BL87">
        <f>Model!BT106</f>
        <v>-41.370000000000005</v>
      </c>
      <c r="BM87">
        <f>Model!BU106</f>
        <v>-89.825000000000003</v>
      </c>
      <c r="BN87">
        <f>Model!BV106</f>
        <v>-39.858999999999995</v>
      </c>
      <c r="BO87">
        <f>Model!BW106</f>
        <v>-35.692999999999998</v>
      </c>
      <c r="BP87">
        <f>Model!BX106</f>
        <v>-27.697999999999997</v>
      </c>
      <c r="BQ87">
        <f>Model!BY106</f>
        <v>-28.851999999999997</v>
      </c>
      <c r="BR87">
        <f>Model!BZ106</f>
        <v>-29.115000000000002</v>
      </c>
      <c r="BS87">
        <f>Model!CA106</f>
        <v>-34.89</v>
      </c>
      <c r="BT87">
        <f>Model!CB106</f>
        <v>-45.72</v>
      </c>
      <c r="BU87">
        <f>Model!CC106</f>
        <v>-33.268799999999999</v>
      </c>
      <c r="BV87">
        <f>Model!CD106</f>
        <v>-25.32705</v>
      </c>
      <c r="BW87">
        <f>Model!CE106</f>
        <v>-24.770989999999991</v>
      </c>
      <c r="BX87">
        <f>Model!CF106</f>
        <v>-34.673900999999987</v>
      </c>
      <c r="BY87">
        <f>Model!CG106</f>
        <v>0</v>
      </c>
      <c r="BZ87">
        <f>Model!CH106</f>
        <v>0</v>
      </c>
      <c r="CA87">
        <f>Model!CI106</f>
        <v>0</v>
      </c>
      <c r="CB87">
        <f>Model!CJ106</f>
        <v>1.5670000000000002</v>
      </c>
      <c r="CC87">
        <f>Model!CK106</f>
        <v>2.09</v>
      </c>
      <c r="CD87">
        <f>Model!CL106</f>
        <v>-0.18100000000000038</v>
      </c>
      <c r="CE87">
        <f>Model!CM106</f>
        <v>3.6469999999999985</v>
      </c>
      <c r="CF87">
        <f>Model!CN106</f>
        <v>12.087999999999999</v>
      </c>
      <c r="CG87">
        <f>Model!CO106</f>
        <v>7.1209999999999987</v>
      </c>
      <c r="CH87">
        <f>Model!CP106</f>
        <v>-28.532999999999998</v>
      </c>
      <c r="CI87">
        <f>Model!CQ106</f>
        <v>-40.513000000000005</v>
      </c>
      <c r="CJ87">
        <f>Model!CR106</f>
        <v>-31.128</v>
      </c>
      <c r="CK87">
        <f>Model!CS106</f>
        <v>-67.926000000000002</v>
      </c>
      <c r="CL87">
        <f>Model!CT106</f>
        <v>-115.87700000000001</v>
      </c>
      <c r="CM87">
        <f>Model!CU106</f>
        <v>-83.864000000000019</v>
      </c>
      <c r="CN87">
        <f>Model!CV106</f>
        <v>-130.58699999999996</v>
      </c>
      <c r="CO87">
        <f>Model!CW106</f>
        <v>-193.07499999999999</v>
      </c>
      <c r="CP87">
        <f>Model!CX106</f>
        <v>-138.577</v>
      </c>
      <c r="CQ87">
        <f>Model!CY106</f>
        <v>-118.04074100000003</v>
      </c>
      <c r="CR87">
        <f>Model!DG106</f>
        <v>0.26374982415725956</v>
      </c>
      <c r="CS87">
        <f>Model!DH106</f>
        <v>-1.8923375671149658</v>
      </c>
      <c r="CT87">
        <f>Model!DI106</f>
        <v>0</v>
      </c>
      <c r="CU87">
        <f>Model!DJ106</f>
        <v>0</v>
      </c>
    </row>
    <row r="88" spans="1:99">
      <c r="A88">
        <f>Model!I107</f>
        <v>0</v>
      </c>
      <c r="B88">
        <f>Model!J107</f>
        <v>0</v>
      </c>
      <c r="C88">
        <f>Model!K107</f>
        <v>0</v>
      </c>
      <c r="D88">
        <f>Model!L107</f>
        <v>0</v>
      </c>
      <c r="E88">
        <f>Model!M107</f>
        <v>0</v>
      </c>
      <c r="F88">
        <f>Model!N107</f>
        <v>0</v>
      </c>
      <c r="G88">
        <f>Model!O107</f>
        <v>0</v>
      </c>
      <c r="H88">
        <f>Model!P107</f>
        <v>0</v>
      </c>
      <c r="I88">
        <f>Model!Q107</f>
        <v>0</v>
      </c>
      <c r="J88">
        <f>Model!R107</f>
        <v>0</v>
      </c>
      <c r="K88">
        <f>Model!S107</f>
        <v>0</v>
      </c>
      <c r="L88">
        <f>Model!T107</f>
        <v>0</v>
      </c>
      <c r="M88">
        <f>Model!U107</f>
        <v>0</v>
      </c>
      <c r="N88">
        <f>Model!V107</f>
        <v>0</v>
      </c>
      <c r="O88">
        <f>Model!W107</f>
        <v>0</v>
      </c>
      <c r="P88">
        <f>Model!X107</f>
        <v>0</v>
      </c>
      <c r="Q88">
        <f>Model!Y107</f>
        <v>0</v>
      </c>
      <c r="R88">
        <f>Model!Z107</f>
        <v>0</v>
      </c>
      <c r="S88">
        <f>Model!AA107</f>
        <v>0</v>
      </c>
      <c r="T88">
        <f>Model!AB107</f>
        <v>0</v>
      </c>
      <c r="U88">
        <f>Model!AC107</f>
        <v>0</v>
      </c>
      <c r="V88">
        <f>Model!AD107</f>
        <v>0</v>
      </c>
      <c r="W88">
        <f>Model!AE107</f>
        <v>0</v>
      </c>
      <c r="X88">
        <f>Model!AF107</f>
        <v>0</v>
      </c>
      <c r="Y88">
        <f>Model!AG107</f>
        <v>0</v>
      </c>
      <c r="Z88">
        <f>Model!AH107</f>
        <v>0</v>
      </c>
      <c r="AA88">
        <f>Model!AI107</f>
        <v>0</v>
      </c>
      <c r="AB88">
        <f>Model!AJ107</f>
        <v>0</v>
      </c>
      <c r="AC88">
        <f>Model!AK107</f>
        <v>0</v>
      </c>
      <c r="AD88">
        <f>Model!AL107</f>
        <v>0</v>
      </c>
      <c r="AE88">
        <f>Model!AM107</f>
        <v>0</v>
      </c>
      <c r="AF88">
        <f>Model!AN107</f>
        <v>0</v>
      </c>
      <c r="AG88">
        <f>Model!AO107</f>
        <v>0</v>
      </c>
      <c r="AH88">
        <f>Model!AP107</f>
        <v>0</v>
      </c>
      <c r="AI88">
        <f>Model!AQ107</f>
        <v>0</v>
      </c>
      <c r="AJ88">
        <f>Model!AR107</f>
        <v>0</v>
      </c>
      <c r="AK88">
        <f>Model!AS107</f>
        <v>0</v>
      </c>
      <c r="AL88">
        <f>Model!AT107</f>
        <v>0</v>
      </c>
      <c r="AM88">
        <f>Model!AU107</f>
        <v>0</v>
      </c>
      <c r="AN88">
        <f>Model!AV107</f>
        <v>0</v>
      </c>
      <c r="AO88">
        <f>Model!AW107</f>
        <v>0</v>
      </c>
      <c r="AP88">
        <f>Model!AX107</f>
        <v>0</v>
      </c>
      <c r="AQ88">
        <f>Model!AY107</f>
        <v>0</v>
      </c>
      <c r="AR88">
        <f>Model!AZ107</f>
        <v>0</v>
      </c>
      <c r="AS88">
        <f>Model!BA107</f>
        <v>0</v>
      </c>
      <c r="AT88">
        <f>Model!BB107</f>
        <v>0</v>
      </c>
      <c r="AU88">
        <f>Model!BC107</f>
        <v>0</v>
      </c>
      <c r="AV88">
        <f>Model!BD107</f>
        <v>0</v>
      </c>
      <c r="AW88">
        <f>Model!BE107</f>
        <v>0</v>
      </c>
      <c r="AX88">
        <f>Model!BF107</f>
        <v>0</v>
      </c>
      <c r="AY88">
        <f>Model!BG107</f>
        <v>0</v>
      </c>
      <c r="AZ88">
        <f>Model!BH107</f>
        <v>0</v>
      </c>
      <c r="BA88">
        <f>Model!BI107</f>
        <v>0</v>
      </c>
      <c r="BB88">
        <f>Model!BJ107</f>
        <v>0</v>
      </c>
      <c r="BC88">
        <f>Model!BK107</f>
        <v>0</v>
      </c>
      <c r="BD88">
        <f>Model!BL107</f>
        <v>0</v>
      </c>
      <c r="BE88">
        <f>Model!BM107</f>
        <v>0</v>
      </c>
      <c r="BF88">
        <f>Model!BN107</f>
        <v>0</v>
      </c>
      <c r="BG88">
        <f>Model!BO107</f>
        <v>0</v>
      </c>
      <c r="BH88">
        <f>Model!BP107</f>
        <v>0</v>
      </c>
      <c r="BI88">
        <f>Model!BQ107</f>
        <v>0</v>
      </c>
      <c r="BJ88">
        <f>Model!BR107</f>
        <v>0</v>
      </c>
      <c r="BK88">
        <f>Model!BS107</f>
        <v>0</v>
      </c>
      <c r="BL88">
        <f>Model!BT107</f>
        <v>0</v>
      </c>
      <c r="BM88">
        <f>Model!BU107</f>
        <v>0</v>
      </c>
      <c r="BN88">
        <f>Model!BV107</f>
        <v>0</v>
      </c>
      <c r="BO88">
        <f>Model!BW107</f>
        <v>0</v>
      </c>
      <c r="BP88">
        <f>Model!BX107</f>
        <v>0</v>
      </c>
      <c r="BQ88">
        <f>Model!BY107</f>
        <v>0</v>
      </c>
      <c r="BR88">
        <f>Model!BZ107</f>
        <v>0</v>
      </c>
      <c r="BS88">
        <f>Model!CA107</f>
        <v>0</v>
      </c>
      <c r="BT88">
        <f>Model!CB107</f>
        <v>0</v>
      </c>
      <c r="BU88">
        <f>Model!CC107</f>
        <v>0</v>
      </c>
      <c r="BV88">
        <f>Model!CD107</f>
        <v>0</v>
      </c>
      <c r="BW88">
        <f>Model!CE107</f>
        <v>0</v>
      </c>
      <c r="BX88">
        <f>Model!CF107</f>
        <v>0</v>
      </c>
      <c r="BY88">
        <f>Model!CG107</f>
        <v>0</v>
      </c>
      <c r="BZ88">
        <f>Model!CH107</f>
        <v>0</v>
      </c>
      <c r="CA88">
        <f>Model!CI107</f>
        <v>0</v>
      </c>
      <c r="CB88">
        <f>Model!CJ107</f>
        <v>0</v>
      </c>
      <c r="CC88">
        <f>Model!CK107</f>
        <v>0</v>
      </c>
      <c r="CD88">
        <f>Model!CL107</f>
        <v>0</v>
      </c>
      <c r="CE88">
        <f>Model!CM107</f>
        <v>0</v>
      </c>
      <c r="CF88">
        <f>Model!CN107</f>
        <v>0</v>
      </c>
      <c r="CG88">
        <f>Model!CO107</f>
        <v>0</v>
      </c>
      <c r="CH88">
        <f>Model!CP107</f>
        <v>0</v>
      </c>
      <c r="CI88">
        <f>Model!CQ107</f>
        <v>0</v>
      </c>
      <c r="CJ88">
        <f>Model!CR107</f>
        <v>0</v>
      </c>
      <c r="CK88">
        <f>Model!CS107</f>
        <v>0</v>
      </c>
      <c r="CL88">
        <f>Model!CT107</f>
        <v>0</v>
      </c>
      <c r="CM88">
        <f>Model!CU107</f>
        <v>0</v>
      </c>
      <c r="CN88">
        <f>Model!CV107</f>
        <v>0</v>
      </c>
      <c r="CO88">
        <f>Model!CW107</f>
        <v>0</v>
      </c>
      <c r="CP88">
        <f>Model!CX107</f>
        <v>0</v>
      </c>
      <c r="CQ88">
        <f>Model!CY107</f>
        <v>0</v>
      </c>
      <c r="CR88">
        <f>Model!DG107</f>
        <v>0</v>
      </c>
      <c r="CS88">
        <f>Model!DH107</f>
        <v>0</v>
      </c>
      <c r="CT88">
        <f>Model!DI107</f>
        <v>0</v>
      </c>
      <c r="CU88">
        <f>Model!DJ107</f>
        <v>0</v>
      </c>
    </row>
    <row r="89" spans="1:99">
      <c r="A89" t="str">
        <f>Model!I108</f>
        <v>Interest Income</v>
      </c>
      <c r="B89">
        <f>Model!J108</f>
        <v>0</v>
      </c>
      <c r="C89">
        <f>Model!K108</f>
        <v>0</v>
      </c>
      <c r="D89">
        <f>Model!L108</f>
        <v>0</v>
      </c>
      <c r="E89">
        <f>Model!M108</f>
        <v>0</v>
      </c>
      <c r="F89">
        <f>Model!N108</f>
        <v>0</v>
      </c>
      <c r="G89">
        <f>Model!O108</f>
        <v>0</v>
      </c>
      <c r="H89">
        <f>Model!P108</f>
        <v>0</v>
      </c>
      <c r="I89">
        <f>Model!Q108</f>
        <v>0</v>
      </c>
      <c r="J89">
        <f>Model!R108</f>
        <v>0</v>
      </c>
      <c r="K89">
        <f>Model!S108</f>
        <v>0</v>
      </c>
      <c r="L89">
        <f>Model!T108</f>
        <v>0</v>
      </c>
      <c r="M89">
        <f>Model!U108</f>
        <v>0</v>
      </c>
      <c r="N89">
        <f>Model!V108</f>
        <v>0</v>
      </c>
      <c r="O89">
        <f>Model!W108</f>
        <v>0</v>
      </c>
      <c r="P89">
        <f>Model!X108</f>
        <v>0</v>
      </c>
      <c r="Q89">
        <f>Model!Y108</f>
        <v>0</v>
      </c>
      <c r="R89">
        <f>Model!Z108</f>
        <v>0</v>
      </c>
      <c r="S89">
        <f>Model!AA108</f>
        <v>0</v>
      </c>
      <c r="T89">
        <f>Model!AB108</f>
        <v>0</v>
      </c>
      <c r="U89">
        <f>Model!AC108</f>
        <v>0</v>
      </c>
      <c r="V89">
        <f>Model!AD108</f>
        <v>0</v>
      </c>
      <c r="W89">
        <f>Model!AE108</f>
        <v>0</v>
      </c>
      <c r="X89">
        <f>Model!AF108</f>
        <v>0</v>
      </c>
      <c r="Y89">
        <f>Model!AG108</f>
        <v>1.575</v>
      </c>
      <c r="Z89">
        <f>Model!AH108</f>
        <v>2.121</v>
      </c>
      <c r="AA89">
        <f>Model!AI108</f>
        <v>2.6259999999999999</v>
      </c>
      <c r="AB89">
        <f>Model!AJ108</f>
        <v>4.9909999999999997</v>
      </c>
      <c r="AC89">
        <f>Model!AK108</f>
        <v>8.2029999999999994</v>
      </c>
      <c r="AD89">
        <f>Model!AL108</f>
        <v>6.1120000000000001</v>
      </c>
      <c r="AE89">
        <f>Model!AM108</f>
        <v>6.0629999999999997</v>
      </c>
      <c r="AF89">
        <f>Model!AN108</f>
        <v>5.3979999999999997</v>
      </c>
      <c r="AG89">
        <f>Model!AO108</f>
        <v>4.1719999999999997</v>
      </c>
      <c r="AH89">
        <f>Model!AP108</f>
        <v>2.9049999999999998</v>
      </c>
      <c r="AI89">
        <f>Model!AQ108</f>
        <v>3.0609999999999999</v>
      </c>
      <c r="AJ89">
        <f>Model!AR108</f>
        <v>1.5209999999999999</v>
      </c>
      <c r="AK89">
        <f>Model!AS108</f>
        <v>0.74099999999999999</v>
      </c>
      <c r="AL89">
        <f>Model!AT108</f>
        <v>0.48299999999999998</v>
      </c>
      <c r="AM89">
        <f>Model!AU108</f>
        <v>0.47099999999999997</v>
      </c>
      <c r="AN89">
        <f>Model!AV108</f>
        <v>0.52800000000000002</v>
      </c>
      <c r="AO89">
        <f>Model!AW108</f>
        <v>0.85499999999999998</v>
      </c>
      <c r="AP89">
        <f>Model!AX108</f>
        <v>0.94</v>
      </c>
      <c r="AQ89">
        <f>Model!AY108</f>
        <v>0.91800000000000004</v>
      </c>
      <c r="AR89">
        <f>Model!AZ108</f>
        <v>1.1439999999999999</v>
      </c>
      <c r="AS89">
        <f>Model!BA108</f>
        <v>1.421</v>
      </c>
      <c r="AT89">
        <f>Model!BB108</f>
        <v>2.129</v>
      </c>
      <c r="AU89">
        <f>Model!BC108</f>
        <v>2.5259999999999998</v>
      </c>
      <c r="AV89">
        <f>Model!BD108</f>
        <v>2.044</v>
      </c>
      <c r="AW89">
        <f>Model!BE108</f>
        <v>1.0980000000000001</v>
      </c>
      <c r="AX89">
        <f>Model!BF108</f>
        <v>1.0009999999999999</v>
      </c>
      <c r="AY89">
        <f>Model!BG108</f>
        <v>0.90200000000000002</v>
      </c>
      <c r="AZ89">
        <f>Model!BH108</f>
        <v>0.85599999999999998</v>
      </c>
      <c r="BA89">
        <f>Model!BI108</f>
        <v>0.874</v>
      </c>
      <c r="BB89">
        <f>Model!BJ108</f>
        <v>1.141</v>
      </c>
      <c r="BC89">
        <f>Model!BK108</f>
        <v>0.86699999999999999</v>
      </c>
      <c r="BD89">
        <f>Model!BL108</f>
        <v>1.2849999999999999</v>
      </c>
      <c r="BE89">
        <f>Model!BM108</f>
        <v>1.0409999999999999</v>
      </c>
      <c r="BF89">
        <f>Model!BN108</f>
        <v>1.6339999999999999</v>
      </c>
      <c r="BG89">
        <f>Model!BO108</f>
        <v>2.4900000000000002</v>
      </c>
      <c r="BH89">
        <f>Model!BP108</f>
        <v>8.7680000000000007</v>
      </c>
      <c r="BI89">
        <f>Model!BQ108</f>
        <v>11.596</v>
      </c>
      <c r="BJ89">
        <f>Model!BR108</f>
        <v>13.037000000000001</v>
      </c>
      <c r="BK89">
        <f>Model!BS108</f>
        <v>14.682</v>
      </c>
      <c r="BL89">
        <f>Model!BT108</f>
        <v>16.414000000000001</v>
      </c>
      <c r="BM89">
        <f>Model!BU108</f>
        <v>20.347000000000001</v>
      </c>
      <c r="BN89">
        <f>Model!BV108</f>
        <v>21.292000000000002</v>
      </c>
      <c r="BO89">
        <f>Model!BW108</f>
        <v>24.218</v>
      </c>
      <c r="BP89">
        <f>Model!BX108</f>
        <v>29.088999999999999</v>
      </c>
      <c r="BQ89">
        <f>Model!BY108</f>
        <v>31.992000000000001</v>
      </c>
      <c r="BR89">
        <f>Model!BZ108</f>
        <v>36.820999999999998</v>
      </c>
      <c r="BS89">
        <f>Model!CA108</f>
        <v>41.482999999999997</v>
      </c>
      <c r="BT89">
        <f>Model!CB108</f>
        <v>31.997900000000001</v>
      </c>
      <c r="BU89">
        <f>Model!CC108</f>
        <v>33.5916</v>
      </c>
      <c r="BV89">
        <f>Model!CD108</f>
        <v>38.662050000000001</v>
      </c>
      <c r="BW89">
        <f>Model!CE108</f>
        <v>43.55715</v>
      </c>
      <c r="BX89">
        <f>Model!CF108</f>
        <v>33.597795000000005</v>
      </c>
      <c r="BY89">
        <f>Model!CG108</f>
        <v>0</v>
      </c>
      <c r="BZ89">
        <f>Model!CH108</f>
        <v>0</v>
      </c>
      <c r="CA89">
        <f>Model!CI108</f>
        <v>0</v>
      </c>
      <c r="CB89">
        <f>Model!CJ108</f>
        <v>5.6120000000000001</v>
      </c>
      <c r="CC89">
        <f>Model!CK108</f>
        <v>7.22</v>
      </c>
      <c r="CD89">
        <f>Model!CL108</f>
        <v>8.1199999999999992</v>
      </c>
      <c r="CE89">
        <f>Model!CM108</f>
        <v>7.7969999999999997</v>
      </c>
      <c r="CF89">
        <f>Model!CN108</f>
        <v>6.6690000000000005</v>
      </c>
      <c r="CG89">
        <f>Model!CO108</f>
        <v>5.0450000000000008</v>
      </c>
      <c r="CH89">
        <f>Model!CP108</f>
        <v>3.8570000000000002</v>
      </c>
      <c r="CI89">
        <f>Model!CQ108</f>
        <v>3.633</v>
      </c>
      <c r="CJ89">
        <f>Model!CR108</f>
        <v>3.7730000000000001</v>
      </c>
      <c r="CK89">
        <f>Model!CS108</f>
        <v>3.738</v>
      </c>
      <c r="CL89">
        <f>Model!CT108</f>
        <v>4.1669999999999998</v>
      </c>
      <c r="CM89">
        <f>Model!CU108</f>
        <v>13.933</v>
      </c>
      <c r="CN89">
        <f>Model!CV108</f>
        <v>55.729000000000006</v>
      </c>
      <c r="CO89">
        <f>Model!CW108</f>
        <v>94.945999999999998</v>
      </c>
      <c r="CP89">
        <f>Model!CX108</f>
        <v>142.29390000000001</v>
      </c>
      <c r="CQ89">
        <f>Model!CY108</f>
        <v>149.40859499999999</v>
      </c>
      <c r="CR89">
        <f>Model!DG108</f>
        <v>1.4173564598644766</v>
      </c>
      <c r="CS89">
        <f>Model!DH108</f>
        <v>0.80960061911587333</v>
      </c>
      <c r="CT89">
        <f>Model!DI108</f>
        <v>0</v>
      </c>
      <c r="CU89">
        <f>Model!DJ108</f>
        <v>0</v>
      </c>
    </row>
    <row r="90" spans="1:99">
      <c r="A90" t="str">
        <f>Model!I109</f>
        <v>Average Cash</v>
      </c>
      <c r="B90">
        <f>Model!J109</f>
        <v>0</v>
      </c>
      <c r="C90">
        <f>Model!K109</f>
        <v>0</v>
      </c>
      <c r="D90">
        <f>Model!L109</f>
        <v>0</v>
      </c>
      <c r="E90">
        <f>Model!M109</f>
        <v>0</v>
      </c>
      <c r="F90">
        <f>Model!N109</f>
        <v>0</v>
      </c>
      <c r="G90">
        <f>Model!O109</f>
        <v>0</v>
      </c>
      <c r="H90">
        <f>Model!P109</f>
        <v>0</v>
      </c>
      <c r="I90">
        <f>Model!Q109</f>
        <v>0</v>
      </c>
      <c r="J90">
        <f>Model!R109</f>
        <v>0</v>
      </c>
      <c r="K90">
        <f>Model!S109</f>
        <v>0</v>
      </c>
      <c r="L90">
        <f>Model!T109</f>
        <v>0</v>
      </c>
      <c r="M90">
        <f>Model!U109</f>
        <v>0</v>
      </c>
      <c r="N90">
        <f>Model!V109</f>
        <v>0</v>
      </c>
      <c r="O90">
        <f>Model!W109</f>
        <v>0</v>
      </c>
      <c r="P90">
        <f>Model!X109</f>
        <v>0</v>
      </c>
      <c r="Q90">
        <f>Model!Y109</f>
        <v>0</v>
      </c>
      <c r="R90">
        <f>Model!Z109</f>
        <v>0</v>
      </c>
      <c r="S90">
        <f>Model!AA109</f>
        <v>0</v>
      </c>
      <c r="T90">
        <f>Model!AB109</f>
        <v>0</v>
      </c>
      <c r="U90">
        <f>Model!AC109</f>
        <v>0</v>
      </c>
      <c r="V90">
        <f>Model!AD109</f>
        <v>0</v>
      </c>
      <c r="W90">
        <f>Model!AE109</f>
        <v>0</v>
      </c>
      <c r="X90">
        <f>Model!AF109</f>
        <v>0</v>
      </c>
      <c r="Y90">
        <f>Model!AG109</f>
        <v>0</v>
      </c>
      <c r="Z90">
        <f>Model!AH109</f>
        <v>0</v>
      </c>
      <c r="AA90">
        <f>Model!AI109</f>
        <v>0</v>
      </c>
      <c r="AB90">
        <f>Model!AJ109</f>
        <v>0</v>
      </c>
      <c r="AC90">
        <f>Model!AK109</f>
        <v>0</v>
      </c>
      <c r="AD90">
        <f>Model!AL109</f>
        <v>0</v>
      </c>
      <c r="AE90">
        <f>Model!AM109</f>
        <v>0</v>
      </c>
      <c r="AF90">
        <f>Model!AN109</f>
        <v>0</v>
      </c>
      <c r="AG90">
        <f>Model!AO109</f>
        <v>0</v>
      </c>
      <c r="AH90">
        <f>Model!AP109</f>
        <v>0</v>
      </c>
      <c r="AI90">
        <f>Model!AQ109</f>
        <v>0</v>
      </c>
      <c r="AJ90">
        <f>Model!AR109</f>
        <v>0</v>
      </c>
      <c r="AK90">
        <f>Model!AS109</f>
        <v>0</v>
      </c>
      <c r="AL90">
        <f>Model!AT109</f>
        <v>0</v>
      </c>
      <c r="AM90">
        <f>Model!AU109</f>
        <v>0</v>
      </c>
      <c r="AN90">
        <f>Model!AV109</f>
        <v>0</v>
      </c>
      <c r="AO90">
        <f>Model!AW109</f>
        <v>0</v>
      </c>
      <c r="AP90">
        <f>Model!AX109</f>
        <v>0</v>
      </c>
      <c r="AQ90">
        <f>Model!AY109</f>
        <v>0</v>
      </c>
      <c r="AR90">
        <f>Model!AZ109</f>
        <v>0</v>
      </c>
      <c r="AS90">
        <f>Model!BA109</f>
        <v>551.07399999999996</v>
      </c>
      <c r="AT90">
        <f>Model!BB109</f>
        <v>581.16149999999993</v>
      </c>
      <c r="AU90">
        <f>Model!BC109</f>
        <v>516.20749999999998</v>
      </c>
      <c r="AV90">
        <f>Model!BD109</f>
        <v>527.00099999999998</v>
      </c>
      <c r="AW90">
        <f>Model!BE109</f>
        <v>912.45550000000003</v>
      </c>
      <c r="AX90">
        <f>Model!BF109</f>
        <v>1002.4304999999999</v>
      </c>
      <c r="AY90">
        <f>Model!BG109</f>
        <v>855.62799999999993</v>
      </c>
      <c r="AZ90">
        <f>Model!BH109</f>
        <v>1217.4095</v>
      </c>
      <c r="BA90">
        <f>Model!BI109</f>
        <v>1573.7795000000001</v>
      </c>
      <c r="BB90">
        <f>Model!BJ109</f>
        <v>1686.712</v>
      </c>
      <c r="BC90">
        <f>Model!BK109</f>
        <v>1429.154</v>
      </c>
      <c r="BD90">
        <f>Model!BL109</f>
        <v>1193.0439999999999</v>
      </c>
      <c r="BE90">
        <f>Model!BM109</f>
        <v>1289.0720000000001</v>
      </c>
      <c r="BF90">
        <f>Model!BN109</f>
        <v>2396.0245</v>
      </c>
      <c r="BG90">
        <f>Model!BO109</f>
        <v>4273.8114999999998</v>
      </c>
      <c r="BH90">
        <f>Model!BP109</f>
        <v>4096.1875</v>
      </c>
      <c r="BI90">
        <f>Model!BQ109</f>
        <v>3202.2325000000001</v>
      </c>
      <c r="BJ90">
        <f>Model!BR109</f>
        <v>2572.3815</v>
      </c>
      <c r="BK90">
        <f>Model!BS109</f>
        <v>1865.3035</v>
      </c>
      <c r="BL90">
        <f>Model!BT109</f>
        <v>1659.4614999999999</v>
      </c>
      <c r="BM90">
        <f>Model!BU109</f>
        <v>1667.2150000000001</v>
      </c>
      <c r="BN90">
        <f>Model!BV109</f>
        <v>2275.4414999999999</v>
      </c>
      <c r="BO90">
        <f>Model!BW109</f>
        <v>2557.9934999999996</v>
      </c>
      <c r="BP90">
        <f>Model!BX109</f>
        <v>2251.6719999999996</v>
      </c>
      <c r="BQ90">
        <f>Model!BY109</f>
        <v>2257.5474999999997</v>
      </c>
      <c r="BR90">
        <f>Model!BZ109</f>
        <v>2534.1419999999998</v>
      </c>
      <c r="BS90">
        <f>Model!CA109</f>
        <v>2740.2820000000002</v>
      </c>
      <c r="BT90">
        <f>Model!CB109</f>
        <v>2693.9520000000002</v>
      </c>
      <c r="BU90">
        <f>Model!CC109</f>
        <v>1531.7701795310072</v>
      </c>
      <c r="BV90">
        <f>Model!CD109</f>
        <v>804.45209280989286</v>
      </c>
      <c r="BW90">
        <f>Model!CE109</f>
        <v>1712.8586562213382</v>
      </c>
      <c r="BX90">
        <f>Model!CF109</f>
        <v>2761.81543728412</v>
      </c>
      <c r="BY90">
        <f>Model!CG109</f>
        <v>0</v>
      </c>
      <c r="BZ90">
        <f>Model!CH109</f>
        <v>0</v>
      </c>
      <c r="CA90">
        <f>Model!CI109</f>
        <v>0</v>
      </c>
      <c r="CB90">
        <f>Model!CJ109</f>
        <v>0</v>
      </c>
      <c r="CC90">
        <f>Model!CK109</f>
        <v>0</v>
      </c>
      <c r="CD90">
        <f>Model!CL109</f>
        <v>0</v>
      </c>
      <c r="CE90">
        <f>Model!CM109</f>
        <v>0</v>
      </c>
      <c r="CF90">
        <f>Model!CN109</f>
        <v>0</v>
      </c>
      <c r="CG90">
        <f>Model!CO109</f>
        <v>0</v>
      </c>
      <c r="CH90">
        <f>Model!CP109</f>
        <v>0</v>
      </c>
      <c r="CI90">
        <f>Model!CQ109</f>
        <v>358.96699999999998</v>
      </c>
      <c r="CJ90">
        <f>Model!CR109</f>
        <v>495.9015</v>
      </c>
      <c r="CK90">
        <f>Model!CS109</f>
        <v>1084.5925</v>
      </c>
      <c r="CL90">
        <f>Model!CT109</f>
        <v>1413.1714999999999</v>
      </c>
      <c r="CM90">
        <f>Model!CU109</f>
        <v>2219.3224999999998</v>
      </c>
      <c r="CN90">
        <f>Model!CV109</f>
        <v>2312.9580000000001</v>
      </c>
      <c r="CO90">
        <f>Model!CW109</f>
        <v>1779.17</v>
      </c>
      <c r="CP90">
        <f>Model!CX109</f>
        <v>2311.3395</v>
      </c>
      <c r="CQ90">
        <f>Model!CY109</f>
        <v>2863.2426943416672</v>
      </c>
      <c r="CR90">
        <f>Model!DG109</f>
        <v>0</v>
      </c>
      <c r="CS90">
        <f>Model!DH109</f>
        <v>0</v>
      </c>
      <c r="CT90">
        <f>Model!DI109</f>
        <v>0</v>
      </c>
      <c r="CU90">
        <f>Model!DJ109</f>
        <v>0</v>
      </c>
    </row>
    <row r="91" spans="1:99">
      <c r="A91" t="str">
        <f>Model!I110</f>
        <v>Implied Rate</v>
      </c>
      <c r="B91">
        <f>Model!J110</f>
        <v>0</v>
      </c>
      <c r="C91">
        <f>Model!K110</f>
        <v>0</v>
      </c>
      <c r="D91">
        <f>Model!L110</f>
        <v>0</v>
      </c>
      <c r="E91">
        <f>Model!M110</f>
        <v>0</v>
      </c>
      <c r="F91">
        <f>Model!N110</f>
        <v>0</v>
      </c>
      <c r="G91">
        <f>Model!O110</f>
        <v>0</v>
      </c>
      <c r="H91">
        <f>Model!P110</f>
        <v>0</v>
      </c>
      <c r="I91">
        <f>Model!Q110</f>
        <v>0</v>
      </c>
      <c r="J91">
        <f>Model!R110</f>
        <v>0</v>
      </c>
      <c r="K91">
        <f>Model!S110</f>
        <v>0</v>
      </c>
      <c r="L91">
        <f>Model!T110</f>
        <v>0</v>
      </c>
      <c r="M91">
        <f>Model!U110</f>
        <v>0</v>
      </c>
      <c r="N91">
        <f>Model!V110</f>
        <v>0</v>
      </c>
      <c r="O91">
        <f>Model!W110</f>
        <v>0</v>
      </c>
      <c r="P91">
        <f>Model!X110</f>
        <v>0</v>
      </c>
      <c r="Q91">
        <f>Model!Y110</f>
        <v>0</v>
      </c>
      <c r="R91">
        <f>Model!Z110</f>
        <v>0</v>
      </c>
      <c r="S91">
        <f>Model!AA110</f>
        <v>0</v>
      </c>
      <c r="T91">
        <f>Model!AB110</f>
        <v>0</v>
      </c>
      <c r="U91">
        <f>Model!AC110</f>
        <v>0</v>
      </c>
      <c r="V91">
        <f>Model!AD110</f>
        <v>0</v>
      </c>
      <c r="W91">
        <f>Model!AE110</f>
        <v>0</v>
      </c>
      <c r="X91">
        <f>Model!AF110</f>
        <v>0</v>
      </c>
      <c r="Y91">
        <f>Model!AG110</f>
        <v>0</v>
      </c>
      <c r="Z91">
        <f>Model!AH110</f>
        <v>0</v>
      </c>
      <c r="AA91">
        <f>Model!AI110</f>
        <v>0</v>
      </c>
      <c r="AB91">
        <f>Model!AJ110</f>
        <v>0</v>
      </c>
      <c r="AC91">
        <f>Model!AK110</f>
        <v>0</v>
      </c>
      <c r="AD91">
        <f>Model!AL110</f>
        <v>0</v>
      </c>
      <c r="AE91">
        <f>Model!AM110</f>
        <v>0</v>
      </c>
      <c r="AF91">
        <f>Model!AN110</f>
        <v>0</v>
      </c>
      <c r="AG91">
        <f>Model!AO110</f>
        <v>0</v>
      </c>
      <c r="AH91">
        <f>Model!AP110</f>
        <v>0</v>
      </c>
      <c r="AI91">
        <f>Model!AQ110</f>
        <v>0</v>
      </c>
      <c r="AJ91">
        <f>Model!AR110</f>
        <v>0</v>
      </c>
      <c r="AK91">
        <f>Model!AS110</f>
        <v>0</v>
      </c>
      <c r="AL91">
        <f>Model!AT110</f>
        <v>0</v>
      </c>
      <c r="AM91">
        <f>Model!AU110</f>
        <v>0</v>
      </c>
      <c r="AN91">
        <f>Model!AV110</f>
        <v>0</v>
      </c>
      <c r="AO91">
        <f>Model!AW110</f>
        <v>0</v>
      </c>
      <c r="AP91">
        <f>Model!AX110</f>
        <v>0</v>
      </c>
      <c r="AQ91">
        <f>Model!AY110</f>
        <v>0</v>
      </c>
      <c r="AR91">
        <f>Model!AZ110</f>
        <v>0</v>
      </c>
      <c r="AS91">
        <f>Model!BA110</f>
        <v>1.0314404236091706E-2</v>
      </c>
      <c r="AT91">
        <f>Model!BB110</f>
        <v>1.4653413896137306E-2</v>
      </c>
      <c r="AU91">
        <f>Model!BC110</f>
        <v>1.9573524212647044E-2</v>
      </c>
      <c r="AV91">
        <f>Model!BD110</f>
        <v>1.5514202060337648E-2</v>
      </c>
      <c r="AW91">
        <f>Model!BE110</f>
        <v>4.8133854198917098E-3</v>
      </c>
      <c r="AX91">
        <f>Model!BF110</f>
        <v>3.9942918736012118E-3</v>
      </c>
      <c r="AY91">
        <f>Model!BG110</f>
        <v>4.2167857994362037E-3</v>
      </c>
      <c r="AZ91">
        <f>Model!BH110</f>
        <v>2.8125293913017764E-3</v>
      </c>
      <c r="BA91">
        <f>Model!BI110</f>
        <v>2.2214039514430071E-3</v>
      </c>
      <c r="BB91">
        <f>Model!BJ110</f>
        <v>2.7058561271870955E-3</v>
      </c>
      <c r="BC91">
        <f>Model!BK110</f>
        <v>2.4266104282673526E-3</v>
      </c>
      <c r="BD91">
        <f>Model!BL110</f>
        <v>4.3083071538015365E-3</v>
      </c>
      <c r="BE91">
        <f>Model!BM110</f>
        <v>3.2302307396328517E-3</v>
      </c>
      <c r="BF91">
        <f>Model!BN110</f>
        <v>2.7278519063557152E-3</v>
      </c>
      <c r="BG91">
        <f>Model!BO110</f>
        <v>2.330472460004378E-3</v>
      </c>
      <c r="BH91">
        <f>Model!BP110</f>
        <v>8.5621080577976474E-3</v>
      </c>
      <c r="BI91">
        <f>Model!BQ110</f>
        <v>1.4484894522805573E-2</v>
      </c>
      <c r="BJ91">
        <f>Model!BR110</f>
        <v>2.0272265214160499E-2</v>
      </c>
      <c r="BK91">
        <f>Model!BS110</f>
        <v>3.1484420631816751E-2</v>
      </c>
      <c r="BL91">
        <f>Model!BT110</f>
        <v>3.9564641903412648E-2</v>
      </c>
      <c r="BM91">
        <f>Model!BU110</f>
        <v>4.8816739292772679E-2</v>
      </c>
      <c r="BN91">
        <f>Model!BV110</f>
        <v>3.7429219779985562E-2</v>
      </c>
      <c r="BO91">
        <f>Model!BW110</f>
        <v>3.7870307332680875E-2</v>
      </c>
      <c r="BP91">
        <f>Model!BX110</f>
        <v>5.1675377230786732E-2</v>
      </c>
      <c r="BQ91">
        <f>Model!BY110</f>
        <v>5.6684521588139351E-2</v>
      </c>
      <c r="BR91">
        <f>Model!BZ110</f>
        <v>5.8119868578793137E-2</v>
      </c>
      <c r="BS91">
        <f>Model!CA110</f>
        <v>6.0552892001626099E-2</v>
      </c>
      <c r="BT91">
        <f>Model!CB110</f>
        <v>4.7510720309790228E-2</v>
      </c>
      <c r="BU91">
        <f>Model!CC110</f>
        <v>8.7719686540143962E-2</v>
      </c>
      <c r="BV91">
        <f>Model!CD110</f>
        <v>0.19224040981710303</v>
      </c>
      <c r="BW91">
        <f>Model!CE110</f>
        <v>0.10171802522477717</v>
      </c>
      <c r="BX91">
        <f>Model!CF110</f>
        <v>4.8660449277579516E-2</v>
      </c>
      <c r="BY91">
        <f>Model!CG110</f>
        <v>0</v>
      </c>
      <c r="BZ91">
        <f>Model!CH110</f>
        <v>0</v>
      </c>
      <c r="CA91">
        <f>Model!CI110</f>
        <v>0</v>
      </c>
      <c r="CB91">
        <f>Model!CJ110</f>
        <v>0</v>
      </c>
      <c r="CC91">
        <f>Model!CK110</f>
        <v>0</v>
      </c>
      <c r="CD91">
        <f>Model!CL110</f>
        <v>0</v>
      </c>
      <c r="CE91">
        <f>Model!CM110</f>
        <v>0</v>
      </c>
      <c r="CF91">
        <f>Model!CN110</f>
        <v>0</v>
      </c>
      <c r="CG91">
        <f>Model!CO110</f>
        <v>0</v>
      </c>
      <c r="CH91">
        <f>Model!CP110</f>
        <v>0</v>
      </c>
      <c r="CI91">
        <f>Model!CQ110</f>
        <v>1.0120707474503228E-2</v>
      </c>
      <c r="CJ91">
        <f>Model!CR110</f>
        <v>7.6083657742515402E-3</v>
      </c>
      <c r="CK91">
        <f>Model!CS110</f>
        <v>3.4464556964943056E-3</v>
      </c>
      <c r="CL91">
        <f>Model!CT110</f>
        <v>2.9486866951392667E-3</v>
      </c>
      <c r="CM91">
        <f>Model!CU110</f>
        <v>6.2780420601332172E-3</v>
      </c>
      <c r="CN91">
        <f>Model!CV110</f>
        <v>2.4094255062132561E-2</v>
      </c>
      <c r="CO91">
        <f>Model!CW110</f>
        <v>5.3365333273380278E-2</v>
      </c>
      <c r="CP91">
        <f>Model!CX110</f>
        <v>6.1563392136897245E-2</v>
      </c>
      <c r="CQ91">
        <f>Model!CY110</f>
        <v>5.2181603499857301E-2</v>
      </c>
      <c r="CR91">
        <f>Model!DG110</f>
        <v>0</v>
      </c>
      <c r="CS91">
        <f>Model!DH110</f>
        <v>0</v>
      </c>
      <c r="CT91">
        <f>Model!DI110</f>
        <v>0</v>
      </c>
      <c r="CU91">
        <f>Model!DJ110</f>
        <v>0</v>
      </c>
    </row>
    <row r="92" spans="1:99">
      <c r="A92" t="str">
        <f>Model!I111</f>
        <v>YoY Change</v>
      </c>
      <c r="B92">
        <f>Model!J111</f>
        <v>0</v>
      </c>
      <c r="C92">
        <f>Model!K111</f>
        <v>0</v>
      </c>
      <c r="D92">
        <f>Model!L111</f>
        <v>0</v>
      </c>
      <c r="E92">
        <f>Model!M111</f>
        <v>0</v>
      </c>
      <c r="F92">
        <f>Model!N111</f>
        <v>0</v>
      </c>
      <c r="G92">
        <f>Model!O111</f>
        <v>0</v>
      </c>
      <c r="H92">
        <f>Model!P111</f>
        <v>0</v>
      </c>
      <c r="I92">
        <f>Model!Q111</f>
        <v>0</v>
      </c>
      <c r="J92">
        <f>Model!R111</f>
        <v>0</v>
      </c>
      <c r="K92">
        <f>Model!S111</f>
        <v>0</v>
      </c>
      <c r="L92">
        <f>Model!T111</f>
        <v>0</v>
      </c>
      <c r="M92">
        <f>Model!U111</f>
        <v>0</v>
      </c>
      <c r="N92">
        <f>Model!V111</f>
        <v>0</v>
      </c>
      <c r="O92">
        <f>Model!W111</f>
        <v>0</v>
      </c>
      <c r="P92">
        <f>Model!X111</f>
        <v>0</v>
      </c>
      <c r="Q92">
        <f>Model!Y111</f>
        <v>0</v>
      </c>
      <c r="R92">
        <f>Model!Z111</f>
        <v>0</v>
      </c>
      <c r="S92">
        <f>Model!AA111</f>
        <v>0</v>
      </c>
      <c r="T92">
        <f>Model!AB111</f>
        <v>0</v>
      </c>
      <c r="U92">
        <f>Model!AC111</f>
        <v>0</v>
      </c>
      <c r="V92">
        <f>Model!AD111</f>
        <v>0</v>
      </c>
      <c r="W92">
        <f>Model!AE111</f>
        <v>0</v>
      </c>
      <c r="X92">
        <f>Model!AF111</f>
        <v>0</v>
      </c>
      <c r="Y92">
        <f>Model!AG111</f>
        <v>0</v>
      </c>
      <c r="Z92">
        <f>Model!AH111</f>
        <v>0</v>
      </c>
      <c r="AA92">
        <f>Model!AI111</f>
        <v>0</v>
      </c>
      <c r="AB92">
        <f>Model!AJ111</f>
        <v>0</v>
      </c>
      <c r="AC92">
        <f>Model!AK111</f>
        <v>4.2082539682539677</v>
      </c>
      <c r="AD92">
        <f>Model!AL111</f>
        <v>1.8816595945308818</v>
      </c>
      <c r="AE92">
        <f>Model!AM111</f>
        <v>1.3088347296268088</v>
      </c>
      <c r="AF92">
        <f>Model!AN111</f>
        <v>8.1546784211580903E-2</v>
      </c>
      <c r="AG92">
        <f>Model!AO111</f>
        <v>-0.49140558332317441</v>
      </c>
      <c r="AH92">
        <f>Model!AP111</f>
        <v>-0.52470549738219896</v>
      </c>
      <c r="AI92">
        <f>Model!AQ111</f>
        <v>-0.49513442190334811</v>
      </c>
      <c r="AJ92">
        <f>Model!AR111</f>
        <v>-0.71822897369396066</v>
      </c>
      <c r="AK92">
        <f>Model!AS111</f>
        <v>-0.82238734419942472</v>
      </c>
      <c r="AL92">
        <f>Model!AT111</f>
        <v>-0.83373493975903612</v>
      </c>
      <c r="AM92">
        <f>Model!AU111</f>
        <v>-0.84612871610584772</v>
      </c>
      <c r="AN92">
        <f>Model!AV111</f>
        <v>-0.65285996055226825</v>
      </c>
      <c r="AO92">
        <f>Model!AW111</f>
        <v>0.15384615384615374</v>
      </c>
      <c r="AP92">
        <f>Model!AX111</f>
        <v>0.94616977225672882</v>
      </c>
      <c r="AQ92">
        <f>Model!AY111</f>
        <v>0.94904458598726138</v>
      </c>
      <c r="AR92">
        <f>Model!AZ111</f>
        <v>1.1666666666666665</v>
      </c>
      <c r="AS92">
        <f>Model!BA111</f>
        <v>0.66198830409356724</v>
      </c>
      <c r="AT92">
        <f>Model!BB111</f>
        <v>1.2648936170212766</v>
      </c>
      <c r="AU92">
        <f>Model!BC111</f>
        <v>1.7516339869281041</v>
      </c>
      <c r="AV92">
        <f>Model!BD111</f>
        <v>0.78671328671328689</v>
      </c>
      <c r="AW92">
        <f>Model!BE111</f>
        <v>-0.22730471498944405</v>
      </c>
      <c r="AX92">
        <f>Model!BF111</f>
        <v>-0.52982620948802261</v>
      </c>
      <c r="AY92">
        <f>Model!BG111</f>
        <v>-0.64291369754552652</v>
      </c>
      <c r="AZ92">
        <f>Model!BH111</f>
        <v>-0.58121330724070452</v>
      </c>
      <c r="BA92">
        <f>Model!BI111</f>
        <v>-0.20400728597449913</v>
      </c>
      <c r="BB92">
        <f>Model!BJ111</f>
        <v>0.13986013986014001</v>
      </c>
      <c r="BC92">
        <f>Model!BK111</f>
        <v>-3.880266075388028E-2</v>
      </c>
      <c r="BD92">
        <f>Model!BL111</f>
        <v>0.50116822429906538</v>
      </c>
      <c r="BE92">
        <f>Model!BM111</f>
        <v>0.19107551487414187</v>
      </c>
      <c r="BF92">
        <f>Model!BN111</f>
        <v>0.43207712532865905</v>
      </c>
      <c r="BG92">
        <f>Model!BO111</f>
        <v>1.8719723183391008</v>
      </c>
      <c r="BH92">
        <f>Model!BP111</f>
        <v>5.8233463035019462</v>
      </c>
      <c r="BI92">
        <f>Model!BQ111</f>
        <v>10.139289145052835</v>
      </c>
      <c r="BJ92">
        <f>Model!BR111</f>
        <v>6.9785801713586304</v>
      </c>
      <c r="BK92">
        <f>Model!BS111</f>
        <v>4.8963855421686739</v>
      </c>
      <c r="BL92">
        <f>Model!BT111</f>
        <v>0.87203467153284664</v>
      </c>
      <c r="BM92">
        <f>Model!BU111</f>
        <v>0.75465677819937915</v>
      </c>
      <c r="BN92">
        <f>Model!BV111</f>
        <v>0.63319782158472049</v>
      </c>
      <c r="BO92">
        <f>Model!BW111</f>
        <v>0.64950279253507692</v>
      </c>
      <c r="BP92">
        <f>Model!BX111</f>
        <v>0.7722066528573166</v>
      </c>
      <c r="BQ92">
        <f>Model!BY111</f>
        <v>0.57232024377058033</v>
      </c>
      <c r="BR92">
        <f>Model!BZ111</f>
        <v>0.72933496148788257</v>
      </c>
      <c r="BS92">
        <f>Model!CA111</f>
        <v>0.71289949624246418</v>
      </c>
      <c r="BT92">
        <f>Model!CB111</f>
        <v>0.1</v>
      </c>
      <c r="BU92">
        <f>Model!CC111</f>
        <v>0.05</v>
      </c>
      <c r="BV92">
        <f>Model!CD111</f>
        <v>0.05</v>
      </c>
      <c r="BW92">
        <f>Model!CE111</f>
        <v>0.05</v>
      </c>
      <c r="BX92">
        <f>Model!CF111</f>
        <v>0.05</v>
      </c>
      <c r="BY92">
        <f>Model!CG111</f>
        <v>0</v>
      </c>
      <c r="BZ92">
        <f>Model!CH111</f>
        <v>0</v>
      </c>
      <c r="CA92">
        <f>Model!CI111</f>
        <v>0</v>
      </c>
      <c r="CB92">
        <f>Model!CJ111</f>
        <v>0</v>
      </c>
      <c r="CC92">
        <f>Model!CK111</f>
        <v>0.28652886671418387</v>
      </c>
      <c r="CD92">
        <f>Model!CL111</f>
        <v>0.12465373961218829</v>
      </c>
      <c r="CE92">
        <f>Model!CM111</f>
        <v>-3.9778325123152602E-2</v>
      </c>
      <c r="CF92">
        <f>Model!CN111</f>
        <v>-0.14467102731819925</v>
      </c>
      <c r="CG92">
        <f>Model!CO111</f>
        <v>-0.2435147698305592</v>
      </c>
      <c r="CH92">
        <f>Model!CP111</f>
        <v>-0.23548067393458882</v>
      </c>
      <c r="CI92">
        <f>Model!CQ111</f>
        <v>-5.8076225045372132E-2</v>
      </c>
      <c r="CJ92">
        <f>Model!CR111</f>
        <v>3.8535645472061786E-2</v>
      </c>
      <c r="CK92">
        <f>Model!CS111</f>
        <v>-9.27643784786647E-3</v>
      </c>
      <c r="CL92">
        <f>Model!CT111</f>
        <v>0.1147672552166934</v>
      </c>
      <c r="CM92">
        <f>Model!CU111</f>
        <v>2.343652507799376</v>
      </c>
      <c r="CN92">
        <f>Model!CV111</f>
        <v>2.9997846838441116</v>
      </c>
      <c r="CO92">
        <f>Model!CW111</f>
        <v>0.70370902043819172</v>
      </c>
      <c r="CP92">
        <f>Model!CX111</f>
        <v>0.49868240894824445</v>
      </c>
      <c r="CQ92">
        <f>Model!CY111</f>
        <v>4.9999999999999822E-2</v>
      </c>
      <c r="CR92">
        <f>Model!DG111</f>
        <v>0</v>
      </c>
      <c r="CS92">
        <f>Model!DH111</f>
        <v>0</v>
      </c>
      <c r="CT92">
        <f>Model!DI111</f>
        <v>0</v>
      </c>
      <c r="CU92">
        <f>Model!DJ111</f>
        <v>0</v>
      </c>
    </row>
    <row r="93" spans="1:99">
      <c r="A93">
        <f>Model!I112</f>
        <v>0</v>
      </c>
      <c r="B93">
        <f>Model!J112</f>
        <v>0</v>
      </c>
      <c r="C93">
        <f>Model!K112</f>
        <v>0</v>
      </c>
      <c r="D93">
        <f>Model!L112</f>
        <v>0</v>
      </c>
      <c r="E93">
        <f>Model!M112</f>
        <v>0</v>
      </c>
      <c r="F93">
        <f>Model!N112</f>
        <v>0</v>
      </c>
      <c r="G93">
        <f>Model!O112</f>
        <v>0</v>
      </c>
      <c r="H93">
        <f>Model!P112</f>
        <v>0</v>
      </c>
      <c r="I93">
        <f>Model!Q112</f>
        <v>0</v>
      </c>
      <c r="J93">
        <f>Model!R112</f>
        <v>0</v>
      </c>
      <c r="K93">
        <f>Model!S112</f>
        <v>0</v>
      </c>
      <c r="L93">
        <f>Model!T112</f>
        <v>0</v>
      </c>
      <c r="M93">
        <f>Model!U112</f>
        <v>0</v>
      </c>
      <c r="N93">
        <f>Model!V112</f>
        <v>0</v>
      </c>
      <c r="O93">
        <f>Model!W112</f>
        <v>0</v>
      </c>
      <c r="P93">
        <f>Model!X112</f>
        <v>0</v>
      </c>
      <c r="Q93">
        <f>Model!Y112</f>
        <v>0</v>
      </c>
      <c r="R93">
        <f>Model!Z112</f>
        <v>0</v>
      </c>
      <c r="S93">
        <f>Model!AA112</f>
        <v>0</v>
      </c>
      <c r="T93">
        <f>Model!AB112</f>
        <v>0</v>
      </c>
      <c r="U93">
        <f>Model!AC112</f>
        <v>0</v>
      </c>
      <c r="V93">
        <f>Model!AD112</f>
        <v>0</v>
      </c>
      <c r="W93">
        <f>Model!AE112</f>
        <v>0</v>
      </c>
      <c r="X93">
        <f>Model!AF112</f>
        <v>0</v>
      </c>
      <c r="Y93">
        <f>Model!AG112</f>
        <v>0</v>
      </c>
      <c r="Z93">
        <f>Model!AH112</f>
        <v>0</v>
      </c>
      <c r="AA93">
        <f>Model!AI112</f>
        <v>0</v>
      </c>
      <c r="AB93">
        <f>Model!AJ112</f>
        <v>0</v>
      </c>
      <c r="AC93">
        <f>Model!AK112</f>
        <v>0</v>
      </c>
      <c r="AD93">
        <f>Model!AL112</f>
        <v>0</v>
      </c>
      <c r="AE93">
        <f>Model!AM112</f>
        <v>0</v>
      </c>
      <c r="AF93">
        <f>Model!AN112</f>
        <v>0</v>
      </c>
      <c r="AG93">
        <f>Model!AO112</f>
        <v>0</v>
      </c>
      <c r="AH93">
        <f>Model!AP112</f>
        <v>0</v>
      </c>
      <c r="AI93">
        <f>Model!AQ112</f>
        <v>0</v>
      </c>
      <c r="AJ93">
        <f>Model!AR112</f>
        <v>0</v>
      </c>
      <c r="AK93">
        <f>Model!AS112</f>
        <v>0</v>
      </c>
      <c r="AL93">
        <f>Model!AT112</f>
        <v>0</v>
      </c>
      <c r="AM93">
        <f>Model!AU112</f>
        <v>0</v>
      </c>
      <c r="AN93">
        <f>Model!AV112</f>
        <v>0</v>
      </c>
      <c r="AO93">
        <f>Model!AW112</f>
        <v>0</v>
      </c>
      <c r="AP93">
        <f>Model!AX112</f>
        <v>0</v>
      </c>
      <c r="AQ93">
        <f>Model!AY112</f>
        <v>0</v>
      </c>
      <c r="AR93">
        <f>Model!AZ112</f>
        <v>0</v>
      </c>
      <c r="AS93">
        <f>Model!BA112</f>
        <v>0</v>
      </c>
      <c r="AT93">
        <f>Model!BB112</f>
        <v>0</v>
      </c>
      <c r="AU93">
        <f>Model!BC112</f>
        <v>0</v>
      </c>
      <c r="AV93">
        <f>Model!BD112</f>
        <v>0</v>
      </c>
      <c r="AW93">
        <f>Model!BE112</f>
        <v>0</v>
      </c>
      <c r="AX93">
        <f>Model!BF112</f>
        <v>0</v>
      </c>
      <c r="AY93">
        <f>Model!BG112</f>
        <v>0</v>
      </c>
      <c r="AZ93">
        <f>Model!BH112</f>
        <v>0</v>
      </c>
      <c r="BA93">
        <f>Model!BI112</f>
        <v>0</v>
      </c>
      <c r="BB93">
        <f>Model!BJ112</f>
        <v>0</v>
      </c>
      <c r="BC93">
        <f>Model!BK112</f>
        <v>0</v>
      </c>
      <c r="BD93">
        <f>Model!BL112</f>
        <v>0</v>
      </c>
      <c r="BE93">
        <f>Model!BM112</f>
        <v>0</v>
      </c>
      <c r="BF93">
        <f>Model!BN112</f>
        <v>0</v>
      </c>
      <c r="BG93">
        <f>Model!BO112</f>
        <v>0</v>
      </c>
      <c r="BH93">
        <f>Model!BP112</f>
        <v>0</v>
      </c>
      <c r="BI93">
        <f>Model!BQ112</f>
        <v>0</v>
      </c>
      <c r="BJ93">
        <f>Model!BR112</f>
        <v>0</v>
      </c>
      <c r="BK93">
        <f>Model!BS112</f>
        <v>0</v>
      </c>
      <c r="BL93">
        <f>Model!BT112</f>
        <v>0</v>
      </c>
      <c r="BM93">
        <f>Model!BU112</f>
        <v>0</v>
      </c>
      <c r="BN93">
        <f>Model!BV112</f>
        <v>0</v>
      </c>
      <c r="BO93">
        <f>Model!BW112</f>
        <v>0</v>
      </c>
      <c r="BP93">
        <f>Model!BX112</f>
        <v>0</v>
      </c>
      <c r="BQ93">
        <f>Model!BY112</f>
        <v>0</v>
      </c>
      <c r="BR93">
        <f>Model!BZ112</f>
        <v>0</v>
      </c>
      <c r="BS93">
        <f>Model!CA112</f>
        <v>0</v>
      </c>
      <c r="BT93">
        <f>Model!CB112</f>
        <v>0</v>
      </c>
      <c r="BU93">
        <f>Model!CC112</f>
        <v>0</v>
      </c>
      <c r="BV93">
        <f>Model!CD112</f>
        <v>0</v>
      </c>
      <c r="BW93">
        <f>Model!CE112</f>
        <v>0</v>
      </c>
      <c r="BX93">
        <f>Model!CF112</f>
        <v>0</v>
      </c>
      <c r="BY93">
        <f>Model!CG112</f>
        <v>0</v>
      </c>
      <c r="BZ93">
        <f>Model!CH112</f>
        <v>0</v>
      </c>
      <c r="CA93">
        <f>Model!CI112</f>
        <v>0</v>
      </c>
      <c r="CB93">
        <f>Model!CJ112</f>
        <v>0</v>
      </c>
      <c r="CC93">
        <f>Model!CK112</f>
        <v>0</v>
      </c>
      <c r="CD93">
        <f>Model!CL112</f>
        <v>0</v>
      </c>
      <c r="CE93">
        <f>Model!CM112</f>
        <v>0</v>
      </c>
      <c r="CF93">
        <f>Model!CN112</f>
        <v>0</v>
      </c>
      <c r="CG93">
        <f>Model!CO112</f>
        <v>0</v>
      </c>
      <c r="CH93">
        <f>Model!CP112</f>
        <v>0</v>
      </c>
      <c r="CI93">
        <f>Model!CQ112</f>
        <v>0</v>
      </c>
      <c r="CJ93">
        <f>Model!CR112</f>
        <v>0</v>
      </c>
      <c r="CK93">
        <f>Model!CS112</f>
        <v>0</v>
      </c>
      <c r="CL93">
        <f>Model!CT112</f>
        <v>0</v>
      </c>
      <c r="CM93">
        <f>Model!CU112</f>
        <v>0</v>
      </c>
      <c r="CN93">
        <f>Model!CV112</f>
        <v>0</v>
      </c>
      <c r="CO93">
        <f>Model!CW112</f>
        <v>0</v>
      </c>
      <c r="CP93">
        <f>Model!CX112</f>
        <v>0</v>
      </c>
      <c r="CQ93">
        <f>Model!CY112</f>
        <v>0</v>
      </c>
      <c r="CR93">
        <f>Model!DG112</f>
        <v>0</v>
      </c>
      <c r="CS93">
        <f>Model!DH112</f>
        <v>0</v>
      </c>
      <c r="CT93">
        <f>Model!DI112</f>
        <v>0</v>
      </c>
      <c r="CU93">
        <f>Model!DJ112</f>
        <v>0</v>
      </c>
    </row>
    <row r="94" spans="1:99">
      <c r="A94" t="str">
        <f>Model!I113</f>
        <v>Interest Expense</v>
      </c>
      <c r="B94">
        <f>Model!J113</f>
        <v>0</v>
      </c>
      <c r="C94">
        <f>Model!K113</f>
        <v>0</v>
      </c>
      <c r="D94">
        <f>Model!L113</f>
        <v>0</v>
      </c>
      <c r="E94">
        <f>Model!M113</f>
        <v>0</v>
      </c>
      <c r="F94">
        <f>Model!N113</f>
        <v>0</v>
      </c>
      <c r="G94">
        <f>Model!O113</f>
        <v>0</v>
      </c>
      <c r="H94">
        <f>Model!P113</f>
        <v>0</v>
      </c>
      <c r="I94">
        <f>Model!Q113</f>
        <v>0</v>
      </c>
      <c r="J94">
        <f>Model!R113</f>
        <v>0</v>
      </c>
      <c r="K94">
        <f>Model!S113</f>
        <v>0</v>
      </c>
      <c r="L94">
        <f>Model!T113</f>
        <v>0</v>
      </c>
      <c r="M94">
        <f>Model!U113</f>
        <v>0</v>
      </c>
      <c r="N94">
        <f>Model!V113</f>
        <v>0</v>
      </c>
      <c r="O94">
        <f>Model!W113</f>
        <v>0</v>
      </c>
      <c r="P94">
        <f>Model!X113</f>
        <v>0</v>
      </c>
      <c r="Q94">
        <f>Model!Y113</f>
        <v>0</v>
      </c>
      <c r="R94">
        <f>Model!Z113</f>
        <v>0</v>
      </c>
      <c r="S94">
        <f>Model!AA113</f>
        <v>0</v>
      </c>
      <c r="T94">
        <f>Model!AB113</f>
        <v>0</v>
      </c>
      <c r="U94">
        <f>Model!AC113</f>
        <v>0</v>
      </c>
      <c r="V94">
        <f>Model!AD113</f>
        <v>0</v>
      </c>
      <c r="W94">
        <f>Model!AE113</f>
        <v>0</v>
      </c>
      <c r="X94">
        <f>Model!AF113</f>
        <v>0</v>
      </c>
      <c r="Y94">
        <f>Model!AG113</f>
        <v>0</v>
      </c>
      <c r="Z94">
        <f>Model!AH113</f>
        <v>0</v>
      </c>
      <c r="AA94">
        <f>Model!AI113</f>
        <v>0</v>
      </c>
      <c r="AB94">
        <f>Model!AJ113</f>
        <v>0</v>
      </c>
      <c r="AC94">
        <f>Model!AK113</f>
        <v>0</v>
      </c>
      <c r="AD94">
        <f>Model!AL113</f>
        <v>0</v>
      </c>
      <c r="AE94">
        <f>Model!AM113</f>
        <v>0</v>
      </c>
      <c r="AF94">
        <f>Model!AN113</f>
        <v>0</v>
      </c>
      <c r="AG94">
        <f>Model!AO113</f>
        <v>0</v>
      </c>
      <c r="AH94">
        <f>Model!AP113</f>
        <v>0</v>
      </c>
      <c r="AI94">
        <f>Model!AQ113</f>
        <v>0</v>
      </c>
      <c r="AJ94">
        <f>Model!AR113</f>
        <v>0</v>
      </c>
      <c r="AK94">
        <f>Model!AS113</f>
        <v>0</v>
      </c>
      <c r="AL94">
        <f>Model!AT113</f>
        <v>0</v>
      </c>
      <c r="AM94">
        <f>Model!AU113</f>
        <v>0</v>
      </c>
      <c r="AN94">
        <f>Model!AV113</f>
        <v>0</v>
      </c>
      <c r="AO94">
        <f>Model!AW113</f>
        <v>0</v>
      </c>
      <c r="AP94">
        <f>Model!AX113</f>
        <v>0</v>
      </c>
      <c r="AQ94">
        <f>Model!AY113</f>
        <v>0</v>
      </c>
      <c r="AR94">
        <f>Model!AZ113</f>
        <v>0</v>
      </c>
      <c r="AS94">
        <f>Model!BA113</f>
        <v>-7.7149999999999999</v>
      </c>
      <c r="AT94">
        <f>Model!BB113</f>
        <v>-7.7949999999999999</v>
      </c>
      <c r="AU94">
        <f>Model!BC113</f>
        <v>-7.8789999999999996</v>
      </c>
      <c r="AV94">
        <f>Model!BD113</f>
        <v>-8.3320000000000007</v>
      </c>
      <c r="AW94">
        <f>Model!BE113</f>
        <v>-11.257999999999999</v>
      </c>
      <c r="AX94">
        <f>Model!BF113</f>
        <v>-16.882000000000001</v>
      </c>
      <c r="AY94">
        <f>Model!BG113</f>
        <v>-17.067</v>
      </c>
      <c r="AZ94">
        <f>Model!BH113</f>
        <v>-16.856000000000002</v>
      </c>
      <c r="BA94">
        <f>Model!BI113</f>
        <v>-17.329000000000001</v>
      </c>
      <c r="BB94">
        <f>Model!BJ113</f>
        <v>-19.632999999999999</v>
      </c>
      <c r="BC94">
        <f>Model!BK113</f>
        <v>-24.135000000000002</v>
      </c>
      <c r="BD94">
        <f>Model!BL113</f>
        <v>-22.192</v>
      </c>
      <c r="BE94">
        <f>Model!BM113</f>
        <v>-17.745000000000001</v>
      </c>
      <c r="BF94">
        <f>Model!BN113</f>
        <v>-17.106000000000002</v>
      </c>
      <c r="BG94">
        <f>Model!BO113</f>
        <v>-22.952999999999999</v>
      </c>
      <c r="BH94">
        <f>Model!BP113</f>
        <v>-30.548999999999999</v>
      </c>
      <c r="BI94">
        <f>Model!BQ113</f>
        <v>-33.478999999999999</v>
      </c>
      <c r="BJ94">
        <f>Model!BR113</f>
        <v>-41.546999999999997</v>
      </c>
      <c r="BK94">
        <f>Model!BS113</f>
        <v>-41.436</v>
      </c>
      <c r="BL94">
        <f>Model!BT113</f>
        <v>-43.767000000000003</v>
      </c>
      <c r="BM94">
        <f>Model!BU113</f>
        <v>-46.893999999999998</v>
      </c>
      <c r="BN94">
        <f>Model!BV113</f>
        <v>-50.29</v>
      </c>
      <c r="BO94">
        <f>Model!BW113</f>
        <v>-55.48</v>
      </c>
      <c r="BP94">
        <f>Model!BX113</f>
        <v>-55.235999999999997</v>
      </c>
      <c r="BQ94">
        <f>Model!BY113</f>
        <v>-55.716999999999999</v>
      </c>
      <c r="BR94">
        <f>Model!BZ113</f>
        <v>-60.942</v>
      </c>
      <c r="BS94">
        <f>Model!CA113</f>
        <v>-66.337999999999994</v>
      </c>
      <c r="BT94">
        <f>Model!CB113</f>
        <v>-66.283199999999994</v>
      </c>
      <c r="BU94">
        <f>Model!CC113</f>
        <v>-66.860399999999998</v>
      </c>
      <c r="BV94">
        <f>Model!CD113</f>
        <v>-63.989100000000001</v>
      </c>
      <c r="BW94">
        <f>Model!CE113</f>
        <v>-68.328139999999991</v>
      </c>
      <c r="BX94">
        <f>Model!CF113</f>
        <v>-68.271695999999991</v>
      </c>
      <c r="BY94">
        <f>Model!CG113</f>
        <v>0</v>
      </c>
      <c r="BZ94">
        <f>Model!CH113</f>
        <v>0</v>
      </c>
      <c r="CA94">
        <f>Model!CI113</f>
        <v>0</v>
      </c>
      <c r="CB94">
        <f>Model!CJ113</f>
        <v>-15.51</v>
      </c>
      <c r="CC94">
        <f>Model!CK113</f>
        <v>-23.388999999999999</v>
      </c>
      <c r="CD94">
        <f>Model!CL113</f>
        <v>-31.721</v>
      </c>
      <c r="CE94">
        <f>Model!CM113</f>
        <v>-35.263999999999996</v>
      </c>
      <c r="CF94">
        <f>Model!CN113</f>
        <v>-44.350999999999999</v>
      </c>
      <c r="CG94">
        <f>Model!CO113</f>
        <v>-53.539000000000001</v>
      </c>
      <c r="CH94">
        <f>Model!CP113</f>
        <v>-62.063000000000002</v>
      </c>
      <c r="CI94">
        <f>Model!CQ113</f>
        <v>-68.134</v>
      </c>
      <c r="CJ94">
        <f>Model!CR113</f>
        <v>-70.885000000000005</v>
      </c>
      <c r="CK94">
        <f>Model!CS113</f>
        <v>-77.953000000000003</v>
      </c>
      <c r="CL94">
        <f>Model!CT113</f>
        <v>-83.289000000000016</v>
      </c>
      <c r="CM94">
        <f>Model!CU113</f>
        <v>-88.353000000000009</v>
      </c>
      <c r="CN94">
        <f>Model!CV113</f>
        <v>-160.22899999999998</v>
      </c>
      <c r="CO94">
        <f>Model!CW113</f>
        <v>-207.89999999999998</v>
      </c>
      <c r="CP94">
        <f>Model!CX113</f>
        <v>-249.28019999999998</v>
      </c>
      <c r="CQ94">
        <f>Model!CY113</f>
        <v>-267.44933600000002</v>
      </c>
      <c r="CR94">
        <f>Model!DG113</f>
        <v>0.31530064824260973</v>
      </c>
      <c r="CS94">
        <f>Model!DH113</f>
        <v>0.31903116216512561</v>
      </c>
      <c r="CT94">
        <f>Model!DI113</f>
        <v>0</v>
      </c>
      <c r="CU94">
        <f>Model!DJ113</f>
        <v>0</v>
      </c>
    </row>
    <row r="95" spans="1:99">
      <c r="A95" t="str">
        <f>Model!I114</f>
        <v>Total Debt</v>
      </c>
      <c r="B95">
        <f>Model!J114</f>
        <v>0</v>
      </c>
      <c r="C95">
        <f>Model!K114</f>
        <v>0</v>
      </c>
      <c r="D95">
        <f>Model!L114</f>
        <v>0</v>
      </c>
      <c r="E95">
        <f>Model!M114</f>
        <v>0</v>
      </c>
      <c r="F95">
        <f>Model!N114</f>
        <v>0</v>
      </c>
      <c r="G95">
        <f>Model!O114</f>
        <v>0</v>
      </c>
      <c r="H95">
        <f>Model!P114</f>
        <v>0</v>
      </c>
      <c r="I95">
        <f>Model!Q114</f>
        <v>0</v>
      </c>
      <c r="J95">
        <f>Model!R114</f>
        <v>0</v>
      </c>
      <c r="K95">
        <f>Model!S114</f>
        <v>0</v>
      </c>
      <c r="L95">
        <f>Model!T114</f>
        <v>0</v>
      </c>
      <c r="M95">
        <f>Model!U114</f>
        <v>0</v>
      </c>
      <c r="N95">
        <f>Model!V114</f>
        <v>0</v>
      </c>
      <c r="O95">
        <f>Model!W114</f>
        <v>0</v>
      </c>
      <c r="P95">
        <f>Model!X114</f>
        <v>0</v>
      </c>
      <c r="Q95">
        <f>Model!Y114</f>
        <v>0</v>
      </c>
      <c r="R95">
        <f>Model!Z114</f>
        <v>0</v>
      </c>
      <c r="S95">
        <f>Model!AA114</f>
        <v>0</v>
      </c>
      <c r="T95">
        <f>Model!AB114</f>
        <v>0</v>
      </c>
      <c r="U95">
        <f>Model!AC114</f>
        <v>0</v>
      </c>
      <c r="V95">
        <f>Model!AD114</f>
        <v>0</v>
      </c>
      <c r="W95">
        <f>Model!AE114</f>
        <v>0</v>
      </c>
      <c r="X95">
        <f>Model!AF114</f>
        <v>0</v>
      </c>
      <c r="Y95">
        <f>Model!AG114</f>
        <v>0</v>
      </c>
      <c r="Z95">
        <f>Model!AH114</f>
        <v>0</v>
      </c>
      <c r="AA95">
        <f>Model!AI114</f>
        <v>0</v>
      </c>
      <c r="AB95">
        <f>Model!AJ114</f>
        <v>0</v>
      </c>
      <c r="AC95">
        <f>Model!AK114</f>
        <v>0</v>
      </c>
      <c r="AD95">
        <f>Model!AL114</f>
        <v>0</v>
      </c>
      <c r="AE95">
        <f>Model!AM114</f>
        <v>0</v>
      </c>
      <c r="AF95">
        <f>Model!AN114</f>
        <v>0</v>
      </c>
      <c r="AG95">
        <f>Model!AO114</f>
        <v>0</v>
      </c>
      <c r="AH95">
        <f>Model!AP114</f>
        <v>0</v>
      </c>
      <c r="AI95">
        <f>Model!AQ114</f>
        <v>0</v>
      </c>
      <c r="AJ95">
        <f>Model!AR114</f>
        <v>0</v>
      </c>
      <c r="AK95">
        <f>Model!AS114</f>
        <v>0</v>
      </c>
      <c r="AL95">
        <f>Model!AT114</f>
        <v>0</v>
      </c>
      <c r="AM95">
        <f>Model!AU114</f>
        <v>0</v>
      </c>
      <c r="AN95">
        <f>Model!AV114</f>
        <v>0</v>
      </c>
      <c r="AO95">
        <f>Model!AW114</f>
        <v>0</v>
      </c>
      <c r="AP95">
        <f>Model!AX114</f>
        <v>0</v>
      </c>
      <c r="AQ95">
        <f>Model!AY114</f>
        <v>0</v>
      </c>
      <c r="AR95">
        <f>Model!AZ114</f>
        <v>0</v>
      </c>
      <c r="AS95">
        <f>Model!BA114</f>
        <v>287.60649999999998</v>
      </c>
      <c r="AT95">
        <f>Model!BB114</f>
        <v>575.10649999999998</v>
      </c>
      <c r="AU95">
        <f>Model!BC114</f>
        <v>575</v>
      </c>
      <c r="AV95">
        <f>Model!BD114</f>
        <v>575</v>
      </c>
      <c r="AW95">
        <f>Model!BE114</f>
        <v>1008.2845</v>
      </c>
      <c r="AX95">
        <f>Model!BF114</f>
        <v>1444.1179999999999</v>
      </c>
      <c r="AY95">
        <f>Model!BG114</f>
        <v>1449.2375000000002</v>
      </c>
      <c r="AZ95">
        <f>Model!BH114</f>
        <v>1454.4015000000002</v>
      </c>
      <c r="BA95">
        <f>Model!BI114</f>
        <v>1459.6115</v>
      </c>
      <c r="BB95">
        <f>Model!BJ114</f>
        <v>1878.662</v>
      </c>
      <c r="BC95">
        <f>Model!BK114</f>
        <v>2300.5595000000003</v>
      </c>
      <c r="BD95">
        <f>Model!BL114</f>
        <v>2104.2669999999998</v>
      </c>
      <c r="BE95">
        <f>Model!BM114</f>
        <v>1878.848</v>
      </c>
      <c r="BF95">
        <f>Model!BN114</f>
        <v>1831.1000000000001</v>
      </c>
      <c r="BG95">
        <f>Model!BO114</f>
        <v>2866.4074999999998</v>
      </c>
      <c r="BH95">
        <f>Model!BP114</f>
        <v>3906.54</v>
      </c>
      <c r="BI95">
        <f>Model!BQ114</f>
        <v>4595.6940000000004</v>
      </c>
      <c r="BJ95">
        <f>Model!BR114</f>
        <v>5352.0370000000003</v>
      </c>
      <c r="BK95">
        <f>Model!BS114</f>
        <v>5410.6470000000008</v>
      </c>
      <c r="BL95">
        <f>Model!BT114</f>
        <v>5789.8855000000003</v>
      </c>
      <c r="BM95">
        <f>Model!BU114</f>
        <v>6239.8225000000002</v>
      </c>
      <c r="BN95">
        <f>Model!BV114</f>
        <v>6788.2034999999996</v>
      </c>
      <c r="BO95">
        <f>Model!BW114</f>
        <v>7298.9490000000005</v>
      </c>
      <c r="BP95">
        <f>Model!BX114</f>
        <v>7254.7435000000005</v>
      </c>
      <c r="BQ95">
        <f>Model!BY114</f>
        <v>7724.9775</v>
      </c>
      <c r="BR95">
        <f>Model!BZ114</f>
        <v>8381.1790000000001</v>
      </c>
      <c r="BS95">
        <f>Model!CA114</f>
        <v>9057.539499999999</v>
      </c>
      <c r="BT95">
        <f>Model!CB114</f>
        <v>9579.7714999999989</v>
      </c>
      <c r="BU95">
        <f>Model!CC114</f>
        <v>8816.6610000000001</v>
      </c>
      <c r="BV95">
        <f>Model!CD114</f>
        <v>8109.6610000000001</v>
      </c>
      <c r="BW95">
        <f>Model!CE114</f>
        <v>8109.6610000000001</v>
      </c>
      <c r="BX95">
        <f>Model!CF114</f>
        <v>8109.6610000000001</v>
      </c>
      <c r="BY95">
        <f>Model!CG114</f>
        <v>0</v>
      </c>
      <c r="BZ95">
        <f>Model!CH114</f>
        <v>0</v>
      </c>
      <c r="CA95">
        <f>Model!CI114</f>
        <v>0</v>
      </c>
      <c r="CB95">
        <f>Model!CJ114</f>
        <v>0</v>
      </c>
      <c r="CC95">
        <f>Model!CK114</f>
        <v>0</v>
      </c>
      <c r="CD95">
        <f>Model!CL114</f>
        <v>0</v>
      </c>
      <c r="CE95">
        <f>Model!CM114</f>
        <v>0</v>
      </c>
      <c r="CF95">
        <f>Model!CN114</f>
        <v>0</v>
      </c>
      <c r="CG95">
        <f>Model!CO114</f>
        <v>0</v>
      </c>
      <c r="CH95">
        <f>Model!CP114</f>
        <v>0</v>
      </c>
      <c r="CI95">
        <f>Model!CQ114</f>
        <v>238.22150000000002</v>
      </c>
      <c r="CJ95">
        <f>Model!CR114</f>
        <v>525.72149999999999</v>
      </c>
      <c r="CK95">
        <f>Model!CS114</f>
        <v>1015.9975000000001</v>
      </c>
      <c r="CL95">
        <f>Model!CT114</f>
        <v>1679.7530000000002</v>
      </c>
      <c r="CM95">
        <f>Model!CU114</f>
        <v>2894.8955000000001</v>
      </c>
      <c r="CN95">
        <f>Model!CV114</f>
        <v>5022.8615</v>
      </c>
      <c r="CO95">
        <f>Model!CW114</f>
        <v>6662.6185000000005</v>
      </c>
      <c r="CP95">
        <f>Model!CX114</f>
        <v>8345.2275000000009</v>
      </c>
      <c r="CQ95">
        <f>Model!CY114</f>
        <v>8816.6610000000001</v>
      </c>
      <c r="CR95">
        <f>Model!DG114</f>
        <v>0</v>
      </c>
      <c r="CS95">
        <f>Model!DH114</f>
        <v>0</v>
      </c>
      <c r="CT95">
        <f>Model!DI114</f>
        <v>0</v>
      </c>
      <c r="CU95">
        <f>Model!DJ114</f>
        <v>0</v>
      </c>
    </row>
    <row r="96" spans="1:99">
      <c r="A96" t="str">
        <f>Model!I115</f>
        <v>Implied Rate</v>
      </c>
      <c r="B96">
        <f>Model!J115</f>
        <v>0</v>
      </c>
      <c r="C96">
        <f>Model!K115</f>
        <v>0</v>
      </c>
      <c r="D96">
        <f>Model!L115</f>
        <v>0</v>
      </c>
      <c r="E96">
        <f>Model!M115</f>
        <v>0</v>
      </c>
      <c r="F96">
        <f>Model!N115</f>
        <v>0</v>
      </c>
      <c r="G96">
        <f>Model!O115</f>
        <v>0</v>
      </c>
      <c r="H96">
        <f>Model!P115</f>
        <v>0</v>
      </c>
      <c r="I96">
        <f>Model!Q115</f>
        <v>0</v>
      </c>
      <c r="J96">
        <f>Model!R115</f>
        <v>0</v>
      </c>
      <c r="K96">
        <f>Model!S115</f>
        <v>0</v>
      </c>
      <c r="L96">
        <f>Model!T115</f>
        <v>0</v>
      </c>
      <c r="M96">
        <f>Model!U115</f>
        <v>0</v>
      </c>
      <c r="N96">
        <f>Model!V115</f>
        <v>0</v>
      </c>
      <c r="O96">
        <f>Model!W115</f>
        <v>0</v>
      </c>
      <c r="P96">
        <f>Model!X115</f>
        <v>0</v>
      </c>
      <c r="Q96">
        <f>Model!Y115</f>
        <v>0</v>
      </c>
      <c r="R96">
        <f>Model!Z115</f>
        <v>0</v>
      </c>
      <c r="S96">
        <f>Model!AA115</f>
        <v>0</v>
      </c>
      <c r="T96">
        <f>Model!AB115</f>
        <v>0</v>
      </c>
      <c r="U96">
        <f>Model!AC115</f>
        <v>0</v>
      </c>
      <c r="V96">
        <f>Model!AD115</f>
        <v>0</v>
      </c>
      <c r="W96">
        <f>Model!AE115</f>
        <v>0</v>
      </c>
      <c r="X96">
        <f>Model!AF115</f>
        <v>0</v>
      </c>
      <c r="Y96">
        <f>Model!AG115</f>
        <v>0</v>
      </c>
      <c r="Z96">
        <f>Model!AH115</f>
        <v>0</v>
      </c>
      <c r="AA96">
        <f>Model!AI115</f>
        <v>0</v>
      </c>
      <c r="AB96">
        <f>Model!AJ115</f>
        <v>0</v>
      </c>
      <c r="AC96">
        <f>Model!AK115</f>
        <v>0</v>
      </c>
      <c r="AD96">
        <f>Model!AL115</f>
        <v>0</v>
      </c>
      <c r="AE96">
        <f>Model!AM115</f>
        <v>0</v>
      </c>
      <c r="AF96">
        <f>Model!AN115</f>
        <v>0</v>
      </c>
      <c r="AG96">
        <f>Model!AO115</f>
        <v>0</v>
      </c>
      <c r="AH96">
        <f>Model!AP115</f>
        <v>0</v>
      </c>
      <c r="AI96">
        <f>Model!AQ115</f>
        <v>0</v>
      </c>
      <c r="AJ96">
        <f>Model!AR115</f>
        <v>0</v>
      </c>
      <c r="AK96">
        <f>Model!AS115</f>
        <v>0</v>
      </c>
      <c r="AL96">
        <f>Model!AT115</f>
        <v>0</v>
      </c>
      <c r="AM96">
        <f>Model!AU115</f>
        <v>0</v>
      </c>
      <c r="AN96">
        <f>Model!AV115</f>
        <v>0</v>
      </c>
      <c r="AO96">
        <f>Model!AW115</f>
        <v>0</v>
      </c>
      <c r="AP96">
        <f>Model!AX115</f>
        <v>0</v>
      </c>
      <c r="AQ96">
        <f>Model!AY115</f>
        <v>0</v>
      </c>
      <c r="AR96">
        <f>Model!AZ115</f>
        <v>0</v>
      </c>
      <c r="AS96">
        <f>Model!BA115</f>
        <v>-0.10729938301116283</v>
      </c>
      <c r="AT96">
        <f>Model!BB115</f>
        <v>-5.4216045202062572E-2</v>
      </c>
      <c r="AU96">
        <f>Model!BC115</f>
        <v>-5.4810434782608691E-2</v>
      </c>
      <c r="AV96">
        <f>Model!BD115</f>
        <v>-5.7961739130434786E-2</v>
      </c>
      <c r="AW96">
        <f>Model!BE115</f>
        <v>-4.4661997680218231E-2</v>
      </c>
      <c r="AX96">
        <f>Model!BF115</f>
        <v>-4.6760721769273705E-2</v>
      </c>
      <c r="AY96">
        <f>Model!BG115</f>
        <v>-4.7106150648185678E-2</v>
      </c>
      <c r="AZ96">
        <f>Model!BH115</f>
        <v>-4.6358588051511225E-2</v>
      </c>
      <c r="BA96">
        <f>Model!BI115</f>
        <v>-4.748934904938746E-2</v>
      </c>
      <c r="BB96">
        <f>Model!BJ115</f>
        <v>-4.1802091062681845E-2</v>
      </c>
      <c r="BC96">
        <f>Model!BK115</f>
        <v>-4.1963704916130183E-2</v>
      </c>
      <c r="BD96">
        <f>Model!BL115</f>
        <v>-4.2184760774179327E-2</v>
      </c>
      <c r="BE96">
        <f>Model!BM115</f>
        <v>-3.7778468508362577E-2</v>
      </c>
      <c r="BF96">
        <f>Model!BN115</f>
        <v>-3.7367702473922779E-2</v>
      </c>
      <c r="BG96">
        <f>Model!BO115</f>
        <v>-3.203033762645402E-2</v>
      </c>
      <c r="BH96">
        <f>Model!BP115</f>
        <v>-3.1279853783655102E-2</v>
      </c>
      <c r="BI96">
        <f>Model!BQ115</f>
        <v>-2.9139450973019523E-2</v>
      </c>
      <c r="BJ96">
        <f>Model!BR115</f>
        <v>-3.1051354839288291E-2</v>
      </c>
      <c r="BK96">
        <f>Model!BS115</f>
        <v>-3.063293539571145E-2</v>
      </c>
      <c r="BL96">
        <f>Model!BT115</f>
        <v>-3.023686737846543E-2</v>
      </c>
      <c r="BM96">
        <f>Model!BU115</f>
        <v>-3.0061111513989377E-2</v>
      </c>
      <c r="BN96">
        <f>Model!BV115</f>
        <v>-2.9633760979617067E-2</v>
      </c>
      <c r="BO96">
        <f>Model!BW115</f>
        <v>-3.0404377397348574E-2</v>
      </c>
      <c r="BP96">
        <f>Model!BX115</f>
        <v>-3.0455108440429351E-2</v>
      </c>
      <c r="BQ96">
        <f>Model!BY115</f>
        <v>-2.8850310567247607E-2</v>
      </c>
      <c r="BR96">
        <f>Model!BZ115</f>
        <v>-2.9085168089119682E-2</v>
      </c>
      <c r="BS96">
        <f>Model!CA115</f>
        <v>-2.9296256450220284E-2</v>
      </c>
      <c r="BT96">
        <f>Model!CB115</f>
        <v>-2.7676317749332539E-2</v>
      </c>
      <c r="BU96">
        <f>Model!CC115</f>
        <v>-3.0333660327872422E-2</v>
      </c>
      <c r="BV96">
        <f>Model!CD115</f>
        <v>-3.1561911157568734E-2</v>
      </c>
      <c r="BW96">
        <f>Model!CE115</f>
        <v>-3.3702094329220417E-2</v>
      </c>
      <c r="BX96">
        <f>Model!CF115</f>
        <v>-3.3674253954635087E-2</v>
      </c>
      <c r="BY96">
        <f>Model!CG115</f>
        <v>0</v>
      </c>
      <c r="BZ96">
        <f>Model!CH115</f>
        <v>0</v>
      </c>
      <c r="CA96">
        <f>Model!CI115</f>
        <v>0</v>
      </c>
      <c r="CB96">
        <f>Model!CJ115</f>
        <v>0</v>
      </c>
      <c r="CC96">
        <f>Model!CK115</f>
        <v>0</v>
      </c>
      <c r="CD96">
        <f>Model!CL115</f>
        <v>0</v>
      </c>
      <c r="CE96">
        <f>Model!CM115</f>
        <v>0</v>
      </c>
      <c r="CF96">
        <f>Model!CN115</f>
        <v>0</v>
      </c>
      <c r="CG96">
        <f>Model!CO115</f>
        <v>0</v>
      </c>
      <c r="CH96">
        <f>Model!CP115</f>
        <v>0</v>
      </c>
      <c r="CI96">
        <f>Model!CQ115</f>
        <v>-0.28601112829866321</v>
      </c>
      <c r="CJ96">
        <f>Model!CR115</f>
        <v>-0.13483374752601901</v>
      </c>
      <c r="CK96">
        <f>Model!CS115</f>
        <v>-7.6725582494051411E-2</v>
      </c>
      <c r="CL96">
        <f>Model!CT115</f>
        <v>-4.9584075753994789E-2</v>
      </c>
      <c r="CM96">
        <f>Model!CU115</f>
        <v>-3.0520272666146327E-2</v>
      </c>
      <c r="CN96">
        <f>Model!CV115</f>
        <v>-3.1899943886567445E-2</v>
      </c>
      <c r="CO96">
        <f>Model!CW115</f>
        <v>-3.1203947817213303E-2</v>
      </c>
      <c r="CP96">
        <f>Model!CX115</f>
        <v>-2.9870989137204464E-2</v>
      </c>
      <c r="CQ96">
        <f>Model!CY115</f>
        <v>-3.0334537757547898E-2</v>
      </c>
      <c r="CR96">
        <f>Model!DG115</f>
        <v>0</v>
      </c>
      <c r="CS96">
        <f>Model!DH115</f>
        <v>0</v>
      </c>
      <c r="CT96">
        <f>Model!DI115</f>
        <v>0</v>
      </c>
      <c r="CU96">
        <f>Model!DJ115</f>
        <v>0</v>
      </c>
    </row>
    <row r="97" spans="1:99">
      <c r="A97" t="str">
        <f>Model!I116</f>
        <v>YoY Change</v>
      </c>
      <c r="B97">
        <f>Model!J116</f>
        <v>0</v>
      </c>
      <c r="C97">
        <f>Model!K116</f>
        <v>0</v>
      </c>
      <c r="D97">
        <f>Model!L116</f>
        <v>0</v>
      </c>
      <c r="E97">
        <f>Model!M116</f>
        <v>0</v>
      </c>
      <c r="F97">
        <f>Model!N116</f>
        <v>0</v>
      </c>
      <c r="G97">
        <f>Model!O116</f>
        <v>0</v>
      </c>
      <c r="H97">
        <f>Model!P116</f>
        <v>0</v>
      </c>
      <c r="I97">
        <f>Model!Q116</f>
        <v>0</v>
      </c>
      <c r="J97">
        <f>Model!R116</f>
        <v>0</v>
      </c>
      <c r="K97">
        <f>Model!S116</f>
        <v>0</v>
      </c>
      <c r="L97">
        <f>Model!T116</f>
        <v>0</v>
      </c>
      <c r="M97">
        <f>Model!U116</f>
        <v>0</v>
      </c>
      <c r="N97">
        <f>Model!V116</f>
        <v>0</v>
      </c>
      <c r="O97">
        <f>Model!W116</f>
        <v>0</v>
      </c>
      <c r="P97">
        <f>Model!X116</f>
        <v>0</v>
      </c>
      <c r="Q97">
        <f>Model!Y116</f>
        <v>0</v>
      </c>
      <c r="R97">
        <f>Model!Z116</f>
        <v>0</v>
      </c>
      <c r="S97">
        <f>Model!AA116</f>
        <v>0</v>
      </c>
      <c r="T97">
        <f>Model!AB116</f>
        <v>0</v>
      </c>
      <c r="U97">
        <f>Model!AC116</f>
        <v>0</v>
      </c>
      <c r="V97">
        <f>Model!AD116</f>
        <v>0</v>
      </c>
      <c r="W97">
        <f>Model!AE116</f>
        <v>0</v>
      </c>
      <c r="X97">
        <f>Model!AF116</f>
        <v>0</v>
      </c>
      <c r="Y97">
        <f>Model!AG116</f>
        <v>0</v>
      </c>
      <c r="Z97">
        <f>Model!AH116</f>
        <v>0</v>
      </c>
      <c r="AA97">
        <f>Model!AI116</f>
        <v>0</v>
      </c>
      <c r="AB97">
        <f>Model!AJ116</f>
        <v>0</v>
      </c>
      <c r="AC97">
        <f>Model!AK116</f>
        <v>0</v>
      </c>
      <c r="AD97">
        <f>Model!AL116</f>
        <v>0</v>
      </c>
      <c r="AE97">
        <f>Model!AM116</f>
        <v>0</v>
      </c>
      <c r="AF97">
        <f>Model!AN116</f>
        <v>0</v>
      </c>
      <c r="AG97">
        <f>Model!AO116</f>
        <v>0</v>
      </c>
      <c r="AH97">
        <f>Model!AP116</f>
        <v>0</v>
      </c>
      <c r="AI97">
        <f>Model!AQ116</f>
        <v>0</v>
      </c>
      <c r="AJ97">
        <f>Model!AR116</f>
        <v>0</v>
      </c>
      <c r="AK97">
        <f>Model!AS116</f>
        <v>0</v>
      </c>
      <c r="AL97">
        <f>Model!AT116</f>
        <v>0</v>
      </c>
      <c r="AM97">
        <f>Model!AU116</f>
        <v>0</v>
      </c>
      <c r="AN97">
        <f>Model!AV116</f>
        <v>0</v>
      </c>
      <c r="AO97">
        <f>Model!AW116</f>
        <v>0</v>
      </c>
      <c r="AP97">
        <f>Model!AX116</f>
        <v>0</v>
      </c>
      <c r="AQ97">
        <f>Model!AY116</f>
        <v>0</v>
      </c>
      <c r="AR97">
        <f>Model!AZ116</f>
        <v>0</v>
      </c>
      <c r="AS97">
        <f>Model!BA116</f>
        <v>0</v>
      </c>
      <c r="AT97">
        <f>Model!BB116</f>
        <v>0</v>
      </c>
      <c r="AU97">
        <f>Model!BC116</f>
        <v>0</v>
      </c>
      <c r="AV97">
        <f>Model!BD116</f>
        <v>0</v>
      </c>
      <c r="AW97">
        <f>Model!BE116</f>
        <v>0.45923525599481518</v>
      </c>
      <c r="AX97">
        <f>Model!BF116</f>
        <v>1.1657472738935217</v>
      </c>
      <c r="AY97">
        <f>Model!BG116</f>
        <v>1.1661378347506028</v>
      </c>
      <c r="AZ97">
        <f>Model!BH116</f>
        <v>1.0230436869899182</v>
      </c>
      <c r="BA97">
        <f>Model!BI116</f>
        <v>0.53926096997690554</v>
      </c>
      <c r="BB97">
        <f>Model!BJ116</f>
        <v>0.16295462622911971</v>
      </c>
      <c r="BC97">
        <f>Model!BK116</f>
        <v>0.41413253647389703</v>
      </c>
      <c r="BD97">
        <f>Model!BL116</f>
        <v>0.31656383483626005</v>
      </c>
      <c r="BE97">
        <f>Model!BM116</f>
        <v>2.4006001500375129E-2</v>
      </c>
      <c r="BF97">
        <f>Model!BN116</f>
        <v>-0.1287118626801812</v>
      </c>
      <c r="BG97">
        <f>Model!BO116</f>
        <v>-4.8974518334369277E-2</v>
      </c>
      <c r="BH97">
        <f>Model!BP116</f>
        <v>0.37657714491708716</v>
      </c>
      <c r="BI97">
        <f>Model!BQ116</f>
        <v>0.88667230205691738</v>
      </c>
      <c r="BJ97">
        <f>Model!BR116</f>
        <v>1.4287969133637315</v>
      </c>
      <c r="BK97">
        <f>Model!BS116</f>
        <v>0.8052542151352764</v>
      </c>
      <c r="BL97">
        <f>Model!BT116</f>
        <v>0.43268192084847312</v>
      </c>
      <c r="BM97">
        <f>Model!BU116</f>
        <v>0.40069894560769437</v>
      </c>
      <c r="BN97">
        <f>Model!BV116</f>
        <v>0.21043637326401421</v>
      </c>
      <c r="BO97">
        <f>Model!BW116</f>
        <v>0.33893232937542228</v>
      </c>
      <c r="BP97">
        <f>Model!BX116</f>
        <v>0.2620467475495234</v>
      </c>
      <c r="BQ97">
        <f>Model!BY116</f>
        <v>0.18814773745042013</v>
      </c>
      <c r="BR97">
        <f>Model!BZ116</f>
        <v>0.21181149333863591</v>
      </c>
      <c r="BS97">
        <f>Model!CA116</f>
        <v>0.1957101658255227</v>
      </c>
      <c r="BT97">
        <f>Model!CB116</f>
        <v>0.2</v>
      </c>
      <c r="BU97">
        <f>Model!CC116</f>
        <v>0.2</v>
      </c>
      <c r="BV97">
        <f>Model!CD116</f>
        <v>0.05</v>
      </c>
      <c r="BW97">
        <f>Model!CE116</f>
        <v>0.03</v>
      </c>
      <c r="BX97">
        <f>Model!CF116</f>
        <v>0.03</v>
      </c>
      <c r="BY97">
        <f>Model!CG116</f>
        <v>0</v>
      </c>
      <c r="BZ97">
        <f>Model!CH116</f>
        <v>0</v>
      </c>
      <c r="CA97">
        <f>Model!CI116</f>
        <v>0</v>
      </c>
      <c r="CB97">
        <f>Model!CJ116</f>
        <v>0</v>
      </c>
      <c r="CC97">
        <f>Model!CK116</f>
        <v>0.5079948420373952</v>
      </c>
      <c r="CD97">
        <f>Model!CL116</f>
        <v>0.35623583735944253</v>
      </c>
      <c r="CE97">
        <f>Model!CM116</f>
        <v>0.11169256959112239</v>
      </c>
      <c r="CF97">
        <f>Model!CN116</f>
        <v>0.25768489110707815</v>
      </c>
      <c r="CG97">
        <f>Model!CO116</f>
        <v>0.20716556560167754</v>
      </c>
      <c r="CH97">
        <f>Model!CP116</f>
        <v>0.15921104241767692</v>
      </c>
      <c r="CI97">
        <f>Model!CQ116</f>
        <v>9.7819957140325098E-2</v>
      </c>
      <c r="CJ97">
        <f>Model!CR116</f>
        <v>4.0376317257169836E-2</v>
      </c>
      <c r="CK97">
        <f>Model!CS116</f>
        <v>9.9710799181773169E-2</v>
      </c>
      <c r="CL97">
        <f>Model!CT116</f>
        <v>6.8451502828627664E-2</v>
      </c>
      <c r="CM97">
        <f>Model!CU116</f>
        <v>6.0800345783956988E-2</v>
      </c>
      <c r="CN97">
        <f>Model!CV116</f>
        <v>0.81350944506694711</v>
      </c>
      <c r="CO97">
        <f>Model!CW116</f>
        <v>0.29751792746631378</v>
      </c>
      <c r="CP97">
        <f>Model!CX116</f>
        <v>0.19903896103896113</v>
      </c>
      <c r="CQ97">
        <f>Model!CY116</f>
        <v>7.2886398518615003E-2</v>
      </c>
      <c r="CR97">
        <f>Model!DG116</f>
        <v>0</v>
      </c>
      <c r="CS97">
        <f>Model!DH116</f>
        <v>0</v>
      </c>
      <c r="CT97">
        <f>Model!DI116</f>
        <v>0</v>
      </c>
      <c r="CU97">
        <f>Model!DJ116</f>
        <v>0</v>
      </c>
    </row>
    <row r="99" spans="1:99">
      <c r="A99">
        <f>Model!I117</f>
        <v>0</v>
      </c>
      <c r="B99">
        <f>Model!J117</f>
        <v>0</v>
      </c>
      <c r="C99">
        <f>Model!K117</f>
        <v>0</v>
      </c>
      <c r="D99">
        <f>Model!L117</f>
        <v>0</v>
      </c>
      <c r="E99">
        <f>Model!M117</f>
        <v>0</v>
      </c>
      <c r="F99">
        <f>Model!N117</f>
        <v>0</v>
      </c>
      <c r="G99">
        <f>Model!O117</f>
        <v>0</v>
      </c>
      <c r="H99">
        <f>Model!P117</f>
        <v>0</v>
      </c>
      <c r="I99">
        <f>Model!Q117</f>
        <v>0</v>
      </c>
      <c r="J99">
        <f>Model!R117</f>
        <v>0</v>
      </c>
      <c r="K99">
        <f>Model!S117</f>
        <v>0</v>
      </c>
      <c r="L99">
        <f>Model!T117</f>
        <v>0</v>
      </c>
      <c r="M99">
        <f>Model!U117</f>
        <v>0</v>
      </c>
      <c r="N99">
        <f>Model!V117</f>
        <v>0</v>
      </c>
      <c r="O99">
        <f>Model!W117</f>
        <v>0</v>
      </c>
      <c r="P99">
        <f>Model!X117</f>
        <v>0</v>
      </c>
      <c r="Q99">
        <f>Model!Y117</f>
        <v>0</v>
      </c>
      <c r="R99">
        <f>Model!Z117</f>
        <v>0</v>
      </c>
      <c r="S99">
        <f>Model!AA117</f>
        <v>0</v>
      </c>
      <c r="T99">
        <f>Model!AB117</f>
        <v>0</v>
      </c>
      <c r="U99">
        <f>Model!AC117</f>
        <v>0</v>
      </c>
      <c r="V99">
        <f>Model!AD117</f>
        <v>0</v>
      </c>
      <c r="W99">
        <f>Model!AE117</f>
        <v>0</v>
      </c>
      <c r="X99">
        <f>Model!AF117</f>
        <v>0</v>
      </c>
      <c r="Y99">
        <f>Model!AG117</f>
        <v>0</v>
      </c>
      <c r="Z99">
        <f>Model!AH117</f>
        <v>0</v>
      </c>
      <c r="AA99">
        <f>Model!AI117</f>
        <v>0</v>
      </c>
      <c r="AB99">
        <f>Model!AJ117</f>
        <v>0</v>
      </c>
      <c r="AC99">
        <f>Model!AK117</f>
        <v>0</v>
      </c>
      <c r="AD99">
        <f>Model!AL117</f>
        <v>0</v>
      </c>
      <c r="AE99">
        <f>Model!AM117</f>
        <v>0</v>
      </c>
      <c r="AF99">
        <f>Model!AN117</f>
        <v>0</v>
      </c>
      <c r="AG99">
        <f>Model!AO117</f>
        <v>0</v>
      </c>
      <c r="AH99">
        <f>Model!AP117</f>
        <v>0</v>
      </c>
      <c r="AI99">
        <f>Model!AQ117</f>
        <v>0</v>
      </c>
      <c r="AJ99">
        <f>Model!AR117</f>
        <v>0</v>
      </c>
      <c r="AK99">
        <f>Model!AS117</f>
        <v>0</v>
      </c>
      <c r="AL99">
        <f>Model!AT117</f>
        <v>0</v>
      </c>
      <c r="AM99">
        <f>Model!AU117</f>
        <v>0</v>
      </c>
      <c r="AN99">
        <f>Model!AV117</f>
        <v>0</v>
      </c>
      <c r="AO99">
        <f>Model!AW117</f>
        <v>0</v>
      </c>
      <c r="AP99">
        <f>Model!AX117</f>
        <v>0</v>
      </c>
      <c r="AQ99">
        <f>Model!AY117</f>
        <v>0</v>
      </c>
      <c r="AR99">
        <f>Model!AZ117</f>
        <v>0</v>
      </c>
      <c r="AS99">
        <f>Model!BA117</f>
        <v>0</v>
      </c>
      <c r="AT99">
        <f>Model!BB117</f>
        <v>0</v>
      </c>
      <c r="AU99">
        <f>Model!BC117</f>
        <v>0</v>
      </c>
      <c r="AV99">
        <f>Model!BD117</f>
        <v>0</v>
      </c>
      <c r="AW99">
        <f>Model!BE117</f>
        <v>0</v>
      </c>
      <c r="AX99">
        <f>Model!BF117</f>
        <v>0</v>
      </c>
      <c r="AY99">
        <f>Model!BG117</f>
        <v>0</v>
      </c>
      <c r="AZ99">
        <f>Model!BH117</f>
        <v>0</v>
      </c>
      <c r="BA99">
        <f>Model!BI117</f>
        <v>0</v>
      </c>
      <c r="BB99">
        <f>Model!BJ117</f>
        <v>0</v>
      </c>
      <c r="BC99">
        <f>Model!BK117</f>
        <v>0</v>
      </c>
      <c r="BD99">
        <f>Model!BL117</f>
        <v>0</v>
      </c>
      <c r="BE99">
        <f>Model!BM117</f>
        <v>0</v>
      </c>
      <c r="BF99">
        <f>Model!BN117</f>
        <v>0</v>
      </c>
      <c r="BG99">
        <f>Model!BO117</f>
        <v>0</v>
      </c>
      <c r="BH99">
        <f>Model!BP117</f>
        <v>0</v>
      </c>
      <c r="BI99">
        <f>Model!BQ117</f>
        <v>0</v>
      </c>
      <c r="BJ99">
        <f>Model!BR117</f>
        <v>0</v>
      </c>
      <c r="BK99">
        <f>Model!BS117</f>
        <v>0</v>
      </c>
      <c r="BL99">
        <f>Model!BT117</f>
        <v>0</v>
      </c>
      <c r="BM99">
        <f>Model!BU117</f>
        <v>0</v>
      </c>
      <c r="BN99">
        <f>Model!BV117</f>
        <v>0</v>
      </c>
      <c r="BO99">
        <f>Model!BW117</f>
        <v>0</v>
      </c>
      <c r="BP99">
        <f>Model!BX117</f>
        <v>0</v>
      </c>
      <c r="BQ99">
        <f>Model!BY117</f>
        <v>0</v>
      </c>
      <c r="BR99">
        <f>Model!BZ117</f>
        <v>0</v>
      </c>
      <c r="BS99">
        <f>Model!CA117</f>
        <v>0</v>
      </c>
      <c r="BT99">
        <f>Model!CB117</f>
        <v>0</v>
      </c>
      <c r="BU99">
        <f>Model!CC117</f>
        <v>0</v>
      </c>
      <c r="BV99">
        <f>Model!CD117</f>
        <v>0</v>
      </c>
      <c r="BW99">
        <f>Model!CE117</f>
        <v>0</v>
      </c>
      <c r="BX99">
        <f>Model!CF117</f>
        <v>0</v>
      </c>
      <c r="BY99">
        <f>Model!CG117</f>
        <v>0</v>
      </c>
      <c r="BZ99">
        <f>Model!CH117</f>
        <v>0</v>
      </c>
      <c r="CA99">
        <f>Model!CI117</f>
        <v>0</v>
      </c>
      <c r="CB99">
        <f>Model!CJ117</f>
        <v>0</v>
      </c>
      <c r="CC99">
        <f>Model!CK117</f>
        <v>0</v>
      </c>
      <c r="CD99">
        <f>Model!CL117</f>
        <v>0</v>
      </c>
      <c r="CE99">
        <f>Model!CM117</f>
        <v>0</v>
      </c>
      <c r="CF99">
        <f>Model!CN117</f>
        <v>0</v>
      </c>
      <c r="CG99">
        <f>Model!CO117</f>
        <v>0</v>
      </c>
      <c r="CH99">
        <f>Model!CP117</f>
        <v>0</v>
      </c>
      <c r="CI99">
        <f>Model!CQ117</f>
        <v>0</v>
      </c>
      <c r="CJ99">
        <f>Model!CR117</f>
        <v>0</v>
      </c>
      <c r="CK99">
        <f>Model!CS117</f>
        <v>0</v>
      </c>
      <c r="CL99">
        <f>Model!CT117</f>
        <v>0</v>
      </c>
      <c r="CM99">
        <f>Model!CU117</f>
        <v>0</v>
      </c>
      <c r="CN99">
        <f>Model!CV117</f>
        <v>0</v>
      </c>
      <c r="CO99">
        <f>Model!CW117</f>
        <v>0</v>
      </c>
      <c r="CP99">
        <f>Model!CX117</f>
        <v>0</v>
      </c>
      <c r="CQ99">
        <f>Model!CY117</f>
        <v>0</v>
      </c>
      <c r="CR99">
        <f>Model!DG117</f>
        <v>0</v>
      </c>
      <c r="CS99">
        <f>Model!DH117</f>
        <v>0</v>
      </c>
      <c r="CT99">
        <f>Model!DI117</f>
        <v>0</v>
      </c>
      <c r="CU99">
        <f>Model!DJ117</f>
        <v>0</v>
      </c>
    </row>
    <row r="100" spans="1:99">
      <c r="A100" t="str">
        <f>Model!I118</f>
        <v>Adjustments for One-Time Items</v>
      </c>
      <c r="B100">
        <f>Model!J118</f>
        <v>0</v>
      </c>
      <c r="C100">
        <f>Model!K118</f>
        <v>0</v>
      </c>
      <c r="D100">
        <f>Model!L118</f>
        <v>0</v>
      </c>
      <c r="E100">
        <f>Model!M118</f>
        <v>0</v>
      </c>
      <c r="F100">
        <f>Model!N118</f>
        <v>0</v>
      </c>
      <c r="G100">
        <f>Model!O118</f>
        <v>0</v>
      </c>
      <c r="H100">
        <f>Model!P118</f>
        <v>0</v>
      </c>
      <c r="I100">
        <f>Model!Q118</f>
        <v>0</v>
      </c>
      <c r="J100">
        <f>Model!R118</f>
        <v>0</v>
      </c>
      <c r="K100">
        <f>Model!S118</f>
        <v>0</v>
      </c>
      <c r="L100">
        <f>Model!T118</f>
        <v>0</v>
      </c>
      <c r="M100">
        <f>Model!U118</f>
        <v>0</v>
      </c>
      <c r="N100">
        <f>Model!V118</f>
        <v>0</v>
      </c>
      <c r="O100">
        <f>Model!W118</f>
        <v>0</v>
      </c>
      <c r="P100">
        <f>Model!X118</f>
        <v>0</v>
      </c>
      <c r="Q100">
        <f>Model!Y118</f>
        <v>0</v>
      </c>
      <c r="R100">
        <f>Model!Z118</f>
        <v>0</v>
      </c>
      <c r="S100">
        <f>Model!AA118</f>
        <v>0</v>
      </c>
      <c r="T100">
        <f>Model!AB118</f>
        <v>0</v>
      </c>
      <c r="U100">
        <f>Model!AC118</f>
        <v>0</v>
      </c>
      <c r="V100">
        <f>Model!AD118</f>
        <v>0</v>
      </c>
      <c r="W100">
        <f>Model!AE118</f>
        <v>0</v>
      </c>
      <c r="X100">
        <f>Model!AF118</f>
        <v>0</v>
      </c>
      <c r="Y100">
        <f>Model!AG118</f>
        <v>0</v>
      </c>
      <c r="Z100">
        <f>Model!AH118</f>
        <v>0</v>
      </c>
      <c r="AA100">
        <f>Model!AI118</f>
        <v>0</v>
      </c>
      <c r="AB100">
        <f>Model!AJ118</f>
        <v>0</v>
      </c>
      <c r="AC100">
        <f>Model!AK118</f>
        <v>-2.786</v>
      </c>
      <c r="AD100">
        <f>Model!AL118</f>
        <v>-0.48299999999999998</v>
      </c>
      <c r="AE100">
        <f>Model!AM118</f>
        <v>-7.6999999999999999E-2</v>
      </c>
      <c r="AF100">
        <f>Model!AN118</f>
        <v>0</v>
      </c>
      <c r="AG100">
        <f>Model!AO118</f>
        <v>0</v>
      </c>
      <c r="AH100">
        <f>Model!AP118</f>
        <v>0</v>
      </c>
      <c r="AI100">
        <f>Model!AQ118</f>
        <v>0</v>
      </c>
      <c r="AJ100">
        <f>Model!AR118</f>
        <v>4.944</v>
      </c>
      <c r="AK100">
        <f>Model!AS118</f>
        <v>5.1970000000000001</v>
      </c>
      <c r="AL100">
        <f>Model!AT118</f>
        <v>5.0389999999999997</v>
      </c>
      <c r="AM100">
        <f>Model!AU118</f>
        <v>4.516</v>
      </c>
      <c r="AN100">
        <f>Model!AV118</f>
        <v>3.4510000000000001</v>
      </c>
      <c r="AO100">
        <f>Model!AW118</f>
        <v>5.2510000000000003</v>
      </c>
      <c r="AP100">
        <f>Model!AX118</f>
        <v>2.8570000000000002</v>
      </c>
      <c r="AQ100">
        <f>Model!AY118</f>
        <v>3.226</v>
      </c>
      <c r="AR100">
        <f>Model!AZ118</f>
        <v>0</v>
      </c>
      <c r="AS100">
        <f>Model!BA118</f>
        <v>0</v>
      </c>
      <c r="AT100">
        <f>Model!BB118</f>
        <v>3.2000000000000001E-2</v>
      </c>
      <c r="AU100">
        <f>Model!BC118</f>
        <v>0</v>
      </c>
      <c r="AV100">
        <f>Model!BD118</f>
        <v>0</v>
      </c>
      <c r="AW100">
        <f>Model!BE118</f>
        <v>0</v>
      </c>
      <c r="AX100">
        <f>Model!BF118</f>
        <v>0</v>
      </c>
      <c r="AY100">
        <f>Model!BG118</f>
        <v>0</v>
      </c>
      <c r="AZ100">
        <f>Model!BH118</f>
        <v>0</v>
      </c>
      <c r="BA100">
        <f>Model!BI118</f>
        <v>0</v>
      </c>
      <c r="BB100">
        <f>Model!BJ118</f>
        <v>0</v>
      </c>
      <c r="BC100">
        <f>Model!BK118</f>
        <v>0</v>
      </c>
      <c r="BD100">
        <f>Model!BL118</f>
        <v>26.661000000000001</v>
      </c>
      <c r="BE100">
        <f>Model!BM118</f>
        <v>3.3959999999999999</v>
      </c>
      <c r="BF100">
        <f>Model!BN118</f>
        <v>2.7330000000000001</v>
      </c>
      <c r="BG100">
        <f>Model!BO118</f>
        <v>0.124</v>
      </c>
      <c r="BH100">
        <f>Model!BP118</f>
        <v>1.6E-2</v>
      </c>
      <c r="BI100">
        <f>Model!BQ118</f>
        <v>3.0000000000000001E-3</v>
      </c>
      <c r="BJ100">
        <f>Model!BR118</f>
        <v>0</v>
      </c>
      <c r="BK100">
        <f>Model!BS118</f>
        <v>0</v>
      </c>
      <c r="BL100">
        <f>Model!BT118</f>
        <v>0</v>
      </c>
      <c r="BM100">
        <f>Model!BU118</f>
        <v>50.35</v>
      </c>
      <c r="BN100">
        <f>Model!BV118</f>
        <v>12.858000000000001</v>
      </c>
      <c r="BO100">
        <f>Model!BW118</f>
        <v>0</v>
      </c>
      <c r="BP100">
        <f>Model!BX118</f>
        <v>0</v>
      </c>
      <c r="BQ100">
        <f>Model!BY118</f>
        <v>0</v>
      </c>
      <c r="BR100">
        <f>Model!BZ118</f>
        <v>0</v>
      </c>
      <c r="BS100">
        <f>Model!CA118</f>
        <v>0</v>
      </c>
      <c r="BT100">
        <f>Model!CB118</f>
        <v>8.261000000000001</v>
      </c>
      <c r="BU100">
        <f>Model!CC118</f>
        <v>0</v>
      </c>
      <c r="BV100">
        <f>Model!CD118</f>
        <v>0</v>
      </c>
      <c r="BW100">
        <f>Model!CE118</f>
        <v>0</v>
      </c>
      <c r="BX100">
        <f>Model!CF118</f>
        <v>0</v>
      </c>
      <c r="BY100">
        <f>Model!CG118</f>
        <v>0</v>
      </c>
      <c r="BZ100">
        <f>Model!CH118</f>
        <v>0</v>
      </c>
      <c r="CA100">
        <f>Model!CI118</f>
        <v>0</v>
      </c>
      <c r="CB100">
        <f>Model!CJ118</f>
        <v>0</v>
      </c>
      <c r="CC100">
        <f>Model!CK118</f>
        <v>0</v>
      </c>
      <c r="CD100">
        <f>Model!CL118</f>
        <v>0</v>
      </c>
      <c r="CE100">
        <f>Model!CM118</f>
        <v>0</v>
      </c>
      <c r="CF100">
        <f>Model!CN118</f>
        <v>-3.3460000000000001</v>
      </c>
      <c r="CG100">
        <f>Model!CO118</f>
        <v>4.944</v>
      </c>
      <c r="CH100">
        <f>Model!CP118</f>
        <v>18.202999999999999</v>
      </c>
      <c r="CI100">
        <f>Model!CQ118</f>
        <v>11.334</v>
      </c>
      <c r="CJ100">
        <f>Model!CR118</f>
        <v>3.2000000000000001E-2</v>
      </c>
      <c r="CK100">
        <f>Model!CS118</f>
        <v>0</v>
      </c>
      <c r="CL100">
        <f>Model!CT118</f>
        <v>26.661000000000001</v>
      </c>
      <c r="CM100">
        <f>Model!CU118</f>
        <v>6.2689999999999992</v>
      </c>
      <c r="CN100">
        <f>Model!CV118</f>
        <v>3.0000000000000001E-3</v>
      </c>
      <c r="CO100">
        <f>Model!CW118</f>
        <v>63.207999999999998</v>
      </c>
      <c r="CP100">
        <f>Model!CX118</f>
        <v>8.261000000000001</v>
      </c>
      <c r="CQ100">
        <f>Model!CY118</f>
        <v>0</v>
      </c>
      <c r="CR100">
        <f>Model!DG118</f>
        <v>0</v>
      </c>
      <c r="CS100">
        <f>Model!DH118</f>
        <v>0</v>
      </c>
      <c r="CT100">
        <f>Model!DI118</f>
        <v>0</v>
      </c>
      <c r="CU100">
        <f>Model!DJ118</f>
        <v>0</v>
      </c>
    </row>
    <row r="101" spans="1:99">
      <c r="A101" t="str">
        <f>Model!I119</f>
        <v>Adjustments for One-Time Items</v>
      </c>
      <c r="B101">
        <f>Model!J119</f>
        <v>0</v>
      </c>
      <c r="C101">
        <f>Model!K119</f>
        <v>0</v>
      </c>
      <c r="D101">
        <f>Model!L119</f>
        <v>0</v>
      </c>
      <c r="E101">
        <f>Model!M119</f>
        <v>0</v>
      </c>
      <c r="F101">
        <f>Model!N119</f>
        <v>0</v>
      </c>
      <c r="G101">
        <f>Model!O119</f>
        <v>0</v>
      </c>
      <c r="H101">
        <f>Model!P119</f>
        <v>0</v>
      </c>
      <c r="I101">
        <f>Model!Q119</f>
        <v>0</v>
      </c>
      <c r="J101">
        <f>Model!R119</f>
        <v>0</v>
      </c>
      <c r="K101">
        <f>Model!S119</f>
        <v>0</v>
      </c>
      <c r="L101">
        <f>Model!T119</f>
        <v>0</v>
      </c>
      <c r="M101">
        <f>Model!U119</f>
        <v>0</v>
      </c>
      <c r="N101">
        <f>Model!V119</f>
        <v>0</v>
      </c>
      <c r="O101">
        <f>Model!W119</f>
        <v>0</v>
      </c>
      <c r="P101">
        <f>Model!X119</f>
        <v>0</v>
      </c>
      <c r="Q101">
        <f>Model!Y119</f>
        <v>0</v>
      </c>
      <c r="R101">
        <f>Model!Z119</f>
        <v>0</v>
      </c>
      <c r="S101">
        <f>Model!AA119</f>
        <v>0</v>
      </c>
      <c r="T101">
        <f>Model!AB119</f>
        <v>0</v>
      </c>
      <c r="U101">
        <f>Model!AC119</f>
        <v>0</v>
      </c>
      <c r="V101">
        <f>Model!AD119</f>
        <v>0</v>
      </c>
      <c r="W101">
        <f>Model!AE119</f>
        <v>0</v>
      </c>
      <c r="X101">
        <f>Model!AF119</f>
        <v>0</v>
      </c>
      <c r="Y101">
        <f>Model!AG119</f>
        <v>0</v>
      </c>
      <c r="Z101">
        <f>Model!AH119</f>
        <v>0</v>
      </c>
      <c r="AA101">
        <f>Model!AI119</f>
        <v>0</v>
      </c>
      <c r="AB101">
        <f>Model!AJ119</f>
        <v>0</v>
      </c>
      <c r="AC101">
        <f>Model!AK119</f>
        <v>0</v>
      </c>
      <c r="AD101">
        <f>Model!AL119</f>
        <v>0</v>
      </c>
      <c r="AE101">
        <f>Model!AM119</f>
        <v>0</v>
      </c>
      <c r="AF101">
        <f>Model!AN119</f>
        <v>0</v>
      </c>
      <c r="AG101">
        <f>Model!AO119</f>
        <v>0</v>
      </c>
      <c r="AH101">
        <f>Model!AP119</f>
        <v>0</v>
      </c>
      <c r="AI101">
        <f>Model!AQ119</f>
        <v>0</v>
      </c>
      <c r="AJ101">
        <f>Model!AR119</f>
        <v>-5.97</v>
      </c>
      <c r="AK101">
        <f>Model!AS119</f>
        <v>-2.87</v>
      </c>
      <c r="AL101">
        <f>Model!AT119</f>
        <v>-0.26</v>
      </c>
      <c r="AM101">
        <f>Model!AU119</f>
        <v>0.39400000000000002</v>
      </c>
      <c r="AN101">
        <f>Model!AV119</f>
        <v>3.7839999999999998</v>
      </c>
      <c r="AO101">
        <f>Model!AW119</f>
        <v>3.274</v>
      </c>
      <c r="AP101">
        <f>Model!AX119</f>
        <v>6.1920000000000002</v>
      </c>
      <c r="AQ101">
        <f>Model!AY119</f>
        <v>5.4820000000000002</v>
      </c>
      <c r="AR101">
        <f>Model!AZ119</f>
        <v>5.1609999999999996</v>
      </c>
      <c r="AS101">
        <f>Model!BA119</f>
        <v>5.2389999999999999</v>
      </c>
      <c r="AT101">
        <f>Model!BB119</f>
        <v>5.3140000000000001</v>
      </c>
      <c r="AU101">
        <f>Model!BC119</f>
        <v>5.391</v>
      </c>
      <c r="AV101">
        <f>Model!BD119</f>
        <v>5.4710000000000001</v>
      </c>
      <c r="AW101">
        <f>Model!BE119</f>
        <v>7.2409999999999997</v>
      </c>
      <c r="AX101">
        <f>Model!BF119</f>
        <v>10.731</v>
      </c>
      <c r="AY101">
        <f>Model!BG119</f>
        <v>10.859</v>
      </c>
      <c r="AZ101">
        <f>Model!BH119</f>
        <v>10.989000000000001</v>
      </c>
      <c r="BA101">
        <f>Model!BI119</f>
        <v>11.12</v>
      </c>
      <c r="BB101">
        <f>Model!BJ119</f>
        <v>12.898</v>
      </c>
      <c r="BC101">
        <f>Model!BK119</f>
        <v>16.350000000000001</v>
      </c>
      <c r="BD101">
        <f>Model!BL119</f>
        <v>13.843999999999999</v>
      </c>
      <c r="BE101">
        <f>Model!BM119</f>
        <v>11.757999999999999</v>
      </c>
      <c r="BF101">
        <f>Model!BN119</f>
        <v>11.189</v>
      </c>
      <c r="BG101">
        <f>Model!BO119</f>
        <v>14.132999999999999</v>
      </c>
      <c r="BH101">
        <f>Model!BP119</f>
        <v>14.724</v>
      </c>
      <c r="BI101">
        <f>Model!BQ119</f>
        <v>15.775</v>
      </c>
      <c r="BJ101">
        <f>Model!BR119</f>
        <v>15.574999999999999</v>
      </c>
      <c r="BK101">
        <f>Model!BS119</f>
        <v>15.702999999999999</v>
      </c>
      <c r="BL101">
        <f>Model!BT119</f>
        <v>15.832000000000001</v>
      </c>
      <c r="BM101">
        <f>Model!BU119</f>
        <v>15.962</v>
      </c>
      <c r="BN101">
        <f>Model!BV119</f>
        <v>16.093</v>
      </c>
      <c r="BO101">
        <f>Model!BW119</f>
        <v>16.225999999999999</v>
      </c>
      <c r="BP101">
        <f>Model!BX119</f>
        <v>16.359000000000002</v>
      </c>
      <c r="BQ101">
        <f>Model!BY119</f>
        <v>16.492999999999999</v>
      </c>
      <c r="BR101">
        <f>Model!BZ119</f>
        <v>16.524999999999999</v>
      </c>
      <c r="BS101">
        <f>Model!CA119</f>
        <v>16.228000000000002</v>
      </c>
      <c r="BT101">
        <f>Model!CB119</f>
        <v>15.502000000000001</v>
      </c>
      <c r="BU101">
        <f>Model!CC119</f>
        <v>16.492999999999999</v>
      </c>
      <c r="BV101">
        <f>Model!CD119</f>
        <v>16.524999999999999</v>
      </c>
      <c r="BW101">
        <f>Model!CE119</f>
        <v>16.228000000000002</v>
      </c>
      <c r="BX101">
        <f>Model!CF119</f>
        <v>15.502000000000001</v>
      </c>
      <c r="BY101">
        <f>Model!CG119</f>
        <v>0</v>
      </c>
      <c r="BZ101">
        <f>Model!CH119</f>
        <v>0</v>
      </c>
      <c r="CA101">
        <f>Model!CI119</f>
        <v>0</v>
      </c>
      <c r="CB101">
        <f>Model!CJ119</f>
        <v>0</v>
      </c>
      <c r="CC101">
        <f>Model!CK119</f>
        <v>0</v>
      </c>
      <c r="CD101">
        <f>Model!CL119</f>
        <v>0</v>
      </c>
      <c r="CE101">
        <f>Model!CM119</f>
        <v>0</v>
      </c>
      <c r="CF101">
        <f>Model!CN119</f>
        <v>0</v>
      </c>
      <c r="CG101">
        <f>Model!CO119</f>
        <v>-5.97</v>
      </c>
      <c r="CH101">
        <f>Model!CP119</f>
        <v>1.048</v>
      </c>
      <c r="CI101">
        <f>Model!CQ119</f>
        <v>20.109000000000002</v>
      </c>
      <c r="CJ101">
        <f>Model!CR119</f>
        <v>21.414999999999999</v>
      </c>
      <c r="CK101">
        <f>Model!CS119</f>
        <v>39.820000000000007</v>
      </c>
      <c r="CL101">
        <f>Model!CT119</f>
        <v>54.212000000000003</v>
      </c>
      <c r="CM101">
        <f>Model!CU119</f>
        <v>51.804000000000002</v>
      </c>
      <c r="CN101">
        <f>Model!CV119</f>
        <v>62.884999999999998</v>
      </c>
      <c r="CO101">
        <f>Model!CW119</f>
        <v>64.64</v>
      </c>
      <c r="CP101">
        <f>Model!CX119</f>
        <v>64.748000000000005</v>
      </c>
      <c r="CQ101">
        <f>Model!CY119</f>
        <v>64.748000000000005</v>
      </c>
      <c r="CR101">
        <f>Model!DG119</f>
        <v>0</v>
      </c>
      <c r="CS101">
        <f>Model!DH119</f>
        <v>0</v>
      </c>
      <c r="CT101">
        <f>Model!DI119</f>
        <v>0</v>
      </c>
      <c r="CU101">
        <f>Model!DJ119</f>
        <v>0</v>
      </c>
    </row>
    <row r="102" spans="1:99">
      <c r="A102">
        <f>Model!I120</f>
        <v>0</v>
      </c>
      <c r="B102">
        <f>Model!J120</f>
        <v>0</v>
      </c>
      <c r="C102">
        <f>Model!K120</f>
        <v>0</v>
      </c>
      <c r="D102">
        <f>Model!L120</f>
        <v>0</v>
      </c>
      <c r="E102">
        <f>Model!M120</f>
        <v>0</v>
      </c>
      <c r="F102">
        <f>Model!N120</f>
        <v>0</v>
      </c>
      <c r="G102">
        <f>Model!O120</f>
        <v>0</v>
      </c>
      <c r="H102">
        <f>Model!P120</f>
        <v>0</v>
      </c>
      <c r="I102">
        <f>Model!Q120</f>
        <v>0</v>
      </c>
      <c r="J102">
        <f>Model!R120</f>
        <v>0</v>
      </c>
      <c r="K102">
        <f>Model!S120</f>
        <v>0</v>
      </c>
      <c r="L102">
        <f>Model!T120</f>
        <v>0</v>
      </c>
      <c r="M102">
        <f>Model!U120</f>
        <v>0</v>
      </c>
      <c r="N102">
        <f>Model!V120</f>
        <v>0</v>
      </c>
      <c r="O102">
        <f>Model!W120</f>
        <v>0</v>
      </c>
      <c r="P102">
        <f>Model!X120</f>
        <v>0</v>
      </c>
      <c r="Q102">
        <f>Model!Y120</f>
        <v>0</v>
      </c>
      <c r="R102">
        <f>Model!Z120</f>
        <v>0</v>
      </c>
      <c r="S102">
        <f>Model!AA120</f>
        <v>0</v>
      </c>
      <c r="T102">
        <f>Model!AB120</f>
        <v>0</v>
      </c>
      <c r="U102">
        <f>Model!AC120</f>
        <v>0</v>
      </c>
      <c r="V102">
        <f>Model!AD120</f>
        <v>0</v>
      </c>
      <c r="W102">
        <f>Model!AE120</f>
        <v>0</v>
      </c>
      <c r="X102">
        <f>Model!AF120</f>
        <v>0</v>
      </c>
      <c r="Y102">
        <f>Model!AG120</f>
        <v>0</v>
      </c>
      <c r="Z102">
        <f>Model!AH120</f>
        <v>0</v>
      </c>
      <c r="AA102">
        <f>Model!AI120</f>
        <v>0</v>
      </c>
      <c r="AB102">
        <f>Model!AJ120</f>
        <v>0</v>
      </c>
      <c r="AC102">
        <f>Model!AK120</f>
        <v>0</v>
      </c>
      <c r="AD102">
        <f>Model!AL120</f>
        <v>0</v>
      </c>
      <c r="AE102">
        <f>Model!AM120</f>
        <v>0</v>
      </c>
      <c r="AF102">
        <f>Model!AN120</f>
        <v>0</v>
      </c>
      <c r="AG102">
        <f>Model!AO120</f>
        <v>0</v>
      </c>
      <c r="AH102">
        <f>Model!AP120</f>
        <v>0</v>
      </c>
      <c r="AI102">
        <f>Model!AQ120</f>
        <v>0</v>
      </c>
      <c r="AJ102">
        <f>Model!AR120</f>
        <v>0</v>
      </c>
      <c r="AK102">
        <f>Model!AS120</f>
        <v>0</v>
      </c>
      <c r="AL102">
        <f>Model!AT120</f>
        <v>0</v>
      </c>
      <c r="AM102">
        <f>Model!AU120</f>
        <v>0</v>
      </c>
      <c r="AN102">
        <f>Model!AV120</f>
        <v>0</v>
      </c>
      <c r="AO102">
        <f>Model!AW120</f>
        <v>0</v>
      </c>
      <c r="AP102">
        <f>Model!AX120</f>
        <v>0</v>
      </c>
      <c r="AQ102">
        <f>Model!AY120</f>
        <v>0</v>
      </c>
      <c r="AR102">
        <f>Model!AZ120</f>
        <v>0</v>
      </c>
      <c r="AS102">
        <f>Model!BA120</f>
        <v>0</v>
      </c>
      <c r="AT102">
        <f>Model!BB120</f>
        <v>0</v>
      </c>
      <c r="AU102">
        <f>Model!BC120</f>
        <v>0</v>
      </c>
      <c r="AV102">
        <f>Model!BD120</f>
        <v>0</v>
      </c>
      <c r="AW102">
        <f>Model!BE120</f>
        <v>0</v>
      </c>
      <c r="AX102">
        <f>Model!BF120</f>
        <v>0</v>
      </c>
      <c r="AY102">
        <f>Model!BG120</f>
        <v>0</v>
      </c>
      <c r="AZ102">
        <f>Model!BH120</f>
        <v>0</v>
      </c>
      <c r="BA102">
        <f>Model!BI120</f>
        <v>0</v>
      </c>
      <c r="BB102">
        <f>Model!BJ120</f>
        <v>0</v>
      </c>
      <c r="BC102">
        <f>Model!BK120</f>
        <v>0</v>
      </c>
      <c r="BD102">
        <f>Model!BL120</f>
        <v>0</v>
      </c>
      <c r="BE102">
        <f>Model!BM120</f>
        <v>0</v>
      </c>
      <c r="BF102">
        <f>Model!BN120</f>
        <v>0</v>
      </c>
      <c r="BG102">
        <f>Model!BO120</f>
        <v>0</v>
      </c>
      <c r="BH102">
        <f>Model!BP120</f>
        <v>0</v>
      </c>
      <c r="BI102">
        <f>Model!BQ120</f>
        <v>0</v>
      </c>
      <c r="BJ102">
        <f>Model!BR120</f>
        <v>0</v>
      </c>
      <c r="BK102">
        <f>Model!BS120</f>
        <v>0</v>
      </c>
      <c r="BL102">
        <f>Model!BT120</f>
        <v>0</v>
      </c>
      <c r="BM102">
        <f>Model!BU120</f>
        <v>0</v>
      </c>
      <c r="BN102">
        <f>Model!BV120</f>
        <v>0</v>
      </c>
      <c r="BO102">
        <f>Model!BW120</f>
        <v>0</v>
      </c>
      <c r="BP102">
        <f>Model!BX120</f>
        <v>0</v>
      </c>
      <c r="BQ102">
        <f>Model!BY120</f>
        <v>0</v>
      </c>
      <c r="BR102">
        <f>Model!BZ120</f>
        <v>0</v>
      </c>
      <c r="BS102">
        <f>Model!CA120</f>
        <v>0</v>
      </c>
      <c r="BT102">
        <f>Model!CB120</f>
        <v>0</v>
      </c>
      <c r="BU102">
        <f>Model!CC120</f>
        <v>0</v>
      </c>
      <c r="BV102">
        <f>Model!CD120</f>
        <v>0</v>
      </c>
      <c r="BW102">
        <f>Model!CE120</f>
        <v>0</v>
      </c>
      <c r="BX102">
        <f>Model!CF120</f>
        <v>0</v>
      </c>
      <c r="BY102">
        <f>Model!CG120</f>
        <v>0</v>
      </c>
      <c r="BZ102">
        <f>Model!CH120</f>
        <v>0</v>
      </c>
      <c r="CA102">
        <f>Model!CI120</f>
        <v>0</v>
      </c>
      <c r="CB102">
        <f>Model!CJ120</f>
        <v>0</v>
      </c>
      <c r="CC102">
        <f>Model!CK120</f>
        <v>0</v>
      </c>
      <c r="CD102">
        <f>Model!CL120</f>
        <v>0</v>
      </c>
      <c r="CE102">
        <f>Model!CM120</f>
        <v>0</v>
      </c>
      <c r="CF102">
        <f>Model!CN120</f>
        <v>0</v>
      </c>
      <c r="CG102">
        <f>Model!CO120</f>
        <v>0</v>
      </c>
      <c r="CH102">
        <f>Model!CP120</f>
        <v>0</v>
      </c>
      <c r="CI102">
        <f>Model!CQ120</f>
        <v>0</v>
      </c>
      <c r="CJ102">
        <f>Model!CR120</f>
        <v>0</v>
      </c>
      <c r="CK102">
        <f>Model!CS120</f>
        <v>0</v>
      </c>
      <c r="CL102">
        <f>Model!CT120</f>
        <v>0</v>
      </c>
      <c r="CM102">
        <f>Model!CU120</f>
        <v>0</v>
      </c>
      <c r="CN102">
        <f>Model!CV120</f>
        <v>0</v>
      </c>
      <c r="CO102">
        <f>Model!CW120</f>
        <v>0</v>
      </c>
      <c r="CP102">
        <f>Model!CX120</f>
        <v>0</v>
      </c>
      <c r="CQ102">
        <f>Model!CY120</f>
        <v>0</v>
      </c>
      <c r="CR102">
        <f>Model!DG120</f>
        <v>0</v>
      </c>
      <c r="CS102">
        <f>Model!DH120</f>
        <v>0</v>
      </c>
      <c r="CT102">
        <f>Model!DI120</f>
        <v>0</v>
      </c>
      <c r="CU102">
        <f>Model!DJ120</f>
        <v>0</v>
      </c>
    </row>
    <row r="103" spans="1:99">
      <c r="A103" t="str">
        <f>Model!I121</f>
        <v>Adjusted Non-Operating Expenses</v>
      </c>
      <c r="B103">
        <f>Model!J121</f>
        <v>0</v>
      </c>
      <c r="C103">
        <f>Model!K121</f>
        <v>0</v>
      </c>
      <c r="D103">
        <f>Model!L121</f>
        <v>0</v>
      </c>
      <c r="E103">
        <f>Model!M121</f>
        <v>0</v>
      </c>
      <c r="F103">
        <f>Model!N121</f>
        <v>0</v>
      </c>
      <c r="G103">
        <f>Model!O121</f>
        <v>0</v>
      </c>
      <c r="H103">
        <f>Model!P121</f>
        <v>0</v>
      </c>
      <c r="I103">
        <f>Model!Q121</f>
        <v>0</v>
      </c>
      <c r="J103">
        <f>Model!R121</f>
        <v>0</v>
      </c>
      <c r="K103">
        <f>Model!S121</f>
        <v>0</v>
      </c>
      <c r="L103">
        <f>Model!T121</f>
        <v>0</v>
      </c>
      <c r="M103">
        <f>Model!U121</f>
        <v>0</v>
      </c>
      <c r="N103">
        <f>Model!V121</f>
        <v>0</v>
      </c>
      <c r="O103">
        <f>Model!W121</f>
        <v>0</v>
      </c>
      <c r="P103">
        <f>Model!X121</f>
        <v>0</v>
      </c>
      <c r="Q103">
        <f>Model!Y121</f>
        <v>0</v>
      </c>
      <c r="R103">
        <f>Model!Z121</f>
        <v>0</v>
      </c>
      <c r="S103">
        <f>Model!AA121</f>
        <v>0</v>
      </c>
      <c r="T103">
        <f>Model!AB121</f>
        <v>0</v>
      </c>
      <c r="U103">
        <f>Model!AC121</f>
        <v>0</v>
      </c>
      <c r="V103">
        <f>Model!AD121</f>
        <v>0</v>
      </c>
      <c r="W103">
        <f>Model!AE121</f>
        <v>0</v>
      </c>
      <c r="X103">
        <f>Model!AF121</f>
        <v>0</v>
      </c>
      <c r="Y103">
        <f>Model!AG121</f>
        <v>0.18799999999999994</v>
      </c>
      <c r="Z103">
        <f>Model!AH121</f>
        <v>-5.5000000000000049E-2</v>
      </c>
      <c r="AA103">
        <f>Model!AI121</f>
        <v>1.4299999999999997</v>
      </c>
      <c r="AB103">
        <f>Model!AJ121</f>
        <v>2.0839999999999996</v>
      </c>
      <c r="AC103">
        <f>Model!AK121</f>
        <v>2.7329999999999983</v>
      </c>
      <c r="AD103">
        <f>Model!AL121</f>
        <v>2.8130000000000002</v>
      </c>
      <c r="AE103">
        <f>Model!AM121</f>
        <v>2.0629999999999997</v>
      </c>
      <c r="AF103">
        <f>Model!AN121</f>
        <v>1.1329999999999998</v>
      </c>
      <c r="AG103">
        <f>Model!AO121</f>
        <v>-3.5829999999999997</v>
      </c>
      <c r="AH103">
        <f>Model!AP121</f>
        <v>0.58399999999999985</v>
      </c>
      <c r="AI103">
        <f>Model!AQ121</f>
        <v>4.798</v>
      </c>
      <c r="AJ103">
        <f>Model!AR121</f>
        <v>4.2960000000000003</v>
      </c>
      <c r="AK103">
        <f>Model!AS121</f>
        <v>8.0000000000000071E-2</v>
      </c>
      <c r="AL103">
        <f>Model!AT121</f>
        <v>-5.1230000000000011</v>
      </c>
      <c r="AM103">
        <f>Model!AU121</f>
        <v>-1.7499999999999991</v>
      </c>
      <c r="AN103">
        <f>Model!AV121</f>
        <v>-2.4889999999999999</v>
      </c>
      <c r="AO103">
        <f>Model!AW121</f>
        <v>1.4440000000000008</v>
      </c>
      <c r="AP103">
        <f>Model!AX121</f>
        <v>1.7610000000000001</v>
      </c>
      <c r="AQ103">
        <f>Model!AY121</f>
        <v>-9.3820000000000014</v>
      </c>
      <c r="AR103">
        <f>Model!AZ121</f>
        <v>-2.8930000000000007</v>
      </c>
      <c r="AS103">
        <f>Model!BA121</f>
        <v>-8.1280000000000001</v>
      </c>
      <c r="AT103">
        <f>Model!BB121</f>
        <v>-2.7710000000000008</v>
      </c>
      <c r="AU103">
        <f>Model!BC121</f>
        <v>0.86500000000000021</v>
      </c>
      <c r="AV103">
        <f>Model!BD121</f>
        <v>0.35299999999999976</v>
      </c>
      <c r="AW103">
        <f>Model!BE121</f>
        <v>-5.2949999999999982</v>
      </c>
      <c r="AX103">
        <f>Model!BF121</f>
        <v>-1.9450000000000021</v>
      </c>
      <c r="AY103">
        <f>Model!BG121</f>
        <v>-13.561999999999999</v>
      </c>
      <c r="AZ103">
        <f>Model!BH121</f>
        <v>-7.3039999999999985</v>
      </c>
      <c r="BA103">
        <f>Model!BI121</f>
        <v>-8.2770000000000028</v>
      </c>
      <c r="BB103">
        <f>Model!BJ121</f>
        <v>-6.3759999999999977</v>
      </c>
      <c r="BC103">
        <f>Model!BK121</f>
        <v>-10.195999999999998</v>
      </c>
      <c r="BD103">
        <f>Model!BL121</f>
        <v>-10.154999999999996</v>
      </c>
      <c r="BE103">
        <f>Model!BM121</f>
        <v>-7.5190000000000019</v>
      </c>
      <c r="BF103">
        <f>Model!BN121</f>
        <v>-3.3270000000000017</v>
      </c>
      <c r="BG103">
        <f>Model!BO121</f>
        <v>-2.8590000000000018</v>
      </c>
      <c r="BH103">
        <f>Model!BP121</f>
        <v>-12.086000000000002</v>
      </c>
      <c r="BI103">
        <f>Model!BQ121</f>
        <v>-10.947999999999999</v>
      </c>
      <c r="BJ103">
        <f>Model!BR121</f>
        <v>-14.378999999999998</v>
      </c>
      <c r="BK103">
        <f>Model!BS121</f>
        <v>-16.834</v>
      </c>
      <c r="BL103">
        <f>Model!BT121</f>
        <v>-25.538000000000004</v>
      </c>
      <c r="BM103">
        <f>Model!BU121</f>
        <v>-23.513000000000002</v>
      </c>
      <c r="BN103">
        <f>Model!BV121</f>
        <v>-10.907999999999994</v>
      </c>
      <c r="BO103">
        <f>Model!BW121</f>
        <v>-19.466999999999999</v>
      </c>
      <c r="BP103">
        <f>Model!BX121</f>
        <v>-11.338999999999995</v>
      </c>
      <c r="BQ103">
        <f>Model!BY121</f>
        <v>-12.358999999999998</v>
      </c>
      <c r="BR103">
        <f>Model!BZ121</f>
        <v>-12.590000000000003</v>
      </c>
      <c r="BS103">
        <f>Model!CA121</f>
        <v>-18.661999999999999</v>
      </c>
      <c r="BT103">
        <f>Model!CB121</f>
        <v>-21.956999999999994</v>
      </c>
      <c r="BU103">
        <f>Model!CC121</f>
        <v>-16.7758</v>
      </c>
      <c r="BV103">
        <f>Model!CD121</f>
        <v>-8.8020500000000013</v>
      </c>
      <c r="BW103">
        <f>Model!CE121</f>
        <v>-8.542989999999989</v>
      </c>
      <c r="BX103">
        <f>Model!CF121</f>
        <v>-19.171900999999984</v>
      </c>
      <c r="BY103">
        <f>Model!CG121</f>
        <v>0</v>
      </c>
      <c r="BZ103">
        <f>Model!CH121</f>
        <v>0</v>
      </c>
      <c r="CA103">
        <f>Model!CI121</f>
        <v>0</v>
      </c>
      <c r="CB103">
        <f>Model!CJ121</f>
        <v>0</v>
      </c>
      <c r="CC103">
        <f>Model!CK121</f>
        <v>0</v>
      </c>
      <c r="CD103">
        <f>Model!CL121</f>
        <v>0</v>
      </c>
      <c r="CE103">
        <f>Model!CM121</f>
        <v>3.6469999999999985</v>
      </c>
      <c r="CF103">
        <f>Model!CN121</f>
        <v>8.7419999999999991</v>
      </c>
      <c r="CG103">
        <f>Model!CO121</f>
        <v>6.094999999999998</v>
      </c>
      <c r="CH103">
        <f>Model!CP121</f>
        <v>-9.2819999999999983</v>
      </c>
      <c r="CI103">
        <f>Model!CQ121</f>
        <v>-9.0700000000000038</v>
      </c>
      <c r="CJ103">
        <f>Model!CR121</f>
        <v>-9.6810000000000009</v>
      </c>
      <c r="CK103">
        <f>Model!CS121</f>
        <v>-28.105999999999995</v>
      </c>
      <c r="CL103">
        <f>Model!CT121</f>
        <v>-35.004000000000005</v>
      </c>
      <c r="CM103">
        <f>Model!CU121</f>
        <v>-25.791000000000011</v>
      </c>
      <c r="CN103">
        <f>Model!CV121</f>
        <v>-67.698999999999984</v>
      </c>
      <c r="CO103">
        <f>Model!CW121</f>
        <v>-65.22699999999999</v>
      </c>
      <c r="CP103">
        <f>Model!CX121</f>
        <v>-65.567999999999998</v>
      </c>
      <c r="CQ103">
        <f>Model!CY121</f>
        <v>-53.292741000000021</v>
      </c>
      <c r="CR103">
        <f>Model!DG121</f>
        <v>0.4948409734742143</v>
      </c>
      <c r="CS103">
        <f>Model!DH121</f>
        <v>-2.1541327368922794</v>
      </c>
      <c r="CT103">
        <f>Model!DI121</f>
        <v>0</v>
      </c>
      <c r="CU103">
        <f>Model!DJ121</f>
        <v>0</v>
      </c>
    </row>
    <row r="104" spans="1:99">
      <c r="A104">
        <f>Model!I122</f>
        <v>0</v>
      </c>
      <c r="B104">
        <f>Model!J122</f>
        <v>0</v>
      </c>
      <c r="C104">
        <f>Model!K122</f>
        <v>0</v>
      </c>
      <c r="D104">
        <f>Model!L122</f>
        <v>0</v>
      </c>
      <c r="E104">
        <f>Model!M122</f>
        <v>0</v>
      </c>
      <c r="F104">
        <f>Model!N122</f>
        <v>0</v>
      </c>
      <c r="G104">
        <f>Model!O122</f>
        <v>0</v>
      </c>
      <c r="H104">
        <f>Model!P122</f>
        <v>0</v>
      </c>
      <c r="I104">
        <f>Model!Q122</f>
        <v>0</v>
      </c>
      <c r="J104">
        <f>Model!R122</f>
        <v>0</v>
      </c>
      <c r="K104">
        <f>Model!S122</f>
        <v>0</v>
      </c>
      <c r="L104">
        <f>Model!T122</f>
        <v>0</v>
      </c>
      <c r="M104">
        <f>Model!U122</f>
        <v>0</v>
      </c>
      <c r="N104">
        <f>Model!V122</f>
        <v>0</v>
      </c>
      <c r="O104">
        <f>Model!W122</f>
        <v>0</v>
      </c>
      <c r="P104">
        <f>Model!X122</f>
        <v>0</v>
      </c>
      <c r="Q104">
        <f>Model!Y122</f>
        <v>0</v>
      </c>
      <c r="R104">
        <f>Model!Z122</f>
        <v>0</v>
      </c>
      <c r="S104">
        <f>Model!AA122</f>
        <v>0</v>
      </c>
      <c r="T104">
        <f>Model!AB122</f>
        <v>0</v>
      </c>
      <c r="U104">
        <f>Model!AC122</f>
        <v>0</v>
      </c>
      <c r="V104">
        <f>Model!AD122</f>
        <v>0</v>
      </c>
      <c r="W104">
        <f>Model!AE122</f>
        <v>0</v>
      </c>
      <c r="X104">
        <f>Model!AF122</f>
        <v>0</v>
      </c>
      <c r="Y104">
        <f>Model!AG122</f>
        <v>0</v>
      </c>
      <c r="Z104">
        <f>Model!AH122</f>
        <v>0</v>
      </c>
      <c r="AA104">
        <f>Model!AI122</f>
        <v>0</v>
      </c>
      <c r="AB104">
        <f>Model!AJ122</f>
        <v>0</v>
      </c>
      <c r="AC104">
        <f>Model!AK122</f>
        <v>0</v>
      </c>
      <c r="AD104">
        <f>Model!AL122</f>
        <v>0</v>
      </c>
      <c r="AE104">
        <f>Model!AM122</f>
        <v>0</v>
      </c>
      <c r="AF104">
        <f>Model!AN122</f>
        <v>0</v>
      </c>
      <c r="AG104">
        <f>Model!AO122</f>
        <v>0</v>
      </c>
      <c r="AH104">
        <f>Model!AP122</f>
        <v>0</v>
      </c>
      <c r="AI104">
        <f>Model!AQ122</f>
        <v>0</v>
      </c>
      <c r="AJ104">
        <f>Model!AR122</f>
        <v>0</v>
      </c>
      <c r="AK104">
        <f>Model!AS122</f>
        <v>0</v>
      </c>
      <c r="AL104">
        <f>Model!AT122</f>
        <v>0</v>
      </c>
      <c r="AM104">
        <f>Model!AU122</f>
        <v>0</v>
      </c>
      <c r="AN104">
        <f>Model!AV122</f>
        <v>0</v>
      </c>
      <c r="AO104">
        <f>Model!AW122</f>
        <v>0</v>
      </c>
      <c r="AP104">
        <f>Model!AX122</f>
        <v>0</v>
      </c>
      <c r="AQ104">
        <f>Model!AY122</f>
        <v>0</v>
      </c>
      <c r="AR104">
        <f>Model!AZ122</f>
        <v>0</v>
      </c>
      <c r="AS104">
        <f>Model!BA122</f>
        <v>0</v>
      </c>
      <c r="AT104">
        <f>Model!BB122</f>
        <v>0</v>
      </c>
      <c r="AU104">
        <f>Model!BC122</f>
        <v>0</v>
      </c>
      <c r="AV104">
        <f>Model!BD122</f>
        <v>0</v>
      </c>
      <c r="AW104">
        <f>Model!BE122</f>
        <v>0</v>
      </c>
      <c r="AX104">
        <f>Model!BF122</f>
        <v>0</v>
      </c>
      <c r="AY104">
        <f>Model!BG122</f>
        <v>0</v>
      </c>
      <c r="AZ104">
        <f>Model!BH122</f>
        <v>0</v>
      </c>
      <c r="BA104">
        <f>Model!BI122</f>
        <v>0</v>
      </c>
      <c r="BB104">
        <f>Model!BJ122</f>
        <v>0</v>
      </c>
      <c r="BC104">
        <f>Model!BK122</f>
        <v>0</v>
      </c>
      <c r="BD104">
        <f>Model!BL122</f>
        <v>0</v>
      </c>
      <c r="BE104">
        <f>Model!BM122</f>
        <v>0</v>
      </c>
      <c r="BF104">
        <f>Model!BN122</f>
        <v>0</v>
      </c>
      <c r="BG104">
        <f>Model!BO122</f>
        <v>0</v>
      </c>
      <c r="BH104">
        <f>Model!BP122</f>
        <v>0</v>
      </c>
      <c r="BI104">
        <f>Model!BQ122</f>
        <v>0</v>
      </c>
      <c r="BJ104">
        <f>Model!BR122</f>
        <v>0</v>
      </c>
      <c r="BK104">
        <f>Model!BS122</f>
        <v>0</v>
      </c>
      <c r="BL104">
        <f>Model!BT122</f>
        <v>0</v>
      </c>
      <c r="BM104">
        <f>Model!BU122</f>
        <v>0</v>
      </c>
      <c r="BN104">
        <f>Model!BV122</f>
        <v>0</v>
      </c>
      <c r="BO104">
        <f>Model!BW122</f>
        <v>0</v>
      </c>
      <c r="BP104">
        <f>Model!BX122</f>
        <v>0</v>
      </c>
      <c r="BQ104">
        <f>Model!BY122</f>
        <v>0</v>
      </c>
      <c r="BR104">
        <f>Model!BZ122</f>
        <v>0</v>
      </c>
      <c r="BS104">
        <f>Model!CA122</f>
        <v>0</v>
      </c>
      <c r="BT104">
        <f>Model!CB122</f>
        <v>0</v>
      </c>
      <c r="BU104">
        <f>Model!CC122</f>
        <v>0</v>
      </c>
      <c r="BV104">
        <f>Model!CD122</f>
        <v>0</v>
      </c>
      <c r="BW104">
        <f>Model!CE122</f>
        <v>0</v>
      </c>
      <c r="BX104">
        <f>Model!CF122</f>
        <v>0</v>
      </c>
      <c r="BY104">
        <f>Model!CG122</f>
        <v>0</v>
      </c>
      <c r="BZ104">
        <f>Model!CH122</f>
        <v>0</v>
      </c>
      <c r="CA104">
        <f>Model!CI122</f>
        <v>0</v>
      </c>
      <c r="CB104">
        <f>Model!CJ122</f>
        <v>0</v>
      </c>
      <c r="CC104">
        <f>Model!CK122</f>
        <v>0</v>
      </c>
      <c r="CD104">
        <f>Model!CL122</f>
        <v>0</v>
      </c>
      <c r="CE104">
        <f>Model!CM122</f>
        <v>0</v>
      </c>
      <c r="CF104">
        <f>Model!CN122</f>
        <v>0</v>
      </c>
      <c r="CG104">
        <f>Model!CO122</f>
        <v>0</v>
      </c>
      <c r="CH104">
        <f>Model!CP122</f>
        <v>0</v>
      </c>
      <c r="CI104">
        <f>Model!CQ122</f>
        <v>0</v>
      </c>
      <c r="CJ104">
        <f>Model!CR122</f>
        <v>0</v>
      </c>
      <c r="CK104">
        <f>Model!CS122</f>
        <v>0</v>
      </c>
      <c r="CL104">
        <f>Model!CT122</f>
        <v>0</v>
      </c>
      <c r="CM104">
        <f>Model!CU122</f>
        <v>0</v>
      </c>
      <c r="CN104">
        <f>Model!CV122</f>
        <v>0</v>
      </c>
      <c r="CO104">
        <f>Model!CW122</f>
        <v>0</v>
      </c>
      <c r="CP104">
        <f>Model!CX122</f>
        <v>0</v>
      </c>
      <c r="CQ104">
        <f>Model!CY122</f>
        <v>0</v>
      </c>
      <c r="CR104">
        <f>Model!DG122</f>
        <v>0</v>
      </c>
      <c r="CS104">
        <f>Model!DH122</f>
        <v>0</v>
      </c>
      <c r="CT104">
        <f>Model!DI122</f>
        <v>0</v>
      </c>
      <c r="CU104">
        <f>Model!DJ122</f>
        <v>0</v>
      </c>
    </row>
    <row r="105" spans="1:99">
      <c r="A105" t="str">
        <f>Model!I123</f>
        <v>GAAP Income Before Taxes</v>
      </c>
      <c r="B105">
        <f>Model!J123</f>
        <v>0</v>
      </c>
      <c r="C105">
        <f>Model!K123</f>
        <v>0</v>
      </c>
      <c r="D105">
        <f>Model!L123</f>
        <v>0</v>
      </c>
      <c r="E105">
        <f>Model!M123</f>
        <v>0</v>
      </c>
      <c r="F105">
        <f>Model!N123</f>
        <v>0</v>
      </c>
      <c r="G105">
        <f>Model!O123</f>
        <v>0</v>
      </c>
      <c r="H105">
        <f>Model!P123</f>
        <v>0</v>
      </c>
      <c r="I105">
        <f>Model!Q123</f>
        <v>0</v>
      </c>
      <c r="J105">
        <f>Model!R123</f>
        <v>0</v>
      </c>
      <c r="K105">
        <f>Model!S123</f>
        <v>0</v>
      </c>
      <c r="L105">
        <f>Model!T123</f>
        <v>0</v>
      </c>
      <c r="M105">
        <f>Model!U123</f>
        <v>0</v>
      </c>
      <c r="N105">
        <f>Model!V123</f>
        <v>0</v>
      </c>
      <c r="O105">
        <f>Model!W123</f>
        <v>0</v>
      </c>
      <c r="P105">
        <f>Model!X123</f>
        <v>0</v>
      </c>
      <c r="Q105">
        <f>Model!Y123</f>
        <v>0</v>
      </c>
      <c r="R105">
        <f>Model!Z123</f>
        <v>0</v>
      </c>
      <c r="S105">
        <f>Model!AA123</f>
        <v>0</v>
      </c>
      <c r="T105">
        <f>Model!AB123</f>
        <v>0</v>
      </c>
      <c r="U105">
        <f>Model!AC123</f>
        <v>0</v>
      </c>
      <c r="V105">
        <f>Model!AD123</f>
        <v>0</v>
      </c>
      <c r="W105">
        <f>Model!AE123</f>
        <v>0</v>
      </c>
      <c r="X105">
        <f>Model!AF123</f>
        <v>0</v>
      </c>
      <c r="Y105">
        <f>Model!AG123</f>
        <v>-0.90600000000000835</v>
      </c>
      <c r="Z105">
        <f>Model!AH123</f>
        <v>18.982000000000006</v>
      </c>
      <c r="AA105">
        <f>Model!AI123</f>
        <v>31.805</v>
      </c>
      <c r="AB105">
        <f>Model!AJ123</f>
        <v>14.659999999999965</v>
      </c>
      <c r="AC105">
        <f>Model!AK123</f>
        <v>12.763000000000041</v>
      </c>
      <c r="AD105">
        <f>Model!AL123</f>
        <v>48.551999999999957</v>
      </c>
      <c r="AE105">
        <f>Model!AM123</f>
        <v>80.22399999999999</v>
      </c>
      <c r="AF105">
        <f>Model!AN123</f>
        <v>45.145000000000017</v>
      </c>
      <c r="AG105">
        <f>Model!AO123</f>
        <v>28.182000000000016</v>
      </c>
      <c r="AH105">
        <f>Model!AP123</f>
        <v>81.538000000000039</v>
      </c>
      <c r="AI105">
        <f>Model!AQ123</f>
        <v>132.72000000000003</v>
      </c>
      <c r="AJ105">
        <f>Model!AR123</f>
        <v>54.155000000000001</v>
      </c>
      <c r="AK105">
        <f>Model!AS123</f>
        <v>40.595000000000013</v>
      </c>
      <c r="AL105">
        <f>Model!AT123</f>
        <v>99.472999999999971</v>
      </c>
      <c r="AM105">
        <f>Model!AU123</f>
        <v>194.095</v>
      </c>
      <c r="AN105">
        <f>Model!AV123</f>
        <v>108.13800000000008</v>
      </c>
      <c r="AO105">
        <f>Model!AW123</f>
        <v>80.827999999999875</v>
      </c>
      <c r="AP105">
        <f>Model!AX123</f>
        <v>166.79999999999984</v>
      </c>
      <c r="AQ105">
        <f>Model!AY123</f>
        <v>320.6989999999999</v>
      </c>
      <c r="AR105">
        <f>Model!AZ123</f>
        <v>182.65800000000004</v>
      </c>
      <c r="AS105">
        <f>Model!BA123</f>
        <v>140.69200000000004</v>
      </c>
      <c r="AT105">
        <f>Model!BB123</f>
        <v>316.59100000000007</v>
      </c>
      <c r="AU105">
        <f>Model!BC123</f>
        <v>611.8520000000002</v>
      </c>
      <c r="AV105">
        <f>Model!BD123</f>
        <v>298.65900000000011</v>
      </c>
      <c r="AW105">
        <f>Model!BE123</f>
        <v>228.995</v>
      </c>
      <c r="AX105">
        <f>Model!BF123</f>
        <v>445.67900000000003</v>
      </c>
      <c r="AY105">
        <f>Model!BG123</f>
        <v>731.17099999999994</v>
      </c>
      <c r="AZ105">
        <f>Model!BH123</f>
        <v>356.02200000000016</v>
      </c>
      <c r="BA105">
        <f>Model!BI123</f>
        <v>290.44199999999995</v>
      </c>
      <c r="BB105">
        <f>Model!BJ123</f>
        <v>535.55700000000002</v>
      </c>
      <c r="BC105">
        <f>Model!BK123</f>
        <v>1020.3509999999994</v>
      </c>
      <c r="BD105">
        <f>Model!BL123</f>
        <v>450.18700000000001</v>
      </c>
      <c r="BE105">
        <f>Model!BM123</f>
        <v>416.05300000000011</v>
      </c>
      <c r="BF105">
        <f>Model!BN123</f>
        <v>715.7650000000001</v>
      </c>
      <c r="BG105">
        <f>Model!BO123</f>
        <v>1305.5890000000002</v>
      </c>
      <c r="BH105">
        <f>Model!BP123</f>
        <v>552.04099999999994</v>
      </c>
      <c r="BI105">
        <f>Model!BQ123</f>
        <v>407.24299999999982</v>
      </c>
      <c r="BJ105">
        <f>Model!BR123</f>
        <v>648.37700000000018</v>
      </c>
      <c r="BK105">
        <f>Model!BS123</f>
        <v>1456.1699999999998</v>
      </c>
      <c r="BL105">
        <f>Model!BT123</f>
        <v>616.52999999999963</v>
      </c>
      <c r="BM105">
        <f>Model!BU123</f>
        <v>460.49299999999954</v>
      </c>
      <c r="BN105">
        <f>Model!BV123</f>
        <v>692.54800000000012</v>
      </c>
      <c r="BO105">
        <f>Model!BW123</f>
        <v>797.53400000000033</v>
      </c>
      <c r="BP105">
        <f>Model!BX123</f>
        <v>762.66299999999967</v>
      </c>
      <c r="BQ105">
        <f>Model!BY123</f>
        <v>527.60999999999979</v>
      </c>
      <c r="BR105">
        <f>Model!BZ123</f>
        <v>864.14400000000046</v>
      </c>
      <c r="BS105">
        <f>Model!CA123</f>
        <v>2066.9110000000005</v>
      </c>
      <c r="BT105">
        <f>Model!CB123</f>
        <v>940.74999999999977</v>
      </c>
      <c r="BU105">
        <f>Model!CC123</f>
        <v>633.50328899676629</v>
      </c>
      <c r="BV105">
        <f>Model!CD123</f>
        <v>1082.7451203363273</v>
      </c>
      <c r="BW105">
        <f>Model!CE123</f>
        <v>2421.894090317031</v>
      </c>
      <c r="BX105">
        <f>Model!CF123</f>
        <v>1240.8086449972868</v>
      </c>
      <c r="BY105">
        <f>Model!CG123</f>
        <v>0</v>
      </c>
      <c r="BZ105">
        <f>Model!CH123</f>
        <v>0</v>
      </c>
      <c r="CA105">
        <f>Model!CI123</f>
        <v>0</v>
      </c>
      <c r="CB105">
        <f>Model!CJ123</f>
        <v>0</v>
      </c>
      <c r="CC105">
        <f>Model!CK123</f>
        <v>0</v>
      </c>
      <c r="CD105">
        <f>Model!CL123</f>
        <v>0</v>
      </c>
      <c r="CE105">
        <f>Model!CM123</f>
        <v>64.541000000000167</v>
      </c>
      <c r="CF105">
        <f>Model!CN123</f>
        <v>186.68399999999977</v>
      </c>
      <c r="CG105">
        <f>Model!CO123</f>
        <v>296.59500000000003</v>
      </c>
      <c r="CH105">
        <f>Model!CP123</f>
        <v>442.3009999999997</v>
      </c>
      <c r="CI105">
        <f>Model!CQ123</f>
        <v>750.98499999999979</v>
      </c>
      <c r="CJ105">
        <f>Model!CR123</f>
        <v>1367.7940000000008</v>
      </c>
      <c r="CK105">
        <f>Model!CS123</f>
        <v>1761.8670000000011</v>
      </c>
      <c r="CL105">
        <f>Model!CT123</f>
        <v>2296.5370000000003</v>
      </c>
      <c r="CM105">
        <f>Model!CU123</f>
        <v>2989.447999999999</v>
      </c>
      <c r="CN105">
        <f>Model!CV123</f>
        <v>3128.3199999999983</v>
      </c>
      <c r="CO105">
        <f>Model!CW123</f>
        <v>2713.2380000000003</v>
      </c>
      <c r="CP105">
        <f>Model!CX123</f>
        <v>4399.4149999999981</v>
      </c>
      <c r="CQ105">
        <f>Model!CY123</f>
        <v>5378.9511446474144</v>
      </c>
      <c r="CR105">
        <f>Model!DG123</f>
        <v>0.33025831343811318</v>
      </c>
      <c r="CS105">
        <f>Model!DH123</f>
        <v>0.18087809125553944</v>
      </c>
      <c r="CT105">
        <f>Model!DI123</f>
        <v>0</v>
      </c>
      <c r="CU105">
        <f>Model!DJ123</f>
        <v>0</v>
      </c>
    </row>
    <row r="106" spans="1:99">
      <c r="A106" t="str">
        <f>Model!I124</f>
        <v>Total Adjusted Income Before Taxes (old non-GAAP method)</v>
      </c>
      <c r="B106">
        <f>Model!J124</f>
        <v>0</v>
      </c>
      <c r="C106">
        <f>Model!K124</f>
        <v>0</v>
      </c>
      <c r="D106">
        <f>Model!L124</f>
        <v>0</v>
      </c>
      <c r="E106">
        <f>Model!M124</f>
        <v>0</v>
      </c>
      <c r="F106">
        <f>Model!N124</f>
        <v>0</v>
      </c>
      <c r="G106">
        <f>Model!O124</f>
        <v>0</v>
      </c>
      <c r="H106">
        <f>Model!P124</f>
        <v>0</v>
      </c>
      <c r="I106">
        <f>Model!Q124</f>
        <v>0</v>
      </c>
      <c r="J106">
        <f>Model!R124</f>
        <v>0</v>
      </c>
      <c r="K106">
        <f>Model!S124</f>
        <v>0</v>
      </c>
      <c r="L106">
        <f>Model!T124</f>
        <v>0</v>
      </c>
      <c r="M106">
        <f>Model!U124</f>
        <v>0</v>
      </c>
      <c r="N106">
        <f>Model!V124</f>
        <v>0</v>
      </c>
      <c r="O106">
        <f>Model!W124</f>
        <v>0</v>
      </c>
      <c r="P106">
        <f>Model!X124</f>
        <v>0</v>
      </c>
      <c r="Q106">
        <f>Model!Y124</f>
        <v>0</v>
      </c>
      <c r="R106">
        <f>Model!Z124</f>
        <v>0</v>
      </c>
      <c r="S106">
        <f>Model!AA124</f>
        <v>0</v>
      </c>
      <c r="T106">
        <f>Model!AB124</f>
        <v>0</v>
      </c>
      <c r="U106">
        <f>Model!AC124</f>
        <v>0</v>
      </c>
      <c r="V106">
        <f>Model!AD124</f>
        <v>0</v>
      </c>
      <c r="W106">
        <f>Model!AE124</f>
        <v>0</v>
      </c>
      <c r="X106">
        <f>Model!AF124</f>
        <v>0</v>
      </c>
      <c r="Y106">
        <f>Model!AG124</f>
        <v>8.099000000000002</v>
      </c>
      <c r="Z106">
        <f>Model!AH124</f>
        <v>28.943000000000005</v>
      </c>
      <c r="AA106">
        <f>Model!AI124</f>
        <v>39.71</v>
      </c>
      <c r="AB106">
        <f>Model!AJ124</f>
        <v>25.726999999999958</v>
      </c>
      <c r="AC106">
        <f>Model!AK124</f>
        <v>19.494000000000035</v>
      </c>
      <c r="AD106">
        <f>Model!AL124</f>
        <v>58.303999999999945</v>
      </c>
      <c r="AE106">
        <f>Model!AM124</f>
        <v>90.35</v>
      </c>
      <c r="AF106">
        <f>Model!AN124</f>
        <v>56.863000000000007</v>
      </c>
      <c r="AG106">
        <f>Model!AO124</f>
        <v>45.626000000000005</v>
      </c>
      <c r="AH106">
        <f>Model!AP124</f>
        <v>98.257000000000033</v>
      </c>
      <c r="AI106">
        <f>Model!AQ124</f>
        <v>150.16300000000004</v>
      </c>
      <c r="AJ106">
        <f>Model!AR124</f>
        <v>71.445999999999984</v>
      </c>
      <c r="AK106">
        <f>Model!AS124</f>
        <v>59.42</v>
      </c>
      <c r="AL106">
        <f>Model!AT124</f>
        <v>121.72599999999998</v>
      </c>
      <c r="AM106">
        <f>Model!AU124</f>
        <v>219.982</v>
      </c>
      <c r="AN106">
        <f>Model!AV124</f>
        <v>128.38300000000007</v>
      </c>
      <c r="AO106">
        <f>Model!AW124</f>
        <v>107.05899999999987</v>
      </c>
      <c r="AP106">
        <f>Model!AX124</f>
        <v>198.15899999999988</v>
      </c>
      <c r="AQ106">
        <f>Model!AY124</f>
        <v>356.42099999999982</v>
      </c>
      <c r="AR106">
        <f>Model!AZ124</f>
        <v>217.47200000000007</v>
      </c>
      <c r="AS106">
        <f>Model!BA124</f>
        <v>168.15100000000001</v>
      </c>
      <c r="AT106">
        <f>Model!BB124</f>
        <v>343.51100000000008</v>
      </c>
      <c r="AU106">
        <f>Model!BC124</f>
        <v>638.7510000000002</v>
      </c>
      <c r="AV106">
        <f>Model!BD124</f>
        <v>337.16200000000009</v>
      </c>
      <c r="AW106">
        <f>Model!BE124</f>
        <v>260.916</v>
      </c>
      <c r="AX106">
        <f>Model!BF124</f>
        <v>482.21999999999997</v>
      </c>
      <c r="AY106">
        <f>Model!BG124</f>
        <v>767.42099999999994</v>
      </c>
      <c r="AZ106">
        <f>Model!BH124</f>
        <v>411.14300000000014</v>
      </c>
      <c r="BA106">
        <f>Model!BI124</f>
        <v>353.09899999999988</v>
      </c>
      <c r="BB106">
        <f>Model!BJ124</f>
        <v>604.39499999999998</v>
      </c>
      <c r="BC106">
        <f>Model!BK124</f>
        <v>1094.1019999999999</v>
      </c>
      <c r="BD106">
        <f>Model!BL124</f>
        <v>556.63299999999992</v>
      </c>
      <c r="BE106">
        <f>Model!BM124</f>
        <v>492.83400000000006</v>
      </c>
      <c r="BF106">
        <f>Model!BN124</f>
        <v>787.80500000000006</v>
      </c>
      <c r="BG106">
        <f>Model!BO124</f>
        <v>1401.7660000000003</v>
      </c>
      <c r="BH106">
        <f>Model!BP124</f>
        <v>681.11999999999989</v>
      </c>
      <c r="BI106">
        <f>Model!BQ124</f>
        <v>503.95299999999986</v>
      </c>
      <c r="BJ106">
        <f>Model!BR124</f>
        <v>766.76900000000012</v>
      </c>
      <c r="BK106">
        <f>Model!BS124</f>
        <v>1558.7209999999998</v>
      </c>
      <c r="BL106">
        <f>Model!BT124</f>
        <v>750.07799999999975</v>
      </c>
      <c r="BM106">
        <f>Model!BU124</f>
        <v>635.18999999999949</v>
      </c>
      <c r="BN106">
        <f>Model!BV124</f>
        <v>819.51600000000019</v>
      </c>
      <c r="BO106">
        <f>Model!BW124</f>
        <v>1850.4830000000004</v>
      </c>
      <c r="BP106">
        <f>Model!BX124</f>
        <v>895.24699999999984</v>
      </c>
      <c r="BQ106">
        <f>Model!BY124</f>
        <v>646.06899999999985</v>
      </c>
      <c r="BR106">
        <f>Model!BZ124</f>
        <v>988.7090000000004</v>
      </c>
      <c r="BS106">
        <f>Model!CA124</f>
        <v>2194.8570000000004</v>
      </c>
      <c r="BT106">
        <f>Model!CB124</f>
        <v>1079.2419999999997</v>
      </c>
      <c r="BU106">
        <f>Model!CC124</f>
        <v>756.67812899676653</v>
      </c>
      <c r="BV106">
        <f>Model!CD124</f>
        <v>1212.6604403363274</v>
      </c>
      <c r="BW106">
        <f>Model!CE124</f>
        <v>2555.1537703170311</v>
      </c>
      <c r="BX106">
        <f>Model!CF124</f>
        <v>1376.5326049972869</v>
      </c>
      <c r="BY106">
        <f>Model!CG124</f>
        <v>0</v>
      </c>
      <c r="BZ106">
        <f>Model!CH124</f>
        <v>0</v>
      </c>
      <c r="CA106">
        <f>Model!CI124</f>
        <v>0</v>
      </c>
      <c r="CB106">
        <f>Model!CJ124</f>
        <v>0</v>
      </c>
      <c r="CC106">
        <f>Model!CK124</f>
        <v>0</v>
      </c>
      <c r="CD106">
        <f>Model!CL124</f>
        <v>0</v>
      </c>
      <c r="CE106">
        <f>Model!CM124</f>
        <v>102.47900000000016</v>
      </c>
      <c r="CF106">
        <f>Model!CN124</f>
        <v>225.01099999999965</v>
      </c>
      <c r="CG106">
        <f>Model!CO124</f>
        <v>365.49200000000002</v>
      </c>
      <c r="CH106">
        <f>Model!CP124</f>
        <v>529.51099999999985</v>
      </c>
      <c r="CI106">
        <f>Model!CQ124</f>
        <v>879.11099999999976</v>
      </c>
      <c r="CJ106">
        <f>Model!CR124</f>
        <v>1487.5750000000005</v>
      </c>
      <c r="CK106">
        <f>Model!CS124</f>
        <v>1921.700000000001</v>
      </c>
      <c r="CL106">
        <f>Model!CT124</f>
        <v>2608.2290000000003</v>
      </c>
      <c r="CM106">
        <f>Model!CU124</f>
        <v>3363.5249999999987</v>
      </c>
      <c r="CN106">
        <f>Model!CV124</f>
        <v>3579.5209999999993</v>
      </c>
      <c r="CO106">
        <f>Model!CW124</f>
        <v>4200.4359999999997</v>
      </c>
      <c r="CP106">
        <f>Model!CX124</f>
        <v>4908.8769999999986</v>
      </c>
      <c r="CQ106">
        <f>Model!CY124</f>
        <v>5901.0249446474127</v>
      </c>
      <c r="CR106">
        <f>Model!DG124</f>
        <v>0.32420810000816092</v>
      </c>
      <c r="CS106">
        <f>Model!DH124</f>
        <v>0.16691229623106807</v>
      </c>
      <c r="CT106">
        <f>Model!DI124</f>
        <v>0</v>
      </c>
      <c r="CU106">
        <f>Model!DJ124</f>
        <v>0</v>
      </c>
    </row>
    <row r="107" spans="1:99">
      <c r="A107">
        <f>Model!I125</f>
        <v>0</v>
      </c>
      <c r="B107">
        <f>Model!J125</f>
        <v>0</v>
      </c>
      <c r="C107">
        <f>Model!K125</f>
        <v>0</v>
      </c>
      <c r="D107">
        <f>Model!L125</f>
        <v>0</v>
      </c>
      <c r="E107">
        <f>Model!M125</f>
        <v>0</v>
      </c>
      <c r="F107">
        <f>Model!N125</f>
        <v>0</v>
      </c>
      <c r="G107">
        <f>Model!O125</f>
        <v>0</v>
      </c>
      <c r="H107">
        <f>Model!P125</f>
        <v>0</v>
      </c>
      <c r="I107">
        <f>Model!Q125</f>
        <v>0</v>
      </c>
      <c r="J107">
        <f>Model!R125</f>
        <v>0</v>
      </c>
      <c r="K107">
        <f>Model!S125</f>
        <v>0</v>
      </c>
      <c r="L107">
        <f>Model!T125</f>
        <v>0</v>
      </c>
      <c r="M107">
        <f>Model!U125</f>
        <v>0</v>
      </c>
      <c r="N107">
        <f>Model!V125</f>
        <v>0</v>
      </c>
      <c r="O107">
        <f>Model!W125</f>
        <v>0</v>
      </c>
      <c r="P107">
        <f>Model!X125</f>
        <v>0</v>
      </c>
      <c r="Q107">
        <f>Model!Y125</f>
        <v>0</v>
      </c>
      <c r="R107">
        <f>Model!Z125</f>
        <v>0</v>
      </c>
      <c r="S107">
        <f>Model!AA125</f>
        <v>0</v>
      </c>
      <c r="T107">
        <f>Model!AB125</f>
        <v>0</v>
      </c>
      <c r="U107">
        <f>Model!AC125</f>
        <v>0</v>
      </c>
      <c r="V107">
        <f>Model!AD125</f>
        <v>0</v>
      </c>
      <c r="W107">
        <f>Model!AE125</f>
        <v>0</v>
      </c>
      <c r="X107">
        <f>Model!AF125</f>
        <v>0</v>
      </c>
      <c r="Y107">
        <f>Model!AG125</f>
        <v>0</v>
      </c>
      <c r="Z107">
        <f>Model!AH125</f>
        <v>0</v>
      </c>
      <c r="AA107">
        <f>Model!AI125</f>
        <v>0</v>
      </c>
      <c r="AB107">
        <f>Model!AJ125</f>
        <v>0</v>
      </c>
      <c r="AC107">
        <f>Model!AK125</f>
        <v>0</v>
      </c>
      <c r="AD107">
        <f>Model!AL125</f>
        <v>0</v>
      </c>
      <c r="AE107">
        <f>Model!AM125</f>
        <v>0</v>
      </c>
      <c r="AF107">
        <f>Model!AN125</f>
        <v>0</v>
      </c>
      <c r="AG107">
        <f>Model!AO125</f>
        <v>0</v>
      </c>
      <c r="AH107">
        <f>Model!AP125</f>
        <v>0</v>
      </c>
      <c r="AI107">
        <f>Model!AQ125</f>
        <v>0</v>
      </c>
      <c r="AJ107">
        <f>Model!AR125</f>
        <v>0</v>
      </c>
      <c r="AK107">
        <f>Model!AS125</f>
        <v>0</v>
      </c>
      <c r="AL107">
        <f>Model!AT125</f>
        <v>0</v>
      </c>
      <c r="AM107">
        <f>Model!AU125</f>
        <v>0</v>
      </c>
      <c r="AN107">
        <f>Model!AV125</f>
        <v>0</v>
      </c>
      <c r="AO107">
        <f>Model!AW125</f>
        <v>0</v>
      </c>
      <c r="AP107">
        <f>Model!AX125</f>
        <v>0</v>
      </c>
      <c r="AQ107">
        <f>Model!AY125</f>
        <v>0</v>
      </c>
      <c r="AR107">
        <f>Model!AZ125</f>
        <v>0</v>
      </c>
      <c r="AS107">
        <f>Model!BA125</f>
        <v>0</v>
      </c>
      <c r="AT107">
        <f>Model!BB125</f>
        <v>0</v>
      </c>
      <c r="AU107">
        <f>Model!BC125</f>
        <v>0</v>
      </c>
      <c r="AV107">
        <f>Model!BD125</f>
        <v>0</v>
      </c>
      <c r="AW107">
        <f>Model!BE125</f>
        <v>0</v>
      </c>
      <c r="AX107">
        <f>Model!BF125</f>
        <v>0</v>
      </c>
      <c r="AY107">
        <f>Model!BG125</f>
        <v>0</v>
      </c>
      <c r="AZ107">
        <f>Model!BH125</f>
        <v>0</v>
      </c>
      <c r="BA107">
        <f>Model!BI125</f>
        <v>0</v>
      </c>
      <c r="BB107">
        <f>Model!BJ125</f>
        <v>0</v>
      </c>
      <c r="BC107">
        <f>Model!BK125</f>
        <v>0</v>
      </c>
      <c r="BD107">
        <f>Model!BL125</f>
        <v>0</v>
      </c>
      <c r="BE107">
        <f>Model!BM125</f>
        <v>0</v>
      </c>
      <c r="BF107">
        <f>Model!BN125</f>
        <v>0</v>
      </c>
      <c r="BG107">
        <f>Model!BO125</f>
        <v>0</v>
      </c>
      <c r="BH107">
        <f>Model!BP125</f>
        <v>0</v>
      </c>
      <c r="BI107">
        <f>Model!BQ125</f>
        <v>0</v>
      </c>
      <c r="BJ107">
        <f>Model!BR125</f>
        <v>0</v>
      </c>
      <c r="BK107">
        <f>Model!BS125</f>
        <v>0</v>
      </c>
      <c r="BL107">
        <f>Model!BT125</f>
        <v>0</v>
      </c>
      <c r="BM107">
        <f>Model!BU125</f>
        <v>0</v>
      </c>
      <c r="BN107">
        <f>Model!BV125</f>
        <v>0</v>
      </c>
      <c r="BO107">
        <f>Model!BW125</f>
        <v>0</v>
      </c>
      <c r="BP107">
        <f>Model!BX125</f>
        <v>0</v>
      </c>
      <c r="BQ107">
        <f>Model!BY125</f>
        <v>0</v>
      </c>
      <c r="BR107">
        <f>Model!BZ125</f>
        <v>0</v>
      </c>
      <c r="BS107">
        <f>Model!CA125</f>
        <v>0</v>
      </c>
      <c r="BT107">
        <f>Model!CB125</f>
        <v>0</v>
      </c>
      <c r="BU107">
        <f>Model!CC125</f>
        <v>0</v>
      </c>
      <c r="BV107">
        <f>Model!CD125</f>
        <v>0</v>
      </c>
      <c r="BW107">
        <f>Model!CE125</f>
        <v>0</v>
      </c>
      <c r="BX107">
        <f>Model!CF125</f>
        <v>0</v>
      </c>
      <c r="BY107">
        <f>Model!CG125</f>
        <v>0</v>
      </c>
      <c r="BZ107">
        <f>Model!CH125</f>
        <v>0</v>
      </c>
      <c r="CA107">
        <f>Model!CI125</f>
        <v>0</v>
      </c>
      <c r="CB107">
        <f>Model!CJ125</f>
        <v>0</v>
      </c>
      <c r="CC107">
        <f>Model!CK125</f>
        <v>0</v>
      </c>
      <c r="CD107">
        <f>Model!CL125</f>
        <v>0</v>
      </c>
      <c r="CE107">
        <f>Model!CM125</f>
        <v>0</v>
      </c>
      <c r="CF107">
        <f>Model!CN125</f>
        <v>0</v>
      </c>
      <c r="CG107">
        <f>Model!CO125</f>
        <v>0</v>
      </c>
      <c r="CH107">
        <f>Model!CP125</f>
        <v>0</v>
      </c>
      <c r="CI107">
        <f>Model!CQ125</f>
        <v>0</v>
      </c>
      <c r="CJ107">
        <f>Model!CR125</f>
        <v>0</v>
      </c>
      <c r="CK107">
        <f>Model!CS125</f>
        <v>0</v>
      </c>
      <c r="CL107">
        <f>Model!CT125</f>
        <v>0</v>
      </c>
      <c r="CM107">
        <f>Model!CU125</f>
        <v>0</v>
      </c>
      <c r="CN107">
        <f>Model!CV125</f>
        <v>0</v>
      </c>
      <c r="CR107">
        <f>Model!DG125</f>
        <v>0</v>
      </c>
      <c r="CS107">
        <f>Model!DH125</f>
        <v>0</v>
      </c>
      <c r="CT107">
        <f>Model!DI125</f>
        <v>0</v>
      </c>
      <c r="CU107">
        <f>Model!DJ125</f>
        <v>0</v>
      </c>
    </row>
    <row r="108" spans="1:99">
      <c r="A108" t="str">
        <f>Model!I128</f>
        <v>Reported Income Taxes</v>
      </c>
      <c r="B108">
        <f>Model!J128</f>
        <v>0</v>
      </c>
      <c r="C108">
        <f>Model!K128</f>
        <v>0</v>
      </c>
      <c r="D108">
        <f>Model!L128</f>
        <v>0</v>
      </c>
      <c r="E108">
        <f>Model!M128</f>
        <v>0</v>
      </c>
      <c r="F108">
        <f>Model!N128</f>
        <v>0</v>
      </c>
      <c r="G108">
        <f>Model!O128</f>
        <v>0</v>
      </c>
      <c r="H108">
        <f>Model!P128</f>
        <v>0</v>
      </c>
      <c r="I108">
        <f>Model!Q128</f>
        <v>0</v>
      </c>
      <c r="J108">
        <f>Model!R128</f>
        <v>0</v>
      </c>
      <c r="K108">
        <f>Model!S128</f>
        <v>0</v>
      </c>
      <c r="L108">
        <f>Model!T128</f>
        <v>0</v>
      </c>
      <c r="M108">
        <f>Model!U128</f>
        <v>0</v>
      </c>
      <c r="N108">
        <f>Model!V128</f>
        <v>0</v>
      </c>
      <c r="O108">
        <f>Model!W128</f>
        <v>0</v>
      </c>
      <c r="P108">
        <f>Model!X128</f>
        <v>0</v>
      </c>
      <c r="Q108">
        <f>Model!Y128</f>
        <v>0</v>
      </c>
      <c r="R108">
        <f>Model!Z128</f>
        <v>0</v>
      </c>
      <c r="S108">
        <f>Model!AA128</f>
        <v>0</v>
      </c>
      <c r="T108">
        <f>Model!AB128</f>
        <v>0</v>
      </c>
      <c r="U108">
        <f>Model!AC128</f>
        <v>0</v>
      </c>
      <c r="V108">
        <f>Model!AD128</f>
        <v>0</v>
      </c>
      <c r="W108">
        <f>Model!AE128</f>
        <v>0</v>
      </c>
      <c r="X108">
        <f>Model!AF128</f>
        <v>0</v>
      </c>
      <c r="Y108">
        <f>Model!AG128</f>
        <v>0.74099999999999999</v>
      </c>
      <c r="Z108">
        <f>Model!AH128</f>
        <v>-5.5780000000000003</v>
      </c>
      <c r="AA108">
        <f>Model!AI128</f>
        <v>18.113</v>
      </c>
      <c r="AB108">
        <f>Model!AJ128</f>
        <v>-0.88900000000000001</v>
      </c>
      <c r="AC108">
        <f>Model!AK128</f>
        <v>11.593</v>
      </c>
      <c r="AD108">
        <f>Model!AL128</f>
        <v>-14.964</v>
      </c>
      <c r="AE108">
        <f>Model!AM128</f>
        <v>26.657</v>
      </c>
      <c r="AF108">
        <f>Model!AN128</f>
        <v>-11.228</v>
      </c>
      <c r="AG108">
        <f>Model!AO128</f>
        <v>-9.5180000000000007</v>
      </c>
      <c r="AH108">
        <f>Model!AP128</f>
        <v>-26.210999999999999</v>
      </c>
      <c r="AI108">
        <f>Model!AQ128</f>
        <v>-42.851999999999997</v>
      </c>
      <c r="AJ108">
        <f>Model!AR128</f>
        <v>-19.962</v>
      </c>
      <c r="AK108">
        <f>Model!AS128</f>
        <v>-15.541</v>
      </c>
      <c r="AL108">
        <f>Model!AT128</f>
        <v>-32.494999999999997</v>
      </c>
      <c r="AM108">
        <f>Model!AU128</f>
        <v>124.887</v>
      </c>
      <c r="AN108">
        <f>Model!AV128</f>
        <v>-29.683</v>
      </c>
      <c r="AO108">
        <f>Model!AW128</f>
        <v>-26.952999999999999</v>
      </c>
      <c r="AP108">
        <f>Model!AX128</f>
        <v>-51.274999999999999</v>
      </c>
      <c r="AQ108">
        <f>Model!AY128</f>
        <v>-94.119</v>
      </c>
      <c r="AR108">
        <f>Model!AZ128</f>
        <v>-45.793999999999997</v>
      </c>
      <c r="AS108">
        <f>Model!BA128</f>
        <v>-36.679000000000002</v>
      </c>
      <c r="AT108">
        <f>Model!BB128</f>
        <v>-60.314</v>
      </c>
      <c r="AU108">
        <f>Model!BC128</f>
        <v>-138.96600000000001</v>
      </c>
      <c r="AV108">
        <f>Model!BD128</f>
        <v>-72.703999999999994</v>
      </c>
      <c r="AW108">
        <f>Model!BE128</f>
        <v>-47.179000000000002</v>
      </c>
      <c r="AX108">
        <f>Model!BF128</f>
        <v>-93.025000000000006</v>
      </c>
      <c r="AY108">
        <f>Model!BG128</f>
        <v>-131.20099999999999</v>
      </c>
      <c r="AZ108">
        <f>Model!BH128</f>
        <v>-66.427000000000007</v>
      </c>
      <c r="BA108">
        <f>Model!BI128</f>
        <v>-46.15</v>
      </c>
      <c r="BB108">
        <f>Model!BJ128</f>
        <v>-98.117000000000004</v>
      </c>
      <c r="BC108">
        <f>Model!BK128</f>
        <v>-187.36199999999999</v>
      </c>
      <c r="BD108">
        <f>Model!BL128</f>
        <v>-72.11</v>
      </c>
      <c r="BE108">
        <f>Model!BM128</f>
        <v>-84.834999999999994</v>
      </c>
      <c r="BF108">
        <f>Model!BN128</f>
        <v>-139.31399999999999</v>
      </c>
      <c r="BG108">
        <f>Model!BO128</f>
        <v>-243.33600000000001</v>
      </c>
      <c r="BH108">
        <f>Model!BP128</f>
        <v>-100.21</v>
      </c>
      <c r="BI108">
        <f>Model!BQ128</f>
        <v>-73.915999999999997</v>
      </c>
      <c r="BJ108">
        <f>Model!BR128</f>
        <v>-131.345</v>
      </c>
      <c r="BK108">
        <f>Model!BS128</f>
        <v>-259.43799999999999</v>
      </c>
      <c r="BL108">
        <f>Model!BT128</f>
        <v>-112.261</v>
      </c>
      <c r="BM108">
        <f>Model!BU128</f>
        <v>-86.069000000000003</v>
      </c>
      <c r="BN108">
        <f>Model!BV128</f>
        <v>-111.91</v>
      </c>
      <c r="BO108">
        <f>Model!BW128</f>
        <v>-291.517</v>
      </c>
      <c r="BP108">
        <f>Model!BX128</f>
        <v>-88.754999999999995</v>
      </c>
      <c r="BQ108">
        <f>Model!BY128</f>
        <v>-71.986999999999995</v>
      </c>
      <c r="BR108">
        <f>Model!BZ128</f>
        <v>-142.90799999999999</v>
      </c>
      <c r="BS108">
        <f>Model!CA128</f>
        <v>-346.45400000000001</v>
      </c>
      <c r="BT108">
        <f>Model!CB128</f>
        <v>-1496.2080000000001</v>
      </c>
      <c r="BU108">
        <f>Model!CC128</f>
        <v>-114.03059201941795</v>
      </c>
      <c r="BV108">
        <f>Model!CD128</f>
        <v>-200.30784726222055</v>
      </c>
      <c r="BW108">
        <f>Model!CE128</f>
        <v>-460.15987716023591</v>
      </c>
      <c r="BX108">
        <f>Model!CF128</f>
        <v>-229.54959932449805</v>
      </c>
      <c r="BY108">
        <f>Model!CG128</f>
        <v>0</v>
      </c>
      <c r="BZ108">
        <f>Model!CH128</f>
        <v>0</v>
      </c>
      <c r="CA108">
        <f>Model!CI128</f>
        <v>0</v>
      </c>
      <c r="CB108">
        <f>Model!CJ128</f>
        <v>0</v>
      </c>
      <c r="CC108">
        <f>Model!CK128</f>
        <v>0</v>
      </c>
      <c r="CD108">
        <f>Model!CL128</f>
        <v>0</v>
      </c>
      <c r="CE108">
        <f>Model!CM128</f>
        <v>12.387</v>
      </c>
      <c r="CF108">
        <f>Model!CN128</f>
        <v>12.058000000000002</v>
      </c>
      <c r="CG108">
        <f>Model!CO128</f>
        <v>-98.542999999999992</v>
      </c>
      <c r="CH108">
        <f>Model!CP128</f>
        <v>47.167999999999999</v>
      </c>
      <c r="CI108">
        <f>Model!CQ128</f>
        <v>-218.14099999999996</v>
      </c>
      <c r="CJ108">
        <f>Model!CR128</f>
        <v>-308.66300000000001</v>
      </c>
      <c r="CK108">
        <f>Model!CS128</f>
        <v>-337.83199999999999</v>
      </c>
      <c r="CL108">
        <f>Model!CT128</f>
        <v>-403.73900000000003</v>
      </c>
      <c r="CM108">
        <f>Model!CU128</f>
        <v>-567.69500000000005</v>
      </c>
      <c r="CN108">
        <f>Model!CV128</f>
        <v>-576.95999999999992</v>
      </c>
      <c r="CO108">
        <f>Model!CW128</f>
        <v>-578.25099999999998</v>
      </c>
      <c r="CP108">
        <f>Model!CX128</f>
        <v>-2057.5569999999998</v>
      </c>
      <c r="CQ108">
        <f>Model!CY128</f>
        <v>-1004.0479157663724</v>
      </c>
      <c r="CR108">
        <f>Model!DG128</f>
        <v>0.21473538076450405</v>
      </c>
      <c r="CS108">
        <f>Model!DH128</f>
        <v>0.19411204957034633</v>
      </c>
      <c r="CT108">
        <f>Model!DI128</f>
        <v>0</v>
      </c>
      <c r="CU108">
        <f>Model!DJ128</f>
        <v>0</v>
      </c>
    </row>
    <row r="109" spans="1:99">
      <c r="A109" t="str">
        <f>Model!I129</f>
        <v>Tax Rate</v>
      </c>
      <c r="B109">
        <f>Model!J129</f>
        <v>0</v>
      </c>
      <c r="C109">
        <f>Model!K129</f>
        <v>0</v>
      </c>
      <c r="D109">
        <f>Model!L129</f>
        <v>0</v>
      </c>
      <c r="E109">
        <f>Model!M129</f>
        <v>0</v>
      </c>
      <c r="F109">
        <f>Model!N129</f>
        <v>0</v>
      </c>
      <c r="G109">
        <f>Model!O129</f>
        <v>0</v>
      </c>
      <c r="H109">
        <f>Model!P129</f>
        <v>0</v>
      </c>
      <c r="I109">
        <f>Model!Q129</f>
        <v>0</v>
      </c>
      <c r="J109">
        <f>Model!R129</f>
        <v>0</v>
      </c>
      <c r="K109">
        <f>Model!S129</f>
        <v>0</v>
      </c>
      <c r="L109">
        <f>Model!T129</f>
        <v>0</v>
      </c>
      <c r="M109">
        <f>Model!U129</f>
        <v>0</v>
      </c>
      <c r="N109">
        <f>Model!V129</f>
        <v>0</v>
      </c>
      <c r="O109">
        <f>Model!W129</f>
        <v>0</v>
      </c>
      <c r="P109">
        <f>Model!X129</f>
        <v>0</v>
      </c>
      <c r="Q109">
        <f>Model!Y129</f>
        <v>0</v>
      </c>
      <c r="R109">
        <f>Model!Z129</f>
        <v>0</v>
      </c>
      <c r="S109">
        <f>Model!AA129</f>
        <v>0</v>
      </c>
      <c r="T109">
        <f>Model!AB129</f>
        <v>0</v>
      </c>
      <c r="U109">
        <f>Model!AC129</f>
        <v>0</v>
      </c>
      <c r="V109">
        <f>Model!AD129</f>
        <v>0</v>
      </c>
      <c r="W109">
        <f>Model!AE129</f>
        <v>0</v>
      </c>
      <c r="X109">
        <f>Model!AF129</f>
        <v>0</v>
      </c>
      <c r="Y109">
        <f>Model!AG129</f>
        <v>0.81788079470197916</v>
      </c>
      <c r="Z109">
        <f>Model!AH129</f>
        <v>0.29385733853124002</v>
      </c>
      <c r="AA109">
        <f>Model!AI129</f>
        <v>-0.56950165068385472</v>
      </c>
      <c r="AB109">
        <f>Model!AJ129</f>
        <v>6.0641200545702739E-2</v>
      </c>
      <c r="AC109">
        <f>Model!AK129</f>
        <v>-0.90832876283005271</v>
      </c>
      <c r="AD109">
        <f>Model!AL129</f>
        <v>0.30820563519525485</v>
      </c>
      <c r="AE109">
        <f>Model!AM129</f>
        <v>-0.33228211009174319</v>
      </c>
      <c r="AF109">
        <f>Model!AN129</f>
        <v>0.24870971314652776</v>
      </c>
      <c r="AG109">
        <f>Model!AO129</f>
        <v>0.33773330494641951</v>
      </c>
      <c r="AH109">
        <f>Model!AP129</f>
        <v>0.32145747994799956</v>
      </c>
      <c r="AI109">
        <f>Model!AQ129</f>
        <v>0.32287522603978291</v>
      </c>
      <c r="AJ109">
        <f>Model!AR129</f>
        <v>0.3686086233958083</v>
      </c>
      <c r="AK109">
        <f>Model!AS129</f>
        <v>0.38283039783224526</v>
      </c>
      <c r="AL109">
        <f>Model!AT129</f>
        <v>0.32667155911654427</v>
      </c>
      <c r="AM109">
        <f>Model!AU129</f>
        <v>-0.64343233983358661</v>
      </c>
      <c r="AN109">
        <f>Model!AV129</f>
        <v>0.27449185300264456</v>
      </c>
      <c r="AO109">
        <f>Model!AW129</f>
        <v>0.33346117681991438</v>
      </c>
      <c r="AP109">
        <f>Model!AX129</f>
        <v>0.30740407673860942</v>
      </c>
      <c r="AQ109">
        <f>Model!AY129</f>
        <v>0.29348080287122824</v>
      </c>
      <c r="AR109">
        <f>Model!AZ129</f>
        <v>0.2507089752433509</v>
      </c>
      <c r="AS109">
        <f>Model!BA129</f>
        <v>0.2607042333608165</v>
      </c>
      <c r="AT109">
        <f>Model!BB129</f>
        <v>0.19051078520867615</v>
      </c>
      <c r="AU109">
        <f>Model!BC129</f>
        <v>0.22712355275458765</v>
      </c>
      <c r="AV109">
        <f>Model!BD129</f>
        <v>0.24343482031346775</v>
      </c>
      <c r="AW109">
        <f>Model!BE129</f>
        <v>0.20602633245267366</v>
      </c>
      <c r="AX109">
        <f>Model!BF129</f>
        <v>0.2087264600755252</v>
      </c>
      <c r="AY109">
        <f>Model!BG129</f>
        <v>0.17943955654696372</v>
      </c>
      <c r="AZ109">
        <f>Model!BH129</f>
        <v>0.18658116633241759</v>
      </c>
      <c r="BA109">
        <f>Model!BI129</f>
        <v>0.15889575199179184</v>
      </c>
      <c r="BB109">
        <f>Model!BJ129</f>
        <v>0.18320552247473193</v>
      </c>
      <c r="BC109">
        <f>Model!BK129</f>
        <v>0.18362504667511484</v>
      </c>
      <c r="BD109">
        <f>Model!BL129</f>
        <v>0.16017788163585353</v>
      </c>
      <c r="BE109">
        <f>Model!BM129</f>
        <v>0.20390431026816289</v>
      </c>
      <c r="BF109">
        <f>Model!BN129</f>
        <v>0.19463650779236197</v>
      </c>
      <c r="BG109">
        <f>Model!BO129</f>
        <v>0.18638024676984868</v>
      </c>
      <c r="BH109">
        <f>Model!BP129</f>
        <v>0.18152637213540299</v>
      </c>
      <c r="BI109">
        <f>Model!BQ129</f>
        <v>0.18150342670101149</v>
      </c>
      <c r="BJ109">
        <f>Model!BR129</f>
        <v>0.20257504507408491</v>
      </c>
      <c r="BK109">
        <f>Model!BS129</f>
        <v>0.17816463737063667</v>
      </c>
      <c r="BL109">
        <f>Model!BT129</f>
        <v>0.18208521888634788</v>
      </c>
      <c r="BM109">
        <f>Model!BU129</f>
        <v>0.18690620704332114</v>
      </c>
      <c r="BN109">
        <f>Model!BV129</f>
        <v>0.16159168750758068</v>
      </c>
      <c r="BO109">
        <f>Model!BW129</f>
        <v>0.36552297456910915</v>
      </c>
      <c r="BP109">
        <f>Model!BX129</f>
        <v>0.11637512243284391</v>
      </c>
      <c r="BQ109">
        <f>Model!BY129</f>
        <v>0.13849373468160744</v>
      </c>
      <c r="BR109">
        <f>Model!BZ129</f>
        <v>0.16280176388271145</v>
      </c>
      <c r="BS109">
        <f>Model!CA129</f>
        <v>0.16298053594282369</v>
      </c>
      <c r="BT109">
        <f>Model!CB129</f>
        <v>1.5904416688812122</v>
      </c>
      <c r="BU109">
        <f>Model!CC129</f>
        <v>0.18000000000000002</v>
      </c>
      <c r="BV109">
        <f>Model!CD129</f>
        <v>0.185</v>
      </c>
      <c r="BW109">
        <f>Model!CE129</f>
        <v>0.19</v>
      </c>
      <c r="BX109">
        <f>Model!CF129</f>
        <v>0.185</v>
      </c>
      <c r="BY109">
        <f>Model!CG129</f>
        <v>0</v>
      </c>
      <c r="BZ109">
        <f>Model!CH129</f>
        <v>0</v>
      </c>
      <c r="CA109">
        <f>Model!CI129</f>
        <v>0</v>
      </c>
      <c r="CB109">
        <f>Model!CJ129</f>
        <v>0</v>
      </c>
      <c r="CC109">
        <f>Model!CK129</f>
        <v>0</v>
      </c>
      <c r="CD109">
        <f>Model!CL129</f>
        <v>0</v>
      </c>
      <c r="CE109">
        <f>Model!CM129</f>
        <v>-0.1919245131001994</v>
      </c>
      <c r="CF109">
        <f>Model!CN129</f>
        <v>-6.4590430888560438E-2</v>
      </c>
      <c r="CG109">
        <f>Model!CO129</f>
        <v>0.33224767780980791</v>
      </c>
      <c r="CH109">
        <f>Model!CP129</f>
        <v>-0.10664230919667834</v>
      </c>
      <c r="CI109">
        <f>Model!CQ129</f>
        <v>0.2904731785588261</v>
      </c>
      <c r="CJ109">
        <f>Model!CR129</f>
        <v>0.22566482964539969</v>
      </c>
      <c r="CK109">
        <f>Model!CS129</f>
        <v>0.19174659608245104</v>
      </c>
      <c r="CL109">
        <f>Model!CT129</f>
        <v>0.17580339441515638</v>
      </c>
      <c r="CM109">
        <f>Model!CU129</f>
        <v>0.18989960688394655</v>
      </c>
      <c r="CN109">
        <f>Model!CV129</f>
        <v>0.18443126022913264</v>
      </c>
      <c r="CO109">
        <f>Model!CW129</f>
        <v>0.21312210723865724</v>
      </c>
      <c r="CP109">
        <f>Model!CX129</f>
        <v>0.46768877225722072</v>
      </c>
      <c r="CQ109">
        <f>Model!CY129</f>
        <v>0.18666239732731146</v>
      </c>
      <c r="CR109">
        <f>Model!DG129</f>
        <v>0</v>
      </c>
      <c r="CS109">
        <f>Model!DH129</f>
        <v>0</v>
      </c>
      <c r="CT109">
        <f>Model!DI129</f>
        <v>0</v>
      </c>
      <c r="CU109">
        <f>Model!DJ129</f>
        <v>0</v>
      </c>
    </row>
    <row r="110" spans="1:99">
      <c r="A110">
        <f>Model!I130</f>
        <v>0</v>
      </c>
      <c r="B110">
        <f>Model!J130</f>
        <v>0</v>
      </c>
      <c r="C110">
        <f>Model!K130</f>
        <v>0</v>
      </c>
      <c r="D110">
        <f>Model!L130</f>
        <v>0</v>
      </c>
      <c r="E110">
        <f>Model!M130</f>
        <v>0</v>
      </c>
      <c r="F110">
        <f>Model!N130</f>
        <v>0</v>
      </c>
      <c r="G110">
        <f>Model!O130</f>
        <v>0</v>
      </c>
      <c r="H110">
        <f>Model!P130</f>
        <v>0</v>
      </c>
      <c r="I110">
        <f>Model!Q130</f>
        <v>0</v>
      </c>
      <c r="J110">
        <f>Model!R130</f>
        <v>0</v>
      </c>
      <c r="K110">
        <f>Model!S130</f>
        <v>0</v>
      </c>
      <c r="L110">
        <f>Model!T130</f>
        <v>0</v>
      </c>
      <c r="M110">
        <f>Model!U130</f>
        <v>0</v>
      </c>
      <c r="N110">
        <f>Model!V130</f>
        <v>0</v>
      </c>
      <c r="O110">
        <f>Model!W130</f>
        <v>0</v>
      </c>
      <c r="P110">
        <f>Model!X130</f>
        <v>0</v>
      </c>
      <c r="Q110">
        <f>Model!Y130</f>
        <v>0</v>
      </c>
      <c r="R110">
        <f>Model!Z130</f>
        <v>0</v>
      </c>
      <c r="S110">
        <f>Model!AA130</f>
        <v>0</v>
      </c>
      <c r="T110">
        <f>Model!AB130</f>
        <v>0</v>
      </c>
      <c r="U110">
        <f>Model!AC130</f>
        <v>0</v>
      </c>
      <c r="V110">
        <f>Model!AD130</f>
        <v>0</v>
      </c>
      <c r="W110">
        <f>Model!AE130</f>
        <v>0</v>
      </c>
      <c r="X110">
        <f>Model!AF130</f>
        <v>0</v>
      </c>
      <c r="Y110">
        <f>Model!AG130</f>
        <v>0</v>
      </c>
      <c r="Z110">
        <f>Model!AH130</f>
        <v>0</v>
      </c>
      <c r="AA110">
        <f>Model!AI130</f>
        <v>0</v>
      </c>
      <c r="AB110">
        <f>Model!AJ130</f>
        <v>0</v>
      </c>
      <c r="AC110">
        <f>Model!AK130</f>
        <v>0</v>
      </c>
      <c r="AD110">
        <f>Model!AL130</f>
        <v>0</v>
      </c>
      <c r="AE110">
        <f>Model!AM130</f>
        <v>0</v>
      </c>
      <c r="AF110">
        <f>Model!AN130</f>
        <v>0</v>
      </c>
      <c r="AG110">
        <f>Model!AO130</f>
        <v>0</v>
      </c>
      <c r="AH110">
        <f>Model!AP130</f>
        <v>0</v>
      </c>
      <c r="AI110">
        <f>Model!AQ130</f>
        <v>0</v>
      </c>
      <c r="AJ110">
        <f>Model!AR130</f>
        <v>0</v>
      </c>
      <c r="AK110">
        <f>Model!AS130</f>
        <v>0</v>
      </c>
      <c r="AL110">
        <f>Model!AT130</f>
        <v>0</v>
      </c>
      <c r="AM110">
        <f>Model!AU130</f>
        <v>0</v>
      </c>
      <c r="AN110">
        <f>Model!AV130</f>
        <v>0</v>
      </c>
      <c r="AO110">
        <f>Model!AW130</f>
        <v>0</v>
      </c>
      <c r="AP110">
        <f>Model!AX130</f>
        <v>0</v>
      </c>
      <c r="AQ110">
        <f>Model!AY130</f>
        <v>0</v>
      </c>
      <c r="AR110">
        <f>Model!AZ130</f>
        <v>0</v>
      </c>
      <c r="AS110">
        <f>Model!BA130</f>
        <v>0</v>
      </c>
      <c r="AT110">
        <f>Model!BB130</f>
        <v>0</v>
      </c>
      <c r="AU110">
        <f>Model!BC130</f>
        <v>0</v>
      </c>
      <c r="AV110">
        <f>Model!BD130</f>
        <v>0</v>
      </c>
      <c r="AW110">
        <f>Model!BE130</f>
        <v>0</v>
      </c>
      <c r="AX110">
        <f>Model!BF130</f>
        <v>0</v>
      </c>
      <c r="AY110">
        <f>Model!BG130</f>
        <v>0</v>
      </c>
      <c r="AZ110">
        <f>Model!BH130</f>
        <v>0</v>
      </c>
      <c r="BA110">
        <f>Model!BI130</f>
        <v>0</v>
      </c>
      <c r="BB110">
        <f>Model!BJ130</f>
        <v>0</v>
      </c>
      <c r="BC110">
        <f>Model!BK130</f>
        <v>0</v>
      </c>
      <c r="BD110">
        <f>Model!BL130</f>
        <v>0</v>
      </c>
      <c r="BE110">
        <f>Model!BM130</f>
        <v>0</v>
      </c>
      <c r="BF110">
        <f>Model!BN130</f>
        <v>0</v>
      </c>
      <c r="BG110">
        <f>Model!BO130</f>
        <v>0</v>
      </c>
      <c r="BH110">
        <f>Model!BP130</f>
        <v>0</v>
      </c>
      <c r="BI110">
        <f>Model!BQ130</f>
        <v>0</v>
      </c>
      <c r="BJ110">
        <f>Model!BR130</f>
        <v>0</v>
      </c>
      <c r="BK110">
        <f>Model!BS130</f>
        <v>0</v>
      </c>
      <c r="BL110">
        <f>Model!BT130</f>
        <v>0</v>
      </c>
      <c r="BM110">
        <f>Model!BU130</f>
        <v>0</v>
      </c>
      <c r="BN110">
        <f>Model!BV130</f>
        <v>0</v>
      </c>
      <c r="BO110">
        <f>Model!BW130</f>
        <v>0</v>
      </c>
      <c r="BP110">
        <f>Model!BX130</f>
        <v>0</v>
      </c>
      <c r="BQ110">
        <f>Model!BY130</f>
        <v>0</v>
      </c>
      <c r="BR110">
        <f>Model!BZ130</f>
        <v>0</v>
      </c>
      <c r="BS110">
        <f>Model!CA130</f>
        <v>0</v>
      </c>
      <c r="BT110">
        <f>Model!CB130</f>
        <v>0</v>
      </c>
      <c r="BU110">
        <f>Model!CC130</f>
        <v>0</v>
      </c>
      <c r="BV110">
        <f>Model!CD130</f>
        <v>0</v>
      </c>
      <c r="BW110">
        <f>Model!CE130</f>
        <v>0</v>
      </c>
      <c r="BX110">
        <f>Model!CF130</f>
        <v>0</v>
      </c>
      <c r="BY110">
        <f>Model!CG130</f>
        <v>0</v>
      </c>
      <c r="BZ110">
        <f>Model!CH130</f>
        <v>0</v>
      </c>
      <c r="CA110">
        <f>Model!CI130</f>
        <v>0</v>
      </c>
      <c r="CB110">
        <f>Model!CJ130</f>
        <v>0</v>
      </c>
      <c r="CC110">
        <f>Model!CK130</f>
        <v>0</v>
      </c>
      <c r="CD110">
        <f>Model!CL130</f>
        <v>0</v>
      </c>
      <c r="CE110">
        <f>Model!CM130</f>
        <v>0</v>
      </c>
      <c r="CF110">
        <f>Model!CN130</f>
        <v>0</v>
      </c>
      <c r="CG110">
        <f>Model!CO130</f>
        <v>0</v>
      </c>
      <c r="CH110">
        <f>Model!CP130</f>
        <v>0</v>
      </c>
      <c r="CI110">
        <f>Model!CQ130</f>
        <v>0</v>
      </c>
      <c r="CJ110">
        <f>Model!CR130</f>
        <v>0</v>
      </c>
      <c r="CK110">
        <f>Model!CS130</f>
        <v>0</v>
      </c>
      <c r="CL110">
        <f>Model!CT130</f>
        <v>0</v>
      </c>
      <c r="CM110">
        <f>Model!CU130</f>
        <v>0</v>
      </c>
      <c r="CN110">
        <f>Model!CV130</f>
        <v>0</v>
      </c>
      <c r="CO110">
        <f>Model!CW130</f>
        <v>0</v>
      </c>
      <c r="CP110">
        <f>Model!CX130</f>
        <v>0</v>
      </c>
      <c r="CQ110">
        <f>Model!CY130</f>
        <v>0</v>
      </c>
      <c r="CR110">
        <f>Model!DG130</f>
        <v>0</v>
      </c>
      <c r="CS110">
        <f>Model!DH130</f>
        <v>0</v>
      </c>
      <c r="CT110">
        <f>Model!DI130</f>
        <v>0</v>
      </c>
      <c r="CU110">
        <f>Model!DJ130</f>
        <v>0</v>
      </c>
    </row>
    <row r="111" spans="1:99">
      <c r="A111" t="str">
        <f>Model!I134</f>
        <v>Adjusted Taxes (under old non-GAAP method)</v>
      </c>
      <c r="B111">
        <f>Model!J134</f>
        <v>0</v>
      </c>
      <c r="C111">
        <f>Model!K134</f>
        <v>0</v>
      </c>
      <c r="D111">
        <f>Model!L134</f>
        <v>0</v>
      </c>
      <c r="E111">
        <f>Model!M134</f>
        <v>0</v>
      </c>
      <c r="F111">
        <f>Model!N134</f>
        <v>0</v>
      </c>
      <c r="G111">
        <f>Model!O134</f>
        <v>0</v>
      </c>
      <c r="H111">
        <f>Model!P134</f>
        <v>0</v>
      </c>
      <c r="I111">
        <f>Model!Q134</f>
        <v>0</v>
      </c>
      <c r="J111">
        <f>Model!R134</f>
        <v>0</v>
      </c>
      <c r="K111">
        <f>Model!S134</f>
        <v>0</v>
      </c>
      <c r="L111">
        <f>Model!T134</f>
        <v>0</v>
      </c>
      <c r="M111">
        <f>Model!U134</f>
        <v>0</v>
      </c>
      <c r="N111">
        <f>Model!V134</f>
        <v>0</v>
      </c>
      <c r="O111">
        <f>Model!W134</f>
        <v>0</v>
      </c>
      <c r="P111">
        <f>Model!X134</f>
        <v>0</v>
      </c>
      <c r="Q111">
        <f>Model!Y134</f>
        <v>0</v>
      </c>
      <c r="R111">
        <f>Model!Z134</f>
        <v>0</v>
      </c>
      <c r="S111">
        <f>Model!AA134</f>
        <v>0</v>
      </c>
      <c r="T111">
        <f>Model!AB134</f>
        <v>0</v>
      </c>
      <c r="U111">
        <f>Model!AC134</f>
        <v>0</v>
      </c>
      <c r="V111">
        <f>Model!AD134</f>
        <v>0</v>
      </c>
      <c r="W111">
        <f>Model!AE134</f>
        <v>0</v>
      </c>
      <c r="X111">
        <f>Model!AF134</f>
        <v>0</v>
      </c>
      <c r="Y111">
        <f>Model!AG134</f>
        <v>-0.34900000000000009</v>
      </c>
      <c r="Z111">
        <f>Model!AH134</f>
        <v>-4.6750000000000007</v>
      </c>
      <c r="AA111">
        <f>Model!AI134</f>
        <v>-7.9750000000000014</v>
      </c>
      <c r="AB111">
        <f>Model!AJ134</f>
        <v>-2.6630000000000003</v>
      </c>
      <c r="AC111">
        <f>Model!AK134</f>
        <v>-1.7100000000000009</v>
      </c>
      <c r="AD111">
        <f>Model!AL134</f>
        <v>-9.3640000000000008</v>
      </c>
      <c r="AE111">
        <f>Model!AM134</f>
        <v>-16.089000000000002</v>
      </c>
      <c r="AF111">
        <f>Model!AN134</f>
        <v>-9.5090000000000003</v>
      </c>
      <c r="AG111">
        <f>Model!AO134</f>
        <v>-7.4430000000000005</v>
      </c>
      <c r="AH111">
        <f>Model!AP134</f>
        <v>-18.302999999999997</v>
      </c>
      <c r="AI111">
        <f>Model!AQ134</f>
        <v>-31.231999999999999</v>
      </c>
      <c r="AJ111">
        <f>Model!AR134</f>
        <v>-13.17</v>
      </c>
      <c r="AK111">
        <f>Model!AS134</f>
        <v>-8.109</v>
      </c>
      <c r="AL111">
        <f>Model!AT134</f>
        <v>-22.777999999999999</v>
      </c>
      <c r="AM111">
        <f>Model!AU134</f>
        <v>-46.641999999999996</v>
      </c>
      <c r="AN111">
        <f>Model!AV134</f>
        <v>-26.734000000000002</v>
      </c>
      <c r="AO111">
        <f>Model!AW134</f>
        <v>-19.823</v>
      </c>
      <c r="AP111">
        <f>Model!AX134</f>
        <v>-39.957999999999998</v>
      </c>
      <c r="AQ111">
        <f>Model!AY134</f>
        <v>-81.837999999999994</v>
      </c>
      <c r="AR111">
        <f>Model!AZ134</f>
        <v>-42.160999999999994</v>
      </c>
      <c r="AS111">
        <f>Model!BA134</f>
        <v>-31.232000000000003</v>
      </c>
      <c r="AT111">
        <f>Model!BB134</f>
        <v>-60.585000000000001</v>
      </c>
      <c r="AU111">
        <f>Model!BC134</f>
        <v>-122.64100000000001</v>
      </c>
      <c r="AV111">
        <f>Model!BD134</f>
        <v>-59.657999999999994</v>
      </c>
      <c r="AW111">
        <f>Model!BE134</f>
        <v>-39.754000000000005</v>
      </c>
      <c r="AX111">
        <f>Model!BF134</f>
        <v>-76.978000000000009</v>
      </c>
      <c r="AY111">
        <f>Model!BG134</f>
        <v>-125.67399999999999</v>
      </c>
      <c r="AZ111">
        <f>Model!BH134</f>
        <v>-61.799000000000007</v>
      </c>
      <c r="BA111">
        <f>Model!BI134</f>
        <v>-55.454000000000001</v>
      </c>
      <c r="BB111">
        <f>Model!BJ134</f>
        <v>-95.978999999999999</v>
      </c>
      <c r="BC111">
        <f>Model!BK134</f>
        <v>-174.011</v>
      </c>
      <c r="BD111">
        <f>Model!BL134</f>
        <v>-85.516000000000005</v>
      </c>
      <c r="BE111">
        <f>Model!BM134</f>
        <v>-76.355999999999995</v>
      </c>
      <c r="BF111">
        <f>Model!BN134</f>
        <v>-120.70499999999998</v>
      </c>
      <c r="BG111">
        <f>Model!BO134</f>
        <v>-219.32000000000002</v>
      </c>
      <c r="BH111">
        <f>Model!BP134</f>
        <v>-104.443</v>
      </c>
      <c r="BI111">
        <f>Model!BQ134</f>
        <v>-75.426000000000002</v>
      </c>
      <c r="BJ111">
        <f>Model!BR134</f>
        <v>-113.78700000000001</v>
      </c>
      <c r="BK111">
        <f>Model!BS134</f>
        <v>-254.47899999999998</v>
      </c>
      <c r="BL111">
        <f>Model!BT134</f>
        <v>-109.11099999999999</v>
      </c>
      <c r="BM111">
        <f>Model!BU134</f>
        <v>-102.706</v>
      </c>
      <c r="BN111">
        <f>Model!BV134</f>
        <v>-116.887</v>
      </c>
      <c r="BO111">
        <f>Model!BW134</f>
        <v>-281.64</v>
      </c>
      <c r="BP111">
        <f>Model!BX134</f>
        <v>-107.42963999999998</v>
      </c>
      <c r="BQ111">
        <f>Model!BY134</f>
        <v>-86.24616367201142</v>
      </c>
      <c r="BR111">
        <f>Model!BZ134</f>
        <v>-151.07647916671183</v>
      </c>
      <c r="BS111">
        <f>Model!CA134</f>
        <v>-324.79611517785827</v>
      </c>
      <c r="BT111">
        <f>Model!CB134</f>
        <v>-159.87055728294638</v>
      </c>
      <c r="BU111">
        <f>Model!CC134</f>
        <v>-132.41867257443417</v>
      </c>
      <c r="BV111">
        <f>Model!CD134</f>
        <v>-212.21557705885732</v>
      </c>
      <c r="BW111">
        <f>Model!CE134</f>
        <v>-447.1519098054805</v>
      </c>
      <c r="BX111">
        <f>Model!CF134</f>
        <v>-240.89320587452522</v>
      </c>
      <c r="BY111">
        <f>Model!CG134</f>
        <v>0</v>
      </c>
      <c r="BZ111">
        <f>Model!CH134</f>
        <v>0</v>
      </c>
      <c r="CA111">
        <f>Model!CI134</f>
        <v>0</v>
      </c>
      <c r="CB111">
        <f>Model!CJ134</f>
        <v>0</v>
      </c>
      <c r="CC111">
        <f>Model!CK134</f>
        <v>0</v>
      </c>
      <c r="CD111">
        <f>Model!CL134</f>
        <v>0</v>
      </c>
      <c r="CE111">
        <f>Model!CM134</f>
        <v>-15.662000000000003</v>
      </c>
      <c r="CF111">
        <f>Model!CN134</f>
        <v>-36.672000000000004</v>
      </c>
      <c r="CG111">
        <f>Model!CO134</f>
        <v>-70.147999999999996</v>
      </c>
      <c r="CH111">
        <f>Model!CP134</f>
        <v>-104.26300000000001</v>
      </c>
      <c r="CI111">
        <f>Model!CQ134</f>
        <v>-183.78</v>
      </c>
      <c r="CJ111">
        <f>Model!CR134</f>
        <v>-274.11600000000004</v>
      </c>
      <c r="CK111">
        <f>Model!CS134</f>
        <v>-304.20500000000004</v>
      </c>
      <c r="CL111">
        <f>Model!CT134</f>
        <v>-410.96</v>
      </c>
      <c r="CM111">
        <f>Model!CU134</f>
        <v>-520.82399999999996</v>
      </c>
      <c r="CN111">
        <f>Model!CV134</f>
        <v>-552.803</v>
      </c>
      <c r="CO111">
        <f>Model!CW134</f>
        <v>-608.66264000000001</v>
      </c>
      <c r="CP111">
        <f>Model!CX134</f>
        <v>-721.9893152995279</v>
      </c>
      <c r="CQ111">
        <f>Model!CY134</f>
        <v>-1032.6793653132972</v>
      </c>
      <c r="CR111">
        <f>Model!DG134</f>
        <v>0.24639135714630878</v>
      </c>
      <c r="CS111">
        <f>Model!DH134</f>
        <v>0.19645599635849975</v>
      </c>
      <c r="CT111">
        <f>Model!DI134</f>
        <v>0</v>
      </c>
      <c r="CU111">
        <f>Model!DJ134</f>
        <v>0</v>
      </c>
    </row>
    <row r="112" spans="1:99">
      <c r="A112" t="str">
        <f>Model!I135</f>
        <v>Tax Rate</v>
      </c>
      <c r="B112">
        <f>Model!J135</f>
        <v>0</v>
      </c>
      <c r="C112">
        <f>Model!K135</f>
        <v>0</v>
      </c>
      <c r="D112">
        <f>Model!L135</f>
        <v>0</v>
      </c>
      <c r="E112">
        <f>Model!M135</f>
        <v>0</v>
      </c>
      <c r="F112">
        <f>Model!N135</f>
        <v>0</v>
      </c>
      <c r="G112">
        <f>Model!O135</f>
        <v>0</v>
      </c>
      <c r="H112">
        <f>Model!P135</f>
        <v>0</v>
      </c>
      <c r="I112">
        <f>Model!Q135</f>
        <v>0</v>
      </c>
      <c r="J112">
        <f>Model!R135</f>
        <v>0</v>
      </c>
      <c r="K112">
        <f>Model!S135</f>
        <v>0</v>
      </c>
      <c r="L112">
        <f>Model!T135</f>
        <v>0</v>
      </c>
      <c r="M112">
        <f>Model!U135</f>
        <v>0</v>
      </c>
      <c r="N112">
        <f>Model!V135</f>
        <v>0</v>
      </c>
      <c r="O112">
        <f>Model!W135</f>
        <v>0</v>
      </c>
      <c r="P112">
        <f>Model!X135</f>
        <v>0</v>
      </c>
      <c r="Q112">
        <f>Model!Y135</f>
        <v>0</v>
      </c>
      <c r="R112">
        <f>Model!Z135</f>
        <v>0</v>
      </c>
      <c r="S112">
        <f>Model!AA135</f>
        <v>0</v>
      </c>
      <c r="T112">
        <f>Model!AB135</f>
        <v>0</v>
      </c>
      <c r="U112">
        <f>Model!AC135</f>
        <v>0</v>
      </c>
      <c r="V112">
        <f>Model!AD135</f>
        <v>0</v>
      </c>
      <c r="W112">
        <f>Model!AE135</f>
        <v>0</v>
      </c>
      <c r="X112">
        <f>Model!AF135</f>
        <v>0</v>
      </c>
      <c r="Y112">
        <f>Model!AG135</f>
        <v>4.3091739720953204E-2</v>
      </c>
      <c r="Z112">
        <f>Model!AH135</f>
        <v>0.16152437549666585</v>
      </c>
      <c r="AA112">
        <f>Model!AI135</f>
        <v>0.20083102493074795</v>
      </c>
      <c r="AB112">
        <f>Model!AJ135</f>
        <v>0.10350993120068429</v>
      </c>
      <c r="AC112">
        <f>Model!AK135</f>
        <v>8.7719298245613919E-2</v>
      </c>
      <c r="AD112">
        <f>Model!AL135</f>
        <v>0.16060647639956108</v>
      </c>
      <c r="AE112">
        <f>Model!AM135</f>
        <v>0.17807415605976762</v>
      </c>
      <c r="AF112">
        <f>Model!AN135</f>
        <v>0.16722649174331286</v>
      </c>
      <c r="AG112">
        <f>Model!AO135</f>
        <v>0.16313067110857843</v>
      </c>
      <c r="AH112">
        <f>Model!AP135</f>
        <v>0.18627680470602595</v>
      </c>
      <c r="AI112">
        <f>Model!AQ135</f>
        <v>0.20798732044511625</v>
      </c>
      <c r="AJ112">
        <f>Model!AR135</f>
        <v>0.18433502225456994</v>
      </c>
      <c r="AK112">
        <f>Model!AS135</f>
        <v>0.13646920228879164</v>
      </c>
      <c r="AL112">
        <f>Model!AT135</f>
        <v>0.18712518278757209</v>
      </c>
      <c r="AM112">
        <f>Model!AU135</f>
        <v>0.21202643852678854</v>
      </c>
      <c r="AN112">
        <f>Model!AV135</f>
        <v>0.2082362929671373</v>
      </c>
      <c r="AO112">
        <f>Model!AW135</f>
        <v>0.18515958490178336</v>
      </c>
      <c r="AP112">
        <f>Model!AX135</f>
        <v>0.20164615283686343</v>
      </c>
      <c r="AQ112">
        <f>Model!AY135</f>
        <v>0.22961048871980055</v>
      </c>
      <c r="AR112">
        <f>Model!AZ135</f>
        <v>0.1938686359623307</v>
      </c>
      <c r="AS112">
        <f>Model!BA135</f>
        <v>0.18573781898412736</v>
      </c>
      <c r="AT112">
        <f>Model!BB135</f>
        <v>0.17636989790719945</v>
      </c>
      <c r="AU112">
        <f>Model!BC135</f>
        <v>0.19200126496866535</v>
      </c>
      <c r="AV112">
        <f>Model!BD135</f>
        <v>0.17694164822844799</v>
      </c>
      <c r="AW112">
        <f>Model!BE135</f>
        <v>0.15236321268147604</v>
      </c>
      <c r="AX112">
        <f>Model!BF135</f>
        <v>0.1596325328688151</v>
      </c>
      <c r="AY112">
        <f>Model!BG135</f>
        <v>0.16376148163784937</v>
      </c>
      <c r="AZ112">
        <f>Model!BH135</f>
        <v>0.15031023269276136</v>
      </c>
      <c r="BA112">
        <f>Model!BI135</f>
        <v>0.15704943939235178</v>
      </c>
      <c r="BB112">
        <f>Model!BJ135</f>
        <v>0.15880177698359516</v>
      </c>
      <c r="BC112">
        <f>Model!BK135</f>
        <v>0.1590445863365573</v>
      </c>
      <c r="BD112">
        <f>Model!BL135</f>
        <v>0.15363084833274351</v>
      </c>
      <c r="BE112">
        <f>Model!BM135</f>
        <v>0.15493249248225566</v>
      </c>
      <c r="BF112">
        <f>Model!BN135</f>
        <v>0.15321684934723692</v>
      </c>
      <c r="BG112">
        <f>Model!BO135</f>
        <v>0.15645978002034575</v>
      </c>
      <c r="BH112">
        <f>Model!BP135</f>
        <v>0.15334008691566833</v>
      </c>
      <c r="BI112">
        <f>Model!BQ135</f>
        <v>0.14966871910674215</v>
      </c>
      <c r="BJ112">
        <f>Model!BR135</f>
        <v>0.14839801817757367</v>
      </c>
      <c r="BK112">
        <f>Model!BS135</f>
        <v>0.16326141753399101</v>
      </c>
      <c r="BL112">
        <f>Model!BT135</f>
        <v>0.14546620484802916</v>
      </c>
      <c r="BM112">
        <f>Model!BU135</f>
        <v>0.1616933515955857</v>
      </c>
      <c r="BN112">
        <f>Model!BV135</f>
        <v>0.14262930803059362</v>
      </c>
      <c r="BO112">
        <f>Model!BW135</f>
        <v>0.15219810179288323</v>
      </c>
      <c r="BP112">
        <f>Model!BX135</f>
        <v>0.12</v>
      </c>
      <c r="BQ112">
        <f>Model!BY135</f>
        <v>0.13349373468160744</v>
      </c>
      <c r="BR112">
        <f>Model!BZ135</f>
        <v>0.15280176388271147</v>
      </c>
      <c r="BS112">
        <f>Model!CA135</f>
        <v>0.1479805359428237</v>
      </c>
      <c r="BT112">
        <f>Model!CB135</f>
        <v>0.1481322606819846</v>
      </c>
      <c r="BU112">
        <f>Model!CC135</f>
        <v>0.17500000000000002</v>
      </c>
      <c r="BV112">
        <f>Model!CD135</f>
        <v>0.17500000000000002</v>
      </c>
      <c r="BW112">
        <f>Model!CE135</f>
        <v>0.17500000000000002</v>
      </c>
      <c r="BX112">
        <f>Model!CF135</f>
        <v>0.17500000000000002</v>
      </c>
      <c r="BY112">
        <f>Model!CG135</f>
        <v>0</v>
      </c>
      <c r="BZ112">
        <f>Model!CH135</f>
        <v>0</v>
      </c>
      <c r="CA112">
        <f>Model!CI135</f>
        <v>0</v>
      </c>
      <c r="CB112">
        <f>Model!CJ135</f>
        <v>0</v>
      </c>
      <c r="CC112">
        <f>Model!CK135</f>
        <v>0</v>
      </c>
      <c r="CD112">
        <f>Model!CL135</f>
        <v>0</v>
      </c>
      <c r="CE112">
        <f>Model!CM135</f>
        <v>0.15283131178095002</v>
      </c>
      <c r="CF112">
        <f>Model!CN135</f>
        <v>0.1629786988191691</v>
      </c>
      <c r="CG112">
        <f>Model!CO135</f>
        <v>0.19192759349041838</v>
      </c>
      <c r="CH112">
        <f>Model!CP135</f>
        <v>0.19690431360255034</v>
      </c>
      <c r="CI112">
        <f>Model!CQ135</f>
        <v>0.20905209922296508</v>
      </c>
      <c r="CJ112">
        <f>Model!CR135</f>
        <v>0.18427037292237364</v>
      </c>
      <c r="CK112">
        <f>Model!CS135</f>
        <v>0.15829994275901541</v>
      </c>
      <c r="CL112">
        <f>Model!CT135</f>
        <v>0.15756285203484816</v>
      </c>
      <c r="CM112">
        <f>Model!CU135</f>
        <v>0.15484469418244257</v>
      </c>
      <c r="CN112">
        <f>Model!CV135</f>
        <v>0.1544349090283309</v>
      </c>
      <c r="CO112">
        <f>Model!CW135</f>
        <v>0.14490463370945303</v>
      </c>
      <c r="CP112">
        <f>Model!CX135</f>
        <v>0.14707830636203109</v>
      </c>
      <c r="CQ112">
        <f>Model!CY135</f>
        <v>0.17500000000000002</v>
      </c>
      <c r="CR112">
        <f>Model!DG135</f>
        <v>0</v>
      </c>
      <c r="CS112">
        <f>Model!DH135</f>
        <v>0</v>
      </c>
      <c r="CT112">
        <f>Model!DI135</f>
        <v>0</v>
      </c>
      <c r="CU112">
        <f>Model!DJ135</f>
        <v>0</v>
      </c>
    </row>
    <row r="114" spans="1:99">
      <c r="A114">
        <f>Model!I136</f>
        <v>0</v>
      </c>
      <c r="B114">
        <f>Model!J136</f>
        <v>0</v>
      </c>
      <c r="C114">
        <f>Model!K136</f>
        <v>0</v>
      </c>
      <c r="D114">
        <f>Model!L136</f>
        <v>0</v>
      </c>
      <c r="E114">
        <f>Model!M136</f>
        <v>0</v>
      </c>
      <c r="F114">
        <f>Model!N136</f>
        <v>0</v>
      </c>
      <c r="G114">
        <f>Model!O136</f>
        <v>0</v>
      </c>
      <c r="H114">
        <f>Model!P136</f>
        <v>0</v>
      </c>
      <c r="I114">
        <f>Model!Q136</f>
        <v>0</v>
      </c>
      <c r="J114">
        <f>Model!R136</f>
        <v>0</v>
      </c>
      <c r="K114">
        <f>Model!S136</f>
        <v>0</v>
      </c>
      <c r="L114">
        <f>Model!T136</f>
        <v>0</v>
      </c>
      <c r="M114">
        <f>Model!U136</f>
        <v>0</v>
      </c>
      <c r="N114">
        <f>Model!V136</f>
        <v>0</v>
      </c>
      <c r="O114">
        <f>Model!W136</f>
        <v>0</v>
      </c>
      <c r="P114">
        <f>Model!X136</f>
        <v>0</v>
      </c>
      <c r="Q114">
        <f>Model!Y136</f>
        <v>0</v>
      </c>
      <c r="R114">
        <f>Model!Z136</f>
        <v>0</v>
      </c>
      <c r="S114">
        <f>Model!AA136</f>
        <v>0</v>
      </c>
      <c r="T114">
        <f>Model!AB136</f>
        <v>0</v>
      </c>
      <c r="U114">
        <f>Model!AC136</f>
        <v>0</v>
      </c>
      <c r="V114">
        <f>Model!AD136</f>
        <v>0</v>
      </c>
      <c r="W114">
        <f>Model!AE136</f>
        <v>0</v>
      </c>
      <c r="X114">
        <f>Model!AF136</f>
        <v>0</v>
      </c>
      <c r="Y114">
        <f>Model!AG136</f>
        <v>0</v>
      </c>
      <c r="Z114">
        <f>Model!AH136</f>
        <v>0</v>
      </c>
      <c r="AA114">
        <f>Model!AI136</f>
        <v>0</v>
      </c>
      <c r="AB114">
        <f>Model!AJ136</f>
        <v>0</v>
      </c>
      <c r="AC114">
        <f>Model!AK136</f>
        <v>0</v>
      </c>
      <c r="AD114">
        <f>Model!AL136</f>
        <v>0</v>
      </c>
      <c r="AE114">
        <f>Model!AM136</f>
        <v>0</v>
      </c>
      <c r="AF114">
        <f>Model!AN136</f>
        <v>0</v>
      </c>
      <c r="AG114">
        <f>Model!AO136</f>
        <v>0</v>
      </c>
      <c r="AH114">
        <f>Model!AP136</f>
        <v>0</v>
      </c>
      <c r="AI114">
        <f>Model!AQ136</f>
        <v>0</v>
      </c>
      <c r="AJ114">
        <f>Model!AR136</f>
        <v>0</v>
      </c>
      <c r="AK114">
        <f>Model!AS136</f>
        <v>0</v>
      </c>
      <c r="AL114">
        <f>Model!AT136</f>
        <v>0</v>
      </c>
      <c r="AM114">
        <f>Model!AU136</f>
        <v>0</v>
      </c>
      <c r="AN114">
        <f>Model!AV136</f>
        <v>0</v>
      </c>
      <c r="AO114">
        <f>Model!AW136</f>
        <v>0</v>
      </c>
      <c r="AP114">
        <f>Model!AX136</f>
        <v>0</v>
      </c>
      <c r="AQ114">
        <f>Model!AY136</f>
        <v>0</v>
      </c>
      <c r="AR114">
        <f>Model!AZ136</f>
        <v>0</v>
      </c>
      <c r="AS114">
        <f>Model!BA136</f>
        <v>0</v>
      </c>
      <c r="AT114">
        <f>Model!BB136</f>
        <v>0</v>
      </c>
      <c r="AU114">
        <f>Model!BC136</f>
        <v>0</v>
      </c>
      <c r="AV114">
        <f>Model!BD136</f>
        <v>0</v>
      </c>
      <c r="AW114">
        <f>Model!BE136</f>
        <v>0</v>
      </c>
      <c r="AX114">
        <f>Model!BF136</f>
        <v>0</v>
      </c>
      <c r="AY114">
        <f>Model!BG136</f>
        <v>0</v>
      </c>
      <c r="AZ114">
        <f>Model!BH136</f>
        <v>0</v>
      </c>
      <c r="BA114">
        <f>Model!BI136</f>
        <v>0</v>
      </c>
      <c r="BB114">
        <f>Model!BJ136</f>
        <v>0</v>
      </c>
      <c r="BC114">
        <f>Model!BK136</f>
        <v>0</v>
      </c>
      <c r="BD114">
        <f>Model!BL136</f>
        <v>0</v>
      </c>
      <c r="BE114">
        <f>Model!BM136</f>
        <v>0</v>
      </c>
      <c r="BF114">
        <f>Model!BN136</f>
        <v>0</v>
      </c>
      <c r="BG114">
        <f>Model!BO136</f>
        <v>0</v>
      </c>
      <c r="BH114">
        <f>Model!BP136</f>
        <v>0</v>
      </c>
      <c r="BI114">
        <f>Model!BQ136</f>
        <v>0</v>
      </c>
      <c r="BJ114">
        <f>Model!BR136</f>
        <v>0</v>
      </c>
      <c r="BK114">
        <f>Model!BS136</f>
        <v>0</v>
      </c>
      <c r="BL114">
        <f>Model!BT136</f>
        <v>0</v>
      </c>
      <c r="BM114">
        <f>Model!BU136</f>
        <v>0</v>
      </c>
      <c r="BN114">
        <f>Model!BV136</f>
        <v>0</v>
      </c>
      <c r="BO114">
        <f>Model!BW136</f>
        <v>0</v>
      </c>
      <c r="BP114">
        <f>Model!BX136</f>
        <v>0</v>
      </c>
      <c r="BQ114">
        <f>Model!BY136</f>
        <v>0</v>
      </c>
      <c r="BR114">
        <f>Model!BZ136</f>
        <v>0</v>
      </c>
      <c r="BS114">
        <f>Model!CA136</f>
        <v>0</v>
      </c>
      <c r="BT114">
        <f>Model!CB136</f>
        <v>0</v>
      </c>
      <c r="BU114">
        <f>Model!CC136</f>
        <v>0</v>
      </c>
      <c r="BV114">
        <f>Model!CD136</f>
        <v>0</v>
      </c>
      <c r="BW114">
        <f>Model!CE136</f>
        <v>0</v>
      </c>
      <c r="BX114">
        <f>Model!CF136</f>
        <v>0</v>
      </c>
      <c r="BY114">
        <f>Model!CG136</f>
        <v>0</v>
      </c>
      <c r="BZ114">
        <f>Model!CH136</f>
        <v>0</v>
      </c>
      <c r="CA114">
        <f>Model!CI136</f>
        <v>0</v>
      </c>
      <c r="CB114">
        <f>Model!CJ136</f>
        <v>0</v>
      </c>
      <c r="CC114">
        <f>Model!CK136</f>
        <v>0</v>
      </c>
      <c r="CD114">
        <f>Model!CL136</f>
        <v>0</v>
      </c>
      <c r="CE114">
        <f>Model!CM136</f>
        <v>0</v>
      </c>
      <c r="CF114">
        <f>Model!CN136</f>
        <v>0</v>
      </c>
      <c r="CG114">
        <f>Model!CO136</f>
        <v>0</v>
      </c>
      <c r="CH114">
        <f>Model!CP136</f>
        <v>0</v>
      </c>
      <c r="CI114">
        <f>Model!CQ136</f>
        <v>0</v>
      </c>
      <c r="CJ114">
        <f>Model!CR136</f>
        <v>0</v>
      </c>
      <c r="CK114">
        <f>Model!CS136</f>
        <v>0</v>
      </c>
      <c r="CL114">
        <f>Model!CT136</f>
        <v>0</v>
      </c>
      <c r="CM114">
        <f>Model!CU136</f>
        <v>0</v>
      </c>
      <c r="CN114">
        <f>Model!CV136</f>
        <v>0</v>
      </c>
      <c r="CO114">
        <f>Model!CW136</f>
        <v>0</v>
      </c>
      <c r="CP114">
        <f>Model!CX136</f>
        <v>0</v>
      </c>
      <c r="CQ114">
        <f>Model!CY136</f>
        <v>0</v>
      </c>
      <c r="CR114">
        <f>Model!DG136</f>
        <v>0</v>
      </c>
      <c r="CS114">
        <f>Model!DH136</f>
        <v>0</v>
      </c>
      <c r="CT114">
        <f>Model!DI136</f>
        <v>0</v>
      </c>
      <c r="CU114">
        <f>Model!DJ136</f>
        <v>0</v>
      </c>
    </row>
    <row r="115" spans="1:99">
      <c r="A115" t="str">
        <f>Model!I141</f>
        <v>Income Attributable to Noncontrolling Int</v>
      </c>
      <c r="B115">
        <f>Model!J141</f>
        <v>0</v>
      </c>
      <c r="C115">
        <f>Model!K141</f>
        <v>0</v>
      </c>
      <c r="D115">
        <f>Model!L141</f>
        <v>0</v>
      </c>
      <c r="E115">
        <f>Model!M141</f>
        <v>0</v>
      </c>
      <c r="F115">
        <f>Model!N141</f>
        <v>0</v>
      </c>
      <c r="G115">
        <f>Model!O141</f>
        <v>0</v>
      </c>
      <c r="H115">
        <f>Model!P141</f>
        <v>0</v>
      </c>
      <c r="I115">
        <f>Model!Q141</f>
        <v>0</v>
      </c>
      <c r="J115">
        <f>Model!R141</f>
        <v>0</v>
      </c>
      <c r="K115">
        <f>Model!S141</f>
        <v>0</v>
      </c>
      <c r="L115">
        <f>Model!T141</f>
        <v>0</v>
      </c>
      <c r="M115">
        <f>Model!U141</f>
        <v>0</v>
      </c>
      <c r="N115">
        <f>Model!V141</f>
        <v>0</v>
      </c>
      <c r="O115">
        <f>Model!W141</f>
        <v>0</v>
      </c>
      <c r="P115">
        <f>Model!X141</f>
        <v>0</v>
      </c>
      <c r="Q115">
        <f>Model!Y141</f>
        <v>0</v>
      </c>
      <c r="R115">
        <f>Model!Z141</f>
        <v>0</v>
      </c>
      <c r="S115">
        <f>Model!AA141</f>
        <v>0</v>
      </c>
      <c r="T115">
        <f>Model!AB141</f>
        <v>0</v>
      </c>
      <c r="U115">
        <f>Model!AC141</f>
        <v>0</v>
      </c>
      <c r="V115">
        <f>Model!AD141</f>
        <v>0</v>
      </c>
      <c r="W115">
        <f>Model!AE141</f>
        <v>0</v>
      </c>
      <c r="X115">
        <f>Model!AF141</f>
        <v>0</v>
      </c>
      <c r="Y115">
        <f>Model!AG141</f>
        <v>0.20100000000000001</v>
      </c>
      <c r="Z115">
        <f>Model!AH141</f>
        <v>-0.88700000000000001</v>
      </c>
      <c r="AA115">
        <f>Model!AI141</f>
        <v>-2.3279999999999998</v>
      </c>
      <c r="AB115">
        <f>Model!AJ141</f>
        <v>-0.53900000000000003</v>
      </c>
      <c r="AC115">
        <f>Model!AK141</f>
        <v>-9.2999999999999999E-2</v>
      </c>
      <c r="AD115">
        <f>Model!AL141</f>
        <v>-1.3340000000000001</v>
      </c>
      <c r="AE115">
        <f>Model!AM141</f>
        <v>-2.516</v>
      </c>
      <c r="AF115">
        <f>Model!AN141</f>
        <v>-1.0549999999999999</v>
      </c>
      <c r="AG115">
        <f>Model!AO141</f>
        <v>-0.51</v>
      </c>
      <c r="AH115">
        <f>Model!AP141</f>
        <v>-1.2310000000000001</v>
      </c>
      <c r="AI115">
        <f>Model!AQ141</f>
        <v>-1.9</v>
      </c>
      <c r="AJ115">
        <f>Model!AR141</f>
        <v>-4.7E-2</v>
      </c>
      <c r="AK115">
        <f>Model!AS141</f>
        <v>-3.1E-2</v>
      </c>
      <c r="AL115">
        <f>Model!AT141</f>
        <v>3.3000000000000002E-2</v>
      </c>
      <c r="AM115">
        <f>Model!AU141</f>
        <v>0</v>
      </c>
      <c r="AN115">
        <f>Model!AV141</f>
        <v>0</v>
      </c>
      <c r="AO115">
        <f>Model!AW141</f>
        <v>0</v>
      </c>
      <c r="AP115">
        <f>Model!AX141</f>
        <v>0.36099999999999999</v>
      </c>
      <c r="AQ115">
        <f>Model!AY141</f>
        <v>-1.58</v>
      </c>
      <c r="AR115">
        <f>Model!AZ141</f>
        <v>0.61799999999999999</v>
      </c>
      <c r="AS115">
        <f>Model!BA141</f>
        <v>0.77700000000000002</v>
      </c>
      <c r="AT115">
        <f>Model!BB141</f>
        <v>9.0999999999999998E-2</v>
      </c>
      <c r="AU115">
        <f>Model!BC141</f>
        <v>-3.387</v>
      </c>
      <c r="AV115">
        <f>Model!BD141</f>
        <v>-0.24</v>
      </c>
      <c r="AW115">
        <f>Model!BE141</f>
        <v>0.154</v>
      </c>
      <c r="AX115">
        <f>Model!BF141</f>
        <v>-0.307</v>
      </c>
      <c r="AY115">
        <f>Model!BG141</f>
        <v>-3.387</v>
      </c>
      <c r="AZ115">
        <f>Model!BH141</f>
        <v>-0.93200000000000005</v>
      </c>
      <c r="BA115">
        <f>Model!BI141</f>
        <v>-2.1000000000000001E-2</v>
      </c>
      <c r="BB115">
        <f>Model!BJ141</f>
        <v>-0.114</v>
      </c>
      <c r="BC115">
        <f>Model!BK141</f>
        <v>0</v>
      </c>
      <c r="BD115">
        <f>Model!BL141</f>
        <v>0</v>
      </c>
      <c r="BE115">
        <f>Model!BM141</f>
        <v>0</v>
      </c>
      <c r="BF115">
        <f>Model!BN141</f>
        <v>0</v>
      </c>
      <c r="BG115">
        <f>Model!BO141</f>
        <v>0</v>
      </c>
      <c r="BH115">
        <f>Model!BP141</f>
        <v>0</v>
      </c>
      <c r="BI115">
        <f>Model!BQ141</f>
        <v>0</v>
      </c>
      <c r="BJ115">
        <f>Model!BR141</f>
        <v>0</v>
      </c>
      <c r="BK115">
        <f>Model!BS141</f>
        <v>0</v>
      </c>
      <c r="BL115">
        <f>Model!BT141</f>
        <v>0</v>
      </c>
      <c r="BM115">
        <f>Model!BU141</f>
        <v>0</v>
      </c>
      <c r="BN115">
        <f>Model!BV141</f>
        <v>0</v>
      </c>
      <c r="BO115">
        <f>Model!BW141</f>
        <v>0</v>
      </c>
      <c r="BP115">
        <f>Model!BX141</f>
        <v>0</v>
      </c>
      <c r="BQ115">
        <f>Model!BY141</f>
        <v>0</v>
      </c>
      <c r="BR115">
        <f>Model!BZ141</f>
        <v>0</v>
      </c>
      <c r="BS115">
        <f>Model!CA141</f>
        <v>0</v>
      </c>
      <c r="BT115">
        <f>Model!CB141</f>
        <v>0</v>
      </c>
      <c r="BU115">
        <f>Model!CC141</f>
        <v>0</v>
      </c>
      <c r="BV115">
        <f>Model!CD141</f>
        <v>0</v>
      </c>
      <c r="BW115">
        <f>Model!CE141</f>
        <v>0</v>
      </c>
      <c r="BX115">
        <f>Model!CF141</f>
        <v>0</v>
      </c>
      <c r="BY115">
        <f>Model!CG141</f>
        <v>0</v>
      </c>
      <c r="BZ115">
        <f>Model!CH141</f>
        <v>0</v>
      </c>
      <c r="CA115">
        <f>Model!CI141</f>
        <v>0</v>
      </c>
      <c r="CB115">
        <f>Model!CJ141</f>
        <v>0</v>
      </c>
      <c r="CC115">
        <f>Model!CK141</f>
        <v>0</v>
      </c>
      <c r="CD115">
        <f>Model!CL141</f>
        <v>0</v>
      </c>
      <c r="CE115">
        <f>Model!CM141</f>
        <v>-3.5529999999999999</v>
      </c>
      <c r="CF115">
        <f>Model!CN141</f>
        <v>-4.9980000000000002</v>
      </c>
      <c r="CG115">
        <f>Model!CO141</f>
        <v>-3.6880000000000002</v>
      </c>
      <c r="CH115">
        <f>Model!CP141</f>
        <v>2.0000000000000018E-3</v>
      </c>
      <c r="CI115">
        <f>Model!CQ141</f>
        <v>-0.60100000000000009</v>
      </c>
      <c r="CJ115">
        <f>Model!CR141</f>
        <v>-2.7590000000000003</v>
      </c>
      <c r="CK115">
        <f>Model!CS141</f>
        <v>-4.4720000000000004</v>
      </c>
      <c r="CL115">
        <f>Model!CT141</f>
        <v>-0.13500000000000001</v>
      </c>
      <c r="CM115">
        <f>Model!CU141</f>
        <v>0</v>
      </c>
      <c r="CN115">
        <f>Model!CV141</f>
        <v>0</v>
      </c>
      <c r="CO115">
        <f>Model!CW141</f>
        <v>0</v>
      </c>
      <c r="CP115">
        <f>Model!CX141</f>
        <v>0</v>
      </c>
      <c r="CQ115">
        <f>Model!CY141</f>
        <v>0</v>
      </c>
      <c r="CR115">
        <f>Model!DG141</f>
        <v>0</v>
      </c>
      <c r="CS115">
        <f>Model!DH141</f>
        <v>0</v>
      </c>
      <c r="CT115">
        <f>Model!DI141</f>
        <v>0</v>
      </c>
      <c r="CU115">
        <f>Model!DJ141</f>
        <v>0</v>
      </c>
    </row>
    <row r="116" spans="1:99">
      <c r="A116" t="str">
        <f>Model!I142</f>
        <v>Preferred Stock Dividend</v>
      </c>
      <c r="B116">
        <f>Model!J142</f>
        <v>0</v>
      </c>
      <c r="C116">
        <f>Model!K142</f>
        <v>0</v>
      </c>
      <c r="D116">
        <f>Model!L142</f>
        <v>0</v>
      </c>
      <c r="E116">
        <f>Model!M142</f>
        <v>0</v>
      </c>
      <c r="F116">
        <f>Model!N142</f>
        <v>0</v>
      </c>
      <c r="G116">
        <f>Model!O142</f>
        <v>0</v>
      </c>
      <c r="H116">
        <f>Model!P142</f>
        <v>0</v>
      </c>
      <c r="I116">
        <f>Model!Q142</f>
        <v>0</v>
      </c>
      <c r="J116">
        <f>Model!R142</f>
        <v>0</v>
      </c>
      <c r="K116">
        <f>Model!S142</f>
        <v>0</v>
      </c>
      <c r="L116">
        <f>Model!T142</f>
        <v>0</v>
      </c>
      <c r="M116">
        <f>Model!U142</f>
        <v>0</v>
      </c>
      <c r="N116">
        <f>Model!V142</f>
        <v>0</v>
      </c>
      <c r="O116">
        <f>Model!W142</f>
        <v>0</v>
      </c>
      <c r="P116">
        <f>Model!X142</f>
        <v>0</v>
      </c>
      <c r="Q116">
        <f>Model!Y142</f>
        <v>0</v>
      </c>
      <c r="R116">
        <f>Model!Z142</f>
        <v>0</v>
      </c>
      <c r="S116">
        <f>Model!AA142</f>
        <v>0</v>
      </c>
      <c r="T116">
        <f>Model!AB142</f>
        <v>0</v>
      </c>
      <c r="U116">
        <f>Model!AC142</f>
        <v>0</v>
      </c>
      <c r="V116">
        <f>Model!AD142</f>
        <v>0</v>
      </c>
      <c r="W116">
        <f>Model!AE142</f>
        <v>0</v>
      </c>
      <c r="X116">
        <f>Model!AF142</f>
        <v>0</v>
      </c>
      <c r="Y116">
        <f>Model!AG142</f>
        <v>-0.86499999999999999</v>
      </c>
      <c r="Z116">
        <f>Model!AH142</f>
        <v>0</v>
      </c>
      <c r="AA116">
        <f>Model!AI142</f>
        <v>-1.0629999999999999</v>
      </c>
      <c r="AB116">
        <f>Model!AJ142</f>
        <v>0</v>
      </c>
      <c r="AC116">
        <f>Model!AK142</f>
        <v>-1.5549999999999999</v>
      </c>
      <c r="AD116">
        <f>Model!AL142</f>
        <v>0</v>
      </c>
      <c r="AE116">
        <f>Model!AM142</f>
        <v>0</v>
      </c>
      <c r="AF116">
        <f>Model!AN142</f>
        <v>0</v>
      </c>
      <c r="AG116">
        <f>Model!AO142</f>
        <v>0</v>
      </c>
      <c r="AH116">
        <f>Model!AP142</f>
        <v>0</v>
      </c>
      <c r="AI116">
        <f>Model!AQ142</f>
        <v>0</v>
      </c>
      <c r="AJ116">
        <f>Model!AR142</f>
        <v>0</v>
      </c>
      <c r="AK116">
        <f>Model!AS142</f>
        <v>0</v>
      </c>
      <c r="AL116">
        <f>Model!AT142</f>
        <v>0</v>
      </c>
      <c r="AM116">
        <f>Model!AU142</f>
        <v>0</v>
      </c>
      <c r="AN116">
        <f>Model!AV142</f>
        <v>0</v>
      </c>
      <c r="AO116">
        <f>Model!AW142</f>
        <v>0</v>
      </c>
      <c r="AP116">
        <f>Model!AX142</f>
        <v>0</v>
      </c>
      <c r="AQ116">
        <f>Model!AY142</f>
        <v>0</v>
      </c>
      <c r="AR116">
        <f>Model!AZ142</f>
        <v>0</v>
      </c>
      <c r="AS116">
        <f>Model!BA142</f>
        <v>0</v>
      </c>
      <c r="AT116">
        <f>Model!BB142</f>
        <v>0</v>
      </c>
      <c r="AU116">
        <f>Model!BC142</f>
        <v>0</v>
      </c>
      <c r="AV116">
        <f>Model!BD142</f>
        <v>0</v>
      </c>
      <c r="AW116">
        <f>Model!BE142</f>
        <v>0</v>
      </c>
      <c r="AX116">
        <f>Model!BF142</f>
        <v>0</v>
      </c>
      <c r="AY116">
        <f>Model!BG142</f>
        <v>0</v>
      </c>
      <c r="AZ116">
        <f>Model!BH142</f>
        <v>0</v>
      </c>
      <c r="BA116">
        <f>Model!BI142</f>
        <v>0</v>
      </c>
      <c r="BB116">
        <f>Model!BJ142</f>
        <v>0</v>
      </c>
      <c r="BC116">
        <f>Model!BK142</f>
        <v>0</v>
      </c>
      <c r="BD116">
        <f>Model!BL142</f>
        <v>0</v>
      </c>
      <c r="BE116">
        <f>Model!BM142</f>
        <v>0</v>
      </c>
      <c r="BF116">
        <f>Model!BN142</f>
        <v>0</v>
      </c>
      <c r="BG116">
        <f>Model!BO142</f>
        <v>0</v>
      </c>
      <c r="BH116">
        <f>Model!BP142</f>
        <v>0</v>
      </c>
      <c r="BI116">
        <f>Model!BQ142</f>
        <v>0</v>
      </c>
      <c r="BJ116">
        <f>Model!BR142</f>
        <v>0</v>
      </c>
      <c r="BK116">
        <f>Model!BS142</f>
        <v>0</v>
      </c>
      <c r="BL116">
        <f>Model!BT142</f>
        <v>0</v>
      </c>
      <c r="BM116">
        <f>Model!BU142</f>
        <v>0</v>
      </c>
      <c r="BN116">
        <f>Model!BV142</f>
        <v>0</v>
      </c>
      <c r="BO116">
        <f>Model!BW142</f>
        <v>0</v>
      </c>
      <c r="BP116">
        <f>Model!BX142</f>
        <v>0</v>
      </c>
      <c r="BQ116">
        <f>Model!BY142</f>
        <v>0</v>
      </c>
      <c r="BR116">
        <f>Model!BZ142</f>
        <v>0</v>
      </c>
      <c r="BS116">
        <f>Model!CA142</f>
        <v>0</v>
      </c>
      <c r="BT116">
        <f>Model!CB142</f>
        <v>0</v>
      </c>
      <c r="BU116">
        <f>Model!CC142</f>
        <v>0</v>
      </c>
      <c r="BV116">
        <f>Model!CD142</f>
        <v>0</v>
      </c>
      <c r="BW116">
        <f>Model!CE142</f>
        <v>0</v>
      </c>
      <c r="BX116">
        <f>Model!CF142</f>
        <v>0</v>
      </c>
      <c r="BY116">
        <f>Model!CG142</f>
        <v>0</v>
      </c>
      <c r="BZ116">
        <f>Model!CH142</f>
        <v>0</v>
      </c>
      <c r="CA116">
        <f>Model!CI142</f>
        <v>0</v>
      </c>
      <c r="CB116">
        <f>Model!CJ142</f>
        <v>0</v>
      </c>
      <c r="CC116">
        <f>Model!CK142</f>
        <v>0</v>
      </c>
      <c r="CD116">
        <f>Model!CL142</f>
        <v>0</v>
      </c>
      <c r="CE116">
        <f>Model!CM142</f>
        <v>-1.9279999999999999</v>
      </c>
      <c r="CF116">
        <f>Model!CN142</f>
        <v>-1.5549999999999999</v>
      </c>
      <c r="CG116">
        <f>Model!CO142</f>
        <v>0</v>
      </c>
      <c r="CH116">
        <f>Model!CP142</f>
        <v>0</v>
      </c>
      <c r="CI116">
        <f>Model!CQ142</f>
        <v>0</v>
      </c>
      <c r="CJ116">
        <f>Model!CR142</f>
        <v>0</v>
      </c>
      <c r="CK116">
        <f>Model!CS142</f>
        <v>0</v>
      </c>
      <c r="CL116">
        <f>Model!CT142</f>
        <v>0</v>
      </c>
      <c r="CM116">
        <f>Model!CU142</f>
        <v>0</v>
      </c>
      <c r="CN116">
        <f>Model!CV142</f>
        <v>0</v>
      </c>
      <c r="CO116">
        <f>Model!CW142</f>
        <v>0</v>
      </c>
      <c r="CP116">
        <f>Model!CX142</f>
        <v>0</v>
      </c>
      <c r="CQ116">
        <f>Model!CY142</f>
        <v>0</v>
      </c>
      <c r="CR116">
        <f>Model!DG142</f>
        <v>0</v>
      </c>
      <c r="CS116">
        <f>Model!DH142</f>
        <v>0</v>
      </c>
      <c r="CT116">
        <f>Model!DI142</f>
        <v>0</v>
      </c>
      <c r="CU116">
        <f>Model!DJ142</f>
        <v>0</v>
      </c>
    </row>
    <row r="117" spans="1:99">
      <c r="A117" t="str">
        <f>Model!I143</f>
        <v>GAAP Net Income</v>
      </c>
      <c r="B117">
        <f>Model!J143</f>
        <v>0</v>
      </c>
      <c r="C117">
        <f>Model!K143</f>
        <v>0</v>
      </c>
      <c r="D117">
        <f>Model!L143</f>
        <v>0</v>
      </c>
      <c r="E117">
        <f>Model!M143</f>
        <v>0</v>
      </c>
      <c r="F117">
        <f>Model!N143</f>
        <v>0</v>
      </c>
      <c r="G117">
        <f>Model!O143</f>
        <v>0</v>
      </c>
      <c r="H117">
        <f>Model!P143</f>
        <v>0</v>
      </c>
      <c r="I117">
        <f>Model!Q143</f>
        <v>0</v>
      </c>
      <c r="J117">
        <f>Model!R143</f>
        <v>0</v>
      </c>
      <c r="K117">
        <f>Model!S143</f>
        <v>0</v>
      </c>
      <c r="L117">
        <f>Model!T143</f>
        <v>0</v>
      </c>
      <c r="M117">
        <f>Model!U143</f>
        <v>0</v>
      </c>
      <c r="N117">
        <f>Model!V143</f>
        <v>0</v>
      </c>
      <c r="O117">
        <f>Model!W143</f>
        <v>0</v>
      </c>
      <c r="P117">
        <f>Model!X143</f>
        <v>0</v>
      </c>
      <c r="Q117">
        <f>Model!Y143</f>
        <v>0</v>
      </c>
      <c r="R117">
        <f>Model!Z143</f>
        <v>0</v>
      </c>
      <c r="S117">
        <f>Model!AA143</f>
        <v>0</v>
      </c>
      <c r="T117">
        <f>Model!AB143</f>
        <v>0</v>
      </c>
      <c r="U117">
        <f>Model!AC143</f>
        <v>0</v>
      </c>
      <c r="V117">
        <f>Model!AD143</f>
        <v>0</v>
      </c>
      <c r="W117">
        <f>Model!AE143</f>
        <v>0</v>
      </c>
      <c r="X117">
        <f>Model!AF143</f>
        <v>0</v>
      </c>
      <c r="Y117">
        <f>Model!AG143</f>
        <v>-0.8290000000000084</v>
      </c>
      <c r="Z117">
        <f>Model!AH143</f>
        <v>12.517000000000007</v>
      </c>
      <c r="AA117">
        <f>Model!AI143</f>
        <v>46.527000000000001</v>
      </c>
      <c r="AB117">
        <f>Model!AJ143</f>
        <v>13.231999999999964</v>
      </c>
      <c r="AC117">
        <f>Model!AK143</f>
        <v>22.708000000000041</v>
      </c>
      <c r="AD117">
        <f>Model!AL143</f>
        <v>32.253999999999955</v>
      </c>
      <c r="AE117">
        <f>Model!AM143</f>
        <v>104.36499999999998</v>
      </c>
      <c r="AF117">
        <f>Model!AN143</f>
        <v>32.862000000000016</v>
      </c>
      <c r="AG117">
        <f>Model!AO143</f>
        <v>18.154000000000018</v>
      </c>
      <c r="AH117">
        <f>Model!AP143</f>
        <v>54.096000000000039</v>
      </c>
      <c r="AI117">
        <f>Model!AQ143</f>
        <v>87.968000000000032</v>
      </c>
      <c r="AJ117">
        <f>Model!AR143</f>
        <v>34.146000000000001</v>
      </c>
      <c r="AK117">
        <f>Model!AS143</f>
        <v>25.02300000000001</v>
      </c>
      <c r="AL117">
        <f>Model!AT143</f>
        <v>67.010999999999967</v>
      </c>
      <c r="AM117">
        <f>Model!AU143</f>
        <v>318.98199999999997</v>
      </c>
      <c r="AN117">
        <f>Model!AV143</f>
        <v>78.455000000000069</v>
      </c>
      <c r="AO117">
        <f>Model!AW143</f>
        <v>53.874999999999872</v>
      </c>
      <c r="AP117">
        <f>Model!AX143</f>
        <v>115.88599999999984</v>
      </c>
      <c r="AQ117">
        <f>Model!AY143</f>
        <v>224.99999999999989</v>
      </c>
      <c r="AR117">
        <f>Model!AZ143</f>
        <v>137.48200000000006</v>
      </c>
      <c r="AS117">
        <f>Model!BA143</f>
        <v>104.79000000000003</v>
      </c>
      <c r="AT117">
        <f>Model!BB143</f>
        <v>256.36800000000005</v>
      </c>
      <c r="AU117">
        <f>Model!BC143</f>
        <v>469.49900000000019</v>
      </c>
      <c r="AV117">
        <f>Model!BD143</f>
        <v>225.71500000000012</v>
      </c>
      <c r="AW117">
        <f>Model!BE143</f>
        <v>181.97</v>
      </c>
      <c r="AX117">
        <f>Model!BF143</f>
        <v>352.34700000000004</v>
      </c>
      <c r="AY117">
        <f>Model!BG143</f>
        <v>596.58299999999997</v>
      </c>
      <c r="AZ117">
        <f>Model!BH143</f>
        <v>288.66300000000012</v>
      </c>
      <c r="BA117">
        <f>Model!BI143</f>
        <v>244.27099999999996</v>
      </c>
      <c r="BB117">
        <f>Model!BJ143</f>
        <v>437.32600000000002</v>
      </c>
      <c r="BC117">
        <f>Model!BK143</f>
        <v>832.98899999999946</v>
      </c>
      <c r="BD117">
        <f>Model!BL143</f>
        <v>378.077</v>
      </c>
      <c r="BE117">
        <f>Model!BM143</f>
        <v>331.21800000000013</v>
      </c>
      <c r="BF117">
        <f>Model!BN143</f>
        <v>576.45100000000014</v>
      </c>
      <c r="BG117">
        <f>Model!BO143</f>
        <v>1062.2530000000002</v>
      </c>
      <c r="BH117">
        <f>Model!BP143</f>
        <v>451.83099999999996</v>
      </c>
      <c r="BI117">
        <f>Model!BQ143</f>
        <v>333.32699999999983</v>
      </c>
      <c r="BJ117">
        <f>Model!BR143</f>
        <v>517.03200000000015</v>
      </c>
      <c r="BK117">
        <f>Model!BS143</f>
        <v>1196.732</v>
      </c>
      <c r="BL117">
        <f>Model!BT143</f>
        <v>504.26899999999966</v>
      </c>
      <c r="BM117">
        <f>Model!BU143</f>
        <v>374.42399999999952</v>
      </c>
      <c r="BN117">
        <f>Model!BV143</f>
        <v>580.63800000000015</v>
      </c>
      <c r="BO117">
        <f>Model!BW143</f>
        <v>506.01700000000034</v>
      </c>
      <c r="BP117">
        <f>Model!BX143</f>
        <v>673.90799999999967</v>
      </c>
      <c r="BQ117">
        <f>Model!BY143</f>
        <v>455.62299999999982</v>
      </c>
      <c r="BR117">
        <f>Model!BZ143</f>
        <v>721.23600000000044</v>
      </c>
      <c r="BS117">
        <f>Model!CA143</f>
        <v>1720.4570000000006</v>
      </c>
      <c r="BT117">
        <f>Model!CB143</f>
        <v>-555.45800000000031</v>
      </c>
      <c r="BU117">
        <f>Model!CC143</f>
        <v>519.47269697734828</v>
      </c>
      <c r="BV117">
        <f>Model!CD143</f>
        <v>882.43727307410677</v>
      </c>
      <c r="BW117">
        <f>Model!CE143</f>
        <v>1961.734213156795</v>
      </c>
      <c r="BX117">
        <f>Model!CF143</f>
        <v>1011.2590456727887</v>
      </c>
      <c r="BY117">
        <f>Model!CG143</f>
        <v>0</v>
      </c>
      <c r="BZ117">
        <f>Model!CH143</f>
        <v>0</v>
      </c>
      <c r="CA117">
        <f>Model!CI143</f>
        <v>0</v>
      </c>
      <c r="CB117">
        <f>Model!CJ143</f>
        <v>0</v>
      </c>
      <c r="CC117">
        <f>Model!CK143</f>
        <v>0</v>
      </c>
      <c r="CD117">
        <f>Model!CL143</f>
        <v>0</v>
      </c>
      <c r="CE117">
        <f>Model!CM143</f>
        <v>71.447000000000173</v>
      </c>
      <c r="CF117">
        <f>Model!CN143</f>
        <v>192.18899999999977</v>
      </c>
      <c r="CG117">
        <f>Model!CO143</f>
        <v>194.36400000000003</v>
      </c>
      <c r="CH117">
        <f>Model!CP143</f>
        <v>489.47099999999972</v>
      </c>
      <c r="CI117">
        <f>Model!CQ143</f>
        <v>532.24299999999982</v>
      </c>
      <c r="CJ117">
        <f>Model!CR143</f>
        <v>1056.3720000000008</v>
      </c>
      <c r="CK117">
        <f>Model!CS143</f>
        <v>1419.563000000001</v>
      </c>
      <c r="CL117">
        <f>Model!CT143</f>
        <v>1892.6630000000002</v>
      </c>
      <c r="CM117">
        <f>Model!CU143</f>
        <v>2421.7529999999988</v>
      </c>
      <c r="CN117">
        <f>Model!CV143</f>
        <v>2551.3599999999983</v>
      </c>
      <c r="CO117">
        <f>Model!CW143</f>
        <v>2134.9870000000001</v>
      </c>
      <c r="CP117">
        <f>Model!CX143</f>
        <v>2341.8579999999984</v>
      </c>
      <c r="CQ117">
        <f>Model!CY143</f>
        <v>4374.9032288810422</v>
      </c>
      <c r="CR117">
        <f>Model!DG143</f>
        <v>0.36814572201527374</v>
      </c>
      <c r="CS117">
        <f>Model!DH143</f>
        <v>0.1778015650751148</v>
      </c>
      <c r="CT117">
        <f>Model!DI143</f>
        <v>0</v>
      </c>
      <c r="CU117">
        <f>Model!DJ143</f>
        <v>0</v>
      </c>
    </row>
    <row r="118" spans="1:99">
      <c r="A118">
        <f>Model!I144</f>
        <v>0</v>
      </c>
      <c r="B118">
        <f>Model!J144</f>
        <v>0</v>
      </c>
      <c r="C118">
        <f>Model!K144</f>
        <v>0</v>
      </c>
      <c r="D118">
        <f>Model!L144</f>
        <v>0</v>
      </c>
      <c r="E118">
        <f>Model!M144</f>
        <v>0</v>
      </c>
      <c r="F118">
        <f>Model!N144</f>
        <v>0</v>
      </c>
      <c r="G118">
        <f>Model!O144</f>
        <v>0</v>
      </c>
      <c r="H118">
        <f>Model!P144</f>
        <v>0</v>
      </c>
      <c r="I118">
        <f>Model!Q144</f>
        <v>0</v>
      </c>
      <c r="J118">
        <f>Model!R144</f>
        <v>0</v>
      </c>
      <c r="K118">
        <f>Model!S144</f>
        <v>0</v>
      </c>
      <c r="L118">
        <f>Model!T144</f>
        <v>0</v>
      </c>
      <c r="M118">
        <f>Model!U144</f>
        <v>0</v>
      </c>
      <c r="N118">
        <f>Model!V144</f>
        <v>0</v>
      </c>
      <c r="O118">
        <f>Model!W144</f>
        <v>0</v>
      </c>
      <c r="P118">
        <f>Model!X144</f>
        <v>0</v>
      </c>
      <c r="Q118">
        <f>Model!Y144</f>
        <v>0</v>
      </c>
      <c r="R118">
        <f>Model!Z144</f>
        <v>0</v>
      </c>
      <c r="S118">
        <f>Model!AA144</f>
        <v>0</v>
      </c>
      <c r="T118">
        <f>Model!AB144</f>
        <v>0</v>
      </c>
      <c r="U118">
        <f>Model!AC144</f>
        <v>0</v>
      </c>
      <c r="V118">
        <f>Model!AD144</f>
        <v>0</v>
      </c>
      <c r="W118">
        <f>Model!AE144</f>
        <v>0</v>
      </c>
      <c r="X118">
        <f>Model!AF144</f>
        <v>0</v>
      </c>
      <c r="Y118">
        <f>Model!AG144</f>
        <v>0</v>
      </c>
      <c r="Z118">
        <f>Model!AH144</f>
        <v>0</v>
      </c>
      <c r="AA118">
        <f>Model!AI144</f>
        <v>0</v>
      </c>
      <c r="AB118">
        <f>Model!AJ144</f>
        <v>0</v>
      </c>
      <c r="AC118">
        <f>Model!AK144</f>
        <v>0</v>
      </c>
      <c r="AD118">
        <f>Model!AL144</f>
        <v>0</v>
      </c>
      <c r="AE118">
        <f>Model!AM144</f>
        <v>0</v>
      </c>
      <c r="AF118">
        <f>Model!AN144</f>
        <v>0</v>
      </c>
      <c r="AG118">
        <f>Model!AO144</f>
        <v>0</v>
      </c>
      <c r="AH118">
        <f>Model!AP144</f>
        <v>0</v>
      </c>
      <c r="AI118">
        <f>Model!AQ144</f>
        <v>0</v>
      </c>
      <c r="AJ118">
        <f>Model!AR144</f>
        <v>0</v>
      </c>
      <c r="AK118">
        <f>Model!AS144</f>
        <v>0</v>
      </c>
      <c r="AL118">
        <f>Model!AT144</f>
        <v>0</v>
      </c>
      <c r="AM118">
        <f>Model!AU144</f>
        <v>0</v>
      </c>
      <c r="AN118">
        <f>Model!AV144</f>
        <v>0</v>
      </c>
      <c r="AO118">
        <f>Model!AW144</f>
        <v>0</v>
      </c>
      <c r="AP118">
        <f>Model!AX144</f>
        <v>0</v>
      </c>
      <c r="AQ118">
        <f>Model!AY144</f>
        <v>0</v>
      </c>
      <c r="AR118">
        <f>Model!AZ144</f>
        <v>0</v>
      </c>
      <c r="AS118">
        <f>Model!BA144</f>
        <v>0</v>
      </c>
      <c r="AT118">
        <f>Model!BB144</f>
        <v>0</v>
      </c>
      <c r="AU118">
        <f>Model!BC144</f>
        <v>0</v>
      </c>
      <c r="AV118">
        <f>Model!BD144</f>
        <v>0</v>
      </c>
      <c r="AW118">
        <f>Model!BE144</f>
        <v>0</v>
      </c>
      <c r="AX118">
        <f>Model!BF144</f>
        <v>0</v>
      </c>
      <c r="AY118">
        <f>Model!BG144</f>
        <v>0</v>
      </c>
      <c r="AZ118">
        <f>Model!BH144</f>
        <v>0</v>
      </c>
      <c r="BA118">
        <f>Model!BI144</f>
        <v>0</v>
      </c>
      <c r="BB118">
        <f>Model!BJ144</f>
        <v>0</v>
      </c>
      <c r="BC118">
        <f>Model!BK144</f>
        <v>0</v>
      </c>
      <c r="BD118">
        <f>Model!BL144</f>
        <v>0</v>
      </c>
      <c r="BE118">
        <f>Model!BM144</f>
        <v>0</v>
      </c>
      <c r="BF118">
        <f>Model!BN144</f>
        <v>0</v>
      </c>
      <c r="BG118">
        <f>Model!BO144</f>
        <v>0</v>
      </c>
      <c r="BH118">
        <f>Model!BP144</f>
        <v>0</v>
      </c>
      <c r="BI118">
        <f>Model!BQ144</f>
        <v>0</v>
      </c>
      <c r="BJ118">
        <f>Model!BR144</f>
        <v>0</v>
      </c>
      <c r="BK118">
        <f>Model!BS144</f>
        <v>0</v>
      </c>
      <c r="BL118">
        <f>Model!BT144</f>
        <v>0</v>
      </c>
      <c r="BM118">
        <f>Model!BU144</f>
        <v>0</v>
      </c>
      <c r="BN118">
        <f>Model!BV144</f>
        <v>0</v>
      </c>
      <c r="BO118">
        <f>Model!BW144</f>
        <v>0</v>
      </c>
      <c r="BP118">
        <f>Model!BX144</f>
        <v>0</v>
      </c>
      <c r="BQ118">
        <f>Model!BY144</f>
        <v>0</v>
      </c>
      <c r="BR118">
        <f>Model!BZ144</f>
        <v>0</v>
      </c>
      <c r="BS118">
        <f>Model!CA144</f>
        <v>0</v>
      </c>
      <c r="BT118">
        <f>Model!CB144</f>
        <v>0</v>
      </c>
      <c r="BU118">
        <f>Model!CC144</f>
        <v>0</v>
      </c>
      <c r="BV118">
        <f>Model!CD144</f>
        <v>0</v>
      </c>
      <c r="BW118">
        <f>Model!CE144</f>
        <v>0</v>
      </c>
      <c r="BX118">
        <f>Model!CF144</f>
        <v>0</v>
      </c>
      <c r="BY118">
        <f>Model!CG144</f>
        <v>0</v>
      </c>
      <c r="BZ118">
        <f>Model!CH144</f>
        <v>0</v>
      </c>
      <c r="CA118">
        <f>Model!CI144</f>
        <v>0</v>
      </c>
      <c r="CB118">
        <f>Model!CJ144</f>
        <v>0</v>
      </c>
      <c r="CC118">
        <f>Model!CK144</f>
        <v>0</v>
      </c>
      <c r="CD118">
        <f>Model!CL144</f>
        <v>0</v>
      </c>
      <c r="CE118">
        <f>Model!CM144</f>
        <v>0</v>
      </c>
      <c r="CF118">
        <f>Model!CN144</f>
        <v>0</v>
      </c>
      <c r="CG118">
        <f>Model!CO144</f>
        <v>0</v>
      </c>
      <c r="CH118">
        <f>Model!CP144</f>
        <v>0</v>
      </c>
      <c r="CI118">
        <f>Model!CQ144</f>
        <v>0</v>
      </c>
      <c r="CJ118">
        <f>Model!CR144</f>
        <v>0</v>
      </c>
      <c r="CK118">
        <f>Model!CS144</f>
        <v>0</v>
      </c>
      <c r="CL118">
        <f>Model!CT144</f>
        <v>0</v>
      </c>
      <c r="CM118">
        <f>Model!CU144</f>
        <v>0</v>
      </c>
      <c r="CN118">
        <f>Model!CV144</f>
        <v>0</v>
      </c>
      <c r="CO118">
        <f>Model!CW144</f>
        <v>0</v>
      </c>
      <c r="CP118">
        <f>Model!CX144</f>
        <v>0</v>
      </c>
      <c r="CQ118">
        <f>Model!CY144</f>
        <v>0</v>
      </c>
      <c r="CR118">
        <f>Model!DG144</f>
        <v>0</v>
      </c>
      <c r="CS118">
        <f>Model!DH144</f>
        <v>0</v>
      </c>
      <c r="CT118">
        <f>Model!DI144</f>
        <v>0</v>
      </c>
      <c r="CU118">
        <f>Model!DJ144</f>
        <v>0</v>
      </c>
    </row>
    <row r="119" spans="1:99">
      <c r="A119" t="str">
        <f>Model!I145</f>
        <v>Minority Interest Adjustment</v>
      </c>
      <c r="B119">
        <f>Model!J145</f>
        <v>0</v>
      </c>
      <c r="C119">
        <f>Model!K145</f>
        <v>0</v>
      </c>
      <c r="D119">
        <f>Model!L145</f>
        <v>0</v>
      </c>
      <c r="E119">
        <f>Model!M145</f>
        <v>0</v>
      </c>
      <c r="F119">
        <f>Model!N145</f>
        <v>0</v>
      </c>
      <c r="G119">
        <f>Model!O145</f>
        <v>0</v>
      </c>
      <c r="H119">
        <f>Model!P145</f>
        <v>0</v>
      </c>
      <c r="I119">
        <f>Model!Q145</f>
        <v>0</v>
      </c>
      <c r="J119">
        <f>Model!R145</f>
        <v>0</v>
      </c>
      <c r="K119">
        <f>Model!S145</f>
        <v>0</v>
      </c>
      <c r="L119">
        <f>Model!T145</f>
        <v>0</v>
      </c>
      <c r="M119">
        <f>Model!U145</f>
        <v>0</v>
      </c>
      <c r="N119">
        <f>Model!V145</f>
        <v>0</v>
      </c>
      <c r="O119">
        <f>Model!W145</f>
        <v>0</v>
      </c>
      <c r="P119">
        <f>Model!X145</f>
        <v>0</v>
      </c>
      <c r="Q119">
        <f>Model!Y145</f>
        <v>0</v>
      </c>
      <c r="R119">
        <f>Model!Z145</f>
        <v>0</v>
      </c>
      <c r="S119">
        <f>Model!AA145</f>
        <v>0</v>
      </c>
      <c r="T119">
        <f>Model!AB145</f>
        <v>0</v>
      </c>
      <c r="U119">
        <f>Model!AC145</f>
        <v>0</v>
      </c>
      <c r="V119">
        <f>Model!AD145</f>
        <v>0</v>
      </c>
      <c r="W119">
        <f>Model!AE145</f>
        <v>0</v>
      </c>
      <c r="X119">
        <f>Model!AF145</f>
        <v>0</v>
      </c>
      <c r="Y119">
        <f>Model!AG145</f>
        <v>0</v>
      </c>
      <c r="Z119">
        <f>Model!AH145</f>
        <v>0</v>
      </c>
      <c r="AA119">
        <f>Model!AI145</f>
        <v>0</v>
      </c>
      <c r="AB119">
        <f>Model!AJ145</f>
        <v>0</v>
      </c>
      <c r="AC119">
        <f>Model!AK145</f>
        <v>0</v>
      </c>
      <c r="AD119">
        <f>Model!AL145</f>
        <v>0</v>
      </c>
      <c r="AE119">
        <f>Model!AM145</f>
        <v>0</v>
      </c>
      <c r="AF119">
        <f>Model!AN145</f>
        <v>0</v>
      </c>
      <c r="AG119">
        <f>Model!AO145</f>
        <v>0</v>
      </c>
      <c r="AH119">
        <f>Model!AP145</f>
        <v>0</v>
      </c>
      <c r="AI119">
        <f>Model!AQ145</f>
        <v>0</v>
      </c>
      <c r="AJ119">
        <f>Model!AR145</f>
        <v>0</v>
      </c>
      <c r="AK119">
        <f>Model!AS145</f>
        <v>0</v>
      </c>
      <c r="AL119">
        <f>Model!AT145</f>
        <v>0</v>
      </c>
      <c r="AM119">
        <f>Model!AU145</f>
        <v>0</v>
      </c>
      <c r="AN119">
        <f>Model!AV145</f>
        <v>0</v>
      </c>
      <c r="AO119">
        <f>Model!AW145</f>
        <v>0</v>
      </c>
      <c r="AP119">
        <f>Model!AX145</f>
        <v>-0.40899999999999997</v>
      </c>
      <c r="AQ119">
        <f>Model!AY145</f>
        <v>-0.745</v>
      </c>
      <c r="AR119">
        <f>Model!AZ145</f>
        <v>-0.91900000000000004</v>
      </c>
      <c r="AS119">
        <f>Model!BA145</f>
        <v>-0.66400000000000003</v>
      </c>
      <c r="AT119">
        <f>Model!BB145</f>
        <v>-0.45600000000000002</v>
      </c>
      <c r="AU119">
        <f>Model!BC145</f>
        <v>-0.17299999999999999</v>
      </c>
      <c r="AV119">
        <f>Model!BD145</f>
        <v>-0.49099999999999999</v>
      </c>
      <c r="AW119">
        <f>Model!BE145</f>
        <v>-0.46</v>
      </c>
      <c r="AX119">
        <f>Model!BF145</f>
        <v>-0.33600000000000002</v>
      </c>
      <c r="AY119">
        <f>Model!BG145</f>
        <v>-0.127</v>
      </c>
      <c r="AZ119">
        <f>Model!BH145</f>
        <v>0.126</v>
      </c>
      <c r="BA119">
        <f>Model!BI145</f>
        <v>-0.38900000000000001</v>
      </c>
      <c r="BB119">
        <f>Model!BJ145</f>
        <v>-5.0999999999999997E-2</v>
      </c>
      <c r="BC119">
        <f>Model!BK145</f>
        <v>0</v>
      </c>
      <c r="BD119">
        <f>Model!BL145</f>
        <v>0</v>
      </c>
      <c r="BE119">
        <f>Model!BM145</f>
        <v>0</v>
      </c>
      <c r="BF119">
        <f>Model!BN145</f>
        <v>0</v>
      </c>
      <c r="BG119">
        <f>Model!BO145</f>
        <v>0</v>
      </c>
      <c r="BH119">
        <f>Model!BP145</f>
        <v>0</v>
      </c>
      <c r="BI119">
        <f>Model!BQ145</f>
        <v>0</v>
      </c>
      <c r="BJ119">
        <f>Model!BR145</f>
        <v>0</v>
      </c>
      <c r="BK119">
        <f>Model!BS145</f>
        <v>0</v>
      </c>
      <c r="BL119">
        <f>Model!BT145</f>
        <v>0</v>
      </c>
      <c r="BM119">
        <f>Model!BU145</f>
        <v>0</v>
      </c>
      <c r="BN119">
        <f>Model!BV145</f>
        <v>0</v>
      </c>
      <c r="BO119">
        <f>Model!BW145</f>
        <v>0</v>
      </c>
      <c r="BP119">
        <f>Model!BX145</f>
        <v>0</v>
      </c>
      <c r="BQ119">
        <f>Model!BY145</f>
        <v>0</v>
      </c>
      <c r="BR119">
        <f>Model!BZ145</f>
        <v>0</v>
      </c>
      <c r="BS119">
        <f>Model!CA145</f>
        <v>0</v>
      </c>
      <c r="BT119">
        <f>Model!CB145</f>
        <v>0</v>
      </c>
      <c r="BU119">
        <f>Model!CC145</f>
        <v>0</v>
      </c>
      <c r="BV119">
        <f>Model!CD145</f>
        <v>0</v>
      </c>
      <c r="BW119">
        <f>Model!CE145</f>
        <v>0</v>
      </c>
      <c r="BX119">
        <f>Model!CF145</f>
        <v>0</v>
      </c>
      <c r="BY119">
        <f>Model!CG145</f>
        <v>0</v>
      </c>
      <c r="BZ119">
        <f>Model!CH145</f>
        <v>0</v>
      </c>
      <c r="CA119">
        <f>Model!CI145</f>
        <v>0</v>
      </c>
      <c r="CB119">
        <f>Model!CJ145</f>
        <v>0</v>
      </c>
      <c r="CC119">
        <f>Model!CK145</f>
        <v>0</v>
      </c>
      <c r="CD119">
        <f>Model!CL145</f>
        <v>0</v>
      </c>
      <c r="CE119">
        <f>Model!CM145</f>
        <v>0</v>
      </c>
      <c r="CF119">
        <f>Model!CN145</f>
        <v>0</v>
      </c>
      <c r="CG119">
        <f>Model!CO145</f>
        <v>0</v>
      </c>
      <c r="CH119">
        <f>Model!CP145</f>
        <v>0</v>
      </c>
      <c r="CI119">
        <f>Model!CQ145</f>
        <v>-2.073</v>
      </c>
      <c r="CJ119">
        <f>Model!CR145</f>
        <v>-1.7840000000000003</v>
      </c>
      <c r="CK119">
        <f>Model!CS145</f>
        <v>-0.79700000000000004</v>
      </c>
      <c r="CL119">
        <f>Model!CT145</f>
        <v>-0.44</v>
      </c>
      <c r="CM119">
        <f>Model!CU145</f>
        <v>0</v>
      </c>
      <c r="CN119">
        <f>Model!CV145</f>
        <v>0</v>
      </c>
      <c r="CO119">
        <f>Model!CW145</f>
        <v>0</v>
      </c>
      <c r="CP119">
        <f>Model!CX145</f>
        <v>0</v>
      </c>
      <c r="CQ119">
        <f>Model!CY145</f>
        <v>0</v>
      </c>
      <c r="CR119">
        <f>Model!DG145</f>
        <v>0</v>
      </c>
      <c r="CS119">
        <f>Model!DH145</f>
        <v>0</v>
      </c>
      <c r="CT119">
        <f>Model!DI145</f>
        <v>0</v>
      </c>
      <c r="CU119">
        <f>Model!DJ145</f>
        <v>0</v>
      </c>
    </row>
    <row r="120" spans="1:99">
      <c r="A120" t="str">
        <f>Model!I146</f>
        <v>Adjusted Net Income (under old non-GAAP method)</v>
      </c>
      <c r="B120">
        <f>Model!J146</f>
        <v>0</v>
      </c>
      <c r="C120">
        <f>Model!K146</f>
        <v>0</v>
      </c>
      <c r="D120">
        <f>Model!L146</f>
        <v>0</v>
      </c>
      <c r="E120">
        <f>Model!M146</f>
        <v>0</v>
      </c>
      <c r="F120">
        <f>Model!N146</f>
        <v>0</v>
      </c>
      <c r="G120">
        <f>Model!O146</f>
        <v>0</v>
      </c>
      <c r="H120">
        <f>Model!P146</f>
        <v>0</v>
      </c>
      <c r="I120">
        <f>Model!Q146</f>
        <v>0</v>
      </c>
      <c r="J120">
        <f>Model!R146</f>
        <v>0</v>
      </c>
      <c r="K120">
        <f>Model!S146</f>
        <v>0</v>
      </c>
      <c r="L120">
        <f>Model!T146</f>
        <v>0</v>
      </c>
      <c r="M120">
        <f>Model!U146</f>
        <v>0</v>
      </c>
      <c r="N120">
        <f>Model!V146</f>
        <v>0</v>
      </c>
      <c r="O120">
        <f>Model!W146</f>
        <v>0</v>
      </c>
      <c r="P120">
        <f>Model!X146</f>
        <v>0</v>
      </c>
      <c r="Q120">
        <f>Model!Y146</f>
        <v>0</v>
      </c>
      <c r="R120">
        <f>Model!Z146</f>
        <v>0</v>
      </c>
      <c r="S120">
        <f>Model!AA146</f>
        <v>0</v>
      </c>
      <c r="T120">
        <f>Model!AB146</f>
        <v>0</v>
      </c>
      <c r="U120">
        <f>Model!AC146</f>
        <v>0</v>
      </c>
      <c r="V120">
        <f>Model!AD146</f>
        <v>0</v>
      </c>
      <c r="W120">
        <f>Model!AE146</f>
        <v>0</v>
      </c>
      <c r="X120">
        <f>Model!AF146</f>
        <v>0</v>
      </c>
      <c r="Y120">
        <f>Model!AG146</f>
        <v>7.5680000000000014</v>
      </c>
      <c r="Z120">
        <f>Model!AH146</f>
        <v>23.000000000000004</v>
      </c>
      <c r="AA120">
        <f>Model!AI146</f>
        <v>30.151</v>
      </c>
      <c r="AB120">
        <f>Model!AJ146</f>
        <v>22.427999999999955</v>
      </c>
      <c r="AC120">
        <f>Model!AK146</f>
        <v>17.384000000000036</v>
      </c>
      <c r="AD120">
        <f>Model!AL146</f>
        <v>47.341999999999935</v>
      </c>
      <c r="AE120">
        <f>Model!AM146</f>
        <v>71.540999999999997</v>
      </c>
      <c r="AF120">
        <f>Model!AN146</f>
        <v>46.192000000000007</v>
      </c>
      <c r="AG120">
        <f>Model!AO146</f>
        <v>37.349000000000011</v>
      </c>
      <c r="AH120">
        <f>Model!AP146</f>
        <v>78.471000000000046</v>
      </c>
      <c r="AI120">
        <f>Model!AQ146</f>
        <v>116.78800000000004</v>
      </c>
      <c r="AJ120">
        <f>Model!AR146</f>
        <v>58.228999999999985</v>
      </c>
      <c r="AK120">
        <f>Model!AS146</f>
        <v>51.28</v>
      </c>
      <c r="AL120">
        <f>Model!AT146</f>
        <v>98.98099999999998</v>
      </c>
      <c r="AM120">
        <f>Model!AU146</f>
        <v>173.34</v>
      </c>
      <c r="AN120">
        <f>Model!AV146</f>
        <v>101.64900000000006</v>
      </c>
      <c r="AO120">
        <f>Model!AW146</f>
        <v>87.235999999999876</v>
      </c>
      <c r="AP120">
        <f>Model!AX146</f>
        <v>158.15299999999988</v>
      </c>
      <c r="AQ120">
        <f>Model!AY146</f>
        <v>272.25799999999987</v>
      </c>
      <c r="AR120">
        <f>Model!AZ146</f>
        <v>175.01000000000005</v>
      </c>
      <c r="AS120">
        <f>Model!BA146</f>
        <v>137.03200000000001</v>
      </c>
      <c r="AT120">
        <f>Model!BB146</f>
        <v>282.56100000000009</v>
      </c>
      <c r="AU120">
        <f>Model!BC146</f>
        <v>512.5500000000003</v>
      </c>
      <c r="AV120">
        <f>Model!BD146</f>
        <v>276.77300000000008</v>
      </c>
      <c r="AW120">
        <f>Model!BE146</f>
        <v>220.85599999999997</v>
      </c>
      <c r="AX120">
        <f>Model!BF146</f>
        <v>404.59899999999993</v>
      </c>
      <c r="AY120">
        <f>Model!BG146</f>
        <v>638.23300000000006</v>
      </c>
      <c r="AZ120">
        <f>Model!BH146</f>
        <v>348.53800000000012</v>
      </c>
      <c r="BA120">
        <f>Model!BI146</f>
        <v>297.23499999999984</v>
      </c>
      <c r="BB120">
        <f>Model!BJ146</f>
        <v>508.25100000000003</v>
      </c>
      <c r="BC120">
        <f>Model!BK146</f>
        <v>920.09099999999989</v>
      </c>
      <c r="BD120">
        <f>Model!BL146</f>
        <v>471.1169999999999</v>
      </c>
      <c r="BE120">
        <f>Model!BM146</f>
        <v>416.47800000000007</v>
      </c>
      <c r="BF120">
        <f>Model!BN146</f>
        <v>667.10000000000014</v>
      </c>
      <c r="BG120">
        <f>Model!BO146</f>
        <v>1182.4460000000004</v>
      </c>
      <c r="BH120">
        <f>Model!BP146</f>
        <v>576.67699999999991</v>
      </c>
      <c r="BI120">
        <f>Model!BQ146</f>
        <v>428.52699999999987</v>
      </c>
      <c r="BJ120">
        <f>Model!BR146</f>
        <v>652.98200000000008</v>
      </c>
      <c r="BK120">
        <f>Model!BS146</f>
        <v>1304.2419999999997</v>
      </c>
      <c r="BL120">
        <f>Model!BT146</f>
        <v>640.96699999999976</v>
      </c>
      <c r="BM120">
        <f>Model!BU146</f>
        <v>532.48399999999947</v>
      </c>
      <c r="BN120">
        <f>Model!BV146</f>
        <v>702.62900000000013</v>
      </c>
      <c r="BO120">
        <f>Model!BW146</f>
        <v>1568.8430000000003</v>
      </c>
      <c r="BP120">
        <f>Model!BX146</f>
        <v>787.81735999999989</v>
      </c>
      <c r="BQ120">
        <f>Model!BY146</f>
        <v>559.8228363279884</v>
      </c>
      <c r="BR120">
        <f>Model!BZ146</f>
        <v>837.63252083328859</v>
      </c>
      <c r="BS120">
        <f>Model!CA146</f>
        <v>1870.0608848221423</v>
      </c>
      <c r="BT120">
        <f>Model!CB146</f>
        <v>919.37144271705336</v>
      </c>
      <c r="BU120">
        <f>Model!CC146</f>
        <v>624.25945642233239</v>
      </c>
      <c r="BV120">
        <f>Model!CD146</f>
        <v>1000.4448632774701</v>
      </c>
      <c r="BW120">
        <f>Model!CE146</f>
        <v>2108.0018605115506</v>
      </c>
      <c r="BX120">
        <f>Model!CF146</f>
        <v>1135.6393991227617</v>
      </c>
      <c r="BY120">
        <f>Model!CG146</f>
        <v>0</v>
      </c>
      <c r="BZ120">
        <f>Model!CH146</f>
        <v>0</v>
      </c>
      <c r="CA120">
        <f>Model!CI146</f>
        <v>0</v>
      </c>
      <c r="CB120">
        <f>Model!CJ146</f>
        <v>0</v>
      </c>
      <c r="CC120">
        <f>Model!CK146</f>
        <v>0</v>
      </c>
      <c r="CD120">
        <f>Model!CL146</f>
        <v>0</v>
      </c>
      <c r="CE120">
        <f>Model!CM146</f>
        <v>83.264000000000152</v>
      </c>
      <c r="CF120">
        <f>Model!CN146</f>
        <v>183.34099999999967</v>
      </c>
      <c r="CG120">
        <f>Model!CO146</f>
        <v>291.65600000000006</v>
      </c>
      <c r="CH120">
        <f>Model!CP146</f>
        <v>425.24999999999983</v>
      </c>
      <c r="CI120">
        <f>Model!CQ146</f>
        <v>692.65699999999981</v>
      </c>
      <c r="CJ120">
        <f>Model!CR146</f>
        <v>1208.9160000000004</v>
      </c>
      <c r="CK120">
        <f>Model!CS146</f>
        <v>1612.2260000000008</v>
      </c>
      <c r="CL120">
        <f>Model!CT146</f>
        <v>2196.694</v>
      </c>
      <c r="CM120">
        <f>Model!CU146</f>
        <v>2842.7009999999987</v>
      </c>
      <c r="CN120">
        <f>Model!CV146</f>
        <v>3026.7179999999994</v>
      </c>
      <c r="CO120">
        <f>Model!CW146</f>
        <v>3591.7733599999997</v>
      </c>
      <c r="CP120">
        <f>Model!CX146</f>
        <v>4186.8876847004703</v>
      </c>
      <c r="CQ120">
        <f>Model!CY146</f>
        <v>4868.3455793341154</v>
      </c>
      <c r="CR120">
        <f>Model!DG146</f>
        <v>0.34304556292439514</v>
      </c>
      <c r="CS120">
        <f>Model!DH146</f>
        <v>0.16118013352495031</v>
      </c>
      <c r="CT120">
        <f>Model!DI146</f>
        <v>0</v>
      </c>
      <c r="CU120">
        <f>Model!DJ146</f>
        <v>0</v>
      </c>
    </row>
    <row r="121" spans="1:99">
      <c r="A121">
        <f>Model!I147</f>
        <v>0</v>
      </c>
      <c r="B121">
        <f>Model!J147</f>
        <v>0</v>
      </c>
      <c r="C121">
        <f>Model!K147</f>
        <v>0</v>
      </c>
      <c r="D121">
        <f>Model!L147</f>
        <v>0</v>
      </c>
      <c r="E121">
        <f>Model!M147</f>
        <v>0</v>
      </c>
      <c r="F121">
        <f>Model!N147</f>
        <v>0</v>
      </c>
      <c r="G121">
        <f>Model!O147</f>
        <v>0</v>
      </c>
      <c r="H121">
        <f>Model!P147</f>
        <v>0</v>
      </c>
      <c r="I121">
        <f>Model!Q147</f>
        <v>0</v>
      </c>
      <c r="J121">
        <f>Model!R147</f>
        <v>0</v>
      </c>
      <c r="K121">
        <f>Model!S147</f>
        <v>0</v>
      </c>
      <c r="L121">
        <f>Model!T147</f>
        <v>0</v>
      </c>
      <c r="M121">
        <f>Model!U147</f>
        <v>0</v>
      </c>
      <c r="N121">
        <f>Model!V147</f>
        <v>0</v>
      </c>
      <c r="O121">
        <f>Model!W147</f>
        <v>0</v>
      </c>
      <c r="P121">
        <f>Model!X147</f>
        <v>0</v>
      </c>
      <c r="Q121">
        <f>Model!Y147</f>
        <v>0</v>
      </c>
      <c r="R121">
        <f>Model!Z147</f>
        <v>0</v>
      </c>
      <c r="S121">
        <f>Model!AA147</f>
        <v>0</v>
      </c>
      <c r="T121">
        <f>Model!AB147</f>
        <v>0</v>
      </c>
      <c r="U121">
        <f>Model!AC147</f>
        <v>0</v>
      </c>
      <c r="V121">
        <f>Model!AD147</f>
        <v>0</v>
      </c>
      <c r="W121">
        <f>Model!AE147</f>
        <v>0</v>
      </c>
      <c r="X121">
        <f>Model!AF147</f>
        <v>0</v>
      </c>
      <c r="Y121">
        <f>Model!AG147</f>
        <v>0</v>
      </c>
      <c r="Z121">
        <f>Model!AH147</f>
        <v>0</v>
      </c>
      <c r="AA121">
        <f>Model!AI147</f>
        <v>0</v>
      </c>
      <c r="AB121">
        <f>Model!AJ147</f>
        <v>0</v>
      </c>
      <c r="AC121">
        <f>Model!AK147</f>
        <v>0</v>
      </c>
      <c r="AD121">
        <f>Model!AL147</f>
        <v>0</v>
      </c>
      <c r="AE121">
        <f>Model!AM147</f>
        <v>0</v>
      </c>
      <c r="AF121">
        <f>Model!AN147</f>
        <v>0</v>
      </c>
      <c r="AG121">
        <f>Model!AO147</f>
        <v>0</v>
      </c>
      <c r="AH121">
        <f>Model!AP147</f>
        <v>0</v>
      </c>
      <c r="AI121">
        <f>Model!AQ147</f>
        <v>0</v>
      </c>
      <c r="AJ121">
        <f>Model!AR147</f>
        <v>0</v>
      </c>
      <c r="AK121">
        <f>Model!AS147</f>
        <v>0</v>
      </c>
      <c r="AL121">
        <f>Model!AT147</f>
        <v>0</v>
      </c>
      <c r="AM121">
        <f>Model!AU147</f>
        <v>0</v>
      </c>
      <c r="AN121">
        <f>Model!AV147</f>
        <v>0</v>
      </c>
      <c r="AO121">
        <f>Model!AW147</f>
        <v>0</v>
      </c>
      <c r="AP121">
        <f>Model!AX147</f>
        <v>0</v>
      </c>
      <c r="AQ121">
        <f>Model!AY147</f>
        <v>0</v>
      </c>
      <c r="AR121">
        <f>Model!AZ147</f>
        <v>0</v>
      </c>
      <c r="AS121">
        <f>Model!BA147</f>
        <v>0</v>
      </c>
      <c r="AT121">
        <f>Model!BB147</f>
        <v>0</v>
      </c>
      <c r="AU121">
        <f>Model!BC147</f>
        <v>0</v>
      </c>
      <c r="AV121">
        <f>Model!BD147</f>
        <v>0</v>
      </c>
      <c r="AW121">
        <f>Model!BE147</f>
        <v>0</v>
      </c>
      <c r="AX121">
        <f>Model!BF147</f>
        <v>0</v>
      </c>
      <c r="AY121">
        <f>Model!BG147</f>
        <v>0</v>
      </c>
      <c r="AZ121">
        <f>Model!BH147</f>
        <v>0</v>
      </c>
      <c r="BA121">
        <f>Model!BI147</f>
        <v>0</v>
      </c>
      <c r="BB121">
        <f>Model!BJ147</f>
        <v>0</v>
      </c>
      <c r="BC121">
        <f>Model!BK147</f>
        <v>0</v>
      </c>
      <c r="BD121">
        <f>Model!BL147</f>
        <v>0</v>
      </c>
      <c r="BE121">
        <f>Model!BM147</f>
        <v>0</v>
      </c>
      <c r="BF121">
        <f>Model!BN147</f>
        <v>0</v>
      </c>
      <c r="BG121">
        <f>Model!BO147</f>
        <v>0</v>
      </c>
      <c r="BH121">
        <f>Model!BP147</f>
        <v>0</v>
      </c>
      <c r="BI121">
        <f>Model!BQ147</f>
        <v>0</v>
      </c>
      <c r="BJ121">
        <f>Model!BR147</f>
        <v>0</v>
      </c>
      <c r="BK121">
        <f>Model!BS147</f>
        <v>0</v>
      </c>
      <c r="BL121">
        <f>Model!BT147</f>
        <v>0</v>
      </c>
      <c r="BM121">
        <f>Model!BU147</f>
        <v>0</v>
      </c>
      <c r="BN121">
        <f>Model!BV147</f>
        <v>0</v>
      </c>
      <c r="BO121">
        <f>Model!BW147</f>
        <v>0</v>
      </c>
      <c r="BP121">
        <f>Model!BX147</f>
        <v>0</v>
      </c>
      <c r="BQ121">
        <f>Model!BY147</f>
        <v>0</v>
      </c>
      <c r="BR121">
        <f>Model!BZ147</f>
        <v>0</v>
      </c>
      <c r="BS121">
        <f>Model!CA147</f>
        <v>0</v>
      </c>
      <c r="BT121">
        <f>Model!CB147</f>
        <v>0</v>
      </c>
      <c r="BU121">
        <f>Model!CC147</f>
        <v>0</v>
      </c>
      <c r="BV121">
        <f>Model!CD147</f>
        <v>0</v>
      </c>
      <c r="BW121">
        <f>Model!CE147</f>
        <v>0</v>
      </c>
      <c r="BX121">
        <f>Model!CF147</f>
        <v>0</v>
      </c>
      <c r="BY121">
        <f>Model!CG147</f>
        <v>0</v>
      </c>
      <c r="BZ121">
        <f>Model!CH147</f>
        <v>0</v>
      </c>
      <c r="CA121">
        <f>Model!CI147</f>
        <v>0</v>
      </c>
      <c r="CB121">
        <f>Model!CJ147</f>
        <v>0</v>
      </c>
      <c r="CC121">
        <f>Model!CK147</f>
        <v>0</v>
      </c>
      <c r="CD121">
        <f>Model!CL147</f>
        <v>0</v>
      </c>
      <c r="CE121">
        <f>Model!CM147</f>
        <v>0</v>
      </c>
      <c r="CF121">
        <f>Model!CN147</f>
        <v>0</v>
      </c>
      <c r="CG121">
        <f>Model!CO147</f>
        <v>0</v>
      </c>
      <c r="CH121">
        <f>Model!CP147</f>
        <v>0</v>
      </c>
      <c r="CI121">
        <f>Model!CQ147</f>
        <v>0</v>
      </c>
      <c r="CJ121">
        <f>Model!CR147</f>
        <v>0</v>
      </c>
      <c r="CK121">
        <f>Model!CS147</f>
        <v>0</v>
      </c>
      <c r="CL121">
        <f>Model!CT147</f>
        <v>0</v>
      </c>
      <c r="CM121">
        <f>Model!CU147</f>
        <v>0</v>
      </c>
      <c r="CN121">
        <f>Model!CV147</f>
        <v>0</v>
      </c>
      <c r="CO121">
        <f>Model!CW147</f>
        <v>0</v>
      </c>
      <c r="CP121">
        <f>Model!CX147</f>
        <v>0</v>
      </c>
      <c r="CQ121">
        <f>Model!CY147</f>
        <v>0</v>
      </c>
      <c r="CR121">
        <f>Model!DG147</f>
        <v>0</v>
      </c>
      <c r="CS121">
        <f>Model!DH147</f>
        <v>0</v>
      </c>
      <c r="CT121">
        <f>Model!DI147</f>
        <v>0</v>
      </c>
      <c r="CU121">
        <f>Model!DJ147</f>
        <v>0</v>
      </c>
    </row>
    <row r="122" spans="1:99">
      <c r="A122" t="str">
        <f>Model!I150</f>
        <v>GAAP Wtd Average Basic Shares Outstanding</v>
      </c>
      <c r="B122">
        <f>Model!J150</f>
        <v>0</v>
      </c>
      <c r="C122">
        <f>Model!K150</f>
        <v>0</v>
      </c>
      <c r="D122">
        <f>Model!L150</f>
        <v>0</v>
      </c>
      <c r="E122">
        <f>Model!M150</f>
        <v>0</v>
      </c>
      <c r="F122">
        <f>Model!N150</f>
        <v>0</v>
      </c>
      <c r="G122">
        <f>Model!O150</f>
        <v>0</v>
      </c>
      <c r="H122">
        <f>Model!P150</f>
        <v>0</v>
      </c>
      <c r="I122">
        <f>Model!Q150</f>
        <v>0</v>
      </c>
      <c r="J122">
        <f>Model!R150</f>
        <v>0</v>
      </c>
      <c r="K122">
        <f>Model!S150</f>
        <v>0</v>
      </c>
      <c r="L122">
        <f>Model!T150</f>
        <v>0</v>
      </c>
      <c r="M122">
        <f>Model!U150</f>
        <v>0</v>
      </c>
      <c r="N122">
        <f>Model!V150</f>
        <v>0</v>
      </c>
      <c r="O122">
        <f>Model!W150</f>
        <v>0</v>
      </c>
      <c r="P122">
        <f>Model!X150</f>
        <v>0</v>
      </c>
      <c r="Q122">
        <f>Model!Y150</f>
        <v>0</v>
      </c>
      <c r="R122">
        <f>Model!Z150</f>
        <v>0</v>
      </c>
      <c r="S122">
        <f>Model!AA150</f>
        <v>0</v>
      </c>
      <c r="T122">
        <f>Model!AB150</f>
        <v>0</v>
      </c>
      <c r="U122">
        <f>Model!AC150</f>
        <v>0</v>
      </c>
      <c r="V122">
        <f>Model!AD150</f>
        <v>0</v>
      </c>
      <c r="W122">
        <f>Model!AE150</f>
        <v>0</v>
      </c>
      <c r="X122">
        <f>Model!AF150</f>
        <v>0</v>
      </c>
      <c r="Y122">
        <f>Model!AG150</f>
        <v>39.380000000000003</v>
      </c>
      <c r="Z122">
        <f>Model!AH150</f>
        <v>39.481000000000002</v>
      </c>
      <c r="AA122">
        <f>Model!AI150</f>
        <v>39.595999999999997</v>
      </c>
      <c r="AB122">
        <f>Model!AJ150</f>
        <v>36.165999999999997</v>
      </c>
      <c r="AC122">
        <f>Model!AK150</f>
        <v>37.191000000000003</v>
      </c>
      <c r="AD122">
        <f>Model!AL150</f>
        <v>37.597000000000001</v>
      </c>
      <c r="AE122">
        <f>Model!AM150</f>
        <v>37.802999999999997</v>
      </c>
      <c r="AF122">
        <f>Model!AN150</f>
        <v>38.082000000000001</v>
      </c>
      <c r="AG122">
        <f>Model!AO150</f>
        <v>38.223999999999997</v>
      </c>
      <c r="AH122">
        <f>Model!AP150</f>
        <v>38.768000000000001</v>
      </c>
      <c r="AI122">
        <f>Model!AQ150</f>
        <v>39.715000000000003</v>
      </c>
      <c r="AJ122">
        <f>Model!AR150</f>
        <v>40.503999999999998</v>
      </c>
      <c r="AK122">
        <f>Model!AS150</f>
        <v>41.003999999999998</v>
      </c>
      <c r="AL122">
        <f>Model!AT150</f>
        <v>41.661000000000001</v>
      </c>
      <c r="AM122">
        <f>Model!AU150</f>
        <v>42.569000000000003</v>
      </c>
      <c r="AN122">
        <f>Model!AV150</f>
        <v>44.35</v>
      </c>
      <c r="AO122">
        <f>Model!AW150</f>
        <v>46.308999999999997</v>
      </c>
      <c r="AP122">
        <f>Model!AX150</f>
        <v>47.790999999999997</v>
      </c>
      <c r="AQ122">
        <f>Model!AY150</f>
        <v>48.57</v>
      </c>
      <c r="AR122">
        <f>Model!AZ150</f>
        <v>49.110999999999997</v>
      </c>
      <c r="AS122">
        <f>Model!BA150</f>
        <v>0</v>
      </c>
      <c r="AT122">
        <f>Model!BB150</f>
        <v>0</v>
      </c>
      <c r="AU122">
        <f>Model!BC150</f>
        <v>0</v>
      </c>
      <c r="AV122">
        <f>Model!BD150</f>
        <v>0</v>
      </c>
      <c r="AW122">
        <f>Model!BE150</f>
        <v>0</v>
      </c>
      <c r="AX122">
        <f>Model!BF150</f>
        <v>0</v>
      </c>
      <c r="AY122">
        <f>Model!BG150</f>
        <v>0</v>
      </c>
      <c r="AZ122">
        <f>Model!BH150</f>
        <v>0</v>
      </c>
      <c r="BA122">
        <f>Model!BI150</f>
        <v>0</v>
      </c>
      <c r="BB122">
        <f>Model!BJ150</f>
        <v>0</v>
      </c>
      <c r="BC122">
        <f>Model!BK150</f>
        <v>0</v>
      </c>
      <c r="BD122">
        <f>Model!BL150</f>
        <v>0</v>
      </c>
      <c r="BE122">
        <f>Model!BM150</f>
        <v>0</v>
      </c>
      <c r="BF122">
        <f>Model!BN150</f>
        <v>0</v>
      </c>
      <c r="BG122">
        <f>Model!BO150</f>
        <v>0</v>
      </c>
      <c r="BH122">
        <f>Model!BP150</f>
        <v>0</v>
      </c>
      <c r="BI122">
        <f>Model!BQ150</f>
        <v>0</v>
      </c>
      <c r="BJ122">
        <f>Model!BR150</f>
        <v>0</v>
      </c>
      <c r="BK122">
        <f>Model!BS150</f>
        <v>0</v>
      </c>
      <c r="BL122">
        <f>Model!BT150</f>
        <v>0</v>
      </c>
      <c r="BM122">
        <f>Model!BU150</f>
        <v>0</v>
      </c>
      <c r="BN122">
        <f>Model!BV150</f>
        <v>0</v>
      </c>
      <c r="BO122">
        <f>Model!BW150</f>
        <v>0</v>
      </c>
      <c r="BP122">
        <f>Model!BX150</f>
        <v>0</v>
      </c>
      <c r="BQ122">
        <f>Model!BY150</f>
        <v>0</v>
      </c>
      <c r="BR122">
        <f>Model!BZ150</f>
        <v>0</v>
      </c>
      <c r="BS122">
        <f>Model!CA150</f>
        <v>0</v>
      </c>
      <c r="BT122">
        <f>Model!CB150</f>
        <v>0</v>
      </c>
      <c r="BU122">
        <f>Model!CC150</f>
        <v>0</v>
      </c>
      <c r="BV122">
        <f>Model!CD150</f>
        <v>0</v>
      </c>
      <c r="BW122">
        <f>Model!CE150</f>
        <v>0</v>
      </c>
      <c r="BX122">
        <f>Model!CF150</f>
        <v>0</v>
      </c>
      <c r="BY122">
        <f>Model!CG150</f>
        <v>0</v>
      </c>
      <c r="BZ122">
        <f>Model!CH150</f>
        <v>0</v>
      </c>
      <c r="CA122">
        <f>Model!CI150</f>
        <v>0</v>
      </c>
      <c r="CB122">
        <f>Model!CJ150</f>
        <v>0</v>
      </c>
      <c r="CC122">
        <f>Model!CK150</f>
        <v>0</v>
      </c>
      <c r="CD122">
        <f>Model!CL150</f>
        <v>0</v>
      </c>
      <c r="CE122">
        <f>Model!CM150</f>
        <v>0</v>
      </c>
      <c r="CF122">
        <f>Model!CN150</f>
        <v>0</v>
      </c>
      <c r="CG122">
        <f>Model!CO150</f>
        <v>0</v>
      </c>
      <c r="CH122">
        <f>Model!CP150</f>
        <v>0</v>
      </c>
      <c r="CI122">
        <f>Model!CQ150</f>
        <v>47.954999999999998</v>
      </c>
      <c r="CJ122">
        <f>Model!CR150</f>
        <v>49.654000000000003</v>
      </c>
      <c r="CK122">
        <f>Model!CS150</f>
        <v>49.84</v>
      </c>
      <c r="CL122">
        <f>Model!CT150</f>
        <v>50.923999999999999</v>
      </c>
      <c r="CM122">
        <f>Model!CU150</f>
        <v>52.301000000000002</v>
      </c>
      <c r="CN122">
        <f>Model!CV150</f>
        <v>50.898407685239022</v>
      </c>
      <c r="CO122">
        <f>Model!CW150</f>
        <v>49.358989057254853</v>
      </c>
      <c r="CP122">
        <f>Model!CX150</f>
        <v>48.949000534478571</v>
      </c>
      <c r="CQ122">
        <f>Model!CY150</f>
        <v>47.879516575490442</v>
      </c>
      <c r="CR122">
        <f>Model!DG150</f>
        <v>1.1984964698803058E-2</v>
      </c>
      <c r="CS122">
        <f>Model!DH150</f>
        <v>-1.8623484157615056E-2</v>
      </c>
      <c r="CT122">
        <f>Model!DI150</f>
        <v>0</v>
      </c>
      <c r="CU122">
        <f>Model!DJ150</f>
        <v>0</v>
      </c>
    </row>
    <row r="123" spans="1:99">
      <c r="A123" t="str">
        <f>Model!I151</f>
        <v>GAAP Wtd Average Diluted Shares Outstanding</v>
      </c>
      <c r="B123">
        <f>Model!J151</f>
        <v>0</v>
      </c>
      <c r="C123">
        <f>Model!K151</f>
        <v>0</v>
      </c>
      <c r="D123">
        <f>Model!L151</f>
        <v>0</v>
      </c>
      <c r="E123">
        <f>Model!M151</f>
        <v>0</v>
      </c>
      <c r="F123">
        <f>Model!N151</f>
        <v>0</v>
      </c>
      <c r="G123">
        <f>Model!O151</f>
        <v>0</v>
      </c>
      <c r="H123">
        <f>Model!P151</f>
        <v>0</v>
      </c>
      <c r="I123">
        <f>Model!Q151</f>
        <v>0</v>
      </c>
      <c r="J123">
        <f>Model!R151</f>
        <v>0</v>
      </c>
      <c r="K123">
        <f>Model!S151</f>
        <v>0</v>
      </c>
      <c r="L123">
        <f>Model!T151</f>
        <v>0</v>
      </c>
      <c r="M123">
        <f>Model!U151</f>
        <v>0</v>
      </c>
      <c r="N123">
        <f>Model!V151</f>
        <v>0</v>
      </c>
      <c r="O123">
        <f>Model!W151</f>
        <v>0</v>
      </c>
      <c r="P123">
        <f>Model!X151</f>
        <v>0</v>
      </c>
      <c r="Q123">
        <f>Model!Y151</f>
        <v>0</v>
      </c>
      <c r="R123">
        <f>Model!Z151</f>
        <v>0</v>
      </c>
      <c r="S123">
        <f>Model!AA151</f>
        <v>0</v>
      </c>
      <c r="T123">
        <f>Model!AB151</f>
        <v>0</v>
      </c>
      <c r="U123">
        <f>Model!AC151</f>
        <v>0</v>
      </c>
      <c r="V123">
        <f>Model!AD151</f>
        <v>0</v>
      </c>
      <c r="W123">
        <f>Model!AE151</f>
        <v>0</v>
      </c>
      <c r="X123">
        <f>Model!AF151</f>
        <v>0</v>
      </c>
      <c r="Y123">
        <f>Model!AG151</f>
        <v>39.380000000000003</v>
      </c>
      <c r="Z123">
        <f>Model!AH151</f>
        <v>46.993000000000002</v>
      </c>
      <c r="AA123">
        <f>Model!AI151</f>
        <v>46.384999999999998</v>
      </c>
      <c r="AB123">
        <f>Model!AJ151</f>
        <v>40.936</v>
      </c>
      <c r="AC123">
        <f>Model!AK151</f>
        <v>37.170999999999999</v>
      </c>
      <c r="AD123">
        <f>Model!AL151</f>
        <v>43.667000000000002</v>
      </c>
      <c r="AE123">
        <f>Model!AM151</f>
        <v>45.923999999999999</v>
      </c>
      <c r="AF123">
        <f>Model!AN151</f>
        <v>48.35</v>
      </c>
      <c r="AG123">
        <f>Model!AO151</f>
        <v>49.134</v>
      </c>
      <c r="AH123">
        <f>Model!AP151</f>
        <v>49.948</v>
      </c>
      <c r="AI123">
        <f>Model!AQ151</f>
        <v>48.655999999999999</v>
      </c>
      <c r="AJ123">
        <f>Model!AR151</f>
        <v>45.55</v>
      </c>
      <c r="AK123">
        <f>Model!AS151</f>
        <v>47.012999999999998</v>
      </c>
      <c r="AL123">
        <f>Model!AT151</f>
        <v>48.478999999999999</v>
      </c>
      <c r="AM123">
        <f>Model!AU151</f>
        <v>49.67</v>
      </c>
      <c r="AN123">
        <f>Model!AV151</f>
        <v>50.57</v>
      </c>
      <c r="AO123">
        <f>Model!AW151</f>
        <v>50.862000000000002</v>
      </c>
      <c r="AP123">
        <f>Model!AX151</f>
        <v>50.847000000000001</v>
      </c>
      <c r="AQ123">
        <f>Model!AY151</f>
        <v>50.558999999999997</v>
      </c>
      <c r="AR123">
        <f>Model!AZ151</f>
        <v>51.034999999999997</v>
      </c>
      <c r="AS123">
        <f>Model!BA151</f>
        <v>51.158999999999999</v>
      </c>
      <c r="AT123">
        <f>Model!BB151</f>
        <v>51.104999999999997</v>
      </c>
      <c r="AU123">
        <f>Model!BC151</f>
        <v>51.115919023385899</v>
      </c>
      <c r="AV123">
        <f>Model!BD151</f>
        <v>51.137757070157718</v>
      </c>
      <c r="AW123">
        <f>Model!BE151</f>
        <v>51.347000000000001</v>
      </c>
      <c r="AX123">
        <f>Model!BF151</f>
        <v>51.225999999999999</v>
      </c>
      <c r="AY123">
        <f>Model!BG151</f>
        <v>51.185000000000002</v>
      </c>
      <c r="AZ123">
        <f>Model!BH151</f>
        <v>51.241</v>
      </c>
      <c r="BA123">
        <f>Model!BI151</f>
        <v>51.353000000000002</v>
      </c>
      <c r="BB123">
        <f>Model!BJ151</f>
        <v>52.110999999999997</v>
      </c>
      <c r="BC123">
        <f>Model!BK151</f>
        <v>52.984000000000002</v>
      </c>
      <c r="BD123">
        <f>Model!BL151</f>
        <v>52.938000000000002</v>
      </c>
      <c r="BE123">
        <f>Model!BM151</f>
        <v>53.018000000000001</v>
      </c>
      <c r="BF123">
        <f>Model!BN151</f>
        <v>52.954999999999998</v>
      </c>
      <c r="BG123">
        <f>Model!BO151</f>
        <v>53.024000000000001</v>
      </c>
      <c r="BH123">
        <f>Model!BP151</f>
        <v>52.777000000000001</v>
      </c>
      <c r="BI123">
        <f>Model!BQ151</f>
        <v>52.405999999999999</v>
      </c>
      <c r="BJ123">
        <f>Model!BR151</f>
        <v>52.037999999999997</v>
      </c>
      <c r="BK123">
        <f>Model!BS151</f>
        <v>51.13</v>
      </c>
      <c r="BL123">
        <f>Model!BT151</f>
        <v>50.402999999999999</v>
      </c>
      <c r="BM123">
        <f>Model!BU151</f>
        <v>50.128999999999998</v>
      </c>
      <c r="BN123">
        <f>Model!BV151</f>
        <v>50.058999999999997</v>
      </c>
      <c r="BO123">
        <f>Model!BW151</f>
        <v>49.975000000000001</v>
      </c>
      <c r="BP123">
        <f>Model!BX151</f>
        <v>50.02</v>
      </c>
      <c r="BQ123">
        <f>Model!BY151</f>
        <v>50.024999999999999</v>
      </c>
      <c r="BR123">
        <f>Model!BZ151</f>
        <v>50.055999999999997</v>
      </c>
      <c r="BS123">
        <f>Model!CA151</f>
        <v>49.972000000000001</v>
      </c>
      <c r="BT123">
        <f>Model!CB151</f>
        <v>49.569000000000003</v>
      </c>
      <c r="BU123">
        <f>Model!CC151</f>
        <v>49.473701089743592</v>
      </c>
      <c r="BV123">
        <f>Model!CD151</f>
        <v>48.938591559690892</v>
      </c>
      <c r="BW123">
        <f>Model!CE151</f>
        <v>48.496650651680184</v>
      </c>
      <c r="BX123">
        <f>Model!CF151</f>
        <v>48.351526850880582</v>
      </c>
      <c r="BY123">
        <f>Model!CG151</f>
        <v>0</v>
      </c>
      <c r="BZ123">
        <f>Model!CH151</f>
        <v>0</v>
      </c>
      <c r="CA123">
        <f>Model!CI151</f>
        <v>0</v>
      </c>
      <c r="CB123">
        <f>Model!CJ151</f>
        <v>0</v>
      </c>
      <c r="CC123">
        <f>Model!CK151</f>
        <v>0</v>
      </c>
      <c r="CD123">
        <f>Model!CL151</f>
        <v>0</v>
      </c>
      <c r="CE123">
        <f>Model!CM151</f>
        <v>44.722000000000001</v>
      </c>
      <c r="CF123">
        <f>Model!CN151</f>
        <v>45.503999999999998</v>
      </c>
      <c r="CG123">
        <f>Model!CO151</f>
        <v>48.670999999999999</v>
      </c>
      <c r="CH123">
        <f>Model!CP151</f>
        <v>49.552</v>
      </c>
      <c r="CI123">
        <f>Model!CQ151</f>
        <v>50.988</v>
      </c>
      <c r="CJ123">
        <f>Model!CR151</f>
        <v>51.210999999999999</v>
      </c>
      <c r="CK123">
        <f>Model!CS151</f>
        <v>51.326000000000001</v>
      </c>
      <c r="CL123">
        <f>Model!CT151</f>
        <v>52.412999999999997</v>
      </c>
      <c r="CM123">
        <f>Model!CU151</f>
        <v>53.023000000000003</v>
      </c>
      <c r="CN123">
        <f>Model!CV151</f>
        <v>51.593000000000004</v>
      </c>
      <c r="CO123">
        <f>Model!CW151</f>
        <v>50.063000000000002</v>
      </c>
      <c r="CP123">
        <f>Model!CX151</f>
        <v>49.905500000000004</v>
      </c>
      <c r="CQ123">
        <f>Model!CY151</f>
        <v>48.815117537998816</v>
      </c>
      <c r="CR123">
        <f>Model!DG151</f>
        <v>2.3619236472041116E-3</v>
      </c>
      <c r="CS123">
        <f>Model!DH151</f>
        <v>-1.7484839147801301E-2</v>
      </c>
      <c r="CT123">
        <f>Model!DI151</f>
        <v>0</v>
      </c>
      <c r="CU123">
        <f>Model!DJ151</f>
        <v>0</v>
      </c>
    </row>
    <row r="124" spans="1:99">
      <c r="A124">
        <f>Model!I152</f>
        <v>0</v>
      </c>
      <c r="B124">
        <f>Model!J152</f>
        <v>0</v>
      </c>
      <c r="C124">
        <f>Model!K152</f>
        <v>0</v>
      </c>
      <c r="D124">
        <f>Model!L152</f>
        <v>0</v>
      </c>
      <c r="E124">
        <f>Model!M152</f>
        <v>0</v>
      </c>
      <c r="F124">
        <f>Model!N152</f>
        <v>0</v>
      </c>
      <c r="G124">
        <f>Model!O152</f>
        <v>0</v>
      </c>
      <c r="H124">
        <f>Model!P152</f>
        <v>0</v>
      </c>
      <c r="I124">
        <f>Model!Q152</f>
        <v>0</v>
      </c>
      <c r="J124">
        <f>Model!R152</f>
        <v>0</v>
      </c>
      <c r="K124">
        <f>Model!S152</f>
        <v>0</v>
      </c>
      <c r="L124">
        <f>Model!T152</f>
        <v>0</v>
      </c>
      <c r="M124">
        <f>Model!U152</f>
        <v>0</v>
      </c>
      <c r="N124">
        <f>Model!V152</f>
        <v>0</v>
      </c>
      <c r="O124">
        <f>Model!W152</f>
        <v>0</v>
      </c>
      <c r="P124">
        <f>Model!X152</f>
        <v>0</v>
      </c>
      <c r="Q124">
        <f>Model!Y152</f>
        <v>0</v>
      </c>
      <c r="R124">
        <f>Model!Z152</f>
        <v>0</v>
      </c>
      <c r="S124">
        <f>Model!AA152</f>
        <v>0</v>
      </c>
      <c r="T124">
        <f>Model!AB152</f>
        <v>0</v>
      </c>
      <c r="U124">
        <f>Model!AC152</f>
        <v>0</v>
      </c>
      <c r="V124">
        <f>Model!AD152</f>
        <v>0</v>
      </c>
      <c r="W124">
        <f>Model!AE152</f>
        <v>0</v>
      </c>
      <c r="X124">
        <f>Model!AF152</f>
        <v>0</v>
      </c>
      <c r="Y124">
        <f>Model!AG152</f>
        <v>0</v>
      </c>
      <c r="Z124">
        <f>Model!AH152</f>
        <v>0</v>
      </c>
      <c r="AA124">
        <f>Model!AI152</f>
        <v>0</v>
      </c>
      <c r="AB124">
        <f>Model!AJ152</f>
        <v>0</v>
      </c>
      <c r="AC124">
        <f>Model!AK152</f>
        <v>0</v>
      </c>
      <c r="AD124">
        <f>Model!AL152</f>
        <v>0</v>
      </c>
      <c r="AE124">
        <f>Model!AM152</f>
        <v>0</v>
      </c>
      <c r="AF124">
        <f>Model!AN152</f>
        <v>0</v>
      </c>
      <c r="AG124">
        <f>Model!AO152</f>
        <v>0</v>
      </c>
      <c r="AH124">
        <f>Model!AP152</f>
        <v>0</v>
      </c>
      <c r="AI124">
        <f>Model!AQ152</f>
        <v>0</v>
      </c>
      <c r="AJ124">
        <f>Model!AR152</f>
        <v>0</v>
      </c>
      <c r="AK124">
        <f>Model!AS152</f>
        <v>0</v>
      </c>
      <c r="AL124">
        <f>Model!AT152</f>
        <v>0</v>
      </c>
      <c r="AM124">
        <f>Model!AU152</f>
        <v>0</v>
      </c>
      <c r="AN124">
        <f>Model!AV152</f>
        <v>0</v>
      </c>
      <c r="AO124">
        <f>Model!AW152</f>
        <v>0</v>
      </c>
      <c r="AP124">
        <f>Model!AX152</f>
        <v>0</v>
      </c>
      <c r="AQ124">
        <f>Model!AY152</f>
        <v>0</v>
      </c>
      <c r="AR124">
        <f>Model!AZ152</f>
        <v>0</v>
      </c>
      <c r="AS124">
        <f>Model!BA152</f>
        <v>0</v>
      </c>
      <c r="AT124">
        <f>Model!BB152</f>
        <v>0</v>
      </c>
      <c r="AU124">
        <f>Model!BC152</f>
        <v>0</v>
      </c>
      <c r="AV124">
        <f>Model!BD152</f>
        <v>0</v>
      </c>
      <c r="AW124">
        <f>Model!BE152</f>
        <v>0</v>
      </c>
      <c r="AX124">
        <f>Model!BF152</f>
        <v>0</v>
      </c>
      <c r="AY124">
        <f>Model!BG152</f>
        <v>0</v>
      </c>
      <c r="AZ124">
        <f>Model!BH152</f>
        <v>0</v>
      </c>
      <c r="BA124">
        <f>Model!BI152</f>
        <v>0</v>
      </c>
      <c r="BB124">
        <f>Model!BJ152</f>
        <v>0</v>
      </c>
      <c r="BC124">
        <f>Model!BK152</f>
        <v>0</v>
      </c>
      <c r="BD124">
        <f>Model!BL152</f>
        <v>0</v>
      </c>
      <c r="BE124">
        <f>Model!BM152</f>
        <v>0</v>
      </c>
      <c r="BF124">
        <f>Model!BN152</f>
        <v>0</v>
      </c>
      <c r="BG124">
        <f>Model!BO152</f>
        <v>0</v>
      </c>
      <c r="BH124">
        <f>Model!BP152</f>
        <v>0</v>
      </c>
      <c r="BI124">
        <f>Model!BQ152</f>
        <v>0</v>
      </c>
      <c r="BJ124">
        <f>Model!BR152</f>
        <v>0</v>
      </c>
      <c r="BK124">
        <f>Model!BS152</f>
        <v>0</v>
      </c>
      <c r="BL124">
        <f>Model!BT152</f>
        <v>0</v>
      </c>
      <c r="BM124">
        <f>Model!BU152</f>
        <v>0</v>
      </c>
      <c r="BN124">
        <f>Model!BV152</f>
        <v>0</v>
      </c>
      <c r="BO124">
        <f>Model!BW152</f>
        <v>0</v>
      </c>
      <c r="BP124">
        <f>Model!BX152</f>
        <v>0</v>
      </c>
      <c r="BQ124">
        <f>Model!BY152</f>
        <v>0</v>
      </c>
      <c r="BR124">
        <f>Model!BZ152</f>
        <v>0</v>
      </c>
      <c r="BS124">
        <f>Model!CA152</f>
        <v>0</v>
      </c>
      <c r="BT124">
        <f>Model!CB152</f>
        <v>0</v>
      </c>
      <c r="BU124">
        <f>Model!CC152</f>
        <v>0</v>
      </c>
      <c r="BV124">
        <f>Model!CD152</f>
        <v>0</v>
      </c>
      <c r="BW124">
        <f>Model!CE152</f>
        <v>0</v>
      </c>
      <c r="BX124">
        <f>Model!CF152</f>
        <v>0</v>
      </c>
      <c r="BY124">
        <f>Model!CG152</f>
        <v>0</v>
      </c>
      <c r="BZ124">
        <f>Model!CH152</f>
        <v>0</v>
      </c>
      <c r="CA124">
        <f>Model!CI152</f>
        <v>0</v>
      </c>
      <c r="CB124">
        <f>Model!CJ152</f>
        <v>0</v>
      </c>
      <c r="CC124">
        <f>Model!CK152</f>
        <v>0</v>
      </c>
      <c r="CD124">
        <f>Model!CL152</f>
        <v>0</v>
      </c>
      <c r="CE124">
        <f>Model!CM152</f>
        <v>0</v>
      </c>
      <c r="CF124">
        <f>Model!CN152</f>
        <v>0</v>
      </c>
      <c r="CG124">
        <f>Model!CO152</f>
        <v>0</v>
      </c>
      <c r="CH124">
        <f>Model!CP152</f>
        <v>0</v>
      </c>
      <c r="CI124">
        <f>Model!CQ152</f>
        <v>0</v>
      </c>
      <c r="CJ124">
        <f>Model!CR152</f>
        <v>0</v>
      </c>
      <c r="CK124">
        <f>Model!CS152</f>
        <v>0</v>
      </c>
      <c r="CL124">
        <f>Model!CT152</f>
        <v>0</v>
      </c>
      <c r="CM124">
        <f>Model!CU152</f>
        <v>0</v>
      </c>
      <c r="CN124">
        <f>Model!CV152</f>
        <v>0</v>
      </c>
      <c r="CO124">
        <f>Model!CW152</f>
        <v>0</v>
      </c>
      <c r="CP124">
        <f>Model!CX152</f>
        <v>0</v>
      </c>
      <c r="CQ124">
        <f>Model!CY152</f>
        <v>0</v>
      </c>
      <c r="CR124">
        <f>Model!DG152</f>
        <v>0</v>
      </c>
      <c r="CS124">
        <f>Model!DH152</f>
        <v>0</v>
      </c>
      <c r="CT124">
        <f>Model!DI152</f>
        <v>0</v>
      </c>
      <c r="CU124">
        <f>Model!DJ152</f>
        <v>0</v>
      </c>
    </row>
    <row r="125" spans="1:99">
      <c r="A125" t="str">
        <f>Model!I153</f>
        <v>Adjusted Avg Diluted Shares Out.</v>
      </c>
      <c r="B125">
        <f>Model!J153</f>
        <v>0</v>
      </c>
      <c r="C125">
        <f>Model!K153</f>
        <v>0</v>
      </c>
      <c r="D125">
        <f>Model!L153</f>
        <v>0</v>
      </c>
      <c r="E125">
        <f>Model!M153</f>
        <v>0</v>
      </c>
      <c r="F125">
        <f>Model!N153</f>
        <v>0</v>
      </c>
      <c r="G125">
        <f>Model!O153</f>
        <v>0</v>
      </c>
      <c r="H125">
        <f>Model!P153</f>
        <v>0</v>
      </c>
      <c r="I125">
        <f>Model!Q153</f>
        <v>0</v>
      </c>
      <c r="J125">
        <f>Model!R153</f>
        <v>0</v>
      </c>
      <c r="K125">
        <f>Model!S153</f>
        <v>0</v>
      </c>
      <c r="L125">
        <f>Model!T153</f>
        <v>0</v>
      </c>
      <c r="M125">
        <f>Model!U153</f>
        <v>0</v>
      </c>
      <c r="N125">
        <f>Model!V153</f>
        <v>0</v>
      </c>
      <c r="O125">
        <f>Model!W153</f>
        <v>0</v>
      </c>
      <c r="P125">
        <f>Model!X153</f>
        <v>0</v>
      </c>
      <c r="Q125">
        <f>Model!Y153</f>
        <v>0</v>
      </c>
      <c r="R125">
        <f>Model!Z153</f>
        <v>0</v>
      </c>
      <c r="S125">
        <f>Model!AA153</f>
        <v>0</v>
      </c>
      <c r="T125">
        <f>Model!AB153</f>
        <v>0</v>
      </c>
      <c r="U125">
        <f>Model!AC153</f>
        <v>0</v>
      </c>
      <c r="V125">
        <f>Model!AD153</f>
        <v>0</v>
      </c>
      <c r="W125">
        <f>Model!AE153</f>
        <v>0</v>
      </c>
      <c r="X125">
        <f>Model!AF153</f>
        <v>0</v>
      </c>
      <c r="Y125">
        <f>Model!AG153</f>
        <v>40.890999999999998</v>
      </c>
      <c r="Z125">
        <f>Model!AH153</f>
        <v>41.762999999999998</v>
      </c>
      <c r="AA125">
        <f>Model!AI153</f>
        <v>41.972999999999999</v>
      </c>
      <c r="AB125">
        <f>Model!AJ153</f>
        <v>38.356999999999999</v>
      </c>
      <c r="AC125">
        <f>Model!AK153</f>
        <v>40.238</v>
      </c>
      <c r="AD125">
        <f>Model!AL153</f>
        <v>42.686</v>
      </c>
      <c r="AE125">
        <f>Model!AM153</f>
        <v>45.368000000000002</v>
      </c>
      <c r="AF125">
        <f>Model!AN153</f>
        <v>48.347999999999999</v>
      </c>
      <c r="AG125">
        <f>Model!AO153</f>
        <v>49.405000000000001</v>
      </c>
      <c r="AH125">
        <f>Model!AP153</f>
        <v>50.505000000000003</v>
      </c>
      <c r="AI125">
        <f>Model!AQ153</f>
        <v>48.863</v>
      </c>
      <c r="AJ125">
        <f>Model!AR153</f>
        <v>45.287999999999997</v>
      </c>
      <c r="AK125">
        <f>Model!AS153</f>
        <v>47.177</v>
      </c>
      <c r="AL125">
        <f>Model!AT153</f>
        <v>48.997999999999998</v>
      </c>
      <c r="AM125">
        <f>Model!AU153</f>
        <v>50.24</v>
      </c>
      <c r="AN125">
        <f>Model!AV153</f>
        <v>51.073</v>
      </c>
      <c r="AO125">
        <f>Model!AW153</f>
        <v>51.393000000000001</v>
      </c>
      <c r="AP125">
        <f>Model!AX153</f>
        <v>51.259</v>
      </c>
      <c r="AQ125">
        <f>Model!AY153</f>
        <v>51.058999999999997</v>
      </c>
      <c r="AR125">
        <f>Model!AZ153</f>
        <v>51.430999999999997</v>
      </c>
      <c r="AS125">
        <f>Model!BA153</f>
        <v>51.521999999999998</v>
      </c>
      <c r="AT125">
        <f>Model!BB153</f>
        <v>51.484000000000002</v>
      </c>
      <c r="AU125">
        <f>Model!BC153</f>
        <v>51.494999999999997</v>
      </c>
      <c r="AV125">
        <f>Model!BD153</f>
        <v>51.517000000000003</v>
      </c>
      <c r="AW125">
        <f>Model!BE153</f>
        <v>51.645000000000003</v>
      </c>
      <c r="AX125">
        <f>Model!BF153</f>
        <v>51.546999999999997</v>
      </c>
      <c r="AY125">
        <f>Model!BG153</f>
        <v>51.475000000000001</v>
      </c>
      <c r="AZ125">
        <f>Model!BH153</f>
        <v>51.47</v>
      </c>
      <c r="BA125">
        <f>Model!BI153</f>
        <v>51.567999999999998</v>
      </c>
      <c r="BB125">
        <f>Model!BJ153</f>
        <v>52.395000000000003</v>
      </c>
      <c r="BC125">
        <f>Model!BK153</f>
        <v>53.192999999999998</v>
      </c>
      <c r="BD125">
        <f>Model!BL153</f>
        <v>53.21</v>
      </c>
      <c r="BE125">
        <f>Model!BM153</f>
        <v>53.325000000000003</v>
      </c>
      <c r="BF125">
        <f>Model!BN153</f>
        <v>53.326000000000001</v>
      </c>
      <c r="BG125">
        <f>Model!BO153</f>
        <v>53.362000000000002</v>
      </c>
      <c r="BH125">
        <f>Model!BP153</f>
        <v>53.156999999999996</v>
      </c>
      <c r="BI125">
        <f>Model!BQ153</f>
        <v>52.793999999999997</v>
      </c>
      <c r="BJ125">
        <f>Model!BR153</f>
        <v>52.468000000000004</v>
      </c>
      <c r="BK125">
        <f>Model!BS153</f>
        <v>51.448999999999998</v>
      </c>
      <c r="BL125">
        <f>Model!BT153</f>
        <v>50.744999999999997</v>
      </c>
      <c r="BM125">
        <f>Model!BU153</f>
        <v>50.508000000000003</v>
      </c>
      <c r="BN125">
        <f>Model!BV153</f>
        <v>50.448999999999998</v>
      </c>
      <c r="BO125">
        <f>Model!BW153</f>
        <v>50.317</v>
      </c>
      <c r="BP125">
        <f>Model!BX153</f>
        <v>50.02</v>
      </c>
      <c r="BQ125">
        <f>Model!BY153</f>
        <v>50.024999999999999</v>
      </c>
      <c r="BR125">
        <f>Model!BZ153</f>
        <v>50.055999999999997</v>
      </c>
      <c r="BS125">
        <f>Model!CA153</f>
        <v>49.972000000000001</v>
      </c>
      <c r="BT125">
        <f>Model!CB153</f>
        <v>49.569000000000003</v>
      </c>
      <c r="BU125">
        <f>Model!CC153</f>
        <v>49.473701089743592</v>
      </c>
      <c r="BV125">
        <f>Model!CD153</f>
        <v>48.938591559690892</v>
      </c>
      <c r="BW125">
        <f>Model!CE153</f>
        <v>48.496650651680184</v>
      </c>
      <c r="BX125">
        <f>Model!CF153</f>
        <v>48.351526850880582</v>
      </c>
      <c r="BY125">
        <f>Model!CG153</f>
        <v>0</v>
      </c>
      <c r="BZ125">
        <f>Model!CH153</f>
        <v>0</v>
      </c>
      <c r="CA125">
        <f>Model!CI153</f>
        <v>0</v>
      </c>
      <c r="CB125">
        <f>Model!CJ153</f>
        <v>0</v>
      </c>
      <c r="CC125">
        <f>Model!CK153</f>
        <v>0</v>
      </c>
      <c r="CD125">
        <f>Model!CL153</f>
        <v>0</v>
      </c>
      <c r="CE125">
        <f>Model!CM153</f>
        <v>40.939</v>
      </c>
      <c r="CF125">
        <f>Model!CN153</f>
        <v>45.156999999999996</v>
      </c>
      <c r="CG125">
        <f>Model!CO153</f>
        <v>48.801000000000002</v>
      </c>
      <c r="CH125">
        <f>Model!CP153</f>
        <v>49.902999999999999</v>
      </c>
      <c r="CI125">
        <f>Model!CQ153</f>
        <v>51.329000000000001</v>
      </c>
      <c r="CJ125">
        <f>Model!CR153</f>
        <v>51.552</v>
      </c>
      <c r="CK125">
        <f>Model!CS153</f>
        <v>51.540999999999997</v>
      </c>
      <c r="CL125">
        <f>Model!CT153</f>
        <v>52.658000000000001</v>
      </c>
      <c r="CM125">
        <f>Model!CU153</f>
        <v>53.323</v>
      </c>
      <c r="CN125">
        <f>Model!CV153</f>
        <v>51.893000000000001</v>
      </c>
      <c r="CO125">
        <f>Model!CW153</f>
        <v>50.323500000000003</v>
      </c>
      <c r="CP125">
        <f>Model!CX153</f>
        <v>49.905500000000004</v>
      </c>
      <c r="CQ125">
        <f>Model!CY153</f>
        <v>48.815117537998816</v>
      </c>
      <c r="CR125">
        <f>Model!DG153</f>
        <v>2.1879925134782319E-3</v>
      </c>
      <c r="CS125">
        <f>Model!DH153</f>
        <v>-1.8623484157615056E-2</v>
      </c>
      <c r="CT125">
        <f>Model!DI153</f>
        <v>0</v>
      </c>
      <c r="CU125">
        <f>Model!DJ153</f>
        <v>0</v>
      </c>
    </row>
    <row r="127" spans="1:99">
      <c r="A127" t="str">
        <f>Model!I155</f>
        <v>GAAP Diluted EPS</v>
      </c>
      <c r="B127">
        <f>Model!J155</f>
        <v>0</v>
      </c>
      <c r="C127">
        <f>Model!K155</f>
        <v>0</v>
      </c>
      <c r="D127">
        <f>Model!L155</f>
        <v>0</v>
      </c>
      <c r="E127">
        <f>Model!M155</f>
        <v>0</v>
      </c>
      <c r="F127">
        <f>Model!N155</f>
        <v>0</v>
      </c>
      <c r="G127">
        <f>Model!O155</f>
        <v>0</v>
      </c>
      <c r="H127">
        <f>Model!P155</f>
        <v>0</v>
      </c>
      <c r="I127">
        <f>Model!Q155</f>
        <v>0</v>
      </c>
      <c r="J127">
        <f>Model!R155</f>
        <v>0</v>
      </c>
      <c r="K127">
        <f>Model!S155</f>
        <v>0</v>
      </c>
      <c r="L127">
        <f>Model!T155</f>
        <v>0</v>
      </c>
      <c r="M127">
        <f>Model!U155</f>
        <v>0</v>
      </c>
      <c r="N127">
        <f>Model!V155</f>
        <v>0</v>
      </c>
      <c r="O127">
        <f>Model!W155</f>
        <v>0</v>
      </c>
      <c r="P127">
        <f>Model!X155</f>
        <v>0</v>
      </c>
      <c r="Q127">
        <f>Model!Y155</f>
        <v>0</v>
      </c>
      <c r="R127">
        <f>Model!Z155</f>
        <v>0</v>
      </c>
      <c r="S127">
        <f>Model!AA155</f>
        <v>0</v>
      </c>
      <c r="T127">
        <f>Model!AB155</f>
        <v>0</v>
      </c>
      <c r="U127">
        <f>Model!AC155</f>
        <v>0</v>
      </c>
      <c r="V127">
        <f>Model!AD155</f>
        <v>0</v>
      </c>
      <c r="W127">
        <f>Model!AE155</f>
        <v>0</v>
      </c>
      <c r="X127">
        <f>Model!AF155</f>
        <v>0</v>
      </c>
      <c r="Y127">
        <f>Model!AG155</f>
        <v>-2.1051295073641653E-2</v>
      </c>
      <c r="Z127">
        <f>Model!AH155</f>
        <v>0.26635881939863398</v>
      </c>
      <c r="AA127">
        <f>Model!AI155</f>
        <v>1.0030613344831303</v>
      </c>
      <c r="AB127">
        <f>Model!AJ155</f>
        <v>0.32323627125268622</v>
      </c>
      <c r="AC127">
        <f>Model!AK155</f>
        <v>0.61090635172580887</v>
      </c>
      <c r="AD127">
        <f>Model!AL155</f>
        <v>0.7396355829344804</v>
      </c>
      <c r="AE127">
        <f>Model!AM155</f>
        <v>2.2725590105391511</v>
      </c>
      <c r="AF127">
        <f>Model!AN155</f>
        <v>0.67966907962771494</v>
      </c>
      <c r="AG127">
        <f>Model!AO155</f>
        <v>0.3694793829120368</v>
      </c>
      <c r="AH127">
        <f>Model!AP155</f>
        <v>1.0830463682229527</v>
      </c>
      <c r="AI127">
        <f>Model!AQ155</f>
        <v>1.8079579085827038</v>
      </c>
      <c r="AJ127">
        <f>Model!AR155</f>
        <v>0.74963776070252475</v>
      </c>
      <c r="AK127">
        <f>Model!AS155</f>
        <v>0.53225703528811208</v>
      </c>
      <c r="AL127">
        <f>Model!AT155</f>
        <v>1.3822686111512195</v>
      </c>
      <c r="AM127">
        <f>Model!AU155</f>
        <v>6.4220253674250039</v>
      </c>
      <c r="AN127">
        <f>Model!AV155</f>
        <v>1.5514138817480734</v>
      </c>
      <c r="AO127">
        <f>Model!AW155</f>
        <v>1.0592387243914883</v>
      </c>
      <c r="AP127">
        <f>Model!AX155</f>
        <v>2.2791118453399384</v>
      </c>
      <c r="AQ127">
        <f>Model!AY155</f>
        <v>4.4502462469589963</v>
      </c>
      <c r="AR127">
        <f>Model!AZ155</f>
        <v>2.6938767512491442</v>
      </c>
      <c r="AS127">
        <f>Model!BA155</f>
        <v>2.0483199437049207</v>
      </c>
      <c r="AT127">
        <f>Model!BB155</f>
        <v>5.0164954505430011</v>
      </c>
      <c r="AU127">
        <f>Model!BC155</f>
        <v>9.1849859881263409</v>
      </c>
      <c r="AV127">
        <f>Model!BD155</f>
        <v>4.4138619472561853</v>
      </c>
      <c r="AW127">
        <f>Model!BE155</f>
        <v>3.5439266169396459</v>
      </c>
      <c r="AX127">
        <f>Model!BF155</f>
        <v>6.8782844649201582</v>
      </c>
      <c r="AY127">
        <f>Model!BG155</f>
        <v>11.655426394451498</v>
      </c>
      <c r="AZ127">
        <f>Model!BH155</f>
        <v>5.633438067172774</v>
      </c>
      <c r="BA127">
        <f>Model!BI155</f>
        <v>4.7567036005686125</v>
      </c>
      <c r="BB127">
        <f>Model!BJ155</f>
        <v>8.3922012626892606</v>
      </c>
      <c r="BC127">
        <f>Model!BK155</f>
        <v>15.721519704061594</v>
      </c>
      <c r="BD127">
        <f>Model!BL155</f>
        <v>7.1418829574218892</v>
      </c>
      <c r="BE127">
        <f>Model!BM155</f>
        <v>6.2472745105435914</v>
      </c>
      <c r="BF127">
        <f>Model!BN155</f>
        <v>10.885676517798133</v>
      </c>
      <c r="BG127">
        <f>Model!BO155</f>
        <v>20.033437688593846</v>
      </c>
      <c r="BH127">
        <f>Model!BP155</f>
        <v>8.5611345851412537</v>
      </c>
      <c r="BI127">
        <f>Model!BQ155</f>
        <v>6.3604739915276847</v>
      </c>
      <c r="BJ127">
        <f>Model!BR155</f>
        <v>9.9356624005534453</v>
      </c>
      <c r="BK127">
        <f>Model!BS155</f>
        <v>23.405671816937218</v>
      </c>
      <c r="BL127">
        <f>Model!BT155</f>
        <v>10.004741781243174</v>
      </c>
      <c r="BM127">
        <f>Model!BU155</f>
        <v>7.4692094396457049</v>
      </c>
      <c r="BN127">
        <f>Model!BV155</f>
        <v>11.599073093749379</v>
      </c>
      <c r="BO127">
        <f>Model!BW155</f>
        <v>10.125402701350682</v>
      </c>
      <c r="BP127">
        <f>Model!BX155</f>
        <v>13.472770891643336</v>
      </c>
      <c r="BQ127">
        <f>Model!BY155</f>
        <v>9.1079060469765079</v>
      </c>
      <c r="BR127">
        <f>Model!BZ155</f>
        <v>14.408582387725756</v>
      </c>
      <c r="BS127">
        <f>Model!CA155</f>
        <v>34.428419915152496</v>
      </c>
      <c r="BT127">
        <f>Model!CB155</f>
        <v>-11.205753595997503</v>
      </c>
      <c r="BU127">
        <f>Model!CC155</f>
        <v>10.49997646295034</v>
      </c>
      <c r="BV127">
        <f>Model!CD155</f>
        <v>18.031521646833443</v>
      </c>
      <c r="BW127">
        <f>Model!CE155</f>
        <v>40.45092159552734</v>
      </c>
      <c r="BX127">
        <f>Model!CF155</f>
        <v>20.914728273040495</v>
      </c>
      <c r="BY127">
        <f>Model!CG155</f>
        <v>0</v>
      </c>
      <c r="BZ127">
        <f>Model!CH155</f>
        <v>0</v>
      </c>
      <c r="CA127">
        <f>Model!CI155</f>
        <v>0</v>
      </c>
      <c r="CB127">
        <f>Model!CJ155</f>
        <v>0</v>
      </c>
      <c r="CC127">
        <f>Model!CK155</f>
        <v>0</v>
      </c>
      <c r="CD127">
        <f>Model!CL155</f>
        <v>0</v>
      </c>
      <c r="CE127">
        <f>Model!CM155</f>
        <v>1.5975806090961981</v>
      </c>
      <c r="CF127">
        <f>Model!CN155</f>
        <v>4.2235627637130753</v>
      </c>
      <c r="CG127">
        <f>Model!CO155</f>
        <v>3.9934252429578194</v>
      </c>
      <c r="CH127">
        <f>Model!CP155</f>
        <v>9.877926218921532</v>
      </c>
      <c r="CI127">
        <f>Model!CQ155</f>
        <v>10.438593394524199</v>
      </c>
      <c r="CJ127">
        <f>Model!CR155</f>
        <v>20.627833863818335</v>
      </c>
      <c r="CK127">
        <f>Model!CS155</f>
        <v>27.657775786151287</v>
      </c>
      <c r="CL127">
        <f>Model!CT155</f>
        <v>36.110564173010516</v>
      </c>
      <c r="CM127">
        <f>Model!CU155</f>
        <v>45.673632197348297</v>
      </c>
      <c r="CN127">
        <f>Model!CV155</f>
        <v>49.451669800166655</v>
      </c>
      <c r="CO127">
        <f>Model!CW155</f>
        <v>42.646006032399178</v>
      </c>
      <c r="CP127">
        <f>Model!CX155</f>
        <v>46.925849856228233</v>
      </c>
      <c r="CQ127">
        <f>Model!CY155</f>
        <v>89.62189275638876</v>
      </c>
      <c r="CR127">
        <f>Model!DG155</f>
        <v>0.36492188074854726</v>
      </c>
      <c r="CS127">
        <f>Model!DH155</f>
        <v>0.19876172094233291</v>
      </c>
      <c r="CT127">
        <f>Model!DI155</f>
        <v>0</v>
      </c>
      <c r="CU127">
        <f>Model!DJ155</f>
        <v>0</v>
      </c>
    </row>
    <row r="128" spans="1:99">
      <c r="A128" t="str">
        <f>Model!I156</f>
        <v>Adjusted Diluted EPS (old non-GAAP method)</v>
      </c>
      <c r="B128">
        <f>Model!J156</f>
        <v>0</v>
      </c>
      <c r="C128">
        <f>Model!K156</f>
        <v>0</v>
      </c>
      <c r="D128">
        <f>Model!L156</f>
        <v>0</v>
      </c>
      <c r="E128">
        <f>Model!M156</f>
        <v>0</v>
      </c>
      <c r="F128">
        <f>Model!N156</f>
        <v>0</v>
      </c>
      <c r="G128">
        <f>Model!O156</f>
        <v>0</v>
      </c>
      <c r="H128">
        <f>Model!P156</f>
        <v>0</v>
      </c>
      <c r="I128">
        <f>Model!Q156</f>
        <v>0</v>
      </c>
      <c r="J128">
        <f>Model!R156</f>
        <v>0</v>
      </c>
      <c r="K128">
        <f>Model!S156</f>
        <v>0</v>
      </c>
      <c r="L128">
        <f>Model!T156</f>
        <v>0</v>
      </c>
      <c r="M128">
        <f>Model!U156</f>
        <v>0</v>
      </c>
      <c r="N128">
        <f>Model!V156</f>
        <v>0</v>
      </c>
      <c r="O128">
        <f>Model!W156</f>
        <v>0</v>
      </c>
      <c r="P128">
        <f>Model!X156</f>
        <v>0</v>
      </c>
      <c r="Q128">
        <f>Model!Y156</f>
        <v>0</v>
      </c>
      <c r="R128">
        <f>Model!Z156</f>
        <v>0</v>
      </c>
      <c r="S128">
        <f>Model!AA156</f>
        <v>0</v>
      </c>
      <c r="T128">
        <f>Model!AB156</f>
        <v>0</v>
      </c>
      <c r="U128">
        <f>Model!AC156</f>
        <v>0</v>
      </c>
      <c r="V128">
        <f>Model!AD156</f>
        <v>0</v>
      </c>
      <c r="W128">
        <f>Model!AE156</f>
        <v>0</v>
      </c>
      <c r="X128">
        <f>Model!AF156</f>
        <v>0</v>
      </c>
      <c r="Y128">
        <f>Model!AG156</f>
        <v>0.18507740089506253</v>
      </c>
      <c r="Z128">
        <f>Model!AH156</f>
        <v>0.55072671982376753</v>
      </c>
      <c r="AA128">
        <f>Model!AI156</f>
        <v>0.71834274414504562</v>
      </c>
      <c r="AB128">
        <f>Model!AJ156</f>
        <v>0.58471726151680148</v>
      </c>
      <c r="AC128">
        <f>Model!AK156</f>
        <v>0.4320294249217167</v>
      </c>
      <c r="AD128">
        <f>Model!AL156</f>
        <v>1.1090755751300176</v>
      </c>
      <c r="AE128">
        <f>Model!AM156</f>
        <v>1.5769044260271556</v>
      </c>
      <c r="AF128">
        <f>Model!AN156</f>
        <v>0.95540663522793101</v>
      </c>
      <c r="AG128">
        <f>Model!AO156</f>
        <v>0.75597611577775548</v>
      </c>
      <c r="AH128">
        <f>Model!AP156</f>
        <v>1.5537273537273546</v>
      </c>
      <c r="AI128">
        <f>Model!AQ156</f>
        <v>2.3901111270286317</v>
      </c>
      <c r="AJ128">
        <f>Model!AR156</f>
        <v>1.2857489842783958</v>
      </c>
      <c r="AK128">
        <f>Model!AS156</f>
        <v>1.0869703457193125</v>
      </c>
      <c r="AL128">
        <f>Model!AT156</f>
        <v>2.0201028613412788</v>
      </c>
      <c r="AM128">
        <f>Model!AU156</f>
        <v>3.4502388535031847</v>
      </c>
      <c r="AN128">
        <f>Model!AV156</f>
        <v>1.9902688308891205</v>
      </c>
      <c r="AO128">
        <f>Model!AW156</f>
        <v>1.6974296110365201</v>
      </c>
      <c r="AP128">
        <f>Model!AX156</f>
        <v>3.0853703739831029</v>
      </c>
      <c r="AQ128">
        <f>Model!AY156</f>
        <v>5.332223506139953</v>
      </c>
      <c r="AR128">
        <f>Model!AZ156</f>
        <v>3.4028115338997891</v>
      </c>
      <c r="AS128">
        <f>Model!BA156</f>
        <v>2.6596793602732816</v>
      </c>
      <c r="AT128">
        <f>Model!BB156</f>
        <v>5.4883264703597252</v>
      </c>
      <c r="AU128">
        <f>Model!BC156</f>
        <v>9.9533935333527594</v>
      </c>
      <c r="AV128">
        <f>Model!BD156</f>
        <v>5.3724595764504937</v>
      </c>
      <c r="AW128">
        <f>Model!BE156</f>
        <v>4.2764255978313477</v>
      </c>
      <c r="AX128">
        <f>Model!BF156</f>
        <v>7.8491279802898317</v>
      </c>
      <c r="AY128">
        <f>Model!BG156</f>
        <v>12.398892666342885</v>
      </c>
      <c r="AZ128">
        <f>Model!BH156</f>
        <v>6.7716728191179349</v>
      </c>
      <c r="BA128">
        <f>Model!BI156</f>
        <v>5.7639427551970188</v>
      </c>
      <c r="BB128">
        <f>Model!BJ156</f>
        <v>9.7003721729172625</v>
      </c>
      <c r="BC128">
        <f>Model!BK156</f>
        <v>17.297219558964525</v>
      </c>
      <c r="BD128">
        <f>Model!BL156</f>
        <v>8.8539184363841361</v>
      </c>
      <c r="BE128">
        <f>Model!BM156</f>
        <v>7.8101828410689178</v>
      </c>
      <c r="BF128">
        <f>Model!BN156</f>
        <v>12.509845103701762</v>
      </c>
      <c r="BG128">
        <f>Model!BO156</f>
        <v>22.158952063266</v>
      </c>
      <c r="BH128">
        <f>Model!BP156</f>
        <v>10.848561807475967</v>
      </c>
      <c r="BI128">
        <f>Model!BQ156</f>
        <v>8.1169640489449542</v>
      </c>
      <c r="BJ128">
        <f>Model!BR156</f>
        <v>12.445338110848517</v>
      </c>
      <c r="BK128">
        <f>Model!BS156</f>
        <v>25.350191451728893</v>
      </c>
      <c r="BL128">
        <f>Model!BT156</f>
        <v>12.631136072519455</v>
      </c>
      <c r="BM128">
        <f>Model!BU156</f>
        <v>10.542567514057168</v>
      </c>
      <c r="BN128">
        <f>Model!BV156</f>
        <v>13.927510951654149</v>
      </c>
      <c r="BO128">
        <f>Model!BW156</f>
        <v>31.179183973607337</v>
      </c>
      <c r="BP128">
        <f>Model!BX156</f>
        <v>15.750047181127545</v>
      </c>
      <c r="BQ128">
        <f>Model!BY156</f>
        <v>11.190861295911812</v>
      </c>
      <c r="BR128">
        <f>Model!BZ156</f>
        <v>16.733908439213852</v>
      </c>
      <c r="BS128">
        <f>Model!CA156</f>
        <v>37.422174113946653</v>
      </c>
      <c r="BT128">
        <f>Model!CB156</f>
        <v>18.547306637556805</v>
      </c>
      <c r="BU128">
        <f>Model!CC156</f>
        <v>12.618005984430944</v>
      </c>
      <c r="BV128">
        <f>Model!CD156</f>
        <v>20.442861786433259</v>
      </c>
      <c r="BW128">
        <f>Model!CE156</f>
        <v>43.466957659652692</v>
      </c>
      <c r="BX128">
        <f>Model!CF156</f>
        <v>23.487146592601952</v>
      </c>
      <c r="BY128">
        <f>Model!CG156</f>
        <v>0</v>
      </c>
      <c r="BZ128">
        <f>Model!CH156</f>
        <v>0</v>
      </c>
      <c r="CA128">
        <f>Model!CI156</f>
        <v>0</v>
      </c>
      <c r="CB128">
        <f>Model!CJ156</f>
        <v>0</v>
      </c>
      <c r="CC128">
        <f>Model!CK156</f>
        <v>0</v>
      </c>
      <c r="CD128">
        <f>Model!CL156</f>
        <v>0</v>
      </c>
      <c r="CE128">
        <f>Model!CM156</f>
        <v>2.0338552480519834</v>
      </c>
      <c r="CF128">
        <f>Model!CN156</f>
        <v>4.0600792789600657</v>
      </c>
      <c r="CG128">
        <f>Model!CO156</f>
        <v>5.9764349091207158</v>
      </c>
      <c r="CH128">
        <f>Model!CP156</f>
        <v>8.5215317716369725</v>
      </c>
      <c r="CI128">
        <f>Model!CQ156</f>
        <v>13.494457324319582</v>
      </c>
      <c r="CJ128">
        <f>Model!CR156</f>
        <v>23.450418994413415</v>
      </c>
      <c r="CK128">
        <f>Model!CS156</f>
        <v>31.280456335732737</v>
      </c>
      <c r="CL128">
        <f>Model!CT156</f>
        <v>41.71624444528846</v>
      </c>
      <c r="CM128">
        <f>Model!CU156</f>
        <v>53.310972750970478</v>
      </c>
      <c r="CN128">
        <f>Model!CV156</f>
        <v>58.326132619043015</v>
      </c>
      <c r="CO128">
        <f>Model!CW156</f>
        <v>71.373679493675908</v>
      </c>
      <c r="CP128">
        <f>Model!CX156</f>
        <v>83.896317734527656</v>
      </c>
      <c r="CQ128">
        <f>Model!CY156</f>
        <v>99.730284896773682</v>
      </c>
      <c r="CR128">
        <f>Model!DG156</f>
        <v>0.34011340482742081</v>
      </c>
      <c r="CS128">
        <f>Model!DH156</f>
        <v>0.18321573298320404</v>
      </c>
      <c r="CT128">
        <f>Model!DI156</f>
        <v>0</v>
      </c>
      <c r="CU128">
        <f>Model!DJ156</f>
        <v>0.19578919873692091</v>
      </c>
    </row>
    <row r="129" spans="1:102">
      <c r="A129" t="str">
        <f>Model!I157</f>
        <v>% change Y/Y</v>
      </c>
      <c r="B129">
        <f>Model!J157</f>
        <v>0</v>
      </c>
      <c r="C129">
        <f>Model!K157</f>
        <v>0</v>
      </c>
      <c r="D129">
        <f>Model!L157</f>
        <v>0</v>
      </c>
      <c r="E129">
        <f>Model!M157</f>
        <v>0</v>
      </c>
      <c r="F129">
        <f>Model!N157</f>
        <v>0</v>
      </c>
      <c r="G129">
        <f>Model!O157</f>
        <v>0</v>
      </c>
      <c r="H129">
        <f>Model!P157</f>
        <v>0</v>
      </c>
      <c r="I129">
        <f>Model!Q157</f>
        <v>0</v>
      </c>
      <c r="J129">
        <f>Model!R157</f>
        <v>0</v>
      </c>
      <c r="K129">
        <f>Model!S157</f>
        <v>0</v>
      </c>
      <c r="L129">
        <f>Model!T157</f>
        <v>0</v>
      </c>
      <c r="M129">
        <f>Model!U157</f>
        <v>0</v>
      </c>
      <c r="N129">
        <f>Model!V157</f>
        <v>0</v>
      </c>
      <c r="O129">
        <f>Model!W157</f>
        <v>0</v>
      </c>
      <c r="P129">
        <f>Model!X157</f>
        <v>0</v>
      </c>
      <c r="Q129">
        <f>Model!Y157</f>
        <v>0</v>
      </c>
      <c r="R129">
        <f>Model!Z157</f>
        <v>0</v>
      </c>
      <c r="S129">
        <f>Model!AA157</f>
        <v>0</v>
      </c>
      <c r="T129">
        <f>Model!AB157</f>
        <v>0</v>
      </c>
      <c r="U129">
        <f>Model!AC157</f>
        <v>0</v>
      </c>
      <c r="V129">
        <f>Model!AD157</f>
        <v>0</v>
      </c>
      <c r="W129">
        <f>Model!AE157</f>
        <v>0</v>
      </c>
      <c r="X129">
        <f>Model!AF157</f>
        <v>0</v>
      </c>
      <c r="Y129">
        <f>Model!AG157</f>
        <v>0</v>
      </c>
      <c r="Z129">
        <f>Model!AH157</f>
        <v>0</v>
      </c>
      <c r="AA129">
        <f>Model!AI157</f>
        <v>0</v>
      </c>
      <c r="AB129">
        <f>Model!AJ157</f>
        <v>0</v>
      </c>
      <c r="AC129">
        <f>Model!AK157</f>
        <v>1.3343175494812254</v>
      </c>
      <c r="AD129">
        <f>Model!AL157</f>
        <v>1.0138401410502138</v>
      </c>
      <c r="AE129">
        <f>Model!AM157</f>
        <v>1.1951978200934565</v>
      </c>
      <c r="AF129">
        <f>Model!AN157</f>
        <v>0.63396345226671236</v>
      </c>
      <c r="AG129">
        <f>Model!AO157</f>
        <v>0.74982552615423725</v>
      </c>
      <c r="AH129">
        <f>Model!AP157</f>
        <v>0.40092108109513647</v>
      </c>
      <c r="AI129">
        <f>Model!AQ157</f>
        <v>0.51569815366062777</v>
      </c>
      <c r="AJ129">
        <f>Model!AR157</f>
        <v>0.34576099523492965</v>
      </c>
      <c r="AK129">
        <f>Model!AS157</f>
        <v>0.43783688800938769</v>
      </c>
      <c r="AL129">
        <f>Model!AT157</f>
        <v>0.30016560273274506</v>
      </c>
      <c r="AM129">
        <f>Model!AU157</f>
        <v>0.44354746291336489</v>
      </c>
      <c r="AN129">
        <f>Model!AV157</f>
        <v>0.5479450928799483</v>
      </c>
      <c r="AO129">
        <f>Model!AW157</f>
        <v>0.56161538143272027</v>
      </c>
      <c r="AP129">
        <f>Model!AX157</f>
        <v>0.52733330219359376</v>
      </c>
      <c r="AQ129">
        <f>Model!AY157</f>
        <v>0.54546503373988253</v>
      </c>
      <c r="AR129">
        <f>Model!AZ157</f>
        <v>0.70972457644309173</v>
      </c>
      <c r="AS129">
        <f>Model!BA157</f>
        <v>0.56688639280256936</v>
      </c>
      <c r="AT129">
        <f>Model!BB157</f>
        <v>0.77882257398955046</v>
      </c>
      <c r="AU129">
        <f>Model!BC157</f>
        <v>0.86664972349557701</v>
      </c>
      <c r="AV129">
        <f>Model!BD157</f>
        <v>0.57882960103094261</v>
      </c>
      <c r="AW129">
        <f>Model!BE157</f>
        <v>0.60787261115262625</v>
      </c>
      <c r="AX129">
        <f>Model!BF157</f>
        <v>0.43014961348962366</v>
      </c>
      <c r="AY129">
        <f>Model!BG157</f>
        <v>0.24569501093225332</v>
      </c>
      <c r="AZ129">
        <f>Model!BH157</f>
        <v>0.26044183725471259</v>
      </c>
      <c r="BA129">
        <f>Model!BI157</f>
        <v>0.3478412340717485</v>
      </c>
      <c r="BB129">
        <f>Model!BJ157</f>
        <v>0.23585348554338048</v>
      </c>
      <c r="BC129">
        <f>Model!BK157</f>
        <v>0.39506164174791802</v>
      </c>
      <c r="BD129">
        <f>Model!BL157</f>
        <v>0.30749353562794113</v>
      </c>
      <c r="BE129">
        <f>Model!BM157</f>
        <v>0.35500701044036576</v>
      </c>
      <c r="BF129">
        <f>Model!BN157</f>
        <v>0.28962527217546818</v>
      </c>
      <c r="BG129">
        <f>Model!BO157</f>
        <v>0.2810701736038157</v>
      </c>
      <c r="BH129">
        <f>Model!BP157</f>
        <v>0.22528368489312922</v>
      </c>
      <c r="BI129">
        <f>Model!BQ157</f>
        <v>3.9279644807143743E-2</v>
      </c>
      <c r="BJ129">
        <f>Model!BR157</f>
        <v>-5.1564981275552535E-3</v>
      </c>
      <c r="BK129">
        <f>Model!BS157</f>
        <v>0.14401580811906589</v>
      </c>
      <c r="BL129">
        <f>Model!BT157</f>
        <v>0.1643143392348172</v>
      </c>
      <c r="BM129">
        <f>Model!BU157</f>
        <v>0.29883136730505733</v>
      </c>
      <c r="BN129">
        <f>Model!BV157</f>
        <v>0.11909462222754974</v>
      </c>
      <c r="BO129">
        <f>Model!BW157</f>
        <v>0.22993879683227814</v>
      </c>
      <c r="BP129">
        <f>Model!BX157</f>
        <v>0.24692245342789509</v>
      </c>
      <c r="BQ129">
        <f>Model!BY157</f>
        <v>6.1492969429906674E-2</v>
      </c>
      <c r="BR129">
        <f>Model!BZ157</f>
        <v>0.2015002894129041</v>
      </c>
      <c r="BS129">
        <f>Model!CA157</f>
        <v>0.20022942696716828</v>
      </c>
      <c r="BT129">
        <f>Model!CB157</f>
        <v>0.17760324297828567</v>
      </c>
      <c r="BU129">
        <f>Model!CC157</f>
        <v>0.12752768985176233</v>
      </c>
      <c r="BV129">
        <f>Model!CD157</f>
        <v>0.2216429808189897</v>
      </c>
      <c r="BW129">
        <f>Model!CE157</f>
        <v>0.16152945917306405</v>
      </c>
      <c r="BX129">
        <f>Model!CF157</f>
        <v>0.26633732064591897</v>
      </c>
      <c r="BY129">
        <f>Model!CG157</f>
        <v>0</v>
      </c>
      <c r="BZ129">
        <f>Model!CH157</f>
        <v>0</v>
      </c>
      <c r="CA129">
        <f>Model!CI157</f>
        <v>0</v>
      </c>
      <c r="CB129">
        <f>Model!CJ157</f>
        <v>0</v>
      </c>
      <c r="CC129">
        <f>Model!CK157</f>
        <v>0</v>
      </c>
      <c r="CD129">
        <f>Model!CL157</f>
        <v>0</v>
      </c>
      <c r="CE129">
        <f>Model!CM157</f>
        <v>0</v>
      </c>
      <c r="CF129">
        <f>Model!CN157</f>
        <v>0.99624790547350406</v>
      </c>
      <c r="CG129">
        <f>Model!CO157</f>
        <v>0.47199955924296599</v>
      </c>
      <c r="CH129">
        <f>Model!CP157</f>
        <v>0.4258553638109821</v>
      </c>
      <c r="CI129">
        <f>Model!CQ157</f>
        <v>0.58357179037159401</v>
      </c>
      <c r="CJ129">
        <f>Model!CR157</f>
        <v>0.73778155214521268</v>
      </c>
      <c r="CK129">
        <f>Model!CS157</f>
        <v>0.33389754542060279</v>
      </c>
      <c r="CL129">
        <f>Model!CT157</f>
        <v>0.33362007246788683</v>
      </c>
      <c r="CM129">
        <f>Model!CU157</f>
        <v>0.27794276450001854</v>
      </c>
      <c r="CN129">
        <f>Model!CV157</f>
        <v>9.4073688947670542E-2</v>
      </c>
      <c r="CO129">
        <f>Model!CW157</f>
        <v>0.22369984582816271</v>
      </c>
      <c r="CP129">
        <f>Model!CX157</f>
        <v>0.17545176779013216</v>
      </c>
      <c r="CQ129">
        <f>Model!CY157</f>
        <v>0.18873256407211225</v>
      </c>
      <c r="CR129">
        <f>Model!CZ157</f>
        <v>0.17993853216914824</v>
      </c>
      <c r="CS129">
        <f>Model!DA157</f>
        <v>0.14946675841731394</v>
      </c>
      <c r="CT129">
        <f>Model!DB157</f>
        <v>0.13312947805833475</v>
      </c>
      <c r="CU129">
        <f>Model!DC157</f>
        <v>0.11131712316344045</v>
      </c>
      <c r="CV129">
        <f>Model!DD157</f>
        <v>9.0439232952915116E-2</v>
      </c>
      <c r="CW129">
        <f>Model!DE157</f>
        <v>8.1983539945001294E-2</v>
      </c>
      <c r="CX129">
        <f>Model!DF157</f>
        <v>8.3972643873207131E-2</v>
      </c>
    </row>
    <row r="130" spans="1:102">
      <c r="A130">
        <f>Model!I164</f>
        <v>0</v>
      </c>
      <c r="B130">
        <f>Model!J164</f>
        <v>0</v>
      </c>
      <c r="C130">
        <f>Model!K164</f>
        <v>0</v>
      </c>
      <c r="D130">
        <f>Model!L164</f>
        <v>0</v>
      </c>
      <c r="E130">
        <f>Model!M164</f>
        <v>0</v>
      </c>
      <c r="F130">
        <f>Model!N164</f>
        <v>0</v>
      </c>
      <c r="G130">
        <f>Model!O164</f>
        <v>0</v>
      </c>
      <c r="H130">
        <f>Model!P164</f>
        <v>0</v>
      </c>
      <c r="I130">
        <f>Model!Q164</f>
        <v>0</v>
      </c>
      <c r="J130">
        <f>Model!R164</f>
        <v>0</v>
      </c>
      <c r="K130">
        <f>Model!S164</f>
        <v>0</v>
      </c>
      <c r="L130">
        <f>Model!T164</f>
        <v>0</v>
      </c>
      <c r="M130">
        <f>Model!U164</f>
        <v>0</v>
      </c>
      <c r="N130">
        <f>Model!V164</f>
        <v>0</v>
      </c>
      <c r="O130">
        <f>Model!W164</f>
        <v>0</v>
      </c>
      <c r="P130">
        <f>Model!X164</f>
        <v>0</v>
      </c>
      <c r="Q130">
        <f>Model!Y164</f>
        <v>0</v>
      </c>
      <c r="R130">
        <f>Model!Z164</f>
        <v>0</v>
      </c>
      <c r="S130">
        <f>Model!AA164</f>
        <v>0</v>
      </c>
      <c r="T130">
        <f>Model!AB164</f>
        <v>0</v>
      </c>
      <c r="U130">
        <f>Model!AC164</f>
        <v>0</v>
      </c>
      <c r="V130">
        <f>Model!AD164</f>
        <v>0</v>
      </c>
      <c r="W130">
        <f>Model!AE164</f>
        <v>0</v>
      </c>
      <c r="X130">
        <f>Model!AF164</f>
        <v>0</v>
      </c>
      <c r="Y130">
        <f>Model!AG164</f>
        <v>0</v>
      </c>
      <c r="Z130">
        <f>Model!AH164</f>
        <v>0</v>
      </c>
      <c r="AA130">
        <f>Model!AI164</f>
        <v>0</v>
      </c>
      <c r="AB130">
        <f>Model!AJ164</f>
        <v>0</v>
      </c>
      <c r="AC130">
        <f>Model!AK164</f>
        <v>0</v>
      </c>
      <c r="AD130">
        <f>Model!AL164</f>
        <v>0</v>
      </c>
      <c r="AE130">
        <f>Model!AM164</f>
        <v>0</v>
      </c>
      <c r="AF130">
        <f>Model!AN164</f>
        <v>0</v>
      </c>
      <c r="AG130">
        <f>Model!AO164</f>
        <v>0</v>
      </c>
      <c r="AH130">
        <f>Model!AP164</f>
        <v>0</v>
      </c>
      <c r="AI130">
        <f>Model!AQ164</f>
        <v>0</v>
      </c>
      <c r="AJ130">
        <f>Model!AR164</f>
        <v>0</v>
      </c>
      <c r="AK130">
        <f>Model!AS164</f>
        <v>0</v>
      </c>
      <c r="AL130">
        <f>Model!AT164</f>
        <v>0</v>
      </c>
      <c r="AM130">
        <f>Model!AU164</f>
        <v>0</v>
      </c>
      <c r="AN130">
        <f>Model!AV164</f>
        <v>0</v>
      </c>
      <c r="AO130">
        <f>Model!AW164</f>
        <v>0</v>
      </c>
      <c r="AP130">
        <f>Model!AX164</f>
        <v>0</v>
      </c>
      <c r="AQ130">
        <f>Model!AY164</f>
        <v>0</v>
      </c>
      <c r="AR130">
        <f>Model!AZ164</f>
        <v>0</v>
      </c>
      <c r="AS130">
        <f>Model!BA164</f>
        <v>0</v>
      </c>
      <c r="AT130">
        <f>Model!BB164</f>
        <v>0</v>
      </c>
      <c r="AU130">
        <f>Model!BC164</f>
        <v>0</v>
      </c>
      <c r="AV130">
        <f>Model!BD164</f>
        <v>0</v>
      </c>
      <c r="AW130">
        <f>Model!BE164</f>
        <v>0</v>
      </c>
      <c r="AX130">
        <f>Model!BF164</f>
        <v>0</v>
      </c>
      <c r="AY130">
        <f>Model!BG164</f>
        <v>0</v>
      </c>
      <c r="AZ130">
        <f>Model!BH164</f>
        <v>0</v>
      </c>
      <c r="BA130">
        <f>Model!BI164</f>
        <v>0</v>
      </c>
      <c r="BB130">
        <f>Model!BJ164</f>
        <v>0</v>
      </c>
      <c r="BC130">
        <f>Model!BK164</f>
        <v>0</v>
      </c>
      <c r="BD130">
        <f>Model!BL164</f>
        <v>0</v>
      </c>
      <c r="BE130">
        <f>Model!BM164</f>
        <v>0</v>
      </c>
      <c r="BF130">
        <f>Model!BN164</f>
        <v>0</v>
      </c>
      <c r="BG130">
        <f>Model!BO164</f>
        <v>0</v>
      </c>
      <c r="BH130">
        <f>Model!BP164</f>
        <v>0</v>
      </c>
      <c r="BI130">
        <f>Model!BQ164</f>
        <v>0</v>
      </c>
      <c r="BJ130">
        <f>Model!BR164</f>
        <v>0</v>
      </c>
      <c r="BK130">
        <f>Model!BS164</f>
        <v>0</v>
      </c>
      <c r="BL130">
        <f>Model!BT164</f>
        <v>0</v>
      </c>
      <c r="BM130">
        <f>Model!BU164</f>
        <v>0</v>
      </c>
      <c r="BN130">
        <f>Model!BV164</f>
        <v>0</v>
      </c>
      <c r="BO130">
        <f>Model!BW164</f>
        <v>0</v>
      </c>
      <c r="BP130">
        <f>Model!BX164</f>
        <v>0</v>
      </c>
      <c r="BQ130">
        <f>Model!BY164</f>
        <v>0</v>
      </c>
      <c r="BR130">
        <f>Model!BZ164</f>
        <v>0</v>
      </c>
      <c r="BS130">
        <f>Model!CA164</f>
        <v>0</v>
      </c>
      <c r="BT130">
        <f>Model!CB164</f>
        <v>0</v>
      </c>
      <c r="BU130">
        <f>Model!CC164</f>
        <v>0</v>
      </c>
      <c r="BV130">
        <f>Model!CD164</f>
        <v>0</v>
      </c>
      <c r="BW130">
        <f>Model!CE164</f>
        <v>0</v>
      </c>
      <c r="BX130">
        <f>Model!CF164</f>
        <v>0</v>
      </c>
      <c r="BY130">
        <f>Model!CG164</f>
        <v>0</v>
      </c>
      <c r="BZ130">
        <f>Model!CH164</f>
        <v>0</v>
      </c>
      <c r="CA130">
        <f>Model!CI164</f>
        <v>0</v>
      </c>
      <c r="CB130">
        <f>Model!CJ164</f>
        <v>0</v>
      </c>
      <c r="CC130">
        <f>Model!CK164</f>
        <v>0</v>
      </c>
      <c r="CD130">
        <f>Model!CL164</f>
        <v>0</v>
      </c>
      <c r="CE130">
        <f>Model!CM164</f>
        <v>0</v>
      </c>
      <c r="CF130">
        <f>Model!CN164</f>
        <v>0</v>
      </c>
      <c r="CG130">
        <f>Model!CO164</f>
        <v>0</v>
      </c>
      <c r="CH130">
        <f>Model!CP164</f>
        <v>0</v>
      </c>
      <c r="CI130">
        <f>Model!CQ164</f>
        <v>0</v>
      </c>
      <c r="CJ130">
        <f>Model!CR164</f>
        <v>0</v>
      </c>
      <c r="CK130">
        <f>Model!CS164</f>
        <v>0</v>
      </c>
      <c r="CL130">
        <f>Model!CT164</f>
        <v>0</v>
      </c>
      <c r="CM130">
        <f>Model!CU164</f>
        <v>0</v>
      </c>
      <c r="CN130">
        <f>Model!CV164</f>
        <v>0</v>
      </c>
      <c r="CO130">
        <f>Model!CW164</f>
        <v>0</v>
      </c>
      <c r="CP130">
        <f>Model!CX164</f>
        <v>0</v>
      </c>
      <c r="CQ130">
        <f>Model!CY164</f>
        <v>0</v>
      </c>
      <c r="CR130">
        <f>Model!CZ164</f>
        <v>0</v>
      </c>
      <c r="CS130">
        <f>Model!DA164</f>
        <v>0</v>
      </c>
      <c r="CT130">
        <f>Model!DB164</f>
        <v>0</v>
      </c>
      <c r="CU130">
        <f>Model!DC164</f>
        <v>0</v>
      </c>
      <c r="CV130">
        <f>Model!DD164</f>
        <v>0</v>
      </c>
      <c r="CW130">
        <f>Model!DE164</f>
        <v>0</v>
      </c>
      <c r="CX130">
        <f>Model!DF164</f>
        <v>0</v>
      </c>
    </row>
    <row r="131" spans="1:102">
      <c r="A131">
        <f>Model!I165</f>
        <v>0</v>
      </c>
      <c r="B131">
        <f>Model!J165</f>
        <v>0</v>
      </c>
      <c r="C131">
        <f>Model!K165</f>
        <v>0</v>
      </c>
      <c r="D131">
        <f>Model!L165</f>
        <v>0</v>
      </c>
      <c r="E131">
        <f>Model!M165</f>
        <v>0</v>
      </c>
      <c r="F131">
        <f>Model!N165</f>
        <v>0</v>
      </c>
      <c r="G131">
        <f>Model!O165</f>
        <v>0</v>
      </c>
      <c r="H131">
        <f>Model!P165</f>
        <v>0</v>
      </c>
      <c r="I131">
        <f>Model!Q165</f>
        <v>0</v>
      </c>
      <c r="J131">
        <f>Model!R165</f>
        <v>0</v>
      </c>
      <c r="K131">
        <f>Model!S165</f>
        <v>0</v>
      </c>
      <c r="L131">
        <f>Model!T165</f>
        <v>0</v>
      </c>
      <c r="M131">
        <f>Model!U165</f>
        <v>0</v>
      </c>
      <c r="N131">
        <f>Model!V165</f>
        <v>0</v>
      </c>
      <c r="O131">
        <f>Model!W165</f>
        <v>0</v>
      </c>
      <c r="P131">
        <f>Model!X165</f>
        <v>0</v>
      </c>
      <c r="Q131">
        <f>Model!Y165</f>
        <v>0</v>
      </c>
      <c r="R131">
        <f>Model!Z165</f>
        <v>0</v>
      </c>
      <c r="S131">
        <f>Model!AA165</f>
        <v>0</v>
      </c>
      <c r="T131">
        <f>Model!AB165</f>
        <v>0</v>
      </c>
      <c r="U131">
        <f>Model!AC165</f>
        <v>0</v>
      </c>
      <c r="V131">
        <f>Model!AD165</f>
        <v>0</v>
      </c>
      <c r="W131">
        <f>Model!AE165</f>
        <v>0</v>
      </c>
      <c r="X131">
        <f>Model!AF165</f>
        <v>0</v>
      </c>
      <c r="Y131">
        <f>Model!AG165</f>
        <v>0</v>
      </c>
      <c r="Z131">
        <f>Model!AH165</f>
        <v>0</v>
      </c>
      <c r="AA131">
        <f>Model!AI165</f>
        <v>0</v>
      </c>
      <c r="AB131">
        <f>Model!AJ165</f>
        <v>0</v>
      </c>
      <c r="AC131">
        <f>Model!AK165</f>
        <v>0</v>
      </c>
      <c r="AD131">
        <f>Model!AL165</f>
        <v>0</v>
      </c>
      <c r="AE131">
        <f>Model!AM165</f>
        <v>0</v>
      </c>
      <c r="AF131">
        <f>Model!AN165</f>
        <v>0</v>
      </c>
      <c r="AG131">
        <f>Model!AO165</f>
        <v>0</v>
      </c>
      <c r="AH131">
        <f>Model!AP165</f>
        <v>0</v>
      </c>
      <c r="AI131">
        <f>Model!AQ165</f>
        <v>0</v>
      </c>
      <c r="AJ131">
        <f>Model!AR165</f>
        <v>0</v>
      </c>
      <c r="AK131">
        <f>Model!AS165</f>
        <v>0</v>
      </c>
      <c r="AL131">
        <f>Model!AT165</f>
        <v>0</v>
      </c>
      <c r="AM131">
        <f>Model!AU165</f>
        <v>0</v>
      </c>
      <c r="AN131">
        <f>Model!AV165</f>
        <v>0</v>
      </c>
      <c r="AO131">
        <f>Model!AW165</f>
        <v>0</v>
      </c>
      <c r="AP131">
        <f>Model!AX165</f>
        <v>0</v>
      </c>
      <c r="AQ131">
        <f>Model!AY165</f>
        <v>0</v>
      </c>
      <c r="AR131">
        <f>Model!AZ165</f>
        <v>0</v>
      </c>
      <c r="AS131">
        <f>Model!BA165</f>
        <v>0</v>
      </c>
      <c r="AT131">
        <f>Model!BB165</f>
        <v>0</v>
      </c>
      <c r="AU131">
        <f>Model!BC165</f>
        <v>0</v>
      </c>
      <c r="AV131">
        <f>Model!BD165</f>
        <v>0</v>
      </c>
      <c r="AW131">
        <f>Model!BE165</f>
        <v>0</v>
      </c>
      <c r="AX131">
        <f>Model!BF165</f>
        <v>0</v>
      </c>
      <c r="AY131">
        <f>Model!BG165</f>
        <v>0</v>
      </c>
      <c r="AZ131">
        <f>Model!BH165</f>
        <v>0</v>
      </c>
      <c r="BA131">
        <f>Model!BI165</f>
        <v>0</v>
      </c>
      <c r="BB131">
        <f>Model!BJ165</f>
        <v>0</v>
      </c>
      <c r="BC131">
        <f>Model!BK165</f>
        <v>0</v>
      </c>
      <c r="BD131">
        <f>Model!BL165</f>
        <v>0</v>
      </c>
      <c r="BE131">
        <f>Model!BM165</f>
        <v>0</v>
      </c>
      <c r="BF131">
        <f>Model!BN165</f>
        <v>0</v>
      </c>
      <c r="BG131">
        <f>Model!BO165</f>
        <v>0</v>
      </c>
      <c r="BH131">
        <f>Model!BP165</f>
        <v>0</v>
      </c>
      <c r="BI131">
        <f>Model!BQ165</f>
        <v>0</v>
      </c>
      <c r="BJ131">
        <f>Model!BR165</f>
        <v>0</v>
      </c>
      <c r="BK131">
        <f>Model!BS165</f>
        <v>0</v>
      </c>
      <c r="BL131">
        <f>Model!BT165</f>
        <v>0</v>
      </c>
      <c r="BM131">
        <f>Model!BU165</f>
        <v>0</v>
      </c>
      <c r="BN131">
        <f>Model!BV165</f>
        <v>0</v>
      </c>
      <c r="BO131">
        <f>Model!BW165</f>
        <v>0</v>
      </c>
      <c r="BP131">
        <f>Model!BX165</f>
        <v>0</v>
      </c>
      <c r="BQ131">
        <f>Model!BY165</f>
        <v>0</v>
      </c>
      <c r="BR131">
        <f>Model!BZ165</f>
        <v>0</v>
      </c>
      <c r="BS131">
        <f>Model!CA165</f>
        <v>0</v>
      </c>
      <c r="BT131">
        <f>Model!CB165</f>
        <v>0</v>
      </c>
      <c r="BU131">
        <f>Model!CC165</f>
        <v>0</v>
      </c>
      <c r="BV131">
        <f>Model!CD165</f>
        <v>0</v>
      </c>
      <c r="BW131">
        <f>Model!CE165</f>
        <v>0</v>
      </c>
      <c r="BX131">
        <f>Model!CF165</f>
        <v>0</v>
      </c>
      <c r="BY131">
        <f>Model!CG165</f>
        <v>0</v>
      </c>
      <c r="BZ131">
        <f>Model!CH165</f>
        <v>0</v>
      </c>
      <c r="CA131">
        <f>Model!CI165</f>
        <v>0</v>
      </c>
      <c r="CB131">
        <f>Model!CJ165</f>
        <v>0</v>
      </c>
      <c r="CC131">
        <f>Model!CK165</f>
        <v>0</v>
      </c>
      <c r="CD131">
        <f>Model!CL165</f>
        <v>0</v>
      </c>
      <c r="CE131">
        <f>Model!CM165</f>
        <v>0</v>
      </c>
      <c r="CF131">
        <f>Model!CN165</f>
        <v>0</v>
      </c>
      <c r="CG131">
        <f>Model!CO165</f>
        <v>0</v>
      </c>
      <c r="CH131">
        <f>Model!CP165</f>
        <v>0</v>
      </c>
      <c r="CI131">
        <f>Model!CQ165</f>
        <v>0</v>
      </c>
      <c r="CJ131">
        <f>Model!CR165</f>
        <v>0</v>
      </c>
      <c r="CK131">
        <f>Model!CS165</f>
        <v>0</v>
      </c>
      <c r="CL131">
        <f>Model!CT165</f>
        <v>0</v>
      </c>
      <c r="CM131">
        <f>Model!CU165</f>
        <v>0</v>
      </c>
      <c r="CN131">
        <f>Model!CV165</f>
        <v>0</v>
      </c>
      <c r="CO131">
        <f>Model!CW165</f>
        <v>0</v>
      </c>
      <c r="CP131">
        <f>Model!CX165</f>
        <v>0</v>
      </c>
      <c r="CQ131">
        <f>Model!CY165</f>
        <v>0</v>
      </c>
      <c r="CR131">
        <f>Model!CZ165</f>
        <v>0</v>
      </c>
      <c r="CS131">
        <f>Model!DA165</f>
        <v>0</v>
      </c>
      <c r="CT131">
        <f>Model!DB165</f>
        <v>0</v>
      </c>
      <c r="CU131">
        <f>Model!DC165</f>
        <v>0</v>
      </c>
      <c r="CV131">
        <f>Model!DD165</f>
        <v>0</v>
      </c>
      <c r="CW131">
        <f>Model!DE165</f>
        <v>0</v>
      </c>
      <c r="CX131">
        <f>Model!DF165</f>
        <v>0</v>
      </c>
    </row>
    <row r="132" spans="1:102">
      <c r="A132" t="str">
        <f>Model!I166</f>
        <v>Share Count Calculation</v>
      </c>
      <c r="B132">
        <f>Model!J166</f>
        <v>0</v>
      </c>
      <c r="C132">
        <f>Model!K166</f>
        <v>0</v>
      </c>
      <c r="D132">
        <f>Model!L166</f>
        <v>0</v>
      </c>
      <c r="E132">
        <f>Model!M166</f>
        <v>0</v>
      </c>
      <c r="F132">
        <f>Model!N166</f>
        <v>0</v>
      </c>
      <c r="G132">
        <f>Model!O166</f>
        <v>0</v>
      </c>
      <c r="H132">
        <f>Model!P166</f>
        <v>0</v>
      </c>
      <c r="I132">
        <f>Model!Q166</f>
        <v>0</v>
      </c>
      <c r="J132">
        <f>Model!R166</f>
        <v>0</v>
      </c>
      <c r="K132">
        <f>Model!S166</f>
        <v>0</v>
      </c>
      <c r="L132">
        <f>Model!T166</f>
        <v>0</v>
      </c>
      <c r="M132">
        <f>Model!U166</f>
        <v>0</v>
      </c>
      <c r="N132">
        <f>Model!V166</f>
        <v>0</v>
      </c>
      <c r="O132">
        <f>Model!W166</f>
        <v>0</v>
      </c>
      <c r="P132">
        <f>Model!X166</f>
        <v>0</v>
      </c>
      <c r="Q132">
        <f>Model!Y166</f>
        <v>0</v>
      </c>
      <c r="R132">
        <f>Model!Z166</f>
        <v>0</v>
      </c>
      <c r="S132">
        <f>Model!AA166</f>
        <v>0</v>
      </c>
      <c r="T132">
        <f>Model!AB166</f>
        <v>0</v>
      </c>
      <c r="U132">
        <f>Model!AC166</f>
        <v>0</v>
      </c>
      <c r="V132">
        <f>Model!AD166</f>
        <v>0</v>
      </c>
      <c r="W132">
        <f>Model!AE166</f>
        <v>0</v>
      </c>
      <c r="X132">
        <f>Model!AF166</f>
        <v>0</v>
      </c>
      <c r="Y132">
        <f>Model!AG166</f>
        <v>0</v>
      </c>
      <c r="Z132">
        <f>Model!AH166</f>
        <v>0</v>
      </c>
      <c r="AA132">
        <f>Model!AI166</f>
        <v>0</v>
      </c>
      <c r="AB132">
        <f>Model!AJ166</f>
        <v>0</v>
      </c>
      <c r="AC132">
        <f>Model!AK166</f>
        <v>0</v>
      </c>
      <c r="AD132">
        <f>Model!AL166</f>
        <v>0</v>
      </c>
      <c r="AE132">
        <f>Model!AM166</f>
        <v>0</v>
      </c>
      <c r="AF132">
        <f>Model!AN166</f>
        <v>0</v>
      </c>
      <c r="AG132">
        <f>Model!AO166</f>
        <v>0</v>
      </c>
      <c r="AH132">
        <f>Model!AP166</f>
        <v>0</v>
      </c>
      <c r="AI132">
        <f>Model!AQ166</f>
        <v>0</v>
      </c>
      <c r="AJ132">
        <f>Model!AR166</f>
        <v>0</v>
      </c>
      <c r="AK132">
        <f>Model!AS166</f>
        <v>0</v>
      </c>
      <c r="AL132">
        <f>Model!AT166</f>
        <v>0</v>
      </c>
      <c r="AM132">
        <f>Model!AU166</f>
        <v>0</v>
      </c>
      <c r="AN132">
        <f>Model!AV166</f>
        <v>0</v>
      </c>
      <c r="AO132">
        <f>Model!AW166</f>
        <v>0</v>
      </c>
      <c r="AP132">
        <f>Model!AX166</f>
        <v>0</v>
      </c>
      <c r="AQ132">
        <f>Model!AY166</f>
        <v>0</v>
      </c>
      <c r="AR132">
        <f>Model!AZ166</f>
        <v>0</v>
      </c>
      <c r="AS132">
        <f>Model!BA166</f>
        <v>0</v>
      </c>
      <c r="AT132">
        <f>Model!BB166</f>
        <v>0</v>
      </c>
      <c r="AU132">
        <f>Model!BC166</f>
        <v>0</v>
      </c>
      <c r="AV132">
        <f>Model!BD166</f>
        <v>0</v>
      </c>
      <c r="AW132">
        <f>Model!BE166</f>
        <v>0</v>
      </c>
      <c r="AX132">
        <f>Model!BF166</f>
        <v>0</v>
      </c>
      <c r="AY132">
        <f>Model!BG166</f>
        <v>0</v>
      </c>
      <c r="AZ132">
        <f>Model!BH166</f>
        <v>0</v>
      </c>
      <c r="BA132">
        <f>Model!BI166</f>
        <v>0</v>
      </c>
      <c r="BB132">
        <f>Model!BJ166</f>
        <v>0</v>
      </c>
      <c r="BC132">
        <f>Model!BK166</f>
        <v>0</v>
      </c>
      <c r="BD132">
        <f>Model!BL166</f>
        <v>0</v>
      </c>
      <c r="BE132">
        <f>Model!BM166</f>
        <v>0</v>
      </c>
      <c r="BF132">
        <f>Model!BN166</f>
        <v>0</v>
      </c>
      <c r="BG132">
        <f>Model!BO166</f>
        <v>0</v>
      </c>
      <c r="BH132">
        <f>Model!BP166</f>
        <v>0</v>
      </c>
      <c r="BI132">
        <f>Model!BQ166</f>
        <v>0</v>
      </c>
      <c r="BJ132">
        <f>Model!BR166</f>
        <v>0</v>
      </c>
      <c r="BK132">
        <f>Model!BS166</f>
        <v>0</v>
      </c>
      <c r="BL132">
        <f>Model!BT166</f>
        <v>0</v>
      </c>
      <c r="BM132">
        <f>Model!BU166</f>
        <v>0</v>
      </c>
      <c r="BN132">
        <f>Model!BV166</f>
        <v>0</v>
      </c>
      <c r="BO132">
        <f>Model!BW166</f>
        <v>0</v>
      </c>
      <c r="BP132">
        <f>Model!BX166</f>
        <v>0</v>
      </c>
      <c r="BQ132">
        <f>Model!BY166</f>
        <v>0</v>
      </c>
      <c r="BR132">
        <f>Model!BZ166</f>
        <v>0</v>
      </c>
      <c r="BS132">
        <f>Model!CA166</f>
        <v>0</v>
      </c>
      <c r="BT132">
        <f>Model!CB166</f>
        <v>0</v>
      </c>
      <c r="BU132">
        <f>Model!CC166</f>
        <v>0</v>
      </c>
      <c r="BV132">
        <f>Model!CD166</f>
        <v>0</v>
      </c>
      <c r="BW132">
        <f>Model!CE166</f>
        <v>0</v>
      </c>
      <c r="BX132">
        <f>Model!CF166</f>
        <v>0</v>
      </c>
      <c r="BY132">
        <f>Model!CG166</f>
        <v>0</v>
      </c>
      <c r="BZ132">
        <f>Model!CH166</f>
        <v>0</v>
      </c>
      <c r="CA132">
        <f>Model!CI166</f>
        <v>0</v>
      </c>
      <c r="CB132">
        <f>Model!CJ166</f>
        <v>0</v>
      </c>
      <c r="CC132">
        <f>Model!CK166</f>
        <v>0</v>
      </c>
      <c r="CD132">
        <f>Model!CL166</f>
        <v>0</v>
      </c>
      <c r="CE132">
        <f>Model!CM166</f>
        <v>0</v>
      </c>
      <c r="CF132">
        <f>Model!CN166</f>
        <v>0</v>
      </c>
      <c r="CG132">
        <f>Model!CO166</f>
        <v>0</v>
      </c>
      <c r="CH132">
        <f>Model!CP166</f>
        <v>0</v>
      </c>
      <c r="CI132">
        <f>Model!CQ166</f>
        <v>0</v>
      </c>
      <c r="CJ132">
        <f>Model!CR166</f>
        <v>0</v>
      </c>
      <c r="CK132">
        <f>Model!CS166</f>
        <v>0</v>
      </c>
      <c r="CL132">
        <f>Model!CT166</f>
        <v>0</v>
      </c>
      <c r="CM132">
        <f>Model!CU166</f>
        <v>0</v>
      </c>
      <c r="CN132">
        <f>Model!CV166</f>
        <v>0</v>
      </c>
      <c r="CO132">
        <f>Model!CW166</f>
        <v>0</v>
      </c>
      <c r="CP132">
        <f>Model!CX166</f>
        <v>0</v>
      </c>
      <c r="CQ132">
        <f>Model!CY166</f>
        <v>0</v>
      </c>
      <c r="CR132">
        <f>Model!CZ166</f>
        <v>0</v>
      </c>
      <c r="CS132">
        <f>Model!DA166</f>
        <v>0</v>
      </c>
      <c r="CT132">
        <f>Model!DB166</f>
        <v>0</v>
      </c>
      <c r="CU132">
        <f>Model!DC166</f>
        <v>0</v>
      </c>
      <c r="CV132">
        <f>Model!DD166</f>
        <v>0</v>
      </c>
      <c r="CW132">
        <f>Model!DE166</f>
        <v>0</v>
      </c>
      <c r="CX132">
        <f>Model!DF166</f>
        <v>0</v>
      </c>
    </row>
    <row r="133" spans="1:102">
      <c r="A133" t="str">
        <f>Model!I167</f>
        <v>Beg Share Count</v>
      </c>
      <c r="B133">
        <f>Model!J167</f>
        <v>0</v>
      </c>
      <c r="C133">
        <f>Model!K167</f>
        <v>0</v>
      </c>
      <c r="D133">
        <f>Model!L167</f>
        <v>0</v>
      </c>
      <c r="E133">
        <f>Model!M167</f>
        <v>0</v>
      </c>
      <c r="F133">
        <f>Model!N167</f>
        <v>0</v>
      </c>
      <c r="G133">
        <f>Model!O167</f>
        <v>0</v>
      </c>
      <c r="H133">
        <f>Model!P167</f>
        <v>0</v>
      </c>
      <c r="I133">
        <f>Model!Q167</f>
        <v>0</v>
      </c>
      <c r="J133">
        <f>Model!R167</f>
        <v>0</v>
      </c>
      <c r="K133">
        <f>Model!S167</f>
        <v>0</v>
      </c>
      <c r="L133">
        <f>Model!T167</f>
        <v>0</v>
      </c>
      <c r="M133">
        <f>Model!U167</f>
        <v>0</v>
      </c>
      <c r="N133">
        <f>Model!V167</f>
        <v>0</v>
      </c>
      <c r="O133">
        <f>Model!W167</f>
        <v>0</v>
      </c>
      <c r="P133">
        <f>Model!X167</f>
        <v>0</v>
      </c>
      <c r="Q133">
        <f>Model!Y167</f>
        <v>0</v>
      </c>
      <c r="R133">
        <f>Model!Z167</f>
        <v>0</v>
      </c>
      <c r="S133">
        <f>Model!AA167</f>
        <v>0</v>
      </c>
      <c r="T133">
        <f>Model!AB167</f>
        <v>0</v>
      </c>
      <c r="U133">
        <f>Model!AC167</f>
        <v>0</v>
      </c>
      <c r="V133">
        <f>Model!AD167</f>
        <v>0</v>
      </c>
      <c r="W133">
        <f>Model!AE167</f>
        <v>0</v>
      </c>
      <c r="X133">
        <f>Model!AF167</f>
        <v>0</v>
      </c>
      <c r="Y133">
        <f>Model!AG167</f>
        <v>0</v>
      </c>
      <c r="Z133">
        <f>Model!AH167</f>
        <v>40.890999999999998</v>
      </c>
      <c r="AA133">
        <f>Model!AI167</f>
        <v>41.762999999999998</v>
      </c>
      <c r="AB133">
        <f>Model!AJ167</f>
        <v>41.972999999999999</v>
      </c>
      <c r="AC133">
        <f>Model!AK167</f>
        <v>38.356999999999999</v>
      </c>
      <c r="AD133">
        <f>Model!AL167</f>
        <v>40.238</v>
      </c>
      <c r="AE133">
        <f>Model!AM167</f>
        <v>42.686</v>
      </c>
      <c r="AF133">
        <f>Model!AN167</f>
        <v>45.368000000000002</v>
      </c>
      <c r="AG133">
        <f>Model!AO167</f>
        <v>48.347999999999999</v>
      </c>
      <c r="AH133">
        <f>Model!AP167</f>
        <v>49.405000000000001</v>
      </c>
      <c r="AI133">
        <f>Model!AQ167</f>
        <v>50.505000000000003</v>
      </c>
      <c r="AJ133">
        <f>Model!AR167</f>
        <v>48.863</v>
      </c>
      <c r="AK133">
        <f>Model!AS167</f>
        <v>45.287999999999997</v>
      </c>
      <c r="AL133">
        <f>Model!AT167</f>
        <v>47.177</v>
      </c>
      <c r="AM133">
        <f>Model!AU167</f>
        <v>48.997999999999998</v>
      </c>
      <c r="AN133">
        <f>Model!AV167</f>
        <v>50.24</v>
      </c>
      <c r="AO133">
        <f>Model!AW167</f>
        <v>51.073</v>
      </c>
      <c r="AP133">
        <f>Model!AX167</f>
        <v>51.393000000000001</v>
      </c>
      <c r="AQ133">
        <f>Model!AY167</f>
        <v>51.259</v>
      </c>
      <c r="AR133">
        <f>Model!AZ167</f>
        <v>51.058999999999997</v>
      </c>
      <c r="AS133">
        <f>Model!BA167</f>
        <v>51.430999999999997</v>
      </c>
      <c r="AT133">
        <f>Model!BB167</f>
        <v>51.521999999999998</v>
      </c>
      <c r="AU133">
        <f>Model!BC167</f>
        <v>51.484000000000002</v>
      </c>
      <c r="AV133">
        <f>Model!BD167</f>
        <v>51.494999999999997</v>
      </c>
      <c r="AW133">
        <f>Model!BE167</f>
        <v>51.517000000000003</v>
      </c>
      <c r="AX133">
        <f>Model!BF167</f>
        <v>51.645000000000003</v>
      </c>
      <c r="AY133">
        <f>Model!BG167</f>
        <v>51.546999999999997</v>
      </c>
      <c r="AZ133">
        <f>Model!BH167</f>
        <v>51.475000000000001</v>
      </c>
      <c r="BA133">
        <f>Model!BI167</f>
        <v>51.47</v>
      </c>
      <c r="BB133">
        <f>Model!BJ167</f>
        <v>51.567999999999998</v>
      </c>
      <c r="BC133">
        <f>Model!BK167</f>
        <v>52.395000000000003</v>
      </c>
      <c r="BD133">
        <f>Model!BL167</f>
        <v>53.192999999999998</v>
      </c>
      <c r="BE133">
        <f>Model!BM167</f>
        <v>53.21</v>
      </c>
      <c r="BF133">
        <f>Model!BN167</f>
        <v>53.325000000000003</v>
      </c>
      <c r="BG133">
        <f>Model!BO167</f>
        <v>53.326000000000001</v>
      </c>
      <c r="BH133">
        <f>Model!BP167</f>
        <v>53.362000000000002</v>
      </c>
      <c r="BI133">
        <f>Model!BQ167</f>
        <v>53.156999999999996</v>
      </c>
      <c r="BJ133">
        <f>Model!BR167</f>
        <v>52.793999999999997</v>
      </c>
      <c r="BK133">
        <f>Model!BS167</f>
        <v>52.468000000000004</v>
      </c>
      <c r="BL133">
        <f>Model!BT167</f>
        <v>51.448999999999998</v>
      </c>
      <c r="BM133">
        <f>Model!BU167</f>
        <v>50.744999999999997</v>
      </c>
      <c r="BN133">
        <f>Model!BV167</f>
        <v>50.508000000000003</v>
      </c>
      <c r="BO133">
        <f>Model!BW167</f>
        <v>50.448999999999998</v>
      </c>
      <c r="BP133">
        <f>Model!BX167</f>
        <v>50.317</v>
      </c>
      <c r="BQ133">
        <f>Model!BY167</f>
        <v>50.02</v>
      </c>
      <c r="BR133">
        <f>Model!BZ167</f>
        <v>50.024999999999999</v>
      </c>
      <c r="BS133">
        <f>Model!CA167</f>
        <v>50.055999999999997</v>
      </c>
      <c r="BT133">
        <f>Model!CB167</f>
        <v>49.972000000000001</v>
      </c>
      <c r="BU133">
        <f>Model!CC167</f>
        <v>49.569000000000003</v>
      </c>
      <c r="BV133">
        <f>Model!CD167</f>
        <v>49.378402179487182</v>
      </c>
      <c r="BW133">
        <f>Model!CE167</f>
        <v>48.498780939894608</v>
      </c>
      <c r="BX133">
        <f>Model!CF167</f>
        <v>48.494520363465753</v>
      </c>
      <c r="BY133">
        <f>Model!CG167</f>
        <v>0</v>
      </c>
      <c r="BZ133">
        <f>Model!CH167</f>
        <v>0</v>
      </c>
      <c r="CA133">
        <f>Model!CI167</f>
        <v>0</v>
      </c>
      <c r="CB133">
        <f>Model!CJ167</f>
        <v>0</v>
      </c>
      <c r="CC133">
        <f>Model!CK167</f>
        <v>0</v>
      </c>
      <c r="CD133">
        <f>Model!CL167</f>
        <v>0</v>
      </c>
      <c r="CE133">
        <f>Model!CM167</f>
        <v>0</v>
      </c>
      <c r="CF133">
        <f>Model!CN167</f>
        <v>38.356999999999999</v>
      </c>
      <c r="CG133">
        <f>Model!CO167</f>
        <v>48.347999999999999</v>
      </c>
      <c r="CH133">
        <f>Model!CP167</f>
        <v>45.287999999999997</v>
      </c>
      <c r="CI133">
        <f>Model!CQ167</f>
        <v>51.073</v>
      </c>
      <c r="CJ133">
        <f>Model!CR167</f>
        <v>51.430999999999997</v>
      </c>
      <c r="CK133">
        <f>Model!CS167</f>
        <v>51.517000000000003</v>
      </c>
      <c r="CL133">
        <f>Model!CT167</f>
        <v>51.47</v>
      </c>
      <c r="CM133">
        <f>Model!CU167</f>
        <v>53.21</v>
      </c>
      <c r="CN133">
        <f>Model!CV167</f>
        <v>53.156999999999996</v>
      </c>
      <c r="CO133">
        <f>Model!CW167</f>
        <v>50.744999999999997</v>
      </c>
      <c r="CP133">
        <f>Model!CX167</f>
        <v>50.02</v>
      </c>
      <c r="CQ133">
        <f>Model!CY167</f>
        <v>49.569000000000003</v>
      </c>
      <c r="CR133">
        <f>Model!CZ167</f>
        <v>48.20853333829541</v>
      </c>
      <c r="CS133">
        <f>Model!DA167</f>
        <v>47.549942340856255</v>
      </c>
      <c r="CT133">
        <f>Model!DB167</f>
        <v>46.925096712274545</v>
      </c>
      <c r="CU133">
        <f>Model!DC167</f>
        <v>46.333013577729197</v>
      </c>
      <c r="CV133">
        <f>Model!DD167</f>
        <v>46.408903622565958</v>
      </c>
      <c r="CW133">
        <f>Model!DE167</f>
        <v>46.497146384543392</v>
      </c>
      <c r="CX133">
        <f>Model!DF167</f>
        <v>46.597382075783621</v>
      </c>
    </row>
    <row r="134" spans="1:102">
      <c r="A134" t="str">
        <f>Model!I168</f>
        <v>Dilution</v>
      </c>
      <c r="B134">
        <f>Model!J168</f>
        <v>0</v>
      </c>
      <c r="C134">
        <f>Model!K168</f>
        <v>0</v>
      </c>
      <c r="D134">
        <f>Model!L168</f>
        <v>0</v>
      </c>
      <c r="E134">
        <f>Model!M168</f>
        <v>0</v>
      </c>
      <c r="F134">
        <f>Model!N168</f>
        <v>0</v>
      </c>
      <c r="G134">
        <f>Model!O168</f>
        <v>0</v>
      </c>
      <c r="H134">
        <f>Model!P168</f>
        <v>0</v>
      </c>
      <c r="I134">
        <f>Model!Q168</f>
        <v>0</v>
      </c>
      <c r="J134">
        <f>Model!R168</f>
        <v>0</v>
      </c>
      <c r="K134">
        <f>Model!S168</f>
        <v>0</v>
      </c>
      <c r="L134">
        <f>Model!T168</f>
        <v>0</v>
      </c>
      <c r="M134">
        <f>Model!U168</f>
        <v>0</v>
      </c>
      <c r="N134">
        <f>Model!V168</f>
        <v>0</v>
      </c>
      <c r="O134">
        <f>Model!W168</f>
        <v>0</v>
      </c>
      <c r="P134">
        <f>Model!X168</f>
        <v>0</v>
      </c>
      <c r="Q134">
        <f>Model!Y168</f>
        <v>0</v>
      </c>
      <c r="R134">
        <f>Model!Z168</f>
        <v>0</v>
      </c>
      <c r="S134">
        <f>Model!AA168</f>
        <v>0</v>
      </c>
      <c r="T134">
        <f>Model!AB168</f>
        <v>0</v>
      </c>
      <c r="U134">
        <f>Model!AC168</f>
        <v>0</v>
      </c>
      <c r="V134">
        <f>Model!AD168</f>
        <v>0</v>
      </c>
      <c r="W134">
        <f>Model!AE168</f>
        <v>0</v>
      </c>
      <c r="X134">
        <f>Model!AF168</f>
        <v>0</v>
      </c>
      <c r="Y134">
        <f>Model!AG168</f>
        <v>40.890999999999998</v>
      </c>
      <c r="Z134">
        <f>Model!AH168</f>
        <v>0.87199999999999989</v>
      </c>
      <c r="AA134">
        <f>Model!AI168</f>
        <v>0.21000000000000085</v>
      </c>
      <c r="AB134">
        <f>Model!AJ168</f>
        <v>-3.6159999999999997</v>
      </c>
      <c r="AC134">
        <f>Model!AK168</f>
        <v>1.8810000000000002</v>
      </c>
      <c r="AD134">
        <f>Model!AL168</f>
        <v>2.4480000000000004</v>
      </c>
      <c r="AE134">
        <f>Model!AM168</f>
        <v>2.6820000000000022</v>
      </c>
      <c r="AF134">
        <f>Model!AN168</f>
        <v>2.9799999999999969</v>
      </c>
      <c r="AG134">
        <f>Model!AO168</f>
        <v>1.0836120000000022</v>
      </c>
      <c r="AH134">
        <f>Model!AP168</f>
        <v>1.1009450000000029</v>
      </c>
      <c r="AI134">
        <f>Model!AQ168</f>
        <v>-1.6331180000000032</v>
      </c>
      <c r="AJ134">
        <f>Model!AR168</f>
        <v>-3.5750000000000028</v>
      </c>
      <c r="AK134">
        <f>Model!AS168</f>
        <v>2.0445279999999997</v>
      </c>
      <c r="AL134">
        <f>Model!AT168</f>
        <v>1.8222349999999992</v>
      </c>
      <c r="AM134">
        <f>Model!AU168</f>
        <v>1.2487940000000037</v>
      </c>
      <c r="AN134">
        <f>Model!AV168</f>
        <v>0.84951399999999921</v>
      </c>
      <c r="AO134">
        <f>Model!AW168</f>
        <v>0.83019900000000035</v>
      </c>
      <c r="AP134">
        <f>Model!AX168</f>
        <v>-0.10151299999999708</v>
      </c>
      <c r="AQ134">
        <f>Model!AY168</f>
        <v>-0.19724700000000439</v>
      </c>
      <c r="AR134">
        <f>Model!AZ168</f>
        <v>0.38257000000000119</v>
      </c>
      <c r="AS134">
        <f>Model!BA168</f>
        <v>0.43790400000000318</v>
      </c>
      <c r="AT134">
        <f>Model!BB168</f>
        <v>-3.5236999999995078E-2</v>
      </c>
      <c r="AU134">
        <f>Model!BC168</f>
        <v>1.8311999999994555E-2</v>
      </c>
      <c r="AV134">
        <f>Model!BD168</f>
        <v>2.3538000000002057E-2</v>
      </c>
      <c r="AW134">
        <f>Model!BE168</f>
        <v>0.52863099999999719</v>
      </c>
      <c r="AX134">
        <f>Model!BF168</f>
        <v>-9.6547000000008154E-2</v>
      </c>
      <c r="AY134">
        <f>Model!BG168</f>
        <v>-7.1594999999994968E-2</v>
      </c>
      <c r="AZ134">
        <f>Model!BH168</f>
        <v>-2.3470000000003211E-3</v>
      </c>
      <c r="BA134">
        <f>Model!BI168</f>
        <v>0.20867899999999651</v>
      </c>
      <c r="BB134">
        <f>Model!BJ168</f>
        <v>1.2589100000000073</v>
      </c>
      <c r="BC134">
        <f>Model!BK168</f>
        <v>1.2823609999999945</v>
      </c>
      <c r="BD134">
        <f>Model!BL168</f>
        <v>1.7451000000001216E-2</v>
      </c>
      <c r="BE134">
        <f>Model!BM168</f>
        <v>0.18727700000000169</v>
      </c>
      <c r="BF134">
        <f>Model!BN168</f>
        <v>1.5549999999961983E-3</v>
      </c>
      <c r="BG134">
        <f>Model!BO168</f>
        <v>0.15064500000000436</v>
      </c>
      <c r="BH134">
        <f>Model!BP168</f>
        <v>0.23811699999999547</v>
      </c>
      <c r="BI134">
        <f>Model!BQ168</f>
        <v>-0.11160300000000234</v>
      </c>
      <c r="BJ134">
        <f>Model!BR168</f>
        <v>0.24269600000000935</v>
      </c>
      <c r="BK134">
        <f>Model!BS168</f>
        <v>6.3574999999993054E-2</v>
      </c>
      <c r="BL134">
        <f>Model!BT168</f>
        <v>-7.2560000000002844E-2</v>
      </c>
      <c r="BM134">
        <f>Model!BU168</f>
        <v>-3.4999999999996589E-2</v>
      </c>
      <c r="BN134">
        <f>Model!BV168</f>
        <v>0.1769999999999925</v>
      </c>
      <c r="BO134">
        <f>Model!BW168</f>
        <v>1.1828000000001282E-2</v>
      </c>
      <c r="BP134">
        <f>Model!BX168</f>
        <v>-0.11584399999999562</v>
      </c>
      <c r="BQ134">
        <f>Model!BY168</f>
        <v>0.12991499999999689</v>
      </c>
      <c r="BR134">
        <f>Model!BZ168</f>
        <v>0.16763699999999915</v>
      </c>
      <c r="BS134">
        <f>Model!CA168</f>
        <v>0.2864540000000062</v>
      </c>
      <c r="BT134">
        <f>Model!CB168</f>
        <v>-9.1159999999987917E-3</v>
      </c>
      <c r="BU134">
        <f>Model!CC168</f>
        <v>0.12991499999999689</v>
      </c>
      <c r="BV134">
        <f>Model!CD168</f>
        <v>-0.57437093434226905</v>
      </c>
      <c r="BW134">
        <f>Model!CE168</f>
        <v>0.2864540000000062</v>
      </c>
      <c r="BX134">
        <f>Model!CF168</f>
        <v>-9.1159999999987917E-3</v>
      </c>
      <c r="BY134">
        <f>Model!CG168</f>
        <v>0</v>
      </c>
      <c r="BZ134">
        <f>Model!CH168</f>
        <v>0</v>
      </c>
      <c r="CA134">
        <f>Model!CI168</f>
        <v>0</v>
      </c>
      <c r="CB134">
        <f>Model!CJ168</f>
        <v>0</v>
      </c>
      <c r="CC134">
        <f>Model!CK168</f>
        <v>0</v>
      </c>
      <c r="CD134">
        <f>Model!CL168</f>
        <v>0</v>
      </c>
      <c r="CE134">
        <f>Model!CM168</f>
        <v>38.356999999999999</v>
      </c>
      <c r="CF134">
        <f>Model!CN168</f>
        <v>9.9909999999999997</v>
      </c>
      <c r="CG134">
        <f>Model!CO168</f>
        <v>-3.0235610000000008</v>
      </c>
      <c r="CH134">
        <f>Model!CP168</f>
        <v>5.9650710000000018</v>
      </c>
      <c r="CI134">
        <f>Model!CQ168</f>
        <v>0.91400900000000007</v>
      </c>
      <c r="CJ134">
        <f>Model!CR168</f>
        <v>0.44451700000000471</v>
      </c>
      <c r="CK134">
        <f>Model!CS168</f>
        <v>0.35814199999999374</v>
      </c>
      <c r="CL134">
        <f>Model!CT168</f>
        <v>2.7674009999999996</v>
      </c>
      <c r="CM134">
        <f>Model!CU168</f>
        <v>0.57759399999999772</v>
      </c>
      <c r="CN134">
        <f>Model!CV168</f>
        <v>0.12210799999999722</v>
      </c>
      <c r="CO134">
        <f>Model!CW168</f>
        <v>3.7984000000001572E-2</v>
      </c>
      <c r="CP134">
        <f>Model!CX168</f>
        <v>0.57489000000000345</v>
      </c>
      <c r="CQ134">
        <f>Model!CY168</f>
        <v>-0.16711793434226474</v>
      </c>
      <c r="CR134">
        <f>Model!CZ168</f>
        <v>0.5</v>
      </c>
      <c r="CS134">
        <f>Model!DA168</f>
        <v>0.5</v>
      </c>
      <c r="CT134">
        <f>Model!DB168</f>
        <v>0.5</v>
      </c>
      <c r="CU134">
        <f>Model!DC168</f>
        <v>0.5</v>
      </c>
      <c r="CV134">
        <f>Model!DD168</f>
        <v>0.5</v>
      </c>
      <c r="CW134">
        <f>Model!DE168</f>
        <v>0.5</v>
      </c>
      <c r="CX134">
        <f>Model!DF168</f>
        <v>0.5</v>
      </c>
    </row>
    <row r="135" spans="1:102">
      <c r="A135" t="str">
        <f>Model!I169</f>
        <v>Shares Repurchased</v>
      </c>
      <c r="B135">
        <f>Model!J169</f>
        <v>0</v>
      </c>
      <c r="C135">
        <f>Model!K169</f>
        <v>0</v>
      </c>
      <c r="D135">
        <f>Model!L169</f>
        <v>0</v>
      </c>
      <c r="E135">
        <f>Model!M169</f>
        <v>0</v>
      </c>
      <c r="F135">
        <f>Model!N169</f>
        <v>0</v>
      </c>
      <c r="G135">
        <f>Model!O169</f>
        <v>0</v>
      </c>
      <c r="H135">
        <f>Model!P169</f>
        <v>0</v>
      </c>
      <c r="I135">
        <f>Model!Q169</f>
        <v>0</v>
      </c>
      <c r="J135">
        <f>Model!R169</f>
        <v>0</v>
      </c>
      <c r="K135">
        <f>Model!S169</f>
        <v>0</v>
      </c>
      <c r="L135">
        <f>Model!T169</f>
        <v>0</v>
      </c>
      <c r="M135">
        <f>Model!U169</f>
        <v>0</v>
      </c>
      <c r="N135">
        <f>Model!V169</f>
        <v>0</v>
      </c>
      <c r="O135">
        <f>Model!W169</f>
        <v>0</v>
      </c>
      <c r="P135">
        <f>Model!X169</f>
        <v>0</v>
      </c>
      <c r="Q135">
        <f>Model!Y169</f>
        <v>0</v>
      </c>
      <c r="R135">
        <f>Model!Z169</f>
        <v>0</v>
      </c>
      <c r="S135">
        <f>Model!AA169</f>
        <v>0</v>
      </c>
      <c r="T135">
        <f>Model!AB169</f>
        <v>0</v>
      </c>
      <c r="U135">
        <f>Model!AC169</f>
        <v>0</v>
      </c>
      <c r="V135">
        <f>Model!AD169</f>
        <v>0</v>
      </c>
      <c r="W135">
        <f>Model!AE169</f>
        <v>0</v>
      </c>
      <c r="X135">
        <f>Model!AF169</f>
        <v>0</v>
      </c>
      <c r="Y135">
        <f>Model!AG169</f>
        <v>0</v>
      </c>
      <c r="Z135">
        <f>Model!AH169</f>
        <v>0</v>
      </c>
      <c r="AA135">
        <f>Model!AI169</f>
        <v>0</v>
      </c>
      <c r="AB135">
        <f>Model!AJ169</f>
        <v>0</v>
      </c>
      <c r="AC135">
        <f>Model!AK169</f>
        <v>0</v>
      </c>
      <c r="AD135">
        <f>Model!AL169</f>
        <v>0</v>
      </c>
      <c r="AE135">
        <f>Model!AM169</f>
        <v>0</v>
      </c>
      <c r="AF135">
        <f>Model!AN169</f>
        <v>0</v>
      </c>
      <c r="AG135">
        <f>Model!AO169</f>
        <v>-2.6612E-2</v>
      </c>
      <c r="AH135">
        <f>Model!AP169</f>
        <v>-9.4500000000000139E-4</v>
      </c>
      <c r="AI135">
        <f>Model!AQ169</f>
        <v>-8.8819999999999975E-3</v>
      </c>
      <c r="AJ135">
        <f>Model!AR169</f>
        <v>0</v>
      </c>
      <c r="AK135">
        <f>Model!AS169</f>
        <v>-0.155528</v>
      </c>
      <c r="AL135">
        <f>Model!AT169</f>
        <v>-1.2350000000000139E-3</v>
      </c>
      <c r="AM135">
        <f>Model!AU169</f>
        <v>-6.7939999999999945E-3</v>
      </c>
      <c r="AN135">
        <f>Model!AV169</f>
        <v>-1.6514000000000001E-2</v>
      </c>
      <c r="AO135">
        <f>Model!AW169</f>
        <v>-0.51019899999999996</v>
      </c>
      <c r="AP135">
        <f>Model!AX169</f>
        <v>-3.2487000000000002E-2</v>
      </c>
      <c r="AQ135">
        <f>Model!AY169</f>
        <v>-2.7530000000000054E-3</v>
      </c>
      <c r="AR135">
        <f>Model!AZ169</f>
        <v>-1.0570000000000001E-2</v>
      </c>
      <c r="AS135">
        <f>Model!BA169</f>
        <v>-0.34690399999999999</v>
      </c>
      <c r="AT135">
        <f>Model!BB169</f>
        <v>-2.7630000000000154E-3</v>
      </c>
      <c r="AU135">
        <f>Model!BC169</f>
        <v>-7.3119999999999852E-3</v>
      </c>
      <c r="AV135">
        <f>Model!BD169</f>
        <v>-1.5379999999999838E-3</v>
      </c>
      <c r="AW135">
        <f>Model!BE169</f>
        <v>-0.40063100000000001</v>
      </c>
      <c r="AX135">
        <f>Model!BF169</f>
        <v>-1.4530000000000001E-3</v>
      </c>
      <c r="AY135">
        <f>Model!BG169</f>
        <v>-4.0499999999999998E-4</v>
      </c>
      <c r="AZ135">
        <f>Model!BH169</f>
        <v>-2.653E-3</v>
      </c>
      <c r="BA135">
        <f>Model!BI169</f>
        <v>-0.110679</v>
      </c>
      <c r="BB135">
        <f>Model!BJ169</f>
        <v>-0.43191000000000002</v>
      </c>
      <c r="BC135">
        <f>Model!BK169</f>
        <v>-0.48436099999999999</v>
      </c>
      <c r="BD135">
        <f>Model!BL169</f>
        <v>-4.5100000000000001E-4</v>
      </c>
      <c r="BE135">
        <f>Model!BM169</f>
        <v>-7.2276999999999994E-2</v>
      </c>
      <c r="BF135">
        <f>Model!BN169</f>
        <v>-5.5499999999999994E-4</v>
      </c>
      <c r="BG135">
        <f>Model!BO169</f>
        <v>-0.114645</v>
      </c>
      <c r="BH135">
        <f>Model!BP169</f>
        <v>-0.44311699999999998</v>
      </c>
      <c r="BI135">
        <f>Model!BQ169</f>
        <v>-0.25139699999999998</v>
      </c>
      <c r="BJ135">
        <f>Model!BR169</f>
        <v>-0.56869600000000009</v>
      </c>
      <c r="BK135">
        <f>Model!BS169</f>
        <v>-1.0825749999999998</v>
      </c>
      <c r="BL135">
        <f>Model!BT169</f>
        <v>-0.63144000000000033</v>
      </c>
      <c r="BM135">
        <f>Model!BU169</f>
        <v>-0.20200000000000001</v>
      </c>
      <c r="BN135">
        <f>Model!BV169</f>
        <v>-0.23599999999999999</v>
      </c>
      <c r="BO135">
        <f>Model!BW169</f>
        <v>-0.14382800000000001</v>
      </c>
      <c r="BP135">
        <f>Model!BX169</f>
        <v>-0.18115600000000004</v>
      </c>
      <c r="BQ135">
        <f>Model!BY169</f>
        <v>-0.124915</v>
      </c>
      <c r="BR135">
        <f>Model!BZ169</f>
        <v>-0.13663700000000001</v>
      </c>
      <c r="BS135">
        <f>Model!CA169</f>
        <v>-0.37045399999999995</v>
      </c>
      <c r="BT135">
        <f>Model!CB169</f>
        <v>-0.39388400000000001</v>
      </c>
      <c r="BU135">
        <f>Model!CC169</f>
        <v>-0.32051282051282054</v>
      </c>
      <c r="BV135">
        <f>Model!CD169</f>
        <v>-0.30525030525030528</v>
      </c>
      <c r="BW135">
        <f>Model!CE169</f>
        <v>-0.29071457642886217</v>
      </c>
      <c r="BX135">
        <f>Model!CF169</f>
        <v>-0.2768710251703449</v>
      </c>
      <c r="BY135">
        <f>Model!CG169</f>
        <v>0</v>
      </c>
      <c r="BZ135">
        <f>Model!CH169</f>
        <v>0</v>
      </c>
      <c r="CA135">
        <f>Model!CI169</f>
        <v>0</v>
      </c>
      <c r="CB135">
        <f>Model!CJ169</f>
        <v>0</v>
      </c>
      <c r="CC135">
        <f>Model!CK169</f>
        <v>0</v>
      </c>
      <c r="CD135">
        <f>Model!CL169</f>
        <v>0</v>
      </c>
      <c r="CE135">
        <f>Model!CM169</f>
        <v>0</v>
      </c>
      <c r="CF135">
        <f>Model!CN169</f>
        <v>0</v>
      </c>
      <c r="CG135">
        <f>Model!CO169</f>
        <v>-3.6438999999999999E-2</v>
      </c>
      <c r="CH135">
        <f>Model!CP169</f>
        <v>-0.18007100000000001</v>
      </c>
      <c r="CI135">
        <f>Model!CQ169</f>
        <v>-0.55600899999999998</v>
      </c>
      <c r="CJ135">
        <f>Model!CR169</f>
        <v>-0.35851699999999997</v>
      </c>
      <c r="CK135">
        <f>Model!CS169</f>
        <v>-0.405142</v>
      </c>
      <c r="CL135">
        <f>Model!CT169</f>
        <v>-1.027401</v>
      </c>
      <c r="CM135">
        <f>Model!CU169</f>
        <v>-0.63059399999999999</v>
      </c>
      <c r="CN135">
        <f>Model!CV169</f>
        <v>-2.5341080000000002</v>
      </c>
      <c r="CO135">
        <f>Model!CW169</f>
        <v>-0.76298400000000011</v>
      </c>
      <c r="CP135">
        <f>Model!CX169</f>
        <v>-1.02589</v>
      </c>
      <c r="CQ135">
        <f>Model!CY169</f>
        <v>-1.1933487273623329</v>
      </c>
      <c r="CR135">
        <f>Model!CZ169</f>
        <v>-1.1585909974391582</v>
      </c>
      <c r="CS135">
        <f>Model!DA169</f>
        <v>-1.1248456285817068</v>
      </c>
      <c r="CT135">
        <f>Model!DB169</f>
        <v>-1.0920831345453466</v>
      </c>
      <c r="CU135">
        <f>Model!DC169</f>
        <v>-0.42410995516324135</v>
      </c>
      <c r="CV135">
        <f>Model!DD169</f>
        <v>-0.41175723802256442</v>
      </c>
      <c r="CW135">
        <f>Model!DE169</f>
        <v>-0.39976430875977131</v>
      </c>
      <c r="CX135">
        <f>Model!DF169</f>
        <v>-0.38812068811628281</v>
      </c>
    </row>
    <row r="136" spans="1:102">
      <c r="A136" t="str">
        <f>Model!I170</f>
        <v>Ending Share Count</v>
      </c>
      <c r="B136">
        <f>Model!J170</f>
        <v>0</v>
      </c>
      <c r="C136">
        <f>Model!K170</f>
        <v>0</v>
      </c>
      <c r="D136">
        <f>Model!L170</f>
        <v>0</v>
      </c>
      <c r="E136">
        <f>Model!M170</f>
        <v>0</v>
      </c>
      <c r="F136">
        <f>Model!N170</f>
        <v>0</v>
      </c>
      <c r="G136">
        <f>Model!O170</f>
        <v>0</v>
      </c>
      <c r="H136">
        <f>Model!P170</f>
        <v>0</v>
      </c>
      <c r="I136">
        <f>Model!Q170</f>
        <v>0</v>
      </c>
      <c r="J136">
        <f>Model!R170</f>
        <v>0</v>
      </c>
      <c r="K136">
        <f>Model!S170</f>
        <v>0</v>
      </c>
      <c r="L136">
        <f>Model!T170</f>
        <v>0</v>
      </c>
      <c r="M136">
        <f>Model!U170</f>
        <v>0</v>
      </c>
      <c r="N136">
        <f>Model!V170</f>
        <v>0</v>
      </c>
      <c r="O136">
        <f>Model!W170</f>
        <v>0</v>
      </c>
      <c r="P136">
        <f>Model!X170</f>
        <v>0</v>
      </c>
      <c r="Q136">
        <f>Model!Y170</f>
        <v>0</v>
      </c>
      <c r="R136">
        <f>Model!Z170</f>
        <v>0</v>
      </c>
      <c r="S136">
        <f>Model!AA170</f>
        <v>0</v>
      </c>
      <c r="T136">
        <f>Model!AB170</f>
        <v>0</v>
      </c>
      <c r="U136">
        <f>Model!AC170</f>
        <v>0</v>
      </c>
      <c r="V136">
        <f>Model!AD170</f>
        <v>0</v>
      </c>
      <c r="W136">
        <f>Model!AE170</f>
        <v>0</v>
      </c>
      <c r="X136">
        <f>Model!AF170</f>
        <v>0</v>
      </c>
      <c r="Y136">
        <f>Model!AG170</f>
        <v>40.890999999999998</v>
      </c>
      <c r="Z136">
        <f>Model!AH170</f>
        <v>41.762999999999998</v>
      </c>
      <c r="AA136">
        <f>Model!AI170</f>
        <v>41.972999999999999</v>
      </c>
      <c r="AB136">
        <f>Model!AJ170</f>
        <v>38.356999999999999</v>
      </c>
      <c r="AC136">
        <f>Model!AK170</f>
        <v>40.238</v>
      </c>
      <c r="AD136">
        <f>Model!AL170</f>
        <v>42.686</v>
      </c>
      <c r="AE136">
        <f>Model!AM170</f>
        <v>45.368000000000002</v>
      </c>
      <c r="AF136">
        <f>Model!AN170</f>
        <v>48.347999999999999</v>
      </c>
      <c r="AG136">
        <f>Model!AO170</f>
        <v>49.405000000000001</v>
      </c>
      <c r="AH136">
        <f>Model!AP170</f>
        <v>50.505000000000003</v>
      </c>
      <c r="AI136">
        <f>Model!AQ170</f>
        <v>48.863</v>
      </c>
      <c r="AJ136">
        <f>Model!AR170</f>
        <v>45.287999999999997</v>
      </c>
      <c r="AK136">
        <f>Model!AS170</f>
        <v>47.177</v>
      </c>
      <c r="AL136">
        <f>Model!AT170</f>
        <v>48.997999999999998</v>
      </c>
      <c r="AM136">
        <f>Model!AU170</f>
        <v>50.24</v>
      </c>
      <c r="AN136">
        <f>Model!AV170</f>
        <v>51.073</v>
      </c>
      <c r="AO136">
        <f>Model!AW170</f>
        <v>51.393000000000001</v>
      </c>
      <c r="AP136">
        <f>Model!AX170</f>
        <v>51.259</v>
      </c>
      <c r="AQ136">
        <f>Model!AY170</f>
        <v>51.058999999999997</v>
      </c>
      <c r="AR136">
        <f>Model!AZ170</f>
        <v>51.430999999999997</v>
      </c>
      <c r="AS136">
        <f>Model!BA170</f>
        <v>51.521999999999998</v>
      </c>
      <c r="AT136">
        <f>Model!BB170</f>
        <v>51.484000000000002</v>
      </c>
      <c r="AU136">
        <f>Model!BC170</f>
        <v>51.494999999999997</v>
      </c>
      <c r="AV136">
        <f>Model!BD170</f>
        <v>51.517000000000003</v>
      </c>
      <c r="AW136">
        <f>Model!BE170</f>
        <v>51.645000000000003</v>
      </c>
      <c r="AX136">
        <f>Model!BF170</f>
        <v>51.546999999999997</v>
      </c>
      <c r="AY136">
        <f>Model!BG170</f>
        <v>51.475000000000001</v>
      </c>
      <c r="AZ136">
        <f>Model!BH170</f>
        <v>51.47</v>
      </c>
      <c r="BA136">
        <f>Model!BI170</f>
        <v>51.567999999999998</v>
      </c>
      <c r="BB136">
        <f>Model!BJ170</f>
        <v>52.395000000000003</v>
      </c>
      <c r="BC136">
        <f>Model!BK170</f>
        <v>53.192999999999998</v>
      </c>
      <c r="BD136">
        <f>Model!BL170</f>
        <v>53.21</v>
      </c>
      <c r="BE136">
        <f>Model!BM170</f>
        <v>53.325000000000003</v>
      </c>
      <c r="BF136">
        <f>Model!BN170</f>
        <v>53.326000000000001</v>
      </c>
      <c r="BG136">
        <f>Model!BO170</f>
        <v>53.362000000000002</v>
      </c>
      <c r="BH136">
        <f>Model!BP170</f>
        <v>53.156999999999996</v>
      </c>
      <c r="BI136">
        <f>Model!BQ170</f>
        <v>52.793999999999997</v>
      </c>
      <c r="BJ136">
        <f>Model!BR170</f>
        <v>52.468000000000004</v>
      </c>
      <c r="BK136">
        <f>Model!BS170</f>
        <v>51.448999999999998</v>
      </c>
      <c r="BL136">
        <f>Model!BT170</f>
        <v>50.744999999999997</v>
      </c>
      <c r="BM136">
        <f>Model!BU170</f>
        <v>50.508000000000003</v>
      </c>
      <c r="BN136">
        <f>Model!BV170</f>
        <v>50.448999999999998</v>
      </c>
      <c r="BO136">
        <f>Model!BW170</f>
        <v>50.317</v>
      </c>
      <c r="BP136">
        <f>Model!BX170</f>
        <v>50.02</v>
      </c>
      <c r="BQ136">
        <f>Model!BY170</f>
        <v>50.024999999999999</v>
      </c>
      <c r="BR136">
        <f>Model!BZ170</f>
        <v>50.055999999999997</v>
      </c>
      <c r="BS136">
        <f>Model!CA170</f>
        <v>49.972000000000001</v>
      </c>
      <c r="BT136">
        <f>Model!CB170</f>
        <v>49.569000000000003</v>
      </c>
      <c r="BU136">
        <f>Model!CC170</f>
        <v>49.378402179487182</v>
      </c>
      <c r="BV136">
        <f>Model!CD170</f>
        <v>48.498780939894608</v>
      </c>
      <c r="BW136">
        <f>Model!CE170</f>
        <v>48.494520363465753</v>
      </c>
      <c r="BX136">
        <f>Model!CF170</f>
        <v>48.20853333829541</v>
      </c>
      <c r="BY136">
        <f>Model!CG170</f>
        <v>0</v>
      </c>
      <c r="BZ136">
        <f>Model!CH170</f>
        <v>0</v>
      </c>
      <c r="CA136">
        <f>Model!CI170</f>
        <v>0</v>
      </c>
      <c r="CB136">
        <f>Model!CJ170</f>
        <v>0</v>
      </c>
      <c r="CC136">
        <f>Model!CK170</f>
        <v>0</v>
      </c>
      <c r="CD136">
        <f>Model!CL170</f>
        <v>0</v>
      </c>
      <c r="CE136">
        <f>Model!CM170</f>
        <v>38.356999999999999</v>
      </c>
      <c r="CF136">
        <f>Model!CN170</f>
        <v>48.347999999999999</v>
      </c>
      <c r="CG136">
        <f>Model!CO170</f>
        <v>45.287999999999997</v>
      </c>
      <c r="CH136">
        <f>Model!CP170</f>
        <v>51.073</v>
      </c>
      <c r="CI136">
        <f>Model!CQ170</f>
        <v>51.430999999999997</v>
      </c>
      <c r="CJ136">
        <f>Model!CR170</f>
        <v>51.517000000000003</v>
      </c>
      <c r="CK136">
        <f>Model!CS170</f>
        <v>51.47</v>
      </c>
      <c r="CL136">
        <f>Model!CT170</f>
        <v>53.21</v>
      </c>
      <c r="CM136">
        <f>Model!CU170</f>
        <v>53.156999999999996</v>
      </c>
      <c r="CN136">
        <f>Model!CV170</f>
        <v>50.744999999999997</v>
      </c>
      <c r="CO136">
        <f>Model!CW170</f>
        <v>50.02</v>
      </c>
      <c r="CP136">
        <f>Model!CX170</f>
        <v>49.569000000000003</v>
      </c>
      <c r="CQ136">
        <f>Model!CY170</f>
        <v>48.20853333829541</v>
      </c>
      <c r="CR136">
        <f>Model!CZ170</f>
        <v>47.549942340856255</v>
      </c>
      <c r="CS136">
        <f>Model!DA170</f>
        <v>46.925096712274545</v>
      </c>
      <c r="CT136">
        <f>Model!DB170</f>
        <v>46.333013577729197</v>
      </c>
      <c r="CU136">
        <f>Model!DC170</f>
        <v>46.408903622565958</v>
      </c>
      <c r="CV136">
        <f>Model!DD170</f>
        <v>46.497146384543392</v>
      </c>
      <c r="CW136">
        <f>Model!DE170</f>
        <v>46.597382075783621</v>
      </c>
      <c r="CX136">
        <f>Model!DF170</f>
        <v>46.70926138766734</v>
      </c>
    </row>
    <row r="137" spans="1:102">
      <c r="A137">
        <f>Model!I171</f>
        <v>0</v>
      </c>
      <c r="B137">
        <f>Model!J171</f>
        <v>0</v>
      </c>
      <c r="C137">
        <f>Model!K171</f>
        <v>0</v>
      </c>
      <c r="D137">
        <f>Model!L171</f>
        <v>0</v>
      </c>
      <c r="E137">
        <f>Model!M171</f>
        <v>0</v>
      </c>
      <c r="F137">
        <f>Model!N171</f>
        <v>0</v>
      </c>
      <c r="G137">
        <f>Model!O171</f>
        <v>0</v>
      </c>
      <c r="H137">
        <f>Model!P171</f>
        <v>0</v>
      </c>
      <c r="I137">
        <f>Model!Q171</f>
        <v>0</v>
      </c>
      <c r="J137">
        <f>Model!R171</f>
        <v>0</v>
      </c>
      <c r="K137">
        <f>Model!S171</f>
        <v>0</v>
      </c>
      <c r="L137">
        <f>Model!T171</f>
        <v>0</v>
      </c>
      <c r="M137">
        <f>Model!U171</f>
        <v>0</v>
      </c>
      <c r="N137">
        <f>Model!V171</f>
        <v>0</v>
      </c>
      <c r="O137">
        <f>Model!W171</f>
        <v>0</v>
      </c>
      <c r="P137">
        <f>Model!X171</f>
        <v>0</v>
      </c>
      <c r="Q137">
        <f>Model!Y171</f>
        <v>0</v>
      </c>
      <c r="R137">
        <f>Model!Z171</f>
        <v>0</v>
      </c>
      <c r="S137">
        <f>Model!AA171</f>
        <v>0</v>
      </c>
      <c r="T137">
        <f>Model!AB171</f>
        <v>0</v>
      </c>
      <c r="U137">
        <f>Model!AC171</f>
        <v>0</v>
      </c>
      <c r="V137">
        <f>Model!AD171</f>
        <v>0</v>
      </c>
      <c r="W137">
        <f>Model!AE171</f>
        <v>0</v>
      </c>
      <c r="X137">
        <f>Model!AF171</f>
        <v>0</v>
      </c>
      <c r="Y137">
        <f>Model!AG171</f>
        <v>0</v>
      </c>
      <c r="Z137">
        <f>Model!AH171</f>
        <v>0</v>
      </c>
      <c r="AA137">
        <f>Model!AI171</f>
        <v>0</v>
      </c>
      <c r="AB137">
        <f>Model!AJ171</f>
        <v>0</v>
      </c>
      <c r="AC137">
        <f>Model!AK171</f>
        <v>0</v>
      </c>
      <c r="AD137">
        <f>Model!AL171</f>
        <v>0</v>
      </c>
      <c r="AE137">
        <f>Model!AM171</f>
        <v>0</v>
      </c>
      <c r="AF137">
        <f>Model!AN171</f>
        <v>0</v>
      </c>
      <c r="AG137">
        <f>Model!AO171</f>
        <v>0</v>
      </c>
      <c r="AH137">
        <f>Model!AP171</f>
        <v>0</v>
      </c>
      <c r="AI137">
        <f>Model!AQ171</f>
        <v>0</v>
      </c>
      <c r="AJ137">
        <f>Model!AR171</f>
        <v>0</v>
      </c>
      <c r="AK137">
        <f>Model!AS171</f>
        <v>0</v>
      </c>
      <c r="AL137">
        <f>Model!AT171</f>
        <v>0</v>
      </c>
      <c r="AM137">
        <f>Model!AU171</f>
        <v>0</v>
      </c>
      <c r="AN137">
        <f>Model!AV171</f>
        <v>0</v>
      </c>
      <c r="AO137">
        <f>Model!AW171</f>
        <v>0</v>
      </c>
      <c r="AP137">
        <f>Model!AX171</f>
        <v>0</v>
      </c>
      <c r="AQ137">
        <f>Model!AY171</f>
        <v>0</v>
      </c>
      <c r="AR137">
        <f>Model!AZ171</f>
        <v>0</v>
      </c>
      <c r="AS137">
        <f>Model!BA171</f>
        <v>0</v>
      </c>
      <c r="AT137">
        <f>Model!BB171</f>
        <v>0</v>
      </c>
      <c r="AU137">
        <f>Model!BC171</f>
        <v>0</v>
      </c>
      <c r="AV137">
        <f>Model!BD171</f>
        <v>0</v>
      </c>
      <c r="AW137">
        <f>Model!BE171</f>
        <v>0</v>
      </c>
      <c r="AX137">
        <f>Model!BF171</f>
        <v>0</v>
      </c>
      <c r="AY137">
        <f>Model!BG171</f>
        <v>0</v>
      </c>
      <c r="AZ137">
        <f>Model!BH171</f>
        <v>0</v>
      </c>
      <c r="BA137">
        <f>Model!BI171</f>
        <v>0</v>
      </c>
      <c r="BB137">
        <f>Model!BJ171</f>
        <v>0</v>
      </c>
      <c r="BC137">
        <f>Model!BK171</f>
        <v>0</v>
      </c>
      <c r="BD137">
        <f>Model!BL171</f>
        <v>0</v>
      </c>
      <c r="BE137">
        <f>Model!BM171</f>
        <v>0</v>
      </c>
      <c r="BF137">
        <f>Model!BN171</f>
        <v>0</v>
      </c>
      <c r="BG137">
        <f>Model!BO171</f>
        <v>0</v>
      </c>
      <c r="BH137">
        <f>Model!BP171</f>
        <v>0</v>
      </c>
      <c r="BI137">
        <f>Model!BQ171</f>
        <v>0</v>
      </c>
      <c r="BJ137">
        <f>Model!BR171</f>
        <v>0</v>
      </c>
      <c r="BK137">
        <f>Model!BS171</f>
        <v>0</v>
      </c>
      <c r="BL137">
        <f>Model!BT171</f>
        <v>0</v>
      </c>
      <c r="BM137">
        <f>Model!BU171</f>
        <v>0</v>
      </c>
      <c r="BN137">
        <f>Model!BV171</f>
        <v>0</v>
      </c>
      <c r="BO137">
        <f>Model!BW171</f>
        <v>0</v>
      </c>
      <c r="BP137">
        <f>Model!BX171</f>
        <v>0</v>
      </c>
      <c r="BQ137">
        <f>Model!BY171</f>
        <v>0</v>
      </c>
      <c r="BR137">
        <f>Model!BZ171</f>
        <v>0</v>
      </c>
      <c r="BS137">
        <f>Model!CA171</f>
        <v>0</v>
      </c>
      <c r="BT137">
        <f>Model!CB171</f>
        <v>0</v>
      </c>
      <c r="BU137">
        <f>Model!CC171</f>
        <v>0</v>
      </c>
      <c r="BV137">
        <f>Model!CD171</f>
        <v>0</v>
      </c>
      <c r="BW137">
        <f>Model!CE171</f>
        <v>0</v>
      </c>
      <c r="BX137">
        <f>Model!CF171</f>
        <v>0</v>
      </c>
      <c r="BY137">
        <f>Model!CG171</f>
        <v>0</v>
      </c>
      <c r="BZ137">
        <f>Model!CH171</f>
        <v>0</v>
      </c>
      <c r="CA137">
        <f>Model!CI171</f>
        <v>0</v>
      </c>
      <c r="CB137">
        <f>Model!CJ171</f>
        <v>0</v>
      </c>
      <c r="CC137">
        <f>Model!CK171</f>
        <v>0</v>
      </c>
      <c r="CD137">
        <f>Model!CL171</f>
        <v>0</v>
      </c>
      <c r="CE137">
        <f>Model!CM171</f>
        <v>0</v>
      </c>
      <c r="CF137">
        <f>Model!CN171</f>
        <v>0</v>
      </c>
      <c r="CG137">
        <f>Model!CO171</f>
        <v>0</v>
      </c>
      <c r="CH137">
        <f>Model!CP171</f>
        <v>0</v>
      </c>
      <c r="CI137">
        <f>Model!CQ171</f>
        <v>0</v>
      </c>
      <c r="CJ137">
        <f>Model!CR171</f>
        <v>0</v>
      </c>
      <c r="CK137">
        <f>Model!CS171</f>
        <v>0</v>
      </c>
      <c r="CL137">
        <f>Model!CT171</f>
        <v>0</v>
      </c>
      <c r="CM137">
        <f>Model!CU171</f>
        <v>0</v>
      </c>
      <c r="CN137">
        <f>Model!CV171</f>
        <v>0</v>
      </c>
      <c r="CO137">
        <f>Model!CW171</f>
        <v>0</v>
      </c>
      <c r="CP137">
        <f>Model!CX171</f>
        <v>0</v>
      </c>
      <c r="CQ137">
        <f>Model!CY171</f>
        <v>0</v>
      </c>
      <c r="CR137">
        <f>Model!CZ171</f>
        <v>0</v>
      </c>
      <c r="CS137">
        <f>Model!DA171</f>
        <v>0</v>
      </c>
      <c r="CT137">
        <f>Model!DB171</f>
        <v>0</v>
      </c>
      <c r="CU137">
        <f>Model!DC171</f>
        <v>0</v>
      </c>
      <c r="CV137">
        <f>Model!DD171</f>
        <v>0</v>
      </c>
      <c r="CW137">
        <f>Model!DE171</f>
        <v>0</v>
      </c>
      <c r="CX137">
        <f>Model!DF171</f>
        <v>0</v>
      </c>
    </row>
    <row r="138" spans="1:102">
      <c r="A138" t="str">
        <f>Model!I172</f>
        <v>Repurchases ($)</v>
      </c>
      <c r="B138">
        <f>Model!J172</f>
        <v>0</v>
      </c>
      <c r="C138">
        <f>Model!K172</f>
        <v>0</v>
      </c>
      <c r="D138">
        <f>Model!L172</f>
        <v>0</v>
      </c>
      <c r="E138">
        <f>Model!M172</f>
        <v>0</v>
      </c>
      <c r="F138">
        <f>Model!N172</f>
        <v>0</v>
      </c>
      <c r="G138">
        <f>Model!O172</f>
        <v>0</v>
      </c>
      <c r="H138">
        <f>Model!P172</f>
        <v>0</v>
      </c>
      <c r="I138">
        <f>Model!Q172</f>
        <v>0</v>
      </c>
      <c r="J138">
        <f>Model!R172</f>
        <v>0</v>
      </c>
      <c r="K138">
        <f>Model!S172</f>
        <v>0</v>
      </c>
      <c r="L138">
        <f>Model!T172</f>
        <v>0</v>
      </c>
      <c r="M138">
        <f>Model!U172</f>
        <v>0</v>
      </c>
      <c r="N138">
        <f>Model!V172</f>
        <v>0</v>
      </c>
      <c r="O138">
        <f>Model!W172</f>
        <v>0</v>
      </c>
      <c r="P138">
        <f>Model!X172</f>
        <v>0</v>
      </c>
      <c r="Q138">
        <f>Model!Y172</f>
        <v>0</v>
      </c>
      <c r="R138">
        <f>Model!Z172</f>
        <v>0</v>
      </c>
      <c r="S138">
        <f>Model!AA172</f>
        <v>0</v>
      </c>
      <c r="T138">
        <f>Model!AB172</f>
        <v>0</v>
      </c>
      <c r="U138">
        <f>Model!AC172</f>
        <v>0</v>
      </c>
      <c r="V138">
        <f>Model!AD172</f>
        <v>0</v>
      </c>
      <c r="W138">
        <f>Model!AE172</f>
        <v>0</v>
      </c>
      <c r="X138">
        <f>Model!AF172</f>
        <v>0</v>
      </c>
      <c r="Y138">
        <f>Model!AG172</f>
        <v>0</v>
      </c>
      <c r="Z138">
        <f>Model!AH172</f>
        <v>0</v>
      </c>
      <c r="AA138">
        <f>Model!AI172</f>
        <v>0</v>
      </c>
      <c r="AB138">
        <f>Model!AJ172</f>
        <v>0</v>
      </c>
      <c r="AC138">
        <f>Model!AK172</f>
        <v>0</v>
      </c>
      <c r="AD138">
        <f>Model!AL172</f>
        <v>0</v>
      </c>
      <c r="AE138">
        <f>Model!AM172</f>
        <v>0</v>
      </c>
      <c r="AF138">
        <f>Model!AN172</f>
        <v>0</v>
      </c>
      <c r="AG138">
        <f>Model!AO172</f>
        <v>3.2730000000000001</v>
      </c>
      <c r="AH138">
        <f>Model!AP172</f>
        <v>0.1419999999999999</v>
      </c>
      <c r="AI138">
        <f>Model!AQ172</f>
        <v>0.92100000000000071</v>
      </c>
      <c r="AJ138">
        <f>Model!AR172</f>
        <v>0</v>
      </c>
      <c r="AK138">
        <f>Model!AS172</f>
        <v>13.106999999999999</v>
      </c>
      <c r="AL138">
        <f>Model!AT172</f>
        <v>0.13100000000000023</v>
      </c>
      <c r="AM138">
        <f>Model!AU172</f>
        <v>0.93100000000000094</v>
      </c>
      <c r="AN138">
        <f>Model!AV172</f>
        <v>3.2463221200000003</v>
      </c>
      <c r="AO138">
        <f>Model!AW172</f>
        <v>118.932</v>
      </c>
      <c r="AP138">
        <f>Model!AX172</f>
        <v>6.4909999999999997</v>
      </c>
      <c r="AQ138">
        <f>Model!AY172</f>
        <v>0.23000000000000398</v>
      </c>
      <c r="AR138">
        <f>Model!AZ172</f>
        <v>3.7919999999999732</v>
      </c>
      <c r="AS138">
        <f>Model!BA172</f>
        <v>157.262</v>
      </c>
      <c r="AT138">
        <f>Model!BB172</f>
        <v>1.429000000000002</v>
      </c>
      <c r="AU138">
        <f>Model!BC172</f>
        <v>3.6779999999999973</v>
      </c>
      <c r="AV138">
        <f>Model!BD172</f>
        <v>0.8019999999999925</v>
      </c>
      <c r="AW138">
        <f>Model!BE172</f>
        <v>254.22499999999999</v>
      </c>
      <c r="AX138">
        <f>Model!BF172</f>
        <v>0.94300000000001205</v>
      </c>
      <c r="AY138">
        <f>Model!BG172</f>
        <v>0.22899999999998499</v>
      </c>
      <c r="AZ138">
        <f>Model!BH172</f>
        <v>1.6240000000000236</v>
      </c>
      <c r="BA138">
        <f>Model!BI172</f>
        <v>76.38</v>
      </c>
      <c r="BB138">
        <f>Model!BJ172</f>
        <v>346.90500000000003</v>
      </c>
      <c r="BC138">
        <f>Model!BK172</f>
        <v>459.72300000000007</v>
      </c>
      <c r="BD138">
        <f>Model!BL172</f>
        <v>0.50699999999989132</v>
      </c>
      <c r="BE138">
        <f>Model!BM172</f>
        <v>96.66</v>
      </c>
      <c r="BF138">
        <f>Model!BN172</f>
        <v>0.66599999999999682</v>
      </c>
      <c r="BG138">
        <f>Model!BO172</f>
        <v>148.13</v>
      </c>
      <c r="BH138">
        <f>Model!BP172</f>
        <v>504.92200000000014</v>
      </c>
      <c r="BI138">
        <f>Model!BQ172</f>
        <v>308.61799999999999</v>
      </c>
      <c r="BJ138">
        <f>Model!BR172</f>
        <v>677.96299999999997</v>
      </c>
      <c r="BK138">
        <f>Model!BS172</f>
        <v>1280.8030000000001</v>
      </c>
      <c r="BL138">
        <f>Model!BT172</f>
        <v>821.67099999999982</v>
      </c>
      <c r="BM138">
        <f>Model!BU172</f>
        <v>259.36099999999999</v>
      </c>
      <c r="BN138">
        <f>Model!BV172</f>
        <v>265.78300000000002</v>
      </c>
      <c r="BO138">
        <f>Model!BW172</f>
        <v>232.33299999999997</v>
      </c>
      <c r="BP138">
        <f>Model!BX172</f>
        <v>256.04899999999998</v>
      </c>
      <c r="BQ138">
        <f>Model!BY172</f>
        <v>209.797</v>
      </c>
      <c r="BR138">
        <f>Model!BZ172</f>
        <v>345.45299999999997</v>
      </c>
      <c r="BS138">
        <f>Model!CA172</f>
        <v>567.85200000000009</v>
      </c>
      <c r="BT138">
        <f>Model!CB172</f>
        <v>704.81700000000001</v>
      </c>
      <c r="BU138">
        <f>Model!CC172</f>
        <v>625</v>
      </c>
      <c r="BV138">
        <f>Model!CD172</f>
        <v>625</v>
      </c>
      <c r="BW138">
        <f>Model!CE172</f>
        <v>625</v>
      </c>
      <c r="BX138">
        <f>Model!CF172</f>
        <v>625</v>
      </c>
      <c r="BY138">
        <f>Model!CG172</f>
        <v>0</v>
      </c>
      <c r="BZ138">
        <f>Model!CH172</f>
        <v>0</v>
      </c>
      <c r="CA138">
        <f>Model!CI172</f>
        <v>0</v>
      </c>
      <c r="CB138">
        <f>Model!CJ172</f>
        <v>0</v>
      </c>
      <c r="CC138">
        <f>Model!CK172</f>
        <v>0</v>
      </c>
      <c r="CD138">
        <f>Model!CL172</f>
        <v>0</v>
      </c>
      <c r="CE138">
        <f>Model!CM172</f>
        <v>0</v>
      </c>
      <c r="CF138">
        <f>Model!CN172</f>
        <v>0</v>
      </c>
      <c r="CG138">
        <f>Model!CO172</f>
        <v>0</v>
      </c>
      <c r="CH138">
        <f>Model!CP172</f>
        <v>17</v>
      </c>
      <c r="CI138">
        <f>Model!CQ172</f>
        <v>129.44499999999999</v>
      </c>
      <c r="CJ138">
        <f>Model!CR172</f>
        <v>163.17099999999999</v>
      </c>
      <c r="CK138">
        <f>Model!CS172</f>
        <v>257.02100000000002</v>
      </c>
      <c r="CL138">
        <f>Model!CT172</f>
        <v>883.51499999999987</v>
      </c>
      <c r="CM138">
        <f>Model!CU172</f>
        <v>750.37800000000016</v>
      </c>
      <c r="CN138">
        <f>Model!CV172</f>
        <v>3089.0549999999998</v>
      </c>
      <c r="CO138">
        <f>Model!CW172</f>
        <v>1013.526</v>
      </c>
      <c r="CP138">
        <f>Model!CX172</f>
        <v>1827.9190000000001</v>
      </c>
      <c r="CQ138">
        <f>Model!CY172</f>
        <v>2500</v>
      </c>
      <c r="CR138">
        <f>Model!CZ172</f>
        <v>2500</v>
      </c>
      <c r="CS138">
        <f>Model!DA172</f>
        <v>2500</v>
      </c>
      <c r="CT138">
        <f>Model!DB172</f>
        <v>2500</v>
      </c>
      <c r="CU138">
        <f>Model!DC172</f>
        <v>1000</v>
      </c>
      <c r="CV138">
        <f>Model!DD172</f>
        <v>1000</v>
      </c>
      <c r="CW138">
        <f>Model!DE172</f>
        <v>1000</v>
      </c>
      <c r="CX138">
        <f>Model!DF172</f>
        <v>1000</v>
      </c>
    </row>
    <row r="139" spans="1:102">
      <c r="A139" t="str">
        <f>Model!I173</f>
        <v>Shares Repurchased</v>
      </c>
      <c r="B139">
        <f>Model!J173</f>
        <v>0</v>
      </c>
      <c r="C139">
        <f>Model!K173</f>
        <v>0</v>
      </c>
      <c r="D139">
        <f>Model!L173</f>
        <v>0</v>
      </c>
      <c r="E139">
        <f>Model!M173</f>
        <v>0</v>
      </c>
      <c r="F139">
        <f>Model!N173</f>
        <v>0</v>
      </c>
      <c r="G139">
        <f>Model!O173</f>
        <v>0</v>
      </c>
      <c r="H139">
        <f>Model!P173</f>
        <v>0</v>
      </c>
      <c r="I139">
        <f>Model!Q173</f>
        <v>0</v>
      </c>
      <c r="J139">
        <f>Model!R173</f>
        <v>0</v>
      </c>
      <c r="K139">
        <f>Model!S173</f>
        <v>0</v>
      </c>
      <c r="L139">
        <f>Model!T173</f>
        <v>0</v>
      </c>
      <c r="M139">
        <f>Model!U173</f>
        <v>0</v>
      </c>
      <c r="N139">
        <f>Model!V173</f>
        <v>0</v>
      </c>
      <c r="O139">
        <f>Model!W173</f>
        <v>0</v>
      </c>
      <c r="P139">
        <f>Model!X173</f>
        <v>0</v>
      </c>
      <c r="Q139">
        <f>Model!Y173</f>
        <v>0</v>
      </c>
      <c r="R139">
        <f>Model!Z173</f>
        <v>0</v>
      </c>
      <c r="S139">
        <f>Model!AA173</f>
        <v>0</v>
      </c>
      <c r="T139">
        <f>Model!AB173</f>
        <v>0</v>
      </c>
      <c r="U139">
        <f>Model!AC173</f>
        <v>0</v>
      </c>
      <c r="V139">
        <f>Model!AD173</f>
        <v>0</v>
      </c>
      <c r="W139">
        <f>Model!AE173</f>
        <v>0</v>
      </c>
      <c r="X139">
        <f>Model!AF173</f>
        <v>0</v>
      </c>
      <c r="Y139">
        <f>Model!AG173</f>
        <v>0</v>
      </c>
      <c r="Z139">
        <f>Model!AH173</f>
        <v>0</v>
      </c>
      <c r="AA139">
        <f>Model!AI173</f>
        <v>0</v>
      </c>
      <c r="AB139">
        <f>Model!AJ173</f>
        <v>0</v>
      </c>
      <c r="AC139">
        <f>Model!AK173</f>
        <v>0</v>
      </c>
      <c r="AD139">
        <f>Model!AL173</f>
        <v>0</v>
      </c>
      <c r="AE139">
        <f>Model!AM173</f>
        <v>0</v>
      </c>
      <c r="AF139">
        <f>Model!AN173</f>
        <v>0</v>
      </c>
      <c r="AG139">
        <f>Model!AO173</f>
        <v>2.6612E-2</v>
      </c>
      <c r="AH139">
        <f>Model!AP173</f>
        <v>9.4500000000000139E-4</v>
      </c>
      <c r="AI139">
        <f>Model!AQ173</f>
        <v>8.8819999999999975E-3</v>
      </c>
      <c r="AJ139">
        <f>Model!AR173</f>
        <v>0</v>
      </c>
      <c r="AK139">
        <f>Model!AS173</f>
        <v>0.155528</v>
      </c>
      <c r="AL139">
        <f>Model!AT173</f>
        <v>1.2350000000000139E-3</v>
      </c>
      <c r="AM139">
        <f>Model!AU173</f>
        <v>6.7939999999999945E-3</v>
      </c>
      <c r="AN139">
        <f>Model!AV173</f>
        <v>1.6514000000000001E-2</v>
      </c>
      <c r="AO139">
        <f>Model!AW173</f>
        <v>0.51019899999999996</v>
      </c>
      <c r="AP139">
        <f>Model!AX173</f>
        <v>3.2487000000000002E-2</v>
      </c>
      <c r="AQ139">
        <f>Model!AY173</f>
        <v>2.7530000000000054E-3</v>
      </c>
      <c r="AR139">
        <f>Model!AZ173</f>
        <v>1.0570000000000001E-2</v>
      </c>
      <c r="AS139">
        <f>Model!BA173</f>
        <v>0.34690399999999999</v>
      </c>
      <c r="AT139">
        <f>Model!BB173</f>
        <v>2.7630000000000154E-3</v>
      </c>
      <c r="AU139">
        <f>Model!BC173</f>
        <v>7.3119999999999852E-3</v>
      </c>
      <c r="AV139">
        <f>Model!BD173</f>
        <v>1.5379999999999838E-3</v>
      </c>
      <c r="AW139">
        <f>Model!BE173</f>
        <v>0.40063100000000001</v>
      </c>
      <c r="AX139">
        <f>Model!BF173</f>
        <v>1.4530000000000001E-3</v>
      </c>
      <c r="AY139">
        <f>Model!BG173</f>
        <v>4.0499999999999998E-4</v>
      </c>
      <c r="AZ139">
        <f>Model!BH173</f>
        <v>2.653E-3</v>
      </c>
      <c r="BA139">
        <f>Model!BI173</f>
        <v>0.110679</v>
      </c>
      <c r="BB139">
        <f>Model!BJ173</f>
        <v>0.43191000000000002</v>
      </c>
      <c r="BC139">
        <f>Model!BK173</f>
        <v>0.48436099999999999</v>
      </c>
      <c r="BD139">
        <f>Model!BL173</f>
        <v>4.5100000000000001E-4</v>
      </c>
      <c r="BE139">
        <f>Model!BM173</f>
        <v>7.2276999999999994E-2</v>
      </c>
      <c r="BF139">
        <f>Model!BN173</f>
        <v>5.5499999999999994E-4</v>
      </c>
      <c r="BG139">
        <f>Model!BO173</f>
        <v>0.114645</v>
      </c>
      <c r="BH139">
        <f>Model!BP173</f>
        <v>0.44311699999999998</v>
      </c>
      <c r="BI139">
        <f>Model!BQ173</f>
        <v>0.25139699999999998</v>
      </c>
      <c r="BJ139">
        <f>Model!BR173</f>
        <v>0.56869600000000009</v>
      </c>
      <c r="BK139">
        <f>Model!BS173</f>
        <v>1.0825749999999998</v>
      </c>
      <c r="BL139">
        <f>Model!BT173</f>
        <v>0.63144000000000033</v>
      </c>
      <c r="BM139">
        <f>Model!BU173</f>
        <v>0.20200000000000001</v>
      </c>
      <c r="BN139">
        <f>Model!BV173</f>
        <v>0.23599999999999999</v>
      </c>
      <c r="BO139">
        <f>Model!BW173</f>
        <v>0.14382800000000001</v>
      </c>
      <c r="BP139">
        <f>Model!BX173</f>
        <v>0.18115600000000004</v>
      </c>
      <c r="BQ139">
        <f>Model!BY173</f>
        <v>0.124915</v>
      </c>
      <c r="BR139">
        <f>Model!BZ173</f>
        <v>0.13663700000000001</v>
      </c>
      <c r="BS139">
        <f>Model!CA173</f>
        <v>0.37045399999999995</v>
      </c>
      <c r="BT139">
        <f>Model!CB173</f>
        <v>0.39388400000000001</v>
      </c>
      <c r="BU139">
        <f>Model!CC173</f>
        <v>0.32051282051282054</v>
      </c>
      <c r="BV139">
        <f>Model!CD173</f>
        <v>0.30525030525030528</v>
      </c>
      <c r="BW139">
        <f>Model!CE173</f>
        <v>0.29071457642886217</v>
      </c>
      <c r="BX139">
        <f>Model!CF173</f>
        <v>0.2768710251703449</v>
      </c>
      <c r="BY139">
        <f>Model!CG173</f>
        <v>0</v>
      </c>
      <c r="BZ139">
        <f>Model!CH173</f>
        <v>0</v>
      </c>
      <c r="CA139">
        <f>Model!CI173</f>
        <v>0</v>
      </c>
      <c r="CB139">
        <f>Model!CJ173</f>
        <v>0</v>
      </c>
      <c r="CC139">
        <f>Model!CK173</f>
        <v>0</v>
      </c>
      <c r="CD139">
        <f>Model!CL173</f>
        <v>0</v>
      </c>
      <c r="CE139">
        <f>Model!CM173</f>
        <v>0</v>
      </c>
      <c r="CF139">
        <f>Model!CN173</f>
        <v>0</v>
      </c>
      <c r="CG139">
        <f>Model!CO173</f>
        <v>0</v>
      </c>
      <c r="CH139">
        <f>Model!CP173</f>
        <v>0</v>
      </c>
      <c r="CI139">
        <f>Model!CQ173</f>
        <v>0.55600899999999998</v>
      </c>
      <c r="CJ139">
        <f>Model!CR173</f>
        <v>0.35851699999999997</v>
      </c>
      <c r="CK139">
        <f>Model!CS173</f>
        <v>0.405142</v>
      </c>
      <c r="CL139">
        <f>Model!CT173</f>
        <v>1.027401</v>
      </c>
      <c r="CM139">
        <f>Model!CU173</f>
        <v>0.63059399999999999</v>
      </c>
      <c r="CN139">
        <f>Model!CV173</f>
        <v>2.5341080000000002</v>
      </c>
      <c r="CO139">
        <f>Model!CW173</f>
        <v>0.76298400000000011</v>
      </c>
      <c r="CP139">
        <f>Model!CX173</f>
        <v>1.02589</v>
      </c>
      <c r="CQ139">
        <f>Model!CY173</f>
        <v>1.1933487273623329</v>
      </c>
      <c r="CR139">
        <f>Model!CZ173</f>
        <v>1.1585909974391582</v>
      </c>
      <c r="CS139">
        <f>Model!DA173</f>
        <v>1.1248456285817068</v>
      </c>
      <c r="CT139">
        <f>Model!DB173</f>
        <v>1.0920831345453466</v>
      </c>
      <c r="CU139">
        <f>Model!DC173</f>
        <v>0.42410995516324135</v>
      </c>
      <c r="CV139">
        <f>Model!DD173</f>
        <v>0.41175723802256442</v>
      </c>
      <c r="CW139">
        <f>Model!DE173</f>
        <v>0.39976430875977131</v>
      </c>
      <c r="CX139">
        <f>Model!DF173</f>
        <v>0.38812068811628281</v>
      </c>
    </row>
    <row r="140" spans="1:102">
      <c r="A140" t="str">
        <f>Model!I174</f>
        <v>Avg. Cost of Repurchase</v>
      </c>
      <c r="B140">
        <f>Model!J174</f>
        <v>0</v>
      </c>
      <c r="C140">
        <f>Model!K174</f>
        <v>0</v>
      </c>
      <c r="D140">
        <f>Model!L174</f>
        <v>0</v>
      </c>
      <c r="E140">
        <f>Model!M174</f>
        <v>0</v>
      </c>
      <c r="F140">
        <f>Model!N174</f>
        <v>0</v>
      </c>
      <c r="G140">
        <f>Model!O174</f>
        <v>0</v>
      </c>
      <c r="H140">
        <f>Model!P174</f>
        <v>0</v>
      </c>
      <c r="I140">
        <f>Model!Q174</f>
        <v>0</v>
      </c>
      <c r="J140">
        <f>Model!R174</f>
        <v>0</v>
      </c>
      <c r="K140">
        <f>Model!S174</f>
        <v>0</v>
      </c>
      <c r="L140">
        <f>Model!T174</f>
        <v>0</v>
      </c>
      <c r="M140">
        <f>Model!U174</f>
        <v>0</v>
      </c>
      <c r="N140">
        <f>Model!V174</f>
        <v>0</v>
      </c>
      <c r="O140">
        <f>Model!W174</f>
        <v>0</v>
      </c>
      <c r="P140">
        <f>Model!X174</f>
        <v>0</v>
      </c>
      <c r="Q140">
        <f>Model!Y174</f>
        <v>0</v>
      </c>
      <c r="R140">
        <f>Model!Z174</f>
        <v>0</v>
      </c>
      <c r="S140">
        <f>Model!AA174</f>
        <v>0</v>
      </c>
      <c r="T140">
        <f>Model!AB174</f>
        <v>0</v>
      </c>
      <c r="U140">
        <f>Model!AC174</f>
        <v>0</v>
      </c>
      <c r="V140">
        <f>Model!AD174</f>
        <v>0</v>
      </c>
      <c r="W140">
        <f>Model!AE174</f>
        <v>0</v>
      </c>
      <c r="X140">
        <f>Model!AF174</f>
        <v>0</v>
      </c>
      <c r="Y140">
        <f>Model!AG174</f>
        <v>0</v>
      </c>
      <c r="Z140">
        <f>Model!AH174</f>
        <v>0</v>
      </c>
      <c r="AA140">
        <f>Model!AI174</f>
        <v>0</v>
      </c>
      <c r="AB140">
        <f>Model!AJ174</f>
        <v>0</v>
      </c>
      <c r="AC140">
        <f>Model!AK174</f>
        <v>0</v>
      </c>
      <c r="AD140">
        <f>Model!AL174</f>
        <v>0</v>
      </c>
      <c r="AE140">
        <f>Model!AM174</f>
        <v>0</v>
      </c>
      <c r="AF140">
        <f>Model!AN174</f>
        <v>0</v>
      </c>
      <c r="AG140">
        <f>Model!AO174</f>
        <v>122.98962873891477</v>
      </c>
      <c r="AH140">
        <f>Model!AP174</f>
        <v>150.26455026454994</v>
      </c>
      <c r="AI140">
        <f>Model!AQ174</f>
        <v>103.69286196802533</v>
      </c>
      <c r="AJ140">
        <f>Model!AR174</f>
        <v>0</v>
      </c>
      <c r="AK140">
        <f>Model!AS174</f>
        <v>84.274214289388397</v>
      </c>
      <c r="AL140">
        <f>Model!AT174</f>
        <v>106.07287449392612</v>
      </c>
      <c r="AM140">
        <f>Model!AU174</f>
        <v>137.03267589049187</v>
      </c>
      <c r="AN140">
        <f>Model!AV174</f>
        <v>196.58</v>
      </c>
      <c r="AO140">
        <f>Model!AW174</f>
        <v>233.10904176605601</v>
      </c>
      <c r="AP140">
        <f>Model!AX174</f>
        <v>199.80299812232582</v>
      </c>
      <c r="AQ140">
        <f>Model!AY174</f>
        <v>83.545223392663829</v>
      </c>
      <c r="AR140">
        <f>Model!AZ174</f>
        <v>358.75118259223962</v>
      </c>
      <c r="AS140">
        <f>Model!BA174</f>
        <v>453.33002790397347</v>
      </c>
      <c r="AT140">
        <f>Model!BB174</f>
        <v>517.19145855953457</v>
      </c>
      <c r="AU140">
        <f>Model!BC174</f>
        <v>503.00875273523042</v>
      </c>
      <c r="AV140">
        <f>Model!BD174</f>
        <v>521.45643693107991</v>
      </c>
      <c r="AW140">
        <f>Model!BE174</f>
        <v>634.56147926645713</v>
      </c>
      <c r="AX140">
        <f>Model!BF174</f>
        <v>649.0020646937453</v>
      </c>
      <c r="AY140">
        <f>Model!BG174</f>
        <v>565.43209876539504</v>
      </c>
      <c r="AZ140">
        <f>Model!BH174</f>
        <v>612.13720316623585</v>
      </c>
      <c r="BA140">
        <f>Model!BI174</f>
        <v>690.10381373160214</v>
      </c>
      <c r="BB140">
        <f>Model!BJ174</f>
        <v>803.18816420087524</v>
      </c>
      <c r="BC140">
        <f>Model!BK174</f>
        <v>949.13298139197843</v>
      </c>
      <c r="BD140">
        <f>Model!BL174</f>
        <v>1124.1685144121759</v>
      </c>
      <c r="BE140">
        <f>Model!BM174</f>
        <v>1337.3548985154337</v>
      </c>
      <c r="BF140">
        <f>Model!BN174</f>
        <v>1199.9999999999943</v>
      </c>
      <c r="BG140">
        <f>Model!BO174</f>
        <v>1292.0755375288936</v>
      </c>
      <c r="BH140">
        <f>Model!BP174</f>
        <v>1139.4778354249559</v>
      </c>
      <c r="BI140">
        <f>Model!BQ174</f>
        <v>1227.6121035652773</v>
      </c>
      <c r="BJ140">
        <f>Model!BR174</f>
        <v>1192.1360445651101</v>
      </c>
      <c r="BK140">
        <f>Model!BS174</f>
        <v>1183.1078678151632</v>
      </c>
      <c r="BL140">
        <f>Model!BT174</f>
        <v>1301.2653617129092</v>
      </c>
      <c r="BM140">
        <f>Model!BU174</f>
        <v>1283.9653465346532</v>
      </c>
      <c r="BN140">
        <f>Model!BV174</f>
        <v>1126.199152542373</v>
      </c>
      <c r="BO140">
        <f>Model!BW174</f>
        <v>1383.5970742831714</v>
      </c>
      <c r="BP140">
        <f>Model!BX174</f>
        <v>1413.4171653160809</v>
      </c>
      <c r="BQ140">
        <f>Model!BY174</f>
        <v>1679.5180722891566</v>
      </c>
      <c r="BR140">
        <f>Model!BZ174</f>
        <v>2528.2536940945715</v>
      </c>
      <c r="BS140">
        <f>Model!CA174</f>
        <v>1532.854281503237</v>
      </c>
      <c r="BT140">
        <f>Model!CB174</f>
        <v>1789.4024636695067</v>
      </c>
      <c r="BU140">
        <f>Model!CC174</f>
        <v>1950</v>
      </c>
      <c r="BV140">
        <f>Model!CD174</f>
        <v>2047.5</v>
      </c>
      <c r="BW140">
        <f>Model!CE174</f>
        <v>2149.875</v>
      </c>
      <c r="BX140">
        <f>Model!CF174</f>
        <v>2257.3687500000001</v>
      </c>
      <c r="BY140">
        <f>Model!CG174</f>
        <v>0</v>
      </c>
      <c r="BZ140">
        <f>Model!CH174</f>
        <v>0</v>
      </c>
      <c r="CA140">
        <f>Model!CI174</f>
        <v>0</v>
      </c>
      <c r="CB140">
        <f>Model!CJ174</f>
        <v>0</v>
      </c>
      <c r="CC140">
        <f>Model!CK174</f>
        <v>0</v>
      </c>
      <c r="CD140">
        <f>Model!CL174</f>
        <v>0</v>
      </c>
      <c r="CE140">
        <f>Model!CM174</f>
        <v>0</v>
      </c>
      <c r="CF140">
        <f>Model!CN174</f>
        <v>0</v>
      </c>
      <c r="CG140">
        <f>Model!CO174</f>
        <v>0</v>
      </c>
      <c r="CH140">
        <f>Model!CP174</f>
        <v>0</v>
      </c>
      <c r="CI140">
        <f>Model!CQ174</f>
        <v>232.8109796783865</v>
      </c>
      <c r="CJ140">
        <f>Model!CR174</f>
        <v>455.12765085058732</v>
      </c>
      <c r="CK140">
        <f>Model!CS174</f>
        <v>634.3973224202872</v>
      </c>
      <c r="CL140">
        <f>Model!CT174</f>
        <v>859.9514697766499</v>
      </c>
      <c r="CM140">
        <f>Model!CU174</f>
        <v>1189.9542336273421</v>
      </c>
      <c r="CN140">
        <f>Model!CV174</f>
        <v>1218.9910611544574</v>
      </c>
      <c r="CO140">
        <f>Model!CW174</f>
        <v>1328.3712371425872</v>
      </c>
      <c r="CP140">
        <f>Model!CX174</f>
        <v>1781.7884958426343</v>
      </c>
      <c r="CQ140">
        <f>Model!CY174</f>
        <v>2094.9450421971519</v>
      </c>
      <c r="CR140">
        <f>Model!CZ174</f>
        <v>2157.7933934630664</v>
      </c>
      <c r="CS140">
        <f>Model!DA174</f>
        <v>2222.5271952669586</v>
      </c>
      <c r="CT140">
        <f>Model!DB174</f>
        <v>2289.2030111249674</v>
      </c>
      <c r="CU140">
        <f>Model!DC174</f>
        <v>2357.8791014587164</v>
      </c>
      <c r="CV140">
        <f>Model!DD174</f>
        <v>2428.6154745024778</v>
      </c>
      <c r="CW140">
        <f>Model!DE174</f>
        <v>2501.4739387375521</v>
      </c>
      <c r="CX140">
        <f>Model!DF174</f>
        <v>2576.5181568996786</v>
      </c>
    </row>
    <row r="141" spans="1:102">
      <c r="A141">
        <f>Model!I175</f>
        <v>0</v>
      </c>
      <c r="B141">
        <f>Model!J175</f>
        <v>0</v>
      </c>
      <c r="C141">
        <f>Model!K175</f>
        <v>0</v>
      </c>
      <c r="D141">
        <f>Model!L175</f>
        <v>0</v>
      </c>
      <c r="E141">
        <f>Model!M175</f>
        <v>0</v>
      </c>
      <c r="F141">
        <f>Model!N175</f>
        <v>0</v>
      </c>
      <c r="G141">
        <f>Model!O175</f>
        <v>0</v>
      </c>
      <c r="H141">
        <f>Model!P175</f>
        <v>0</v>
      </c>
      <c r="I141">
        <f>Model!Q175</f>
        <v>0</v>
      </c>
      <c r="J141">
        <f>Model!R175</f>
        <v>0</v>
      </c>
      <c r="K141">
        <f>Model!S175</f>
        <v>0</v>
      </c>
      <c r="L141">
        <f>Model!T175</f>
        <v>0</v>
      </c>
      <c r="M141">
        <f>Model!U175</f>
        <v>0</v>
      </c>
      <c r="N141">
        <f>Model!V175</f>
        <v>0</v>
      </c>
      <c r="O141">
        <f>Model!W175</f>
        <v>0</v>
      </c>
      <c r="P141">
        <f>Model!X175</f>
        <v>0</v>
      </c>
      <c r="Q141">
        <f>Model!Y175</f>
        <v>0</v>
      </c>
      <c r="R141">
        <f>Model!Z175</f>
        <v>0</v>
      </c>
      <c r="S141">
        <f>Model!AA175</f>
        <v>0</v>
      </c>
      <c r="T141">
        <f>Model!AB175</f>
        <v>0</v>
      </c>
      <c r="U141">
        <f>Model!AC175</f>
        <v>0</v>
      </c>
      <c r="V141">
        <f>Model!AD175</f>
        <v>0</v>
      </c>
      <c r="W141">
        <f>Model!AE175</f>
        <v>0</v>
      </c>
      <c r="X141">
        <f>Model!AF175</f>
        <v>0</v>
      </c>
      <c r="Y141">
        <f>Model!AG175</f>
        <v>0</v>
      </c>
      <c r="Z141">
        <f>Model!AH175</f>
        <v>0</v>
      </c>
      <c r="AA141">
        <f>Model!AI175</f>
        <v>0</v>
      </c>
      <c r="AB141">
        <f>Model!AJ175</f>
        <v>0</v>
      </c>
      <c r="AC141">
        <f>Model!AK175</f>
        <v>0</v>
      </c>
      <c r="AD141">
        <f>Model!AL175</f>
        <v>0</v>
      </c>
      <c r="AE141">
        <f>Model!AM175</f>
        <v>0</v>
      </c>
      <c r="AF141">
        <f>Model!AN175</f>
        <v>0</v>
      </c>
      <c r="AG141">
        <f>Model!AO175</f>
        <v>0</v>
      </c>
      <c r="AH141">
        <f>Model!AP175</f>
        <v>0</v>
      </c>
      <c r="AI141">
        <f>Model!AQ175</f>
        <v>0</v>
      </c>
      <c r="AJ141">
        <f>Model!AR175</f>
        <v>0</v>
      </c>
      <c r="AK141">
        <f>Model!AS175</f>
        <v>0</v>
      </c>
      <c r="AL141">
        <f>Model!AT175</f>
        <v>0</v>
      </c>
      <c r="AM141">
        <f>Model!AU175</f>
        <v>0</v>
      </c>
      <c r="AN141">
        <f>Model!AV175</f>
        <v>0</v>
      </c>
      <c r="AO141">
        <f>Model!AW175</f>
        <v>0</v>
      </c>
      <c r="AP141">
        <f>Model!AX175</f>
        <v>0</v>
      </c>
      <c r="AQ141">
        <f>Model!AY175</f>
        <v>0</v>
      </c>
      <c r="AR141">
        <f>Model!AZ175</f>
        <v>0</v>
      </c>
      <c r="AS141">
        <f>Model!BA175</f>
        <v>0</v>
      </c>
      <c r="AT141">
        <f>Model!BB175</f>
        <v>0</v>
      </c>
      <c r="AU141">
        <f>Model!BC175</f>
        <v>0</v>
      </c>
      <c r="AV141">
        <f>Model!BD175</f>
        <v>0</v>
      </c>
      <c r="AW141">
        <f>Model!BE175</f>
        <v>0</v>
      </c>
      <c r="AX141">
        <f>Model!BF175</f>
        <v>0</v>
      </c>
      <c r="AY141">
        <f>Model!BG175</f>
        <v>0</v>
      </c>
      <c r="AZ141">
        <f>Model!BH175</f>
        <v>0</v>
      </c>
      <c r="BA141">
        <f>Model!BI175</f>
        <v>0</v>
      </c>
      <c r="BB141">
        <f>Model!BJ175</f>
        <v>0</v>
      </c>
      <c r="BC141">
        <f>Model!BK175</f>
        <v>0</v>
      </c>
      <c r="BD141">
        <f>Model!BL175</f>
        <v>0</v>
      </c>
      <c r="BE141">
        <f>Model!BM175</f>
        <v>0</v>
      </c>
      <c r="BF141">
        <f>Model!BN175</f>
        <v>0</v>
      </c>
      <c r="BG141">
        <f>Model!BO175</f>
        <v>0</v>
      </c>
      <c r="BH141">
        <f>Model!BP175</f>
        <v>0</v>
      </c>
      <c r="BI141">
        <f>Model!BQ175</f>
        <v>0</v>
      </c>
      <c r="BJ141">
        <f>Model!BR175</f>
        <v>0</v>
      </c>
      <c r="BK141">
        <f>Model!BS175</f>
        <v>0</v>
      </c>
      <c r="BL141">
        <f>Model!BT175</f>
        <v>0</v>
      </c>
      <c r="BM141">
        <f>Model!BU175</f>
        <v>0</v>
      </c>
      <c r="BN141">
        <f>Model!BV175</f>
        <v>0</v>
      </c>
      <c r="BO141">
        <f>Model!BW175</f>
        <v>0</v>
      </c>
      <c r="BP141">
        <f>Model!BX175</f>
        <v>0</v>
      </c>
      <c r="BQ141">
        <f>Model!BY175</f>
        <v>0</v>
      </c>
      <c r="BR141">
        <f>Model!BZ175</f>
        <v>0</v>
      </c>
      <c r="BS141">
        <f>Model!CA175</f>
        <v>0</v>
      </c>
      <c r="BT141">
        <f>Model!CB175</f>
        <v>0</v>
      </c>
      <c r="BU141">
        <f>Model!CC175</f>
        <v>0</v>
      </c>
      <c r="BV141">
        <f>Model!CD175</f>
        <v>0</v>
      </c>
      <c r="BW141">
        <f>Model!CE175</f>
        <v>0</v>
      </c>
      <c r="BX141">
        <f>Model!CF175</f>
        <v>0</v>
      </c>
      <c r="BY141">
        <f>Model!CG175</f>
        <v>0</v>
      </c>
      <c r="BZ141">
        <f>Model!CH175</f>
        <v>0</v>
      </c>
      <c r="CA141">
        <f>Model!CI175</f>
        <v>0</v>
      </c>
      <c r="CB141">
        <f>Model!CJ175</f>
        <v>0</v>
      </c>
      <c r="CC141">
        <f>Model!CK175</f>
        <v>0</v>
      </c>
      <c r="CD141">
        <f>Model!CL175</f>
        <v>0</v>
      </c>
      <c r="CE141">
        <f>Model!CM175</f>
        <v>0</v>
      </c>
      <c r="CF141">
        <f>Model!CN175</f>
        <v>0</v>
      </c>
      <c r="CG141">
        <f>Model!CO175</f>
        <v>0</v>
      </c>
      <c r="CH141">
        <f>Model!CP175</f>
        <v>0</v>
      </c>
      <c r="CI141">
        <f>Model!CQ175</f>
        <v>0</v>
      </c>
      <c r="CJ141">
        <f>Model!CR175</f>
        <v>0</v>
      </c>
      <c r="CK141">
        <f>Model!CS175</f>
        <v>0</v>
      </c>
      <c r="CL141">
        <f>Model!CT175</f>
        <v>0</v>
      </c>
      <c r="CM141">
        <f>Model!CU175</f>
        <v>0</v>
      </c>
      <c r="CN141">
        <f>Model!CV175</f>
        <v>0</v>
      </c>
      <c r="CO141">
        <f>Model!CW175</f>
        <v>0</v>
      </c>
      <c r="CP141">
        <f>Model!CX175</f>
        <v>0</v>
      </c>
      <c r="CQ141">
        <f>Model!CY175</f>
        <v>0</v>
      </c>
      <c r="CR141">
        <f>Model!CZ175</f>
        <v>0</v>
      </c>
      <c r="CS141">
        <f>Model!DA175</f>
        <v>0</v>
      </c>
      <c r="CT141">
        <f>Model!DB175</f>
        <v>0</v>
      </c>
      <c r="CU141">
        <f>Model!DC175</f>
        <v>0</v>
      </c>
      <c r="CV141">
        <f>Model!DD175</f>
        <v>0</v>
      </c>
      <c r="CW141">
        <f>Model!DE175</f>
        <v>0</v>
      </c>
      <c r="CX141">
        <f>Model!DF175</f>
        <v>0</v>
      </c>
    </row>
    <row r="142" spans="1:102">
      <c r="A142">
        <f>Model!I176</f>
        <v>0</v>
      </c>
      <c r="B142">
        <f>Model!J176</f>
        <v>0</v>
      </c>
      <c r="C142">
        <f>Model!K176</f>
        <v>0</v>
      </c>
      <c r="D142">
        <f>Model!L176</f>
        <v>0</v>
      </c>
      <c r="E142">
        <f>Model!M176</f>
        <v>0</v>
      </c>
      <c r="F142">
        <f>Model!N176</f>
        <v>0</v>
      </c>
      <c r="G142">
        <f>Model!O176</f>
        <v>0</v>
      </c>
      <c r="H142">
        <f>Model!P176</f>
        <v>0</v>
      </c>
      <c r="I142">
        <f>Model!Q176</f>
        <v>0</v>
      </c>
      <c r="J142">
        <f>Model!R176</f>
        <v>0</v>
      </c>
      <c r="K142">
        <f>Model!S176</f>
        <v>0</v>
      </c>
      <c r="L142">
        <f>Model!T176</f>
        <v>0</v>
      </c>
      <c r="M142">
        <f>Model!U176</f>
        <v>0</v>
      </c>
      <c r="N142">
        <f>Model!V176</f>
        <v>0</v>
      </c>
      <c r="O142">
        <f>Model!W176</f>
        <v>0</v>
      </c>
      <c r="P142">
        <f>Model!X176</f>
        <v>0</v>
      </c>
      <c r="Q142">
        <f>Model!Y176</f>
        <v>0</v>
      </c>
      <c r="R142">
        <f>Model!Z176</f>
        <v>0</v>
      </c>
      <c r="S142">
        <f>Model!AA176</f>
        <v>0</v>
      </c>
      <c r="T142">
        <f>Model!AB176</f>
        <v>0</v>
      </c>
      <c r="U142">
        <f>Model!AC176</f>
        <v>0</v>
      </c>
      <c r="V142">
        <f>Model!AD176</f>
        <v>0</v>
      </c>
      <c r="W142">
        <f>Model!AE176</f>
        <v>0</v>
      </c>
      <c r="X142">
        <f>Model!AF176</f>
        <v>0</v>
      </c>
      <c r="Y142">
        <f>Model!AG176</f>
        <v>0</v>
      </c>
      <c r="Z142">
        <f>Model!AH176</f>
        <v>0</v>
      </c>
      <c r="AA142">
        <f>Model!AI176</f>
        <v>0</v>
      </c>
      <c r="AB142">
        <f>Model!AJ176</f>
        <v>0</v>
      </c>
      <c r="AC142">
        <f>Model!AK176</f>
        <v>0</v>
      </c>
      <c r="AD142">
        <f>Model!AL176</f>
        <v>0</v>
      </c>
      <c r="AE142">
        <f>Model!AM176</f>
        <v>0</v>
      </c>
      <c r="AF142">
        <f>Model!AN176</f>
        <v>0</v>
      </c>
      <c r="AG142">
        <f>Model!AO176</f>
        <v>0</v>
      </c>
      <c r="AH142">
        <f>Model!AP176</f>
        <v>0</v>
      </c>
      <c r="AI142">
        <f>Model!AQ176</f>
        <v>0</v>
      </c>
      <c r="AJ142">
        <f>Model!AR176</f>
        <v>0</v>
      </c>
      <c r="AK142">
        <f>Model!AS176</f>
        <v>0</v>
      </c>
      <c r="AL142">
        <f>Model!AT176</f>
        <v>0</v>
      </c>
      <c r="AM142">
        <f>Model!AU176</f>
        <v>0</v>
      </c>
      <c r="AN142">
        <f>Model!AV176</f>
        <v>0</v>
      </c>
      <c r="AO142">
        <f>Model!AW176</f>
        <v>0</v>
      </c>
      <c r="AP142">
        <f>Model!AX176</f>
        <v>0</v>
      </c>
      <c r="AQ142">
        <f>Model!AY176</f>
        <v>0</v>
      </c>
      <c r="AR142">
        <f>Model!AZ176</f>
        <v>0</v>
      </c>
      <c r="AS142">
        <f>Model!BA176</f>
        <v>0</v>
      </c>
      <c r="AT142">
        <f>Model!BB176</f>
        <v>0</v>
      </c>
      <c r="AU142">
        <f>Model!BC176</f>
        <v>0</v>
      </c>
      <c r="AV142">
        <f>Model!BD176</f>
        <v>0</v>
      </c>
      <c r="AW142">
        <f>Model!BE176</f>
        <v>0</v>
      </c>
      <c r="AX142">
        <f>Model!BF176</f>
        <v>0</v>
      </c>
      <c r="AY142">
        <f>Model!BG176</f>
        <v>0</v>
      </c>
      <c r="AZ142">
        <f>Model!BH176</f>
        <v>0</v>
      </c>
      <c r="BA142">
        <f>Model!BI176</f>
        <v>0</v>
      </c>
      <c r="BB142">
        <f>Model!BJ176</f>
        <v>0</v>
      </c>
      <c r="BC142">
        <f>Model!BK176</f>
        <v>0</v>
      </c>
      <c r="BD142">
        <f>Model!BL176</f>
        <v>0</v>
      </c>
      <c r="BE142">
        <f>Model!BM176</f>
        <v>0</v>
      </c>
      <c r="BF142">
        <f>Model!BN176</f>
        <v>0</v>
      </c>
      <c r="BG142">
        <f>Model!BO176</f>
        <v>0</v>
      </c>
      <c r="BH142">
        <f>Model!BP176</f>
        <v>0</v>
      </c>
      <c r="BI142">
        <f>Model!BQ176</f>
        <v>0</v>
      </c>
      <c r="BJ142">
        <f>Model!BR176</f>
        <v>0</v>
      </c>
      <c r="BK142">
        <f>Model!BS176</f>
        <v>0</v>
      </c>
      <c r="BL142">
        <f>Model!BT176</f>
        <v>0</v>
      </c>
      <c r="BM142">
        <f>Model!BU176</f>
        <v>0</v>
      </c>
      <c r="BN142">
        <f>Model!BV176</f>
        <v>0</v>
      </c>
      <c r="BO142">
        <f>Model!BW176</f>
        <v>0</v>
      </c>
      <c r="BP142">
        <f>Model!BX176</f>
        <v>0</v>
      </c>
      <c r="BQ142">
        <f>Model!BY176</f>
        <v>0</v>
      </c>
      <c r="BR142">
        <f>Model!BZ176</f>
        <v>0</v>
      </c>
      <c r="BS142">
        <f>Model!CA176</f>
        <v>0</v>
      </c>
      <c r="BT142">
        <f>Model!CB176</f>
        <v>0</v>
      </c>
      <c r="BU142">
        <f>Model!CC176</f>
        <v>0</v>
      </c>
      <c r="BV142">
        <f>Model!CD176</f>
        <v>0</v>
      </c>
      <c r="BW142">
        <f>Model!CE176</f>
        <v>0</v>
      </c>
      <c r="BX142">
        <f>Model!CF176</f>
        <v>0</v>
      </c>
      <c r="BY142">
        <f>Model!CG176</f>
        <v>0</v>
      </c>
      <c r="BZ142">
        <f>Model!CH176</f>
        <v>0</v>
      </c>
      <c r="CA142">
        <f>Model!CI176</f>
        <v>0</v>
      </c>
      <c r="CB142">
        <f>Model!CJ176</f>
        <v>0</v>
      </c>
      <c r="CC142">
        <f>Model!CK176</f>
        <v>0</v>
      </c>
      <c r="CD142">
        <f>Model!CL176</f>
        <v>0</v>
      </c>
      <c r="CE142">
        <f>Model!CM176</f>
        <v>0</v>
      </c>
      <c r="CF142">
        <f>Model!CN176</f>
        <v>0</v>
      </c>
      <c r="CG142">
        <f>Model!CO176</f>
        <v>0</v>
      </c>
      <c r="CH142">
        <f>Model!CP176</f>
        <v>0</v>
      </c>
      <c r="CI142">
        <f>Model!CQ176</f>
        <v>0</v>
      </c>
      <c r="CJ142">
        <f>Model!CR176</f>
        <v>0</v>
      </c>
      <c r="CK142">
        <f>Model!CS176</f>
        <v>0</v>
      </c>
      <c r="CL142">
        <f>Model!CT176</f>
        <v>0</v>
      </c>
      <c r="CM142">
        <f>Model!CU176</f>
        <v>0</v>
      </c>
      <c r="CN142">
        <f>Model!CV176</f>
        <v>0</v>
      </c>
      <c r="CO142">
        <f>Model!CW176</f>
        <v>0</v>
      </c>
      <c r="CP142">
        <f>Model!CX176</f>
        <v>0</v>
      </c>
      <c r="CQ142">
        <f>Model!CY176</f>
        <v>0</v>
      </c>
      <c r="CR142">
        <f>Model!CZ176</f>
        <v>0</v>
      </c>
      <c r="CS142">
        <f>Model!DA176</f>
        <v>0</v>
      </c>
      <c r="CT142">
        <f>Model!DB176</f>
        <v>0</v>
      </c>
      <c r="CU142">
        <f>Model!DC176</f>
        <v>0</v>
      </c>
      <c r="CV142">
        <f>Model!DD176</f>
        <v>0</v>
      </c>
      <c r="CW142">
        <f>Model!DE176</f>
        <v>0</v>
      </c>
      <c r="CX142">
        <f>Model!DF176</f>
        <v>0</v>
      </c>
    </row>
    <row r="143" spans="1:102">
      <c r="A143" t="str">
        <f>Model!I177</f>
        <v>Core Revenue Roll-up</v>
      </c>
      <c r="B143">
        <f>Model!J177</f>
        <v>0</v>
      </c>
      <c r="C143">
        <f>Model!K177</f>
        <v>0</v>
      </c>
      <c r="D143">
        <f>Model!L177</f>
        <v>0</v>
      </c>
      <c r="E143">
        <f>Model!M177</f>
        <v>0</v>
      </c>
      <c r="F143">
        <f>Model!N177</f>
        <v>0</v>
      </c>
      <c r="G143">
        <f>Model!O177</f>
        <v>0</v>
      </c>
      <c r="H143">
        <f>Model!P177</f>
        <v>0</v>
      </c>
      <c r="I143">
        <f>Model!Q177</f>
        <v>0</v>
      </c>
      <c r="J143">
        <f>Model!R177</f>
        <v>0</v>
      </c>
      <c r="K143">
        <f>Model!S177</f>
        <v>0</v>
      </c>
      <c r="L143">
        <f>Model!T177</f>
        <v>0</v>
      </c>
      <c r="M143">
        <f>Model!U177</f>
        <v>0</v>
      </c>
      <c r="N143">
        <f>Model!V177</f>
        <v>0</v>
      </c>
      <c r="O143">
        <f>Model!W177</f>
        <v>0</v>
      </c>
      <c r="P143">
        <f>Model!X177</f>
        <v>0</v>
      </c>
      <c r="Q143">
        <f>Model!Y177</f>
        <v>0</v>
      </c>
      <c r="R143">
        <f>Model!Z177</f>
        <v>0</v>
      </c>
      <c r="S143">
        <f>Model!AA177</f>
        <v>0</v>
      </c>
      <c r="T143">
        <f>Model!AB177</f>
        <v>0</v>
      </c>
      <c r="U143">
        <f>Model!AC177</f>
        <v>0</v>
      </c>
      <c r="V143">
        <f>Model!AD177</f>
        <v>0</v>
      </c>
      <c r="W143">
        <f>Model!AE177</f>
        <v>0</v>
      </c>
      <c r="X143">
        <f>Model!AF177</f>
        <v>0</v>
      </c>
      <c r="Y143">
        <f>Model!AG177</f>
        <v>0</v>
      </c>
      <c r="Z143">
        <f>Model!AH177</f>
        <v>0</v>
      </c>
      <c r="AA143">
        <f>Model!AI177</f>
        <v>0</v>
      </c>
      <c r="AB143">
        <f>Model!AJ177</f>
        <v>0</v>
      </c>
      <c r="AC143">
        <f>Model!AK177</f>
        <v>0</v>
      </c>
      <c r="AD143">
        <f>Model!AL177</f>
        <v>0</v>
      </c>
      <c r="AE143">
        <f>Model!AM177</f>
        <v>0</v>
      </c>
      <c r="AF143">
        <f>Model!AN177</f>
        <v>0</v>
      </c>
      <c r="AG143">
        <f>Model!AO177</f>
        <v>0</v>
      </c>
      <c r="AH143">
        <f>Model!AP177</f>
        <v>0</v>
      </c>
      <c r="AI143">
        <f>Model!AQ177</f>
        <v>0</v>
      </c>
      <c r="AJ143">
        <f>Model!AR177</f>
        <v>0</v>
      </c>
      <c r="AK143">
        <f>Model!AS177</f>
        <v>0</v>
      </c>
      <c r="AL143">
        <f>Model!AT177</f>
        <v>0</v>
      </c>
      <c r="AM143">
        <f>Model!AU177</f>
        <v>0</v>
      </c>
      <c r="AN143">
        <f>Model!AV177</f>
        <v>0</v>
      </c>
      <c r="AO143">
        <f>Model!AW177</f>
        <v>0</v>
      </c>
      <c r="AP143">
        <f>Model!AX177</f>
        <v>0</v>
      </c>
      <c r="AQ143">
        <f>Model!AY177</f>
        <v>0</v>
      </c>
      <c r="AR143">
        <f>Model!AZ177</f>
        <v>0</v>
      </c>
      <c r="AS143">
        <f>Model!BA177</f>
        <v>0</v>
      </c>
      <c r="AT143">
        <f>Model!BB177</f>
        <v>0</v>
      </c>
      <c r="AU143">
        <f>Model!BC177</f>
        <v>0</v>
      </c>
      <c r="AV143">
        <f>Model!BD177</f>
        <v>0</v>
      </c>
      <c r="AW143">
        <f>Model!BE177</f>
        <v>0</v>
      </c>
      <c r="AX143">
        <f>Model!BF177</f>
        <v>0</v>
      </c>
      <c r="AY143">
        <f>Model!BG177</f>
        <v>0</v>
      </c>
      <c r="AZ143">
        <f>Model!BH177</f>
        <v>0</v>
      </c>
      <c r="BA143">
        <f>Model!BI177</f>
        <v>0</v>
      </c>
      <c r="BB143">
        <f>Model!BJ177</f>
        <v>0</v>
      </c>
      <c r="BC143">
        <f>Model!BK177</f>
        <v>0</v>
      </c>
      <c r="BD143">
        <f>Model!BL177</f>
        <v>0</v>
      </c>
      <c r="BE143">
        <f>Model!BM177</f>
        <v>0</v>
      </c>
      <c r="BF143">
        <f>Model!BN177</f>
        <v>0</v>
      </c>
      <c r="BG143">
        <f>Model!BO177</f>
        <v>0</v>
      </c>
      <c r="BH143">
        <f>Model!BP177</f>
        <v>0</v>
      </c>
      <c r="BI143">
        <f>Model!BQ177</f>
        <v>0</v>
      </c>
      <c r="BJ143">
        <f>Model!BR177</f>
        <v>0</v>
      </c>
      <c r="BK143">
        <f>Model!BS177</f>
        <v>0</v>
      </c>
      <c r="BL143">
        <f>Model!BT177</f>
        <v>0</v>
      </c>
      <c r="BM143">
        <f>Model!BU177</f>
        <v>0</v>
      </c>
      <c r="BN143">
        <f>Model!BV177</f>
        <v>0</v>
      </c>
      <c r="BO143">
        <f>Model!BW177</f>
        <v>0</v>
      </c>
      <c r="BP143">
        <f>Model!BX177</f>
        <v>0</v>
      </c>
      <c r="BQ143">
        <f>Model!BY177</f>
        <v>0</v>
      </c>
      <c r="BR143">
        <f>Model!BZ177</f>
        <v>0</v>
      </c>
      <c r="BS143">
        <f>Model!CA177</f>
        <v>0</v>
      </c>
      <c r="BT143">
        <f>Model!CB177</f>
        <v>0</v>
      </c>
      <c r="BU143">
        <f>Model!CC177</f>
        <v>0</v>
      </c>
      <c r="BV143">
        <f>Model!CD177</f>
        <v>0</v>
      </c>
      <c r="BW143">
        <f>Model!CE177</f>
        <v>0</v>
      </c>
      <c r="BX143">
        <f>Model!CF177</f>
        <v>0</v>
      </c>
      <c r="BY143">
        <f>Model!CG177</f>
        <v>0</v>
      </c>
      <c r="BZ143">
        <f>Model!CH177</f>
        <v>0</v>
      </c>
      <c r="CA143">
        <f>Model!CI177</f>
        <v>0</v>
      </c>
      <c r="CB143">
        <f>Model!CJ177</f>
        <v>0</v>
      </c>
      <c r="CC143">
        <f>Model!CK177</f>
        <v>0</v>
      </c>
      <c r="CD143">
        <f>Model!CL177</f>
        <v>0</v>
      </c>
      <c r="CE143">
        <f>Model!CM177</f>
        <v>0</v>
      </c>
      <c r="CF143">
        <f>Model!CN177</f>
        <v>0</v>
      </c>
      <c r="CG143">
        <f>Model!CO177</f>
        <v>0</v>
      </c>
      <c r="CH143">
        <f>Model!CP177</f>
        <v>0</v>
      </c>
      <c r="CI143">
        <f>Model!CQ177</f>
        <v>0</v>
      </c>
      <c r="CJ143">
        <f>Model!CR177</f>
        <v>0</v>
      </c>
      <c r="CK143">
        <f>Model!CS177</f>
        <v>0</v>
      </c>
      <c r="CL143">
        <f>Model!CT177</f>
        <v>0</v>
      </c>
      <c r="CM143">
        <f>Model!CU177</f>
        <v>0</v>
      </c>
      <c r="CN143">
        <f>Model!CV177</f>
        <v>0</v>
      </c>
      <c r="CO143">
        <f>Model!CW177</f>
        <v>0</v>
      </c>
      <c r="CP143">
        <f>Model!CX177</f>
        <v>0</v>
      </c>
      <c r="CQ143">
        <f>Model!CY177</f>
        <v>0</v>
      </c>
      <c r="CR143">
        <f>Model!CZ177</f>
        <v>0</v>
      </c>
      <c r="CS143">
        <f>Model!DA177</f>
        <v>0</v>
      </c>
      <c r="CT143">
        <f>Model!DB177</f>
        <v>0</v>
      </c>
      <c r="CU143">
        <f>Model!DC177</f>
        <v>0</v>
      </c>
      <c r="CV143">
        <f>Model!DD177</f>
        <v>0</v>
      </c>
      <c r="CW143">
        <f>Model!DE177</f>
        <v>0</v>
      </c>
      <c r="CX143">
        <f>Model!DF177</f>
        <v>0</v>
      </c>
    </row>
    <row r="144" spans="1:102">
      <c r="A144" t="str">
        <f>Model!I178</f>
        <v>Domestic Revenue</v>
      </c>
      <c r="B144">
        <f>Model!J178</f>
        <v>0</v>
      </c>
      <c r="C144">
        <f>Model!K178</f>
        <v>0</v>
      </c>
      <c r="D144">
        <f>Model!L178</f>
        <v>0</v>
      </c>
      <c r="E144">
        <f>Model!M178</f>
        <v>0</v>
      </c>
      <c r="F144">
        <f>Model!N178</f>
        <v>0</v>
      </c>
      <c r="G144">
        <f>Model!O178</f>
        <v>0</v>
      </c>
      <c r="H144">
        <f>Model!P178</f>
        <v>0</v>
      </c>
      <c r="I144">
        <f>Model!Q178</f>
        <v>0</v>
      </c>
      <c r="J144">
        <f>Model!R178</f>
        <v>0</v>
      </c>
      <c r="K144">
        <f>Model!S178</f>
        <v>0</v>
      </c>
      <c r="L144">
        <f>Model!T178</f>
        <v>0</v>
      </c>
      <c r="M144">
        <f>Model!U178</f>
        <v>0</v>
      </c>
      <c r="N144">
        <f>Model!V178</f>
        <v>0</v>
      </c>
      <c r="O144">
        <f>Model!W178</f>
        <v>0</v>
      </c>
      <c r="P144">
        <f>Model!X178</f>
        <v>0</v>
      </c>
      <c r="Q144">
        <f>Model!Y178</f>
        <v>0</v>
      </c>
      <c r="R144">
        <f>Model!Z178</f>
        <v>0</v>
      </c>
      <c r="S144">
        <f>Model!AA178</f>
        <v>0</v>
      </c>
      <c r="T144">
        <f>Model!AB178</f>
        <v>0</v>
      </c>
      <c r="U144">
        <f>Model!AC178</f>
        <v>0</v>
      </c>
      <c r="V144">
        <f>Model!AD178</f>
        <v>0</v>
      </c>
      <c r="W144">
        <f>Model!AE178</f>
        <v>0</v>
      </c>
      <c r="X144">
        <f>Model!AF178</f>
        <v>0</v>
      </c>
      <c r="Y144">
        <f>Model!AG178</f>
        <v>0</v>
      </c>
      <c r="Z144">
        <f>Model!AH178</f>
        <v>0</v>
      </c>
      <c r="AA144">
        <f>Model!AI178</f>
        <v>0</v>
      </c>
      <c r="AB144">
        <f>Model!AJ178</f>
        <v>0</v>
      </c>
      <c r="AC144">
        <f>Model!AK178</f>
        <v>0</v>
      </c>
      <c r="AD144">
        <f>Model!AL178</f>
        <v>0</v>
      </c>
      <c r="AE144">
        <f>Model!AM178</f>
        <v>0</v>
      </c>
      <c r="AF144">
        <f>Model!AN178</f>
        <v>0</v>
      </c>
      <c r="AG144">
        <f>Model!AO178</f>
        <v>0</v>
      </c>
      <c r="AH144">
        <f>Model!AP178</f>
        <v>0</v>
      </c>
      <c r="AI144">
        <f>Model!AQ178</f>
        <v>0</v>
      </c>
      <c r="AJ144">
        <f>Model!AR178</f>
        <v>0</v>
      </c>
      <c r="AK144">
        <f>Model!AS178</f>
        <v>0</v>
      </c>
      <c r="AL144">
        <f>Model!AT178</f>
        <v>0</v>
      </c>
      <c r="AM144">
        <f>Model!AU178</f>
        <v>0</v>
      </c>
      <c r="AN144">
        <f>Model!AV178</f>
        <v>0</v>
      </c>
      <c r="AO144">
        <f>Model!AW178</f>
        <v>0</v>
      </c>
      <c r="AP144">
        <f>Model!AX178</f>
        <v>0</v>
      </c>
      <c r="AQ144">
        <f>Model!AY178</f>
        <v>0</v>
      </c>
      <c r="AR144">
        <f>Model!AZ178</f>
        <v>0</v>
      </c>
      <c r="AS144">
        <f>Model!BA178</f>
        <v>0</v>
      </c>
      <c r="AT144">
        <f>Model!BB178</f>
        <v>0</v>
      </c>
      <c r="AU144">
        <f>Model!BC178</f>
        <v>0</v>
      </c>
      <c r="AV144">
        <f>Model!BD178</f>
        <v>0</v>
      </c>
      <c r="AW144">
        <f>Model!BE178</f>
        <v>0</v>
      </c>
      <c r="AX144">
        <f>Model!BF178</f>
        <v>0</v>
      </c>
      <c r="AY144">
        <f>Model!BG178</f>
        <v>0</v>
      </c>
      <c r="AZ144">
        <f>Model!BH178</f>
        <v>0</v>
      </c>
      <c r="BA144">
        <f>Model!BI178</f>
        <v>0</v>
      </c>
      <c r="BB144">
        <f>Model!BJ178</f>
        <v>0</v>
      </c>
      <c r="BC144">
        <f>Model!BK178</f>
        <v>0</v>
      </c>
      <c r="BD144">
        <f>Model!BL178</f>
        <v>0</v>
      </c>
      <c r="BE144">
        <f>Model!BM178</f>
        <v>0</v>
      </c>
      <c r="BF144">
        <f>Model!BN178</f>
        <v>0</v>
      </c>
      <c r="BG144">
        <f>Model!BO178</f>
        <v>0</v>
      </c>
      <c r="BH144">
        <f>Model!BP178</f>
        <v>0</v>
      </c>
      <c r="BI144">
        <f>Model!BQ178</f>
        <v>0</v>
      </c>
      <c r="BJ144">
        <f>Model!BR178</f>
        <v>0</v>
      </c>
      <c r="BK144">
        <f>Model!BS178</f>
        <v>0</v>
      </c>
      <c r="BL144">
        <f>Model!BT178</f>
        <v>0</v>
      </c>
      <c r="BM144">
        <f>Model!BU178</f>
        <v>0</v>
      </c>
      <c r="BN144">
        <f>Model!BV178</f>
        <v>0</v>
      </c>
      <c r="BO144">
        <f>Model!BW178</f>
        <v>0</v>
      </c>
      <c r="BP144">
        <f>Model!BX178</f>
        <v>0</v>
      </c>
      <c r="BQ144">
        <f>Model!BY178</f>
        <v>0</v>
      </c>
      <c r="BR144">
        <f>Model!BZ178</f>
        <v>0</v>
      </c>
      <c r="BS144">
        <f>Model!CA178</f>
        <v>0</v>
      </c>
      <c r="BT144">
        <f>Model!CB178</f>
        <v>0</v>
      </c>
      <c r="BU144">
        <f>Model!CC178</f>
        <v>0</v>
      </c>
      <c r="BV144">
        <f>Model!CD178</f>
        <v>0</v>
      </c>
      <c r="BW144">
        <f>Model!CE178</f>
        <v>0</v>
      </c>
      <c r="BX144">
        <f>Model!CF178</f>
        <v>0</v>
      </c>
      <c r="BY144">
        <f>Model!CG178</f>
        <v>0</v>
      </c>
      <c r="BZ144">
        <f>Model!CH178</f>
        <v>0</v>
      </c>
      <c r="CA144">
        <f>Model!CI178</f>
        <v>0</v>
      </c>
      <c r="CB144">
        <f>Model!CJ178</f>
        <v>0</v>
      </c>
      <c r="CC144">
        <f>Model!CK178</f>
        <v>0</v>
      </c>
      <c r="CD144">
        <f>Model!CL178</f>
        <v>0</v>
      </c>
      <c r="CE144">
        <f>Model!CM178</f>
        <v>0</v>
      </c>
      <c r="CF144">
        <f>Model!CN178</f>
        <v>0</v>
      </c>
      <c r="CG144">
        <f>Model!CO178</f>
        <v>0</v>
      </c>
      <c r="CH144">
        <f>Model!CP178</f>
        <v>0</v>
      </c>
      <c r="CI144">
        <f>Model!CQ178</f>
        <v>0</v>
      </c>
      <c r="CJ144">
        <f>Model!CR178</f>
        <v>0</v>
      </c>
      <c r="CK144">
        <f>Model!CS178</f>
        <v>0</v>
      </c>
      <c r="CL144">
        <f>Model!CT178</f>
        <v>0</v>
      </c>
      <c r="CM144">
        <f>Model!CU178</f>
        <v>0</v>
      </c>
      <c r="CN144">
        <f>Model!CV178</f>
        <v>0</v>
      </c>
      <c r="CO144">
        <f>Model!CW178</f>
        <v>0</v>
      </c>
      <c r="CP144">
        <f>Model!CX178</f>
        <v>0</v>
      </c>
      <c r="CQ144">
        <f>Model!CY178</f>
        <v>0</v>
      </c>
      <c r="CR144">
        <f>Model!CZ178</f>
        <v>0</v>
      </c>
      <c r="CS144">
        <f>Model!DA178</f>
        <v>0</v>
      </c>
      <c r="CT144">
        <f>Model!DB178</f>
        <v>0</v>
      </c>
      <c r="CU144">
        <f>Model!DC178</f>
        <v>0</v>
      </c>
      <c r="CV144">
        <f>Model!DD178</f>
        <v>0</v>
      </c>
      <c r="CW144">
        <f>Model!DE178</f>
        <v>0</v>
      </c>
      <c r="CX144">
        <f>Model!DF178</f>
        <v>0</v>
      </c>
    </row>
    <row r="145" spans="1:102">
      <c r="A145" t="str">
        <f>Model!I179</f>
        <v>Domestic Merchant Revenue (incl Kayak and OPEN)</v>
      </c>
      <c r="B145">
        <f>Model!J179</f>
        <v>0</v>
      </c>
      <c r="C145">
        <f>Model!K179</f>
        <v>0</v>
      </c>
      <c r="D145">
        <f>Model!L179</f>
        <v>0</v>
      </c>
      <c r="E145">
        <f>Model!M179</f>
        <v>0</v>
      </c>
      <c r="F145">
        <f>Model!N179</f>
        <v>0</v>
      </c>
      <c r="G145">
        <f>Model!O179</f>
        <v>0</v>
      </c>
      <c r="H145">
        <f>Model!P179</f>
        <v>0</v>
      </c>
      <c r="I145">
        <f>Model!Q179</f>
        <v>0</v>
      </c>
      <c r="J145">
        <f>Model!R179</f>
        <v>0</v>
      </c>
      <c r="K145">
        <f>Model!S179</f>
        <v>0</v>
      </c>
      <c r="L145">
        <f>Model!T179</f>
        <v>0</v>
      </c>
      <c r="M145">
        <f>Model!U179</f>
        <v>0</v>
      </c>
      <c r="N145">
        <f>Model!V179</f>
        <v>0</v>
      </c>
      <c r="O145">
        <f>Model!W179</f>
        <v>0</v>
      </c>
      <c r="P145">
        <f>Model!X179</f>
        <v>0</v>
      </c>
      <c r="Q145">
        <f>Model!Y179</f>
        <v>0</v>
      </c>
      <c r="R145">
        <f>Model!Z179</f>
        <v>0</v>
      </c>
      <c r="S145">
        <f>Model!AA179</f>
        <v>0</v>
      </c>
      <c r="T145">
        <f>Model!AB179</f>
        <v>0</v>
      </c>
      <c r="U145">
        <f>Model!AC179</f>
        <v>0</v>
      </c>
      <c r="V145">
        <f>Model!AD179</f>
        <v>0</v>
      </c>
      <c r="W145">
        <f>Model!AE179</f>
        <v>0</v>
      </c>
      <c r="X145">
        <f>Model!AF179</f>
        <v>0</v>
      </c>
      <c r="Y145">
        <f>Model!AG179</f>
        <v>210.43799999999999</v>
      </c>
      <c r="Z145">
        <f>Model!AH179</f>
        <v>250.52399999999997</v>
      </c>
      <c r="AA145">
        <f>Model!AI179</f>
        <v>236.95800000000003</v>
      </c>
      <c r="AB145">
        <f>Model!AJ179</f>
        <v>204.64899999999994</v>
      </c>
      <c r="AC145">
        <f>Model!AK179</f>
        <v>230.13300000000004</v>
      </c>
      <c r="AD145">
        <f>Model!AL179</f>
        <v>252.59099999999992</v>
      </c>
      <c r="AE145">
        <f>Model!AM179</f>
        <v>275.21100000000001</v>
      </c>
      <c r="AF145">
        <f>Model!AN179</f>
        <v>225.19300000000001</v>
      </c>
      <c r="AG145">
        <f>Model!AO179</f>
        <v>285.62799999999999</v>
      </c>
      <c r="AH145">
        <f>Model!AP179</f>
        <v>332.721</v>
      </c>
      <c r="AI145">
        <f>Model!AQ179</f>
        <v>319.25900000000001</v>
      </c>
      <c r="AJ145">
        <f>Model!AR179</f>
        <v>263.34250000000003</v>
      </c>
      <c r="AK145">
        <f>Model!AS179</f>
        <v>327.95155</v>
      </c>
      <c r="AL145">
        <f>Model!AT179</f>
        <v>383.57584999999989</v>
      </c>
      <c r="AM145">
        <f>Model!AU179</f>
        <v>388.1388</v>
      </c>
      <c r="AN145">
        <f>Model!AV179</f>
        <v>304.64449999999999</v>
      </c>
      <c r="AO145">
        <f>Model!AW179</f>
        <v>344.66473599999989</v>
      </c>
      <c r="AP145">
        <f>Model!AX179</f>
        <v>416.80439499999994</v>
      </c>
      <c r="AQ145">
        <f>Model!AY179</f>
        <v>451.61672000000004</v>
      </c>
      <c r="AR145">
        <f>Model!AZ179</f>
        <v>343.01187500000003</v>
      </c>
      <c r="AS145">
        <f>Model!BA179</f>
        <v>394.64341920000004</v>
      </c>
      <c r="AT145">
        <f>Model!BB179</f>
        <v>457.8099269538726</v>
      </c>
      <c r="AU145">
        <f>Model!BC179</f>
        <v>488.27144000000004</v>
      </c>
      <c r="AV145">
        <f>Model!BD179</f>
        <v>366.62475000000001</v>
      </c>
      <c r="AW145">
        <f>Model!BE179</f>
        <v>394.1360126400001</v>
      </c>
      <c r="AX145">
        <f>Model!BF179</f>
        <v>428.99440885119594</v>
      </c>
      <c r="AY145">
        <f>Model!BG179</f>
        <v>444.25461920000015</v>
      </c>
      <c r="AZ145">
        <f>Model!BH179</f>
        <v>347.2392000000001</v>
      </c>
      <c r="BA145">
        <f>Model!BI179</f>
        <v>381.97089820159999</v>
      </c>
      <c r="BB145">
        <f>Model!BJ179</f>
        <v>430.83086612417424</v>
      </c>
      <c r="BC145">
        <f>Model!BK179</f>
        <v>444.29203545599989</v>
      </c>
      <c r="BD145">
        <f>Model!BL179</f>
        <v>369.14242000000002</v>
      </c>
      <c r="BE145">
        <f>Model!BM179</f>
        <v>406.85496766208018</v>
      </c>
      <c r="BF145">
        <f>Model!BN179</f>
        <v>412.58367994775909</v>
      </c>
      <c r="BG145">
        <f>Model!BO179</f>
        <v>493.55692947989695</v>
      </c>
      <c r="BH145">
        <f>Model!BP179</f>
        <v>385.36359438709678</v>
      </c>
      <c r="BI145">
        <f>Model!BQ179</f>
        <v>407.3395031299799</v>
      </c>
      <c r="BJ145">
        <f>Model!BR179</f>
        <v>411.54668071150439</v>
      </c>
      <c r="BK145">
        <f>Model!BS179</f>
        <v>490.04990767706863</v>
      </c>
      <c r="BL145">
        <f>Model!BT179</f>
        <v>350.67657479354853</v>
      </c>
      <c r="BM145">
        <f>Model!BU179</f>
        <v>341.5432781999225</v>
      </c>
      <c r="BN145">
        <f>Model!BV179</f>
        <v>338.80938869244039</v>
      </c>
      <c r="BO145">
        <f>Model!BW179</f>
        <v>471.45968512600251</v>
      </c>
      <c r="BP145">
        <f>Model!BX179</f>
        <v>300.79941715509688</v>
      </c>
      <c r="BQ145">
        <f>Model!BY179</f>
        <v>261.13598257570965</v>
      </c>
      <c r="BR145">
        <f>Model!BZ179</f>
        <v>256.00176404760856</v>
      </c>
      <c r="BS145">
        <f>Model!CA179</f>
        <v>485.15314992208289</v>
      </c>
      <c r="BT145">
        <f>Model!CB179</f>
        <v>316.5051785664516</v>
      </c>
      <c r="BU145">
        <f>Model!CC179</f>
        <v>224.86147644756554</v>
      </c>
      <c r="BV145">
        <f>Model!CD179</f>
        <v>222.50353627750243</v>
      </c>
      <c r="BW145">
        <f>Model!CE179</f>
        <v>507.47500533537163</v>
      </c>
      <c r="BX145">
        <f>Model!CF179</f>
        <v>333.42566681984965</v>
      </c>
      <c r="BY145">
        <f>Model!CG179</f>
        <v>0</v>
      </c>
      <c r="BZ145">
        <f>Model!CH179</f>
        <v>0</v>
      </c>
      <c r="CA145">
        <f>Model!CI179</f>
        <v>0</v>
      </c>
      <c r="CB145">
        <f>Model!CJ179</f>
        <v>0</v>
      </c>
      <c r="CC145">
        <f>Model!CK179</f>
        <v>0</v>
      </c>
      <c r="CD145">
        <f>Model!CL179</f>
        <v>0</v>
      </c>
      <c r="CE145">
        <f>Model!CM179</f>
        <v>902.56900000000019</v>
      </c>
      <c r="CF145">
        <f>Model!CN179</f>
        <v>979.1279999999997</v>
      </c>
      <c r="CG145">
        <f>Model!CO179</f>
        <v>1200.9505000000001</v>
      </c>
      <c r="CH145">
        <f>Model!CP179</f>
        <v>1404.3107</v>
      </c>
      <c r="CI145">
        <f>Model!CQ179</f>
        <v>1556.097726</v>
      </c>
      <c r="CJ145">
        <f>Model!CR179</f>
        <v>1707.3495361538726</v>
      </c>
      <c r="CK145">
        <f>Model!CS179</f>
        <v>1614.6242406911965</v>
      </c>
      <c r="CL145">
        <f>Model!CT179</f>
        <v>1626.2362197817743</v>
      </c>
      <c r="CM145">
        <f>Model!CU179</f>
        <v>1698.3591714768331</v>
      </c>
      <c r="CN145">
        <f>Model!CV179</f>
        <v>1659.6126663121015</v>
      </c>
      <c r="CO145">
        <f>Model!CW179</f>
        <v>1452.6117691734621</v>
      </c>
      <c r="CP145">
        <f>Model!CX179</f>
        <v>1318.7960751118526</v>
      </c>
      <c r="CQ145">
        <f>Model!CY179</f>
        <v>1288.2656848802894</v>
      </c>
      <c r="CR145">
        <f>Model!CZ179</f>
        <v>1343.7315247442803</v>
      </c>
      <c r="CS145">
        <f>Model!DA179</f>
        <v>1386.7730133532195</v>
      </c>
      <c r="CT145">
        <f>Model!DB179</f>
        <v>1418.8722378923869</v>
      </c>
      <c r="CU145">
        <f>Model!DC179</f>
        <v>1452.0394305734867</v>
      </c>
      <c r="CV145">
        <f>Model!DD179</f>
        <v>1486.2533523942425</v>
      </c>
      <c r="CW145">
        <f>Model!DE179</f>
        <v>1521.4965994088438</v>
      </c>
      <c r="CX145">
        <f>Model!DF179</f>
        <v>1557.7552534454251</v>
      </c>
    </row>
    <row r="146" spans="1:102">
      <c r="A146" t="str">
        <f>Model!I180</f>
        <v>Domestic Agency Revenue</v>
      </c>
      <c r="B146">
        <f>Model!J180</f>
        <v>0</v>
      </c>
      <c r="C146">
        <f>Model!K180</f>
        <v>0</v>
      </c>
      <c r="D146">
        <f>Model!L180</f>
        <v>0</v>
      </c>
      <c r="E146">
        <f>Model!M180</f>
        <v>0</v>
      </c>
      <c r="F146">
        <f>Model!N180</f>
        <v>0</v>
      </c>
      <c r="G146">
        <f>Model!O180</f>
        <v>0</v>
      </c>
      <c r="H146">
        <f>Model!P180</f>
        <v>0</v>
      </c>
      <c r="I146">
        <f>Model!Q180</f>
        <v>0</v>
      </c>
      <c r="J146">
        <f>Model!R180</f>
        <v>0</v>
      </c>
      <c r="K146">
        <f>Model!S180</f>
        <v>0</v>
      </c>
      <c r="L146">
        <f>Model!T180</f>
        <v>0</v>
      </c>
      <c r="M146">
        <f>Model!U180</f>
        <v>0</v>
      </c>
      <c r="N146">
        <f>Model!V180</f>
        <v>0</v>
      </c>
      <c r="O146">
        <f>Model!W180</f>
        <v>0</v>
      </c>
      <c r="P146">
        <f>Model!X180</f>
        <v>0</v>
      </c>
      <c r="Q146">
        <f>Model!Y180</f>
        <v>0</v>
      </c>
      <c r="R146">
        <f>Model!Z180</f>
        <v>0</v>
      </c>
      <c r="S146">
        <f>Model!AA180</f>
        <v>0</v>
      </c>
      <c r="T146">
        <f>Model!AB180</f>
        <v>0</v>
      </c>
      <c r="U146">
        <f>Model!AC180</f>
        <v>0</v>
      </c>
      <c r="V146">
        <f>Model!AD180</f>
        <v>0</v>
      </c>
      <c r="W146">
        <f>Model!AE180</f>
        <v>0</v>
      </c>
      <c r="X146">
        <f>Model!AF180</f>
        <v>0</v>
      </c>
      <c r="Y146">
        <f>Model!AG180</f>
        <v>7.9810000000000016</v>
      </c>
      <c r="Z146">
        <f>Model!AH180</f>
        <v>8.7920000000000016</v>
      </c>
      <c r="AA146">
        <f>Model!AI180</f>
        <v>8.3259999999999934</v>
      </c>
      <c r="AB146">
        <f>Model!AJ180</f>
        <v>6.9010000000000034</v>
      </c>
      <c r="AC146">
        <f>Model!AK180</f>
        <v>6.6109999999999971</v>
      </c>
      <c r="AD146">
        <f>Model!AL180</f>
        <v>7.9439999999999884</v>
      </c>
      <c r="AE146">
        <f>Model!AM180</f>
        <v>7.8229999999999791</v>
      </c>
      <c r="AF146">
        <f>Model!AN180</f>
        <v>4.7680000000000007</v>
      </c>
      <c r="AG146">
        <f>Model!AO180</f>
        <v>9.6989999999999981</v>
      </c>
      <c r="AH146">
        <f>Model!AP180</f>
        <v>12.257999999999981</v>
      </c>
      <c r="AI146">
        <f>Model!AQ180</f>
        <v>13.636000000000024</v>
      </c>
      <c r="AJ146">
        <f>Model!AR180</f>
        <v>10.610500000000016</v>
      </c>
      <c r="AK146">
        <f>Model!AS180</f>
        <v>14.707449999999994</v>
      </c>
      <c r="AL146">
        <f>Model!AT180</f>
        <v>16.131150000000019</v>
      </c>
      <c r="AM146">
        <f>Model!AU180</f>
        <v>18.463199999999972</v>
      </c>
      <c r="AN146">
        <f>Model!AV180</f>
        <v>10.358500000000021</v>
      </c>
      <c r="AO146">
        <f>Model!AW180</f>
        <v>21.042263999999989</v>
      </c>
      <c r="AP146">
        <f>Model!AX180</f>
        <v>24.776605000000018</v>
      </c>
      <c r="AQ146">
        <f>Model!AY180</f>
        <v>15.889279999999985</v>
      </c>
      <c r="AR146">
        <f>Model!AZ180</f>
        <v>11.060125000000028</v>
      </c>
      <c r="AS146">
        <f>Model!BA180</f>
        <v>23.382580800000028</v>
      </c>
      <c r="AT146">
        <f>Model!BB180</f>
        <v>29.801073046127499</v>
      </c>
      <c r="AU146">
        <f>Model!BC180</f>
        <v>9.5595600000000331</v>
      </c>
      <c r="AV146">
        <f>Model!BD180</f>
        <v>12.292249999999967</v>
      </c>
      <c r="AW146">
        <f>Model!BE180</f>
        <v>22.899987359999955</v>
      </c>
      <c r="AX146">
        <f>Model!BF180</f>
        <v>35.025591148804097</v>
      </c>
      <c r="AY146">
        <f>Model!BG180</f>
        <v>23.842380799999773</v>
      </c>
      <c r="AZ146">
        <f>Model!BH180</f>
        <v>4.1738000000000284</v>
      </c>
      <c r="BA146">
        <f>Model!BI180</f>
        <v>22.521101798399968</v>
      </c>
      <c r="BB146">
        <f>Model!BJ180</f>
        <v>45.13313387582582</v>
      </c>
      <c r="BC146">
        <f>Model!BK180</f>
        <v>21.445964543999935</v>
      </c>
      <c r="BD146">
        <f>Model!BL180</f>
        <v>17.326580000000035</v>
      </c>
      <c r="BE146">
        <f>Model!BM180</f>
        <v>20.287032337919982</v>
      </c>
      <c r="BF146">
        <f>Model!BN180</f>
        <v>55.465320052240713</v>
      </c>
      <c r="BG146">
        <f>Model!BO180</f>
        <v>38.515593907199673</v>
      </c>
      <c r="BH146">
        <f>Model!BP180</f>
        <v>15.288454000000002</v>
      </c>
      <c r="BI146">
        <f>Model!BQ180</f>
        <v>26.319638805503928</v>
      </c>
      <c r="BJ146">
        <f>Model!BR180</f>
        <v>59.436184062689108</v>
      </c>
      <c r="BK146">
        <f>Model!BS180</f>
        <v>3.959638516479572</v>
      </c>
      <c r="BL146">
        <f>Model!BT180</f>
        <v>38.810599399999774</v>
      </c>
      <c r="BM146">
        <f>Model!BU180</f>
        <v>84.886393671044971</v>
      </c>
      <c r="BN146">
        <f>Model!BV180</f>
        <v>92.878656615946738</v>
      </c>
      <c r="BO146">
        <f>Model!BW180</f>
        <v>-91.394790698905581</v>
      </c>
      <c r="BP146">
        <f>Model!BX180</f>
        <v>34.194439231999922</v>
      </c>
      <c r="BQ146">
        <f>Model!BY180</f>
        <v>135.43512288880652</v>
      </c>
      <c r="BR146">
        <f>Model!BZ180</f>
        <v>148.62728352619797</v>
      </c>
      <c r="BS146">
        <f>Model!CA180</f>
        <v>-96.27196077363169</v>
      </c>
      <c r="BT146">
        <f>Model!CB180</f>
        <v>37.037720639999861</v>
      </c>
      <c r="BU146">
        <f>Model!CC180</f>
        <v>142.20687903324685</v>
      </c>
      <c r="BV146">
        <f>Model!CD180</f>
        <v>156.05864770250787</v>
      </c>
      <c r="BW146">
        <f>Model!CE180</f>
        <v>-101.08555881231328</v>
      </c>
      <c r="BX146">
        <f>Model!CF180</f>
        <v>38.889606671999857</v>
      </c>
      <c r="BY146">
        <f>Model!CG180</f>
        <v>0</v>
      </c>
      <c r="BZ146">
        <f>Model!CH180</f>
        <v>0</v>
      </c>
      <c r="CA146">
        <f>Model!CI180</f>
        <v>0</v>
      </c>
      <c r="CB146">
        <f>Model!CJ180</f>
        <v>0</v>
      </c>
      <c r="CC146">
        <f>Model!CK180</f>
        <v>0</v>
      </c>
      <c r="CD146">
        <f>Model!CL180</f>
        <v>0</v>
      </c>
      <c r="CE146">
        <f>Model!CM180</f>
        <v>31.999999999999972</v>
      </c>
      <c r="CF146">
        <f>Model!CN180</f>
        <v>31.145999999999958</v>
      </c>
      <c r="CG146">
        <f>Model!CO180</f>
        <v>46.203499999999963</v>
      </c>
      <c r="CH146">
        <f>Model!CP180</f>
        <v>59.660300000000007</v>
      </c>
      <c r="CI146">
        <f>Model!CQ180</f>
        <v>72.768274000000019</v>
      </c>
      <c r="CJ146">
        <f>Model!CR180</f>
        <v>75.035463846127527</v>
      </c>
      <c r="CK146">
        <f>Model!CS180</f>
        <v>85.941759308803853</v>
      </c>
      <c r="CL146">
        <f>Model!CT180</f>
        <v>106.42678021822576</v>
      </c>
      <c r="CM146">
        <f>Model!CU180</f>
        <v>129.55640029736037</v>
      </c>
      <c r="CN146">
        <f>Model!CV180</f>
        <v>128.52606078467238</v>
      </c>
      <c r="CO146">
        <f>Model!CW180</f>
        <v>120.56469882008605</v>
      </c>
      <c r="CP146">
        <f>Model!CX180</f>
        <v>224.82816628137266</v>
      </c>
      <c r="CQ146">
        <f>Model!CY180</f>
        <v>236.06957459544134</v>
      </c>
      <c r="CR146">
        <f>Model!CZ180</f>
        <v>245.512357579259</v>
      </c>
      <c r="CS146">
        <f>Model!DA180</f>
        <v>252.87772830663678</v>
      </c>
      <c r="CT146">
        <f>Model!DB180</f>
        <v>257.93528287276951</v>
      </c>
      <c r="CU146">
        <f>Model!DC180</f>
        <v>263.09398853022492</v>
      </c>
      <c r="CV146">
        <f>Model!DD180</f>
        <v>268.3558683008294</v>
      </c>
      <c r="CW146">
        <f>Model!DE180</f>
        <v>273.722985666846</v>
      </c>
      <c r="CX146">
        <f>Model!DF180</f>
        <v>279.1974453801829</v>
      </c>
    </row>
    <row r="147" spans="1:102">
      <c r="A147" t="str">
        <f>Model!I181</f>
        <v>Other Revenue (ex KAYAK and OPEN)</v>
      </c>
      <c r="B147">
        <f>Model!J181</f>
        <v>0</v>
      </c>
      <c r="C147">
        <f>Model!K181</f>
        <v>0</v>
      </c>
      <c r="D147">
        <f>Model!L181</f>
        <v>0</v>
      </c>
      <c r="E147">
        <f>Model!M181</f>
        <v>0</v>
      </c>
      <c r="F147">
        <f>Model!N181</f>
        <v>0</v>
      </c>
      <c r="G147">
        <f>Model!O181</f>
        <v>0</v>
      </c>
      <c r="H147">
        <f>Model!P181</f>
        <v>0</v>
      </c>
      <c r="I147">
        <f>Model!Q181</f>
        <v>0</v>
      </c>
      <c r="J147">
        <f>Model!R181</f>
        <v>0</v>
      </c>
      <c r="K147">
        <f>Model!S181</f>
        <v>0</v>
      </c>
      <c r="L147">
        <f>Model!T181</f>
        <v>0</v>
      </c>
      <c r="M147">
        <f>Model!U181</f>
        <v>0</v>
      </c>
      <c r="N147">
        <f>Model!V181</f>
        <v>0</v>
      </c>
      <c r="O147">
        <f>Model!W181</f>
        <v>0</v>
      </c>
      <c r="P147">
        <f>Model!X181</f>
        <v>0</v>
      </c>
      <c r="Q147">
        <f>Model!Y181</f>
        <v>0</v>
      </c>
      <c r="R147">
        <f>Model!Z181</f>
        <v>0</v>
      </c>
      <c r="S147">
        <f>Model!AA181</f>
        <v>0</v>
      </c>
      <c r="T147">
        <f>Model!AB181</f>
        <v>0</v>
      </c>
      <c r="U147">
        <f>Model!AC181</f>
        <v>0</v>
      </c>
      <c r="V147">
        <f>Model!AD181</f>
        <v>0</v>
      </c>
      <c r="W147">
        <f>Model!AE181</f>
        <v>0</v>
      </c>
      <c r="X147">
        <f>Model!AF181</f>
        <v>0</v>
      </c>
      <c r="Y147">
        <f>Model!AG181</f>
        <v>1.095</v>
      </c>
      <c r="Z147">
        <f>Model!AH181</f>
        <v>1.2350000000000001</v>
      </c>
      <c r="AA147">
        <f>Model!AI181</f>
        <v>1.583</v>
      </c>
      <c r="AB147">
        <f>Model!AJ181</f>
        <v>1.121</v>
      </c>
      <c r="AC147">
        <f>Model!AK181</f>
        <v>0.86699999999999999</v>
      </c>
      <c r="AD147">
        <f>Model!AL181</f>
        <v>2.6269999999999998</v>
      </c>
      <c r="AE147">
        <f>Model!AM181</f>
        <v>2.4529999999999998</v>
      </c>
      <c r="AF147">
        <f>Model!AN181</f>
        <v>2.3919999999999999</v>
      </c>
      <c r="AG147">
        <f>Model!AO181</f>
        <v>4.0890000000000004</v>
      </c>
      <c r="AH147">
        <f>Model!AP181</f>
        <v>4.4969999999999999</v>
      </c>
      <c r="AI147">
        <f>Model!AQ181</f>
        <v>5.0140000000000002</v>
      </c>
      <c r="AJ147">
        <f>Model!AR181</f>
        <v>4.2519999999999998</v>
      </c>
      <c r="AK147">
        <f>Model!AS181</f>
        <v>4.7990000000000004</v>
      </c>
      <c r="AL147">
        <f>Model!AT181</f>
        <v>6.4340000000000002</v>
      </c>
      <c r="AM147">
        <f>Model!AU181</f>
        <v>7.1580000000000004</v>
      </c>
      <c r="AN147">
        <f>Model!AV181</f>
        <v>3.85</v>
      </c>
      <c r="AO147">
        <f>Model!AW181</f>
        <v>2.887</v>
      </c>
      <c r="AP147">
        <f>Model!AX181</f>
        <v>3.258</v>
      </c>
      <c r="AQ147">
        <f>Model!AY181</f>
        <v>3.274</v>
      </c>
      <c r="AR147">
        <f>Model!AZ181</f>
        <v>3.2440000000000002</v>
      </c>
      <c r="AS147">
        <f>Model!BA181</f>
        <v>3.0939999999999999</v>
      </c>
      <c r="AT147">
        <f>Model!BB181</f>
        <v>3.0049999999999999</v>
      </c>
      <c r="AU147">
        <f>Model!BC181</f>
        <v>2.9729999999999999</v>
      </c>
      <c r="AV147">
        <f>Model!BD181</f>
        <v>2.8530000000000002</v>
      </c>
      <c r="AW147">
        <f>Model!BE181</f>
        <v>3.2109999999999999</v>
      </c>
      <c r="AX147">
        <f>Model!BF181</f>
        <v>3.7389999999999999</v>
      </c>
      <c r="AY147">
        <f>Model!BG181</f>
        <v>3.2130000000000001</v>
      </c>
      <c r="AZ147">
        <f>Model!BH181</f>
        <v>3.2269999999999999</v>
      </c>
      <c r="BA147">
        <f>Model!BI181</f>
        <v>3.52</v>
      </c>
      <c r="BB147">
        <f>Model!BJ181</f>
        <v>4.2740000000000009</v>
      </c>
      <c r="BC147">
        <f>Model!BK181</f>
        <v>4.164999999999992</v>
      </c>
      <c r="BD147">
        <f>Model!BL181</f>
        <v>4.6839999999999975</v>
      </c>
      <c r="BE147">
        <f>Model!BM181</f>
        <v>4.6599999999999966</v>
      </c>
      <c r="BF147">
        <f>Model!BN181</f>
        <v>5.5259999999999962</v>
      </c>
      <c r="BG147">
        <f>Model!BO181</f>
        <v>4.4244766129032342</v>
      </c>
      <c r="BH147">
        <f>Model!BP181</f>
        <v>9.4449516129032247</v>
      </c>
      <c r="BI147">
        <f>Model!BQ181</f>
        <v>7.0348580645161221</v>
      </c>
      <c r="BJ147">
        <f>Model!BR181</f>
        <v>9.414135225806433</v>
      </c>
      <c r="BK147">
        <f>Model!BS181</f>
        <v>8.8914538064516222</v>
      </c>
      <c r="BL147">
        <f>Model!BT181</f>
        <v>10.507825806451621</v>
      </c>
      <c r="BM147">
        <f>Model!BU181</f>
        <v>21.689328129032248</v>
      </c>
      <c r="BN147">
        <f>Model!BV181</f>
        <v>24.213954691612898</v>
      </c>
      <c r="BO147">
        <f>Model!BW181</f>
        <v>10.487105572903218</v>
      </c>
      <c r="BP147">
        <f>Model!BX181</f>
        <v>13.439143612903223</v>
      </c>
      <c r="BQ147">
        <f>Model!BY181</f>
        <v>22.832894535483831</v>
      </c>
      <c r="BR147">
        <f>Model!BZ181</f>
        <v>19.926952426193509</v>
      </c>
      <c r="BS147">
        <f>Model!CA181</f>
        <v>45.147810851548371</v>
      </c>
      <c r="BT147">
        <f>Model!CB181</f>
        <v>49.550100793548367</v>
      </c>
      <c r="BU147">
        <f>Model!CC181</f>
        <v>22.832894535483831</v>
      </c>
      <c r="BV147">
        <f>Model!CD181</f>
        <v>19.926952426193509</v>
      </c>
      <c r="BW147">
        <f>Model!CE181</f>
        <v>45.147810851548371</v>
      </c>
      <c r="BX147">
        <f>Model!CF181</f>
        <v>49.550100793548367</v>
      </c>
      <c r="BY147">
        <f>Model!CG181</f>
        <v>0</v>
      </c>
      <c r="BZ147">
        <f>Model!CH181</f>
        <v>0</v>
      </c>
      <c r="CA147">
        <f>Model!CI181</f>
        <v>0</v>
      </c>
      <c r="CB147">
        <f>Model!CJ181</f>
        <v>0</v>
      </c>
      <c r="CC147">
        <f>Model!CK181</f>
        <v>0</v>
      </c>
      <c r="CD147">
        <f>Model!CL181</f>
        <v>0</v>
      </c>
      <c r="CE147">
        <f>Model!CM181</f>
        <v>5.0340000000000007</v>
      </c>
      <c r="CF147">
        <f>Model!CN181</f>
        <v>8.3389999999999986</v>
      </c>
      <c r="CG147">
        <f>Model!CO181</f>
        <v>17.852</v>
      </c>
      <c r="CH147">
        <f>Model!CP181</f>
        <v>22.241000000000003</v>
      </c>
      <c r="CI147">
        <f>Model!CQ181</f>
        <v>12.663</v>
      </c>
      <c r="CJ147">
        <f>Model!CR181</f>
        <v>11.924999999999999</v>
      </c>
      <c r="CK147">
        <f>Model!CS181</f>
        <v>13.39</v>
      </c>
      <c r="CL147">
        <f>Model!CT181</f>
        <v>16.64299999999999</v>
      </c>
      <c r="CM147">
        <f>Model!CU181</f>
        <v>24.055428225806452</v>
      </c>
      <c r="CN147">
        <f>Model!CV181</f>
        <v>35.848272903225798</v>
      </c>
      <c r="CO147">
        <f>Model!CW181</f>
        <v>69.829532006451586</v>
      </c>
      <c r="CP147">
        <f>Model!CX181</f>
        <v>137.45775860677406</v>
      </c>
      <c r="CQ147">
        <f>Model!CY181</f>
        <v>137.45775860677406</v>
      </c>
      <c r="CR147">
        <f>Model!CZ181</f>
        <v>137.45775860677406</v>
      </c>
      <c r="CS147">
        <f>Model!DA181</f>
        <v>137.45775860677406</v>
      </c>
      <c r="CT147">
        <f>Model!DB181</f>
        <v>137.45775860677406</v>
      </c>
      <c r="CU147">
        <f>Model!DC181</f>
        <v>137.45775860677406</v>
      </c>
      <c r="CV147">
        <f>Model!DD181</f>
        <v>137.45775860677406</v>
      </c>
      <c r="CW147">
        <f>Model!DE181</f>
        <v>137.45775860677406</v>
      </c>
      <c r="CX147">
        <f>Model!DF181</f>
        <v>137.45775860677406</v>
      </c>
    </row>
    <row r="148" spans="1:102">
      <c r="A148" t="str">
        <f>Model!I182</f>
        <v>Domestic Revenue</v>
      </c>
      <c r="B148">
        <f>Model!J182</f>
        <v>0</v>
      </c>
      <c r="C148">
        <f>Model!K182</f>
        <v>0</v>
      </c>
      <c r="D148">
        <f>Model!L182</f>
        <v>0</v>
      </c>
      <c r="E148">
        <f>Model!M182</f>
        <v>0</v>
      </c>
      <c r="F148">
        <f>Model!N182</f>
        <v>0</v>
      </c>
      <c r="G148">
        <f>Model!O182</f>
        <v>0</v>
      </c>
      <c r="H148">
        <f>Model!P182</f>
        <v>0</v>
      </c>
      <c r="I148">
        <f>Model!Q182</f>
        <v>0</v>
      </c>
      <c r="J148">
        <f>Model!R182</f>
        <v>0</v>
      </c>
      <c r="K148">
        <f>Model!S182</f>
        <v>0</v>
      </c>
      <c r="L148">
        <f>Model!T182</f>
        <v>0</v>
      </c>
      <c r="M148">
        <f>Model!U182</f>
        <v>0</v>
      </c>
      <c r="N148">
        <f>Model!V182</f>
        <v>0</v>
      </c>
      <c r="O148">
        <f>Model!W182</f>
        <v>0</v>
      </c>
      <c r="P148">
        <f>Model!X182</f>
        <v>0</v>
      </c>
      <c r="Q148">
        <f>Model!Y182</f>
        <v>0</v>
      </c>
      <c r="R148">
        <f>Model!Z182</f>
        <v>0</v>
      </c>
      <c r="S148">
        <f>Model!AA182</f>
        <v>0</v>
      </c>
      <c r="T148">
        <f>Model!AB182</f>
        <v>0</v>
      </c>
      <c r="U148">
        <f>Model!AC182</f>
        <v>0</v>
      </c>
      <c r="V148">
        <f>Model!AD182</f>
        <v>0</v>
      </c>
      <c r="W148">
        <f>Model!AE182</f>
        <v>0</v>
      </c>
      <c r="X148">
        <f>Model!AF182</f>
        <v>0</v>
      </c>
      <c r="Y148">
        <f>Model!AG182</f>
        <v>219.51399999999998</v>
      </c>
      <c r="Z148">
        <f>Model!AH182</f>
        <v>260.55099999999999</v>
      </c>
      <c r="AA148">
        <f>Model!AI182</f>
        <v>246.86700000000002</v>
      </c>
      <c r="AB148">
        <f>Model!AJ182</f>
        <v>212.67099999999996</v>
      </c>
      <c r="AC148">
        <f>Model!AK182</f>
        <v>237.61100000000002</v>
      </c>
      <c r="AD148">
        <f>Model!AL182</f>
        <v>263.16199999999992</v>
      </c>
      <c r="AE148">
        <f>Model!AM182</f>
        <v>285.48699999999997</v>
      </c>
      <c r="AF148">
        <f>Model!AN182</f>
        <v>232.35300000000001</v>
      </c>
      <c r="AG148">
        <f>Model!AO182</f>
        <v>299.416</v>
      </c>
      <c r="AH148">
        <f>Model!AP182</f>
        <v>349.476</v>
      </c>
      <c r="AI148">
        <f>Model!AQ182</f>
        <v>337.90900000000005</v>
      </c>
      <c r="AJ148">
        <f>Model!AR182</f>
        <v>278.20500000000004</v>
      </c>
      <c r="AK148">
        <f>Model!AS182</f>
        <v>347.45799999999997</v>
      </c>
      <c r="AL148">
        <f>Model!AT182</f>
        <v>406.14099999999996</v>
      </c>
      <c r="AM148">
        <f>Model!AU182</f>
        <v>413.76</v>
      </c>
      <c r="AN148">
        <f>Model!AV182</f>
        <v>318.85300000000007</v>
      </c>
      <c r="AO148">
        <f>Model!AW182</f>
        <v>368.59399999999988</v>
      </c>
      <c r="AP148">
        <f>Model!AX182</f>
        <v>444.83899999999994</v>
      </c>
      <c r="AQ148">
        <f>Model!AY182</f>
        <v>470.78000000000003</v>
      </c>
      <c r="AR148">
        <f>Model!AZ182</f>
        <v>357.31600000000009</v>
      </c>
      <c r="AS148">
        <f>Model!BA182</f>
        <v>421.12000000000006</v>
      </c>
      <c r="AT148">
        <f>Model!BB182</f>
        <v>490.6160000000001</v>
      </c>
      <c r="AU148">
        <f>Model!BC182</f>
        <v>500.80400000000009</v>
      </c>
      <c r="AV148">
        <f>Model!BD182</f>
        <v>381.77</v>
      </c>
      <c r="AW148">
        <f>Model!BE182</f>
        <v>420.24700000000007</v>
      </c>
      <c r="AX148">
        <f>Model!BF182</f>
        <v>467.75900000000001</v>
      </c>
      <c r="AY148">
        <f>Model!BG182</f>
        <v>471.30999999999995</v>
      </c>
      <c r="AZ148">
        <f>Model!BH182</f>
        <v>354.6400000000001</v>
      </c>
      <c r="BA148">
        <f>Model!BI182</f>
        <v>408.01199999999994</v>
      </c>
      <c r="BB148">
        <f>Model!BJ182</f>
        <v>480.23800000000006</v>
      </c>
      <c r="BC148">
        <f>Model!BK182</f>
        <v>469.90299999999979</v>
      </c>
      <c r="BD148">
        <f>Model!BL182</f>
        <v>391.15300000000002</v>
      </c>
      <c r="BE148">
        <f>Model!BM182</f>
        <v>431.80200000000013</v>
      </c>
      <c r="BF148">
        <f>Model!BN182</f>
        <v>473.57499999999982</v>
      </c>
      <c r="BG148">
        <f>Model!BO182</f>
        <v>536.49699999999984</v>
      </c>
      <c r="BH148">
        <f>Model!BP182</f>
        <v>410.09699999999998</v>
      </c>
      <c r="BI148">
        <f>Model!BQ182</f>
        <v>440.69399999999996</v>
      </c>
      <c r="BJ148">
        <f>Model!BR182</f>
        <v>480.39699999999993</v>
      </c>
      <c r="BK148">
        <f>Model!BS182</f>
        <v>502.90099999999984</v>
      </c>
      <c r="BL148">
        <f>Model!BT182</f>
        <v>399.99499999999989</v>
      </c>
      <c r="BM148">
        <f>Model!BU182</f>
        <v>448.11899999999969</v>
      </c>
      <c r="BN148">
        <f>Model!BV182</f>
        <v>455.90200000000004</v>
      </c>
      <c r="BO148">
        <f>Model!BW182</f>
        <v>390.55200000000013</v>
      </c>
      <c r="BP148">
        <f>Model!BX182</f>
        <v>348.43299999999999</v>
      </c>
      <c r="BQ148">
        <f>Model!BY182</f>
        <v>419.404</v>
      </c>
      <c r="BR148">
        <f>Model!BZ182</f>
        <v>424.55600000000004</v>
      </c>
      <c r="BS148">
        <f>Model!CA182</f>
        <v>434.02899999999954</v>
      </c>
      <c r="BT148">
        <f>Model!CB182</f>
        <v>403.09299999999985</v>
      </c>
      <c r="BU148">
        <f>Model!CC182</f>
        <v>389.90125001629622</v>
      </c>
      <c r="BV148">
        <f>Model!CD182</f>
        <v>398.48913640620384</v>
      </c>
      <c r="BW148">
        <f>Model!CE182</f>
        <v>451.53725737460672</v>
      </c>
      <c r="BX148">
        <f>Model!CF182</f>
        <v>421.86537428539788</v>
      </c>
      <c r="BY148">
        <f>Model!CG182</f>
        <v>0</v>
      </c>
      <c r="BZ148">
        <f>Model!CH182</f>
        <v>0</v>
      </c>
      <c r="CA148">
        <f>Model!CI182</f>
        <v>0</v>
      </c>
      <c r="CB148">
        <f>Model!CJ182</f>
        <v>0</v>
      </c>
      <c r="CC148">
        <f>Model!CK182</f>
        <v>0</v>
      </c>
      <c r="CD148">
        <f>Model!CL182</f>
        <v>0</v>
      </c>
      <c r="CE148">
        <f>Model!CM182</f>
        <v>939.60300000000018</v>
      </c>
      <c r="CF148">
        <f>Model!CN182</f>
        <v>1018.6129999999997</v>
      </c>
      <c r="CG148">
        <f>Model!CO182</f>
        <v>1265.0060000000001</v>
      </c>
      <c r="CH148">
        <f>Model!CP182</f>
        <v>1486.212</v>
      </c>
      <c r="CI148">
        <f>Model!CQ182</f>
        <v>1641.529</v>
      </c>
      <c r="CJ148">
        <f>Model!CR182</f>
        <v>1794.3100000000002</v>
      </c>
      <c r="CK148">
        <f>Model!CS182</f>
        <v>1713.9560000000004</v>
      </c>
      <c r="CL148">
        <f>Model!CT182</f>
        <v>1749.306</v>
      </c>
      <c r="CM148">
        <f>Model!CU182</f>
        <v>1851.971</v>
      </c>
      <c r="CN148">
        <f>Model!CV182</f>
        <v>1823.9869999999996</v>
      </c>
      <c r="CO148">
        <f>Model!CW182</f>
        <v>1643.0059999999999</v>
      </c>
      <c r="CP148">
        <f>Model!CX182</f>
        <v>1681.0819999999994</v>
      </c>
      <c r="CQ148">
        <f>Model!CY182</f>
        <v>1661.7930180825047</v>
      </c>
      <c r="CR148">
        <f>Model!CZ182</f>
        <v>1726.7016409303133</v>
      </c>
      <c r="CS148">
        <f>Model!DA182</f>
        <v>1777.1085002666305</v>
      </c>
      <c r="CT148">
        <f>Model!DB182</f>
        <v>1814.2652793719303</v>
      </c>
      <c r="CU148">
        <f>Model!DC182</f>
        <v>1852.5911777104857</v>
      </c>
      <c r="CV148">
        <f>Model!DD182</f>
        <v>1892.066979301846</v>
      </c>
      <c r="CW148">
        <f>Model!DE182</f>
        <v>1932.6773436824637</v>
      </c>
      <c r="CX148">
        <f>Model!DF182</f>
        <v>1974.4104574323819</v>
      </c>
    </row>
    <row r="149" spans="1:102">
      <c r="A149" t="str">
        <f>Model!I183</f>
        <v>% change Y/Y</v>
      </c>
      <c r="B149">
        <f>Model!J183</f>
        <v>0</v>
      </c>
      <c r="C149">
        <f>Model!K183</f>
        <v>0</v>
      </c>
      <c r="D149">
        <f>Model!L183</f>
        <v>0</v>
      </c>
      <c r="E149">
        <f>Model!M183</f>
        <v>0</v>
      </c>
      <c r="F149">
        <f>Model!N183</f>
        <v>0</v>
      </c>
      <c r="G149">
        <f>Model!O183</f>
        <v>0</v>
      </c>
      <c r="H149">
        <f>Model!P183</f>
        <v>0</v>
      </c>
      <c r="I149">
        <f>Model!Q183</f>
        <v>0</v>
      </c>
      <c r="J149">
        <f>Model!R183</f>
        <v>0</v>
      </c>
      <c r="K149">
        <f>Model!S183</f>
        <v>0</v>
      </c>
      <c r="L149">
        <f>Model!T183</f>
        <v>0</v>
      </c>
      <c r="M149">
        <f>Model!U183</f>
        <v>0</v>
      </c>
      <c r="N149">
        <f>Model!V183</f>
        <v>0</v>
      </c>
      <c r="O149">
        <f>Model!W183</f>
        <v>0</v>
      </c>
      <c r="P149">
        <f>Model!X183</f>
        <v>0</v>
      </c>
      <c r="Q149">
        <f>Model!Y183</f>
        <v>0</v>
      </c>
      <c r="R149">
        <f>Model!Z183</f>
        <v>0</v>
      </c>
      <c r="S149">
        <f>Model!AA183</f>
        <v>0</v>
      </c>
      <c r="T149">
        <f>Model!AB183</f>
        <v>0</v>
      </c>
      <c r="U149">
        <f>Model!AC183</f>
        <v>0</v>
      </c>
      <c r="V149">
        <f>Model!AD183</f>
        <v>0</v>
      </c>
      <c r="W149">
        <f>Model!AE183</f>
        <v>0</v>
      </c>
      <c r="X149">
        <f>Model!AF183</f>
        <v>0</v>
      </c>
      <c r="Y149">
        <f>Model!AG183</f>
        <v>0</v>
      </c>
      <c r="Z149">
        <f>Model!AH183</f>
        <v>0</v>
      </c>
      <c r="AA149">
        <f>Model!AI183</f>
        <v>0</v>
      </c>
      <c r="AB149">
        <f>Model!AJ183</f>
        <v>0</v>
      </c>
      <c r="AC149">
        <f>Model!AK183</f>
        <v>8.244121103893165E-2</v>
      </c>
      <c r="AD149">
        <f>Model!AL183</f>
        <v>1.0021070730873882E-2</v>
      </c>
      <c r="AE149">
        <f>Model!AM183</f>
        <v>0.15644051250268332</v>
      </c>
      <c r="AF149">
        <f>Model!AN183</f>
        <v>9.2546703593814117E-2</v>
      </c>
      <c r="AG149">
        <f>Model!AO183</f>
        <v>0.26011001174188042</v>
      </c>
      <c r="AH149">
        <f>Model!AP183</f>
        <v>0.32798808338589946</v>
      </c>
      <c r="AI149">
        <f>Model!AQ183</f>
        <v>0.18362307215389873</v>
      </c>
      <c r="AJ149">
        <f>Model!AR183</f>
        <v>0.19733767156008319</v>
      </c>
      <c r="AK149">
        <f>Model!AS183</f>
        <v>0.16045234723595247</v>
      </c>
      <c r="AL149">
        <f>Model!AT183</f>
        <v>0.16214275086128938</v>
      </c>
      <c r="AM149">
        <f>Model!AU183</f>
        <v>0.22447167728589634</v>
      </c>
      <c r="AN149">
        <f>Model!AV183</f>
        <v>0.14610808576409484</v>
      </c>
      <c r="AO149">
        <f>Model!AW183</f>
        <v>6.0830373743013366E-2</v>
      </c>
      <c r="AP149">
        <f>Model!AX183</f>
        <v>9.5282180326536903E-2</v>
      </c>
      <c r="AQ149">
        <f>Model!AY183</f>
        <v>0.13780935808197992</v>
      </c>
      <c r="AR149">
        <f>Model!AZ183</f>
        <v>0.12062925548763848</v>
      </c>
      <c r="AS149">
        <f>Model!BA183</f>
        <v>0.1425036761314622</v>
      </c>
      <c r="AT149">
        <f>Model!BB183</f>
        <v>0.10290689440449285</v>
      </c>
      <c r="AU149">
        <f>Model!BC183</f>
        <v>6.3775011682739358E-2</v>
      </c>
      <c r="AV149">
        <f>Model!BD183</f>
        <v>6.843802124729903E-2</v>
      </c>
      <c r="AW149">
        <f>Model!BE183</f>
        <v>-2.0730433130699E-3</v>
      </c>
      <c r="AX149">
        <f>Model!BF183</f>
        <v>-4.6588370538262258E-2</v>
      </c>
      <c r="AY149">
        <f>Model!BG183</f>
        <v>-5.8893299574284796E-2</v>
      </c>
      <c r="AZ149">
        <f>Model!BH183</f>
        <v>-7.1063729470623338E-2</v>
      </c>
      <c r="BA149">
        <f>Model!BI183</f>
        <v>-2.9113830675769559E-2</v>
      </c>
      <c r="BB149">
        <f>Model!BJ183</f>
        <v>2.6678268082495515E-2</v>
      </c>
      <c r="BC149">
        <f>Model!BK183</f>
        <v>-2.9852963017974465E-3</v>
      </c>
      <c r="BD149">
        <f>Model!BL183</f>
        <v>0.10295792916760638</v>
      </c>
      <c r="BE149">
        <f>Model!BM183</f>
        <v>5.8307108614453096E-2</v>
      </c>
      <c r="BF149">
        <f>Model!BN183</f>
        <v>-1.3874370624565868E-2</v>
      </c>
      <c r="BG149">
        <f>Model!BO183</f>
        <v>0.14171861001100239</v>
      </c>
      <c r="BH149">
        <f>Model!BP183</f>
        <v>4.843117654728446E-2</v>
      </c>
      <c r="BI149">
        <f>Model!BQ183</f>
        <v>2.0592771687022893E-2</v>
      </c>
      <c r="BJ149">
        <f>Model!BR183</f>
        <v>1.4405321226838685E-2</v>
      </c>
      <c r="BK149">
        <f>Model!BS183</f>
        <v>-6.2621039819421243E-2</v>
      </c>
      <c r="BL149">
        <f>Model!BT183</f>
        <v>-2.4633196536429369E-2</v>
      </c>
      <c r="BM149">
        <f>Model!BU183</f>
        <v>1.6848425438058534E-2</v>
      </c>
      <c r="BN149">
        <f>Model!BV183</f>
        <v>-5.098907778358297E-2</v>
      </c>
      <c r="BO149">
        <f>Model!BW183</f>
        <v>-0.22340182262512853</v>
      </c>
      <c r="BP149">
        <f>Model!BX183</f>
        <v>-0.12890661133264147</v>
      </c>
      <c r="BQ149">
        <f>Model!BY183</f>
        <v>-6.4078961168796078E-2</v>
      </c>
      <c r="BR149">
        <f>Model!BZ183</f>
        <v>-6.8756004579931695E-2</v>
      </c>
      <c r="BS149">
        <f>Model!CA183</f>
        <v>0.11132192384112582</v>
      </c>
      <c r="BT149">
        <f>Model!CB183</f>
        <v>0.15687377487206966</v>
      </c>
      <c r="BU149">
        <f>Model!CC183</f>
        <v>-7.0344464963862485E-2</v>
      </c>
      <c r="BV149">
        <f>Model!CD183</f>
        <v>-6.1397939479824082E-2</v>
      </c>
      <c r="BW149">
        <f>Model!CE183</f>
        <v>4.0338911396720523E-2</v>
      </c>
      <c r="BX149">
        <f>Model!CF183</f>
        <v>4.6570826795300446E-2</v>
      </c>
      <c r="BY149">
        <f>Model!CG183</f>
        <v>0</v>
      </c>
      <c r="BZ149">
        <f>Model!CH183</f>
        <v>0</v>
      </c>
      <c r="CA149">
        <f>Model!CI183</f>
        <v>0</v>
      </c>
      <c r="CB149">
        <f>Model!CJ183</f>
        <v>0</v>
      </c>
      <c r="CC149">
        <f>Model!CK183</f>
        <v>0</v>
      </c>
      <c r="CD149">
        <f>Model!CL183</f>
        <v>0</v>
      </c>
      <c r="CE149">
        <f>Model!CM183</f>
        <v>0</v>
      </c>
      <c r="CF149">
        <f>Model!CN183</f>
        <v>8.4088705549045129E-2</v>
      </c>
      <c r="CG149">
        <f>Model!CO183</f>
        <v>0.24189068861284957</v>
      </c>
      <c r="CH149">
        <f>Model!CP183</f>
        <v>0.17486557376012435</v>
      </c>
      <c r="CI149">
        <f>Model!CQ183</f>
        <v>0.10450527919300878</v>
      </c>
      <c r="CJ149">
        <f>Model!CR183</f>
        <v>9.3072373378721984E-2</v>
      </c>
      <c r="CK149">
        <f>Model!CS183</f>
        <v>-4.4782674119856591E-2</v>
      </c>
      <c r="CL149">
        <f>Model!CT183</f>
        <v>2.0624800169899205E-2</v>
      </c>
      <c r="CM149">
        <f>Model!CU183</f>
        <v>5.8688988661789177E-2</v>
      </c>
      <c r="CN149">
        <f>Model!CV183</f>
        <v>-1.5110387797649283E-2</v>
      </c>
      <c r="CO149">
        <f>Model!CW183</f>
        <v>-9.9222746653347738E-2</v>
      </c>
      <c r="CP149">
        <f>Model!CX183</f>
        <v>2.3174595832273104E-2</v>
      </c>
      <c r="CQ149">
        <f>Model!CY183</f>
        <v>-1.1474146958622367E-2</v>
      </c>
      <c r="CR149">
        <f>Model!CZ183</f>
        <v>3.9059390755356915E-2</v>
      </c>
      <c r="CS149">
        <f>Model!DA183</f>
        <v>2.9192570471618273E-2</v>
      </c>
      <c r="CT149">
        <f>Model!DB183</f>
        <v>2.0908559662915938E-2</v>
      </c>
      <c r="CU149">
        <f>Model!DC183</f>
        <v>2.1124748830459339E-2</v>
      </c>
      <c r="CV149">
        <f>Model!DD183</f>
        <v>2.1308425769438477E-2</v>
      </c>
      <c r="CW149">
        <f>Model!DE183</f>
        <v>2.1463491950798996E-2</v>
      </c>
      <c r="CX149">
        <f>Model!DF183</f>
        <v>2.1593420074144998E-2</v>
      </c>
    </row>
    <row r="150" spans="1:102">
      <c r="A150" t="str">
        <f>Model!I184</f>
        <v xml:space="preserve">Two Year Growth </v>
      </c>
      <c r="B150">
        <f>Model!J184</f>
        <v>0</v>
      </c>
      <c r="C150">
        <f>Model!K184</f>
        <v>0</v>
      </c>
      <c r="D150">
        <f>Model!L184</f>
        <v>0</v>
      </c>
      <c r="E150">
        <f>Model!M184</f>
        <v>0</v>
      </c>
      <c r="F150">
        <f>Model!N184</f>
        <v>0</v>
      </c>
      <c r="G150">
        <f>Model!O184</f>
        <v>0</v>
      </c>
      <c r="H150">
        <f>Model!P184</f>
        <v>0</v>
      </c>
      <c r="I150">
        <f>Model!Q184</f>
        <v>0</v>
      </c>
      <c r="J150">
        <f>Model!R184</f>
        <v>0</v>
      </c>
      <c r="K150">
        <f>Model!S184</f>
        <v>0</v>
      </c>
      <c r="L150">
        <f>Model!T184</f>
        <v>0</v>
      </c>
      <c r="M150">
        <f>Model!U184</f>
        <v>0</v>
      </c>
      <c r="N150">
        <f>Model!V184</f>
        <v>0</v>
      </c>
      <c r="O150">
        <f>Model!W184</f>
        <v>0</v>
      </c>
      <c r="P150">
        <f>Model!X184</f>
        <v>0</v>
      </c>
      <c r="Q150">
        <f>Model!Y184</f>
        <v>0</v>
      </c>
      <c r="R150">
        <f>Model!Z184</f>
        <v>0</v>
      </c>
      <c r="S150">
        <f>Model!AA184</f>
        <v>0</v>
      </c>
      <c r="T150">
        <f>Model!AB184</f>
        <v>0</v>
      </c>
      <c r="U150">
        <f>Model!AC184</f>
        <v>0</v>
      </c>
      <c r="V150">
        <f>Model!AD184</f>
        <v>0</v>
      </c>
      <c r="W150">
        <f>Model!AE184</f>
        <v>0</v>
      </c>
      <c r="X150">
        <f>Model!AF184</f>
        <v>0</v>
      </c>
      <c r="Y150">
        <f>Model!AG184</f>
        <v>0</v>
      </c>
      <c r="Z150">
        <f>Model!AH184</f>
        <v>0</v>
      </c>
      <c r="AA150">
        <f>Model!AI184</f>
        <v>0</v>
      </c>
      <c r="AB150">
        <f>Model!AJ184</f>
        <v>0</v>
      </c>
      <c r="AC150">
        <f>Model!AK184</f>
        <v>8.244121103893165E-2</v>
      </c>
      <c r="AD150">
        <f>Model!AL184</f>
        <v>1.0021070730873882E-2</v>
      </c>
      <c r="AE150">
        <f>Model!AM184</f>
        <v>0.15644051250268332</v>
      </c>
      <c r="AF150">
        <f>Model!AN184</f>
        <v>9.2546703593814117E-2</v>
      </c>
      <c r="AG150">
        <f>Model!AO184</f>
        <v>0.34255122278081207</v>
      </c>
      <c r="AH150">
        <f>Model!AP184</f>
        <v>0.33800915411677335</v>
      </c>
      <c r="AI150">
        <f>Model!AQ184</f>
        <v>0.34006358465658204</v>
      </c>
      <c r="AJ150">
        <f>Model!AR184</f>
        <v>0.28988437515389731</v>
      </c>
      <c r="AK150">
        <f>Model!AS184</f>
        <v>0.4205623589778329</v>
      </c>
      <c r="AL150">
        <f>Model!AT184</f>
        <v>0.49013083424718884</v>
      </c>
      <c r="AM150">
        <f>Model!AU184</f>
        <v>0.40809474943979507</v>
      </c>
      <c r="AN150">
        <f>Model!AV184</f>
        <v>0.34344575732417804</v>
      </c>
      <c r="AO150">
        <f>Model!AW184</f>
        <v>0.22128272097896584</v>
      </c>
      <c r="AP150">
        <f>Model!AX184</f>
        <v>0.25742493118782628</v>
      </c>
      <c r="AQ150">
        <f>Model!AY184</f>
        <v>0.36228103536787626</v>
      </c>
      <c r="AR150">
        <f>Model!AZ184</f>
        <v>0.26673734125173332</v>
      </c>
      <c r="AS150">
        <f>Model!BA184</f>
        <v>0.20333404987447556</v>
      </c>
      <c r="AT150">
        <f>Model!BB184</f>
        <v>0.19818907473102976</v>
      </c>
      <c r="AU150">
        <f>Model!BC184</f>
        <v>0.20158436976471927</v>
      </c>
      <c r="AV150">
        <f>Model!BD184</f>
        <v>0.18906727673493751</v>
      </c>
      <c r="AW150">
        <f>Model!BE184</f>
        <v>0.1404306328183923</v>
      </c>
      <c r="AX150">
        <f>Model!BF184</f>
        <v>5.6318523866230596E-2</v>
      </c>
      <c r="AY150">
        <f>Model!BG184</f>
        <v>4.8817121084545612E-3</v>
      </c>
      <c r="AZ150">
        <f>Model!BH184</f>
        <v>-2.6257082233243079E-3</v>
      </c>
      <c r="BA150">
        <f>Model!BI184</f>
        <v>-3.1186873988839459E-2</v>
      </c>
      <c r="BB150">
        <f>Model!BJ184</f>
        <v>-1.9910102455766743E-2</v>
      </c>
      <c r="BC150">
        <f>Model!BK184</f>
        <v>-6.1878595876082243E-2</v>
      </c>
      <c r="BD150">
        <f>Model!BL184</f>
        <v>3.1894199696983039E-2</v>
      </c>
      <c r="BE150">
        <f>Model!BM184</f>
        <v>2.9193277938683537E-2</v>
      </c>
      <c r="BF150">
        <f>Model!BN184</f>
        <v>1.2803897457929647E-2</v>
      </c>
      <c r="BG150">
        <f>Model!BO184</f>
        <v>0.13873331370920494</v>
      </c>
      <c r="BH150">
        <f>Model!BP184</f>
        <v>0.15138910571489084</v>
      </c>
      <c r="BI150">
        <f>Model!BQ184</f>
        <v>7.8899880301475989E-2</v>
      </c>
      <c r="BJ150">
        <f>Model!BR184</f>
        <v>5.3095060227281721E-4</v>
      </c>
      <c r="BK150">
        <f>Model!BS184</f>
        <v>7.9097570191581146E-2</v>
      </c>
      <c r="BL150">
        <f>Model!BT184</f>
        <v>2.3797980010855091E-2</v>
      </c>
      <c r="BM150">
        <f>Model!BU184</f>
        <v>3.7441197125081427E-2</v>
      </c>
      <c r="BN150">
        <f>Model!BV184</f>
        <v>-3.6583756556744285E-2</v>
      </c>
      <c r="BO150">
        <f>Model!BW184</f>
        <v>-0.28602286244454977</v>
      </c>
      <c r="BP150">
        <f>Model!BX184</f>
        <v>-0.15353980786907084</v>
      </c>
      <c r="BQ150">
        <f>Model!BY184</f>
        <v>-4.7230535730737544E-2</v>
      </c>
      <c r="BR150">
        <f>Model!BZ184</f>
        <v>-0.11974508236351467</v>
      </c>
      <c r="BS150">
        <f>Model!CA184</f>
        <v>-0.11207989878400271</v>
      </c>
      <c r="BT150">
        <f>Model!CB184</f>
        <v>2.7967163539428186E-2</v>
      </c>
      <c r="BU150">
        <f>Model!CC184</f>
        <v>-0.13442342613265856</v>
      </c>
      <c r="BV150">
        <f>Model!CD184</f>
        <v>-0.13015394405975578</v>
      </c>
      <c r="BW150">
        <f>Model!CE184</f>
        <v>0.15166083523784635</v>
      </c>
      <c r="BX150">
        <f>Model!CF184</f>
        <v>0.20344460166737011</v>
      </c>
      <c r="BY150">
        <f>Model!CG184</f>
        <v>0</v>
      </c>
      <c r="BZ150">
        <f>Model!CH184</f>
        <v>0</v>
      </c>
      <c r="CA150">
        <f>Model!CI184</f>
        <v>0</v>
      </c>
      <c r="CB150">
        <f>Model!CJ184</f>
        <v>0</v>
      </c>
      <c r="CC150">
        <f>Model!CK184</f>
        <v>0</v>
      </c>
      <c r="CD150">
        <f>Model!CL184</f>
        <v>0</v>
      </c>
      <c r="CE150">
        <f>Model!CM184</f>
        <v>0</v>
      </c>
      <c r="CF150">
        <f>Model!CN184</f>
        <v>8.4088705549045129E-2</v>
      </c>
      <c r="CG150">
        <f>Model!CO184</f>
        <v>0.3259793941618947</v>
      </c>
      <c r="CH150">
        <f>Model!CP184</f>
        <v>0.41675626237297392</v>
      </c>
      <c r="CI150">
        <f>Model!CQ184</f>
        <v>0.27937085295313313</v>
      </c>
      <c r="CJ150">
        <f>Model!CR184</f>
        <v>0.19757765257173077</v>
      </c>
      <c r="CK150">
        <f>Model!CS184</f>
        <v>4.8289699258865393E-2</v>
      </c>
      <c r="CL150">
        <f>Model!CT184</f>
        <v>-2.4157873949957387E-2</v>
      </c>
      <c r="CM150">
        <f>Model!CU184</f>
        <v>7.9313788831688381E-2</v>
      </c>
      <c r="CN150">
        <f>Model!CV184</f>
        <v>4.3578600864139894E-2</v>
      </c>
      <c r="CO150">
        <f>Model!CW184</f>
        <v>-0.11433313445099702</v>
      </c>
      <c r="CP150">
        <f>Model!CX184</f>
        <v>-7.6048150821074634E-2</v>
      </c>
      <c r="CQ150">
        <f>Model!CY184</f>
        <v>1.1700448873650737E-2</v>
      </c>
      <c r="CR150">
        <f>Model!CZ184</f>
        <v>2.7585243796734549E-2</v>
      </c>
      <c r="CS150">
        <f>Model!DA184</f>
        <v>6.8251961226975189E-2</v>
      </c>
      <c r="CT150">
        <f>Model!DB184</f>
        <v>5.0101130134534211E-2</v>
      </c>
      <c r="CU150">
        <f>Model!DC184</f>
        <v>4.2033308493375277E-2</v>
      </c>
      <c r="CV150">
        <f>Model!DD184</f>
        <v>4.2433174599897816E-2</v>
      </c>
      <c r="CW150">
        <f>Model!DE184</f>
        <v>4.2771917720237473E-2</v>
      </c>
      <c r="CX150">
        <f>Model!DF184</f>
        <v>4.3056912024943994E-2</v>
      </c>
    </row>
    <row r="151" spans="1:102">
      <c r="A151" t="str">
        <f>Model!I185</f>
        <v>% of Total Revenue</v>
      </c>
      <c r="B151">
        <f>Model!J185</f>
        <v>0</v>
      </c>
      <c r="C151">
        <f>Model!K185</f>
        <v>0</v>
      </c>
      <c r="D151">
        <f>Model!L185</f>
        <v>0</v>
      </c>
      <c r="E151">
        <f>Model!M185</f>
        <v>0</v>
      </c>
      <c r="F151">
        <f>Model!N185</f>
        <v>0</v>
      </c>
      <c r="G151">
        <f>Model!O185</f>
        <v>0</v>
      </c>
      <c r="H151">
        <f>Model!P185</f>
        <v>0</v>
      </c>
      <c r="I151">
        <f>Model!Q185</f>
        <v>0</v>
      </c>
      <c r="J151">
        <f>Model!R185</f>
        <v>0</v>
      </c>
      <c r="K151">
        <f>Model!S185</f>
        <v>0</v>
      </c>
      <c r="L151">
        <f>Model!T185</f>
        <v>0</v>
      </c>
      <c r="M151">
        <f>Model!U185</f>
        <v>0</v>
      </c>
      <c r="N151">
        <f>Model!V185</f>
        <v>0</v>
      </c>
      <c r="O151">
        <f>Model!W185</f>
        <v>0</v>
      </c>
      <c r="P151">
        <f>Model!X185</f>
        <v>0</v>
      </c>
      <c r="Q151">
        <f>Model!Y185</f>
        <v>0</v>
      </c>
      <c r="R151">
        <f>Model!Z185</f>
        <v>0</v>
      </c>
      <c r="S151">
        <f>Model!AA185</f>
        <v>0</v>
      </c>
      <c r="T151">
        <f>Model!AB185</f>
        <v>0</v>
      </c>
      <c r="U151">
        <f>Model!AC185</f>
        <v>0</v>
      </c>
      <c r="V151">
        <f>Model!AD185</f>
        <v>0</v>
      </c>
      <c r="W151">
        <f>Model!AE185</f>
        <v>0</v>
      </c>
      <c r="X151">
        <f>Model!AF185</f>
        <v>0</v>
      </c>
      <c r="Y151">
        <f>Model!AG185</f>
        <v>0.9074051109071819</v>
      </c>
      <c r="Z151">
        <f>Model!AH185</f>
        <v>0.84690444692199918</v>
      </c>
      <c r="AA151">
        <f>Model!AI185</f>
        <v>0.79157782003225741</v>
      </c>
      <c r="AB151">
        <f>Model!AJ185</f>
        <v>0.81774207812481969</v>
      </c>
      <c r="AC151">
        <f>Model!AK185</f>
        <v>0.83223063209473536</v>
      </c>
      <c r="AD151">
        <f>Model!AL185</f>
        <v>0.74431641409427474</v>
      </c>
      <c r="AE151">
        <f>Model!AM185</f>
        <v>0.68415023712696532</v>
      </c>
      <c r="AF151">
        <f>Model!AN185</f>
        <v>0.69389553027746509</v>
      </c>
      <c r="AG151">
        <f>Model!AO185</f>
        <v>0.74263604345453638</v>
      </c>
      <c r="AH151">
        <f>Model!AP185</f>
        <v>0.67994614534530795</v>
      </c>
      <c r="AI151">
        <f>Model!AQ185</f>
        <v>0.60168017250435801</v>
      </c>
      <c r="AJ151">
        <f>Model!AR185</f>
        <v>0.68516479862871005</v>
      </c>
      <c r="AK151">
        <f>Model!AS185</f>
        <v>0.75197918875985259</v>
      </c>
      <c r="AL151">
        <f>Model!AT185</f>
        <v>0.67270733642406255</v>
      </c>
      <c r="AM151">
        <f>Model!AU185</f>
        <v>0.56628253907426163</v>
      </c>
      <c r="AN151">
        <f>Model!AV185</f>
        <v>0.58855788523552255</v>
      </c>
      <c r="AO151">
        <f>Model!AW185</f>
        <v>0.63072858379791708</v>
      </c>
      <c r="AP151">
        <f>Model!AX185</f>
        <v>0.57894003914790826</v>
      </c>
      <c r="AQ151">
        <f>Model!AY185</f>
        <v>0.46900855468893993</v>
      </c>
      <c r="AR151">
        <f>Model!AZ185</f>
        <v>0.4874247853885515</v>
      </c>
      <c r="AS151">
        <f>Model!BA185</f>
        <v>0.52033806158256324</v>
      </c>
      <c r="AT151">
        <f>Model!BB185</f>
        <v>0.44491600738540116</v>
      </c>
      <c r="AU151">
        <f>Model!BC185</f>
        <v>0.34471546058518565</v>
      </c>
      <c r="AV151">
        <f>Model!BD185</f>
        <v>0.38532656418745015</v>
      </c>
      <c r="AW151">
        <f>Model!BE185</f>
        <v>0.40515614892113455</v>
      </c>
      <c r="AX151">
        <f>Model!BF185</f>
        <v>0.35255762350208292</v>
      </c>
      <c r="AY151">
        <f>Model!BG185</f>
        <v>0.27621592793806515</v>
      </c>
      <c r="AZ151">
        <f>Model!BH185</f>
        <v>0.29785661492978571</v>
      </c>
      <c r="BA151">
        <f>Model!BI185</f>
        <v>0.31337038368309966</v>
      </c>
      <c r="BB151">
        <f>Model!BJ185</f>
        <v>0.28581546185718931</v>
      </c>
      <c r="BC151">
        <f>Model!BK185</f>
        <v>0.2070145728694133</v>
      </c>
      <c r="BD151">
        <f>Model!BL185</f>
        <v>0.25380543009032847</v>
      </c>
      <c r="BE151">
        <f>Model!BM185</f>
        <v>0.26300491776718515</v>
      </c>
      <c r="BF151">
        <f>Model!BN185</f>
        <v>0.22300837031891968</v>
      </c>
      <c r="BG151">
        <f>Model!BO185</f>
        <v>0.18914069008357839</v>
      </c>
      <c r="BH151">
        <f>Model!BP185</f>
        <v>0.22286705537805887</v>
      </c>
      <c r="BI151">
        <f>Model!BQ185</f>
        <v>0.23941730673322126</v>
      </c>
      <c r="BJ151">
        <f>Model!BR185</f>
        <v>0.21066375723174516</v>
      </c>
      <c r="BK151">
        <f>Model!BS185</f>
        <v>0.16207445870815726</v>
      </c>
      <c r="BL151">
        <f>Model!BT185</f>
        <v>0.19999799999499995</v>
      </c>
      <c r="BM151">
        <f>Model!BU185</f>
        <v>0.20860995131089094</v>
      </c>
      <c r="BN151">
        <f>Model!BV185</f>
        <v>0.17837225370925805</v>
      </c>
      <c r="BO151">
        <f>Model!BW185</f>
        <v>0.10582481970176823</v>
      </c>
      <c r="BP151">
        <f>Model!BX185</f>
        <v>0.14836829494390513</v>
      </c>
      <c r="BQ151">
        <f>Model!BY185</f>
        <v>0.17335013085867429</v>
      </c>
      <c r="BR151">
        <f>Model!BZ185</f>
        <v>0.1403696939319358</v>
      </c>
      <c r="BS151">
        <f>Model!CA185</f>
        <v>9.7885918202158709E-2</v>
      </c>
      <c r="BT151">
        <f>Model!CB185</f>
        <v>0.14380293482949008</v>
      </c>
      <c r="BU151">
        <f>Model!CC185</f>
        <v>0.13332392127685674</v>
      </c>
      <c r="BV151">
        <f>Model!CD185</f>
        <v>0.10820288762637277</v>
      </c>
      <c r="BW151">
        <f>Model!CE185</f>
        <v>8.7622892761518759E-2</v>
      </c>
      <c r="BX151">
        <f>Model!CF185</f>
        <v>0.12014676113415639</v>
      </c>
      <c r="BY151">
        <f>Model!CG185</f>
        <v>0</v>
      </c>
      <c r="BZ151">
        <f>Model!CH185</f>
        <v>0</v>
      </c>
      <c r="CA151">
        <f>Model!CI185</f>
        <v>0</v>
      </c>
      <c r="CB151">
        <f>Model!CJ185</f>
        <v>0</v>
      </c>
      <c r="CC151">
        <f>Model!CK185</f>
        <v>0</v>
      </c>
      <c r="CD151">
        <f>Model!CL185</f>
        <v>0</v>
      </c>
      <c r="CE151">
        <f>Model!CM185</f>
        <v>0.83780694300416503</v>
      </c>
      <c r="CF151">
        <f>Model!CN185</f>
        <v>0.73217616569137856</v>
      </c>
      <c r="CG151">
        <f>Model!CO185</f>
        <v>0.67115979045058216</v>
      </c>
      <c r="CH151">
        <f>Model!CP185</f>
        <v>0.6356190114497744</v>
      </c>
      <c r="CI151">
        <f>Model!CQ185</f>
        <v>0.53130656057338022</v>
      </c>
      <c r="CJ151">
        <f>Model!CR185</f>
        <v>0.41195377914918918</v>
      </c>
      <c r="CK151">
        <f>Model!CS185</f>
        <v>0.32578793664117323</v>
      </c>
      <c r="CL151">
        <f>Model!CT185</f>
        <v>0.25750437268687731</v>
      </c>
      <c r="CM151">
        <f>Model!CU185</f>
        <v>0.2193766124048519</v>
      </c>
      <c r="CN151">
        <f>Model!CV185</f>
        <v>0.19774388233634754</v>
      </c>
      <c r="CO151">
        <f>Model!CW185</f>
        <v>0.1529372691404994</v>
      </c>
      <c r="CP151">
        <f>Model!CX185</f>
        <v>0.13256613276374993</v>
      </c>
      <c r="CQ151">
        <f>Model!CY185</f>
        <v>0.10881519332469926</v>
      </c>
      <c r="CR151">
        <f>Model!CZ185</f>
        <v>9.9580897495893647E-2</v>
      </c>
      <c r="CS151">
        <f>Model!DA185</f>
        <v>9.1683741897471749E-2</v>
      </c>
      <c r="CT151">
        <f>Model!DB185</f>
        <v>8.5012885370064295E-2</v>
      </c>
      <c r="CU151">
        <f>Model!DC185</f>
        <v>7.9677727306178739E-2</v>
      </c>
      <c r="CV151">
        <f>Model!DD185</f>
        <v>7.5283031179819784E-2</v>
      </c>
      <c r="CW151">
        <f>Model!DE185</f>
        <v>7.1661578228570694E-2</v>
      </c>
      <c r="CX151">
        <f>Model!DF185</f>
        <v>6.8203705416771662E-2</v>
      </c>
    </row>
    <row r="152" spans="1:102">
      <c r="A152">
        <f>Model!I186</f>
        <v>0</v>
      </c>
      <c r="B152">
        <f>Model!J186</f>
        <v>0</v>
      </c>
      <c r="C152">
        <f>Model!K186</f>
        <v>0</v>
      </c>
      <c r="D152">
        <f>Model!L186</f>
        <v>0</v>
      </c>
      <c r="E152">
        <f>Model!M186</f>
        <v>0</v>
      </c>
      <c r="F152">
        <f>Model!N186</f>
        <v>0</v>
      </c>
      <c r="G152">
        <f>Model!O186</f>
        <v>0</v>
      </c>
      <c r="H152">
        <f>Model!P186</f>
        <v>0</v>
      </c>
      <c r="I152">
        <f>Model!Q186</f>
        <v>0</v>
      </c>
      <c r="J152">
        <f>Model!R186</f>
        <v>0</v>
      </c>
      <c r="K152">
        <f>Model!S186</f>
        <v>0</v>
      </c>
      <c r="L152">
        <f>Model!T186</f>
        <v>0</v>
      </c>
      <c r="M152">
        <f>Model!U186</f>
        <v>0</v>
      </c>
      <c r="N152">
        <f>Model!V186</f>
        <v>0</v>
      </c>
      <c r="O152">
        <f>Model!W186</f>
        <v>0</v>
      </c>
      <c r="P152">
        <f>Model!X186</f>
        <v>0</v>
      </c>
      <c r="Q152">
        <f>Model!Y186</f>
        <v>0</v>
      </c>
      <c r="R152">
        <f>Model!Z186</f>
        <v>0</v>
      </c>
      <c r="S152">
        <f>Model!AA186</f>
        <v>0</v>
      </c>
      <c r="T152">
        <f>Model!AB186</f>
        <v>0</v>
      </c>
      <c r="U152">
        <f>Model!AC186</f>
        <v>0</v>
      </c>
      <c r="V152">
        <f>Model!AD186</f>
        <v>0</v>
      </c>
      <c r="W152">
        <f>Model!AE186</f>
        <v>0</v>
      </c>
      <c r="X152">
        <f>Model!AF186</f>
        <v>0</v>
      </c>
      <c r="Y152">
        <f>Model!AG186</f>
        <v>0</v>
      </c>
      <c r="Z152">
        <f>Model!AH186</f>
        <v>0</v>
      </c>
      <c r="AA152">
        <f>Model!AI186</f>
        <v>0</v>
      </c>
      <c r="AB152">
        <f>Model!AJ186</f>
        <v>0</v>
      </c>
      <c r="AC152">
        <f>Model!AK186</f>
        <v>0</v>
      </c>
      <c r="AD152">
        <f>Model!AL186</f>
        <v>0</v>
      </c>
      <c r="AE152">
        <f>Model!AM186</f>
        <v>0</v>
      </c>
      <c r="AF152">
        <f>Model!AN186</f>
        <v>0</v>
      </c>
      <c r="AG152">
        <f>Model!AO186</f>
        <v>0</v>
      </c>
      <c r="AH152">
        <f>Model!AP186</f>
        <v>0</v>
      </c>
      <c r="AI152">
        <f>Model!AQ186</f>
        <v>0</v>
      </c>
      <c r="AJ152">
        <f>Model!AR186</f>
        <v>0</v>
      </c>
      <c r="AK152">
        <f>Model!AS186</f>
        <v>0</v>
      </c>
      <c r="AL152">
        <f>Model!AT186</f>
        <v>0</v>
      </c>
      <c r="AM152">
        <f>Model!AU186</f>
        <v>0</v>
      </c>
      <c r="AN152">
        <f>Model!AV186</f>
        <v>0</v>
      </c>
      <c r="AO152">
        <f>Model!AW186</f>
        <v>0</v>
      </c>
      <c r="AP152">
        <f>Model!AX186</f>
        <v>0</v>
      </c>
      <c r="AQ152">
        <f>Model!AY186</f>
        <v>0</v>
      </c>
      <c r="AR152">
        <f>Model!AZ186</f>
        <v>0</v>
      </c>
      <c r="AS152">
        <f>Model!BA186</f>
        <v>0</v>
      </c>
      <c r="AT152">
        <f>Model!BB186</f>
        <v>0</v>
      </c>
      <c r="AU152">
        <f>Model!BC186</f>
        <v>0</v>
      </c>
      <c r="AV152">
        <f>Model!BD186</f>
        <v>0</v>
      </c>
      <c r="AW152">
        <f>Model!BE186</f>
        <v>0</v>
      </c>
      <c r="AX152">
        <f>Model!BF186</f>
        <v>0</v>
      </c>
      <c r="AY152">
        <f>Model!BG186</f>
        <v>0</v>
      </c>
      <c r="AZ152">
        <f>Model!BH186</f>
        <v>0</v>
      </c>
      <c r="BA152">
        <f>Model!BI186</f>
        <v>0</v>
      </c>
      <c r="BB152">
        <f>Model!BJ186</f>
        <v>0</v>
      </c>
      <c r="BC152">
        <f>Model!BK186</f>
        <v>0</v>
      </c>
      <c r="BD152">
        <f>Model!BL186</f>
        <v>0</v>
      </c>
      <c r="BE152">
        <f>Model!BM186</f>
        <v>0</v>
      </c>
      <c r="BF152">
        <f>Model!BN186</f>
        <v>0</v>
      </c>
      <c r="BG152">
        <f>Model!BO186</f>
        <v>0</v>
      </c>
      <c r="BH152">
        <f>Model!BP186</f>
        <v>0</v>
      </c>
      <c r="BI152">
        <f>Model!BQ186</f>
        <v>0</v>
      </c>
      <c r="BJ152">
        <f>Model!BR186</f>
        <v>0</v>
      </c>
      <c r="BK152">
        <f>Model!BS186</f>
        <v>0</v>
      </c>
      <c r="BL152">
        <f>Model!BT186</f>
        <v>0</v>
      </c>
      <c r="BM152">
        <f>Model!BU186</f>
        <v>0</v>
      </c>
      <c r="BN152">
        <f>Model!BV186</f>
        <v>0</v>
      </c>
      <c r="BO152">
        <f>Model!BW186</f>
        <v>0</v>
      </c>
      <c r="BP152">
        <f>Model!BX186</f>
        <v>0</v>
      </c>
      <c r="BQ152">
        <f>Model!BY186</f>
        <v>0</v>
      </c>
      <c r="BR152">
        <f>Model!BZ186</f>
        <v>0</v>
      </c>
      <c r="BS152">
        <f>Model!CA186</f>
        <v>0</v>
      </c>
      <c r="BT152">
        <f>Model!CB186</f>
        <v>0</v>
      </c>
      <c r="BU152">
        <f>Model!CC186</f>
        <v>0</v>
      </c>
      <c r="BV152">
        <f>Model!CD186</f>
        <v>0</v>
      </c>
      <c r="BW152">
        <f>Model!CE186</f>
        <v>0</v>
      </c>
      <c r="BX152">
        <f>Model!CF186</f>
        <v>0</v>
      </c>
      <c r="BY152">
        <f>Model!CG186</f>
        <v>0</v>
      </c>
      <c r="BZ152">
        <f>Model!CH186</f>
        <v>0</v>
      </c>
      <c r="CA152">
        <f>Model!CI186</f>
        <v>0</v>
      </c>
      <c r="CB152">
        <f>Model!CJ186</f>
        <v>0</v>
      </c>
      <c r="CC152">
        <f>Model!CK186</f>
        <v>0</v>
      </c>
      <c r="CD152">
        <f>Model!CL186</f>
        <v>0</v>
      </c>
      <c r="CE152">
        <f>Model!CM186</f>
        <v>0</v>
      </c>
      <c r="CF152">
        <f>Model!CN186</f>
        <v>0</v>
      </c>
      <c r="CG152">
        <f>Model!CO186</f>
        <v>0</v>
      </c>
      <c r="CH152">
        <f>Model!CP186</f>
        <v>0</v>
      </c>
      <c r="CI152">
        <f>Model!CQ186</f>
        <v>0</v>
      </c>
      <c r="CJ152">
        <f>Model!CR186</f>
        <v>0</v>
      </c>
      <c r="CK152">
        <f>Model!CS186</f>
        <v>0</v>
      </c>
      <c r="CL152">
        <f>Model!CT186</f>
        <v>0</v>
      </c>
      <c r="CM152">
        <f>Model!CU186</f>
        <v>0</v>
      </c>
      <c r="CN152">
        <f>Model!CV186</f>
        <v>0</v>
      </c>
      <c r="CO152">
        <f>Model!CW186</f>
        <v>0</v>
      </c>
      <c r="CP152">
        <f>Model!CX186</f>
        <v>0</v>
      </c>
      <c r="CQ152">
        <f>Model!CY186</f>
        <v>0</v>
      </c>
      <c r="CR152">
        <f>Model!CZ186</f>
        <v>0</v>
      </c>
      <c r="CS152">
        <f>Model!DA186</f>
        <v>0</v>
      </c>
      <c r="CT152">
        <f>Model!DB186</f>
        <v>0</v>
      </c>
      <c r="CU152">
        <f>Model!DC186</f>
        <v>0</v>
      </c>
      <c r="CV152">
        <f>Model!DD186</f>
        <v>0</v>
      </c>
      <c r="CW152">
        <f>Model!DE186</f>
        <v>0</v>
      </c>
      <c r="CX152">
        <f>Model!DF186</f>
        <v>0</v>
      </c>
    </row>
    <row r="153" spans="1:102">
      <c r="A153" t="str">
        <f>Model!I187</f>
        <v>Sanity Check</v>
      </c>
      <c r="B153">
        <f>Model!J187</f>
        <v>0</v>
      </c>
      <c r="C153">
        <f>Model!K187</f>
        <v>0</v>
      </c>
      <c r="D153">
        <f>Model!L187</f>
        <v>0</v>
      </c>
      <c r="E153">
        <f>Model!M187</f>
        <v>0</v>
      </c>
      <c r="F153">
        <f>Model!N187</f>
        <v>0</v>
      </c>
      <c r="G153">
        <f>Model!O187</f>
        <v>0</v>
      </c>
      <c r="H153">
        <f>Model!P187</f>
        <v>0</v>
      </c>
      <c r="I153">
        <f>Model!Q187</f>
        <v>0</v>
      </c>
      <c r="J153">
        <f>Model!R187</f>
        <v>0</v>
      </c>
      <c r="K153">
        <f>Model!S187</f>
        <v>0</v>
      </c>
      <c r="L153">
        <f>Model!T187</f>
        <v>0</v>
      </c>
      <c r="M153">
        <f>Model!U187</f>
        <v>0</v>
      </c>
      <c r="N153">
        <f>Model!V187</f>
        <v>0</v>
      </c>
      <c r="O153">
        <f>Model!W187</f>
        <v>0</v>
      </c>
      <c r="P153">
        <f>Model!X187</f>
        <v>0</v>
      </c>
      <c r="Q153">
        <f>Model!Y187</f>
        <v>0</v>
      </c>
      <c r="R153">
        <f>Model!Z187</f>
        <v>0</v>
      </c>
      <c r="S153">
        <f>Model!AA187</f>
        <v>0</v>
      </c>
      <c r="T153">
        <f>Model!AB187</f>
        <v>0</v>
      </c>
      <c r="U153">
        <f>Model!AC187</f>
        <v>0</v>
      </c>
      <c r="V153">
        <f>Model!AD187</f>
        <v>0</v>
      </c>
      <c r="W153">
        <f>Model!AE187</f>
        <v>0</v>
      </c>
      <c r="X153">
        <f>Model!AF187</f>
        <v>0</v>
      </c>
      <c r="Y153">
        <f>Model!AG187</f>
        <v>0</v>
      </c>
      <c r="Z153">
        <f>Model!AH187</f>
        <v>0</v>
      </c>
      <c r="AA153">
        <f>Model!AI187</f>
        <v>0</v>
      </c>
      <c r="AB153">
        <f>Model!AJ187</f>
        <v>0</v>
      </c>
      <c r="AC153">
        <f>Model!AK187</f>
        <v>0</v>
      </c>
      <c r="AD153">
        <f>Model!AL187</f>
        <v>0</v>
      </c>
      <c r="AE153">
        <f>Model!AM187</f>
        <v>0</v>
      </c>
      <c r="AF153">
        <f>Model!AN187</f>
        <v>0</v>
      </c>
      <c r="AG153">
        <f>Model!AO187</f>
        <v>0</v>
      </c>
      <c r="AH153">
        <f>Model!AP187</f>
        <v>0</v>
      </c>
      <c r="AI153">
        <f>Model!AQ187</f>
        <v>0</v>
      </c>
      <c r="AJ153">
        <f>Model!AR187</f>
        <v>0</v>
      </c>
      <c r="AK153">
        <f>Model!AS187</f>
        <v>0</v>
      </c>
      <c r="AL153">
        <f>Model!AT187</f>
        <v>0</v>
      </c>
      <c r="AM153">
        <f>Model!AU187</f>
        <v>0</v>
      </c>
      <c r="AN153">
        <f>Model!AV187</f>
        <v>0</v>
      </c>
      <c r="AO153">
        <f>Model!AW187</f>
        <v>0</v>
      </c>
      <c r="AP153">
        <f>Model!AX187</f>
        <v>0</v>
      </c>
      <c r="AQ153">
        <f>Model!AY187</f>
        <v>0</v>
      </c>
      <c r="AR153">
        <f>Model!AZ187</f>
        <v>0</v>
      </c>
      <c r="AS153">
        <f>Model!BA187</f>
        <v>0</v>
      </c>
      <c r="AT153">
        <f>Model!BB187</f>
        <v>0</v>
      </c>
      <c r="AU153">
        <f>Model!BC187</f>
        <v>0</v>
      </c>
      <c r="AV153">
        <f>Model!BD187</f>
        <v>0</v>
      </c>
      <c r="AW153">
        <f>Model!BE187</f>
        <v>0</v>
      </c>
      <c r="AX153">
        <f>Model!BF187</f>
        <v>0</v>
      </c>
      <c r="AY153">
        <f>Model!BG187</f>
        <v>0</v>
      </c>
      <c r="AZ153">
        <f>Model!BH187</f>
        <v>0</v>
      </c>
      <c r="BA153">
        <f>Model!BI187</f>
        <v>0</v>
      </c>
      <c r="BB153">
        <f>Model!BJ187</f>
        <v>0</v>
      </c>
      <c r="BC153">
        <f>Model!BK187</f>
        <v>0</v>
      </c>
      <c r="BD153">
        <f>Model!BL187</f>
        <v>0</v>
      </c>
      <c r="BE153">
        <f>Model!BM187</f>
        <v>0</v>
      </c>
      <c r="BF153">
        <f>Model!BN187</f>
        <v>0</v>
      </c>
      <c r="BG153">
        <f>Model!BO187</f>
        <v>0</v>
      </c>
      <c r="BH153">
        <f>Model!BP187</f>
        <v>0</v>
      </c>
      <c r="BI153">
        <f>Model!BQ187</f>
        <v>0</v>
      </c>
      <c r="BJ153">
        <f>Model!BR187</f>
        <v>0</v>
      </c>
      <c r="BK153">
        <f>Model!BS187</f>
        <v>0</v>
      </c>
      <c r="BL153">
        <f>Model!BT187</f>
        <v>0</v>
      </c>
      <c r="BM153">
        <f>Model!BU187</f>
        <v>0</v>
      </c>
      <c r="BN153">
        <f>Model!BV187</f>
        <v>0</v>
      </c>
      <c r="BO153">
        <f>Model!BW187</f>
        <v>0</v>
      </c>
      <c r="BP153">
        <f>Model!BX187</f>
        <v>0</v>
      </c>
      <c r="BQ153">
        <f>Model!BY187</f>
        <v>0</v>
      </c>
      <c r="BR153">
        <f>Model!BZ187</f>
        <v>0</v>
      </c>
      <c r="BS153">
        <f>Model!CA187</f>
        <v>0</v>
      </c>
      <c r="BT153">
        <f>Model!CB187</f>
        <v>0</v>
      </c>
      <c r="BU153">
        <f>Model!CC187</f>
        <v>0</v>
      </c>
      <c r="BV153">
        <f>Model!CD187</f>
        <v>0</v>
      </c>
      <c r="BW153">
        <f>Model!CE187</f>
        <v>0</v>
      </c>
      <c r="BX153">
        <f>Model!CF187</f>
        <v>0</v>
      </c>
      <c r="BY153">
        <f>Model!CG187</f>
        <v>0</v>
      </c>
      <c r="BZ153">
        <f>Model!CH187</f>
        <v>0</v>
      </c>
      <c r="CA153">
        <f>Model!CI187</f>
        <v>0</v>
      </c>
      <c r="CB153">
        <f>Model!CJ187</f>
        <v>0</v>
      </c>
      <c r="CC153">
        <f>Model!CK187</f>
        <v>0</v>
      </c>
      <c r="CD153">
        <f>Model!CL187</f>
        <v>0</v>
      </c>
      <c r="CE153">
        <f>Model!CM187</f>
        <v>0</v>
      </c>
      <c r="CF153">
        <f>Model!CN187</f>
        <v>0</v>
      </c>
      <c r="CG153">
        <f>Model!CO187</f>
        <v>0</v>
      </c>
      <c r="CH153">
        <f>Model!CP187</f>
        <v>0</v>
      </c>
      <c r="CI153">
        <f>Model!CQ187</f>
        <v>0</v>
      </c>
      <c r="CJ153">
        <f>Model!CR187</f>
        <v>0</v>
      </c>
      <c r="CK153">
        <f>Model!CS187</f>
        <v>0</v>
      </c>
      <c r="CL153">
        <f>Model!CT187</f>
        <v>0</v>
      </c>
      <c r="CM153">
        <f>Model!CU187</f>
        <v>0</v>
      </c>
      <c r="CN153">
        <f>Model!CV187</f>
        <v>0</v>
      </c>
      <c r="CO153">
        <f>Model!CW187</f>
        <v>0</v>
      </c>
      <c r="CP153">
        <f>Model!CX187</f>
        <v>0</v>
      </c>
      <c r="CQ153">
        <f>Model!CY187</f>
        <v>0</v>
      </c>
      <c r="CR153">
        <f>Model!CZ187</f>
        <v>0</v>
      </c>
      <c r="CS153">
        <f>Model!DA187</f>
        <v>0</v>
      </c>
      <c r="CT153">
        <f>Model!DB187</f>
        <v>0</v>
      </c>
      <c r="CU153">
        <f>Model!DC187</f>
        <v>0</v>
      </c>
      <c r="CV153">
        <f>Model!DD187</f>
        <v>0</v>
      </c>
      <c r="CW153">
        <f>Model!DE187</f>
        <v>0</v>
      </c>
      <c r="CX153">
        <f>Model!DF187</f>
        <v>0</v>
      </c>
    </row>
    <row r="154" spans="1:102">
      <c r="A154" t="str">
        <f>Model!I188</f>
        <v>Total Domestic Gross Bookings</v>
      </c>
      <c r="B154">
        <f>Model!J188</f>
        <v>0</v>
      </c>
      <c r="C154">
        <f>Model!K188</f>
        <v>0</v>
      </c>
      <c r="D154">
        <f>Model!L188</f>
        <v>0</v>
      </c>
      <c r="E154">
        <f>Model!M188</f>
        <v>0</v>
      </c>
      <c r="F154">
        <f>Model!N188</f>
        <v>0</v>
      </c>
      <c r="G154">
        <f>Model!O188</f>
        <v>0</v>
      </c>
      <c r="H154">
        <f>Model!P188</f>
        <v>0</v>
      </c>
      <c r="I154">
        <f>Model!Q188</f>
        <v>0</v>
      </c>
      <c r="J154">
        <f>Model!R188</f>
        <v>0</v>
      </c>
      <c r="K154">
        <f>Model!S188</f>
        <v>0</v>
      </c>
      <c r="L154">
        <f>Model!T188</f>
        <v>0</v>
      </c>
      <c r="M154">
        <f>Model!U188</f>
        <v>0</v>
      </c>
      <c r="N154">
        <f>Model!V188</f>
        <v>0</v>
      </c>
      <c r="O154">
        <f>Model!W188</f>
        <v>0</v>
      </c>
      <c r="P154">
        <f>Model!X188</f>
        <v>0</v>
      </c>
      <c r="Q154">
        <f>Model!Y188</f>
        <v>0</v>
      </c>
      <c r="R154">
        <f>Model!Z188</f>
        <v>0</v>
      </c>
      <c r="S154">
        <f>Model!AA188</f>
        <v>0</v>
      </c>
      <c r="T154">
        <f>Model!AB188</f>
        <v>0</v>
      </c>
      <c r="U154">
        <f>Model!AC188</f>
        <v>0</v>
      </c>
      <c r="V154">
        <f>Model!AD188</f>
        <v>0</v>
      </c>
      <c r="W154">
        <f>Model!AE188</f>
        <v>0</v>
      </c>
      <c r="X154">
        <f>Model!AF188</f>
        <v>0</v>
      </c>
      <c r="Y154">
        <f>Model!AG188</f>
        <v>0</v>
      </c>
      <c r="Z154">
        <f>Model!AH188</f>
        <v>0</v>
      </c>
      <c r="AA154">
        <f>Model!AI188</f>
        <v>0</v>
      </c>
      <c r="AB154">
        <f>Model!AJ188</f>
        <v>0</v>
      </c>
      <c r="AC154">
        <f>Model!AK188</f>
        <v>478.81200000000001</v>
      </c>
      <c r="AD154">
        <f>Model!AL188</f>
        <v>547.78700000000003</v>
      </c>
      <c r="AE154">
        <f>Model!AM188</f>
        <v>602.20500000000004</v>
      </c>
      <c r="AF154">
        <f>Model!AN188</f>
        <v>525.57099999999991</v>
      </c>
      <c r="AG154">
        <f>Model!AO188</f>
        <v>720.96799999999985</v>
      </c>
      <c r="AH154">
        <f>Model!AP188</f>
        <v>872.28400000000011</v>
      </c>
      <c r="AI154">
        <f>Model!AQ188</f>
        <v>799.57700000000023</v>
      </c>
      <c r="AJ154">
        <f>Model!AR188</f>
        <v>688.92299999999977</v>
      </c>
      <c r="AK154">
        <f>Model!AS188</f>
        <v>851.15699999999993</v>
      </c>
      <c r="AL154">
        <f>Model!AT188</f>
        <v>964.46399999999994</v>
      </c>
      <c r="AM154">
        <f>Model!AU188</f>
        <v>998.71499999999992</v>
      </c>
      <c r="AN154">
        <f>Model!AV188</f>
        <v>830.98300000000017</v>
      </c>
      <c r="AO154">
        <f>Model!AW188</f>
        <v>989.35000000000014</v>
      </c>
      <c r="AP154">
        <f>Model!AX188</f>
        <v>1153.8790000000004</v>
      </c>
      <c r="AQ154">
        <f>Model!AY188</f>
        <v>1121</v>
      </c>
      <c r="AR154">
        <f>Model!AZ188</f>
        <v>902</v>
      </c>
      <c r="AS154">
        <f>Model!BA188</f>
        <v>1129</v>
      </c>
      <c r="AT154">
        <f>Model!BB188</f>
        <v>1308</v>
      </c>
      <c r="AU154">
        <f>Model!BC188</f>
        <v>1268</v>
      </c>
      <c r="AV154">
        <f>Model!BD188</f>
        <v>1044</v>
      </c>
      <c r="AW154">
        <f>Model!BE188</f>
        <v>1260</v>
      </c>
      <c r="AX154">
        <f>Model!BF188</f>
        <v>1377</v>
      </c>
      <c r="AY154">
        <f>Model!BG188</f>
        <v>1359</v>
      </c>
      <c r="AZ154">
        <f>Model!BH188</f>
        <v>1090</v>
      </c>
      <c r="BA154">
        <f>Model!BI188</f>
        <v>1370</v>
      </c>
      <c r="BB154">
        <f>Model!BJ188</f>
        <v>1538</v>
      </c>
      <c r="BC154">
        <f>Model!BK188</f>
        <v>1586</v>
      </c>
      <c r="BD154">
        <f>Model!BL188</f>
        <v>1379</v>
      </c>
      <c r="BE154">
        <f>Model!BM188</f>
        <v>1637</v>
      </c>
      <c r="BF154">
        <f>Model!BN188</f>
        <v>1856</v>
      </c>
      <c r="BG154">
        <f>Model!BO188</f>
        <v>1743</v>
      </c>
      <c r="BH154">
        <f>Model!BP188</f>
        <v>1426</v>
      </c>
      <c r="BI154">
        <f>Model!BQ188</f>
        <v>1672</v>
      </c>
      <c r="BJ154">
        <f>Model!BR188</f>
        <v>1868</v>
      </c>
      <c r="BK154">
        <f>Model!BS188</f>
        <v>1700</v>
      </c>
      <c r="BL154">
        <f>Model!BT188</f>
        <v>1317</v>
      </c>
      <c r="BM154">
        <f>Model!BU188</f>
        <v>1640.7001174553604</v>
      </c>
      <c r="BN154">
        <f>Model!BV188</f>
        <v>1894.4845066380005</v>
      </c>
      <c r="BO154">
        <f>Model!BW188</f>
        <v>1880.7066796544</v>
      </c>
      <c r="BP154">
        <f>Model!BX188</f>
        <v>1462.8609324000004</v>
      </c>
      <c r="BQ154">
        <f>Model!BY188</f>
        <v>1686.5101607002885</v>
      </c>
      <c r="BR154">
        <f>Model!BZ188</f>
        <v>1951.7842296624005</v>
      </c>
      <c r="BS154">
        <f>Model!CA188</f>
        <v>1950.9062400262401</v>
      </c>
      <c r="BT154">
        <f>Model!CB188</f>
        <v>1528.8995229200004</v>
      </c>
      <c r="BU154">
        <f>Model!CC188</f>
        <v>1752.7231874213828</v>
      </c>
      <c r="BV154">
        <f>Model!CD188</f>
        <v>2030.6611899917707</v>
      </c>
      <c r="BW154">
        <f>Model!CE188</f>
        <v>2036.5336652221122</v>
      </c>
      <c r="BX154">
        <f>Model!CF188</f>
        <v>1601.7922710160008</v>
      </c>
      <c r="BY154">
        <f>Model!CG188</f>
        <v>0</v>
      </c>
      <c r="BZ154">
        <f>Model!CH188</f>
        <v>0</v>
      </c>
      <c r="CA154">
        <f>Model!CI188</f>
        <v>0</v>
      </c>
      <c r="CB154">
        <f>Model!CJ188</f>
        <v>0</v>
      </c>
      <c r="CC154">
        <f>Model!CK188</f>
        <v>0</v>
      </c>
      <c r="CD154">
        <f>Model!CL188</f>
        <v>0</v>
      </c>
      <c r="CE154">
        <f>Model!CM188</f>
        <v>0</v>
      </c>
      <c r="CF154">
        <f>Model!CN188</f>
        <v>2154.375</v>
      </c>
      <c r="CG154">
        <f>Model!CO188</f>
        <v>3081.752</v>
      </c>
      <c r="CH154">
        <f>Model!CP188</f>
        <v>3645.319</v>
      </c>
      <c r="CI154">
        <f>Model!CQ188</f>
        <v>4166.2290000000003</v>
      </c>
      <c r="CJ154">
        <f>Model!CR188</f>
        <v>4749</v>
      </c>
      <c r="CK154">
        <f>Model!CS188</f>
        <v>5086</v>
      </c>
      <c r="CL154">
        <f>Model!CT188</f>
        <v>5873</v>
      </c>
      <c r="CM154">
        <f>Model!CU188</f>
        <v>6662</v>
      </c>
      <c r="CN154">
        <f>Model!CV188</f>
        <v>6557</v>
      </c>
      <c r="CO154">
        <f>Model!CW188</f>
        <v>6878.7522361477622</v>
      </c>
      <c r="CP154">
        <f>Model!CX188</f>
        <v>7118.1001533089293</v>
      </c>
      <c r="CQ154">
        <f>Model!CY188</f>
        <v>7421.7103136512669</v>
      </c>
      <c r="CR154">
        <f>Model!CZ188</f>
        <v>7678.4162834531689</v>
      </c>
      <c r="CS154">
        <f>Model!DA188</f>
        <v>7877.977565852917</v>
      </c>
      <c r="CT154">
        <f>Model!DB188</f>
        <v>8022.6851354918481</v>
      </c>
      <c r="CU154">
        <f>Model!DC188</f>
        <v>8171.5720546913708</v>
      </c>
      <c r="CV154">
        <f>Model!DD188</f>
        <v>8324.5933906259143</v>
      </c>
      <c r="CW154">
        <f>Model!DE188</f>
        <v>8481.7161637950776</v>
      </c>
      <c r="CX154">
        <f>Model!DF188</f>
        <v>8642.9183018919593</v>
      </c>
    </row>
    <row r="155" spans="1:102">
      <c r="A155" t="str">
        <f>Model!I189</f>
        <v>Domestic Revenue % Domestic Bookings</v>
      </c>
      <c r="B155">
        <f>Model!J189</f>
        <v>0</v>
      </c>
      <c r="C155">
        <f>Model!K189</f>
        <v>0</v>
      </c>
      <c r="D155">
        <f>Model!L189</f>
        <v>0</v>
      </c>
      <c r="E155">
        <f>Model!M189</f>
        <v>0</v>
      </c>
      <c r="F155">
        <f>Model!N189</f>
        <v>0</v>
      </c>
      <c r="G155">
        <f>Model!O189</f>
        <v>0</v>
      </c>
      <c r="H155">
        <f>Model!P189</f>
        <v>0</v>
      </c>
      <c r="I155">
        <f>Model!Q189</f>
        <v>0</v>
      </c>
      <c r="J155">
        <f>Model!R189</f>
        <v>0</v>
      </c>
      <c r="K155">
        <f>Model!S189</f>
        <v>0</v>
      </c>
      <c r="L155">
        <f>Model!T189</f>
        <v>0</v>
      </c>
      <c r="M155">
        <f>Model!U189</f>
        <v>0</v>
      </c>
      <c r="N155">
        <f>Model!V189</f>
        <v>0</v>
      </c>
      <c r="O155">
        <f>Model!W189</f>
        <v>0</v>
      </c>
      <c r="P155">
        <f>Model!X189</f>
        <v>0</v>
      </c>
      <c r="Q155">
        <f>Model!Y189</f>
        <v>0</v>
      </c>
      <c r="R155">
        <f>Model!Z189</f>
        <v>0</v>
      </c>
      <c r="S155">
        <f>Model!AA189</f>
        <v>0</v>
      </c>
      <c r="T155">
        <f>Model!AB189</f>
        <v>0</v>
      </c>
      <c r="U155">
        <f>Model!AC189</f>
        <v>0</v>
      </c>
      <c r="V155">
        <f>Model!AD189</f>
        <v>0</v>
      </c>
      <c r="W155">
        <f>Model!AE189</f>
        <v>0</v>
      </c>
      <c r="X155">
        <f>Model!AF189</f>
        <v>0</v>
      </c>
      <c r="Y155">
        <f>Model!AG189</f>
        <v>0.46310286556949587</v>
      </c>
      <c r="Z155">
        <f>Model!AH189</f>
        <v>0.45650075250938676</v>
      </c>
      <c r="AA155">
        <f>Model!AI189</f>
        <v>0.48908572922940391</v>
      </c>
      <c r="AB155">
        <f>Model!AJ189</f>
        <v>0.50244286207043187</v>
      </c>
      <c r="AC155">
        <f>Model!AK189</f>
        <v>0.49625113823379535</v>
      </c>
      <c r="AD155">
        <f>Model!AL189</f>
        <v>0.48040935619136615</v>
      </c>
      <c r="AE155">
        <f>Model!AM189</f>
        <v>0.47406946139603612</v>
      </c>
      <c r="AF155">
        <f>Model!AN189</f>
        <v>0.44209631048897302</v>
      </c>
      <c r="AG155">
        <f>Model!AO189</f>
        <v>0.41529721152672527</v>
      </c>
      <c r="AH155">
        <f>Model!AP189</f>
        <v>0.40064474414296258</v>
      </c>
      <c r="AI155">
        <f>Model!AQ189</f>
        <v>0.42260970488145599</v>
      </c>
      <c r="AJ155">
        <f>Model!AR189</f>
        <v>0.40382597184300734</v>
      </c>
      <c r="AK155">
        <f>Model!AS189</f>
        <v>0.40821846028406039</v>
      </c>
      <c r="AL155">
        <f>Model!AT189</f>
        <v>0.42110540154946163</v>
      </c>
      <c r="AM155">
        <f>Model!AU189</f>
        <v>0.41429236568991157</v>
      </c>
      <c r="AN155">
        <f>Model!AV189</f>
        <v>0.38370580384917624</v>
      </c>
      <c r="AO155">
        <f>Model!AW189</f>
        <v>0.37256178298883086</v>
      </c>
      <c r="AP155">
        <f>Model!AX189</f>
        <v>0.38551615897334107</v>
      </c>
      <c r="AQ155">
        <f>Model!AY189</f>
        <v>0.41996431757359504</v>
      </c>
      <c r="AR155">
        <f>Model!AZ189</f>
        <v>0.39613747228381385</v>
      </c>
      <c r="AS155">
        <f>Model!BA189</f>
        <v>0.37300265721877773</v>
      </c>
      <c r="AT155">
        <f>Model!BB189</f>
        <v>0.37508868501529058</v>
      </c>
      <c r="AU155">
        <f>Model!BC189</f>
        <v>0.39495583596214517</v>
      </c>
      <c r="AV155">
        <f>Model!BD189</f>
        <v>0.36568007662835245</v>
      </c>
      <c r="AW155">
        <f>Model!BE189</f>
        <v>0.33352936507936515</v>
      </c>
      <c r="AX155">
        <f>Model!BF189</f>
        <v>0.33969426289034133</v>
      </c>
      <c r="AY155">
        <f>Model!BG189</f>
        <v>0.34680647534952169</v>
      </c>
      <c r="AZ155">
        <f>Model!BH189</f>
        <v>0.32535779816513771</v>
      </c>
      <c r="BA155">
        <f>Model!BI189</f>
        <v>0.29781897810218971</v>
      </c>
      <c r="BB155">
        <f>Model!BJ189</f>
        <v>0.31224837451235377</v>
      </c>
      <c r="BC155">
        <f>Model!BK189</f>
        <v>0.29628184110970984</v>
      </c>
      <c r="BD155">
        <f>Model!BL189</f>
        <v>0.2836497461928934</v>
      </c>
      <c r="BE155">
        <f>Model!BM189</f>
        <v>0.2637764202810019</v>
      </c>
      <c r="BF155">
        <f>Model!BN189</f>
        <v>0.25515894396551714</v>
      </c>
      <c r="BG155">
        <f>Model!BO189</f>
        <v>0.30780091795754438</v>
      </c>
      <c r="BH155">
        <f>Model!BP189</f>
        <v>0.28758555399719493</v>
      </c>
      <c r="BI155">
        <f>Model!BQ189</f>
        <v>0.26357296650717699</v>
      </c>
      <c r="BJ155">
        <f>Model!BR189</f>
        <v>0.25717184154175587</v>
      </c>
      <c r="BK155">
        <f>Model!BS189</f>
        <v>0.29582411764705874</v>
      </c>
      <c r="BL155">
        <f>Model!BT189</f>
        <v>0.303716780561883</v>
      </c>
      <c r="BM155">
        <f>Model!BU189</f>
        <v>0.27312669465460188</v>
      </c>
      <c r="BN155">
        <f>Model!BV189</f>
        <v>0.24064699310159846</v>
      </c>
      <c r="BO155">
        <f>Model!BW189</f>
        <v>0.20766236661198451</v>
      </c>
      <c r="BP155">
        <f>Model!BX189</f>
        <v>0.23818600407104557</v>
      </c>
      <c r="BQ155">
        <f>Model!BY189</f>
        <v>0.24868157321142445</v>
      </c>
      <c r="BR155">
        <f>Model!BZ189</f>
        <v>0.21752199528399477</v>
      </c>
      <c r="BS155">
        <f>Model!CA189</f>
        <v>0.2224755813965523</v>
      </c>
      <c r="BT155">
        <f>Model!CB189</f>
        <v>0.26364911098287502</v>
      </c>
      <c r="BU155">
        <f>Model!CC189</f>
        <v>0.22245455118895377</v>
      </c>
      <c r="BV155">
        <f>Model!CD189</f>
        <v>0.19623615124481633</v>
      </c>
      <c r="BW155">
        <f>Model!CE189</f>
        <v>0.22171853335179723</v>
      </c>
      <c r="BX155">
        <f>Model!CF189</f>
        <v>0.26337083897764901</v>
      </c>
      <c r="BY155">
        <f>Model!CG189</f>
        <v>0</v>
      </c>
      <c r="BZ155">
        <f>Model!CH189</f>
        <v>0</v>
      </c>
      <c r="CA155">
        <f>Model!CI189</f>
        <v>0</v>
      </c>
      <c r="CB155">
        <f>Model!CJ193</f>
        <v>0</v>
      </c>
      <c r="CC155">
        <f>Model!CK193</f>
        <v>0</v>
      </c>
      <c r="CD155">
        <f>Model!CL189</f>
        <v>0</v>
      </c>
      <c r="CE155">
        <f>Model!CM189</f>
        <v>0.47628130718424183</v>
      </c>
      <c r="CF155">
        <f>Model!CN189</f>
        <v>0.47281137220771674</v>
      </c>
      <c r="CG155">
        <f>Model!CO189</f>
        <v>0.41048273839037019</v>
      </c>
      <c r="CH155">
        <f>Model!CP189</f>
        <v>0.40770423658395877</v>
      </c>
      <c r="CI155">
        <f>Model!CQ189</f>
        <v>0.39400834663673068</v>
      </c>
      <c r="CJ155">
        <f>Model!CR189</f>
        <v>0.37782901663508112</v>
      </c>
      <c r="CK155">
        <f>Model!CS189</f>
        <v>0.33699488792764459</v>
      </c>
      <c r="CL155">
        <f>Model!CT189</f>
        <v>0.29785561042056868</v>
      </c>
      <c r="CM155">
        <f>Model!CU189</f>
        <v>0.27799024317021914</v>
      </c>
      <c r="CN155">
        <f>Model!CV189</f>
        <v>0.27817401250571905</v>
      </c>
      <c r="CO155">
        <f>Model!CW189</f>
        <v>0.23885233013133148</v>
      </c>
      <c r="CP155">
        <f>Model!CX189</f>
        <v>0.23617004029067074</v>
      </c>
      <c r="CQ155">
        <f>Model!CY189</f>
        <v>0.2239097118929384</v>
      </c>
      <c r="CR155">
        <f>Model!CZ189</f>
        <v>0.22487731547602077</v>
      </c>
      <c r="CS155">
        <f>Model!DA189</f>
        <v>0.2255792791248232</v>
      </c>
      <c r="CT155">
        <f>Model!DB189</f>
        <v>0.22614190245928215</v>
      </c>
      <c r="CU155">
        <f>Model!DC189</f>
        <v>0.22671172270296472</v>
      </c>
      <c r="CV155">
        <f>Model!DD189</f>
        <v>0.22728641394454754</v>
      </c>
      <c r="CW155">
        <f>Model!DE189</f>
        <v>0.227863949507325</v>
      </c>
      <c r="CX155">
        <f>Model!DF189</f>
        <v>0.22844256864029108</v>
      </c>
    </row>
    <row r="156" spans="1:102">
      <c r="A156" t="str">
        <f>Model!I190</f>
        <v>% change Y/Y (in bp)</v>
      </c>
      <c r="B156">
        <f>Model!J190</f>
        <v>0</v>
      </c>
      <c r="C156">
        <f>Model!K190</f>
        <v>0</v>
      </c>
      <c r="D156">
        <f>Model!L190</f>
        <v>0</v>
      </c>
      <c r="E156">
        <f>Model!M190</f>
        <v>0</v>
      </c>
      <c r="F156">
        <f>Model!N190</f>
        <v>0</v>
      </c>
      <c r="G156">
        <f>Model!O190</f>
        <v>0</v>
      </c>
      <c r="H156">
        <f>Model!P190</f>
        <v>0</v>
      </c>
      <c r="I156">
        <f>Model!Q190</f>
        <v>0</v>
      </c>
      <c r="J156">
        <f>Model!R190</f>
        <v>0</v>
      </c>
      <c r="K156">
        <f>Model!S190</f>
        <v>0</v>
      </c>
      <c r="L156">
        <f>Model!T190</f>
        <v>0</v>
      </c>
      <c r="M156">
        <f>Model!U190</f>
        <v>0</v>
      </c>
      <c r="N156">
        <f>Model!V190</f>
        <v>0</v>
      </c>
      <c r="O156">
        <f>Model!W190</f>
        <v>0</v>
      </c>
      <c r="P156">
        <f>Model!X190</f>
        <v>0</v>
      </c>
      <c r="Q156">
        <f>Model!Y190</f>
        <v>0</v>
      </c>
      <c r="R156">
        <f>Model!Z190</f>
        <v>0</v>
      </c>
      <c r="S156">
        <f>Model!AA190</f>
        <v>0</v>
      </c>
      <c r="T156">
        <f>Model!AB190</f>
        <v>0</v>
      </c>
      <c r="U156">
        <f>Model!AC190</f>
        <v>0</v>
      </c>
      <c r="V156">
        <f>Model!AD190</f>
        <v>0</v>
      </c>
      <c r="W156">
        <f>Model!AE190</f>
        <v>0</v>
      </c>
      <c r="X156">
        <f>Model!AF190</f>
        <v>0</v>
      </c>
      <c r="Y156">
        <f>Model!AG190</f>
        <v>0</v>
      </c>
      <c r="Z156">
        <f>Model!AH190</f>
        <v>0</v>
      </c>
      <c r="AA156">
        <f>Model!AI190</f>
        <v>0</v>
      </c>
      <c r="AB156">
        <f>Model!AJ190</f>
        <v>0</v>
      </c>
      <c r="AC156">
        <f>Model!AK190</f>
        <v>331.48272664299481</v>
      </c>
      <c r="AD156">
        <f>Model!AL190</f>
        <v>239.08603681979389</v>
      </c>
      <c r="AE156">
        <f>Model!AM190</f>
        <v>-150.16267833367792</v>
      </c>
      <c r="AF156">
        <f>Model!AN190</f>
        <v>-603.46551581458857</v>
      </c>
      <c r="AG156">
        <f>Model!AO190</f>
        <v>-809.53926707070082</v>
      </c>
      <c r="AH156">
        <f>Model!AP190</f>
        <v>-797.64612048403569</v>
      </c>
      <c r="AI156">
        <f>Model!AQ190</f>
        <v>-514.59756514580124</v>
      </c>
      <c r="AJ156">
        <f>Model!AR190</f>
        <v>-382.70338645965683</v>
      </c>
      <c r="AK156">
        <f>Model!AS190</f>
        <v>-70.787512426648817</v>
      </c>
      <c r="AL156">
        <f>Model!AT190</f>
        <v>204.6065740649905</v>
      </c>
      <c r="AM156">
        <f>Model!AU190</f>
        <v>-83.173391915444256</v>
      </c>
      <c r="AN156">
        <f>Model!AV190</f>
        <v>-201.20167993831095</v>
      </c>
      <c r="AO156">
        <f>Model!AW190</f>
        <v>-356.56677295229531</v>
      </c>
      <c r="AP156">
        <f>Model!AX190</f>
        <v>-355.89242576120563</v>
      </c>
      <c r="AQ156">
        <f>Model!AY190</f>
        <v>56.719518836834681</v>
      </c>
      <c r="AR156">
        <f>Model!AZ190</f>
        <v>124.31668434637611</v>
      </c>
      <c r="AS156">
        <f>Model!BA190</f>
        <v>4.4087422994687486</v>
      </c>
      <c r="AT156">
        <f>Model!BB190</f>
        <v>-104.27473958050493</v>
      </c>
      <c r="AU156">
        <f>Model!BC190</f>
        <v>-250.08481611449861</v>
      </c>
      <c r="AV156">
        <f>Model!BD190</f>
        <v>-304.57395655461403</v>
      </c>
      <c r="AW156">
        <f>Model!BE190</f>
        <v>-394.73292139412587</v>
      </c>
      <c r="AX156">
        <f>Model!BF190</f>
        <v>-353.94422124949256</v>
      </c>
      <c r="AY156">
        <f>Model!BG190</f>
        <v>-481.49360612623479</v>
      </c>
      <c r="AZ156">
        <f>Model!BH190</f>
        <v>-403.22278463214735</v>
      </c>
      <c r="BA156">
        <f>Model!BI190</f>
        <v>-357.10386977175432</v>
      </c>
      <c r="BB156">
        <f>Model!BJ190</f>
        <v>-274.45888377987558</v>
      </c>
      <c r="BC156">
        <f>Model!BK190</f>
        <v>-505.24634239811849</v>
      </c>
      <c r="BD156">
        <f>Model!BL190</f>
        <v>-417.08051972244311</v>
      </c>
      <c r="BE156">
        <f>Model!BM190</f>
        <v>-340.42557821187813</v>
      </c>
      <c r="BF156">
        <f>Model!BN190</f>
        <v>-570.89430546836627</v>
      </c>
      <c r="BG156">
        <f>Model!BO190</f>
        <v>115.19076847834542</v>
      </c>
      <c r="BH156">
        <f>Model!BP190</f>
        <v>39.358078043015276</v>
      </c>
      <c r="BI156">
        <f>Model!BQ190</f>
        <v>-2.0345377382491314</v>
      </c>
      <c r="BJ156">
        <f>Model!BR190</f>
        <v>20.12897576238737</v>
      </c>
      <c r="BK156">
        <f>Model!BS190</f>
        <v>-119.76800310485646</v>
      </c>
      <c r="BL156">
        <f>Model!BT190</f>
        <v>161.31226564688072</v>
      </c>
      <c r="BM156">
        <f>Model!BU190</f>
        <v>95.537281474248886</v>
      </c>
      <c r="BN156">
        <f>Model!BV190</f>
        <v>-165.24848440157419</v>
      </c>
      <c r="BO156">
        <f>Model!BW190</f>
        <v>-881.61751035074235</v>
      </c>
      <c r="BP156">
        <f>Model!BX190</f>
        <v>-655.30776490837434</v>
      </c>
      <c r="BQ156">
        <f>Model!BY190</f>
        <v>-244.45121443177425</v>
      </c>
      <c r="BR156">
        <f>Model!BZ190</f>
        <v>-231.24997817603688</v>
      </c>
      <c r="BS156">
        <f>Model!CA190</f>
        <v>148.13214784567791</v>
      </c>
      <c r="BT156">
        <f>Model!CB190</f>
        <v>254.63106911829459</v>
      </c>
      <c r="BU156">
        <f>Model!CC190</f>
        <v>-262.2702202247068</v>
      </c>
      <c r="BV156">
        <f>Model!CD190</f>
        <v>-212.85844039178437</v>
      </c>
      <c r="BW156">
        <f>Model!CE190</f>
        <v>-7.5704804475507093</v>
      </c>
      <c r="BX156">
        <f>Model!CF190</f>
        <v>-2.7827200522601014</v>
      </c>
      <c r="BY156">
        <f>Model!CG190</f>
        <v>0</v>
      </c>
      <c r="BZ156">
        <f>Model!CH190</f>
        <v>0</v>
      </c>
      <c r="CB156">
        <f>Model!CJ194</f>
        <v>0</v>
      </c>
      <c r="CC156">
        <f>Model!CK194</f>
        <v>0</v>
      </c>
      <c r="CD156">
        <f>Model!CL190</f>
        <v>0</v>
      </c>
      <c r="CE156">
        <f>Model!CM190</f>
        <v>0</v>
      </c>
      <c r="CF156">
        <f>Model!CN190</f>
        <v>-34.699349765250908</v>
      </c>
      <c r="CG156">
        <f>Model!CO190</f>
        <v>-623.28633817346542</v>
      </c>
      <c r="CH156">
        <f>Model!CP190</f>
        <v>-27.785018064114265</v>
      </c>
      <c r="CI156">
        <f>Model!CQ190</f>
        <v>-136.9588994722809</v>
      </c>
      <c r="CJ156">
        <f>Model!CR190</f>
        <v>-161.79330001649561</v>
      </c>
      <c r="CK156">
        <f>Model!CS190</f>
        <v>-408.34128707436525</v>
      </c>
      <c r="CL156">
        <f>Model!CT190</f>
        <v>-391.39277507075911</v>
      </c>
      <c r="CM156">
        <f>Model!CU190</f>
        <v>-198.65367250349541</v>
      </c>
      <c r="CN156">
        <f>Model!CV190</f>
        <v>1.8376933549990593</v>
      </c>
      <c r="CO156">
        <f>Model!CW190</f>
        <v>-393.21682374387575</v>
      </c>
      <c r="CP156">
        <f>Model!CX190</f>
        <v>-26.822898406607397</v>
      </c>
      <c r="CQ156">
        <f>Model!CY190</f>
        <v>-122.60328397732334</v>
      </c>
      <c r="CR156">
        <f>Model!CZ190</f>
        <v>9.6760358308237144</v>
      </c>
      <c r="CS156">
        <f>Model!DA190</f>
        <v>7.0196364880242834</v>
      </c>
      <c r="CT156">
        <f>Model!DB190</f>
        <v>5.6262333445894486</v>
      </c>
      <c r="CU156">
        <f>Model!DC190</f>
        <v>5.6982024368257278</v>
      </c>
      <c r="CV156">
        <f>Model!DD190</f>
        <v>5.7469124158282536</v>
      </c>
      <c r="CW156">
        <f>Model!DE190</f>
        <v>5.7753556277745366</v>
      </c>
      <c r="CX156">
        <f>Model!DF190</f>
        <v>5.7861913296608503</v>
      </c>
    </row>
    <row r="157" spans="1:102">
      <c r="A157" t="str">
        <f>Model!I191</f>
        <v>Two Year</v>
      </c>
      <c r="B157">
        <f>Model!J191</f>
        <v>0</v>
      </c>
      <c r="C157">
        <f>Model!K191</f>
        <v>0</v>
      </c>
      <c r="D157">
        <f>Model!L191</f>
        <v>0</v>
      </c>
      <c r="E157">
        <f>Model!M191</f>
        <v>0</v>
      </c>
      <c r="F157">
        <f>Model!N191</f>
        <v>0</v>
      </c>
      <c r="G157">
        <f>Model!O191</f>
        <v>0</v>
      </c>
      <c r="H157">
        <f>Model!P191</f>
        <v>0</v>
      </c>
      <c r="I157">
        <f>Model!Q191</f>
        <v>0</v>
      </c>
      <c r="J157">
        <f>Model!R191</f>
        <v>0</v>
      </c>
      <c r="K157">
        <f>Model!S191</f>
        <v>0</v>
      </c>
      <c r="L157">
        <f>Model!T191</f>
        <v>0</v>
      </c>
      <c r="M157">
        <f>Model!U191</f>
        <v>0</v>
      </c>
      <c r="N157">
        <f>Model!V191</f>
        <v>0</v>
      </c>
      <c r="O157">
        <f>Model!W191</f>
        <v>0</v>
      </c>
      <c r="P157">
        <f>Model!X191</f>
        <v>0</v>
      </c>
      <c r="Q157">
        <f>Model!Y191</f>
        <v>0</v>
      </c>
      <c r="R157">
        <f>Model!Z191</f>
        <v>0</v>
      </c>
      <c r="S157">
        <f>Model!AA191</f>
        <v>0</v>
      </c>
      <c r="T157">
        <f>Model!AB191</f>
        <v>0</v>
      </c>
      <c r="U157">
        <f>Model!AC191</f>
        <v>0</v>
      </c>
      <c r="V157">
        <f>Model!AD191</f>
        <v>0</v>
      </c>
      <c r="W157">
        <f>Model!AE191</f>
        <v>0</v>
      </c>
      <c r="X157">
        <f>Model!AF191</f>
        <v>0</v>
      </c>
      <c r="Y157">
        <f>Model!AG191</f>
        <v>0</v>
      </c>
      <c r="Z157">
        <f>Model!AH191</f>
        <v>0</v>
      </c>
      <c r="AA157">
        <f>Model!AI191</f>
        <v>0</v>
      </c>
      <c r="AB157">
        <f>Model!AJ191</f>
        <v>0</v>
      </c>
      <c r="AC157">
        <f>Model!AK191</f>
        <v>331.48272664299481</v>
      </c>
      <c r="AD157">
        <f>Model!AL191</f>
        <v>239.08603681979389</v>
      </c>
      <c r="AE157">
        <f>Model!AM191</f>
        <v>-150.16267833367792</v>
      </c>
      <c r="AF157">
        <f>Model!AN191</f>
        <v>-603.46551581458857</v>
      </c>
      <c r="AG157">
        <f>Model!AO191</f>
        <v>-478.05654042770601</v>
      </c>
      <c r="AH157">
        <f>Model!AP191</f>
        <v>-558.5600836642418</v>
      </c>
      <c r="AI157">
        <f>Model!AQ191</f>
        <v>-664.76024347947919</v>
      </c>
      <c r="AJ157">
        <f>Model!AR191</f>
        <v>-986.1689022742454</v>
      </c>
      <c r="AK157">
        <f>Model!AS191</f>
        <v>-880.32677949734966</v>
      </c>
      <c r="AL157">
        <f>Model!AT191</f>
        <v>-593.03954641904522</v>
      </c>
      <c r="AM157">
        <f>Model!AU191</f>
        <v>-597.77095706124555</v>
      </c>
      <c r="AN157">
        <f>Model!AV191</f>
        <v>-583.90506639796774</v>
      </c>
      <c r="AO157">
        <f>Model!AW191</f>
        <v>-427.35428537894416</v>
      </c>
      <c r="AP157">
        <f>Model!AX191</f>
        <v>-151.28585169621513</v>
      </c>
      <c r="AQ157">
        <f>Model!AY191</f>
        <v>-26.453873078609575</v>
      </c>
      <c r="AR157">
        <f>Model!AZ191</f>
        <v>-76.884995591934839</v>
      </c>
      <c r="AS157">
        <f>Model!BA191</f>
        <v>-352.15803065282654</v>
      </c>
      <c r="AT157">
        <f>Model!BB191</f>
        <v>-460.16716534171053</v>
      </c>
      <c r="AU157">
        <f>Model!BC191</f>
        <v>-193.36529727766393</v>
      </c>
      <c r="AV157">
        <f>Model!BD191</f>
        <v>-180.25727220823791</v>
      </c>
      <c r="AW157">
        <f>Model!BE191</f>
        <v>-390.3241790946571</v>
      </c>
      <c r="AX157">
        <f>Model!BF191</f>
        <v>-458.21896082999751</v>
      </c>
      <c r="AY157">
        <f>Model!BG191</f>
        <v>-731.5784222407334</v>
      </c>
      <c r="AZ157">
        <f>Model!BH191</f>
        <v>-707.79674118676144</v>
      </c>
      <c r="BA157">
        <f>Model!BI191</f>
        <v>-751.83679116588019</v>
      </c>
      <c r="BB157">
        <f>Model!BJ191</f>
        <v>-628.40310502936813</v>
      </c>
      <c r="BC157">
        <f>Model!BK191</f>
        <v>-986.73994852435328</v>
      </c>
      <c r="BD157">
        <f>Model!BL191</f>
        <v>-820.30330435459041</v>
      </c>
      <c r="BE157">
        <f>Model!BM191</f>
        <v>-697.52944798363251</v>
      </c>
      <c r="BF157">
        <f>Model!BN191</f>
        <v>-845.35318924824185</v>
      </c>
      <c r="BG157">
        <f>Model!BO191</f>
        <v>-390.05557391977305</v>
      </c>
      <c r="BH157">
        <f>Model!BP191</f>
        <v>-377.72244167942785</v>
      </c>
      <c r="BI157">
        <f>Model!BQ191</f>
        <v>-342.46011595012726</v>
      </c>
      <c r="BJ157">
        <f>Model!BR191</f>
        <v>-550.76532970597896</v>
      </c>
      <c r="BK157">
        <f>Model!BS191</f>
        <v>-4.5772346265110428</v>
      </c>
      <c r="BL157">
        <f>Model!BT191</f>
        <v>200.67034368989599</v>
      </c>
      <c r="BM157">
        <f>Model!BU191</f>
        <v>93.502743735999758</v>
      </c>
      <c r="BN157">
        <f>Model!BV191</f>
        <v>-145.11950863918682</v>
      </c>
      <c r="BO157">
        <f>Model!BW191</f>
        <v>-1001.3855134555988</v>
      </c>
      <c r="BP157">
        <f>Model!BX191</f>
        <v>-493.99549926149359</v>
      </c>
      <c r="BQ157">
        <f>Model!BY191</f>
        <v>-148.91393295752536</v>
      </c>
      <c r="BR157">
        <f>Model!BZ191</f>
        <v>-396.49846257761106</v>
      </c>
      <c r="BS157">
        <f>Model!CA191</f>
        <v>-733.48536250506447</v>
      </c>
      <c r="BT157">
        <f>Model!CB191</f>
        <v>-400.67669579007975</v>
      </c>
      <c r="BU157">
        <f>Model!CC191</f>
        <v>-506.72143465648105</v>
      </c>
      <c r="BV157">
        <f>Model!CD191</f>
        <v>-444.10841856782122</v>
      </c>
      <c r="BW157">
        <f>Model!CE191</f>
        <v>140.56166739812718</v>
      </c>
      <c r="BX157">
        <f>Model!CF191</f>
        <v>251.8483490660345</v>
      </c>
      <c r="BY157">
        <f>Model!CG191</f>
        <v>0</v>
      </c>
      <c r="BZ157">
        <f>Model!CH191</f>
        <v>0</v>
      </c>
      <c r="CA157">
        <f>Model!CI191</f>
        <v>0</v>
      </c>
      <c r="CB157">
        <f>Model!CJ195</f>
        <v>0</v>
      </c>
      <c r="CC157">
        <f>Model!CK195</f>
        <v>0</v>
      </c>
      <c r="CD157">
        <f>Model!CL191</f>
        <v>0</v>
      </c>
      <c r="CE157">
        <f>Model!CM191</f>
        <v>0</v>
      </c>
      <c r="CF157">
        <f>Model!CN191</f>
        <v>-34.699349765250908</v>
      </c>
      <c r="CG157">
        <f>Model!CO191</f>
        <v>-657.9856879387163</v>
      </c>
      <c r="CH157">
        <f>Model!CP191</f>
        <v>-651.07135623757972</v>
      </c>
      <c r="CI157">
        <f>Model!CQ191</f>
        <v>-164.74391753639517</v>
      </c>
      <c r="CJ157">
        <f>Model!CR191</f>
        <v>-298.75219948877651</v>
      </c>
      <c r="CK157">
        <f>Model!CS191</f>
        <v>-570.1345870908608</v>
      </c>
      <c r="CL157">
        <f>Model!CT191</f>
        <v>-799.73406214512443</v>
      </c>
      <c r="CM157">
        <f>Model!CU191</f>
        <v>-590.04644757425456</v>
      </c>
      <c r="CN157">
        <f>Model!CV191</f>
        <v>-196.81597914849635</v>
      </c>
      <c r="CO157">
        <f>Model!CW191</f>
        <v>-391.37913038887672</v>
      </c>
      <c r="CP157">
        <f>Model!CX191</f>
        <v>-420.03972215048316</v>
      </c>
      <c r="CQ157">
        <f>Model!CY191</f>
        <v>-149.42618238393075</v>
      </c>
      <c r="CR157">
        <f>Model!CZ191</f>
        <v>-112.92724814649964</v>
      </c>
      <c r="CS157">
        <f>Model!DA191</f>
        <v>16.695672318847997</v>
      </c>
      <c r="CT157">
        <f>Model!DB191</f>
        <v>12.645869832613732</v>
      </c>
      <c r="CU157">
        <f>Model!DC191</f>
        <v>11.324435781415175</v>
      </c>
      <c r="CV157">
        <f>Model!DD191</f>
        <v>11.445114852653981</v>
      </c>
      <c r="CW157">
        <f>Model!DE191</f>
        <v>11.522268043602789</v>
      </c>
      <c r="CX157">
        <f>Model!DF191</f>
        <v>11.561546957435386</v>
      </c>
    </row>
    <row r="158" spans="1:102">
      <c r="A158">
        <f>Model!I192</f>
        <v>0</v>
      </c>
      <c r="B158">
        <f>Model!J192</f>
        <v>0</v>
      </c>
      <c r="C158">
        <f>Model!K192</f>
        <v>0</v>
      </c>
      <c r="D158">
        <f>Model!L192</f>
        <v>0</v>
      </c>
      <c r="E158">
        <f>Model!M192</f>
        <v>0</v>
      </c>
      <c r="F158">
        <f>Model!N192</f>
        <v>0</v>
      </c>
      <c r="G158">
        <f>Model!O192</f>
        <v>0</v>
      </c>
      <c r="H158">
        <f>Model!P192</f>
        <v>0</v>
      </c>
      <c r="I158">
        <f>Model!Q192</f>
        <v>0</v>
      </c>
      <c r="J158">
        <f>Model!R192</f>
        <v>0</v>
      </c>
      <c r="K158">
        <f>Model!S192</f>
        <v>0</v>
      </c>
      <c r="L158">
        <f>Model!T192</f>
        <v>0</v>
      </c>
      <c r="M158">
        <f>Model!U192</f>
        <v>0</v>
      </c>
      <c r="N158">
        <f>Model!V192</f>
        <v>0</v>
      </c>
      <c r="O158">
        <f>Model!W192</f>
        <v>0</v>
      </c>
      <c r="P158">
        <f>Model!X192</f>
        <v>0</v>
      </c>
      <c r="Q158">
        <f>Model!Y192</f>
        <v>0</v>
      </c>
      <c r="R158">
        <f>Model!Z192</f>
        <v>0</v>
      </c>
      <c r="S158">
        <f>Model!AA192</f>
        <v>0</v>
      </c>
      <c r="T158">
        <f>Model!AB192</f>
        <v>0</v>
      </c>
      <c r="U158">
        <f>Model!AC192</f>
        <v>0</v>
      </c>
      <c r="V158">
        <f>Model!AD192</f>
        <v>0</v>
      </c>
      <c r="W158">
        <f>Model!AE192</f>
        <v>0</v>
      </c>
      <c r="X158">
        <f>Model!AF192</f>
        <v>0</v>
      </c>
      <c r="Y158">
        <f>Model!AG192</f>
        <v>0</v>
      </c>
      <c r="Z158">
        <f>Model!AH192</f>
        <v>0</v>
      </c>
      <c r="AA158">
        <f>Model!AI192</f>
        <v>0</v>
      </c>
      <c r="AB158">
        <f>Model!AJ192</f>
        <v>0</v>
      </c>
      <c r="AC158">
        <f>Model!AK192</f>
        <v>0</v>
      </c>
      <c r="AD158">
        <f>Model!AL192</f>
        <v>0</v>
      </c>
      <c r="AE158">
        <f>Model!AM192</f>
        <v>0</v>
      </c>
      <c r="AF158">
        <f>Model!AN192</f>
        <v>0</v>
      </c>
      <c r="AG158">
        <f>Model!AO192</f>
        <v>0</v>
      </c>
      <c r="AH158">
        <f>Model!AP192</f>
        <v>0</v>
      </c>
      <c r="AI158">
        <f>Model!AQ192</f>
        <v>0</v>
      </c>
      <c r="AJ158">
        <f>Model!AR192</f>
        <v>0</v>
      </c>
      <c r="AK158">
        <f>Model!AS192</f>
        <v>0</v>
      </c>
      <c r="AL158">
        <f>Model!AT192</f>
        <v>0</v>
      </c>
      <c r="AM158">
        <f>Model!AU192</f>
        <v>0</v>
      </c>
      <c r="AN158">
        <f>Model!AV192</f>
        <v>0</v>
      </c>
      <c r="AO158">
        <f>Model!AW192</f>
        <v>0</v>
      </c>
      <c r="AP158">
        <f>Model!AX192</f>
        <v>0</v>
      </c>
      <c r="AQ158">
        <f>Model!AY192</f>
        <v>0</v>
      </c>
      <c r="AR158">
        <f>Model!AZ192</f>
        <v>0</v>
      </c>
      <c r="AS158">
        <f>Model!BA192</f>
        <v>0</v>
      </c>
      <c r="AT158">
        <f>Model!BB192</f>
        <v>0</v>
      </c>
      <c r="AU158">
        <f>Model!BC192</f>
        <v>0</v>
      </c>
      <c r="AV158">
        <f>Model!BD192</f>
        <v>0</v>
      </c>
      <c r="AW158">
        <f>Model!BE192</f>
        <v>0</v>
      </c>
      <c r="AX158">
        <f>Model!BF192</f>
        <v>0</v>
      </c>
      <c r="AY158">
        <f>Model!BG192</f>
        <v>0</v>
      </c>
      <c r="AZ158">
        <f>Model!BH192</f>
        <v>0</v>
      </c>
      <c r="BA158">
        <f>Model!BI192</f>
        <v>0</v>
      </c>
      <c r="BB158">
        <f>Model!BJ192</f>
        <v>0</v>
      </c>
      <c r="BC158">
        <f>Model!BK192</f>
        <v>0</v>
      </c>
      <c r="BD158">
        <f>Model!BL192</f>
        <v>0</v>
      </c>
      <c r="BE158">
        <f>Model!BM192</f>
        <v>0</v>
      </c>
      <c r="BF158">
        <f>Model!BN192</f>
        <v>0</v>
      </c>
      <c r="BG158">
        <f>Model!BO192</f>
        <v>0</v>
      </c>
      <c r="BH158">
        <f>Model!BP192</f>
        <v>0</v>
      </c>
      <c r="BI158">
        <f>Model!BQ192</f>
        <v>0</v>
      </c>
      <c r="BJ158">
        <f>Model!BR192</f>
        <v>0</v>
      </c>
      <c r="BK158">
        <f>Model!BS192</f>
        <v>0</v>
      </c>
      <c r="BL158">
        <f>Model!BT192</f>
        <v>0</v>
      </c>
      <c r="BM158">
        <f>Model!BU192</f>
        <v>0</v>
      </c>
      <c r="BN158">
        <f>Model!BV192</f>
        <v>0</v>
      </c>
      <c r="BO158">
        <f>Model!BW192</f>
        <v>0</v>
      </c>
      <c r="BP158">
        <f>Model!BX192</f>
        <v>0</v>
      </c>
      <c r="BQ158">
        <f>Model!BY192</f>
        <v>0</v>
      </c>
      <c r="BR158">
        <f>Model!BZ192</f>
        <v>0</v>
      </c>
      <c r="BS158">
        <f>Model!CA192</f>
        <v>0</v>
      </c>
      <c r="BT158">
        <f>Model!CB192</f>
        <v>0</v>
      </c>
      <c r="BU158">
        <f>Model!CC192</f>
        <v>0</v>
      </c>
      <c r="BV158">
        <f>Model!CD192</f>
        <v>0</v>
      </c>
      <c r="BW158">
        <f>Model!CE192</f>
        <v>0</v>
      </c>
      <c r="BX158">
        <f>Model!CF192</f>
        <v>0</v>
      </c>
      <c r="BY158">
        <f>Model!CG192</f>
        <v>0</v>
      </c>
      <c r="BZ158">
        <f>Model!CH192</f>
        <v>0</v>
      </c>
      <c r="CA158">
        <f>Model!CI190</f>
        <v>0</v>
      </c>
      <c r="CB158">
        <f>Model!CJ190</f>
        <v>0</v>
      </c>
      <c r="CC158">
        <f>Model!CK190</f>
        <v>0</v>
      </c>
      <c r="CD158">
        <f>Model!CL192</f>
        <v>0</v>
      </c>
      <c r="CE158">
        <f>Model!CM192</f>
        <v>0</v>
      </c>
      <c r="CF158">
        <f>Model!CN192</f>
        <v>0</v>
      </c>
      <c r="CG158">
        <f>Model!CO192</f>
        <v>0</v>
      </c>
      <c r="CH158">
        <f>Model!CP192</f>
        <v>0</v>
      </c>
      <c r="CI158">
        <f>Model!CQ192</f>
        <v>0</v>
      </c>
      <c r="CJ158">
        <f>Model!CR192</f>
        <v>0</v>
      </c>
      <c r="CK158">
        <f>Model!CS192</f>
        <v>0</v>
      </c>
      <c r="CL158">
        <f>Model!CT192</f>
        <v>0</v>
      </c>
      <c r="CM158">
        <f>Model!CU192</f>
        <v>0</v>
      </c>
      <c r="CN158">
        <f>Model!CV192</f>
        <v>0</v>
      </c>
      <c r="CO158">
        <f>Model!CW192</f>
        <v>0</v>
      </c>
      <c r="CP158">
        <f>Model!CX192</f>
        <v>0</v>
      </c>
      <c r="CQ158">
        <f>Model!CY192</f>
        <v>0</v>
      </c>
      <c r="CR158">
        <f>Model!CZ192</f>
        <v>0</v>
      </c>
      <c r="CS158">
        <f>Model!DA192</f>
        <v>0</v>
      </c>
      <c r="CT158">
        <f>Model!DB192</f>
        <v>0</v>
      </c>
      <c r="CU158">
        <f>Model!DC192</f>
        <v>0</v>
      </c>
      <c r="CV158">
        <f>Model!DD192</f>
        <v>0</v>
      </c>
      <c r="CW158">
        <f>Model!DE192</f>
        <v>0</v>
      </c>
      <c r="CX158">
        <f>Model!DF192</f>
        <v>0</v>
      </c>
    </row>
    <row r="159" spans="1:102">
      <c r="A159" t="str">
        <f>Model!I193</f>
        <v>Domestic GP % of Domestic Gross Revenue  (For Revenue Gross up)</v>
      </c>
      <c r="B159">
        <f>Model!J193</f>
        <v>0</v>
      </c>
      <c r="C159">
        <f>Model!K193</f>
        <v>0</v>
      </c>
      <c r="D159">
        <f>Model!L193</f>
        <v>0</v>
      </c>
      <c r="E159">
        <f>Model!M193</f>
        <v>0</v>
      </c>
      <c r="F159">
        <f>Model!N193</f>
        <v>0</v>
      </c>
      <c r="G159">
        <f>Model!O193</f>
        <v>0</v>
      </c>
      <c r="H159">
        <f>Model!P193</f>
        <v>0</v>
      </c>
      <c r="I159">
        <f>Model!Q193</f>
        <v>0</v>
      </c>
      <c r="J159">
        <f>Model!R193</f>
        <v>0</v>
      </c>
      <c r="K159">
        <f>Model!S193</f>
        <v>0</v>
      </c>
      <c r="L159">
        <f>Model!T193</f>
        <v>0</v>
      </c>
      <c r="M159">
        <f>Model!U193</f>
        <v>0</v>
      </c>
      <c r="N159">
        <f>Model!V193</f>
        <v>0</v>
      </c>
      <c r="O159">
        <f>Model!W193</f>
        <v>0</v>
      </c>
      <c r="P159">
        <f>Model!X193</f>
        <v>0</v>
      </c>
      <c r="Q159">
        <f>Model!Y193</f>
        <v>0</v>
      </c>
      <c r="R159">
        <f>Model!Z193</f>
        <v>0</v>
      </c>
      <c r="S159">
        <f>Model!AA193</f>
        <v>0</v>
      </c>
      <c r="T159">
        <f>Model!AB193</f>
        <v>0</v>
      </c>
      <c r="U159">
        <f>Model!AC193</f>
        <v>0</v>
      </c>
      <c r="V159">
        <f>Model!AD193</f>
        <v>0</v>
      </c>
      <c r="W159">
        <f>Model!AE193</f>
        <v>0</v>
      </c>
      <c r="X159">
        <f>Model!AF193</f>
        <v>0</v>
      </c>
      <c r="Y159">
        <f>Model!AG193</f>
        <v>0</v>
      </c>
      <c r="Z159">
        <f>Model!AH193</f>
        <v>0</v>
      </c>
      <c r="AA159">
        <f>Model!AI193</f>
        <v>0</v>
      </c>
      <c r="AB159">
        <f>Model!AJ193</f>
        <v>0</v>
      </c>
      <c r="AC159">
        <f>Model!AK193</f>
        <v>0.21057823084911775</v>
      </c>
      <c r="AD159">
        <f>Model!AL193</f>
        <v>0.2134755395085334</v>
      </c>
      <c r="AE159">
        <f>Model!AM193</f>
        <v>0.21894110337159486</v>
      </c>
      <c r="AF159">
        <f>Model!AN193</f>
        <v>0.2224403067590911</v>
      </c>
      <c r="AG159">
        <f>Model!AO193</f>
        <v>0.22236965563600214</v>
      </c>
      <c r="AH159">
        <f>Model!AP193</f>
        <v>0.21781011718526946</v>
      </c>
      <c r="AI159">
        <f>Model!AQ193</f>
        <v>0.23093475829968776</v>
      </c>
      <c r="AJ159">
        <f>Model!AR193</f>
        <v>0.23696327026590838</v>
      </c>
      <c r="AK159">
        <f>Model!AS193</f>
        <v>0.22845920380617191</v>
      </c>
      <c r="AL159">
        <f>Model!AT193</f>
        <v>0.22439590500809686</v>
      </c>
      <c r="AM159">
        <f>Model!AU193</f>
        <v>0.23802000727574774</v>
      </c>
      <c r="AN159">
        <f>Model!AV193</f>
        <v>0.25236135889536843</v>
      </c>
      <c r="AO159">
        <f>Model!AW193</f>
        <v>0.23265140765662753</v>
      </c>
      <c r="AP159">
        <f>Model!AX193</f>
        <v>0.22845343317457087</v>
      </c>
      <c r="AQ159">
        <f>Model!AY193</f>
        <v>0.2591239757465133</v>
      </c>
      <c r="AR159">
        <f>Model!AZ193</f>
        <v>0.26269899547938402</v>
      </c>
      <c r="AS159">
        <f>Model!BA193</f>
        <v>0.23092091434018275</v>
      </c>
      <c r="AT159">
        <f>Model!BB193</f>
        <v>0.22786951704606354</v>
      </c>
      <c r="AU159">
        <f>Model!BC193</f>
        <v>0.27774600128158239</v>
      </c>
      <c r="AV159">
        <f>Model!BD193</f>
        <v>0.27426339874762967</v>
      </c>
      <c r="AW159">
        <f>Model!BE193</f>
        <v>0.25416863576863946</v>
      </c>
      <c r="AX159">
        <f>Model!BF193</f>
        <v>0.24796921977622971</v>
      </c>
      <c r="AY159">
        <f>Model!BG193</f>
        <v>0.30263189934210633</v>
      </c>
      <c r="AZ159">
        <f>Model!BH193</f>
        <v>0.27747212872279414</v>
      </c>
      <c r="BA159">
        <f>Model!BI193</f>
        <v>0.23463540972249017</v>
      </c>
      <c r="BB159">
        <f>Model!BJ193</f>
        <v>0.24680657419175517</v>
      </c>
      <c r="BC159">
        <f>Model!BK193</f>
        <v>0.32773824159722181</v>
      </c>
      <c r="BD159">
        <f>Model!BL193</f>
        <v>0.29946143821671845</v>
      </c>
      <c r="BE159">
        <f>Model!BM193</f>
        <v>0.26027884892395786</v>
      </c>
      <c r="BF159">
        <f>Model!BN193</f>
        <v>0.25464868232563709</v>
      </c>
      <c r="BG159">
        <f>Model!BO193</f>
        <v>0.29088640874962141</v>
      </c>
      <c r="BH159">
        <f>Model!BP193</f>
        <v>0.26622421235785493</v>
      </c>
      <c r="BI159">
        <f>Model!BQ193</f>
        <v>0.25722496915931536</v>
      </c>
      <c r="BJ159">
        <f>Model!BR193</f>
        <v>0.21111091534330445</v>
      </c>
      <c r="BK159">
        <f>Model!BS193</f>
        <v>0.38504182280432231</v>
      </c>
      <c r="BL159">
        <f>Model!BT193</f>
        <v>0.2623587927072481</v>
      </c>
      <c r="BM159">
        <f>Model!BU193</f>
        <v>0.18277453354939602</v>
      </c>
      <c r="BN159">
        <f>Model!BV193</f>
        <v>0.17090301652827961</v>
      </c>
      <c r="BO159">
        <f>Model!BW193</f>
        <v>0.44365109023670035</v>
      </c>
      <c r="BP159">
        <f>Model!BX193</f>
        <v>0.25096664557754961</v>
      </c>
      <c r="BQ159">
        <f>Model!BY193</f>
        <v>4.9666362964550619E-2</v>
      </c>
      <c r="BR159">
        <f>Model!BZ193</f>
        <v>6.0448137385062259E-2</v>
      </c>
      <c r="BS159">
        <f>Model!CA193</f>
        <v>0.51867274087457982</v>
      </c>
      <c r="BT159">
        <f>Model!CB193</f>
        <v>0.36847909671710316</v>
      </c>
      <c r="BU159">
        <f>Model!CC193</f>
        <v>4.9666362964550619E-2</v>
      </c>
      <c r="BV159">
        <f>Model!CD193</f>
        <v>6.0448137385062259E-2</v>
      </c>
      <c r="BW159">
        <f>Model!CE193</f>
        <v>0.51867274087457982</v>
      </c>
      <c r="BX159">
        <f>Model!CF193</f>
        <v>0.36847909671710316</v>
      </c>
      <c r="BY159">
        <f>Model!CG193</f>
        <v>0</v>
      </c>
      <c r="BZ159">
        <f>Model!CH193</f>
        <v>0</v>
      </c>
      <c r="CA159">
        <f>Model!CI193</f>
        <v>0</v>
      </c>
      <c r="CD159">
        <f>Model!CL193</f>
        <v>0</v>
      </c>
      <c r="CE159">
        <f>Model!CM193</f>
        <v>0</v>
      </c>
      <c r="CF159">
        <f>Model!CN193</f>
        <v>0.21726474985905805</v>
      </c>
      <c r="CG159">
        <f>Model!CO193</f>
        <v>0.22658344369730493</v>
      </c>
      <c r="CH159">
        <f>Model!CP193</f>
        <v>0.23517708723575195</v>
      </c>
      <c r="CI159">
        <f>Model!CQ193</f>
        <v>0.2458333558415596</v>
      </c>
      <c r="CJ159">
        <f>Model!CR193</f>
        <v>0.25280092155363648</v>
      </c>
      <c r="CK159">
        <f>Model!CS193</f>
        <v>0.27086750568291584</v>
      </c>
      <c r="CL159">
        <f>Model!CT193</f>
        <v>0.27801077929653001</v>
      </c>
      <c r="CM159">
        <f>Model!CU193</f>
        <v>0.26915493666121093</v>
      </c>
      <c r="CN159">
        <f>Model!CV193</f>
        <v>0.2846162178080604</v>
      </c>
      <c r="CO159">
        <f>Model!CW193</f>
        <v>0.27879657354690024</v>
      </c>
      <c r="CP159">
        <f>Model!CX193</f>
        <v>0.30080902430840634</v>
      </c>
      <c r="CQ159">
        <f>Model!CY193</f>
        <v>0.31879434601910744</v>
      </c>
      <c r="CR159">
        <f>Model!CZ193</f>
        <v>0.31879434601910744</v>
      </c>
      <c r="CS159">
        <f>Model!DA193</f>
        <v>0.31879434601910744</v>
      </c>
      <c r="CT159">
        <f>Model!DB193</f>
        <v>0.31879434601910744</v>
      </c>
      <c r="CU159">
        <f>Model!DC193</f>
        <v>0.31879434601910744</v>
      </c>
      <c r="CV159">
        <f>Model!DD193</f>
        <v>0.31879434601910744</v>
      </c>
      <c r="CW159">
        <f>Model!DE193</f>
        <v>0.31879434601910744</v>
      </c>
      <c r="CX159">
        <f>Model!DF193</f>
        <v>0.31879434601910744</v>
      </c>
    </row>
    <row r="160" spans="1:102">
      <c r="A160" t="str">
        <f>Model!I194</f>
        <v>% change Y/Y (in bp)</v>
      </c>
      <c r="B160">
        <f>Model!J194</f>
        <v>0</v>
      </c>
      <c r="C160">
        <f>Model!K194</f>
        <v>0</v>
      </c>
      <c r="D160">
        <f>Model!L194</f>
        <v>0</v>
      </c>
      <c r="E160">
        <f>Model!M194</f>
        <v>0</v>
      </c>
      <c r="F160">
        <f>Model!N194</f>
        <v>0</v>
      </c>
      <c r="G160">
        <f>Model!O194</f>
        <v>0</v>
      </c>
      <c r="H160">
        <f>Model!P194</f>
        <v>0</v>
      </c>
      <c r="I160">
        <f>Model!Q194</f>
        <v>0</v>
      </c>
      <c r="J160">
        <f>Model!R194</f>
        <v>0</v>
      </c>
      <c r="K160">
        <f>Model!S194</f>
        <v>0</v>
      </c>
      <c r="L160">
        <f>Model!T194</f>
        <v>0</v>
      </c>
      <c r="M160">
        <f>Model!U194</f>
        <v>0</v>
      </c>
      <c r="N160">
        <f>Model!V194</f>
        <v>0</v>
      </c>
      <c r="O160">
        <f>Model!W194</f>
        <v>0</v>
      </c>
      <c r="P160">
        <f>Model!X194</f>
        <v>0</v>
      </c>
      <c r="Q160">
        <f>Model!Y194</f>
        <v>0</v>
      </c>
      <c r="R160">
        <f>Model!Z194</f>
        <v>0</v>
      </c>
      <c r="S160">
        <f>Model!AA194</f>
        <v>0</v>
      </c>
      <c r="T160">
        <f>Model!AB194</f>
        <v>0</v>
      </c>
      <c r="U160">
        <f>Model!AC194</f>
        <v>0</v>
      </c>
      <c r="V160">
        <f>Model!AD194</f>
        <v>0</v>
      </c>
      <c r="W160">
        <f>Model!AE194</f>
        <v>0</v>
      </c>
      <c r="X160">
        <f>Model!AF194</f>
        <v>0</v>
      </c>
      <c r="Y160">
        <f>Model!AG194</f>
        <v>0</v>
      </c>
      <c r="Z160">
        <f>Model!AH194</f>
        <v>0</v>
      </c>
      <c r="AA160">
        <f>Model!AI194</f>
        <v>0</v>
      </c>
      <c r="AB160">
        <f>Model!AJ194</f>
        <v>0</v>
      </c>
      <c r="AC160">
        <f>Model!AK194</f>
        <v>2105.7823084911774</v>
      </c>
      <c r="AD160">
        <f>Model!AL194</f>
        <v>2134.7553950853339</v>
      </c>
      <c r="AE160">
        <f>Model!AM194</f>
        <v>2189.4110337159486</v>
      </c>
      <c r="AF160">
        <f>Model!AN194</f>
        <v>2224.4030675909112</v>
      </c>
      <c r="AG160">
        <f>Model!AO194</f>
        <v>117.91424786884386</v>
      </c>
      <c r="AH160">
        <f>Model!AP194</f>
        <v>43.345776767360618</v>
      </c>
      <c r="AI160">
        <f>Model!AQ194</f>
        <v>119.936549280929</v>
      </c>
      <c r="AJ160">
        <f>Model!AR194</f>
        <v>145.22963506817283</v>
      </c>
      <c r="AK160">
        <f>Model!AS194</f>
        <v>60.895481701697676</v>
      </c>
      <c r="AL160">
        <f>Model!AT194</f>
        <v>65.857878228273989</v>
      </c>
      <c r="AM160">
        <f>Model!AU194</f>
        <v>70.85248976059971</v>
      </c>
      <c r="AN160">
        <f>Model!AV194</f>
        <v>153.98088629460045</v>
      </c>
      <c r="AO160">
        <f>Model!AW194</f>
        <v>41.922038504556284</v>
      </c>
      <c r="AP160">
        <f>Model!AX194</f>
        <v>40.575281664740061</v>
      </c>
      <c r="AQ160">
        <f>Model!AY194</f>
        <v>211.03968470765565</v>
      </c>
      <c r="AR160">
        <f>Model!AZ194</f>
        <v>103.37636584015597</v>
      </c>
      <c r="AS160">
        <f>Model!BA194</f>
        <v>-17.304933164447867</v>
      </c>
      <c r="AT160">
        <f>Model!BB194</f>
        <v>-5.8391612850733354</v>
      </c>
      <c r="AU160">
        <f>Model!BC194</f>
        <v>186.22025535069088</v>
      </c>
      <c r="AV160">
        <f>Model!BD194</f>
        <v>115.64403268245648</v>
      </c>
      <c r="AW160">
        <f>Model!BE194</f>
        <v>232.47721428456714</v>
      </c>
      <c r="AX160">
        <f>Model!BF194</f>
        <v>200.99702730166175</v>
      </c>
      <c r="AY160">
        <f>Model!BG194</f>
        <v>248.85898060523937</v>
      </c>
      <c r="AZ160">
        <f>Model!BH194</f>
        <v>32.087299751644707</v>
      </c>
      <c r="BA160">
        <f>Model!BI194</f>
        <v>-195.33226046149292</v>
      </c>
      <c r="BB160">
        <f>Model!BJ194</f>
        <v>-11.62645584474542</v>
      </c>
      <c r="BC160">
        <f>Model!BK194</f>
        <v>251.06342255115487</v>
      </c>
      <c r="BD160">
        <f>Model!BL194</f>
        <v>219.89309493924304</v>
      </c>
      <c r="BE160">
        <f>Model!BM194</f>
        <v>256.43439201467692</v>
      </c>
      <c r="BF160">
        <f>Model!BN194</f>
        <v>78.421081338819192</v>
      </c>
      <c r="BG160">
        <f>Model!BO194</f>
        <v>-368.51832847600406</v>
      </c>
      <c r="BH160">
        <f>Model!BP194</f>
        <v>-332.37225858863519</v>
      </c>
      <c r="BI160">
        <f>Model!BQ194</f>
        <v>-30.538797646424975</v>
      </c>
      <c r="BJ160">
        <f>Model!BR194</f>
        <v>-435.37766982332636</v>
      </c>
      <c r="BK160">
        <f>Model!BS194</f>
        <v>941.55414054700907</v>
      </c>
      <c r="BL160">
        <f>Model!BT194</f>
        <v>-38.654196506068274</v>
      </c>
      <c r="BM160">
        <f>Model!BU194</f>
        <v>-744.5043560991935</v>
      </c>
      <c r="BN160">
        <f>Model!BV194</f>
        <v>-402.07898815024845</v>
      </c>
      <c r="BO160">
        <f>Model!BW194</f>
        <v>586.09267432378044</v>
      </c>
      <c r="BP160">
        <f>Model!BX194</f>
        <v>-113.92147129698493</v>
      </c>
      <c r="BQ160">
        <f>Model!BY194</f>
        <v>-1331.081705848454</v>
      </c>
      <c r="BR160">
        <f>Model!BZ194</f>
        <v>-1104.5487914321734</v>
      </c>
      <c r="BS160">
        <f>Model!CA194</f>
        <v>750.21650637879463</v>
      </c>
      <c r="BT160">
        <f>Model!CB194</f>
        <v>1175.1245113955356</v>
      </c>
      <c r="BU160">
        <f>Model!CC194</f>
        <v>0</v>
      </c>
      <c r="BV160">
        <f>Model!CD194</f>
        <v>0</v>
      </c>
      <c r="BW160">
        <f>Model!CE194</f>
        <v>0</v>
      </c>
      <c r="BX160">
        <f>Model!CF194</f>
        <v>0</v>
      </c>
      <c r="BY160">
        <f>Model!CG194</f>
        <v>0</v>
      </c>
      <c r="BZ160">
        <f>Model!CH194</f>
        <v>0</v>
      </c>
      <c r="CA160">
        <f>Model!CI194</f>
        <v>0</v>
      </c>
      <c r="CD160">
        <f>Model!CL194</f>
        <v>0</v>
      </c>
      <c r="CE160">
        <f>Model!CM194</f>
        <v>0</v>
      </c>
      <c r="CF160">
        <f>Model!CN194</f>
        <v>0</v>
      </c>
      <c r="CG160">
        <f>Model!CO194</f>
        <v>93.186938382468782</v>
      </c>
      <c r="CH160">
        <f>Model!CP194</f>
        <v>85.936435384470215</v>
      </c>
      <c r="CI160">
        <f>Model!CQ194</f>
        <v>106.56268605807651</v>
      </c>
      <c r="CJ160">
        <f>Model!CR194</f>
        <v>69.67565712076879</v>
      </c>
      <c r="CK160">
        <f>Model!CS194</f>
        <v>180.66584129279363</v>
      </c>
      <c r="CL160">
        <f>Model!CT194</f>
        <v>71.432736136141656</v>
      </c>
      <c r="CM160">
        <f>Model!CU194</f>
        <v>-88.558426353190782</v>
      </c>
      <c r="CN160">
        <f>Model!CV194</f>
        <v>154.6128114684947</v>
      </c>
      <c r="CO160">
        <f>Model!CW194</f>
        <v>-58.196442611601618</v>
      </c>
      <c r="CP160">
        <f>Model!CX194</f>
        <v>220.12450761506096</v>
      </c>
      <c r="CQ160">
        <f>Model!CY194</f>
        <v>179.85321710701106</v>
      </c>
      <c r="CR160">
        <f>Model!CZ194</f>
        <v>0</v>
      </c>
      <c r="CS160">
        <f>Model!DA194</f>
        <v>0</v>
      </c>
      <c r="CT160">
        <f>Model!DB194</f>
        <v>0</v>
      </c>
      <c r="CU160">
        <f>Model!DC194</f>
        <v>0</v>
      </c>
      <c r="CV160">
        <f>Model!DD194</f>
        <v>0</v>
      </c>
      <c r="CW160">
        <f>Model!DE194</f>
        <v>0</v>
      </c>
      <c r="CX160">
        <f>Model!DF194</f>
        <v>0</v>
      </c>
    </row>
    <row r="161" spans="1:102">
      <c r="A161">
        <f>Model!I195</f>
        <v>0</v>
      </c>
      <c r="B161">
        <f>Model!J195</f>
        <v>0</v>
      </c>
      <c r="C161">
        <f>Model!K195</f>
        <v>0</v>
      </c>
      <c r="D161">
        <f>Model!L195</f>
        <v>0</v>
      </c>
      <c r="E161">
        <f>Model!M195</f>
        <v>0</v>
      </c>
      <c r="F161">
        <f>Model!N195</f>
        <v>0</v>
      </c>
      <c r="G161">
        <f>Model!O195</f>
        <v>0</v>
      </c>
      <c r="H161">
        <f>Model!P195</f>
        <v>0</v>
      </c>
      <c r="I161">
        <f>Model!Q195</f>
        <v>0</v>
      </c>
      <c r="J161">
        <f>Model!R195</f>
        <v>0</v>
      </c>
      <c r="K161">
        <f>Model!S195</f>
        <v>0</v>
      </c>
      <c r="L161">
        <f>Model!T195</f>
        <v>0</v>
      </c>
      <c r="M161">
        <f>Model!U195</f>
        <v>0</v>
      </c>
      <c r="N161">
        <f>Model!V195</f>
        <v>0</v>
      </c>
      <c r="O161">
        <f>Model!W195</f>
        <v>0</v>
      </c>
      <c r="P161">
        <f>Model!X195</f>
        <v>0</v>
      </c>
      <c r="Q161">
        <f>Model!Y195</f>
        <v>0</v>
      </c>
      <c r="R161">
        <f>Model!Z195</f>
        <v>0</v>
      </c>
      <c r="S161">
        <f>Model!AA195</f>
        <v>0</v>
      </c>
      <c r="T161">
        <f>Model!AB195</f>
        <v>0</v>
      </c>
      <c r="U161">
        <f>Model!AC195</f>
        <v>0</v>
      </c>
      <c r="V161">
        <f>Model!AD195</f>
        <v>0</v>
      </c>
      <c r="W161">
        <f>Model!AE195</f>
        <v>0</v>
      </c>
      <c r="X161">
        <f>Model!AF195</f>
        <v>0</v>
      </c>
      <c r="Y161">
        <f>Model!AG195</f>
        <v>0</v>
      </c>
      <c r="Z161">
        <f>Model!AH195</f>
        <v>0</v>
      </c>
      <c r="AA161">
        <f>Model!AI195</f>
        <v>0</v>
      </c>
      <c r="AB161">
        <f>Model!AJ195</f>
        <v>0</v>
      </c>
      <c r="AC161">
        <f>Model!AK195</f>
        <v>0</v>
      </c>
      <c r="AD161">
        <f>Model!AL195</f>
        <v>0</v>
      </c>
      <c r="AE161">
        <f>Model!AM195</f>
        <v>0</v>
      </c>
      <c r="AF161">
        <f>Model!AN195</f>
        <v>0</v>
      </c>
      <c r="AG161">
        <f>Model!AO195</f>
        <v>0</v>
      </c>
      <c r="AH161">
        <f>Model!AP195</f>
        <v>0</v>
      </c>
      <c r="AI161">
        <f>Model!AQ195</f>
        <v>0</v>
      </c>
      <c r="AJ161">
        <f>Model!AR195</f>
        <v>0</v>
      </c>
      <c r="AK161">
        <f>Model!AS195</f>
        <v>0</v>
      </c>
      <c r="AL161">
        <f>Model!AT195</f>
        <v>0</v>
      </c>
      <c r="AM161">
        <f>Model!AU195</f>
        <v>0</v>
      </c>
      <c r="AN161">
        <f>Model!AV195</f>
        <v>0</v>
      </c>
      <c r="AO161">
        <f>Model!AW195</f>
        <v>0</v>
      </c>
      <c r="AP161">
        <f>Model!AX195</f>
        <v>0</v>
      </c>
      <c r="AQ161">
        <f>Model!AY195</f>
        <v>0</v>
      </c>
      <c r="AR161">
        <f>Model!AZ195</f>
        <v>0</v>
      </c>
      <c r="AS161">
        <f>Model!BA195</f>
        <v>0</v>
      </c>
      <c r="AT161">
        <f>Model!BB195</f>
        <v>0</v>
      </c>
      <c r="AU161">
        <f>Model!BC195</f>
        <v>0</v>
      </c>
      <c r="AV161">
        <f>Model!BD195</f>
        <v>0</v>
      </c>
      <c r="AW161">
        <f>Model!BE195</f>
        <v>0</v>
      </c>
      <c r="AX161">
        <f>Model!BF195</f>
        <v>0</v>
      </c>
      <c r="AY161">
        <f>Model!BG195</f>
        <v>0</v>
      </c>
      <c r="AZ161">
        <f>Model!BH195</f>
        <v>0</v>
      </c>
      <c r="BA161">
        <f>Model!BI195</f>
        <v>0</v>
      </c>
      <c r="BB161">
        <f>Model!BJ195</f>
        <v>0</v>
      </c>
      <c r="BC161">
        <f>Model!BK195</f>
        <v>0</v>
      </c>
      <c r="BD161">
        <f>Model!BL195</f>
        <v>0</v>
      </c>
      <c r="BE161">
        <f>Model!BM195</f>
        <v>0</v>
      </c>
      <c r="BF161">
        <f>Model!BN195</f>
        <v>0</v>
      </c>
      <c r="BG161">
        <f>Model!BO195</f>
        <v>0</v>
      </c>
      <c r="BH161">
        <f>Model!BP195</f>
        <v>0</v>
      </c>
      <c r="BI161">
        <f>Model!BQ195</f>
        <v>0</v>
      </c>
      <c r="BJ161">
        <f>Model!BR195</f>
        <v>0</v>
      </c>
      <c r="BK161">
        <f>Model!BS195</f>
        <v>0</v>
      </c>
      <c r="BL161">
        <f>Model!BT195</f>
        <v>0</v>
      </c>
      <c r="BM161">
        <f>Model!BU195</f>
        <v>0</v>
      </c>
      <c r="BN161">
        <f>Model!BV195</f>
        <v>0</v>
      </c>
      <c r="BO161">
        <f>Model!BW195</f>
        <v>0</v>
      </c>
      <c r="BP161">
        <f>Model!BX195</f>
        <v>0</v>
      </c>
      <c r="BQ161">
        <f>Model!BY195</f>
        <v>0</v>
      </c>
      <c r="BR161">
        <f>Model!BZ195</f>
        <v>0</v>
      </c>
      <c r="BS161">
        <f>Model!CA195</f>
        <v>0</v>
      </c>
      <c r="BT161">
        <f>Model!CB195</f>
        <v>0</v>
      </c>
      <c r="BU161">
        <f>Model!CC195</f>
        <v>0</v>
      </c>
      <c r="BV161">
        <f>Model!CD195</f>
        <v>0</v>
      </c>
      <c r="BW161">
        <f>Model!CE195</f>
        <v>0</v>
      </c>
      <c r="BX161">
        <f>Model!CF195</f>
        <v>0</v>
      </c>
      <c r="BY161">
        <f>Model!CG195</f>
        <v>0</v>
      </c>
      <c r="BZ161">
        <f>Model!CH195</f>
        <v>0</v>
      </c>
      <c r="CA161">
        <f>Model!CI195</f>
        <v>0</v>
      </c>
      <c r="CD161">
        <f>Model!CL195</f>
        <v>0</v>
      </c>
      <c r="CE161">
        <f>Model!CM195</f>
        <v>0</v>
      </c>
      <c r="CF161">
        <f>Model!CN195</f>
        <v>0</v>
      </c>
      <c r="CG161">
        <f>Model!CO195</f>
        <v>0</v>
      </c>
      <c r="CH161">
        <f>Model!CP195</f>
        <v>0</v>
      </c>
      <c r="CI161">
        <f>Model!CQ195</f>
        <v>0</v>
      </c>
      <c r="CJ161">
        <f>Model!CR195</f>
        <v>0</v>
      </c>
      <c r="CK161">
        <f>Model!CS195</f>
        <v>0</v>
      </c>
      <c r="CL161">
        <f>Model!CT195</f>
        <v>0</v>
      </c>
      <c r="CM161">
        <f>Model!CU195</f>
        <v>0</v>
      </c>
      <c r="CN161">
        <f>Model!CV195</f>
        <v>0</v>
      </c>
      <c r="CO161">
        <f>Model!CW195</f>
        <v>0</v>
      </c>
      <c r="CP161">
        <f>Model!CX195</f>
        <v>0</v>
      </c>
      <c r="CQ161">
        <f>Model!CY195</f>
        <v>0</v>
      </c>
      <c r="CR161">
        <f>Model!CZ195</f>
        <v>0</v>
      </c>
      <c r="CS161">
        <f>Model!DA195</f>
        <v>0</v>
      </c>
      <c r="CT161">
        <f>Model!DB195</f>
        <v>0</v>
      </c>
      <c r="CU161">
        <f>Model!DC195</f>
        <v>0</v>
      </c>
      <c r="CV161">
        <f>Model!DD195</f>
        <v>0</v>
      </c>
      <c r="CW161">
        <f>Model!DE195</f>
        <v>0</v>
      </c>
      <c r="CX161">
        <f>Model!DF195</f>
        <v>0</v>
      </c>
    </row>
    <row r="162" spans="1:102">
      <c r="A162" t="str">
        <f>Model!I196</f>
        <v>Domestic Agency Revenue % of Domestic Agency Bookings</v>
      </c>
      <c r="B162">
        <f>Model!J196</f>
        <v>0</v>
      </c>
      <c r="C162">
        <f>Model!K196</f>
        <v>0</v>
      </c>
      <c r="D162">
        <f>Model!L196</f>
        <v>0</v>
      </c>
      <c r="E162">
        <f>Model!M196</f>
        <v>0</v>
      </c>
      <c r="F162">
        <f>Model!N196</f>
        <v>0</v>
      </c>
      <c r="G162">
        <f>Model!O196</f>
        <v>0</v>
      </c>
      <c r="H162">
        <f>Model!P196</f>
        <v>0</v>
      </c>
      <c r="I162">
        <f>Model!Q196</f>
        <v>0</v>
      </c>
      <c r="J162">
        <f>Model!R196</f>
        <v>0</v>
      </c>
      <c r="K162">
        <f>Model!S196</f>
        <v>0</v>
      </c>
      <c r="L162">
        <f>Model!T196</f>
        <v>0</v>
      </c>
      <c r="M162">
        <f>Model!U196</f>
        <v>0</v>
      </c>
      <c r="N162">
        <f>Model!V196</f>
        <v>0</v>
      </c>
      <c r="O162">
        <f>Model!W196</f>
        <v>0</v>
      </c>
      <c r="P162">
        <f>Model!X196</f>
        <v>0</v>
      </c>
      <c r="Q162">
        <f>Model!Y196</f>
        <v>0</v>
      </c>
      <c r="R162">
        <f>Model!Z196</f>
        <v>0</v>
      </c>
      <c r="S162">
        <f>Model!AA196</f>
        <v>0</v>
      </c>
      <c r="T162">
        <f>Model!AB196</f>
        <v>0</v>
      </c>
      <c r="U162">
        <f>Model!AC196</f>
        <v>0</v>
      </c>
      <c r="V162">
        <f>Model!AD196</f>
        <v>0</v>
      </c>
      <c r="W162">
        <f>Model!AE196</f>
        <v>0</v>
      </c>
      <c r="X162">
        <f>Model!AF196</f>
        <v>0</v>
      </c>
      <c r="Y162">
        <f>Model!AG196</f>
        <v>3.8427093966065154E-2</v>
      </c>
      <c r="Z162">
        <f>Model!AH196</f>
        <v>3.4793482949531253E-2</v>
      </c>
      <c r="AA162">
        <f>Model!AI196</f>
        <v>4.1219862369424209E-2</v>
      </c>
      <c r="AB162">
        <f>Model!AJ196</f>
        <v>4.0137494620028642E-2</v>
      </c>
      <c r="AC162">
        <f>Model!AK196</f>
        <v>3.4639950955991365E-2</v>
      </c>
      <c r="AD162">
        <f>Model!AL196</f>
        <v>3.4221318537409062E-2</v>
      </c>
      <c r="AE162">
        <f>Model!AM196</f>
        <v>3.0782124883430774E-2</v>
      </c>
      <c r="AF162">
        <f>Model!AN196</f>
        <v>1.9355519651860456E-2</v>
      </c>
      <c r="AG162">
        <f>Model!AO196</f>
        <v>2.7162360848561225E-2</v>
      </c>
      <c r="AH162">
        <f>Model!AP196</f>
        <v>2.7652077402355951E-2</v>
      </c>
      <c r="AI162">
        <f>Model!AQ196</f>
        <v>3.5395841066547654E-2</v>
      </c>
      <c r="AJ162">
        <f>Model!AR196</f>
        <v>3.0029660321395681E-2</v>
      </c>
      <c r="AK162">
        <f>Model!AS196</f>
        <v>3.3783901740942111E-2</v>
      </c>
      <c r="AL162">
        <f>Model!AT196</f>
        <v>3.455880147566065E-2</v>
      </c>
      <c r="AM162">
        <f>Model!AU196</f>
        <v>3.8131350681536509E-2</v>
      </c>
      <c r="AN162">
        <f>Model!AV196</f>
        <v>2.4940769134458925E-2</v>
      </c>
      <c r="AO162">
        <f>Model!AW196</f>
        <v>3.7882372765648528E-2</v>
      </c>
      <c r="AP162">
        <f>Model!AX196</f>
        <v>3.9698908691214584E-2</v>
      </c>
      <c r="AQ162">
        <f>Model!AY196</f>
        <v>2.7640067911714743E-2</v>
      </c>
      <c r="AR162">
        <f>Model!AZ196</f>
        <v>2.3819792171431719E-2</v>
      </c>
      <c r="AS162">
        <f>Model!BA196</f>
        <v>3.4053870597690501E-2</v>
      </c>
      <c r="AT162">
        <f>Model!BB196</f>
        <v>4.0025619565386437E-2</v>
      </c>
      <c r="AU162">
        <f>Model!BC196</f>
        <v>1.3198197451912768E-2</v>
      </c>
      <c r="AV162">
        <f>Model!BD196</f>
        <v>1.9950093321431415E-2</v>
      </c>
      <c r="AW162">
        <f>Model!BE196</f>
        <v>2.7664354431130338E-2</v>
      </c>
      <c r="AX162">
        <f>Model!BF196</f>
        <v>3.8717929816808043E-2</v>
      </c>
      <c r="AY162">
        <f>Model!BG196</f>
        <v>2.5618703843659447E-2</v>
      </c>
      <c r="AZ162">
        <f>Model!BH196</f>
        <v>6.2268570320309548E-3</v>
      </c>
      <c r="BA162">
        <f>Model!BI196</f>
        <v>2.3968436357043103E-2</v>
      </c>
      <c r="BB162">
        <f>Model!BJ196</f>
        <v>4.2241596385079697E-2</v>
      </c>
      <c r="BC162">
        <f>Model!BK196</f>
        <v>1.7327278890589794E-2</v>
      </c>
      <c r="BD162">
        <f>Model!BL196</f>
        <v>1.7799531347432666E-2</v>
      </c>
      <c r="BE162">
        <f>Model!BM196</f>
        <v>1.6147808010782427E-2</v>
      </c>
      <c r="BF162">
        <f>Model!BN196</f>
        <v>3.7839931057033163E-2</v>
      </c>
      <c r="BG162">
        <f>Model!BO196</f>
        <v>2.4933426559254287E-2</v>
      </c>
      <c r="BH162">
        <f>Model!BP196</f>
        <v>1.2526024648858958E-2</v>
      </c>
      <c r="BI162">
        <f>Model!BQ196</f>
        <v>1.7977892736496887E-2</v>
      </c>
      <c r="BJ162">
        <f>Model!BR196</f>
        <v>3.5909940752157449E-2</v>
      </c>
      <c r="BK162">
        <f>Model!BS196</f>
        <v>2.512177571544648E-3</v>
      </c>
      <c r="BL162">
        <f>Model!BT196</f>
        <v>3.0132401014029125E-2</v>
      </c>
      <c r="BM162">
        <f>Model!BU196</f>
        <v>5.5221429409693192E-2</v>
      </c>
      <c r="BN162">
        <f>Model!BV196</f>
        <v>5.1958420378775308E-2</v>
      </c>
      <c r="BO162">
        <f>Model!BW196</f>
        <v>-5.0421805884824387E-2</v>
      </c>
      <c r="BP162">
        <f>Model!BX196</f>
        <v>2.370395705861876E-2</v>
      </c>
      <c r="BQ162">
        <f>Model!BY196</f>
        <v>8.39095839886667E-2</v>
      </c>
      <c r="BR162">
        <f>Model!BZ196</f>
        <v>7.918615493107628E-2</v>
      </c>
      <c r="BS162">
        <f>Model!CA196</f>
        <v>-5.058333643118481E-2</v>
      </c>
      <c r="BT162">
        <f>Model!CB196</f>
        <v>2.4452333947190815E-2</v>
      </c>
      <c r="BU162">
        <f>Model!CC196</f>
        <v>8.39095839886667E-2</v>
      </c>
      <c r="BV162">
        <f>Model!CD196</f>
        <v>7.918615493107628E-2</v>
      </c>
      <c r="BW162">
        <f>Model!CE196</f>
        <v>-5.058333643118481E-2</v>
      </c>
      <c r="BX162">
        <f>Model!CF196</f>
        <v>2.4452333947190815E-2</v>
      </c>
      <c r="BY162">
        <f>Model!CG196</f>
        <v>0</v>
      </c>
      <c r="BZ162">
        <f>Model!CH196</f>
        <v>0</v>
      </c>
      <c r="CA162">
        <f>Model!CI196</f>
        <v>0</v>
      </c>
      <c r="CB162">
        <f>Model!CJ196</f>
        <v>0</v>
      </c>
      <c r="CC162">
        <f>Model!CK196</f>
        <v>0</v>
      </c>
      <c r="CD162">
        <f>Model!CL196</f>
        <v>0</v>
      </c>
      <c r="CE162">
        <f>Model!CM196</f>
        <v>3.8355185800910178E-2</v>
      </c>
      <c r="CF162">
        <f>Model!CN196</f>
        <v>3.3727356994966734E-2</v>
      </c>
      <c r="CG162">
        <f>Model!CO196</f>
        <v>3.0022820813725717E-2</v>
      </c>
      <c r="CH162">
        <f>Model!CP196</f>
        <v>3.3114495317314224E-2</v>
      </c>
      <c r="CI162">
        <f>Model!CQ196</f>
        <v>3.2796743882588394E-2</v>
      </c>
      <c r="CJ162">
        <f>Model!CR196</f>
        <v>2.7072557366462097E-2</v>
      </c>
      <c r="CK162">
        <f>Model!CS196</f>
        <v>2.5782263346544244E-2</v>
      </c>
      <c r="CL162">
        <f>Model!CT196</f>
        <v>2.5224422807017997E-2</v>
      </c>
      <c r="CM162">
        <f>Model!CU196</f>
        <v>2.3609822467839159E-2</v>
      </c>
      <c r="CN162">
        <f>Model!CV196</f>
        <v>2.1480705246663418E-2</v>
      </c>
      <c r="CO162">
        <f>Model!CW196</f>
        <v>1.8323112695172342E-2</v>
      </c>
      <c r="CP162">
        <f>Model!CX196</f>
        <v>3.2541720184770098E-2</v>
      </c>
      <c r="CQ162">
        <f>Model!CY196</f>
        <v>3.2541720184770105E-2</v>
      </c>
      <c r="CR162">
        <f>Model!CZ196</f>
        <v>3.2541720184770105E-2</v>
      </c>
      <c r="CS162">
        <f>Model!DA196</f>
        <v>3.2541720184770105E-2</v>
      </c>
      <c r="CT162">
        <f>Model!DB196</f>
        <v>3.2541720184770105E-2</v>
      </c>
      <c r="CU162">
        <f>Model!DC196</f>
        <v>3.2541720184770105E-2</v>
      </c>
      <c r="CV162">
        <f>Model!DD196</f>
        <v>3.2541720184770105E-2</v>
      </c>
      <c r="CW162">
        <f>Model!DE196</f>
        <v>3.2541720184770105E-2</v>
      </c>
      <c r="CX162">
        <f>Model!DF196</f>
        <v>3.2541720184770105E-2</v>
      </c>
    </row>
    <row r="163" spans="1:102">
      <c r="A163" t="str">
        <f>Model!I197</f>
        <v>% change Y/Y (in bp)</v>
      </c>
      <c r="B163">
        <f>Model!J197</f>
        <v>0</v>
      </c>
      <c r="C163">
        <f>Model!K197</f>
        <v>0</v>
      </c>
      <c r="D163">
        <f>Model!L197</f>
        <v>0</v>
      </c>
      <c r="E163">
        <f>Model!M197</f>
        <v>0</v>
      </c>
      <c r="F163">
        <f>Model!N197</f>
        <v>0</v>
      </c>
      <c r="G163">
        <f>Model!O197</f>
        <v>0</v>
      </c>
      <c r="H163">
        <f>Model!P197</f>
        <v>0</v>
      </c>
      <c r="I163">
        <f>Model!Q197</f>
        <v>0</v>
      </c>
      <c r="J163">
        <f>Model!R197</f>
        <v>0</v>
      </c>
      <c r="K163">
        <f>Model!S197</f>
        <v>0</v>
      </c>
      <c r="L163">
        <f>Model!T197</f>
        <v>0</v>
      </c>
      <c r="M163">
        <f>Model!U197</f>
        <v>0</v>
      </c>
      <c r="N163">
        <f>Model!V197</f>
        <v>0</v>
      </c>
      <c r="O163">
        <f>Model!W197</f>
        <v>0</v>
      </c>
      <c r="P163">
        <f>Model!X197</f>
        <v>0</v>
      </c>
      <c r="Q163">
        <f>Model!Y197</f>
        <v>0</v>
      </c>
      <c r="R163">
        <f>Model!Z197</f>
        <v>0</v>
      </c>
      <c r="S163">
        <f>Model!AA197</f>
        <v>0</v>
      </c>
      <c r="T163">
        <f>Model!AB197</f>
        <v>0</v>
      </c>
      <c r="U163">
        <f>Model!AC197</f>
        <v>0</v>
      </c>
      <c r="V163">
        <f>Model!AD197</f>
        <v>0</v>
      </c>
      <c r="W163">
        <f>Model!AE197</f>
        <v>0</v>
      </c>
      <c r="X163">
        <f>Model!AF197</f>
        <v>0</v>
      </c>
      <c r="Y163">
        <f>Model!AG197</f>
        <v>0</v>
      </c>
      <c r="Z163">
        <f>Model!AH197</f>
        <v>0</v>
      </c>
      <c r="AA163">
        <f>Model!AI197</f>
        <v>0</v>
      </c>
      <c r="AB163">
        <f>Model!AJ197</f>
        <v>0</v>
      </c>
      <c r="AC163">
        <f>Model!AK197</f>
        <v>-37.871430100737889</v>
      </c>
      <c r="AD163">
        <f>Model!AL197</f>
        <v>-5.7216441212219058</v>
      </c>
      <c r="AE163">
        <f>Model!AM197</f>
        <v>-104.37737485993435</v>
      </c>
      <c r="AF163">
        <f>Model!AN197</f>
        <v>-207.81974968168186</v>
      </c>
      <c r="AG163">
        <f>Model!AO197</f>
        <v>-74.775901074301402</v>
      </c>
      <c r="AH163">
        <f>Model!AP197</f>
        <v>-65.692411350531117</v>
      </c>
      <c r="AI163">
        <f>Model!AQ197</f>
        <v>46.137161831168797</v>
      </c>
      <c r="AJ163">
        <f>Model!AR197</f>
        <v>106.74140669535224</v>
      </c>
      <c r="AK163">
        <f>Model!AS197</f>
        <v>66.215408923808866</v>
      </c>
      <c r="AL163">
        <f>Model!AT197</f>
        <v>69.067240733046987</v>
      </c>
      <c r="AM163">
        <f>Model!AU197</f>
        <v>27.355096149888556</v>
      </c>
      <c r="AN163">
        <f>Model!AV197</f>
        <v>-50.888911869367561</v>
      </c>
      <c r="AO163">
        <f>Model!AW197</f>
        <v>40.984710247064172</v>
      </c>
      <c r="AP163">
        <f>Model!AX197</f>
        <v>51.401072155539339</v>
      </c>
      <c r="AQ163">
        <f>Model!AY197</f>
        <v>-104.91282769821767</v>
      </c>
      <c r="AR163">
        <f>Model!AZ197</f>
        <v>-11.209769630272058</v>
      </c>
      <c r="AS163">
        <f>Model!BA197</f>
        <v>-38.285021679580268</v>
      </c>
      <c r="AT163">
        <f>Model!BB197</f>
        <v>3.2671087417185385</v>
      </c>
      <c r="AU163">
        <f>Model!BC197</f>
        <v>-144.41870459801976</v>
      </c>
      <c r="AV163">
        <f>Model!BD197</f>
        <v>-38.696988500003037</v>
      </c>
      <c r="AW163">
        <f>Model!BE197</f>
        <v>-63.895161665601627</v>
      </c>
      <c r="AX163">
        <f>Model!BF197</f>
        <v>-13.076897485783945</v>
      </c>
      <c r="AY163">
        <f>Model!BG197</f>
        <v>124.2050639174668</v>
      </c>
      <c r="AZ163">
        <f>Model!BH197</f>
        <v>-137.23236289400461</v>
      </c>
      <c r="BA163">
        <f>Model!BI197</f>
        <v>-36.959180740872355</v>
      </c>
      <c r="BB163">
        <f>Model!BJ197</f>
        <v>35.236665682716534</v>
      </c>
      <c r="BC163">
        <f>Model!BK197</f>
        <v>-82.914249530696537</v>
      </c>
      <c r="BD163">
        <f>Model!BL197</f>
        <v>115.72674315401711</v>
      </c>
      <c r="BE163">
        <f>Model!BM197</f>
        <v>-78.206283462606763</v>
      </c>
      <c r="BF163">
        <f>Model!BN197</f>
        <v>-44.016653280465334</v>
      </c>
      <c r="BG163">
        <f>Model!BO197</f>
        <v>76.061476686644923</v>
      </c>
      <c r="BH163">
        <f>Model!BP197</f>
        <v>-52.735066985737085</v>
      </c>
      <c r="BI163">
        <f>Model!BQ197</f>
        <v>18.3008472571446</v>
      </c>
      <c r="BJ163">
        <f>Model!BR197</f>
        <v>-19.299903048757145</v>
      </c>
      <c r="BK163">
        <f>Model!BS197</f>
        <v>-224.21248987709637</v>
      </c>
      <c r="BL163">
        <f>Model!BT197</f>
        <v>176.06376365170166</v>
      </c>
      <c r="BM163">
        <f>Model!BU197</f>
        <v>372.43536673196303</v>
      </c>
      <c r="BN163">
        <f>Model!BV197</f>
        <v>160.48479626617859</v>
      </c>
      <c r="BO163">
        <f>Model!BW197</f>
        <v>-529.33983456369037</v>
      </c>
      <c r="BP163">
        <f>Model!BX197</f>
        <v>-64.284439554103642</v>
      </c>
      <c r="BQ163">
        <f>Model!BY197</f>
        <v>286.88154578973507</v>
      </c>
      <c r="BR163">
        <f>Model!BZ197</f>
        <v>272.27734552300973</v>
      </c>
      <c r="BS163">
        <f>Model!CA197</f>
        <v>-1.6153054636042219</v>
      </c>
      <c r="BT163">
        <f>Model!CB197</f>
        <v>7.4837688857205471</v>
      </c>
      <c r="BU163">
        <f>Model!CC197</f>
        <v>0</v>
      </c>
      <c r="BV163">
        <f>Model!CD197</f>
        <v>0</v>
      </c>
      <c r="BW163">
        <f>Model!CE197</f>
        <v>0</v>
      </c>
      <c r="BX163">
        <f>Model!CF197</f>
        <v>0</v>
      </c>
      <c r="BY163">
        <f>Model!CG197</f>
        <v>0</v>
      </c>
      <c r="BZ163">
        <f>Model!CH197</f>
        <v>0</v>
      </c>
      <c r="CA163">
        <f>Model!CI197</f>
        <v>0</v>
      </c>
      <c r="CB163">
        <f>Model!CJ197</f>
        <v>0</v>
      </c>
      <c r="CC163">
        <f>Model!CK197</f>
        <v>0</v>
      </c>
      <c r="CD163">
        <f>Model!CL197</f>
        <v>0</v>
      </c>
      <c r="CE163">
        <f>Model!CM197</f>
        <v>0</v>
      </c>
      <c r="CF163">
        <f>Model!CN197</f>
        <v>-46.278288059434445</v>
      </c>
      <c r="CG163">
        <f>Model!CO197</f>
        <v>-37.045361812410164</v>
      </c>
      <c r="CH163">
        <f>Model!CP197</f>
        <v>30.916745035885068</v>
      </c>
      <c r="CI163">
        <f>Model!CQ197</f>
        <v>-3.1775143472582981</v>
      </c>
      <c r="CJ163">
        <f>Model!CR197</f>
        <v>-57.241865161262972</v>
      </c>
      <c r="CK163">
        <f>Model!CS197</f>
        <v>-12.902940199178529</v>
      </c>
      <c r="CL163">
        <f>Model!CT197</f>
        <v>-5.5784053952624699</v>
      </c>
      <c r="CM163">
        <f>Model!CU197</f>
        <v>-16.146003391788387</v>
      </c>
      <c r="CN163">
        <f>Model!CV197</f>
        <v>-21.291172211757406</v>
      </c>
      <c r="CO163">
        <f>Model!CW197</f>
        <v>-31.575925514910757</v>
      </c>
      <c r="CP163">
        <f>Model!CX197</f>
        <v>142.18607489597755</v>
      </c>
      <c r="CQ163">
        <f>Model!CY197</f>
        <v>6.9388939039072284E-14</v>
      </c>
      <c r="CR163">
        <f>Model!CZ197</f>
        <v>0</v>
      </c>
      <c r="CS163">
        <f>Model!DA197</f>
        <v>0</v>
      </c>
      <c r="CT163">
        <f>Model!DB197</f>
        <v>0</v>
      </c>
      <c r="CU163">
        <f>Model!DC197</f>
        <v>0</v>
      </c>
      <c r="CV163">
        <f>Model!DD197</f>
        <v>0</v>
      </c>
      <c r="CW163">
        <f>Model!DE197</f>
        <v>0</v>
      </c>
      <c r="CX163">
        <f>Model!DF197</f>
        <v>0</v>
      </c>
    </row>
    <row r="164" spans="1:102">
      <c r="A164">
        <f>Model!I198</f>
        <v>0</v>
      </c>
      <c r="B164">
        <f>Model!J198</f>
        <v>0</v>
      </c>
      <c r="C164">
        <f>Model!K198</f>
        <v>0</v>
      </c>
      <c r="D164">
        <f>Model!L198</f>
        <v>0</v>
      </c>
      <c r="E164">
        <f>Model!M198</f>
        <v>0</v>
      </c>
      <c r="F164">
        <f>Model!N198</f>
        <v>0</v>
      </c>
      <c r="G164">
        <f>Model!O198</f>
        <v>0</v>
      </c>
      <c r="H164">
        <f>Model!P198</f>
        <v>0</v>
      </c>
      <c r="I164">
        <f>Model!Q198</f>
        <v>0</v>
      </c>
      <c r="J164">
        <f>Model!R198</f>
        <v>0</v>
      </c>
      <c r="K164">
        <f>Model!S198</f>
        <v>0</v>
      </c>
      <c r="L164">
        <f>Model!T198</f>
        <v>0</v>
      </c>
      <c r="M164">
        <f>Model!U198</f>
        <v>0</v>
      </c>
      <c r="N164">
        <f>Model!V198</f>
        <v>0</v>
      </c>
      <c r="O164">
        <f>Model!W198</f>
        <v>0</v>
      </c>
      <c r="P164">
        <f>Model!X198</f>
        <v>0</v>
      </c>
      <c r="Q164">
        <f>Model!Y198</f>
        <v>0</v>
      </c>
      <c r="R164">
        <f>Model!Z198</f>
        <v>0</v>
      </c>
      <c r="S164">
        <f>Model!AA198</f>
        <v>0</v>
      </c>
      <c r="T164">
        <f>Model!AB198</f>
        <v>0</v>
      </c>
      <c r="U164">
        <f>Model!AC198</f>
        <v>0</v>
      </c>
      <c r="V164">
        <f>Model!AD198</f>
        <v>0</v>
      </c>
      <c r="W164">
        <f>Model!AE198</f>
        <v>0</v>
      </c>
      <c r="X164">
        <f>Model!AF198</f>
        <v>0</v>
      </c>
      <c r="Y164">
        <f>Model!AG198</f>
        <v>0</v>
      </c>
      <c r="Z164">
        <f>Model!AH198</f>
        <v>0</v>
      </c>
      <c r="AA164">
        <f>Model!AI198</f>
        <v>0</v>
      </c>
      <c r="AB164">
        <f>Model!AJ198</f>
        <v>0</v>
      </c>
      <c r="AC164">
        <f>Model!AK198</f>
        <v>0</v>
      </c>
      <c r="AD164">
        <f>Model!AL198</f>
        <v>0</v>
      </c>
      <c r="AE164">
        <f>Model!AM198</f>
        <v>0</v>
      </c>
      <c r="AF164">
        <f>Model!AN198</f>
        <v>0</v>
      </c>
      <c r="AG164">
        <f>Model!AO198</f>
        <v>0</v>
      </c>
      <c r="AH164">
        <f>Model!AP198</f>
        <v>0</v>
      </c>
      <c r="AI164">
        <f>Model!AQ198</f>
        <v>0</v>
      </c>
      <c r="AJ164">
        <f>Model!AR198</f>
        <v>0</v>
      </c>
      <c r="AK164">
        <f>Model!AS198</f>
        <v>0</v>
      </c>
      <c r="AL164">
        <f>Model!AT198</f>
        <v>0</v>
      </c>
      <c r="AM164">
        <f>Model!AU198</f>
        <v>0</v>
      </c>
      <c r="AN164">
        <f>Model!AV198</f>
        <v>0</v>
      </c>
      <c r="AO164">
        <f>Model!AW198</f>
        <v>0</v>
      </c>
      <c r="AP164">
        <f>Model!AX198</f>
        <v>0</v>
      </c>
      <c r="AQ164">
        <f>Model!AY198</f>
        <v>0</v>
      </c>
      <c r="AR164">
        <f>Model!AZ198</f>
        <v>0</v>
      </c>
      <c r="AS164">
        <f>Model!BA198</f>
        <v>0</v>
      </c>
      <c r="AT164">
        <f>Model!BB198</f>
        <v>0</v>
      </c>
      <c r="AU164">
        <f>Model!BC198</f>
        <v>0</v>
      </c>
      <c r="AV164">
        <f>Model!BD198</f>
        <v>0</v>
      </c>
      <c r="AW164">
        <f>Model!BE198</f>
        <v>0</v>
      </c>
      <c r="AX164">
        <f>Model!BF198</f>
        <v>0</v>
      </c>
      <c r="AY164">
        <f>Model!BG198</f>
        <v>0</v>
      </c>
      <c r="AZ164">
        <f>Model!BH198</f>
        <v>0</v>
      </c>
      <c r="BA164">
        <f>Model!BI198</f>
        <v>0</v>
      </c>
      <c r="BB164">
        <f>Model!BJ198</f>
        <v>0</v>
      </c>
      <c r="BC164">
        <f>Model!BK198</f>
        <v>0</v>
      </c>
      <c r="BD164">
        <f>Model!BL198</f>
        <v>0</v>
      </c>
      <c r="BE164">
        <f>Model!BM198</f>
        <v>0</v>
      </c>
      <c r="BF164">
        <f>Model!BN198</f>
        <v>0</v>
      </c>
      <c r="BG164">
        <f>Model!BO198</f>
        <v>0</v>
      </c>
      <c r="BH164">
        <f>Model!BP198</f>
        <v>0</v>
      </c>
      <c r="BI164">
        <f>Model!BQ198</f>
        <v>0</v>
      </c>
      <c r="BJ164">
        <f>Model!BR198</f>
        <v>0</v>
      </c>
      <c r="BK164">
        <f>Model!BS198</f>
        <v>0</v>
      </c>
      <c r="BL164">
        <f>Model!BT198</f>
        <v>0</v>
      </c>
      <c r="BM164">
        <f>Model!BU198</f>
        <v>0</v>
      </c>
      <c r="BN164">
        <f>Model!BV198</f>
        <v>0</v>
      </c>
      <c r="BO164">
        <f>Model!BW198</f>
        <v>0</v>
      </c>
      <c r="BP164">
        <f>Model!BX198</f>
        <v>0</v>
      </c>
      <c r="BQ164">
        <f>Model!BY198</f>
        <v>0</v>
      </c>
      <c r="BR164">
        <f>Model!BZ198</f>
        <v>0</v>
      </c>
      <c r="BS164">
        <f>Model!CA198</f>
        <v>0</v>
      </c>
      <c r="BT164">
        <f>Model!CB198</f>
        <v>0</v>
      </c>
      <c r="BU164">
        <f>Model!CC198</f>
        <v>0</v>
      </c>
      <c r="BV164">
        <f>Model!CD198</f>
        <v>0</v>
      </c>
      <c r="BW164">
        <f>Model!CE198</f>
        <v>0</v>
      </c>
      <c r="BX164">
        <f>Model!CF198</f>
        <v>0</v>
      </c>
      <c r="BY164">
        <f>Model!CG198</f>
        <v>0</v>
      </c>
      <c r="BZ164">
        <f>Model!CH198</f>
        <v>0</v>
      </c>
      <c r="CA164">
        <f>Model!CI198</f>
        <v>0</v>
      </c>
      <c r="CB164">
        <f>Model!CJ198</f>
        <v>0</v>
      </c>
      <c r="CC164">
        <f>Model!CK198</f>
        <v>0</v>
      </c>
      <c r="CD164">
        <f>Model!CL198</f>
        <v>0</v>
      </c>
      <c r="CE164">
        <f>Model!CM198</f>
        <v>0</v>
      </c>
      <c r="CF164">
        <f>Model!CN198</f>
        <v>0</v>
      </c>
      <c r="CG164">
        <f>Model!CO198</f>
        <v>0</v>
      </c>
      <c r="CH164">
        <f>Model!CP198</f>
        <v>0</v>
      </c>
      <c r="CI164">
        <f>Model!CQ198</f>
        <v>0</v>
      </c>
      <c r="CJ164">
        <f>Model!CR198</f>
        <v>0</v>
      </c>
      <c r="CK164">
        <f>Model!CS198</f>
        <v>0</v>
      </c>
      <c r="CL164">
        <f>Model!CT198</f>
        <v>0</v>
      </c>
      <c r="CM164">
        <f>Model!CU198</f>
        <v>0</v>
      </c>
      <c r="CN164">
        <f>Model!CV198</f>
        <v>0</v>
      </c>
      <c r="CO164">
        <f>Model!CW198</f>
        <v>0</v>
      </c>
      <c r="CP164">
        <f>Model!CX198</f>
        <v>0</v>
      </c>
      <c r="CQ164">
        <f>Model!CY198</f>
        <v>0</v>
      </c>
      <c r="CR164">
        <f>Model!CZ198</f>
        <v>0</v>
      </c>
      <c r="CS164">
        <f>Model!DA198</f>
        <v>0</v>
      </c>
      <c r="CT164">
        <f>Model!DB198</f>
        <v>0</v>
      </c>
      <c r="CU164">
        <f>Model!DC198</f>
        <v>0</v>
      </c>
      <c r="CV164">
        <f>Model!DD198</f>
        <v>0</v>
      </c>
      <c r="CW164">
        <f>Model!DE198</f>
        <v>0</v>
      </c>
      <c r="CX164">
        <f>Model!DF198</f>
        <v>0</v>
      </c>
    </row>
    <row r="165" spans="1:102">
      <c r="A165" t="str">
        <f>Model!I199</f>
        <v>Domestic Merchant Rev % of Domestic Merchant Bookings</v>
      </c>
      <c r="B165">
        <f>Model!J199</f>
        <v>0</v>
      </c>
      <c r="C165">
        <f>Model!K199</f>
        <v>0</v>
      </c>
      <c r="D165">
        <f>Model!L199</f>
        <v>0</v>
      </c>
      <c r="E165">
        <f>Model!M199</f>
        <v>0</v>
      </c>
      <c r="F165">
        <f>Model!N199</f>
        <v>0</v>
      </c>
      <c r="G165">
        <f>Model!O199</f>
        <v>0</v>
      </c>
      <c r="H165">
        <f>Model!P199</f>
        <v>0</v>
      </c>
      <c r="I165">
        <f>Model!Q199</f>
        <v>0</v>
      </c>
      <c r="J165">
        <f>Model!R199</f>
        <v>0</v>
      </c>
      <c r="K165">
        <f>Model!S199</f>
        <v>0</v>
      </c>
      <c r="L165">
        <f>Model!T199</f>
        <v>0</v>
      </c>
      <c r="M165">
        <f>Model!U199</f>
        <v>0</v>
      </c>
      <c r="N165">
        <f>Model!V199</f>
        <v>0</v>
      </c>
      <c r="O165">
        <f>Model!W199</f>
        <v>0</v>
      </c>
      <c r="P165">
        <f>Model!X199</f>
        <v>0</v>
      </c>
      <c r="Q165">
        <f>Model!Y199</f>
        <v>0</v>
      </c>
      <c r="R165">
        <f>Model!Z199</f>
        <v>0</v>
      </c>
      <c r="S165">
        <f>Model!AA199</f>
        <v>0</v>
      </c>
      <c r="T165">
        <f>Model!AB199</f>
        <v>0</v>
      </c>
      <c r="U165">
        <f>Model!AC199</f>
        <v>0</v>
      </c>
      <c r="V165">
        <f>Model!AD199</f>
        <v>0</v>
      </c>
      <c r="W165">
        <f>Model!AE199</f>
        <v>0</v>
      </c>
      <c r="X165">
        <f>Model!AF199</f>
        <v>0</v>
      </c>
      <c r="Y165">
        <f>Model!AG199</f>
        <v>0.79018455588307079</v>
      </c>
      <c r="Z165">
        <f>Model!AH199</f>
        <v>0.78764784667333188</v>
      </c>
      <c r="AA165">
        <f>Model!AI199</f>
        <v>0.78265436217226736</v>
      </c>
      <c r="AB165">
        <f>Model!AJ199</f>
        <v>0.81423171799156502</v>
      </c>
      <c r="AC165">
        <f>Model!AK199</f>
        <v>0.79917558853047099</v>
      </c>
      <c r="AD165">
        <f>Model!AL199</f>
        <v>0.80022239752131286</v>
      </c>
      <c r="AE165">
        <f>Model!AM199</f>
        <v>0.79069079249793139</v>
      </c>
      <c r="AF165">
        <f>Model!AN199</f>
        <v>0.80646986566773993</v>
      </c>
      <c r="AG165">
        <f>Model!AO199</f>
        <v>0.78492304056412188</v>
      </c>
      <c r="AH165">
        <f>Model!AP199</f>
        <v>0.77559150562950185</v>
      </c>
      <c r="AI165">
        <f>Model!AQ199</f>
        <v>0.77053536518847121</v>
      </c>
      <c r="AJ165">
        <f>Model!AR199</f>
        <v>0.78471731790970511</v>
      </c>
      <c r="AK165">
        <f>Model!AS199</f>
        <v>0.78869012404465422</v>
      </c>
      <c r="AL165">
        <f>Model!AT199</f>
        <v>0.77071239124756363</v>
      </c>
      <c r="AM165">
        <f>Model!AU199</f>
        <v>0.7543780064721145</v>
      </c>
      <c r="AN165">
        <f>Model!AV199</f>
        <v>0.73291929201581107</v>
      </c>
      <c r="AO165">
        <f>Model!AW199</f>
        <v>0.79436557184961587</v>
      </c>
      <c r="AP165">
        <f>Model!AX199</f>
        <v>0.78677075350248959</v>
      </c>
      <c r="AQ165">
        <f>Model!AY199</f>
        <v>0.82693087436096502</v>
      </c>
      <c r="AR165">
        <f>Model!AZ199</f>
        <v>0.7837136573941853</v>
      </c>
      <c r="AS165">
        <f>Model!BA199</f>
        <v>0.89212178830800726</v>
      </c>
      <c r="AT165">
        <f>Model!BB199</f>
        <v>0.81251199987269962</v>
      </c>
      <c r="AU165">
        <f>Model!BC199</f>
        <v>0.89806625810201368</v>
      </c>
      <c r="AV165">
        <f>Model!BD199</f>
        <v>0.85890769591191307</v>
      </c>
      <c r="AW165">
        <f>Model!BE199</f>
        <v>0.90978168047254082</v>
      </c>
      <c r="AX165">
        <f>Model!BF199</f>
        <v>0.90818399258106874</v>
      </c>
      <c r="AY165">
        <f>Model!BG199</f>
        <v>1.039588570106363</v>
      </c>
      <c r="AZ165">
        <f>Model!BH199</f>
        <v>0.82733125253151019</v>
      </c>
      <c r="BA165">
        <f>Model!BI199</f>
        <v>0.88750973803776823</v>
      </c>
      <c r="BB165">
        <f>Model!BJ199</f>
        <v>0.91754454903336546</v>
      </c>
      <c r="BC165">
        <f>Model!BK199</f>
        <v>1.2755997899524065</v>
      </c>
      <c r="BD165">
        <f>Model!BL199</f>
        <v>0.90794085165936622</v>
      </c>
      <c r="BE165">
        <f>Model!BM199</f>
        <v>1.0687963866933499</v>
      </c>
      <c r="BF165">
        <f>Model!BN199</f>
        <v>1.0573323450534815</v>
      </c>
      <c r="BG165">
        <f>Model!BO199</f>
        <v>2.4894088395297747</v>
      </c>
      <c r="BH165">
        <f>Model!BP199</f>
        <v>1.8755698999882084</v>
      </c>
      <c r="BI165">
        <f>Model!BQ199</f>
        <v>1.9678257167603572</v>
      </c>
      <c r="BJ165">
        <f>Model!BR199</f>
        <v>1.9244255683817075</v>
      </c>
      <c r="BK165">
        <f>Model!BS199</f>
        <v>3.9576901831613283</v>
      </c>
      <c r="BL165">
        <f>Model!BT199</f>
        <v>12.093221439487905</v>
      </c>
      <c r="BM165">
        <f>Model!BU199</f>
        <v>3.2999384595114103</v>
      </c>
      <c r="BN165">
        <f>Model!BV199</f>
        <v>3.168600214586943</v>
      </c>
      <c r="BO165">
        <f>Model!BW199</f>
        <v>6.9228250145311154</v>
      </c>
      <c r="BP165">
        <f>Model!BX199</f>
        <v>14.818839686304127</v>
      </c>
      <c r="BQ165">
        <f>Model!BY199</f>
        <v>3.6043651067153668</v>
      </c>
      <c r="BR165">
        <f>Model!BZ199</f>
        <v>3.4202427322100251</v>
      </c>
      <c r="BS165">
        <f>Model!CA199</f>
        <v>10.176996095075996</v>
      </c>
      <c r="BT165">
        <f>Model!CB199</f>
        <v>22.275116779626259</v>
      </c>
      <c r="BU165">
        <f>Model!CC199</f>
        <v>3.8796015947224252</v>
      </c>
      <c r="BV165">
        <f>Model!CD199</f>
        <v>3.7158733342879984</v>
      </c>
      <c r="BW165">
        <f>Model!CE199</f>
        <v>13.306548531314784</v>
      </c>
      <c r="BX165">
        <f>Model!CF199</f>
        <v>29.33244133388467</v>
      </c>
      <c r="BY165">
        <f>Model!CG199</f>
        <v>0</v>
      </c>
      <c r="BZ165">
        <f>Model!CH199</f>
        <v>0</v>
      </c>
      <c r="CA165">
        <f>Model!CI199</f>
        <v>0</v>
      </c>
      <c r="CB165">
        <f>Model!CJ199</f>
        <v>0</v>
      </c>
      <c r="CC165">
        <f>Model!CK199</f>
        <v>0</v>
      </c>
      <c r="CD165">
        <f>Model!CL199</f>
        <v>0</v>
      </c>
      <c r="CE165">
        <f>Model!CM199</f>
        <v>0.79278214957974802</v>
      </c>
      <c r="CF165">
        <f>Model!CN199</f>
        <v>0.78688366493585571</v>
      </c>
      <c r="CG165">
        <f>Model!CO199</f>
        <v>0.77841964576233191</v>
      </c>
      <c r="CH165">
        <f>Model!CP199</f>
        <v>0.76168813276910019</v>
      </c>
      <c r="CI165">
        <f>Model!CQ199</f>
        <v>0.79903807505946955</v>
      </c>
      <c r="CJ165">
        <f>Model!CR199</f>
        <v>0.86388720636757454</v>
      </c>
      <c r="CK165">
        <f>Model!CS199</f>
        <v>0.92125660221415395</v>
      </c>
      <c r="CL165">
        <f>Model!CT199</f>
        <v>0.98273637231948285</v>
      </c>
      <c r="CM165">
        <f>Model!CU199</f>
        <v>1.4458970096505097</v>
      </c>
      <c r="CN165">
        <f>Model!CV199</f>
        <v>2.8929539696870719</v>
      </c>
      <c r="CO165">
        <f>Model!CW199</f>
        <v>4.8610345496317642</v>
      </c>
      <c r="CP165">
        <f>Model!CX199</f>
        <v>6.3046176756359609</v>
      </c>
      <c r="CQ165">
        <f>Model!CY199</f>
        <v>7.6983306603360528</v>
      </c>
      <c r="CR165">
        <f>Model!CZ199</f>
        <v>10.037224577980062</v>
      </c>
      <c r="CS165">
        <f>Model!DA199</f>
        <v>12.94841260827506</v>
      </c>
      <c r="CT165">
        <f>Model!DB199</f>
        <v>14.720139647746644</v>
      </c>
      <c r="CU165">
        <f>Model!DC199</f>
        <v>16.73803760891257</v>
      </c>
      <c r="CV165">
        <f>Model!DD199</f>
        <v>19.036033797972607</v>
      </c>
      <c r="CW165">
        <f>Model!DE199</f>
        <v>21.652701886024346</v>
      </c>
      <c r="CX165">
        <f>Model!DF199</f>
        <v>24.6318950603908</v>
      </c>
    </row>
    <row r="166" spans="1:102">
      <c r="A166" t="str">
        <f>Model!I200</f>
        <v>% change Y/Y (in bp)</v>
      </c>
      <c r="B166">
        <f>Model!J200</f>
        <v>0</v>
      </c>
      <c r="C166">
        <f>Model!K200</f>
        <v>0</v>
      </c>
      <c r="D166">
        <f>Model!L200</f>
        <v>0</v>
      </c>
      <c r="E166">
        <f>Model!M200</f>
        <v>0</v>
      </c>
      <c r="F166">
        <f>Model!N200</f>
        <v>0</v>
      </c>
      <c r="G166">
        <f>Model!O200</f>
        <v>0</v>
      </c>
      <c r="H166">
        <f>Model!P200</f>
        <v>0</v>
      </c>
      <c r="I166">
        <f>Model!Q200</f>
        <v>0</v>
      </c>
      <c r="J166">
        <f>Model!R200</f>
        <v>0</v>
      </c>
      <c r="K166">
        <f>Model!S200</f>
        <v>0</v>
      </c>
      <c r="L166">
        <f>Model!T200</f>
        <v>0</v>
      </c>
      <c r="M166">
        <f>Model!U200</f>
        <v>0</v>
      </c>
      <c r="N166">
        <f>Model!V200</f>
        <v>0</v>
      </c>
      <c r="O166">
        <f>Model!W200</f>
        <v>0</v>
      </c>
      <c r="P166">
        <f>Model!X200</f>
        <v>0</v>
      </c>
      <c r="Q166">
        <f>Model!Y200</f>
        <v>0</v>
      </c>
      <c r="R166">
        <f>Model!Z200</f>
        <v>0</v>
      </c>
      <c r="S166">
        <f>Model!AA200</f>
        <v>0</v>
      </c>
      <c r="T166">
        <f>Model!AB200</f>
        <v>0</v>
      </c>
      <c r="U166">
        <f>Model!AC200</f>
        <v>0</v>
      </c>
      <c r="V166">
        <f>Model!AD200</f>
        <v>0</v>
      </c>
      <c r="W166">
        <f>Model!AE200</f>
        <v>0</v>
      </c>
      <c r="X166">
        <f>Model!AF200</f>
        <v>0</v>
      </c>
      <c r="Y166">
        <f>Model!AG200</f>
        <v>0</v>
      </c>
      <c r="Z166">
        <f>Model!AH200</f>
        <v>0</v>
      </c>
      <c r="AA166">
        <f>Model!AI200</f>
        <v>0</v>
      </c>
      <c r="AB166">
        <f>Model!AJ200</f>
        <v>0</v>
      </c>
      <c r="AC166">
        <f>Model!AK200</f>
        <v>89.910326474001991</v>
      </c>
      <c r="AD166">
        <f>Model!AL200</f>
        <v>125.74550847980981</v>
      </c>
      <c r="AE166">
        <f>Model!AM200</f>
        <v>80.364303256640341</v>
      </c>
      <c r="AF166">
        <f>Model!AN200</f>
        <v>-77.618523238250916</v>
      </c>
      <c r="AG166">
        <f>Model!AO200</f>
        <v>-142.52547966349115</v>
      </c>
      <c r="AH166">
        <f>Model!AP200</f>
        <v>-246.30891891811001</v>
      </c>
      <c r="AI166">
        <f>Model!AQ200</f>
        <v>-201.55427309460183</v>
      </c>
      <c r="AJ166">
        <f>Model!AR200</f>
        <v>-217.52547758034814</v>
      </c>
      <c r="AK166">
        <f>Model!AS200</f>
        <v>37.670834805323409</v>
      </c>
      <c r="AL166">
        <f>Model!AT200</f>
        <v>-48.791143819382214</v>
      </c>
      <c r="AM166">
        <f>Model!AU200</f>
        <v>-161.57358716356705</v>
      </c>
      <c r="AN166">
        <f>Model!AV200</f>
        <v>-517.98025893894044</v>
      </c>
      <c r="AO166">
        <f>Model!AW200</f>
        <v>56.75447804961653</v>
      </c>
      <c r="AP166">
        <f>Model!AX200</f>
        <v>160.58362254925962</v>
      </c>
      <c r="AQ166">
        <f>Model!AY200</f>
        <v>725.52867888850517</v>
      </c>
      <c r="AR166">
        <f>Model!AZ200</f>
        <v>507.94365378374226</v>
      </c>
      <c r="AS166">
        <f>Model!BA200</f>
        <v>977.56216458391384</v>
      </c>
      <c r="AT166">
        <f>Model!BB200</f>
        <v>257.41246370210024</v>
      </c>
      <c r="AU166">
        <f>Model!BC200</f>
        <v>711.35383741048668</v>
      </c>
      <c r="AV166">
        <f>Model!BD200</f>
        <v>751.94038517727768</v>
      </c>
      <c r="AW166">
        <f>Model!BE200</f>
        <v>176.59892164533565</v>
      </c>
      <c r="AX166">
        <f>Model!BF200</f>
        <v>956.71992708369123</v>
      </c>
      <c r="AY166">
        <f>Model!BG200</f>
        <v>1415.2231200434928</v>
      </c>
      <c r="AZ166">
        <f>Model!BH200</f>
        <v>-315.76443380402884</v>
      </c>
      <c r="BA166">
        <f>Model!BI200</f>
        <v>-222.71942434772595</v>
      </c>
      <c r="BB166">
        <f>Model!BJ200</f>
        <v>93.6055645229672</v>
      </c>
      <c r="BC166">
        <f>Model!BK200</f>
        <v>2360.1121984604356</v>
      </c>
      <c r="BD166">
        <f>Model!BL200</f>
        <v>806.0959912785604</v>
      </c>
      <c r="BE166">
        <f>Model!BM200</f>
        <v>1812.8664865558164</v>
      </c>
      <c r="BF166">
        <f>Model!BN200</f>
        <v>1397.8779602011605</v>
      </c>
      <c r="BG166">
        <f>Model!BO200</f>
        <v>12138.090495773682</v>
      </c>
      <c r="BH166">
        <f>Model!BP200</f>
        <v>9676.2904832884215</v>
      </c>
      <c r="BI166">
        <f>Model!BQ200</f>
        <v>8990.2933006700732</v>
      </c>
      <c r="BJ166">
        <f>Model!BR200</f>
        <v>8670.9322332822594</v>
      </c>
      <c r="BK166">
        <f>Model!BS200</f>
        <v>14682.813436315537</v>
      </c>
      <c r="BL166">
        <f>Model!BT200</f>
        <v>102176.51539499697</v>
      </c>
      <c r="BM166">
        <f>Model!BU200</f>
        <v>13321.127427510532</v>
      </c>
      <c r="BN166">
        <f>Model!BV200</f>
        <v>12441.746462052355</v>
      </c>
      <c r="BO166">
        <f>Model!BW200</f>
        <v>29651.348313697872</v>
      </c>
      <c r="BP166">
        <f>Model!BX200</f>
        <v>27256.182468162217</v>
      </c>
      <c r="BQ166">
        <f>Model!BY200</f>
        <v>3044.2664720395651</v>
      </c>
      <c r="BR166">
        <f>Model!BZ200</f>
        <v>2516.4251762308209</v>
      </c>
      <c r="BS166">
        <f>Model!CA200</f>
        <v>32541.710805448805</v>
      </c>
      <c r="BT166">
        <f>Model!CB200</f>
        <v>74562.770933221327</v>
      </c>
      <c r="BU166">
        <f>Model!CC200</f>
        <v>2752.3648800705837</v>
      </c>
      <c r="BV166">
        <f>Model!CD200</f>
        <v>2956.306020779733</v>
      </c>
      <c r="BW166">
        <f>Model!CE200</f>
        <v>31295.524362387878</v>
      </c>
      <c r="BX166">
        <f>Model!CF200</f>
        <v>70573.245542584118</v>
      </c>
      <c r="BY166">
        <f>Model!CG200</f>
        <v>0</v>
      </c>
      <c r="BZ166">
        <f>Model!CH200</f>
        <v>0</v>
      </c>
      <c r="CA166">
        <f>Model!CI200</f>
        <v>0</v>
      </c>
      <c r="CB166">
        <f>Model!CJ200</f>
        <v>0</v>
      </c>
      <c r="CC166">
        <f>Model!CK200</f>
        <v>0</v>
      </c>
      <c r="CD166">
        <f>Model!CL200</f>
        <v>0</v>
      </c>
      <c r="CE166">
        <f>Model!CM200</f>
        <v>0</v>
      </c>
      <c r="CF166">
        <f>Model!CN200</f>
        <v>-58.9848464389231</v>
      </c>
      <c r="CG166">
        <f>Model!CO200</f>
        <v>-84.640191735237963</v>
      </c>
      <c r="CH166">
        <f>Model!CP200</f>
        <v>-167.31512993231723</v>
      </c>
      <c r="CI166">
        <f>Model!CQ200</f>
        <v>373.49942290369364</v>
      </c>
      <c r="CJ166">
        <f>Model!CR200</f>
        <v>648.49131308104995</v>
      </c>
      <c r="CK166">
        <f>Model!CS200</f>
        <v>573.69395846579403</v>
      </c>
      <c r="CL166">
        <f>Model!CT200</f>
        <v>614.79770105328896</v>
      </c>
      <c r="CM166">
        <f>Model!CU200</f>
        <v>4631.6063733102683</v>
      </c>
      <c r="CN166">
        <f>Model!CV200</f>
        <v>14470.569600365621</v>
      </c>
      <c r="CO166">
        <f>Model!CW200</f>
        <v>19680.805799446924</v>
      </c>
      <c r="CP166">
        <f>Model!CX200</f>
        <v>14435.831260041967</v>
      </c>
      <c r="CQ166">
        <f>Model!CY200</f>
        <v>13937.129847000921</v>
      </c>
      <c r="CR166">
        <f>Model!CZ200</f>
        <v>23388.939176440093</v>
      </c>
      <c r="CS166">
        <f>Model!DA200</f>
        <v>29111.880302949976</v>
      </c>
      <c r="CT166">
        <f>Model!DB200</f>
        <v>17717.270394715837</v>
      </c>
      <c r="CU166">
        <f>Model!DC200</f>
        <v>20178.97961165927</v>
      </c>
      <c r="CV166">
        <f>Model!DD200</f>
        <v>22979.961890600363</v>
      </c>
      <c r="CW166">
        <f>Model!DE200</f>
        <v>26166.68088051739</v>
      </c>
      <c r="CX166">
        <f>Model!DF200</f>
        <v>29791.93174366454</v>
      </c>
    </row>
    <row r="168" spans="1:102">
      <c r="A168">
        <f>Model!I201</f>
        <v>0</v>
      </c>
      <c r="B168">
        <f>Model!J201</f>
        <v>0</v>
      </c>
      <c r="C168">
        <f>Model!K201</f>
        <v>0</v>
      </c>
      <c r="D168">
        <f>Model!L201</f>
        <v>0</v>
      </c>
      <c r="E168">
        <f>Model!M201</f>
        <v>0</v>
      </c>
      <c r="F168">
        <f>Model!N201</f>
        <v>0</v>
      </c>
      <c r="G168">
        <f>Model!O201</f>
        <v>0</v>
      </c>
      <c r="H168">
        <f>Model!P201</f>
        <v>0</v>
      </c>
      <c r="I168">
        <f>Model!Q201</f>
        <v>0</v>
      </c>
      <c r="J168">
        <f>Model!R201</f>
        <v>0</v>
      </c>
      <c r="K168">
        <f>Model!S201</f>
        <v>0</v>
      </c>
      <c r="L168">
        <f>Model!T201</f>
        <v>0</v>
      </c>
      <c r="M168">
        <f>Model!U201</f>
        <v>0</v>
      </c>
      <c r="N168">
        <f>Model!V201</f>
        <v>0</v>
      </c>
      <c r="O168">
        <f>Model!W201</f>
        <v>0</v>
      </c>
      <c r="P168">
        <f>Model!X201</f>
        <v>0</v>
      </c>
      <c r="Q168">
        <f>Model!Y201</f>
        <v>0</v>
      </c>
      <c r="R168">
        <f>Model!Z201</f>
        <v>0</v>
      </c>
      <c r="S168">
        <f>Model!AA201</f>
        <v>0</v>
      </c>
      <c r="T168">
        <f>Model!AB201</f>
        <v>0</v>
      </c>
      <c r="U168">
        <f>Model!AC201</f>
        <v>0</v>
      </c>
      <c r="V168">
        <f>Model!AD201</f>
        <v>0</v>
      </c>
      <c r="W168">
        <f>Model!AE201</f>
        <v>0</v>
      </c>
      <c r="X168">
        <f>Model!AF201</f>
        <v>0</v>
      </c>
      <c r="Y168">
        <f>Model!AG201</f>
        <v>0</v>
      </c>
      <c r="Z168">
        <f>Model!AH201</f>
        <v>0</v>
      </c>
      <c r="AA168">
        <f>Model!AI201</f>
        <v>0</v>
      </c>
      <c r="AB168">
        <f>Model!AJ201</f>
        <v>0</v>
      </c>
      <c r="AC168">
        <f>Model!AK201</f>
        <v>0</v>
      </c>
      <c r="AD168">
        <f>Model!AL201</f>
        <v>0</v>
      </c>
      <c r="AE168">
        <f>Model!AM201</f>
        <v>0</v>
      </c>
      <c r="AF168">
        <f>Model!AN201</f>
        <v>0</v>
      </c>
      <c r="AG168">
        <f>Model!AO201</f>
        <v>0</v>
      </c>
      <c r="AH168">
        <f>Model!AP201</f>
        <v>0</v>
      </c>
      <c r="AI168">
        <f>Model!AQ201</f>
        <v>0</v>
      </c>
      <c r="AJ168">
        <f>Model!AR201</f>
        <v>0</v>
      </c>
      <c r="AK168">
        <f>Model!AS201</f>
        <v>0</v>
      </c>
      <c r="AL168">
        <f>Model!AT201</f>
        <v>0</v>
      </c>
      <c r="AM168">
        <f>Model!AU201</f>
        <v>0</v>
      </c>
      <c r="AN168">
        <f>Model!AV201</f>
        <v>0</v>
      </c>
      <c r="AO168">
        <f>Model!AW201</f>
        <v>0</v>
      </c>
      <c r="AP168">
        <f>Model!AX201</f>
        <v>0</v>
      </c>
      <c r="AQ168">
        <f>Model!AY201</f>
        <v>0</v>
      </c>
      <c r="AR168">
        <f>Model!AZ201</f>
        <v>0</v>
      </c>
      <c r="AS168">
        <f>Model!BA201</f>
        <v>0</v>
      </c>
      <c r="AT168">
        <f>Model!BB201</f>
        <v>0</v>
      </c>
      <c r="AU168">
        <f>Model!BC201</f>
        <v>0</v>
      </c>
      <c r="AV168">
        <f>Model!BD201</f>
        <v>0</v>
      </c>
      <c r="AW168">
        <f>Model!BE201</f>
        <v>0</v>
      </c>
      <c r="AX168">
        <f>Model!BF201</f>
        <v>0</v>
      </c>
      <c r="AY168">
        <f>Model!BG201</f>
        <v>0</v>
      </c>
      <c r="AZ168">
        <f>Model!BH201</f>
        <v>0</v>
      </c>
      <c r="BA168">
        <f>Model!BI201</f>
        <v>0</v>
      </c>
      <c r="BB168">
        <f>Model!BJ201</f>
        <v>0</v>
      </c>
      <c r="BC168">
        <f>Model!BK201</f>
        <v>0</v>
      </c>
      <c r="BD168">
        <f>Model!BL201</f>
        <v>0</v>
      </c>
      <c r="BE168">
        <f>Model!BM201</f>
        <v>0</v>
      </c>
      <c r="BF168">
        <f>Model!BN201</f>
        <v>0</v>
      </c>
      <c r="BG168">
        <f>Model!BO201</f>
        <v>0</v>
      </c>
      <c r="BH168">
        <f>Model!BP201</f>
        <v>0</v>
      </c>
      <c r="BI168">
        <f>Model!BQ201</f>
        <v>0</v>
      </c>
      <c r="BJ168">
        <f>Model!BR201</f>
        <v>0</v>
      </c>
      <c r="BK168">
        <f>Model!BS201</f>
        <v>0</v>
      </c>
      <c r="BL168">
        <f>Model!BT201</f>
        <v>0</v>
      </c>
      <c r="BM168">
        <f>Model!BU201</f>
        <v>0</v>
      </c>
      <c r="BN168">
        <f>Model!BV201</f>
        <v>0</v>
      </c>
      <c r="BO168">
        <f>Model!BW201</f>
        <v>0</v>
      </c>
      <c r="BP168">
        <f>Model!BX201</f>
        <v>0</v>
      </c>
      <c r="BQ168">
        <f>Model!BY201</f>
        <v>0</v>
      </c>
      <c r="BR168">
        <f>Model!BZ201</f>
        <v>0</v>
      </c>
      <c r="BS168">
        <f>Model!CA201</f>
        <v>0</v>
      </c>
      <c r="BT168">
        <f>Model!CB201</f>
        <v>0</v>
      </c>
      <c r="BU168">
        <f>Model!CC201</f>
        <v>0</v>
      </c>
      <c r="BV168">
        <f>Model!CD201</f>
        <v>0</v>
      </c>
      <c r="BW168">
        <f>Model!CE201</f>
        <v>0</v>
      </c>
      <c r="BX168">
        <f>Model!CF201</f>
        <v>0</v>
      </c>
      <c r="BY168">
        <f>Model!CG201</f>
        <v>0</v>
      </c>
      <c r="BZ168">
        <f>Model!CH201</f>
        <v>0</v>
      </c>
      <c r="CA168">
        <f>Model!CI201</f>
        <v>0</v>
      </c>
      <c r="CB168">
        <f>Model!CJ201</f>
        <v>0</v>
      </c>
      <c r="CC168">
        <f>Model!CK201</f>
        <v>0</v>
      </c>
      <c r="CD168">
        <f>Model!CL201</f>
        <v>0</v>
      </c>
      <c r="CE168">
        <f>Model!CM201</f>
        <v>0</v>
      </c>
      <c r="CF168">
        <f>Model!CN201</f>
        <v>0</v>
      </c>
      <c r="CG168">
        <f>Model!CO201</f>
        <v>0</v>
      </c>
      <c r="CH168">
        <f>Model!CP201</f>
        <v>0</v>
      </c>
      <c r="CI168">
        <f>Model!CQ201</f>
        <v>0</v>
      </c>
      <c r="CJ168">
        <f>Model!CR201</f>
        <v>0</v>
      </c>
      <c r="CK168">
        <f>Model!CS201</f>
        <v>0</v>
      </c>
      <c r="CL168">
        <f>Model!CT201</f>
        <v>0</v>
      </c>
      <c r="CM168">
        <f>Model!CU201</f>
        <v>0</v>
      </c>
      <c r="CN168">
        <f>Model!CV201</f>
        <v>0</v>
      </c>
      <c r="CO168">
        <f>Model!CW201</f>
        <v>0</v>
      </c>
      <c r="CP168">
        <f>Model!CX201</f>
        <v>0</v>
      </c>
      <c r="CQ168">
        <f>Model!CY201</f>
        <v>0</v>
      </c>
      <c r="CR168">
        <f>Model!CZ201</f>
        <v>0</v>
      </c>
      <c r="CS168">
        <f>Model!DA201</f>
        <v>0</v>
      </c>
      <c r="CT168">
        <f>Model!DB201</f>
        <v>0</v>
      </c>
      <c r="CU168">
        <f>Model!DC201</f>
        <v>0</v>
      </c>
      <c r="CV168">
        <f>Model!DD201</f>
        <v>0</v>
      </c>
      <c r="CW168">
        <f>Model!DE201</f>
        <v>0</v>
      </c>
      <c r="CX168">
        <f>Model!DF201</f>
        <v>0</v>
      </c>
    </row>
    <row r="169" spans="1:102">
      <c r="A169" t="str">
        <f>Model!I202</f>
        <v>International Revenue</v>
      </c>
      <c r="B169">
        <f>Model!J202</f>
        <v>0</v>
      </c>
      <c r="C169">
        <f>Model!K202</f>
        <v>0</v>
      </c>
      <c r="D169">
        <f>Model!L202</f>
        <v>0</v>
      </c>
      <c r="E169">
        <f>Model!M202</f>
        <v>0</v>
      </c>
      <c r="F169">
        <f>Model!N202</f>
        <v>0</v>
      </c>
      <c r="G169">
        <f>Model!O202</f>
        <v>0</v>
      </c>
      <c r="H169">
        <f>Model!P202</f>
        <v>0</v>
      </c>
      <c r="I169">
        <f>Model!Q202</f>
        <v>0</v>
      </c>
      <c r="J169">
        <f>Model!R202</f>
        <v>0</v>
      </c>
      <c r="K169">
        <f>Model!S202</f>
        <v>0</v>
      </c>
      <c r="L169">
        <f>Model!T202</f>
        <v>0</v>
      </c>
      <c r="M169">
        <f>Model!U202</f>
        <v>0</v>
      </c>
      <c r="N169">
        <f>Model!V202</f>
        <v>0</v>
      </c>
      <c r="O169">
        <f>Model!W202</f>
        <v>0</v>
      </c>
      <c r="P169">
        <f>Model!X202</f>
        <v>0</v>
      </c>
      <c r="Q169">
        <f>Model!Y202</f>
        <v>0</v>
      </c>
      <c r="R169">
        <f>Model!Z202</f>
        <v>0</v>
      </c>
      <c r="S169">
        <f>Model!AA202</f>
        <v>0</v>
      </c>
      <c r="T169">
        <f>Model!AB202</f>
        <v>0</v>
      </c>
      <c r="U169">
        <f>Model!AC202</f>
        <v>0</v>
      </c>
      <c r="V169">
        <f>Model!AD202</f>
        <v>0</v>
      </c>
      <c r="W169">
        <f>Model!AE202</f>
        <v>0</v>
      </c>
      <c r="X169">
        <f>Model!AF202</f>
        <v>0</v>
      </c>
      <c r="Y169">
        <f>Model!AG202</f>
        <v>0</v>
      </c>
      <c r="Z169">
        <f>Model!AH202</f>
        <v>0</v>
      </c>
      <c r="AA169">
        <f>Model!AI202</f>
        <v>0</v>
      </c>
      <c r="AB169">
        <f>Model!AJ202</f>
        <v>0</v>
      </c>
      <c r="AC169">
        <f>Model!AK202</f>
        <v>0</v>
      </c>
      <c r="AD169">
        <f>Model!AL202</f>
        <v>0</v>
      </c>
      <c r="AE169">
        <f>Model!AM202</f>
        <v>0</v>
      </c>
      <c r="AF169">
        <f>Model!AN202</f>
        <v>0</v>
      </c>
      <c r="AG169">
        <f>Model!AO202</f>
        <v>0</v>
      </c>
      <c r="AH169">
        <f>Model!AP202</f>
        <v>0</v>
      </c>
      <c r="AI169">
        <f>Model!AQ202</f>
        <v>0</v>
      </c>
      <c r="AJ169">
        <f>Model!AR202</f>
        <v>0</v>
      </c>
      <c r="AK169">
        <f>Model!AS202</f>
        <v>0</v>
      </c>
      <c r="AL169">
        <f>Model!AT202</f>
        <v>0</v>
      </c>
      <c r="AM169">
        <f>Model!AU202</f>
        <v>0</v>
      </c>
      <c r="AN169">
        <f>Model!AV202</f>
        <v>0</v>
      </c>
      <c r="AO169">
        <f>Model!AW202</f>
        <v>0</v>
      </c>
      <c r="AP169">
        <f>Model!AX202</f>
        <v>0</v>
      </c>
      <c r="AQ169">
        <f>Model!AY202</f>
        <v>0</v>
      </c>
      <c r="AR169">
        <f>Model!AZ202</f>
        <v>0</v>
      </c>
      <c r="AS169">
        <f>Model!BA202</f>
        <v>0</v>
      </c>
      <c r="AT169">
        <f>Model!BB202</f>
        <v>0</v>
      </c>
      <c r="AU169">
        <f>Model!BC202</f>
        <v>0</v>
      </c>
      <c r="AV169">
        <f>Model!BD202</f>
        <v>0</v>
      </c>
      <c r="AW169">
        <f>Model!BE202</f>
        <v>0</v>
      </c>
      <c r="AX169">
        <f>Model!BF202</f>
        <v>0</v>
      </c>
      <c r="AY169">
        <f>Model!BG202</f>
        <v>0</v>
      </c>
      <c r="AZ169">
        <f>Model!BH202</f>
        <v>0</v>
      </c>
      <c r="BA169">
        <f>Model!BI202</f>
        <v>0</v>
      </c>
      <c r="BB169">
        <f>Model!BJ202</f>
        <v>0</v>
      </c>
      <c r="BC169">
        <f>Model!BK202</f>
        <v>0</v>
      </c>
      <c r="BD169">
        <f>Model!BL202</f>
        <v>0</v>
      </c>
      <c r="BE169">
        <f>Model!BM202</f>
        <v>0</v>
      </c>
      <c r="BF169">
        <f>Model!BN202</f>
        <v>0</v>
      </c>
      <c r="BG169">
        <f>Model!BO202</f>
        <v>0</v>
      </c>
      <c r="BH169">
        <f>Model!BP202</f>
        <v>0</v>
      </c>
      <c r="BI169">
        <f>Model!BQ202</f>
        <v>0</v>
      </c>
      <c r="BJ169">
        <f>Model!BR202</f>
        <v>0</v>
      </c>
      <c r="BK169">
        <f>Model!BS202</f>
        <v>0</v>
      </c>
      <c r="BL169">
        <f>Model!BT202</f>
        <v>0</v>
      </c>
      <c r="BM169">
        <f>Model!BU202</f>
        <v>0</v>
      </c>
      <c r="BN169">
        <f>Model!BV202</f>
        <v>0</v>
      </c>
      <c r="BO169">
        <f>Model!BW202</f>
        <v>0</v>
      </c>
      <c r="BP169">
        <f>Model!BX202</f>
        <v>0</v>
      </c>
      <c r="BQ169">
        <f>Model!BY202</f>
        <v>0</v>
      </c>
      <c r="BR169">
        <f>Model!BZ202</f>
        <v>0</v>
      </c>
      <c r="BS169">
        <f>Model!CA202</f>
        <v>0</v>
      </c>
      <c r="BT169">
        <f>Model!CB202</f>
        <v>0</v>
      </c>
      <c r="BU169">
        <f>Model!CC202</f>
        <v>0</v>
      </c>
      <c r="BV169">
        <f>Model!CD202</f>
        <v>0</v>
      </c>
      <c r="BW169">
        <f>Model!CE202</f>
        <v>0</v>
      </c>
      <c r="BX169">
        <f>Model!CF202</f>
        <v>0</v>
      </c>
      <c r="BY169">
        <f>Model!CG202</f>
        <v>0</v>
      </c>
      <c r="BZ169">
        <f>Model!CH202</f>
        <v>0</v>
      </c>
      <c r="CA169">
        <f>Model!CI202</f>
        <v>0</v>
      </c>
      <c r="CB169">
        <f>Model!CJ202</f>
        <v>0</v>
      </c>
      <c r="CC169">
        <f>Model!CK202</f>
        <v>0</v>
      </c>
      <c r="CD169">
        <f>Model!CL202</f>
        <v>0</v>
      </c>
      <c r="CE169">
        <f>Model!CM202</f>
        <v>0</v>
      </c>
      <c r="CF169">
        <f>Model!CN202</f>
        <v>0</v>
      </c>
      <c r="CG169">
        <f>Model!CO202</f>
        <v>0</v>
      </c>
      <c r="CH169">
        <f>Model!CP202</f>
        <v>0</v>
      </c>
      <c r="CI169">
        <f>Model!CQ202</f>
        <v>0</v>
      </c>
      <c r="CJ169">
        <f>Model!CR202</f>
        <v>0</v>
      </c>
      <c r="CK169">
        <f>Model!CS202</f>
        <v>0</v>
      </c>
      <c r="CL169">
        <f>Model!CT202</f>
        <v>0</v>
      </c>
      <c r="CM169">
        <f>Model!CU202</f>
        <v>0</v>
      </c>
      <c r="CN169">
        <f>Model!CV202</f>
        <v>0</v>
      </c>
      <c r="CO169">
        <f>Model!CW202</f>
        <v>0</v>
      </c>
      <c r="CP169">
        <f>Model!CX202</f>
        <v>0</v>
      </c>
      <c r="CQ169">
        <f>Model!CY202</f>
        <v>0</v>
      </c>
      <c r="CR169">
        <f>Model!CZ202</f>
        <v>0</v>
      </c>
      <c r="CS169">
        <f>Model!DA202</f>
        <v>0</v>
      </c>
      <c r="CT169">
        <f>Model!DB202</f>
        <v>0</v>
      </c>
      <c r="CU169">
        <f>Model!DC202</f>
        <v>0</v>
      </c>
      <c r="CV169">
        <f>Model!DD202</f>
        <v>0</v>
      </c>
      <c r="CW169">
        <f>Model!DE202</f>
        <v>0</v>
      </c>
      <c r="CX169">
        <f>Model!DF202</f>
        <v>0</v>
      </c>
    </row>
    <row r="170" spans="1:102">
      <c r="A170" t="str">
        <f>Model!I203</f>
        <v>Int'l Agency Revenue</v>
      </c>
      <c r="B170">
        <f>Model!J203</f>
        <v>0</v>
      </c>
      <c r="C170">
        <f>Model!K203</f>
        <v>0</v>
      </c>
      <c r="D170">
        <f>Model!L203</f>
        <v>0</v>
      </c>
      <c r="E170">
        <f>Model!M203</f>
        <v>0</v>
      </c>
      <c r="F170">
        <f>Model!N203</f>
        <v>0</v>
      </c>
      <c r="G170">
        <f>Model!O203</f>
        <v>0</v>
      </c>
      <c r="H170">
        <f>Model!P203</f>
        <v>0</v>
      </c>
      <c r="I170">
        <f>Model!Q203</f>
        <v>0</v>
      </c>
      <c r="J170">
        <f>Model!R203</f>
        <v>0</v>
      </c>
      <c r="K170">
        <f>Model!S203</f>
        <v>0</v>
      </c>
      <c r="L170">
        <f>Model!T203</f>
        <v>0</v>
      </c>
      <c r="M170">
        <f>Model!U203</f>
        <v>0</v>
      </c>
      <c r="N170">
        <f>Model!V203</f>
        <v>0</v>
      </c>
      <c r="O170">
        <f>Model!W203</f>
        <v>0</v>
      </c>
      <c r="P170">
        <f>Model!X203</f>
        <v>0</v>
      </c>
      <c r="Q170">
        <f>Model!Y203</f>
        <v>0</v>
      </c>
      <c r="R170">
        <f>Model!Z203</f>
        <v>0</v>
      </c>
      <c r="S170">
        <f>Model!AA203</f>
        <v>0</v>
      </c>
      <c r="T170">
        <f>Model!AB203</f>
        <v>0</v>
      </c>
      <c r="U170">
        <f>Model!AC203</f>
        <v>0</v>
      </c>
      <c r="V170">
        <f>Model!AD203</f>
        <v>0</v>
      </c>
      <c r="W170">
        <f>Model!AE203</f>
        <v>0</v>
      </c>
      <c r="X170">
        <f>Model!AF203</f>
        <v>0</v>
      </c>
      <c r="Y170">
        <f>Model!AG203</f>
        <v>22.4</v>
      </c>
      <c r="Z170">
        <f>Model!AH203</f>
        <v>47.1</v>
      </c>
      <c r="AA170">
        <f>Model!AI203</f>
        <v>65</v>
      </c>
      <c r="AB170">
        <f>Model!AJ203</f>
        <v>47.4</v>
      </c>
      <c r="AC170">
        <f>Model!AK203</f>
        <v>47.900000000000006</v>
      </c>
      <c r="AD170">
        <f>Model!AL203</f>
        <v>90.4</v>
      </c>
      <c r="AE170">
        <f>Model!AM203</f>
        <v>131.80000000000001</v>
      </c>
      <c r="AF170">
        <f>Model!AN203</f>
        <v>101</v>
      </c>
      <c r="AG170">
        <f>Model!AO203</f>
        <v>100.233</v>
      </c>
      <c r="AH170">
        <f>Model!AP203</f>
        <v>160.99100000000001</v>
      </c>
      <c r="AI170">
        <f>Model!AQ203</f>
        <v>219.00199999999998</v>
      </c>
      <c r="AJ170">
        <f>Model!AR203</f>
        <v>122.3625</v>
      </c>
      <c r="AK170">
        <f>Model!AS203</f>
        <v>105.51755</v>
      </c>
      <c r="AL170">
        <f>Model!AT203</f>
        <v>188.35384999999999</v>
      </c>
      <c r="AM170">
        <f>Model!AU203</f>
        <v>304.72480000000002</v>
      </c>
      <c r="AN170">
        <f>Model!AV203</f>
        <v>210.13749999999999</v>
      </c>
      <c r="AO170">
        <f>Model!AW203</f>
        <v>192.199736</v>
      </c>
      <c r="AP170">
        <f>Model!AX203</f>
        <v>292.73539499999998</v>
      </c>
      <c r="AQ170">
        <f>Model!AY203</f>
        <v>488.12072000000001</v>
      </c>
      <c r="AR170">
        <f>Model!AZ203</f>
        <v>334.77787499999999</v>
      </c>
      <c r="AS170">
        <f>Model!BA203</f>
        <v>328.0394192</v>
      </c>
      <c r="AT170">
        <f>Model!BB203</f>
        <v>539.37992695387254</v>
      </c>
      <c r="AU170">
        <f>Model!BC203</f>
        <v>867.04143999999997</v>
      </c>
      <c r="AV170">
        <f>Model!BD203</f>
        <v>529.75575000000003</v>
      </c>
      <c r="AW170">
        <f>Model!BE203</f>
        <v>514.72701264</v>
      </c>
      <c r="AX170">
        <f>Model!BF203</f>
        <v>736.97040885119588</v>
      </c>
      <c r="AY170">
        <f>Model!BG203</f>
        <v>1094.2856192000002</v>
      </c>
      <c r="AZ170">
        <f>Model!BH203</f>
        <v>710.88919999999996</v>
      </c>
      <c r="BA170">
        <f>Model!BI203</f>
        <v>747.40689820160003</v>
      </c>
      <c r="BB170">
        <f>Model!BJ203</f>
        <v>1019.5068661241743</v>
      </c>
      <c r="BC170">
        <f>Model!BK203</f>
        <v>1554.988035456</v>
      </c>
      <c r="BD170">
        <f>Model!BL203</f>
        <v>982.36041999999998</v>
      </c>
      <c r="BE170">
        <f>Model!BM203</f>
        <v>1020.85696766208</v>
      </c>
      <c r="BF170">
        <f>Model!BN203</f>
        <v>1418.9306799477592</v>
      </c>
      <c r="BG170">
        <f>Model!BO203</f>
        <v>2061.1134060928002</v>
      </c>
      <c r="BH170">
        <f>Model!BP203</f>
        <v>1215.344546</v>
      </c>
      <c r="BI170">
        <f>Model!BQ203</f>
        <v>1173.028361194496</v>
      </c>
      <c r="BJ170">
        <f>Model!BR203</f>
        <v>1522.7168159373109</v>
      </c>
      <c r="BK170">
        <f>Model!BS203</f>
        <v>2341.7133614835202</v>
      </c>
      <c r="BL170">
        <f>Model!BT203</f>
        <v>1361.9134006000002</v>
      </c>
      <c r="BM170">
        <f>Model!BU203</f>
        <v>1415.142606328955</v>
      </c>
      <c r="BN170">
        <f>Model!BV203</f>
        <v>1760.0823433840533</v>
      </c>
      <c r="BO170">
        <f>Model!BW203</f>
        <v>2983.8437906989057</v>
      </c>
      <c r="BP170">
        <f>Model!BX203</f>
        <v>1702.482560768</v>
      </c>
      <c r="BQ170">
        <f>Model!BY203</f>
        <v>1649.8778771111936</v>
      </c>
      <c r="BR170">
        <f>Model!BZ203</f>
        <v>2183.7437164738021</v>
      </c>
      <c r="BS170">
        <f>Model!CA203</f>
        <v>3619.9779607736318</v>
      </c>
      <c r="BT170">
        <f>Model!CB203</f>
        <v>2035.69827936</v>
      </c>
      <c r="BU170">
        <f>Model!CC203</f>
        <v>2047.8295771443657</v>
      </c>
      <c r="BV170">
        <f>Model!CD203</f>
        <v>2720.041280728974</v>
      </c>
      <c r="BW170">
        <f>Model!CE203</f>
        <v>4184.338231224755</v>
      </c>
      <c r="BX170">
        <f>Model!CF203</f>
        <v>2573.3822643112076</v>
      </c>
      <c r="BY170">
        <f>Model!CG203</f>
        <v>0</v>
      </c>
      <c r="BZ170">
        <f>Model!CH203</f>
        <v>0</v>
      </c>
      <c r="CA170">
        <f>Model!CI203</f>
        <v>0</v>
      </c>
      <c r="CB170">
        <f>Model!CJ203</f>
        <v>0</v>
      </c>
      <c r="CC170">
        <f>Model!CK203</f>
        <v>0</v>
      </c>
      <c r="CD170">
        <f>Model!CL203</f>
        <v>0</v>
      </c>
      <c r="CE170">
        <f>Model!CM203</f>
        <v>181.9</v>
      </c>
      <c r="CF170">
        <f>Model!CN203</f>
        <v>367.1</v>
      </c>
      <c r="CG170">
        <f>Model!CO203</f>
        <v>602.58849999999995</v>
      </c>
      <c r="CH170">
        <f>Model!CP203</f>
        <v>808.7337</v>
      </c>
      <c r="CI170">
        <f>Model!CQ203</f>
        <v>1307.8337259999998</v>
      </c>
      <c r="CJ170">
        <f>Model!CR203</f>
        <v>2264.2165361538728</v>
      </c>
      <c r="CK170">
        <f>Model!CS203</f>
        <v>3056.8722406911961</v>
      </c>
      <c r="CL170">
        <f>Model!CT203</f>
        <v>4304.2622197817745</v>
      </c>
      <c r="CM170">
        <f>Model!CU203</f>
        <v>5716.2455997026391</v>
      </c>
      <c r="CN170">
        <f>Model!CV203</f>
        <v>6399.3719392153271</v>
      </c>
      <c r="CO170">
        <f>Model!CW203</f>
        <v>7861.5513011799139</v>
      </c>
      <c r="CP170">
        <f>Model!CX203</f>
        <v>9489.2978337186287</v>
      </c>
      <c r="CQ170">
        <f>Model!CY203</f>
        <v>11525.591353409302</v>
      </c>
      <c r="CR170">
        <f>Model!CZ203</f>
        <v>13305.874305869598</v>
      </c>
      <c r="CS170">
        <f>Model!DA203</f>
        <v>15083.695336049828</v>
      </c>
      <c r="CT170">
        <f>Model!DB203</f>
        <v>16797.511538348826</v>
      </c>
      <c r="CU170">
        <f>Model!DC203</f>
        <v>18475.994392295343</v>
      </c>
      <c r="CV170">
        <f>Model!DD203</f>
        <v>20113.18315743807</v>
      </c>
      <c r="CW170">
        <f>Model!DE203</f>
        <v>21691.408924924566</v>
      </c>
      <c r="CX170">
        <f>Model!DF203</f>
        <v>23393.508565100587</v>
      </c>
    </row>
    <row r="171" spans="1:102">
      <c r="A171" t="str">
        <f>Model!I204</f>
        <v>Agoda (Merchant but Net)</v>
      </c>
      <c r="B171">
        <f>Model!J204</f>
        <v>0</v>
      </c>
      <c r="C171">
        <f>Model!K204</f>
        <v>0</v>
      </c>
      <c r="D171">
        <f>Model!L204</f>
        <v>0</v>
      </c>
      <c r="E171">
        <f>Model!M204</f>
        <v>0</v>
      </c>
      <c r="F171">
        <f>Model!N204</f>
        <v>0</v>
      </c>
      <c r="G171">
        <f>Model!O204</f>
        <v>0</v>
      </c>
      <c r="H171">
        <f>Model!P204</f>
        <v>0</v>
      </c>
      <c r="I171">
        <f>Model!Q204</f>
        <v>0</v>
      </c>
      <c r="J171">
        <f>Model!R204</f>
        <v>0</v>
      </c>
      <c r="K171">
        <f>Model!S204</f>
        <v>0</v>
      </c>
      <c r="L171">
        <f>Model!T204</f>
        <v>0</v>
      </c>
      <c r="M171">
        <f>Model!U204</f>
        <v>0</v>
      </c>
      <c r="N171">
        <f>Model!V204</f>
        <v>0</v>
      </c>
      <c r="O171">
        <f>Model!W204</f>
        <v>0</v>
      </c>
      <c r="P171">
        <f>Model!X204</f>
        <v>0</v>
      </c>
      <c r="Q171">
        <f>Model!Y204</f>
        <v>0</v>
      </c>
      <c r="R171">
        <f>Model!Z204</f>
        <v>0</v>
      </c>
      <c r="S171">
        <f>Model!AA204</f>
        <v>0</v>
      </c>
      <c r="T171">
        <f>Model!AB204</f>
        <v>0</v>
      </c>
      <c r="U171">
        <f>Model!AC204</f>
        <v>0</v>
      </c>
      <c r="V171">
        <f>Model!AD204</f>
        <v>0</v>
      </c>
      <c r="W171">
        <f>Model!AE204</f>
        <v>0</v>
      </c>
      <c r="X171">
        <f>Model!AF204</f>
        <v>0</v>
      </c>
      <c r="Y171">
        <f>Model!AG204</f>
        <v>0</v>
      </c>
      <c r="Z171">
        <f>Model!AH204</f>
        <v>0</v>
      </c>
      <c r="AA171">
        <f>Model!AI204</f>
        <v>0</v>
      </c>
      <c r="AB171">
        <f>Model!AJ204</f>
        <v>0</v>
      </c>
      <c r="AC171">
        <f>Model!AK204</f>
        <v>0</v>
      </c>
      <c r="AD171">
        <f>Model!AL204</f>
        <v>0</v>
      </c>
      <c r="AE171">
        <f>Model!AM204</f>
        <v>0</v>
      </c>
      <c r="AF171">
        <f>Model!AN204</f>
        <v>1.9</v>
      </c>
      <c r="AG171">
        <f>Model!AO204</f>
        <v>3.5670000000000002</v>
      </c>
      <c r="AH171">
        <f>Model!AP204</f>
        <v>3.5089999999999995</v>
      </c>
      <c r="AI171">
        <f>Model!AQ204</f>
        <v>4.6979999999999995</v>
      </c>
      <c r="AJ171">
        <f>Model!AR204</f>
        <v>5.4375</v>
      </c>
      <c r="AK171">
        <f>Model!AS204</f>
        <v>8.3824500000000004</v>
      </c>
      <c r="AL171">
        <f>Model!AT204</f>
        <v>8.2461499999999983</v>
      </c>
      <c r="AM171">
        <f>Model!AU204</f>
        <v>11.275199999999998</v>
      </c>
      <c r="AN171">
        <f>Model!AV204</f>
        <v>11.962499999999999</v>
      </c>
      <c r="AO171">
        <f>Model!AW204</f>
        <v>22.800263999999999</v>
      </c>
      <c r="AP171">
        <f>Model!AX204</f>
        <v>22.264605</v>
      </c>
      <c r="AQ171">
        <f>Model!AY204</f>
        <v>29.879279999999994</v>
      </c>
      <c r="AR171">
        <f>Model!AZ204</f>
        <v>31.222125000000002</v>
      </c>
      <c r="AS171">
        <f>Model!BA204</f>
        <v>50.160580799999998</v>
      </c>
      <c r="AT171">
        <f>Model!BB204</f>
        <v>56.774742749999994</v>
      </c>
      <c r="AU171">
        <f>Model!BC204</f>
        <v>59.758559999999989</v>
      </c>
      <c r="AV171">
        <f>Model!BD204</f>
        <v>62.444250000000004</v>
      </c>
      <c r="AW171">
        <f>Model!BE204</f>
        <v>85.272987359999988</v>
      </c>
      <c r="AX171">
        <f>Model!BF204</f>
        <v>96.517062674999991</v>
      </c>
      <c r="AY171">
        <f>Model!BG204</f>
        <v>100.39438079999998</v>
      </c>
      <c r="AZ171">
        <f>Model!BH204</f>
        <v>99.910800000000009</v>
      </c>
      <c r="BA171">
        <f>Model!BI204</f>
        <v>122.79310179839997</v>
      </c>
      <c r="BB171">
        <f>Model!BJ204</f>
        <v>144.77559401249997</v>
      </c>
      <c r="BC171">
        <f>Model!BK204</f>
        <v>143.56396454399996</v>
      </c>
      <c r="BD171">
        <f>Model!BL204</f>
        <v>134.87958</v>
      </c>
      <c r="BE171">
        <f>Model!BM204</f>
        <v>159.63103233791998</v>
      </c>
      <c r="BF171">
        <f>Model!BN204</f>
        <v>188.20827221624998</v>
      </c>
      <c r="BG171">
        <f>Model!BO204</f>
        <v>186.63315390719998</v>
      </c>
      <c r="BH171">
        <f>Model!BP204</f>
        <v>175.34345400000004</v>
      </c>
      <c r="BI171">
        <f>Model!BQ204</f>
        <v>191.55723880550394</v>
      </c>
      <c r="BJ171">
        <f>Model!BR204</f>
        <v>225.84992665949997</v>
      </c>
      <c r="BK171">
        <f>Model!BS204</f>
        <v>167.96983851647997</v>
      </c>
      <c r="BL171">
        <f>Model!BT204</f>
        <v>192.87779940000004</v>
      </c>
      <c r="BM171">
        <f>Model!BU204</f>
        <v>245.19326567104508</v>
      </c>
      <c r="BN171">
        <f>Model!BV204</f>
        <v>282.31240832437493</v>
      </c>
      <c r="BO171">
        <f>Model!BW204</f>
        <v>215.00139330109437</v>
      </c>
      <c r="BP171">
        <f>Model!BX204</f>
        <v>246.88358323200009</v>
      </c>
      <c r="BQ171">
        <f>Model!BY204</f>
        <v>306.49158208880635</v>
      </c>
      <c r="BR171">
        <f>Model!BZ204</f>
        <v>352.89051040546866</v>
      </c>
      <c r="BS171">
        <f>Model!CA204</f>
        <v>268.75174162636796</v>
      </c>
      <c r="BT171">
        <f>Model!CB204</f>
        <v>308.60447904000011</v>
      </c>
      <c r="BU171">
        <f>Model!CC204</f>
        <v>352.46531940212725</v>
      </c>
      <c r="BV171">
        <f>Model!CD204</f>
        <v>405.82408696628892</v>
      </c>
      <c r="BW171">
        <f>Model!CE204</f>
        <v>309.06450287032311</v>
      </c>
      <c r="BX171">
        <f>Model!CF204</f>
        <v>354.89515089600008</v>
      </c>
      <c r="BY171">
        <f>Model!CG204</f>
        <v>0</v>
      </c>
      <c r="BZ171">
        <f>Model!CH204</f>
        <v>0</v>
      </c>
      <c r="CA171">
        <f>Model!CI204</f>
        <v>0</v>
      </c>
      <c r="CB171">
        <f>Model!CJ204</f>
        <v>0</v>
      </c>
      <c r="CC171">
        <f>Model!CK204</f>
        <v>0</v>
      </c>
      <c r="CD171">
        <f>Model!CL204</f>
        <v>0</v>
      </c>
      <c r="CE171">
        <f>Model!CM204</f>
        <v>0</v>
      </c>
      <c r="CF171">
        <f>Model!CN204</f>
        <v>1.9</v>
      </c>
      <c r="CG171">
        <f>Model!CO204</f>
        <v>17.211500000000001</v>
      </c>
      <c r="CH171">
        <f>Model!CP204</f>
        <v>39.866299999999995</v>
      </c>
      <c r="CI171">
        <f>Model!CQ204</f>
        <v>106.166274</v>
      </c>
      <c r="CJ171">
        <f>Model!CR204</f>
        <v>229.13813354999999</v>
      </c>
      <c r="CK171">
        <f>Model!CS204</f>
        <v>382.09523083499994</v>
      </c>
      <c r="CL171">
        <f>Model!CT204</f>
        <v>546.01224035489997</v>
      </c>
      <c r="CM171">
        <f>Model!CU204</f>
        <v>709.81591246137009</v>
      </c>
      <c r="CN171">
        <f>Model!CV204</f>
        <v>778.25480338148395</v>
      </c>
      <c r="CO171">
        <f>Model!CW204</f>
        <v>989.39065052851447</v>
      </c>
      <c r="CP171">
        <f>Model!CX204</f>
        <v>1236.738313160643</v>
      </c>
      <c r="CQ171">
        <f>Model!CY204</f>
        <v>1422.2490601347395</v>
      </c>
      <c r="CR171">
        <f>Model!CZ204</f>
        <v>1603.5858153019187</v>
      </c>
      <c r="CS171">
        <f>Model!DA204</f>
        <v>1777.3744280352641</v>
      </c>
      <c r="CT171">
        <f>Model!DB204</f>
        <v>1943.3367652530569</v>
      </c>
      <c r="CU171">
        <f>Model!DC204</f>
        <v>2095.645784229765</v>
      </c>
      <c r="CV171">
        <f>Model!DD204</f>
        <v>2259.892022568773</v>
      </c>
      <c r="CW171">
        <f>Model!DE204</f>
        <v>2437.0110598376</v>
      </c>
      <c r="CX171">
        <f>Model!DF204</f>
        <v>2628.011801652372</v>
      </c>
    </row>
    <row r="172" spans="1:102">
      <c r="A172" t="str">
        <f>Model!I205</f>
        <v>Travel Jigsaw (Merchant)</v>
      </c>
      <c r="B172">
        <f>Model!J205</f>
        <v>0</v>
      </c>
      <c r="C172">
        <f>Model!K205</f>
        <v>0</v>
      </c>
      <c r="D172">
        <f>Model!L205</f>
        <v>0</v>
      </c>
      <c r="E172">
        <f>Model!M205</f>
        <v>0</v>
      </c>
      <c r="F172">
        <f>Model!N205</f>
        <v>0</v>
      </c>
      <c r="G172">
        <f>Model!O205</f>
        <v>0</v>
      </c>
      <c r="H172">
        <f>Model!P205</f>
        <v>0</v>
      </c>
      <c r="I172">
        <f>Model!Q205</f>
        <v>0</v>
      </c>
      <c r="J172">
        <f>Model!R205</f>
        <v>0</v>
      </c>
      <c r="K172">
        <f>Model!S205</f>
        <v>0</v>
      </c>
      <c r="L172">
        <f>Model!T205</f>
        <v>0</v>
      </c>
      <c r="M172">
        <f>Model!U205</f>
        <v>0</v>
      </c>
      <c r="N172">
        <f>Model!V205</f>
        <v>0</v>
      </c>
      <c r="O172">
        <f>Model!W205</f>
        <v>0</v>
      </c>
      <c r="P172">
        <f>Model!X205</f>
        <v>0</v>
      </c>
      <c r="Q172">
        <f>Model!Y205</f>
        <v>0</v>
      </c>
      <c r="R172">
        <f>Model!Z205</f>
        <v>0</v>
      </c>
      <c r="S172">
        <f>Model!AA205</f>
        <v>0</v>
      </c>
      <c r="T172">
        <f>Model!AB205</f>
        <v>0</v>
      </c>
      <c r="U172">
        <f>Model!AC205</f>
        <v>0</v>
      </c>
      <c r="V172">
        <f>Model!AD205</f>
        <v>0</v>
      </c>
      <c r="W172">
        <f>Model!AE205</f>
        <v>0</v>
      </c>
      <c r="X172">
        <f>Model!AF205</f>
        <v>0</v>
      </c>
      <c r="Y172">
        <f>Model!AG205</f>
        <v>0</v>
      </c>
      <c r="Z172">
        <f>Model!AH205</f>
        <v>0</v>
      </c>
      <c r="AA172">
        <f>Model!AI205</f>
        <v>0</v>
      </c>
      <c r="AB172">
        <f>Model!AJ205</f>
        <v>0</v>
      </c>
      <c r="AC172">
        <f>Model!AK205</f>
        <v>0</v>
      </c>
      <c r="AD172">
        <f>Model!AL205</f>
        <v>0</v>
      </c>
      <c r="AE172">
        <f>Model!AM205</f>
        <v>0</v>
      </c>
      <c r="AF172">
        <f>Model!AN205</f>
        <v>0</v>
      </c>
      <c r="AG172">
        <f>Model!AO205</f>
        <v>0</v>
      </c>
      <c r="AH172">
        <f>Model!AP205</f>
        <v>0</v>
      </c>
      <c r="AI172">
        <f>Model!AQ205</f>
        <v>0</v>
      </c>
      <c r="AJ172">
        <f>Model!AR205</f>
        <v>0</v>
      </c>
      <c r="AK172">
        <f>Model!AS205</f>
        <v>0</v>
      </c>
      <c r="AL172">
        <f>Model!AT205</f>
        <v>0</v>
      </c>
      <c r="AM172">
        <f>Model!AU205</f>
        <v>0</v>
      </c>
      <c r="AN172">
        <f>Model!AV205</f>
        <v>0</v>
      </c>
      <c r="AO172">
        <f>Model!AW205</f>
        <v>0</v>
      </c>
      <c r="AP172">
        <f>Model!AX205</f>
        <v>7.6000000000000227</v>
      </c>
      <c r="AQ172">
        <f>Model!AY205</f>
        <v>12</v>
      </c>
      <c r="AR172">
        <f>Model!AZ205</f>
        <v>8</v>
      </c>
      <c r="AS172">
        <f>Model!BA205</f>
        <v>10</v>
      </c>
      <c r="AT172">
        <f>Model!BB205</f>
        <v>15.945330296127509</v>
      </c>
      <c r="AU172">
        <f>Model!BC205</f>
        <v>25.200000000000045</v>
      </c>
      <c r="AV172">
        <f>Model!BD205</f>
        <v>16.799999999999955</v>
      </c>
      <c r="AW172">
        <f>Model!BE205</f>
        <v>17</v>
      </c>
      <c r="AX172">
        <f>Model!BF205</f>
        <v>25.512528473804082</v>
      </c>
      <c r="AY172">
        <f>Model!BG205</f>
        <v>40.319999999999936</v>
      </c>
      <c r="AZ172">
        <f>Model!BH205</f>
        <v>25.200000000000045</v>
      </c>
      <c r="BA172">
        <f>Model!BI205</f>
        <v>23.799999999999955</v>
      </c>
      <c r="BB172">
        <f>Model!BJ205</f>
        <v>35.717539863325669</v>
      </c>
      <c r="BC172">
        <f>Model!BK205</f>
        <v>101.44800000000009</v>
      </c>
      <c r="BD172">
        <f>Model!BL205</f>
        <v>32.759999999999991</v>
      </c>
      <c r="BE172">
        <f>Model!BM205</f>
        <v>29.511999999999944</v>
      </c>
      <c r="BF172">
        <f>Model!BN205</f>
        <v>42.861047835990803</v>
      </c>
      <c r="BG172">
        <f>Model!BO205</f>
        <v>52.253439999999955</v>
      </c>
      <c r="BH172">
        <f>Model!BP205</f>
        <v>39.311999999999898</v>
      </c>
      <c r="BI172">
        <f>Model!BQ205</f>
        <v>35.414400000000114</v>
      </c>
      <c r="BJ172">
        <f>Model!BR205</f>
        <v>51.433257403189145</v>
      </c>
      <c r="BK172">
        <f>Model!BS205</f>
        <v>90.316799999999603</v>
      </c>
      <c r="BL172">
        <f>Model!BT205</f>
        <v>45.208799999999883</v>
      </c>
      <c r="BM172">
        <f>Model!BU205</f>
        <v>39.664127999999891</v>
      </c>
      <c r="BN172">
        <f>Model!BV205</f>
        <v>57.605248291571797</v>
      </c>
      <c r="BO172">
        <f>Model!BW205</f>
        <v>101.15481600000021</v>
      </c>
      <c r="BP172">
        <f>Model!BX205</f>
        <v>50.633855999999923</v>
      </c>
      <c r="BQ172">
        <f>Model!BY205</f>
        <v>43.630540800000063</v>
      </c>
      <c r="BR172">
        <f>Model!BZ205</f>
        <v>63.365773120728946</v>
      </c>
      <c r="BS172">
        <f>Model!CA205</f>
        <v>111.27029760000003</v>
      </c>
      <c r="BT172">
        <f>Model!CB205</f>
        <v>55.697241599999998</v>
      </c>
      <c r="BU172">
        <f>Model!CC205</f>
        <v>45.812067840000012</v>
      </c>
      <c r="BV172">
        <f>Model!CD205</f>
        <v>66.534061776765398</v>
      </c>
      <c r="BW172">
        <f>Model!CE205</f>
        <v>116.83381248000005</v>
      </c>
      <c r="BX172">
        <f>Model!CF205</f>
        <v>58.482103680000009</v>
      </c>
      <c r="BY172">
        <f>Model!CG205</f>
        <v>0</v>
      </c>
      <c r="BZ172">
        <f>Model!CH205</f>
        <v>0</v>
      </c>
      <c r="CA172">
        <f>Model!CI205</f>
        <v>0</v>
      </c>
      <c r="CB172">
        <f>Model!CJ205</f>
        <v>0</v>
      </c>
      <c r="CC172">
        <f>Model!CK205</f>
        <v>0</v>
      </c>
      <c r="CD172">
        <f>Model!CL205</f>
        <v>0</v>
      </c>
      <c r="CE172">
        <f>Model!CM205</f>
        <v>0</v>
      </c>
      <c r="CF172">
        <f>Model!CN205</f>
        <v>0</v>
      </c>
      <c r="CG172">
        <f>Model!CO205</f>
        <v>0</v>
      </c>
      <c r="CH172">
        <f>Model!CP205</f>
        <v>0</v>
      </c>
      <c r="CI172">
        <f>Model!CQ205</f>
        <v>27.600000000000023</v>
      </c>
      <c r="CJ172">
        <f>Model!CR205</f>
        <v>67.945330296127509</v>
      </c>
      <c r="CK172">
        <f>Model!CS205</f>
        <v>108.03252847380406</v>
      </c>
      <c r="CL172">
        <f>Model!CT205</f>
        <v>193.72553986332571</v>
      </c>
      <c r="CM172">
        <f>Model!CU205</f>
        <v>163.9384878359906</v>
      </c>
      <c r="CN172">
        <f>Model!CV205</f>
        <v>222.37325740318875</v>
      </c>
      <c r="CO172">
        <f>Model!CW205</f>
        <v>249.05804829157182</v>
      </c>
      <c r="CP172">
        <f>Model!CX205</f>
        <v>273.96385312072903</v>
      </c>
      <c r="CQ172">
        <f>Model!CY205</f>
        <v>287.66204577676547</v>
      </c>
      <c r="CR172">
        <f>Model!CZ205</f>
        <v>299.16852760783615</v>
      </c>
      <c r="CS172">
        <f>Model!DA205</f>
        <v>308.14358343607125</v>
      </c>
      <c r="CT172">
        <f>Model!DB205</f>
        <v>314.30645510479269</v>
      </c>
      <c r="CU172">
        <f>Model!DC205</f>
        <v>317.44951965584067</v>
      </c>
      <c r="CV172">
        <f>Model!DD205</f>
        <v>317.44951965584067</v>
      </c>
      <c r="CW172">
        <f>Model!DE205</f>
        <v>314.27502445928229</v>
      </c>
      <c r="CX172">
        <f>Model!DF205</f>
        <v>311.13227421468946</v>
      </c>
    </row>
    <row r="173" spans="1:102">
      <c r="A173" t="str">
        <f>Model!I206</f>
        <v>Total International Revenue (10Q Prior to 2012)</v>
      </c>
      <c r="B173">
        <f>Model!J206</f>
        <v>0</v>
      </c>
      <c r="C173">
        <f>Model!K206</f>
        <v>0</v>
      </c>
      <c r="D173">
        <f>Model!L206</f>
        <v>0</v>
      </c>
      <c r="E173">
        <f>Model!M206</f>
        <v>0</v>
      </c>
      <c r="F173">
        <f>Model!N206</f>
        <v>0</v>
      </c>
      <c r="G173">
        <f>Model!O206</f>
        <v>0</v>
      </c>
      <c r="H173">
        <f>Model!P206</f>
        <v>0</v>
      </c>
      <c r="I173">
        <f>Model!Q206</f>
        <v>0</v>
      </c>
      <c r="J173">
        <f>Model!R206</f>
        <v>0</v>
      </c>
      <c r="K173">
        <f>Model!S206</f>
        <v>0</v>
      </c>
      <c r="L173">
        <f>Model!T206</f>
        <v>0</v>
      </c>
      <c r="M173">
        <f>Model!U206</f>
        <v>0</v>
      </c>
      <c r="N173">
        <f>Model!V206</f>
        <v>0</v>
      </c>
      <c r="O173">
        <f>Model!W206</f>
        <v>0</v>
      </c>
      <c r="P173">
        <f>Model!X206</f>
        <v>0</v>
      </c>
      <c r="Q173">
        <f>Model!Y206</f>
        <v>0</v>
      </c>
      <c r="R173">
        <f>Model!Z206</f>
        <v>0</v>
      </c>
      <c r="S173">
        <f>Model!AA206</f>
        <v>0</v>
      </c>
      <c r="T173">
        <f>Model!AB206</f>
        <v>0</v>
      </c>
      <c r="U173">
        <f>Model!AC206</f>
        <v>0</v>
      </c>
      <c r="V173">
        <f>Model!AD206</f>
        <v>0</v>
      </c>
      <c r="W173">
        <f>Model!AE206</f>
        <v>0</v>
      </c>
      <c r="X173">
        <f>Model!AF206</f>
        <v>0</v>
      </c>
      <c r="Y173">
        <f>Model!AG206</f>
        <v>22.4</v>
      </c>
      <c r="Z173">
        <f>Model!AH206</f>
        <v>47.1</v>
      </c>
      <c r="AA173">
        <f>Model!AI206</f>
        <v>65</v>
      </c>
      <c r="AB173">
        <f>Model!AJ206</f>
        <v>47.4</v>
      </c>
      <c r="AC173">
        <f>Model!AK206</f>
        <v>47.900000000000006</v>
      </c>
      <c r="AD173">
        <f>Model!AL206</f>
        <v>90.4</v>
      </c>
      <c r="AE173">
        <f>Model!AM206</f>
        <v>131.80000000000001</v>
      </c>
      <c r="AF173">
        <f>Model!AN206</f>
        <v>102.5</v>
      </c>
      <c r="AG173">
        <f>Model!AO206</f>
        <v>103.764</v>
      </c>
      <c r="AH173">
        <f>Model!AP206</f>
        <v>164.5</v>
      </c>
      <c r="AI173">
        <f>Model!AQ206</f>
        <v>223.7</v>
      </c>
      <c r="AJ173">
        <f>Model!AR206</f>
        <v>127.83599999999997</v>
      </c>
      <c r="AK173">
        <f>Model!AS206</f>
        <v>114.6</v>
      </c>
      <c r="AL173">
        <f>Model!AT206</f>
        <v>197.6</v>
      </c>
      <c r="AM173">
        <f>Model!AU206</f>
        <v>316.89999999999998</v>
      </c>
      <c r="AN173">
        <f>Model!AV206</f>
        <v>222.9</v>
      </c>
      <c r="AO173">
        <f>Model!AW206</f>
        <v>215.8</v>
      </c>
      <c r="AP173">
        <f>Model!AX206</f>
        <v>322.60000000000002</v>
      </c>
      <c r="AQ173">
        <f>Model!AY206</f>
        <v>530</v>
      </c>
      <c r="AR173">
        <f>Model!AZ206</f>
        <v>374</v>
      </c>
      <c r="AS173">
        <f>Model!BA206</f>
        <v>388.2</v>
      </c>
      <c r="AT173">
        <f>Model!BB206</f>
        <v>612.1</v>
      </c>
      <c r="AU173">
        <f>Model!BC206</f>
        <v>952</v>
      </c>
      <c r="AV173">
        <f>Model!BD206</f>
        <v>609</v>
      </c>
      <c r="AW173">
        <f>Model!BE206</f>
        <v>617</v>
      </c>
      <c r="AX173">
        <f>Model!BF206</f>
        <v>859</v>
      </c>
      <c r="AY173">
        <f>Model!BG206</f>
        <v>1235</v>
      </c>
      <c r="AZ173">
        <f>Model!BH206</f>
        <v>836</v>
      </c>
      <c r="BA173">
        <f>Model!BI206</f>
        <v>894</v>
      </c>
      <c r="BB173">
        <f>Model!BJ206</f>
        <v>1200</v>
      </c>
      <c r="BC173">
        <f>Model!BK206</f>
        <v>1800</v>
      </c>
      <c r="BD173">
        <f>Model!BL206</f>
        <v>1150</v>
      </c>
      <c r="BE173">
        <f>Model!BM206</f>
        <v>1210</v>
      </c>
      <c r="BF173">
        <f>Model!BN206</f>
        <v>1650</v>
      </c>
      <c r="BG173">
        <f>Model!BO206</f>
        <v>2300</v>
      </c>
      <c r="BH173">
        <f>Model!BP206</f>
        <v>1430</v>
      </c>
      <c r="BI173">
        <f>Model!BQ206</f>
        <v>1400</v>
      </c>
      <c r="BJ173">
        <f>Model!BR206</f>
        <v>1800</v>
      </c>
      <c r="BK173">
        <f>Model!BS206</f>
        <v>2600</v>
      </c>
      <c r="BL173">
        <f>Model!BT206</f>
        <v>1600</v>
      </c>
      <c r="BM173">
        <f>Model!BU206</f>
        <v>1700</v>
      </c>
      <c r="BN173">
        <f>Model!BV206</f>
        <v>2100</v>
      </c>
      <c r="BO173">
        <f>Model!BW206</f>
        <v>3300</v>
      </c>
      <c r="BP173">
        <f>Model!BX206</f>
        <v>2000</v>
      </c>
      <c r="BQ173">
        <f>Model!BY206</f>
        <v>2000</v>
      </c>
      <c r="BR173">
        <f>Model!BZ206</f>
        <v>2600</v>
      </c>
      <c r="BS173">
        <f>Model!CA206</f>
        <v>4000</v>
      </c>
      <c r="BT173">
        <f>Model!CB206</f>
        <v>2400</v>
      </c>
      <c r="BU173">
        <f>Model!CC206</f>
        <v>2446.106964386493</v>
      </c>
      <c r="BV173">
        <f>Model!CD206</f>
        <v>3192.3994294720287</v>
      </c>
      <c r="BW173">
        <f>Model!CE206</f>
        <v>4610.2365465750781</v>
      </c>
      <c r="BX173">
        <f>Model!CF206</f>
        <v>2986.7595188872074</v>
      </c>
      <c r="BY173">
        <f>Model!CG206</f>
        <v>0</v>
      </c>
      <c r="BZ173">
        <f>Model!CH206</f>
        <v>0</v>
      </c>
      <c r="CA173">
        <f>Model!CI206</f>
        <v>0</v>
      </c>
      <c r="CB173">
        <f>Model!CJ206</f>
        <v>0</v>
      </c>
      <c r="CC173">
        <f>Model!CK206</f>
        <v>0</v>
      </c>
      <c r="CD173">
        <f>Model!CL206</f>
        <v>0</v>
      </c>
      <c r="CE173">
        <f>Model!CM206</f>
        <v>181.9</v>
      </c>
      <c r="CF173">
        <f>Model!CN206</f>
        <v>372.6</v>
      </c>
      <c r="CG173">
        <f>Model!CO206</f>
        <v>619.79999999999995</v>
      </c>
      <c r="CH173">
        <f>Model!CP206</f>
        <v>851.99999999999989</v>
      </c>
      <c r="CI173">
        <f>Model!CQ206</f>
        <v>1441.6</v>
      </c>
      <c r="CJ173">
        <f>Model!CR206</f>
        <v>2561.3000000000002</v>
      </c>
      <c r="CK173">
        <f>Model!CS206</f>
        <v>3547</v>
      </c>
      <c r="CL173">
        <f>Model!CT206</f>
        <v>5044</v>
      </c>
      <c r="CM173">
        <f>Model!CU206</f>
        <v>6590</v>
      </c>
      <c r="CN173">
        <f>Model!CV206</f>
        <v>7400</v>
      </c>
      <c r="CO173">
        <f>Model!CW206</f>
        <v>9100</v>
      </c>
      <c r="CP173">
        <f>Model!CX206</f>
        <v>11000</v>
      </c>
      <c r="CQ173">
        <f>Model!CY206</f>
        <v>13235.502459320807</v>
      </c>
      <c r="CR173">
        <f>Model!CZ206</f>
        <v>15208.628648779353</v>
      </c>
      <c r="CS173">
        <f>Model!DA206</f>
        <v>17169.213347521163</v>
      </c>
      <c r="CT173">
        <f>Model!DB206</f>
        <v>19055.154758706678</v>
      </c>
      <c r="CU173">
        <f>Model!DC206</f>
        <v>20889.089696180949</v>
      </c>
      <c r="CV173">
        <f>Model!DD206</f>
        <v>22690.524699662685</v>
      </c>
      <c r="CW173">
        <f>Model!DE206</f>
        <v>24442.69500922145</v>
      </c>
      <c r="CX173">
        <f>Model!DF206</f>
        <v>26332.652640967644</v>
      </c>
    </row>
    <row r="174" spans="1:102">
      <c r="A174" t="str">
        <f>Model!I207</f>
        <v>% change Y/Y (Disclosed in 2012 in 10Qs)</v>
      </c>
      <c r="B174">
        <f>Model!J207</f>
        <v>0</v>
      </c>
      <c r="C174">
        <f>Model!K207</f>
        <v>0</v>
      </c>
      <c r="D174">
        <f>Model!L207</f>
        <v>0</v>
      </c>
      <c r="E174">
        <f>Model!M207</f>
        <v>0</v>
      </c>
      <c r="F174">
        <f>Model!N207</f>
        <v>0</v>
      </c>
      <c r="G174">
        <f>Model!O207</f>
        <v>0</v>
      </c>
      <c r="H174">
        <f>Model!P207</f>
        <v>0</v>
      </c>
      <c r="I174">
        <f>Model!Q207</f>
        <v>0</v>
      </c>
      <c r="J174">
        <f>Model!R207</f>
        <v>0</v>
      </c>
      <c r="K174">
        <f>Model!S207</f>
        <v>0</v>
      </c>
      <c r="L174">
        <f>Model!T207</f>
        <v>0</v>
      </c>
      <c r="M174">
        <f>Model!U207</f>
        <v>0</v>
      </c>
      <c r="N174">
        <f>Model!V207</f>
        <v>0</v>
      </c>
      <c r="O174">
        <f>Model!W207</f>
        <v>0</v>
      </c>
      <c r="P174">
        <f>Model!X207</f>
        <v>0</v>
      </c>
      <c r="Q174">
        <f>Model!Y207</f>
        <v>0</v>
      </c>
      <c r="R174">
        <f>Model!Z207</f>
        <v>0</v>
      </c>
      <c r="S174">
        <f>Model!AA207</f>
        <v>0</v>
      </c>
      <c r="T174">
        <f>Model!AB207</f>
        <v>0</v>
      </c>
      <c r="U174">
        <f>Model!AC207</f>
        <v>0</v>
      </c>
      <c r="V174">
        <f>Model!AD207</f>
        <v>0</v>
      </c>
      <c r="W174">
        <f>Model!AE207</f>
        <v>0</v>
      </c>
      <c r="X174">
        <f>Model!AF207</f>
        <v>0</v>
      </c>
      <c r="Y174">
        <f>Model!AG207</f>
        <v>0</v>
      </c>
      <c r="Z174">
        <f>Model!AH207</f>
        <v>0</v>
      </c>
      <c r="AA174">
        <f>Model!AI207</f>
        <v>0</v>
      </c>
      <c r="AB174">
        <f>Model!AJ207</f>
        <v>0</v>
      </c>
      <c r="AC174">
        <f>Model!AK207</f>
        <v>1.1383928571428577</v>
      </c>
      <c r="AD174">
        <f>Model!AL207</f>
        <v>0.91932059447983017</v>
      </c>
      <c r="AE174">
        <f>Model!AM207</f>
        <v>1.0276923076923077</v>
      </c>
      <c r="AF174">
        <f>Model!AN207</f>
        <v>1.1624472573839664</v>
      </c>
      <c r="AG174">
        <f>Model!AO207</f>
        <v>1.1662630480167011</v>
      </c>
      <c r="AH174">
        <f>Model!AP207</f>
        <v>0.81969026548672552</v>
      </c>
      <c r="AI174">
        <f>Model!AQ207</f>
        <v>0.69726858877086473</v>
      </c>
      <c r="AJ174">
        <f>Model!AR207</f>
        <v>0.24718048780487778</v>
      </c>
      <c r="AK174">
        <f>Model!AS207</f>
        <v>0.1044292818318493</v>
      </c>
      <c r="AL174">
        <f>Model!AT207</f>
        <v>0.20121580547112461</v>
      </c>
      <c r="AM174">
        <f>Model!AU207</f>
        <v>0.41662941439427792</v>
      </c>
      <c r="AN174">
        <f>Model!AV207</f>
        <v>0.74364028912043612</v>
      </c>
      <c r="AO174">
        <f>Model!AW207</f>
        <v>0.88307155322862152</v>
      </c>
      <c r="AP174">
        <f>Model!AX207</f>
        <v>0.63259109311740902</v>
      </c>
      <c r="AQ174">
        <f>Model!AY207</f>
        <v>0.67245187756390035</v>
      </c>
      <c r="AR174">
        <f>Model!AZ207</f>
        <v>0.67788245850157014</v>
      </c>
      <c r="AS174">
        <f>Model!BA207</f>
        <v>0.79888785912882287</v>
      </c>
      <c r="AT174">
        <f>Model!BB207</f>
        <v>0.89739615623062607</v>
      </c>
      <c r="AU174">
        <f>Model!BC207</f>
        <v>0.79622641509433967</v>
      </c>
      <c r="AV174">
        <f>Model!BD207</f>
        <v>0.62834224598930488</v>
      </c>
      <c r="AW174">
        <f>Model!BE207</f>
        <v>0.58938691396187526</v>
      </c>
      <c r="AX174">
        <f>Model!BF207</f>
        <v>0.40336546315961441</v>
      </c>
      <c r="AY174">
        <f>Model!BG207</f>
        <v>0.29726890756302526</v>
      </c>
      <c r="AZ174">
        <f>Model!BH207</f>
        <v>0.37274220032840732</v>
      </c>
      <c r="BA174">
        <f>Model!BI207</f>
        <v>0.44894651539708263</v>
      </c>
      <c r="BB174">
        <f>Model!BJ207</f>
        <v>0.39697322467986029</v>
      </c>
      <c r="BC174">
        <f>Model!BK207</f>
        <v>0.45748987854251011</v>
      </c>
      <c r="BD174">
        <f>Model!BL207</f>
        <v>0.37559808612440193</v>
      </c>
      <c r="BE174">
        <f>Model!BM207</f>
        <v>0.3534675615212528</v>
      </c>
      <c r="BF174">
        <f>Model!BN207</f>
        <v>0.375</v>
      </c>
      <c r="BG174">
        <f>Model!BO207</f>
        <v>0.27777777777777768</v>
      </c>
      <c r="BH174">
        <f>Model!BP207</f>
        <v>0.24347826086956514</v>
      </c>
      <c r="BI174">
        <f>Model!BQ207</f>
        <v>0.15702479338842967</v>
      </c>
      <c r="BJ174">
        <f>Model!BR207</f>
        <v>9.0909090909090828E-2</v>
      </c>
      <c r="BK174">
        <f>Model!BS207</f>
        <v>0.13043478260869557</v>
      </c>
      <c r="BL174">
        <f>Model!BT207</f>
        <v>0.11888111888111896</v>
      </c>
      <c r="BM174">
        <f>Model!BU207</f>
        <v>0.21428571428571419</v>
      </c>
      <c r="BN174">
        <f>Model!BV207</f>
        <v>0.16666666666666674</v>
      </c>
      <c r="BO174">
        <f>Model!BW207</f>
        <v>0.26923076923076916</v>
      </c>
      <c r="BP174">
        <f>Model!BX207</f>
        <v>0.25</v>
      </c>
      <c r="BQ174">
        <f>Model!BY207</f>
        <v>0.17647058823529416</v>
      </c>
      <c r="BR174">
        <f>Model!BZ207</f>
        <v>0.23809523809523814</v>
      </c>
      <c r="BS174">
        <f>Model!CA207</f>
        <v>0.21212121212121215</v>
      </c>
      <c r="BT174">
        <f>Model!CB207</f>
        <v>0.19999999999999996</v>
      </c>
      <c r="BU174">
        <f>Model!CC207</f>
        <v>0.22305348219324661</v>
      </c>
      <c r="BV174">
        <f>Model!CD207</f>
        <v>0.22784593441231871</v>
      </c>
      <c r="BW174">
        <f>Model!CE207</f>
        <v>0.15255913664376952</v>
      </c>
      <c r="BX174">
        <f>Model!CF207</f>
        <v>0.24448313286966972</v>
      </c>
      <c r="BY174">
        <f>Model!CG207</f>
        <v>0</v>
      </c>
      <c r="BZ174">
        <f>Model!CH207</f>
        <v>0</v>
      </c>
      <c r="CA174">
        <f>Model!CI207</f>
        <v>0</v>
      </c>
      <c r="CB174">
        <f>Model!CJ207</f>
        <v>0</v>
      </c>
      <c r="CC174">
        <f>Model!CK207</f>
        <v>0</v>
      </c>
      <c r="CD174">
        <f>Model!CL207</f>
        <v>0</v>
      </c>
      <c r="CE174">
        <f>Model!CM207</f>
        <v>0</v>
      </c>
      <c r="CF174">
        <f>Model!CN207</f>
        <v>1.0483782297965916</v>
      </c>
      <c r="CG174">
        <f>Model!CO207</f>
        <v>0.66344605475040241</v>
      </c>
      <c r="CH174">
        <f>Model!CP207</f>
        <v>0.37463697967086151</v>
      </c>
      <c r="CI174">
        <f>Model!CQ207</f>
        <v>0.69201877934272304</v>
      </c>
      <c r="CJ174">
        <f>Model!CR207</f>
        <v>0.77670643729189814</v>
      </c>
      <c r="CK174">
        <f>Model!CS207</f>
        <v>0.38484363409206246</v>
      </c>
      <c r="CL174">
        <f>Model!CT207</f>
        <v>0.42204680011277129</v>
      </c>
      <c r="CM174">
        <f>Model!CU207</f>
        <v>0.30650277557494054</v>
      </c>
      <c r="CN174">
        <f>Model!CV207</f>
        <v>0.12291350531107748</v>
      </c>
      <c r="CO174">
        <f>Model!CW207</f>
        <v>0.22972972972972983</v>
      </c>
      <c r="CP174">
        <f>Model!CX207</f>
        <v>0.20879120879120872</v>
      </c>
      <c r="CQ174">
        <f>Model!CY207</f>
        <v>0.20322749630189163</v>
      </c>
      <c r="CR174">
        <f>Model!CZ207</f>
        <v>0.1490782987289625</v>
      </c>
      <c r="CS174">
        <f>Model!DA207</f>
        <v>0.12891265504724947</v>
      </c>
      <c r="CT174">
        <f>Model!DB207</f>
        <v>0.10984436927960939</v>
      </c>
      <c r="CU174">
        <f>Model!DC207</f>
        <v>9.6243507895747094E-2</v>
      </c>
      <c r="CV174">
        <f>Model!DD207</f>
        <v>8.6238080724555743E-2</v>
      </c>
      <c r="CW174">
        <f>Model!DE207</f>
        <v>7.7220352228558831E-2</v>
      </c>
      <c r="CX174">
        <f>Model!DF207</f>
        <v>7.7321982335956552E-2</v>
      </c>
    </row>
    <row r="175" spans="1:102">
      <c r="A175" t="str">
        <f>Model!I208</f>
        <v xml:space="preserve">Two Year Growth </v>
      </c>
      <c r="B175">
        <f>Model!J208</f>
        <v>0</v>
      </c>
      <c r="C175">
        <f>Model!K208</f>
        <v>0</v>
      </c>
      <c r="D175">
        <f>Model!L208</f>
        <v>0</v>
      </c>
      <c r="E175">
        <f>Model!M208</f>
        <v>0</v>
      </c>
      <c r="F175">
        <f>Model!N208</f>
        <v>0</v>
      </c>
      <c r="G175">
        <f>Model!O208</f>
        <v>0</v>
      </c>
      <c r="H175">
        <f>Model!P208</f>
        <v>0</v>
      </c>
      <c r="I175">
        <f>Model!Q208</f>
        <v>0</v>
      </c>
      <c r="J175">
        <f>Model!R208</f>
        <v>0</v>
      </c>
      <c r="K175">
        <f>Model!S208</f>
        <v>0</v>
      </c>
      <c r="L175">
        <f>Model!T208</f>
        <v>0</v>
      </c>
      <c r="M175">
        <f>Model!U208</f>
        <v>0</v>
      </c>
      <c r="N175">
        <f>Model!V208</f>
        <v>0</v>
      </c>
      <c r="O175">
        <f>Model!W208</f>
        <v>0</v>
      </c>
      <c r="P175">
        <f>Model!X208</f>
        <v>0</v>
      </c>
      <c r="Q175">
        <f>Model!Y208</f>
        <v>0</v>
      </c>
      <c r="R175">
        <f>Model!Z208</f>
        <v>0</v>
      </c>
      <c r="S175">
        <f>Model!AA208</f>
        <v>0</v>
      </c>
      <c r="T175">
        <f>Model!AB208</f>
        <v>0</v>
      </c>
      <c r="U175">
        <f>Model!AC208</f>
        <v>0</v>
      </c>
      <c r="V175">
        <f>Model!AD208</f>
        <v>0</v>
      </c>
      <c r="W175">
        <f>Model!AE208</f>
        <v>0</v>
      </c>
      <c r="X175">
        <f>Model!AF208</f>
        <v>0</v>
      </c>
      <c r="Y175">
        <f>Model!AG208</f>
        <v>0</v>
      </c>
      <c r="Z175">
        <f>Model!AH208</f>
        <v>0</v>
      </c>
      <c r="AA175">
        <f>Model!AI208</f>
        <v>0</v>
      </c>
      <c r="AB175">
        <f>Model!AJ208</f>
        <v>0</v>
      </c>
      <c r="AC175">
        <f>Model!AK208</f>
        <v>1.1383928571428577</v>
      </c>
      <c r="AD175">
        <f>Model!AL208</f>
        <v>0.91932059447983017</v>
      </c>
      <c r="AE175">
        <f>Model!AM208</f>
        <v>1.0276923076923077</v>
      </c>
      <c r="AF175">
        <f>Model!AN208</f>
        <v>1.1624472573839664</v>
      </c>
      <c r="AG175">
        <f>Model!AO208</f>
        <v>2.3046559051595588</v>
      </c>
      <c r="AH175">
        <f>Model!AP208</f>
        <v>1.7390108599665557</v>
      </c>
      <c r="AI175">
        <f>Model!AQ208</f>
        <v>1.7249608964631724</v>
      </c>
      <c r="AJ175">
        <f>Model!AR208</f>
        <v>1.4096277451888442</v>
      </c>
      <c r="AK175">
        <f>Model!AS208</f>
        <v>1.2706923298485504</v>
      </c>
      <c r="AL175">
        <f>Model!AT208</f>
        <v>1.0209060709578501</v>
      </c>
      <c r="AM175">
        <f>Model!AU208</f>
        <v>1.1138980031651426</v>
      </c>
      <c r="AN175">
        <f>Model!AV208</f>
        <v>0.9908207769253139</v>
      </c>
      <c r="AO175">
        <f>Model!AW208</f>
        <v>0.98750083506047082</v>
      </c>
      <c r="AP175">
        <f>Model!AX208</f>
        <v>0.83380689858853363</v>
      </c>
      <c r="AQ175">
        <f>Model!AY208</f>
        <v>1.0890812919581783</v>
      </c>
      <c r="AR175">
        <f>Model!AZ208</f>
        <v>1.4215227476220063</v>
      </c>
      <c r="AS175">
        <f>Model!BA208</f>
        <v>1.6819594123574444</v>
      </c>
      <c r="AT175">
        <f>Model!BB208</f>
        <v>1.5299872493480351</v>
      </c>
      <c r="AU175">
        <f>Model!BC208</f>
        <v>1.46867829265824</v>
      </c>
      <c r="AV175">
        <f>Model!BD208</f>
        <v>1.306224704490875</v>
      </c>
      <c r="AW175">
        <f>Model!BE208</f>
        <v>1.3882747730906981</v>
      </c>
      <c r="AX175">
        <f>Model!BF208</f>
        <v>1.3007616193902405</v>
      </c>
      <c r="AY175">
        <f>Model!BG208</f>
        <v>1.0934953226573649</v>
      </c>
      <c r="AZ175">
        <f>Model!BH208</f>
        <v>1.0010844463177122</v>
      </c>
      <c r="BA175">
        <f>Model!BI208</f>
        <v>1.0383334293589579</v>
      </c>
      <c r="BB175">
        <f>Model!BJ208</f>
        <v>0.80033868783947471</v>
      </c>
      <c r="BC175">
        <f>Model!BK208</f>
        <v>0.75475878610553537</v>
      </c>
      <c r="BD175">
        <f>Model!BL208</f>
        <v>0.74834028645280926</v>
      </c>
      <c r="BE175">
        <f>Model!BM208</f>
        <v>0.80241407691833544</v>
      </c>
      <c r="BF175">
        <f>Model!BN208</f>
        <v>0.77197322467986029</v>
      </c>
      <c r="BG175">
        <f>Model!BO208</f>
        <v>0.73526765632028779</v>
      </c>
      <c r="BH175">
        <f>Model!BP208</f>
        <v>0.61907634699396707</v>
      </c>
      <c r="BI175">
        <f>Model!BQ208</f>
        <v>0.51049235490968248</v>
      </c>
      <c r="BJ175">
        <f>Model!BR208</f>
        <v>0.46590909090909083</v>
      </c>
      <c r="BK175">
        <f>Model!BS208</f>
        <v>0.40821256038647324</v>
      </c>
      <c r="BL175">
        <f>Model!BT208</f>
        <v>0.36235937975068411</v>
      </c>
      <c r="BM175">
        <f>Model!BU208</f>
        <v>0.37131050767414386</v>
      </c>
      <c r="BN175">
        <f>Model!BV208</f>
        <v>0.25757575757575757</v>
      </c>
      <c r="BO175">
        <f>Model!BW208</f>
        <v>0.39966555183946473</v>
      </c>
      <c r="BP175">
        <f>Model!BX208</f>
        <v>0.36888111888111896</v>
      </c>
      <c r="BQ175">
        <f>Model!BY208</f>
        <v>0.39075630252100835</v>
      </c>
      <c r="BR175">
        <f>Model!BZ208</f>
        <v>0.40476190476190488</v>
      </c>
      <c r="BS175">
        <f>Model!CA208</f>
        <v>0.48135198135198132</v>
      </c>
      <c r="BT175">
        <f>Model!CB208</f>
        <v>0.44999999999999996</v>
      </c>
      <c r="BU175">
        <f>Model!CC208</f>
        <v>0.39952407042854077</v>
      </c>
      <c r="BV175">
        <f>Model!CD208</f>
        <v>0.46594117250755684</v>
      </c>
      <c r="BW175">
        <f>Model!CE208</f>
        <v>0.36468034876498168</v>
      </c>
      <c r="BX175">
        <f>Model!CF208</f>
        <v>0.44448313286966967</v>
      </c>
      <c r="BY175">
        <f>Model!CG208</f>
        <v>0</v>
      </c>
      <c r="BZ175">
        <f>Model!CH208</f>
        <v>0</v>
      </c>
      <c r="CA175">
        <f>Model!CI208</f>
        <v>0</v>
      </c>
      <c r="CB175">
        <f>Model!CJ208</f>
        <v>0</v>
      </c>
      <c r="CC175">
        <f>Model!CK208</f>
        <v>0</v>
      </c>
      <c r="CD175">
        <f>Model!CL208</f>
        <v>0</v>
      </c>
      <c r="CE175">
        <f>Model!CM208</f>
        <v>0</v>
      </c>
      <c r="CF175">
        <f>Model!CN208</f>
        <v>1.0483782297965916</v>
      </c>
      <c r="CG175">
        <f>Model!CO208</f>
        <v>1.711824284546994</v>
      </c>
      <c r="CH175">
        <f>Model!CP208</f>
        <v>1.0380830344212639</v>
      </c>
      <c r="CI175">
        <f>Model!CQ208</f>
        <v>1.0666557590135846</v>
      </c>
      <c r="CJ175">
        <f>Model!CR208</f>
        <v>1.4687252166346212</v>
      </c>
      <c r="CK175">
        <f>Model!CS208</f>
        <v>1.1615500713839606</v>
      </c>
      <c r="CL175">
        <f>Model!CT208</f>
        <v>0.80689043420483375</v>
      </c>
      <c r="CM175">
        <f>Model!CU208</f>
        <v>0.72854957568771184</v>
      </c>
      <c r="CN175">
        <f>Model!CV208</f>
        <v>0.42941628088601802</v>
      </c>
      <c r="CO175">
        <f>Model!CW208</f>
        <v>0.3526432350408073</v>
      </c>
      <c r="CP175">
        <f>Model!CX208</f>
        <v>0.43852093852093854</v>
      </c>
      <c r="CQ175">
        <f>Model!CY208</f>
        <v>0.41201870509310035</v>
      </c>
      <c r="CR175">
        <f>Model!CZ208</f>
        <v>0.35230579503085413</v>
      </c>
      <c r="CS175">
        <f>Model!DA208</f>
        <v>0.27799095377621197</v>
      </c>
      <c r="CT175">
        <f>Model!DB208</f>
        <v>0.23875702432685886</v>
      </c>
      <c r="CU175">
        <f>Model!DC208</f>
        <v>0.20608787717535648</v>
      </c>
      <c r="CV175">
        <f>Model!DD208</f>
        <v>0.18248158862030284</v>
      </c>
      <c r="CW175">
        <f>Model!DE208</f>
        <v>0.16345843295311457</v>
      </c>
      <c r="CX175">
        <f>Model!DF208</f>
        <v>0.15454233456451538</v>
      </c>
    </row>
    <row r="176" spans="1:102">
      <c r="A176" t="str">
        <f>Model!I209</f>
        <v>% of Total Revenue</v>
      </c>
      <c r="B176">
        <f>Model!J209</f>
        <v>0</v>
      </c>
      <c r="C176">
        <f>Model!K209</f>
        <v>0</v>
      </c>
      <c r="D176">
        <f>Model!L209</f>
        <v>0</v>
      </c>
      <c r="E176">
        <f>Model!M209</f>
        <v>0</v>
      </c>
      <c r="F176">
        <f>Model!N209</f>
        <v>0</v>
      </c>
      <c r="G176">
        <f>Model!O209</f>
        <v>0</v>
      </c>
      <c r="H176">
        <f>Model!P209</f>
        <v>0</v>
      </c>
      <c r="I176">
        <f>Model!Q209</f>
        <v>0</v>
      </c>
      <c r="J176">
        <f>Model!R209</f>
        <v>0</v>
      </c>
      <c r="K176">
        <f>Model!S209</f>
        <v>0</v>
      </c>
      <c r="L176">
        <f>Model!T209</f>
        <v>0</v>
      </c>
      <c r="M176">
        <f>Model!U209</f>
        <v>0</v>
      </c>
      <c r="N176">
        <f>Model!V209</f>
        <v>0</v>
      </c>
      <c r="O176">
        <f>Model!W209</f>
        <v>0</v>
      </c>
      <c r="P176">
        <f>Model!X209</f>
        <v>0</v>
      </c>
      <c r="Q176">
        <f>Model!Y209</f>
        <v>0</v>
      </c>
      <c r="R176">
        <f>Model!Z209</f>
        <v>0</v>
      </c>
      <c r="S176">
        <f>Model!AA209</f>
        <v>0</v>
      </c>
      <c r="T176">
        <f>Model!AB209</f>
        <v>0</v>
      </c>
      <c r="U176">
        <f>Model!AC209</f>
        <v>0</v>
      </c>
      <c r="V176">
        <f>Model!AD209</f>
        <v>0</v>
      </c>
      <c r="W176">
        <f>Model!AE209</f>
        <v>0</v>
      </c>
      <c r="X176">
        <f>Model!AF209</f>
        <v>0</v>
      </c>
      <c r="Y176">
        <f>Model!AG209</f>
        <v>9.2594889092818114E-2</v>
      </c>
      <c r="Z176">
        <f>Model!AH209</f>
        <v>0.15309555307800071</v>
      </c>
      <c r="AA176">
        <f>Model!AI209</f>
        <v>0.20842217996774265</v>
      </c>
      <c r="AB176">
        <f>Model!AJ209</f>
        <v>0.18225792187518025</v>
      </c>
      <c r="AC176">
        <f>Model!AK209</f>
        <v>0.16776936790526459</v>
      </c>
      <c r="AD176">
        <f>Model!AL209</f>
        <v>0.25568358590572521</v>
      </c>
      <c r="AE176">
        <f>Model!AM209</f>
        <v>0.31584976287303468</v>
      </c>
      <c r="AF176">
        <f>Model!AN209</f>
        <v>0.30610446972253497</v>
      </c>
      <c r="AG176">
        <f>Model!AO209</f>
        <v>0.25736395654546357</v>
      </c>
      <c r="AH176">
        <f>Model!AP209</f>
        <v>0.32005385465469205</v>
      </c>
      <c r="AI176">
        <f>Model!AQ209</f>
        <v>0.39831982749564193</v>
      </c>
      <c r="AJ176">
        <f>Model!AR209</f>
        <v>0.31483520137129001</v>
      </c>
      <c r="AK176">
        <f>Model!AS209</f>
        <v>0.24802081124014733</v>
      </c>
      <c r="AL176">
        <f>Model!AT209</f>
        <v>0.32729266357593734</v>
      </c>
      <c r="AM176">
        <f>Model!AU209</f>
        <v>0.43371746092573837</v>
      </c>
      <c r="AN176">
        <f>Model!AV209</f>
        <v>0.41144211476447751</v>
      </c>
      <c r="AO176">
        <f>Model!AW209</f>
        <v>0.36927141620208292</v>
      </c>
      <c r="AP176">
        <f>Model!AX209</f>
        <v>0.41985090477479547</v>
      </c>
      <c r="AQ176">
        <f>Model!AY209</f>
        <v>0.52800572238654608</v>
      </c>
      <c r="AR176">
        <f>Model!AZ209</f>
        <v>0.51018389810508968</v>
      </c>
      <c r="AS176">
        <f>Model!BA209</f>
        <v>0.47966193841743682</v>
      </c>
      <c r="AT176">
        <f>Model!BB209</f>
        <v>0.55508399261459884</v>
      </c>
      <c r="AU176">
        <f>Model!BC209</f>
        <v>0.65528453941481435</v>
      </c>
      <c r="AV176">
        <f>Model!BD209</f>
        <v>0.61467343581254985</v>
      </c>
      <c r="AW176">
        <f>Model!BE209</f>
        <v>0.5948438510788655</v>
      </c>
      <c r="AX176">
        <f>Model!BF209</f>
        <v>0.64744237649791714</v>
      </c>
      <c r="AY176">
        <f>Model!BG209</f>
        <v>0.72378407206193485</v>
      </c>
      <c r="AZ176">
        <f>Model!BH209</f>
        <v>0.70214338507021423</v>
      </c>
      <c r="BA176">
        <f>Model!BI209</f>
        <v>0.68662961631690034</v>
      </c>
      <c r="BB176">
        <f>Model!BJ209</f>
        <v>0.71418453814281069</v>
      </c>
      <c r="BC176">
        <f>Model!BK209</f>
        <v>0.79298542713058673</v>
      </c>
      <c r="BD176">
        <f>Model!BL209</f>
        <v>0.74619456990967148</v>
      </c>
      <c r="BE176">
        <f>Model!BM209</f>
        <v>0.73699508223281485</v>
      </c>
      <c r="BF176">
        <f>Model!BN209</f>
        <v>0.77699162968108038</v>
      </c>
      <c r="BG176">
        <f>Model!BO209</f>
        <v>0.81085930991642163</v>
      </c>
      <c r="BH176">
        <f>Model!BP209</f>
        <v>0.77713294462194116</v>
      </c>
      <c r="BI176">
        <f>Model!BQ209</f>
        <v>0.76058269326677874</v>
      </c>
      <c r="BJ176">
        <f>Model!BR209</f>
        <v>0.78933624276825487</v>
      </c>
      <c r="BK176">
        <f>Model!BS209</f>
        <v>0.83792554129184271</v>
      </c>
      <c r="BL176">
        <f>Model!BT209</f>
        <v>0.8000020000050001</v>
      </c>
      <c r="BM176">
        <f>Model!BU209</f>
        <v>0.791390048689109</v>
      </c>
      <c r="BN176">
        <f>Model!BV209</f>
        <v>0.82162774629074198</v>
      </c>
      <c r="BO176">
        <f>Model!BW209</f>
        <v>0.89417518029823173</v>
      </c>
      <c r="BP176">
        <f>Model!BX209</f>
        <v>0.85163170505609487</v>
      </c>
      <c r="BQ176">
        <f>Model!BY209</f>
        <v>0.82664986914132577</v>
      </c>
      <c r="BR176">
        <f>Model!BZ209</f>
        <v>0.85963030606806423</v>
      </c>
      <c r="BS176">
        <f>Model!CA209</f>
        <v>0.90211408179784125</v>
      </c>
      <c r="BT176">
        <f>Model!CB209</f>
        <v>0.85619706517050986</v>
      </c>
      <c r="BU176">
        <f>Model!CC209</f>
        <v>0.83642864017749419</v>
      </c>
      <c r="BV176">
        <f>Model!CD209</f>
        <v>0.86684128917769099</v>
      </c>
      <c r="BW176">
        <f>Model!CE209</f>
        <v>0.89463772020620957</v>
      </c>
      <c r="BX176">
        <f>Model!CF209</f>
        <v>0.85062558900162877</v>
      </c>
      <c r="BY176">
        <f>Model!CG209</f>
        <v>0</v>
      </c>
      <c r="BZ176">
        <f>Model!CH209</f>
        <v>0</v>
      </c>
      <c r="CA176">
        <f>Model!CI209</f>
        <v>0</v>
      </c>
      <c r="CB176">
        <f>Model!CJ209</f>
        <v>0</v>
      </c>
      <c r="CC176">
        <f>Model!CK209</f>
        <v>0</v>
      </c>
      <c r="CD176">
        <f>Model!CL209</f>
        <v>0</v>
      </c>
      <c r="CE176">
        <f>Model!CM209</f>
        <v>0.16219305699583503</v>
      </c>
      <c r="CF176">
        <f>Model!CN209</f>
        <v>0.26782383430862139</v>
      </c>
      <c r="CG176">
        <f>Model!CO209</f>
        <v>0.32884020954941778</v>
      </c>
      <c r="CH176">
        <f>Model!CP209</f>
        <v>0.36438098855022549</v>
      </c>
      <c r="CI176">
        <f>Model!CQ209</f>
        <v>0.46659640964161153</v>
      </c>
      <c r="CJ176">
        <f>Model!CR209</f>
        <v>0.58804622085081071</v>
      </c>
      <c r="CK176">
        <f>Model!CS209</f>
        <v>0.67421206335882666</v>
      </c>
      <c r="CL176">
        <f>Model!CT209</f>
        <v>0.74249562731312257</v>
      </c>
      <c r="CM176">
        <f>Model!CU209</f>
        <v>0.78062338759514815</v>
      </c>
      <c r="CN176">
        <f>Model!CV209</f>
        <v>0.80225611766365235</v>
      </c>
      <c r="CO176">
        <f>Model!CW209</f>
        <v>0.84706273085950068</v>
      </c>
      <c r="CP176">
        <f>Model!CX209</f>
        <v>0.86743386723625004</v>
      </c>
      <c r="CQ176">
        <f>Model!CY209</f>
        <v>0.86666855811102095</v>
      </c>
      <c r="CR176">
        <f>Model!CZ209</f>
        <v>0.87709935209839207</v>
      </c>
      <c r="CS176">
        <f>Model!DA209</f>
        <v>0.88578594098254537</v>
      </c>
      <c r="CT176">
        <f>Model!DB209</f>
        <v>0.89288689235763863</v>
      </c>
      <c r="CU176">
        <f>Model!DC209</f>
        <v>0.89841472447447746</v>
      </c>
      <c r="CV176">
        <f>Model!DD209</f>
        <v>0.90282822814311259</v>
      </c>
      <c r="CW176">
        <f>Model!DE209</f>
        <v>0.90630860150870751</v>
      </c>
      <c r="CX176">
        <f>Model!DF209</f>
        <v>0.90963075930134407</v>
      </c>
    </row>
    <row r="177" spans="1:102">
      <c r="A177">
        <f>Model!I210</f>
        <v>0</v>
      </c>
      <c r="B177">
        <f>Model!J210</f>
        <v>0</v>
      </c>
      <c r="C177">
        <f>Model!K210</f>
        <v>0</v>
      </c>
      <c r="D177">
        <f>Model!L210</f>
        <v>0</v>
      </c>
      <c r="E177">
        <f>Model!M210</f>
        <v>0</v>
      </c>
      <c r="F177">
        <f>Model!N210</f>
        <v>0</v>
      </c>
      <c r="G177">
        <f>Model!O210</f>
        <v>0</v>
      </c>
      <c r="H177">
        <f>Model!P210</f>
        <v>0</v>
      </c>
      <c r="I177">
        <f>Model!Q210</f>
        <v>0</v>
      </c>
      <c r="J177">
        <f>Model!R210</f>
        <v>0</v>
      </c>
      <c r="K177">
        <f>Model!S210</f>
        <v>0</v>
      </c>
      <c r="L177">
        <f>Model!T210</f>
        <v>0</v>
      </c>
      <c r="M177">
        <f>Model!U210</f>
        <v>0</v>
      </c>
      <c r="N177">
        <f>Model!V210</f>
        <v>0</v>
      </c>
      <c r="O177">
        <f>Model!W210</f>
        <v>0</v>
      </c>
      <c r="P177">
        <f>Model!X210</f>
        <v>0</v>
      </c>
      <c r="Q177">
        <f>Model!Y210</f>
        <v>0</v>
      </c>
      <c r="R177">
        <f>Model!Z210</f>
        <v>0</v>
      </c>
      <c r="S177">
        <f>Model!AA210</f>
        <v>0</v>
      </c>
      <c r="T177">
        <f>Model!AB210</f>
        <v>0</v>
      </c>
      <c r="U177">
        <f>Model!AC210</f>
        <v>0</v>
      </c>
      <c r="V177">
        <f>Model!AD210</f>
        <v>0</v>
      </c>
      <c r="W177">
        <f>Model!AE210</f>
        <v>0</v>
      </c>
      <c r="X177">
        <f>Model!AF210</f>
        <v>0</v>
      </c>
      <c r="Y177">
        <f>Model!AG210</f>
        <v>0</v>
      </c>
      <c r="Z177">
        <f>Model!AH210</f>
        <v>0</v>
      </c>
      <c r="AA177">
        <f>Model!AI210</f>
        <v>0</v>
      </c>
      <c r="AB177">
        <f>Model!AJ210</f>
        <v>0</v>
      </c>
      <c r="AC177">
        <f>Model!AK210</f>
        <v>0</v>
      </c>
      <c r="AD177">
        <f>Model!AL210</f>
        <v>0</v>
      </c>
      <c r="AE177">
        <f>Model!AM210</f>
        <v>0</v>
      </c>
      <c r="AF177">
        <f>Model!AN210</f>
        <v>0</v>
      </c>
      <c r="AG177">
        <f>Model!AO210</f>
        <v>0</v>
      </c>
      <c r="AH177">
        <f>Model!AP210</f>
        <v>0</v>
      </c>
      <c r="AI177">
        <f>Model!AQ210</f>
        <v>0</v>
      </c>
      <c r="AJ177">
        <f>Model!AR210</f>
        <v>0</v>
      </c>
      <c r="AK177">
        <f>Model!AS210</f>
        <v>0</v>
      </c>
      <c r="AL177">
        <f>Model!AT210</f>
        <v>0</v>
      </c>
      <c r="AM177">
        <f>Model!AU210</f>
        <v>0</v>
      </c>
      <c r="AN177">
        <f>Model!AV210</f>
        <v>0</v>
      </c>
      <c r="AO177">
        <f>Model!AW210</f>
        <v>0</v>
      </c>
      <c r="AP177">
        <f>Model!AX210</f>
        <v>0</v>
      </c>
      <c r="AQ177">
        <f>Model!AY210</f>
        <v>0</v>
      </c>
      <c r="AR177">
        <f>Model!AZ210</f>
        <v>0</v>
      </c>
      <c r="AS177">
        <f>Model!BA210</f>
        <v>0</v>
      </c>
      <c r="AT177">
        <f>Model!BB210</f>
        <v>0</v>
      </c>
      <c r="AU177">
        <f>Model!BC210</f>
        <v>0</v>
      </c>
      <c r="AV177">
        <f>Model!BD210</f>
        <v>0</v>
      </c>
      <c r="AW177">
        <f>Model!BE210</f>
        <v>0</v>
      </c>
      <c r="AX177">
        <f>Model!BF210</f>
        <v>0</v>
      </c>
      <c r="AY177">
        <f>Model!BG210</f>
        <v>0</v>
      </c>
      <c r="AZ177">
        <f>Model!BH210</f>
        <v>0</v>
      </c>
      <c r="BA177">
        <f>Model!BI210</f>
        <v>0</v>
      </c>
      <c r="BB177">
        <f>Model!BJ210</f>
        <v>0</v>
      </c>
      <c r="BC177">
        <f>Model!BK210</f>
        <v>0</v>
      </c>
      <c r="BD177">
        <f>Model!BL210</f>
        <v>0</v>
      </c>
      <c r="BE177">
        <f>Model!BM210</f>
        <v>0</v>
      </c>
      <c r="BF177">
        <f>Model!BN210</f>
        <v>0</v>
      </c>
      <c r="BG177">
        <f>Model!BO210</f>
        <v>0</v>
      </c>
      <c r="BH177">
        <f>Model!BP210</f>
        <v>0</v>
      </c>
      <c r="BI177">
        <f>Model!BQ210</f>
        <v>0</v>
      </c>
      <c r="BJ177">
        <f>Model!BR210</f>
        <v>0</v>
      </c>
      <c r="BK177">
        <f>Model!BS210</f>
        <v>0</v>
      </c>
      <c r="BL177">
        <f>Model!BT210</f>
        <v>0</v>
      </c>
      <c r="BM177">
        <f>Model!BU210</f>
        <v>0</v>
      </c>
      <c r="BN177">
        <f>Model!BV210</f>
        <v>0</v>
      </c>
      <c r="BO177">
        <f>Model!BW210</f>
        <v>0</v>
      </c>
      <c r="BP177">
        <f>Model!BX210</f>
        <v>0</v>
      </c>
      <c r="BQ177">
        <f>Model!BY210</f>
        <v>0</v>
      </c>
      <c r="BR177">
        <f>Model!BZ210</f>
        <v>0</v>
      </c>
      <c r="BS177">
        <f>Model!CA210</f>
        <v>0</v>
      </c>
      <c r="BT177">
        <f>Model!CB210</f>
        <v>0</v>
      </c>
      <c r="BU177">
        <f>Model!CC210</f>
        <v>0</v>
      </c>
      <c r="BV177">
        <f>Model!CD210</f>
        <v>0</v>
      </c>
      <c r="BW177">
        <f>Model!CE210</f>
        <v>0</v>
      </c>
      <c r="BX177">
        <f>Model!CF210</f>
        <v>0</v>
      </c>
      <c r="BY177">
        <f>Model!CG210</f>
        <v>0</v>
      </c>
      <c r="BZ177">
        <f>Model!CH210</f>
        <v>0</v>
      </c>
      <c r="CA177">
        <f>Model!CI210</f>
        <v>0</v>
      </c>
      <c r="CB177">
        <f>Model!CJ210</f>
        <v>0</v>
      </c>
      <c r="CC177">
        <f>Model!CK210</f>
        <v>0</v>
      </c>
      <c r="CD177">
        <f>Model!CL210</f>
        <v>0</v>
      </c>
      <c r="CE177">
        <f>Model!CM210</f>
        <v>0</v>
      </c>
      <c r="CF177">
        <f>Model!CN210</f>
        <v>0</v>
      </c>
      <c r="CG177">
        <f>Model!CO210</f>
        <v>0</v>
      </c>
      <c r="CH177">
        <f>Model!CP210</f>
        <v>0</v>
      </c>
      <c r="CI177">
        <f>Model!CQ210</f>
        <v>0</v>
      </c>
      <c r="CJ177">
        <f>Model!CR210</f>
        <v>0</v>
      </c>
      <c r="CK177">
        <f>Model!CS210</f>
        <v>0</v>
      </c>
      <c r="CL177">
        <f>Model!CT210</f>
        <v>0</v>
      </c>
      <c r="CM177">
        <f>Model!CU210</f>
        <v>0</v>
      </c>
      <c r="CN177">
        <f>Model!CV210</f>
        <v>0</v>
      </c>
      <c r="CO177">
        <f>Model!CW210</f>
        <v>0</v>
      </c>
      <c r="CP177">
        <f>Model!CX210</f>
        <v>0</v>
      </c>
      <c r="CQ177">
        <f>Model!CY210</f>
        <v>0</v>
      </c>
      <c r="CR177">
        <f>Model!CZ210</f>
        <v>0</v>
      </c>
      <c r="CS177">
        <f>Model!DA210</f>
        <v>0</v>
      </c>
      <c r="CT177">
        <f>Model!DB210</f>
        <v>0</v>
      </c>
      <c r="CU177">
        <f>Model!DC210</f>
        <v>0</v>
      </c>
      <c r="CV177">
        <f>Model!DD210</f>
        <v>0</v>
      </c>
      <c r="CW177">
        <f>Model!DE210</f>
        <v>0</v>
      </c>
      <c r="CX177">
        <f>Model!DF210</f>
        <v>0</v>
      </c>
    </row>
    <row r="178" spans="1:102">
      <c r="A178">
        <f>Model!I211</f>
        <v>0</v>
      </c>
      <c r="B178">
        <f>Model!J211</f>
        <v>0</v>
      </c>
      <c r="C178">
        <f>Model!K211</f>
        <v>0</v>
      </c>
      <c r="D178">
        <f>Model!L211</f>
        <v>0</v>
      </c>
      <c r="E178">
        <f>Model!M211</f>
        <v>0</v>
      </c>
      <c r="F178">
        <f>Model!N211</f>
        <v>0</v>
      </c>
      <c r="G178">
        <f>Model!O211</f>
        <v>0</v>
      </c>
      <c r="H178">
        <f>Model!P211</f>
        <v>0</v>
      </c>
      <c r="I178">
        <f>Model!Q211</f>
        <v>0</v>
      </c>
      <c r="J178">
        <f>Model!R211</f>
        <v>0</v>
      </c>
      <c r="K178">
        <f>Model!S211</f>
        <v>0</v>
      </c>
      <c r="L178">
        <f>Model!T211</f>
        <v>0</v>
      </c>
      <c r="M178">
        <f>Model!U211</f>
        <v>0</v>
      </c>
      <c r="N178">
        <f>Model!V211</f>
        <v>0</v>
      </c>
      <c r="O178">
        <f>Model!W211</f>
        <v>0</v>
      </c>
      <c r="P178">
        <f>Model!X211</f>
        <v>0</v>
      </c>
      <c r="Q178">
        <f>Model!Y211</f>
        <v>0</v>
      </c>
      <c r="R178">
        <f>Model!Z211</f>
        <v>0</v>
      </c>
      <c r="S178">
        <f>Model!AA211</f>
        <v>0</v>
      </c>
      <c r="T178">
        <f>Model!AB211</f>
        <v>0</v>
      </c>
      <c r="U178">
        <f>Model!AC211</f>
        <v>0</v>
      </c>
      <c r="V178">
        <f>Model!AD211</f>
        <v>0</v>
      </c>
      <c r="W178">
        <f>Model!AE211</f>
        <v>0</v>
      </c>
      <c r="X178">
        <f>Model!AF211</f>
        <v>0</v>
      </c>
      <c r="Y178">
        <f>Model!AG211</f>
        <v>0</v>
      </c>
      <c r="Z178">
        <f>Model!AH211</f>
        <v>0</v>
      </c>
      <c r="AA178">
        <f>Model!AI211</f>
        <v>0</v>
      </c>
      <c r="AB178">
        <f>Model!AJ211</f>
        <v>0</v>
      </c>
      <c r="AC178">
        <f>Model!AK211</f>
        <v>0</v>
      </c>
      <c r="AD178">
        <f>Model!AL211</f>
        <v>0</v>
      </c>
      <c r="AE178">
        <f>Model!AM211</f>
        <v>0</v>
      </c>
      <c r="AF178">
        <f>Model!AN211</f>
        <v>0</v>
      </c>
      <c r="AG178">
        <f>Model!AO211</f>
        <v>0</v>
      </c>
      <c r="AH178">
        <f>Model!AP211</f>
        <v>0</v>
      </c>
      <c r="AI178">
        <f>Model!AQ211</f>
        <v>0</v>
      </c>
      <c r="AJ178">
        <f>Model!AR211</f>
        <v>0</v>
      </c>
      <c r="AK178">
        <f>Model!AS211</f>
        <v>0</v>
      </c>
      <c r="AL178">
        <f>Model!AT211</f>
        <v>0</v>
      </c>
      <c r="AM178">
        <f>Model!AU211</f>
        <v>0</v>
      </c>
      <c r="AN178">
        <f>Model!AV211</f>
        <v>0</v>
      </c>
      <c r="AO178">
        <f>Model!AW211</f>
        <v>0</v>
      </c>
      <c r="AP178">
        <f>Model!AX211</f>
        <v>0</v>
      </c>
      <c r="AQ178">
        <f>Model!AY211</f>
        <v>0</v>
      </c>
      <c r="AR178">
        <f>Model!AZ211</f>
        <v>0</v>
      </c>
      <c r="AS178">
        <f>Model!BA211</f>
        <v>0</v>
      </c>
      <c r="AT178">
        <f>Model!BB211</f>
        <v>0</v>
      </c>
      <c r="AU178">
        <f>Model!BC211</f>
        <v>0</v>
      </c>
      <c r="AV178">
        <f>Model!BD211</f>
        <v>0</v>
      </c>
      <c r="AW178">
        <f>Model!BE211</f>
        <v>0</v>
      </c>
      <c r="AX178">
        <f>Model!BF211</f>
        <v>0</v>
      </c>
      <c r="AY178">
        <f>Model!BG211</f>
        <v>0</v>
      </c>
      <c r="AZ178">
        <f>Model!BH211</f>
        <v>0</v>
      </c>
      <c r="BA178">
        <f>Model!BI211</f>
        <v>0</v>
      </c>
      <c r="BB178">
        <f>Model!BJ211</f>
        <v>0</v>
      </c>
      <c r="BC178">
        <f>Model!BK211</f>
        <v>0</v>
      </c>
      <c r="BD178">
        <f>Model!BL211</f>
        <v>0</v>
      </c>
      <c r="BE178">
        <f>Model!BM211</f>
        <v>0</v>
      </c>
      <c r="BF178">
        <f>Model!BN211</f>
        <v>0</v>
      </c>
      <c r="BG178">
        <f>Model!BO211</f>
        <v>0</v>
      </c>
      <c r="BH178">
        <f>Model!BP211</f>
        <v>0</v>
      </c>
      <c r="BI178">
        <f>Model!BQ211</f>
        <v>0</v>
      </c>
      <c r="BJ178">
        <f>Model!BR211</f>
        <v>0</v>
      </c>
      <c r="BK178">
        <f>Model!BS211</f>
        <v>0</v>
      </c>
      <c r="BL178">
        <f>Model!BT211</f>
        <v>0</v>
      </c>
      <c r="BM178">
        <f>Model!BU211</f>
        <v>0</v>
      </c>
      <c r="BN178">
        <f>Model!BV211</f>
        <v>0</v>
      </c>
      <c r="BO178">
        <f>Model!BW211</f>
        <v>0</v>
      </c>
      <c r="BP178">
        <f>Model!BX211</f>
        <v>0</v>
      </c>
      <c r="BQ178">
        <f>Model!BY211</f>
        <v>0</v>
      </c>
      <c r="BR178">
        <f>Model!BZ211</f>
        <v>0</v>
      </c>
      <c r="BS178">
        <f>Model!CA211</f>
        <v>0</v>
      </c>
      <c r="BT178">
        <f>Model!CB211</f>
        <v>0</v>
      </c>
      <c r="BU178">
        <f>Model!CC211</f>
        <v>0</v>
      </c>
      <c r="BV178">
        <f>Model!CD211</f>
        <v>0</v>
      </c>
      <c r="BW178">
        <f>Model!CE211</f>
        <v>0</v>
      </c>
      <c r="BX178">
        <f>Model!CF211</f>
        <v>0</v>
      </c>
      <c r="BY178">
        <f>Model!CG211</f>
        <v>0</v>
      </c>
      <c r="BZ178">
        <f>Model!CH211</f>
        <v>0</v>
      </c>
      <c r="CA178">
        <f>Model!CI211</f>
        <v>0</v>
      </c>
      <c r="CB178">
        <f>Model!CJ211</f>
        <v>0</v>
      </c>
      <c r="CC178">
        <f>Model!CK211</f>
        <v>0</v>
      </c>
      <c r="CD178">
        <f>Model!CL211</f>
        <v>0</v>
      </c>
      <c r="CE178">
        <f>Model!CM211</f>
        <v>0</v>
      </c>
      <c r="CF178">
        <f>Model!CN211</f>
        <v>0</v>
      </c>
      <c r="CG178">
        <f>Model!CO211</f>
        <v>0</v>
      </c>
      <c r="CH178">
        <f>Model!CP211</f>
        <v>0</v>
      </c>
      <c r="CI178">
        <f>Model!CQ211</f>
        <v>0</v>
      </c>
      <c r="CJ178">
        <f>Model!CR211</f>
        <v>0</v>
      </c>
      <c r="CK178">
        <f>Model!CS211</f>
        <v>0</v>
      </c>
      <c r="CL178">
        <f>Model!CT211</f>
        <v>0</v>
      </c>
      <c r="CM178">
        <f>Model!CU211</f>
        <v>0</v>
      </c>
      <c r="CN178">
        <f>Model!CV211</f>
        <v>0</v>
      </c>
      <c r="CO178">
        <f>Model!CW211</f>
        <v>0</v>
      </c>
      <c r="CP178">
        <f>Model!CX211</f>
        <v>0</v>
      </c>
      <c r="CQ178">
        <f>Model!CY211</f>
        <v>0</v>
      </c>
      <c r="CR178">
        <f>Model!CZ211</f>
        <v>0</v>
      </c>
      <c r="CS178">
        <f>Model!DA211</f>
        <v>0</v>
      </c>
      <c r="CT178">
        <f>Model!DB211</f>
        <v>0</v>
      </c>
      <c r="CU178">
        <f>Model!DC211</f>
        <v>0</v>
      </c>
      <c r="CV178">
        <f>Model!DD211</f>
        <v>0</v>
      </c>
      <c r="CW178">
        <f>Model!DE211</f>
        <v>0</v>
      </c>
      <c r="CX178">
        <f>Model!DF211</f>
        <v>0</v>
      </c>
    </row>
    <row r="179" spans="1:102">
      <c r="A179" t="str">
        <f>Model!I212</f>
        <v>Core Domestic Gross Profit</v>
      </c>
      <c r="B179">
        <f>Model!J212</f>
        <v>0</v>
      </c>
      <c r="C179">
        <f>Model!K212</f>
        <v>0</v>
      </c>
      <c r="D179">
        <f>Model!L212</f>
        <v>0</v>
      </c>
      <c r="E179">
        <f>Model!M212</f>
        <v>0</v>
      </c>
      <c r="F179">
        <f>Model!N212</f>
        <v>0</v>
      </c>
      <c r="G179">
        <f>Model!O212</f>
        <v>0</v>
      </c>
      <c r="H179">
        <f>Model!P212</f>
        <v>0</v>
      </c>
      <c r="I179">
        <f>Model!Q212</f>
        <v>0</v>
      </c>
      <c r="J179">
        <f>Model!R212</f>
        <v>0</v>
      </c>
      <c r="K179">
        <f>Model!S212</f>
        <v>0</v>
      </c>
      <c r="L179">
        <f>Model!T212</f>
        <v>0</v>
      </c>
      <c r="M179">
        <f>Model!U212</f>
        <v>0</v>
      </c>
      <c r="N179">
        <f>Model!V212</f>
        <v>0</v>
      </c>
      <c r="O179">
        <f>Model!W212</f>
        <v>0</v>
      </c>
      <c r="P179">
        <f>Model!X212</f>
        <v>0</v>
      </c>
      <c r="Q179">
        <f>Model!Y212</f>
        <v>0</v>
      </c>
      <c r="R179">
        <f>Model!Z212</f>
        <v>0</v>
      </c>
      <c r="S179">
        <f>Model!AA212</f>
        <v>0</v>
      </c>
      <c r="T179">
        <f>Model!AB212</f>
        <v>0</v>
      </c>
      <c r="U179">
        <f>Model!AC212</f>
        <v>0</v>
      </c>
      <c r="V179">
        <f>Model!AD212</f>
        <v>0</v>
      </c>
      <c r="W179">
        <f>Model!AE212</f>
        <v>0</v>
      </c>
      <c r="X179">
        <f>Model!AF212</f>
        <v>0</v>
      </c>
      <c r="Y179">
        <f>Model!AG212</f>
        <v>0</v>
      </c>
      <c r="Z179">
        <f>Model!AH212</f>
        <v>0</v>
      </c>
      <c r="AA179">
        <f>Model!AI212</f>
        <v>0</v>
      </c>
      <c r="AB179">
        <f>Model!AJ212</f>
        <v>0</v>
      </c>
      <c r="AC179">
        <f>Model!AK212</f>
        <v>0</v>
      </c>
      <c r="AD179">
        <f>Model!AL212</f>
        <v>0</v>
      </c>
      <c r="AE179">
        <f>Model!AM212</f>
        <v>0</v>
      </c>
      <c r="AF179">
        <f>Model!AN212</f>
        <v>0</v>
      </c>
      <c r="AG179">
        <f>Model!AO212</f>
        <v>0</v>
      </c>
      <c r="AH179">
        <f>Model!AP212</f>
        <v>0</v>
      </c>
      <c r="AI179">
        <f>Model!AQ212</f>
        <v>0</v>
      </c>
      <c r="AJ179">
        <f>Model!AR212</f>
        <v>0</v>
      </c>
      <c r="AK179">
        <f>Model!AS212</f>
        <v>0</v>
      </c>
      <c r="AL179">
        <f>Model!AT212</f>
        <v>0</v>
      </c>
      <c r="AM179">
        <f>Model!AU212</f>
        <v>0</v>
      </c>
      <c r="AN179">
        <f>Model!AV212</f>
        <v>0</v>
      </c>
      <c r="AO179">
        <f>Model!AW212</f>
        <v>0</v>
      </c>
      <c r="AP179">
        <f>Model!AX212</f>
        <v>0</v>
      </c>
      <c r="AQ179">
        <f>Model!AY212</f>
        <v>0</v>
      </c>
      <c r="AR179">
        <f>Model!AZ212</f>
        <v>0</v>
      </c>
      <c r="AS179">
        <f>Model!BA212</f>
        <v>0</v>
      </c>
      <c r="AT179">
        <f>Model!BB212</f>
        <v>0</v>
      </c>
      <c r="AU179">
        <f>Model!BC212</f>
        <v>0</v>
      </c>
      <c r="AV179">
        <f>Model!BD212</f>
        <v>0</v>
      </c>
      <c r="AW179">
        <f>Model!BE212</f>
        <v>0</v>
      </c>
      <c r="AX179">
        <f>Model!BF212</f>
        <v>0</v>
      </c>
      <c r="AY179">
        <f>Model!BG212</f>
        <v>0</v>
      </c>
      <c r="AZ179">
        <f>Model!BH212</f>
        <v>0</v>
      </c>
      <c r="BA179">
        <f>Model!BI212</f>
        <v>0</v>
      </c>
      <c r="BB179">
        <f>Model!BJ212</f>
        <v>0</v>
      </c>
      <c r="BC179">
        <f>Model!BK212</f>
        <v>0</v>
      </c>
      <c r="BD179">
        <f>Model!BL212</f>
        <v>0</v>
      </c>
      <c r="BE179">
        <f>Model!BM212</f>
        <v>0</v>
      </c>
      <c r="BF179">
        <f>Model!BN212</f>
        <v>0</v>
      </c>
      <c r="BG179">
        <f>Model!BO212</f>
        <v>0</v>
      </c>
      <c r="BH179">
        <f>Model!BP212</f>
        <v>0</v>
      </c>
      <c r="BI179">
        <f>Model!BQ212</f>
        <v>0</v>
      </c>
      <c r="BJ179">
        <f>Model!BR212</f>
        <v>0</v>
      </c>
      <c r="BK179">
        <f>Model!BS212</f>
        <v>0</v>
      </c>
      <c r="BL179">
        <f>Model!BT212</f>
        <v>0</v>
      </c>
      <c r="BM179">
        <f>Model!BU212</f>
        <v>0</v>
      </c>
      <c r="BN179">
        <f>Model!BV212</f>
        <v>0</v>
      </c>
      <c r="BO179">
        <f>Model!BW212</f>
        <v>0</v>
      </c>
      <c r="BP179">
        <f>Model!BX212</f>
        <v>0</v>
      </c>
      <c r="BQ179">
        <f>Model!BY212</f>
        <v>0</v>
      </c>
      <c r="BR179">
        <f>Model!BZ212</f>
        <v>0</v>
      </c>
      <c r="BS179">
        <f>Model!CA212</f>
        <v>0</v>
      </c>
      <c r="BT179">
        <f>Model!CB212</f>
        <v>0</v>
      </c>
      <c r="BU179">
        <f>Model!CC212</f>
        <v>0</v>
      </c>
      <c r="BV179">
        <f>Model!CD212</f>
        <v>0</v>
      </c>
      <c r="BW179">
        <f>Model!CE212</f>
        <v>0</v>
      </c>
      <c r="BX179">
        <f>Model!CF212</f>
        <v>0</v>
      </c>
      <c r="BY179">
        <f>Model!CG212</f>
        <v>0</v>
      </c>
      <c r="BZ179">
        <f>Model!CH212</f>
        <v>0</v>
      </c>
      <c r="CA179">
        <f>Model!CI212</f>
        <v>0</v>
      </c>
      <c r="CB179">
        <f>Model!CJ212</f>
        <v>0</v>
      </c>
      <c r="CC179">
        <f>Model!CK212</f>
        <v>0</v>
      </c>
      <c r="CD179">
        <f>Model!CL212</f>
        <v>0</v>
      </c>
      <c r="CE179">
        <f>Model!CM212</f>
        <v>0</v>
      </c>
      <c r="CF179">
        <f>Model!CN212</f>
        <v>0</v>
      </c>
      <c r="CG179">
        <f>Model!CO212</f>
        <v>0</v>
      </c>
      <c r="CH179">
        <f>Model!CP212</f>
        <v>0</v>
      </c>
      <c r="CI179">
        <f>Model!CQ212</f>
        <v>0</v>
      </c>
      <c r="CJ179">
        <f>Model!CR212</f>
        <v>0</v>
      </c>
      <c r="CK179">
        <f>Model!CS212</f>
        <v>0</v>
      </c>
      <c r="CL179">
        <f>Model!CT212</f>
        <v>0</v>
      </c>
      <c r="CM179">
        <f>Model!CU212</f>
        <v>0</v>
      </c>
      <c r="CN179">
        <f>Model!CV212</f>
        <v>0</v>
      </c>
      <c r="CO179">
        <f>Model!CW212</f>
        <v>0</v>
      </c>
      <c r="CP179">
        <f>Model!CX212</f>
        <v>0</v>
      </c>
      <c r="CQ179">
        <f>Model!CY212</f>
        <v>0</v>
      </c>
      <c r="CR179">
        <f>Model!CZ212</f>
        <v>0</v>
      </c>
      <c r="CS179">
        <f>Model!DA212</f>
        <v>0</v>
      </c>
      <c r="CT179">
        <f>Model!DB212</f>
        <v>0</v>
      </c>
      <c r="CU179">
        <f>Model!DC212</f>
        <v>0</v>
      </c>
      <c r="CV179">
        <f>Model!DD212</f>
        <v>0</v>
      </c>
      <c r="CW179">
        <f>Model!DE212</f>
        <v>0</v>
      </c>
      <c r="CX179">
        <f>Model!DF212</f>
        <v>0</v>
      </c>
    </row>
    <row r="180" spans="1:102">
      <c r="A180" t="str">
        <f>Model!I213</f>
        <v>Domestic Merchant Gross Profit</v>
      </c>
      <c r="B180">
        <f>Model!J213</f>
        <v>0</v>
      </c>
      <c r="C180">
        <f>Model!K213</f>
        <v>0</v>
      </c>
      <c r="D180">
        <f>Model!L213</f>
        <v>0</v>
      </c>
      <c r="E180">
        <f>Model!M213</f>
        <v>0</v>
      </c>
      <c r="F180">
        <f>Model!N213</f>
        <v>0</v>
      </c>
      <c r="G180">
        <f>Model!O213</f>
        <v>0</v>
      </c>
      <c r="H180">
        <f>Model!P213</f>
        <v>0</v>
      </c>
      <c r="I180">
        <f>Model!Q213</f>
        <v>0</v>
      </c>
      <c r="J180">
        <f>Model!R213</f>
        <v>0</v>
      </c>
      <c r="K180">
        <f>Model!S213</f>
        <v>0</v>
      </c>
      <c r="L180">
        <f>Model!T213</f>
        <v>0</v>
      </c>
      <c r="M180">
        <f>Model!U213</f>
        <v>0</v>
      </c>
      <c r="N180">
        <f>Model!V213</f>
        <v>0</v>
      </c>
      <c r="O180">
        <f>Model!W213</f>
        <v>0</v>
      </c>
      <c r="P180">
        <f>Model!X213</f>
        <v>0</v>
      </c>
      <c r="Q180">
        <f>Model!Y213</f>
        <v>0</v>
      </c>
      <c r="R180">
        <f>Model!Z213</f>
        <v>0</v>
      </c>
      <c r="S180">
        <f>Model!AA213</f>
        <v>0</v>
      </c>
      <c r="T180">
        <f>Model!AB213</f>
        <v>0</v>
      </c>
      <c r="U180">
        <f>Model!AC213</f>
        <v>0</v>
      </c>
      <c r="V180">
        <f>Model!AD213</f>
        <v>0</v>
      </c>
      <c r="W180">
        <f>Model!AE213</f>
        <v>0</v>
      </c>
      <c r="X180">
        <f>Model!AF213</f>
        <v>0</v>
      </c>
      <c r="Y180">
        <f>Model!AG213</f>
        <v>0</v>
      </c>
      <c r="Z180">
        <f>Model!AH213</f>
        <v>0</v>
      </c>
      <c r="AA180">
        <f>Model!AI213</f>
        <v>0</v>
      </c>
      <c r="AB180">
        <f>Model!AJ213</f>
        <v>0</v>
      </c>
      <c r="AC180">
        <f>Model!AK213</f>
        <v>48.461000000000027</v>
      </c>
      <c r="AD180">
        <f>Model!AL213</f>
        <v>53.921999999999947</v>
      </c>
      <c r="AE180">
        <f>Model!AM213</f>
        <v>60.254999999999995</v>
      </c>
      <c r="AF180">
        <f>Model!AN213</f>
        <v>50.092000000000006</v>
      </c>
      <c r="AG180">
        <f>Model!AO213</f>
        <v>63.515000000000015</v>
      </c>
      <c r="AH180">
        <f>Model!AP213</f>
        <v>72.470000000000041</v>
      </c>
      <c r="AI180">
        <f>Model!AQ213</f>
        <v>73.728000000000023</v>
      </c>
      <c r="AJ180">
        <f>Model!AR213</f>
        <v>62.402499999999982</v>
      </c>
      <c r="AK180">
        <f>Model!AS213</f>
        <v>74.923549999999977</v>
      </c>
      <c r="AL180">
        <f>Model!AT213</f>
        <v>86.072849999999988</v>
      </c>
      <c r="AM180">
        <f>Model!AU213</f>
        <v>92.384799999999998</v>
      </c>
      <c r="AN180">
        <f>Model!AV213</f>
        <v>76.880500000000069</v>
      </c>
      <c r="AO180">
        <f>Model!AW213</f>
        <v>80.186735999999883</v>
      </c>
      <c r="AP180">
        <f>Model!AX213</f>
        <v>95.220394999999925</v>
      </c>
      <c r="AQ180">
        <f>Model!AY213</f>
        <v>117.02471999999989</v>
      </c>
      <c r="AR180">
        <f>Model!AZ213</f>
        <v>90.10887500000004</v>
      </c>
      <c r="AS180">
        <f>Model!BA213</f>
        <v>91.131419200000039</v>
      </c>
      <c r="AT180">
        <f>Model!BB213</f>
        <v>104.32092695387257</v>
      </c>
      <c r="AU180">
        <f>Model!BC213</f>
        <v>135.61544000000009</v>
      </c>
      <c r="AV180">
        <f>Model!BD213</f>
        <v>100.55175000000004</v>
      </c>
      <c r="AW180">
        <f>Model!BE213</f>
        <v>100.17701264000006</v>
      </c>
      <c r="AX180">
        <f>Model!BF213</f>
        <v>106.37740885119595</v>
      </c>
      <c r="AY180">
        <f>Model!BG213</f>
        <v>134.44561920000021</v>
      </c>
      <c r="AZ180">
        <f>Model!BH213</f>
        <v>96.349200000000081</v>
      </c>
      <c r="BA180">
        <f>Model!BI213</f>
        <v>89.623898201599999</v>
      </c>
      <c r="BB180">
        <f>Model!BJ213</f>
        <v>106.33189012417415</v>
      </c>
      <c r="BC180">
        <f>Model!BK213</f>
        <v>145.61149045599993</v>
      </c>
      <c r="BD180">
        <f>Model!BL213</f>
        <v>110.54391999999993</v>
      </c>
      <c r="BE180">
        <f>Model!BM213</f>
        <v>105.89574266208032</v>
      </c>
      <c r="BF180">
        <f>Model!BN213</f>
        <v>105.06389044775922</v>
      </c>
      <c r="BG180">
        <f>Model!BO213</f>
        <v>143.56900272989736</v>
      </c>
      <c r="BH180">
        <f>Model!BP213</f>
        <v>102.59311938709672</v>
      </c>
      <c r="BI180">
        <f>Model!BQ213</f>
        <v>104.77789112997993</v>
      </c>
      <c r="BJ180">
        <f>Model!BR213</f>
        <v>86.881996471504351</v>
      </c>
      <c r="BK180">
        <f>Model!BS213</f>
        <v>188.68970971706835</v>
      </c>
      <c r="BL180">
        <f>Model!BT213</f>
        <v>92.003082793548373</v>
      </c>
      <c r="BM180">
        <f>Model!BU213</f>
        <v>62.42541335992243</v>
      </c>
      <c r="BN180">
        <f>Model!BV213</f>
        <v>57.903546555640446</v>
      </c>
      <c r="BO180">
        <f>Model!BW213</f>
        <v>209.16360330880246</v>
      </c>
      <c r="BP180">
        <f>Model!BX213</f>
        <v>75.490620715096696</v>
      </c>
      <c r="BQ180">
        <f>Model!BY213</f>
        <v>12.969674493709761</v>
      </c>
      <c r="BR180">
        <f>Model!BZ213</f>
        <v>15.474829803968134</v>
      </c>
      <c r="BS180">
        <f>Model!CA213</f>
        <v>251.63571401402268</v>
      </c>
      <c r="BT180">
        <f>Model!CB213</f>
        <v>116.62554230445153</v>
      </c>
      <c r="BU180">
        <f>Model!CC213</f>
        <v>11.168051705989541</v>
      </c>
      <c r="BV180">
        <f>Model!CD213</f>
        <v>13.449924329564652</v>
      </c>
      <c r="BW180">
        <f>Model!CE213</f>
        <v>263.21345194263921</v>
      </c>
      <c r="BX180">
        <f>Model!CF213</f>
        <v>122.86038853207599</v>
      </c>
      <c r="BY180">
        <f>Model!CG213</f>
        <v>0</v>
      </c>
      <c r="BZ180">
        <f>Model!CH213</f>
        <v>0</v>
      </c>
      <c r="CA180">
        <f>Model!CI213</f>
        <v>0</v>
      </c>
      <c r="CB180">
        <f>Model!CJ213</f>
        <v>0</v>
      </c>
      <c r="CC180">
        <f>Model!CK213</f>
        <v>0</v>
      </c>
      <c r="CD180">
        <f>Model!CL213</f>
        <v>0</v>
      </c>
      <c r="CE180">
        <f>Model!CM213</f>
        <v>0</v>
      </c>
      <c r="CF180">
        <f>Model!CN213</f>
        <v>212.72999999999973</v>
      </c>
      <c r="CG180">
        <f>Model!CO213</f>
        <v>272.11550000000022</v>
      </c>
      <c r="CH180">
        <f>Model!CP213</f>
        <v>330.26169999999991</v>
      </c>
      <c r="CI180">
        <f>Model!CQ213</f>
        <v>382.54072599999972</v>
      </c>
      <c r="CJ180">
        <f>Model!CR213</f>
        <v>431.61953615387273</v>
      </c>
      <c r="CK180">
        <f>Model!CS213</f>
        <v>437.34924069119631</v>
      </c>
      <c r="CL180">
        <f>Model!CT213</f>
        <v>452.11119878177408</v>
      </c>
      <c r="CM180">
        <f>Model!CU213</f>
        <v>457.12175522683367</v>
      </c>
      <c r="CN180">
        <f>Model!CV213</f>
        <v>472.35268011210098</v>
      </c>
      <c r="CO180">
        <f>Model!CW213</f>
        <v>404.98318393946204</v>
      </c>
      <c r="CP180">
        <f>Model!CX213</f>
        <v>396.70576061615213</v>
      </c>
      <c r="CQ180">
        <f>Model!CY213</f>
        <v>410.6918165102694</v>
      </c>
      <c r="CR180">
        <f>Model!CZ213</f>
        <v>428.37401265611089</v>
      </c>
      <c r="CS180">
        <f>Model!DA213</f>
        <v>442.09539586888661</v>
      </c>
      <c r="CT180">
        <f>Model!DB213</f>
        <v>452.32844716357096</v>
      </c>
      <c r="CU180">
        <f>Model!DC213</f>
        <v>462.90196066363183</v>
      </c>
      <c r="CV180">
        <f>Model!DD213</f>
        <v>473.80916549522857</v>
      </c>
      <c r="CW180">
        <f>Model!DE213</f>
        <v>485.0445133788383</v>
      </c>
      <c r="CX180">
        <f>Model!DF213</f>
        <v>496.60356727996327</v>
      </c>
    </row>
    <row r="181" spans="1:102">
      <c r="A181" t="str">
        <f>Model!I214</f>
        <v>Domestic Agency Gross Profit</v>
      </c>
      <c r="B181">
        <f>Model!J214</f>
        <v>0</v>
      </c>
      <c r="C181">
        <f>Model!K214</f>
        <v>0</v>
      </c>
      <c r="D181">
        <f>Model!L214</f>
        <v>0</v>
      </c>
      <c r="E181">
        <f>Model!M214</f>
        <v>0</v>
      </c>
      <c r="F181">
        <f>Model!N214</f>
        <v>0</v>
      </c>
      <c r="G181">
        <f>Model!O214</f>
        <v>0</v>
      </c>
      <c r="H181">
        <f>Model!P214</f>
        <v>0</v>
      </c>
      <c r="I181">
        <f>Model!Q214</f>
        <v>0</v>
      </c>
      <c r="J181">
        <f>Model!R214</f>
        <v>0</v>
      </c>
      <c r="K181">
        <f>Model!S214</f>
        <v>0</v>
      </c>
      <c r="L181">
        <f>Model!T214</f>
        <v>0</v>
      </c>
      <c r="M181">
        <f>Model!U214</f>
        <v>0</v>
      </c>
      <c r="N181">
        <f>Model!V214</f>
        <v>0</v>
      </c>
      <c r="O181">
        <f>Model!W214</f>
        <v>0</v>
      </c>
      <c r="P181">
        <f>Model!X214</f>
        <v>0</v>
      </c>
      <c r="Q181">
        <f>Model!Y214</f>
        <v>0</v>
      </c>
      <c r="R181">
        <f>Model!Z214</f>
        <v>0</v>
      </c>
      <c r="S181">
        <f>Model!AA214</f>
        <v>0</v>
      </c>
      <c r="T181">
        <f>Model!AB214</f>
        <v>0</v>
      </c>
      <c r="U181">
        <f>Model!AC214</f>
        <v>0</v>
      </c>
      <c r="V181">
        <f>Model!AD214</f>
        <v>0</v>
      </c>
      <c r="W181">
        <f>Model!AE214</f>
        <v>0</v>
      </c>
      <c r="X181">
        <f>Model!AF214</f>
        <v>0</v>
      </c>
      <c r="Y181">
        <f>Model!AG214</f>
        <v>0</v>
      </c>
      <c r="Z181">
        <f>Model!AH214</f>
        <v>0</v>
      </c>
      <c r="AA181">
        <f>Model!AI214</f>
        <v>0</v>
      </c>
      <c r="AB181">
        <f>Model!AJ214</f>
        <v>0</v>
      </c>
      <c r="AC181">
        <f>Model!AK214</f>
        <v>6.6109999999999971</v>
      </c>
      <c r="AD181">
        <f>Model!AL214</f>
        <v>7.9439999999999884</v>
      </c>
      <c r="AE181">
        <f>Model!AM214</f>
        <v>7.8229999999999791</v>
      </c>
      <c r="AF181">
        <f>Model!AN214</f>
        <v>4.7680000000000007</v>
      </c>
      <c r="AG181">
        <f>Model!AO214</f>
        <v>9.6989999999999981</v>
      </c>
      <c r="AH181">
        <f>Model!AP214</f>
        <v>12.257999999999981</v>
      </c>
      <c r="AI181">
        <f>Model!AQ214</f>
        <v>13.636000000000024</v>
      </c>
      <c r="AJ181">
        <f>Model!AR214</f>
        <v>10.610500000000016</v>
      </c>
      <c r="AK181">
        <f>Model!AS214</f>
        <v>14.707449999999994</v>
      </c>
      <c r="AL181">
        <f>Model!AT214</f>
        <v>16.131150000000019</v>
      </c>
      <c r="AM181">
        <f>Model!AU214</f>
        <v>18.463199999999972</v>
      </c>
      <c r="AN181">
        <f>Model!AV214</f>
        <v>10.358500000000021</v>
      </c>
      <c r="AO181">
        <f>Model!AW214</f>
        <v>21.042263999999989</v>
      </c>
      <c r="AP181">
        <f>Model!AX214</f>
        <v>24.776605000000018</v>
      </c>
      <c r="AQ181">
        <f>Model!AY214</f>
        <v>15.889279999999985</v>
      </c>
      <c r="AR181">
        <f>Model!AZ214</f>
        <v>11.060125000000028</v>
      </c>
      <c r="AS181">
        <f>Model!BA214</f>
        <v>23.382580800000028</v>
      </c>
      <c r="AT181">
        <f>Model!BB214</f>
        <v>29.801073046127499</v>
      </c>
      <c r="AU181">
        <f>Model!BC214</f>
        <v>9.5595600000000331</v>
      </c>
      <c r="AV181">
        <f>Model!BD214</f>
        <v>12.292249999999967</v>
      </c>
      <c r="AW181">
        <f>Model!BE214</f>
        <v>22.899987359999955</v>
      </c>
      <c r="AX181">
        <f>Model!BF214</f>
        <v>35.025591148804097</v>
      </c>
      <c r="AY181">
        <f>Model!BG214</f>
        <v>23.842380799999773</v>
      </c>
      <c r="AZ181">
        <f>Model!BH214</f>
        <v>4.1738000000000284</v>
      </c>
      <c r="BA181">
        <f>Model!BI214</f>
        <v>22.521101798399968</v>
      </c>
      <c r="BB181">
        <f>Model!BJ214</f>
        <v>45.13313387582582</v>
      </c>
      <c r="BC181">
        <f>Model!BK214</f>
        <v>21.445964543999935</v>
      </c>
      <c r="BD181">
        <f>Model!BL214</f>
        <v>17.326580000000035</v>
      </c>
      <c r="BE181">
        <f>Model!BM214</f>
        <v>20.287032337919982</v>
      </c>
      <c r="BF181">
        <f>Model!BN214</f>
        <v>55.465320052240713</v>
      </c>
      <c r="BG181">
        <f>Model!BO214</f>
        <v>38.515593907199673</v>
      </c>
      <c r="BH181">
        <f>Model!BP214</f>
        <v>15.288454000000002</v>
      </c>
      <c r="BI181">
        <f>Model!BQ214</f>
        <v>26.319638805503928</v>
      </c>
      <c r="BJ181">
        <f>Model!BR214</f>
        <v>59.436184062689108</v>
      </c>
      <c r="BK181">
        <f>Model!BS214</f>
        <v>3.959638516479572</v>
      </c>
      <c r="BL181">
        <f>Model!BT214</f>
        <v>38.810599399999774</v>
      </c>
      <c r="BM181">
        <f>Model!BU214</f>
        <v>84.886393671044971</v>
      </c>
      <c r="BN181">
        <f>Model!BV214</f>
        <v>92.878656615946738</v>
      </c>
      <c r="BO181">
        <f>Model!BW214</f>
        <v>-91.394790698905581</v>
      </c>
      <c r="BP181">
        <f>Model!BX214</f>
        <v>34.194439231999922</v>
      </c>
      <c r="BQ181">
        <f>Model!BY214</f>
        <v>135.43512288880652</v>
      </c>
      <c r="BR181">
        <f>Model!BZ214</f>
        <v>148.62728352619797</v>
      </c>
      <c r="BS181">
        <f>Model!CA214</f>
        <v>-96.27196077363169</v>
      </c>
      <c r="BT181">
        <f>Model!CB214</f>
        <v>37.037720639999861</v>
      </c>
      <c r="BU181">
        <f>Model!CC214</f>
        <v>142.20687903324685</v>
      </c>
      <c r="BV181">
        <f>Model!CD214</f>
        <v>156.05864770250787</v>
      </c>
      <c r="BW181">
        <f>Model!CE214</f>
        <v>-101.08555881231328</v>
      </c>
      <c r="BX181">
        <f>Model!CF214</f>
        <v>38.889606671999857</v>
      </c>
      <c r="BY181">
        <f>Model!CG214</f>
        <v>0</v>
      </c>
      <c r="BZ181">
        <f>Model!CH214</f>
        <v>0</v>
      </c>
      <c r="CA181">
        <f>Model!CI214</f>
        <v>0</v>
      </c>
      <c r="CB181">
        <f>Model!CJ214</f>
        <v>0</v>
      </c>
      <c r="CC181">
        <f>Model!CK214</f>
        <v>0</v>
      </c>
      <c r="CD181">
        <f>Model!CL214</f>
        <v>0</v>
      </c>
      <c r="CE181">
        <f>Model!CM214</f>
        <v>0</v>
      </c>
      <c r="CF181">
        <f>Model!CN214</f>
        <v>31.145999999999958</v>
      </c>
      <c r="CG181">
        <f>Model!CO214</f>
        <v>46.203499999999963</v>
      </c>
      <c r="CH181">
        <f>Model!CP214</f>
        <v>59.660300000000007</v>
      </c>
      <c r="CI181">
        <f>Model!CQ214</f>
        <v>72.768274000000019</v>
      </c>
      <c r="CJ181">
        <f>Model!CR214</f>
        <v>75.035463846127527</v>
      </c>
      <c r="CK181">
        <f>Model!CS214</f>
        <v>85.941759308803853</v>
      </c>
      <c r="CL181">
        <f>Model!CT214</f>
        <v>106.42678021822576</v>
      </c>
      <c r="CM181">
        <f>Model!CU214</f>
        <v>129.55640029736037</v>
      </c>
      <c r="CN181">
        <f>Model!CV214</f>
        <v>128.52606078467238</v>
      </c>
      <c r="CO181">
        <f>Model!CW214</f>
        <v>120.56469882008605</v>
      </c>
      <c r="CP181">
        <f>Model!CX214</f>
        <v>224.82816628137266</v>
      </c>
      <c r="CQ181">
        <f>Model!CY214</f>
        <v>236.06957459544134</v>
      </c>
      <c r="CR181">
        <f>Model!CZ214</f>
        <v>245.512357579259</v>
      </c>
      <c r="CS181">
        <f>Model!DA214</f>
        <v>252.87772830663678</v>
      </c>
      <c r="CT181">
        <f>Model!DB214</f>
        <v>257.93528287276951</v>
      </c>
      <c r="CU181">
        <f>Model!DC214</f>
        <v>263.09398853022492</v>
      </c>
      <c r="CV181">
        <f>Model!DD214</f>
        <v>268.3558683008294</v>
      </c>
      <c r="CW181">
        <f>Model!DE214</f>
        <v>273.722985666846</v>
      </c>
      <c r="CX181">
        <f>Model!DF214</f>
        <v>279.1974453801829</v>
      </c>
    </row>
    <row r="182" spans="1:102">
      <c r="A182" t="str">
        <f>Model!I215</f>
        <v>Domestic Other Gross Profit</v>
      </c>
      <c r="B182">
        <f>Model!J215</f>
        <v>0</v>
      </c>
      <c r="C182">
        <f>Model!K215</f>
        <v>0</v>
      </c>
      <c r="D182">
        <f>Model!L215</f>
        <v>0</v>
      </c>
      <c r="E182">
        <f>Model!M215</f>
        <v>0</v>
      </c>
      <c r="F182">
        <f>Model!N215</f>
        <v>0</v>
      </c>
      <c r="G182">
        <f>Model!O215</f>
        <v>0</v>
      </c>
      <c r="H182">
        <f>Model!P215</f>
        <v>0</v>
      </c>
      <c r="I182">
        <f>Model!Q215</f>
        <v>0</v>
      </c>
      <c r="J182">
        <f>Model!R215</f>
        <v>0</v>
      </c>
      <c r="K182">
        <f>Model!S215</f>
        <v>0</v>
      </c>
      <c r="L182">
        <f>Model!T215</f>
        <v>0</v>
      </c>
      <c r="M182">
        <f>Model!U215</f>
        <v>0</v>
      </c>
      <c r="N182">
        <f>Model!V215</f>
        <v>0</v>
      </c>
      <c r="O182">
        <f>Model!W215</f>
        <v>0</v>
      </c>
      <c r="P182">
        <f>Model!X215</f>
        <v>0</v>
      </c>
      <c r="Q182">
        <f>Model!Y215</f>
        <v>0</v>
      </c>
      <c r="R182">
        <f>Model!Z215</f>
        <v>0</v>
      </c>
      <c r="S182">
        <f>Model!AA215</f>
        <v>0</v>
      </c>
      <c r="T182">
        <f>Model!AB215</f>
        <v>0</v>
      </c>
      <c r="U182">
        <f>Model!AC215</f>
        <v>0</v>
      </c>
      <c r="V182">
        <f>Model!AD215</f>
        <v>0</v>
      </c>
      <c r="W182">
        <f>Model!AE215</f>
        <v>0</v>
      </c>
      <c r="X182">
        <f>Model!AF215</f>
        <v>0</v>
      </c>
      <c r="Y182">
        <f>Model!AG215</f>
        <v>0</v>
      </c>
      <c r="Z182">
        <f>Model!AH215</f>
        <v>0</v>
      </c>
      <c r="AA182">
        <f>Model!AI215</f>
        <v>0</v>
      </c>
      <c r="AB182">
        <f>Model!AJ215</f>
        <v>0</v>
      </c>
      <c r="AC182">
        <f>Model!AK215</f>
        <v>0.86699999999999999</v>
      </c>
      <c r="AD182">
        <f>Model!AL215</f>
        <v>2.6269999999999998</v>
      </c>
      <c r="AE182">
        <f>Model!AM215</f>
        <v>2.4529999999999998</v>
      </c>
      <c r="AF182">
        <f>Model!AN215</f>
        <v>2.3919999999999999</v>
      </c>
      <c r="AG182">
        <f>Model!AO215</f>
        <v>4.0890000000000004</v>
      </c>
      <c r="AH182">
        <f>Model!AP215</f>
        <v>4.4969999999999999</v>
      </c>
      <c r="AI182">
        <f>Model!AQ215</f>
        <v>5.0140000000000002</v>
      </c>
      <c r="AJ182">
        <f>Model!AR215</f>
        <v>4.2519999999999998</v>
      </c>
      <c r="AK182">
        <f>Model!AS215</f>
        <v>4.7990000000000004</v>
      </c>
      <c r="AL182">
        <f>Model!AT215</f>
        <v>6.4340000000000002</v>
      </c>
      <c r="AM182">
        <f>Model!AU215</f>
        <v>7.1580000000000004</v>
      </c>
      <c r="AN182">
        <f>Model!AV215</f>
        <v>3.85</v>
      </c>
      <c r="AO182">
        <f>Model!AW215</f>
        <v>2.887</v>
      </c>
      <c r="AP182">
        <f>Model!AX215</f>
        <v>3.258</v>
      </c>
      <c r="AQ182">
        <f>Model!AY215</f>
        <v>3.274</v>
      </c>
      <c r="AR182">
        <f>Model!AZ215</f>
        <v>3.2440000000000002</v>
      </c>
      <c r="AS182">
        <f>Model!BA215</f>
        <v>3.0939999999999999</v>
      </c>
      <c r="AT182">
        <f>Model!BB215</f>
        <v>3.0049999999999999</v>
      </c>
      <c r="AU182">
        <f>Model!BC215</f>
        <v>2.9729999999999999</v>
      </c>
      <c r="AV182">
        <f>Model!BD215</f>
        <v>2.8530000000000002</v>
      </c>
      <c r="AW182">
        <f>Model!BE215</f>
        <v>3.2109999999999999</v>
      </c>
      <c r="AX182">
        <f>Model!BF215</f>
        <v>3.7389999999999999</v>
      </c>
      <c r="AY182">
        <f>Model!BG215</f>
        <v>3.2130000000000001</v>
      </c>
      <c r="AZ182">
        <f>Model!BH215</f>
        <v>3.2269999999999999</v>
      </c>
      <c r="BA182">
        <f>Model!BI215</f>
        <v>3.52</v>
      </c>
      <c r="BB182">
        <f>Model!BJ215</f>
        <v>4.2740000000000009</v>
      </c>
      <c r="BC182">
        <f>Model!BK215</f>
        <v>4.164999999999992</v>
      </c>
      <c r="BD182">
        <f>Model!BL215</f>
        <v>4.6839999999999975</v>
      </c>
      <c r="BE182">
        <f>Model!BM215</f>
        <v>4.6599999999999966</v>
      </c>
      <c r="BF182">
        <f>Model!BN215</f>
        <v>5.5259999999999962</v>
      </c>
      <c r="BG182">
        <f>Model!BO215</f>
        <v>4.4244766129032342</v>
      </c>
      <c r="BH182">
        <f>Model!BP215</f>
        <v>9.4449516129032247</v>
      </c>
      <c r="BI182">
        <f>Model!BQ215</f>
        <v>7.0348580645161221</v>
      </c>
      <c r="BJ182">
        <f>Model!BR215</f>
        <v>9.414135225806433</v>
      </c>
      <c r="BK182">
        <f>Model!BS215</f>
        <v>8.8914538064516222</v>
      </c>
      <c r="BL182">
        <f>Model!BT215</f>
        <v>10.507825806451621</v>
      </c>
      <c r="BM182">
        <f>Model!BU215</f>
        <v>21.689328129032248</v>
      </c>
      <c r="BN182">
        <f>Model!BV215</f>
        <v>24.213954691612898</v>
      </c>
      <c r="BO182">
        <f>Model!BW215</f>
        <v>10.487105572903218</v>
      </c>
      <c r="BP182">
        <f>Model!BX215</f>
        <v>13.439143612903223</v>
      </c>
      <c r="BQ182">
        <f>Model!BY215</f>
        <v>22.832894535483831</v>
      </c>
      <c r="BR182">
        <f>Model!BZ215</f>
        <v>19.926952426193509</v>
      </c>
      <c r="BS182">
        <f>Model!CA215</f>
        <v>45.147810851548371</v>
      </c>
      <c r="BT182">
        <f>Model!CB215</f>
        <v>49.550100793548367</v>
      </c>
      <c r="BU182">
        <f>Model!CC215</f>
        <v>22.832894535483831</v>
      </c>
      <c r="BV182">
        <f>Model!CD215</f>
        <v>19.926952426193509</v>
      </c>
      <c r="BW182">
        <f>Model!CE215</f>
        <v>45.147810851548371</v>
      </c>
      <c r="BX182">
        <f>Model!CF215</f>
        <v>49.550100793548367</v>
      </c>
      <c r="BY182">
        <f>Model!CG215</f>
        <v>0</v>
      </c>
      <c r="BZ182">
        <f>Model!CH215</f>
        <v>0</v>
      </c>
      <c r="CA182">
        <f>Model!CI215</f>
        <v>0</v>
      </c>
      <c r="CB182">
        <f>Model!CJ215</f>
        <v>0</v>
      </c>
      <c r="CC182">
        <f>Model!CK215</f>
        <v>0</v>
      </c>
      <c r="CD182">
        <f>Model!CL215</f>
        <v>0</v>
      </c>
      <c r="CE182">
        <f>Model!CM215</f>
        <v>0</v>
      </c>
      <c r="CF182">
        <f>Model!CN215</f>
        <v>8.3389999999999986</v>
      </c>
      <c r="CG182">
        <f>Model!CO215</f>
        <v>17.852</v>
      </c>
      <c r="CH182">
        <f>Model!CP215</f>
        <v>22.241000000000003</v>
      </c>
      <c r="CI182">
        <f>Model!CQ215</f>
        <v>12.663</v>
      </c>
      <c r="CJ182">
        <f>Model!CR215</f>
        <v>11.924999999999999</v>
      </c>
      <c r="CK182">
        <f>Model!CS215</f>
        <v>13.39</v>
      </c>
      <c r="CL182">
        <f>Model!CT215</f>
        <v>16.64299999999999</v>
      </c>
      <c r="CM182">
        <f>Model!CU215</f>
        <v>24.055428225806452</v>
      </c>
      <c r="CN182">
        <f>Model!CV215</f>
        <v>35.848272903225798</v>
      </c>
      <c r="CO182">
        <f>Model!CW215</f>
        <v>69.829532006451586</v>
      </c>
      <c r="CP182">
        <f>Model!CX215</f>
        <v>137.45775860677406</v>
      </c>
      <c r="CQ182">
        <f>Model!CY215</f>
        <v>137.45775860677406</v>
      </c>
      <c r="CR182">
        <f>Model!CZ215</f>
        <v>137.45775860677406</v>
      </c>
      <c r="CS182">
        <f>Model!DA215</f>
        <v>137.45775860677406</v>
      </c>
      <c r="CT182">
        <f>Model!DB215</f>
        <v>137.45775860677406</v>
      </c>
      <c r="CU182">
        <f>Model!DC215</f>
        <v>137.45775860677406</v>
      </c>
      <c r="CV182">
        <f>Model!DD215</f>
        <v>137.45775860677406</v>
      </c>
      <c r="CW182">
        <f>Model!DE215</f>
        <v>137.45775860677406</v>
      </c>
      <c r="CX182">
        <f>Model!DF215</f>
        <v>137.45775860677406</v>
      </c>
    </row>
    <row r="183" spans="1:102">
      <c r="A183" t="str">
        <f>Model!I216</f>
        <v>Total Core Domestic Gross Profit</v>
      </c>
      <c r="B183">
        <f>Model!J216</f>
        <v>0</v>
      </c>
      <c r="C183">
        <f>Model!K216</f>
        <v>0</v>
      </c>
      <c r="D183">
        <f>Model!L216</f>
        <v>0</v>
      </c>
      <c r="E183">
        <f>Model!M216</f>
        <v>0</v>
      </c>
      <c r="F183">
        <f>Model!N216</f>
        <v>0</v>
      </c>
      <c r="G183">
        <f>Model!O216</f>
        <v>0</v>
      </c>
      <c r="H183">
        <f>Model!P216</f>
        <v>0</v>
      </c>
      <c r="I183">
        <f>Model!Q216</f>
        <v>0</v>
      </c>
      <c r="J183">
        <f>Model!R216</f>
        <v>0</v>
      </c>
      <c r="K183">
        <f>Model!S216</f>
        <v>0</v>
      </c>
      <c r="L183">
        <f>Model!T216</f>
        <v>0</v>
      </c>
      <c r="M183">
        <f>Model!U216</f>
        <v>0</v>
      </c>
      <c r="N183">
        <f>Model!V216</f>
        <v>0</v>
      </c>
      <c r="O183">
        <f>Model!W216</f>
        <v>0</v>
      </c>
      <c r="P183">
        <f>Model!X216</f>
        <v>0</v>
      </c>
      <c r="Q183">
        <f>Model!Y216</f>
        <v>0</v>
      </c>
      <c r="R183">
        <f>Model!Z216</f>
        <v>0</v>
      </c>
      <c r="S183">
        <f>Model!AA216</f>
        <v>0</v>
      </c>
      <c r="T183">
        <f>Model!AB216</f>
        <v>0</v>
      </c>
      <c r="U183">
        <f>Model!AC216</f>
        <v>0</v>
      </c>
      <c r="V183">
        <f>Model!AD216</f>
        <v>0</v>
      </c>
      <c r="W183">
        <f>Model!AE216</f>
        <v>0</v>
      </c>
      <c r="X183">
        <f>Model!AF216</f>
        <v>0</v>
      </c>
      <c r="Y183">
        <f>Model!AG216</f>
        <v>0</v>
      </c>
      <c r="Z183">
        <f>Model!AH216</f>
        <v>0</v>
      </c>
      <c r="AA183">
        <f>Model!AI216</f>
        <v>0</v>
      </c>
      <c r="AB183">
        <f>Model!AJ216</f>
        <v>0</v>
      </c>
      <c r="AC183">
        <f>Model!AK216</f>
        <v>55.939000000000021</v>
      </c>
      <c r="AD183">
        <f>Model!AL216</f>
        <v>64.492999999999938</v>
      </c>
      <c r="AE183">
        <f>Model!AM216</f>
        <v>70.530999999999977</v>
      </c>
      <c r="AF183">
        <f>Model!AN216</f>
        <v>57.25200000000001</v>
      </c>
      <c r="AG183">
        <f>Model!AO216</f>
        <v>77.303000000000011</v>
      </c>
      <c r="AH183">
        <f>Model!AP216</f>
        <v>89.225000000000023</v>
      </c>
      <c r="AI183">
        <f>Model!AQ216</f>
        <v>92.378000000000043</v>
      </c>
      <c r="AJ183">
        <f>Model!AR216</f>
        <v>77.265000000000001</v>
      </c>
      <c r="AK183">
        <f>Model!AS216</f>
        <v>94.429999999999978</v>
      </c>
      <c r="AL183">
        <f>Model!AT216</f>
        <v>108.63800000000001</v>
      </c>
      <c r="AM183">
        <f>Model!AU216</f>
        <v>118.00599999999997</v>
      </c>
      <c r="AN183">
        <f>Model!AV216</f>
        <v>91.089000000000084</v>
      </c>
      <c r="AO183">
        <f>Model!AW216</f>
        <v>104.11599999999987</v>
      </c>
      <c r="AP183">
        <f>Model!AX216</f>
        <v>123.25499999999994</v>
      </c>
      <c r="AQ183">
        <f>Model!AY216</f>
        <v>136.18799999999987</v>
      </c>
      <c r="AR183">
        <f>Model!AZ216</f>
        <v>104.41300000000007</v>
      </c>
      <c r="AS183">
        <f>Model!BA216</f>
        <v>117.60800000000006</v>
      </c>
      <c r="AT183">
        <f>Model!BB216</f>
        <v>137.12700000000007</v>
      </c>
      <c r="AU183">
        <f>Model!BC216</f>
        <v>148.14800000000014</v>
      </c>
      <c r="AV183">
        <f>Model!BD216</f>
        <v>115.697</v>
      </c>
      <c r="AW183">
        <f>Model!BE216</f>
        <v>126.28800000000001</v>
      </c>
      <c r="AX183">
        <f>Model!BF216</f>
        <v>145.14200000000005</v>
      </c>
      <c r="AY183">
        <f>Model!BG216</f>
        <v>161.50099999999998</v>
      </c>
      <c r="AZ183">
        <f>Model!BH216</f>
        <v>103.75000000000011</v>
      </c>
      <c r="BA183">
        <f>Model!BI216</f>
        <v>115.66499999999996</v>
      </c>
      <c r="BB183">
        <f>Model!BJ216</f>
        <v>155.73902399999997</v>
      </c>
      <c r="BC183">
        <f>Model!BK216</f>
        <v>171.22245499999985</v>
      </c>
      <c r="BD183">
        <f>Model!BL216</f>
        <v>132.55449999999996</v>
      </c>
      <c r="BE183">
        <f>Model!BM216</f>
        <v>130.8427750000003</v>
      </c>
      <c r="BF183">
        <f>Model!BN216</f>
        <v>166.05521049999993</v>
      </c>
      <c r="BG183">
        <f>Model!BO216</f>
        <v>186.50907325000026</v>
      </c>
      <c r="BH183">
        <f>Model!BP216</f>
        <v>127.32652499999995</v>
      </c>
      <c r="BI183">
        <f>Model!BQ216</f>
        <v>138.13238799999999</v>
      </c>
      <c r="BJ183">
        <f>Model!BR216</f>
        <v>155.73231575999989</v>
      </c>
      <c r="BK183">
        <f>Model!BS216</f>
        <v>201.54080203999956</v>
      </c>
      <c r="BL183">
        <f>Model!BT216</f>
        <v>141.32150799999977</v>
      </c>
      <c r="BM183">
        <f>Model!BU216</f>
        <v>169.00113515999965</v>
      </c>
      <c r="BN183">
        <f>Model!BV216</f>
        <v>174.9961578632001</v>
      </c>
      <c r="BO183">
        <f>Model!BW216</f>
        <v>128.25591818280009</v>
      </c>
      <c r="BP183">
        <f>Model!BX216</f>
        <v>123.12420355999984</v>
      </c>
      <c r="BQ183">
        <f>Model!BY216</f>
        <v>171.23769191800011</v>
      </c>
      <c r="BR183">
        <f>Model!BZ216</f>
        <v>184.02906575635961</v>
      </c>
      <c r="BS183">
        <f>Model!CA216</f>
        <v>200.51156409193936</v>
      </c>
      <c r="BT183">
        <f>Model!CB216</f>
        <v>203.21336373799977</v>
      </c>
      <c r="BU183">
        <f>Model!CC216</f>
        <v>176.20782527472022</v>
      </c>
      <c r="BV183">
        <f>Model!CD216</f>
        <v>189.43552445826603</v>
      </c>
      <c r="BW183">
        <f>Model!CE216</f>
        <v>207.2757039818743</v>
      </c>
      <c r="BX183">
        <f>Model!CF216</f>
        <v>211.30009599762423</v>
      </c>
      <c r="BY183">
        <f>Model!CG216</f>
        <v>0</v>
      </c>
      <c r="BZ183">
        <f>Model!CH216</f>
        <v>0</v>
      </c>
      <c r="CA183">
        <f>Model!CI216</f>
        <v>0</v>
      </c>
      <c r="CB183">
        <f>Model!CJ216</f>
        <v>145.54316308052657</v>
      </c>
      <c r="CC183">
        <f>Model!CK216</f>
        <v>191.53480261397297</v>
      </c>
      <c r="CD183">
        <f>Model!CL216</f>
        <v>202.06921675774149</v>
      </c>
      <c r="CE183">
        <f>Model!CM216</f>
        <v>221.87200000000018</v>
      </c>
      <c r="CF183">
        <f>Model!CN216</f>
        <v>252.21499999999969</v>
      </c>
      <c r="CG183">
        <f>Model!CO216</f>
        <v>336.17100000000016</v>
      </c>
      <c r="CH183">
        <f>Model!CP216</f>
        <v>412.1629999999999</v>
      </c>
      <c r="CI183">
        <f>Model!CQ216</f>
        <v>467.97199999999975</v>
      </c>
      <c r="CJ183">
        <f>Model!CR216</f>
        <v>518.58000000000027</v>
      </c>
      <c r="CK183">
        <f>Model!CS216</f>
        <v>536.68100000000015</v>
      </c>
      <c r="CL183">
        <f>Model!CT216</f>
        <v>575.18097899999975</v>
      </c>
      <c r="CM183">
        <f>Model!CU216</f>
        <v>610.73358375000043</v>
      </c>
      <c r="CN183">
        <f>Model!CV216</f>
        <v>636.72701379999921</v>
      </c>
      <c r="CO183">
        <f>Model!CW216</f>
        <v>595.37741476599967</v>
      </c>
      <c r="CP183">
        <f>Model!CX216</f>
        <v>758.99168550429886</v>
      </c>
      <c r="CQ183">
        <f>Model!CY216</f>
        <v>784.21914971248486</v>
      </c>
      <c r="CR183">
        <f>Model!CZ216</f>
        <v>811.34412884214396</v>
      </c>
      <c r="CS183">
        <f>Model!DA216</f>
        <v>832.43088278229743</v>
      </c>
      <c r="CT183">
        <f>Model!DB216</f>
        <v>847.72148864311453</v>
      </c>
      <c r="CU183">
        <f>Model!DC216</f>
        <v>863.45370780063081</v>
      </c>
      <c r="CV183">
        <f>Model!DD216</f>
        <v>879.62279240283203</v>
      </c>
      <c r="CW183">
        <f>Model!DE216</f>
        <v>896.22525765245837</v>
      </c>
      <c r="CX183">
        <f>Model!DF216</f>
        <v>913.25877126692023</v>
      </c>
    </row>
    <row r="184" spans="1:102">
      <c r="A184" t="str">
        <f>Model!I217</f>
        <v>% change Y/Y</v>
      </c>
      <c r="B184">
        <f>Model!J217</f>
        <v>0</v>
      </c>
      <c r="C184">
        <f>Model!K217</f>
        <v>0</v>
      </c>
      <c r="D184">
        <f>Model!L217</f>
        <v>0</v>
      </c>
      <c r="E184">
        <f>Model!M217</f>
        <v>0</v>
      </c>
      <c r="F184">
        <f>Model!N217</f>
        <v>0</v>
      </c>
      <c r="G184">
        <f>Model!O217</f>
        <v>0</v>
      </c>
      <c r="H184">
        <f>Model!P217</f>
        <v>0</v>
      </c>
      <c r="I184">
        <f>Model!Q217</f>
        <v>0</v>
      </c>
      <c r="J184">
        <f>Model!R217</f>
        <v>0</v>
      </c>
      <c r="K184">
        <f>Model!S217</f>
        <v>0</v>
      </c>
      <c r="L184">
        <f>Model!T217</f>
        <v>0</v>
      </c>
      <c r="M184">
        <f>Model!U217</f>
        <v>0</v>
      </c>
      <c r="N184">
        <f>Model!V217</f>
        <v>0</v>
      </c>
      <c r="O184">
        <f>Model!W217</f>
        <v>0</v>
      </c>
      <c r="P184">
        <f>Model!X217</f>
        <v>0</v>
      </c>
      <c r="Q184">
        <f>Model!Y217</f>
        <v>0</v>
      </c>
      <c r="R184">
        <f>Model!Z217</f>
        <v>0</v>
      </c>
      <c r="S184">
        <f>Model!AA217</f>
        <v>0</v>
      </c>
      <c r="T184">
        <f>Model!AB217</f>
        <v>0</v>
      </c>
      <c r="U184">
        <f>Model!AC217</f>
        <v>0</v>
      </c>
      <c r="V184">
        <f>Model!AD217</f>
        <v>0</v>
      </c>
      <c r="W184">
        <f>Model!AE217</f>
        <v>0</v>
      </c>
      <c r="X184">
        <f>Model!AF217</f>
        <v>0</v>
      </c>
      <c r="Y184">
        <f>Model!AG217</f>
        <v>0</v>
      </c>
      <c r="Z184">
        <f>Model!AH217</f>
        <v>0</v>
      </c>
      <c r="AA184">
        <f>Model!AI217</f>
        <v>0</v>
      </c>
      <c r="AB184">
        <f>Model!AJ217</f>
        <v>0</v>
      </c>
      <c r="AC184">
        <f>Model!AK217</f>
        <v>0.11</v>
      </c>
      <c r="AD184">
        <f>Model!AL217</f>
        <v>0.11</v>
      </c>
      <c r="AE184">
        <f>Model!AM217</f>
        <v>0.24</v>
      </c>
      <c r="AF184">
        <f>Model!AN217</f>
        <v>0</v>
      </c>
      <c r="AG184">
        <f>Model!AO217</f>
        <v>0.38191601565991484</v>
      </c>
      <c r="AH184">
        <f>Model!AP217</f>
        <v>0.38348347882716127</v>
      </c>
      <c r="AI184">
        <f>Model!AQ217</f>
        <v>0.30975032255320456</v>
      </c>
      <c r="AJ184">
        <f>Model!AR217</f>
        <v>0.34955984070425461</v>
      </c>
      <c r="AK184">
        <f>Model!AS217</f>
        <v>0.22155673130408871</v>
      </c>
      <c r="AL184">
        <f>Model!AT217</f>
        <v>0.21757355001400924</v>
      </c>
      <c r="AM184">
        <f>Model!AU217</f>
        <v>0.27742536101669146</v>
      </c>
      <c r="AN184">
        <f>Model!AV217</f>
        <v>0.178916715200933</v>
      </c>
      <c r="AO184">
        <f>Model!AW217</f>
        <v>0.10257333474531283</v>
      </c>
      <c r="AP184">
        <f>Model!AX217</f>
        <v>0.13454776413409619</v>
      </c>
      <c r="AQ184">
        <f>Model!AY217</f>
        <v>0.15407691134349033</v>
      </c>
      <c r="AR184">
        <f>Model!AZ217</f>
        <v>0.14627452271953767</v>
      </c>
      <c r="AS184">
        <f>Model!BA217</f>
        <v>0.1295862307426352</v>
      </c>
      <c r="AT184">
        <f>Model!BB217</f>
        <v>0.11254715833029194</v>
      </c>
      <c r="AU184">
        <f>Model!BC217</f>
        <v>8.7819778541430082E-2</v>
      </c>
      <c r="AV184">
        <f>Model!BD217</f>
        <v>0.10807083409153972</v>
      </c>
      <c r="AW184">
        <f>Model!BE217</f>
        <v>7.3804503095027174E-2</v>
      </c>
      <c r="AX184">
        <f>Model!BF217</f>
        <v>5.8449466552903395E-2</v>
      </c>
      <c r="AY184">
        <f>Model!BG217</f>
        <v>9.0132840132838954E-2</v>
      </c>
      <c r="AZ184">
        <f>Model!BH217</f>
        <v>-0.10326110443658776</v>
      </c>
      <c r="BA184">
        <f>Model!BI217</f>
        <v>-8.4117255796275603E-2</v>
      </c>
      <c r="BB184">
        <f>Model!BJ217</f>
        <v>7.3011423295806344E-2</v>
      </c>
      <c r="BC184">
        <f>Model!BK217</f>
        <v>6.0194395081144325E-2</v>
      </c>
      <c r="BD184">
        <f>Model!BL217</f>
        <v>0.27763373493975729</v>
      </c>
      <c r="BE184">
        <f>Model!BM217</f>
        <v>0.13122184757705746</v>
      </c>
      <c r="BF184">
        <f>Model!BN217</f>
        <v>6.6240215426031979E-2</v>
      </c>
      <c r="BG184">
        <f>Model!BO217</f>
        <v>8.9279284367230982E-2</v>
      </c>
      <c r="BH184">
        <f>Model!BP217</f>
        <v>-3.9440192524584305E-2</v>
      </c>
      <c r="BI184">
        <f>Model!BQ217</f>
        <v>5.571276671562253E-2</v>
      </c>
      <c r="BJ184">
        <f>Model!BR217</f>
        <v>-6.216543707913369E-2</v>
      </c>
      <c r="BK184">
        <f>Model!BS217</f>
        <v>8.0595161018523154E-2</v>
      </c>
      <c r="BL184">
        <f>Model!BT217</f>
        <v>0.10991412040813819</v>
      </c>
      <c r="BM184">
        <f>Model!BU217</f>
        <v>0.22347218930291457</v>
      </c>
      <c r="BN184">
        <f>Model!BV217</f>
        <v>0.12369842449968993</v>
      </c>
      <c r="BO184">
        <f>Model!BW217</f>
        <v>-0.3636230634958707</v>
      </c>
      <c r="BP184">
        <f>Model!BX217</f>
        <v>-0.12876528631438011</v>
      </c>
      <c r="BQ184">
        <f>Model!BY217</f>
        <v>1.3233974765217038E-2</v>
      </c>
      <c r="BR184">
        <f>Model!BZ217</f>
        <v>5.1617749803517521E-2</v>
      </c>
      <c r="BS184">
        <f>Model!CA217</f>
        <v>0.56337085206590642</v>
      </c>
      <c r="BT184">
        <f>Model!CB217</f>
        <v>0.65047454409702277</v>
      </c>
      <c r="BU184">
        <f>Model!CC217</f>
        <v>2.9024762603668597E-2</v>
      </c>
      <c r="BV184">
        <f>Model!CD217</f>
        <v>2.9378286955301647E-2</v>
      </c>
      <c r="BW184">
        <f>Model!CE217</f>
        <v>3.3734412878218878E-2</v>
      </c>
      <c r="BX184">
        <f>Model!CF217</f>
        <v>3.9794293597986918E-2</v>
      </c>
      <c r="BY184">
        <f>Model!CG217</f>
        <v>0</v>
      </c>
      <c r="BZ184">
        <f>Model!CH217</f>
        <v>0</v>
      </c>
      <c r="CA184">
        <f>Model!CI217</f>
        <v>0</v>
      </c>
      <c r="CB184">
        <f>Model!CJ217</f>
        <v>0</v>
      </c>
      <c r="CC184">
        <f>Model!CK217</f>
        <v>0.316</v>
      </c>
      <c r="CD184">
        <f>Model!CL217</f>
        <v>5.5E-2</v>
      </c>
      <c r="CE184">
        <f>Model!CM217</f>
        <v>9.8000000000000004E-2</v>
      </c>
      <c r="CF184">
        <f>Model!CN217</f>
        <v>0</v>
      </c>
      <c r="CG184">
        <f>Model!CO217</f>
        <v>0.33287472989314892</v>
      </c>
      <c r="CH184">
        <f>Model!CP217</f>
        <v>0.22605162253733879</v>
      </c>
      <c r="CI184">
        <f>Model!CQ217</f>
        <v>0.13540516737310204</v>
      </c>
      <c r="CJ184">
        <f>Model!CR217</f>
        <v>0.10814322224406703</v>
      </c>
      <c r="CK184">
        <f>Model!CS217</f>
        <v>3.4904932700836611E-2</v>
      </c>
      <c r="CL184">
        <f>Model!CT217</f>
        <v>7.1737175342521109E-2</v>
      </c>
      <c r="CM184">
        <f>Model!CU217</f>
        <v>6.1811162135110731E-2</v>
      </c>
      <c r="CN184">
        <f>Model!CV217</f>
        <v>4.256099671217517E-2</v>
      </c>
      <c r="CO184">
        <f>Model!CW217</f>
        <v>-6.4940858700535342E-2</v>
      </c>
      <c r="CP184">
        <f>Model!CX217</f>
        <v>0.27480765423828557</v>
      </c>
      <c r="CQ184">
        <f>Model!CY217</f>
        <v>3.3238129863601973E-2</v>
      </c>
      <c r="CR184">
        <f>Model!CZ217</f>
        <v>3.4588519216348868E-2</v>
      </c>
      <c r="CS184">
        <f>Model!DA217</f>
        <v>2.5989901437070806E-2</v>
      </c>
      <c r="CT184">
        <f>Model!DB217</f>
        <v>1.8368619157557164E-2</v>
      </c>
      <c r="CU184">
        <f>Model!DC217</f>
        <v>1.8558240375264878E-2</v>
      </c>
      <c r="CV184">
        <f>Model!DD217</f>
        <v>1.8726058451224548E-2</v>
      </c>
      <c r="CW184">
        <f>Model!DE217</f>
        <v>1.8874528255769851E-2</v>
      </c>
      <c r="CX184">
        <f>Model!DF217</f>
        <v>1.9005839736182972E-2</v>
      </c>
    </row>
    <row r="185" spans="1:102">
      <c r="A185" t="str">
        <f>Model!I218</f>
        <v xml:space="preserve">Two Year Growth </v>
      </c>
      <c r="B185">
        <f>Model!J218</f>
        <v>0</v>
      </c>
      <c r="C185">
        <f>Model!K218</f>
        <v>0</v>
      </c>
      <c r="D185">
        <f>Model!L218</f>
        <v>0</v>
      </c>
      <c r="E185">
        <f>Model!M218</f>
        <v>0</v>
      </c>
      <c r="F185">
        <f>Model!N218</f>
        <v>0</v>
      </c>
      <c r="G185">
        <f>Model!O218</f>
        <v>0</v>
      </c>
      <c r="H185">
        <f>Model!P218</f>
        <v>0</v>
      </c>
      <c r="I185">
        <f>Model!Q218</f>
        <v>0</v>
      </c>
      <c r="J185">
        <f>Model!R218</f>
        <v>0</v>
      </c>
      <c r="K185">
        <f>Model!S218</f>
        <v>0</v>
      </c>
      <c r="L185">
        <f>Model!T218</f>
        <v>0</v>
      </c>
      <c r="M185">
        <f>Model!U218</f>
        <v>0</v>
      </c>
      <c r="N185">
        <f>Model!V218</f>
        <v>0</v>
      </c>
      <c r="O185">
        <f>Model!W218</f>
        <v>0</v>
      </c>
      <c r="P185">
        <f>Model!X218</f>
        <v>0</v>
      </c>
      <c r="Q185">
        <f>Model!Y218</f>
        <v>0</v>
      </c>
      <c r="R185">
        <f>Model!Z218</f>
        <v>0</v>
      </c>
      <c r="S185">
        <f>Model!AA218</f>
        <v>0</v>
      </c>
      <c r="T185">
        <f>Model!AB218</f>
        <v>0</v>
      </c>
      <c r="U185">
        <f>Model!AC218</f>
        <v>0</v>
      </c>
      <c r="V185">
        <f>Model!AD218</f>
        <v>0</v>
      </c>
      <c r="W185">
        <f>Model!AE218</f>
        <v>0</v>
      </c>
      <c r="X185">
        <f>Model!AF218</f>
        <v>0</v>
      </c>
      <c r="Y185">
        <f>Model!AG218</f>
        <v>0</v>
      </c>
      <c r="Z185">
        <f>Model!AH218</f>
        <v>0</v>
      </c>
      <c r="AA185">
        <f>Model!AI218</f>
        <v>0</v>
      </c>
      <c r="AB185">
        <f>Model!AJ218</f>
        <v>0</v>
      </c>
      <c r="AC185">
        <f>Model!AK218</f>
        <v>0.11</v>
      </c>
      <c r="AD185">
        <f>Model!AL218</f>
        <v>0.11</v>
      </c>
      <c r="AE185">
        <f>Model!AM218</f>
        <v>0.24</v>
      </c>
      <c r="AF185">
        <f>Model!AN218</f>
        <v>0</v>
      </c>
      <c r="AG185">
        <f>Model!AO218</f>
        <v>0.49191601565991483</v>
      </c>
      <c r="AH185">
        <f>Model!AP218</f>
        <v>0.49348347882716126</v>
      </c>
      <c r="AI185">
        <f>Model!AQ218</f>
        <v>0.54975032255320455</v>
      </c>
      <c r="AJ185">
        <f>Model!AR218</f>
        <v>0.34955984070425461</v>
      </c>
      <c r="AK185">
        <f>Model!AS218</f>
        <v>0.60347274696400355</v>
      </c>
      <c r="AL185">
        <f>Model!AT218</f>
        <v>0.60105702884117052</v>
      </c>
      <c r="AM185">
        <f>Model!AU218</f>
        <v>0.58717568356989602</v>
      </c>
      <c r="AN185">
        <f>Model!AV218</f>
        <v>0.52847655590518761</v>
      </c>
      <c r="AO185">
        <f>Model!AW218</f>
        <v>0.32413006604940153</v>
      </c>
      <c r="AP185">
        <f>Model!AX218</f>
        <v>0.35212131414810544</v>
      </c>
      <c r="AQ185">
        <f>Model!AY218</f>
        <v>0.43150227236018179</v>
      </c>
      <c r="AR185">
        <f>Model!AZ218</f>
        <v>0.32519123792047067</v>
      </c>
      <c r="AS185">
        <f>Model!BA218</f>
        <v>0.23215956548794803</v>
      </c>
      <c r="AT185">
        <f>Model!BB218</f>
        <v>0.24709492246438813</v>
      </c>
      <c r="AU185">
        <f>Model!BC218</f>
        <v>0.24189668988492041</v>
      </c>
      <c r="AV185">
        <f>Model!BD218</f>
        <v>0.25434535681107739</v>
      </c>
      <c r="AW185">
        <f>Model!BE218</f>
        <v>0.20339073383766237</v>
      </c>
      <c r="AX185">
        <f>Model!BF218</f>
        <v>0.17099662488319534</v>
      </c>
      <c r="AY185">
        <f>Model!BG218</f>
        <v>0.17795261867426904</v>
      </c>
      <c r="AZ185">
        <f>Model!BH218</f>
        <v>4.8097296549519664E-3</v>
      </c>
      <c r="BA185">
        <f>Model!BI218</f>
        <v>-1.0312752701248429E-2</v>
      </c>
      <c r="BB185">
        <f>Model!BJ218</f>
        <v>0.13146088984870974</v>
      </c>
      <c r="BC185">
        <f>Model!BK218</f>
        <v>0.15032723521398328</v>
      </c>
      <c r="BD185">
        <f>Model!BL218</f>
        <v>0.17437263050316953</v>
      </c>
      <c r="BE185">
        <f>Model!BM218</f>
        <v>4.7104591780781857E-2</v>
      </c>
      <c r="BF185">
        <f>Model!BN218</f>
        <v>0.13925163872183832</v>
      </c>
      <c r="BG185">
        <f>Model!BO218</f>
        <v>0.14947367944837531</v>
      </c>
      <c r="BH185">
        <f>Model!BP218</f>
        <v>0.23819354241517299</v>
      </c>
      <c r="BI185">
        <f>Model!BQ218</f>
        <v>0.18693461429267999</v>
      </c>
      <c r="BJ185">
        <f>Model!BR218</f>
        <v>4.074778346898289E-3</v>
      </c>
      <c r="BK185">
        <f>Model!BS218</f>
        <v>0.16987444538575414</v>
      </c>
      <c r="BL185">
        <f>Model!BT218</f>
        <v>7.0473927883553888E-2</v>
      </c>
      <c r="BM185">
        <f>Model!BU218</f>
        <v>0.2791849560185371</v>
      </c>
      <c r="BN185">
        <f>Model!BV218</f>
        <v>6.153298742055624E-2</v>
      </c>
      <c r="BO185">
        <f>Model!BW218</f>
        <v>-0.28302790247734755</v>
      </c>
      <c r="BP185">
        <f>Model!BX218</f>
        <v>-1.8851165906241918E-2</v>
      </c>
      <c r="BQ185">
        <f>Model!BY218</f>
        <v>0.23670616406813161</v>
      </c>
      <c r="BR185">
        <f>Model!BZ218</f>
        <v>0.17531617430320745</v>
      </c>
      <c r="BS185">
        <f>Model!CA218</f>
        <v>0.19974778857003572</v>
      </c>
      <c r="BT185">
        <f>Model!CB218</f>
        <v>0.52170925778264265</v>
      </c>
      <c r="BU185">
        <f>Model!CC218</f>
        <v>4.2258737368885635E-2</v>
      </c>
      <c r="BV185">
        <f>Model!CD218</f>
        <v>8.0996036758819168E-2</v>
      </c>
      <c r="BW185">
        <f>Model!CE218</f>
        <v>0.5971052649441253</v>
      </c>
      <c r="BX185">
        <f>Model!CF218</f>
        <v>0.69026883769500968</v>
      </c>
      <c r="BY185">
        <f>Model!CG218</f>
        <v>0</v>
      </c>
      <c r="BZ185">
        <f>Model!CH218</f>
        <v>0</v>
      </c>
      <c r="CA185">
        <f>Model!CI218</f>
        <v>0</v>
      </c>
      <c r="CB185">
        <f>Model!CJ218</f>
        <v>0</v>
      </c>
      <c r="CC185">
        <f>Model!CK218</f>
        <v>0.316</v>
      </c>
      <c r="CD185">
        <f>Model!CL218</f>
        <v>0.371</v>
      </c>
      <c r="CE185">
        <f>Model!CM218</f>
        <v>0.153</v>
      </c>
      <c r="CF185">
        <f>Model!CN218</f>
        <v>9.8000000000000004E-2</v>
      </c>
      <c r="CG185">
        <f>Model!CO218</f>
        <v>0.33287472989314892</v>
      </c>
      <c r="CH185">
        <f>Model!CP218</f>
        <v>0.55892635243048772</v>
      </c>
      <c r="CI185">
        <f>Model!CQ218</f>
        <v>0.36145678991044083</v>
      </c>
      <c r="CJ185">
        <f>Model!CR218</f>
        <v>0.24354838961716907</v>
      </c>
      <c r="CK185">
        <f>Model!CS218</f>
        <v>0.14304815494490364</v>
      </c>
      <c r="CL185">
        <f>Model!CT218</f>
        <v>0.10664210804335772</v>
      </c>
      <c r="CM185">
        <f>Model!CU218</f>
        <v>0.13354833747763184</v>
      </c>
      <c r="CN185">
        <f>Model!CV218</f>
        <v>0.1043721588472859</v>
      </c>
      <c r="CO185">
        <f>Model!CW218</f>
        <v>-2.2379861988360172E-2</v>
      </c>
      <c r="CP185">
        <f>Model!CX218</f>
        <v>0.20986679553775023</v>
      </c>
      <c r="CQ185">
        <f>Model!CY218</f>
        <v>0.30804578410188754</v>
      </c>
      <c r="CR185">
        <f>Model!CZ218</f>
        <v>6.782664907995084E-2</v>
      </c>
      <c r="CS185">
        <f>Model!DA218</f>
        <v>6.0578420653419673E-2</v>
      </c>
      <c r="CT185">
        <f>Model!DB218</f>
        <v>4.435852059462797E-2</v>
      </c>
      <c r="CU185">
        <f>Model!DC218</f>
        <v>3.6926859532822043E-2</v>
      </c>
      <c r="CV185">
        <f>Model!DD218</f>
        <v>3.7284298826489426E-2</v>
      </c>
      <c r="CW185">
        <f>Model!DE218</f>
        <v>3.7600586706994399E-2</v>
      </c>
      <c r="CX185">
        <f>Model!DF218</f>
        <v>3.7880367991952824E-2</v>
      </c>
    </row>
    <row r="186" spans="1:102">
      <c r="A186">
        <f>Model!I219</f>
        <v>0</v>
      </c>
      <c r="B186">
        <f>Model!J219</f>
        <v>0</v>
      </c>
      <c r="C186">
        <f>Model!K219</f>
        <v>0</v>
      </c>
      <c r="D186">
        <f>Model!L219</f>
        <v>0</v>
      </c>
      <c r="E186">
        <f>Model!M219</f>
        <v>0</v>
      </c>
      <c r="F186">
        <f>Model!N219</f>
        <v>0</v>
      </c>
      <c r="G186">
        <f>Model!O219</f>
        <v>0</v>
      </c>
      <c r="H186">
        <f>Model!P219</f>
        <v>0</v>
      </c>
      <c r="I186">
        <f>Model!Q219</f>
        <v>0</v>
      </c>
      <c r="J186">
        <f>Model!R219</f>
        <v>0</v>
      </c>
      <c r="K186">
        <f>Model!S219</f>
        <v>0</v>
      </c>
      <c r="L186">
        <f>Model!T219</f>
        <v>0</v>
      </c>
      <c r="M186">
        <f>Model!U219</f>
        <v>0</v>
      </c>
      <c r="N186">
        <f>Model!V219</f>
        <v>0</v>
      </c>
      <c r="O186">
        <f>Model!W219</f>
        <v>0</v>
      </c>
      <c r="P186">
        <f>Model!X219</f>
        <v>0</v>
      </c>
      <c r="Q186">
        <f>Model!Y219</f>
        <v>0</v>
      </c>
      <c r="R186">
        <f>Model!Z219</f>
        <v>0</v>
      </c>
      <c r="S186">
        <f>Model!AA219</f>
        <v>0</v>
      </c>
      <c r="T186">
        <f>Model!AB219</f>
        <v>0</v>
      </c>
      <c r="U186">
        <f>Model!AC219</f>
        <v>0</v>
      </c>
      <c r="V186">
        <f>Model!AD219</f>
        <v>0</v>
      </c>
      <c r="W186">
        <f>Model!AE219</f>
        <v>0</v>
      </c>
      <c r="X186">
        <f>Model!AF219</f>
        <v>0</v>
      </c>
      <c r="Y186">
        <f>Model!AG219</f>
        <v>0</v>
      </c>
      <c r="Z186">
        <f>Model!AH219</f>
        <v>0</v>
      </c>
      <c r="AA186">
        <f>Model!AI219</f>
        <v>0</v>
      </c>
      <c r="AB186">
        <f>Model!AJ219</f>
        <v>0</v>
      </c>
      <c r="AC186">
        <f>Model!AK219</f>
        <v>0</v>
      </c>
      <c r="AD186">
        <f>Model!AL219</f>
        <v>0</v>
      </c>
      <c r="AE186">
        <f>Model!AM219</f>
        <v>0</v>
      </c>
      <c r="AF186">
        <f>Model!AN219</f>
        <v>0</v>
      </c>
      <c r="AG186">
        <f>Model!AO219</f>
        <v>0</v>
      </c>
      <c r="AH186">
        <f>Model!AP219</f>
        <v>0</v>
      </c>
      <c r="AI186">
        <f>Model!AQ219</f>
        <v>0</v>
      </c>
      <c r="AJ186">
        <f>Model!AR219</f>
        <v>0</v>
      </c>
      <c r="AK186">
        <f>Model!AS219</f>
        <v>0</v>
      </c>
      <c r="AL186">
        <f>Model!AT219</f>
        <v>0</v>
      </c>
      <c r="AM186">
        <f>Model!AU219</f>
        <v>0</v>
      </c>
      <c r="AN186">
        <f>Model!AV219</f>
        <v>0</v>
      </c>
      <c r="AO186">
        <f>Model!AW219</f>
        <v>0</v>
      </c>
      <c r="AP186">
        <f>Model!AX219</f>
        <v>0</v>
      </c>
      <c r="AQ186">
        <f>Model!AY219</f>
        <v>0</v>
      </c>
      <c r="AR186">
        <f>Model!AZ219</f>
        <v>0</v>
      </c>
      <c r="AS186">
        <f>Model!BA219</f>
        <v>0</v>
      </c>
      <c r="AT186">
        <f>Model!BB219</f>
        <v>0</v>
      </c>
      <c r="AU186">
        <f>Model!BC219</f>
        <v>0</v>
      </c>
      <c r="AV186">
        <f>Model!BD219</f>
        <v>0</v>
      </c>
      <c r="AW186">
        <f>Model!BE219</f>
        <v>0</v>
      </c>
      <c r="AX186">
        <f>Model!BF219</f>
        <v>0</v>
      </c>
      <c r="AY186">
        <f>Model!BG219</f>
        <v>0</v>
      </c>
      <c r="AZ186">
        <f>Model!BH219</f>
        <v>0</v>
      </c>
      <c r="BA186">
        <f>Model!BI219</f>
        <v>0</v>
      </c>
      <c r="BB186">
        <f>Model!BJ219</f>
        <v>0</v>
      </c>
      <c r="BC186">
        <f>Model!BK219</f>
        <v>0</v>
      </c>
      <c r="BD186">
        <f>Model!BL219</f>
        <v>0</v>
      </c>
      <c r="BE186">
        <f>Model!BM219</f>
        <v>0</v>
      </c>
      <c r="BF186">
        <f>Model!BN219</f>
        <v>0</v>
      </c>
      <c r="BG186">
        <f>Model!BO219</f>
        <v>0</v>
      </c>
      <c r="BH186">
        <f>Model!BP219</f>
        <v>0</v>
      </c>
      <c r="BI186">
        <f>Model!BQ219</f>
        <v>0</v>
      </c>
      <c r="BJ186">
        <f>Model!BR219</f>
        <v>0</v>
      </c>
      <c r="BK186">
        <f>Model!BS219</f>
        <v>0</v>
      </c>
      <c r="BL186">
        <f>Model!BT219</f>
        <v>0</v>
      </c>
      <c r="BM186">
        <f>Model!BU219</f>
        <v>0</v>
      </c>
      <c r="BN186">
        <f>Model!BV219</f>
        <v>0</v>
      </c>
      <c r="BO186">
        <f>Model!BW219</f>
        <v>0</v>
      </c>
      <c r="BP186">
        <f>Model!BX219</f>
        <v>0</v>
      </c>
      <c r="BQ186">
        <f>Model!BY219</f>
        <v>0</v>
      </c>
      <c r="BR186">
        <f>Model!BZ219</f>
        <v>0</v>
      </c>
      <c r="BS186">
        <f>Model!CA219</f>
        <v>0</v>
      </c>
      <c r="BT186">
        <f>Model!CB219</f>
        <v>0</v>
      </c>
      <c r="BU186">
        <f>Model!CC219</f>
        <v>0</v>
      </c>
      <c r="BV186">
        <f>Model!CD219</f>
        <v>0</v>
      </c>
      <c r="BW186">
        <f>Model!CE219</f>
        <v>0</v>
      </c>
      <c r="BX186">
        <f>Model!CF219</f>
        <v>0</v>
      </c>
      <c r="BY186">
        <f>Model!CG219</f>
        <v>0</v>
      </c>
      <c r="BZ186">
        <f>Model!CH219</f>
        <v>0</v>
      </c>
      <c r="CA186">
        <f>Model!CI219</f>
        <v>0</v>
      </c>
      <c r="CB186">
        <f>Model!CJ219</f>
        <v>0</v>
      </c>
      <c r="CC186">
        <f>Model!CK219</f>
        <v>0</v>
      </c>
      <c r="CD186">
        <f>Model!CL219</f>
        <v>0</v>
      </c>
      <c r="CE186">
        <f>Model!CM219</f>
        <v>0</v>
      </c>
      <c r="CF186">
        <f>Model!CN219</f>
        <v>0</v>
      </c>
      <c r="CG186">
        <f>Model!CO219</f>
        <v>0</v>
      </c>
      <c r="CH186">
        <f>Model!CP219</f>
        <v>0</v>
      </c>
      <c r="CI186">
        <f>Model!CQ219</f>
        <v>0</v>
      </c>
      <c r="CJ186">
        <f>Model!CR219</f>
        <v>0</v>
      </c>
      <c r="CK186">
        <f>Model!CS219</f>
        <v>0</v>
      </c>
      <c r="CL186">
        <f>Model!CT219</f>
        <v>0</v>
      </c>
      <c r="CM186">
        <f>Model!CU219</f>
        <v>0</v>
      </c>
      <c r="CN186">
        <f>Model!CV219</f>
        <v>0</v>
      </c>
      <c r="CO186">
        <f>Model!CW219</f>
        <v>0</v>
      </c>
      <c r="CP186">
        <f>Model!CX219</f>
        <v>0</v>
      </c>
      <c r="CQ186">
        <f>Model!CY219</f>
        <v>0</v>
      </c>
      <c r="CR186">
        <f>Model!CZ219</f>
        <v>0</v>
      </c>
      <c r="CS186">
        <f>Model!DA219</f>
        <v>0</v>
      </c>
      <c r="CT186">
        <f>Model!DB219</f>
        <v>0</v>
      </c>
      <c r="CU186">
        <f>Model!DC219</f>
        <v>0</v>
      </c>
      <c r="CV186">
        <f>Model!DD219</f>
        <v>0</v>
      </c>
      <c r="CW186">
        <f>Model!DE219</f>
        <v>0</v>
      </c>
      <c r="CX186">
        <f>Model!DF219</f>
        <v>0</v>
      </c>
    </row>
    <row r="187" spans="1:102">
      <c r="A187">
        <f>Model!I220</f>
        <v>0</v>
      </c>
      <c r="B187">
        <f>Model!J220</f>
        <v>0</v>
      </c>
      <c r="C187">
        <f>Model!K220</f>
        <v>0</v>
      </c>
      <c r="D187">
        <f>Model!L220</f>
        <v>0</v>
      </c>
      <c r="E187">
        <f>Model!M220</f>
        <v>0</v>
      </c>
      <c r="F187">
        <f>Model!N220</f>
        <v>0</v>
      </c>
      <c r="G187">
        <f>Model!O220</f>
        <v>0</v>
      </c>
      <c r="H187">
        <f>Model!P220</f>
        <v>0</v>
      </c>
      <c r="I187">
        <f>Model!Q220</f>
        <v>0</v>
      </c>
      <c r="J187">
        <f>Model!R220</f>
        <v>0</v>
      </c>
      <c r="K187">
        <f>Model!S220</f>
        <v>0</v>
      </c>
      <c r="L187">
        <f>Model!T220</f>
        <v>0</v>
      </c>
      <c r="M187">
        <f>Model!U220</f>
        <v>0</v>
      </c>
      <c r="N187">
        <f>Model!V220</f>
        <v>0</v>
      </c>
      <c r="O187">
        <f>Model!W220</f>
        <v>0</v>
      </c>
      <c r="P187">
        <f>Model!X220</f>
        <v>0</v>
      </c>
      <c r="Q187">
        <f>Model!Y220</f>
        <v>0</v>
      </c>
      <c r="R187">
        <f>Model!Z220</f>
        <v>0</v>
      </c>
      <c r="S187">
        <f>Model!AA220</f>
        <v>0</v>
      </c>
      <c r="T187">
        <f>Model!AB220</f>
        <v>0</v>
      </c>
      <c r="U187">
        <f>Model!AC220</f>
        <v>0</v>
      </c>
      <c r="V187">
        <f>Model!AD220</f>
        <v>0</v>
      </c>
      <c r="W187">
        <f>Model!AE220</f>
        <v>0</v>
      </c>
      <c r="X187">
        <f>Model!AF220</f>
        <v>0</v>
      </c>
      <c r="Y187">
        <f>Model!AG220</f>
        <v>0</v>
      </c>
      <c r="Z187">
        <f>Model!AH220</f>
        <v>0</v>
      </c>
      <c r="AA187">
        <f>Model!AI220</f>
        <v>0</v>
      </c>
      <c r="AB187">
        <f>Model!AJ220</f>
        <v>0</v>
      </c>
      <c r="AC187">
        <f>Model!AK220</f>
        <v>0</v>
      </c>
      <c r="AD187">
        <f>Model!AL220</f>
        <v>0</v>
      </c>
      <c r="AE187">
        <f>Model!AM220</f>
        <v>0</v>
      </c>
      <c r="AF187">
        <f>Model!AN220</f>
        <v>0</v>
      </c>
      <c r="AG187">
        <f>Model!AO220</f>
        <v>0</v>
      </c>
      <c r="AH187">
        <f>Model!AP220</f>
        <v>0</v>
      </c>
      <c r="AI187">
        <f>Model!AQ220</f>
        <v>0</v>
      </c>
      <c r="AJ187">
        <f>Model!AR220</f>
        <v>0</v>
      </c>
      <c r="AK187">
        <f>Model!AS220</f>
        <v>0</v>
      </c>
      <c r="AL187">
        <f>Model!AT220</f>
        <v>0</v>
      </c>
      <c r="AM187">
        <f>Model!AU220</f>
        <v>0</v>
      </c>
      <c r="AN187">
        <f>Model!AV220</f>
        <v>0</v>
      </c>
      <c r="AO187">
        <f>Model!AW220</f>
        <v>0</v>
      </c>
      <c r="AP187">
        <f>Model!AX220</f>
        <v>0</v>
      </c>
      <c r="AQ187">
        <f>Model!AY220</f>
        <v>0</v>
      </c>
      <c r="AR187">
        <f>Model!AZ220</f>
        <v>0</v>
      </c>
      <c r="AS187">
        <f>Model!BA220</f>
        <v>0</v>
      </c>
      <c r="AT187">
        <f>Model!BB220</f>
        <v>0</v>
      </c>
      <c r="AU187">
        <f>Model!BC220</f>
        <v>0</v>
      </c>
      <c r="AV187">
        <f>Model!BD220</f>
        <v>0</v>
      </c>
      <c r="AW187">
        <f>Model!BE220</f>
        <v>0</v>
      </c>
      <c r="AX187">
        <f>Model!BF220</f>
        <v>0</v>
      </c>
      <c r="AY187">
        <f>Model!BG220</f>
        <v>0</v>
      </c>
      <c r="AZ187">
        <f>Model!BH220</f>
        <v>0</v>
      </c>
      <c r="BA187">
        <f>Model!BI220</f>
        <v>0</v>
      </c>
      <c r="BB187">
        <f>Model!BJ220</f>
        <v>0</v>
      </c>
      <c r="BC187">
        <f>Model!BK220</f>
        <v>0</v>
      </c>
      <c r="BD187">
        <f>Model!BL220</f>
        <v>0</v>
      </c>
      <c r="BE187">
        <f>Model!BM220</f>
        <v>0</v>
      </c>
      <c r="BF187">
        <f>Model!BN220</f>
        <v>0</v>
      </c>
      <c r="BG187">
        <f>Model!BO220</f>
        <v>0</v>
      </c>
      <c r="BH187">
        <f>Model!BP220</f>
        <v>0</v>
      </c>
      <c r="BI187">
        <f>Model!BQ220</f>
        <v>0</v>
      </c>
      <c r="BJ187">
        <f>Model!BR220</f>
        <v>0</v>
      </c>
      <c r="BK187">
        <f>Model!BS220</f>
        <v>0</v>
      </c>
      <c r="BL187">
        <f>Model!BT220</f>
        <v>0</v>
      </c>
      <c r="BM187">
        <f>Model!BU220</f>
        <v>0</v>
      </c>
      <c r="BN187">
        <f>Model!BV220</f>
        <v>0</v>
      </c>
      <c r="BO187">
        <f>Model!BW220</f>
        <v>0</v>
      </c>
      <c r="BP187">
        <f>Model!BX220</f>
        <v>0</v>
      </c>
      <c r="BQ187">
        <f>Model!BY220</f>
        <v>0</v>
      </c>
      <c r="BR187">
        <f>Model!BZ220</f>
        <v>0</v>
      </c>
      <c r="BS187">
        <f>Model!CA220</f>
        <v>0</v>
      </c>
      <c r="BT187">
        <f>Model!CB220</f>
        <v>0</v>
      </c>
      <c r="BU187">
        <f>Model!CC220</f>
        <v>0</v>
      </c>
      <c r="BV187">
        <f>Model!CD220</f>
        <v>0</v>
      </c>
      <c r="BW187">
        <f>Model!CE220</f>
        <v>0</v>
      </c>
      <c r="BX187">
        <f>Model!CF220</f>
        <v>0</v>
      </c>
      <c r="BY187">
        <f>Model!CG220</f>
        <v>0</v>
      </c>
      <c r="BZ187">
        <f>Model!CH220</f>
        <v>0</v>
      </c>
      <c r="CA187">
        <f>Model!CI220</f>
        <v>0</v>
      </c>
      <c r="CB187">
        <f>Model!CJ220</f>
        <v>0</v>
      </c>
      <c r="CC187">
        <f>Model!CK220</f>
        <v>0</v>
      </c>
      <c r="CD187">
        <f>Model!CL220</f>
        <v>0</v>
      </c>
      <c r="CE187">
        <f>Model!CM220</f>
        <v>0</v>
      </c>
      <c r="CF187">
        <f>Model!CN220</f>
        <v>0</v>
      </c>
      <c r="CG187">
        <f>Model!CO220</f>
        <v>0</v>
      </c>
      <c r="CH187">
        <f>Model!CP220</f>
        <v>0</v>
      </c>
      <c r="CI187">
        <f>Model!CQ220</f>
        <v>0</v>
      </c>
      <c r="CJ187">
        <f>Model!CR220</f>
        <v>0</v>
      </c>
      <c r="CK187">
        <f>Model!CS220</f>
        <v>0</v>
      </c>
      <c r="CL187">
        <f>Model!CT220</f>
        <v>0</v>
      </c>
      <c r="CM187">
        <f>Model!CU220</f>
        <v>0</v>
      </c>
      <c r="CN187">
        <f>Model!CV220</f>
        <v>0</v>
      </c>
      <c r="CO187">
        <f>Model!CW220</f>
        <v>0</v>
      </c>
      <c r="CP187">
        <f>Model!CX220</f>
        <v>0</v>
      </c>
      <c r="CQ187">
        <f>Model!CY220</f>
        <v>0</v>
      </c>
      <c r="CR187">
        <f>Model!CZ220</f>
        <v>0</v>
      </c>
      <c r="CS187">
        <f>Model!DA220</f>
        <v>0</v>
      </c>
      <c r="CT187">
        <f>Model!DB220</f>
        <v>0</v>
      </c>
      <c r="CU187">
        <f>Model!DC220</f>
        <v>0</v>
      </c>
      <c r="CV187">
        <f>Model!DD220</f>
        <v>0</v>
      </c>
      <c r="CW187">
        <f>Model!DE220</f>
        <v>0</v>
      </c>
      <c r="CX187">
        <f>Model!DF220</f>
        <v>0</v>
      </c>
    </row>
    <row r="188" spans="1:102">
      <c r="A188" t="str">
        <f>Model!I221</f>
        <v>Domestic Gross Profit Driver</v>
      </c>
      <c r="B188">
        <f>Model!J221</f>
        <v>0</v>
      </c>
      <c r="C188">
        <f>Model!K221</f>
        <v>0</v>
      </c>
      <c r="D188">
        <f>Model!L221</f>
        <v>0</v>
      </c>
      <c r="E188">
        <f>Model!M221</f>
        <v>0</v>
      </c>
      <c r="F188">
        <f>Model!N221</f>
        <v>0</v>
      </c>
      <c r="G188">
        <f>Model!O221</f>
        <v>0</v>
      </c>
      <c r="H188">
        <f>Model!P221</f>
        <v>0</v>
      </c>
      <c r="I188">
        <f>Model!Q221</f>
        <v>0</v>
      </c>
      <c r="J188">
        <f>Model!R221</f>
        <v>0</v>
      </c>
      <c r="K188">
        <f>Model!S221</f>
        <v>0</v>
      </c>
      <c r="L188">
        <f>Model!T221</f>
        <v>0</v>
      </c>
      <c r="M188">
        <f>Model!U221</f>
        <v>0</v>
      </c>
      <c r="N188">
        <f>Model!V221</f>
        <v>0</v>
      </c>
      <c r="O188">
        <f>Model!W221</f>
        <v>0</v>
      </c>
      <c r="P188">
        <f>Model!X221</f>
        <v>0</v>
      </c>
      <c r="Q188">
        <f>Model!Y221</f>
        <v>0</v>
      </c>
      <c r="R188">
        <f>Model!Z221</f>
        <v>0</v>
      </c>
      <c r="S188">
        <f>Model!AA221</f>
        <v>0</v>
      </c>
      <c r="T188">
        <f>Model!AB221</f>
        <v>0</v>
      </c>
      <c r="U188">
        <f>Model!AC221</f>
        <v>0</v>
      </c>
      <c r="V188">
        <f>Model!AD221</f>
        <v>0</v>
      </c>
      <c r="W188">
        <f>Model!AE221</f>
        <v>0</v>
      </c>
      <c r="X188">
        <f>Model!AF221</f>
        <v>0</v>
      </c>
      <c r="Y188">
        <f>Model!AG221</f>
        <v>0</v>
      </c>
      <c r="Z188">
        <f>Model!AH221</f>
        <v>0</v>
      </c>
      <c r="AA188">
        <f>Model!AI221</f>
        <v>0</v>
      </c>
      <c r="AB188">
        <f>Model!AJ221</f>
        <v>0</v>
      </c>
      <c r="AC188">
        <f>Model!AK221</f>
        <v>0</v>
      </c>
      <c r="AD188">
        <f>Model!AL221</f>
        <v>0</v>
      </c>
      <c r="AE188">
        <f>Model!AM221</f>
        <v>0</v>
      </c>
      <c r="AF188">
        <f>Model!AN221</f>
        <v>0</v>
      </c>
      <c r="AG188">
        <f>Model!AO221</f>
        <v>0</v>
      </c>
      <c r="AH188">
        <f>Model!AP221</f>
        <v>0</v>
      </c>
      <c r="AI188">
        <f>Model!AQ221</f>
        <v>0</v>
      </c>
      <c r="AJ188">
        <f>Model!AR221</f>
        <v>0</v>
      </c>
      <c r="AK188">
        <f>Model!AS221</f>
        <v>0</v>
      </c>
      <c r="AL188">
        <f>Model!AT221</f>
        <v>0</v>
      </c>
      <c r="AM188">
        <f>Model!AU221</f>
        <v>0</v>
      </c>
      <c r="AN188">
        <f>Model!AV221</f>
        <v>0</v>
      </c>
      <c r="AO188">
        <f>Model!AW221</f>
        <v>0</v>
      </c>
      <c r="AP188">
        <f>Model!AX221</f>
        <v>0</v>
      </c>
      <c r="AQ188">
        <f>Model!AY221</f>
        <v>0</v>
      </c>
      <c r="AR188">
        <f>Model!AZ221</f>
        <v>0</v>
      </c>
      <c r="AS188">
        <f>Model!BA221</f>
        <v>0</v>
      </c>
      <c r="AT188">
        <f>Model!BB221</f>
        <v>0</v>
      </c>
      <c r="AU188">
        <f>Model!BC221</f>
        <v>0</v>
      </c>
      <c r="AV188">
        <f>Model!BD221</f>
        <v>0</v>
      </c>
      <c r="AW188">
        <f>Model!BE221</f>
        <v>0</v>
      </c>
      <c r="AX188">
        <f>Model!BF221</f>
        <v>0</v>
      </c>
      <c r="AY188">
        <f>Model!BG221</f>
        <v>0</v>
      </c>
      <c r="AZ188">
        <f>Model!BH221</f>
        <v>0</v>
      </c>
      <c r="BA188">
        <f>Model!BI221</f>
        <v>0</v>
      </c>
      <c r="BB188">
        <f>Model!BJ221</f>
        <v>0</v>
      </c>
      <c r="BC188">
        <f>Model!BK221</f>
        <v>0</v>
      </c>
      <c r="BD188">
        <f>Model!BL221</f>
        <v>0</v>
      </c>
      <c r="BE188">
        <f>Model!BM221</f>
        <v>0</v>
      </c>
      <c r="BF188">
        <f>Model!BN221</f>
        <v>0</v>
      </c>
      <c r="BG188">
        <f>Model!BO221</f>
        <v>0</v>
      </c>
      <c r="BH188">
        <f>Model!BP221</f>
        <v>0</v>
      </c>
      <c r="BI188">
        <f>Model!BQ221</f>
        <v>0</v>
      </c>
      <c r="BJ188">
        <f>Model!BR221</f>
        <v>0</v>
      </c>
      <c r="BK188">
        <f>Model!BS221</f>
        <v>0</v>
      </c>
      <c r="BL188">
        <f>Model!BT221</f>
        <v>0</v>
      </c>
      <c r="BM188">
        <f>Model!BU221</f>
        <v>0</v>
      </c>
      <c r="BN188">
        <f>Model!BV221</f>
        <v>0</v>
      </c>
      <c r="BO188">
        <f>Model!BW221</f>
        <v>0</v>
      </c>
      <c r="BP188">
        <f>Model!BX221</f>
        <v>0</v>
      </c>
      <c r="BQ188">
        <f>Model!BY221</f>
        <v>0</v>
      </c>
      <c r="BR188">
        <f>Model!BZ221</f>
        <v>0</v>
      </c>
      <c r="BS188">
        <f>Model!CA221</f>
        <v>0</v>
      </c>
      <c r="BT188">
        <f>Model!CB221</f>
        <v>0</v>
      </c>
      <c r="BU188">
        <f>Model!CC221</f>
        <v>0</v>
      </c>
      <c r="BV188">
        <f>Model!CD221</f>
        <v>0</v>
      </c>
      <c r="BW188">
        <f>Model!CE221</f>
        <v>0</v>
      </c>
      <c r="BX188">
        <f>Model!CF221</f>
        <v>0</v>
      </c>
      <c r="BY188">
        <f>Model!CG221</f>
        <v>0</v>
      </c>
      <c r="BZ188">
        <f>Model!CH221</f>
        <v>0</v>
      </c>
      <c r="CA188">
        <f>Model!CI221</f>
        <v>0</v>
      </c>
      <c r="CB188">
        <f>Model!CJ221</f>
        <v>0</v>
      </c>
      <c r="CC188">
        <f>Model!CK221</f>
        <v>0</v>
      </c>
      <c r="CD188">
        <f>Model!CL221</f>
        <v>0</v>
      </c>
      <c r="CE188">
        <f>Model!CM221</f>
        <v>0</v>
      </c>
      <c r="CF188">
        <f>Model!CN221</f>
        <v>0</v>
      </c>
      <c r="CG188">
        <f>Model!CO221</f>
        <v>0</v>
      </c>
      <c r="CH188">
        <f>Model!CP221</f>
        <v>0</v>
      </c>
      <c r="CI188">
        <f>Model!CQ221</f>
        <v>0</v>
      </c>
      <c r="CJ188">
        <f>Model!CR221</f>
        <v>0</v>
      </c>
      <c r="CK188">
        <f>Model!CS221</f>
        <v>0</v>
      </c>
      <c r="CL188">
        <f>Model!CT221</f>
        <v>0</v>
      </c>
      <c r="CM188">
        <f>Model!CU221</f>
        <v>0</v>
      </c>
      <c r="CN188">
        <f>Model!CV221</f>
        <v>0</v>
      </c>
      <c r="CO188">
        <f>Model!CW221</f>
        <v>0</v>
      </c>
      <c r="CP188">
        <f>Model!CX221</f>
        <v>0</v>
      </c>
      <c r="CQ188">
        <f>Model!CY221</f>
        <v>0</v>
      </c>
      <c r="CR188">
        <f>Model!CZ221</f>
        <v>0</v>
      </c>
      <c r="CS188">
        <f>Model!DA221</f>
        <v>0</v>
      </c>
      <c r="CT188">
        <f>Model!DB221</f>
        <v>0</v>
      </c>
      <c r="CU188">
        <f>Model!DC221</f>
        <v>0</v>
      </c>
      <c r="CV188">
        <f>Model!DD221</f>
        <v>0</v>
      </c>
      <c r="CW188">
        <f>Model!DE221</f>
        <v>0</v>
      </c>
      <c r="CX188">
        <f>Model!DF221</f>
        <v>0</v>
      </c>
    </row>
    <row r="189" spans="1:102">
      <c r="A189" t="str">
        <f>Model!I222</f>
        <v>Total Domestic Gross Bookings</v>
      </c>
      <c r="B189">
        <f>Model!J222</f>
        <v>0</v>
      </c>
      <c r="C189">
        <f>Model!K222</f>
        <v>0</v>
      </c>
      <c r="D189">
        <f>Model!L222</f>
        <v>0</v>
      </c>
      <c r="E189">
        <f>Model!M222</f>
        <v>0</v>
      </c>
      <c r="F189">
        <f>Model!N222</f>
        <v>0</v>
      </c>
      <c r="G189">
        <f>Model!O222</f>
        <v>0</v>
      </c>
      <c r="H189">
        <f>Model!P222</f>
        <v>0</v>
      </c>
      <c r="I189">
        <f>Model!Q222</f>
        <v>0</v>
      </c>
      <c r="J189">
        <f>Model!R222</f>
        <v>0</v>
      </c>
      <c r="K189">
        <f>Model!S222</f>
        <v>0</v>
      </c>
      <c r="L189">
        <f>Model!T222</f>
        <v>0</v>
      </c>
      <c r="M189">
        <f>Model!U222</f>
        <v>0</v>
      </c>
      <c r="N189">
        <f>Model!V222</f>
        <v>0</v>
      </c>
      <c r="O189">
        <f>Model!W222</f>
        <v>0</v>
      </c>
      <c r="P189">
        <f>Model!X222</f>
        <v>0</v>
      </c>
      <c r="Q189">
        <f>Model!Y222</f>
        <v>0</v>
      </c>
      <c r="R189">
        <f>Model!Z222</f>
        <v>0</v>
      </c>
      <c r="S189">
        <f>Model!AA222</f>
        <v>0</v>
      </c>
      <c r="T189">
        <f>Model!AB222</f>
        <v>0</v>
      </c>
      <c r="U189">
        <f>Model!AC222</f>
        <v>0</v>
      </c>
      <c r="V189">
        <f>Model!AD222</f>
        <v>0</v>
      </c>
      <c r="W189">
        <f>Model!AE222</f>
        <v>0</v>
      </c>
      <c r="X189">
        <f>Model!AF222</f>
        <v>0</v>
      </c>
      <c r="Y189">
        <f>Model!AG222</f>
        <v>0</v>
      </c>
      <c r="Z189">
        <f>Model!AH222</f>
        <v>0</v>
      </c>
      <c r="AA189">
        <f>Model!AI222</f>
        <v>0</v>
      </c>
      <c r="AB189">
        <f>Model!AJ222</f>
        <v>0</v>
      </c>
      <c r="AC189">
        <f>Model!AK222</f>
        <v>478.81200000000001</v>
      </c>
      <c r="AD189">
        <f>Model!AL222</f>
        <v>547.78700000000003</v>
      </c>
      <c r="AE189">
        <f>Model!AM222</f>
        <v>602.20500000000004</v>
      </c>
      <c r="AF189">
        <f>Model!AN222</f>
        <v>525.57099999999991</v>
      </c>
      <c r="AG189">
        <f>Model!AO222</f>
        <v>720.96799999999985</v>
      </c>
      <c r="AH189">
        <f>Model!AP222</f>
        <v>872.28400000000011</v>
      </c>
      <c r="AI189">
        <f>Model!AQ222</f>
        <v>799.57700000000023</v>
      </c>
      <c r="AJ189">
        <f>Model!AR222</f>
        <v>688.92299999999977</v>
      </c>
      <c r="AK189">
        <f>Model!AS222</f>
        <v>851.15699999999993</v>
      </c>
      <c r="AL189">
        <f>Model!AT222</f>
        <v>964.46399999999994</v>
      </c>
      <c r="AM189">
        <f>Model!AU222</f>
        <v>998.71499999999992</v>
      </c>
      <c r="AN189">
        <f>Model!AV222</f>
        <v>830.98300000000017</v>
      </c>
      <c r="AO189">
        <f>Model!AW222</f>
        <v>989.35000000000014</v>
      </c>
      <c r="AP189">
        <f>Model!AX222</f>
        <v>1153.8790000000004</v>
      </c>
      <c r="AQ189">
        <f>Model!AY222</f>
        <v>1121</v>
      </c>
      <c r="AR189">
        <f>Model!AZ222</f>
        <v>902</v>
      </c>
      <c r="AS189">
        <f>Model!BA222</f>
        <v>1129</v>
      </c>
      <c r="AT189">
        <f>Model!BB222</f>
        <v>1308</v>
      </c>
      <c r="AU189">
        <f>Model!BC222</f>
        <v>1268</v>
      </c>
      <c r="AV189">
        <f>Model!BD222</f>
        <v>1044</v>
      </c>
      <c r="AW189">
        <f>Model!BE222</f>
        <v>1260</v>
      </c>
      <c r="AX189">
        <f>Model!BF222</f>
        <v>1377</v>
      </c>
      <c r="AY189">
        <f>Model!BG222</f>
        <v>1359</v>
      </c>
      <c r="AZ189">
        <f>Model!BH222</f>
        <v>1090</v>
      </c>
      <c r="BA189">
        <f>Model!BI222</f>
        <v>1370</v>
      </c>
      <c r="BB189">
        <f>Model!BJ222</f>
        <v>1538</v>
      </c>
      <c r="BC189">
        <f>Model!BK222</f>
        <v>1586</v>
      </c>
      <c r="BD189">
        <f>Model!BL222</f>
        <v>1379</v>
      </c>
      <c r="BE189">
        <f>Model!BM222</f>
        <v>1637</v>
      </c>
      <c r="BF189">
        <f>Model!BN222</f>
        <v>1856</v>
      </c>
      <c r="BG189">
        <f>Model!BO222</f>
        <v>1743</v>
      </c>
      <c r="BH189">
        <f>Model!BP222</f>
        <v>1426</v>
      </c>
      <c r="BI189">
        <f>Model!BQ222</f>
        <v>1672</v>
      </c>
      <c r="BJ189">
        <f>Model!BR222</f>
        <v>1868</v>
      </c>
      <c r="BK189">
        <f>Model!BS222</f>
        <v>1700</v>
      </c>
      <c r="BL189">
        <f>Model!BT222</f>
        <v>1317</v>
      </c>
      <c r="BM189">
        <f>Model!BU222</f>
        <v>1640.7001174553604</v>
      </c>
      <c r="BN189">
        <f>Model!BV222</f>
        <v>1894.4845066380005</v>
      </c>
      <c r="BO189">
        <f>Model!BW222</f>
        <v>1880.7066796544</v>
      </c>
      <c r="BP189">
        <f>Model!BX222</f>
        <v>1462.8609324000004</v>
      </c>
      <c r="BQ189">
        <f>Model!BY222</f>
        <v>1686.5101607002885</v>
      </c>
      <c r="BR189">
        <f>Model!BZ222</f>
        <v>1951.7842296624005</v>
      </c>
      <c r="BS189">
        <f>Model!CA222</f>
        <v>1950.9062400262401</v>
      </c>
      <c r="BT189">
        <f>Model!CB222</f>
        <v>1528.8995229200004</v>
      </c>
      <c r="BU189">
        <f>Model!CC222</f>
        <v>1752.7231874213828</v>
      </c>
      <c r="BV189">
        <f>Model!CD222</f>
        <v>2030.6611899917707</v>
      </c>
      <c r="BW189">
        <f>Model!CE222</f>
        <v>2036.5336652221122</v>
      </c>
      <c r="BX189">
        <f>Model!CF222</f>
        <v>1601.7922710160008</v>
      </c>
      <c r="BY189">
        <f>Model!CG222</f>
        <v>0</v>
      </c>
      <c r="BZ189">
        <f>Model!CH222</f>
        <v>0</v>
      </c>
      <c r="CA189">
        <f>Model!CI222</f>
        <v>0</v>
      </c>
      <c r="CB189">
        <f>Model!CJ222</f>
        <v>0</v>
      </c>
      <c r="CC189">
        <f>Model!CK222</f>
        <v>0</v>
      </c>
      <c r="CD189">
        <f>Model!CL222</f>
        <v>0</v>
      </c>
      <c r="CE189">
        <f>Model!CM222</f>
        <v>0</v>
      </c>
      <c r="CF189">
        <f>Model!CN222</f>
        <v>2154.375</v>
      </c>
      <c r="CG189">
        <f>Model!CO222</f>
        <v>3081.752</v>
      </c>
      <c r="CH189">
        <f>Model!CP222</f>
        <v>3645.319</v>
      </c>
      <c r="CI189">
        <f>Model!CQ222</f>
        <v>4166.2290000000003</v>
      </c>
      <c r="CJ189">
        <f>Model!CR222</f>
        <v>4749</v>
      </c>
      <c r="CK189">
        <f>Model!CS222</f>
        <v>5086</v>
      </c>
      <c r="CL189">
        <f>Model!CT222</f>
        <v>5873</v>
      </c>
      <c r="CM189">
        <f>Model!CU222</f>
        <v>6662</v>
      </c>
      <c r="CN189">
        <f>Model!CV222</f>
        <v>6557</v>
      </c>
      <c r="CO189">
        <f>Model!CW222</f>
        <v>6878.7522361477622</v>
      </c>
      <c r="CP189">
        <f>Model!CX222</f>
        <v>7118.1001533089293</v>
      </c>
      <c r="CQ189">
        <f>Model!CY222</f>
        <v>7421.7103136512669</v>
      </c>
      <c r="CR189">
        <f>Model!CZ222</f>
        <v>7678.4162834531689</v>
      </c>
      <c r="CS189">
        <f>Model!DA222</f>
        <v>7877.977565852917</v>
      </c>
      <c r="CT189">
        <f>Model!DB222</f>
        <v>8022.6851354918481</v>
      </c>
      <c r="CU189">
        <f>Model!DC222</f>
        <v>8171.5720546913708</v>
      </c>
      <c r="CV189">
        <f>Model!DD222</f>
        <v>8324.5933906259143</v>
      </c>
      <c r="CW189">
        <f>Model!DE222</f>
        <v>8481.7161637950776</v>
      </c>
      <c r="CX189">
        <f>Model!DF222</f>
        <v>8642.9183018919593</v>
      </c>
    </row>
    <row r="190" spans="1:102">
      <c r="A190" t="str">
        <f>Model!I223</f>
        <v>Core  Domestic GP as % of Domestic Gross Bookings</v>
      </c>
      <c r="B190">
        <f>Model!J223</f>
        <v>0</v>
      </c>
      <c r="C190">
        <f>Model!K223</f>
        <v>0</v>
      </c>
      <c r="D190">
        <f>Model!L223</f>
        <v>0</v>
      </c>
      <c r="E190">
        <f>Model!M223</f>
        <v>0</v>
      </c>
      <c r="F190">
        <f>Model!N223</f>
        <v>0</v>
      </c>
      <c r="G190">
        <f>Model!O223</f>
        <v>0</v>
      </c>
      <c r="H190">
        <f>Model!P223</f>
        <v>0</v>
      </c>
      <c r="I190">
        <f>Model!Q223</f>
        <v>0</v>
      </c>
      <c r="J190">
        <f>Model!R223</f>
        <v>0</v>
      </c>
      <c r="K190">
        <f>Model!S223</f>
        <v>0</v>
      </c>
      <c r="L190">
        <f>Model!T223</f>
        <v>0</v>
      </c>
      <c r="M190">
        <f>Model!U223</f>
        <v>0</v>
      </c>
      <c r="N190">
        <f>Model!V223</f>
        <v>0</v>
      </c>
      <c r="O190">
        <f>Model!W223</f>
        <v>0</v>
      </c>
      <c r="P190">
        <f>Model!X223</f>
        <v>0</v>
      </c>
      <c r="Q190">
        <f>Model!Y223</f>
        <v>0</v>
      </c>
      <c r="R190">
        <f>Model!Z223</f>
        <v>0</v>
      </c>
      <c r="S190">
        <f>Model!AA223</f>
        <v>0</v>
      </c>
      <c r="T190">
        <f>Model!AB223</f>
        <v>0</v>
      </c>
      <c r="U190">
        <f>Model!AC223</f>
        <v>0</v>
      </c>
      <c r="V190">
        <f>Model!AD223</f>
        <v>0</v>
      </c>
      <c r="W190">
        <f>Model!AE223</f>
        <v>0</v>
      </c>
      <c r="X190">
        <f>Model!AF223</f>
        <v>0</v>
      </c>
      <c r="Y190">
        <f>Model!AG223</f>
        <v>0</v>
      </c>
      <c r="Z190">
        <f>Model!AH223</f>
        <v>0</v>
      </c>
      <c r="AA190">
        <f>Model!AI223</f>
        <v>0</v>
      </c>
      <c r="AB190">
        <f>Model!AJ223</f>
        <v>0</v>
      </c>
      <c r="AC190">
        <f>Model!AK223</f>
        <v>0.11682873445109984</v>
      </c>
      <c r="AD190">
        <f>Model!AL223</f>
        <v>0.11773371766763346</v>
      </c>
      <c r="AE190">
        <f>Model!AM223</f>
        <v>0.11712124608729581</v>
      </c>
      <c r="AF190">
        <f>Model!AN223</f>
        <v>0.10893295101898701</v>
      </c>
      <c r="AG190">
        <f>Model!AO223</f>
        <v>0.10722112493203585</v>
      </c>
      <c r="AH190">
        <f>Model!AP223</f>
        <v>0.10228893342076664</v>
      </c>
      <c r="AI190">
        <f>Model!AQ223</f>
        <v>0.11553358838485851</v>
      </c>
      <c r="AJ190">
        <f>Model!AR223</f>
        <v>0.1121533175695978</v>
      </c>
      <c r="AK190">
        <f>Model!AS223</f>
        <v>0.11094310450363445</v>
      </c>
      <c r="AL190">
        <f>Model!AT223</f>
        <v>0.11264080359660911</v>
      </c>
      <c r="AM190">
        <f>Model!AU223</f>
        <v>0.11815783281516747</v>
      </c>
      <c r="AN190">
        <f>Model!AV223</f>
        <v>0.10961596085599834</v>
      </c>
      <c r="AO190">
        <f>Model!AW223</f>
        <v>0.10523677161772867</v>
      </c>
      <c r="AP190">
        <f>Model!AX223</f>
        <v>0.10681795924875996</v>
      </c>
      <c r="AQ190">
        <f>Model!AY223</f>
        <v>0.12148795718108821</v>
      </c>
      <c r="AR190">
        <f>Model!AZ223</f>
        <v>0.11575720620842579</v>
      </c>
      <c r="AS190">
        <f>Model!BA223</f>
        <v>0.10417006200177154</v>
      </c>
      <c r="AT190">
        <f>Model!BB223</f>
        <v>0.1048371559633028</v>
      </c>
      <c r="AU190">
        <f>Model!BC223</f>
        <v>0.11683596214511052</v>
      </c>
      <c r="AV190">
        <f>Model!BD223</f>
        <v>0.11082088122605364</v>
      </c>
      <c r="AW190">
        <f>Model!BE223</f>
        <v>0.10022857142857143</v>
      </c>
      <c r="AX190">
        <f>Model!BF223</f>
        <v>0.10540450254175748</v>
      </c>
      <c r="AY190">
        <f>Model!BG223</f>
        <v>0.11883811626195731</v>
      </c>
      <c r="AZ190">
        <f>Model!BH223</f>
        <v>9.5183486238532219E-2</v>
      </c>
      <c r="BA190">
        <f>Model!BI223</f>
        <v>8.4427007299270052E-2</v>
      </c>
      <c r="BB190">
        <f>Model!BJ223</f>
        <v>0.10126074382314693</v>
      </c>
      <c r="BC190">
        <f>Model!BK223</f>
        <v>0.10795867276166447</v>
      </c>
      <c r="BD190">
        <f>Model!BL223</f>
        <v>9.6123640319071765E-2</v>
      </c>
      <c r="BE190">
        <f>Model!BM223</f>
        <v>7.9928390348198111E-2</v>
      </c>
      <c r="BF190">
        <f>Model!BN223</f>
        <v>8.9469402209051682E-2</v>
      </c>
      <c r="BG190">
        <f>Model!BO223</f>
        <v>0.10700463181296629</v>
      </c>
      <c r="BH190">
        <f>Model!BP223</f>
        <v>8.9289288218793797E-2</v>
      </c>
      <c r="BI190">
        <f>Model!BQ223</f>
        <v>8.2615064593301424E-2</v>
      </c>
      <c r="BJ190">
        <f>Model!BR223</f>
        <v>8.3368477387580242E-2</v>
      </c>
      <c r="BK190">
        <f>Model!BS223</f>
        <v>0.11855341296470562</v>
      </c>
      <c r="BL190">
        <f>Model!BT223</f>
        <v>0.10730562490508715</v>
      </c>
      <c r="BM190">
        <f>Model!BU223</f>
        <v>0.10300549951938293</v>
      </c>
      <c r="BN190">
        <f>Model!BV223</f>
        <v>9.2371385065456488E-2</v>
      </c>
      <c r="BO190">
        <f>Model!BW223</f>
        <v>6.8195598798196685E-2</v>
      </c>
      <c r="BP190">
        <f>Model!BX223</f>
        <v>8.4166717992803106E-2</v>
      </c>
      <c r="BQ190">
        <f>Model!BY223</f>
        <v>0.1015337445977184</v>
      </c>
      <c r="BR190">
        <f>Model!BZ223</f>
        <v>9.4287607697389308E-2</v>
      </c>
      <c r="BS190">
        <f>Model!CA223</f>
        <v>0.10277867791803384</v>
      </c>
      <c r="BT190">
        <f>Model!CB223</f>
        <v>0.13291479308587167</v>
      </c>
      <c r="BU190">
        <f>Model!CC223</f>
        <v>0.1005337445977184</v>
      </c>
      <c r="BV190">
        <f>Model!CD223</f>
        <v>9.3287607697389308E-2</v>
      </c>
      <c r="BW190">
        <f>Model!CE223</f>
        <v>0.10177867791803384</v>
      </c>
      <c r="BX190">
        <f>Model!CF223</f>
        <v>0.13191479308587167</v>
      </c>
      <c r="BY190">
        <f>Model!CG223</f>
        <v>0</v>
      </c>
      <c r="BZ190">
        <f>Model!CH223</f>
        <v>0</v>
      </c>
      <c r="CA190">
        <f>Model!CI223</f>
        <v>0</v>
      </c>
      <c r="CB190">
        <f>Model!CJ223</f>
        <v>0</v>
      </c>
      <c r="CC190">
        <f>Model!CK223</f>
        <v>0</v>
      </c>
      <c r="CD190">
        <f>Model!CL223</f>
        <v>0</v>
      </c>
      <c r="CE190">
        <f>Model!CM223</f>
        <v>0</v>
      </c>
      <c r="CF190">
        <f>Model!CN223</f>
        <v>0.1170710762982302</v>
      </c>
      <c r="CG190">
        <f>Model!CO223</f>
        <v>0.10908437797720263</v>
      </c>
      <c r="CH190">
        <f>Model!CP223</f>
        <v>0.11306637361503888</v>
      </c>
      <c r="CI190">
        <f>Model!CQ223</f>
        <v>0.11232507862625883</v>
      </c>
      <c r="CJ190">
        <f>Model!CR223</f>
        <v>0.10919772583701838</v>
      </c>
      <c r="CK190">
        <f>Model!CS223</f>
        <v>0.10552123476209205</v>
      </c>
      <c r="CL190">
        <f>Model!CT223</f>
        <v>9.7936485441852503E-2</v>
      </c>
      <c r="CM190">
        <f>Model!CU223</f>
        <v>9.1674209509156473E-2</v>
      </c>
      <c r="CN190">
        <f>Model!CV223</f>
        <v>9.7106453225560344E-2</v>
      </c>
      <c r="CO190">
        <f>Model!CW223</f>
        <v>8.6553112298084864E-2</v>
      </c>
      <c r="CP190">
        <f>Model!CX223</f>
        <v>0.10662840774324775</v>
      </c>
      <c r="CQ190">
        <f>Model!CY223</f>
        <v>0.10566555639742717</v>
      </c>
      <c r="CR190">
        <f>Model!CZ223</f>
        <v>0.10566555639742717</v>
      </c>
      <c r="CS190">
        <f>Model!DA223</f>
        <v>0.10566555639742717</v>
      </c>
      <c r="CT190">
        <f>Model!DB223</f>
        <v>0.10566555639742717</v>
      </c>
      <c r="CU190">
        <f>Model!DC223</f>
        <v>0.10566555639742717</v>
      </c>
      <c r="CV190">
        <f>Model!DD223</f>
        <v>0.10566555639742717</v>
      </c>
      <c r="CW190">
        <f>Model!DE223</f>
        <v>0.10566555639742717</v>
      </c>
      <c r="CX190">
        <f>Model!DF223</f>
        <v>0.10566555639742717</v>
      </c>
    </row>
    <row r="191" spans="1:102">
      <c r="A191" t="str">
        <f>Model!I224</f>
        <v>% change Y/Y (in bp) (a check for Kayak and Open estimates)</v>
      </c>
      <c r="B191">
        <f>Model!J224</f>
        <v>0</v>
      </c>
      <c r="C191">
        <f>Model!K224</f>
        <v>0</v>
      </c>
      <c r="D191">
        <f>Model!L224</f>
        <v>0</v>
      </c>
      <c r="E191">
        <f>Model!M224</f>
        <v>0</v>
      </c>
      <c r="F191">
        <f>Model!N224</f>
        <v>0</v>
      </c>
      <c r="G191">
        <f>Model!O224</f>
        <v>0</v>
      </c>
      <c r="H191">
        <f>Model!P224</f>
        <v>0</v>
      </c>
      <c r="I191">
        <f>Model!Q224</f>
        <v>0</v>
      </c>
      <c r="J191">
        <f>Model!R224</f>
        <v>0</v>
      </c>
      <c r="K191">
        <f>Model!S224</f>
        <v>0</v>
      </c>
      <c r="L191">
        <f>Model!T224</f>
        <v>0</v>
      </c>
      <c r="M191">
        <f>Model!U224</f>
        <v>0</v>
      </c>
      <c r="N191">
        <f>Model!V224</f>
        <v>0</v>
      </c>
      <c r="O191">
        <f>Model!W224</f>
        <v>0</v>
      </c>
      <c r="P191">
        <f>Model!X224</f>
        <v>0</v>
      </c>
      <c r="Q191">
        <f>Model!Y224</f>
        <v>0</v>
      </c>
      <c r="R191">
        <f>Model!Z224</f>
        <v>0</v>
      </c>
      <c r="S191">
        <f>Model!AA224</f>
        <v>0</v>
      </c>
      <c r="T191">
        <f>Model!AB224</f>
        <v>0</v>
      </c>
      <c r="U191">
        <f>Model!AC224</f>
        <v>0</v>
      </c>
      <c r="V191">
        <f>Model!AD224</f>
        <v>0</v>
      </c>
      <c r="W191">
        <f>Model!AE224</f>
        <v>0</v>
      </c>
      <c r="X191">
        <f>Model!AF224</f>
        <v>0</v>
      </c>
      <c r="Y191">
        <f>Model!AG224</f>
        <v>0</v>
      </c>
      <c r="Z191">
        <f>Model!AH224</f>
        <v>0</v>
      </c>
      <c r="AA191">
        <f>Model!AI224</f>
        <v>0</v>
      </c>
      <c r="AB191">
        <f>Model!AJ224</f>
        <v>0</v>
      </c>
      <c r="AC191">
        <f>Model!AK224</f>
        <v>0</v>
      </c>
      <c r="AD191">
        <f>Model!AL224</f>
        <v>0</v>
      </c>
      <c r="AE191">
        <f>Model!AM224</f>
        <v>0</v>
      </c>
      <c r="AF191">
        <f>Model!AN224</f>
        <v>0</v>
      </c>
      <c r="AG191">
        <f>Model!AO224</f>
        <v>-96.07609519063989</v>
      </c>
      <c r="AH191">
        <f>Model!AP224</f>
        <v>-154.44784246866823</v>
      </c>
      <c r="AI191">
        <f>Model!AQ224</f>
        <v>-15.876577024372951</v>
      </c>
      <c r="AJ191">
        <f>Model!AR224</f>
        <v>32.203665506107953</v>
      </c>
      <c r="AK191">
        <f>Model!AS224</f>
        <v>37.219795715986024</v>
      </c>
      <c r="AL191">
        <f>Model!AT224</f>
        <v>103.51870175842464</v>
      </c>
      <c r="AM191">
        <f>Model!AU224</f>
        <v>26.242444303089528</v>
      </c>
      <c r="AN191">
        <f>Model!AV224</f>
        <v>-25.37356713599462</v>
      </c>
      <c r="AO191">
        <f>Model!AW224</f>
        <v>-57.063328859057876</v>
      </c>
      <c r="AP191">
        <f>Model!AX224</f>
        <v>-58.228443478491457</v>
      </c>
      <c r="AQ191">
        <f>Model!AY224</f>
        <v>33.301243659207422</v>
      </c>
      <c r="AR191">
        <f>Model!AZ224</f>
        <v>61.412453524274518</v>
      </c>
      <c r="AS191">
        <f>Model!BA224</f>
        <v>-10.667096159571315</v>
      </c>
      <c r="AT191">
        <f>Model!BB224</f>
        <v>-19.808032854571611</v>
      </c>
      <c r="AU191">
        <f>Model!BC224</f>
        <v>-46.51995035977685</v>
      </c>
      <c r="AV191">
        <f>Model!BD224</f>
        <v>-49.363249823721475</v>
      </c>
      <c r="AW191">
        <f>Model!BE224</f>
        <v>-39.414905732001046</v>
      </c>
      <c r="AX191">
        <f>Model!BF224</f>
        <v>5.673465784546833</v>
      </c>
      <c r="AY191">
        <f>Model!BG224</f>
        <v>20.021541168467884</v>
      </c>
      <c r="AZ191">
        <f>Model!BH224</f>
        <v>-156.37394987521424</v>
      </c>
      <c r="BA191">
        <f>Model!BI224</f>
        <v>-158.0156412930138</v>
      </c>
      <c r="BB191">
        <f>Model!BJ224</f>
        <v>-41.437587186105574</v>
      </c>
      <c r="BC191">
        <f>Model!BK224</f>
        <v>-108.79443500292838</v>
      </c>
      <c r="BD191">
        <f>Model!BL224</f>
        <v>9.4015408053954594</v>
      </c>
      <c r="BE191">
        <f>Model!BM224</f>
        <v>-44.986169510719407</v>
      </c>
      <c r="BF191">
        <f>Model!BN224</f>
        <v>-117.91341614095244</v>
      </c>
      <c r="BG191">
        <f>Model!BO224</f>
        <v>-9.5404094869817886</v>
      </c>
      <c r="BH191">
        <f>Model!BP224</f>
        <v>-68.343521002779681</v>
      </c>
      <c r="BI191">
        <f>Model!BQ224</f>
        <v>26.866742451033126</v>
      </c>
      <c r="BJ191">
        <f>Model!BR224</f>
        <v>-61.009248214714404</v>
      </c>
      <c r="BK191">
        <f>Model!BS224</f>
        <v>115.48781151739324</v>
      </c>
      <c r="BL191">
        <f>Model!BT224</f>
        <v>180.16336686293349</v>
      </c>
      <c r="BM191">
        <f>Model!BU224</f>
        <v>203.90434926081502</v>
      </c>
      <c r="BN191">
        <f>Model!BV224</f>
        <v>90.029076778762459</v>
      </c>
      <c r="BO191">
        <f>Model!BW224</f>
        <v>-503.57814166508933</v>
      </c>
      <c r="BP191">
        <f>Model!BX224</f>
        <v>-231.3890691228404</v>
      </c>
      <c r="BQ191">
        <f>Model!BY224</f>
        <v>-14.717549216645281</v>
      </c>
      <c r="BR191">
        <f>Model!BZ224</f>
        <v>19.162226319328209</v>
      </c>
      <c r="BS191">
        <f>Model!CA224</f>
        <v>345.83079119837157</v>
      </c>
      <c r="BT191">
        <f>Model!CB224</f>
        <v>487.4807509306857</v>
      </c>
      <c r="BU191">
        <f>Model!CC224</f>
        <v>-10</v>
      </c>
      <c r="BV191">
        <f>Model!CD224</f>
        <v>-10</v>
      </c>
      <c r="BW191">
        <f>Model!CE224</f>
        <v>-10</v>
      </c>
      <c r="BX191">
        <f>Model!CF224</f>
        <v>-10</v>
      </c>
      <c r="BY191">
        <f>Model!CG224</f>
        <v>0</v>
      </c>
      <c r="BZ191">
        <f>Model!CH224</f>
        <v>0</v>
      </c>
      <c r="CA191">
        <f>Model!CI224</f>
        <v>0</v>
      </c>
      <c r="CB191">
        <f>Model!CJ224</f>
        <v>0</v>
      </c>
      <c r="CC191">
        <f>Model!CK224</f>
        <v>0</v>
      </c>
      <c r="CD191">
        <f>Model!CL224</f>
        <v>0</v>
      </c>
      <c r="CE191">
        <f>Model!CM224</f>
        <v>0</v>
      </c>
      <c r="CF191">
        <f>Model!CN224</f>
        <v>0</v>
      </c>
      <c r="CG191">
        <f>Model!CO224</f>
        <v>-79.866983210275663</v>
      </c>
      <c r="CH191">
        <f>Model!CP224</f>
        <v>39.819956378362441</v>
      </c>
      <c r="CI191">
        <f>Model!CQ224</f>
        <v>-7.4129498878004743</v>
      </c>
      <c r="CJ191">
        <f>Model!CR224</f>
        <v>-31.273527892404505</v>
      </c>
      <c r="CK191">
        <f>Model!CS224</f>
        <v>-36.764910749263329</v>
      </c>
      <c r="CL191">
        <f>Model!CT224</f>
        <v>-75.847493202395455</v>
      </c>
      <c r="CM191">
        <f>Model!CU224</f>
        <v>-62.622759326960292</v>
      </c>
      <c r="CN191">
        <f>Model!CV224</f>
        <v>54.322437164038703</v>
      </c>
      <c r="CO191">
        <f>Model!CW224</f>
        <v>-105.5334092747548</v>
      </c>
      <c r="CP191">
        <f>Model!CX224</f>
        <v>200.75295445162885</v>
      </c>
      <c r="CQ191">
        <f>Model!CY224</f>
        <v>-9.6285134582058127</v>
      </c>
      <c r="CR191">
        <f>Model!CZ224</f>
        <v>0</v>
      </c>
      <c r="CS191">
        <f>Model!DA224</f>
        <v>0</v>
      </c>
      <c r="CT191">
        <f>Model!DB224</f>
        <v>0</v>
      </c>
      <c r="CU191">
        <f>Model!DC224</f>
        <v>0</v>
      </c>
      <c r="CV191">
        <f>Model!DD224</f>
        <v>0</v>
      </c>
      <c r="CW191">
        <f>Model!DE224</f>
        <v>0</v>
      </c>
      <c r="CX191">
        <f>Model!DF224</f>
        <v>0</v>
      </c>
    </row>
    <row r="192" spans="1:102">
      <c r="A192" t="str">
        <f>Model!I225</f>
        <v>Two Year</v>
      </c>
      <c r="B192">
        <f>Model!J225</f>
        <v>0</v>
      </c>
      <c r="C192">
        <f>Model!K225</f>
        <v>0</v>
      </c>
      <c r="D192">
        <f>Model!L225</f>
        <v>0</v>
      </c>
      <c r="E192">
        <f>Model!M225</f>
        <v>0</v>
      </c>
      <c r="F192">
        <f>Model!N225</f>
        <v>0</v>
      </c>
      <c r="G192">
        <f>Model!O225</f>
        <v>0</v>
      </c>
      <c r="H192">
        <f>Model!P225</f>
        <v>0</v>
      </c>
      <c r="I192">
        <f>Model!Q225</f>
        <v>0</v>
      </c>
      <c r="J192">
        <f>Model!R225</f>
        <v>0</v>
      </c>
      <c r="K192">
        <f>Model!S225</f>
        <v>0</v>
      </c>
      <c r="L192">
        <f>Model!T225</f>
        <v>0</v>
      </c>
      <c r="M192">
        <f>Model!U225</f>
        <v>0</v>
      </c>
      <c r="N192">
        <f>Model!V225</f>
        <v>0</v>
      </c>
      <c r="O192">
        <f>Model!W225</f>
        <v>0</v>
      </c>
      <c r="P192">
        <f>Model!X225</f>
        <v>0</v>
      </c>
      <c r="Q192">
        <f>Model!Y225</f>
        <v>0</v>
      </c>
      <c r="R192">
        <f>Model!Z225</f>
        <v>0</v>
      </c>
      <c r="S192">
        <f>Model!AA225</f>
        <v>0</v>
      </c>
      <c r="T192">
        <f>Model!AB225</f>
        <v>0</v>
      </c>
      <c r="U192">
        <f>Model!AC225</f>
        <v>0</v>
      </c>
      <c r="V192">
        <f>Model!AD225</f>
        <v>0</v>
      </c>
      <c r="W192">
        <f>Model!AE225</f>
        <v>0</v>
      </c>
      <c r="X192">
        <f>Model!AF225</f>
        <v>0</v>
      </c>
      <c r="Y192">
        <f>Model!AG225</f>
        <v>0</v>
      </c>
      <c r="Z192">
        <f>Model!AH225</f>
        <v>0</v>
      </c>
      <c r="AA192">
        <f>Model!AI225</f>
        <v>0</v>
      </c>
      <c r="AB192">
        <f>Model!AJ225</f>
        <v>0</v>
      </c>
      <c r="AC192">
        <f>Model!AK225</f>
        <v>0</v>
      </c>
      <c r="AD192">
        <f>Model!AL225</f>
        <v>0</v>
      </c>
      <c r="AE192">
        <f>Model!AM225</f>
        <v>0</v>
      </c>
      <c r="AF192">
        <f>Model!AN225</f>
        <v>0</v>
      </c>
      <c r="AG192">
        <f>Model!AO225</f>
        <v>0</v>
      </c>
      <c r="AH192">
        <f>Model!AP225</f>
        <v>0</v>
      </c>
      <c r="AI192">
        <f>Model!AQ225</f>
        <v>0</v>
      </c>
      <c r="AJ192">
        <f>Model!AR225</f>
        <v>0</v>
      </c>
      <c r="AK192">
        <f>Model!AS225</f>
        <v>-58.856299474653866</v>
      </c>
      <c r="AL192">
        <f>Model!AT225</f>
        <v>-50.929140710243587</v>
      </c>
      <c r="AM192">
        <f>Model!AU225</f>
        <v>10.365867278716577</v>
      </c>
      <c r="AN192">
        <f>Model!AV225</f>
        <v>6.8300983701133333</v>
      </c>
      <c r="AO192">
        <f>Model!AW225</f>
        <v>-19.843533143071852</v>
      </c>
      <c r="AP192">
        <f>Model!AX225</f>
        <v>45.290258279933184</v>
      </c>
      <c r="AQ192">
        <f>Model!AY225</f>
        <v>59.54368796229695</v>
      </c>
      <c r="AR192">
        <f>Model!AZ225</f>
        <v>36.038886388279899</v>
      </c>
      <c r="AS192">
        <f>Model!BA225</f>
        <v>-67.730425018629191</v>
      </c>
      <c r="AT192">
        <f>Model!BB225</f>
        <v>-78.036476333063064</v>
      </c>
      <c r="AU192">
        <f>Model!BC225</f>
        <v>-13.218706700569427</v>
      </c>
      <c r="AV192">
        <f>Model!BD225</f>
        <v>12.049203700553043</v>
      </c>
      <c r="AW192">
        <f>Model!BE225</f>
        <v>-50.082001891572361</v>
      </c>
      <c r="AX192">
        <f>Model!BF225</f>
        <v>-14.134567070024778</v>
      </c>
      <c r="AY192">
        <f>Model!BG225</f>
        <v>-26.498409191308966</v>
      </c>
      <c r="AZ192">
        <f>Model!BH225</f>
        <v>-205.73719969893571</v>
      </c>
      <c r="BA192">
        <f>Model!BI225</f>
        <v>-197.43054702501485</v>
      </c>
      <c r="BB192">
        <f>Model!BJ225</f>
        <v>-35.764121401558739</v>
      </c>
      <c r="BC192">
        <f>Model!BK225</f>
        <v>-88.77289383446049</v>
      </c>
      <c r="BD192">
        <f>Model!BL225</f>
        <v>-146.97240906981878</v>
      </c>
      <c r="BE192">
        <f>Model!BM225</f>
        <v>-203.00181080373321</v>
      </c>
      <c r="BF192">
        <f>Model!BN225</f>
        <v>-159.35100332705801</v>
      </c>
      <c r="BG192">
        <f>Model!BO225</f>
        <v>-118.33484448991017</v>
      </c>
      <c r="BH192">
        <f>Model!BP225</f>
        <v>-58.941980197384225</v>
      </c>
      <c r="BI192">
        <f>Model!BQ225</f>
        <v>-18.119427059686281</v>
      </c>
      <c r="BJ192">
        <f>Model!BR225</f>
        <v>-178.92266435566683</v>
      </c>
      <c r="BK192">
        <f>Model!BS225</f>
        <v>105.94740203041145</v>
      </c>
      <c r="BL192">
        <f>Model!BT225</f>
        <v>111.81984586015381</v>
      </c>
      <c r="BM192">
        <f>Model!BU225</f>
        <v>230.77109171184816</v>
      </c>
      <c r="BN192">
        <f>Model!BV225</f>
        <v>29.019828564048055</v>
      </c>
      <c r="BO192">
        <f>Model!BW225</f>
        <v>-388.09033014769608</v>
      </c>
      <c r="BP192">
        <f>Model!BX225</f>
        <v>-51.22570225990691</v>
      </c>
      <c r="BQ192">
        <f>Model!BY225</f>
        <v>189.18680004416973</v>
      </c>
      <c r="BR192">
        <f>Model!BZ225</f>
        <v>109.19130309809067</v>
      </c>
      <c r="BS192">
        <f>Model!CA225</f>
        <v>-157.74735046671776</v>
      </c>
      <c r="BT192">
        <f>Model!CB225</f>
        <v>256.0916818078453</v>
      </c>
      <c r="BU192">
        <f>Model!CC225</f>
        <v>-24.717549216645281</v>
      </c>
      <c r="BV192">
        <f>Model!CD225</f>
        <v>9.1622263193282087</v>
      </c>
      <c r="BW192">
        <f>Model!CE225</f>
        <v>335.83079119837157</v>
      </c>
      <c r="BX192">
        <f>Model!CF225</f>
        <v>477.4807509306857</v>
      </c>
      <c r="BY192">
        <f>Model!CG225</f>
        <v>0</v>
      </c>
      <c r="BZ192">
        <f>Model!CH225</f>
        <v>0</v>
      </c>
      <c r="CA192">
        <f>Model!CI225</f>
        <v>0</v>
      </c>
      <c r="CB192">
        <f>Model!CJ225</f>
        <v>0</v>
      </c>
      <c r="CC192">
        <f>Model!CK225</f>
        <v>0</v>
      </c>
      <c r="CD192">
        <f>Model!CL225</f>
        <v>0</v>
      </c>
      <c r="CE192">
        <f>Model!CM225</f>
        <v>0</v>
      </c>
      <c r="CF192">
        <f>Model!CN225</f>
        <v>0</v>
      </c>
      <c r="CG192">
        <f>Model!CO225</f>
        <v>0</v>
      </c>
      <c r="CH192">
        <f>Model!CP225</f>
        <v>-40.047026831913222</v>
      </c>
      <c r="CI192">
        <f>Model!CQ225</f>
        <v>32.407006490561969</v>
      </c>
      <c r="CJ192">
        <f>Model!CR225</f>
        <v>-38.686477780204982</v>
      </c>
      <c r="CK192">
        <f>Model!CS225</f>
        <v>-68.038438641667838</v>
      </c>
      <c r="CL192">
        <f>Model!CT225</f>
        <v>-112.61240395165879</v>
      </c>
      <c r="CM192">
        <f>Model!CU225</f>
        <v>-138.47025252935575</v>
      </c>
      <c r="CN192">
        <f>Model!CV225</f>
        <v>-8.3003221629215886</v>
      </c>
      <c r="CO192">
        <f>Model!CW225</f>
        <v>-51.210972110716099</v>
      </c>
      <c r="CP192">
        <f>Model!CX225</f>
        <v>95.21954517687405</v>
      </c>
      <c r="CQ192">
        <f>Model!CY225</f>
        <v>191.12444099342304</v>
      </c>
      <c r="CR192">
        <f>Model!CZ225</f>
        <v>-9.6285134582058127</v>
      </c>
      <c r="CS192">
        <f>Model!DA225</f>
        <v>0</v>
      </c>
      <c r="CT192">
        <f>Model!DB225</f>
        <v>0</v>
      </c>
      <c r="CU192">
        <f>Model!DC225</f>
        <v>0</v>
      </c>
      <c r="CV192">
        <f>Model!DD225</f>
        <v>0</v>
      </c>
      <c r="CW192">
        <f>Model!DE225</f>
        <v>0</v>
      </c>
      <c r="CX192">
        <f>Model!DF225</f>
        <v>0</v>
      </c>
    </row>
    <row r="193" spans="1:102">
      <c r="A193" t="str">
        <f>Model!I226</f>
        <v>Seasonality</v>
      </c>
      <c r="B193">
        <f>Model!J226</f>
        <v>0</v>
      </c>
      <c r="C193">
        <f>Model!K226</f>
        <v>0</v>
      </c>
      <c r="D193">
        <f>Model!L226</f>
        <v>0</v>
      </c>
      <c r="E193">
        <f>Model!M226</f>
        <v>0</v>
      </c>
      <c r="F193">
        <f>Model!N226</f>
        <v>0</v>
      </c>
      <c r="G193">
        <f>Model!O226</f>
        <v>0</v>
      </c>
      <c r="H193">
        <f>Model!P226</f>
        <v>0</v>
      </c>
      <c r="I193">
        <f>Model!Q226</f>
        <v>0</v>
      </c>
      <c r="J193">
        <f>Model!R226</f>
        <v>0</v>
      </c>
      <c r="K193">
        <f>Model!S226</f>
        <v>0</v>
      </c>
      <c r="L193">
        <f>Model!T226</f>
        <v>0</v>
      </c>
      <c r="M193">
        <f>Model!U226</f>
        <v>0</v>
      </c>
      <c r="N193">
        <f>Model!V226</f>
        <v>0</v>
      </c>
      <c r="O193">
        <f>Model!W226</f>
        <v>0</v>
      </c>
      <c r="P193">
        <f>Model!X226</f>
        <v>0</v>
      </c>
      <c r="Q193">
        <f>Model!Y226</f>
        <v>0</v>
      </c>
      <c r="R193">
        <f>Model!Z226</f>
        <v>0</v>
      </c>
      <c r="S193">
        <f>Model!AA226</f>
        <v>0</v>
      </c>
      <c r="T193">
        <f>Model!AB226</f>
        <v>0</v>
      </c>
      <c r="U193">
        <f>Model!AC226</f>
        <v>0</v>
      </c>
      <c r="V193">
        <f>Model!AD226</f>
        <v>0</v>
      </c>
      <c r="W193">
        <f>Model!AE226</f>
        <v>0</v>
      </c>
      <c r="X193">
        <f>Model!AF226</f>
        <v>0</v>
      </c>
      <c r="Y193">
        <f>Model!AG226</f>
        <v>0</v>
      </c>
      <c r="Z193">
        <f>Model!AH226</f>
        <v>0</v>
      </c>
      <c r="AA193">
        <f>Model!AI226</f>
        <v>0</v>
      </c>
      <c r="AB193">
        <f>Model!AJ226</f>
        <v>0</v>
      </c>
      <c r="AC193">
        <f>Model!AK226</f>
        <v>0</v>
      </c>
      <c r="AD193">
        <f>Model!AL226</f>
        <v>1.0077462382930495</v>
      </c>
      <c r="AE193">
        <f>Model!AM226</f>
        <v>0.99479782349125601</v>
      </c>
      <c r="AF193">
        <f>Model!AN226</f>
        <v>0.93008702227941042</v>
      </c>
      <c r="AG193">
        <f>Model!AO226</f>
        <v>0.98428550708542928</v>
      </c>
      <c r="AH193">
        <f>Model!AP226</f>
        <v>0.95399981566696324</v>
      </c>
      <c r="AI193">
        <f>Model!AQ226</f>
        <v>1.129482775126903</v>
      </c>
      <c r="AJ193">
        <f>Model!AR226</f>
        <v>0.97074209446346849</v>
      </c>
      <c r="AK193">
        <f>Model!AS226</f>
        <v>0.98920929766333177</v>
      </c>
      <c r="AL193">
        <f>Model!AT226</f>
        <v>1.0153024300209577</v>
      </c>
      <c r="AM193">
        <f>Model!AU226</f>
        <v>1.0489789582673434</v>
      </c>
      <c r="AN193">
        <f>Model!AV226</f>
        <v>0.92770794998812267</v>
      </c>
      <c r="AO193">
        <f>Model!AW226</f>
        <v>0.96004971170190645</v>
      </c>
      <c r="AP193">
        <f>Model!AX226</f>
        <v>1.0150250488182491</v>
      </c>
      <c r="AQ193">
        <f>Model!AY226</f>
        <v>1.1373364370139711</v>
      </c>
      <c r="AR193">
        <f>Model!AZ226</f>
        <v>0.95282864980501536</v>
      </c>
      <c r="AS193">
        <f>Model!BA226</f>
        <v>0.89990131425778275</v>
      </c>
      <c r="AT193">
        <f>Model!BB226</f>
        <v>1.0064038932944086</v>
      </c>
      <c r="AU193">
        <f>Model!BC226</f>
        <v>1.114451847453853</v>
      </c>
      <c r="AV193">
        <f>Model!BD226</f>
        <v>0.94851687093066317</v>
      </c>
      <c r="AW193">
        <f>Model!BE226</f>
        <v>0.90441954909313615</v>
      </c>
      <c r="AX193">
        <f>Model!BF226</f>
        <v>1.0516412739342964</v>
      </c>
      <c r="AY193">
        <f>Model!BG226</f>
        <v>1.1274481961989993</v>
      </c>
      <c r="AZ193">
        <f>Model!BH226</f>
        <v>0.8009508163922533</v>
      </c>
      <c r="BA193">
        <f>Model!BI226</f>
        <v>0.88699217307184819</v>
      </c>
      <c r="BB193">
        <f>Model!BJ226</f>
        <v>1.1993880520270723</v>
      </c>
      <c r="BC193">
        <f>Model!BK226</f>
        <v>1.0661453657719082</v>
      </c>
      <c r="BD193">
        <f>Model!BL226</f>
        <v>0.89037441698898634</v>
      </c>
      <c r="BE193">
        <f>Model!BM226</f>
        <v>0.83151647277282348</v>
      </c>
      <c r="BF193">
        <f>Model!BN226</f>
        <v>1.1193694983633391</v>
      </c>
      <c r="BG193">
        <f>Model!BO226</f>
        <v>1.195991357614554</v>
      </c>
      <c r="BH193">
        <f>Model!BP226</f>
        <v>0.83444320779368508</v>
      </c>
      <c r="BI193">
        <f>Model!BQ226</f>
        <v>0.92525168742371533</v>
      </c>
      <c r="BJ193">
        <f>Model!BR226</f>
        <v>1.0091195570443203</v>
      </c>
      <c r="BK193">
        <f>Model!BS226</f>
        <v>1.4220412400426905</v>
      </c>
      <c r="BL193">
        <f>Model!BT226</f>
        <v>0.90512472160572011</v>
      </c>
      <c r="BM193">
        <f>Model!BU226</f>
        <v>0.95992637488008925</v>
      </c>
      <c r="BN193">
        <f>Model!BV226</f>
        <v>0.89676168259418632</v>
      </c>
      <c r="BO193">
        <f>Model!BW226</f>
        <v>0.73827623944224408</v>
      </c>
      <c r="BP193">
        <f>Model!BX226</f>
        <v>1.2341957468819638</v>
      </c>
      <c r="BQ193">
        <f>Model!BY226</f>
        <v>1.2063407843276044</v>
      </c>
      <c r="BR193">
        <f>Model!BZ226</f>
        <v>0.92863321520309694</v>
      </c>
      <c r="BS193">
        <f>Model!CA226</f>
        <v>1.090054996918536</v>
      </c>
      <c r="BT193">
        <f>Model!CB226</f>
        <v>1.2932136876859948</v>
      </c>
      <c r="BU193">
        <f>Model!CC226</f>
        <v>0.75637739234012125</v>
      </c>
      <c r="BV193">
        <f>Model!CD226</f>
        <v>0.92792333629544776</v>
      </c>
      <c r="BW193">
        <f>Model!CE226</f>
        <v>1.0910203448263811</v>
      </c>
      <c r="BX193">
        <f>Model!CF226</f>
        <v>1.29609458271906</v>
      </c>
      <c r="BY193">
        <f>Model!CG226</f>
        <v>0</v>
      </c>
      <c r="BZ193">
        <f>Model!CH226</f>
        <v>0</v>
      </c>
      <c r="CA193">
        <f>Model!CI226</f>
        <v>0</v>
      </c>
      <c r="CB193">
        <f>Model!CJ226</f>
        <v>0</v>
      </c>
      <c r="CC193">
        <f>Model!CK226</f>
        <v>0</v>
      </c>
      <c r="CD193">
        <f>Model!CL226</f>
        <v>0</v>
      </c>
      <c r="CE193">
        <f>Model!CM226</f>
        <v>0</v>
      </c>
      <c r="CF193">
        <f>Model!CN226</f>
        <v>0</v>
      </c>
      <c r="CG193">
        <f>Model!CO226</f>
        <v>0</v>
      </c>
      <c r="CH193">
        <f>Model!CP226</f>
        <v>0</v>
      </c>
      <c r="CI193">
        <f>Model!CQ226</f>
        <v>0</v>
      </c>
      <c r="CJ193">
        <f>Model!CR226</f>
        <v>0</v>
      </c>
      <c r="CK193">
        <f>Model!CS226</f>
        <v>0</v>
      </c>
      <c r="CL193">
        <f>Model!CT226</f>
        <v>0</v>
      </c>
      <c r="CM193">
        <f>Model!CU226</f>
        <v>0</v>
      </c>
      <c r="CN193">
        <f>Model!CV226</f>
        <v>0</v>
      </c>
      <c r="CO193">
        <f>Model!CW226</f>
        <v>0</v>
      </c>
      <c r="CP193">
        <f>Model!CX226</f>
        <v>0</v>
      </c>
      <c r="CQ193">
        <f>Model!CY226</f>
        <v>0</v>
      </c>
      <c r="CR193">
        <f>Model!CZ226</f>
        <v>0</v>
      </c>
      <c r="CS193">
        <f>Model!DA226</f>
        <v>0</v>
      </c>
      <c r="CT193">
        <f>Model!DB226</f>
        <v>0</v>
      </c>
      <c r="CU193">
        <f>Model!DC226</f>
        <v>0</v>
      </c>
      <c r="CV193">
        <f>Model!DD226</f>
        <v>0</v>
      </c>
      <c r="CW193">
        <f>Model!DE226</f>
        <v>0</v>
      </c>
      <c r="CX193">
        <f>Model!DF226</f>
        <v>0</v>
      </c>
    </row>
    <row r="194" spans="1:102">
      <c r="A194">
        <f>Model!I227</f>
        <v>0</v>
      </c>
      <c r="B194">
        <f>Model!J227</f>
        <v>0</v>
      </c>
      <c r="C194">
        <f>Model!K227</f>
        <v>0</v>
      </c>
      <c r="D194">
        <f>Model!L227</f>
        <v>0</v>
      </c>
      <c r="E194">
        <f>Model!M227</f>
        <v>0</v>
      </c>
      <c r="F194">
        <f>Model!N227</f>
        <v>0</v>
      </c>
      <c r="G194">
        <f>Model!O227</f>
        <v>0</v>
      </c>
      <c r="H194">
        <f>Model!P227</f>
        <v>0</v>
      </c>
      <c r="I194">
        <f>Model!Q227</f>
        <v>0</v>
      </c>
      <c r="J194">
        <f>Model!R227</f>
        <v>0</v>
      </c>
      <c r="K194">
        <f>Model!S227</f>
        <v>0</v>
      </c>
      <c r="L194">
        <f>Model!T227</f>
        <v>0</v>
      </c>
      <c r="M194">
        <f>Model!U227</f>
        <v>0</v>
      </c>
      <c r="N194">
        <f>Model!V227</f>
        <v>0</v>
      </c>
      <c r="O194">
        <f>Model!W227</f>
        <v>0</v>
      </c>
      <c r="P194">
        <f>Model!X227</f>
        <v>0</v>
      </c>
      <c r="Q194">
        <f>Model!Y227</f>
        <v>0</v>
      </c>
      <c r="R194">
        <f>Model!Z227</f>
        <v>0</v>
      </c>
      <c r="S194">
        <f>Model!AA227</f>
        <v>0</v>
      </c>
      <c r="T194">
        <f>Model!AB227</f>
        <v>0</v>
      </c>
      <c r="U194">
        <f>Model!AC227</f>
        <v>0</v>
      </c>
      <c r="V194">
        <f>Model!AD227</f>
        <v>0</v>
      </c>
      <c r="W194">
        <f>Model!AE227</f>
        <v>0</v>
      </c>
      <c r="X194">
        <f>Model!AF227</f>
        <v>0</v>
      </c>
      <c r="Y194">
        <f>Model!AG227</f>
        <v>0</v>
      </c>
      <c r="Z194">
        <f>Model!AH227</f>
        <v>0</v>
      </c>
      <c r="AA194">
        <f>Model!AI227</f>
        <v>0</v>
      </c>
      <c r="AB194">
        <f>Model!AJ227</f>
        <v>0</v>
      </c>
      <c r="AC194">
        <f>Model!AK227</f>
        <v>0</v>
      </c>
      <c r="AD194">
        <f>Model!AL227</f>
        <v>0</v>
      </c>
      <c r="AE194">
        <f>Model!AM227</f>
        <v>0</v>
      </c>
      <c r="AF194">
        <f>Model!AN227</f>
        <v>0</v>
      </c>
      <c r="AG194">
        <f>Model!AO227</f>
        <v>0</v>
      </c>
      <c r="AH194">
        <f>Model!AP227</f>
        <v>0</v>
      </c>
      <c r="AI194">
        <f>Model!AQ227</f>
        <v>0</v>
      </c>
      <c r="AJ194">
        <f>Model!AR227</f>
        <v>0</v>
      </c>
      <c r="AK194">
        <f>Model!AS227</f>
        <v>0</v>
      </c>
      <c r="AL194">
        <f>Model!AT227</f>
        <v>0</v>
      </c>
      <c r="AM194">
        <f>Model!AU227</f>
        <v>0</v>
      </c>
      <c r="AN194">
        <f>Model!AV227</f>
        <v>0</v>
      </c>
      <c r="AO194">
        <f>Model!AW227</f>
        <v>0</v>
      </c>
      <c r="AP194">
        <f>Model!AX227</f>
        <v>38.424999999999997</v>
      </c>
      <c r="AQ194">
        <f>Model!AY227</f>
        <v>-255.19200000000001</v>
      </c>
      <c r="AR194">
        <f>Model!AZ227</f>
        <v>0</v>
      </c>
      <c r="AS194">
        <f>Model!BA227</f>
        <v>0</v>
      </c>
      <c r="AT194">
        <f>Model!BB227</f>
        <v>0</v>
      </c>
      <c r="AU194">
        <f>Model!BC227</f>
        <v>0</v>
      </c>
      <c r="AV194">
        <f>Model!BD227</f>
        <v>0</v>
      </c>
      <c r="AW194">
        <f>Model!BE227</f>
        <v>0</v>
      </c>
      <c r="AX194">
        <f>Model!BF227</f>
        <v>0</v>
      </c>
      <c r="AY194">
        <f>Model!BG227</f>
        <v>0</v>
      </c>
      <c r="AZ194">
        <f>Model!BH227</f>
        <v>0</v>
      </c>
      <c r="BA194">
        <f>Model!BI227</f>
        <v>0</v>
      </c>
      <c r="BB194">
        <f>Model!BJ227</f>
        <v>0</v>
      </c>
      <c r="BC194">
        <f>Model!BK227</f>
        <v>0</v>
      </c>
      <c r="BD194">
        <f>Model!BL227</f>
        <v>0</v>
      </c>
      <c r="BE194">
        <f>Model!BM227</f>
        <v>0</v>
      </c>
      <c r="BF194">
        <f>Model!BN227</f>
        <v>0</v>
      </c>
      <c r="BG194">
        <f>Model!BO227</f>
        <v>0</v>
      </c>
      <c r="BH194">
        <f>Model!BP227</f>
        <v>0</v>
      </c>
      <c r="BI194">
        <f>Model!BQ227</f>
        <v>0</v>
      </c>
      <c r="BJ194">
        <f>Model!BR227</f>
        <v>0</v>
      </c>
      <c r="BK194">
        <f>Model!BS227</f>
        <v>0</v>
      </c>
      <c r="BL194">
        <f>Model!BT227</f>
        <v>0</v>
      </c>
      <c r="BM194">
        <f>Model!BU227</f>
        <v>0</v>
      </c>
      <c r="BN194">
        <f>Model!BV227</f>
        <v>0</v>
      </c>
      <c r="BO194">
        <f>Model!BW227</f>
        <v>0</v>
      </c>
      <c r="BP194">
        <f>Model!BX227</f>
        <v>0</v>
      </c>
      <c r="BQ194">
        <f>Model!BY227</f>
        <v>0</v>
      </c>
      <c r="BR194">
        <f>Model!BZ227</f>
        <v>0</v>
      </c>
      <c r="BS194">
        <f>Model!CA227</f>
        <v>0</v>
      </c>
      <c r="BT194">
        <f>Model!CB227</f>
        <v>0</v>
      </c>
      <c r="BU194">
        <f>Model!CC227</f>
        <v>0</v>
      </c>
      <c r="BV194">
        <f>Model!CD227</f>
        <v>0</v>
      </c>
      <c r="BW194">
        <f>Model!CE227</f>
        <v>0</v>
      </c>
      <c r="BX194">
        <f>Model!CF227</f>
        <v>0</v>
      </c>
      <c r="BY194">
        <f>Model!CG227</f>
        <v>0</v>
      </c>
      <c r="BZ194">
        <f>Model!CH227</f>
        <v>0</v>
      </c>
      <c r="CA194">
        <f>Model!CI227</f>
        <v>0</v>
      </c>
      <c r="CB194">
        <f>Model!CJ227</f>
        <v>0</v>
      </c>
      <c r="CC194">
        <f>Model!CK227</f>
        <v>0</v>
      </c>
      <c r="CD194">
        <f>Model!CL227</f>
        <v>0</v>
      </c>
      <c r="CE194">
        <f>Model!CM227</f>
        <v>0</v>
      </c>
      <c r="CF194">
        <f>Model!CN227</f>
        <v>0</v>
      </c>
      <c r="CG194">
        <f>Model!CO227</f>
        <v>0</v>
      </c>
      <c r="CH194">
        <f>Model!CP227</f>
        <v>0</v>
      </c>
      <c r="CI194">
        <f>Model!CQ227</f>
        <v>0</v>
      </c>
      <c r="CJ194">
        <f>Model!CR227</f>
        <v>0</v>
      </c>
      <c r="CK194">
        <f>Model!CS227</f>
        <v>0</v>
      </c>
      <c r="CL194">
        <f>Model!CT227</f>
        <v>0</v>
      </c>
      <c r="CM194">
        <f>Model!CU227</f>
        <v>0</v>
      </c>
      <c r="CN194">
        <f>Model!CV227</f>
        <v>0</v>
      </c>
      <c r="CO194">
        <f>Model!CW227</f>
        <v>0</v>
      </c>
      <c r="CP194">
        <f>Model!CX227</f>
        <v>0</v>
      </c>
      <c r="CQ194">
        <f>Model!CY227</f>
        <v>0</v>
      </c>
      <c r="CR194">
        <f>Model!CZ227</f>
        <v>0</v>
      </c>
      <c r="CS194">
        <f>Model!DA227</f>
        <v>0</v>
      </c>
      <c r="CT194">
        <f>Model!DB227</f>
        <v>0</v>
      </c>
      <c r="CU194">
        <f>Model!DC227</f>
        <v>0</v>
      </c>
      <c r="CV194">
        <f>Model!DD227</f>
        <v>0</v>
      </c>
      <c r="CW194">
        <f>Model!DE227</f>
        <v>0</v>
      </c>
      <c r="CX194">
        <f>Model!DF227</f>
        <v>0</v>
      </c>
    </row>
    <row r="195" spans="1:102">
      <c r="A195" t="str">
        <f>Model!I228</f>
        <v>Domestic Merchant Sanity Check</v>
      </c>
      <c r="B195">
        <f>Model!J228</f>
        <v>0</v>
      </c>
      <c r="C195">
        <f>Model!K228</f>
        <v>0</v>
      </c>
      <c r="D195">
        <f>Model!L228</f>
        <v>0</v>
      </c>
      <c r="E195">
        <f>Model!M228</f>
        <v>0</v>
      </c>
      <c r="F195">
        <f>Model!N228</f>
        <v>0</v>
      </c>
      <c r="G195">
        <f>Model!O228</f>
        <v>0</v>
      </c>
      <c r="H195">
        <f>Model!P228</f>
        <v>0</v>
      </c>
      <c r="I195">
        <f>Model!Q228</f>
        <v>0</v>
      </c>
      <c r="J195">
        <f>Model!R228</f>
        <v>0</v>
      </c>
      <c r="K195">
        <f>Model!S228</f>
        <v>0</v>
      </c>
      <c r="L195">
        <f>Model!T228</f>
        <v>0</v>
      </c>
      <c r="M195">
        <f>Model!U228</f>
        <v>0</v>
      </c>
      <c r="N195">
        <f>Model!V228</f>
        <v>0</v>
      </c>
      <c r="O195">
        <f>Model!W228</f>
        <v>0</v>
      </c>
      <c r="P195">
        <f>Model!X228</f>
        <v>0</v>
      </c>
      <c r="Q195">
        <f>Model!Y228</f>
        <v>0</v>
      </c>
      <c r="R195">
        <f>Model!Z228</f>
        <v>0</v>
      </c>
      <c r="S195">
        <f>Model!AA228</f>
        <v>0</v>
      </c>
      <c r="T195">
        <f>Model!AB228</f>
        <v>0</v>
      </c>
      <c r="U195">
        <f>Model!AC228</f>
        <v>0</v>
      </c>
      <c r="V195">
        <f>Model!AD228</f>
        <v>0</v>
      </c>
      <c r="W195">
        <f>Model!AE228</f>
        <v>0</v>
      </c>
      <c r="X195">
        <f>Model!AF228</f>
        <v>0</v>
      </c>
      <c r="Y195">
        <f>Model!AG228</f>
        <v>0</v>
      </c>
      <c r="Z195">
        <f>Model!AH228</f>
        <v>0</v>
      </c>
      <c r="AA195">
        <f>Model!AI228</f>
        <v>0</v>
      </c>
      <c r="AB195">
        <f>Model!AJ228</f>
        <v>0</v>
      </c>
      <c r="AC195">
        <f>Model!AK228</f>
        <v>0</v>
      </c>
      <c r="AD195">
        <f>Model!AL228</f>
        <v>0</v>
      </c>
      <c r="AE195">
        <f>Model!AM228</f>
        <v>0</v>
      </c>
      <c r="AF195">
        <f>Model!AN228</f>
        <v>0</v>
      </c>
      <c r="AG195">
        <f>Model!AO228</f>
        <v>0</v>
      </c>
      <c r="AH195">
        <f>Model!AP228</f>
        <v>0</v>
      </c>
      <c r="AI195">
        <f>Model!AQ228</f>
        <v>0</v>
      </c>
      <c r="AJ195">
        <f>Model!AR228</f>
        <v>0</v>
      </c>
      <c r="AK195">
        <f>Model!AS228</f>
        <v>0</v>
      </c>
      <c r="AL195">
        <f>Model!AT228</f>
        <v>0</v>
      </c>
      <c r="AM195">
        <f>Model!AU228</f>
        <v>0</v>
      </c>
      <c r="AN195">
        <f>Model!AV228</f>
        <v>0</v>
      </c>
      <c r="AO195">
        <f>Model!AW228</f>
        <v>0</v>
      </c>
      <c r="AP195">
        <f>Model!AX228</f>
        <v>0</v>
      </c>
      <c r="AQ195">
        <f>Model!AY228</f>
        <v>0</v>
      </c>
      <c r="AR195">
        <f>Model!AZ228</f>
        <v>0</v>
      </c>
      <c r="AS195">
        <f>Model!BA228</f>
        <v>0</v>
      </c>
      <c r="AT195">
        <f>Model!BB228</f>
        <v>0</v>
      </c>
      <c r="AU195">
        <f>Model!BC228</f>
        <v>0</v>
      </c>
      <c r="AV195">
        <f>Model!BD228</f>
        <v>0</v>
      </c>
      <c r="AW195">
        <f>Model!BE228</f>
        <v>0</v>
      </c>
      <c r="AX195">
        <f>Model!BF228</f>
        <v>0</v>
      </c>
      <c r="AY195">
        <f>Model!BG228</f>
        <v>0</v>
      </c>
      <c r="AZ195">
        <f>Model!BH228</f>
        <v>0</v>
      </c>
      <c r="BA195">
        <f>Model!BI228</f>
        <v>0</v>
      </c>
      <c r="BB195">
        <f>Model!BJ228</f>
        <v>0</v>
      </c>
      <c r="BC195">
        <f>Model!BK228</f>
        <v>0</v>
      </c>
      <c r="BD195">
        <f>Model!BL228</f>
        <v>0</v>
      </c>
      <c r="BE195">
        <f>Model!BM228</f>
        <v>0</v>
      </c>
      <c r="BF195">
        <f>Model!BN228</f>
        <v>0</v>
      </c>
      <c r="BG195">
        <f>Model!BO228</f>
        <v>0</v>
      </c>
      <c r="BH195">
        <f>Model!BP228</f>
        <v>0</v>
      </c>
      <c r="BI195">
        <f>Model!BQ228</f>
        <v>0</v>
      </c>
      <c r="BJ195">
        <f>Model!BR228</f>
        <v>0</v>
      </c>
      <c r="BK195">
        <f>Model!BS228</f>
        <v>0</v>
      </c>
      <c r="BL195">
        <f>Model!BT228</f>
        <v>0</v>
      </c>
      <c r="BM195">
        <f>Model!BU228</f>
        <v>0</v>
      </c>
      <c r="BN195">
        <f>Model!BV228</f>
        <v>0</v>
      </c>
      <c r="BO195">
        <f>Model!BW228</f>
        <v>0</v>
      </c>
      <c r="BP195">
        <f>Model!BX228</f>
        <v>0</v>
      </c>
      <c r="BQ195">
        <f>Model!BY228</f>
        <v>0</v>
      </c>
      <c r="BR195">
        <f>Model!BZ228</f>
        <v>0</v>
      </c>
      <c r="BS195">
        <f>Model!CA228</f>
        <v>0</v>
      </c>
      <c r="BT195">
        <f>Model!CB228</f>
        <v>0</v>
      </c>
      <c r="BU195">
        <f>Model!CC228</f>
        <v>0</v>
      </c>
      <c r="BV195">
        <f>Model!CD228</f>
        <v>0</v>
      </c>
      <c r="BW195">
        <f>Model!CE228</f>
        <v>0</v>
      </c>
      <c r="BX195">
        <f>Model!CF228</f>
        <v>0</v>
      </c>
      <c r="BY195">
        <f>Model!CG228</f>
        <v>0</v>
      </c>
      <c r="BZ195">
        <f>Model!CH228</f>
        <v>0</v>
      </c>
      <c r="CA195">
        <f>Model!CI228</f>
        <v>0</v>
      </c>
      <c r="CB195">
        <f>Model!CJ228</f>
        <v>0</v>
      </c>
      <c r="CC195">
        <f>Model!CK228</f>
        <v>0</v>
      </c>
      <c r="CD195">
        <f>Model!CL228</f>
        <v>0</v>
      </c>
      <c r="CE195">
        <f>Model!CM228</f>
        <v>0</v>
      </c>
      <c r="CF195">
        <f>Model!CN228</f>
        <v>0</v>
      </c>
      <c r="CG195">
        <f>Model!CO228</f>
        <v>0</v>
      </c>
      <c r="CH195">
        <f>Model!CP228</f>
        <v>0</v>
      </c>
      <c r="CI195">
        <f>Model!CQ228</f>
        <v>0</v>
      </c>
      <c r="CJ195">
        <f>Model!CR228</f>
        <v>0</v>
      </c>
      <c r="CK195">
        <f>Model!CS228</f>
        <v>0</v>
      </c>
      <c r="CL195">
        <f>Model!CT228</f>
        <v>0</v>
      </c>
      <c r="CM195">
        <f>Model!CU228</f>
        <v>0</v>
      </c>
      <c r="CN195">
        <f>Model!CV228</f>
        <v>0</v>
      </c>
      <c r="CO195">
        <f>Model!CW228</f>
        <v>0</v>
      </c>
      <c r="CP195">
        <f>Model!CX228</f>
        <v>0</v>
      </c>
      <c r="CQ195">
        <f>Model!CY228</f>
        <v>0</v>
      </c>
      <c r="CR195">
        <f>Model!CZ228</f>
        <v>0</v>
      </c>
      <c r="CS195">
        <f>Model!DA228</f>
        <v>0</v>
      </c>
      <c r="CT195">
        <f>Model!DB228</f>
        <v>0</v>
      </c>
      <c r="CU195">
        <f>Model!DC228</f>
        <v>0</v>
      </c>
      <c r="CV195">
        <f>Model!DD228</f>
        <v>0</v>
      </c>
      <c r="CW195">
        <f>Model!DE228</f>
        <v>0</v>
      </c>
      <c r="CX195">
        <f>Model!DF228</f>
        <v>0</v>
      </c>
    </row>
    <row r="196" spans="1:102">
      <c r="A196" t="str">
        <f>Model!I229</f>
        <v>Domestic Merchant Gross Margin % (% of Merch Bookings)</v>
      </c>
      <c r="B196">
        <f>Model!J229</f>
        <v>0</v>
      </c>
      <c r="C196">
        <f>Model!K229</f>
        <v>0</v>
      </c>
      <c r="D196">
        <f>Model!L229</f>
        <v>0</v>
      </c>
      <c r="E196">
        <f>Model!M229</f>
        <v>0</v>
      </c>
      <c r="F196">
        <f>Model!N229</f>
        <v>0</v>
      </c>
      <c r="G196">
        <f>Model!O229</f>
        <v>0</v>
      </c>
      <c r="H196">
        <f>Model!P229</f>
        <v>0</v>
      </c>
      <c r="I196">
        <f>Model!Q229</f>
        <v>0</v>
      </c>
      <c r="J196">
        <f>Model!R229</f>
        <v>0</v>
      </c>
      <c r="K196">
        <f>Model!S229</f>
        <v>0</v>
      </c>
      <c r="L196">
        <f>Model!T229</f>
        <v>0</v>
      </c>
      <c r="M196">
        <f>Model!U229</f>
        <v>0</v>
      </c>
      <c r="N196">
        <f>Model!V229</f>
        <v>0</v>
      </c>
      <c r="O196">
        <f>Model!W229</f>
        <v>0</v>
      </c>
      <c r="P196">
        <f>Model!X229</f>
        <v>0</v>
      </c>
      <c r="Q196">
        <f>Model!Y229</f>
        <v>0</v>
      </c>
      <c r="R196">
        <f>Model!Z229</f>
        <v>0</v>
      </c>
      <c r="S196">
        <f>Model!AA229</f>
        <v>0</v>
      </c>
      <c r="T196">
        <f>Model!AB229</f>
        <v>0</v>
      </c>
      <c r="U196">
        <f>Model!AC229</f>
        <v>0</v>
      </c>
      <c r="V196">
        <f>Model!AD229</f>
        <v>0</v>
      </c>
      <c r="W196">
        <f>Model!AE229</f>
        <v>0</v>
      </c>
      <c r="X196">
        <f>Model!AF229</f>
        <v>0</v>
      </c>
      <c r="Y196">
        <f>Model!AG229</f>
        <v>0</v>
      </c>
      <c r="Z196">
        <f>Model!AH229</f>
        <v>0</v>
      </c>
      <c r="AA196">
        <f>Model!AI229</f>
        <v>0</v>
      </c>
      <c r="AB196">
        <f>Model!AJ229</f>
        <v>0</v>
      </c>
      <c r="AC196">
        <f>Model!AK229</f>
        <v>0.16828898157054908</v>
      </c>
      <c r="AD196">
        <f>Model!AL229</f>
        <v>0.17082790803767434</v>
      </c>
      <c r="AE196">
        <f>Model!AM229</f>
        <v>0.17311471453525787</v>
      </c>
      <c r="AF196">
        <f>Model!AN229</f>
        <v>0.17939140431109504</v>
      </c>
      <c r="AG196">
        <f>Model!AO229</f>
        <v>0.17454306623100752</v>
      </c>
      <c r="AH196">
        <f>Model!AP229</f>
        <v>0.16893167672906137</v>
      </c>
      <c r="AI196">
        <f>Model!AQ229</f>
        <v>0.17794339832116124</v>
      </c>
      <c r="AJ196">
        <f>Model!AR229</f>
        <v>0.18594918188617618</v>
      </c>
      <c r="AK196">
        <f>Model!AS229</f>
        <v>0.18018351778903266</v>
      </c>
      <c r="AL196">
        <f>Model!AT229</f>
        <v>0.17294470453495148</v>
      </c>
      <c r="AM196">
        <f>Model!AU229</f>
        <v>0.17955705858915677</v>
      </c>
      <c r="AN196">
        <f>Model!AV229</f>
        <v>0.18496050849374143</v>
      </c>
      <c r="AO196">
        <f>Model!AW229</f>
        <v>0.18481026848477503</v>
      </c>
      <c r="AP196">
        <f>Model!AX229</f>
        <v>0.17974047975898777</v>
      </c>
      <c r="AQ196">
        <f>Model!AY229</f>
        <v>0.2142776158319537</v>
      </c>
      <c r="AR196">
        <f>Model!AZ229</f>
        <v>0.20588079054092659</v>
      </c>
      <c r="AS196">
        <f>Model!BA229</f>
        <v>0.20600957905888398</v>
      </c>
      <c r="AT196">
        <f>Model!BB229</f>
        <v>0.18514671700512328</v>
      </c>
      <c r="AU196">
        <f>Model!BC229</f>
        <v>0.2494343120737478</v>
      </c>
      <c r="AV196">
        <f>Model!BD229</f>
        <v>0.23556694389129684</v>
      </c>
      <c r="AW196">
        <f>Model!BE229</f>
        <v>0.23123796857300594</v>
      </c>
      <c r="AX196">
        <f>Model!BF229</f>
        <v>0.22520167605358882</v>
      </c>
      <c r="AY196">
        <f>Model!BG229</f>
        <v>0.31461266350563305</v>
      </c>
      <c r="AZ196">
        <f>Model!BH229</f>
        <v>0.2295613637988137</v>
      </c>
      <c r="BA196">
        <f>Model!BI229</f>
        <v>0.20824121101719167</v>
      </c>
      <c r="BB196">
        <f>Model!BJ229</f>
        <v>0.22645602681524385</v>
      </c>
      <c r="BC196">
        <f>Model!BK229</f>
        <v>0.41806283214078721</v>
      </c>
      <c r="BD196">
        <f>Model!BL229</f>
        <v>0.271893273253626</v>
      </c>
      <c r="BE196">
        <f>Model!BM229</f>
        <v>0.27818509326263041</v>
      </c>
      <c r="BF196">
        <f>Model!BN229</f>
        <v>0.26924828844814486</v>
      </c>
      <c r="BG196">
        <f>Model!BO229</f>
        <v>0.72413519724037867</v>
      </c>
      <c r="BH196">
        <f>Model!BP229</f>
        <v>0.49932211934646153</v>
      </c>
      <c r="BI196">
        <f>Model!BQ229</f>
        <v>0.50617390930459061</v>
      </c>
      <c r="BJ196">
        <f>Model!BR229</f>
        <v>0.40626724325112118</v>
      </c>
      <c r="BK196">
        <f>Model!BS229</f>
        <v>1.52387624221921</v>
      </c>
      <c r="BL196">
        <f>Model!BT229</f>
        <v>3.1727629768054557</v>
      </c>
      <c r="BM196">
        <f>Model!BU229</f>
        <v>0.60314471267891046</v>
      </c>
      <c r="BN196">
        <f>Model!BV229</f>
        <v>0.54152333484506254</v>
      </c>
      <c r="BO196">
        <f>Model!BW229</f>
        <v>3.0713188652146304</v>
      </c>
      <c r="BP196">
        <f>Model!BX229</f>
        <v>3.7190344874232144</v>
      </c>
      <c r="BQ196">
        <f>Model!BY229</f>
        <v>0.17901570564688662</v>
      </c>
      <c r="BR196">
        <f>Model!BZ229</f>
        <v>0.2067473025668923</v>
      </c>
      <c r="BS196">
        <f>Model!CA229</f>
        <v>5.2785304585029627</v>
      </c>
      <c r="BT196">
        <f>Model!CB229</f>
        <v>8.2079149102246713</v>
      </c>
      <c r="BU196">
        <f>Model!CC229</f>
        <v>0.19268570096133339</v>
      </c>
      <c r="BV196">
        <f>Model!CD229</f>
        <v>0.22461762181653031</v>
      </c>
      <c r="BW196">
        <f>Model!CE229</f>
        <v>6.9017439983176532</v>
      </c>
      <c r="BX196">
        <f>Model!CF229</f>
        <v>10.808391487217243</v>
      </c>
      <c r="BY196">
        <f>Model!CG229</f>
        <v>0</v>
      </c>
      <c r="BZ196">
        <f>Model!CH229</f>
        <v>0</v>
      </c>
      <c r="CA196">
        <f>Model!CI229</f>
        <v>0</v>
      </c>
      <c r="CB196">
        <f>Model!CJ229</f>
        <v>0</v>
      </c>
      <c r="CC196">
        <f>Model!CK229</f>
        <v>0</v>
      </c>
      <c r="CD196">
        <f>Model!CL229</f>
        <v>0</v>
      </c>
      <c r="CE196">
        <f>Model!CM229</f>
        <v>0</v>
      </c>
      <c r="CF196">
        <f>Model!CN229</f>
        <v>0.17096208263046755</v>
      </c>
      <c r="CG196">
        <f>Model!CO229</f>
        <v>0.17637700397846537</v>
      </c>
      <c r="CH196">
        <f>Model!CP229</f>
        <v>0.1791315964466757</v>
      </c>
      <c r="CI196">
        <f>Model!CQ229</f>
        <v>0.19643021143704939</v>
      </c>
      <c r="CJ196">
        <f>Model!CR229</f>
        <v>0.21839148188811935</v>
      </c>
      <c r="CK196">
        <f>Model!CS229</f>
        <v>0.24953847793566608</v>
      </c>
      <c r="CL196">
        <f>Model!CT229</f>
        <v>0.27321130471158428</v>
      </c>
      <c r="CM196">
        <f>Model!CU229</f>
        <v>0.38917031805111724</v>
      </c>
      <c r="CN196">
        <f>Model!CV229</f>
        <v>0.82338161714514857</v>
      </c>
      <c r="CO196">
        <f>Model!CW229</f>
        <v>1.3552397763304354</v>
      </c>
      <c r="CP196">
        <f>Model!CX229</f>
        <v>1.896485891645586</v>
      </c>
      <c r="CQ196">
        <f>Model!CY229</f>
        <v>2.4541842883006755</v>
      </c>
      <c r="CR196">
        <f>Model!CZ229</f>
        <v>3.1998104451840654</v>
      </c>
      <c r="CS196">
        <f>Model!DA229</f>
        <v>4.127880729440613</v>
      </c>
      <c r="CT196">
        <f>Model!DB229</f>
        <v>4.6926972923133263</v>
      </c>
      <c r="CU196">
        <f>Model!DC229</f>
        <v>5.3359917531765069</v>
      </c>
      <c r="CV196">
        <f>Model!DD229</f>
        <v>6.0685799454223037</v>
      </c>
      <c r="CW196">
        <f>Model!DE229</f>
        <v>6.9027589373018268</v>
      </c>
      <c r="CX196">
        <f>Model!DF229</f>
        <v>7.8525088769885683</v>
      </c>
    </row>
    <row r="197" spans="1:102">
      <c r="A197" t="str">
        <f>Model!I230</f>
        <v>% change Y/Y (in bp)</v>
      </c>
      <c r="B197">
        <f>Model!J230</f>
        <v>0</v>
      </c>
      <c r="C197">
        <f>Model!K230</f>
        <v>0</v>
      </c>
      <c r="D197">
        <f>Model!L230</f>
        <v>0</v>
      </c>
      <c r="E197">
        <f>Model!M230</f>
        <v>0</v>
      </c>
      <c r="F197">
        <f>Model!N230</f>
        <v>0</v>
      </c>
      <c r="G197">
        <f>Model!O230</f>
        <v>0</v>
      </c>
      <c r="H197">
        <f>Model!P230</f>
        <v>0</v>
      </c>
      <c r="I197">
        <f>Model!Q230</f>
        <v>0</v>
      </c>
      <c r="J197">
        <f>Model!R230</f>
        <v>0</v>
      </c>
      <c r="K197">
        <f>Model!S230</f>
        <v>0</v>
      </c>
      <c r="L197">
        <f>Model!T230</f>
        <v>0</v>
      </c>
      <c r="M197">
        <f>Model!U230</f>
        <v>0</v>
      </c>
      <c r="N197">
        <f>Model!V230</f>
        <v>0</v>
      </c>
      <c r="O197">
        <f>Model!W230</f>
        <v>0</v>
      </c>
      <c r="P197">
        <f>Model!X230</f>
        <v>0</v>
      </c>
      <c r="Q197">
        <f>Model!Y230</f>
        <v>0</v>
      </c>
      <c r="R197">
        <f>Model!Z230</f>
        <v>0</v>
      </c>
      <c r="S197">
        <f>Model!AA230</f>
        <v>0</v>
      </c>
      <c r="T197">
        <f>Model!AB230</f>
        <v>0</v>
      </c>
      <c r="U197">
        <f>Model!AC230</f>
        <v>0</v>
      </c>
      <c r="V197">
        <f>Model!AD230</f>
        <v>0</v>
      </c>
      <c r="W197">
        <f>Model!AE230</f>
        <v>0</v>
      </c>
      <c r="X197">
        <f>Model!AF230</f>
        <v>0</v>
      </c>
      <c r="Y197">
        <f>Model!AG230</f>
        <v>0</v>
      </c>
      <c r="Z197">
        <f>Model!AH230</f>
        <v>0</v>
      </c>
      <c r="AA197">
        <f>Model!AI230</f>
        <v>0</v>
      </c>
      <c r="AB197">
        <f>Model!AJ230</f>
        <v>0</v>
      </c>
      <c r="AC197">
        <f>Model!AK230</f>
        <v>0</v>
      </c>
      <c r="AD197">
        <f>Model!AL230</f>
        <v>0</v>
      </c>
      <c r="AE197">
        <f>Model!AM230</f>
        <v>0</v>
      </c>
      <c r="AF197">
        <f>Model!AN230</f>
        <v>0</v>
      </c>
      <c r="AG197">
        <f>Model!AO230</f>
        <v>62.54084660458431</v>
      </c>
      <c r="AH197">
        <f>Model!AP230</f>
        <v>-18.962313086129669</v>
      </c>
      <c r="AI197">
        <f>Model!AQ230</f>
        <v>48.286837859033703</v>
      </c>
      <c r="AJ197">
        <f>Model!AR230</f>
        <v>65.577775750811355</v>
      </c>
      <c r="AK197">
        <f>Model!AS230</f>
        <v>56.404515580251449</v>
      </c>
      <c r="AL197">
        <f>Model!AT230</f>
        <v>40.130278058901069</v>
      </c>
      <c r="AM197">
        <f>Model!AU230</f>
        <v>16.136602679955313</v>
      </c>
      <c r="AN197">
        <f>Model!AV230</f>
        <v>-9.8867339243474675</v>
      </c>
      <c r="AO197">
        <f>Model!AW230</f>
        <v>46.267506957423656</v>
      </c>
      <c r="AP197">
        <f>Model!AX230</f>
        <v>67.957752240362936</v>
      </c>
      <c r="AQ197">
        <f>Model!AY230</f>
        <v>347.20557242796934</v>
      </c>
      <c r="AR197">
        <f>Model!AZ230</f>
        <v>209.20282047185157</v>
      </c>
      <c r="AS197">
        <f>Model!BA230</f>
        <v>211.99310574108955</v>
      </c>
      <c r="AT197">
        <f>Model!BB230</f>
        <v>54.062372461355089</v>
      </c>
      <c r="AU197">
        <f>Model!BC230</f>
        <v>351.566962417941</v>
      </c>
      <c r="AV197">
        <f>Model!BD230</f>
        <v>296.86153350370256</v>
      </c>
      <c r="AW197">
        <f>Model!BE230</f>
        <v>252.28389514121957</v>
      </c>
      <c r="AX197">
        <f>Model!BF230</f>
        <v>400.54959048465537</v>
      </c>
      <c r="AY197">
        <f>Model!BG230</f>
        <v>651.78351431885244</v>
      </c>
      <c r="AZ197">
        <f>Model!BH230</f>
        <v>-60.055800924831424</v>
      </c>
      <c r="BA197">
        <f>Model!BI230</f>
        <v>-229.96757555814261</v>
      </c>
      <c r="BB197">
        <f>Model!BJ230</f>
        <v>12.54350761655032</v>
      </c>
      <c r="BC197">
        <f>Model!BK230</f>
        <v>1034.5016863515416</v>
      </c>
      <c r="BD197">
        <f>Model!BL230</f>
        <v>423.31909454812302</v>
      </c>
      <c r="BE197">
        <f>Model!BM230</f>
        <v>699.43882245438738</v>
      </c>
      <c r="BF197">
        <f>Model!BN230</f>
        <v>427.92261632901005</v>
      </c>
      <c r="BG197">
        <f>Model!BO230</f>
        <v>3060.7236509959148</v>
      </c>
      <c r="BH197">
        <f>Model!BP230</f>
        <v>2274.2884609283556</v>
      </c>
      <c r="BI197">
        <f>Model!BQ230</f>
        <v>2279.8881604196022</v>
      </c>
      <c r="BJ197">
        <f>Model!BR230</f>
        <v>1370.1895480297633</v>
      </c>
      <c r="BK197">
        <f>Model!BS230</f>
        <v>7997.4104497883136</v>
      </c>
      <c r="BL197">
        <f>Model!BT230</f>
        <v>26734.408574589943</v>
      </c>
      <c r="BM197">
        <f>Model!BU230</f>
        <v>969.70803374319848</v>
      </c>
      <c r="BN197">
        <f>Model!BV230</f>
        <v>1352.5609159394137</v>
      </c>
      <c r="BO197">
        <f>Model!BW230</f>
        <v>15474.426229954204</v>
      </c>
      <c r="BP197">
        <f>Model!BX230</f>
        <v>5462.7151061775867</v>
      </c>
      <c r="BQ197">
        <f>Model!BY230</f>
        <v>-4241.2900703202386</v>
      </c>
      <c r="BR197">
        <f>Model!BZ230</f>
        <v>-3347.7603227817021</v>
      </c>
      <c r="BS197">
        <f>Model!CA230</f>
        <v>22072.115932883324</v>
      </c>
      <c r="BT197">
        <f>Model!CB230</f>
        <v>44888.804228014567</v>
      </c>
      <c r="BU197">
        <f>Model!CC230</f>
        <v>136.69995314446766</v>
      </c>
      <c r="BV197">
        <f>Model!CD230</f>
        <v>178.70319249638001</v>
      </c>
      <c r="BW197">
        <f>Model!CE230</f>
        <v>16232.135398146906</v>
      </c>
      <c r="BX197">
        <f>Model!CF230</f>
        <v>26004.765769925714</v>
      </c>
      <c r="BY197">
        <f>Model!CG230</f>
        <v>0</v>
      </c>
      <c r="BZ197">
        <f>Model!CH230</f>
        <v>0</v>
      </c>
      <c r="CA197">
        <f>Model!CI230</f>
        <v>0</v>
      </c>
      <c r="CB197">
        <f>Model!CJ230</f>
        <v>0</v>
      </c>
      <c r="CC197">
        <f>Model!CK230</f>
        <v>0</v>
      </c>
      <c r="CD197">
        <f>Model!CL230</f>
        <v>0</v>
      </c>
      <c r="CE197">
        <f>Model!CM230</f>
        <v>0</v>
      </c>
      <c r="CF197">
        <f>Model!CN230</f>
        <v>0</v>
      </c>
      <c r="CG197">
        <f>Model!CO230</f>
        <v>54.149213479978144</v>
      </c>
      <c r="CH197">
        <f>Model!CP230</f>
        <v>27.545924682103319</v>
      </c>
      <c r="CI197">
        <f>Model!CQ230</f>
        <v>172.9861499037369</v>
      </c>
      <c r="CJ197">
        <f>Model!CR230</f>
        <v>219.61270451069964</v>
      </c>
      <c r="CK197">
        <f>Model!CS230</f>
        <v>311.46996047546725</v>
      </c>
      <c r="CL197">
        <f>Model!CT230</f>
        <v>236.72826775918199</v>
      </c>
      <c r="CM197">
        <f>Model!CU230</f>
        <v>1159.5901333953295</v>
      </c>
      <c r="CN197">
        <f>Model!CV230</f>
        <v>4342.1129909403135</v>
      </c>
      <c r="CO197">
        <f>Model!CW230</f>
        <v>5318.5815918528679</v>
      </c>
      <c r="CP197">
        <f>Model!CX230</f>
        <v>5412.4611531515066</v>
      </c>
      <c r="CQ197">
        <f>Model!CY230</f>
        <v>5576.9839665508944</v>
      </c>
      <c r="CR197">
        <f>Model!CZ230</f>
        <v>7456.2615688338992</v>
      </c>
      <c r="CS197">
        <f>Model!DA230</f>
        <v>9280.7028425654753</v>
      </c>
      <c r="CT197">
        <f>Model!DB230</f>
        <v>5648.1656287271335</v>
      </c>
      <c r="CU197">
        <f>Model!DC230</f>
        <v>6432.9446086318057</v>
      </c>
      <c r="CV197">
        <f>Model!DD230</f>
        <v>7325.8819224579684</v>
      </c>
      <c r="CW197">
        <f>Model!DE230</f>
        <v>8341.7899187952298</v>
      </c>
      <c r="CX197">
        <f>Model!DF230</f>
        <v>9497.4993968674153</v>
      </c>
    </row>
    <row r="198" spans="1:102">
      <c r="A198">
        <f>Model!I231</f>
        <v>0</v>
      </c>
      <c r="B198">
        <f>Model!J231</f>
        <v>0</v>
      </c>
      <c r="C198">
        <f>Model!K231</f>
        <v>0</v>
      </c>
      <c r="D198">
        <f>Model!L231</f>
        <v>0</v>
      </c>
      <c r="E198">
        <f>Model!M231</f>
        <v>0</v>
      </c>
      <c r="F198">
        <f>Model!N231</f>
        <v>0</v>
      </c>
      <c r="G198">
        <f>Model!O231</f>
        <v>0</v>
      </c>
      <c r="H198">
        <f>Model!P231</f>
        <v>0</v>
      </c>
      <c r="I198">
        <f>Model!Q231</f>
        <v>0</v>
      </c>
      <c r="J198">
        <f>Model!R231</f>
        <v>0</v>
      </c>
      <c r="K198">
        <f>Model!S231</f>
        <v>0</v>
      </c>
      <c r="L198">
        <f>Model!T231</f>
        <v>0</v>
      </c>
      <c r="M198">
        <f>Model!U231</f>
        <v>0</v>
      </c>
      <c r="N198">
        <f>Model!V231</f>
        <v>0</v>
      </c>
      <c r="O198">
        <f>Model!W231</f>
        <v>0</v>
      </c>
      <c r="P198">
        <f>Model!X231</f>
        <v>0</v>
      </c>
      <c r="Q198">
        <f>Model!Y231</f>
        <v>0</v>
      </c>
      <c r="R198">
        <f>Model!Z231</f>
        <v>0</v>
      </c>
      <c r="S198">
        <f>Model!AA231</f>
        <v>0</v>
      </c>
      <c r="T198">
        <f>Model!AB231</f>
        <v>0</v>
      </c>
      <c r="U198">
        <f>Model!AC231</f>
        <v>0</v>
      </c>
      <c r="V198">
        <f>Model!AD231</f>
        <v>0</v>
      </c>
      <c r="W198">
        <f>Model!AE231</f>
        <v>0</v>
      </c>
      <c r="X198">
        <f>Model!AF231</f>
        <v>0</v>
      </c>
      <c r="Y198">
        <f>Model!AG231</f>
        <v>0</v>
      </c>
      <c r="Z198">
        <f>Model!AH231</f>
        <v>0</v>
      </c>
      <c r="AA198">
        <f>Model!AI231</f>
        <v>0</v>
      </c>
      <c r="AB198">
        <f>Model!AJ231</f>
        <v>0</v>
      </c>
      <c r="AC198">
        <f>Model!AK231</f>
        <v>0</v>
      </c>
      <c r="AD198">
        <f>Model!AL231</f>
        <v>0</v>
      </c>
      <c r="AE198">
        <f>Model!AM231</f>
        <v>0</v>
      </c>
      <c r="AF198">
        <f>Model!AN231</f>
        <v>0</v>
      </c>
      <c r="AG198">
        <f>Model!AO231</f>
        <v>0</v>
      </c>
      <c r="AH198">
        <f>Model!AP231</f>
        <v>0</v>
      </c>
      <c r="AI198">
        <f>Model!AQ231</f>
        <v>0</v>
      </c>
      <c r="AJ198">
        <f>Model!AR231</f>
        <v>0</v>
      </c>
      <c r="AK198">
        <f>Model!AS231</f>
        <v>0</v>
      </c>
      <c r="AL198">
        <f>Model!AT231</f>
        <v>0</v>
      </c>
      <c r="AM198">
        <f>Model!AU231</f>
        <v>0</v>
      </c>
      <c r="AN198">
        <f>Model!AV231</f>
        <v>0</v>
      </c>
      <c r="AO198">
        <f>Model!AW231</f>
        <v>0</v>
      </c>
      <c r="AP198">
        <f>Model!AX231</f>
        <v>0</v>
      </c>
      <c r="AQ198">
        <f>Model!AY231</f>
        <v>0</v>
      </c>
      <c r="AR198">
        <f>Model!AZ231</f>
        <v>0</v>
      </c>
      <c r="AS198">
        <f>Model!BA231</f>
        <v>0</v>
      </c>
      <c r="AT198">
        <f>Model!BB231</f>
        <v>0</v>
      </c>
      <c r="AU198">
        <f>Model!BC231</f>
        <v>0</v>
      </c>
      <c r="AV198">
        <f>Model!BD231</f>
        <v>0</v>
      </c>
      <c r="AW198">
        <f>Model!BE231</f>
        <v>0</v>
      </c>
      <c r="AX198">
        <f>Model!BF231</f>
        <v>0</v>
      </c>
      <c r="AY198">
        <f>Model!BG231</f>
        <v>0</v>
      </c>
      <c r="AZ198">
        <f>Model!BH231</f>
        <v>0</v>
      </c>
      <c r="BA198">
        <f>Model!BI231</f>
        <v>0</v>
      </c>
      <c r="BB198">
        <f>Model!BJ231</f>
        <v>0</v>
      </c>
      <c r="BC198">
        <f>Model!BK231</f>
        <v>0</v>
      </c>
      <c r="BD198">
        <f>Model!BL231</f>
        <v>0</v>
      </c>
      <c r="BE198">
        <f>Model!BM231</f>
        <v>0</v>
      </c>
      <c r="BF198">
        <f>Model!BN231</f>
        <v>0</v>
      </c>
      <c r="BG198">
        <f>Model!BO231</f>
        <v>0</v>
      </c>
      <c r="BH198">
        <f>Model!BP231</f>
        <v>0</v>
      </c>
      <c r="BI198">
        <f>Model!BQ231</f>
        <v>0</v>
      </c>
      <c r="BJ198">
        <f>Model!BR231</f>
        <v>0</v>
      </c>
      <c r="BK198">
        <f>Model!BS231</f>
        <v>0</v>
      </c>
      <c r="BL198">
        <f>Model!BT231</f>
        <v>0</v>
      </c>
      <c r="BM198">
        <f>Model!BU231</f>
        <v>0</v>
      </c>
      <c r="BN198">
        <f>Model!BV231</f>
        <v>0</v>
      </c>
      <c r="BO198">
        <f>Model!BW231</f>
        <v>0</v>
      </c>
      <c r="BP198">
        <f>Model!BX231</f>
        <v>0</v>
      </c>
      <c r="BQ198">
        <f>Model!BY231</f>
        <v>0</v>
      </c>
      <c r="BR198">
        <f>Model!BZ231</f>
        <v>0</v>
      </c>
      <c r="BS198">
        <f>Model!CA231</f>
        <v>0</v>
      </c>
      <c r="BT198">
        <f>Model!CB231</f>
        <v>0</v>
      </c>
      <c r="BU198">
        <f>Model!CC231</f>
        <v>0</v>
      </c>
      <c r="BV198">
        <f>Model!CD231</f>
        <v>0</v>
      </c>
      <c r="BW198">
        <f>Model!CE231</f>
        <v>0</v>
      </c>
      <c r="BX198">
        <f>Model!CF231</f>
        <v>0</v>
      </c>
      <c r="BY198">
        <f>Model!CG231</f>
        <v>0</v>
      </c>
      <c r="BZ198">
        <f>Model!CH231</f>
        <v>0</v>
      </c>
      <c r="CA198">
        <f>Model!CI231</f>
        <v>0</v>
      </c>
      <c r="CB198">
        <f>Model!CJ231</f>
        <v>0</v>
      </c>
      <c r="CC198">
        <f>Model!CK231</f>
        <v>0</v>
      </c>
      <c r="CD198">
        <f>Model!CL231</f>
        <v>0</v>
      </c>
      <c r="CE198">
        <f>Model!CM231</f>
        <v>0</v>
      </c>
      <c r="CF198">
        <f>Model!CN231</f>
        <v>0</v>
      </c>
      <c r="CG198">
        <f>Model!CO231</f>
        <v>0</v>
      </c>
      <c r="CH198">
        <f>Model!CP231</f>
        <v>0</v>
      </c>
      <c r="CI198">
        <f>Model!CQ231</f>
        <v>0</v>
      </c>
      <c r="CJ198">
        <f>Model!CR231</f>
        <v>0</v>
      </c>
      <c r="CK198">
        <f>Model!CS231</f>
        <v>0</v>
      </c>
      <c r="CL198">
        <f>Model!CT231</f>
        <v>0</v>
      </c>
      <c r="CM198">
        <f>Model!CU231</f>
        <v>0</v>
      </c>
      <c r="CN198">
        <f>Model!CV231</f>
        <v>0</v>
      </c>
      <c r="CO198">
        <f>Model!CW231</f>
        <v>0</v>
      </c>
      <c r="CP198">
        <f>Model!CX231</f>
        <v>0</v>
      </c>
      <c r="CQ198">
        <f>Model!CY231</f>
        <v>0</v>
      </c>
      <c r="CR198">
        <f>Model!CZ231</f>
        <v>0</v>
      </c>
      <c r="CS198">
        <f>Model!DA231</f>
        <v>0</v>
      </c>
      <c r="CT198">
        <f>Model!DB231</f>
        <v>0</v>
      </c>
      <c r="CU198">
        <f>Model!DC231</f>
        <v>0</v>
      </c>
      <c r="CV198">
        <f>Model!DD231</f>
        <v>0</v>
      </c>
      <c r="CW198">
        <f>Model!DE231</f>
        <v>0</v>
      </c>
      <c r="CX198">
        <f>Model!DF231</f>
        <v>0</v>
      </c>
    </row>
    <row r="199" spans="1:102">
      <c r="A199" t="str">
        <f>Model!I232</f>
        <v>Domestic Agency Gross Margin %</v>
      </c>
      <c r="B199">
        <f>Model!J232</f>
        <v>0</v>
      </c>
      <c r="C199">
        <f>Model!K232</f>
        <v>0</v>
      </c>
      <c r="D199">
        <f>Model!L232</f>
        <v>0</v>
      </c>
      <c r="E199">
        <f>Model!M232</f>
        <v>0</v>
      </c>
      <c r="F199">
        <f>Model!N232</f>
        <v>0</v>
      </c>
      <c r="G199">
        <f>Model!O232</f>
        <v>0</v>
      </c>
      <c r="H199">
        <f>Model!P232</f>
        <v>0</v>
      </c>
      <c r="I199">
        <f>Model!Q232</f>
        <v>0</v>
      </c>
      <c r="J199">
        <f>Model!R232</f>
        <v>0</v>
      </c>
      <c r="K199">
        <f>Model!S232</f>
        <v>0</v>
      </c>
      <c r="L199">
        <f>Model!T232</f>
        <v>0</v>
      </c>
      <c r="M199">
        <f>Model!U232</f>
        <v>0</v>
      </c>
      <c r="N199">
        <f>Model!V232</f>
        <v>0</v>
      </c>
      <c r="O199">
        <f>Model!W232</f>
        <v>0</v>
      </c>
      <c r="P199">
        <f>Model!X232</f>
        <v>0</v>
      </c>
      <c r="Q199">
        <f>Model!Y232</f>
        <v>0</v>
      </c>
      <c r="R199">
        <f>Model!Z232</f>
        <v>0</v>
      </c>
      <c r="S199">
        <f>Model!AA232</f>
        <v>0</v>
      </c>
      <c r="T199">
        <f>Model!AB232</f>
        <v>0</v>
      </c>
      <c r="U199">
        <f>Model!AC232</f>
        <v>0</v>
      </c>
      <c r="V199">
        <f>Model!AD232</f>
        <v>0</v>
      </c>
      <c r="W199">
        <f>Model!AE232</f>
        <v>0</v>
      </c>
      <c r="X199">
        <f>Model!AF232</f>
        <v>0</v>
      </c>
      <c r="Y199">
        <f>Model!AG232</f>
        <v>0</v>
      </c>
      <c r="Z199">
        <f>Model!AH232</f>
        <v>0</v>
      </c>
      <c r="AA199">
        <f>Model!AI232</f>
        <v>0</v>
      </c>
      <c r="AB199">
        <f>Model!AJ232</f>
        <v>0</v>
      </c>
      <c r="AC199">
        <f>Model!AK232</f>
        <v>1</v>
      </c>
      <c r="AD199">
        <f>Model!AL232</f>
        <v>1</v>
      </c>
      <c r="AE199">
        <f>Model!AM232</f>
        <v>1</v>
      </c>
      <c r="AF199">
        <f>Model!AN232</f>
        <v>1</v>
      </c>
      <c r="AG199">
        <f>Model!AO232</f>
        <v>1</v>
      </c>
      <c r="AH199">
        <f>Model!AP232</f>
        <v>1</v>
      </c>
      <c r="AI199">
        <f>Model!AQ232</f>
        <v>1</v>
      </c>
      <c r="AJ199">
        <f>Model!AR232</f>
        <v>1</v>
      </c>
      <c r="AK199">
        <f>Model!AS232</f>
        <v>1</v>
      </c>
      <c r="AL199">
        <f>Model!AT232</f>
        <v>1</v>
      </c>
      <c r="AM199">
        <f>Model!AU232</f>
        <v>1</v>
      </c>
      <c r="AN199">
        <f>Model!AV232</f>
        <v>1</v>
      </c>
      <c r="AO199">
        <f>Model!AW232</f>
        <v>1</v>
      </c>
      <c r="AP199">
        <f>Model!AX232</f>
        <v>1</v>
      </c>
      <c r="AQ199">
        <f>Model!AY232</f>
        <v>1</v>
      </c>
      <c r="AR199">
        <f>Model!AZ232</f>
        <v>1</v>
      </c>
      <c r="AS199">
        <f>Model!BA232</f>
        <v>1</v>
      </c>
      <c r="AT199">
        <f>Model!BB232</f>
        <v>1</v>
      </c>
      <c r="AU199">
        <f>Model!BC232</f>
        <v>1</v>
      </c>
      <c r="AV199">
        <f>Model!BD232</f>
        <v>1</v>
      </c>
      <c r="AW199">
        <f>Model!BE232</f>
        <v>1</v>
      </c>
      <c r="AX199">
        <f>Model!BF232</f>
        <v>1</v>
      </c>
      <c r="AY199">
        <f>Model!BG232</f>
        <v>1</v>
      </c>
      <c r="AZ199">
        <f>Model!BH232</f>
        <v>1</v>
      </c>
      <c r="BA199">
        <f>Model!BI232</f>
        <v>1</v>
      </c>
      <c r="BB199">
        <f>Model!BJ232</f>
        <v>1</v>
      </c>
      <c r="BC199">
        <f>Model!BK232</f>
        <v>1</v>
      </c>
      <c r="BD199">
        <f>Model!BL232</f>
        <v>1</v>
      </c>
      <c r="BE199">
        <f>Model!BM232</f>
        <v>1</v>
      </c>
      <c r="BF199">
        <f>Model!BN232</f>
        <v>1</v>
      </c>
      <c r="BG199">
        <f>Model!BO232</f>
        <v>1</v>
      </c>
      <c r="BH199">
        <f>Model!BP232</f>
        <v>1</v>
      </c>
      <c r="BI199">
        <f>Model!BQ232</f>
        <v>1</v>
      </c>
      <c r="BJ199">
        <f>Model!BR232</f>
        <v>1</v>
      </c>
      <c r="BK199">
        <f>Model!BS232</f>
        <v>1</v>
      </c>
      <c r="BL199">
        <f>Model!BT232</f>
        <v>1</v>
      </c>
      <c r="BM199">
        <f>Model!BU232</f>
        <v>1</v>
      </c>
      <c r="BN199">
        <f>Model!BV232</f>
        <v>1</v>
      </c>
      <c r="BO199">
        <f>Model!BW232</f>
        <v>1</v>
      </c>
      <c r="BP199">
        <f>Model!BX232</f>
        <v>1</v>
      </c>
      <c r="BQ199">
        <f>Model!BY232</f>
        <v>1</v>
      </c>
      <c r="BR199">
        <f>Model!BZ232</f>
        <v>1</v>
      </c>
      <c r="BS199">
        <f>Model!CA232</f>
        <v>1</v>
      </c>
      <c r="BT199">
        <f>Model!CB232</f>
        <v>1</v>
      </c>
      <c r="BU199">
        <f>Model!CC232</f>
        <v>1</v>
      </c>
      <c r="BV199">
        <f>Model!CD232</f>
        <v>1</v>
      </c>
      <c r="BW199">
        <f>Model!CE232</f>
        <v>1</v>
      </c>
      <c r="BX199">
        <f>Model!CF232</f>
        <v>1</v>
      </c>
      <c r="BY199">
        <f>Model!CG232</f>
        <v>0</v>
      </c>
      <c r="BZ199">
        <f>Model!CH232</f>
        <v>0</v>
      </c>
      <c r="CA199">
        <f>Model!CI232</f>
        <v>0</v>
      </c>
      <c r="CB199">
        <f>Model!CJ232</f>
        <v>0</v>
      </c>
      <c r="CC199">
        <f>Model!CK232</f>
        <v>0</v>
      </c>
      <c r="CD199">
        <f>Model!CL232</f>
        <v>0</v>
      </c>
      <c r="CE199">
        <f>Model!CM232</f>
        <v>0</v>
      </c>
      <c r="CF199">
        <f>Model!CN232</f>
        <v>1</v>
      </c>
      <c r="CG199">
        <f>Model!CO232</f>
        <v>1</v>
      </c>
      <c r="CH199">
        <f>Model!CP232</f>
        <v>1</v>
      </c>
      <c r="CI199">
        <f>Model!CQ232</f>
        <v>1</v>
      </c>
      <c r="CJ199">
        <f>Model!CR232</f>
        <v>1</v>
      </c>
      <c r="CK199">
        <f>Model!CS232</f>
        <v>1</v>
      </c>
      <c r="CL199">
        <f>Model!CT232</f>
        <v>1</v>
      </c>
      <c r="CM199">
        <f>Model!CU232</f>
        <v>1</v>
      </c>
      <c r="CN199">
        <f>Model!CV232</f>
        <v>1</v>
      </c>
      <c r="CO199">
        <f>Model!CW232</f>
        <v>1</v>
      </c>
      <c r="CP199">
        <f>Model!CX232</f>
        <v>1</v>
      </c>
      <c r="CQ199">
        <f>Model!CY232</f>
        <v>1</v>
      </c>
      <c r="CR199">
        <f>Model!CZ232</f>
        <v>1</v>
      </c>
      <c r="CS199">
        <f>Model!DA232</f>
        <v>1</v>
      </c>
      <c r="CT199">
        <f>Model!DB232</f>
        <v>1</v>
      </c>
      <c r="CU199">
        <f>Model!DC232</f>
        <v>1</v>
      </c>
      <c r="CV199">
        <f>Model!DD232</f>
        <v>1</v>
      </c>
      <c r="CW199">
        <f>Model!DE232</f>
        <v>1</v>
      </c>
      <c r="CX199">
        <f>Model!DF232</f>
        <v>1</v>
      </c>
    </row>
    <row r="200" spans="1:102">
      <c r="A200" t="str">
        <f>Model!I233</f>
        <v>Domestic Other Gross Margin %</v>
      </c>
      <c r="B200">
        <f>Model!J233</f>
        <v>0</v>
      </c>
      <c r="C200">
        <f>Model!K233</f>
        <v>0</v>
      </c>
      <c r="D200">
        <f>Model!L233</f>
        <v>0</v>
      </c>
      <c r="E200">
        <f>Model!M233</f>
        <v>0</v>
      </c>
      <c r="F200">
        <f>Model!N233</f>
        <v>0</v>
      </c>
      <c r="G200">
        <f>Model!O233</f>
        <v>0</v>
      </c>
      <c r="H200">
        <f>Model!P233</f>
        <v>0</v>
      </c>
      <c r="I200">
        <f>Model!Q233</f>
        <v>0</v>
      </c>
      <c r="J200">
        <f>Model!R233</f>
        <v>0</v>
      </c>
      <c r="K200">
        <f>Model!S233</f>
        <v>0</v>
      </c>
      <c r="L200">
        <f>Model!T233</f>
        <v>0</v>
      </c>
      <c r="M200">
        <f>Model!U233</f>
        <v>0</v>
      </c>
      <c r="N200">
        <f>Model!V233</f>
        <v>0</v>
      </c>
      <c r="O200">
        <f>Model!W233</f>
        <v>0</v>
      </c>
      <c r="P200">
        <f>Model!X233</f>
        <v>0</v>
      </c>
      <c r="Q200">
        <f>Model!Y233</f>
        <v>0</v>
      </c>
      <c r="R200">
        <f>Model!Z233</f>
        <v>0</v>
      </c>
      <c r="S200">
        <f>Model!AA233</f>
        <v>0</v>
      </c>
      <c r="T200">
        <f>Model!AB233</f>
        <v>0</v>
      </c>
      <c r="U200">
        <f>Model!AC233</f>
        <v>0</v>
      </c>
      <c r="V200">
        <f>Model!AD233</f>
        <v>0</v>
      </c>
      <c r="W200">
        <f>Model!AE233</f>
        <v>0</v>
      </c>
      <c r="X200">
        <f>Model!AF233</f>
        <v>0</v>
      </c>
      <c r="Y200">
        <f>Model!AG233</f>
        <v>0</v>
      </c>
      <c r="Z200">
        <f>Model!AH233</f>
        <v>0</v>
      </c>
      <c r="AA200">
        <f>Model!AI233</f>
        <v>0</v>
      </c>
      <c r="AB200">
        <f>Model!AJ233</f>
        <v>0</v>
      </c>
      <c r="AC200">
        <f>Model!AK233</f>
        <v>1</v>
      </c>
      <c r="AD200">
        <f>Model!AL233</f>
        <v>1</v>
      </c>
      <c r="AE200">
        <f>Model!AM233</f>
        <v>1</v>
      </c>
      <c r="AF200">
        <f>Model!AN233</f>
        <v>1</v>
      </c>
      <c r="AG200">
        <f>Model!AO233</f>
        <v>1</v>
      </c>
      <c r="AH200">
        <f>Model!AP233</f>
        <v>1</v>
      </c>
      <c r="AI200">
        <f>Model!AQ233</f>
        <v>1</v>
      </c>
      <c r="AJ200">
        <f>Model!AR233</f>
        <v>1</v>
      </c>
      <c r="AK200">
        <f>Model!AS233</f>
        <v>1</v>
      </c>
      <c r="AL200">
        <f>Model!AT233</f>
        <v>1</v>
      </c>
      <c r="AM200">
        <f>Model!AU233</f>
        <v>1</v>
      </c>
      <c r="AN200">
        <f>Model!AV233</f>
        <v>1</v>
      </c>
      <c r="AO200">
        <f>Model!AW233</f>
        <v>1</v>
      </c>
      <c r="AP200">
        <f>Model!AX233</f>
        <v>1</v>
      </c>
      <c r="AQ200">
        <f>Model!AY233</f>
        <v>1</v>
      </c>
      <c r="AR200">
        <f>Model!AZ233</f>
        <v>1</v>
      </c>
      <c r="AS200">
        <f>Model!BA233</f>
        <v>1</v>
      </c>
      <c r="AT200">
        <f>Model!BB233</f>
        <v>1</v>
      </c>
      <c r="AU200">
        <f>Model!BC233</f>
        <v>1</v>
      </c>
      <c r="AV200">
        <f>Model!BD233</f>
        <v>1</v>
      </c>
      <c r="AW200">
        <f>Model!BE233</f>
        <v>1</v>
      </c>
      <c r="AX200">
        <f>Model!BF233</f>
        <v>1</v>
      </c>
      <c r="AY200">
        <f>Model!BG233</f>
        <v>1</v>
      </c>
      <c r="AZ200">
        <f>Model!BH233</f>
        <v>1</v>
      </c>
      <c r="BA200">
        <f>Model!BI233</f>
        <v>1</v>
      </c>
      <c r="BB200">
        <f>Model!BJ233</f>
        <v>1</v>
      </c>
      <c r="BC200">
        <f>Model!BK233</f>
        <v>1</v>
      </c>
      <c r="BD200">
        <f>Model!BL233</f>
        <v>1</v>
      </c>
      <c r="BE200">
        <f>Model!BM233</f>
        <v>1</v>
      </c>
      <c r="BF200">
        <f>Model!BN233</f>
        <v>1</v>
      </c>
      <c r="BG200">
        <f>Model!BO233</f>
        <v>1</v>
      </c>
      <c r="BH200">
        <f>Model!BP233</f>
        <v>1</v>
      </c>
      <c r="BI200">
        <f>Model!BQ233</f>
        <v>1</v>
      </c>
      <c r="BJ200">
        <f>Model!BR233</f>
        <v>1</v>
      </c>
      <c r="BK200">
        <f>Model!BS233</f>
        <v>1</v>
      </c>
      <c r="BL200">
        <f>Model!BT233</f>
        <v>1</v>
      </c>
      <c r="BM200">
        <f>Model!BU233</f>
        <v>1</v>
      </c>
      <c r="BN200">
        <f>Model!BV233</f>
        <v>1</v>
      </c>
      <c r="BO200">
        <f>Model!BW233</f>
        <v>1</v>
      </c>
      <c r="BP200">
        <f>Model!BX233</f>
        <v>1</v>
      </c>
      <c r="BQ200">
        <f>Model!BY233</f>
        <v>1</v>
      </c>
      <c r="BR200">
        <f>Model!BZ233</f>
        <v>1</v>
      </c>
      <c r="BS200">
        <f>Model!CA233</f>
        <v>1</v>
      </c>
      <c r="BT200">
        <f>Model!CB233</f>
        <v>1</v>
      </c>
      <c r="BU200">
        <f>Model!CC233</f>
        <v>1</v>
      </c>
      <c r="BV200">
        <f>Model!CD233</f>
        <v>1</v>
      </c>
      <c r="BW200">
        <f>Model!CE233</f>
        <v>1</v>
      </c>
      <c r="BX200">
        <f>Model!CF233</f>
        <v>1</v>
      </c>
      <c r="BY200">
        <f>Model!CG233</f>
        <v>0</v>
      </c>
      <c r="BZ200">
        <f>Model!CH233</f>
        <v>0</v>
      </c>
      <c r="CA200">
        <f>Model!CI233</f>
        <v>0</v>
      </c>
      <c r="CB200">
        <f>Model!CJ233</f>
        <v>0</v>
      </c>
      <c r="CC200">
        <f>Model!CK233</f>
        <v>0</v>
      </c>
      <c r="CD200">
        <f>Model!CL233</f>
        <v>0</v>
      </c>
      <c r="CE200">
        <f>Model!CM233</f>
        <v>0</v>
      </c>
      <c r="CF200">
        <f>Model!CN233</f>
        <v>1</v>
      </c>
      <c r="CG200">
        <f>Model!CO233</f>
        <v>1</v>
      </c>
      <c r="CH200">
        <f>Model!CP233</f>
        <v>1</v>
      </c>
      <c r="CI200">
        <f>Model!CQ233</f>
        <v>1</v>
      </c>
      <c r="CJ200">
        <f>Model!CR233</f>
        <v>1</v>
      </c>
      <c r="CK200">
        <f>Model!CS233</f>
        <v>1</v>
      </c>
      <c r="CL200">
        <f>Model!CT233</f>
        <v>1</v>
      </c>
      <c r="CM200">
        <f>Model!CU233</f>
        <v>1</v>
      </c>
      <c r="CN200">
        <f>Model!CV233</f>
        <v>1</v>
      </c>
      <c r="CO200">
        <f>Model!CW233</f>
        <v>1</v>
      </c>
      <c r="CP200">
        <f>Model!CX233</f>
        <v>1</v>
      </c>
      <c r="CQ200">
        <f>Model!CY233</f>
        <v>1</v>
      </c>
      <c r="CR200">
        <f>Model!CZ233</f>
        <v>1</v>
      </c>
      <c r="CS200">
        <f>Model!DA233</f>
        <v>1</v>
      </c>
      <c r="CT200">
        <f>Model!DB233</f>
        <v>1</v>
      </c>
      <c r="CU200">
        <f>Model!DC233</f>
        <v>1</v>
      </c>
      <c r="CV200">
        <f>Model!DD233</f>
        <v>1</v>
      </c>
      <c r="CW200">
        <f>Model!DE233</f>
        <v>1</v>
      </c>
      <c r="CX200">
        <f>Model!DF233</f>
        <v>1</v>
      </c>
    </row>
    <row r="201" spans="1:102">
      <c r="A201" t="str">
        <f>Model!I234</f>
        <v>Total Domestic Gross Margin %</v>
      </c>
      <c r="B201">
        <f>Model!J234</f>
        <v>0</v>
      </c>
      <c r="C201">
        <f>Model!K234</f>
        <v>0</v>
      </c>
      <c r="D201">
        <f>Model!L234</f>
        <v>0</v>
      </c>
      <c r="E201">
        <f>Model!M234</f>
        <v>0</v>
      </c>
      <c r="F201">
        <f>Model!N234</f>
        <v>0</v>
      </c>
      <c r="G201">
        <f>Model!O234</f>
        <v>0</v>
      </c>
      <c r="H201">
        <f>Model!P234</f>
        <v>0</v>
      </c>
      <c r="I201">
        <f>Model!Q234</f>
        <v>0</v>
      </c>
      <c r="J201">
        <f>Model!R234</f>
        <v>0</v>
      </c>
      <c r="K201">
        <f>Model!S234</f>
        <v>0</v>
      </c>
      <c r="L201">
        <f>Model!T234</f>
        <v>0</v>
      </c>
      <c r="M201">
        <f>Model!U234</f>
        <v>0</v>
      </c>
      <c r="N201">
        <f>Model!V234</f>
        <v>0</v>
      </c>
      <c r="O201">
        <f>Model!W234</f>
        <v>0</v>
      </c>
      <c r="P201">
        <f>Model!X234</f>
        <v>0</v>
      </c>
      <c r="Q201">
        <f>Model!Y234</f>
        <v>0</v>
      </c>
      <c r="R201">
        <f>Model!Z234</f>
        <v>0</v>
      </c>
      <c r="S201">
        <f>Model!AA234</f>
        <v>0</v>
      </c>
      <c r="T201">
        <f>Model!AB234</f>
        <v>0</v>
      </c>
      <c r="U201">
        <f>Model!AC234</f>
        <v>0</v>
      </c>
      <c r="V201">
        <f>Model!AD234</f>
        <v>0</v>
      </c>
      <c r="W201">
        <f>Model!AE234</f>
        <v>0</v>
      </c>
      <c r="X201">
        <f>Model!AF234</f>
        <v>0</v>
      </c>
      <c r="Y201">
        <f>Model!AG234</f>
        <v>0</v>
      </c>
      <c r="Z201">
        <f>Model!AH234</f>
        <v>0</v>
      </c>
      <c r="AA201">
        <f>Model!AI234</f>
        <v>0</v>
      </c>
      <c r="AB201">
        <f>Model!AJ234</f>
        <v>0</v>
      </c>
      <c r="AC201">
        <f>Model!AK234</f>
        <v>0.23542260248894209</v>
      </c>
      <c r="AD201">
        <f>Model!AL234</f>
        <v>0.24506957691459996</v>
      </c>
      <c r="AE201">
        <f>Model!AM234</f>
        <v>0.24705503227817724</v>
      </c>
      <c r="AF201">
        <f>Model!AN234</f>
        <v>0.24640095027824047</v>
      </c>
      <c r="AG201">
        <f>Model!AO234</f>
        <v>0.2581792556176023</v>
      </c>
      <c r="AH201">
        <f>Model!AP234</f>
        <v>0.25531080818139162</v>
      </c>
      <c r="AI201">
        <f>Model!AQ234</f>
        <v>0.27338129496402885</v>
      </c>
      <c r="AJ201">
        <f>Model!AR234</f>
        <v>0.27772685609532533</v>
      </c>
      <c r="AK201">
        <f>Model!AS234</f>
        <v>0.27177385468171689</v>
      </c>
      <c r="AL201">
        <f>Model!AT234</f>
        <v>0.26748838457580004</v>
      </c>
      <c r="AM201">
        <f>Model!AU234</f>
        <v>0.28520398298530542</v>
      </c>
      <c r="AN201">
        <f>Model!AV234</f>
        <v>0.28567709885119497</v>
      </c>
      <c r="AO201">
        <f>Model!AW234</f>
        <v>0.28246797289158238</v>
      </c>
      <c r="AP201">
        <f>Model!AX234</f>
        <v>0.27707777420594859</v>
      </c>
      <c r="AQ201">
        <f>Model!AY234</f>
        <v>0.28928161774077032</v>
      </c>
      <c r="AR201">
        <f>Model!AZ234</f>
        <v>0.29221473429681305</v>
      </c>
      <c r="AS201">
        <f>Model!BA234</f>
        <v>0.2792743161094226</v>
      </c>
      <c r="AT201">
        <f>Model!BB234</f>
        <v>0.27949964942032063</v>
      </c>
      <c r="AU201">
        <f>Model!BC234</f>
        <v>0.29582032092395449</v>
      </c>
      <c r="AV201">
        <f>Model!BD234</f>
        <v>0.30305419493412267</v>
      </c>
      <c r="AW201">
        <f>Model!BE234</f>
        <v>0.30050898638181828</v>
      </c>
      <c r="AX201">
        <f>Model!BF234</f>
        <v>0.31029226588905834</v>
      </c>
      <c r="AY201">
        <f>Model!BG234</f>
        <v>0.34266406399185251</v>
      </c>
      <c r="AZ201">
        <f>Model!BH234</f>
        <v>0.29255019174374036</v>
      </c>
      <c r="BA201">
        <f>Model!BI234</f>
        <v>0.283484309285021</v>
      </c>
      <c r="BB201">
        <f>Model!BJ234</f>
        <v>0.32429550347952463</v>
      </c>
      <c r="BC201">
        <f>Model!BK234</f>
        <v>0.36437829722304377</v>
      </c>
      <c r="BD201">
        <f>Model!BL234</f>
        <v>0.33888146070719116</v>
      </c>
      <c r="BE201">
        <f>Model!BM234</f>
        <v>0.30301567616639169</v>
      </c>
      <c r="BF201">
        <f>Model!BN234</f>
        <v>0.35064184236921286</v>
      </c>
      <c r="BG201">
        <f>Model!BO234</f>
        <v>0.34764234142968237</v>
      </c>
      <c r="BH201">
        <f>Model!BP234</f>
        <v>0.31047904520150099</v>
      </c>
      <c r="BI201">
        <f>Model!BQ234</f>
        <v>0.31344286057899584</v>
      </c>
      <c r="BJ201">
        <f>Model!BR234</f>
        <v>0.32417420541760233</v>
      </c>
      <c r="BK201">
        <f>Model!BS234</f>
        <v>0.40075641535809159</v>
      </c>
      <c r="BL201">
        <f>Model!BT234</f>
        <v>0.35330818635232891</v>
      </c>
      <c r="BM201">
        <f>Model!BU234</f>
        <v>0.37713450034477397</v>
      </c>
      <c r="BN201">
        <f>Model!BV234</f>
        <v>0.38384599730468405</v>
      </c>
      <c r="BO201">
        <f>Model!BW234</f>
        <v>0.32839652128986674</v>
      </c>
      <c r="BP201">
        <f>Model!BX234</f>
        <v>0.35336550659667665</v>
      </c>
      <c r="BQ201">
        <f>Model!BY234</f>
        <v>0.40828817063738093</v>
      </c>
      <c r="BR201">
        <f>Model!BZ234</f>
        <v>0.43346240721214541</v>
      </c>
      <c r="BS201">
        <f>Model!CA234</f>
        <v>0.46197734273963165</v>
      </c>
      <c r="BT201">
        <f>Model!CB234</f>
        <v>0.50413518403445323</v>
      </c>
      <c r="BU201">
        <f>Model!CC234</f>
        <v>0.45192936741637912</v>
      </c>
      <c r="BV201">
        <f>Model!CD234</f>
        <v>0.47538441365478795</v>
      </c>
      <c r="BW201">
        <f>Model!CE234</f>
        <v>0.45904452090409259</v>
      </c>
      <c r="BX201">
        <f>Model!CF234</f>
        <v>0.50087091493476477</v>
      </c>
      <c r="BY201">
        <f>Model!CG234</f>
        <v>0</v>
      </c>
      <c r="BZ201">
        <f>Model!CH234</f>
        <v>0</v>
      </c>
      <c r="CA201">
        <f>Model!CI234</f>
        <v>0</v>
      </c>
      <c r="CB201">
        <f>Model!CJ234</f>
        <v>0</v>
      </c>
      <c r="CC201">
        <f>Model!CK234</f>
        <v>0</v>
      </c>
      <c r="CD201">
        <f>Model!CL234</f>
        <v>0</v>
      </c>
      <c r="CE201">
        <f>Model!CM234</f>
        <v>0</v>
      </c>
      <c r="CF201">
        <f>Model!CN234</f>
        <v>0.2476063038661393</v>
      </c>
      <c r="CG201">
        <f>Model!CO234</f>
        <v>0.26574656562893784</v>
      </c>
      <c r="CH201">
        <f>Model!CP234</f>
        <v>0.27732450013860732</v>
      </c>
      <c r="CI201">
        <f>Model!CQ234</f>
        <v>0.28508299274639665</v>
      </c>
      <c r="CJ201">
        <f>Model!CR234</f>
        <v>0.28901360411523103</v>
      </c>
      <c r="CK201">
        <f>Model!CS234</f>
        <v>0.31312414087642859</v>
      </c>
      <c r="CL201">
        <f>Model!CT234</f>
        <v>0.32880523990656851</v>
      </c>
      <c r="CM201">
        <f>Model!CU234</f>
        <v>0.32977491750680782</v>
      </c>
      <c r="CN201">
        <f>Model!CV234</f>
        <v>0.34908528065167094</v>
      </c>
      <c r="CO201">
        <f>Model!CW234</f>
        <v>0.36237080982418796</v>
      </c>
      <c r="CP201">
        <f>Model!CX234</f>
        <v>0.45148998413182645</v>
      </c>
      <c r="CQ201">
        <f>Model!CY234</f>
        <v>0.4719114481642081</v>
      </c>
      <c r="CR201">
        <f>Model!CZ234</f>
        <v>0.46988090450010084</v>
      </c>
      <c r="CS201">
        <f>Model!DA234</f>
        <v>0.46841871650346772</v>
      </c>
      <c r="CT201">
        <f>Model!DB234</f>
        <v>0.4672533274387427</v>
      </c>
      <c r="CU201">
        <f>Model!DC234</f>
        <v>0.46607892674287976</v>
      </c>
      <c r="CV201">
        <f>Model!DD234</f>
        <v>0.46490045121309825</v>
      </c>
      <c r="CW201">
        <f>Model!DE234</f>
        <v>0.46372213167502568</v>
      </c>
      <c r="CX201">
        <f>Model!DF234</f>
        <v>0.46254757607724878</v>
      </c>
    </row>
    <row r="202" spans="1:102">
      <c r="A202">
        <f>Model!I235</f>
        <v>0</v>
      </c>
      <c r="B202">
        <f>Model!J235</f>
        <v>0</v>
      </c>
      <c r="C202">
        <f>Model!K235</f>
        <v>0</v>
      </c>
      <c r="D202">
        <f>Model!L235</f>
        <v>0</v>
      </c>
      <c r="E202">
        <f>Model!M235</f>
        <v>0</v>
      </c>
      <c r="F202">
        <f>Model!N235</f>
        <v>0</v>
      </c>
      <c r="G202">
        <f>Model!O235</f>
        <v>0</v>
      </c>
      <c r="H202">
        <f>Model!P235</f>
        <v>0</v>
      </c>
      <c r="I202">
        <f>Model!Q235</f>
        <v>0</v>
      </c>
      <c r="J202">
        <f>Model!R235</f>
        <v>0</v>
      </c>
      <c r="K202">
        <f>Model!S235</f>
        <v>0</v>
      </c>
      <c r="L202">
        <f>Model!T235</f>
        <v>0</v>
      </c>
      <c r="M202">
        <f>Model!U235</f>
        <v>0</v>
      </c>
      <c r="N202">
        <f>Model!V235</f>
        <v>0</v>
      </c>
      <c r="O202">
        <f>Model!W235</f>
        <v>0</v>
      </c>
      <c r="P202">
        <f>Model!X235</f>
        <v>0</v>
      </c>
      <c r="Q202">
        <f>Model!Y235</f>
        <v>0</v>
      </c>
      <c r="R202">
        <f>Model!Z235</f>
        <v>0</v>
      </c>
      <c r="S202">
        <f>Model!AA235</f>
        <v>0</v>
      </c>
      <c r="T202">
        <f>Model!AB235</f>
        <v>0</v>
      </c>
      <c r="U202">
        <f>Model!AC235</f>
        <v>0</v>
      </c>
      <c r="V202">
        <f>Model!AD235</f>
        <v>0</v>
      </c>
      <c r="W202">
        <f>Model!AE235</f>
        <v>0</v>
      </c>
      <c r="X202">
        <f>Model!AF235</f>
        <v>0</v>
      </c>
      <c r="Y202">
        <f>Model!AG235</f>
        <v>0</v>
      </c>
      <c r="Z202">
        <f>Model!AH235</f>
        <v>0</v>
      </c>
      <c r="AA202">
        <f>Model!AI235</f>
        <v>0</v>
      </c>
      <c r="AB202">
        <f>Model!AJ235</f>
        <v>0</v>
      </c>
      <c r="AC202">
        <f>Model!AK235</f>
        <v>0</v>
      </c>
      <c r="AD202">
        <f>Model!AL235</f>
        <v>0</v>
      </c>
      <c r="AE202">
        <f>Model!AM235</f>
        <v>0</v>
      </c>
      <c r="AF202">
        <f>Model!AN235</f>
        <v>0</v>
      </c>
      <c r="AG202">
        <f>Model!AO235</f>
        <v>0</v>
      </c>
      <c r="AH202">
        <f>Model!AP235</f>
        <v>0</v>
      </c>
      <c r="AI202">
        <f>Model!AQ235</f>
        <v>0</v>
      </c>
      <c r="AJ202">
        <f>Model!AR235</f>
        <v>0</v>
      </c>
      <c r="AK202">
        <f>Model!AS235</f>
        <v>0</v>
      </c>
      <c r="AL202">
        <f>Model!AT235</f>
        <v>0</v>
      </c>
      <c r="AM202">
        <f>Model!AU235</f>
        <v>0</v>
      </c>
      <c r="AN202">
        <f>Model!AV235</f>
        <v>0</v>
      </c>
      <c r="AO202">
        <f>Model!AW235</f>
        <v>0</v>
      </c>
      <c r="AP202">
        <f>Model!AX235</f>
        <v>0</v>
      </c>
      <c r="AQ202">
        <f>Model!AY235</f>
        <v>0</v>
      </c>
      <c r="AR202">
        <f>Model!AZ235</f>
        <v>0</v>
      </c>
      <c r="AS202">
        <f>Model!BA235</f>
        <v>0</v>
      </c>
      <c r="AT202">
        <f>Model!BB235</f>
        <v>0</v>
      </c>
      <c r="AU202">
        <f>Model!BC235</f>
        <v>0</v>
      </c>
      <c r="AV202">
        <f>Model!BD235</f>
        <v>0</v>
      </c>
      <c r="AW202">
        <f>Model!BE235</f>
        <v>0</v>
      </c>
      <c r="AX202">
        <f>Model!BF235</f>
        <v>0</v>
      </c>
      <c r="AY202">
        <f>Model!BG235</f>
        <v>0</v>
      </c>
      <c r="AZ202">
        <f>Model!BH235</f>
        <v>0</v>
      </c>
      <c r="BA202">
        <f>Model!BI235</f>
        <v>0</v>
      </c>
      <c r="BB202">
        <f>Model!BJ235</f>
        <v>0</v>
      </c>
      <c r="BC202">
        <f>Model!BK235</f>
        <v>0</v>
      </c>
      <c r="BD202">
        <f>Model!BL235</f>
        <v>0</v>
      </c>
      <c r="BE202">
        <f>Model!BM235</f>
        <v>0</v>
      </c>
      <c r="BF202">
        <f>Model!BN235</f>
        <v>0</v>
      </c>
      <c r="BG202">
        <f>Model!BO235</f>
        <v>0</v>
      </c>
      <c r="BH202">
        <f>Model!BP235</f>
        <v>0</v>
      </c>
      <c r="BI202">
        <f>Model!BQ235</f>
        <v>0</v>
      </c>
      <c r="BJ202">
        <f>Model!BR235</f>
        <v>0</v>
      </c>
      <c r="BK202">
        <f>Model!BS235</f>
        <v>0</v>
      </c>
      <c r="BL202">
        <f>Model!BT235</f>
        <v>0</v>
      </c>
      <c r="BM202">
        <f>Model!BU235</f>
        <v>0</v>
      </c>
      <c r="BN202">
        <f>Model!BV235</f>
        <v>0</v>
      </c>
      <c r="BO202">
        <f>Model!BW235</f>
        <v>0</v>
      </c>
      <c r="BP202">
        <f>Model!BX235</f>
        <v>0</v>
      </c>
      <c r="BQ202">
        <f>Model!BY235</f>
        <v>0</v>
      </c>
      <c r="BR202">
        <f>Model!BZ235</f>
        <v>0</v>
      </c>
      <c r="BS202">
        <f>Model!CA235</f>
        <v>0</v>
      </c>
      <c r="BT202">
        <f>Model!CB235</f>
        <v>0</v>
      </c>
      <c r="BU202">
        <f>Model!CC235</f>
        <v>0</v>
      </c>
      <c r="BV202">
        <f>Model!CD235</f>
        <v>0</v>
      </c>
      <c r="BW202">
        <f>Model!CE235</f>
        <v>0</v>
      </c>
      <c r="BX202">
        <f>Model!CF235</f>
        <v>0</v>
      </c>
      <c r="BY202">
        <f>Model!CG235</f>
        <v>0</v>
      </c>
      <c r="BZ202">
        <f>Model!CH235</f>
        <v>0</v>
      </c>
      <c r="CA202">
        <f>Model!CI235</f>
        <v>0</v>
      </c>
      <c r="CB202">
        <f>Model!CJ235</f>
        <v>0</v>
      </c>
      <c r="CC202">
        <f>Model!CK235</f>
        <v>0</v>
      </c>
      <c r="CD202">
        <f>Model!CL235</f>
        <v>0</v>
      </c>
      <c r="CE202">
        <f>Model!CM235</f>
        <v>0</v>
      </c>
      <c r="CF202">
        <f>Model!CN235</f>
        <v>0</v>
      </c>
      <c r="CG202">
        <f>Model!CO235</f>
        <v>0</v>
      </c>
      <c r="CH202">
        <f>Model!CP235</f>
        <v>0</v>
      </c>
      <c r="CI202">
        <f>Model!CQ235</f>
        <v>0</v>
      </c>
      <c r="CJ202">
        <f>Model!CR235</f>
        <v>0</v>
      </c>
      <c r="CK202">
        <f>Model!CS235</f>
        <v>0</v>
      </c>
      <c r="CL202">
        <f>Model!CT235</f>
        <v>0</v>
      </c>
      <c r="CM202">
        <f>Model!CU235</f>
        <v>0</v>
      </c>
      <c r="CN202">
        <f>Model!CV235</f>
        <v>0</v>
      </c>
      <c r="CO202">
        <f>Model!CW235</f>
        <v>0</v>
      </c>
      <c r="CP202">
        <f>Model!CX235</f>
        <v>0</v>
      </c>
      <c r="CQ202">
        <f>Model!CY235</f>
        <v>0</v>
      </c>
      <c r="CR202">
        <f>Model!CZ235</f>
        <v>0</v>
      </c>
      <c r="CS202">
        <f>Model!DA235</f>
        <v>0</v>
      </c>
      <c r="CT202">
        <f>Model!DB235</f>
        <v>0</v>
      </c>
      <c r="CU202">
        <f>Model!DC235</f>
        <v>0</v>
      </c>
      <c r="CV202">
        <f>Model!DD235</f>
        <v>0</v>
      </c>
      <c r="CW202">
        <f>Model!DE235</f>
        <v>0</v>
      </c>
      <c r="CX202">
        <f>Model!DF235</f>
        <v>0</v>
      </c>
    </row>
    <row r="203" spans="1:102">
      <c r="A203">
        <f>Model!I236</f>
        <v>0</v>
      </c>
      <c r="B203">
        <f>Model!J236</f>
        <v>0</v>
      </c>
      <c r="C203">
        <f>Model!K236</f>
        <v>0</v>
      </c>
      <c r="D203">
        <f>Model!L236</f>
        <v>0</v>
      </c>
      <c r="E203">
        <f>Model!M236</f>
        <v>0</v>
      </c>
      <c r="F203">
        <f>Model!N236</f>
        <v>0</v>
      </c>
      <c r="G203">
        <f>Model!O236</f>
        <v>0</v>
      </c>
      <c r="H203">
        <f>Model!P236</f>
        <v>0</v>
      </c>
      <c r="I203">
        <f>Model!Q236</f>
        <v>0</v>
      </c>
      <c r="J203">
        <f>Model!R236</f>
        <v>0</v>
      </c>
      <c r="K203">
        <f>Model!S236</f>
        <v>0</v>
      </c>
      <c r="L203">
        <f>Model!T236</f>
        <v>0</v>
      </c>
      <c r="M203">
        <f>Model!U236</f>
        <v>0</v>
      </c>
      <c r="N203">
        <f>Model!V236</f>
        <v>0</v>
      </c>
      <c r="O203">
        <f>Model!W236</f>
        <v>0</v>
      </c>
      <c r="P203">
        <f>Model!X236</f>
        <v>0</v>
      </c>
      <c r="Q203">
        <f>Model!Y236</f>
        <v>0</v>
      </c>
      <c r="R203">
        <f>Model!Z236</f>
        <v>0</v>
      </c>
      <c r="S203">
        <f>Model!AA236</f>
        <v>0</v>
      </c>
      <c r="T203">
        <f>Model!AB236</f>
        <v>0</v>
      </c>
      <c r="U203">
        <f>Model!AC236</f>
        <v>0</v>
      </c>
      <c r="V203">
        <f>Model!AD236</f>
        <v>0</v>
      </c>
      <c r="W203">
        <f>Model!AE236</f>
        <v>0</v>
      </c>
      <c r="X203">
        <f>Model!AF236</f>
        <v>0</v>
      </c>
      <c r="Y203">
        <f>Model!AG236</f>
        <v>0</v>
      </c>
      <c r="Z203">
        <f>Model!AH236</f>
        <v>0</v>
      </c>
      <c r="AA203">
        <f>Model!AI236</f>
        <v>0</v>
      </c>
      <c r="AB203">
        <f>Model!AJ236</f>
        <v>0</v>
      </c>
      <c r="AC203">
        <f>Model!AK236</f>
        <v>0</v>
      </c>
      <c r="AD203">
        <f>Model!AL236</f>
        <v>0</v>
      </c>
      <c r="AE203">
        <f>Model!AM236</f>
        <v>0</v>
      </c>
      <c r="AF203">
        <f>Model!AN236</f>
        <v>0</v>
      </c>
      <c r="AG203">
        <f>Model!AO236</f>
        <v>0</v>
      </c>
      <c r="AH203">
        <f>Model!AP236</f>
        <v>0</v>
      </c>
      <c r="AI203">
        <f>Model!AQ236</f>
        <v>0</v>
      </c>
      <c r="AJ203">
        <f>Model!AR236</f>
        <v>0</v>
      </c>
      <c r="AK203">
        <f>Model!AS236</f>
        <v>0</v>
      </c>
      <c r="AL203">
        <f>Model!AT236</f>
        <v>0</v>
      </c>
      <c r="AM203">
        <f>Model!AU236</f>
        <v>0</v>
      </c>
      <c r="AN203">
        <f>Model!AV236</f>
        <v>0</v>
      </c>
      <c r="AO203">
        <f>Model!AW236</f>
        <v>0</v>
      </c>
      <c r="AP203">
        <f>Model!AX236</f>
        <v>0</v>
      </c>
      <c r="AQ203">
        <f>Model!AY236</f>
        <v>0</v>
      </c>
      <c r="AR203">
        <f>Model!AZ236</f>
        <v>0</v>
      </c>
      <c r="AS203">
        <f>Model!BA236</f>
        <v>0</v>
      </c>
      <c r="AT203">
        <f>Model!BB236</f>
        <v>0</v>
      </c>
      <c r="AU203">
        <f>Model!BC236</f>
        <v>0</v>
      </c>
      <c r="AV203">
        <f>Model!BD236</f>
        <v>0</v>
      </c>
      <c r="AW203">
        <f>Model!BE236</f>
        <v>0</v>
      </c>
      <c r="AX203">
        <f>Model!BF236</f>
        <v>0</v>
      </c>
      <c r="AY203">
        <f>Model!BG236</f>
        <v>0</v>
      </c>
      <c r="AZ203">
        <f>Model!BH236</f>
        <v>0</v>
      </c>
      <c r="BA203">
        <f>Model!BI236</f>
        <v>0</v>
      </c>
      <c r="BB203">
        <f>Model!BJ236</f>
        <v>0</v>
      </c>
      <c r="BC203">
        <f>Model!BK236</f>
        <v>0</v>
      </c>
      <c r="BD203">
        <f>Model!BL236</f>
        <v>0</v>
      </c>
      <c r="BE203">
        <f>Model!BM236</f>
        <v>0</v>
      </c>
      <c r="BF203">
        <f>Model!BN236</f>
        <v>0</v>
      </c>
      <c r="BG203">
        <f>Model!BO236</f>
        <v>0</v>
      </c>
      <c r="BH203">
        <f>Model!BP236</f>
        <v>0</v>
      </c>
      <c r="BI203">
        <f>Model!BQ236</f>
        <v>0</v>
      </c>
      <c r="BJ203">
        <f>Model!BR236</f>
        <v>0</v>
      </c>
      <c r="BK203">
        <f>Model!BS236</f>
        <v>0</v>
      </c>
      <c r="BL203">
        <f>Model!BT236</f>
        <v>0</v>
      </c>
      <c r="BM203">
        <f>Model!BU236</f>
        <v>0</v>
      </c>
      <c r="BN203">
        <f>Model!BV236</f>
        <v>0</v>
      </c>
      <c r="BO203">
        <f>Model!BW236</f>
        <v>0</v>
      </c>
      <c r="BP203">
        <f>Model!BX236</f>
        <v>0</v>
      </c>
      <c r="BQ203">
        <f>Model!BY236</f>
        <v>0</v>
      </c>
      <c r="BR203">
        <f>Model!BZ236</f>
        <v>0</v>
      </c>
      <c r="BS203">
        <f>Model!CA236</f>
        <v>0</v>
      </c>
      <c r="BT203">
        <f>Model!CB236</f>
        <v>0</v>
      </c>
      <c r="BU203">
        <f>Model!CC236</f>
        <v>0</v>
      </c>
      <c r="BV203">
        <f>Model!CD236</f>
        <v>0</v>
      </c>
      <c r="BW203">
        <f>Model!CE236</f>
        <v>0</v>
      </c>
      <c r="BX203">
        <f>Model!CF236</f>
        <v>0</v>
      </c>
      <c r="BY203">
        <f>Model!CG236</f>
        <v>0</v>
      </c>
      <c r="BZ203">
        <f>Model!CH236</f>
        <v>0</v>
      </c>
      <c r="CA203">
        <f>Model!CI236</f>
        <v>0</v>
      </c>
      <c r="CB203">
        <f>Model!CJ236</f>
        <v>0</v>
      </c>
      <c r="CC203">
        <f>Model!CK236</f>
        <v>0</v>
      </c>
      <c r="CD203">
        <f>Model!CL236</f>
        <v>0</v>
      </c>
      <c r="CE203">
        <f>Model!CM236</f>
        <v>0</v>
      </c>
      <c r="CF203">
        <f>Model!CN236</f>
        <v>0</v>
      </c>
      <c r="CG203">
        <f>Model!CO236</f>
        <v>0</v>
      </c>
      <c r="CH203">
        <f>Model!CP236</f>
        <v>0</v>
      </c>
      <c r="CI203">
        <f>Model!CQ236</f>
        <v>0</v>
      </c>
      <c r="CJ203">
        <f>Model!CR236</f>
        <v>0</v>
      </c>
      <c r="CK203">
        <f>Model!CS236</f>
        <v>0</v>
      </c>
      <c r="CL203">
        <f>Model!CT236</f>
        <v>0</v>
      </c>
      <c r="CM203">
        <f>Model!CU236</f>
        <v>0</v>
      </c>
      <c r="CN203">
        <f>Model!CV236</f>
        <v>0</v>
      </c>
      <c r="CO203">
        <f>Model!CW236</f>
        <v>0</v>
      </c>
      <c r="CP203">
        <f>Model!CX236</f>
        <v>0</v>
      </c>
      <c r="CQ203">
        <f>Model!CY236</f>
        <v>0</v>
      </c>
      <c r="CR203">
        <f>Model!CZ236</f>
        <v>0</v>
      </c>
      <c r="CS203">
        <f>Model!DA236</f>
        <v>0</v>
      </c>
      <c r="CT203">
        <f>Model!DB236</f>
        <v>0</v>
      </c>
      <c r="CU203">
        <f>Model!DC236</f>
        <v>0</v>
      </c>
      <c r="CV203">
        <f>Model!DD236</f>
        <v>0</v>
      </c>
      <c r="CW203">
        <f>Model!DE236</f>
        <v>0</v>
      </c>
      <c r="CX203">
        <f>Model!DF236</f>
        <v>0</v>
      </c>
    </row>
    <row r="204" spans="1:102">
      <c r="A204" t="str">
        <f>Model!I237</f>
        <v>International Gross Profit</v>
      </c>
      <c r="B204">
        <f>Model!J237</f>
        <v>0</v>
      </c>
      <c r="C204">
        <f>Model!K237</f>
        <v>0</v>
      </c>
      <c r="D204">
        <f>Model!L237</f>
        <v>0</v>
      </c>
      <c r="E204">
        <f>Model!M237</f>
        <v>0</v>
      </c>
      <c r="F204">
        <f>Model!N237</f>
        <v>0</v>
      </c>
      <c r="G204">
        <f>Model!O237</f>
        <v>0</v>
      </c>
      <c r="H204">
        <f>Model!P237</f>
        <v>0</v>
      </c>
      <c r="I204">
        <f>Model!Q237</f>
        <v>0</v>
      </c>
      <c r="J204">
        <f>Model!R237</f>
        <v>0</v>
      </c>
      <c r="K204">
        <f>Model!S237</f>
        <v>0</v>
      </c>
      <c r="L204">
        <f>Model!T237</f>
        <v>0</v>
      </c>
      <c r="M204">
        <f>Model!U237</f>
        <v>0</v>
      </c>
      <c r="N204">
        <f>Model!V237</f>
        <v>0</v>
      </c>
      <c r="O204">
        <f>Model!W237</f>
        <v>0</v>
      </c>
      <c r="P204">
        <f>Model!X237</f>
        <v>0</v>
      </c>
      <c r="Q204">
        <f>Model!Y237</f>
        <v>0</v>
      </c>
      <c r="R204">
        <f>Model!Z237</f>
        <v>0</v>
      </c>
      <c r="S204">
        <f>Model!AA237</f>
        <v>0</v>
      </c>
      <c r="T204">
        <f>Model!AB237</f>
        <v>0</v>
      </c>
      <c r="U204">
        <f>Model!AC237</f>
        <v>0</v>
      </c>
      <c r="V204">
        <f>Model!AD237</f>
        <v>0</v>
      </c>
      <c r="W204">
        <f>Model!AE237</f>
        <v>0</v>
      </c>
      <c r="X204">
        <f>Model!AF237</f>
        <v>0</v>
      </c>
      <c r="Y204">
        <f>Model!AG237</f>
        <v>0</v>
      </c>
      <c r="Z204">
        <f>Model!AH237</f>
        <v>0</v>
      </c>
      <c r="AA204">
        <f>Model!AI237</f>
        <v>0</v>
      </c>
      <c r="AB204">
        <f>Model!AJ237</f>
        <v>0</v>
      </c>
      <c r="AC204">
        <f>Model!AK237</f>
        <v>0</v>
      </c>
      <c r="AD204">
        <f>Model!AL237</f>
        <v>0</v>
      </c>
      <c r="AE204">
        <f>Model!AM237</f>
        <v>0</v>
      </c>
      <c r="AF204">
        <f>Model!AN237</f>
        <v>0</v>
      </c>
      <c r="AG204">
        <f>Model!AO237</f>
        <v>0</v>
      </c>
      <c r="AH204">
        <f>Model!AP237</f>
        <v>0</v>
      </c>
      <c r="AI204">
        <f>Model!AQ237</f>
        <v>0</v>
      </c>
      <c r="AJ204">
        <f>Model!AR237</f>
        <v>0</v>
      </c>
      <c r="AK204">
        <f>Model!AS237</f>
        <v>0</v>
      </c>
      <c r="AL204">
        <f>Model!AT237</f>
        <v>0</v>
      </c>
      <c r="AM204">
        <f>Model!AU237</f>
        <v>0</v>
      </c>
      <c r="AN204">
        <f>Model!AV237</f>
        <v>0</v>
      </c>
      <c r="AO204">
        <f>Model!AW237</f>
        <v>0</v>
      </c>
      <c r="AP204">
        <f>Model!AX237</f>
        <v>0</v>
      </c>
      <c r="AQ204">
        <f>Model!AY237</f>
        <v>0</v>
      </c>
      <c r="AR204">
        <f>Model!AZ237</f>
        <v>0</v>
      </c>
      <c r="AS204">
        <f>Model!BA237</f>
        <v>0</v>
      </c>
      <c r="AT204">
        <f>Model!BB237</f>
        <v>0</v>
      </c>
      <c r="AU204">
        <f>Model!BC237</f>
        <v>0</v>
      </c>
      <c r="AV204">
        <f>Model!BD237</f>
        <v>0</v>
      </c>
      <c r="AW204">
        <f>Model!BE237</f>
        <v>0</v>
      </c>
      <c r="AX204">
        <f>Model!BF237</f>
        <v>0</v>
      </c>
      <c r="AY204">
        <f>Model!BG237</f>
        <v>0</v>
      </c>
      <c r="AZ204">
        <f>Model!BH237</f>
        <v>0</v>
      </c>
      <c r="BA204">
        <f>Model!BI237</f>
        <v>0</v>
      </c>
      <c r="BB204">
        <f>Model!BJ237</f>
        <v>0</v>
      </c>
      <c r="BC204">
        <f>Model!BK237</f>
        <v>0</v>
      </c>
      <c r="BD204">
        <f>Model!BL237</f>
        <v>0</v>
      </c>
      <c r="BE204">
        <f>Model!BM237</f>
        <v>0</v>
      </c>
      <c r="BF204">
        <f>Model!BN237</f>
        <v>0</v>
      </c>
      <c r="BG204">
        <f>Model!BO237</f>
        <v>0</v>
      </c>
      <c r="BH204">
        <f>Model!BP237</f>
        <v>0</v>
      </c>
      <c r="BI204">
        <f>Model!BQ237</f>
        <v>0</v>
      </c>
      <c r="BJ204">
        <f>Model!BR237</f>
        <v>0</v>
      </c>
      <c r="BK204">
        <f>Model!BS237</f>
        <v>0</v>
      </c>
      <c r="BL204">
        <f>Model!BT237</f>
        <v>0</v>
      </c>
      <c r="BM204">
        <f>Model!BU237</f>
        <v>0</v>
      </c>
      <c r="BN204">
        <f>Model!BV237</f>
        <v>0</v>
      </c>
      <c r="BO204">
        <f>Model!BW237</f>
        <v>0</v>
      </c>
      <c r="BP204">
        <f>Model!BX237</f>
        <v>0</v>
      </c>
      <c r="BQ204">
        <f>Model!BY237</f>
        <v>0</v>
      </c>
      <c r="BR204">
        <f>Model!BZ237</f>
        <v>0</v>
      </c>
      <c r="BS204">
        <f>Model!CA237</f>
        <v>0</v>
      </c>
      <c r="BT204">
        <f>Model!CB237</f>
        <v>0</v>
      </c>
      <c r="BU204">
        <f>Model!CC237</f>
        <v>0</v>
      </c>
      <c r="BV204">
        <f>Model!CD237</f>
        <v>0</v>
      </c>
      <c r="BW204">
        <f>Model!CE237</f>
        <v>0</v>
      </c>
      <c r="BX204">
        <f>Model!CF237</f>
        <v>0</v>
      </c>
      <c r="BY204">
        <f>Model!CG237</f>
        <v>0</v>
      </c>
      <c r="BZ204">
        <f>Model!CH237</f>
        <v>0</v>
      </c>
      <c r="CA204">
        <f>Model!CI237</f>
        <v>0</v>
      </c>
      <c r="CB204">
        <f>Model!CJ237</f>
        <v>0</v>
      </c>
      <c r="CC204">
        <f>Model!CK237</f>
        <v>0</v>
      </c>
      <c r="CD204">
        <f>Model!CL237</f>
        <v>0</v>
      </c>
      <c r="CE204">
        <f>Model!CM237</f>
        <v>0</v>
      </c>
      <c r="CF204">
        <f>Model!CN237</f>
        <v>0</v>
      </c>
      <c r="CG204">
        <f>Model!CO237</f>
        <v>0</v>
      </c>
      <c r="CH204">
        <f>Model!CP237</f>
        <v>0</v>
      </c>
      <c r="CI204">
        <f>Model!CQ237</f>
        <v>0</v>
      </c>
      <c r="CJ204">
        <f>Model!CR237</f>
        <v>0</v>
      </c>
      <c r="CK204">
        <f>Model!CS237</f>
        <v>0</v>
      </c>
      <c r="CL204">
        <f>Model!CT237</f>
        <v>0</v>
      </c>
      <c r="CM204">
        <f>Model!CU237</f>
        <v>0</v>
      </c>
      <c r="CN204">
        <f>Model!CV237</f>
        <v>0</v>
      </c>
      <c r="CO204">
        <f>Model!CW237</f>
        <v>0</v>
      </c>
      <c r="CP204">
        <f>Model!CX237</f>
        <v>0</v>
      </c>
      <c r="CQ204">
        <f>Model!CY237</f>
        <v>0</v>
      </c>
      <c r="CR204">
        <f>Model!CZ237</f>
        <v>0</v>
      </c>
      <c r="CS204">
        <f>Model!DA237</f>
        <v>0</v>
      </c>
      <c r="CT204">
        <f>Model!DB237</f>
        <v>0</v>
      </c>
      <c r="CU204">
        <f>Model!DC237</f>
        <v>0</v>
      </c>
      <c r="CV204">
        <f>Model!DD237</f>
        <v>0</v>
      </c>
      <c r="CW204">
        <f>Model!DE237</f>
        <v>0</v>
      </c>
      <c r="CX204">
        <f>Model!DF237</f>
        <v>0</v>
      </c>
    </row>
    <row r="205" spans="1:102">
      <c r="A205" t="str">
        <f>Model!I238</f>
        <v>Int'l Agency Gross Profit (Booking.com)</v>
      </c>
      <c r="B205">
        <f>Model!J238</f>
        <v>0</v>
      </c>
      <c r="C205">
        <f>Model!K238</f>
        <v>0</v>
      </c>
      <c r="D205">
        <f>Model!L238</f>
        <v>0</v>
      </c>
      <c r="E205">
        <f>Model!M238</f>
        <v>0</v>
      </c>
      <c r="F205">
        <f>Model!N238</f>
        <v>0</v>
      </c>
      <c r="G205">
        <f>Model!O238</f>
        <v>0</v>
      </c>
      <c r="H205">
        <f>Model!P238</f>
        <v>0</v>
      </c>
      <c r="I205">
        <f>Model!Q238</f>
        <v>0</v>
      </c>
      <c r="J205">
        <f>Model!R238</f>
        <v>0</v>
      </c>
      <c r="K205">
        <f>Model!S238</f>
        <v>0</v>
      </c>
      <c r="L205">
        <f>Model!T238</f>
        <v>0</v>
      </c>
      <c r="M205">
        <f>Model!U238</f>
        <v>0</v>
      </c>
      <c r="N205">
        <f>Model!V238</f>
        <v>0</v>
      </c>
      <c r="O205">
        <f>Model!W238</f>
        <v>0</v>
      </c>
      <c r="P205">
        <f>Model!X238</f>
        <v>0</v>
      </c>
      <c r="Q205">
        <f>Model!Y238</f>
        <v>0</v>
      </c>
      <c r="R205">
        <f>Model!Z238</f>
        <v>0</v>
      </c>
      <c r="S205">
        <f>Model!AA238</f>
        <v>0</v>
      </c>
      <c r="T205">
        <f>Model!AB238</f>
        <v>0</v>
      </c>
      <c r="U205">
        <f>Model!AC238</f>
        <v>0</v>
      </c>
      <c r="V205">
        <f>Model!AD238</f>
        <v>0</v>
      </c>
      <c r="W205">
        <f>Model!AE238</f>
        <v>0</v>
      </c>
      <c r="X205">
        <f>Model!AF238</f>
        <v>0</v>
      </c>
      <c r="Y205">
        <f>Model!AG238</f>
        <v>0</v>
      </c>
      <c r="Z205">
        <f>Model!AH238</f>
        <v>0</v>
      </c>
      <c r="AA205">
        <f>Model!AI238</f>
        <v>0</v>
      </c>
      <c r="AB205">
        <f>Model!AJ238</f>
        <v>0</v>
      </c>
      <c r="AC205">
        <f>Model!AK238</f>
        <v>47.900000000000006</v>
      </c>
      <c r="AD205">
        <f>Model!AL238</f>
        <v>90.4</v>
      </c>
      <c r="AE205">
        <f>Model!AM238</f>
        <v>131.80000000000001</v>
      </c>
      <c r="AF205">
        <f>Model!AN238</f>
        <v>101</v>
      </c>
      <c r="AG205">
        <f>Model!AO238</f>
        <v>100.233</v>
      </c>
      <c r="AH205">
        <f>Model!AP238</f>
        <v>160.99100000000001</v>
      </c>
      <c r="AI205">
        <f>Model!AQ238</f>
        <v>219.00199999999998</v>
      </c>
      <c r="AJ205">
        <f>Model!AR238</f>
        <v>122.3625</v>
      </c>
      <c r="AK205">
        <f>Model!AS238</f>
        <v>105.51755</v>
      </c>
      <c r="AL205">
        <f>Model!AT238</f>
        <v>188.35384999999999</v>
      </c>
      <c r="AM205">
        <f>Model!AU238</f>
        <v>304.72480000000002</v>
      </c>
      <c r="AN205">
        <f>Model!AV238</f>
        <v>210.13749999999999</v>
      </c>
      <c r="AO205">
        <f>Model!AW238</f>
        <v>192.199736</v>
      </c>
      <c r="AP205">
        <f>Model!AX238</f>
        <v>292.73539499999998</v>
      </c>
      <c r="AQ205">
        <f>Model!AY238</f>
        <v>488.12072000000001</v>
      </c>
      <c r="AR205">
        <f>Model!AZ238</f>
        <v>334.77787499999999</v>
      </c>
      <c r="AS205">
        <f>Model!BA238</f>
        <v>328.0394192</v>
      </c>
      <c r="AT205">
        <f>Model!BB238</f>
        <v>539.37992695387254</v>
      </c>
      <c r="AU205">
        <f>Model!BC238</f>
        <v>867.04143999999997</v>
      </c>
      <c r="AV205">
        <f>Model!BD238</f>
        <v>529.75575000000003</v>
      </c>
      <c r="AW205">
        <f>Model!BE238</f>
        <v>514.72701264</v>
      </c>
      <c r="AX205">
        <f>Model!BF238</f>
        <v>736.97040885119588</v>
      </c>
      <c r="AY205">
        <f>Model!BG238</f>
        <v>1094.2856192000002</v>
      </c>
      <c r="AZ205">
        <f>Model!BH238</f>
        <v>710.88919999999996</v>
      </c>
      <c r="BA205">
        <f>Model!BI238</f>
        <v>747.40689820160003</v>
      </c>
      <c r="BB205">
        <f>Model!BJ238</f>
        <v>1019.5068661241743</v>
      </c>
      <c r="BC205">
        <f>Model!BK238</f>
        <v>1554.988035456</v>
      </c>
      <c r="BD205">
        <f>Model!BL238</f>
        <v>982.36041999999998</v>
      </c>
      <c r="BE205">
        <f>Model!BM238</f>
        <v>1020.85696766208</v>
      </c>
      <c r="BF205">
        <f>Model!BN238</f>
        <v>1418.9306799477592</v>
      </c>
      <c r="BG205">
        <f>Model!BO238</f>
        <v>2061.1134060928002</v>
      </c>
      <c r="BH205">
        <f>Model!BP238</f>
        <v>1215.344546</v>
      </c>
      <c r="BI205">
        <f>Model!BQ238</f>
        <v>1173.028361194496</v>
      </c>
      <c r="BJ205">
        <f>Model!BR238</f>
        <v>1522.7168159373109</v>
      </c>
      <c r="BK205">
        <f>Model!BS238</f>
        <v>2341.7133614835202</v>
      </c>
      <c r="BL205">
        <f>Model!BT238</f>
        <v>1361.9134006000002</v>
      </c>
      <c r="BM205">
        <f>Model!BU238</f>
        <v>1415.142606328955</v>
      </c>
      <c r="BN205">
        <f>Model!BV238</f>
        <v>1760.0823433840533</v>
      </c>
      <c r="BO205">
        <f>Model!BW238</f>
        <v>2983.8437906989057</v>
      </c>
      <c r="BP205">
        <f>Model!BX238</f>
        <v>1702.482560768</v>
      </c>
      <c r="BQ205">
        <f>Model!BY238</f>
        <v>1649.8778771111936</v>
      </c>
      <c r="BR205">
        <f>Model!BZ238</f>
        <v>2183.7437164738021</v>
      </c>
      <c r="BS205">
        <f>Model!CA238</f>
        <v>3619.9779607736318</v>
      </c>
      <c r="BT205">
        <f>Model!CB238</f>
        <v>2035.69827936</v>
      </c>
      <c r="BU205">
        <f>Model!CC238</f>
        <v>2047.8295771443657</v>
      </c>
      <c r="BV205">
        <f>Model!CD238</f>
        <v>2720.041280728974</v>
      </c>
      <c r="BW205">
        <f>Model!CE238</f>
        <v>4184.338231224755</v>
      </c>
      <c r="BX205">
        <f>Model!CF238</f>
        <v>2573.3822643112076</v>
      </c>
      <c r="BY205">
        <f>Model!CG238</f>
        <v>0</v>
      </c>
      <c r="BZ205">
        <f>Model!CH238</f>
        <v>0</v>
      </c>
      <c r="CA205">
        <f>Model!CI238</f>
        <v>0</v>
      </c>
      <c r="CB205">
        <f>Model!CJ238</f>
        <v>0</v>
      </c>
      <c r="CC205">
        <f>Model!CK238</f>
        <v>0</v>
      </c>
      <c r="CD205">
        <f>Model!CL238</f>
        <v>0</v>
      </c>
      <c r="CE205">
        <f>Model!CM238</f>
        <v>0</v>
      </c>
      <c r="CF205">
        <f>Model!CN238</f>
        <v>367.1</v>
      </c>
      <c r="CG205">
        <f>Model!CO238</f>
        <v>602.58849999999995</v>
      </c>
      <c r="CH205">
        <f>Model!CP238</f>
        <v>808.7337</v>
      </c>
      <c r="CI205">
        <f>Model!CQ238</f>
        <v>1307.8337259999998</v>
      </c>
      <c r="CJ205">
        <f>Model!CR238</f>
        <v>2264.2165361538728</v>
      </c>
      <c r="CK205">
        <f>Model!CS238</f>
        <v>3056.8722406911961</v>
      </c>
      <c r="CL205">
        <f>Model!CT238</f>
        <v>4304.2622197817745</v>
      </c>
      <c r="CM205">
        <f>Model!CU238</f>
        <v>5716.2455997026391</v>
      </c>
      <c r="CN205">
        <f>Model!CV238</f>
        <v>6399.3719392153271</v>
      </c>
      <c r="CO205">
        <f>Model!CW238</f>
        <v>7861.5513011799139</v>
      </c>
      <c r="CP205">
        <f>Model!CX238</f>
        <v>9489.2978337186287</v>
      </c>
      <c r="CQ205">
        <f>Model!CY238</f>
        <v>11525.591353409302</v>
      </c>
      <c r="CR205">
        <f>Model!CZ238</f>
        <v>13305.874305869598</v>
      </c>
      <c r="CS205">
        <f>Model!DA238</f>
        <v>15083.695336049828</v>
      </c>
      <c r="CT205">
        <f>Model!DB238</f>
        <v>16797.511538348826</v>
      </c>
      <c r="CU205">
        <f>Model!DC238</f>
        <v>18475.994392295343</v>
      </c>
      <c r="CV205">
        <f>Model!DD238</f>
        <v>20113.18315743807</v>
      </c>
      <c r="CW205">
        <f>Model!DE238</f>
        <v>21691.408924924566</v>
      </c>
      <c r="CX205">
        <f>Model!DF238</f>
        <v>23393.508565100587</v>
      </c>
    </row>
    <row r="206" spans="1:102">
      <c r="A206" t="str">
        <f>Model!I239</f>
        <v>Agoda (Merchant but Net)</v>
      </c>
      <c r="B206">
        <f>Model!J239</f>
        <v>0</v>
      </c>
      <c r="C206">
        <f>Model!K239</f>
        <v>0</v>
      </c>
      <c r="D206">
        <f>Model!L239</f>
        <v>0</v>
      </c>
      <c r="E206">
        <f>Model!M239</f>
        <v>0</v>
      </c>
      <c r="F206">
        <f>Model!N239</f>
        <v>0</v>
      </c>
      <c r="G206">
        <f>Model!O239</f>
        <v>0</v>
      </c>
      <c r="H206">
        <f>Model!P239</f>
        <v>0</v>
      </c>
      <c r="I206">
        <f>Model!Q239</f>
        <v>0</v>
      </c>
      <c r="J206">
        <f>Model!R239</f>
        <v>0</v>
      </c>
      <c r="K206">
        <f>Model!S239</f>
        <v>0</v>
      </c>
      <c r="L206">
        <f>Model!T239</f>
        <v>0</v>
      </c>
      <c r="M206">
        <f>Model!U239</f>
        <v>0</v>
      </c>
      <c r="N206">
        <f>Model!V239</f>
        <v>0</v>
      </c>
      <c r="O206">
        <f>Model!W239</f>
        <v>0</v>
      </c>
      <c r="P206">
        <f>Model!X239</f>
        <v>0</v>
      </c>
      <c r="Q206">
        <f>Model!Y239</f>
        <v>0</v>
      </c>
      <c r="R206">
        <f>Model!Z239</f>
        <v>0</v>
      </c>
      <c r="S206">
        <f>Model!AA239</f>
        <v>0</v>
      </c>
      <c r="T206">
        <f>Model!AB239</f>
        <v>0</v>
      </c>
      <c r="U206">
        <f>Model!AC239</f>
        <v>0</v>
      </c>
      <c r="V206">
        <f>Model!AD239</f>
        <v>0</v>
      </c>
      <c r="W206">
        <f>Model!AE239</f>
        <v>0</v>
      </c>
      <c r="X206">
        <f>Model!AF239</f>
        <v>0</v>
      </c>
      <c r="Y206">
        <f>Model!AG239</f>
        <v>0</v>
      </c>
      <c r="Z206">
        <f>Model!AH239</f>
        <v>0</v>
      </c>
      <c r="AA206">
        <f>Model!AI239</f>
        <v>0</v>
      </c>
      <c r="AB206">
        <f>Model!AJ239</f>
        <v>0</v>
      </c>
      <c r="AC206">
        <f>Model!AK239</f>
        <v>0</v>
      </c>
      <c r="AD206">
        <f>Model!AL239</f>
        <v>0</v>
      </c>
      <c r="AE206">
        <f>Model!AM239</f>
        <v>0</v>
      </c>
      <c r="AF206">
        <f>Model!AN239</f>
        <v>1.9</v>
      </c>
      <c r="AG206">
        <f>Model!AO239</f>
        <v>3.5670000000000002</v>
      </c>
      <c r="AH206">
        <f>Model!AP239</f>
        <v>3.5089999999999995</v>
      </c>
      <c r="AI206">
        <f>Model!AQ239</f>
        <v>4.6979999999999995</v>
      </c>
      <c r="AJ206">
        <f>Model!AR239</f>
        <v>5.4375</v>
      </c>
      <c r="AK206">
        <f>Model!AS239</f>
        <v>8.3824500000000004</v>
      </c>
      <c r="AL206">
        <f>Model!AT239</f>
        <v>8.2461499999999983</v>
      </c>
      <c r="AM206">
        <f>Model!AU239</f>
        <v>11.275199999999998</v>
      </c>
      <c r="AN206">
        <f>Model!AV239</f>
        <v>11.962499999999999</v>
      </c>
      <c r="AO206">
        <f>Model!AW239</f>
        <v>22.800263999999999</v>
      </c>
      <c r="AP206">
        <f>Model!AX239</f>
        <v>22.264605</v>
      </c>
      <c r="AQ206">
        <f>Model!AY239</f>
        <v>29.879279999999994</v>
      </c>
      <c r="AR206">
        <f>Model!AZ239</f>
        <v>31.222125000000002</v>
      </c>
      <c r="AS206">
        <f>Model!BA239</f>
        <v>50.160580799999998</v>
      </c>
      <c r="AT206">
        <f>Model!BB239</f>
        <v>56.774742749999994</v>
      </c>
      <c r="AU206">
        <f>Model!BC239</f>
        <v>59.758559999999989</v>
      </c>
      <c r="AV206">
        <f>Model!BD239</f>
        <v>62.444250000000004</v>
      </c>
      <c r="AW206">
        <f>Model!BE239</f>
        <v>85.272987359999988</v>
      </c>
      <c r="AX206">
        <f>Model!BF239</f>
        <v>96.517062674999991</v>
      </c>
      <c r="AY206">
        <f>Model!BG239</f>
        <v>100.39438079999998</v>
      </c>
      <c r="AZ206">
        <f>Model!BH239</f>
        <v>99.910800000000009</v>
      </c>
      <c r="BA206">
        <f>Model!BI239</f>
        <v>122.79310179839997</v>
      </c>
      <c r="BB206">
        <f>Model!BJ239</f>
        <v>144.77559401249997</v>
      </c>
      <c r="BC206">
        <f>Model!BK239</f>
        <v>143.56396454399996</v>
      </c>
      <c r="BD206">
        <f>Model!BL239</f>
        <v>134.87958</v>
      </c>
      <c r="BE206">
        <f>Model!BM239</f>
        <v>159.63103233791998</v>
      </c>
      <c r="BF206">
        <f>Model!BN239</f>
        <v>188.20827221624998</v>
      </c>
      <c r="BG206">
        <f>Model!BO239</f>
        <v>186.63315390719998</v>
      </c>
      <c r="BH206">
        <f>Model!BP239</f>
        <v>175.34345400000004</v>
      </c>
      <c r="BI206">
        <f>Model!BQ239</f>
        <v>191.55723880550394</v>
      </c>
      <c r="BJ206">
        <f>Model!BR239</f>
        <v>225.84992665949997</v>
      </c>
      <c r="BK206">
        <f>Model!BS239</f>
        <v>167.96983851647997</v>
      </c>
      <c r="BL206">
        <f>Model!BT239</f>
        <v>192.87779940000004</v>
      </c>
      <c r="BM206">
        <f>Model!BU239</f>
        <v>245.19326567104508</v>
      </c>
      <c r="BN206">
        <f>Model!BV239</f>
        <v>282.31240832437493</v>
      </c>
      <c r="BO206">
        <f>Model!BW239</f>
        <v>215.00139330109437</v>
      </c>
      <c r="BP206">
        <f>Model!BX239</f>
        <v>246.88358323200009</v>
      </c>
      <c r="BQ206">
        <f>Model!BY239</f>
        <v>306.49158208880635</v>
      </c>
      <c r="BR206">
        <f>Model!BZ239</f>
        <v>352.89051040546866</v>
      </c>
      <c r="BS206">
        <f>Model!CA239</f>
        <v>268.75174162636796</v>
      </c>
      <c r="BT206">
        <f>Model!CB239</f>
        <v>308.60447904000011</v>
      </c>
      <c r="BU206">
        <f>Model!CC239</f>
        <v>352.46531940212725</v>
      </c>
      <c r="BV206">
        <f>Model!CD239</f>
        <v>405.82408696628892</v>
      </c>
      <c r="BW206">
        <f>Model!CE239</f>
        <v>309.06450287032311</v>
      </c>
      <c r="BX206">
        <f>Model!CF239</f>
        <v>354.89515089600008</v>
      </c>
      <c r="BY206">
        <f>Model!CG239</f>
        <v>0</v>
      </c>
      <c r="BZ206">
        <f>Model!CH239</f>
        <v>0</v>
      </c>
      <c r="CA206">
        <f>Model!CI239</f>
        <v>0</v>
      </c>
      <c r="CB206">
        <f>Model!CJ239</f>
        <v>0</v>
      </c>
      <c r="CC206">
        <f>Model!CK239</f>
        <v>0</v>
      </c>
      <c r="CD206">
        <f>Model!CL239</f>
        <v>0</v>
      </c>
      <c r="CE206">
        <f>Model!CM239</f>
        <v>0</v>
      </c>
      <c r="CF206">
        <f>Model!CN239</f>
        <v>1.9</v>
      </c>
      <c r="CG206">
        <f>Model!CO239</f>
        <v>17.211500000000001</v>
      </c>
      <c r="CH206">
        <f>Model!CP239</f>
        <v>39.866299999999995</v>
      </c>
      <c r="CI206">
        <f>Model!CQ239</f>
        <v>106.166274</v>
      </c>
      <c r="CJ206">
        <f>Model!CR239</f>
        <v>229.13813354999999</v>
      </c>
      <c r="CK206">
        <f>Model!CS239</f>
        <v>382.09523083499994</v>
      </c>
      <c r="CL206">
        <f>Model!CT239</f>
        <v>546.01224035489997</v>
      </c>
      <c r="CM206">
        <f>Model!CU239</f>
        <v>709.81591246137009</v>
      </c>
      <c r="CN206">
        <f>Model!CV239</f>
        <v>778.25480338148395</v>
      </c>
      <c r="CO206">
        <f>Model!CW239</f>
        <v>989.39065052851447</v>
      </c>
      <c r="CP206">
        <f>Model!CX239</f>
        <v>1236.738313160643</v>
      </c>
      <c r="CQ206">
        <f>Model!CY239</f>
        <v>1422.2490601347395</v>
      </c>
      <c r="CR206">
        <f>Model!CZ239</f>
        <v>1603.5858153019187</v>
      </c>
      <c r="CS206">
        <f>Model!DA239</f>
        <v>1777.3744280352641</v>
      </c>
      <c r="CT206">
        <f>Model!DB239</f>
        <v>1943.3367652530569</v>
      </c>
      <c r="CU206">
        <f>Model!DC239</f>
        <v>2095.645784229765</v>
      </c>
      <c r="CV206">
        <f>Model!DD239</f>
        <v>2259.892022568773</v>
      </c>
      <c r="CW206">
        <f>Model!DE239</f>
        <v>2437.0110598376</v>
      </c>
      <c r="CX206">
        <f>Model!DF239</f>
        <v>2628.011801652372</v>
      </c>
    </row>
    <row r="207" spans="1:102">
      <c r="A207" t="str">
        <f>Model!I240</f>
        <v>Travel Jigsaw (Merchant)</v>
      </c>
      <c r="B207">
        <f>Model!J240</f>
        <v>0</v>
      </c>
      <c r="C207">
        <f>Model!K240</f>
        <v>0</v>
      </c>
      <c r="D207">
        <f>Model!L240</f>
        <v>0</v>
      </c>
      <c r="E207">
        <f>Model!M240</f>
        <v>0</v>
      </c>
      <c r="F207">
        <f>Model!N240</f>
        <v>0</v>
      </c>
      <c r="G207">
        <f>Model!O240</f>
        <v>0</v>
      </c>
      <c r="H207">
        <f>Model!P240</f>
        <v>0</v>
      </c>
      <c r="I207">
        <f>Model!Q240</f>
        <v>0</v>
      </c>
      <c r="J207">
        <f>Model!R240</f>
        <v>0</v>
      </c>
      <c r="K207">
        <f>Model!S240</f>
        <v>0</v>
      </c>
      <c r="L207">
        <f>Model!T240</f>
        <v>0</v>
      </c>
      <c r="M207">
        <f>Model!U240</f>
        <v>0</v>
      </c>
      <c r="N207">
        <f>Model!V240</f>
        <v>0</v>
      </c>
      <c r="O207">
        <f>Model!W240</f>
        <v>0</v>
      </c>
      <c r="P207">
        <f>Model!X240</f>
        <v>0</v>
      </c>
      <c r="Q207">
        <f>Model!Y240</f>
        <v>0</v>
      </c>
      <c r="R207">
        <f>Model!Z240</f>
        <v>0</v>
      </c>
      <c r="S207">
        <f>Model!AA240</f>
        <v>0</v>
      </c>
      <c r="T207">
        <f>Model!AB240</f>
        <v>0</v>
      </c>
      <c r="U207">
        <f>Model!AC240</f>
        <v>0</v>
      </c>
      <c r="V207">
        <f>Model!AD240</f>
        <v>0</v>
      </c>
      <c r="W207">
        <f>Model!AE240</f>
        <v>0</v>
      </c>
      <c r="X207">
        <f>Model!AF240</f>
        <v>0</v>
      </c>
      <c r="Y207">
        <f>Model!AG240</f>
        <v>0</v>
      </c>
      <c r="Z207">
        <f>Model!AH240</f>
        <v>0</v>
      </c>
      <c r="AA207">
        <f>Model!AI240</f>
        <v>0</v>
      </c>
      <c r="AB207">
        <f>Model!AJ240</f>
        <v>0</v>
      </c>
      <c r="AC207">
        <f>Model!AK240</f>
        <v>0</v>
      </c>
      <c r="AD207">
        <f>Model!AL240</f>
        <v>0</v>
      </c>
      <c r="AE207">
        <f>Model!AM240</f>
        <v>0</v>
      </c>
      <c r="AF207">
        <f>Model!AN240</f>
        <v>0</v>
      </c>
      <c r="AG207">
        <f>Model!AO240</f>
        <v>0</v>
      </c>
      <c r="AH207">
        <f>Model!AP240</f>
        <v>0</v>
      </c>
      <c r="AI207">
        <f>Model!AQ240</f>
        <v>0</v>
      </c>
      <c r="AJ207">
        <f>Model!AR240</f>
        <v>0</v>
      </c>
      <c r="AK207">
        <f>Model!AS240</f>
        <v>0</v>
      </c>
      <c r="AL207">
        <f>Model!AT240</f>
        <v>0</v>
      </c>
      <c r="AM207">
        <f>Model!AU240</f>
        <v>0</v>
      </c>
      <c r="AN207">
        <f>Model!AV240</f>
        <v>0</v>
      </c>
      <c r="AO207">
        <f>Model!AW240</f>
        <v>0</v>
      </c>
      <c r="AP207">
        <f>Model!AX240</f>
        <v>7</v>
      </c>
      <c r="AQ207">
        <f>Model!AY240</f>
        <v>12</v>
      </c>
      <c r="AR207">
        <f>Model!AZ240</f>
        <v>8</v>
      </c>
      <c r="AS207">
        <f>Model!BA240</f>
        <v>10</v>
      </c>
      <c r="AT207">
        <f>Model!BB240</f>
        <v>15.945330296127564</v>
      </c>
      <c r="AU207">
        <f>Model!BC240</f>
        <v>25.200000000000003</v>
      </c>
      <c r="AV207">
        <f>Model!BD240</f>
        <v>16.8</v>
      </c>
      <c r="AW207">
        <f>Model!BE240</f>
        <v>17</v>
      </c>
      <c r="AX207">
        <f>Model!BF240</f>
        <v>25.512528473804103</v>
      </c>
      <c r="AY207">
        <f>Model!BG240</f>
        <v>40.320000000000007</v>
      </c>
      <c r="AZ207">
        <f>Model!BH240</f>
        <v>25.2</v>
      </c>
      <c r="BA207">
        <f>Model!BI240</f>
        <v>23.799999999999997</v>
      </c>
      <c r="BB207">
        <f>Model!BJ240</f>
        <v>35.71753986332574</v>
      </c>
      <c r="BC207">
        <f>Model!BK240</f>
        <v>56.448000000000008</v>
      </c>
      <c r="BD207">
        <f>Model!BL240</f>
        <v>32.76</v>
      </c>
      <c r="BE207">
        <f>Model!BM240</f>
        <v>29.512</v>
      </c>
      <c r="BF207">
        <f>Model!BN240</f>
        <v>42.861047835990895</v>
      </c>
      <c r="BG207">
        <f>Model!BO240</f>
        <v>72.253440000000012</v>
      </c>
      <c r="BH207">
        <f>Model!BP240</f>
        <v>39.311999999999998</v>
      </c>
      <c r="BI207">
        <f>Model!BQ240</f>
        <v>35.414400000000001</v>
      </c>
      <c r="BJ207">
        <f>Model!BR240</f>
        <v>51.433257403189067</v>
      </c>
      <c r="BK207">
        <f>Model!BS240</f>
        <v>90.316800000000015</v>
      </c>
      <c r="BL207">
        <f>Model!BT240</f>
        <v>45.208799999999989</v>
      </c>
      <c r="BM207">
        <f>Model!BU240</f>
        <v>39.664128000000005</v>
      </c>
      <c r="BN207">
        <f>Model!BV240</f>
        <v>57.605248291571769</v>
      </c>
      <c r="BO207">
        <f>Model!BW240</f>
        <v>101.15481600000003</v>
      </c>
      <c r="BP207">
        <f>Model!BX240</f>
        <v>50.633855999999994</v>
      </c>
      <c r="BQ207">
        <f>Model!BY240</f>
        <v>43.630540800000006</v>
      </c>
      <c r="BR207">
        <f>Model!BZ240</f>
        <v>63.365773120728946</v>
      </c>
      <c r="BS207">
        <f>Model!CA240</f>
        <v>111.27029760000003</v>
      </c>
      <c r="BT207">
        <f>Model!CB240</f>
        <v>55.697241599999998</v>
      </c>
      <c r="BU207">
        <f>Model!CC240</f>
        <v>45.812067840000012</v>
      </c>
      <c r="BV207">
        <f>Model!CD240</f>
        <v>66.534061776765398</v>
      </c>
      <c r="BW207">
        <f>Model!CE240</f>
        <v>116.83381248000005</v>
      </c>
      <c r="BX207">
        <f>Model!CF240</f>
        <v>58.482103680000009</v>
      </c>
      <c r="BY207">
        <f>Model!CG240</f>
        <v>0</v>
      </c>
      <c r="BZ207">
        <f>Model!CH240</f>
        <v>0</v>
      </c>
      <c r="CA207">
        <f>Model!CI240</f>
        <v>0</v>
      </c>
      <c r="CB207">
        <f>Model!CJ240</f>
        <v>0</v>
      </c>
      <c r="CC207">
        <f>Model!CK240</f>
        <v>0</v>
      </c>
      <c r="CD207">
        <f>Model!CL240</f>
        <v>0</v>
      </c>
      <c r="CE207">
        <f>Model!CM240</f>
        <v>0</v>
      </c>
      <c r="CF207">
        <f>Model!CN240</f>
        <v>0</v>
      </c>
      <c r="CG207">
        <f>Model!CO240</f>
        <v>0</v>
      </c>
      <c r="CH207">
        <f>Model!CP240</f>
        <v>0</v>
      </c>
      <c r="CI207">
        <f>Model!CQ240</f>
        <v>27</v>
      </c>
      <c r="CJ207">
        <f>Model!CR240</f>
        <v>67.945330296127565</v>
      </c>
      <c r="CK207">
        <f>Model!CS240</f>
        <v>108.03252847380411</v>
      </c>
      <c r="CL207">
        <f>Model!CT240</f>
        <v>148.72553986332574</v>
      </c>
      <c r="CM207">
        <f>Model!CU240</f>
        <v>183.93848783599088</v>
      </c>
      <c r="CN207">
        <f>Model!CV240</f>
        <v>222.37325740318909</v>
      </c>
      <c r="CO207">
        <f>Model!CW240</f>
        <v>249.05804829157177</v>
      </c>
      <c r="CP207">
        <f>Model!CX240</f>
        <v>273.96385312072897</v>
      </c>
      <c r="CQ207">
        <f>Model!CY240</f>
        <v>287.66204577676547</v>
      </c>
      <c r="CR207">
        <f>Model!CZ240</f>
        <v>299.16852760783615</v>
      </c>
      <c r="CS207">
        <f>Model!DA240</f>
        <v>308.14358343607125</v>
      </c>
      <c r="CT207">
        <f>Model!DB240</f>
        <v>314.30645510479269</v>
      </c>
      <c r="CU207">
        <f>Model!DC240</f>
        <v>317.44951965584067</v>
      </c>
      <c r="CV207">
        <f>Model!DD240</f>
        <v>317.44951965584067</v>
      </c>
      <c r="CW207">
        <f>Model!DE240</f>
        <v>314.27502445928229</v>
      </c>
      <c r="CX207">
        <f>Model!DF240</f>
        <v>311.13227421468946</v>
      </c>
    </row>
    <row r="208" spans="1:102">
      <c r="A208" t="str">
        <f>Model!I241</f>
        <v>Total International  Gross Profit (conf call)</v>
      </c>
      <c r="B208">
        <f>Model!J241</f>
        <v>0</v>
      </c>
      <c r="C208">
        <f>Model!K241</f>
        <v>0</v>
      </c>
      <c r="D208">
        <f>Model!L241</f>
        <v>0</v>
      </c>
      <c r="E208">
        <f>Model!M241</f>
        <v>0</v>
      </c>
      <c r="F208">
        <f>Model!N241</f>
        <v>0</v>
      </c>
      <c r="G208">
        <f>Model!O241</f>
        <v>0</v>
      </c>
      <c r="H208">
        <f>Model!P241</f>
        <v>0</v>
      </c>
      <c r="I208">
        <f>Model!Q241</f>
        <v>0</v>
      </c>
      <c r="J208">
        <f>Model!R241</f>
        <v>0</v>
      </c>
      <c r="K208">
        <f>Model!S241</f>
        <v>0</v>
      </c>
      <c r="L208">
        <f>Model!T241</f>
        <v>0</v>
      </c>
      <c r="M208">
        <f>Model!U241</f>
        <v>0</v>
      </c>
      <c r="N208">
        <f>Model!V241</f>
        <v>0</v>
      </c>
      <c r="O208">
        <f>Model!W241</f>
        <v>0</v>
      </c>
      <c r="P208">
        <f>Model!X241</f>
        <v>0</v>
      </c>
      <c r="Q208">
        <f>Model!Y241</f>
        <v>0</v>
      </c>
      <c r="R208">
        <f>Model!Z241</f>
        <v>0</v>
      </c>
      <c r="S208">
        <f>Model!AA241</f>
        <v>0</v>
      </c>
      <c r="T208">
        <f>Model!AB241</f>
        <v>0</v>
      </c>
      <c r="U208">
        <f>Model!AC241</f>
        <v>0</v>
      </c>
      <c r="V208">
        <f>Model!AD241</f>
        <v>0</v>
      </c>
      <c r="W208">
        <f>Model!AE241</f>
        <v>0</v>
      </c>
      <c r="X208">
        <f>Model!AF241</f>
        <v>0</v>
      </c>
      <c r="Y208">
        <f>Model!AG241</f>
        <v>0</v>
      </c>
      <c r="Z208">
        <f>Model!AH241</f>
        <v>0</v>
      </c>
      <c r="AA208">
        <f>Model!AI241</f>
        <v>0</v>
      </c>
      <c r="AB208">
        <f>Model!AJ241</f>
        <v>0</v>
      </c>
      <c r="AC208">
        <f>Model!AK241</f>
        <v>47.900000000000006</v>
      </c>
      <c r="AD208">
        <f>Model!AL241</f>
        <v>90.4</v>
      </c>
      <c r="AE208">
        <f>Model!AM241</f>
        <v>131.80000000000001</v>
      </c>
      <c r="AF208">
        <f>Model!AN241</f>
        <v>102.9</v>
      </c>
      <c r="AG208">
        <f>Model!AO241</f>
        <v>103.8</v>
      </c>
      <c r="AH208">
        <f>Model!AP241</f>
        <v>164.5</v>
      </c>
      <c r="AI208">
        <f>Model!AQ241</f>
        <v>223.7</v>
      </c>
      <c r="AJ208">
        <f>Model!AR241</f>
        <v>127.8</v>
      </c>
      <c r="AK208">
        <f>Model!AS241</f>
        <v>113.9</v>
      </c>
      <c r="AL208">
        <f>Model!AT241</f>
        <v>196.6</v>
      </c>
      <c r="AM208">
        <f>Model!AU241</f>
        <v>316</v>
      </c>
      <c r="AN208">
        <f>Model!AV241</f>
        <v>222.1</v>
      </c>
      <c r="AO208">
        <f>Model!AW241</f>
        <v>215</v>
      </c>
      <c r="AP208">
        <f>Model!AX241</f>
        <v>322</v>
      </c>
      <c r="AQ208">
        <f>Model!AY241</f>
        <v>530</v>
      </c>
      <c r="AR208">
        <f>Model!AZ241</f>
        <v>374</v>
      </c>
      <c r="AS208">
        <f>Model!BA241</f>
        <v>388.2</v>
      </c>
      <c r="AT208">
        <f>Model!BB241</f>
        <v>612.1</v>
      </c>
      <c r="AU208">
        <f>Model!BC241</f>
        <v>952</v>
      </c>
      <c r="AV208">
        <f>Model!BD241</f>
        <v>609</v>
      </c>
      <c r="AW208">
        <f>Model!BE241</f>
        <v>617</v>
      </c>
      <c r="AX208">
        <f>Model!BF241</f>
        <v>859</v>
      </c>
      <c r="AY208">
        <f>Model!BG241</f>
        <v>1235</v>
      </c>
      <c r="AZ208">
        <f>Model!BH241</f>
        <v>836</v>
      </c>
      <c r="BA208">
        <f>Model!BI241</f>
        <v>894</v>
      </c>
      <c r="BB208">
        <f>Model!BJ241</f>
        <v>1200</v>
      </c>
      <c r="BC208">
        <f>Model!BK241</f>
        <v>1755</v>
      </c>
      <c r="BD208">
        <f>Model!BL241</f>
        <v>1150</v>
      </c>
      <c r="BE208">
        <f>Model!BM241</f>
        <v>1210</v>
      </c>
      <c r="BF208">
        <f>Model!BN241</f>
        <v>1650</v>
      </c>
      <c r="BG208">
        <f>Model!BO241</f>
        <v>2320</v>
      </c>
      <c r="BH208">
        <f>Model!BP241</f>
        <v>1430</v>
      </c>
      <c r="BI208">
        <f>Model!BQ241</f>
        <v>1400</v>
      </c>
      <c r="BJ208">
        <f>Model!BR241</f>
        <v>1800</v>
      </c>
      <c r="BK208">
        <f>Model!BS241</f>
        <v>2600</v>
      </c>
      <c r="BL208">
        <f>Model!BT241</f>
        <v>1600</v>
      </c>
      <c r="BM208">
        <f>Model!BU241</f>
        <v>1700</v>
      </c>
      <c r="BN208">
        <f>Model!BV241</f>
        <v>2100</v>
      </c>
      <c r="BO208">
        <f>Model!BW241</f>
        <v>3300</v>
      </c>
      <c r="BP208">
        <f>Model!BX241</f>
        <v>2000</v>
      </c>
      <c r="BQ208">
        <f>Model!BY241</f>
        <v>2000</v>
      </c>
      <c r="BR208">
        <f>Model!BZ241</f>
        <v>2600</v>
      </c>
      <c r="BS208">
        <f>Model!CA241</f>
        <v>4000</v>
      </c>
      <c r="BT208">
        <f>Model!CB241</f>
        <v>2400</v>
      </c>
      <c r="BU208">
        <f>Model!CC241</f>
        <v>2446.106964386493</v>
      </c>
      <c r="BV208">
        <f>Model!CD241</f>
        <v>3192.3994294720287</v>
      </c>
      <c r="BW208">
        <f>Model!CE241</f>
        <v>4610.2365465750781</v>
      </c>
      <c r="BX208">
        <f>Model!CF241</f>
        <v>2986.7595188872074</v>
      </c>
      <c r="BY208">
        <f>Model!CG241</f>
        <v>0</v>
      </c>
      <c r="BZ208">
        <f>Model!CH241</f>
        <v>0</v>
      </c>
      <c r="CA208">
        <f>Model!CI241</f>
        <v>0</v>
      </c>
      <c r="CB208">
        <f>Model!CJ241</f>
        <v>0</v>
      </c>
      <c r="CC208">
        <f>Model!CK241</f>
        <v>9.0165341962190322</v>
      </c>
      <c r="CD208">
        <f>Model!CL241</f>
        <v>66.992849077907408</v>
      </c>
      <c r="CE208">
        <f>Model!CM241</f>
        <v>178</v>
      </c>
      <c r="CF208">
        <f>Model!CN241</f>
        <v>369</v>
      </c>
      <c r="CG208">
        <f>Model!CO241</f>
        <v>619.79999999999995</v>
      </c>
      <c r="CH208">
        <f>Model!CP241</f>
        <v>848.6</v>
      </c>
      <c r="CI208">
        <f>Model!CQ241</f>
        <v>1440.9999999999998</v>
      </c>
      <c r="CJ208">
        <f>Model!CR241</f>
        <v>2561.3000000000002</v>
      </c>
      <c r="CK208">
        <f>Model!CS241</f>
        <v>3547.0000000000005</v>
      </c>
      <c r="CL208">
        <f>Model!CT241</f>
        <v>4999</v>
      </c>
      <c r="CM208">
        <f>Model!CU241</f>
        <v>6610</v>
      </c>
      <c r="CN208">
        <f>Model!CV241</f>
        <v>7400</v>
      </c>
      <c r="CO208">
        <f>Model!CW241</f>
        <v>9100</v>
      </c>
      <c r="CP208">
        <f>Model!CX241</f>
        <v>11000</v>
      </c>
      <c r="CQ208">
        <f>Model!CY241</f>
        <v>13235.502459320807</v>
      </c>
      <c r="CR208">
        <f>Model!CZ241</f>
        <v>15208.628648779353</v>
      </c>
      <c r="CS208">
        <f>Model!DA241</f>
        <v>17169.213347521163</v>
      </c>
      <c r="CT208">
        <f>Model!DB241</f>
        <v>19055.154758706678</v>
      </c>
      <c r="CU208">
        <f>Model!DC241</f>
        <v>20889.089696180949</v>
      </c>
      <c r="CV208">
        <f>Model!DD241</f>
        <v>22690.524699662685</v>
      </c>
      <c r="CW208">
        <f>Model!DE241</f>
        <v>24442.69500922145</v>
      </c>
      <c r="CX208">
        <f>Model!DF241</f>
        <v>26332.652640967648</v>
      </c>
    </row>
    <row r="209" spans="1:102">
      <c r="A209" t="str">
        <f>Model!I242</f>
        <v>% change Y/Y</v>
      </c>
      <c r="B209">
        <f>Model!J242</f>
        <v>0</v>
      </c>
      <c r="C209">
        <f>Model!K242</f>
        <v>0</v>
      </c>
      <c r="D209">
        <f>Model!L242</f>
        <v>0</v>
      </c>
      <c r="E209">
        <f>Model!M242</f>
        <v>0</v>
      </c>
      <c r="F209">
        <f>Model!N242</f>
        <v>0</v>
      </c>
      <c r="G209">
        <f>Model!O242</f>
        <v>0</v>
      </c>
      <c r="H209">
        <f>Model!P242</f>
        <v>0</v>
      </c>
      <c r="I209">
        <f>Model!Q242</f>
        <v>0</v>
      </c>
      <c r="J209">
        <f>Model!R242</f>
        <v>0</v>
      </c>
      <c r="K209">
        <f>Model!S242</f>
        <v>0</v>
      </c>
      <c r="L209">
        <f>Model!T242</f>
        <v>0</v>
      </c>
      <c r="M209">
        <f>Model!U242</f>
        <v>0</v>
      </c>
      <c r="N209">
        <f>Model!V242</f>
        <v>0</v>
      </c>
      <c r="O209">
        <f>Model!W242</f>
        <v>0</v>
      </c>
      <c r="P209">
        <f>Model!X242</f>
        <v>0</v>
      </c>
      <c r="Q209">
        <f>Model!Y242</f>
        <v>0</v>
      </c>
      <c r="R209">
        <f>Model!Z242</f>
        <v>0</v>
      </c>
      <c r="S209">
        <f>Model!AA242</f>
        <v>0</v>
      </c>
      <c r="T209">
        <f>Model!AB242</f>
        <v>0</v>
      </c>
      <c r="U209">
        <f>Model!AC242</f>
        <v>0</v>
      </c>
      <c r="V209">
        <f>Model!AD242</f>
        <v>0</v>
      </c>
      <c r="W209">
        <f>Model!AE242</f>
        <v>0</v>
      </c>
      <c r="X209">
        <f>Model!AF242</f>
        <v>0</v>
      </c>
      <c r="Y209">
        <f>Model!AG242</f>
        <v>0</v>
      </c>
      <c r="Z209">
        <f>Model!AH242</f>
        <v>0</v>
      </c>
      <c r="AA209">
        <f>Model!AI242</f>
        <v>0</v>
      </c>
      <c r="AB209">
        <f>Model!AJ242</f>
        <v>0</v>
      </c>
      <c r="AC209">
        <f>Model!AK242</f>
        <v>0</v>
      </c>
      <c r="AD209">
        <f>Model!AL242</f>
        <v>0</v>
      </c>
      <c r="AE209">
        <f>Model!AM242</f>
        <v>0</v>
      </c>
      <c r="AF209">
        <f>Model!AN242</f>
        <v>0</v>
      </c>
      <c r="AG209">
        <f>Model!AO242</f>
        <v>1.1670146137787052</v>
      </c>
      <c r="AH209">
        <f>Model!AP242</f>
        <v>0.81969026548672552</v>
      </c>
      <c r="AI209">
        <f>Model!AQ242</f>
        <v>0.69726858877086473</v>
      </c>
      <c r="AJ209">
        <f>Model!AR242</f>
        <v>0.24198250728862969</v>
      </c>
      <c r="AK209">
        <f>Model!AS242</f>
        <v>9.7302504816955793E-2</v>
      </c>
      <c r="AL209">
        <f>Model!AT242</f>
        <v>0.19513677811550156</v>
      </c>
      <c r="AM209">
        <f>Model!AU242</f>
        <v>0.41260616897630764</v>
      </c>
      <c r="AN209">
        <f>Model!AV242</f>
        <v>0.7378716744913929</v>
      </c>
      <c r="AO209">
        <f>Model!AW242</f>
        <v>0.88762071992976277</v>
      </c>
      <c r="AP209">
        <f>Model!AX242</f>
        <v>0.63784333672431348</v>
      </c>
      <c r="AQ209">
        <f>Model!AY242</f>
        <v>0.67721518987341778</v>
      </c>
      <c r="AR209">
        <f>Model!AZ242</f>
        <v>0.68392615938766332</v>
      </c>
      <c r="AS209">
        <f>Model!BA242</f>
        <v>0.8055813953488371</v>
      </c>
      <c r="AT209">
        <f>Model!BB242</f>
        <v>0.90093167701863353</v>
      </c>
      <c r="AU209">
        <f>Model!BC242</f>
        <v>0.79622641509433967</v>
      </c>
      <c r="AV209">
        <f>Model!BD242</f>
        <v>0.62834224598930488</v>
      </c>
      <c r="AW209">
        <f>Model!BE242</f>
        <v>0.58938691396187526</v>
      </c>
      <c r="AX209">
        <f>Model!BF242</f>
        <v>0.40336546315961441</v>
      </c>
      <c r="AY209">
        <f>Model!BG242</f>
        <v>0.29726890756302526</v>
      </c>
      <c r="AZ209">
        <f>Model!BH242</f>
        <v>0.37274220032840732</v>
      </c>
      <c r="BA209">
        <f>Model!BI242</f>
        <v>0.44894651539708263</v>
      </c>
      <c r="BB209">
        <f>Model!BJ242</f>
        <v>0.39697322467986029</v>
      </c>
      <c r="BC209">
        <f>Model!BK242</f>
        <v>0.42105263157894735</v>
      </c>
      <c r="BD209">
        <f>Model!BL242</f>
        <v>0.37559808612440193</v>
      </c>
      <c r="BE209">
        <f>Model!BM242</f>
        <v>0.3534675615212528</v>
      </c>
      <c r="BF209">
        <f>Model!BN242</f>
        <v>0.375</v>
      </c>
      <c r="BG209">
        <f>Model!BO242</f>
        <v>0.32193732193732183</v>
      </c>
      <c r="BH209">
        <f>Model!BP242</f>
        <v>0.24347826086956514</v>
      </c>
      <c r="BI209">
        <f>Model!BQ242</f>
        <v>0.15702479338842967</v>
      </c>
      <c r="BJ209">
        <f>Model!BR242</f>
        <v>9.0909090909090828E-2</v>
      </c>
      <c r="BK209">
        <f>Model!BS242</f>
        <v>0.1206896551724137</v>
      </c>
      <c r="BL209">
        <f>Model!BT242</f>
        <v>0.11888111888111896</v>
      </c>
      <c r="BM209">
        <f>Model!BU242</f>
        <v>0.21428571428571419</v>
      </c>
      <c r="BN209">
        <f>Model!BV242</f>
        <v>0.16666666666666674</v>
      </c>
      <c r="BO209">
        <f>Model!BW242</f>
        <v>0.26923076923076916</v>
      </c>
      <c r="BP209">
        <f>Model!BX242</f>
        <v>0.25</v>
      </c>
      <c r="BQ209">
        <f>Model!BY242</f>
        <v>0.17647058823529416</v>
      </c>
      <c r="BR209">
        <f>Model!BZ242</f>
        <v>0.23809523809523814</v>
      </c>
      <c r="BS209">
        <f>Model!CA242</f>
        <v>0.21212121212121215</v>
      </c>
      <c r="BT209">
        <f>Model!CB242</f>
        <v>0.19999999999999996</v>
      </c>
      <c r="BU209">
        <f>Model!CC242</f>
        <v>0.22305348219324661</v>
      </c>
      <c r="BV209">
        <f>Model!CD242</f>
        <v>0.22784593441231871</v>
      </c>
      <c r="BW209">
        <f>Model!CE242</f>
        <v>0.15255913664376952</v>
      </c>
      <c r="BX209">
        <f>Model!CF242</f>
        <v>0.24448313286966972</v>
      </c>
      <c r="BY209">
        <f>Model!CG242</f>
        <v>0</v>
      </c>
      <c r="BZ209">
        <f>Model!CH242</f>
        <v>0</v>
      </c>
      <c r="CA209">
        <f>Model!CI242</f>
        <v>0</v>
      </c>
      <c r="CB209">
        <f>Model!CJ242</f>
        <v>0</v>
      </c>
      <c r="CC209" t="str">
        <f>Model!CK242</f>
        <v>na</v>
      </c>
      <c r="CD209">
        <f>Model!CL242</f>
        <v>6.43</v>
      </c>
      <c r="CE209">
        <f>Model!CM242</f>
        <v>1.657</v>
      </c>
      <c r="CF209">
        <f>Model!CN242</f>
        <v>1.0730337078651684</v>
      </c>
      <c r="CG209">
        <f>Model!CO242</f>
        <v>0.67967479674796727</v>
      </c>
      <c r="CH209">
        <f>Model!CP242</f>
        <v>0.36915133914165876</v>
      </c>
      <c r="CI209">
        <f>Model!CQ242</f>
        <v>0.69809097336789971</v>
      </c>
      <c r="CJ209">
        <f>Model!CR242</f>
        <v>0.77744621790423363</v>
      </c>
      <c r="CK209">
        <f>Model!CS242</f>
        <v>0.38484363409206268</v>
      </c>
      <c r="CL209">
        <f>Model!CT242</f>
        <v>0.40936002255427106</v>
      </c>
      <c r="CM209">
        <f>Model!CU242</f>
        <v>0.32226445289057803</v>
      </c>
      <c r="CN209">
        <f>Model!CV242</f>
        <v>0.11951588502269295</v>
      </c>
      <c r="CO209">
        <f>Model!CW242</f>
        <v>0.22972972972972983</v>
      </c>
      <c r="CP209">
        <f>Model!CX242</f>
        <v>0.20879120879120872</v>
      </c>
      <c r="CQ209">
        <f>Model!CY242</f>
        <v>0.20322749630189163</v>
      </c>
      <c r="CR209">
        <f>Model!CZ242</f>
        <v>0.1490782987289625</v>
      </c>
      <c r="CS209">
        <f>Model!DA242</f>
        <v>0.12891265504724947</v>
      </c>
      <c r="CT209">
        <f>Model!DB242</f>
        <v>0.10984436927960939</v>
      </c>
      <c r="CU209">
        <f>Model!DC242</f>
        <v>9.6243507895747094E-2</v>
      </c>
      <c r="CV209">
        <f>Model!DD242</f>
        <v>8.6238080724555743E-2</v>
      </c>
      <c r="CW209">
        <f>Model!DE242</f>
        <v>7.7220352228558831E-2</v>
      </c>
      <c r="CX209">
        <f>Model!DF242</f>
        <v>7.7321982335956774E-2</v>
      </c>
    </row>
    <row r="210" spans="1:102">
      <c r="A210" t="str">
        <f>Model!I243</f>
        <v xml:space="preserve">Two Year Growth </v>
      </c>
      <c r="B210">
        <f>Model!J243</f>
        <v>0</v>
      </c>
      <c r="C210">
        <f>Model!K243</f>
        <v>0</v>
      </c>
      <c r="D210">
        <f>Model!L243</f>
        <v>0</v>
      </c>
      <c r="E210">
        <f>Model!M243</f>
        <v>0</v>
      </c>
      <c r="F210">
        <f>Model!N243</f>
        <v>0</v>
      </c>
      <c r="G210">
        <f>Model!O243</f>
        <v>0</v>
      </c>
      <c r="H210">
        <f>Model!P243</f>
        <v>0</v>
      </c>
      <c r="I210">
        <f>Model!Q243</f>
        <v>0</v>
      </c>
      <c r="J210">
        <f>Model!R243</f>
        <v>0</v>
      </c>
      <c r="K210">
        <f>Model!S243</f>
        <v>0</v>
      </c>
      <c r="L210">
        <f>Model!T243</f>
        <v>0</v>
      </c>
      <c r="M210">
        <f>Model!U243</f>
        <v>0</v>
      </c>
      <c r="N210">
        <f>Model!V243</f>
        <v>0</v>
      </c>
      <c r="O210">
        <f>Model!W243</f>
        <v>0</v>
      </c>
      <c r="P210">
        <f>Model!X243</f>
        <v>0</v>
      </c>
      <c r="Q210">
        <f>Model!Y243</f>
        <v>0</v>
      </c>
      <c r="R210">
        <f>Model!Z243</f>
        <v>0</v>
      </c>
      <c r="S210">
        <f>Model!AA243</f>
        <v>0</v>
      </c>
      <c r="T210">
        <f>Model!AB243</f>
        <v>0</v>
      </c>
      <c r="U210">
        <f>Model!AC243</f>
        <v>0</v>
      </c>
      <c r="V210">
        <f>Model!AD243</f>
        <v>0</v>
      </c>
      <c r="W210">
        <f>Model!AE243</f>
        <v>0</v>
      </c>
      <c r="X210">
        <f>Model!AF243</f>
        <v>0</v>
      </c>
      <c r="Y210">
        <f>Model!AG243</f>
        <v>0</v>
      </c>
      <c r="Z210">
        <f>Model!AH243</f>
        <v>0</v>
      </c>
      <c r="AA210">
        <f>Model!AI243</f>
        <v>0</v>
      </c>
      <c r="AB210">
        <f>Model!AJ243</f>
        <v>0</v>
      </c>
      <c r="AC210">
        <f>Model!AK243</f>
        <v>0</v>
      </c>
      <c r="AD210">
        <f>Model!AL243</f>
        <v>0</v>
      </c>
      <c r="AE210">
        <f>Model!AM243</f>
        <v>0</v>
      </c>
      <c r="AF210">
        <f>Model!AN243</f>
        <v>0</v>
      </c>
      <c r="AG210">
        <f>Model!AO243</f>
        <v>1.1670146137787052</v>
      </c>
      <c r="AH210">
        <f>Model!AP243</f>
        <v>0.81969026548672552</v>
      </c>
      <c r="AI210">
        <f>Model!AQ243</f>
        <v>0.69726858877086473</v>
      </c>
      <c r="AJ210">
        <f>Model!AR243</f>
        <v>0.24198250728862969</v>
      </c>
      <c r="AK210">
        <f>Model!AS243</f>
        <v>1.264317118595661</v>
      </c>
      <c r="AL210">
        <f>Model!AT243</f>
        <v>1.0148270436022271</v>
      </c>
      <c r="AM210">
        <f>Model!AU243</f>
        <v>1.1098747577471724</v>
      </c>
      <c r="AN210">
        <f>Model!AV243</f>
        <v>0.97985418178002259</v>
      </c>
      <c r="AO210">
        <f>Model!AW243</f>
        <v>0.98492322474671856</v>
      </c>
      <c r="AP210">
        <f>Model!AX243</f>
        <v>0.83298011483981504</v>
      </c>
      <c r="AQ210">
        <f>Model!AY243</f>
        <v>1.0898213588497254</v>
      </c>
      <c r="AR210">
        <f>Model!AZ243</f>
        <v>1.4217978338790562</v>
      </c>
      <c r="AS210">
        <f>Model!BA243</f>
        <v>1.6932021152785999</v>
      </c>
      <c r="AT210">
        <f>Model!BB243</f>
        <v>1.538775013742947</v>
      </c>
      <c r="AU210">
        <f>Model!BC243</f>
        <v>1.4734416049677574</v>
      </c>
      <c r="AV210">
        <f>Model!BD243</f>
        <v>1.3122684053769682</v>
      </c>
      <c r="AW210">
        <f>Model!BE243</f>
        <v>1.3949683093107124</v>
      </c>
      <c r="AX210">
        <f>Model!BF243</f>
        <v>1.3042971401782479</v>
      </c>
      <c r="AY210">
        <f>Model!BG243</f>
        <v>1.0934953226573649</v>
      </c>
      <c r="AZ210">
        <f>Model!BH243</f>
        <v>1.0010844463177122</v>
      </c>
      <c r="BA210">
        <f>Model!BI243</f>
        <v>1.0383334293589579</v>
      </c>
      <c r="BB210">
        <f>Model!BJ243</f>
        <v>0.80033868783947471</v>
      </c>
      <c r="BC210">
        <f>Model!BK243</f>
        <v>0.71832153914197261</v>
      </c>
      <c r="BD210">
        <f>Model!BL243</f>
        <v>0.74834028645280926</v>
      </c>
      <c r="BE210">
        <f>Model!BM243</f>
        <v>0.80241407691833544</v>
      </c>
      <c r="BF210">
        <f>Model!BN243</f>
        <v>0.77197322467986029</v>
      </c>
      <c r="BG210">
        <f>Model!BO243</f>
        <v>0.74298995351626917</v>
      </c>
      <c r="BH210">
        <f>Model!BP243</f>
        <v>0.61907634699396707</v>
      </c>
      <c r="BI210">
        <f>Model!BQ243</f>
        <v>0.51049235490968248</v>
      </c>
      <c r="BJ210">
        <f>Model!BR243</f>
        <v>0.46590909090909083</v>
      </c>
      <c r="BK210">
        <f>Model!BS243</f>
        <v>0.44262697710973553</v>
      </c>
      <c r="BL210">
        <f>Model!BT243</f>
        <v>0.36235937975068411</v>
      </c>
      <c r="BM210">
        <f>Model!BU243</f>
        <v>0.37131050767414386</v>
      </c>
      <c r="BN210">
        <f>Model!BV243</f>
        <v>0.25757575757575757</v>
      </c>
      <c r="BO210">
        <f>Model!BW243</f>
        <v>0.38992042440318286</v>
      </c>
      <c r="BP210">
        <f>Model!BX243</f>
        <v>0.36888111888111896</v>
      </c>
      <c r="BQ210">
        <f>Model!BY243</f>
        <v>0.39075630252100835</v>
      </c>
      <c r="BR210">
        <f>Model!BZ243</f>
        <v>0.40476190476190488</v>
      </c>
      <c r="BS210">
        <f>Model!CA243</f>
        <v>0.48135198135198132</v>
      </c>
      <c r="BT210">
        <f>Model!CB243</f>
        <v>0.44999999999999996</v>
      </c>
      <c r="BU210">
        <f>Model!CC243</f>
        <v>0.39952407042854077</v>
      </c>
      <c r="BV210">
        <f>Model!CD243</f>
        <v>0.46594117250755684</v>
      </c>
      <c r="BW210">
        <f>Model!CE243</f>
        <v>0.36468034876498168</v>
      </c>
      <c r="BX210">
        <f>Model!CF243</f>
        <v>0.44448313286966967</v>
      </c>
      <c r="BY210">
        <f>Model!CG243</f>
        <v>0</v>
      </c>
      <c r="BZ210">
        <f>Model!CH243</f>
        <v>0</v>
      </c>
      <c r="CA210">
        <f>Model!CI243</f>
        <v>0</v>
      </c>
      <c r="CB210">
        <f>Model!CJ243</f>
        <v>0</v>
      </c>
      <c r="CC210">
        <f>Model!CK243</f>
        <v>0</v>
      </c>
      <c r="CD210">
        <f>Model!CL243</f>
        <v>0</v>
      </c>
      <c r="CE210">
        <f>Model!CM243</f>
        <v>8.0869999999999997</v>
      </c>
      <c r="CF210">
        <f>Model!CN243</f>
        <v>2.7300337078651684</v>
      </c>
      <c r="CG210">
        <f>Model!CO243</f>
        <v>1.7527085046131357</v>
      </c>
      <c r="CH210">
        <f>Model!CP243</f>
        <v>1.048826135889626</v>
      </c>
      <c r="CI210">
        <f>Model!CQ243</f>
        <v>1.0672423125095585</v>
      </c>
      <c r="CJ210">
        <f>Model!CR243</f>
        <v>1.4755371912721333</v>
      </c>
      <c r="CK210">
        <f>Model!CS243</f>
        <v>1.1622898519962963</v>
      </c>
      <c r="CL210">
        <f>Model!CT243</f>
        <v>0.79420365664633374</v>
      </c>
      <c r="CM210">
        <f>Model!CU243</f>
        <v>0.7316244754448491</v>
      </c>
      <c r="CN210">
        <f>Model!CV243</f>
        <v>0.44178033791327098</v>
      </c>
      <c r="CO210">
        <f>Model!CW243</f>
        <v>0.34924561475242277</v>
      </c>
      <c r="CP210">
        <f>Model!CX243</f>
        <v>0.43852093852093854</v>
      </c>
      <c r="CQ210">
        <f>Model!CY243</f>
        <v>0.41201870509310035</v>
      </c>
      <c r="CR210">
        <f>Model!CZ243</f>
        <v>0.35230579503085413</v>
      </c>
      <c r="CS210">
        <f>Model!DA243</f>
        <v>0.27799095377621197</v>
      </c>
      <c r="CT210">
        <f>Model!DB243</f>
        <v>0.23875702432685886</v>
      </c>
      <c r="CU210">
        <f>Model!DC243</f>
        <v>0.20608787717535648</v>
      </c>
      <c r="CV210">
        <f>Model!DD243</f>
        <v>0.18248158862030284</v>
      </c>
      <c r="CW210">
        <f>Model!DE243</f>
        <v>0.16345843295311457</v>
      </c>
      <c r="CX210">
        <f>Model!DF243</f>
        <v>0.1545423345645156</v>
      </c>
    </row>
    <row r="211" spans="1:102">
      <c r="A211">
        <f>Model!I246</f>
        <v>0</v>
      </c>
      <c r="B211">
        <f>Model!J246</f>
        <v>0</v>
      </c>
      <c r="C211">
        <f>Model!K246</f>
        <v>0</v>
      </c>
      <c r="D211">
        <f>Model!L246</f>
        <v>0</v>
      </c>
      <c r="E211">
        <f>Model!M246</f>
        <v>0</v>
      </c>
      <c r="F211">
        <f>Model!N246</f>
        <v>0</v>
      </c>
      <c r="G211">
        <f>Model!O246</f>
        <v>0</v>
      </c>
      <c r="H211">
        <f>Model!P246</f>
        <v>0</v>
      </c>
      <c r="I211">
        <f>Model!Q246</f>
        <v>0</v>
      </c>
      <c r="J211">
        <f>Model!R246</f>
        <v>0</v>
      </c>
      <c r="K211">
        <f>Model!S246</f>
        <v>0</v>
      </c>
      <c r="L211">
        <f>Model!T246</f>
        <v>0</v>
      </c>
      <c r="M211">
        <f>Model!U246</f>
        <v>0</v>
      </c>
      <c r="N211">
        <f>Model!V246</f>
        <v>0</v>
      </c>
      <c r="O211">
        <f>Model!W246</f>
        <v>0</v>
      </c>
      <c r="P211">
        <f>Model!X246</f>
        <v>0</v>
      </c>
      <c r="Q211">
        <f>Model!Y246</f>
        <v>0</v>
      </c>
      <c r="R211">
        <f>Model!Z246</f>
        <v>0</v>
      </c>
      <c r="S211">
        <f>Model!AA246</f>
        <v>0</v>
      </c>
      <c r="T211">
        <f>Model!AB246</f>
        <v>0</v>
      </c>
      <c r="U211">
        <f>Model!AC246</f>
        <v>0</v>
      </c>
      <c r="V211">
        <f>Model!AD246</f>
        <v>0</v>
      </c>
      <c r="W211">
        <f>Model!AE246</f>
        <v>0</v>
      </c>
      <c r="X211">
        <f>Model!AF246</f>
        <v>0</v>
      </c>
      <c r="Y211">
        <f>Model!AG246</f>
        <v>0</v>
      </c>
      <c r="Z211">
        <f>Model!AH246</f>
        <v>0</v>
      </c>
      <c r="AA211">
        <f>Model!AI246</f>
        <v>0</v>
      </c>
      <c r="AB211">
        <f>Model!AJ246</f>
        <v>0</v>
      </c>
      <c r="AC211">
        <f>Model!AK246</f>
        <v>0</v>
      </c>
      <c r="AD211">
        <f>Model!AL246</f>
        <v>0</v>
      </c>
      <c r="AE211">
        <f>Model!AM246</f>
        <v>0</v>
      </c>
      <c r="AF211">
        <f>Model!AN246</f>
        <v>0</v>
      </c>
      <c r="AG211">
        <f>Model!AO246</f>
        <v>0</v>
      </c>
      <c r="AH211">
        <f>Model!AP246</f>
        <v>0</v>
      </c>
      <c r="AI211">
        <f>Model!AQ246</f>
        <v>0</v>
      </c>
      <c r="AJ211">
        <f>Model!AR246</f>
        <v>0</v>
      </c>
      <c r="AK211">
        <f>Model!AS246</f>
        <v>0</v>
      </c>
      <c r="AL211">
        <f>Model!AT246</f>
        <v>0</v>
      </c>
      <c r="AM211">
        <f>Model!AU246</f>
        <v>0</v>
      </c>
      <c r="AN211">
        <f>Model!AV246</f>
        <v>0</v>
      </c>
      <c r="AO211">
        <f>Model!AW246</f>
        <v>0</v>
      </c>
      <c r="AP211">
        <f>Model!AX246</f>
        <v>0</v>
      </c>
      <c r="AQ211">
        <f>Model!AY246</f>
        <v>0</v>
      </c>
      <c r="AR211">
        <f>Model!AZ246</f>
        <v>0</v>
      </c>
      <c r="AS211">
        <f>Model!BA246</f>
        <v>0</v>
      </c>
      <c r="AT211">
        <f>Model!BB246</f>
        <v>0</v>
      </c>
      <c r="AU211">
        <f>Model!BC246</f>
        <v>0</v>
      </c>
      <c r="AV211">
        <f>Model!BD246</f>
        <v>0</v>
      </c>
      <c r="AW211">
        <f>Model!BE246</f>
        <v>0</v>
      </c>
      <c r="AX211">
        <f>Model!BF246</f>
        <v>0</v>
      </c>
      <c r="AY211">
        <f>Model!BG246</f>
        <v>0</v>
      </c>
      <c r="AZ211">
        <f>Model!BH246</f>
        <v>0</v>
      </c>
      <c r="BA211">
        <f>Model!BI246</f>
        <v>0</v>
      </c>
      <c r="BB211">
        <f>Model!BJ246</f>
        <v>0</v>
      </c>
      <c r="BC211">
        <f>Model!BK246</f>
        <v>0</v>
      </c>
      <c r="BD211">
        <f>Model!BL246</f>
        <v>0</v>
      </c>
      <c r="BE211">
        <f>Model!BM246</f>
        <v>0</v>
      </c>
      <c r="BF211">
        <f>Model!BN246</f>
        <v>0</v>
      </c>
      <c r="BG211">
        <f>Model!BO246</f>
        <v>0</v>
      </c>
      <c r="BH211">
        <f>Model!BP246</f>
        <v>0</v>
      </c>
      <c r="BI211">
        <f>Model!BQ246</f>
        <v>0</v>
      </c>
      <c r="BJ211">
        <f>Model!BR246</f>
        <v>0</v>
      </c>
      <c r="BK211">
        <f>Model!BS246</f>
        <v>0</v>
      </c>
      <c r="BL211">
        <f>Model!BT246</f>
        <v>0</v>
      </c>
      <c r="BM211">
        <f>Model!BU246</f>
        <v>0</v>
      </c>
      <c r="BN211">
        <f>Model!BV246</f>
        <v>0</v>
      </c>
      <c r="BO211">
        <f>Model!BW246</f>
        <v>0</v>
      </c>
      <c r="BP211">
        <f>Model!BX246</f>
        <v>0</v>
      </c>
      <c r="BQ211">
        <f>Model!BY246</f>
        <v>0</v>
      </c>
      <c r="BR211">
        <f>Model!BZ246</f>
        <v>0</v>
      </c>
      <c r="BS211">
        <f>Model!CA246</f>
        <v>0</v>
      </c>
      <c r="BT211">
        <f>Model!CB246</f>
        <v>0</v>
      </c>
      <c r="BU211">
        <f>Model!CC246</f>
        <v>0</v>
      </c>
      <c r="BV211">
        <f>Model!CD246</f>
        <v>0</v>
      </c>
      <c r="BW211">
        <f>Model!CE246</f>
        <v>0</v>
      </c>
      <c r="BX211">
        <f>Model!CF246</f>
        <v>0</v>
      </c>
      <c r="BY211">
        <f>Model!CG246</f>
        <v>0</v>
      </c>
      <c r="BZ211">
        <f>Model!CH246</f>
        <v>0</v>
      </c>
      <c r="CA211">
        <f>Model!CI246</f>
        <v>0</v>
      </c>
      <c r="CB211">
        <f>Model!CJ246</f>
        <v>0</v>
      </c>
      <c r="CC211">
        <f>Model!CK246</f>
        <v>0</v>
      </c>
      <c r="CD211">
        <f>Model!CL246</f>
        <v>0</v>
      </c>
      <c r="CE211">
        <f>Model!CM246</f>
        <v>0</v>
      </c>
      <c r="CF211">
        <f>Model!CN246</f>
        <v>0</v>
      </c>
      <c r="CG211">
        <f>Model!CO246</f>
        <v>0</v>
      </c>
      <c r="CH211">
        <f>Model!CP246</f>
        <v>0</v>
      </c>
      <c r="CI211">
        <f>Model!CQ246</f>
        <v>0</v>
      </c>
      <c r="CJ211">
        <f>Model!CR246</f>
        <v>0</v>
      </c>
      <c r="CK211">
        <f>Model!CS246</f>
        <v>0</v>
      </c>
      <c r="CL211">
        <f>Model!CT246</f>
        <v>0</v>
      </c>
      <c r="CM211">
        <f>Model!CU246</f>
        <v>0</v>
      </c>
      <c r="CN211">
        <f>Model!CV246</f>
        <v>0</v>
      </c>
      <c r="CO211">
        <f>Model!CW246</f>
        <v>0</v>
      </c>
      <c r="CP211">
        <f>Model!CX246</f>
        <v>0</v>
      </c>
      <c r="CQ211">
        <f>Model!CY246</f>
        <v>0</v>
      </c>
      <c r="CR211">
        <f>Model!CZ246</f>
        <v>0</v>
      </c>
      <c r="CS211">
        <f>Model!DA246</f>
        <v>0</v>
      </c>
      <c r="CT211">
        <f>Model!DB246</f>
        <v>0</v>
      </c>
      <c r="CU211">
        <f>Model!DC246</f>
        <v>0</v>
      </c>
      <c r="CV211">
        <f>Model!DD246</f>
        <v>0</v>
      </c>
      <c r="CW211">
        <f>Model!DE246</f>
        <v>0</v>
      </c>
      <c r="CX211">
        <f>Model!DF246</f>
        <v>0</v>
      </c>
    </row>
    <row r="212" spans="1:102">
      <c r="A212">
        <f>Model!I247</f>
        <v>0</v>
      </c>
      <c r="B212">
        <f>Model!J247</f>
        <v>0</v>
      </c>
      <c r="C212">
        <f>Model!K247</f>
        <v>0</v>
      </c>
      <c r="D212">
        <f>Model!L247</f>
        <v>0</v>
      </c>
      <c r="E212">
        <f>Model!M247</f>
        <v>0</v>
      </c>
      <c r="F212">
        <f>Model!N247</f>
        <v>0</v>
      </c>
      <c r="G212">
        <f>Model!O247</f>
        <v>0</v>
      </c>
      <c r="H212">
        <f>Model!P247</f>
        <v>0</v>
      </c>
      <c r="I212">
        <f>Model!Q247</f>
        <v>0</v>
      </c>
      <c r="J212">
        <f>Model!R247</f>
        <v>0</v>
      </c>
      <c r="K212">
        <f>Model!S247</f>
        <v>0</v>
      </c>
      <c r="L212">
        <f>Model!T247</f>
        <v>0</v>
      </c>
      <c r="M212">
        <f>Model!U247</f>
        <v>0</v>
      </c>
      <c r="N212">
        <f>Model!V247</f>
        <v>0</v>
      </c>
      <c r="O212">
        <f>Model!W247</f>
        <v>0</v>
      </c>
      <c r="P212">
        <f>Model!X247</f>
        <v>0</v>
      </c>
      <c r="Q212">
        <f>Model!Y247</f>
        <v>0</v>
      </c>
      <c r="R212">
        <f>Model!Z247</f>
        <v>0</v>
      </c>
      <c r="S212">
        <f>Model!AA247</f>
        <v>0</v>
      </c>
      <c r="T212">
        <f>Model!AB247</f>
        <v>0</v>
      </c>
      <c r="U212">
        <f>Model!AC247</f>
        <v>0</v>
      </c>
      <c r="V212">
        <f>Model!AD247</f>
        <v>0</v>
      </c>
      <c r="W212">
        <f>Model!AE247</f>
        <v>0</v>
      </c>
      <c r="X212">
        <f>Model!AF247</f>
        <v>0</v>
      </c>
      <c r="Y212">
        <f>Model!AG247</f>
        <v>0</v>
      </c>
      <c r="Z212">
        <f>Model!AH247</f>
        <v>0</v>
      </c>
      <c r="AA212">
        <f>Model!AI247</f>
        <v>0</v>
      </c>
      <c r="AB212">
        <f>Model!AJ247</f>
        <v>0</v>
      </c>
      <c r="AC212">
        <f>Model!AK247</f>
        <v>0</v>
      </c>
      <c r="AD212">
        <f>Model!AL247</f>
        <v>0</v>
      </c>
      <c r="AE212">
        <f>Model!AM247</f>
        <v>0</v>
      </c>
      <c r="AF212">
        <f>Model!AN247</f>
        <v>0</v>
      </c>
      <c r="AG212">
        <f>Model!AO247</f>
        <v>0</v>
      </c>
      <c r="AH212">
        <f>Model!AP247</f>
        <v>0</v>
      </c>
      <c r="AI212">
        <f>Model!AQ247</f>
        <v>0</v>
      </c>
      <c r="AJ212">
        <f>Model!AR247</f>
        <v>0</v>
      </c>
      <c r="AK212">
        <f>Model!AS247</f>
        <v>0</v>
      </c>
      <c r="AL212">
        <f>Model!AT247</f>
        <v>0</v>
      </c>
      <c r="AM212">
        <f>Model!AU247</f>
        <v>0</v>
      </c>
      <c r="AN212">
        <f>Model!AV247</f>
        <v>0</v>
      </c>
      <c r="AO212">
        <f>Model!AW247</f>
        <v>0</v>
      </c>
      <c r="AP212">
        <f>Model!AX247</f>
        <v>0</v>
      </c>
      <c r="AQ212">
        <f>Model!AY247</f>
        <v>0</v>
      </c>
      <c r="AR212">
        <f>Model!AZ247</f>
        <v>0</v>
      </c>
      <c r="AS212">
        <f>Model!BA247</f>
        <v>0</v>
      </c>
      <c r="AT212">
        <f>Model!BB247</f>
        <v>0</v>
      </c>
      <c r="AU212">
        <f>Model!BC247</f>
        <v>0</v>
      </c>
      <c r="AV212">
        <f>Model!BD247</f>
        <v>0</v>
      </c>
      <c r="AW212">
        <f>Model!BE247</f>
        <v>0</v>
      </c>
      <c r="AX212">
        <f>Model!BF247</f>
        <v>0</v>
      </c>
      <c r="AY212">
        <f>Model!BG247</f>
        <v>0</v>
      </c>
      <c r="AZ212">
        <f>Model!BH247</f>
        <v>0</v>
      </c>
      <c r="BA212">
        <f>Model!BI247</f>
        <v>0</v>
      </c>
      <c r="BB212">
        <f>Model!BJ247</f>
        <v>0</v>
      </c>
      <c r="BC212">
        <f>Model!BK247</f>
        <v>0</v>
      </c>
      <c r="BD212">
        <f>Model!BL247</f>
        <v>0</v>
      </c>
      <c r="BE212">
        <f>Model!BM247</f>
        <v>0</v>
      </c>
      <c r="BF212">
        <f>Model!BN247</f>
        <v>0</v>
      </c>
      <c r="BG212">
        <f>Model!BO247</f>
        <v>0</v>
      </c>
      <c r="BH212">
        <f>Model!BP247</f>
        <v>0</v>
      </c>
      <c r="BI212">
        <f>Model!BQ247</f>
        <v>0</v>
      </c>
      <c r="BJ212">
        <f>Model!BR247</f>
        <v>0</v>
      </c>
      <c r="BK212">
        <f>Model!BS247</f>
        <v>0</v>
      </c>
      <c r="BL212">
        <f>Model!BT247</f>
        <v>0</v>
      </c>
      <c r="BM212">
        <f>Model!BU247</f>
        <v>0</v>
      </c>
      <c r="BN212">
        <f>Model!BV247</f>
        <v>0</v>
      </c>
      <c r="BO212">
        <f>Model!BW247</f>
        <v>0</v>
      </c>
      <c r="BP212">
        <f>Model!BX247</f>
        <v>0</v>
      </c>
      <c r="BQ212">
        <f>Model!BY247</f>
        <v>0</v>
      </c>
      <c r="BR212">
        <f>Model!BZ247</f>
        <v>0</v>
      </c>
      <c r="BS212">
        <f>Model!CA247</f>
        <v>0</v>
      </c>
      <c r="BT212">
        <f>Model!CB247</f>
        <v>0</v>
      </c>
      <c r="BU212">
        <f>Model!CC247</f>
        <v>0</v>
      </c>
      <c r="BV212">
        <f>Model!CD247</f>
        <v>0</v>
      </c>
      <c r="BW212">
        <f>Model!CE247</f>
        <v>0</v>
      </c>
      <c r="BX212">
        <f>Model!CF247</f>
        <v>0</v>
      </c>
      <c r="BY212">
        <f>Model!CG247</f>
        <v>0</v>
      </c>
      <c r="BZ212">
        <f>Model!CH247</f>
        <v>0</v>
      </c>
      <c r="CA212">
        <f>Model!CI247</f>
        <v>0</v>
      </c>
      <c r="CB212">
        <f>Model!CJ247</f>
        <v>0</v>
      </c>
      <c r="CC212">
        <f>Model!CK247</f>
        <v>0</v>
      </c>
      <c r="CD212">
        <f>Model!CL247</f>
        <v>0</v>
      </c>
      <c r="CE212">
        <f>Model!CM247</f>
        <v>0</v>
      </c>
      <c r="CF212">
        <f>Model!CN247</f>
        <v>0</v>
      </c>
      <c r="CG212">
        <f>Model!CO247</f>
        <v>0</v>
      </c>
      <c r="CH212">
        <f>Model!CP247</f>
        <v>0</v>
      </c>
      <c r="CI212">
        <f>Model!CQ247</f>
        <v>0</v>
      </c>
      <c r="CJ212">
        <f>Model!CR247</f>
        <v>0</v>
      </c>
      <c r="CK212">
        <f>Model!CS247</f>
        <v>0</v>
      </c>
      <c r="CL212">
        <f>Model!CT247</f>
        <v>0</v>
      </c>
      <c r="CM212">
        <f>Model!CU247</f>
        <v>0</v>
      </c>
      <c r="CN212">
        <f>Model!CV247</f>
        <v>0</v>
      </c>
      <c r="CO212">
        <f>Model!CW247</f>
        <v>0</v>
      </c>
      <c r="CP212">
        <f>Model!CX247</f>
        <v>0</v>
      </c>
      <c r="CQ212">
        <f>Model!CY247</f>
        <v>0</v>
      </c>
      <c r="CR212">
        <f>Model!CZ247</f>
        <v>0</v>
      </c>
      <c r="CS212">
        <f>Model!DA247</f>
        <v>0</v>
      </c>
      <c r="CT212">
        <f>Model!DB247</f>
        <v>0</v>
      </c>
      <c r="CU212">
        <f>Model!DC247</f>
        <v>0</v>
      </c>
      <c r="CV212">
        <f>Model!DD247</f>
        <v>0</v>
      </c>
      <c r="CW212">
        <f>Model!DE247</f>
        <v>0</v>
      </c>
      <c r="CX212">
        <f>Model!DF247</f>
        <v>0</v>
      </c>
    </row>
    <row r="213" spans="1:102">
      <c r="A213" t="str">
        <f>Model!I248</f>
        <v>International Gross Profit Drivers</v>
      </c>
      <c r="B213">
        <f>Model!J248</f>
        <v>0</v>
      </c>
      <c r="C213">
        <f>Model!K248</f>
        <v>0</v>
      </c>
      <c r="D213">
        <f>Model!L248</f>
        <v>0</v>
      </c>
      <c r="E213">
        <f>Model!M248</f>
        <v>0</v>
      </c>
      <c r="F213">
        <f>Model!N248</f>
        <v>0</v>
      </c>
      <c r="G213">
        <f>Model!O248</f>
        <v>0</v>
      </c>
      <c r="H213">
        <f>Model!P248</f>
        <v>0</v>
      </c>
      <c r="I213">
        <f>Model!Q248</f>
        <v>0</v>
      </c>
      <c r="J213">
        <f>Model!R248</f>
        <v>0</v>
      </c>
      <c r="K213">
        <f>Model!S248</f>
        <v>0</v>
      </c>
      <c r="L213">
        <f>Model!T248</f>
        <v>0</v>
      </c>
      <c r="M213">
        <f>Model!U248</f>
        <v>0</v>
      </c>
      <c r="N213">
        <f>Model!V248</f>
        <v>0</v>
      </c>
      <c r="O213">
        <f>Model!W248</f>
        <v>0</v>
      </c>
      <c r="P213">
        <f>Model!X248</f>
        <v>0</v>
      </c>
      <c r="Q213">
        <f>Model!Y248</f>
        <v>0</v>
      </c>
      <c r="R213">
        <f>Model!Z248</f>
        <v>0</v>
      </c>
      <c r="S213">
        <f>Model!AA248</f>
        <v>0</v>
      </c>
      <c r="T213">
        <f>Model!AB248</f>
        <v>0</v>
      </c>
      <c r="U213">
        <f>Model!AC248</f>
        <v>0</v>
      </c>
      <c r="V213">
        <f>Model!AD248</f>
        <v>0</v>
      </c>
      <c r="W213">
        <f>Model!AE248</f>
        <v>0</v>
      </c>
      <c r="X213">
        <f>Model!AF248</f>
        <v>0</v>
      </c>
      <c r="Y213">
        <f>Model!AG248</f>
        <v>0</v>
      </c>
      <c r="Z213">
        <f>Model!AH248</f>
        <v>0</v>
      </c>
      <c r="AA213">
        <f>Model!AI248</f>
        <v>0</v>
      </c>
      <c r="AB213">
        <f>Model!AJ248</f>
        <v>0</v>
      </c>
      <c r="AC213">
        <f>Model!AK248</f>
        <v>0</v>
      </c>
      <c r="AD213">
        <f>Model!AL248</f>
        <v>0</v>
      </c>
      <c r="AE213">
        <f>Model!AM248</f>
        <v>0</v>
      </c>
      <c r="AF213">
        <f>Model!AN248</f>
        <v>0</v>
      </c>
      <c r="AG213">
        <f>Model!AO248</f>
        <v>0</v>
      </c>
      <c r="AH213">
        <f>Model!AP248</f>
        <v>0</v>
      </c>
      <c r="AI213">
        <f>Model!AQ248</f>
        <v>0</v>
      </c>
      <c r="AJ213">
        <f>Model!AR248</f>
        <v>0</v>
      </c>
      <c r="AK213">
        <f>Model!AS248</f>
        <v>0</v>
      </c>
      <c r="AL213">
        <f>Model!AT248</f>
        <v>0</v>
      </c>
      <c r="AM213">
        <f>Model!AU248</f>
        <v>0</v>
      </c>
      <c r="AN213">
        <f>Model!AV248</f>
        <v>0</v>
      </c>
      <c r="AO213">
        <f>Model!AW248</f>
        <v>0</v>
      </c>
      <c r="AP213">
        <f>Model!AX248</f>
        <v>0</v>
      </c>
      <c r="AQ213">
        <f>Model!AY248</f>
        <v>0</v>
      </c>
      <c r="AR213">
        <f>Model!AZ248</f>
        <v>0</v>
      </c>
      <c r="AS213">
        <f>Model!BA248</f>
        <v>0</v>
      </c>
      <c r="AT213">
        <f>Model!BB248</f>
        <v>0</v>
      </c>
      <c r="AU213">
        <f>Model!BC248</f>
        <v>0</v>
      </c>
      <c r="AV213">
        <f>Model!BD248</f>
        <v>0</v>
      </c>
      <c r="AW213">
        <f>Model!BE248</f>
        <v>0</v>
      </c>
      <c r="AX213">
        <f>Model!BF248</f>
        <v>0</v>
      </c>
      <c r="AY213">
        <f>Model!BG248</f>
        <v>0</v>
      </c>
      <c r="AZ213">
        <f>Model!BH248</f>
        <v>0</v>
      </c>
      <c r="BA213">
        <f>Model!BI248</f>
        <v>0</v>
      </c>
      <c r="BB213">
        <f>Model!BJ248</f>
        <v>0</v>
      </c>
      <c r="BC213">
        <f>Model!BK248</f>
        <v>0</v>
      </c>
      <c r="BD213">
        <f>Model!BL248</f>
        <v>0</v>
      </c>
      <c r="BE213">
        <f>Model!BM248</f>
        <v>0</v>
      </c>
      <c r="BF213">
        <f>Model!BN248</f>
        <v>0</v>
      </c>
      <c r="BG213">
        <f>Model!BO248</f>
        <v>0</v>
      </c>
      <c r="BH213">
        <f>Model!BP248</f>
        <v>0</v>
      </c>
      <c r="BI213">
        <f>Model!BQ248</f>
        <v>0</v>
      </c>
      <c r="BJ213">
        <f>Model!BR248</f>
        <v>0</v>
      </c>
      <c r="BK213">
        <f>Model!BS248</f>
        <v>0</v>
      </c>
      <c r="BL213">
        <f>Model!BT248</f>
        <v>0</v>
      </c>
      <c r="BM213">
        <f>Model!BU248</f>
        <v>0</v>
      </c>
      <c r="BN213">
        <f>Model!BV248</f>
        <v>0</v>
      </c>
      <c r="BO213">
        <f>Model!BW248</f>
        <v>0</v>
      </c>
      <c r="BP213">
        <f>Model!BX248</f>
        <v>0</v>
      </c>
      <c r="BQ213">
        <f>Model!BY248</f>
        <v>0</v>
      </c>
      <c r="BR213">
        <f>Model!BZ248</f>
        <v>0</v>
      </c>
      <c r="BS213">
        <f>Model!CA248</f>
        <v>0</v>
      </c>
      <c r="BT213">
        <f>Model!CB248</f>
        <v>0</v>
      </c>
      <c r="BU213">
        <f>Model!CC248</f>
        <v>0</v>
      </c>
      <c r="BV213">
        <f>Model!CD248</f>
        <v>0</v>
      </c>
      <c r="BW213">
        <f>Model!CE248</f>
        <v>0</v>
      </c>
      <c r="BX213">
        <f>Model!CF248</f>
        <v>0</v>
      </c>
      <c r="BY213">
        <f>Model!CG248</f>
        <v>0</v>
      </c>
      <c r="BZ213">
        <f>Model!CH248</f>
        <v>0</v>
      </c>
      <c r="CA213">
        <f>Model!CI248</f>
        <v>0</v>
      </c>
      <c r="CB213">
        <f>Model!CJ248</f>
        <v>0</v>
      </c>
      <c r="CC213">
        <f>Model!CK248</f>
        <v>0</v>
      </c>
      <c r="CD213">
        <f>Model!CL248</f>
        <v>0</v>
      </c>
      <c r="CE213">
        <f>Model!CM248</f>
        <v>0</v>
      </c>
      <c r="CF213">
        <f>Model!CN248</f>
        <v>0</v>
      </c>
      <c r="CG213">
        <f>Model!CO248</f>
        <v>0</v>
      </c>
      <c r="CH213">
        <f>Model!CP248</f>
        <v>0</v>
      </c>
      <c r="CI213">
        <f>Model!CQ248</f>
        <v>0</v>
      </c>
      <c r="CJ213">
        <f>Model!CR248</f>
        <v>0</v>
      </c>
      <c r="CK213">
        <f>Model!CS248</f>
        <v>0</v>
      </c>
      <c r="CL213">
        <f>Model!CT248</f>
        <v>0</v>
      </c>
      <c r="CM213">
        <f>Model!CU248</f>
        <v>0</v>
      </c>
      <c r="CN213">
        <f>Model!CV248</f>
        <v>0</v>
      </c>
      <c r="CO213">
        <f>Model!CW248</f>
        <v>0</v>
      </c>
      <c r="CP213">
        <f>Model!CX248</f>
        <v>0</v>
      </c>
      <c r="CQ213">
        <f>Model!CY248</f>
        <v>0</v>
      </c>
      <c r="CR213">
        <f>Model!CZ248</f>
        <v>0</v>
      </c>
      <c r="CS213">
        <f>Model!DA248</f>
        <v>0</v>
      </c>
      <c r="CT213">
        <f>Model!DB248</f>
        <v>0</v>
      </c>
      <c r="CU213">
        <f>Model!DC248</f>
        <v>0</v>
      </c>
      <c r="CV213">
        <f>Model!DD248</f>
        <v>0</v>
      </c>
      <c r="CW213">
        <f>Model!DE248</f>
        <v>0</v>
      </c>
      <c r="CX213">
        <f>Model!DF248</f>
        <v>0</v>
      </c>
    </row>
    <row r="214" spans="1:102">
      <c r="A214" t="str">
        <f>Model!I249</f>
        <v>Total International  Gross Bookings</v>
      </c>
      <c r="B214">
        <f>Model!J249</f>
        <v>0</v>
      </c>
      <c r="C214">
        <f>Model!K249</f>
        <v>0</v>
      </c>
      <c r="D214">
        <f>Model!L249</f>
        <v>0</v>
      </c>
      <c r="E214">
        <f>Model!M249</f>
        <v>0</v>
      </c>
      <c r="F214">
        <f>Model!N249</f>
        <v>0</v>
      </c>
      <c r="G214">
        <f>Model!O249</f>
        <v>0</v>
      </c>
      <c r="H214">
        <f>Model!P249</f>
        <v>0</v>
      </c>
      <c r="I214">
        <f>Model!Q249</f>
        <v>0</v>
      </c>
      <c r="J214">
        <f>Model!R249</f>
        <v>0</v>
      </c>
      <c r="K214">
        <f>Model!S249</f>
        <v>0</v>
      </c>
      <c r="L214">
        <f>Model!T249</f>
        <v>0</v>
      </c>
      <c r="M214">
        <f>Model!U249</f>
        <v>0</v>
      </c>
      <c r="N214">
        <f>Model!V249</f>
        <v>0</v>
      </c>
      <c r="O214">
        <f>Model!W249</f>
        <v>0</v>
      </c>
      <c r="P214">
        <f>Model!X249</f>
        <v>0</v>
      </c>
      <c r="Q214">
        <f>Model!Y249</f>
        <v>0</v>
      </c>
      <c r="R214">
        <f>Model!Z249</f>
        <v>0</v>
      </c>
      <c r="S214">
        <f>Model!AA249</f>
        <v>0</v>
      </c>
      <c r="T214">
        <f>Model!AB249</f>
        <v>0</v>
      </c>
      <c r="U214">
        <f>Model!AC249</f>
        <v>0</v>
      </c>
      <c r="V214">
        <f>Model!AD249</f>
        <v>0</v>
      </c>
      <c r="W214">
        <f>Model!AE249</f>
        <v>0</v>
      </c>
      <c r="X214">
        <f>Model!AF249</f>
        <v>0</v>
      </c>
      <c r="Y214">
        <f>Model!AG249</f>
        <v>0</v>
      </c>
      <c r="Z214">
        <f>Model!AH249</f>
        <v>0</v>
      </c>
      <c r="AA214">
        <f>Model!AI249</f>
        <v>0</v>
      </c>
      <c r="AB214">
        <f>Model!AJ249</f>
        <v>0</v>
      </c>
      <c r="AC214">
        <f>Model!AK249</f>
        <v>519.67899999999997</v>
      </c>
      <c r="AD214">
        <f>Model!AL249</f>
        <v>687.12400000000002</v>
      </c>
      <c r="AE214">
        <f>Model!AM249</f>
        <v>788.47799999999995</v>
      </c>
      <c r="AF214">
        <f>Model!AN249</f>
        <v>679.76</v>
      </c>
      <c r="AG214">
        <f>Model!AO249</f>
        <v>1037.644</v>
      </c>
      <c r="AH214">
        <f>Model!AP249</f>
        <v>1237.681</v>
      </c>
      <c r="AI214">
        <f>Model!AQ249</f>
        <v>1250.8499999999999</v>
      </c>
      <c r="AJ214">
        <f>Model!AR249</f>
        <v>792.19</v>
      </c>
      <c r="AK214">
        <f>Model!AS249</f>
        <v>1092.4269999999999</v>
      </c>
      <c r="AL214">
        <f>Model!AT249</f>
        <v>1414.7139999999999</v>
      </c>
      <c r="AM214">
        <f>Model!AU249</f>
        <v>1724.1310000000001</v>
      </c>
      <c r="AN214">
        <f>Model!AV249</f>
        <v>1433.471</v>
      </c>
      <c r="AO214">
        <f>Model!AW249</f>
        <v>1975.345</v>
      </c>
      <c r="AP214">
        <f>Model!AX249</f>
        <v>2256.3009999999999</v>
      </c>
      <c r="AQ214">
        <f>Model!AY249</f>
        <v>2885</v>
      </c>
      <c r="AR214">
        <f>Model!AZ249</f>
        <v>2363</v>
      </c>
      <c r="AS214">
        <f>Model!BA249</f>
        <v>3536</v>
      </c>
      <c r="AT214">
        <f>Model!BB249</f>
        <v>4472</v>
      </c>
      <c r="AU214">
        <f>Model!BC249</f>
        <v>4989</v>
      </c>
      <c r="AV214">
        <f>Model!BD249</f>
        <v>3912</v>
      </c>
      <c r="AW214">
        <f>Model!BE249</f>
        <v>5451</v>
      </c>
      <c r="AX214">
        <f>Model!BF249</f>
        <v>5952</v>
      </c>
      <c r="AY214">
        <f>Model!BG249</f>
        <v>6473</v>
      </c>
      <c r="AZ214">
        <f>Model!BH249</f>
        <v>5494</v>
      </c>
      <c r="BA214">
        <f>Model!BI249</f>
        <v>7783</v>
      </c>
      <c r="BB214">
        <f>Model!BJ249</f>
        <v>8579</v>
      </c>
      <c r="BC214">
        <f>Model!BK249</f>
        <v>9179</v>
      </c>
      <c r="BD214">
        <f>Model!BL249</f>
        <v>7758</v>
      </c>
      <c r="BE214">
        <f>Model!BM249</f>
        <v>10643</v>
      </c>
      <c r="BF214">
        <f>Model!BN249</f>
        <v>11682</v>
      </c>
      <c r="BG214">
        <f>Model!BO249</f>
        <v>12080</v>
      </c>
      <c r="BH214">
        <f>Model!BP249</f>
        <v>9233</v>
      </c>
      <c r="BI214">
        <f>Model!BQ249</f>
        <v>12104</v>
      </c>
      <c r="BJ214">
        <f>Model!BR249</f>
        <v>13092</v>
      </c>
      <c r="BK214">
        <f>Model!BS249</f>
        <v>13078</v>
      </c>
      <c r="BL214">
        <f>Model!BT249</f>
        <v>10697</v>
      </c>
      <c r="BM214">
        <f>Model!BU249</f>
        <v>15012.299882544639</v>
      </c>
      <c r="BN214">
        <f>Model!BV249</f>
        <v>15967.515493362</v>
      </c>
      <c r="BO214">
        <f>Model!BW249</f>
        <v>16579.293320345601</v>
      </c>
      <c r="BP214">
        <f>Model!BX249</f>
        <v>13649.139067599999</v>
      </c>
      <c r="BQ214">
        <f>Model!BY249</f>
        <v>19000.489839299713</v>
      </c>
      <c r="BR214">
        <f>Model!BZ249</f>
        <v>18845.2157703376</v>
      </c>
      <c r="BS214">
        <f>Model!CA249</f>
        <v>19811.093759973759</v>
      </c>
      <c r="BT214">
        <f>Model!CB249</f>
        <v>16451.100477079999</v>
      </c>
      <c r="BU214">
        <f>Model!CC249</f>
        <v>23128.750862393761</v>
      </c>
      <c r="BV214">
        <f>Model!CD249</f>
        <v>23055.46671194876</v>
      </c>
      <c r="BW214">
        <f>Model!CE249</f>
        <v>22777.052330053313</v>
      </c>
      <c r="BX214">
        <f>Model!CF249</f>
        <v>20403.188954299396</v>
      </c>
      <c r="BY214">
        <f>Model!CG249</f>
        <v>0</v>
      </c>
      <c r="BZ214">
        <f>Model!CH249</f>
        <v>0</v>
      </c>
      <c r="CA214">
        <f>Model!CI249</f>
        <v>0</v>
      </c>
      <c r="CB214">
        <f>Model!CJ249</f>
        <v>0</v>
      </c>
      <c r="CC214">
        <f>Model!CK249</f>
        <v>0</v>
      </c>
      <c r="CD214">
        <f>Model!CL249</f>
        <v>0</v>
      </c>
      <c r="CE214">
        <f>Model!CM249</f>
        <v>0</v>
      </c>
      <c r="CF214">
        <f>Model!CN249</f>
        <v>2675.0410000000002</v>
      </c>
      <c r="CG214">
        <f>Model!CO249</f>
        <v>4318.3649999999998</v>
      </c>
      <c r="CH214">
        <f>Model!CP249</f>
        <v>5664.7430000000004</v>
      </c>
      <c r="CI214">
        <f>Model!CQ249</f>
        <v>9479.6460000000006</v>
      </c>
      <c r="CJ214">
        <f>Model!CR249</f>
        <v>16909</v>
      </c>
      <c r="CK214">
        <f>Model!CS249</f>
        <v>23370</v>
      </c>
      <c r="CL214">
        <f>Model!CT249</f>
        <v>33299</v>
      </c>
      <c r="CM214">
        <f>Model!CU249</f>
        <v>43638</v>
      </c>
      <c r="CN214">
        <f>Model!CV249</f>
        <v>48971</v>
      </c>
      <c r="CO214">
        <f>Model!CW249</f>
        <v>61208.24776385224</v>
      </c>
      <c r="CP214">
        <f>Model!CX249</f>
        <v>74107.899846691071</v>
      </c>
      <c r="CQ214">
        <f>Model!CY249</f>
        <v>89364.45885869523</v>
      </c>
      <c r="CR214">
        <f>Model!CZ249</f>
        <v>103244.43517308451</v>
      </c>
      <c r="CS214">
        <f>Model!DA249</f>
        <v>116950.91260124942</v>
      </c>
      <c r="CT214">
        <f>Model!DB249</f>
        <v>130240.89042543466</v>
      </c>
      <c r="CU214">
        <f>Model!DC249</f>
        <v>143265.3357700445</v>
      </c>
      <c r="CV214">
        <f>Model!DD249</f>
        <v>156155.75117926704</v>
      </c>
      <c r="CW214">
        <f>Model!DE249</f>
        <v>168794.9751615242</v>
      </c>
      <c r="CX214">
        <f>Model!DF249</f>
        <v>182476.60553945773</v>
      </c>
    </row>
    <row r="215" spans="1:102">
      <c r="A215" t="str">
        <f>Model!I250</f>
        <v>Total Int'l Gross Profit % of Int'l Bookings</v>
      </c>
      <c r="B215">
        <f>Model!J250</f>
        <v>0</v>
      </c>
      <c r="C215">
        <f>Model!K250</f>
        <v>0</v>
      </c>
      <c r="D215">
        <f>Model!L250</f>
        <v>0</v>
      </c>
      <c r="E215">
        <f>Model!M250</f>
        <v>0</v>
      </c>
      <c r="F215">
        <f>Model!N250</f>
        <v>0</v>
      </c>
      <c r="G215">
        <f>Model!O250</f>
        <v>0</v>
      </c>
      <c r="H215">
        <f>Model!P250</f>
        <v>0</v>
      </c>
      <c r="I215">
        <f>Model!Q250</f>
        <v>0</v>
      </c>
      <c r="J215">
        <f>Model!R250</f>
        <v>0</v>
      </c>
      <c r="K215">
        <f>Model!S250</f>
        <v>0</v>
      </c>
      <c r="L215">
        <f>Model!T250</f>
        <v>0</v>
      </c>
      <c r="M215">
        <f>Model!U250</f>
        <v>0</v>
      </c>
      <c r="N215">
        <f>Model!V250</f>
        <v>0</v>
      </c>
      <c r="O215">
        <f>Model!W250</f>
        <v>0</v>
      </c>
      <c r="P215">
        <f>Model!X250</f>
        <v>0</v>
      </c>
      <c r="Q215">
        <f>Model!Y250</f>
        <v>0</v>
      </c>
      <c r="R215">
        <f>Model!Z250</f>
        <v>0</v>
      </c>
      <c r="S215">
        <f>Model!AA250</f>
        <v>0</v>
      </c>
      <c r="T215">
        <f>Model!AB250</f>
        <v>0</v>
      </c>
      <c r="U215">
        <f>Model!AC250</f>
        <v>0</v>
      </c>
      <c r="V215">
        <f>Model!AD250</f>
        <v>0</v>
      </c>
      <c r="W215">
        <f>Model!AE250</f>
        <v>0</v>
      </c>
      <c r="X215">
        <f>Model!AF250</f>
        <v>0</v>
      </c>
      <c r="Y215">
        <f>Model!AG250</f>
        <v>0</v>
      </c>
      <c r="Z215">
        <f>Model!AH250</f>
        <v>0</v>
      </c>
      <c r="AA215">
        <f>Model!AI250</f>
        <v>0</v>
      </c>
      <c r="AB215">
        <f>Model!AJ250</f>
        <v>0</v>
      </c>
      <c r="AC215">
        <f>Model!AK250</f>
        <v>9.2172283274867775E-2</v>
      </c>
      <c r="AD215">
        <f>Model!AL250</f>
        <v>0.13156286201617176</v>
      </c>
      <c r="AE215">
        <f>Model!AM250</f>
        <v>0.1671574856876159</v>
      </c>
      <c r="AF215">
        <f>Model!AN250</f>
        <v>0.15137695657290809</v>
      </c>
      <c r="AG215">
        <f>Model!AO250</f>
        <v>0.10003430849115881</v>
      </c>
      <c r="AH215">
        <f>Model!AP250</f>
        <v>0.13290985318510989</v>
      </c>
      <c r="AI215">
        <f>Model!AQ250</f>
        <v>0.1788383898948715</v>
      </c>
      <c r="AJ215">
        <f>Model!AR250</f>
        <v>0.16132493467476236</v>
      </c>
      <c r="AK215">
        <f>Model!AS250</f>
        <v>0.10426325969607124</v>
      </c>
      <c r="AL215">
        <f>Model!AT250</f>
        <v>0.13896801756397406</v>
      </c>
      <c r="AM215">
        <f>Model!AU250</f>
        <v>0.18328073678856188</v>
      </c>
      <c r="AN215">
        <f>Model!AV250</f>
        <v>0.15493860705936849</v>
      </c>
      <c r="AO215">
        <f>Model!AW250</f>
        <v>0.10884174663160107</v>
      </c>
      <c r="AP215">
        <f>Model!AX250</f>
        <v>0.14271145560809484</v>
      </c>
      <c r="AQ215">
        <f>Model!AY250</f>
        <v>0.18370883882149047</v>
      </c>
      <c r="AR215">
        <f>Model!AZ250</f>
        <v>0.15827338129496402</v>
      </c>
      <c r="AS215">
        <f>Model!BA250</f>
        <v>0.10978506787330317</v>
      </c>
      <c r="AT215">
        <f>Model!BB250</f>
        <v>0.13687388193202146</v>
      </c>
      <c r="AU215">
        <f>Model!BC250</f>
        <v>0.19081980356784928</v>
      </c>
      <c r="AV215">
        <f>Model!BD250</f>
        <v>0.15567484662576686</v>
      </c>
      <c r="AW215">
        <f>Model!BE250</f>
        <v>0.11319024032287654</v>
      </c>
      <c r="AX215">
        <f>Model!BF250</f>
        <v>0.14432123655913978</v>
      </c>
      <c r="AY215">
        <f>Model!BG250</f>
        <v>0.19079252278696121</v>
      </c>
      <c r="AZ215">
        <f>Model!BH250</f>
        <v>0.15216599927193303</v>
      </c>
      <c r="BA215">
        <f>Model!BI250</f>
        <v>0.11486573300783759</v>
      </c>
      <c r="BB215">
        <f>Model!BJ250</f>
        <v>0.13987644247581305</v>
      </c>
      <c r="BC215">
        <f>Model!BK250</f>
        <v>0.19119729818062969</v>
      </c>
      <c r="BD215">
        <f>Model!BL250</f>
        <v>0.14823408094869811</v>
      </c>
      <c r="BE215">
        <f>Model!BM250</f>
        <v>0.11368974913088414</v>
      </c>
      <c r="BF215">
        <f>Model!BN250</f>
        <v>0.14124293785310735</v>
      </c>
      <c r="BG215">
        <f>Model!BO250</f>
        <v>0.19205298013245034</v>
      </c>
      <c r="BH215">
        <f>Model!BP250</f>
        <v>0.15487923751759991</v>
      </c>
      <c r="BI215">
        <f>Model!BQ250</f>
        <v>0.11566424322538003</v>
      </c>
      <c r="BJ215">
        <f>Model!BR250</f>
        <v>0.13748854262144822</v>
      </c>
      <c r="BK215">
        <f>Model!BS250</f>
        <v>0.19880715705765409</v>
      </c>
      <c r="BL215">
        <f>Model!BT250</f>
        <v>0.14957464709731699</v>
      </c>
      <c r="BM215">
        <f>Model!BU250</f>
        <v>0.11324047702888305</v>
      </c>
      <c r="BN215">
        <f>Model!BV250</f>
        <v>0.13151701658739645</v>
      </c>
      <c r="BO215">
        <f>Model!BW250</f>
        <v>0.19904346561926986</v>
      </c>
      <c r="BP215">
        <f>Model!BX250</f>
        <v>0.1465293884174389</v>
      </c>
      <c r="BQ215">
        <f>Model!BY250</f>
        <v>0.10526044417356518</v>
      </c>
      <c r="BR215">
        <f>Model!BZ250</f>
        <v>0.13796605099594583</v>
      </c>
      <c r="BS215">
        <f>Model!CA250</f>
        <v>0.20190707532168573</v>
      </c>
      <c r="BT215">
        <f>Model!CB250</f>
        <v>0.14588689694915716</v>
      </c>
      <c r="BU215">
        <f>Model!CC250</f>
        <v>0.10576044417356519</v>
      </c>
      <c r="BV215">
        <f>Model!CD250</f>
        <v>0.13846605099594583</v>
      </c>
      <c r="BW215">
        <f>Model!CE250</f>
        <v>0.20240707532168573</v>
      </c>
      <c r="BX215">
        <f>Model!CF250</f>
        <v>0.14638689694915716</v>
      </c>
      <c r="BY215">
        <f>Model!CG250</f>
        <v>0</v>
      </c>
      <c r="BZ215">
        <f>Model!CH250</f>
        <v>0</v>
      </c>
      <c r="CA215">
        <f>Model!CI250</f>
        <v>0</v>
      </c>
      <c r="CB215">
        <f>Model!CJ250</f>
        <v>0</v>
      </c>
      <c r="CC215">
        <f>Model!CK250</f>
        <v>0</v>
      </c>
      <c r="CD215">
        <f>Model!CL250</f>
        <v>0</v>
      </c>
      <c r="CE215">
        <f>Model!CM250</f>
        <v>0</v>
      </c>
      <c r="CF215">
        <f>Model!CN250</f>
        <v>0.13794181098532696</v>
      </c>
      <c r="CG215">
        <f>Model!CO250</f>
        <v>0.14352654303191137</v>
      </c>
      <c r="CH215">
        <f>Model!CP250</f>
        <v>0.14980379515893305</v>
      </c>
      <c r="CI215">
        <f>Model!CQ250</f>
        <v>0.15200989572817378</v>
      </c>
      <c r="CJ215">
        <f>Model!CR250</f>
        <v>0.1514755455674493</v>
      </c>
      <c r="CK215">
        <f>Model!CS250</f>
        <v>0.1517757809157039</v>
      </c>
      <c r="CL215">
        <f>Model!CT250</f>
        <v>0.15012462836721824</v>
      </c>
      <c r="CM215">
        <f>Model!CU250</f>
        <v>0.15147348641092626</v>
      </c>
      <c r="CN215">
        <f>Model!CV250</f>
        <v>0.1511098405178575</v>
      </c>
      <c r="CO215">
        <f>Model!CW250</f>
        <v>0.1486727742167811</v>
      </c>
      <c r="CP215">
        <f>Model!CX250</f>
        <v>0.14843221873452067</v>
      </c>
      <c r="CQ215">
        <f>Model!CY250</f>
        <v>0.14810700616728439</v>
      </c>
      <c r="CR215">
        <f>Model!CZ250</f>
        <v>0.1473070061672844</v>
      </c>
      <c r="CS215">
        <f>Model!DA250</f>
        <v>0.1468070061672844</v>
      </c>
      <c r="CT215">
        <f>Model!DB250</f>
        <v>0.1463070061672844</v>
      </c>
      <c r="CU215">
        <f>Model!DC250</f>
        <v>0.1458070061672844</v>
      </c>
      <c r="CV215">
        <f>Model!DD250</f>
        <v>0.1453070061672844</v>
      </c>
      <c r="CW215">
        <f>Model!DE250</f>
        <v>0.1448070061672844</v>
      </c>
      <c r="CX215">
        <f>Model!DF250</f>
        <v>0.1443070061672844</v>
      </c>
    </row>
    <row r="216" spans="1:102">
      <c r="A216" t="str">
        <f>Model!I251</f>
        <v>% change Y/Y (in bp)</v>
      </c>
      <c r="B216">
        <f>Model!J251</f>
        <v>0</v>
      </c>
      <c r="C216">
        <f>Model!K251</f>
        <v>0</v>
      </c>
      <c r="D216">
        <f>Model!L251</f>
        <v>0</v>
      </c>
      <c r="E216">
        <f>Model!M251</f>
        <v>0</v>
      </c>
      <c r="F216">
        <f>Model!N251</f>
        <v>0</v>
      </c>
      <c r="G216">
        <f>Model!O251</f>
        <v>0</v>
      </c>
      <c r="H216">
        <f>Model!P251</f>
        <v>0</v>
      </c>
      <c r="I216">
        <f>Model!Q251</f>
        <v>0</v>
      </c>
      <c r="J216">
        <f>Model!R251</f>
        <v>0</v>
      </c>
      <c r="K216">
        <f>Model!S251</f>
        <v>0</v>
      </c>
      <c r="L216">
        <f>Model!T251</f>
        <v>0</v>
      </c>
      <c r="M216">
        <f>Model!U251</f>
        <v>0</v>
      </c>
      <c r="N216">
        <f>Model!V251</f>
        <v>0</v>
      </c>
      <c r="O216">
        <f>Model!W251</f>
        <v>0</v>
      </c>
      <c r="P216">
        <f>Model!X251</f>
        <v>0</v>
      </c>
      <c r="Q216">
        <f>Model!Y251</f>
        <v>0</v>
      </c>
      <c r="R216">
        <f>Model!Z251</f>
        <v>0</v>
      </c>
      <c r="S216">
        <f>Model!AA251</f>
        <v>0</v>
      </c>
      <c r="T216">
        <f>Model!AB251</f>
        <v>0</v>
      </c>
      <c r="U216">
        <f>Model!AC251</f>
        <v>0</v>
      </c>
      <c r="V216">
        <f>Model!AD251</f>
        <v>0</v>
      </c>
      <c r="W216">
        <f>Model!AE251</f>
        <v>0</v>
      </c>
      <c r="X216">
        <f>Model!AF251</f>
        <v>0</v>
      </c>
      <c r="Y216">
        <f>Model!AG251</f>
        <v>0</v>
      </c>
      <c r="Z216">
        <f>Model!AH251</f>
        <v>0</v>
      </c>
      <c r="AA216">
        <f>Model!AI251</f>
        <v>0</v>
      </c>
      <c r="AB216">
        <f>Model!AJ251</f>
        <v>0</v>
      </c>
      <c r="AC216">
        <f>Model!AK251</f>
        <v>0</v>
      </c>
      <c r="AD216">
        <f>Model!AL251</f>
        <v>0</v>
      </c>
      <c r="AE216">
        <f>Model!AM251</f>
        <v>0</v>
      </c>
      <c r="AF216">
        <f>Model!AN251</f>
        <v>0</v>
      </c>
      <c r="AG216">
        <f>Model!AO251</f>
        <v>78.620252162910347</v>
      </c>
      <c r="AH216">
        <f>Model!AP251</f>
        <v>13.46991168938133</v>
      </c>
      <c r="AI216">
        <f>Model!AQ251</f>
        <v>116.80904207255594</v>
      </c>
      <c r="AJ216">
        <f>Model!AR251</f>
        <v>99.47978101854271</v>
      </c>
      <c r="AK216">
        <f>Model!AS251</f>
        <v>42.289512049124291</v>
      </c>
      <c r="AL216">
        <f>Model!AT251</f>
        <v>60.581643788641671</v>
      </c>
      <c r="AM216">
        <f>Model!AU251</f>
        <v>44.423468936903852</v>
      </c>
      <c r="AN216">
        <f>Model!AV251</f>
        <v>-63.86327615393872</v>
      </c>
      <c r="AO216">
        <f>Model!AW251</f>
        <v>45.78486935529827</v>
      </c>
      <c r="AP216">
        <f>Model!AX251</f>
        <v>37.434380441207779</v>
      </c>
      <c r="AQ216">
        <f>Model!AY251</f>
        <v>4.2810203292859006</v>
      </c>
      <c r="AR216">
        <f>Model!AZ251</f>
        <v>33.347742355955276</v>
      </c>
      <c r="AS216">
        <f>Model!BA251</f>
        <v>9.4332124170209966</v>
      </c>
      <c r="AT216">
        <f>Model!BB251</f>
        <v>-58.375736760733766</v>
      </c>
      <c r="AU216">
        <f>Model!BC251</f>
        <v>71.109647463588061</v>
      </c>
      <c r="AV216">
        <f>Model!BD251</f>
        <v>-25.985346691971557</v>
      </c>
      <c r="AW216">
        <f>Model!BE251</f>
        <v>34.051724495733765</v>
      </c>
      <c r="AX216">
        <f>Model!BF251</f>
        <v>74.473546271183181</v>
      </c>
      <c r="AY216">
        <f>Model!BG251</f>
        <v>-0.27280780888067069</v>
      </c>
      <c r="AZ216">
        <f>Model!BH251</f>
        <v>-35.088473538338327</v>
      </c>
      <c r="BA216">
        <f>Model!BI251</f>
        <v>16.75492684961047</v>
      </c>
      <c r="BB216">
        <f>Model!BJ251</f>
        <v>-44.44794083326736</v>
      </c>
      <c r="BC216">
        <f>Model!BK251</f>
        <v>4.0477539366848276</v>
      </c>
      <c r="BD216">
        <f>Model!BL251</f>
        <v>-39.319183232349175</v>
      </c>
      <c r="BE216">
        <f>Model!BM251</f>
        <v>-11.759838769534458</v>
      </c>
      <c r="BF216">
        <f>Model!BN251</f>
        <v>13.664953772943022</v>
      </c>
      <c r="BG216">
        <f>Model!BO251</f>
        <v>8.5568195182064706</v>
      </c>
      <c r="BH216">
        <f>Model!BP251</f>
        <v>66.451565689017997</v>
      </c>
      <c r="BI216">
        <f>Model!BQ251</f>
        <v>19.744940944958906</v>
      </c>
      <c r="BJ216">
        <f>Model!BR251</f>
        <v>-37.543952316591302</v>
      </c>
      <c r="BK216">
        <f>Model!BS251</f>
        <v>67.541769252037483</v>
      </c>
      <c r="BL216">
        <f>Model!BT251</f>
        <v>-53.045904202829178</v>
      </c>
      <c r="BM216">
        <f>Model!BU251</f>
        <v>-24.237661964969792</v>
      </c>
      <c r="BN216">
        <f>Model!BV251</f>
        <v>-59.715260340517659</v>
      </c>
      <c r="BO216">
        <f>Model!BW251</f>
        <v>2.3630856161577229</v>
      </c>
      <c r="BP216">
        <f>Model!BX251</f>
        <v>-30.452586798780935</v>
      </c>
      <c r="BQ216">
        <f>Model!BY251</f>
        <v>-79.800328553178701</v>
      </c>
      <c r="BR216">
        <f>Model!BZ251</f>
        <v>64.490344085493817</v>
      </c>
      <c r="BS216">
        <f>Model!CA251</f>
        <v>28.636097024158648</v>
      </c>
      <c r="BT216">
        <f>Model!CB251</f>
        <v>-6.424914682817418</v>
      </c>
      <c r="BU216">
        <f>Model!CC251</f>
        <v>5</v>
      </c>
      <c r="BV216">
        <f>Model!CD251</f>
        <v>5</v>
      </c>
      <c r="BW216">
        <f>Model!CE251</f>
        <v>5</v>
      </c>
      <c r="BX216">
        <f>Model!CF251</f>
        <v>5</v>
      </c>
      <c r="BY216">
        <f>Model!CG251</f>
        <v>0</v>
      </c>
      <c r="BZ216">
        <f>Model!CH251</f>
        <v>0</v>
      </c>
      <c r="CA216">
        <f>Model!CI251</f>
        <v>0</v>
      </c>
      <c r="CB216">
        <f>Model!CJ251</f>
        <v>0</v>
      </c>
      <c r="CC216">
        <f>Model!CK251</f>
        <v>0</v>
      </c>
      <c r="CD216">
        <f>Model!CL251</f>
        <v>0</v>
      </c>
      <c r="CE216">
        <f>Model!CM251</f>
        <v>0</v>
      </c>
      <c r="CF216">
        <f>Model!CN251</f>
        <v>0</v>
      </c>
      <c r="CG216">
        <f>Model!CO251</f>
        <v>55.84732046584412</v>
      </c>
      <c r="CH216">
        <f>Model!CP251</f>
        <v>62.772521270216821</v>
      </c>
      <c r="CI216">
        <f>Model!CQ251</f>
        <v>22.061005692407264</v>
      </c>
      <c r="CJ216">
        <f>Model!CR251</f>
        <v>-5.3435016072447823</v>
      </c>
      <c r="CK216">
        <f>Model!CS251</f>
        <v>3.0023534825460163</v>
      </c>
      <c r="CL216">
        <f>Model!CT251</f>
        <v>-16.511525484856627</v>
      </c>
      <c r="CM216">
        <f>Model!CU251</f>
        <v>13.488580437080177</v>
      </c>
      <c r="CN216">
        <f>Model!CV251</f>
        <v>-3.6364589306875361</v>
      </c>
      <c r="CO216">
        <f>Model!CW251</f>
        <v>-24.370663010764016</v>
      </c>
      <c r="CP216">
        <f>Model!CX251</f>
        <v>-2.4055548226042944</v>
      </c>
      <c r="CQ216">
        <f>Model!CY251</f>
        <v>-3.2521256723627712</v>
      </c>
      <c r="CR216">
        <f>Model!CZ251</f>
        <v>-8</v>
      </c>
      <c r="CS216">
        <f>Model!DA251</f>
        <v>-5</v>
      </c>
      <c r="CT216">
        <f>Model!DB251</f>
        <v>-5</v>
      </c>
      <c r="CU216">
        <f>Model!DC251</f>
        <v>-5</v>
      </c>
      <c r="CV216">
        <f>Model!DD251</f>
        <v>-5</v>
      </c>
      <c r="CW216">
        <f>Model!DE251</f>
        <v>-5</v>
      </c>
      <c r="CX216">
        <f>Model!DF251</f>
        <v>-5</v>
      </c>
    </row>
    <row r="217" spans="1:102">
      <c r="A217" t="str">
        <f>Model!I252</f>
        <v>Two Year</v>
      </c>
      <c r="B217">
        <f>Model!J252</f>
        <v>0</v>
      </c>
      <c r="C217">
        <f>Model!K252</f>
        <v>0</v>
      </c>
      <c r="D217">
        <f>Model!L252</f>
        <v>0</v>
      </c>
      <c r="E217">
        <f>Model!M252</f>
        <v>0</v>
      </c>
      <c r="F217">
        <f>Model!N252</f>
        <v>0</v>
      </c>
      <c r="G217">
        <f>Model!O252</f>
        <v>0</v>
      </c>
      <c r="H217">
        <f>Model!P252</f>
        <v>0</v>
      </c>
      <c r="I217">
        <f>Model!Q252</f>
        <v>0</v>
      </c>
      <c r="J217">
        <f>Model!R252</f>
        <v>0</v>
      </c>
      <c r="K217">
        <f>Model!S252</f>
        <v>0</v>
      </c>
      <c r="L217">
        <f>Model!T252</f>
        <v>0</v>
      </c>
      <c r="M217">
        <f>Model!U252</f>
        <v>0</v>
      </c>
      <c r="N217">
        <f>Model!V252</f>
        <v>0</v>
      </c>
      <c r="O217">
        <f>Model!W252</f>
        <v>0</v>
      </c>
      <c r="P217">
        <f>Model!X252</f>
        <v>0</v>
      </c>
      <c r="Q217">
        <f>Model!Y252</f>
        <v>0</v>
      </c>
      <c r="R217">
        <f>Model!Z252</f>
        <v>0</v>
      </c>
      <c r="S217">
        <f>Model!AA252</f>
        <v>0</v>
      </c>
      <c r="T217">
        <f>Model!AB252</f>
        <v>0</v>
      </c>
      <c r="U217">
        <f>Model!AC252</f>
        <v>0</v>
      </c>
      <c r="V217">
        <f>Model!AD252</f>
        <v>0</v>
      </c>
      <c r="W217">
        <f>Model!AE252</f>
        <v>0</v>
      </c>
      <c r="X217">
        <f>Model!AF252</f>
        <v>0</v>
      </c>
      <c r="Y217">
        <f>Model!AG252</f>
        <v>0</v>
      </c>
      <c r="Z217">
        <f>Model!AH252</f>
        <v>0</v>
      </c>
      <c r="AA217">
        <f>Model!AI252</f>
        <v>0</v>
      </c>
      <c r="AB217">
        <f>Model!AJ252</f>
        <v>0</v>
      </c>
      <c r="AC217">
        <f>Model!AK252</f>
        <v>0</v>
      </c>
      <c r="AD217">
        <f>Model!AL252</f>
        <v>0</v>
      </c>
      <c r="AE217">
        <f>Model!AM252</f>
        <v>0</v>
      </c>
      <c r="AF217">
        <f>Model!AN252</f>
        <v>0</v>
      </c>
      <c r="AG217">
        <f>Model!AO252</f>
        <v>0</v>
      </c>
      <c r="AH217">
        <f>Model!AP252</f>
        <v>0</v>
      </c>
      <c r="AI217">
        <f>Model!AQ252</f>
        <v>0</v>
      </c>
      <c r="AJ217">
        <f>Model!AR252</f>
        <v>0</v>
      </c>
      <c r="AK217">
        <f>Model!AS252</f>
        <v>120.90976421203464</v>
      </c>
      <c r="AL217">
        <f>Model!AT252</f>
        <v>74.051555478023005</v>
      </c>
      <c r="AM217">
        <f>Model!AU252</f>
        <v>161.23251100945978</v>
      </c>
      <c r="AN217">
        <f>Model!AV252</f>
        <v>35.616504864603989</v>
      </c>
      <c r="AO217">
        <f>Model!AW252</f>
        <v>88.074381404422553</v>
      </c>
      <c r="AP217">
        <f>Model!AX252</f>
        <v>98.01602422984945</v>
      </c>
      <c r="AQ217">
        <f>Model!AY252</f>
        <v>48.704489266189753</v>
      </c>
      <c r="AR217">
        <f>Model!AZ252</f>
        <v>-30.515533797983444</v>
      </c>
      <c r="AS217">
        <f>Model!BA252</f>
        <v>55.218081772319266</v>
      </c>
      <c r="AT217">
        <f>Model!BB252</f>
        <v>-20.941356319525987</v>
      </c>
      <c r="AU217">
        <f>Model!BC252</f>
        <v>75.390667792873955</v>
      </c>
      <c r="AV217">
        <f>Model!BD252</f>
        <v>7.3623956639837189</v>
      </c>
      <c r="AW217">
        <f>Model!BE252</f>
        <v>43.484936912754762</v>
      </c>
      <c r="AX217">
        <f>Model!BF252</f>
        <v>16.097809510449416</v>
      </c>
      <c r="AY217">
        <f>Model!BG252</f>
        <v>70.83683965470739</v>
      </c>
      <c r="AZ217">
        <f>Model!BH252</f>
        <v>-61.073820230309884</v>
      </c>
      <c r="BA217">
        <f>Model!BI252</f>
        <v>50.806651345344235</v>
      </c>
      <c r="BB217">
        <f>Model!BJ252</f>
        <v>30.025605437915821</v>
      </c>
      <c r="BC217">
        <f>Model!BK252</f>
        <v>3.7749461278041569</v>
      </c>
      <c r="BD217">
        <f>Model!BL252</f>
        <v>-74.40765677068751</v>
      </c>
      <c r="BE217">
        <f>Model!BM252</f>
        <v>4.9950880800760125</v>
      </c>
      <c r="BF217">
        <f>Model!BN252</f>
        <v>-30.782987060324338</v>
      </c>
      <c r="BG217">
        <f>Model!BO252</f>
        <v>12.604573454891298</v>
      </c>
      <c r="BH217">
        <f>Model!BP252</f>
        <v>27.132382456668822</v>
      </c>
      <c r="BI217">
        <f>Model!BQ252</f>
        <v>7.9851021754244478</v>
      </c>
      <c r="BJ217">
        <f>Model!BR252</f>
        <v>-23.878998543648279</v>
      </c>
      <c r="BK217">
        <f>Model!BS252</f>
        <v>76.09858877024395</v>
      </c>
      <c r="BL217">
        <f>Model!BT252</f>
        <v>13.405661486188819</v>
      </c>
      <c r="BM217">
        <f>Model!BU252</f>
        <v>-4.4927210200108867</v>
      </c>
      <c r="BN217">
        <f>Model!BV252</f>
        <v>-97.259212657108961</v>
      </c>
      <c r="BO217">
        <f>Model!BW252</f>
        <v>69.904854868195201</v>
      </c>
      <c r="BP217">
        <f>Model!BX252</f>
        <v>-83.49849100161012</v>
      </c>
      <c r="BQ217">
        <f>Model!BY252</f>
        <v>-104.03799051814849</v>
      </c>
      <c r="BR217">
        <f>Model!BZ252</f>
        <v>4.7750837449761576</v>
      </c>
      <c r="BS217">
        <f>Model!CA252</f>
        <v>30.99918264031637</v>
      </c>
      <c r="BT217">
        <f>Model!CB252</f>
        <v>-36.877501481598351</v>
      </c>
      <c r="BU217">
        <f>Model!CC252</f>
        <v>-74.800328553178701</v>
      </c>
      <c r="BV217">
        <f>Model!CD252</f>
        <v>69.490344085493817</v>
      </c>
      <c r="BW217">
        <f>Model!CE252</f>
        <v>33.636097024158644</v>
      </c>
      <c r="BX217">
        <f>Model!CF252</f>
        <v>-1.424914682817418</v>
      </c>
      <c r="BY217">
        <f>Model!CG252</f>
        <v>0</v>
      </c>
      <c r="BZ217">
        <f>Model!CH252</f>
        <v>0</v>
      </c>
      <c r="CA217">
        <f>Model!CI252</f>
        <v>0</v>
      </c>
      <c r="CB217">
        <f>Model!CJ252</f>
        <v>0</v>
      </c>
      <c r="CC217">
        <f>Model!CK252</f>
        <v>0</v>
      </c>
      <c r="CD217">
        <f>Model!CL252</f>
        <v>0</v>
      </c>
      <c r="CE217">
        <f>Model!CM252</f>
        <v>0</v>
      </c>
      <c r="CF217">
        <f>Model!CN252</f>
        <v>0</v>
      </c>
      <c r="CG217">
        <f>Model!CO252</f>
        <v>0</v>
      </c>
      <c r="CH217">
        <f>Model!CP252</f>
        <v>118.61984173606095</v>
      </c>
      <c r="CI217">
        <f>Model!CQ252</f>
        <v>84.833526962624092</v>
      </c>
      <c r="CJ217">
        <f>Model!CR252</f>
        <v>16.717504085162481</v>
      </c>
      <c r="CK217">
        <f>Model!CS252</f>
        <v>-2.341148124698766</v>
      </c>
      <c r="CL217">
        <f>Model!CT252</f>
        <v>-13.50917200231061</v>
      </c>
      <c r="CM217">
        <f>Model!CU252</f>
        <v>-3.0229450477764495</v>
      </c>
      <c r="CN217">
        <f>Model!CV252</f>
        <v>9.8521215063926419</v>
      </c>
      <c r="CO217">
        <f>Model!CW252</f>
        <v>-28.007121941451551</v>
      </c>
      <c r="CP217">
        <f>Model!CX252</f>
        <v>-26.77621783336831</v>
      </c>
      <c r="CQ217">
        <f>Model!CY252</f>
        <v>-5.6576804949670656</v>
      </c>
      <c r="CR217">
        <f>Model!CZ252</f>
        <v>-11.252125672362771</v>
      </c>
      <c r="CS217">
        <f>Model!DA252</f>
        <v>-13</v>
      </c>
      <c r="CT217">
        <f>Model!DB252</f>
        <v>-10</v>
      </c>
      <c r="CU217">
        <f>Model!DC252</f>
        <v>-10</v>
      </c>
      <c r="CV217">
        <f>Model!DD252</f>
        <v>-10</v>
      </c>
      <c r="CW217">
        <f>Model!DE252</f>
        <v>-10</v>
      </c>
      <c r="CX217">
        <f>Model!DF252</f>
        <v>-10</v>
      </c>
    </row>
    <row r="218" spans="1:102">
      <c r="A218" t="str">
        <f>Model!I255</f>
        <v>Sequential Change</v>
      </c>
      <c r="B218">
        <f>Model!J255</f>
        <v>0</v>
      </c>
      <c r="C218">
        <f>Model!K255</f>
        <v>0</v>
      </c>
      <c r="D218">
        <f>Model!L255</f>
        <v>0</v>
      </c>
      <c r="E218">
        <f>Model!M255</f>
        <v>0</v>
      </c>
      <c r="F218">
        <f>Model!N255</f>
        <v>0</v>
      </c>
      <c r="G218">
        <f>Model!O255</f>
        <v>0</v>
      </c>
      <c r="H218">
        <f>Model!P255</f>
        <v>0</v>
      </c>
      <c r="I218">
        <f>Model!Q255</f>
        <v>0</v>
      </c>
      <c r="J218">
        <f>Model!R255</f>
        <v>0</v>
      </c>
      <c r="K218">
        <f>Model!S255</f>
        <v>0</v>
      </c>
      <c r="L218">
        <f>Model!T255</f>
        <v>0</v>
      </c>
      <c r="M218">
        <f>Model!U255</f>
        <v>0</v>
      </c>
      <c r="N218">
        <f>Model!V255</f>
        <v>0</v>
      </c>
      <c r="O218">
        <f>Model!W255</f>
        <v>0</v>
      </c>
      <c r="P218">
        <f>Model!X255</f>
        <v>0</v>
      </c>
      <c r="Q218">
        <f>Model!Y255</f>
        <v>0</v>
      </c>
      <c r="R218">
        <f>Model!Z255</f>
        <v>0</v>
      </c>
      <c r="S218">
        <f>Model!AA255</f>
        <v>0</v>
      </c>
      <c r="T218">
        <f>Model!AB255</f>
        <v>0</v>
      </c>
      <c r="U218">
        <f>Model!AC255</f>
        <v>0</v>
      </c>
      <c r="V218">
        <f>Model!AD255</f>
        <v>0</v>
      </c>
      <c r="W218">
        <f>Model!AE255</f>
        <v>0</v>
      </c>
      <c r="X218">
        <f>Model!AF255</f>
        <v>0</v>
      </c>
      <c r="Y218">
        <f>Model!AG255</f>
        <v>0</v>
      </c>
      <c r="Z218">
        <f>Model!AH255</f>
        <v>0</v>
      </c>
      <c r="AA218">
        <f>Model!AI255</f>
        <v>0</v>
      </c>
      <c r="AB218">
        <f>Model!AJ255</f>
        <v>0</v>
      </c>
      <c r="AC218">
        <f>Model!AK255</f>
        <v>0</v>
      </c>
      <c r="AD218">
        <f>Model!AL255</f>
        <v>0</v>
      </c>
      <c r="AE218">
        <f>Model!AM255</f>
        <v>0</v>
      </c>
      <c r="AF218">
        <f>Model!AN255</f>
        <v>0</v>
      </c>
      <c r="AG218">
        <f>Model!AO255</f>
        <v>-513.4264808174928</v>
      </c>
      <c r="AH218">
        <f>Model!AP255</f>
        <v>328.75544693951082</v>
      </c>
      <c r="AI218">
        <f>Model!AQ255</f>
        <v>459.28536709761602</v>
      </c>
      <c r="AJ218">
        <f>Model!AR255</f>
        <v>-175.13455220109137</v>
      </c>
      <c r="AK218">
        <f>Model!AS255</f>
        <v>-570.61674978691121</v>
      </c>
      <c r="AL218">
        <f>Model!AT255</f>
        <v>347.04757867902822</v>
      </c>
      <c r="AM218">
        <f>Model!AU255</f>
        <v>443.12719224587823</v>
      </c>
      <c r="AN218">
        <f>Model!AV255</f>
        <v>-283.42129729193391</v>
      </c>
      <c r="AO218">
        <f>Model!AW255</f>
        <v>-460.96860427767422</v>
      </c>
      <c r="AP218">
        <f>Model!AX255</f>
        <v>338.69708976493774</v>
      </c>
      <c r="AQ218">
        <f>Model!AY255</f>
        <v>409.97383213395631</v>
      </c>
      <c r="AR218">
        <f>Model!AZ255</f>
        <v>-254.35457526526457</v>
      </c>
      <c r="AS218">
        <f>Model!BA255</f>
        <v>-484.88313421660848</v>
      </c>
      <c r="AT218">
        <f>Model!BB255</f>
        <v>270.88814058718299</v>
      </c>
      <c r="AU218">
        <f>Model!BC255</f>
        <v>539.45921635827813</v>
      </c>
      <c r="AV218">
        <f>Model!BD255</f>
        <v>-351.44956942082416</v>
      </c>
      <c r="AW218">
        <f>Model!BE255</f>
        <v>-424.84606302890319</v>
      </c>
      <c r="AX218">
        <f>Model!BF255</f>
        <v>311.3099623626324</v>
      </c>
      <c r="AY218">
        <f>Model!BG255</f>
        <v>464.71286227821429</v>
      </c>
      <c r="AZ218">
        <f>Model!BH255</f>
        <v>-386.26523515028185</v>
      </c>
      <c r="BA218">
        <f>Model!BI255</f>
        <v>-373.00266264095438</v>
      </c>
      <c r="BB218">
        <f>Model!BJ255</f>
        <v>250.10709467975457</v>
      </c>
      <c r="BC218">
        <f>Model!BK255</f>
        <v>513.20855704816643</v>
      </c>
      <c r="BD218">
        <f>Model!BL255</f>
        <v>-429.63217231931583</v>
      </c>
      <c r="BE218">
        <f>Model!BM255</f>
        <v>-345.44331817813969</v>
      </c>
      <c r="BF218">
        <f>Model!BN255</f>
        <v>275.53188722223206</v>
      </c>
      <c r="BG218">
        <f>Model!BO255</f>
        <v>508.10042279342991</v>
      </c>
      <c r="BH218">
        <f>Model!BP255</f>
        <v>-371.73742614850431</v>
      </c>
      <c r="BI218">
        <f>Model!BQ255</f>
        <v>-392.14994292219876</v>
      </c>
      <c r="BJ218">
        <f>Model!BR255</f>
        <v>218.24299396068184</v>
      </c>
      <c r="BK218">
        <f>Model!BS255</f>
        <v>613.18614436205871</v>
      </c>
      <c r="BL218">
        <f>Model!BT255</f>
        <v>-492.32509960337097</v>
      </c>
      <c r="BM218">
        <f>Model!BU255</f>
        <v>-363.3417006843394</v>
      </c>
      <c r="BN218">
        <f>Model!BV255</f>
        <v>182.76539558513397</v>
      </c>
      <c r="BO218">
        <f>Model!BW255</f>
        <v>675.26449031873403</v>
      </c>
      <c r="BP218">
        <f>Model!BX255</f>
        <v>-525.14077201830958</v>
      </c>
      <c r="BQ218">
        <f>Model!BY255</f>
        <v>-412.68944243873716</v>
      </c>
      <c r="BR218">
        <f>Model!BZ255</f>
        <v>327.05606822380651</v>
      </c>
      <c r="BS218">
        <f>Model!CA255</f>
        <v>639.41024325739897</v>
      </c>
      <c r="BT218">
        <f>Model!CB255</f>
        <v>-560.20178372528562</v>
      </c>
      <c r="BU218">
        <f>Model!CC255</f>
        <v>-401.26452775591974</v>
      </c>
      <c r="BV218">
        <f>Model!CD255</f>
        <v>327.05606822380651</v>
      </c>
      <c r="BW218">
        <f>Model!CE255</f>
        <v>639.41024325739897</v>
      </c>
      <c r="BX218">
        <f>Model!CF255</f>
        <v>-560.20178372528562</v>
      </c>
      <c r="BY218">
        <f>Model!CG255</f>
        <v>0</v>
      </c>
      <c r="BZ218">
        <f>Model!CH255</f>
        <v>0</v>
      </c>
      <c r="CA218">
        <f>Model!CI255</f>
        <v>0</v>
      </c>
      <c r="CB218">
        <f>Model!CJ255</f>
        <v>0</v>
      </c>
      <c r="CC218">
        <f>Model!CK255</f>
        <v>0</v>
      </c>
      <c r="CD218">
        <f>Model!CL255</f>
        <v>0</v>
      </c>
      <c r="CE218">
        <f>Model!CM255</f>
        <v>0</v>
      </c>
      <c r="CF218">
        <f>Model!CN255</f>
        <v>0</v>
      </c>
      <c r="CG218">
        <f>Model!CO255</f>
        <v>0</v>
      </c>
      <c r="CH218">
        <f>Model!CP255</f>
        <v>0</v>
      </c>
      <c r="CI218">
        <f>Model!CQ255</f>
        <v>0</v>
      </c>
      <c r="CJ218">
        <f>Model!CR255</f>
        <v>0</v>
      </c>
      <c r="CK218">
        <f>Model!CS255</f>
        <v>0</v>
      </c>
      <c r="CL218">
        <f>Model!CT255</f>
        <v>0</v>
      </c>
      <c r="CM218">
        <f>Model!CU255</f>
        <v>0</v>
      </c>
      <c r="CN218">
        <f>Model!CV255</f>
        <v>0</v>
      </c>
      <c r="CO218">
        <f>Model!CW255</f>
        <v>0</v>
      </c>
      <c r="CP218">
        <f>Model!CX255</f>
        <v>0</v>
      </c>
      <c r="CQ218">
        <f>Model!CY255</f>
        <v>0</v>
      </c>
      <c r="CR218">
        <f>Model!CZ255</f>
        <v>0</v>
      </c>
      <c r="CS218">
        <f>Model!DA255</f>
        <v>0</v>
      </c>
      <c r="CT218">
        <f>Model!DB255</f>
        <v>0</v>
      </c>
      <c r="CU218">
        <f>Model!DC255</f>
        <v>0</v>
      </c>
      <c r="CV218">
        <f>Model!DD255</f>
        <v>0</v>
      </c>
      <c r="CW218">
        <f>Model!DE255</f>
        <v>0</v>
      </c>
      <c r="CX218">
        <f>Model!DF255</f>
        <v>0</v>
      </c>
    </row>
    <row r="219" spans="1:102">
      <c r="A219">
        <f>Model!I263</f>
        <v>0</v>
      </c>
      <c r="B219">
        <f>Model!J263</f>
        <v>0</v>
      </c>
      <c r="C219">
        <f>Model!K263</f>
        <v>0</v>
      </c>
      <c r="D219">
        <f>Model!L263</f>
        <v>0</v>
      </c>
      <c r="E219">
        <f>Model!M263</f>
        <v>0</v>
      </c>
      <c r="F219">
        <f>Model!N263</f>
        <v>0</v>
      </c>
      <c r="G219">
        <f>Model!O263</f>
        <v>0</v>
      </c>
      <c r="H219">
        <f>Model!P263</f>
        <v>0</v>
      </c>
      <c r="I219">
        <f>Model!Q263</f>
        <v>0</v>
      </c>
      <c r="J219">
        <f>Model!R263</f>
        <v>0</v>
      </c>
      <c r="K219">
        <f>Model!S263</f>
        <v>0</v>
      </c>
      <c r="L219">
        <f>Model!T263</f>
        <v>0</v>
      </c>
      <c r="M219">
        <f>Model!U263</f>
        <v>0</v>
      </c>
      <c r="N219">
        <f>Model!V263</f>
        <v>0</v>
      </c>
      <c r="O219">
        <f>Model!W263</f>
        <v>0</v>
      </c>
      <c r="P219">
        <f>Model!X263</f>
        <v>0</v>
      </c>
      <c r="Q219">
        <f>Model!Y263</f>
        <v>0</v>
      </c>
      <c r="R219">
        <f>Model!Z263</f>
        <v>0</v>
      </c>
      <c r="S219">
        <f>Model!AA263</f>
        <v>0</v>
      </c>
      <c r="T219">
        <f>Model!AB263</f>
        <v>0</v>
      </c>
      <c r="U219">
        <f>Model!AC263</f>
        <v>0</v>
      </c>
      <c r="V219">
        <f>Model!AD263</f>
        <v>0</v>
      </c>
      <c r="W219">
        <f>Model!AE263</f>
        <v>0</v>
      </c>
      <c r="X219">
        <f>Model!AF263</f>
        <v>0</v>
      </c>
      <c r="Y219">
        <f>Model!AG263</f>
        <v>0</v>
      </c>
      <c r="Z219">
        <f>Model!AH263</f>
        <v>0</v>
      </c>
      <c r="AA219">
        <f>Model!AI263</f>
        <v>0</v>
      </c>
      <c r="AB219">
        <f>Model!AJ263</f>
        <v>0</v>
      </c>
      <c r="AC219">
        <f>Model!AK263</f>
        <v>0</v>
      </c>
      <c r="AD219">
        <f>Model!AL263</f>
        <v>0</v>
      </c>
      <c r="AE219">
        <f>Model!AM263</f>
        <v>0</v>
      </c>
      <c r="AF219">
        <f>Model!AN263</f>
        <v>0</v>
      </c>
      <c r="AG219">
        <f>Model!AO263</f>
        <v>0</v>
      </c>
      <c r="AH219">
        <f>Model!AP263</f>
        <v>0</v>
      </c>
      <c r="AI219">
        <f>Model!AQ263</f>
        <v>0</v>
      </c>
      <c r="AJ219">
        <f>Model!AR263</f>
        <v>0</v>
      </c>
      <c r="AK219">
        <f>Model!AS263</f>
        <v>0</v>
      </c>
      <c r="AL219">
        <f>Model!AT263</f>
        <v>0</v>
      </c>
      <c r="AM219">
        <f>Model!AU263</f>
        <v>0</v>
      </c>
      <c r="AN219">
        <f>Model!AV263</f>
        <v>0</v>
      </c>
      <c r="AO219">
        <f>Model!AW263</f>
        <v>0</v>
      </c>
      <c r="AP219">
        <f>Model!AX263</f>
        <v>0</v>
      </c>
      <c r="AQ219">
        <f>Model!AY263</f>
        <v>0</v>
      </c>
      <c r="AR219">
        <f>Model!AZ263</f>
        <v>0</v>
      </c>
      <c r="AS219">
        <f>Model!BA263</f>
        <v>0</v>
      </c>
      <c r="AT219">
        <f>Model!BB263</f>
        <v>0</v>
      </c>
      <c r="AU219">
        <f>Model!BC263</f>
        <v>0</v>
      </c>
      <c r="AV219">
        <f>Model!BD263</f>
        <v>0</v>
      </c>
      <c r="AW219">
        <f>Model!BE263</f>
        <v>0</v>
      </c>
      <c r="AX219">
        <f>Model!BF263</f>
        <v>0</v>
      </c>
      <c r="AY219">
        <f>Model!BG263</f>
        <v>0</v>
      </c>
      <c r="AZ219">
        <f>Model!BH263</f>
        <v>0</v>
      </c>
      <c r="BA219">
        <f>Model!BI263</f>
        <v>0</v>
      </c>
      <c r="BB219">
        <f>Model!BJ263</f>
        <v>0</v>
      </c>
      <c r="BC219">
        <f>Model!BK263</f>
        <v>0</v>
      </c>
      <c r="BD219">
        <f>Model!BL263</f>
        <v>0</v>
      </c>
      <c r="BE219">
        <f>Model!BM263</f>
        <v>0</v>
      </c>
      <c r="BF219">
        <f>Model!BN263</f>
        <v>0</v>
      </c>
      <c r="BG219">
        <f>Model!BO263</f>
        <v>0</v>
      </c>
      <c r="BH219">
        <f>Model!BP263</f>
        <v>0</v>
      </c>
      <c r="BI219">
        <f>Model!BQ263</f>
        <v>0</v>
      </c>
      <c r="BJ219">
        <f>Model!BR263</f>
        <v>0</v>
      </c>
      <c r="BK219">
        <f>Model!BS263</f>
        <v>0</v>
      </c>
      <c r="BL219">
        <f>Model!BT263</f>
        <v>0</v>
      </c>
      <c r="BM219">
        <f>Model!BU263</f>
        <v>0</v>
      </c>
      <c r="BN219">
        <f>Model!BV263</f>
        <v>0</v>
      </c>
      <c r="BO219">
        <f>Model!BW263</f>
        <v>0</v>
      </c>
      <c r="BP219">
        <f>Model!BX263</f>
        <v>0</v>
      </c>
      <c r="BQ219">
        <f>Model!BY263</f>
        <v>0</v>
      </c>
      <c r="BR219">
        <f>Model!BZ263</f>
        <v>0</v>
      </c>
      <c r="BS219">
        <f>Model!CA263</f>
        <v>0</v>
      </c>
      <c r="BT219">
        <f>Model!CB263</f>
        <v>0</v>
      </c>
      <c r="BU219">
        <f>Model!CC263</f>
        <v>0</v>
      </c>
      <c r="BV219">
        <f>Model!CD263</f>
        <v>0</v>
      </c>
      <c r="BW219">
        <f>Model!CE263</f>
        <v>0</v>
      </c>
      <c r="BX219">
        <f>Model!CF263</f>
        <v>0</v>
      </c>
      <c r="BY219">
        <f>Model!CG263</f>
        <v>0</v>
      </c>
      <c r="BZ219">
        <f>Model!CH263</f>
        <v>0</v>
      </c>
      <c r="CA219">
        <f>Model!CI263</f>
        <v>0</v>
      </c>
      <c r="CB219">
        <f>Model!CJ263</f>
        <v>0</v>
      </c>
      <c r="CC219">
        <f>Model!CK263</f>
        <v>0</v>
      </c>
      <c r="CD219">
        <f>Model!CL263</f>
        <v>0</v>
      </c>
      <c r="CE219">
        <f>Model!CM263</f>
        <v>0</v>
      </c>
      <c r="CF219">
        <f>Model!CN263</f>
        <v>0</v>
      </c>
      <c r="CG219">
        <f>Model!CO263</f>
        <v>0</v>
      </c>
      <c r="CH219">
        <f>Model!CP263</f>
        <v>0</v>
      </c>
      <c r="CI219">
        <f>Model!CQ263</f>
        <v>0</v>
      </c>
      <c r="CJ219">
        <f>Model!CR263</f>
        <v>0</v>
      </c>
      <c r="CK219">
        <f>Model!CS263</f>
        <v>0</v>
      </c>
      <c r="CL219">
        <f>Model!CT263</f>
        <v>0</v>
      </c>
      <c r="CM219">
        <f>Model!CU263</f>
        <v>0</v>
      </c>
      <c r="CN219">
        <f>Model!CV263</f>
        <v>0</v>
      </c>
      <c r="CO219">
        <f>Model!CW263</f>
        <v>0</v>
      </c>
      <c r="CP219">
        <f>Model!CX263</f>
        <v>0</v>
      </c>
      <c r="CQ219">
        <f>Model!CY263</f>
        <v>0</v>
      </c>
      <c r="CR219">
        <f>Model!CZ263</f>
        <v>0</v>
      </c>
      <c r="CS219">
        <f>Model!DA263</f>
        <v>0</v>
      </c>
      <c r="CT219">
        <f>Model!DB263</f>
        <v>0</v>
      </c>
      <c r="CU219">
        <f>Model!DC263</f>
        <v>0</v>
      </c>
      <c r="CV219">
        <f>Model!DD263</f>
        <v>0</v>
      </c>
      <c r="CW219">
        <f>Model!DE263</f>
        <v>0</v>
      </c>
      <c r="CX219">
        <f>Model!DF263</f>
        <v>0</v>
      </c>
    </row>
    <row r="220" spans="1:102">
      <c r="A220" t="str">
        <f>Model!I264</f>
        <v>Int'l Bottom up</v>
      </c>
      <c r="B220">
        <f>Model!J264</f>
        <v>0</v>
      </c>
      <c r="C220">
        <f>Model!K264</f>
        <v>0</v>
      </c>
      <c r="D220">
        <f>Model!L264</f>
        <v>0</v>
      </c>
      <c r="E220">
        <f>Model!M264</f>
        <v>0</v>
      </c>
      <c r="F220">
        <f>Model!N264</f>
        <v>0</v>
      </c>
      <c r="G220">
        <f>Model!O264</f>
        <v>0</v>
      </c>
      <c r="H220">
        <f>Model!P264</f>
        <v>0</v>
      </c>
      <c r="I220">
        <f>Model!Q264</f>
        <v>0</v>
      </c>
      <c r="J220">
        <f>Model!R264</f>
        <v>0</v>
      </c>
      <c r="K220">
        <f>Model!S264</f>
        <v>0</v>
      </c>
      <c r="L220">
        <f>Model!T264</f>
        <v>0</v>
      </c>
      <c r="M220">
        <f>Model!U264</f>
        <v>0</v>
      </c>
      <c r="N220">
        <f>Model!V264</f>
        <v>0</v>
      </c>
      <c r="O220">
        <f>Model!W264</f>
        <v>0</v>
      </c>
      <c r="P220">
        <f>Model!X264</f>
        <v>0</v>
      </c>
      <c r="Q220">
        <f>Model!Y264</f>
        <v>0</v>
      </c>
      <c r="R220">
        <f>Model!Z264</f>
        <v>0</v>
      </c>
      <c r="S220">
        <f>Model!AA264</f>
        <v>0</v>
      </c>
      <c r="T220">
        <f>Model!AB264</f>
        <v>0</v>
      </c>
      <c r="U220">
        <f>Model!AC264</f>
        <v>0</v>
      </c>
      <c r="V220">
        <f>Model!AD264</f>
        <v>0</v>
      </c>
      <c r="W220">
        <f>Model!AE264</f>
        <v>0</v>
      </c>
      <c r="X220">
        <f>Model!AF264</f>
        <v>0</v>
      </c>
      <c r="Y220">
        <f>Model!AG264</f>
        <v>0</v>
      </c>
      <c r="Z220">
        <f>Model!AH264</f>
        <v>0</v>
      </c>
      <c r="AA220">
        <f>Model!AI264</f>
        <v>0</v>
      </c>
      <c r="AB220">
        <f>Model!AJ264</f>
        <v>0</v>
      </c>
      <c r="AC220">
        <f>Model!AK264</f>
        <v>0</v>
      </c>
      <c r="AD220">
        <f>Model!AL264</f>
        <v>0</v>
      </c>
      <c r="AE220">
        <f>Model!AM264</f>
        <v>0</v>
      </c>
      <c r="AF220">
        <f>Model!AN264</f>
        <v>0</v>
      </c>
      <c r="AG220">
        <f>Model!AO264</f>
        <v>0</v>
      </c>
      <c r="AH220">
        <f>Model!AP264</f>
        <v>0</v>
      </c>
      <c r="AI220">
        <f>Model!AQ264</f>
        <v>0</v>
      </c>
      <c r="AJ220">
        <f>Model!AR264</f>
        <v>0</v>
      </c>
      <c r="AK220">
        <f>Model!AS264</f>
        <v>0</v>
      </c>
      <c r="AL220">
        <f>Model!AT264</f>
        <v>0</v>
      </c>
      <c r="AM220">
        <f>Model!AU264</f>
        <v>0</v>
      </c>
      <c r="AN220">
        <f>Model!AV264</f>
        <v>0</v>
      </c>
      <c r="AO220">
        <f>Model!AW264</f>
        <v>0</v>
      </c>
      <c r="AP220">
        <f>Model!AX264</f>
        <v>0</v>
      </c>
      <c r="AQ220">
        <f>Model!AY264</f>
        <v>0</v>
      </c>
      <c r="AR220">
        <f>Model!AZ264</f>
        <v>0</v>
      </c>
      <c r="AS220">
        <f>Model!BA264</f>
        <v>0</v>
      </c>
      <c r="AT220">
        <f>Model!BB264</f>
        <v>0</v>
      </c>
      <c r="AU220">
        <f>Model!BC264</f>
        <v>0</v>
      </c>
      <c r="AV220">
        <f>Model!BD264</f>
        <v>0</v>
      </c>
      <c r="AW220">
        <f>Model!BE264</f>
        <v>0</v>
      </c>
      <c r="AX220">
        <f>Model!BF264</f>
        <v>0</v>
      </c>
      <c r="AY220">
        <f>Model!BG264</f>
        <v>0</v>
      </c>
      <c r="AZ220">
        <f>Model!BH264</f>
        <v>0</v>
      </c>
      <c r="BA220">
        <f>Model!BI264</f>
        <v>0</v>
      </c>
      <c r="BB220">
        <f>Model!BJ264</f>
        <v>0</v>
      </c>
      <c r="BC220">
        <f>Model!BK264</f>
        <v>0</v>
      </c>
      <c r="BD220">
        <f>Model!BL264</f>
        <v>0</v>
      </c>
      <c r="BE220">
        <f>Model!BM264</f>
        <v>0</v>
      </c>
      <c r="BF220">
        <f>Model!BN264</f>
        <v>0</v>
      </c>
      <c r="BG220">
        <f>Model!BO264</f>
        <v>0</v>
      </c>
      <c r="BH220">
        <f>Model!BP264</f>
        <v>0</v>
      </c>
      <c r="BI220">
        <f>Model!BQ264</f>
        <v>0</v>
      </c>
      <c r="BJ220">
        <f>Model!BR264</f>
        <v>0</v>
      </c>
      <c r="BK220">
        <f>Model!BS264</f>
        <v>0</v>
      </c>
      <c r="BL220">
        <f>Model!BT264</f>
        <v>0</v>
      </c>
      <c r="BM220">
        <f>Model!BU264</f>
        <v>0</v>
      </c>
      <c r="BN220">
        <f>Model!BV264</f>
        <v>0</v>
      </c>
      <c r="BO220">
        <f>Model!BW264</f>
        <v>0</v>
      </c>
      <c r="BP220">
        <f>Model!BX264</f>
        <v>0</v>
      </c>
      <c r="BQ220">
        <f>Model!BY264</f>
        <v>0</v>
      </c>
      <c r="BR220">
        <f>Model!BZ264</f>
        <v>0</v>
      </c>
      <c r="BS220">
        <f>Model!CA264</f>
        <v>0</v>
      </c>
      <c r="BT220">
        <f>Model!CB264</f>
        <v>0</v>
      </c>
      <c r="BU220">
        <f>Model!CC264</f>
        <v>0</v>
      </c>
      <c r="BV220">
        <f>Model!CD264</f>
        <v>0</v>
      </c>
      <c r="BW220">
        <f>Model!CE264</f>
        <v>0</v>
      </c>
      <c r="BX220">
        <f>Model!CF264</f>
        <v>0</v>
      </c>
      <c r="BY220">
        <f>Model!CG264</f>
        <v>0</v>
      </c>
      <c r="BZ220">
        <f>Model!CH264</f>
        <v>0</v>
      </c>
      <c r="CA220">
        <f>Model!CI264</f>
        <v>0</v>
      </c>
      <c r="CB220">
        <f>Model!CJ264</f>
        <v>0</v>
      </c>
      <c r="CC220">
        <f>Model!CK264</f>
        <v>0</v>
      </c>
      <c r="CD220">
        <f>Model!CL264</f>
        <v>0</v>
      </c>
      <c r="CE220">
        <f>Model!CM264</f>
        <v>0</v>
      </c>
      <c r="CF220">
        <f>Model!CN264</f>
        <v>0</v>
      </c>
      <c r="CG220">
        <f>Model!CO264</f>
        <v>0</v>
      </c>
      <c r="CH220">
        <f>Model!CP264</f>
        <v>0</v>
      </c>
      <c r="CI220">
        <f>Model!CQ264</f>
        <v>0</v>
      </c>
      <c r="CJ220">
        <f>Model!CR264</f>
        <v>0</v>
      </c>
      <c r="CK220">
        <f>Model!CS264</f>
        <v>0</v>
      </c>
      <c r="CL220">
        <f>Model!CT264</f>
        <v>0</v>
      </c>
      <c r="CM220">
        <f>Model!CU264</f>
        <v>0</v>
      </c>
      <c r="CN220">
        <f>Model!CV264</f>
        <v>0</v>
      </c>
      <c r="CO220">
        <f>Model!CW264</f>
        <v>0</v>
      </c>
      <c r="CP220">
        <f>Model!CX264</f>
        <v>0</v>
      </c>
      <c r="CQ220">
        <f>Model!CY264</f>
        <v>0</v>
      </c>
      <c r="CR220">
        <f>Model!CZ264</f>
        <v>0</v>
      </c>
      <c r="CS220">
        <f>Model!DA264</f>
        <v>0</v>
      </c>
      <c r="CT220">
        <f>Model!DB264</f>
        <v>0</v>
      </c>
      <c r="CU220">
        <f>Model!DC264</f>
        <v>0</v>
      </c>
      <c r="CV220">
        <f>Model!DD264</f>
        <v>0</v>
      </c>
      <c r="CW220">
        <f>Model!DE264</f>
        <v>0</v>
      </c>
      <c r="CX220">
        <f>Model!DF264</f>
        <v>0</v>
      </c>
    </row>
    <row r="221" spans="1:102">
      <c r="A221">
        <f>Model!I265</f>
        <v>0</v>
      </c>
      <c r="B221">
        <f>Model!J265</f>
        <v>0</v>
      </c>
      <c r="C221">
        <f>Model!K265</f>
        <v>0</v>
      </c>
      <c r="D221">
        <f>Model!L265</f>
        <v>0</v>
      </c>
      <c r="E221">
        <f>Model!M265</f>
        <v>0</v>
      </c>
      <c r="F221">
        <f>Model!N265</f>
        <v>0</v>
      </c>
      <c r="G221">
        <f>Model!O265</f>
        <v>0</v>
      </c>
      <c r="H221">
        <f>Model!P265</f>
        <v>0</v>
      </c>
      <c r="I221">
        <f>Model!Q265</f>
        <v>0</v>
      </c>
      <c r="J221">
        <f>Model!R265</f>
        <v>0</v>
      </c>
      <c r="K221">
        <f>Model!S265</f>
        <v>0</v>
      </c>
      <c r="L221">
        <f>Model!T265</f>
        <v>0</v>
      </c>
      <c r="M221">
        <f>Model!U265</f>
        <v>0</v>
      </c>
      <c r="N221">
        <f>Model!V265</f>
        <v>0</v>
      </c>
      <c r="O221">
        <f>Model!W265</f>
        <v>0</v>
      </c>
      <c r="P221">
        <f>Model!X265</f>
        <v>0</v>
      </c>
      <c r="Q221">
        <f>Model!Y265</f>
        <v>0</v>
      </c>
      <c r="R221">
        <f>Model!Z265</f>
        <v>0</v>
      </c>
      <c r="S221">
        <f>Model!AA265</f>
        <v>0</v>
      </c>
      <c r="T221">
        <f>Model!AB265</f>
        <v>0</v>
      </c>
      <c r="U221">
        <f>Model!AC265</f>
        <v>0</v>
      </c>
      <c r="V221">
        <f>Model!AD265</f>
        <v>0</v>
      </c>
      <c r="W221">
        <f>Model!AE265</f>
        <v>0</v>
      </c>
      <c r="X221">
        <f>Model!AF265</f>
        <v>0</v>
      </c>
      <c r="Y221">
        <f>Model!AG265</f>
        <v>0</v>
      </c>
      <c r="Z221">
        <f>Model!AH265</f>
        <v>0</v>
      </c>
      <c r="AA221">
        <f>Model!AI265</f>
        <v>0</v>
      </c>
      <c r="AB221">
        <f>Model!AJ265</f>
        <v>0</v>
      </c>
      <c r="AC221">
        <f>Model!AK265</f>
        <v>0</v>
      </c>
      <c r="AD221">
        <f>Model!AL265</f>
        <v>0</v>
      </c>
      <c r="AE221">
        <f>Model!AM265</f>
        <v>0</v>
      </c>
      <c r="AF221">
        <f>Model!AN265</f>
        <v>0</v>
      </c>
      <c r="AG221">
        <f>Model!AO265</f>
        <v>0</v>
      </c>
      <c r="AH221">
        <f>Model!AP265</f>
        <v>0</v>
      </c>
      <c r="AI221">
        <f>Model!AQ265</f>
        <v>0</v>
      </c>
      <c r="AJ221">
        <f>Model!AR265</f>
        <v>0</v>
      </c>
      <c r="AK221">
        <f>Model!AS265</f>
        <v>0</v>
      </c>
      <c r="AL221">
        <f>Model!AT265</f>
        <v>0</v>
      </c>
      <c r="AM221">
        <f>Model!AU265</f>
        <v>0</v>
      </c>
      <c r="AN221">
        <f>Model!AV265</f>
        <v>0</v>
      </c>
      <c r="AO221">
        <f>Model!AW265</f>
        <v>0</v>
      </c>
      <c r="AP221">
        <f>Model!AX265</f>
        <v>0</v>
      </c>
      <c r="AQ221">
        <f>Model!AY265</f>
        <v>0</v>
      </c>
      <c r="AR221">
        <f>Model!AZ265</f>
        <v>0</v>
      </c>
      <c r="AS221">
        <f>Model!BA265</f>
        <v>0</v>
      </c>
      <c r="AT221">
        <f>Model!BB265</f>
        <v>0</v>
      </c>
      <c r="AU221">
        <f>Model!BC265</f>
        <v>0</v>
      </c>
      <c r="AV221">
        <f>Model!BD265</f>
        <v>0</v>
      </c>
      <c r="AW221">
        <f>Model!BE265</f>
        <v>0</v>
      </c>
      <c r="AX221">
        <f>Model!BF265</f>
        <v>0</v>
      </c>
      <c r="AY221">
        <f>Model!BG265</f>
        <v>0</v>
      </c>
      <c r="AZ221">
        <f>Model!BH265</f>
        <v>0</v>
      </c>
      <c r="BA221">
        <f>Model!BI265</f>
        <v>0</v>
      </c>
      <c r="BB221">
        <f>Model!BJ265</f>
        <v>0</v>
      </c>
      <c r="BC221">
        <f>Model!BK265</f>
        <v>0</v>
      </c>
      <c r="BD221">
        <f>Model!BL265</f>
        <v>0</v>
      </c>
      <c r="BE221">
        <f>Model!BM265</f>
        <v>0</v>
      </c>
      <c r="BF221">
        <f>Model!BN265</f>
        <v>0</v>
      </c>
      <c r="BG221">
        <f>Model!BO265</f>
        <v>0</v>
      </c>
      <c r="BH221">
        <f>Model!BP265</f>
        <v>0</v>
      </c>
      <c r="BI221">
        <f>Model!BQ265</f>
        <v>0</v>
      </c>
      <c r="BJ221">
        <f>Model!BR265</f>
        <v>0</v>
      </c>
      <c r="BK221">
        <f>Model!BS265</f>
        <v>0</v>
      </c>
      <c r="BL221">
        <f>Model!BT265</f>
        <v>0</v>
      </c>
      <c r="BM221">
        <f>Model!BU265</f>
        <v>0</v>
      </c>
      <c r="BO221">
        <f>Model!BW265</f>
        <v>0</v>
      </c>
      <c r="BP221">
        <f>Model!BX265</f>
        <v>0</v>
      </c>
      <c r="BQ221">
        <f>Model!BY265</f>
        <v>0</v>
      </c>
      <c r="BR221">
        <f>Model!BZ265</f>
        <v>0</v>
      </c>
      <c r="BS221">
        <f>Model!CA265</f>
        <v>0</v>
      </c>
      <c r="BT221">
        <f>Model!CB265</f>
        <v>0</v>
      </c>
      <c r="BU221">
        <f>Model!CC265</f>
        <v>0</v>
      </c>
      <c r="BV221">
        <f>Model!CD265</f>
        <v>0</v>
      </c>
      <c r="BW221">
        <f>Model!CE265</f>
        <v>0</v>
      </c>
      <c r="BX221">
        <f>Model!CF265</f>
        <v>0</v>
      </c>
      <c r="BY221">
        <f>Model!CG265</f>
        <v>0</v>
      </c>
      <c r="BZ221">
        <f>Model!CH265</f>
        <v>0</v>
      </c>
      <c r="CA221">
        <f>Model!CI265</f>
        <v>0</v>
      </c>
      <c r="CB221">
        <f>Model!CJ265</f>
        <v>0</v>
      </c>
      <c r="CC221">
        <f>Model!CK265</f>
        <v>0</v>
      </c>
      <c r="CD221">
        <f>Model!CL265</f>
        <v>0</v>
      </c>
      <c r="CE221">
        <f>Model!CM265</f>
        <v>0</v>
      </c>
      <c r="CF221">
        <f>Model!CN265</f>
        <v>0</v>
      </c>
      <c r="CG221">
        <f>Model!CO265</f>
        <v>0</v>
      </c>
      <c r="CH221">
        <f>Model!CP265</f>
        <v>0</v>
      </c>
      <c r="CI221">
        <f>Model!CQ265</f>
        <v>0</v>
      </c>
      <c r="CJ221">
        <f>Model!CR265</f>
        <v>0</v>
      </c>
      <c r="CK221">
        <f>Model!CS265</f>
        <v>0</v>
      </c>
      <c r="CL221">
        <f>Model!CT265</f>
        <v>0</v>
      </c>
      <c r="CM221">
        <f>Model!CU265</f>
        <v>0</v>
      </c>
      <c r="CN221">
        <f>Model!CV265</f>
        <v>0</v>
      </c>
      <c r="CO221">
        <f>Model!CW265</f>
        <v>0</v>
      </c>
      <c r="CP221">
        <f>Model!CX265</f>
        <v>0</v>
      </c>
      <c r="CQ221">
        <f>Model!CY265</f>
        <v>0</v>
      </c>
      <c r="CR221">
        <f>Model!CZ265</f>
        <v>0</v>
      </c>
      <c r="CS221">
        <f>Model!DA265</f>
        <v>0</v>
      </c>
      <c r="CT221">
        <f>Model!DB265</f>
        <v>0</v>
      </c>
      <c r="CU221">
        <f>Model!DC265</f>
        <v>0</v>
      </c>
      <c r="CV221">
        <f>Model!DD265</f>
        <v>0</v>
      </c>
      <c r="CW221">
        <f>Model!DE265</f>
        <v>0</v>
      </c>
      <c r="CX221">
        <f>Model!DF265</f>
        <v>0</v>
      </c>
    </row>
    <row r="222" spans="1:102">
      <c r="A222" t="str">
        <f>Model!I266</f>
        <v>Agoda (Net Accounting, but Merchant)</v>
      </c>
      <c r="B222">
        <f>Model!J266</f>
        <v>0</v>
      </c>
      <c r="C222">
        <f>Model!K266</f>
        <v>0</v>
      </c>
      <c r="D222">
        <f>Model!L266</f>
        <v>0</v>
      </c>
      <c r="E222">
        <f>Model!M266</f>
        <v>0</v>
      </c>
      <c r="F222">
        <f>Model!N266</f>
        <v>0</v>
      </c>
      <c r="G222">
        <f>Model!O266</f>
        <v>0</v>
      </c>
      <c r="H222">
        <f>Model!P266</f>
        <v>0</v>
      </c>
      <c r="I222">
        <f>Model!Q266</f>
        <v>0</v>
      </c>
      <c r="J222">
        <f>Model!R266</f>
        <v>0</v>
      </c>
      <c r="K222">
        <f>Model!S266</f>
        <v>0</v>
      </c>
      <c r="L222">
        <f>Model!T266</f>
        <v>0</v>
      </c>
      <c r="M222">
        <f>Model!U266</f>
        <v>0</v>
      </c>
      <c r="N222">
        <f>Model!V266</f>
        <v>0</v>
      </c>
      <c r="O222">
        <f>Model!W266</f>
        <v>0</v>
      </c>
      <c r="P222">
        <f>Model!X266</f>
        <v>0</v>
      </c>
      <c r="Q222">
        <f>Model!Y266</f>
        <v>0</v>
      </c>
      <c r="R222">
        <f>Model!Z266</f>
        <v>0</v>
      </c>
      <c r="S222">
        <f>Model!AA266</f>
        <v>0</v>
      </c>
      <c r="T222">
        <f>Model!AB266</f>
        <v>0</v>
      </c>
      <c r="U222">
        <f>Model!AC266</f>
        <v>0</v>
      </c>
      <c r="V222">
        <f>Model!AD266</f>
        <v>0</v>
      </c>
      <c r="W222">
        <f>Model!AE266</f>
        <v>0</v>
      </c>
      <c r="X222">
        <f>Model!AF266</f>
        <v>0</v>
      </c>
      <c r="Y222">
        <f>Model!AG266</f>
        <v>0</v>
      </c>
      <c r="Z222">
        <f>Model!AH266</f>
        <v>0</v>
      </c>
      <c r="AA222">
        <f>Model!AI266</f>
        <v>0</v>
      </c>
      <c r="AB222">
        <f>Model!AJ266</f>
        <v>0</v>
      </c>
      <c r="AC222">
        <f>Model!AK266</f>
        <v>0</v>
      </c>
      <c r="AD222">
        <f>Model!AL266</f>
        <v>0</v>
      </c>
      <c r="AE222">
        <f>Model!AM266</f>
        <v>0</v>
      </c>
      <c r="AF222">
        <f>Model!AN266</f>
        <v>0</v>
      </c>
      <c r="AG222">
        <f>Model!AO266</f>
        <v>0</v>
      </c>
      <c r="AH222">
        <f>Model!AP266</f>
        <v>0</v>
      </c>
      <c r="AI222">
        <f>Model!AQ266</f>
        <v>0</v>
      </c>
      <c r="AJ222">
        <f>Model!AR266</f>
        <v>0</v>
      </c>
      <c r="AK222">
        <f>Model!AS266</f>
        <v>0</v>
      </c>
      <c r="AL222">
        <f>Model!AT266</f>
        <v>0</v>
      </c>
      <c r="AM222">
        <f>Model!AU266</f>
        <v>0</v>
      </c>
      <c r="AN222">
        <f>Model!AV266</f>
        <v>0</v>
      </c>
      <c r="AO222">
        <f>Model!AW266</f>
        <v>0</v>
      </c>
      <c r="AP222">
        <f>Model!AX266</f>
        <v>0</v>
      </c>
      <c r="AQ222">
        <f>Model!AY266</f>
        <v>0</v>
      </c>
      <c r="AR222">
        <f>Model!AZ266</f>
        <v>0</v>
      </c>
      <c r="AS222">
        <f>Model!BA266</f>
        <v>0</v>
      </c>
      <c r="AT222">
        <f>Model!BB266</f>
        <v>0</v>
      </c>
      <c r="AU222">
        <f>Model!BC266</f>
        <v>0</v>
      </c>
      <c r="AV222">
        <f>Model!BD266</f>
        <v>0</v>
      </c>
      <c r="AW222">
        <f>Model!BE266</f>
        <v>0</v>
      </c>
      <c r="AX222">
        <f>Model!BF266</f>
        <v>0</v>
      </c>
      <c r="AY222">
        <f>Model!BG266</f>
        <v>0</v>
      </c>
      <c r="AZ222">
        <f>Model!BH266</f>
        <v>0</v>
      </c>
      <c r="BA222">
        <f>Model!BI266</f>
        <v>0</v>
      </c>
      <c r="BB222">
        <f>Model!BJ266</f>
        <v>0</v>
      </c>
      <c r="BC222">
        <f>Model!BK266</f>
        <v>0</v>
      </c>
      <c r="BD222">
        <f>Model!BL266</f>
        <v>0</v>
      </c>
      <c r="BE222">
        <f>Model!BM266</f>
        <v>0</v>
      </c>
      <c r="BF222">
        <f>Model!BN266</f>
        <v>0</v>
      </c>
      <c r="BG222">
        <f>Model!BO266</f>
        <v>0</v>
      </c>
      <c r="BH222">
        <f>Model!BP266</f>
        <v>0</v>
      </c>
      <c r="BI222">
        <f>Model!BQ266</f>
        <v>0</v>
      </c>
      <c r="BJ222">
        <f>Model!BR266</f>
        <v>0</v>
      </c>
      <c r="BK222">
        <f>Model!BS266</f>
        <v>0</v>
      </c>
      <c r="BL222">
        <f>Model!BT266</f>
        <v>0</v>
      </c>
      <c r="BM222">
        <f>Model!BU266</f>
        <v>0</v>
      </c>
      <c r="BN222">
        <f>Model!BV266</f>
        <v>0</v>
      </c>
      <c r="BO222">
        <f>Model!BV265</f>
        <v>0</v>
      </c>
      <c r="BP222">
        <f>Model!BX266</f>
        <v>0</v>
      </c>
      <c r="BQ222">
        <f>Model!BY266</f>
        <v>0</v>
      </c>
      <c r="BR222">
        <f>Model!BZ266</f>
        <v>0</v>
      </c>
      <c r="BS222">
        <f>Model!CA266</f>
        <v>0</v>
      </c>
      <c r="BT222">
        <f>Model!CB266</f>
        <v>0</v>
      </c>
      <c r="BU222">
        <f>Model!CC266</f>
        <v>0</v>
      </c>
      <c r="BV222">
        <f>Model!CD266</f>
        <v>0</v>
      </c>
      <c r="BW222">
        <f>Model!CE266</f>
        <v>0</v>
      </c>
      <c r="BX222">
        <f>Model!CF266</f>
        <v>0</v>
      </c>
      <c r="BY222">
        <f>Model!CG266</f>
        <v>0</v>
      </c>
      <c r="BZ222">
        <f>Model!CH266</f>
        <v>0</v>
      </c>
      <c r="CA222">
        <f>Model!CI266</f>
        <v>0</v>
      </c>
      <c r="CB222">
        <f>Model!CJ266</f>
        <v>0</v>
      </c>
      <c r="CC222">
        <f>Model!CK266</f>
        <v>0</v>
      </c>
      <c r="CD222">
        <f>Model!CL266</f>
        <v>0</v>
      </c>
      <c r="CE222">
        <f>Model!CM266</f>
        <v>0</v>
      </c>
      <c r="CF222">
        <f>Model!CN266</f>
        <v>0</v>
      </c>
      <c r="CG222">
        <f>Model!CO266</f>
        <v>0</v>
      </c>
      <c r="CH222">
        <f>Model!CP266</f>
        <v>0</v>
      </c>
      <c r="CI222">
        <f>Model!CQ266</f>
        <v>0</v>
      </c>
      <c r="CJ222">
        <f>Model!CR266</f>
        <v>0</v>
      </c>
      <c r="CK222">
        <f>Model!CS266</f>
        <v>0</v>
      </c>
      <c r="CL222">
        <f>Model!CT266</f>
        <v>0</v>
      </c>
      <c r="CM222">
        <f>Model!CU266</f>
        <v>0</v>
      </c>
      <c r="CN222">
        <f>Model!CV266</f>
        <v>0</v>
      </c>
      <c r="CO222">
        <f>Model!CW266</f>
        <v>0</v>
      </c>
      <c r="CP222">
        <f>Model!CX266</f>
        <v>0</v>
      </c>
      <c r="CQ222">
        <f>Model!CY266</f>
        <v>0</v>
      </c>
      <c r="CR222">
        <f>Model!CZ266</f>
        <v>0</v>
      </c>
      <c r="CS222">
        <f>Model!DA266</f>
        <v>0</v>
      </c>
      <c r="CT222">
        <f>Model!DB266</f>
        <v>0</v>
      </c>
      <c r="CU222">
        <f>Model!DC266</f>
        <v>0</v>
      </c>
      <c r="CV222">
        <f>Model!DD266</f>
        <v>0</v>
      </c>
      <c r="CW222">
        <f>Model!DE266</f>
        <v>0</v>
      </c>
      <c r="CX222">
        <f>Model!DF266</f>
        <v>0</v>
      </c>
    </row>
    <row r="223" spans="1:102">
      <c r="A223" t="str">
        <f>Model!I267</f>
        <v>Agoda Gross Bookings</v>
      </c>
      <c r="B223">
        <f>Model!J267</f>
        <v>0</v>
      </c>
      <c r="C223">
        <f>Model!K267</f>
        <v>0</v>
      </c>
      <c r="D223">
        <f>Model!L267</f>
        <v>0</v>
      </c>
      <c r="E223">
        <f>Model!M267</f>
        <v>0</v>
      </c>
      <c r="F223">
        <f>Model!N267</f>
        <v>0</v>
      </c>
      <c r="G223">
        <f>Model!O267</f>
        <v>0</v>
      </c>
      <c r="H223">
        <f>Model!P267</f>
        <v>0</v>
      </c>
      <c r="I223">
        <f>Model!Q267</f>
        <v>0</v>
      </c>
      <c r="J223">
        <f>Model!R267</f>
        <v>0</v>
      </c>
      <c r="K223">
        <f>Model!S267</f>
        <v>0</v>
      </c>
      <c r="L223">
        <f>Model!T267</f>
        <v>0</v>
      </c>
      <c r="M223">
        <f>Model!U267</f>
        <v>0</v>
      </c>
      <c r="N223">
        <f>Model!V267</f>
        <v>0</v>
      </c>
      <c r="O223">
        <f>Model!W267</f>
        <v>0</v>
      </c>
      <c r="P223">
        <f>Model!X267</f>
        <v>0</v>
      </c>
      <c r="Q223">
        <f>Model!Y267</f>
        <v>0</v>
      </c>
      <c r="R223">
        <f>Model!Z267</f>
        <v>0</v>
      </c>
      <c r="S223">
        <f>Model!AA267</f>
        <v>0</v>
      </c>
      <c r="T223">
        <f>Model!AB267</f>
        <v>0</v>
      </c>
      <c r="U223">
        <f>Model!AC267</f>
        <v>0</v>
      </c>
      <c r="V223">
        <f>Model!AD267</f>
        <v>0</v>
      </c>
      <c r="W223">
        <f>Model!AE267</f>
        <v>0</v>
      </c>
      <c r="X223">
        <f>Model!AF267</f>
        <v>0</v>
      </c>
      <c r="Y223">
        <f>Model!AG267</f>
        <v>0</v>
      </c>
      <c r="Z223">
        <f>Model!AH267</f>
        <v>0</v>
      </c>
      <c r="AA223">
        <f>Model!AI267</f>
        <v>0</v>
      </c>
      <c r="AB223">
        <f>Model!AJ267</f>
        <v>0</v>
      </c>
      <c r="AC223">
        <f>Model!AK267</f>
        <v>0</v>
      </c>
      <c r="AD223">
        <f>Model!AL267</f>
        <v>0</v>
      </c>
      <c r="AE223">
        <f>Model!AM267</f>
        <v>0</v>
      </c>
      <c r="AF223">
        <f>Model!AN267</f>
        <v>13.4</v>
      </c>
      <c r="AG223">
        <f>Model!AO267</f>
        <v>24.6</v>
      </c>
      <c r="AH223">
        <f>Model!AP267</f>
        <v>24.2</v>
      </c>
      <c r="AI223">
        <f>Model!AQ267</f>
        <v>32.4</v>
      </c>
      <c r="AJ223">
        <f>Model!AR267</f>
        <v>37.5</v>
      </c>
      <c r="AK223">
        <f>Model!AS267</f>
        <v>57.81</v>
      </c>
      <c r="AL223">
        <f>Model!AT267</f>
        <v>56.87</v>
      </c>
      <c r="AM223">
        <f>Model!AU267</f>
        <v>77.759999999999991</v>
      </c>
      <c r="AN223">
        <f>Model!AV267</f>
        <v>82.5</v>
      </c>
      <c r="AO223">
        <f>Model!AW267</f>
        <v>157.2432</v>
      </c>
      <c r="AP223">
        <f>Model!AX267</f>
        <v>153.54900000000001</v>
      </c>
      <c r="AQ223">
        <f>Model!AY267</f>
        <v>206.06399999999996</v>
      </c>
      <c r="AR223">
        <f>Model!AZ267</f>
        <v>215.32500000000002</v>
      </c>
      <c r="AS223">
        <f>Model!BA267</f>
        <v>345.93504000000001</v>
      </c>
      <c r="AT223">
        <f>Model!BB267</f>
        <v>391.54994999999997</v>
      </c>
      <c r="AU223">
        <f>Model!BC267</f>
        <v>412.12799999999993</v>
      </c>
      <c r="AV223">
        <f>Model!BD267</f>
        <v>430.65000000000003</v>
      </c>
      <c r="AW223">
        <f>Model!BE267</f>
        <v>588.08956799999999</v>
      </c>
      <c r="AX223">
        <f>Model!BF267</f>
        <v>665.63491499999998</v>
      </c>
      <c r="AY223">
        <f>Model!BG267</f>
        <v>692.3750399999999</v>
      </c>
      <c r="AZ223">
        <f>Model!BH267</f>
        <v>689.04000000000008</v>
      </c>
      <c r="BA223">
        <f>Model!BI267</f>
        <v>846.84897791999992</v>
      </c>
      <c r="BB223">
        <f>Model!BJ267</f>
        <v>998.45237249999991</v>
      </c>
      <c r="BC223">
        <f>Model!BK267</f>
        <v>990.09630719999984</v>
      </c>
      <c r="BD223">
        <f>Model!BL267</f>
        <v>930.20400000000018</v>
      </c>
      <c r="BE223">
        <f>Model!BM267</f>
        <v>1100.9036712959999</v>
      </c>
      <c r="BF223">
        <f>Model!BN267</f>
        <v>1297.9880842499999</v>
      </c>
      <c r="BG223">
        <f>Model!BO267</f>
        <v>1287.1251993599999</v>
      </c>
      <c r="BH223">
        <f>Model!BP267</f>
        <v>1209.2652000000003</v>
      </c>
      <c r="BI223">
        <f>Model!BQ267</f>
        <v>1321.0844055551997</v>
      </c>
      <c r="BJ223">
        <f>Model!BR267</f>
        <v>1557.5857010999998</v>
      </c>
      <c r="BK223">
        <f>Model!BS267</f>
        <v>1158.4126794239999</v>
      </c>
      <c r="BL223">
        <f>Model!BT267</f>
        <v>1330.1917200000005</v>
      </c>
      <c r="BM223">
        <f>Model!BU267</f>
        <v>1690.9880391106558</v>
      </c>
      <c r="BN223">
        <f>Model!BV267</f>
        <v>1946.9821263749998</v>
      </c>
      <c r="BO223">
        <f>Model!BW267</f>
        <v>1482.7682296627199</v>
      </c>
      <c r="BP223">
        <f>Model!BX267</f>
        <v>1702.6454016000007</v>
      </c>
      <c r="BQ223">
        <f>Model!BY267</f>
        <v>2113.7350488883199</v>
      </c>
      <c r="BR223">
        <f>Model!BZ267</f>
        <v>2433.7276579687496</v>
      </c>
      <c r="BS223">
        <f>Model!CA267</f>
        <v>1853.4602870783999</v>
      </c>
      <c r="BT223">
        <f>Model!CB267</f>
        <v>2128.3067520000009</v>
      </c>
      <c r="BU223">
        <f>Model!CC267</f>
        <v>2430.7953062215674</v>
      </c>
      <c r="BV223">
        <f>Model!CD267</f>
        <v>2798.7868066640617</v>
      </c>
      <c r="BW223">
        <f>Model!CE267</f>
        <v>2131.4793301401596</v>
      </c>
      <c r="BX223">
        <f>Model!CF267</f>
        <v>2447.5527648000007</v>
      </c>
      <c r="BY223">
        <f>Model!CG267</f>
        <v>0</v>
      </c>
      <c r="BZ223">
        <f>Model!CH267</f>
        <v>0</v>
      </c>
      <c r="CA223">
        <f>Model!CI267</f>
        <v>0</v>
      </c>
      <c r="CB223">
        <f>Model!CJ267</f>
        <v>0</v>
      </c>
      <c r="CC223">
        <f>Model!CK267</f>
        <v>0</v>
      </c>
      <c r="CD223">
        <f>Model!CL267</f>
        <v>0</v>
      </c>
      <c r="CE223">
        <f>Model!CM267</f>
        <v>0</v>
      </c>
      <c r="CF223">
        <f>Model!CN267</f>
        <v>13.4</v>
      </c>
      <c r="CG223">
        <f>Model!CO267</f>
        <v>118.69999999999999</v>
      </c>
      <c r="CH223">
        <f>Model!CP267</f>
        <v>274.94</v>
      </c>
      <c r="CI223">
        <f>Model!CQ267</f>
        <v>732.18119999999999</v>
      </c>
      <c r="CJ223">
        <f>Model!CR267</f>
        <v>1580.2629899999999</v>
      </c>
      <c r="CK223">
        <f>Model!CS267</f>
        <v>2635.1395229999998</v>
      </c>
      <c r="CL223">
        <f>Model!CT267</f>
        <v>3765.60165762</v>
      </c>
      <c r="CM223">
        <f>Model!CU267</f>
        <v>4895.282154906</v>
      </c>
      <c r="CN223">
        <f>Model!CV267</f>
        <v>5367.2745060792004</v>
      </c>
      <c r="CO223">
        <f>Model!CW267</f>
        <v>6823.383796748376</v>
      </c>
      <c r="CP223">
        <f>Model!CX267</f>
        <v>8529.2297459354704</v>
      </c>
      <c r="CQ223">
        <f>Model!CY267</f>
        <v>9808.6142078257908</v>
      </c>
      <c r="CR223">
        <f>Model!CZ267</f>
        <v>11059.212519323579</v>
      </c>
      <c r="CS223">
        <f>Model!DA267</f>
        <v>12257.754676105271</v>
      </c>
      <c r="CT223">
        <f>Model!DB267</f>
        <v>13402.322518986601</v>
      </c>
      <c r="CU223">
        <f>Model!DC267</f>
        <v>14452.729546412174</v>
      </c>
      <c r="CV223">
        <f>Model!DD267</f>
        <v>15585.462224612227</v>
      </c>
      <c r="CW223">
        <f>Model!DE267</f>
        <v>16806.972826466208</v>
      </c>
      <c r="CX223">
        <f>Model!DF267</f>
        <v>18124.219321740497</v>
      </c>
    </row>
    <row r="224" spans="1:102">
      <c r="A224" t="str">
        <f>Model!I268</f>
        <v>Agoda Take Rate</v>
      </c>
      <c r="B224">
        <f>Model!J268</f>
        <v>0</v>
      </c>
      <c r="C224">
        <f>Model!K268</f>
        <v>0</v>
      </c>
      <c r="D224">
        <f>Model!L268</f>
        <v>0</v>
      </c>
      <c r="E224">
        <f>Model!M268</f>
        <v>0</v>
      </c>
      <c r="F224">
        <f>Model!N268</f>
        <v>0</v>
      </c>
      <c r="G224">
        <f>Model!O268</f>
        <v>0</v>
      </c>
      <c r="H224">
        <f>Model!P268</f>
        <v>0</v>
      </c>
      <c r="I224">
        <f>Model!Q268</f>
        <v>0</v>
      </c>
      <c r="J224">
        <f>Model!R268</f>
        <v>0</v>
      </c>
      <c r="K224">
        <f>Model!S268</f>
        <v>0</v>
      </c>
      <c r="L224">
        <f>Model!T268</f>
        <v>0</v>
      </c>
      <c r="M224">
        <f>Model!U268</f>
        <v>0</v>
      </c>
      <c r="N224">
        <f>Model!V268</f>
        <v>0</v>
      </c>
      <c r="O224">
        <f>Model!W268</f>
        <v>0</v>
      </c>
      <c r="P224">
        <f>Model!X268</f>
        <v>0</v>
      </c>
      <c r="Q224">
        <f>Model!Y268</f>
        <v>0</v>
      </c>
      <c r="R224">
        <f>Model!Z268</f>
        <v>0</v>
      </c>
      <c r="S224">
        <f>Model!AA268</f>
        <v>0</v>
      </c>
      <c r="T224">
        <f>Model!AB268</f>
        <v>0</v>
      </c>
      <c r="U224">
        <f>Model!AC268</f>
        <v>0</v>
      </c>
      <c r="V224">
        <f>Model!AD268</f>
        <v>0</v>
      </c>
      <c r="W224">
        <f>Model!AE268</f>
        <v>0</v>
      </c>
      <c r="X224">
        <f>Model!AF268</f>
        <v>0</v>
      </c>
      <c r="Y224">
        <f>Model!AG268</f>
        <v>0</v>
      </c>
      <c r="Z224">
        <f>Model!AH268</f>
        <v>0</v>
      </c>
      <c r="AA224">
        <f>Model!AI268</f>
        <v>0</v>
      </c>
      <c r="AB224">
        <f>Model!AJ268</f>
        <v>0</v>
      </c>
      <c r="AC224">
        <f>Model!AK268</f>
        <v>0</v>
      </c>
      <c r="AD224">
        <f>Model!AL268</f>
        <v>0</v>
      </c>
      <c r="AE224">
        <f>Model!AM268</f>
        <v>0</v>
      </c>
      <c r="AF224">
        <f>Model!AN268</f>
        <v>0</v>
      </c>
      <c r="AG224">
        <f>Model!AO268</f>
        <v>0.14499999999999999</v>
      </c>
      <c r="AH224">
        <f>Model!AP268</f>
        <v>0.14499999999999999</v>
      </c>
      <c r="AI224">
        <f>Model!AQ268</f>
        <v>0.14499999999999999</v>
      </c>
      <c r="AJ224">
        <f>Model!AR268</f>
        <v>0.14499999999999999</v>
      </c>
      <c r="AK224">
        <f>Model!AS268</f>
        <v>0.14499999999999999</v>
      </c>
      <c r="AL224">
        <f>Model!AT268</f>
        <v>0.14499999999999999</v>
      </c>
      <c r="AM224">
        <f>Model!AU268</f>
        <v>0.14499999999999999</v>
      </c>
      <c r="AN224">
        <f>Model!AV268</f>
        <v>0.14499999999999999</v>
      </c>
      <c r="AO224">
        <f>Model!AW268</f>
        <v>0.14499999999999999</v>
      </c>
      <c r="AP224">
        <f>Model!AX268</f>
        <v>0.14499999999999999</v>
      </c>
      <c r="AQ224">
        <f>Model!AY268</f>
        <v>0.14499999999999999</v>
      </c>
      <c r="AR224">
        <f>Model!AZ268</f>
        <v>0.14499999999999999</v>
      </c>
      <c r="AS224">
        <f>Model!BA268</f>
        <v>0.14499999999999999</v>
      </c>
      <c r="AT224">
        <f>Model!BB268</f>
        <v>0.14499999999999999</v>
      </c>
      <c r="AU224">
        <f>Model!BC268</f>
        <v>0.14499999999999999</v>
      </c>
      <c r="AV224">
        <f>Model!BD268</f>
        <v>0.14499999999999999</v>
      </c>
      <c r="AW224">
        <f>Model!BE268</f>
        <v>0.14499999999999999</v>
      </c>
      <c r="AX224">
        <f>Model!BF268</f>
        <v>0.14499999999999999</v>
      </c>
      <c r="AY224">
        <f>Model!BG268</f>
        <v>0.14499999999999999</v>
      </c>
      <c r="AZ224">
        <f>Model!BH268</f>
        <v>0.14499999999999999</v>
      </c>
      <c r="BA224">
        <f>Model!BI268</f>
        <v>0.14499999999999999</v>
      </c>
      <c r="BB224">
        <f>Model!BJ268</f>
        <v>0.14499999999999999</v>
      </c>
      <c r="BC224">
        <f>Model!BK268</f>
        <v>0.14499999999999999</v>
      </c>
      <c r="BD224">
        <f>Model!BL268</f>
        <v>0.14499999999999999</v>
      </c>
      <c r="BE224">
        <f>Model!BM268</f>
        <v>0.14499999999999999</v>
      </c>
      <c r="BF224">
        <f>Model!BN268</f>
        <v>0.14499999999999999</v>
      </c>
      <c r="BG224">
        <f>Model!BO268</f>
        <v>0.14499999999999999</v>
      </c>
      <c r="BH224">
        <f>Model!BP268</f>
        <v>0.14499999999999999</v>
      </c>
      <c r="BI224">
        <f>Model!BQ268</f>
        <v>0.14499999999999999</v>
      </c>
      <c r="BJ224">
        <f>Model!BR268</f>
        <v>0.14499999999999999</v>
      </c>
      <c r="BK224">
        <f>Model!BS268</f>
        <v>0.14499999999999999</v>
      </c>
      <c r="BL224">
        <f>Model!BT268</f>
        <v>0.14499999999999999</v>
      </c>
      <c r="BM224">
        <f>Model!BU268</f>
        <v>0.14499999999999999</v>
      </c>
      <c r="BN224">
        <f>Model!BV268</f>
        <v>0.14499999999999999</v>
      </c>
      <c r="BO224">
        <f>Model!BW268</f>
        <v>0.14499999999999999</v>
      </c>
      <c r="BP224">
        <f>Model!BX268</f>
        <v>0.14499999999999999</v>
      </c>
      <c r="BQ224">
        <f>Model!BY268</f>
        <v>0.14499999999999999</v>
      </c>
      <c r="BR224">
        <f>Model!BZ268</f>
        <v>0.14499999999999999</v>
      </c>
      <c r="BS224">
        <f>Model!CA268</f>
        <v>0.14499999999999999</v>
      </c>
      <c r="BT224">
        <f>Model!CB268</f>
        <v>0.14499999999999999</v>
      </c>
      <c r="BU224">
        <f>Model!CC268</f>
        <v>0.14499999999999999</v>
      </c>
      <c r="BV224">
        <f>Model!CD268</f>
        <v>0.14499999999999999</v>
      </c>
      <c r="BW224">
        <f>Model!CE268</f>
        <v>0.14499999999999999</v>
      </c>
      <c r="BX224">
        <f>Model!CF268</f>
        <v>0.14499999999999999</v>
      </c>
      <c r="BY224">
        <f>Model!CG268</f>
        <v>0</v>
      </c>
      <c r="BZ224">
        <f>Model!CH268</f>
        <v>0</v>
      </c>
      <c r="CA224">
        <f>Model!CI268</f>
        <v>0</v>
      </c>
      <c r="CB224">
        <f>Model!CJ268</f>
        <v>0</v>
      </c>
      <c r="CC224">
        <f>Model!CK268</f>
        <v>0</v>
      </c>
      <c r="CD224">
        <f>Model!CL268</f>
        <v>0</v>
      </c>
      <c r="CE224">
        <f>Model!CM268</f>
        <v>0</v>
      </c>
      <c r="CF224">
        <f>Model!CN268</f>
        <v>0</v>
      </c>
      <c r="CG224">
        <f>Model!CO268</f>
        <v>0.14500000000000002</v>
      </c>
      <c r="CH224">
        <f>Model!CP268</f>
        <v>0.14499999999999999</v>
      </c>
      <c r="CI224">
        <f>Model!CQ268</f>
        <v>0.14500000000000002</v>
      </c>
      <c r="CJ224">
        <f>Model!CR268</f>
        <v>0.14499999999999999</v>
      </c>
      <c r="CK224">
        <f>Model!CS268</f>
        <v>0.14499999999999999</v>
      </c>
      <c r="CL224">
        <f>Model!CT268</f>
        <v>0.14499999999999999</v>
      </c>
      <c r="CM224">
        <f>Model!CU268</f>
        <v>0.14500000000000002</v>
      </c>
      <c r="CN224">
        <f>Model!CV268</f>
        <v>0.14499999999999999</v>
      </c>
      <c r="CO224">
        <f>Model!CW268</f>
        <v>0.14499999999999999</v>
      </c>
      <c r="CP224">
        <f>Model!CX268</f>
        <v>0.14499999999999996</v>
      </c>
      <c r="CQ224">
        <f>Model!CY268</f>
        <v>0.14499999999999999</v>
      </c>
      <c r="CR224">
        <f>Model!CZ268</f>
        <v>0.14499999999999999</v>
      </c>
      <c r="CS224">
        <f>Model!DA268</f>
        <v>0.14499999999999999</v>
      </c>
      <c r="CT224">
        <f>Model!DB268</f>
        <v>0.14499999999999999</v>
      </c>
      <c r="CU224">
        <f>Model!DC268</f>
        <v>0.14499999999999999</v>
      </c>
      <c r="CV224">
        <f>Model!DD268</f>
        <v>0.14499999999999999</v>
      </c>
      <c r="CW224">
        <f>Model!DE268</f>
        <v>0.14499999999999999</v>
      </c>
      <c r="CX224">
        <f>Model!DF268</f>
        <v>0.14499999999999999</v>
      </c>
    </row>
    <row r="225" spans="1:102">
      <c r="A225" t="str">
        <f>Model!I269</f>
        <v>% change Y/Y (in bp)</v>
      </c>
      <c r="B225">
        <f>Model!J269</f>
        <v>0</v>
      </c>
      <c r="C225">
        <f>Model!K269</f>
        <v>0</v>
      </c>
      <c r="D225">
        <f>Model!L269</f>
        <v>0</v>
      </c>
      <c r="E225">
        <f>Model!M269</f>
        <v>0</v>
      </c>
      <c r="F225">
        <f>Model!N269</f>
        <v>0</v>
      </c>
      <c r="G225">
        <f>Model!O269</f>
        <v>0</v>
      </c>
      <c r="H225">
        <f>Model!P269</f>
        <v>0</v>
      </c>
      <c r="I225">
        <f>Model!Q269</f>
        <v>0</v>
      </c>
      <c r="J225">
        <f>Model!R269</f>
        <v>0</v>
      </c>
      <c r="K225">
        <f>Model!S269</f>
        <v>0</v>
      </c>
      <c r="L225">
        <f>Model!T269</f>
        <v>0</v>
      </c>
      <c r="M225">
        <f>Model!U269</f>
        <v>0</v>
      </c>
      <c r="N225">
        <f>Model!V269</f>
        <v>0</v>
      </c>
      <c r="O225">
        <f>Model!W269</f>
        <v>0</v>
      </c>
      <c r="P225">
        <f>Model!X269</f>
        <v>0</v>
      </c>
      <c r="Q225">
        <f>Model!Y269</f>
        <v>0</v>
      </c>
      <c r="R225">
        <f>Model!Z269</f>
        <v>0</v>
      </c>
      <c r="S225">
        <f>Model!AA269</f>
        <v>0</v>
      </c>
      <c r="T225">
        <f>Model!AB269</f>
        <v>0</v>
      </c>
      <c r="U225">
        <f>Model!AC269</f>
        <v>0</v>
      </c>
      <c r="V225">
        <f>Model!AD269</f>
        <v>0</v>
      </c>
      <c r="W225">
        <f>Model!AE269</f>
        <v>0</v>
      </c>
      <c r="X225">
        <f>Model!AF269</f>
        <v>0</v>
      </c>
      <c r="Y225">
        <f>Model!AG269</f>
        <v>0</v>
      </c>
      <c r="Z225">
        <f>Model!AH269</f>
        <v>0</v>
      </c>
      <c r="AA225">
        <f>Model!AI269</f>
        <v>0</v>
      </c>
      <c r="AB225">
        <f>Model!AJ269</f>
        <v>0</v>
      </c>
      <c r="AC225">
        <f>Model!AK269</f>
        <v>0</v>
      </c>
      <c r="AD225">
        <f>Model!AL269</f>
        <v>0</v>
      </c>
      <c r="AE225">
        <f>Model!AM269</f>
        <v>0</v>
      </c>
      <c r="AF225">
        <f>Model!AN269</f>
        <v>0</v>
      </c>
      <c r="AG225">
        <f>Model!AO269</f>
        <v>1450</v>
      </c>
      <c r="AH225">
        <f>Model!AP269</f>
        <v>1450</v>
      </c>
      <c r="AI225">
        <f>Model!AQ269</f>
        <v>1450</v>
      </c>
      <c r="AJ225">
        <f>Model!AR269</f>
        <v>1450</v>
      </c>
      <c r="AK225">
        <f>Model!AS269</f>
        <v>0</v>
      </c>
      <c r="AL225">
        <f>Model!AT269</f>
        <v>0</v>
      </c>
      <c r="AM225">
        <f>Model!AU269</f>
        <v>0</v>
      </c>
      <c r="AN225">
        <f>Model!AV269</f>
        <v>0</v>
      </c>
      <c r="AO225">
        <f>Model!AW269</f>
        <v>0</v>
      </c>
      <c r="AP225">
        <f>Model!AX269</f>
        <v>0</v>
      </c>
      <c r="AQ225">
        <f>Model!AY269</f>
        <v>0</v>
      </c>
      <c r="AR225">
        <f>Model!AZ269</f>
        <v>0</v>
      </c>
      <c r="AS225">
        <f>Model!BA269</f>
        <v>0</v>
      </c>
      <c r="AT225">
        <f>Model!BB269</f>
        <v>0</v>
      </c>
      <c r="AU225">
        <f>Model!BC269</f>
        <v>0</v>
      </c>
      <c r="AV225">
        <f>Model!BD269</f>
        <v>0</v>
      </c>
      <c r="AW225">
        <f>Model!BE269</f>
        <v>0</v>
      </c>
      <c r="AX225">
        <f>Model!BF269</f>
        <v>0</v>
      </c>
      <c r="AY225">
        <f>Model!BG269</f>
        <v>0</v>
      </c>
      <c r="AZ225">
        <f>Model!BH269</f>
        <v>0</v>
      </c>
      <c r="BA225">
        <f>Model!BI269</f>
        <v>0</v>
      </c>
      <c r="BB225">
        <f>Model!BJ269</f>
        <v>0</v>
      </c>
      <c r="BC225">
        <f>Model!BK269</f>
        <v>0</v>
      </c>
      <c r="BD225">
        <f>Model!BL269</f>
        <v>0</v>
      </c>
      <c r="BE225">
        <f>Model!BM269</f>
        <v>0</v>
      </c>
      <c r="BF225">
        <f>Model!BN269</f>
        <v>0</v>
      </c>
      <c r="BG225">
        <f>Model!BO269</f>
        <v>0</v>
      </c>
      <c r="BH225">
        <f>Model!BP269</f>
        <v>0</v>
      </c>
      <c r="BI225">
        <f>Model!BQ269</f>
        <v>0</v>
      </c>
      <c r="BJ225">
        <f>Model!BR269</f>
        <v>0</v>
      </c>
      <c r="BK225">
        <f>Model!BS269</f>
        <v>0</v>
      </c>
      <c r="BL225">
        <f>Model!BT269</f>
        <v>0</v>
      </c>
      <c r="BM225">
        <f>Model!BU269</f>
        <v>0</v>
      </c>
      <c r="BN225">
        <f>Model!BV269</f>
        <v>0</v>
      </c>
      <c r="BO225">
        <f>Model!BW269</f>
        <v>0</v>
      </c>
      <c r="BP225">
        <f>Model!BX269</f>
        <v>0</v>
      </c>
      <c r="BQ225">
        <f>Model!BY269</f>
        <v>0</v>
      </c>
      <c r="BR225">
        <f>Model!BZ269</f>
        <v>0</v>
      </c>
      <c r="BS225">
        <f>Model!CA269</f>
        <v>0</v>
      </c>
      <c r="BT225">
        <f>Model!CB269</f>
        <v>0</v>
      </c>
      <c r="BU225">
        <f>Model!CC269</f>
        <v>0</v>
      </c>
      <c r="BV225">
        <f>Model!CD269</f>
        <v>0</v>
      </c>
      <c r="BW225">
        <f>Model!CE269</f>
        <v>0</v>
      </c>
      <c r="BX225">
        <f>Model!CF269</f>
        <v>0</v>
      </c>
      <c r="BY225">
        <f>Model!CG269</f>
        <v>0</v>
      </c>
      <c r="BZ225">
        <f>Model!CH269</f>
        <v>0</v>
      </c>
      <c r="CA225">
        <f>Model!CI269</f>
        <v>0</v>
      </c>
      <c r="CB225">
        <f>Model!CJ269</f>
        <v>0</v>
      </c>
      <c r="CC225">
        <f>Model!CK269</f>
        <v>0</v>
      </c>
      <c r="CD225">
        <f>Model!CL269</f>
        <v>0</v>
      </c>
      <c r="CE225">
        <f>Model!CM269</f>
        <v>0</v>
      </c>
      <c r="CF225">
        <f>Model!CN269</f>
        <v>0</v>
      </c>
      <c r="CG225">
        <f>Model!CO269</f>
        <v>1450.0000000000002</v>
      </c>
      <c r="CH225">
        <f>Model!CP269</f>
        <v>-2.7755575615628914E-13</v>
      </c>
      <c r="CI225">
        <f>Model!CQ269</f>
        <v>2.7755575615628914E-13</v>
      </c>
      <c r="CJ225">
        <f>Model!CR269</f>
        <v>-2.7755575615628914E-13</v>
      </c>
      <c r="CK225">
        <f>Model!CS269</f>
        <v>0</v>
      </c>
      <c r="CL225">
        <f>Model!CT269</f>
        <v>0</v>
      </c>
      <c r="CM225">
        <f>Model!CU269</f>
        <v>2.7755575615628914E-13</v>
      </c>
      <c r="CN225">
        <f>Model!CV269</f>
        <v>-2.7755575615628914E-13</v>
      </c>
      <c r="CO225">
        <f>Model!CW269</f>
        <v>0</v>
      </c>
      <c r="CP225">
        <f>Model!CX269</f>
        <v>-2.7755575615628914E-13</v>
      </c>
      <c r="CQ225">
        <f>Model!CY269</f>
        <v>2.7755575615628914E-13</v>
      </c>
      <c r="CR225">
        <f>Model!CZ269</f>
        <v>0</v>
      </c>
      <c r="CS225">
        <f>Model!DA269</f>
        <v>0</v>
      </c>
      <c r="CT225">
        <f>Model!DB269</f>
        <v>0</v>
      </c>
      <c r="CU225">
        <f>Model!DC269</f>
        <v>0</v>
      </c>
      <c r="CV225">
        <f>Model!DD269</f>
        <v>0</v>
      </c>
      <c r="CW225">
        <f>Model!DE269</f>
        <v>0</v>
      </c>
      <c r="CX225">
        <f>Model!DF269</f>
        <v>0</v>
      </c>
    </row>
    <row r="226" spans="1:102">
      <c r="A226">
        <f>Model!I270</f>
        <v>0</v>
      </c>
      <c r="B226">
        <f>Model!J270</f>
        <v>0</v>
      </c>
      <c r="C226">
        <f>Model!K270</f>
        <v>0</v>
      </c>
      <c r="D226">
        <f>Model!L270</f>
        <v>0</v>
      </c>
      <c r="E226">
        <f>Model!M270</f>
        <v>0</v>
      </c>
      <c r="F226">
        <f>Model!N270</f>
        <v>0</v>
      </c>
      <c r="G226">
        <f>Model!O270</f>
        <v>0</v>
      </c>
      <c r="H226">
        <f>Model!P270</f>
        <v>0</v>
      </c>
      <c r="I226">
        <f>Model!Q270</f>
        <v>0</v>
      </c>
      <c r="J226">
        <f>Model!R270</f>
        <v>0</v>
      </c>
      <c r="K226">
        <f>Model!S270</f>
        <v>0</v>
      </c>
      <c r="L226">
        <f>Model!T270</f>
        <v>0</v>
      </c>
      <c r="M226">
        <f>Model!U270</f>
        <v>0</v>
      </c>
      <c r="N226">
        <f>Model!V270</f>
        <v>0</v>
      </c>
      <c r="O226">
        <f>Model!W270</f>
        <v>0</v>
      </c>
      <c r="P226">
        <f>Model!X270</f>
        <v>0</v>
      </c>
      <c r="Q226">
        <f>Model!Y270</f>
        <v>0</v>
      </c>
      <c r="R226">
        <f>Model!Z270</f>
        <v>0</v>
      </c>
      <c r="S226">
        <f>Model!AA270</f>
        <v>0</v>
      </c>
      <c r="T226">
        <f>Model!AB270</f>
        <v>0</v>
      </c>
      <c r="U226">
        <f>Model!AC270</f>
        <v>0</v>
      </c>
      <c r="V226">
        <f>Model!AD270</f>
        <v>0</v>
      </c>
      <c r="W226">
        <f>Model!AE270</f>
        <v>0</v>
      </c>
      <c r="X226">
        <f>Model!AF270</f>
        <v>0</v>
      </c>
      <c r="Y226">
        <f>Model!AG270</f>
        <v>0</v>
      </c>
      <c r="Z226">
        <f>Model!AH270</f>
        <v>0</v>
      </c>
      <c r="AA226">
        <f>Model!AI270</f>
        <v>0</v>
      </c>
      <c r="AB226">
        <f>Model!AJ270</f>
        <v>0</v>
      </c>
      <c r="AC226">
        <f>Model!AK270</f>
        <v>0</v>
      </c>
      <c r="AD226">
        <f>Model!AL270</f>
        <v>0</v>
      </c>
      <c r="AE226">
        <f>Model!AM270</f>
        <v>0</v>
      </c>
      <c r="AF226">
        <f>Model!AN270</f>
        <v>0</v>
      </c>
      <c r="AG226">
        <f>Model!AO270</f>
        <v>0</v>
      </c>
      <c r="AH226">
        <f>Model!AP270</f>
        <v>0</v>
      </c>
      <c r="AI226">
        <f>Model!AQ270</f>
        <v>0</v>
      </c>
      <c r="AJ226">
        <f>Model!AR270</f>
        <v>0</v>
      </c>
      <c r="AK226">
        <f>Model!AS270</f>
        <v>0</v>
      </c>
      <c r="AL226">
        <f>Model!AT270</f>
        <v>0</v>
      </c>
      <c r="AM226">
        <f>Model!AU270</f>
        <v>0</v>
      </c>
      <c r="AN226">
        <f>Model!AV270</f>
        <v>0</v>
      </c>
      <c r="AO226">
        <f>Model!AW270</f>
        <v>0</v>
      </c>
      <c r="AP226">
        <f>Model!AX270</f>
        <v>0</v>
      </c>
      <c r="AQ226">
        <f>Model!AY270</f>
        <v>0</v>
      </c>
      <c r="AR226">
        <f>Model!AZ270</f>
        <v>0</v>
      </c>
      <c r="AS226">
        <f>Model!BA270</f>
        <v>0</v>
      </c>
      <c r="AT226">
        <f>Model!BB270</f>
        <v>0</v>
      </c>
      <c r="AU226">
        <f>Model!BC270</f>
        <v>0</v>
      </c>
      <c r="AV226">
        <f>Model!BD270</f>
        <v>0</v>
      </c>
      <c r="AW226">
        <f>Model!BE270</f>
        <v>0</v>
      </c>
      <c r="AX226">
        <f>Model!BF270</f>
        <v>0</v>
      </c>
      <c r="AY226">
        <f>Model!BG270</f>
        <v>0</v>
      </c>
      <c r="AZ226">
        <f>Model!BH270</f>
        <v>0</v>
      </c>
      <c r="BA226">
        <f>Model!BI270</f>
        <v>0</v>
      </c>
      <c r="BB226">
        <f>Model!BJ270</f>
        <v>0</v>
      </c>
      <c r="BC226">
        <f>Model!BK270</f>
        <v>0</v>
      </c>
      <c r="BD226">
        <f>Model!BL270</f>
        <v>0</v>
      </c>
      <c r="BE226">
        <f>Model!BM270</f>
        <v>0</v>
      </c>
      <c r="BF226">
        <f>Model!BN270</f>
        <v>0</v>
      </c>
      <c r="BG226">
        <f>Model!BO270</f>
        <v>0</v>
      </c>
      <c r="BH226">
        <f>Model!BP270</f>
        <v>0</v>
      </c>
      <c r="BI226">
        <f>Model!BQ270</f>
        <v>0</v>
      </c>
      <c r="BJ226">
        <f>Model!BR270</f>
        <v>0</v>
      </c>
      <c r="BK226">
        <f>Model!BS270</f>
        <v>0</v>
      </c>
      <c r="BL226">
        <f>Model!BT270</f>
        <v>0</v>
      </c>
      <c r="BM226">
        <f>Model!BU270</f>
        <v>0</v>
      </c>
      <c r="BN226">
        <f>Model!BV270</f>
        <v>0</v>
      </c>
      <c r="BO226">
        <f>Model!BW270</f>
        <v>0</v>
      </c>
      <c r="BP226">
        <f>Model!BX270</f>
        <v>0</v>
      </c>
      <c r="BQ226">
        <f>Model!BY270</f>
        <v>0</v>
      </c>
      <c r="BR226">
        <f>Model!BZ270</f>
        <v>0</v>
      </c>
      <c r="BS226">
        <f>Model!CA270</f>
        <v>0</v>
      </c>
      <c r="BT226">
        <f>Model!CB270</f>
        <v>0</v>
      </c>
      <c r="BU226">
        <f>Model!CC270</f>
        <v>0</v>
      </c>
      <c r="BV226">
        <f>Model!CD270</f>
        <v>0</v>
      </c>
      <c r="BW226">
        <f>Model!CE270</f>
        <v>0</v>
      </c>
      <c r="BX226">
        <f>Model!CF270</f>
        <v>0</v>
      </c>
      <c r="BY226">
        <f>Model!CG270</f>
        <v>0</v>
      </c>
      <c r="BZ226">
        <f>Model!CH270</f>
        <v>0</v>
      </c>
      <c r="CA226">
        <f>Model!CI270</f>
        <v>0</v>
      </c>
      <c r="CB226">
        <f>Model!CJ270</f>
        <v>0</v>
      </c>
      <c r="CC226">
        <f>Model!CK270</f>
        <v>0</v>
      </c>
      <c r="CD226">
        <f>Model!CL270</f>
        <v>0</v>
      </c>
      <c r="CE226">
        <f>Model!CM270</f>
        <v>0</v>
      </c>
      <c r="CF226">
        <f>Model!CN270</f>
        <v>0</v>
      </c>
      <c r="CG226">
        <f>Model!CO270</f>
        <v>0</v>
      </c>
      <c r="CH226">
        <f>Model!CP270</f>
        <v>0</v>
      </c>
      <c r="CI226">
        <f>Model!CQ270</f>
        <v>0</v>
      </c>
      <c r="CJ226">
        <f>Model!CR270</f>
        <v>0</v>
      </c>
      <c r="CK226">
        <f>Model!CS270</f>
        <v>0</v>
      </c>
      <c r="CL226">
        <f>Model!CT270</f>
        <v>0</v>
      </c>
      <c r="CM226">
        <f>Model!CU270</f>
        <v>0</v>
      </c>
      <c r="CN226">
        <f>Model!CV270</f>
        <v>0</v>
      </c>
      <c r="CO226">
        <f>Model!CW270</f>
        <v>0</v>
      </c>
      <c r="CP226">
        <f>Model!CX270</f>
        <v>0</v>
      </c>
      <c r="CQ226">
        <f>Model!CY270</f>
        <v>0</v>
      </c>
      <c r="CR226">
        <f>Model!CZ270</f>
        <v>0</v>
      </c>
      <c r="CS226">
        <f>Model!DA270</f>
        <v>0</v>
      </c>
      <c r="CT226">
        <f>Model!DB270</f>
        <v>0</v>
      </c>
      <c r="CU226">
        <f>Model!DC270</f>
        <v>0</v>
      </c>
      <c r="CV226">
        <f>Model!DD270</f>
        <v>0</v>
      </c>
      <c r="CW226">
        <f>Model!DE270</f>
        <v>0</v>
      </c>
      <c r="CX226">
        <f>Model!DF270</f>
        <v>0</v>
      </c>
    </row>
    <row r="227" spans="1:102">
      <c r="A227" t="str">
        <f>Model!I271</f>
        <v>Travel Jigsaw (Merchant)</v>
      </c>
      <c r="B227">
        <f>Model!J271</f>
        <v>0</v>
      </c>
      <c r="C227">
        <f>Model!K271</f>
        <v>0</v>
      </c>
      <c r="D227">
        <f>Model!L271</f>
        <v>0</v>
      </c>
      <c r="E227">
        <f>Model!M271</f>
        <v>0</v>
      </c>
      <c r="F227">
        <f>Model!N271</f>
        <v>0</v>
      </c>
      <c r="G227">
        <f>Model!O271</f>
        <v>0</v>
      </c>
      <c r="H227">
        <f>Model!P271</f>
        <v>0</v>
      </c>
      <c r="I227">
        <f>Model!Q271</f>
        <v>0</v>
      </c>
      <c r="J227">
        <f>Model!R271</f>
        <v>0</v>
      </c>
      <c r="K227">
        <f>Model!S271</f>
        <v>0</v>
      </c>
      <c r="L227">
        <f>Model!T271</f>
        <v>0</v>
      </c>
      <c r="M227">
        <f>Model!U271</f>
        <v>0</v>
      </c>
      <c r="N227">
        <f>Model!V271</f>
        <v>0</v>
      </c>
      <c r="O227">
        <f>Model!W271</f>
        <v>0</v>
      </c>
      <c r="P227">
        <f>Model!X271</f>
        <v>0</v>
      </c>
      <c r="Q227">
        <f>Model!Y271</f>
        <v>0</v>
      </c>
      <c r="R227">
        <f>Model!Z271</f>
        <v>0</v>
      </c>
      <c r="S227">
        <f>Model!AA271</f>
        <v>0</v>
      </c>
      <c r="T227">
        <f>Model!AB271</f>
        <v>0</v>
      </c>
      <c r="U227">
        <f>Model!AC271</f>
        <v>0</v>
      </c>
      <c r="V227">
        <f>Model!AD271</f>
        <v>0</v>
      </c>
      <c r="W227">
        <f>Model!AE271</f>
        <v>0</v>
      </c>
      <c r="X227">
        <f>Model!AF271</f>
        <v>0</v>
      </c>
      <c r="Y227">
        <f>Model!AG271</f>
        <v>0</v>
      </c>
      <c r="Z227">
        <f>Model!AH271</f>
        <v>0</v>
      </c>
      <c r="AA227">
        <f>Model!AI271</f>
        <v>0</v>
      </c>
      <c r="AB227">
        <f>Model!AJ271</f>
        <v>0</v>
      </c>
      <c r="AC227">
        <f>Model!AK271</f>
        <v>0</v>
      </c>
      <c r="AD227">
        <f>Model!AL271</f>
        <v>0</v>
      </c>
      <c r="AE227">
        <f>Model!AM271</f>
        <v>0</v>
      </c>
      <c r="AF227">
        <f>Model!AN271</f>
        <v>0</v>
      </c>
      <c r="AG227">
        <f>Model!AO271</f>
        <v>0</v>
      </c>
      <c r="AH227">
        <f>Model!AP271</f>
        <v>0</v>
      </c>
      <c r="AI227">
        <f>Model!AQ271</f>
        <v>0</v>
      </c>
      <c r="AJ227">
        <f>Model!AR271</f>
        <v>0</v>
      </c>
      <c r="AK227">
        <f>Model!AS271</f>
        <v>431.89400000000001</v>
      </c>
      <c r="AL227">
        <f>Model!AT271</f>
        <v>431.89400000000001</v>
      </c>
      <c r="AM227">
        <f>Model!AU271</f>
        <v>0</v>
      </c>
      <c r="AN227">
        <f>Model!AV271</f>
        <v>0</v>
      </c>
      <c r="AO227">
        <f>Model!AW271</f>
        <v>0</v>
      </c>
      <c r="AP227">
        <f>Model!AX271</f>
        <v>0</v>
      </c>
      <c r="AQ227">
        <f>Model!AY271</f>
        <v>0</v>
      </c>
      <c r="AR227">
        <f>Model!AZ271</f>
        <v>0</v>
      </c>
      <c r="AS227">
        <f>Model!BA271</f>
        <v>0</v>
      </c>
      <c r="AT227">
        <f>Model!BB271</f>
        <v>0</v>
      </c>
      <c r="AU227">
        <f>Model!BC271</f>
        <v>0</v>
      </c>
      <c r="AV227">
        <f>Model!BD271</f>
        <v>0</v>
      </c>
      <c r="AW227">
        <f>Model!BE271</f>
        <v>0</v>
      </c>
      <c r="AX227">
        <f>Model!BF271</f>
        <v>0</v>
      </c>
      <c r="AY227">
        <f>Model!BG271</f>
        <v>0</v>
      </c>
      <c r="AZ227">
        <f>Model!BH271</f>
        <v>0</v>
      </c>
      <c r="BA227">
        <f>Model!BI271</f>
        <v>0</v>
      </c>
      <c r="BB227">
        <f>Model!BJ271</f>
        <v>0</v>
      </c>
      <c r="BC227">
        <f>Model!BK271</f>
        <v>0</v>
      </c>
      <c r="BD227">
        <f>Model!BL271</f>
        <v>0</v>
      </c>
      <c r="BE227">
        <f>Model!BM271</f>
        <v>0</v>
      </c>
      <c r="BF227">
        <f>Model!BN271</f>
        <v>0</v>
      </c>
      <c r="BG227">
        <f>Model!BO271</f>
        <v>0</v>
      </c>
      <c r="BH227">
        <f>Model!BP271</f>
        <v>0</v>
      </c>
      <c r="BI227">
        <f>Model!BQ271</f>
        <v>0</v>
      </c>
      <c r="BJ227">
        <f>Model!BR271</f>
        <v>0</v>
      </c>
      <c r="BK227">
        <f>Model!BS271</f>
        <v>0</v>
      </c>
      <c r="BL227">
        <f>Model!BT271</f>
        <v>0</v>
      </c>
      <c r="BM227">
        <f>Model!BU271</f>
        <v>0</v>
      </c>
      <c r="BN227">
        <f>Model!BV271</f>
        <v>0</v>
      </c>
      <c r="BO227">
        <f>Model!BW271</f>
        <v>0</v>
      </c>
      <c r="BP227">
        <f>Model!BX271</f>
        <v>0</v>
      </c>
      <c r="BQ227">
        <f>Model!BY271</f>
        <v>0</v>
      </c>
      <c r="BR227">
        <f>Model!BZ271</f>
        <v>0</v>
      </c>
      <c r="BS227">
        <f>Model!CA271</f>
        <v>0</v>
      </c>
      <c r="BT227">
        <f>Model!CB271</f>
        <v>0</v>
      </c>
      <c r="BU227">
        <f>Model!CC271</f>
        <v>0</v>
      </c>
      <c r="BV227">
        <f>Model!CD271</f>
        <v>0</v>
      </c>
      <c r="BW227">
        <f>Model!CE271</f>
        <v>0</v>
      </c>
      <c r="BX227">
        <f>Model!CF271</f>
        <v>0</v>
      </c>
      <c r="BY227">
        <f>Model!CG271</f>
        <v>0</v>
      </c>
      <c r="BZ227">
        <f>Model!CH271</f>
        <v>0</v>
      </c>
      <c r="CA227">
        <f>Model!CI271</f>
        <v>0</v>
      </c>
      <c r="CB227">
        <f>Model!CJ271</f>
        <v>0</v>
      </c>
      <c r="CC227">
        <f>Model!CK271</f>
        <v>0</v>
      </c>
      <c r="CD227">
        <f>Model!CL271</f>
        <v>0</v>
      </c>
      <c r="CE227">
        <f>Model!CM271</f>
        <v>0</v>
      </c>
      <c r="CF227">
        <f>Model!CN271</f>
        <v>0</v>
      </c>
      <c r="CG227">
        <f>Model!CO271</f>
        <v>0</v>
      </c>
      <c r="CH227">
        <f>Model!CP271</f>
        <v>0</v>
      </c>
      <c r="CI227">
        <f>Model!CQ271</f>
        <v>0</v>
      </c>
      <c r="CJ227">
        <f>Model!CR271</f>
        <v>0</v>
      </c>
      <c r="CK227">
        <f>Model!CS271</f>
        <v>0</v>
      </c>
      <c r="CL227">
        <f>Model!CT271</f>
        <v>0</v>
      </c>
      <c r="CM227">
        <f>Model!CU271</f>
        <v>0</v>
      </c>
      <c r="CN227">
        <f>Model!CV271</f>
        <v>0</v>
      </c>
      <c r="CO227">
        <f>Model!CW271</f>
        <v>0</v>
      </c>
      <c r="CP227">
        <f>Model!CX271</f>
        <v>0</v>
      </c>
      <c r="CQ227">
        <f>Model!CY271</f>
        <v>0</v>
      </c>
      <c r="CR227">
        <f>Model!CZ271</f>
        <v>0</v>
      </c>
      <c r="CS227">
        <f>Model!DA271</f>
        <v>0</v>
      </c>
      <c r="CT227">
        <f>Model!DB271</f>
        <v>0</v>
      </c>
      <c r="CU227">
        <f>Model!DC271</f>
        <v>0</v>
      </c>
      <c r="CV227">
        <f>Model!DD271</f>
        <v>0</v>
      </c>
      <c r="CW227">
        <f>Model!DE271</f>
        <v>0</v>
      </c>
      <c r="CX227">
        <f>Model!DF271</f>
        <v>0</v>
      </c>
    </row>
    <row r="228" spans="1:102">
      <c r="A228" t="str">
        <f>Model!I272</f>
        <v>Travel Jigsaw Gross Bookings</v>
      </c>
      <c r="B228">
        <f>Model!J272</f>
        <v>0</v>
      </c>
      <c r="C228">
        <f>Model!K272</f>
        <v>0</v>
      </c>
      <c r="D228">
        <f>Model!L272</f>
        <v>0</v>
      </c>
      <c r="E228">
        <f>Model!M272</f>
        <v>0</v>
      </c>
      <c r="F228">
        <f>Model!N272</f>
        <v>0</v>
      </c>
      <c r="G228">
        <f>Model!O272</f>
        <v>0</v>
      </c>
      <c r="H228">
        <f>Model!P272</f>
        <v>0</v>
      </c>
      <c r="I228">
        <f>Model!Q272</f>
        <v>0</v>
      </c>
      <c r="J228">
        <f>Model!R272</f>
        <v>0</v>
      </c>
      <c r="K228">
        <f>Model!S272</f>
        <v>0</v>
      </c>
      <c r="L228">
        <f>Model!T272</f>
        <v>0</v>
      </c>
      <c r="M228">
        <f>Model!U272</f>
        <v>0</v>
      </c>
      <c r="N228">
        <f>Model!V272</f>
        <v>0</v>
      </c>
      <c r="O228">
        <f>Model!W272</f>
        <v>0</v>
      </c>
      <c r="P228">
        <f>Model!X272</f>
        <v>0</v>
      </c>
      <c r="Q228">
        <f>Model!Y272</f>
        <v>0</v>
      </c>
      <c r="R228">
        <f>Model!Z272</f>
        <v>0</v>
      </c>
      <c r="S228">
        <f>Model!AA272</f>
        <v>0</v>
      </c>
      <c r="T228">
        <f>Model!AB272</f>
        <v>0</v>
      </c>
      <c r="U228">
        <f>Model!AC272</f>
        <v>0</v>
      </c>
      <c r="V228">
        <f>Model!AD272</f>
        <v>0</v>
      </c>
      <c r="W228">
        <f>Model!AE272</f>
        <v>0</v>
      </c>
      <c r="X228">
        <f>Model!AF272</f>
        <v>0</v>
      </c>
      <c r="Y228">
        <f>Model!AG272</f>
        <v>0</v>
      </c>
      <c r="Z228">
        <f>Model!AH272</f>
        <v>0</v>
      </c>
      <c r="AA228">
        <f>Model!AI272</f>
        <v>0</v>
      </c>
      <c r="AB228">
        <f>Model!AJ272</f>
        <v>0</v>
      </c>
      <c r="AC228">
        <f>Model!AK272</f>
        <v>0</v>
      </c>
      <c r="AD228">
        <f>Model!AL272</f>
        <v>0</v>
      </c>
      <c r="AE228">
        <f>Model!AM272</f>
        <v>0</v>
      </c>
      <c r="AF228">
        <f>Model!AN272</f>
        <v>0</v>
      </c>
      <c r="AG228">
        <f>Model!AO272</f>
        <v>0</v>
      </c>
      <c r="AH228">
        <f>Model!AP272</f>
        <v>0</v>
      </c>
      <c r="AI228">
        <f>Model!AQ272</f>
        <v>0</v>
      </c>
      <c r="AJ228">
        <f>Model!AR272</f>
        <v>0</v>
      </c>
      <c r="AK228">
        <f>Model!AS272</f>
        <v>0</v>
      </c>
      <c r="AL228">
        <f>Model!AT272</f>
        <v>3127.7100000000009</v>
      </c>
      <c r="AM228">
        <f>Model!AU272</f>
        <v>0</v>
      </c>
      <c r="AN228">
        <f>Model!AV272</f>
        <v>0</v>
      </c>
      <c r="AO228">
        <f>Model!AW272</f>
        <v>0</v>
      </c>
      <c r="AP228">
        <f>Model!AX272</f>
        <v>43.9</v>
      </c>
      <c r="AQ228">
        <f>Model!AY272</f>
        <v>85.8</v>
      </c>
      <c r="AR228">
        <f>Model!AZ272</f>
        <v>55</v>
      </c>
      <c r="AS228">
        <f>Model!BA272</f>
        <v>95.7</v>
      </c>
      <c r="AT228">
        <f>Model!BB272</f>
        <v>100</v>
      </c>
      <c r="AU228">
        <f>Model!BC272</f>
        <v>180.18</v>
      </c>
      <c r="AV228">
        <f>Model!BD272</f>
        <v>115.5</v>
      </c>
      <c r="AW228">
        <f>Model!BE272</f>
        <v>162.69</v>
      </c>
      <c r="AX228">
        <f>Model!BF272</f>
        <v>160</v>
      </c>
      <c r="AY228">
        <f>Model!BG272</f>
        <v>288.28800000000001</v>
      </c>
      <c r="AZ228">
        <f>Model!BH272</f>
        <v>173.25</v>
      </c>
      <c r="BA228">
        <f>Model!BI272</f>
        <v>227.76599999999999</v>
      </c>
      <c r="BB228">
        <f>Model!BJ272</f>
        <v>224</v>
      </c>
      <c r="BC228">
        <f>Model!BK272</f>
        <v>403.60320000000002</v>
      </c>
      <c r="BD228">
        <f>Model!BL272</f>
        <v>225.22499999999999</v>
      </c>
      <c r="BE228">
        <f>Model!BM272</f>
        <v>282.42984000000001</v>
      </c>
      <c r="BF228">
        <f>Model!BN272</f>
        <v>268.8</v>
      </c>
      <c r="BG228">
        <f>Model!BO272</f>
        <v>516.61209600000007</v>
      </c>
      <c r="BH228">
        <f>Model!BP272</f>
        <v>270.27</v>
      </c>
      <c r="BI228">
        <f>Model!BQ272</f>
        <v>338.91580800000003</v>
      </c>
      <c r="BJ228">
        <f>Model!BR272</f>
        <v>322.56</v>
      </c>
      <c r="BK228">
        <f>Model!BS272</f>
        <v>645.76512000000002</v>
      </c>
      <c r="BL228">
        <f>Model!BT272</f>
        <v>310.81049999999993</v>
      </c>
      <c r="BM228">
        <f>Model!BU272</f>
        <v>379.58570496000004</v>
      </c>
      <c r="BN228">
        <f>Model!BV272</f>
        <v>361.26720000000006</v>
      </c>
      <c r="BO228">
        <f>Model!BW272</f>
        <v>723.25693440000009</v>
      </c>
      <c r="BP228">
        <f>Model!BX272</f>
        <v>348.10775999999998</v>
      </c>
      <c r="BQ228">
        <f>Model!BY272</f>
        <v>417.54427545600009</v>
      </c>
      <c r="BR228">
        <f>Model!BZ272</f>
        <v>397.39392000000009</v>
      </c>
      <c r="BS228">
        <f>Model!CA272</f>
        <v>795.58262784000021</v>
      </c>
      <c r="BT228">
        <f>Model!CB272</f>
        <v>382.91853600000002</v>
      </c>
      <c r="BU228">
        <f>Model!CC272</f>
        <v>438.42148922880011</v>
      </c>
      <c r="BV228">
        <f>Model!CD272</f>
        <v>417.26361600000013</v>
      </c>
      <c r="BW228">
        <f>Model!CE272</f>
        <v>835.36175923200028</v>
      </c>
      <c r="BX228">
        <f>Model!CF272</f>
        <v>402.06446280000006</v>
      </c>
      <c r="BY228">
        <f>Model!CG272</f>
        <v>0</v>
      </c>
      <c r="BZ228">
        <f>Model!CH272</f>
        <v>0</v>
      </c>
      <c r="CA228">
        <f>Model!CI272</f>
        <v>0</v>
      </c>
      <c r="CB228">
        <f>Model!CJ272</f>
        <v>0</v>
      </c>
      <c r="CC228">
        <f>Model!CK272</f>
        <v>0</v>
      </c>
      <c r="CD228">
        <f>Model!CL272</f>
        <v>0</v>
      </c>
      <c r="CE228">
        <f>Model!CM272</f>
        <v>0</v>
      </c>
      <c r="CF228">
        <f>Model!CN272</f>
        <v>0</v>
      </c>
      <c r="CG228">
        <f>Model!CO272</f>
        <v>0</v>
      </c>
      <c r="CH228">
        <f>Model!CP272</f>
        <v>0</v>
      </c>
      <c r="CI228">
        <f>Model!CQ272</f>
        <v>184.7</v>
      </c>
      <c r="CJ228">
        <f>Model!CR272</f>
        <v>491.38</v>
      </c>
      <c r="CK228">
        <f>Model!CS272</f>
        <v>784.22800000000007</v>
      </c>
      <c r="CL228">
        <f>Model!CT272</f>
        <v>1080.5942</v>
      </c>
      <c r="CM228">
        <f>Model!CU272</f>
        <v>1338.111936</v>
      </c>
      <c r="CN228">
        <f>Model!CV272</f>
        <v>1618.0514280000002</v>
      </c>
      <c r="CO228">
        <f>Model!CW272</f>
        <v>1812.2175993600003</v>
      </c>
      <c r="CP228">
        <f>Model!CX272</f>
        <v>1993.4393592960005</v>
      </c>
      <c r="CQ228">
        <f>Model!CY272</f>
        <v>2093.1113272608004</v>
      </c>
      <c r="CR228">
        <f>Model!CZ272</f>
        <v>2176.8357803512326</v>
      </c>
      <c r="CS228">
        <f>Model!DA272</f>
        <v>2242.1408537617699</v>
      </c>
      <c r="CT228">
        <f>Model!DB272</f>
        <v>2286.9836708370053</v>
      </c>
      <c r="CU228">
        <f>Model!DC272</f>
        <v>2309.8535075453756</v>
      </c>
      <c r="CV228">
        <f>Model!DD272</f>
        <v>2309.8535075453756</v>
      </c>
      <c r="CW228">
        <f>Model!DE272</f>
        <v>2286.754972469922</v>
      </c>
      <c r="CX228">
        <f>Model!DF272</f>
        <v>2263.8874227452229</v>
      </c>
    </row>
    <row r="229" spans="1:102">
      <c r="A229" t="str">
        <f>Model!I273</f>
        <v>Travel Jigsaw Take Rate</v>
      </c>
      <c r="B229">
        <f>Model!J273</f>
        <v>0</v>
      </c>
      <c r="C229">
        <f>Model!K273</f>
        <v>0</v>
      </c>
      <c r="D229">
        <f>Model!L273</f>
        <v>0</v>
      </c>
      <c r="E229">
        <f>Model!M273</f>
        <v>0</v>
      </c>
      <c r="F229">
        <f>Model!N273</f>
        <v>0</v>
      </c>
      <c r="G229">
        <f>Model!O273</f>
        <v>0</v>
      </c>
      <c r="H229">
        <f>Model!P273</f>
        <v>0</v>
      </c>
      <c r="I229">
        <f>Model!Q273</f>
        <v>0</v>
      </c>
      <c r="J229">
        <f>Model!R273</f>
        <v>0</v>
      </c>
      <c r="K229">
        <f>Model!S273</f>
        <v>0</v>
      </c>
      <c r="L229">
        <f>Model!T273</f>
        <v>0</v>
      </c>
      <c r="M229">
        <f>Model!U273</f>
        <v>0</v>
      </c>
      <c r="N229">
        <f>Model!V273</f>
        <v>0</v>
      </c>
      <c r="O229">
        <f>Model!W273</f>
        <v>0</v>
      </c>
      <c r="P229">
        <f>Model!X273</f>
        <v>0</v>
      </c>
      <c r="Q229">
        <f>Model!Y273</f>
        <v>0</v>
      </c>
      <c r="R229">
        <f>Model!Z273</f>
        <v>0</v>
      </c>
      <c r="S229">
        <f>Model!AA273</f>
        <v>0</v>
      </c>
      <c r="T229">
        <f>Model!AB273</f>
        <v>0</v>
      </c>
      <c r="U229">
        <f>Model!AC273</f>
        <v>0</v>
      </c>
      <c r="V229">
        <f>Model!AD273</f>
        <v>0</v>
      </c>
      <c r="W229">
        <f>Model!AE273</f>
        <v>0</v>
      </c>
      <c r="X229">
        <f>Model!AF273</f>
        <v>0</v>
      </c>
      <c r="Y229">
        <f>Model!AG273</f>
        <v>0</v>
      </c>
      <c r="Z229">
        <f>Model!AH273</f>
        <v>0</v>
      </c>
      <c r="AA229">
        <f>Model!AI273</f>
        <v>0</v>
      </c>
      <c r="AB229">
        <f>Model!AJ273</f>
        <v>0</v>
      </c>
      <c r="AC229">
        <f>Model!AK273</f>
        <v>0</v>
      </c>
      <c r="AD229">
        <f>Model!AL273</f>
        <v>0</v>
      </c>
      <c r="AE229">
        <f>Model!AM273</f>
        <v>0</v>
      </c>
      <c r="AF229">
        <f>Model!AN273</f>
        <v>0</v>
      </c>
      <c r="AG229">
        <f>Model!AO273</f>
        <v>0</v>
      </c>
      <c r="AH229">
        <f>Model!AP273</f>
        <v>0</v>
      </c>
      <c r="AI229">
        <f>Model!AQ273</f>
        <v>0</v>
      </c>
      <c r="AJ229">
        <f>Model!AR273</f>
        <v>0</v>
      </c>
      <c r="AK229">
        <f>Model!AS273</f>
        <v>0</v>
      </c>
      <c r="AL229">
        <f>Model!AT273</f>
        <v>0.13808633153329428</v>
      </c>
      <c r="AM229">
        <f>Model!AU273</f>
        <v>0</v>
      </c>
      <c r="AN229">
        <f>Model!AV273</f>
        <v>0</v>
      </c>
      <c r="AO229">
        <f>Model!AW273</f>
        <v>0</v>
      </c>
      <c r="AP229">
        <f>Model!AX273</f>
        <v>0.15945330296127563</v>
      </c>
      <c r="AQ229">
        <f>Model!AY273</f>
        <v>0.13986013986013987</v>
      </c>
      <c r="AR229">
        <f>Model!AZ273</f>
        <v>0.14545454545454545</v>
      </c>
      <c r="AS229">
        <f>Model!BA273</f>
        <v>0.1044932079414838</v>
      </c>
      <c r="AT229">
        <f>Model!BB273</f>
        <v>0.15945330296127563</v>
      </c>
      <c r="AU229">
        <f>Model!BC273</f>
        <v>0.13986013986013987</v>
      </c>
      <c r="AV229">
        <f>Model!BD273</f>
        <v>0.14545454545454545</v>
      </c>
      <c r="AW229">
        <f>Model!BE273</f>
        <v>0.1044932079414838</v>
      </c>
      <c r="AX229">
        <f>Model!BF273</f>
        <v>0.15945330296127563</v>
      </c>
      <c r="AY229">
        <f>Model!BG273</f>
        <v>0.13986013986013987</v>
      </c>
      <c r="AZ229">
        <f>Model!BH273</f>
        <v>0.14545454545454545</v>
      </c>
      <c r="BA229">
        <f>Model!BI273</f>
        <v>0.1044932079414838</v>
      </c>
      <c r="BB229">
        <f>Model!BJ273</f>
        <v>0.15945330296127563</v>
      </c>
      <c r="BC229">
        <f>Model!BK273</f>
        <v>0.13986013986013987</v>
      </c>
      <c r="BD229">
        <f>Model!BL273</f>
        <v>0.14545454545454545</v>
      </c>
      <c r="BE229">
        <f>Model!BM273</f>
        <v>0.1044932079414838</v>
      </c>
      <c r="BF229">
        <f>Model!BN273</f>
        <v>0.15945330296127563</v>
      </c>
      <c r="BG229">
        <f>Model!BO273</f>
        <v>0.13986013986013987</v>
      </c>
      <c r="BH229">
        <f>Model!BP273</f>
        <v>0.14545454545454545</v>
      </c>
      <c r="BI229">
        <f>Model!BQ273</f>
        <v>0.1044932079414838</v>
      </c>
      <c r="BJ229">
        <f>Model!BR273</f>
        <v>0.15945330296127563</v>
      </c>
      <c r="BK229">
        <f>Model!BS273</f>
        <v>0.13986013986013987</v>
      </c>
      <c r="BL229">
        <f>Model!BT273</f>
        <v>0.14545454545454545</v>
      </c>
      <c r="BM229">
        <f>Model!BU273</f>
        <v>0.1044932079414838</v>
      </c>
      <c r="BN229">
        <f>Model!BV273</f>
        <v>0.15945330296127563</v>
      </c>
      <c r="BO229">
        <f>Model!BW273</f>
        <v>0.13986013986013987</v>
      </c>
      <c r="BP229">
        <f>Model!BX273</f>
        <v>0.14545454545454545</v>
      </c>
      <c r="BQ229">
        <f>Model!BY273</f>
        <v>0.1044932079414838</v>
      </c>
      <c r="BR229">
        <f>Model!BZ273</f>
        <v>0.15945330296127563</v>
      </c>
      <c r="BS229">
        <f>Model!CA273</f>
        <v>0.13986013986013987</v>
      </c>
      <c r="BT229">
        <f>Model!CB273</f>
        <v>0.14545454545454545</v>
      </c>
      <c r="BU229">
        <f>Model!CC273</f>
        <v>0.1044932079414838</v>
      </c>
      <c r="BV229">
        <f>Model!CD273</f>
        <v>0.15945330296127563</v>
      </c>
      <c r="BW229">
        <f>Model!CE273</f>
        <v>0.13986013986013987</v>
      </c>
      <c r="BX229">
        <f>Model!CF273</f>
        <v>0.14545454545454545</v>
      </c>
      <c r="BY229">
        <f>Model!CG273</f>
        <v>0</v>
      </c>
      <c r="BZ229">
        <f>Model!CH273</f>
        <v>0</v>
      </c>
      <c r="CA229">
        <f>Model!CI273</f>
        <v>0</v>
      </c>
      <c r="CB229">
        <f>Model!CJ273</f>
        <v>0</v>
      </c>
      <c r="CC229">
        <f>Model!CK273</f>
        <v>0</v>
      </c>
      <c r="CD229">
        <f>Model!CL273</f>
        <v>0</v>
      </c>
      <c r="CE229">
        <f>Model!CM273</f>
        <v>0</v>
      </c>
      <c r="CF229">
        <f>Model!CN273</f>
        <v>0</v>
      </c>
      <c r="CG229">
        <f>Model!CO273</f>
        <v>0</v>
      </c>
      <c r="CH229">
        <f>Model!CP273</f>
        <v>0</v>
      </c>
      <c r="CI229">
        <f>Model!CQ273</f>
        <v>0.14618299945858149</v>
      </c>
      <c r="CJ229">
        <f>Model!CR273</f>
        <v>0.13827451319982004</v>
      </c>
      <c r="CK229">
        <f>Model!CS273</f>
        <v>0.13775653059289403</v>
      </c>
      <c r="CL229">
        <f>Model!CT273</f>
        <v>0.13763310950894031</v>
      </c>
      <c r="CM229">
        <f>Model!CU273</f>
        <v>0.13746121149313989</v>
      </c>
      <c r="CN229">
        <f>Model!CV273</f>
        <v>0.13743275000724456</v>
      </c>
      <c r="CO229">
        <f>Model!CW273</f>
        <v>0.13743275000724453</v>
      </c>
      <c r="CP229">
        <f>Model!CX273</f>
        <v>0.13743275000724456</v>
      </c>
      <c r="CQ229">
        <f>Model!CY273</f>
        <v>0.13743275000724459</v>
      </c>
      <c r="CR229">
        <f>Model!CZ273</f>
        <v>0.13743275000724459</v>
      </c>
      <c r="CS229">
        <f>Model!DA273</f>
        <v>0.13743275000724459</v>
      </c>
      <c r="CT229">
        <f>Model!DB273</f>
        <v>0.13743275000724459</v>
      </c>
      <c r="CU229">
        <f>Model!DC273</f>
        <v>0.13743275000724459</v>
      </c>
      <c r="CV229">
        <f>Model!DD273</f>
        <v>0.13743275000724459</v>
      </c>
      <c r="CW229">
        <f>Model!DE273</f>
        <v>0.13743275000724459</v>
      </c>
      <c r="CX229">
        <f>Model!DF273</f>
        <v>0.13743275000724459</v>
      </c>
    </row>
    <row r="230" spans="1:102">
      <c r="A230" t="str">
        <f>Model!I274</f>
        <v>% change Y/Y (in bp)</v>
      </c>
      <c r="B230">
        <f>Model!J274</f>
        <v>0</v>
      </c>
      <c r="C230">
        <f>Model!K274</f>
        <v>0</v>
      </c>
      <c r="D230">
        <f>Model!L274</f>
        <v>0</v>
      </c>
      <c r="E230">
        <f>Model!M274</f>
        <v>0</v>
      </c>
      <c r="F230">
        <f>Model!N274</f>
        <v>0</v>
      </c>
      <c r="G230">
        <f>Model!O274</f>
        <v>0</v>
      </c>
      <c r="H230">
        <f>Model!P274</f>
        <v>0</v>
      </c>
      <c r="I230">
        <f>Model!Q274</f>
        <v>0</v>
      </c>
      <c r="J230">
        <f>Model!R274</f>
        <v>0</v>
      </c>
      <c r="K230">
        <f>Model!S274</f>
        <v>0</v>
      </c>
      <c r="L230">
        <f>Model!T274</f>
        <v>0</v>
      </c>
      <c r="M230">
        <f>Model!U274</f>
        <v>0</v>
      </c>
      <c r="N230">
        <f>Model!V274</f>
        <v>0</v>
      </c>
      <c r="O230">
        <f>Model!W274</f>
        <v>0</v>
      </c>
      <c r="P230">
        <f>Model!X274</f>
        <v>0</v>
      </c>
      <c r="Q230">
        <f>Model!Y274</f>
        <v>0</v>
      </c>
      <c r="R230">
        <f>Model!Z274</f>
        <v>0</v>
      </c>
      <c r="S230">
        <f>Model!AA274</f>
        <v>0</v>
      </c>
      <c r="T230">
        <f>Model!AB274</f>
        <v>0</v>
      </c>
      <c r="U230">
        <f>Model!AC274</f>
        <v>0</v>
      </c>
      <c r="V230">
        <f>Model!AD274</f>
        <v>0</v>
      </c>
      <c r="W230">
        <f>Model!AE274</f>
        <v>0</v>
      </c>
      <c r="X230">
        <f>Model!AF274</f>
        <v>0</v>
      </c>
      <c r="Y230">
        <f>Model!AG274</f>
        <v>0</v>
      </c>
      <c r="Z230">
        <f>Model!AH274</f>
        <v>0</v>
      </c>
      <c r="AA230">
        <f>Model!AI274</f>
        <v>0</v>
      </c>
      <c r="AB230">
        <f>Model!AJ274</f>
        <v>0</v>
      </c>
      <c r="AC230">
        <f>Model!AK274</f>
        <v>0</v>
      </c>
      <c r="AD230">
        <f>Model!AL274</f>
        <v>0</v>
      </c>
      <c r="AE230">
        <f>Model!AM274</f>
        <v>0</v>
      </c>
      <c r="AF230">
        <f>Model!AN274</f>
        <v>0</v>
      </c>
      <c r="AG230">
        <f>Model!AO274</f>
        <v>0</v>
      </c>
      <c r="AH230">
        <f>Model!AP274</f>
        <v>0</v>
      </c>
      <c r="AI230">
        <f>Model!AQ274</f>
        <v>0</v>
      </c>
      <c r="AJ230">
        <f>Model!AR274</f>
        <v>0</v>
      </c>
      <c r="AK230">
        <f>Model!AS274</f>
        <v>0</v>
      </c>
      <c r="AL230">
        <f>Model!AT274</f>
        <v>0</v>
      </c>
      <c r="AM230">
        <f>Model!AU274</f>
        <v>0</v>
      </c>
      <c r="AN230">
        <f>Model!AV274</f>
        <v>0</v>
      </c>
      <c r="AO230">
        <f>Model!AW274</f>
        <v>0</v>
      </c>
      <c r="AP230">
        <f>Model!AX274</f>
        <v>0</v>
      </c>
      <c r="AQ230">
        <f>Model!AY274</f>
        <v>0</v>
      </c>
      <c r="AR230">
        <f>Model!AZ274</f>
        <v>0</v>
      </c>
      <c r="AS230">
        <f>Model!BA274</f>
        <v>0</v>
      </c>
      <c r="AT230">
        <f>Model!BB274</f>
        <v>0</v>
      </c>
      <c r="AU230">
        <f>Model!BC274</f>
        <v>0</v>
      </c>
      <c r="AV230">
        <f>Model!BD274</f>
        <v>0</v>
      </c>
      <c r="AW230">
        <f>Model!BE274</f>
        <v>0</v>
      </c>
      <c r="AX230">
        <f>Model!BF274</f>
        <v>0</v>
      </c>
      <c r="AY230">
        <f>Model!BG274</f>
        <v>0</v>
      </c>
      <c r="AZ230">
        <f>Model!BH274</f>
        <v>0</v>
      </c>
      <c r="BA230">
        <f>Model!BI274</f>
        <v>0</v>
      </c>
      <c r="BB230">
        <f>Model!BJ274</f>
        <v>0</v>
      </c>
      <c r="BC230">
        <f>Model!BK274</f>
        <v>0</v>
      </c>
      <c r="BD230">
        <f>Model!BL274</f>
        <v>0</v>
      </c>
      <c r="BE230">
        <f>Model!BM274</f>
        <v>0</v>
      </c>
      <c r="BF230">
        <f>Model!BN274</f>
        <v>0</v>
      </c>
      <c r="BG230">
        <f>Model!BO274</f>
        <v>0</v>
      </c>
      <c r="BH230">
        <f>Model!BP274</f>
        <v>0</v>
      </c>
      <c r="BI230">
        <f>Model!BQ274</f>
        <v>0</v>
      </c>
      <c r="BJ230">
        <f>Model!BR274</f>
        <v>0</v>
      </c>
      <c r="BK230">
        <f>Model!BS274</f>
        <v>0</v>
      </c>
      <c r="BL230">
        <f>Model!BT274</f>
        <v>0</v>
      </c>
      <c r="BM230">
        <f>Model!BU274</f>
        <v>0</v>
      </c>
      <c r="BN230">
        <f>Model!BV274</f>
        <v>0</v>
      </c>
      <c r="BO230">
        <f>Model!BW274</f>
        <v>0</v>
      </c>
      <c r="BP230">
        <f>Model!BX274</f>
        <v>0</v>
      </c>
      <c r="BQ230">
        <f>Model!BY274</f>
        <v>0</v>
      </c>
      <c r="BR230">
        <f>Model!BZ274</f>
        <v>0</v>
      </c>
      <c r="BS230">
        <f>Model!CA274</f>
        <v>0</v>
      </c>
      <c r="BT230">
        <f>Model!CB274</f>
        <v>0</v>
      </c>
      <c r="BU230">
        <f>Model!CC274</f>
        <v>0</v>
      </c>
      <c r="BV230">
        <f>Model!CD274</f>
        <v>0</v>
      </c>
      <c r="BW230">
        <f>Model!CE274</f>
        <v>0</v>
      </c>
      <c r="BX230">
        <f>Model!CF274</f>
        <v>0</v>
      </c>
      <c r="BY230">
        <f>Model!CG274</f>
        <v>0</v>
      </c>
      <c r="BZ230">
        <f>Model!CH274</f>
        <v>0</v>
      </c>
      <c r="CA230">
        <f>Model!CI274</f>
        <v>0</v>
      </c>
      <c r="CB230">
        <f>Model!CJ274</f>
        <v>0</v>
      </c>
      <c r="CC230">
        <f>Model!CK274</f>
        <v>0</v>
      </c>
      <c r="CD230">
        <f>Model!CL274</f>
        <v>0</v>
      </c>
      <c r="CE230">
        <f>Model!CM274</f>
        <v>0</v>
      </c>
      <c r="CF230">
        <f>Model!CN274</f>
        <v>0</v>
      </c>
      <c r="CG230">
        <f>Model!CO274</f>
        <v>0</v>
      </c>
      <c r="CH230">
        <f>Model!CP274</f>
        <v>0</v>
      </c>
      <c r="CI230">
        <f>Model!CQ274</f>
        <v>0</v>
      </c>
      <c r="CJ230">
        <f>Model!CR274</f>
        <v>-79.084862587614495</v>
      </c>
      <c r="CK230">
        <f>Model!CS274</f>
        <v>-5.1798260692600966</v>
      </c>
      <c r="CL230">
        <f>Model!CT274</f>
        <v>-1.2342108395371754</v>
      </c>
      <c r="CM230">
        <f>Model!CU274</f>
        <v>-1.7189801580042019</v>
      </c>
      <c r="CN230">
        <f>Model!CV274</f>
        <v>-0.28461485895331373</v>
      </c>
      <c r="CO230">
        <f>Model!CW274</f>
        <v>-2.7755575615628914E-13</v>
      </c>
      <c r="CP230">
        <f>Model!CX274</f>
        <v>2.7755575615628914E-13</v>
      </c>
      <c r="CQ230">
        <f>Model!CY274</f>
        <v>2.7755575615628914E-13</v>
      </c>
      <c r="CR230">
        <f>Model!CZ274</f>
        <v>0</v>
      </c>
      <c r="CS230">
        <f>Model!DA274</f>
        <v>0</v>
      </c>
      <c r="CT230">
        <f>Model!DB274</f>
        <v>0</v>
      </c>
      <c r="CU230">
        <f>Model!DC274</f>
        <v>0</v>
      </c>
      <c r="CV230">
        <f>Model!DD274</f>
        <v>0</v>
      </c>
      <c r="CW230">
        <f>Model!DE274</f>
        <v>0</v>
      </c>
      <c r="CX230">
        <f>Model!DF274</f>
        <v>0</v>
      </c>
    </row>
    <row r="231" spans="1:102">
      <c r="A231">
        <f>Model!I275</f>
        <v>0</v>
      </c>
      <c r="B231">
        <f>Model!J275</f>
        <v>0</v>
      </c>
      <c r="C231">
        <f>Model!K275</f>
        <v>0</v>
      </c>
      <c r="D231">
        <f>Model!L275</f>
        <v>0</v>
      </c>
      <c r="E231">
        <f>Model!M275</f>
        <v>0</v>
      </c>
      <c r="F231">
        <f>Model!N275</f>
        <v>0</v>
      </c>
      <c r="G231">
        <f>Model!O275</f>
        <v>0</v>
      </c>
      <c r="H231">
        <f>Model!P275</f>
        <v>0</v>
      </c>
      <c r="I231">
        <f>Model!Q275</f>
        <v>0</v>
      </c>
      <c r="J231">
        <f>Model!R275</f>
        <v>0</v>
      </c>
      <c r="K231">
        <f>Model!S275</f>
        <v>0</v>
      </c>
      <c r="L231">
        <f>Model!T275</f>
        <v>0</v>
      </c>
      <c r="M231">
        <f>Model!U275</f>
        <v>0</v>
      </c>
      <c r="N231">
        <f>Model!V275</f>
        <v>0</v>
      </c>
      <c r="O231">
        <f>Model!W275</f>
        <v>0</v>
      </c>
      <c r="P231">
        <f>Model!X275</f>
        <v>0</v>
      </c>
      <c r="Q231">
        <f>Model!Y275</f>
        <v>0</v>
      </c>
      <c r="R231">
        <f>Model!Z275</f>
        <v>0</v>
      </c>
      <c r="S231">
        <f>Model!AA275</f>
        <v>0</v>
      </c>
      <c r="T231">
        <f>Model!AB275</f>
        <v>0</v>
      </c>
      <c r="U231">
        <f>Model!AC275</f>
        <v>0</v>
      </c>
      <c r="V231">
        <f>Model!AD275</f>
        <v>0</v>
      </c>
      <c r="W231">
        <f>Model!AE275</f>
        <v>0</v>
      </c>
      <c r="X231">
        <f>Model!AF275</f>
        <v>0</v>
      </c>
      <c r="Y231">
        <f>Model!AG275</f>
        <v>0</v>
      </c>
      <c r="Z231">
        <f>Model!AH275</f>
        <v>0</v>
      </c>
      <c r="AA231">
        <f>Model!AI275</f>
        <v>0</v>
      </c>
      <c r="AB231">
        <f>Model!AJ275</f>
        <v>0</v>
      </c>
      <c r="AC231">
        <f>Model!AK275</f>
        <v>0</v>
      </c>
      <c r="AD231">
        <f>Model!AL275</f>
        <v>0</v>
      </c>
      <c r="AE231">
        <f>Model!AM275</f>
        <v>0</v>
      </c>
      <c r="AF231">
        <f>Model!AN275</f>
        <v>0</v>
      </c>
      <c r="AG231">
        <f>Model!AO275</f>
        <v>0</v>
      </c>
      <c r="AH231">
        <f>Model!AP275</f>
        <v>0</v>
      </c>
      <c r="AI231">
        <f>Model!AQ275</f>
        <v>0</v>
      </c>
      <c r="AJ231">
        <f>Model!AR275</f>
        <v>0</v>
      </c>
      <c r="AK231">
        <f>Model!AS275</f>
        <v>0</v>
      </c>
      <c r="AL231">
        <f>Model!AT275</f>
        <v>0</v>
      </c>
      <c r="AM231">
        <f>Model!AU275</f>
        <v>0</v>
      </c>
      <c r="AN231">
        <f>Model!AV275</f>
        <v>0</v>
      </c>
      <c r="AO231">
        <f>Model!AW275</f>
        <v>0</v>
      </c>
      <c r="AP231">
        <f>Model!AX275</f>
        <v>0</v>
      </c>
      <c r="AQ231">
        <f>Model!AY275</f>
        <v>0</v>
      </c>
      <c r="AR231">
        <f>Model!AZ275</f>
        <v>0</v>
      </c>
      <c r="AS231">
        <f>Model!BA275</f>
        <v>0</v>
      </c>
      <c r="AT231">
        <f>Model!BB275</f>
        <v>0</v>
      </c>
      <c r="AU231">
        <f>Model!BC275</f>
        <v>0</v>
      </c>
      <c r="AV231">
        <f>Model!BD275</f>
        <v>0</v>
      </c>
      <c r="AW231">
        <f>Model!BE275</f>
        <v>0</v>
      </c>
      <c r="AX231">
        <f>Model!BF275</f>
        <v>0</v>
      </c>
      <c r="AY231">
        <f>Model!BG275</f>
        <v>0</v>
      </c>
      <c r="AZ231">
        <f>Model!BH275</f>
        <v>0</v>
      </c>
      <c r="BA231">
        <f>Model!BI275</f>
        <v>0</v>
      </c>
      <c r="BB231">
        <f>Model!BJ275</f>
        <v>0</v>
      </c>
      <c r="BC231">
        <f>Model!BK275</f>
        <v>0</v>
      </c>
      <c r="BD231">
        <f>Model!BL275</f>
        <v>0</v>
      </c>
      <c r="BE231">
        <f>Model!BM275</f>
        <v>0</v>
      </c>
      <c r="BF231">
        <f>Model!BN275</f>
        <v>0</v>
      </c>
      <c r="BG231">
        <f>Model!BO275</f>
        <v>0</v>
      </c>
      <c r="BH231">
        <f>Model!BP275</f>
        <v>0</v>
      </c>
      <c r="BI231">
        <f>Model!BQ275</f>
        <v>0</v>
      </c>
      <c r="BJ231">
        <f>Model!BR275</f>
        <v>0</v>
      </c>
      <c r="BK231">
        <f>Model!BS275</f>
        <v>0</v>
      </c>
      <c r="BL231">
        <f>Model!BT275</f>
        <v>0</v>
      </c>
      <c r="BM231">
        <f>Model!BU275</f>
        <v>0</v>
      </c>
      <c r="BN231">
        <f>Model!BV275</f>
        <v>0</v>
      </c>
      <c r="BO231">
        <f>Model!BW275</f>
        <v>0</v>
      </c>
      <c r="BP231">
        <f>Model!BX275</f>
        <v>0</v>
      </c>
      <c r="BQ231">
        <f>Model!BY275</f>
        <v>0</v>
      </c>
      <c r="BR231">
        <f>Model!BZ275</f>
        <v>0</v>
      </c>
      <c r="BS231">
        <f>Model!CA275</f>
        <v>0</v>
      </c>
      <c r="BT231">
        <f>Model!CB275</f>
        <v>0</v>
      </c>
      <c r="BU231">
        <f>Model!CC275</f>
        <v>0</v>
      </c>
      <c r="BV231">
        <f>Model!CD275</f>
        <v>0</v>
      </c>
      <c r="BW231">
        <f>Model!CE275</f>
        <v>0</v>
      </c>
      <c r="BX231">
        <f>Model!CF275</f>
        <v>0</v>
      </c>
      <c r="BY231">
        <f>Model!CG275</f>
        <v>0</v>
      </c>
      <c r="BZ231">
        <f>Model!CH275</f>
        <v>0</v>
      </c>
      <c r="CA231">
        <f>Model!CI275</f>
        <v>0</v>
      </c>
      <c r="CB231">
        <f>Model!CJ275</f>
        <v>0</v>
      </c>
      <c r="CC231">
        <f>Model!CK275</f>
        <v>0</v>
      </c>
      <c r="CD231">
        <f>Model!CL275</f>
        <v>0</v>
      </c>
      <c r="CE231">
        <f>Model!CM275</f>
        <v>0</v>
      </c>
      <c r="CF231">
        <f>Model!CN275</f>
        <v>0</v>
      </c>
      <c r="CG231">
        <f>Model!CO275</f>
        <v>0</v>
      </c>
      <c r="CH231">
        <f>Model!CP275</f>
        <v>0</v>
      </c>
      <c r="CI231">
        <f>Model!CQ275</f>
        <v>0</v>
      </c>
      <c r="CJ231">
        <f>Model!CR275</f>
        <v>0</v>
      </c>
      <c r="CK231">
        <f>Model!CS275</f>
        <v>0</v>
      </c>
      <c r="CL231">
        <f>Model!CT275</f>
        <v>0</v>
      </c>
      <c r="CM231">
        <f>Model!CU275</f>
        <v>0</v>
      </c>
      <c r="CN231">
        <f>Model!CV275</f>
        <v>0</v>
      </c>
      <c r="CO231">
        <f>Model!CW275</f>
        <v>0</v>
      </c>
      <c r="CP231">
        <f>Model!CX275</f>
        <v>0</v>
      </c>
      <c r="CQ231">
        <f>Model!CY275</f>
        <v>0</v>
      </c>
      <c r="CR231">
        <f>Model!CZ275</f>
        <v>0</v>
      </c>
      <c r="CS231">
        <f>Model!DA275</f>
        <v>0</v>
      </c>
      <c r="CT231">
        <f>Model!DB275</f>
        <v>0</v>
      </c>
      <c r="CU231">
        <f>Model!DC275</f>
        <v>0</v>
      </c>
      <c r="CV231">
        <f>Model!DD275</f>
        <v>0</v>
      </c>
      <c r="CW231">
        <f>Model!DE275</f>
        <v>0</v>
      </c>
      <c r="CX231">
        <f>Model!DF275</f>
        <v>0</v>
      </c>
    </row>
    <row r="232" spans="1:102">
      <c r="A232" t="str">
        <f>Model!I276</f>
        <v xml:space="preserve">Implied Int'l Agency Gross Bookings (Booking.com) </v>
      </c>
      <c r="B232">
        <f>Model!J276</f>
        <v>0</v>
      </c>
      <c r="C232">
        <f>Model!K276</f>
        <v>0</v>
      </c>
      <c r="D232">
        <f>Model!L276</f>
        <v>0</v>
      </c>
      <c r="E232">
        <f>Model!M276</f>
        <v>0</v>
      </c>
      <c r="F232">
        <f>Model!N276</f>
        <v>0</v>
      </c>
      <c r="G232">
        <f>Model!O276</f>
        <v>0</v>
      </c>
      <c r="H232">
        <f>Model!P276</f>
        <v>0</v>
      </c>
      <c r="I232">
        <f>Model!Q276</f>
        <v>0</v>
      </c>
      <c r="J232">
        <f>Model!R276</f>
        <v>0</v>
      </c>
      <c r="K232">
        <f>Model!S276</f>
        <v>0</v>
      </c>
      <c r="L232">
        <f>Model!T276</f>
        <v>0</v>
      </c>
      <c r="M232">
        <f>Model!U276</f>
        <v>0</v>
      </c>
      <c r="N232">
        <f>Model!V276</f>
        <v>0</v>
      </c>
      <c r="O232">
        <f>Model!W276</f>
        <v>0</v>
      </c>
      <c r="P232">
        <f>Model!X276</f>
        <v>0</v>
      </c>
      <c r="Q232">
        <f>Model!Y276</f>
        <v>0</v>
      </c>
      <c r="R232">
        <f>Model!Z276</f>
        <v>0</v>
      </c>
      <c r="S232">
        <f>Model!AA276</f>
        <v>0</v>
      </c>
      <c r="T232">
        <f>Model!AB276</f>
        <v>0</v>
      </c>
      <c r="U232">
        <f>Model!AC276</f>
        <v>0</v>
      </c>
      <c r="V232">
        <f>Model!AD276</f>
        <v>0</v>
      </c>
      <c r="W232">
        <f>Model!AE276</f>
        <v>0</v>
      </c>
      <c r="X232">
        <f>Model!AF276</f>
        <v>0</v>
      </c>
      <c r="Y232">
        <f>Model!AG276</f>
        <v>0</v>
      </c>
      <c r="Z232">
        <f>Model!AH276</f>
        <v>0</v>
      </c>
      <c r="AA232">
        <f>Model!AI276</f>
        <v>0</v>
      </c>
      <c r="AB232">
        <f>Model!AJ276</f>
        <v>0</v>
      </c>
      <c r="AC232">
        <f>Model!AK276</f>
        <v>0</v>
      </c>
      <c r="AD232">
        <f>Model!AL276</f>
        <v>0</v>
      </c>
      <c r="AE232">
        <f>Model!AM276</f>
        <v>0</v>
      </c>
      <c r="AF232">
        <f>Model!AN276</f>
        <v>0</v>
      </c>
      <c r="AG232">
        <f>Model!AO276</f>
        <v>0</v>
      </c>
      <c r="AH232">
        <f>Model!AP276</f>
        <v>0</v>
      </c>
      <c r="AI232">
        <f>Model!AQ276</f>
        <v>0</v>
      </c>
      <c r="AJ232">
        <f>Model!AR276</f>
        <v>0</v>
      </c>
      <c r="AK232">
        <f>Model!AS276</f>
        <v>0</v>
      </c>
      <c r="AL232">
        <f>Model!AT276</f>
        <v>0</v>
      </c>
      <c r="AM232">
        <f>Model!AU276</f>
        <v>0</v>
      </c>
      <c r="AN232">
        <f>Model!AV276</f>
        <v>0</v>
      </c>
      <c r="AO232">
        <f>Model!AW276</f>
        <v>0</v>
      </c>
      <c r="AP232">
        <f>Model!AX276</f>
        <v>0</v>
      </c>
      <c r="AQ232">
        <f>Model!AY276</f>
        <v>0</v>
      </c>
      <c r="AR232">
        <f>Model!AZ276</f>
        <v>0</v>
      </c>
      <c r="AS232">
        <f>Model!BA276</f>
        <v>0</v>
      </c>
      <c r="AT232">
        <f>Model!BB276</f>
        <v>0</v>
      </c>
      <c r="AU232">
        <f>Model!BC276</f>
        <v>0</v>
      </c>
      <c r="AV232">
        <f>Model!BD276</f>
        <v>0</v>
      </c>
      <c r="AW232">
        <f>Model!BE276</f>
        <v>0</v>
      </c>
      <c r="AX232">
        <f>Model!BF276</f>
        <v>0</v>
      </c>
      <c r="AY232">
        <f>Model!BG276</f>
        <v>0</v>
      </c>
      <c r="AZ232">
        <f>Model!BH276</f>
        <v>0</v>
      </c>
      <c r="BA232">
        <f>Model!BI276</f>
        <v>0</v>
      </c>
      <c r="BB232">
        <f>Model!BJ276</f>
        <v>0</v>
      </c>
      <c r="BC232">
        <f>Model!BK276</f>
        <v>0</v>
      </c>
      <c r="BD232">
        <f>Model!BL276</f>
        <v>0</v>
      </c>
      <c r="BE232">
        <f>Model!BM276</f>
        <v>0</v>
      </c>
      <c r="BF232">
        <f>Model!BN276</f>
        <v>0</v>
      </c>
      <c r="BG232">
        <f>Model!BO276</f>
        <v>0</v>
      </c>
      <c r="BH232">
        <f>Model!BP276</f>
        <v>0</v>
      </c>
      <c r="BI232">
        <f>Model!BQ276</f>
        <v>0</v>
      </c>
      <c r="BJ232">
        <f>Model!BR276</f>
        <v>0</v>
      </c>
      <c r="BK232">
        <f>Model!BS276</f>
        <v>0</v>
      </c>
      <c r="BL232">
        <f>Model!BT276</f>
        <v>0</v>
      </c>
      <c r="BM232">
        <f>Model!BU276</f>
        <v>0</v>
      </c>
      <c r="BN232">
        <f>Model!BV276</f>
        <v>0</v>
      </c>
      <c r="BO232">
        <f>Model!BW276</f>
        <v>0</v>
      </c>
      <c r="BP232">
        <f>Model!BX276</f>
        <v>0</v>
      </c>
      <c r="BQ232">
        <f>Model!BY276</f>
        <v>0</v>
      </c>
      <c r="BR232">
        <f>Model!BZ276</f>
        <v>0</v>
      </c>
      <c r="BS232">
        <f>Model!CA276</f>
        <v>0</v>
      </c>
      <c r="BT232">
        <f>Model!CB276</f>
        <v>0</v>
      </c>
      <c r="BU232">
        <f>Model!CC276</f>
        <v>0</v>
      </c>
      <c r="BV232">
        <f>Model!CD276</f>
        <v>0</v>
      </c>
      <c r="BW232">
        <f>Model!CE276</f>
        <v>0</v>
      </c>
      <c r="BX232">
        <f>Model!CF276</f>
        <v>0</v>
      </c>
      <c r="BY232">
        <f>Model!CG276</f>
        <v>0</v>
      </c>
      <c r="BZ232">
        <f>Model!CH276</f>
        <v>0</v>
      </c>
      <c r="CA232">
        <f>Model!CI276</f>
        <v>0</v>
      </c>
      <c r="CB232">
        <f>Model!CJ276</f>
        <v>0</v>
      </c>
      <c r="CC232">
        <f>Model!CK276</f>
        <v>0</v>
      </c>
      <c r="CD232">
        <f>Model!CL276</f>
        <v>0</v>
      </c>
      <c r="CE232">
        <f>Model!CM276</f>
        <v>0</v>
      </c>
      <c r="CF232">
        <f>Model!CN276</f>
        <v>0</v>
      </c>
      <c r="CG232">
        <f>Model!CO276</f>
        <v>0</v>
      </c>
      <c r="CH232">
        <f>Model!CP276</f>
        <v>0</v>
      </c>
      <c r="CI232">
        <f>Model!CQ276</f>
        <v>0</v>
      </c>
      <c r="CJ232">
        <f>Model!CR276</f>
        <v>0</v>
      </c>
      <c r="CK232">
        <f>Model!CS276</f>
        <v>0</v>
      </c>
      <c r="CL232">
        <f>Model!CT276</f>
        <v>0</v>
      </c>
      <c r="CM232">
        <f>Model!CU276</f>
        <v>0</v>
      </c>
      <c r="CN232">
        <f>Model!CV276</f>
        <v>0</v>
      </c>
      <c r="CO232">
        <f>Model!CW276</f>
        <v>0</v>
      </c>
      <c r="CP232">
        <f>Model!CX276</f>
        <v>0</v>
      </c>
      <c r="CQ232">
        <f>Model!CY276</f>
        <v>0</v>
      </c>
      <c r="CR232">
        <f>Model!CZ276</f>
        <v>0</v>
      </c>
      <c r="CS232">
        <f>Model!DA276</f>
        <v>0</v>
      </c>
      <c r="CT232">
        <f>Model!DB276</f>
        <v>0</v>
      </c>
      <c r="CU232">
        <f>Model!DC276</f>
        <v>0</v>
      </c>
      <c r="CV232">
        <f>Model!DD276</f>
        <v>0</v>
      </c>
      <c r="CW232">
        <f>Model!DE276</f>
        <v>0</v>
      </c>
      <c r="CX232">
        <f>Model!DF276</f>
        <v>0</v>
      </c>
    </row>
    <row r="233" spans="1:102">
      <c r="A233" t="str">
        <f>Model!I277</f>
        <v>Int'l Agency Gross Bookings (Booking.com)</v>
      </c>
      <c r="B233">
        <f>Model!J277</f>
        <v>0</v>
      </c>
      <c r="C233">
        <f>Model!K277</f>
        <v>0</v>
      </c>
      <c r="D233">
        <f>Model!L277</f>
        <v>0</v>
      </c>
      <c r="E233">
        <f>Model!M277</f>
        <v>0</v>
      </c>
      <c r="F233">
        <f>Model!N277</f>
        <v>0</v>
      </c>
      <c r="G233">
        <f>Model!O277</f>
        <v>0</v>
      </c>
      <c r="H233">
        <f>Model!P277</f>
        <v>0</v>
      </c>
      <c r="I233">
        <f>Model!Q277</f>
        <v>0</v>
      </c>
      <c r="J233">
        <f>Model!R277</f>
        <v>0</v>
      </c>
      <c r="K233">
        <f>Model!S277</f>
        <v>0</v>
      </c>
      <c r="L233">
        <f>Model!T277</f>
        <v>0</v>
      </c>
      <c r="M233">
        <f>Model!U277</f>
        <v>0</v>
      </c>
      <c r="N233">
        <f>Model!V277</f>
        <v>0</v>
      </c>
      <c r="O233">
        <f>Model!W277</f>
        <v>0</v>
      </c>
      <c r="P233">
        <f>Model!X277</f>
        <v>0</v>
      </c>
      <c r="Q233">
        <f>Model!Y277</f>
        <v>0</v>
      </c>
      <c r="R233">
        <f>Model!Z277</f>
        <v>0</v>
      </c>
      <c r="S233">
        <f>Model!AA277</f>
        <v>0</v>
      </c>
      <c r="T233">
        <f>Model!AB277</f>
        <v>0</v>
      </c>
      <c r="U233">
        <f>Model!AC277</f>
        <v>0</v>
      </c>
      <c r="V233">
        <f>Model!AD277</f>
        <v>0</v>
      </c>
      <c r="W233">
        <f>Model!AE277</f>
        <v>0</v>
      </c>
      <c r="X233">
        <f>Model!AF277</f>
        <v>0</v>
      </c>
      <c r="Y233">
        <f>Model!AG277</f>
        <v>0</v>
      </c>
      <c r="Z233">
        <f>Model!AH277</f>
        <v>0</v>
      </c>
      <c r="AA233">
        <f>Model!AI277</f>
        <v>0</v>
      </c>
      <c r="AB233">
        <f>Model!AJ277</f>
        <v>0</v>
      </c>
      <c r="AC233">
        <f>Model!AK277</f>
        <v>519.67899999999997</v>
      </c>
      <c r="AD233">
        <f>Model!AL277</f>
        <v>687.12400000000002</v>
      </c>
      <c r="AE233">
        <f>Model!AM277</f>
        <v>788.47799999999995</v>
      </c>
      <c r="AF233">
        <f>Model!AN277</f>
        <v>666.36</v>
      </c>
      <c r="AG233">
        <f>Model!AO277</f>
        <v>1013.044</v>
      </c>
      <c r="AH233">
        <f>Model!AP277</f>
        <v>1213.481</v>
      </c>
      <c r="AI233">
        <f>Model!AQ277</f>
        <v>1218.4499999999998</v>
      </c>
      <c r="AJ233">
        <f>Model!AR277</f>
        <v>754.69</v>
      </c>
      <c r="AK233">
        <f>Model!AS277</f>
        <v>1034.617</v>
      </c>
      <c r="AL233">
        <f>Model!AT277</f>
        <v>1357.8440000000001</v>
      </c>
      <c r="AM233">
        <f>Model!AU277</f>
        <v>1646.3710000000001</v>
      </c>
      <c r="AN233">
        <f>Model!AV277</f>
        <v>1350.971</v>
      </c>
      <c r="AO233">
        <f>Model!AW277</f>
        <v>1818.1017999999999</v>
      </c>
      <c r="AP233">
        <f>Model!AX277</f>
        <v>2058.8519999999999</v>
      </c>
      <c r="AQ233">
        <f>Model!AY277</f>
        <v>2593.136</v>
      </c>
      <c r="AR233">
        <f>Model!AZ277</f>
        <v>2092.6750000000002</v>
      </c>
      <c r="AS233">
        <f>Model!BA277</f>
        <v>3094.3649600000003</v>
      </c>
      <c r="AT233">
        <f>Model!BB277</f>
        <v>3980.4500499999999</v>
      </c>
      <c r="AU233">
        <f>Model!BC277</f>
        <v>4396.692</v>
      </c>
      <c r="AV233">
        <f>Model!BD277</f>
        <v>3365.85</v>
      </c>
      <c r="AW233">
        <f>Model!BE277</f>
        <v>4700.2204320000001</v>
      </c>
      <c r="AX233">
        <f>Model!BF277</f>
        <v>5126.3650850000004</v>
      </c>
      <c r="AY233">
        <f>Model!BG277</f>
        <v>5492.3369600000005</v>
      </c>
      <c r="AZ233">
        <f>Model!BH277</f>
        <v>4631.71</v>
      </c>
      <c r="BA233">
        <f>Model!BI277</f>
        <v>6708.3850220800005</v>
      </c>
      <c r="BB233">
        <f>Model!BJ277</f>
        <v>7356.5476275000001</v>
      </c>
      <c r="BC233">
        <f>Model!BK277</f>
        <v>7785.3004928000009</v>
      </c>
      <c r="BD233">
        <f>Model!BL277</f>
        <v>6602.5709999999999</v>
      </c>
      <c r="BE233">
        <f>Model!BM277</f>
        <v>9259.6664887039988</v>
      </c>
      <c r="BF233">
        <f>Model!BN277</f>
        <v>10115.21191575</v>
      </c>
      <c r="BG233">
        <f>Model!BO277</f>
        <v>10276.262704639999</v>
      </c>
      <c r="BH233">
        <f>Model!BP277</f>
        <v>7753.4647999999997</v>
      </c>
      <c r="BI233">
        <f>Model!BQ277</f>
        <v>10443.9997864448</v>
      </c>
      <c r="BJ233">
        <f>Model!BR277</f>
        <v>11211.8542989</v>
      </c>
      <c r="BK233">
        <f>Model!BS277</f>
        <v>11273.822200576</v>
      </c>
      <c r="BL233">
        <f>Model!BT277</f>
        <v>9055.9977799999997</v>
      </c>
      <c r="BM233">
        <f>Model!BU277</f>
        <v>12941.726138473983</v>
      </c>
      <c r="BN233">
        <f>Model!BV277</f>
        <v>13659.266166986999</v>
      </c>
      <c r="BO233">
        <f>Model!BW277</f>
        <v>14373.26815628288</v>
      </c>
      <c r="BP233">
        <f>Model!BX277</f>
        <v>11598.385905999998</v>
      </c>
      <c r="BQ233">
        <f>Model!BY277</f>
        <v>16469.210514955394</v>
      </c>
      <c r="BR233">
        <f>Model!BZ277</f>
        <v>16014.094192368852</v>
      </c>
      <c r="BS233">
        <f>Model!CA277</f>
        <v>17162.050845055357</v>
      </c>
      <c r="BT233">
        <f>Model!CB277</f>
        <v>13939.875189079999</v>
      </c>
      <c r="BU233">
        <f>Model!CC277</f>
        <v>20259.534066943394</v>
      </c>
      <c r="BV233">
        <f>Model!CD277</f>
        <v>19839.416289284698</v>
      </c>
      <c r="BW233">
        <f>Model!CE277</f>
        <v>19810.211240681154</v>
      </c>
      <c r="BX233">
        <f>Model!CF277</f>
        <v>17553.571726699396</v>
      </c>
      <c r="BY233">
        <f>Model!CG277</f>
        <v>0</v>
      </c>
      <c r="BZ233">
        <f>Model!CH277</f>
        <v>0</v>
      </c>
      <c r="CA233">
        <f>Model!CI277</f>
        <v>0</v>
      </c>
      <c r="CB233">
        <f>Model!CJ277</f>
        <v>0</v>
      </c>
      <c r="CC233">
        <f>Model!CK277</f>
        <v>0</v>
      </c>
      <c r="CD233">
        <f>Model!CL277</f>
        <v>0</v>
      </c>
      <c r="CE233">
        <f>Model!CM277</f>
        <v>0</v>
      </c>
      <c r="CF233">
        <f>Model!CN277</f>
        <v>2661.6410000000001</v>
      </c>
      <c r="CG233">
        <f>Model!CO277</f>
        <v>4199.665</v>
      </c>
      <c r="CH233">
        <f>Model!CP277</f>
        <v>5389.8029999999999</v>
      </c>
      <c r="CI233">
        <f>Model!CQ277</f>
        <v>8562.7648000000008</v>
      </c>
      <c r="CJ233">
        <f>Model!CR277</f>
        <v>14837.357010000002</v>
      </c>
      <c r="CK233">
        <f>Model!CS277</f>
        <v>19950.632476999999</v>
      </c>
      <c r="CL233">
        <f>Model!CT277</f>
        <v>28452.804142380002</v>
      </c>
      <c r="CM233">
        <f>Model!CU277</f>
        <v>37404.605909094003</v>
      </c>
      <c r="CN233">
        <f>Model!CV277</f>
        <v>41985.674065920794</v>
      </c>
      <c r="CO233">
        <f>Model!CW277</f>
        <v>52572.646367743859</v>
      </c>
      <c r="CP233">
        <f>Model!CX277</f>
        <v>63585.2307414596</v>
      </c>
      <c r="CQ233">
        <f>Model!CY277</f>
        <v>77462.733323608642</v>
      </c>
      <c r="CR233">
        <f>Model!CZ277</f>
        <v>90008.38687340969</v>
      </c>
      <c r="CS233">
        <f>Model!DA277</f>
        <v>102451.01707138239</v>
      </c>
      <c r="CT233">
        <f>Model!DB277</f>
        <v>114551.58423561105</v>
      </c>
      <c r="CU233">
        <f>Model!DC277</f>
        <v>126502.75271608696</v>
      </c>
      <c r="CV233">
        <f>Model!DD277</f>
        <v>138260.43544710946</v>
      </c>
      <c r="CW233">
        <f>Model!DE277</f>
        <v>149701.24736258807</v>
      </c>
      <c r="CX233">
        <f>Model!DF277</f>
        <v>162088.49879497199</v>
      </c>
    </row>
    <row r="234" spans="1:102">
      <c r="A234" t="str">
        <f>Model!I278</f>
        <v>Int'l Agency Take Rate</v>
      </c>
      <c r="B234">
        <f>Model!J278</f>
        <v>0</v>
      </c>
      <c r="C234">
        <f>Model!K278</f>
        <v>0</v>
      </c>
      <c r="D234">
        <f>Model!L278</f>
        <v>0</v>
      </c>
      <c r="E234">
        <f>Model!M278</f>
        <v>0</v>
      </c>
      <c r="F234">
        <f>Model!N278</f>
        <v>0</v>
      </c>
      <c r="G234">
        <f>Model!O278</f>
        <v>0</v>
      </c>
      <c r="H234">
        <f>Model!P278</f>
        <v>0</v>
      </c>
      <c r="I234">
        <f>Model!Q278</f>
        <v>0</v>
      </c>
      <c r="J234">
        <f>Model!R278</f>
        <v>0</v>
      </c>
      <c r="K234">
        <f>Model!S278</f>
        <v>0</v>
      </c>
      <c r="L234">
        <f>Model!T278</f>
        <v>0</v>
      </c>
      <c r="M234">
        <f>Model!U278</f>
        <v>0</v>
      </c>
      <c r="N234">
        <f>Model!V278</f>
        <v>0</v>
      </c>
      <c r="O234">
        <f>Model!W278</f>
        <v>0</v>
      </c>
      <c r="P234">
        <f>Model!X278</f>
        <v>0</v>
      </c>
      <c r="Q234">
        <f>Model!Y278</f>
        <v>0</v>
      </c>
      <c r="R234">
        <f>Model!Z278</f>
        <v>0</v>
      </c>
      <c r="S234">
        <f>Model!AA278</f>
        <v>0</v>
      </c>
      <c r="T234">
        <f>Model!AB278</f>
        <v>0</v>
      </c>
      <c r="U234">
        <f>Model!AC278</f>
        <v>0</v>
      </c>
      <c r="V234">
        <f>Model!AD278</f>
        <v>0</v>
      </c>
      <c r="W234">
        <f>Model!AE278</f>
        <v>0</v>
      </c>
      <c r="X234">
        <f>Model!AF278</f>
        <v>0</v>
      </c>
      <c r="Y234">
        <f>Model!AG278</f>
        <v>0</v>
      </c>
      <c r="Z234">
        <f>Model!AH278</f>
        <v>0</v>
      </c>
      <c r="AA234">
        <f>Model!AI278</f>
        <v>0</v>
      </c>
      <c r="AB234">
        <f>Model!AJ278</f>
        <v>0</v>
      </c>
      <c r="AC234">
        <f>Model!AK278</f>
        <v>9.2172283274867775E-2</v>
      </c>
      <c r="AD234">
        <f>Model!AL278</f>
        <v>0.13156286201617176</v>
      </c>
      <c r="AE234">
        <f>Model!AM278</f>
        <v>0.1671574856876159</v>
      </c>
      <c r="AF234">
        <f>Model!AN278</f>
        <v>0.15156972207215319</v>
      </c>
      <c r="AG234">
        <f>Model!AO278</f>
        <v>9.8942395394474483E-2</v>
      </c>
      <c r="AH234">
        <f>Model!AP278</f>
        <v>0.13266874388638966</v>
      </c>
      <c r="AI234">
        <f>Model!AQ278</f>
        <v>0.17973819196520172</v>
      </c>
      <c r="AJ234">
        <f>Model!AR278</f>
        <v>0.16213610886589194</v>
      </c>
      <c r="AK234">
        <f>Model!AS278</f>
        <v>0.10198706381201933</v>
      </c>
      <c r="AL234">
        <f>Model!AT278</f>
        <v>0.13871538262127311</v>
      </c>
      <c r="AM234">
        <f>Model!AU278</f>
        <v>0.18508878011092275</v>
      </c>
      <c r="AN234">
        <f>Model!AV278</f>
        <v>0.15554552984483011</v>
      </c>
      <c r="AO234">
        <f>Model!AW278</f>
        <v>0.10571450729546608</v>
      </c>
      <c r="AP234">
        <f>Model!AX278</f>
        <v>0.14218379708692028</v>
      </c>
      <c r="AQ234">
        <f>Model!AY278</f>
        <v>0.18823568065847684</v>
      </c>
      <c r="AR234">
        <f>Model!AZ278</f>
        <v>0.15997604740344296</v>
      </c>
      <c r="AS234">
        <f>Model!BA278</f>
        <v>0.10601187107547907</v>
      </c>
      <c r="AT234">
        <f>Model!BB278</f>
        <v>0.13550727183572434</v>
      </c>
      <c r="AU234">
        <f>Model!BC278</f>
        <v>0.19720313362864625</v>
      </c>
      <c r="AV234">
        <f>Model!BD278</f>
        <v>0.15739137216453497</v>
      </c>
      <c r="AW234">
        <f>Model!BE278</f>
        <v>0.10951124954388096</v>
      </c>
      <c r="AX234">
        <f>Model!BF278</f>
        <v>0.14376081231662724</v>
      </c>
      <c r="AY234">
        <f>Model!BG278</f>
        <v>0.19923861685281596</v>
      </c>
      <c r="AZ234">
        <f>Model!BH278</f>
        <v>0.15348309803506696</v>
      </c>
      <c r="BA234">
        <f>Model!BI278</f>
        <v>0.11141383443877811</v>
      </c>
      <c r="BB234">
        <f>Model!BJ278</f>
        <v>0.13858496100984757</v>
      </c>
      <c r="BC234">
        <f>Model!BK278</f>
        <v>0.19973384930923135</v>
      </c>
      <c r="BD234">
        <f>Model!BL278</f>
        <v>0.14878452954159826</v>
      </c>
      <c r="BE234">
        <f>Model!BM278</f>
        <v>0.11024770372749798</v>
      </c>
      <c r="BF234">
        <f>Model!BN278</f>
        <v>0.14027691083153659</v>
      </c>
      <c r="BG234">
        <f>Model!BO278</f>
        <v>0.20057033041420341</v>
      </c>
      <c r="BH234">
        <f>Model!BP278</f>
        <v>0.1567485733603898</v>
      </c>
      <c r="BI234">
        <f>Model!BQ278</f>
        <v>0.11231600777289961</v>
      </c>
      <c r="BJ234">
        <f>Model!BR278</f>
        <v>0.13581311131439741</v>
      </c>
      <c r="BK234">
        <f>Model!BS278</f>
        <v>0.20771246164977464</v>
      </c>
      <c r="BL234">
        <f>Model!BT278</f>
        <v>0.15038800071348959</v>
      </c>
      <c r="BM234">
        <f>Model!BU278</f>
        <v>0.1093472842175148</v>
      </c>
      <c r="BN234">
        <f>Model!BV278</f>
        <v>0.12885628860780135</v>
      </c>
      <c r="BO234">
        <f>Model!BW278</f>
        <v>0.20759675240558287</v>
      </c>
      <c r="BP234">
        <f>Model!BX278</f>
        <v>0.14678616270969941</v>
      </c>
      <c r="BQ234">
        <f>Model!BY278</f>
        <v>0.10017953657298685</v>
      </c>
      <c r="BR234">
        <f>Model!BZ278</f>
        <v>0.13636386112393512</v>
      </c>
      <c r="BS234">
        <f>Model!CA278</f>
        <v>0.21092921781062091</v>
      </c>
      <c r="BT234">
        <f>Model!CB278</f>
        <v>0.14603418264136922</v>
      </c>
      <c r="BU234">
        <f>Model!CC278</f>
        <v>0.10107979632590469</v>
      </c>
      <c r="BV234">
        <f>Model!CD278</f>
        <v>0.13710288856623634</v>
      </c>
      <c r="BW234">
        <f>Model!CE278</f>
        <v>0.21122128282166064</v>
      </c>
      <c r="BX234">
        <f>Model!CF278</f>
        <v>0.14660163209958191</v>
      </c>
      <c r="BY234">
        <f>Model!CG278</f>
        <v>0</v>
      </c>
      <c r="BZ234">
        <f>Model!CH278</f>
        <v>0</v>
      </c>
      <c r="CA234">
        <f>Model!CI278</f>
        <v>0</v>
      </c>
      <c r="CB234">
        <f>Model!CJ278</f>
        <v>0</v>
      </c>
      <c r="CC234">
        <f>Model!CK278</f>
        <v>0</v>
      </c>
      <c r="CD234">
        <f>Model!CL278</f>
        <v>0</v>
      </c>
      <c r="CE234">
        <f>Model!CM278</f>
        <v>0</v>
      </c>
      <c r="CF234">
        <f>Model!CN278</f>
        <v>0.13792243206352772</v>
      </c>
      <c r="CG234">
        <f>Model!CO278</f>
        <v>0.14348489700964243</v>
      </c>
      <c r="CH234">
        <f>Model!CP278</f>
        <v>0.15004884223041176</v>
      </c>
      <c r="CI234">
        <f>Model!CQ278</f>
        <v>0.15273498181335071</v>
      </c>
      <c r="CJ234">
        <f>Model!CR278</f>
        <v>0.15260241663173896</v>
      </c>
      <c r="CK234">
        <f>Model!CS278</f>
        <v>0.15322182112348057</v>
      </c>
      <c r="CL234">
        <f>Model!CT278</f>
        <v>0.15127725893879979</v>
      </c>
      <c r="CM234">
        <f>Model!CU278</f>
        <v>0.1528219710052573</v>
      </c>
      <c r="CN234">
        <f>Model!CV278</f>
        <v>0.152417987363209</v>
      </c>
      <c r="CO234">
        <f>Model!CW278</f>
        <v>0.14953691404820355</v>
      </c>
      <c r="CP234">
        <f>Model!CX278</f>
        <v>0.14923745220493953</v>
      </c>
      <c r="CQ234">
        <f>Model!CY278</f>
        <v>0.14878885444514259</v>
      </c>
      <c r="CR234">
        <f>Model!CZ278</f>
        <v>0.1478292720053227</v>
      </c>
      <c r="CS234">
        <f>Model!DA278</f>
        <v>0.14722836109611598</v>
      </c>
      <c r="CT234">
        <f>Model!DB278</f>
        <v>0.14663709498595415</v>
      </c>
      <c r="CU234">
        <f>Model!DC278</f>
        <v>0.14605211345686242</v>
      </c>
      <c r="CV234">
        <f>Model!DD278</f>
        <v>0.14547316513502684</v>
      </c>
      <c r="CW234">
        <f>Model!DE278</f>
        <v>0.14489798386506617</v>
      </c>
      <c r="CX234">
        <f>Model!DF278</f>
        <v>0.14432553042946841</v>
      </c>
    </row>
    <row r="235" spans="1:102">
      <c r="A235" t="str">
        <f>Model!I279</f>
        <v>% change Y/Y (in bp)</v>
      </c>
      <c r="B235">
        <f>Model!J279</f>
        <v>0</v>
      </c>
      <c r="C235">
        <f>Model!K279</f>
        <v>0</v>
      </c>
      <c r="D235">
        <f>Model!L279</f>
        <v>0</v>
      </c>
      <c r="E235">
        <f>Model!M279</f>
        <v>0</v>
      </c>
      <c r="F235">
        <f>Model!N279</f>
        <v>0</v>
      </c>
      <c r="G235">
        <f>Model!O279</f>
        <v>0</v>
      </c>
      <c r="H235">
        <f>Model!P279</f>
        <v>0</v>
      </c>
      <c r="I235">
        <f>Model!Q279</f>
        <v>0</v>
      </c>
      <c r="J235">
        <f>Model!R279</f>
        <v>0</v>
      </c>
      <c r="K235">
        <f>Model!S279</f>
        <v>0</v>
      </c>
      <c r="L235">
        <f>Model!T279</f>
        <v>0</v>
      </c>
      <c r="M235">
        <f>Model!U279</f>
        <v>0</v>
      </c>
      <c r="N235">
        <f>Model!V279</f>
        <v>0</v>
      </c>
      <c r="O235">
        <f>Model!W279</f>
        <v>0</v>
      </c>
      <c r="P235">
        <f>Model!X279</f>
        <v>0</v>
      </c>
      <c r="Q235">
        <f>Model!Y279</f>
        <v>0</v>
      </c>
      <c r="R235">
        <f>Model!Z279</f>
        <v>0</v>
      </c>
      <c r="S235">
        <f>Model!AA279</f>
        <v>0</v>
      </c>
      <c r="T235">
        <f>Model!AB279</f>
        <v>0</v>
      </c>
      <c r="U235">
        <f>Model!AC279</f>
        <v>0</v>
      </c>
      <c r="V235">
        <f>Model!AD279</f>
        <v>0</v>
      </c>
      <c r="W235">
        <f>Model!AE279</f>
        <v>0</v>
      </c>
      <c r="X235">
        <f>Model!AF279</f>
        <v>0</v>
      </c>
      <c r="Y235">
        <f>Model!AG279</f>
        <v>0</v>
      </c>
      <c r="Z235">
        <f>Model!AH279</f>
        <v>0</v>
      </c>
      <c r="AA235">
        <f>Model!AI279</f>
        <v>0</v>
      </c>
      <c r="AB235">
        <f>Model!AJ279</f>
        <v>0</v>
      </c>
      <c r="AC235">
        <f>Model!AK279</f>
        <v>0</v>
      </c>
      <c r="AD235">
        <f>Model!AL279</f>
        <v>0</v>
      </c>
      <c r="AE235">
        <f>Model!AM279</f>
        <v>0</v>
      </c>
      <c r="AF235">
        <f>Model!AN279</f>
        <v>0</v>
      </c>
      <c r="AG235">
        <f>Model!AO279</f>
        <v>67.701121196067078</v>
      </c>
      <c r="AH235">
        <f>Model!AP279</f>
        <v>11.058818702179007</v>
      </c>
      <c r="AI235">
        <f>Model!AQ279</f>
        <v>125.80706277585813</v>
      </c>
      <c r="AJ235">
        <f>Model!AR279</f>
        <v>105.66386793738752</v>
      </c>
      <c r="AK235">
        <f>Model!AS279</f>
        <v>30.446684175448464</v>
      </c>
      <c r="AL235">
        <f>Model!AT279</f>
        <v>60.46638734883453</v>
      </c>
      <c r="AM235">
        <f>Model!AU279</f>
        <v>53.505881457210357</v>
      </c>
      <c r="AN235">
        <f>Model!AV279</f>
        <v>-65.905790210618321</v>
      </c>
      <c r="AO235">
        <f>Model!AW279</f>
        <v>37.27443483446752</v>
      </c>
      <c r="AP235">
        <f>Model!AX279</f>
        <v>34.684144656471631</v>
      </c>
      <c r="AQ235">
        <f>Model!AY279</f>
        <v>31.469005475540936</v>
      </c>
      <c r="AR235">
        <f>Model!AZ279</f>
        <v>44.305175586128456</v>
      </c>
      <c r="AS235">
        <f>Model!BA279</f>
        <v>2.9736378001299357</v>
      </c>
      <c r="AT235">
        <f>Model!BB279</f>
        <v>-66.765252511959417</v>
      </c>
      <c r="AU235">
        <f>Model!BC279</f>
        <v>89.674529701694041</v>
      </c>
      <c r="AV235">
        <f>Model!BD279</f>
        <v>-25.846752389079853</v>
      </c>
      <c r="AW235">
        <f>Model!BE279</f>
        <v>34.993784684018841</v>
      </c>
      <c r="AX235">
        <f>Model!BF279</f>
        <v>82.535404809029046</v>
      </c>
      <c r="AY235">
        <f>Model!BG279</f>
        <v>20.354832241697153</v>
      </c>
      <c r="AZ235">
        <f>Model!BH279</f>
        <v>-39.082741294680091</v>
      </c>
      <c r="BA235">
        <f>Model!BI279</f>
        <v>19.025848948971554</v>
      </c>
      <c r="BB235">
        <f>Model!BJ279</f>
        <v>-51.758513067796663</v>
      </c>
      <c r="BC235">
        <f>Model!BK279</f>
        <v>4.9523245641538978</v>
      </c>
      <c r="BD235">
        <f>Model!BL279</f>
        <v>-46.985684934686965</v>
      </c>
      <c r="BE235">
        <f>Model!BM279</f>
        <v>-11.661307112801333</v>
      </c>
      <c r="BF235">
        <f>Model!BN279</f>
        <v>16.919498216890204</v>
      </c>
      <c r="BG235">
        <f>Model!BO279</f>
        <v>8.3648110497205881</v>
      </c>
      <c r="BH235">
        <f>Model!BP279</f>
        <v>79.640438187915379</v>
      </c>
      <c r="BI235">
        <f>Model!BQ279</f>
        <v>20.683040454016339</v>
      </c>
      <c r="BJ235">
        <f>Model!BR279</f>
        <v>-44.637995171391829</v>
      </c>
      <c r="BK235">
        <f>Model!BS279</f>
        <v>71.421312355712246</v>
      </c>
      <c r="BL235">
        <f>Model!BT279</f>
        <v>-63.605726469002086</v>
      </c>
      <c r="BM235">
        <f>Model!BU279</f>
        <v>-29.68723555384814</v>
      </c>
      <c r="BN235">
        <f>Model!BV279</f>
        <v>-69.568227065960613</v>
      </c>
      <c r="BO235">
        <f>Model!BW279</f>
        <v>-1.1570924419176953</v>
      </c>
      <c r="BP235">
        <f>Model!BX279</f>
        <v>-36.018380037901863</v>
      </c>
      <c r="BQ235">
        <f>Model!BY279</f>
        <v>-91.677476445279481</v>
      </c>
      <c r="BR235">
        <f>Model!BZ279</f>
        <v>75.075725161337644</v>
      </c>
      <c r="BS235">
        <f>Model!CA279</f>
        <v>33.324654050380374</v>
      </c>
      <c r="BT235">
        <f>Model!CB279</f>
        <v>-7.5198006833018809</v>
      </c>
      <c r="BU235">
        <f>Model!CC279</f>
        <v>9.0025975291783968</v>
      </c>
      <c r="BV235">
        <f>Model!CD279</f>
        <v>7.3902744230122668</v>
      </c>
      <c r="BW235">
        <f>Model!CE279</f>
        <v>2.920650110397327</v>
      </c>
      <c r="BX235">
        <f>Model!CF279</f>
        <v>5.6744945821268766</v>
      </c>
      <c r="BY235">
        <f>Model!CG279</f>
        <v>0</v>
      </c>
      <c r="BZ235">
        <f>Model!CH279</f>
        <v>0</v>
      </c>
      <c r="CA235">
        <f>Model!CI279</f>
        <v>0</v>
      </c>
      <c r="CB235">
        <f>Model!CJ279</f>
        <v>0</v>
      </c>
      <c r="CC235">
        <f>Model!CK279</f>
        <v>0</v>
      </c>
      <c r="CD235">
        <f>Model!CL279</f>
        <v>0</v>
      </c>
      <c r="CE235">
        <f>Model!CM279</f>
        <v>0</v>
      </c>
      <c r="CF235">
        <f>Model!CN279</f>
        <v>0</v>
      </c>
      <c r="CG235">
        <f>Model!CO279</f>
        <v>55.624649461147037</v>
      </c>
      <c r="CH235">
        <f>Model!CP279</f>
        <v>65.639452207693353</v>
      </c>
      <c r="CI235">
        <f>Model!CQ279</f>
        <v>26.861395829389512</v>
      </c>
      <c r="CJ235">
        <f>Model!CR279</f>
        <v>-1.3256518161175457</v>
      </c>
      <c r="CK235">
        <f>Model!CS279</f>
        <v>6.1940449174160968</v>
      </c>
      <c r="CL235">
        <f>Model!CT279</f>
        <v>-19.445621846807814</v>
      </c>
      <c r="CM235">
        <f>Model!CU279</f>
        <v>15.447120664575099</v>
      </c>
      <c r="CN235">
        <f>Model!CV279</f>
        <v>-4.0398364204830006</v>
      </c>
      <c r="CO235">
        <f>Model!CW279</f>
        <v>-28.810733150054503</v>
      </c>
      <c r="CP235">
        <f>Model!CX279</f>
        <v>-2.9946184326401504</v>
      </c>
      <c r="CQ235">
        <f>Model!CY279</f>
        <v>-4.4859775979694261</v>
      </c>
      <c r="CR235">
        <f>Model!CZ279</f>
        <v>-9.5958243981988929</v>
      </c>
      <c r="CS235">
        <f>Model!DA279</f>
        <v>-6.0091090920671997</v>
      </c>
      <c r="CT235">
        <f>Model!DB279</f>
        <v>-5.9126611016183102</v>
      </c>
      <c r="CU235">
        <f>Model!DC279</f>
        <v>-5.8498152909172703</v>
      </c>
      <c r="CV235">
        <f>Model!DD279</f>
        <v>-5.7894832183558176</v>
      </c>
      <c r="CW235">
        <f>Model!DE279</f>
        <v>-5.7518126996067291</v>
      </c>
      <c r="CX235">
        <f>Model!DF279</f>
        <v>-5.7245343559775286</v>
      </c>
    </row>
    <row r="236" spans="1:102">
      <c r="A236">
        <f>Model!I280</f>
        <v>0</v>
      </c>
      <c r="B236">
        <f>Model!J280</f>
        <v>0</v>
      </c>
      <c r="C236">
        <f>Model!K280</f>
        <v>0</v>
      </c>
      <c r="D236">
        <f>Model!L280</f>
        <v>0</v>
      </c>
      <c r="E236">
        <f>Model!M280</f>
        <v>0</v>
      </c>
      <c r="F236">
        <f>Model!N280</f>
        <v>0</v>
      </c>
      <c r="G236">
        <f>Model!O280</f>
        <v>0</v>
      </c>
      <c r="H236">
        <f>Model!P280</f>
        <v>0</v>
      </c>
      <c r="I236">
        <f>Model!Q280</f>
        <v>0</v>
      </c>
      <c r="J236">
        <f>Model!R280</f>
        <v>0</v>
      </c>
      <c r="K236">
        <f>Model!S280</f>
        <v>0</v>
      </c>
      <c r="L236">
        <f>Model!T280</f>
        <v>0</v>
      </c>
      <c r="M236">
        <f>Model!U280</f>
        <v>0</v>
      </c>
      <c r="N236">
        <f>Model!V280</f>
        <v>0</v>
      </c>
      <c r="O236">
        <f>Model!W280</f>
        <v>0</v>
      </c>
      <c r="P236">
        <f>Model!X280</f>
        <v>0</v>
      </c>
      <c r="Q236">
        <f>Model!Y280</f>
        <v>0</v>
      </c>
      <c r="R236">
        <f>Model!Z280</f>
        <v>0</v>
      </c>
      <c r="S236">
        <f>Model!AA280</f>
        <v>0</v>
      </c>
      <c r="T236">
        <f>Model!AB280</f>
        <v>0</v>
      </c>
      <c r="U236">
        <f>Model!AC280</f>
        <v>0</v>
      </c>
      <c r="V236">
        <f>Model!AD280</f>
        <v>0</v>
      </c>
      <c r="W236">
        <f>Model!AE280</f>
        <v>0</v>
      </c>
      <c r="X236">
        <f>Model!AF280</f>
        <v>0</v>
      </c>
      <c r="Y236">
        <f>Model!AG280</f>
        <v>0</v>
      </c>
      <c r="Z236">
        <f>Model!AH280</f>
        <v>0</v>
      </c>
      <c r="AA236">
        <f>Model!AI280</f>
        <v>0</v>
      </c>
      <c r="AB236">
        <f>Model!AJ280</f>
        <v>0</v>
      </c>
      <c r="AC236">
        <f>Model!AK280</f>
        <v>0</v>
      </c>
      <c r="AD236">
        <f>Model!AL280</f>
        <v>0</v>
      </c>
      <c r="AE236">
        <f>Model!AM280</f>
        <v>0</v>
      </c>
      <c r="AF236">
        <f>Model!AN280</f>
        <v>0</v>
      </c>
      <c r="AG236">
        <f>Model!AO280</f>
        <v>0</v>
      </c>
      <c r="AH236">
        <f>Model!AP280</f>
        <v>0</v>
      </c>
      <c r="AI236">
        <f>Model!AQ280</f>
        <v>0</v>
      </c>
      <c r="AJ236">
        <f>Model!AR280</f>
        <v>0</v>
      </c>
      <c r="AK236">
        <f>Model!AS280</f>
        <v>0</v>
      </c>
      <c r="AL236">
        <f>Model!AT280</f>
        <v>0</v>
      </c>
      <c r="AM236">
        <f>Model!AU280</f>
        <v>0</v>
      </c>
      <c r="AN236">
        <f>Model!AV280</f>
        <v>0</v>
      </c>
      <c r="AO236">
        <f>Model!AW280</f>
        <v>0</v>
      </c>
      <c r="AP236">
        <f>Model!AX280</f>
        <v>0</v>
      </c>
      <c r="AQ236">
        <f>Model!AY280</f>
        <v>0</v>
      </c>
      <c r="AR236">
        <f>Model!AZ280</f>
        <v>0</v>
      </c>
      <c r="AS236">
        <f>Model!BA280</f>
        <v>0</v>
      </c>
      <c r="AT236">
        <f>Model!BB280</f>
        <v>0</v>
      </c>
      <c r="AU236">
        <f>Model!BC280</f>
        <v>0</v>
      </c>
      <c r="AV236">
        <f>Model!BD280</f>
        <v>0</v>
      </c>
      <c r="AW236">
        <f>Model!BE280</f>
        <v>0</v>
      </c>
      <c r="AX236">
        <f>Model!BF280</f>
        <v>0</v>
      </c>
      <c r="AY236">
        <f>Model!BG280</f>
        <v>0</v>
      </c>
      <c r="AZ236">
        <f>Model!BH280</f>
        <v>0</v>
      </c>
      <c r="BA236">
        <f>Model!BI280</f>
        <v>0</v>
      </c>
      <c r="BB236">
        <f>Model!BJ280</f>
        <v>0</v>
      </c>
      <c r="BC236">
        <f>Model!BK280</f>
        <v>0</v>
      </c>
      <c r="BD236">
        <f>Model!BL280</f>
        <v>0</v>
      </c>
      <c r="BE236">
        <f>Model!BM280</f>
        <v>0</v>
      </c>
      <c r="BF236">
        <f>Model!BN280</f>
        <v>0</v>
      </c>
      <c r="BG236">
        <f>Model!BO280</f>
        <v>0</v>
      </c>
      <c r="BH236">
        <f>Model!BP280</f>
        <v>0</v>
      </c>
      <c r="BI236">
        <f>Model!BQ280</f>
        <v>0</v>
      </c>
      <c r="BJ236">
        <f>Model!BR280</f>
        <v>0</v>
      </c>
      <c r="BK236">
        <f>Model!BS280</f>
        <v>0</v>
      </c>
      <c r="BL236">
        <f>Model!BT280</f>
        <v>0</v>
      </c>
      <c r="BM236">
        <f>Model!BU280</f>
        <v>0</v>
      </c>
      <c r="BN236">
        <f>Model!BV280</f>
        <v>0</v>
      </c>
      <c r="BO236">
        <f>Model!BW280</f>
        <v>0</v>
      </c>
      <c r="BP236">
        <f>Model!BX280</f>
        <v>0</v>
      </c>
      <c r="BQ236">
        <f>Model!BY280</f>
        <v>0</v>
      </c>
      <c r="BR236">
        <f>Model!BZ280</f>
        <v>0</v>
      </c>
      <c r="BS236">
        <f>Model!CA280</f>
        <v>0</v>
      </c>
      <c r="BT236">
        <f>Model!CB280</f>
        <v>0</v>
      </c>
      <c r="BU236">
        <f>Model!CC280</f>
        <v>0</v>
      </c>
      <c r="BV236">
        <f>Model!CD280</f>
        <v>0</v>
      </c>
      <c r="BW236">
        <f>Model!CE280</f>
        <v>0</v>
      </c>
      <c r="BX236">
        <f>Model!CF280</f>
        <v>0</v>
      </c>
      <c r="BY236">
        <f>Model!CG280</f>
        <v>0</v>
      </c>
      <c r="BZ236">
        <f>Model!CH280</f>
        <v>0</v>
      </c>
      <c r="CA236">
        <f>Model!CI280</f>
        <v>0</v>
      </c>
      <c r="CB236">
        <f>Model!CJ280</f>
        <v>0</v>
      </c>
      <c r="CC236">
        <f>Model!CK280</f>
        <v>0</v>
      </c>
      <c r="CD236">
        <f>Model!CL280</f>
        <v>0</v>
      </c>
      <c r="CE236">
        <f>Model!CM280</f>
        <v>0</v>
      </c>
      <c r="CF236">
        <f>Model!CN280</f>
        <v>0</v>
      </c>
      <c r="CG236">
        <f>Model!CO280</f>
        <v>0</v>
      </c>
      <c r="CH236">
        <f>Model!CP280</f>
        <v>0</v>
      </c>
      <c r="CI236">
        <f>Model!CQ280</f>
        <v>0</v>
      </c>
      <c r="CJ236">
        <f>Model!CR280</f>
        <v>0</v>
      </c>
      <c r="CK236">
        <f>Model!CS280</f>
        <v>0</v>
      </c>
      <c r="CL236">
        <f>Model!CT280</f>
        <v>0</v>
      </c>
      <c r="CM236">
        <f>Model!CU280</f>
        <v>0</v>
      </c>
      <c r="CN236">
        <f>Model!CV280</f>
        <v>0</v>
      </c>
      <c r="CO236">
        <f>Model!CW280</f>
        <v>0</v>
      </c>
      <c r="CP236">
        <f>Model!CX280</f>
        <v>0</v>
      </c>
      <c r="CQ236">
        <f>Model!CY280</f>
        <v>0</v>
      </c>
      <c r="CR236">
        <f>Model!CZ280</f>
        <v>0</v>
      </c>
      <c r="CS236">
        <f>Model!DA280</f>
        <v>0</v>
      </c>
      <c r="CT236">
        <f>Model!DB280</f>
        <v>0</v>
      </c>
      <c r="CU236">
        <f>Model!DC280</f>
        <v>0</v>
      </c>
      <c r="CV236">
        <f>Model!DD280</f>
        <v>0</v>
      </c>
      <c r="CW236">
        <f>Model!DE280</f>
        <v>0</v>
      </c>
      <c r="CX236">
        <f>Model!DF280</f>
        <v>0</v>
      </c>
    </row>
    <row r="238" spans="1:102">
      <c r="A238" t="str">
        <f>Model!I281</f>
        <v>Int'l Agency Gross Margin %</v>
      </c>
      <c r="B238">
        <f>Model!J281</f>
        <v>0</v>
      </c>
      <c r="C238">
        <f>Model!K281</f>
        <v>0</v>
      </c>
      <c r="D238">
        <f>Model!L281</f>
        <v>0</v>
      </c>
      <c r="E238">
        <f>Model!M281</f>
        <v>0</v>
      </c>
      <c r="F238">
        <f>Model!N281</f>
        <v>0</v>
      </c>
      <c r="G238">
        <f>Model!O281</f>
        <v>0</v>
      </c>
      <c r="H238">
        <f>Model!P281</f>
        <v>0</v>
      </c>
      <c r="I238">
        <f>Model!Q281</f>
        <v>0</v>
      </c>
      <c r="J238">
        <f>Model!R281</f>
        <v>0</v>
      </c>
      <c r="K238">
        <f>Model!S281</f>
        <v>0</v>
      </c>
      <c r="L238">
        <f>Model!T281</f>
        <v>0</v>
      </c>
      <c r="M238">
        <f>Model!U281</f>
        <v>0</v>
      </c>
      <c r="N238">
        <f>Model!V281</f>
        <v>0</v>
      </c>
      <c r="O238">
        <f>Model!W281</f>
        <v>0</v>
      </c>
      <c r="P238">
        <f>Model!X281</f>
        <v>0</v>
      </c>
      <c r="Q238">
        <f>Model!Y281</f>
        <v>0</v>
      </c>
      <c r="R238">
        <f>Model!Z281</f>
        <v>0</v>
      </c>
      <c r="S238">
        <f>Model!AA281</f>
        <v>0</v>
      </c>
      <c r="T238">
        <f>Model!AB281</f>
        <v>0</v>
      </c>
      <c r="U238">
        <f>Model!AC281</f>
        <v>0</v>
      </c>
      <c r="V238">
        <f>Model!AD281</f>
        <v>0</v>
      </c>
      <c r="W238">
        <f>Model!AE281</f>
        <v>0</v>
      </c>
      <c r="X238">
        <f>Model!AF281</f>
        <v>0</v>
      </c>
      <c r="Y238">
        <f>Model!AG281</f>
        <v>0</v>
      </c>
      <c r="Z238">
        <f>Model!AH281</f>
        <v>0</v>
      </c>
      <c r="AA238">
        <f>Model!AI281</f>
        <v>0</v>
      </c>
      <c r="AB238">
        <f>Model!AJ281</f>
        <v>0</v>
      </c>
      <c r="AC238">
        <f>Model!AK281</f>
        <v>1</v>
      </c>
      <c r="AD238">
        <f>Model!AL281</f>
        <v>1</v>
      </c>
      <c r="AE238">
        <f>Model!AM281</f>
        <v>1</v>
      </c>
      <c r="AF238">
        <f>Model!AN281</f>
        <v>1</v>
      </c>
      <c r="AG238">
        <f>Model!AO281</f>
        <v>1</v>
      </c>
      <c r="AH238">
        <f>Model!AP281</f>
        <v>1</v>
      </c>
      <c r="AI238">
        <f>Model!AQ281</f>
        <v>1</v>
      </c>
      <c r="AJ238">
        <f>Model!AR281</f>
        <v>1</v>
      </c>
      <c r="AK238">
        <f>Model!AS281</f>
        <v>1</v>
      </c>
      <c r="AL238">
        <f>Model!AT281</f>
        <v>1</v>
      </c>
      <c r="AM238">
        <f>Model!AU281</f>
        <v>1</v>
      </c>
      <c r="AN238">
        <f>Model!AV281</f>
        <v>1</v>
      </c>
      <c r="AO238">
        <f>Model!AW281</f>
        <v>1</v>
      </c>
      <c r="AP238">
        <f>Model!AX281</f>
        <v>1</v>
      </c>
      <c r="AQ238">
        <f>Model!AY281</f>
        <v>1</v>
      </c>
      <c r="AR238">
        <f>Model!AZ281</f>
        <v>1</v>
      </c>
      <c r="AS238">
        <f>Model!BA281</f>
        <v>1</v>
      </c>
      <c r="AT238">
        <f>Model!BB281</f>
        <v>1</v>
      </c>
      <c r="AU238">
        <f>Model!BC281</f>
        <v>1</v>
      </c>
      <c r="AV238">
        <f>Model!BD281</f>
        <v>1</v>
      </c>
      <c r="AW238">
        <f>Model!BE281</f>
        <v>1</v>
      </c>
      <c r="AX238">
        <f>Model!BF281</f>
        <v>1</v>
      </c>
      <c r="AY238">
        <f>Model!BG281</f>
        <v>1</v>
      </c>
      <c r="AZ238">
        <f>Model!BH281</f>
        <v>1</v>
      </c>
      <c r="BA238">
        <f>Model!BI281</f>
        <v>1</v>
      </c>
      <c r="BB238">
        <f>Model!BJ281</f>
        <v>1</v>
      </c>
      <c r="BC238">
        <f>Model!BK281</f>
        <v>1</v>
      </c>
      <c r="BD238">
        <f>Model!BL281</f>
        <v>1</v>
      </c>
      <c r="BE238">
        <f>Model!BM281</f>
        <v>1</v>
      </c>
      <c r="BF238">
        <f>Model!BN281</f>
        <v>1</v>
      </c>
      <c r="BG238">
        <f>Model!BO281</f>
        <v>1</v>
      </c>
      <c r="BH238">
        <f>Model!BP281</f>
        <v>1</v>
      </c>
      <c r="BI238">
        <f>Model!BQ281</f>
        <v>1</v>
      </c>
      <c r="BJ238">
        <f>Model!BR281</f>
        <v>1</v>
      </c>
      <c r="BK238">
        <f>Model!BS281</f>
        <v>1</v>
      </c>
      <c r="BL238">
        <f>Model!BT281</f>
        <v>1</v>
      </c>
      <c r="BM238">
        <f>Model!BU281</f>
        <v>1</v>
      </c>
      <c r="BN238">
        <f>Model!BV281</f>
        <v>1</v>
      </c>
      <c r="BO238">
        <f>Model!BW281</f>
        <v>1</v>
      </c>
      <c r="BP238">
        <f>Model!BX281</f>
        <v>1</v>
      </c>
      <c r="BQ238">
        <f>Model!BY281</f>
        <v>1</v>
      </c>
      <c r="BR238">
        <f>Model!BZ281</f>
        <v>1</v>
      </c>
      <c r="BS238">
        <f>Model!CA281</f>
        <v>1</v>
      </c>
      <c r="BT238">
        <f>Model!CB281</f>
        <v>1</v>
      </c>
      <c r="BU238">
        <f>Model!CC281</f>
        <v>1</v>
      </c>
      <c r="BV238">
        <f>Model!CD281</f>
        <v>1</v>
      </c>
      <c r="BW238">
        <f>Model!CE281</f>
        <v>1</v>
      </c>
      <c r="BX238">
        <f>Model!CF281</f>
        <v>1</v>
      </c>
      <c r="BY238">
        <f>Model!CG281</f>
        <v>0</v>
      </c>
      <c r="BZ238">
        <f>Model!CH281</f>
        <v>0</v>
      </c>
      <c r="CA238">
        <f>Model!CI281</f>
        <v>0</v>
      </c>
      <c r="CB238">
        <f>Model!CJ281</f>
        <v>0</v>
      </c>
      <c r="CC238">
        <f>Model!CK281</f>
        <v>0</v>
      </c>
      <c r="CD238">
        <f>Model!CL281</f>
        <v>0</v>
      </c>
      <c r="CE238">
        <f>Model!CM281</f>
        <v>0</v>
      </c>
      <c r="CF238">
        <f>Model!CN281</f>
        <v>1</v>
      </c>
      <c r="CG238">
        <f>Model!CO281</f>
        <v>1</v>
      </c>
      <c r="CH238">
        <f>Model!CP281</f>
        <v>1</v>
      </c>
      <c r="CI238">
        <f>Model!CQ281</f>
        <v>0</v>
      </c>
      <c r="CJ238">
        <f>Model!CR281</f>
        <v>0</v>
      </c>
      <c r="CK238">
        <f>Model!CS281</f>
        <v>0</v>
      </c>
      <c r="CL238">
        <f>Model!CT281</f>
        <v>0</v>
      </c>
      <c r="CM238">
        <f>Model!CU281</f>
        <v>0</v>
      </c>
      <c r="CN238">
        <f>Model!CV281</f>
        <v>0</v>
      </c>
      <c r="CO238">
        <f>Model!CW281</f>
        <v>0</v>
      </c>
      <c r="CP238">
        <f>Model!CX281</f>
        <v>0</v>
      </c>
      <c r="CQ238">
        <f>Model!CY281</f>
        <v>0</v>
      </c>
      <c r="CR238">
        <f>Model!CZ281</f>
        <v>0</v>
      </c>
      <c r="CS238">
        <f>Model!DA281</f>
        <v>0</v>
      </c>
      <c r="CT238">
        <f>Model!DB281</f>
        <v>0</v>
      </c>
      <c r="CU238">
        <f>Model!DC281</f>
        <v>0</v>
      </c>
      <c r="CV238">
        <f>Model!DD281</f>
        <v>0</v>
      </c>
      <c r="CW238">
        <f>Model!DE281</f>
        <v>0</v>
      </c>
      <c r="CX238">
        <f>Model!DF281</f>
        <v>0</v>
      </c>
    </row>
    <row r="239" spans="1:102">
      <c r="A239" t="str">
        <f>Model!I282</f>
        <v>Travel Jigsaw (Merchant) Gross Margin %</v>
      </c>
      <c r="B239">
        <f>Model!J282</f>
        <v>0</v>
      </c>
      <c r="C239">
        <f>Model!K282</f>
        <v>0</v>
      </c>
      <c r="D239">
        <f>Model!L282</f>
        <v>0</v>
      </c>
      <c r="E239">
        <f>Model!M282</f>
        <v>0</v>
      </c>
      <c r="F239">
        <f>Model!N282</f>
        <v>0</v>
      </c>
      <c r="G239">
        <f>Model!O282</f>
        <v>0</v>
      </c>
      <c r="H239">
        <f>Model!P282</f>
        <v>0</v>
      </c>
      <c r="I239">
        <f>Model!Q282</f>
        <v>0</v>
      </c>
      <c r="J239">
        <f>Model!R282</f>
        <v>0</v>
      </c>
      <c r="K239">
        <f>Model!S282</f>
        <v>0</v>
      </c>
      <c r="L239">
        <f>Model!T282</f>
        <v>0</v>
      </c>
      <c r="M239">
        <f>Model!U282</f>
        <v>0</v>
      </c>
      <c r="N239">
        <f>Model!V282</f>
        <v>0</v>
      </c>
      <c r="O239">
        <f>Model!W282</f>
        <v>0</v>
      </c>
      <c r="P239">
        <f>Model!X282</f>
        <v>0</v>
      </c>
      <c r="Q239">
        <f>Model!Y282</f>
        <v>0</v>
      </c>
      <c r="R239">
        <f>Model!Z282</f>
        <v>0</v>
      </c>
      <c r="S239">
        <f>Model!AA282</f>
        <v>0</v>
      </c>
      <c r="T239">
        <f>Model!AB282</f>
        <v>0</v>
      </c>
      <c r="U239">
        <f>Model!AC282</f>
        <v>0</v>
      </c>
      <c r="V239">
        <f>Model!AD282</f>
        <v>0</v>
      </c>
      <c r="W239">
        <f>Model!AE282</f>
        <v>0</v>
      </c>
      <c r="X239">
        <f>Model!AF282</f>
        <v>0</v>
      </c>
      <c r="Y239">
        <f>Model!AG282</f>
        <v>0</v>
      </c>
      <c r="Z239">
        <f>Model!AH282</f>
        <v>0</v>
      </c>
      <c r="AA239">
        <f>Model!AI282</f>
        <v>0</v>
      </c>
      <c r="AB239">
        <f>Model!AJ282</f>
        <v>0</v>
      </c>
      <c r="AC239">
        <f>Model!AK282</f>
        <v>1</v>
      </c>
      <c r="AD239">
        <f>Model!AL282</f>
        <v>1</v>
      </c>
      <c r="AE239">
        <f>Model!AM282</f>
        <v>1</v>
      </c>
      <c r="AF239">
        <f>Model!AN282</f>
        <v>1</v>
      </c>
      <c r="AG239">
        <f>Model!AO282</f>
        <v>1</v>
      </c>
      <c r="AH239">
        <f>Model!AP282</f>
        <v>1</v>
      </c>
      <c r="AI239">
        <f>Model!AQ282</f>
        <v>1</v>
      </c>
      <c r="AJ239">
        <f>Model!AR282</f>
        <v>1</v>
      </c>
      <c r="AK239">
        <f>Model!AS282</f>
        <v>1</v>
      </c>
      <c r="AL239">
        <f>Model!AT282</f>
        <v>1</v>
      </c>
      <c r="AM239">
        <f>Model!AU282</f>
        <v>1</v>
      </c>
      <c r="AN239">
        <f>Model!AV282</f>
        <v>1</v>
      </c>
      <c r="AO239">
        <f>Model!AW282</f>
        <v>1</v>
      </c>
      <c r="AP239">
        <f>Model!AX282</f>
        <v>1</v>
      </c>
      <c r="AQ239">
        <f>Model!AY282</f>
        <v>1</v>
      </c>
      <c r="AR239">
        <f>Model!AZ282</f>
        <v>1</v>
      </c>
      <c r="AS239">
        <f>Model!BA282</f>
        <v>1</v>
      </c>
      <c r="AT239">
        <f>Model!BB282</f>
        <v>1</v>
      </c>
      <c r="AU239">
        <f>Model!BC282</f>
        <v>1</v>
      </c>
      <c r="AV239">
        <f>Model!BD282</f>
        <v>1</v>
      </c>
      <c r="AW239">
        <f>Model!BE282</f>
        <v>1</v>
      </c>
      <c r="AX239">
        <f>Model!BF282</f>
        <v>1</v>
      </c>
      <c r="AY239">
        <f>Model!BG282</f>
        <v>1</v>
      </c>
      <c r="AZ239">
        <f>Model!BH282</f>
        <v>1</v>
      </c>
      <c r="BA239">
        <f>Model!BI282</f>
        <v>1</v>
      </c>
      <c r="BB239">
        <f>Model!BJ282</f>
        <v>1</v>
      </c>
      <c r="BC239">
        <f>Model!BK282</f>
        <v>1</v>
      </c>
      <c r="BD239">
        <f>Model!BL282</f>
        <v>1</v>
      </c>
      <c r="BE239">
        <f>Model!BM282</f>
        <v>1</v>
      </c>
      <c r="BF239">
        <f>Model!BN282</f>
        <v>1</v>
      </c>
      <c r="BG239">
        <f>Model!BO282</f>
        <v>1</v>
      </c>
      <c r="BH239">
        <f>Model!BP282</f>
        <v>1</v>
      </c>
      <c r="BI239">
        <f>Model!BQ282</f>
        <v>1</v>
      </c>
      <c r="BJ239">
        <f>Model!BR282</f>
        <v>1</v>
      </c>
      <c r="BK239">
        <f>Model!BS282</f>
        <v>1</v>
      </c>
      <c r="BL239">
        <f>Model!BT282</f>
        <v>1</v>
      </c>
      <c r="BM239">
        <f>Model!BU282</f>
        <v>1</v>
      </c>
      <c r="BN239">
        <f>Model!BV282</f>
        <v>1</v>
      </c>
      <c r="BO239">
        <f>Model!BW282</f>
        <v>1</v>
      </c>
      <c r="BP239">
        <f>Model!BX282</f>
        <v>1</v>
      </c>
      <c r="BQ239">
        <f>Model!BY282</f>
        <v>1</v>
      </c>
      <c r="BR239">
        <f>Model!BZ282</f>
        <v>1</v>
      </c>
      <c r="BS239">
        <f>Model!CA282</f>
        <v>1</v>
      </c>
      <c r="BT239">
        <f>Model!CB282</f>
        <v>1</v>
      </c>
      <c r="BU239">
        <f>Model!CC282</f>
        <v>1</v>
      </c>
      <c r="BV239">
        <f>Model!CD282</f>
        <v>1</v>
      </c>
      <c r="BW239">
        <f>Model!CE282</f>
        <v>1</v>
      </c>
      <c r="BX239">
        <f>Model!CF282</f>
        <v>1</v>
      </c>
      <c r="BY239">
        <f>Model!CG282</f>
        <v>0</v>
      </c>
      <c r="BZ239">
        <f>Model!CH282</f>
        <v>0</v>
      </c>
      <c r="CA239">
        <f>Model!CI282</f>
        <v>0</v>
      </c>
      <c r="CB239">
        <f>Model!CJ282</f>
        <v>0</v>
      </c>
      <c r="CC239">
        <f>Model!CK282</f>
        <v>0</v>
      </c>
      <c r="CD239">
        <f>Model!CL282</f>
        <v>0</v>
      </c>
      <c r="CE239">
        <f>Model!CM282</f>
        <v>0</v>
      </c>
      <c r="CF239">
        <f>Model!CN282</f>
        <v>1</v>
      </c>
      <c r="CG239">
        <f>Model!CO282</f>
        <v>1</v>
      </c>
      <c r="CH239">
        <f>Model!CP282</f>
        <v>1</v>
      </c>
      <c r="CI239">
        <f>Model!CQ282</f>
        <v>0</v>
      </c>
      <c r="CJ239">
        <f>Model!CR282</f>
        <v>0</v>
      </c>
      <c r="CK239">
        <f>Model!CS282</f>
        <v>0</v>
      </c>
      <c r="CL239">
        <f>Model!CT282</f>
        <v>0</v>
      </c>
      <c r="CM239">
        <f>Model!CU282</f>
        <v>0</v>
      </c>
      <c r="CN239">
        <f>Model!CV282</f>
        <v>0</v>
      </c>
      <c r="CO239">
        <f>Model!CW282</f>
        <v>0</v>
      </c>
      <c r="CP239">
        <f>Model!CX282</f>
        <v>0</v>
      </c>
      <c r="CQ239">
        <f>Model!CY282</f>
        <v>0</v>
      </c>
      <c r="CR239">
        <f>Model!CZ282</f>
        <v>0</v>
      </c>
      <c r="CS239">
        <f>Model!DA282</f>
        <v>0</v>
      </c>
      <c r="CT239">
        <f>Model!DB282</f>
        <v>0</v>
      </c>
      <c r="CU239">
        <f>Model!DC282</f>
        <v>0</v>
      </c>
      <c r="CV239">
        <f>Model!DD282</f>
        <v>0</v>
      </c>
      <c r="CW239">
        <f>Model!DE282</f>
        <v>0</v>
      </c>
      <c r="CX239">
        <f>Model!DF282</f>
        <v>0</v>
      </c>
    </row>
    <row r="240" spans="1:102">
      <c r="A240" t="str">
        <f>Model!I283</f>
        <v>Total International  Gross Margin %</v>
      </c>
      <c r="B240">
        <f>Model!J283</f>
        <v>0</v>
      </c>
      <c r="C240">
        <f>Model!K283</f>
        <v>0</v>
      </c>
      <c r="D240">
        <f>Model!L283</f>
        <v>0</v>
      </c>
      <c r="E240">
        <f>Model!M283</f>
        <v>0</v>
      </c>
      <c r="F240">
        <f>Model!N283</f>
        <v>0</v>
      </c>
      <c r="G240">
        <f>Model!O283</f>
        <v>0</v>
      </c>
      <c r="H240">
        <f>Model!P283</f>
        <v>0</v>
      </c>
      <c r="I240">
        <f>Model!Q283</f>
        <v>0</v>
      </c>
      <c r="J240">
        <f>Model!R283</f>
        <v>0</v>
      </c>
      <c r="K240">
        <f>Model!S283</f>
        <v>0</v>
      </c>
      <c r="L240">
        <f>Model!T283</f>
        <v>0</v>
      </c>
      <c r="M240">
        <f>Model!U283</f>
        <v>0</v>
      </c>
      <c r="N240">
        <f>Model!V283</f>
        <v>0</v>
      </c>
      <c r="O240">
        <f>Model!W283</f>
        <v>0</v>
      </c>
      <c r="P240">
        <f>Model!X283</f>
        <v>0</v>
      </c>
      <c r="Q240">
        <f>Model!Y283</f>
        <v>0</v>
      </c>
      <c r="R240">
        <f>Model!Z283</f>
        <v>0</v>
      </c>
      <c r="S240">
        <f>Model!AA283</f>
        <v>0</v>
      </c>
      <c r="T240">
        <f>Model!AB283</f>
        <v>0</v>
      </c>
      <c r="U240">
        <f>Model!AC283</f>
        <v>0</v>
      </c>
      <c r="V240">
        <f>Model!AD283</f>
        <v>0</v>
      </c>
      <c r="W240">
        <f>Model!AE283</f>
        <v>0</v>
      </c>
      <c r="X240">
        <f>Model!AF283</f>
        <v>0</v>
      </c>
      <c r="Y240">
        <f>Model!AG283</f>
        <v>0</v>
      </c>
      <c r="Z240">
        <f>Model!AH283</f>
        <v>0</v>
      </c>
      <c r="AA240">
        <f>Model!AI283</f>
        <v>0</v>
      </c>
      <c r="AB240">
        <f>Model!AJ283</f>
        <v>0</v>
      </c>
      <c r="AC240">
        <f>Model!AK283</f>
        <v>1</v>
      </c>
      <c r="AD240">
        <f>Model!AL283</f>
        <v>1</v>
      </c>
      <c r="AE240">
        <f>Model!AM283</f>
        <v>1</v>
      </c>
      <c r="AF240">
        <f>Model!AN283</f>
        <v>1.0039024390243902</v>
      </c>
      <c r="AG240">
        <f>Model!AO283</f>
        <v>1.000346941135654</v>
      </c>
      <c r="AH240">
        <f>Model!AP283</f>
        <v>1</v>
      </c>
      <c r="AI240">
        <f>Model!AQ283</f>
        <v>1</v>
      </c>
      <c r="AJ240">
        <f>Model!AR283</f>
        <v>0.99971838918614497</v>
      </c>
      <c r="AK240">
        <f>Model!AS283</f>
        <v>0.99389179755671908</v>
      </c>
      <c r="AL240">
        <f>Model!AT283</f>
        <v>0.99493927125506076</v>
      </c>
      <c r="AM240">
        <f>Model!AU283</f>
        <v>0.99715998737772171</v>
      </c>
      <c r="AN240">
        <f>Model!AV283</f>
        <v>0.99641094661283081</v>
      </c>
      <c r="AO240">
        <f>Model!AW283</f>
        <v>0.99629286376274317</v>
      </c>
      <c r="AP240">
        <f>Model!AX283</f>
        <v>0.99814011159330429</v>
      </c>
      <c r="AQ240">
        <f>Model!AY283</f>
        <v>1</v>
      </c>
      <c r="AR240">
        <f>Model!AZ283</f>
        <v>1</v>
      </c>
      <c r="AS240">
        <f>Model!BA283</f>
        <v>1</v>
      </c>
      <c r="AT240">
        <f>Model!BB283</f>
        <v>1</v>
      </c>
      <c r="AU240">
        <f>Model!BC283</f>
        <v>1</v>
      </c>
      <c r="AV240">
        <f>Model!BD283</f>
        <v>1</v>
      </c>
      <c r="AW240">
        <f>Model!BE283</f>
        <v>1</v>
      </c>
      <c r="AX240">
        <f>Model!BF283</f>
        <v>1</v>
      </c>
      <c r="AY240">
        <f>Model!BG283</f>
        <v>1</v>
      </c>
      <c r="AZ240">
        <f>Model!BH283</f>
        <v>1</v>
      </c>
      <c r="BA240">
        <f>Model!BI283</f>
        <v>1</v>
      </c>
      <c r="BB240">
        <f>Model!BJ283</f>
        <v>1</v>
      </c>
      <c r="BC240">
        <f>Model!BK283</f>
        <v>0.97499999999999998</v>
      </c>
      <c r="BD240">
        <f>Model!BL283</f>
        <v>1</v>
      </c>
      <c r="BE240">
        <f>Model!BM283</f>
        <v>1</v>
      </c>
      <c r="BF240">
        <f>Model!BN283</f>
        <v>1</v>
      </c>
      <c r="BG240">
        <f>Model!BO283</f>
        <v>1.008695652173913</v>
      </c>
      <c r="BH240">
        <f>Model!BP283</f>
        <v>1</v>
      </c>
      <c r="BI240">
        <f>Model!BQ283</f>
        <v>1</v>
      </c>
      <c r="BJ240">
        <f>Model!BR283</f>
        <v>1</v>
      </c>
      <c r="BK240">
        <f>Model!BS283</f>
        <v>1</v>
      </c>
      <c r="BL240">
        <f>Model!BT283</f>
        <v>1</v>
      </c>
      <c r="BM240">
        <f>Model!BU283</f>
        <v>1</v>
      </c>
      <c r="BN240">
        <f>Model!BV283</f>
        <v>1</v>
      </c>
      <c r="BO240">
        <f>Model!BW283</f>
        <v>1</v>
      </c>
      <c r="BP240">
        <f>Model!BX283</f>
        <v>1</v>
      </c>
      <c r="BQ240">
        <f>Model!BY283</f>
        <v>1</v>
      </c>
      <c r="BR240">
        <f>Model!BZ283</f>
        <v>1</v>
      </c>
      <c r="BS240">
        <f>Model!CA283</f>
        <v>1</v>
      </c>
      <c r="BT240">
        <f>Model!CB283</f>
        <v>1</v>
      </c>
      <c r="BU240">
        <f>Model!CC283</f>
        <v>1</v>
      </c>
      <c r="BV240">
        <f>Model!CD283</f>
        <v>1</v>
      </c>
      <c r="BW240">
        <f>Model!CE283</f>
        <v>1</v>
      </c>
      <c r="BX240">
        <f>Model!CF283</f>
        <v>1</v>
      </c>
      <c r="BY240">
        <f>Model!CG283</f>
        <v>0</v>
      </c>
      <c r="BZ240">
        <f>Model!CH283</f>
        <v>0</v>
      </c>
      <c r="CA240">
        <f>Model!CI283</f>
        <v>0</v>
      </c>
      <c r="CB240">
        <f>Model!CJ283</f>
        <v>0</v>
      </c>
      <c r="CC240">
        <f>Model!CK283</f>
        <v>0</v>
      </c>
      <c r="CD240">
        <f>Model!CL283</f>
        <v>0</v>
      </c>
      <c r="CE240">
        <f>Model!CM283</f>
        <v>0</v>
      </c>
      <c r="CF240">
        <f>Model!CN283</f>
        <v>0.99033816425120769</v>
      </c>
      <c r="CG240">
        <f>Model!CO283</f>
        <v>1</v>
      </c>
      <c r="CH240">
        <f>Model!CP283</f>
        <v>0.99600938967136166</v>
      </c>
      <c r="CI240">
        <f>Model!CQ283</f>
        <v>0.99958379578246381</v>
      </c>
      <c r="CJ240">
        <f>Model!CR283</f>
        <v>1</v>
      </c>
      <c r="CK240">
        <f>Model!CS283</f>
        <v>1.0000000000000002</v>
      </c>
      <c r="CL240">
        <f>Model!CT283</f>
        <v>0.99107850911974626</v>
      </c>
      <c r="CM240">
        <f>Model!CU283</f>
        <v>1.0030349013657056</v>
      </c>
      <c r="CN240">
        <f>Model!CV283</f>
        <v>1</v>
      </c>
      <c r="CO240">
        <f>Model!CW283</f>
        <v>1</v>
      </c>
      <c r="CP240">
        <f>Model!CX283</f>
        <v>1</v>
      </c>
      <c r="CQ240">
        <f>Model!CY283</f>
        <v>1</v>
      </c>
      <c r="CR240">
        <f>Model!CZ283</f>
        <v>1</v>
      </c>
      <c r="CS240">
        <f>Model!DA283</f>
        <v>1</v>
      </c>
      <c r="CT240">
        <f>Model!DB283</f>
        <v>1</v>
      </c>
      <c r="CU240">
        <f>Model!DC283</f>
        <v>1</v>
      </c>
      <c r="CV240">
        <f>Model!DD283</f>
        <v>1</v>
      </c>
      <c r="CW240">
        <f>Model!DE283</f>
        <v>1</v>
      </c>
      <c r="CX240">
        <f>Model!DF283</f>
        <v>1.0000000000000002</v>
      </c>
    </row>
    <row r="241" spans="1:102">
      <c r="A241">
        <f>Model!I284</f>
        <v>0</v>
      </c>
      <c r="B241">
        <f>Model!J284</f>
        <v>0</v>
      </c>
      <c r="C241">
        <f>Model!K284</f>
        <v>0</v>
      </c>
      <c r="D241">
        <f>Model!L284</f>
        <v>0</v>
      </c>
      <c r="E241">
        <f>Model!M284</f>
        <v>0</v>
      </c>
      <c r="F241">
        <f>Model!N284</f>
        <v>0</v>
      </c>
      <c r="G241">
        <f>Model!O284</f>
        <v>0</v>
      </c>
      <c r="H241">
        <f>Model!P284</f>
        <v>0</v>
      </c>
      <c r="I241">
        <f>Model!Q284</f>
        <v>0</v>
      </c>
      <c r="J241">
        <f>Model!R284</f>
        <v>0</v>
      </c>
      <c r="K241">
        <f>Model!S284</f>
        <v>0</v>
      </c>
      <c r="L241">
        <f>Model!T284</f>
        <v>0</v>
      </c>
      <c r="M241">
        <f>Model!U284</f>
        <v>0</v>
      </c>
      <c r="N241">
        <f>Model!V284</f>
        <v>0</v>
      </c>
      <c r="O241">
        <f>Model!W284</f>
        <v>0</v>
      </c>
      <c r="P241">
        <f>Model!X284</f>
        <v>0</v>
      </c>
      <c r="Q241">
        <f>Model!Y284</f>
        <v>0</v>
      </c>
      <c r="R241">
        <f>Model!Z284</f>
        <v>0</v>
      </c>
      <c r="S241">
        <f>Model!AA284</f>
        <v>0</v>
      </c>
      <c r="T241">
        <f>Model!AB284</f>
        <v>0</v>
      </c>
      <c r="U241">
        <f>Model!AC284</f>
        <v>0</v>
      </c>
      <c r="V241">
        <f>Model!AD284</f>
        <v>0</v>
      </c>
      <c r="W241">
        <f>Model!AE284</f>
        <v>0</v>
      </c>
      <c r="X241">
        <f>Model!AF284</f>
        <v>0</v>
      </c>
      <c r="Y241">
        <f>Model!AG284</f>
        <v>0</v>
      </c>
      <c r="Z241">
        <f>Model!AH284</f>
        <v>0</v>
      </c>
      <c r="AA241">
        <f>Model!AI284</f>
        <v>0</v>
      </c>
      <c r="AB241">
        <f>Model!AJ284</f>
        <v>0</v>
      </c>
      <c r="AC241">
        <f>Model!AK284</f>
        <v>0</v>
      </c>
      <c r="AD241">
        <f>Model!AL284</f>
        <v>0</v>
      </c>
      <c r="AE241">
        <f>Model!AM284</f>
        <v>0</v>
      </c>
      <c r="AF241">
        <f>Model!AN284</f>
        <v>0</v>
      </c>
      <c r="AG241">
        <f>Model!AO284</f>
        <v>0</v>
      </c>
      <c r="AH241">
        <f>Model!AP284</f>
        <v>0</v>
      </c>
      <c r="AI241">
        <f>Model!AQ284</f>
        <v>0</v>
      </c>
      <c r="AJ241">
        <f>Model!AR284</f>
        <v>0</v>
      </c>
      <c r="AK241">
        <f>Model!AS284</f>
        <v>0</v>
      </c>
      <c r="AL241">
        <f>Model!AT284</f>
        <v>0</v>
      </c>
      <c r="AM241">
        <f>Model!AU284</f>
        <v>0</v>
      </c>
      <c r="AN241">
        <f>Model!AV284</f>
        <v>0</v>
      </c>
      <c r="AO241">
        <f>Model!AW284</f>
        <v>0</v>
      </c>
      <c r="AP241">
        <f>Model!AX284</f>
        <v>0</v>
      </c>
      <c r="AQ241">
        <f>Model!AY284</f>
        <v>0</v>
      </c>
      <c r="AR241">
        <f>Model!AZ284</f>
        <v>0</v>
      </c>
      <c r="AS241">
        <f>Model!BA284</f>
        <v>0</v>
      </c>
      <c r="AT241">
        <f>Model!BB284</f>
        <v>0</v>
      </c>
      <c r="AU241">
        <f>Model!BC284</f>
        <v>0</v>
      </c>
      <c r="AV241">
        <f>Model!BD284</f>
        <v>0</v>
      </c>
      <c r="AW241">
        <f>Model!BE284</f>
        <v>0</v>
      </c>
      <c r="AX241">
        <f>Model!BF284</f>
        <v>0</v>
      </c>
      <c r="AY241">
        <f>Model!BG284</f>
        <v>0</v>
      </c>
      <c r="AZ241">
        <f>Model!BH284</f>
        <v>0</v>
      </c>
      <c r="BA241">
        <f>Model!BI284</f>
        <v>0</v>
      </c>
      <c r="BB241">
        <f>Model!BJ284</f>
        <v>0</v>
      </c>
      <c r="BC241">
        <f>Model!BK284</f>
        <v>0</v>
      </c>
      <c r="BD241">
        <f>Model!BL284</f>
        <v>0</v>
      </c>
      <c r="BE241">
        <f>Model!BM284</f>
        <v>0</v>
      </c>
      <c r="BF241">
        <f>Model!BN284</f>
        <v>0</v>
      </c>
      <c r="BG241">
        <f>Model!BO284</f>
        <v>0</v>
      </c>
      <c r="BH241">
        <f>Model!BP284</f>
        <v>0</v>
      </c>
      <c r="BI241">
        <f>Model!BQ284</f>
        <v>0</v>
      </c>
      <c r="BJ241">
        <f>Model!BR284</f>
        <v>0</v>
      </c>
      <c r="BK241">
        <f>Model!BS284</f>
        <v>0</v>
      </c>
      <c r="BL241">
        <f>Model!BT284</f>
        <v>0</v>
      </c>
      <c r="BM241">
        <f>Model!BU284</f>
        <v>0</v>
      </c>
      <c r="BN241">
        <f>Model!BV284</f>
        <v>0</v>
      </c>
      <c r="BO241">
        <f>Model!BW284</f>
        <v>0</v>
      </c>
      <c r="BP241">
        <f>Model!BX284</f>
        <v>0</v>
      </c>
      <c r="BQ241">
        <f>Model!BY284</f>
        <v>0</v>
      </c>
      <c r="BR241">
        <f>Model!BZ284</f>
        <v>0</v>
      </c>
      <c r="BS241">
        <f>Model!CA284</f>
        <v>0</v>
      </c>
      <c r="BT241">
        <f>Model!CB284</f>
        <v>0</v>
      </c>
      <c r="BU241">
        <f>Model!CC284</f>
        <v>0</v>
      </c>
      <c r="BV241">
        <f>Model!CD284</f>
        <v>0</v>
      </c>
      <c r="BW241">
        <f>Model!CE284</f>
        <v>0</v>
      </c>
      <c r="BX241">
        <f>Model!CF284</f>
        <v>0</v>
      </c>
      <c r="BY241">
        <f>Model!CG284</f>
        <v>0</v>
      </c>
      <c r="BZ241">
        <f>Model!CH284</f>
        <v>0</v>
      </c>
      <c r="CA241">
        <f>Model!CI284</f>
        <v>0</v>
      </c>
      <c r="CB241">
        <f>Model!CJ284</f>
        <v>0</v>
      </c>
      <c r="CC241">
        <f>Model!CK284</f>
        <v>0</v>
      </c>
      <c r="CD241">
        <f>Model!CL284</f>
        <v>0</v>
      </c>
      <c r="CE241">
        <f>Model!CM284</f>
        <v>0</v>
      </c>
      <c r="CF241">
        <f>Model!CN284</f>
        <v>0</v>
      </c>
      <c r="CG241">
        <f>Model!CO284</f>
        <v>0</v>
      </c>
      <c r="CH241">
        <f>Model!CP284</f>
        <v>0</v>
      </c>
      <c r="CI241">
        <f>Model!CQ284</f>
        <v>0</v>
      </c>
      <c r="CJ241">
        <f>Model!CR284</f>
        <v>0</v>
      </c>
      <c r="CK241">
        <f>Model!CS284</f>
        <v>0</v>
      </c>
      <c r="CL241">
        <f>Model!CT284</f>
        <v>0</v>
      </c>
      <c r="CM241">
        <f>Model!CU284</f>
        <v>0</v>
      </c>
      <c r="CN241">
        <f>Model!CV284</f>
        <v>0</v>
      </c>
      <c r="CO241">
        <f>Model!CW284</f>
        <v>0</v>
      </c>
      <c r="CP241">
        <f>Model!CX284</f>
        <v>0</v>
      </c>
      <c r="CQ241">
        <f>Model!CY284</f>
        <v>0</v>
      </c>
      <c r="CR241">
        <f>Model!CZ284</f>
        <v>0</v>
      </c>
      <c r="CS241">
        <f>Model!DA284</f>
        <v>0</v>
      </c>
      <c r="CT241">
        <f>Model!DB284</f>
        <v>0</v>
      </c>
      <c r="CU241">
        <f>Model!DC284</f>
        <v>0</v>
      </c>
      <c r="CV241">
        <f>Model!DD284</f>
        <v>0</v>
      </c>
      <c r="CW241">
        <f>Model!DE284</f>
        <v>0</v>
      </c>
      <c r="CX241">
        <f>Model!DF284</f>
        <v>0</v>
      </c>
    </row>
    <row r="242" spans="1:102">
      <c r="A242">
        <f>Model!I285</f>
        <v>0</v>
      </c>
      <c r="B242">
        <f>Model!J285</f>
        <v>0</v>
      </c>
      <c r="C242">
        <f>Model!K285</f>
        <v>0</v>
      </c>
      <c r="D242">
        <f>Model!L285</f>
        <v>0</v>
      </c>
      <c r="E242">
        <f>Model!M285</f>
        <v>0</v>
      </c>
      <c r="F242">
        <f>Model!N285</f>
        <v>0</v>
      </c>
      <c r="G242">
        <f>Model!O285</f>
        <v>0</v>
      </c>
      <c r="H242">
        <f>Model!P285</f>
        <v>0</v>
      </c>
      <c r="I242">
        <f>Model!Q285</f>
        <v>0</v>
      </c>
      <c r="J242">
        <f>Model!R285</f>
        <v>0</v>
      </c>
      <c r="K242">
        <f>Model!S285</f>
        <v>0</v>
      </c>
      <c r="L242">
        <f>Model!T285</f>
        <v>0</v>
      </c>
      <c r="M242">
        <f>Model!U285</f>
        <v>0</v>
      </c>
      <c r="N242">
        <f>Model!V285</f>
        <v>0</v>
      </c>
      <c r="O242">
        <f>Model!W285</f>
        <v>0</v>
      </c>
      <c r="P242">
        <f>Model!X285</f>
        <v>0</v>
      </c>
      <c r="Q242">
        <f>Model!Y285</f>
        <v>0</v>
      </c>
      <c r="R242">
        <f>Model!Z285</f>
        <v>0</v>
      </c>
      <c r="S242">
        <f>Model!AA285</f>
        <v>0</v>
      </c>
      <c r="T242">
        <f>Model!AB285</f>
        <v>0</v>
      </c>
      <c r="U242">
        <f>Model!AC285</f>
        <v>0</v>
      </c>
      <c r="V242">
        <f>Model!AD285</f>
        <v>0</v>
      </c>
      <c r="W242">
        <f>Model!AE285</f>
        <v>0</v>
      </c>
      <c r="X242">
        <f>Model!AF285</f>
        <v>0</v>
      </c>
      <c r="Y242">
        <f>Model!AG285</f>
        <v>0</v>
      </c>
      <c r="Z242">
        <f>Model!AH285</f>
        <v>0</v>
      </c>
      <c r="AA242">
        <f>Model!AI285</f>
        <v>0</v>
      </c>
      <c r="AB242">
        <f>Model!AJ285</f>
        <v>0</v>
      </c>
      <c r="AC242">
        <f>Model!AK285</f>
        <v>0</v>
      </c>
      <c r="AD242">
        <f>Model!AL285</f>
        <v>0</v>
      </c>
      <c r="AE242">
        <f>Model!AM285</f>
        <v>0</v>
      </c>
      <c r="AF242">
        <f>Model!AN285</f>
        <v>0</v>
      </c>
      <c r="AG242">
        <f>Model!AO285</f>
        <v>0</v>
      </c>
      <c r="AH242">
        <f>Model!AP285</f>
        <v>0</v>
      </c>
      <c r="AI242">
        <f>Model!AQ285</f>
        <v>0</v>
      </c>
      <c r="AJ242">
        <f>Model!AR285</f>
        <v>0</v>
      </c>
      <c r="AK242">
        <f>Model!AS285</f>
        <v>0</v>
      </c>
      <c r="AL242">
        <f>Model!AT285</f>
        <v>0</v>
      </c>
      <c r="AM242">
        <f>Model!AU285</f>
        <v>0</v>
      </c>
      <c r="AN242">
        <f>Model!AV285</f>
        <v>0</v>
      </c>
      <c r="AO242">
        <f>Model!AW285</f>
        <v>0</v>
      </c>
      <c r="AP242">
        <f>Model!AX285</f>
        <v>0</v>
      </c>
      <c r="AQ242">
        <f>Model!AY285</f>
        <v>0</v>
      </c>
      <c r="AR242">
        <f>Model!AZ285</f>
        <v>0</v>
      </c>
      <c r="AS242">
        <f>Model!BA285</f>
        <v>0</v>
      </c>
      <c r="AT242">
        <f>Model!BB285</f>
        <v>0</v>
      </c>
      <c r="AU242">
        <f>Model!BC285</f>
        <v>0</v>
      </c>
      <c r="AV242">
        <f>Model!BD285</f>
        <v>0</v>
      </c>
      <c r="AW242">
        <f>Model!BE285</f>
        <v>0</v>
      </c>
      <c r="AX242">
        <f>Model!BF285</f>
        <v>0</v>
      </c>
      <c r="AY242">
        <f>Model!BG285</f>
        <v>0</v>
      </c>
      <c r="AZ242">
        <f>Model!BH285</f>
        <v>0</v>
      </c>
      <c r="BA242">
        <f>Model!BI285</f>
        <v>0</v>
      </c>
      <c r="BB242">
        <f>Model!BJ285</f>
        <v>0</v>
      </c>
      <c r="BC242">
        <f>Model!BK285</f>
        <v>0</v>
      </c>
      <c r="BD242">
        <f>Model!BL285</f>
        <v>0</v>
      </c>
      <c r="BE242">
        <f>Model!BM285</f>
        <v>0</v>
      </c>
      <c r="BF242">
        <f>Model!BN285</f>
        <v>0</v>
      </c>
      <c r="BG242">
        <f>Model!BO285</f>
        <v>0</v>
      </c>
      <c r="BH242">
        <f>Model!BP285</f>
        <v>0</v>
      </c>
      <c r="BI242">
        <f>Model!BQ285</f>
        <v>0</v>
      </c>
      <c r="BJ242">
        <f>Model!BR285</f>
        <v>0</v>
      </c>
      <c r="BK242">
        <f>Model!BS285</f>
        <v>0</v>
      </c>
      <c r="BL242">
        <f>Model!BT285</f>
        <v>0</v>
      </c>
      <c r="BM242">
        <f>Model!BU285</f>
        <v>0</v>
      </c>
      <c r="BN242">
        <f>Model!BV285</f>
        <v>0</v>
      </c>
      <c r="BO242">
        <f>Model!BW285</f>
        <v>0</v>
      </c>
      <c r="BP242">
        <f>Model!BX285</f>
        <v>0</v>
      </c>
      <c r="BQ242">
        <f>Model!BY285</f>
        <v>0</v>
      </c>
      <c r="BR242">
        <f>Model!BZ285</f>
        <v>0</v>
      </c>
      <c r="BS242">
        <f>Model!CA285</f>
        <v>0</v>
      </c>
      <c r="BT242">
        <f>Model!CB285</f>
        <v>0</v>
      </c>
      <c r="BU242">
        <f>Model!CC285</f>
        <v>0</v>
      </c>
      <c r="BV242">
        <f>Model!CD285</f>
        <v>0</v>
      </c>
      <c r="BW242">
        <f>Model!CE285</f>
        <v>0</v>
      </c>
      <c r="BX242">
        <f>Model!CF285</f>
        <v>0</v>
      </c>
      <c r="BY242">
        <f>Model!CG285</f>
        <v>0</v>
      </c>
      <c r="BZ242">
        <f>Model!CH285</f>
        <v>0</v>
      </c>
      <c r="CA242">
        <f>Model!CI285</f>
        <v>0</v>
      </c>
      <c r="CB242">
        <f>Model!CJ285</f>
        <v>0</v>
      </c>
      <c r="CC242">
        <f>Model!CK285</f>
        <v>0</v>
      </c>
      <c r="CD242">
        <f>Model!CL285</f>
        <v>0</v>
      </c>
      <c r="CE242">
        <f>Model!CM285</f>
        <v>0</v>
      </c>
      <c r="CF242">
        <f>Model!CN285</f>
        <v>0</v>
      </c>
      <c r="CG242">
        <f>Model!CO285</f>
        <v>0</v>
      </c>
      <c r="CH242">
        <f>Model!CP285</f>
        <v>0</v>
      </c>
      <c r="CI242">
        <f>Model!CQ285</f>
        <v>0</v>
      </c>
      <c r="CJ242">
        <f>Model!CR285</f>
        <v>0</v>
      </c>
      <c r="CK242">
        <f>Model!CS285</f>
        <v>0</v>
      </c>
      <c r="CL242">
        <f>Model!CT285</f>
        <v>0</v>
      </c>
      <c r="CM242">
        <f>Model!CU285</f>
        <v>0</v>
      </c>
      <c r="CN242">
        <f>Model!CV285</f>
        <v>0</v>
      </c>
      <c r="CO242">
        <f>Model!CW285</f>
        <v>0</v>
      </c>
      <c r="CP242">
        <f>Model!CX285</f>
        <v>0</v>
      </c>
      <c r="CQ242">
        <f>Model!CY285</f>
        <v>0</v>
      </c>
      <c r="CR242">
        <f>Model!CZ285</f>
        <v>0</v>
      </c>
      <c r="CS242">
        <f>Model!DA285</f>
        <v>0</v>
      </c>
      <c r="CT242">
        <f>Model!DB285</f>
        <v>0</v>
      </c>
      <c r="CU242">
        <f>Model!DC285</f>
        <v>0</v>
      </c>
      <c r="CV242">
        <f>Model!DD285</f>
        <v>0</v>
      </c>
      <c r="CW242">
        <f>Model!DE285</f>
        <v>0</v>
      </c>
      <c r="CX242">
        <f>Model!DF285</f>
        <v>0</v>
      </c>
    </row>
    <row r="243" spans="1:102">
      <c r="A243" t="str">
        <f>Model!I286</f>
        <v>Sanity Check Roll-up for P&amp;L</v>
      </c>
      <c r="B243">
        <f>Model!J286</f>
        <v>0</v>
      </c>
      <c r="C243">
        <f>Model!K286</f>
        <v>0</v>
      </c>
      <c r="D243">
        <f>Model!L286</f>
        <v>0</v>
      </c>
      <c r="E243">
        <f>Model!M286</f>
        <v>0</v>
      </c>
      <c r="F243">
        <f>Model!N286</f>
        <v>0</v>
      </c>
      <c r="G243">
        <f>Model!O286</f>
        <v>0</v>
      </c>
      <c r="H243">
        <f>Model!P286</f>
        <v>0</v>
      </c>
      <c r="I243">
        <f>Model!Q286</f>
        <v>0</v>
      </c>
      <c r="J243">
        <f>Model!R286</f>
        <v>0</v>
      </c>
      <c r="K243">
        <f>Model!S286</f>
        <v>0</v>
      </c>
      <c r="L243">
        <f>Model!T286</f>
        <v>0</v>
      </c>
      <c r="M243">
        <f>Model!U286</f>
        <v>0</v>
      </c>
      <c r="N243">
        <f>Model!V286</f>
        <v>0</v>
      </c>
      <c r="O243">
        <f>Model!W286</f>
        <v>0</v>
      </c>
      <c r="P243">
        <f>Model!X286</f>
        <v>0</v>
      </c>
      <c r="Q243">
        <f>Model!Y286</f>
        <v>0</v>
      </c>
      <c r="R243">
        <f>Model!Z286</f>
        <v>0</v>
      </c>
      <c r="S243">
        <f>Model!AA286</f>
        <v>0</v>
      </c>
      <c r="T243">
        <f>Model!AB286</f>
        <v>0</v>
      </c>
      <c r="U243">
        <f>Model!AC286</f>
        <v>0</v>
      </c>
      <c r="V243">
        <f>Model!AD286</f>
        <v>0</v>
      </c>
      <c r="W243">
        <f>Model!AE286</f>
        <v>0</v>
      </c>
      <c r="X243">
        <f>Model!AF286</f>
        <v>0</v>
      </c>
      <c r="Y243">
        <f>Model!AG286</f>
        <v>0</v>
      </c>
      <c r="Z243">
        <f>Model!AH286</f>
        <v>0</v>
      </c>
      <c r="AA243">
        <f>Model!AI286</f>
        <v>0</v>
      </c>
      <c r="AB243">
        <f>Model!AJ286</f>
        <v>0</v>
      </c>
      <c r="AC243">
        <f>Model!AK286</f>
        <v>0</v>
      </c>
      <c r="AD243">
        <f>Model!AL286</f>
        <v>0</v>
      </c>
      <c r="AE243">
        <f>Model!AM286</f>
        <v>0</v>
      </c>
      <c r="AF243">
        <f>Model!AN286</f>
        <v>0</v>
      </c>
      <c r="AG243">
        <f>Model!AO286</f>
        <v>0</v>
      </c>
      <c r="AH243">
        <f>Model!AP286</f>
        <v>0</v>
      </c>
      <c r="AI243">
        <f>Model!AQ286</f>
        <v>0</v>
      </c>
      <c r="AJ243">
        <f>Model!AR286</f>
        <v>0</v>
      </c>
      <c r="AK243">
        <f>Model!AS286</f>
        <v>0</v>
      </c>
      <c r="AL243">
        <f>Model!AT286</f>
        <v>0</v>
      </c>
      <c r="AM243">
        <f>Model!AU286</f>
        <v>0</v>
      </c>
      <c r="AN243">
        <f>Model!AV286</f>
        <v>0</v>
      </c>
      <c r="AO243">
        <f>Model!AW286</f>
        <v>0</v>
      </c>
      <c r="AP243">
        <f>Model!AX286</f>
        <v>0</v>
      </c>
      <c r="AQ243">
        <f>Model!AY286</f>
        <v>0</v>
      </c>
      <c r="AR243">
        <f>Model!AZ286</f>
        <v>0</v>
      </c>
      <c r="AS243">
        <f>Model!BA286</f>
        <v>0</v>
      </c>
      <c r="AT243">
        <f>Model!BB286</f>
        <v>0</v>
      </c>
      <c r="AU243">
        <f>Model!BC286</f>
        <v>0</v>
      </c>
      <c r="AV243">
        <f>Model!BD286</f>
        <v>0</v>
      </c>
      <c r="AW243">
        <f>Model!BE286</f>
        <v>0</v>
      </c>
      <c r="AX243">
        <f>Model!BF286</f>
        <v>0</v>
      </c>
      <c r="AY243">
        <f>Model!BG286</f>
        <v>0</v>
      </c>
      <c r="AZ243">
        <f>Model!BH286</f>
        <v>0</v>
      </c>
      <c r="BA243">
        <f>Model!BI286</f>
        <v>0</v>
      </c>
      <c r="BB243">
        <f>Model!BJ286</f>
        <v>0</v>
      </c>
      <c r="BC243">
        <f>Model!BK286</f>
        <v>0</v>
      </c>
      <c r="BD243">
        <f>Model!BL286</f>
        <v>0</v>
      </c>
      <c r="BE243">
        <f>Model!BM286</f>
        <v>0</v>
      </c>
      <c r="BF243">
        <f>Model!BN286</f>
        <v>0</v>
      </c>
      <c r="BG243">
        <f>Model!BO286</f>
        <v>0</v>
      </c>
      <c r="BH243">
        <f>Model!BP286</f>
        <v>0</v>
      </c>
      <c r="BI243">
        <f>Model!BQ286</f>
        <v>0</v>
      </c>
      <c r="BJ243">
        <f>Model!BR286</f>
        <v>0</v>
      </c>
      <c r="BK243">
        <f>Model!BS286</f>
        <v>0</v>
      </c>
      <c r="BL243">
        <f>Model!BT286</f>
        <v>0</v>
      </c>
      <c r="BM243">
        <f>Model!BU286</f>
        <v>0</v>
      </c>
      <c r="BN243">
        <f>Model!BV286</f>
        <v>0</v>
      </c>
      <c r="BO243">
        <f>Model!BW286</f>
        <v>0</v>
      </c>
      <c r="BP243">
        <f>Model!BX286</f>
        <v>0</v>
      </c>
      <c r="BQ243">
        <f>Model!BY286</f>
        <v>0</v>
      </c>
      <c r="BR243">
        <f>Model!BZ286</f>
        <v>0</v>
      </c>
      <c r="BS243">
        <f>Model!CA286</f>
        <v>0</v>
      </c>
      <c r="BT243">
        <f>Model!CB286</f>
        <v>0</v>
      </c>
      <c r="BU243">
        <f>Model!CC286</f>
        <v>0</v>
      </c>
      <c r="BV243">
        <f>Model!CD286</f>
        <v>0</v>
      </c>
      <c r="BW243">
        <f>Model!CE286</f>
        <v>0</v>
      </c>
      <c r="BX243">
        <f>Model!CF286</f>
        <v>0</v>
      </c>
      <c r="BY243">
        <f>Model!CG286</f>
        <v>0</v>
      </c>
      <c r="BZ243">
        <f>Model!CH286</f>
        <v>0</v>
      </c>
      <c r="CA243">
        <f>Model!CI286</f>
        <v>0</v>
      </c>
      <c r="CB243">
        <f>Model!CJ286</f>
        <v>0</v>
      </c>
      <c r="CC243">
        <f>Model!CK286</f>
        <v>0</v>
      </c>
      <c r="CD243">
        <f>Model!CL286</f>
        <v>0</v>
      </c>
      <c r="CE243">
        <f>Model!CM286</f>
        <v>0</v>
      </c>
      <c r="CF243">
        <f>Model!CN286</f>
        <v>0</v>
      </c>
      <c r="CG243">
        <f>Model!CO286</f>
        <v>0</v>
      </c>
      <c r="CH243">
        <f>Model!CP286</f>
        <v>0</v>
      </c>
      <c r="CI243">
        <f>Model!CQ286</f>
        <v>0</v>
      </c>
      <c r="CJ243">
        <f>Model!CR286</f>
        <v>0</v>
      </c>
      <c r="CK243">
        <f>Model!CS286</f>
        <v>0</v>
      </c>
      <c r="CL243">
        <f>Model!CT286</f>
        <v>0</v>
      </c>
      <c r="CM243">
        <f>Model!CU286</f>
        <v>0</v>
      </c>
      <c r="CN243">
        <f>Model!CV286</f>
        <v>0</v>
      </c>
      <c r="CO243">
        <f>Model!CW286</f>
        <v>0</v>
      </c>
      <c r="CP243">
        <f>Model!CX286</f>
        <v>0</v>
      </c>
      <c r="CQ243">
        <f>Model!CY286</f>
        <v>0</v>
      </c>
      <c r="CR243">
        <f>Model!CZ286</f>
        <v>0</v>
      </c>
      <c r="CS243">
        <f>Model!DA286</f>
        <v>0</v>
      </c>
      <c r="CT243">
        <f>Model!DB286</f>
        <v>0</v>
      </c>
      <c r="CU243">
        <f>Model!DC286</f>
        <v>0</v>
      </c>
      <c r="CV243">
        <f>Model!DD286</f>
        <v>0</v>
      </c>
      <c r="CW243">
        <f>Model!DE286</f>
        <v>0</v>
      </c>
      <c r="CX243">
        <f>Model!DF286</f>
        <v>0</v>
      </c>
    </row>
    <row r="244" spans="1:102">
      <c r="A244" t="str">
        <f>Model!I287</f>
        <v>Total Core Gross Profit</v>
      </c>
      <c r="B244">
        <f>Model!J287</f>
        <v>0</v>
      </c>
      <c r="C244">
        <f>Model!K287</f>
        <v>0</v>
      </c>
      <c r="D244">
        <f>Model!L287</f>
        <v>0</v>
      </c>
      <c r="E244">
        <f>Model!M287</f>
        <v>0</v>
      </c>
      <c r="F244">
        <f>Model!N287</f>
        <v>0</v>
      </c>
      <c r="G244">
        <f>Model!O287</f>
        <v>0</v>
      </c>
      <c r="H244">
        <f>Model!P287</f>
        <v>0</v>
      </c>
      <c r="I244">
        <f>Model!Q287</f>
        <v>0</v>
      </c>
      <c r="J244">
        <f>Model!R287</f>
        <v>0</v>
      </c>
      <c r="K244">
        <f>Model!S287</f>
        <v>0</v>
      </c>
      <c r="L244">
        <f>Model!T287</f>
        <v>0</v>
      </c>
      <c r="M244">
        <f>Model!U287</f>
        <v>0</v>
      </c>
      <c r="N244">
        <f>Model!V287</f>
        <v>0</v>
      </c>
      <c r="O244">
        <f>Model!W287</f>
        <v>0</v>
      </c>
      <c r="P244">
        <f>Model!X287</f>
        <v>0</v>
      </c>
      <c r="Q244">
        <f>Model!Y287</f>
        <v>0</v>
      </c>
      <c r="R244">
        <f>Model!Z287</f>
        <v>0</v>
      </c>
      <c r="S244">
        <f>Model!AA287</f>
        <v>0</v>
      </c>
      <c r="T244">
        <f>Model!AB287</f>
        <v>0</v>
      </c>
      <c r="U244">
        <f>Model!AC287</f>
        <v>0</v>
      </c>
      <c r="V244">
        <f>Model!AD287</f>
        <v>0</v>
      </c>
      <c r="W244">
        <f>Model!AE287</f>
        <v>0</v>
      </c>
      <c r="X244">
        <f>Model!AF287</f>
        <v>0</v>
      </c>
      <c r="Y244">
        <f>Model!AG287</f>
        <v>72.230999999999995</v>
      </c>
      <c r="Z244">
        <f>Model!AH287</f>
        <v>105.804</v>
      </c>
      <c r="AA244">
        <f>Model!AI287</f>
        <v>122.32000000000002</v>
      </c>
      <c r="AB244">
        <f>Model!AJ287</f>
        <v>99.516999999999967</v>
      </c>
      <c r="AC244">
        <f>Model!AK287</f>
        <v>103.83900000000003</v>
      </c>
      <c r="AD244">
        <f>Model!AL287</f>
        <v>154.89299999999994</v>
      </c>
      <c r="AE244">
        <f>Model!AM287</f>
        <v>202.33099999999999</v>
      </c>
      <c r="AF244">
        <f>Model!AN287</f>
        <v>160.15200000000002</v>
      </c>
      <c r="AG244">
        <f>Model!AO287</f>
        <v>181.10300000000001</v>
      </c>
      <c r="AH244">
        <f>Model!AP287</f>
        <v>253.72500000000002</v>
      </c>
      <c r="AI244">
        <f>Model!AQ287</f>
        <v>316.07800000000003</v>
      </c>
      <c r="AJ244">
        <f>Model!AR287</f>
        <v>205.065</v>
      </c>
      <c r="AK244">
        <f>Model!AS287</f>
        <v>208.32999999999998</v>
      </c>
      <c r="AL244">
        <f>Model!AT287</f>
        <v>305.238</v>
      </c>
      <c r="AM244">
        <f>Model!AU287</f>
        <v>434.00599999999997</v>
      </c>
      <c r="AN244">
        <f>Model!AV287</f>
        <v>313.18900000000008</v>
      </c>
      <c r="AO244">
        <f>Model!AW287</f>
        <v>319.11599999999987</v>
      </c>
      <c r="AP244">
        <f>Model!AX287</f>
        <v>445.25499999999994</v>
      </c>
      <c r="AQ244">
        <f>Model!AY287</f>
        <v>666.18799999999987</v>
      </c>
      <c r="AR244">
        <f>Model!AZ287</f>
        <v>478.41300000000007</v>
      </c>
      <c r="AS244">
        <f>Model!BA287</f>
        <v>505.80800000000005</v>
      </c>
      <c r="AT244">
        <f>Model!BB287</f>
        <v>749.22700000000009</v>
      </c>
      <c r="AU244">
        <f>Model!BC287</f>
        <v>1100.1480000000001</v>
      </c>
      <c r="AV244">
        <f>Model!BD287</f>
        <v>724.697</v>
      </c>
      <c r="AW244">
        <f>Model!BE287</f>
        <v>743.28800000000001</v>
      </c>
      <c r="AX244">
        <f>Model!BF287</f>
        <v>1004.1420000000001</v>
      </c>
      <c r="AY244">
        <f>Model!BG287</f>
        <v>1396.501</v>
      </c>
      <c r="AZ244">
        <f>Model!BH287</f>
        <v>939.75000000000011</v>
      </c>
      <c r="BA244">
        <f>Model!BI287</f>
        <v>1009.665</v>
      </c>
      <c r="BB244">
        <f>Model!BJ287</f>
        <v>1355.739024</v>
      </c>
      <c r="BC244">
        <f>Model!BK287</f>
        <v>1926.2224549999999</v>
      </c>
      <c r="BD244">
        <f>Model!BL287</f>
        <v>1282.5545</v>
      </c>
      <c r="BE244">
        <f>Model!BM287</f>
        <v>1340.8427750000003</v>
      </c>
      <c r="BF244">
        <f>Model!BN287</f>
        <v>1816.0552104999999</v>
      </c>
      <c r="BG244">
        <f>Model!BO287</f>
        <v>2506.5090732500003</v>
      </c>
      <c r="BH244">
        <f>Model!BP287</f>
        <v>1557.3265249999999</v>
      </c>
      <c r="BI244">
        <f>Model!BQ287</f>
        <v>1538.132388</v>
      </c>
      <c r="BJ244">
        <f>Model!BR287</f>
        <v>1955.7323157599999</v>
      </c>
      <c r="BK244">
        <f>Model!BS287</f>
        <v>2801.5408020399996</v>
      </c>
      <c r="BL244">
        <f>Model!BT287</f>
        <v>1741.3215079999998</v>
      </c>
      <c r="BM244">
        <f>Model!BU287</f>
        <v>1869.0011351599996</v>
      </c>
      <c r="BN244">
        <f>Model!BV287</f>
        <v>2274.9961578632001</v>
      </c>
      <c r="BO244">
        <f>Model!BW287</f>
        <v>3428.2559181828001</v>
      </c>
      <c r="BP244">
        <f>Model!BX287</f>
        <v>2123.1242035599998</v>
      </c>
      <c r="BQ244">
        <f>Model!BY287</f>
        <v>2171.2376919180001</v>
      </c>
      <c r="BR244">
        <f>Model!BZ287</f>
        <v>2784.0290657563596</v>
      </c>
      <c r="BS244">
        <f>Model!CA287</f>
        <v>4200.5115640919394</v>
      </c>
      <c r="BT244">
        <f>Model!CB287</f>
        <v>2603.2133637379998</v>
      </c>
      <c r="BU244">
        <f>Model!CC287</f>
        <v>2622.3147896612131</v>
      </c>
      <c r="BV244">
        <f>Model!CD287</f>
        <v>3381.8349539302949</v>
      </c>
      <c r="BW244">
        <f>Model!CE287</f>
        <v>4817.5122505569525</v>
      </c>
      <c r="BX244">
        <f>Model!CF287</f>
        <v>3198.0596148848317</v>
      </c>
      <c r="BY244">
        <f>Model!CG287</f>
        <v>0</v>
      </c>
      <c r="BZ244">
        <f>Model!CH287</f>
        <v>0</v>
      </c>
      <c r="CA244">
        <f>Model!CI287</f>
        <v>0</v>
      </c>
      <c r="CB244">
        <f>Model!CJ287</f>
        <v>145.54316308052657</v>
      </c>
      <c r="CC244">
        <f>Model!CK287</f>
        <v>200.551336810192</v>
      </c>
      <c r="CD244">
        <f>Model!CL287</f>
        <v>269.06206583564892</v>
      </c>
      <c r="CE244">
        <f>Model!CM287</f>
        <v>399.87200000000018</v>
      </c>
      <c r="CF244">
        <f>Model!CN287</f>
        <v>621.21499999999969</v>
      </c>
      <c r="CG244">
        <f>Model!CO287</f>
        <v>955.97100000000012</v>
      </c>
      <c r="CH244">
        <f>Model!CP287</f>
        <v>1260.7629999999999</v>
      </c>
      <c r="CI244">
        <f>Model!CQ287</f>
        <v>1913.6739999999998</v>
      </c>
      <c r="CJ244">
        <f>Model!CR287</f>
        <v>3079.8800000000006</v>
      </c>
      <c r="CK244">
        <f>Model!CS287</f>
        <v>4083.6810000000005</v>
      </c>
      <c r="CL244">
        <f>Model!CT287</f>
        <v>5574.1809789999998</v>
      </c>
      <c r="CM244">
        <f>Model!CU287</f>
        <v>7220.7335837500004</v>
      </c>
      <c r="CN244">
        <f>Model!CV287</f>
        <v>8036.7270137999994</v>
      </c>
      <c r="CO244">
        <f>Model!CW287</f>
        <v>9695.3774147660006</v>
      </c>
      <c r="CP244">
        <f>Model!CX287</f>
        <v>11758.991685504299</v>
      </c>
      <c r="CQ244">
        <f>Model!CY287</f>
        <v>14019.721609033291</v>
      </c>
      <c r="CR244">
        <f>Model!CZ287</f>
        <v>16019.972777621497</v>
      </c>
      <c r="CS244">
        <f>Model!DA287</f>
        <v>18001.64423030346</v>
      </c>
      <c r="CT244">
        <f>Model!DB287</f>
        <v>19902.876247349792</v>
      </c>
      <c r="CU244">
        <f>Model!DC287</f>
        <v>21752.543403981581</v>
      </c>
      <c r="CV244">
        <f>Model!DD287</f>
        <v>23570.147492065516</v>
      </c>
      <c r="CW244">
        <f>Model!DE287</f>
        <v>25338.920266873909</v>
      </c>
      <c r="CX244">
        <f>Model!DF287</f>
        <v>27245.911412234567</v>
      </c>
    </row>
    <row r="245" spans="1:102">
      <c r="A245" t="str">
        <f>Model!I288</f>
        <v>Domestic % of Total Gross Profit</v>
      </c>
      <c r="B245">
        <f>Model!J288</f>
        <v>0</v>
      </c>
      <c r="C245">
        <f>Model!K288</f>
        <v>0</v>
      </c>
      <c r="D245">
        <f>Model!L288</f>
        <v>0</v>
      </c>
      <c r="E245">
        <f>Model!M288</f>
        <v>0</v>
      </c>
      <c r="F245">
        <f>Model!N288</f>
        <v>0</v>
      </c>
      <c r="G245">
        <f>Model!O288</f>
        <v>0</v>
      </c>
      <c r="H245">
        <f>Model!P288</f>
        <v>0</v>
      </c>
      <c r="I245">
        <f>Model!Q288</f>
        <v>0</v>
      </c>
      <c r="J245">
        <f>Model!R288</f>
        <v>0</v>
      </c>
      <c r="K245">
        <f>Model!S288</f>
        <v>0</v>
      </c>
      <c r="L245">
        <f>Model!T288</f>
        <v>0</v>
      </c>
      <c r="M245">
        <f>Model!U288</f>
        <v>0</v>
      </c>
      <c r="N245">
        <f>Model!V288</f>
        <v>0</v>
      </c>
      <c r="O245">
        <f>Model!W288</f>
        <v>0</v>
      </c>
      <c r="P245">
        <f>Model!X288</f>
        <v>0</v>
      </c>
      <c r="Q245">
        <f>Model!Y288</f>
        <v>0</v>
      </c>
      <c r="R245">
        <f>Model!Z288</f>
        <v>0</v>
      </c>
      <c r="S245">
        <f>Model!AA288</f>
        <v>0</v>
      </c>
      <c r="T245">
        <f>Model!AB288</f>
        <v>0</v>
      </c>
      <c r="U245">
        <f>Model!AC288</f>
        <v>0</v>
      </c>
      <c r="V245">
        <f>Model!AD288</f>
        <v>0</v>
      </c>
      <c r="W245">
        <f>Model!AE288</f>
        <v>0</v>
      </c>
      <c r="X245">
        <f>Model!AF288</f>
        <v>0</v>
      </c>
      <c r="Y245">
        <f>Model!AG288</f>
        <v>0</v>
      </c>
      <c r="Z245">
        <f>Model!AH288</f>
        <v>0</v>
      </c>
      <c r="AA245">
        <f>Model!AI288</f>
        <v>0</v>
      </c>
      <c r="AB245">
        <f>Model!AJ288</f>
        <v>0</v>
      </c>
      <c r="AC245">
        <f>Model!AK288</f>
        <v>0.53870896291374148</v>
      </c>
      <c r="AD245">
        <f>Model!AL288</f>
        <v>0.4163713014790853</v>
      </c>
      <c r="AE245">
        <f>Model!AM288</f>
        <v>0.34859215839391877</v>
      </c>
      <c r="AF245">
        <f>Model!AN288</f>
        <v>0.35748538888056347</v>
      </c>
      <c r="AG245">
        <f>Model!AO288</f>
        <v>0.42684549676151146</v>
      </c>
      <c r="AH245">
        <f>Model!AP288</f>
        <v>0.35166026209478773</v>
      </c>
      <c r="AI245">
        <f>Model!AQ288</f>
        <v>0.29226330209631812</v>
      </c>
      <c r="AJ245">
        <f>Model!AR288</f>
        <v>0.37678297125301735</v>
      </c>
      <c r="AK245">
        <f>Model!AS288</f>
        <v>0.45327125234003734</v>
      </c>
      <c r="AL245">
        <f>Model!AT288</f>
        <v>0.35591243554210161</v>
      </c>
      <c r="AM245">
        <f>Model!AU288</f>
        <v>0.27189946682764748</v>
      </c>
      <c r="AN245">
        <f>Model!AV288</f>
        <v>0.29084354814504998</v>
      </c>
      <c r="AO245">
        <f>Model!AW288</f>
        <v>0.32626380375788089</v>
      </c>
      <c r="AP245">
        <f>Model!AX288</f>
        <v>0.2768189015283376</v>
      </c>
      <c r="AQ245">
        <f>Model!AY288</f>
        <v>0.20442877986394217</v>
      </c>
      <c r="AR245">
        <f>Model!AZ288</f>
        <v>0.21824866799188161</v>
      </c>
      <c r="AS245">
        <f>Model!BA288</f>
        <v>0.23251510454559843</v>
      </c>
      <c r="AT245">
        <f>Model!BB288</f>
        <v>0.18302463739293973</v>
      </c>
      <c r="AU245">
        <f>Model!BC288</f>
        <v>0.13466188185589587</v>
      </c>
      <c r="AV245">
        <f>Model!BD288</f>
        <v>0.15964879114995648</v>
      </c>
      <c r="AW245">
        <f>Model!BE288</f>
        <v>0.16990453229434621</v>
      </c>
      <c r="AX245">
        <f>Model!BF288</f>
        <v>0.14454330164458817</v>
      </c>
      <c r="AY245">
        <f>Model!BG288</f>
        <v>0.11564689176735282</v>
      </c>
      <c r="AZ245">
        <f>Model!BH288</f>
        <v>0.11040170258047363</v>
      </c>
      <c r="BA245">
        <f>Model!BI288</f>
        <v>0.11455779887388388</v>
      </c>
      <c r="BB245">
        <f>Model!BJ288</f>
        <v>0.11487389626102551</v>
      </c>
      <c r="BC245">
        <f>Model!BK288</f>
        <v>8.8890280847650008E-2</v>
      </c>
      <c r="BD245">
        <f>Model!BL288</f>
        <v>0.10335194332872402</v>
      </c>
      <c r="BE245">
        <f>Model!BM288</f>
        <v>9.7582488744812207E-2</v>
      </c>
      <c r="BF245">
        <f>Model!BN288</f>
        <v>9.1437313986881097E-2</v>
      </c>
      <c r="BG245">
        <f>Model!BO288</f>
        <v>7.4409893521018886E-2</v>
      </c>
      <c r="BH245">
        <f>Model!BP288</f>
        <v>8.1759684276873121E-2</v>
      </c>
      <c r="BI245">
        <f>Model!BQ288</f>
        <v>8.9805265839054682E-2</v>
      </c>
      <c r="BJ245">
        <f>Model!BR288</f>
        <v>7.9628645753333643E-2</v>
      </c>
      <c r="BK245">
        <f>Model!BS288</f>
        <v>7.193927066607185E-2</v>
      </c>
      <c r="BL245">
        <f>Model!BT288</f>
        <v>8.1157619285547683E-2</v>
      </c>
      <c r="BM245">
        <f>Model!BU288</f>
        <v>9.0423238370870199E-2</v>
      </c>
      <c r="BN245">
        <f>Model!BV288</f>
        <v>7.6921517980745063E-2</v>
      </c>
      <c r="BO245">
        <f>Model!BW288</f>
        <v>3.7411418879948762E-2</v>
      </c>
      <c r="BP245">
        <f>Model!BX288</f>
        <v>5.79919928158458E-2</v>
      </c>
      <c r="BQ245">
        <f>Model!BY288</f>
        <v>7.8866396136820172E-2</v>
      </c>
      <c r="BR245">
        <f>Model!BZ288</f>
        <v>6.610170418833719E-2</v>
      </c>
      <c r="BS245">
        <f>Model!CA288</f>
        <v>4.7735034419619717E-2</v>
      </c>
      <c r="BT245">
        <f>Model!CB288</f>
        <v>7.8062507886868762E-2</v>
      </c>
      <c r="BU245">
        <f>Model!CC288</f>
        <v>6.7195527390319601E-2</v>
      </c>
      <c r="BV245">
        <f>Model!CD288</f>
        <v>5.6015603079064571E-2</v>
      </c>
      <c r="BW245">
        <f>Model!CE288</f>
        <v>4.3025464846075098E-2</v>
      </c>
      <c r="BX245">
        <f>Model!CF288</f>
        <v>6.6071343702963942E-2</v>
      </c>
      <c r="BY245">
        <f>Model!CG288</f>
        <v>0</v>
      </c>
      <c r="BZ245">
        <f>Model!CH288</f>
        <v>0</v>
      </c>
      <c r="CA245">
        <f>Model!CI288</f>
        <v>0</v>
      </c>
      <c r="CB245">
        <f>Model!CJ288</f>
        <v>0</v>
      </c>
      <c r="CC245">
        <f>Model!CK288</f>
        <v>0</v>
      </c>
      <c r="CD245">
        <f>Model!CL288</f>
        <v>0</v>
      </c>
      <c r="CE245">
        <f>Model!CM288</f>
        <v>0.5548575544174138</v>
      </c>
      <c r="CF245">
        <f>Model!CN288</f>
        <v>0.40600275267017027</v>
      </c>
      <c r="CG245">
        <f>Model!CO288</f>
        <v>0.35165397276695642</v>
      </c>
      <c r="CH245">
        <f>Model!CP288</f>
        <v>0.32691552655019218</v>
      </c>
      <c r="CI245">
        <f>Model!CQ288</f>
        <v>0.24454112873979572</v>
      </c>
      <c r="CJ245">
        <f>Model!CR288</f>
        <v>0.16837669000090918</v>
      </c>
      <c r="CK245">
        <f>Model!CS288</f>
        <v>0.13142089208241292</v>
      </c>
      <c r="CL245">
        <f>Model!CT288</f>
        <v>0.10318663516073825</v>
      </c>
      <c r="CM245">
        <f>Model!CU288</f>
        <v>8.4580545268202981E-2</v>
      </c>
      <c r="CN245">
        <f>Model!CV288</f>
        <v>7.9227154624844726E-2</v>
      </c>
      <c r="CO245">
        <f>Model!CW288</f>
        <v>6.1408379405555012E-2</v>
      </c>
      <c r="CP245">
        <f>Model!CX288</f>
        <v>6.4545643521453727E-2</v>
      </c>
      <c r="CQ245">
        <f>Model!CY288</f>
        <v>5.5936856064758872E-2</v>
      </c>
      <c r="CR245">
        <f>Model!CZ288</f>
        <v>5.0645786987573466E-2</v>
      </c>
      <c r="CS245">
        <f>Model!DA288</f>
        <v>4.6241936132756518E-2</v>
      </c>
      <c r="CT245">
        <f>Model!DB288</f>
        <v>4.25929136124732E-2</v>
      </c>
      <c r="CU245">
        <f>Model!DC288</f>
        <v>3.9694379262453713E-2</v>
      </c>
      <c r="CV245">
        <f>Model!DD288</f>
        <v>3.7319358849958059E-2</v>
      </c>
      <c r="CW245">
        <f>Model!DE288</f>
        <v>3.5369512521183158E-2</v>
      </c>
      <c r="CX245">
        <f>Model!DF288</f>
        <v>3.3519112554143755E-2</v>
      </c>
    </row>
    <row r="246" spans="1:102">
      <c r="A246" t="str">
        <f>Model!I289</f>
        <v>International % of Total Gross Profit</v>
      </c>
      <c r="B246">
        <f>Model!J289</f>
        <v>0</v>
      </c>
      <c r="C246">
        <f>Model!K289</f>
        <v>0</v>
      </c>
      <c r="D246">
        <f>Model!L289</f>
        <v>0</v>
      </c>
      <c r="E246">
        <f>Model!M289</f>
        <v>0</v>
      </c>
      <c r="F246">
        <f>Model!N289</f>
        <v>0</v>
      </c>
      <c r="G246">
        <f>Model!O289</f>
        <v>0</v>
      </c>
      <c r="H246">
        <f>Model!P289</f>
        <v>0</v>
      </c>
      <c r="I246">
        <f>Model!Q289</f>
        <v>0</v>
      </c>
      <c r="J246">
        <f>Model!R289</f>
        <v>0</v>
      </c>
      <c r="K246">
        <f>Model!S289</f>
        <v>0</v>
      </c>
      <c r="L246">
        <f>Model!T289</f>
        <v>0</v>
      </c>
      <c r="M246">
        <f>Model!U289</f>
        <v>0</v>
      </c>
      <c r="N246">
        <f>Model!V289</f>
        <v>0</v>
      </c>
      <c r="O246">
        <f>Model!W289</f>
        <v>0</v>
      </c>
      <c r="P246">
        <f>Model!X289</f>
        <v>0</v>
      </c>
      <c r="Q246">
        <f>Model!Y289</f>
        <v>0</v>
      </c>
      <c r="R246">
        <f>Model!Z289</f>
        <v>0</v>
      </c>
      <c r="S246">
        <f>Model!AA289</f>
        <v>0</v>
      </c>
      <c r="T246">
        <f>Model!AB289</f>
        <v>0</v>
      </c>
      <c r="U246">
        <f>Model!AC289</f>
        <v>0</v>
      </c>
      <c r="V246">
        <f>Model!AD289</f>
        <v>0</v>
      </c>
      <c r="W246">
        <f>Model!AE289</f>
        <v>0</v>
      </c>
      <c r="X246">
        <f>Model!AF289</f>
        <v>0</v>
      </c>
      <c r="Y246">
        <f>Model!AG289</f>
        <v>0</v>
      </c>
      <c r="Z246">
        <f>Model!AH289</f>
        <v>0</v>
      </c>
      <c r="AA246">
        <f>Model!AI289</f>
        <v>0</v>
      </c>
      <c r="AB246">
        <f>Model!AJ289</f>
        <v>0</v>
      </c>
      <c r="AC246">
        <f>Model!AK289</f>
        <v>0.46129103708625846</v>
      </c>
      <c r="AD246">
        <f>Model!AL289</f>
        <v>0.5836286985209147</v>
      </c>
      <c r="AE246">
        <f>Model!AM289</f>
        <v>0.65140784160608123</v>
      </c>
      <c r="AF246">
        <f>Model!AN289</f>
        <v>0.64251461111943653</v>
      </c>
      <c r="AG246">
        <f>Model!AO289</f>
        <v>0.5731545032384886</v>
      </c>
      <c r="AH246">
        <f>Model!AP289</f>
        <v>0.64833973790521227</v>
      </c>
      <c r="AI246">
        <f>Model!AQ289</f>
        <v>0.70773669790368188</v>
      </c>
      <c r="AJ246">
        <f>Model!AR289</f>
        <v>0.6232170287469827</v>
      </c>
      <c r="AK246">
        <f>Model!AS289</f>
        <v>0.5467287476599626</v>
      </c>
      <c r="AL246">
        <f>Model!AT289</f>
        <v>0.64408756445789839</v>
      </c>
      <c r="AM246">
        <f>Model!AU289</f>
        <v>0.72810053317235246</v>
      </c>
      <c r="AN246">
        <f>Model!AV289</f>
        <v>0.70915645185495002</v>
      </c>
      <c r="AO246">
        <f>Model!AW289</f>
        <v>0.67373619624211911</v>
      </c>
      <c r="AP246">
        <f>Model!AX289</f>
        <v>0.72318109847166245</v>
      </c>
      <c r="AQ246">
        <f>Model!AY289</f>
        <v>0.79557122013605786</v>
      </c>
      <c r="AR246">
        <f>Model!AZ289</f>
        <v>0.78175133200811842</v>
      </c>
      <c r="AS246">
        <f>Model!BA289</f>
        <v>0.76748489545440157</v>
      </c>
      <c r="AT246">
        <f>Model!BB289</f>
        <v>0.81697536260706027</v>
      </c>
      <c r="AU246">
        <f>Model!BC289</f>
        <v>0.86533811814410411</v>
      </c>
      <c r="AV246">
        <f>Model!BD289</f>
        <v>0.84035120885004355</v>
      </c>
      <c r="AW246">
        <f>Model!BE289</f>
        <v>0.83009546770565379</v>
      </c>
      <c r="AX246">
        <f>Model!BF289</f>
        <v>0.85545669835541183</v>
      </c>
      <c r="AY246">
        <f>Model!BG289</f>
        <v>0.88435310823264723</v>
      </c>
      <c r="AZ246">
        <f>Model!BH289</f>
        <v>0.88959829741952634</v>
      </c>
      <c r="BA246">
        <f>Model!BI289</f>
        <v>0.88544220112611616</v>
      </c>
      <c r="BB246">
        <f>Model!BJ289</f>
        <v>0.88512610373897449</v>
      </c>
      <c r="BC246">
        <f>Model!BK289</f>
        <v>0.91110971915234995</v>
      </c>
      <c r="BD246">
        <f>Model!BL289</f>
        <v>0.89664805667127601</v>
      </c>
      <c r="BE246">
        <f>Model!BM289</f>
        <v>0.90241751125518777</v>
      </c>
      <c r="BF246">
        <f>Model!BN289</f>
        <v>0.90856268601311896</v>
      </c>
      <c r="BG246">
        <f>Model!BO289</f>
        <v>0.9255901064789811</v>
      </c>
      <c r="BH246">
        <f>Model!BP289</f>
        <v>0.91824031572312692</v>
      </c>
      <c r="BI246">
        <f>Model!BQ289</f>
        <v>0.91019473416094532</v>
      </c>
      <c r="BJ246">
        <f>Model!BR289</f>
        <v>0.92037135424666638</v>
      </c>
      <c r="BK246">
        <f>Model!BS289</f>
        <v>0.92806072933392814</v>
      </c>
      <c r="BL246">
        <f>Model!BT289</f>
        <v>0.91884238071445234</v>
      </c>
      <c r="BM246">
        <f>Model!BU289</f>
        <v>0.90957676162912982</v>
      </c>
      <c r="BN246">
        <f>Model!BV289</f>
        <v>0.92307848201925491</v>
      </c>
      <c r="BO246">
        <f>Model!BW289</f>
        <v>0.96258858112005119</v>
      </c>
      <c r="BP246">
        <f>Model!BX289</f>
        <v>0.94200800718415423</v>
      </c>
      <c r="BQ246">
        <f>Model!BY289</f>
        <v>0.92113360386317988</v>
      </c>
      <c r="BR246">
        <f>Model!BZ289</f>
        <v>0.93389829581166284</v>
      </c>
      <c r="BS246">
        <f>Model!CA289</f>
        <v>0.95226496558038032</v>
      </c>
      <c r="BT246">
        <f>Model!CB289</f>
        <v>0.92193749211313125</v>
      </c>
      <c r="BU246">
        <f>Model!CC289</f>
        <v>0.93280447260968047</v>
      </c>
      <c r="BV246">
        <f>Model!CD289</f>
        <v>0.94398439692093539</v>
      </c>
      <c r="BW246">
        <f>Model!CE289</f>
        <v>0.95697453515392483</v>
      </c>
      <c r="BX246">
        <f>Model!CF289</f>
        <v>0.93392865629703603</v>
      </c>
      <c r="BY246">
        <f>Model!CG289</f>
        <v>0</v>
      </c>
      <c r="BZ246">
        <f>Model!CH289</f>
        <v>0</v>
      </c>
      <c r="CA246">
        <f>Model!CI289</f>
        <v>0</v>
      </c>
      <c r="CB246">
        <f>Model!CJ289</f>
        <v>0</v>
      </c>
      <c r="CC246">
        <f>Model!CK289</f>
        <v>0</v>
      </c>
      <c r="CD246">
        <f>Model!CL289</f>
        <v>0</v>
      </c>
      <c r="CE246">
        <f>Model!CM289</f>
        <v>0.4451424455825862</v>
      </c>
      <c r="CF246">
        <f>Model!CN289</f>
        <v>0.59399724732982973</v>
      </c>
      <c r="CG246">
        <f>Model!CO289</f>
        <v>0.64834602723304358</v>
      </c>
      <c r="CH246">
        <f>Model!CP289</f>
        <v>0.67308447344980782</v>
      </c>
      <c r="CI246">
        <f>Model!CQ289</f>
        <v>0.75300181744644068</v>
      </c>
      <c r="CJ246">
        <f>Model!CR289</f>
        <v>0.83162330999909073</v>
      </c>
      <c r="CK246">
        <f>Model!CS289</f>
        <v>0.86857910791758708</v>
      </c>
      <c r="CL246">
        <f>Model!CT289</f>
        <v>0.89681336483926177</v>
      </c>
      <c r="CM246">
        <f>Model!CU289</f>
        <v>0.91541945473179698</v>
      </c>
      <c r="CN246">
        <f>Model!CV289</f>
        <v>0.92077284537515525</v>
      </c>
      <c r="CO246">
        <f>Model!CW289</f>
        <v>0.9385916205944449</v>
      </c>
      <c r="CP246">
        <f>Model!CX289</f>
        <v>0.93545435647854625</v>
      </c>
      <c r="CQ246">
        <f>Model!CY289</f>
        <v>0.94406314393524116</v>
      </c>
      <c r="CR246">
        <f>Model!CZ289</f>
        <v>0.94935421301242651</v>
      </c>
      <c r="CS246">
        <f>Model!DA289</f>
        <v>0.95375806386724349</v>
      </c>
      <c r="CT246">
        <f>Model!DB289</f>
        <v>0.95740708638752681</v>
      </c>
      <c r="CU246">
        <f>Model!DC289</f>
        <v>0.96030562073754622</v>
      </c>
      <c r="CV246">
        <f>Model!DD289</f>
        <v>0.96268064115004193</v>
      </c>
      <c r="CW246">
        <f>Model!DE289</f>
        <v>0.96463048747881686</v>
      </c>
      <c r="CX246">
        <f>Model!DF289</f>
        <v>0.96648088744585625</v>
      </c>
    </row>
    <row r="248" spans="1:102">
      <c r="A248">
        <f>Model!I290</f>
        <v>0</v>
      </c>
      <c r="B248">
        <f>Model!J290</f>
        <v>0</v>
      </c>
      <c r="C248">
        <f>Model!K290</f>
        <v>0</v>
      </c>
      <c r="D248">
        <f>Model!L290</f>
        <v>0</v>
      </c>
      <c r="E248">
        <f>Model!M290</f>
        <v>0</v>
      </c>
      <c r="F248">
        <f>Model!N290</f>
        <v>0</v>
      </c>
      <c r="G248">
        <f>Model!O290</f>
        <v>0</v>
      </c>
      <c r="H248">
        <f>Model!P290</f>
        <v>0</v>
      </c>
      <c r="I248">
        <f>Model!Q290</f>
        <v>0</v>
      </c>
      <c r="J248">
        <f>Model!R290</f>
        <v>0</v>
      </c>
      <c r="K248">
        <f>Model!S290</f>
        <v>0</v>
      </c>
      <c r="L248">
        <f>Model!T290</f>
        <v>0</v>
      </c>
      <c r="M248">
        <f>Model!U290</f>
        <v>0</v>
      </c>
      <c r="N248">
        <f>Model!V290</f>
        <v>0</v>
      </c>
      <c r="O248">
        <f>Model!W290</f>
        <v>0</v>
      </c>
      <c r="P248">
        <f>Model!X290</f>
        <v>0</v>
      </c>
      <c r="Q248">
        <f>Model!Y290</f>
        <v>0</v>
      </c>
      <c r="R248">
        <f>Model!Z290</f>
        <v>0</v>
      </c>
      <c r="S248">
        <f>Model!AA290</f>
        <v>0</v>
      </c>
      <c r="T248">
        <f>Model!AB290</f>
        <v>0</v>
      </c>
      <c r="U248">
        <f>Model!AC290</f>
        <v>0</v>
      </c>
      <c r="V248">
        <f>Model!AD290</f>
        <v>0</v>
      </c>
      <c r="W248">
        <f>Model!AE290</f>
        <v>0</v>
      </c>
      <c r="X248">
        <f>Model!AF290</f>
        <v>0</v>
      </c>
      <c r="Y248">
        <f>Model!AG290</f>
        <v>0</v>
      </c>
      <c r="Z248">
        <f>Model!AH290</f>
        <v>0</v>
      </c>
      <c r="AA248">
        <f>Model!AI290</f>
        <v>0</v>
      </c>
      <c r="AB248">
        <f>Model!AJ290</f>
        <v>0</v>
      </c>
      <c r="AC248">
        <f>Model!AK290</f>
        <v>0</v>
      </c>
      <c r="AD248">
        <f>Model!AL290</f>
        <v>0</v>
      </c>
      <c r="AE248">
        <f>Model!AM290</f>
        <v>0</v>
      </c>
      <c r="AF248">
        <f>Model!AN290</f>
        <v>0</v>
      </c>
      <c r="AG248">
        <f>Model!AO290</f>
        <v>0</v>
      </c>
      <c r="AH248">
        <f>Model!AP290</f>
        <v>0</v>
      </c>
      <c r="AI248">
        <f>Model!AQ290</f>
        <v>0</v>
      </c>
      <c r="AJ248">
        <f>Model!AR290</f>
        <v>0</v>
      </c>
      <c r="AK248">
        <f>Model!AS290</f>
        <v>0</v>
      </c>
      <c r="AL248">
        <f>Model!AT290</f>
        <v>0</v>
      </c>
      <c r="AM248">
        <f>Model!AU290</f>
        <v>0</v>
      </c>
      <c r="AN248">
        <f>Model!AV290</f>
        <v>0</v>
      </c>
      <c r="AO248">
        <f>Model!AW290</f>
        <v>0</v>
      </c>
      <c r="AP248">
        <f>Model!AX290</f>
        <v>0</v>
      </c>
      <c r="AQ248">
        <f>Model!AY290</f>
        <v>0</v>
      </c>
      <c r="AR248">
        <f>Model!AZ290</f>
        <v>0</v>
      </c>
      <c r="AS248">
        <f>Model!BA290</f>
        <v>0</v>
      </c>
      <c r="AT248">
        <f>Model!BB290</f>
        <v>0</v>
      </c>
      <c r="AU248">
        <f>Model!BC290</f>
        <v>0</v>
      </c>
      <c r="AV248">
        <f>Model!BD290</f>
        <v>0</v>
      </c>
      <c r="AW248">
        <f>Model!BE290</f>
        <v>0</v>
      </c>
      <c r="AX248">
        <f>Model!BF290</f>
        <v>0</v>
      </c>
      <c r="AY248">
        <f>Model!BG290</f>
        <v>0</v>
      </c>
      <c r="AZ248">
        <f>Model!BH290</f>
        <v>0</v>
      </c>
      <c r="BA248">
        <f>Model!BI290</f>
        <v>0</v>
      </c>
      <c r="BB248">
        <f>Model!BJ290</f>
        <v>0</v>
      </c>
      <c r="BC248">
        <f>Model!BK290</f>
        <v>0</v>
      </c>
      <c r="BD248">
        <f>Model!BL290</f>
        <v>0</v>
      </c>
      <c r="BE248">
        <f>Model!BM290</f>
        <v>0</v>
      </c>
      <c r="BF248">
        <f>Model!BN290</f>
        <v>0</v>
      </c>
      <c r="BG248">
        <f>Model!BO290</f>
        <v>0</v>
      </c>
      <c r="BH248">
        <f>Model!BP290</f>
        <v>0</v>
      </c>
      <c r="BI248">
        <f>Model!BQ290</f>
        <v>0</v>
      </c>
      <c r="BJ248">
        <f>Model!BR290</f>
        <v>0</v>
      </c>
      <c r="BK248">
        <f>Model!BS290</f>
        <v>0</v>
      </c>
      <c r="BL248">
        <f>Model!BT290</f>
        <v>0</v>
      </c>
      <c r="BM248">
        <f>Model!BU290</f>
        <v>0</v>
      </c>
      <c r="BN248">
        <f>Model!BV290</f>
        <v>0</v>
      </c>
      <c r="BO248">
        <f>Model!BW290</f>
        <v>0</v>
      </c>
      <c r="BP248">
        <f>Model!BX290</f>
        <v>0</v>
      </c>
      <c r="BQ248">
        <f>Model!BY290</f>
        <v>0</v>
      </c>
      <c r="BR248">
        <f>Model!BZ290</f>
        <v>0</v>
      </c>
      <c r="BS248">
        <f>Model!CA290</f>
        <v>0</v>
      </c>
      <c r="BT248">
        <f>Model!CB290</f>
        <v>0</v>
      </c>
      <c r="BU248">
        <f>Model!CC290</f>
        <v>0</v>
      </c>
      <c r="BV248">
        <f>Model!CD290</f>
        <v>0</v>
      </c>
      <c r="BW248">
        <f>Model!CE290</f>
        <v>0</v>
      </c>
      <c r="BX248">
        <f>Model!CF290</f>
        <v>0</v>
      </c>
      <c r="BY248">
        <f>Model!CG290</f>
        <v>0</v>
      </c>
      <c r="BZ248">
        <f>Model!CH290</f>
        <v>0</v>
      </c>
      <c r="CA248">
        <f>Model!CI290</f>
        <v>0</v>
      </c>
      <c r="CB248">
        <f>Model!CJ290</f>
        <v>0</v>
      </c>
      <c r="CC248">
        <f>Model!CK290</f>
        <v>0</v>
      </c>
      <c r="CD248">
        <f>Model!CL290</f>
        <v>0</v>
      </c>
      <c r="CE248">
        <f>Model!CM290</f>
        <v>0</v>
      </c>
      <c r="CF248">
        <f>Model!CN290</f>
        <v>0</v>
      </c>
      <c r="CG248">
        <f>Model!CO290</f>
        <v>0</v>
      </c>
      <c r="CH248">
        <f>Model!CP290</f>
        <v>0</v>
      </c>
      <c r="CI248">
        <f>Model!CQ290</f>
        <v>0</v>
      </c>
      <c r="CJ248">
        <f>Model!CR290</f>
        <v>0</v>
      </c>
      <c r="CK248">
        <f>Model!CS290</f>
        <v>0</v>
      </c>
      <c r="CL248">
        <f>Model!CT290</f>
        <v>0</v>
      </c>
      <c r="CM248">
        <f>Model!CU290</f>
        <v>0</v>
      </c>
      <c r="CN248">
        <f>Model!CV290</f>
        <v>0</v>
      </c>
      <c r="CO248">
        <f>Model!CW290</f>
        <v>0</v>
      </c>
      <c r="CP248">
        <f>Model!CX290</f>
        <v>0</v>
      </c>
      <c r="CQ248">
        <f>Model!CY290</f>
        <v>0</v>
      </c>
      <c r="CR248">
        <f>Model!CZ290</f>
        <v>0</v>
      </c>
      <c r="CS248">
        <f>Model!DA290</f>
        <v>0</v>
      </c>
      <c r="CT248">
        <f>Model!DB290</f>
        <v>0</v>
      </c>
      <c r="CU248">
        <f>Model!DC290</f>
        <v>0</v>
      </c>
      <c r="CV248">
        <f>Model!DD290</f>
        <v>0</v>
      </c>
      <c r="CW248">
        <f>Model!DE290</f>
        <v>0</v>
      </c>
      <c r="CX248">
        <f>Model!DF290</f>
        <v>0</v>
      </c>
    </row>
    <row r="249" spans="1:102">
      <c r="A249" t="str">
        <f>Model!I291</f>
        <v>Merchant Revenue (ex Kayak)</v>
      </c>
      <c r="B249">
        <f>Model!J291</f>
        <v>0</v>
      </c>
      <c r="C249">
        <f>Model!K291</f>
        <v>0</v>
      </c>
      <c r="D249">
        <f>Model!L291</f>
        <v>0</v>
      </c>
      <c r="E249">
        <f>Model!M291</f>
        <v>0</v>
      </c>
      <c r="F249">
        <f>Model!N291</f>
        <v>0</v>
      </c>
      <c r="G249">
        <f>Model!O291</f>
        <v>0</v>
      </c>
      <c r="H249">
        <f>Model!P291</f>
        <v>0</v>
      </c>
      <c r="I249">
        <f>Model!Q291</f>
        <v>0</v>
      </c>
      <c r="J249">
        <f>Model!R291</f>
        <v>0</v>
      </c>
      <c r="K249">
        <f>Model!S291</f>
        <v>0</v>
      </c>
      <c r="L249">
        <f>Model!T291</f>
        <v>0</v>
      </c>
      <c r="M249">
        <f>Model!U291</f>
        <v>0</v>
      </c>
      <c r="N249">
        <f>Model!V291</f>
        <v>0</v>
      </c>
      <c r="O249">
        <f>Model!W291</f>
        <v>0</v>
      </c>
      <c r="P249">
        <f>Model!X291</f>
        <v>0</v>
      </c>
      <c r="Q249">
        <f>Model!Y291</f>
        <v>0</v>
      </c>
      <c r="R249">
        <f>Model!Z291</f>
        <v>0</v>
      </c>
      <c r="S249">
        <f>Model!AA291</f>
        <v>0</v>
      </c>
      <c r="T249">
        <f>Model!AB291</f>
        <v>0</v>
      </c>
      <c r="U249">
        <f>Model!AC291</f>
        <v>0</v>
      </c>
      <c r="V249">
        <f>Model!AD291</f>
        <v>0</v>
      </c>
      <c r="W249">
        <f>Model!AE291</f>
        <v>0</v>
      </c>
      <c r="X249">
        <f>Model!AF291</f>
        <v>0</v>
      </c>
      <c r="Y249">
        <f>Model!AG291</f>
        <v>210.43799999999999</v>
      </c>
      <c r="Z249">
        <f>Model!AH291</f>
        <v>250.52399999999997</v>
      </c>
      <c r="AA249">
        <f>Model!AI291</f>
        <v>236.95800000000003</v>
      </c>
      <c r="AB249">
        <f>Model!AJ291</f>
        <v>204.64899999999994</v>
      </c>
      <c r="AC249">
        <f>Model!AK291</f>
        <v>230.13300000000004</v>
      </c>
      <c r="AD249">
        <f>Model!AL291</f>
        <v>252.59099999999992</v>
      </c>
      <c r="AE249">
        <f>Model!AM291</f>
        <v>275.21100000000001</v>
      </c>
      <c r="AF249">
        <f>Model!AN291</f>
        <v>227.09300000000002</v>
      </c>
      <c r="AG249">
        <f>Model!AO291</f>
        <v>289.19499999999999</v>
      </c>
      <c r="AH249">
        <f>Model!AP291</f>
        <v>336.23</v>
      </c>
      <c r="AI249">
        <f>Model!AQ291</f>
        <v>323.95699999999999</v>
      </c>
      <c r="AJ249">
        <f>Model!AR291</f>
        <v>268.78000000000003</v>
      </c>
      <c r="AK249">
        <f>Model!AS291</f>
        <v>336.334</v>
      </c>
      <c r="AL249">
        <f>Model!AT291</f>
        <v>391.82199999999989</v>
      </c>
      <c r="AM249">
        <f>Model!AU291</f>
        <v>399.41399999999999</v>
      </c>
      <c r="AN249">
        <f>Model!AV291</f>
        <v>316.60699999999997</v>
      </c>
      <c r="AO249">
        <f>Model!AW291</f>
        <v>367.46499999999992</v>
      </c>
      <c r="AP249">
        <f>Model!AX291</f>
        <v>446.66899999999998</v>
      </c>
      <c r="AQ249">
        <f>Model!AY291</f>
        <v>493.49600000000004</v>
      </c>
      <c r="AR249">
        <f>Model!AZ291</f>
        <v>382.23400000000004</v>
      </c>
      <c r="AS249">
        <f>Model!BA291</f>
        <v>454.80400000000003</v>
      </c>
      <c r="AT249">
        <f>Model!BB291</f>
        <v>530.53000000000009</v>
      </c>
      <c r="AU249">
        <f>Model!BC291</f>
        <v>573.23</v>
      </c>
      <c r="AV249">
        <f>Model!BD291</f>
        <v>445.86899999999997</v>
      </c>
      <c r="AW249">
        <f>Model!BE291</f>
        <v>496.40900000000011</v>
      </c>
      <c r="AX249">
        <f>Model!BF291</f>
        <v>551.024</v>
      </c>
      <c r="AY249">
        <f>Model!BG291</f>
        <v>584.96900000000005</v>
      </c>
      <c r="AZ249">
        <f>Model!BH291</f>
        <v>472.35000000000014</v>
      </c>
      <c r="BA249">
        <f>Model!BI291</f>
        <v>528.56399999999985</v>
      </c>
      <c r="BB249">
        <f>Model!BJ291</f>
        <v>580.22399999999982</v>
      </c>
      <c r="BC249">
        <f>Model!BK291</f>
        <v>620.904</v>
      </c>
      <c r="BD249">
        <f>Model!BL291</f>
        <v>481.78200000000004</v>
      </c>
      <c r="BE249">
        <f>Model!BM291</f>
        <v>526.99800000000005</v>
      </c>
      <c r="BF249">
        <f>Model!BN291</f>
        <v>567.25299999999993</v>
      </c>
      <c r="BG249">
        <f>Model!BO291</f>
        <v>654.73500000000013</v>
      </c>
      <c r="BH249">
        <f>Model!BP291</f>
        <v>537.26800000000003</v>
      </c>
      <c r="BI249">
        <f>Model!BQ291</f>
        <v>555.27500000000009</v>
      </c>
      <c r="BJ249">
        <f>Model!BR291</f>
        <v>608.21299999999997</v>
      </c>
      <c r="BK249">
        <f>Model!BS291</f>
        <v>661.30299999999988</v>
      </c>
      <c r="BL249">
        <f>Model!BT291</f>
        <v>518.48200000000008</v>
      </c>
      <c r="BM249">
        <f>Model!BU291</f>
        <v>541.83199999999977</v>
      </c>
      <c r="BN249">
        <f>Model!BV291</f>
        <v>592.46699999999998</v>
      </c>
      <c r="BO249">
        <f>Model!BW291</f>
        <v>694.49000000000035</v>
      </c>
      <c r="BP249">
        <f>Model!BX291</f>
        <v>523.1160000000001</v>
      </c>
      <c r="BQ249">
        <f>Model!BY291</f>
        <v>522.46100000000001</v>
      </c>
      <c r="BR249">
        <f>Model!BZ291</f>
        <v>581.68499999999972</v>
      </c>
      <c r="BS249">
        <f>Model!CA291</f>
        <v>767.39299999999935</v>
      </c>
      <c r="BT249">
        <f>Model!CB291</f>
        <v>601.84600000000012</v>
      </c>
      <c r="BU249">
        <f>Model!CC291</f>
        <v>529.90190295195089</v>
      </c>
      <c r="BV249">
        <f>Model!CD291</f>
        <v>599.7599850680599</v>
      </c>
      <c r="BW249">
        <f>Model!CE291</f>
        <v>830.70202207982061</v>
      </c>
      <c r="BX249">
        <f>Model!CF291</f>
        <v>663.89397722907552</v>
      </c>
      <c r="BY249">
        <f>Model!CG291</f>
        <v>0</v>
      </c>
      <c r="BZ249">
        <f>Model!CH291</f>
        <v>0</v>
      </c>
      <c r="CA249">
        <f>Model!CI291</f>
        <v>0</v>
      </c>
      <c r="CB249">
        <f>Model!CJ291</f>
        <v>0</v>
      </c>
      <c r="CC249">
        <f>Model!CK291</f>
        <v>0</v>
      </c>
      <c r="CD249">
        <f>Model!CL291</f>
        <v>0</v>
      </c>
      <c r="CE249">
        <f>Model!CM291</f>
        <v>902.56900000000019</v>
      </c>
      <c r="CF249">
        <f>Model!CN291</f>
        <v>981.02799999999968</v>
      </c>
      <c r="CG249">
        <f>Model!CO291</f>
        <v>1218.1620000000003</v>
      </c>
      <c r="CH249">
        <f>Model!CP291</f>
        <v>1444.1769999999999</v>
      </c>
      <c r="CI249">
        <f>Model!CQ291</f>
        <v>1689.864</v>
      </c>
      <c r="CJ249">
        <f>Model!CR291</f>
        <v>2004.433</v>
      </c>
      <c r="CK249">
        <f>Model!CS291</f>
        <v>2104.7520000000004</v>
      </c>
      <c r="CL249">
        <f>Model!CT291</f>
        <v>2211.4739999999997</v>
      </c>
      <c r="CM249">
        <f>Model!CU291</f>
        <v>2286.2539999999999</v>
      </c>
      <c r="CN249">
        <f>Model!CV291</f>
        <v>2343.2730000000001</v>
      </c>
      <c r="CO249">
        <f>Model!CW291</f>
        <v>2351.9050000000002</v>
      </c>
      <c r="CP249">
        <f>Model!CX291</f>
        <v>2473.3849999999993</v>
      </c>
      <c r="CQ249">
        <f>Model!CY291</f>
        <v>2624.2578873289067</v>
      </c>
      <c r="CR249">
        <f>Model!CZ291</f>
        <v>2853.8710190180036</v>
      </c>
      <c r="CS249">
        <f>Model!DA291</f>
        <v>3060.0454337567216</v>
      </c>
      <c r="CT249">
        <f>Model!DB291</f>
        <v>3243.6575876290117</v>
      </c>
      <c r="CU249">
        <f>Model!DC291</f>
        <v>3410.6339703068065</v>
      </c>
      <c r="CV249">
        <f>Model!DD291</f>
        <v>3586.3690922589562</v>
      </c>
      <c r="CW249">
        <f>Model!DE291</f>
        <v>3771.6955912278318</v>
      </c>
      <c r="CX249">
        <f>Model!DF291</f>
        <v>3970.7578822106975</v>
      </c>
    </row>
    <row r="250" spans="1:102">
      <c r="A250" t="str">
        <f>Model!I292</f>
        <v>Merchant Gross Profit</v>
      </c>
      <c r="B250">
        <f>Model!J292</f>
        <v>0</v>
      </c>
      <c r="C250">
        <f>Model!K292</f>
        <v>0</v>
      </c>
      <c r="D250">
        <f>Model!L292</f>
        <v>0</v>
      </c>
      <c r="E250">
        <f>Model!M292</f>
        <v>0</v>
      </c>
      <c r="F250">
        <f>Model!N292</f>
        <v>0</v>
      </c>
      <c r="G250">
        <f>Model!O292</f>
        <v>0</v>
      </c>
      <c r="H250">
        <f>Model!P292</f>
        <v>0</v>
      </c>
      <c r="I250">
        <f>Model!Q292</f>
        <v>0</v>
      </c>
      <c r="J250">
        <f>Model!R292</f>
        <v>0</v>
      </c>
      <c r="K250">
        <f>Model!S292</f>
        <v>0</v>
      </c>
      <c r="L250">
        <f>Model!T292</f>
        <v>0</v>
      </c>
      <c r="M250">
        <f>Model!U292</f>
        <v>0</v>
      </c>
      <c r="N250">
        <f>Model!V292</f>
        <v>0</v>
      </c>
      <c r="O250">
        <f>Model!W292</f>
        <v>0</v>
      </c>
      <c r="P250">
        <f>Model!X292</f>
        <v>0</v>
      </c>
      <c r="Q250">
        <f>Model!Y292</f>
        <v>0</v>
      </c>
      <c r="R250">
        <f>Model!Z292</f>
        <v>0</v>
      </c>
      <c r="S250">
        <f>Model!AA292</f>
        <v>0</v>
      </c>
      <c r="T250">
        <f>Model!AB292</f>
        <v>0</v>
      </c>
      <c r="U250">
        <f>Model!AC292</f>
        <v>0</v>
      </c>
      <c r="V250">
        <f>Model!AD292</f>
        <v>0</v>
      </c>
      <c r="W250">
        <f>Model!AE292</f>
        <v>0</v>
      </c>
      <c r="X250">
        <f>Model!AF292</f>
        <v>0</v>
      </c>
      <c r="Y250">
        <f>Model!AG292</f>
        <v>0</v>
      </c>
      <c r="Z250">
        <f>Model!AH292</f>
        <v>0</v>
      </c>
      <c r="AA250">
        <f>Model!AI292</f>
        <v>0</v>
      </c>
      <c r="AB250">
        <f>Model!AJ292</f>
        <v>0</v>
      </c>
      <c r="AC250">
        <f>Model!AK292</f>
        <v>48.461000000000027</v>
      </c>
      <c r="AD250">
        <f>Model!AL292</f>
        <v>53.921999999999947</v>
      </c>
      <c r="AE250">
        <f>Model!AM292</f>
        <v>60.254999999999995</v>
      </c>
      <c r="AF250">
        <f>Model!AN292</f>
        <v>51.992000000000004</v>
      </c>
      <c r="AG250">
        <f>Model!AO292</f>
        <v>67.082000000000022</v>
      </c>
      <c r="AH250">
        <f>Model!AP292</f>
        <v>75.979000000000042</v>
      </c>
      <c r="AI250">
        <f>Model!AQ292</f>
        <v>78.426000000000016</v>
      </c>
      <c r="AJ250">
        <f>Model!AR292</f>
        <v>67.839999999999975</v>
      </c>
      <c r="AK250">
        <f>Model!AS292</f>
        <v>83.305999999999983</v>
      </c>
      <c r="AL250">
        <f>Model!AT292</f>
        <v>94.318999999999988</v>
      </c>
      <c r="AM250">
        <f>Model!AU292</f>
        <v>103.66</v>
      </c>
      <c r="AN250">
        <f>Model!AV292</f>
        <v>88.843000000000075</v>
      </c>
      <c r="AO250">
        <f>Model!AW292</f>
        <v>102.98699999999988</v>
      </c>
      <c r="AP250">
        <f>Model!AX292</f>
        <v>124.48499999999993</v>
      </c>
      <c r="AQ250">
        <f>Model!AY292</f>
        <v>158.90399999999988</v>
      </c>
      <c r="AR250">
        <f>Model!AZ292</f>
        <v>129.33100000000005</v>
      </c>
      <c r="AS250">
        <f>Model!BA292</f>
        <v>151.29200000000003</v>
      </c>
      <c r="AT250">
        <f>Model!BB292</f>
        <v>177.04100000000014</v>
      </c>
      <c r="AU250">
        <f>Model!BC292</f>
        <v>220.57400000000007</v>
      </c>
      <c r="AV250">
        <f>Model!BD292</f>
        <v>179.79600000000005</v>
      </c>
      <c r="AW250">
        <f>Model!BE292</f>
        <v>202.45000000000005</v>
      </c>
      <c r="AX250">
        <f>Model!BF292</f>
        <v>228.40700000000007</v>
      </c>
      <c r="AY250">
        <f>Model!BG292</f>
        <v>275.1600000000002</v>
      </c>
      <c r="AZ250">
        <f>Model!BH292</f>
        <v>221.46000000000009</v>
      </c>
      <c r="BA250">
        <f>Model!BI292</f>
        <v>236.21699999999998</v>
      </c>
      <c r="BB250">
        <f>Model!BJ292</f>
        <v>286.82502399999987</v>
      </c>
      <c r="BC250">
        <f>Model!BK292</f>
        <v>345.62345499999992</v>
      </c>
      <c r="BD250">
        <f>Model!BL292</f>
        <v>278.18349999999992</v>
      </c>
      <c r="BE250">
        <f>Model!BM292</f>
        <v>295.03877500000027</v>
      </c>
      <c r="BF250">
        <f>Model!BN292</f>
        <v>336.13321050000013</v>
      </c>
      <c r="BG250">
        <f>Model!BO292</f>
        <v>402.45559663709736</v>
      </c>
      <c r="BH250">
        <f>Model!BP292</f>
        <v>317.24857338709677</v>
      </c>
      <c r="BI250">
        <f>Model!BQ292</f>
        <v>331.74952993548391</v>
      </c>
      <c r="BJ250">
        <f>Model!BR292</f>
        <v>364.16518053419344</v>
      </c>
      <c r="BK250">
        <f>Model!BS292</f>
        <v>446.97634823354832</v>
      </c>
      <c r="BL250">
        <f>Model!BT292</f>
        <v>330.08968219354841</v>
      </c>
      <c r="BM250">
        <f>Model!BU292</f>
        <v>347.28280703096755</v>
      </c>
      <c r="BN250">
        <f>Model!BV292</f>
        <v>397.82120317158717</v>
      </c>
      <c r="BO250">
        <f>Model!BW292</f>
        <v>525.31981260989687</v>
      </c>
      <c r="BP250">
        <f>Model!BX292</f>
        <v>373.0080599470968</v>
      </c>
      <c r="BQ250">
        <f>Model!BY292</f>
        <v>363.09179738251612</v>
      </c>
      <c r="BR250">
        <f>Model!BZ292</f>
        <v>431.73111333016573</v>
      </c>
      <c r="BS250">
        <f>Model!CA292</f>
        <v>631.65775324039066</v>
      </c>
      <c r="BT250">
        <f>Model!CB292</f>
        <v>480.92726294445163</v>
      </c>
      <c r="BU250">
        <f>Model!CC292</f>
        <v>409.44543894811676</v>
      </c>
      <c r="BV250">
        <f>Model!CD292</f>
        <v>485.80807307261898</v>
      </c>
      <c r="BW250">
        <f>Model!CE292</f>
        <v>689.11176729296233</v>
      </c>
      <c r="BX250">
        <f>Model!CF292</f>
        <v>536.2376431080761</v>
      </c>
      <c r="BY250">
        <f>Model!CG292</f>
        <v>0</v>
      </c>
      <c r="BZ250">
        <f>Model!CH292</f>
        <v>0</v>
      </c>
      <c r="CA250">
        <f>Model!CI292</f>
        <v>0</v>
      </c>
      <c r="CB250">
        <f>Model!CJ292</f>
        <v>0</v>
      </c>
      <c r="CC250">
        <f>Model!CK292</f>
        <v>0</v>
      </c>
      <c r="CD250">
        <f>Model!CL292</f>
        <v>0</v>
      </c>
      <c r="CE250">
        <f>Model!CM292</f>
        <v>0</v>
      </c>
      <c r="CF250">
        <f>Model!CN292</f>
        <v>214.62999999999974</v>
      </c>
      <c r="CG250">
        <f>Model!CO292</f>
        <v>289.32700000000023</v>
      </c>
      <c r="CH250">
        <f>Model!CP292</f>
        <v>370.12799999999993</v>
      </c>
      <c r="CI250">
        <f>Model!CQ292</f>
        <v>515.70699999999965</v>
      </c>
      <c r="CJ250">
        <f>Model!CR292</f>
        <v>728.70300000000032</v>
      </c>
      <c r="CK250">
        <f>Model!CS292</f>
        <v>927.47700000000032</v>
      </c>
      <c r="CL250">
        <f>Model!CT292</f>
        <v>1146.8489789999996</v>
      </c>
      <c r="CM250">
        <f>Model!CU292</f>
        <v>1350.8761555241945</v>
      </c>
      <c r="CN250">
        <f>Model!CV292</f>
        <v>1472.9807408967743</v>
      </c>
      <c r="CO250">
        <f>Model!CW292</f>
        <v>1643.4318827595484</v>
      </c>
      <c r="CP250">
        <f>Model!CX292</f>
        <v>1907.4079268975242</v>
      </c>
      <c r="CQ250">
        <f>Model!CY292</f>
        <v>2120.6029224217741</v>
      </c>
      <c r="CR250">
        <f>Model!CZ292</f>
        <v>2331.1283555658656</v>
      </c>
      <c r="CS250">
        <f>Model!DA292</f>
        <v>2527.6134073402222</v>
      </c>
      <c r="CT250">
        <f>Model!DB292</f>
        <v>2709.9716675214208</v>
      </c>
      <c r="CU250">
        <f>Model!DC292</f>
        <v>2875.9972645492376</v>
      </c>
      <c r="CV250">
        <f>Model!DD292</f>
        <v>3051.1507077198421</v>
      </c>
      <c r="CW250">
        <f>Model!DE292</f>
        <v>3236.3305976757206</v>
      </c>
      <c r="CX250">
        <f>Model!DF292</f>
        <v>3435.747643147025</v>
      </c>
    </row>
    <row r="251" spans="1:102">
      <c r="A251" t="str">
        <f>Model!I293</f>
        <v>Gross Margin</v>
      </c>
      <c r="B251">
        <f>Model!J293</f>
        <v>0</v>
      </c>
      <c r="C251">
        <f>Model!K293</f>
        <v>0</v>
      </c>
      <c r="D251">
        <f>Model!L293</f>
        <v>0</v>
      </c>
      <c r="E251">
        <f>Model!M293</f>
        <v>0</v>
      </c>
      <c r="F251">
        <f>Model!N293</f>
        <v>0</v>
      </c>
      <c r="G251">
        <f>Model!O293</f>
        <v>0</v>
      </c>
      <c r="H251">
        <f>Model!P293</f>
        <v>0</v>
      </c>
      <c r="I251">
        <f>Model!Q293</f>
        <v>0</v>
      </c>
      <c r="J251">
        <f>Model!R293</f>
        <v>0</v>
      </c>
      <c r="K251">
        <f>Model!S293</f>
        <v>0</v>
      </c>
      <c r="L251">
        <f>Model!T293</f>
        <v>0</v>
      </c>
      <c r="M251">
        <f>Model!U293</f>
        <v>0</v>
      </c>
      <c r="N251">
        <f>Model!V293</f>
        <v>0</v>
      </c>
      <c r="O251">
        <f>Model!W293</f>
        <v>0</v>
      </c>
      <c r="P251">
        <f>Model!X293</f>
        <v>0</v>
      </c>
      <c r="Q251">
        <f>Model!Y293</f>
        <v>0</v>
      </c>
      <c r="R251">
        <f>Model!Z293</f>
        <v>0</v>
      </c>
      <c r="S251">
        <f>Model!AA293</f>
        <v>0</v>
      </c>
      <c r="T251">
        <f>Model!AB293</f>
        <v>0</v>
      </c>
      <c r="U251">
        <f>Model!AC293</f>
        <v>0</v>
      </c>
      <c r="V251">
        <f>Model!AD293</f>
        <v>0</v>
      </c>
      <c r="W251">
        <f>Model!AE293</f>
        <v>0</v>
      </c>
      <c r="X251">
        <f>Model!AF293</f>
        <v>0</v>
      </c>
      <c r="Y251">
        <f>Model!AG293</f>
        <v>0</v>
      </c>
      <c r="Z251">
        <f>Model!AH293</f>
        <v>0</v>
      </c>
      <c r="AA251">
        <f>Model!AI293</f>
        <v>0</v>
      </c>
      <c r="AB251">
        <f>Model!AJ293</f>
        <v>0</v>
      </c>
      <c r="AC251">
        <f>Model!AK293</f>
        <v>0.21057823084911775</v>
      </c>
      <c r="AD251">
        <f>Model!AL293</f>
        <v>0.2134755395085334</v>
      </c>
      <c r="AE251">
        <f>Model!AM293</f>
        <v>0.21894110337159486</v>
      </c>
      <c r="AF251">
        <f>Model!AN293</f>
        <v>0.22894585037847931</v>
      </c>
      <c r="AG251">
        <f>Model!AO293</f>
        <v>0.231961133491243</v>
      </c>
      <c r="AH251">
        <f>Model!AP293</f>
        <v>0.22597329209172304</v>
      </c>
      <c r="AI251">
        <f>Model!AQ293</f>
        <v>0.24208768447664356</v>
      </c>
      <c r="AJ251">
        <f>Model!AR293</f>
        <v>0.25239973212292571</v>
      </c>
      <c r="AK251">
        <f>Model!AS293</f>
        <v>0.24768830983486648</v>
      </c>
      <c r="AL251">
        <f>Model!AT293</f>
        <v>0.24071899995406082</v>
      </c>
      <c r="AM251">
        <f>Model!AU293</f>
        <v>0.25953021176022872</v>
      </c>
      <c r="AN251">
        <f>Model!AV293</f>
        <v>0.28060971488312036</v>
      </c>
      <c r="AO251">
        <f>Model!AW293</f>
        <v>0.28026342644877716</v>
      </c>
      <c r="AP251">
        <f>Model!AX293</f>
        <v>0.27869630531780787</v>
      </c>
      <c r="AQ251">
        <f>Model!AY293</f>
        <v>0.32199653087360358</v>
      </c>
      <c r="AR251">
        <f>Model!AZ293</f>
        <v>0.3383555622995339</v>
      </c>
      <c r="AS251">
        <f>Model!BA293</f>
        <v>0.33265318686730994</v>
      </c>
      <c r="AT251">
        <f>Model!BB293</f>
        <v>0.33370591672478483</v>
      </c>
      <c r="AU251">
        <f>Model!BC293</f>
        <v>0.384791444969733</v>
      </c>
      <c r="AV251">
        <f>Model!BD293</f>
        <v>0.40324848778452876</v>
      </c>
      <c r="AW251">
        <f>Model!BE293</f>
        <v>0.4078290280796682</v>
      </c>
      <c r="AX251">
        <f>Model!BF293</f>
        <v>0.41451370539214277</v>
      </c>
      <c r="AY251">
        <f>Model!BG293</f>
        <v>0.47038390068533575</v>
      </c>
      <c r="AZ251">
        <f>Model!BH293</f>
        <v>0.46884725309622111</v>
      </c>
      <c r="BA251">
        <f>Model!BI293</f>
        <v>0.44690330783027232</v>
      </c>
      <c r="BB251">
        <f>Model!BJ293</f>
        <v>0.49433498786675484</v>
      </c>
      <c r="BC251">
        <f>Model!BK293</f>
        <v>0.55664556034427215</v>
      </c>
      <c r="BD251">
        <f>Model!BL293</f>
        <v>0.57740534100485263</v>
      </c>
      <c r="BE251">
        <f>Model!BM293</f>
        <v>0.55984799752560777</v>
      </c>
      <c r="BF251">
        <f>Model!BN293</f>
        <v>0.59256312527214516</v>
      </c>
      <c r="BG251">
        <f>Model!BO293</f>
        <v>0.61468471463584085</v>
      </c>
      <c r="BH251">
        <f>Model!BP293</f>
        <v>0.59048477368296037</v>
      </c>
      <c r="BI251">
        <f>Model!BQ293</f>
        <v>0.59745086657148949</v>
      </c>
      <c r="BJ251">
        <f>Model!BR293</f>
        <v>0.59874613093471107</v>
      </c>
      <c r="BK251">
        <f>Model!BS293</f>
        <v>0.67590249588093265</v>
      </c>
      <c r="BL251">
        <f>Model!BT293</f>
        <v>0.63664636803890662</v>
      </c>
      <c r="BM251">
        <f>Model!BU293</f>
        <v>0.64094185472797416</v>
      </c>
      <c r="BN251">
        <f>Model!BV293</f>
        <v>0.67146558909034115</v>
      </c>
      <c r="BO251">
        <f>Model!BW293</f>
        <v>0.75641090960258117</v>
      </c>
      <c r="BP251">
        <f>Model!BX293</f>
        <v>0.71305037495908508</v>
      </c>
      <c r="BQ251">
        <f>Model!BY293</f>
        <v>0.69496440381677504</v>
      </c>
      <c r="BR251">
        <f>Model!BZ293</f>
        <v>0.74220774702831593</v>
      </c>
      <c r="BS251">
        <f>Model!CA293</f>
        <v>0.82312159902473858</v>
      </c>
      <c r="BT251">
        <f>Model!CB293</f>
        <v>0.7990869141681618</v>
      </c>
      <c r="BU251">
        <f>Model!CC293</f>
        <v>0.7726815787359862</v>
      </c>
      <c r="BV251">
        <f>Model!CD293</f>
        <v>0.81000414360336193</v>
      </c>
      <c r="BW251">
        <f>Model!CE293</f>
        <v>0.82955349689367541</v>
      </c>
      <c r="BX251">
        <f>Model!CF293</f>
        <v>0.8077157821888904</v>
      </c>
      <c r="BY251">
        <f>Model!CG293</f>
        <v>0</v>
      </c>
      <c r="BZ251">
        <f>Model!CH293</f>
        <v>0</v>
      </c>
      <c r="CA251">
        <f>Model!CI293</f>
        <v>0</v>
      </c>
      <c r="CB251">
        <f>Model!CJ293</f>
        <v>0</v>
      </c>
      <c r="CC251">
        <f>Model!CK293</f>
        <v>0</v>
      </c>
      <c r="CD251">
        <f>Model!CL293</f>
        <v>0</v>
      </c>
      <c r="CE251">
        <f>Model!CM293</f>
        <v>0</v>
      </c>
      <c r="CF251">
        <f>Model!CN293</f>
        <v>0.21878070758428894</v>
      </c>
      <c r="CG251">
        <f>Model!CO293</f>
        <v>0.23751110279256796</v>
      </c>
      <c r="CH251">
        <f>Model!CP293</f>
        <v>0.2562899146018805</v>
      </c>
      <c r="CI251">
        <f>Model!CQ293</f>
        <v>0.30517662959859471</v>
      </c>
      <c r="CJ251">
        <f>Model!CR293</f>
        <v>0.36354570095383598</v>
      </c>
      <c r="CK251">
        <f>Model!CS293</f>
        <v>0.4406585669000434</v>
      </c>
      <c r="CL251">
        <f>Model!CT293</f>
        <v>0.51859030628440572</v>
      </c>
      <c r="CM251">
        <f>Model!CU293</f>
        <v>0.59086879914663659</v>
      </c>
      <c r="CN251">
        <f>Model!CV293</f>
        <v>0.62859971539670123</v>
      </c>
      <c r="CO251">
        <f>Model!CW293</f>
        <v>0.69876626936868125</v>
      </c>
      <c r="CP251">
        <f>Model!CX293</f>
        <v>0.77117307936189672</v>
      </c>
      <c r="CQ251">
        <f>Model!CY293</f>
        <v>0.80807718351957536</v>
      </c>
      <c r="CR251">
        <f>Model!CZ293</f>
        <v>0.81683031224304947</v>
      </c>
      <c r="CS251">
        <f>Model!DA293</f>
        <v>0.82600518915732268</v>
      </c>
      <c r="CT251">
        <f>Model!DB293</f>
        <v>0.8354678612986105</v>
      </c>
      <c r="CU251">
        <f>Model!DC293</f>
        <v>0.84324418556428227</v>
      </c>
      <c r="CV251">
        <f>Model!DD293</f>
        <v>0.85076316163487942</v>
      </c>
      <c r="CW251">
        <f>Model!DE293</f>
        <v>0.85805721045005401</v>
      </c>
      <c r="CX251">
        <f>Model!DF293</f>
        <v>0.865262437314408</v>
      </c>
    </row>
    <row r="252" spans="1:102">
      <c r="A252">
        <f>Model!I294</f>
        <v>0</v>
      </c>
      <c r="B252">
        <f>Model!J294</f>
        <v>0</v>
      </c>
      <c r="C252">
        <f>Model!K294</f>
        <v>0</v>
      </c>
      <c r="D252">
        <f>Model!L294</f>
        <v>0</v>
      </c>
      <c r="E252">
        <f>Model!M294</f>
        <v>0</v>
      </c>
      <c r="F252">
        <f>Model!N294</f>
        <v>0</v>
      </c>
      <c r="G252">
        <f>Model!O294</f>
        <v>0</v>
      </c>
      <c r="H252">
        <f>Model!P294</f>
        <v>0</v>
      </c>
      <c r="I252">
        <f>Model!Q294</f>
        <v>0</v>
      </c>
      <c r="J252">
        <f>Model!R294</f>
        <v>0</v>
      </c>
      <c r="K252">
        <f>Model!S294</f>
        <v>0</v>
      </c>
      <c r="L252">
        <f>Model!T294</f>
        <v>0</v>
      </c>
      <c r="M252">
        <f>Model!U294</f>
        <v>0</v>
      </c>
      <c r="N252">
        <f>Model!V294</f>
        <v>0</v>
      </c>
      <c r="O252">
        <f>Model!W294</f>
        <v>0</v>
      </c>
      <c r="P252">
        <f>Model!X294</f>
        <v>0</v>
      </c>
      <c r="Q252">
        <f>Model!Y294</f>
        <v>0</v>
      </c>
      <c r="R252">
        <f>Model!Z294</f>
        <v>0</v>
      </c>
      <c r="S252">
        <f>Model!AA294</f>
        <v>0</v>
      </c>
      <c r="T252">
        <f>Model!AB294</f>
        <v>0</v>
      </c>
      <c r="U252">
        <f>Model!AC294</f>
        <v>0</v>
      </c>
      <c r="V252">
        <f>Model!AD294</f>
        <v>0</v>
      </c>
      <c r="W252">
        <f>Model!AE294</f>
        <v>0</v>
      </c>
      <c r="X252">
        <f>Model!AF294</f>
        <v>0</v>
      </c>
      <c r="Y252">
        <f>Model!AG294</f>
        <v>0</v>
      </c>
      <c r="Z252">
        <f>Model!AH294</f>
        <v>0</v>
      </c>
      <c r="AA252">
        <f>Model!AI294</f>
        <v>0</v>
      </c>
      <c r="AB252">
        <f>Model!AJ294</f>
        <v>0</v>
      </c>
      <c r="AC252">
        <f>Model!AK294</f>
        <v>0</v>
      </c>
      <c r="AD252">
        <f>Model!AL294</f>
        <v>0</v>
      </c>
      <c r="AE252">
        <f>Model!AM294</f>
        <v>0</v>
      </c>
      <c r="AF252">
        <f>Model!AN294</f>
        <v>0</v>
      </c>
      <c r="AG252">
        <f>Model!AO294</f>
        <v>0</v>
      </c>
      <c r="AH252">
        <f>Model!AP294</f>
        <v>0</v>
      </c>
      <c r="AI252">
        <f>Model!AQ294</f>
        <v>0</v>
      </c>
      <c r="AJ252">
        <f>Model!AR294</f>
        <v>0</v>
      </c>
      <c r="AK252">
        <f>Model!AS294</f>
        <v>0</v>
      </c>
      <c r="AL252">
        <f>Model!AT294</f>
        <v>0</v>
      </c>
      <c r="AM252">
        <f>Model!AU294</f>
        <v>0</v>
      </c>
      <c r="AN252">
        <f>Model!AV294</f>
        <v>0</v>
      </c>
      <c r="AO252">
        <f>Model!AW294</f>
        <v>0</v>
      </c>
      <c r="AP252">
        <f>Model!AX294</f>
        <v>0</v>
      </c>
      <c r="AQ252">
        <f>Model!AY294</f>
        <v>0</v>
      </c>
      <c r="AR252">
        <f>Model!AZ294</f>
        <v>0</v>
      </c>
      <c r="AS252">
        <f>Model!BA294</f>
        <v>0</v>
      </c>
      <c r="AT252">
        <f>Model!BB294</f>
        <v>0</v>
      </c>
      <c r="AU252">
        <f>Model!BC294</f>
        <v>0</v>
      </c>
      <c r="AV252">
        <f>Model!BD294</f>
        <v>0</v>
      </c>
      <c r="AW252">
        <f>Model!BE294</f>
        <v>0</v>
      </c>
      <c r="AX252">
        <f>Model!BF294</f>
        <v>0</v>
      </c>
      <c r="AY252">
        <f>Model!BG294</f>
        <v>0</v>
      </c>
      <c r="AZ252">
        <f>Model!BH294</f>
        <v>0</v>
      </c>
      <c r="BA252">
        <f>Model!BI294</f>
        <v>0</v>
      </c>
      <c r="BB252">
        <f>Model!BJ294</f>
        <v>0</v>
      </c>
      <c r="BC252">
        <f>Model!BK294</f>
        <v>0</v>
      </c>
      <c r="BD252">
        <f>Model!BL294</f>
        <v>0</v>
      </c>
      <c r="BE252">
        <f>Model!BM294</f>
        <v>0</v>
      </c>
      <c r="BF252">
        <f>Model!BN294</f>
        <v>0</v>
      </c>
      <c r="BG252">
        <f>Model!BO294</f>
        <v>0</v>
      </c>
      <c r="BH252">
        <f>Model!BP294</f>
        <v>0</v>
      </c>
      <c r="BI252">
        <f>Model!BQ294</f>
        <v>0</v>
      </c>
      <c r="BJ252">
        <f>Model!BR294</f>
        <v>0</v>
      </c>
      <c r="BK252">
        <f>Model!BS294</f>
        <v>0</v>
      </c>
      <c r="BL252">
        <f>Model!BT294</f>
        <v>0</v>
      </c>
      <c r="BM252">
        <f>Model!BU294</f>
        <v>0</v>
      </c>
      <c r="BN252">
        <f>Model!BV294</f>
        <v>0</v>
      </c>
      <c r="BO252">
        <f>Model!BW294</f>
        <v>0</v>
      </c>
      <c r="BP252">
        <f>Model!BX294</f>
        <v>0</v>
      </c>
      <c r="BQ252">
        <f>Model!BY294</f>
        <v>0</v>
      </c>
      <c r="BR252">
        <f>Model!BZ294</f>
        <v>0</v>
      </c>
      <c r="BS252">
        <f>Model!CA294</f>
        <v>0</v>
      </c>
      <c r="BT252">
        <f>Model!CB294</f>
        <v>0</v>
      </c>
      <c r="BU252">
        <f>Model!CC294</f>
        <v>0</v>
      </c>
      <c r="BV252">
        <f>Model!CD294</f>
        <v>0</v>
      </c>
      <c r="BW252">
        <f>Model!CE294</f>
        <v>0</v>
      </c>
      <c r="BX252">
        <f>Model!CF294</f>
        <v>0</v>
      </c>
      <c r="BY252">
        <f>Model!CG294</f>
        <v>0</v>
      </c>
      <c r="BZ252">
        <f>Model!CH294</f>
        <v>0</v>
      </c>
      <c r="CA252">
        <f>Model!CI294</f>
        <v>0</v>
      </c>
      <c r="CB252">
        <f>Model!CJ294</f>
        <v>0</v>
      </c>
      <c r="CC252">
        <f>Model!CK294</f>
        <v>0</v>
      </c>
      <c r="CD252">
        <f>Model!CL294</f>
        <v>0</v>
      </c>
      <c r="CE252">
        <f>Model!CM294</f>
        <v>0</v>
      </c>
      <c r="CF252">
        <f>Model!CN294</f>
        <v>0</v>
      </c>
      <c r="CG252">
        <f>Model!CO294</f>
        <v>0</v>
      </c>
      <c r="CH252">
        <f>Model!CP294</f>
        <v>0</v>
      </c>
      <c r="CI252">
        <f>Model!CQ294</f>
        <v>0</v>
      </c>
      <c r="CJ252">
        <f>Model!CR294</f>
        <v>660.75766970387269</v>
      </c>
      <c r="CK252">
        <f>Model!CS294</f>
        <v>0</v>
      </c>
      <c r="CL252">
        <f>Model!CT294</f>
        <v>0</v>
      </c>
      <c r="CM252">
        <f>Model!CU294</f>
        <v>0</v>
      </c>
      <c r="CN252">
        <f>Model!CV294</f>
        <v>0</v>
      </c>
      <c r="CO252">
        <f>Model!CW294</f>
        <v>0</v>
      </c>
      <c r="CP252">
        <f>Model!CX294</f>
        <v>0</v>
      </c>
      <c r="CQ252">
        <f>Model!CY294</f>
        <v>0</v>
      </c>
      <c r="CR252">
        <f>Model!CZ294</f>
        <v>0</v>
      </c>
      <c r="CS252">
        <f>Model!DA294</f>
        <v>0</v>
      </c>
      <c r="CT252">
        <f>Model!DB294</f>
        <v>0</v>
      </c>
      <c r="CU252">
        <f>Model!DC294</f>
        <v>0</v>
      </c>
      <c r="CV252">
        <f>Model!DD294</f>
        <v>0</v>
      </c>
      <c r="CW252">
        <f>Model!DE294</f>
        <v>0</v>
      </c>
      <c r="CX252">
        <f>Model!DF294</f>
        <v>0</v>
      </c>
    </row>
    <row r="253" spans="1:102">
      <c r="A253" t="str">
        <f>Model!I295</f>
        <v>Agency Revenue</v>
      </c>
      <c r="B253">
        <f>Model!J295</f>
        <v>0</v>
      </c>
      <c r="C253">
        <f>Model!K295</f>
        <v>0</v>
      </c>
      <c r="D253">
        <f>Model!L295</f>
        <v>0</v>
      </c>
      <c r="E253">
        <f>Model!M295</f>
        <v>0</v>
      </c>
      <c r="F253">
        <f>Model!N295</f>
        <v>0</v>
      </c>
      <c r="G253">
        <f>Model!O295</f>
        <v>0</v>
      </c>
      <c r="H253">
        <f>Model!P295</f>
        <v>0</v>
      </c>
      <c r="I253">
        <f>Model!Q295</f>
        <v>0</v>
      </c>
      <c r="J253">
        <f>Model!R295</f>
        <v>0</v>
      </c>
      <c r="K253">
        <f>Model!S295</f>
        <v>0</v>
      </c>
      <c r="L253">
        <f>Model!T295</f>
        <v>0</v>
      </c>
      <c r="M253">
        <f>Model!U295</f>
        <v>0</v>
      </c>
      <c r="N253">
        <f>Model!V295</f>
        <v>0</v>
      </c>
      <c r="O253">
        <f>Model!W295</f>
        <v>0</v>
      </c>
      <c r="P253">
        <f>Model!X295</f>
        <v>0</v>
      </c>
      <c r="Q253">
        <f>Model!Y295</f>
        <v>0</v>
      </c>
      <c r="R253">
        <f>Model!Z295</f>
        <v>0</v>
      </c>
      <c r="S253">
        <f>Model!AA295</f>
        <v>0</v>
      </c>
      <c r="T253">
        <f>Model!AB295</f>
        <v>0</v>
      </c>
      <c r="U253">
        <f>Model!AC295</f>
        <v>0</v>
      </c>
      <c r="V253">
        <f>Model!AD295</f>
        <v>0</v>
      </c>
      <c r="W253">
        <f>Model!AE295</f>
        <v>0</v>
      </c>
      <c r="X253">
        <f>Model!AF295</f>
        <v>0</v>
      </c>
      <c r="Y253">
        <f>Model!AG295</f>
        <v>30.381</v>
      </c>
      <c r="Z253">
        <f>Model!AH295</f>
        <v>55.892000000000003</v>
      </c>
      <c r="AA253">
        <f>Model!AI295</f>
        <v>73.325999999999993</v>
      </c>
      <c r="AB253">
        <f>Model!AJ295</f>
        <v>54.301000000000002</v>
      </c>
      <c r="AC253">
        <f>Model!AK295</f>
        <v>54.511000000000003</v>
      </c>
      <c r="AD253">
        <f>Model!AL295</f>
        <v>98.343999999999994</v>
      </c>
      <c r="AE253">
        <f>Model!AM295</f>
        <v>139.62299999999999</v>
      </c>
      <c r="AF253">
        <f>Model!AN295</f>
        <v>105.768</v>
      </c>
      <c r="AG253">
        <f>Model!AO295</f>
        <v>109.932</v>
      </c>
      <c r="AH253">
        <f>Model!AP295</f>
        <v>173.249</v>
      </c>
      <c r="AI253">
        <f>Model!AQ295</f>
        <v>232.63800000000001</v>
      </c>
      <c r="AJ253">
        <f>Model!AR295</f>
        <v>132.97300000000001</v>
      </c>
      <c r="AK253">
        <f>Model!AS295</f>
        <v>120.22499999999999</v>
      </c>
      <c r="AL253">
        <f>Model!AT295</f>
        <v>204.48500000000001</v>
      </c>
      <c r="AM253">
        <f>Model!AU295</f>
        <v>323.18799999999999</v>
      </c>
      <c r="AN253">
        <f>Model!AV295</f>
        <v>220.49600000000001</v>
      </c>
      <c r="AO253">
        <f>Model!AW295</f>
        <v>213.24199999999999</v>
      </c>
      <c r="AP253">
        <f>Model!AX295</f>
        <v>317.512</v>
      </c>
      <c r="AQ253">
        <f>Model!AY295</f>
        <v>504.01</v>
      </c>
      <c r="AR253">
        <f>Model!AZ295</f>
        <v>345.83800000000002</v>
      </c>
      <c r="AS253">
        <f>Model!BA295</f>
        <v>351.42200000000003</v>
      </c>
      <c r="AT253">
        <f>Model!BB295</f>
        <v>569.18100000000004</v>
      </c>
      <c r="AU253">
        <f>Model!BC295</f>
        <v>876.601</v>
      </c>
      <c r="AV253">
        <f>Model!BD295</f>
        <v>542.048</v>
      </c>
      <c r="AW253">
        <f>Model!BE295</f>
        <v>537.62699999999995</v>
      </c>
      <c r="AX253">
        <f>Model!BF295</f>
        <v>771.99599999999998</v>
      </c>
      <c r="AY253">
        <f>Model!BG295</f>
        <v>1118.1279999999999</v>
      </c>
      <c r="AZ253">
        <f>Model!BH295</f>
        <v>715.06299999999999</v>
      </c>
      <c r="BA253">
        <f>Model!BI295</f>
        <v>769.928</v>
      </c>
      <c r="BB253">
        <f>Model!BJ295</f>
        <v>1064.6400000000001</v>
      </c>
      <c r="BC253">
        <f>Model!BK295</f>
        <v>1576.434</v>
      </c>
      <c r="BD253">
        <f>Model!BL295</f>
        <v>999.68700000000001</v>
      </c>
      <c r="BE253">
        <f>Model!BM295</f>
        <v>1041.144</v>
      </c>
      <c r="BF253">
        <f>Model!BN295</f>
        <v>1474.396</v>
      </c>
      <c r="BG253">
        <f>Model!BO295</f>
        <v>2099.6289999999999</v>
      </c>
      <c r="BH253">
        <f>Model!BP295</f>
        <v>1230.633</v>
      </c>
      <c r="BI253">
        <f>Model!BQ295</f>
        <v>1199.348</v>
      </c>
      <c r="BJ253">
        <f>Model!BR295</f>
        <v>1582.153</v>
      </c>
      <c r="BK253">
        <f>Model!BS295</f>
        <v>2345.6729999999998</v>
      </c>
      <c r="BL253">
        <f>Model!BT295</f>
        <v>1400.7239999999999</v>
      </c>
      <c r="BM253">
        <f>Model!BU295</f>
        <v>1500.029</v>
      </c>
      <c r="BN253">
        <f>Model!BV295</f>
        <v>1852.961</v>
      </c>
      <c r="BO253">
        <f>Model!BW295</f>
        <v>2892.4490000000001</v>
      </c>
      <c r="BP253">
        <f>Model!BX295</f>
        <v>1736.6769999999999</v>
      </c>
      <c r="BQ253">
        <f>Model!BY295</f>
        <v>1785.3130000000001</v>
      </c>
      <c r="BR253">
        <f>Model!BZ295</f>
        <v>2332.3710000000001</v>
      </c>
      <c r="BS253">
        <f>Model!CA295</f>
        <v>3523.7060000000001</v>
      </c>
      <c r="BT253">
        <f>Model!CB295</f>
        <v>2072.7359999999999</v>
      </c>
      <c r="BU253">
        <f>Model!CC295</f>
        <v>2190.0364561776123</v>
      </c>
      <c r="BV253">
        <f>Model!CD295</f>
        <v>2876.0999284314821</v>
      </c>
      <c r="BW253">
        <f>Model!CE295</f>
        <v>4083.2526724124418</v>
      </c>
      <c r="BX253">
        <f>Model!CF295</f>
        <v>2612.2718709832075</v>
      </c>
      <c r="BY253">
        <f>Model!CG295</f>
        <v>0</v>
      </c>
      <c r="BZ253">
        <f>Model!CH295</f>
        <v>0</v>
      </c>
      <c r="CA253">
        <f>Model!CI295</f>
        <v>0</v>
      </c>
      <c r="CB253">
        <f>Model!CJ295</f>
        <v>0</v>
      </c>
      <c r="CC253">
        <f>Model!CK295</f>
        <v>0</v>
      </c>
      <c r="CD253">
        <f>Model!CL295</f>
        <v>0</v>
      </c>
      <c r="CE253">
        <f>Model!CM295</f>
        <v>213.89999999999998</v>
      </c>
      <c r="CF253">
        <f>Model!CN295</f>
        <v>398.24599999999998</v>
      </c>
      <c r="CG253">
        <f>Model!CO295</f>
        <v>648.79199999999992</v>
      </c>
      <c r="CH253">
        <f>Model!CP295</f>
        <v>868.39400000000001</v>
      </c>
      <c r="CI253">
        <f>Model!CQ295</f>
        <v>1380.6019999999999</v>
      </c>
      <c r="CJ253">
        <f>Model!CR295</f>
        <v>2339.2520000000004</v>
      </c>
      <c r="CK253">
        <f>Model!CS295</f>
        <v>3142.8140000000003</v>
      </c>
      <c r="CL253">
        <f>Model!CT295</f>
        <v>4410.6890000000003</v>
      </c>
      <c r="CM253">
        <f>Model!CU295</f>
        <v>5845.8019999999997</v>
      </c>
      <c r="CN253">
        <f>Model!CV295</f>
        <v>6527.8980000000001</v>
      </c>
      <c r="CO253">
        <f>Model!CW295</f>
        <v>7982.116</v>
      </c>
      <c r="CP253">
        <f>Model!CX295</f>
        <v>9714.1260000000002</v>
      </c>
      <c r="CQ253">
        <f>Model!CY295</f>
        <v>11761.660928004745</v>
      </c>
      <c r="CR253">
        <f>Model!CZ295</f>
        <v>13551.386663448857</v>
      </c>
      <c r="CS253">
        <f>Model!DA295</f>
        <v>15336.573064356466</v>
      </c>
      <c r="CT253">
        <f>Model!DB295</f>
        <v>17055.446821221594</v>
      </c>
      <c r="CU253">
        <f>Model!DC295</f>
        <v>18739.088380825568</v>
      </c>
      <c r="CV253">
        <f>Model!DD295</f>
        <v>20381.539025738901</v>
      </c>
      <c r="CW253">
        <f>Model!DE295</f>
        <v>21965.131910591412</v>
      </c>
      <c r="CX253">
        <f>Model!DF295</f>
        <v>23672.706010480768</v>
      </c>
    </row>
    <row r="254" spans="1:102">
      <c r="A254" t="str">
        <f>Model!I296</f>
        <v>Agency Gross Profit</v>
      </c>
      <c r="B254">
        <f>Model!J296</f>
        <v>0</v>
      </c>
      <c r="C254">
        <f>Model!K296</f>
        <v>0</v>
      </c>
      <c r="D254">
        <f>Model!L296</f>
        <v>0</v>
      </c>
      <c r="E254">
        <f>Model!M296</f>
        <v>0</v>
      </c>
      <c r="F254">
        <f>Model!N296</f>
        <v>0</v>
      </c>
      <c r="G254">
        <f>Model!O296</f>
        <v>0</v>
      </c>
      <c r="H254">
        <f>Model!P296</f>
        <v>0</v>
      </c>
      <c r="I254">
        <f>Model!Q296</f>
        <v>0</v>
      </c>
      <c r="J254">
        <f>Model!R296</f>
        <v>0</v>
      </c>
      <c r="K254">
        <f>Model!S296</f>
        <v>0</v>
      </c>
      <c r="L254">
        <f>Model!T296</f>
        <v>0</v>
      </c>
      <c r="M254">
        <f>Model!U296</f>
        <v>0</v>
      </c>
      <c r="N254">
        <f>Model!V296</f>
        <v>0</v>
      </c>
      <c r="O254">
        <f>Model!W296</f>
        <v>0</v>
      </c>
      <c r="P254">
        <f>Model!X296</f>
        <v>0</v>
      </c>
      <c r="Q254">
        <f>Model!Y296</f>
        <v>0</v>
      </c>
      <c r="R254">
        <f>Model!Z296</f>
        <v>0</v>
      </c>
      <c r="S254">
        <f>Model!AA296</f>
        <v>0</v>
      </c>
      <c r="T254">
        <f>Model!AB296</f>
        <v>0</v>
      </c>
      <c r="U254">
        <f>Model!AC296</f>
        <v>0</v>
      </c>
      <c r="V254">
        <f>Model!AD296</f>
        <v>0</v>
      </c>
      <c r="W254">
        <f>Model!AE296</f>
        <v>0</v>
      </c>
      <c r="X254">
        <f>Model!AF296</f>
        <v>0</v>
      </c>
      <c r="Y254">
        <f>Model!AG296</f>
        <v>0</v>
      </c>
      <c r="Z254">
        <f>Model!AH296</f>
        <v>0</v>
      </c>
      <c r="AA254">
        <f>Model!AI296</f>
        <v>0</v>
      </c>
      <c r="AB254">
        <f>Model!AJ296</f>
        <v>0</v>
      </c>
      <c r="AC254">
        <f>Model!AK296</f>
        <v>54.511000000000003</v>
      </c>
      <c r="AD254">
        <f>Model!AL296</f>
        <v>98.343999999999994</v>
      </c>
      <c r="AE254">
        <f>Model!AM296</f>
        <v>139.62299999999999</v>
      </c>
      <c r="AF254">
        <f>Model!AN296</f>
        <v>105.768</v>
      </c>
      <c r="AG254">
        <f>Model!AO296</f>
        <v>109.932</v>
      </c>
      <c r="AH254">
        <f>Model!AP296</f>
        <v>173.249</v>
      </c>
      <c r="AI254">
        <f>Model!AQ296</f>
        <v>232.63800000000001</v>
      </c>
      <c r="AJ254">
        <f>Model!AR296</f>
        <v>132.97300000000001</v>
      </c>
      <c r="AK254">
        <f>Model!AS296</f>
        <v>120.22499999999999</v>
      </c>
      <c r="AL254">
        <f>Model!AT296</f>
        <v>204.48500000000001</v>
      </c>
      <c r="AM254">
        <f>Model!AU296</f>
        <v>323.18799999999999</v>
      </c>
      <c r="AN254">
        <f>Model!AV296</f>
        <v>220.49600000000001</v>
      </c>
      <c r="AO254">
        <f>Model!AW296</f>
        <v>213.24199999999999</v>
      </c>
      <c r="AP254">
        <f>Model!AX296</f>
        <v>317.512</v>
      </c>
      <c r="AQ254">
        <f>Model!AY296</f>
        <v>504.01</v>
      </c>
      <c r="AR254">
        <f>Model!AZ296</f>
        <v>345.83800000000002</v>
      </c>
      <c r="AS254">
        <f>Model!BA296</f>
        <v>351.42200000000003</v>
      </c>
      <c r="AT254">
        <f>Model!BB296</f>
        <v>569.18100000000004</v>
      </c>
      <c r="AU254">
        <f>Model!BC296</f>
        <v>876.601</v>
      </c>
      <c r="AV254">
        <f>Model!BD296</f>
        <v>542.048</v>
      </c>
      <c r="AW254">
        <f>Model!BE296</f>
        <v>537.62699999999995</v>
      </c>
      <c r="AX254">
        <f>Model!BF296</f>
        <v>771.99599999999998</v>
      </c>
      <c r="AY254">
        <f>Model!BG296</f>
        <v>1118.1279999999999</v>
      </c>
      <c r="AZ254">
        <f>Model!BH296</f>
        <v>715.06299999999999</v>
      </c>
      <c r="BA254">
        <f>Model!BI296</f>
        <v>769.928</v>
      </c>
      <c r="BB254">
        <f>Model!BJ296</f>
        <v>1064.6400000000001</v>
      </c>
      <c r="BC254">
        <f>Model!BK296</f>
        <v>1576.434</v>
      </c>
      <c r="BD254">
        <f>Model!BL296</f>
        <v>999.68700000000001</v>
      </c>
      <c r="BE254">
        <f>Model!BM296</f>
        <v>1041.144</v>
      </c>
      <c r="BF254">
        <f>Model!BN296</f>
        <v>1474.396</v>
      </c>
      <c r="BG254">
        <f>Model!BO296</f>
        <v>2099.6289999999999</v>
      </c>
      <c r="BH254">
        <f>Model!BP296</f>
        <v>1230.633</v>
      </c>
      <c r="BI254">
        <f>Model!BQ296</f>
        <v>1199.348</v>
      </c>
      <c r="BJ254">
        <f>Model!BR296</f>
        <v>1582.153</v>
      </c>
      <c r="BK254">
        <f>Model!BS296</f>
        <v>2345.6729999999998</v>
      </c>
      <c r="BL254">
        <f>Model!BT296</f>
        <v>1400.7239999999999</v>
      </c>
      <c r="BM254">
        <f>Model!BU296</f>
        <v>1500.029</v>
      </c>
      <c r="BN254">
        <f>Model!BV296</f>
        <v>1852.961</v>
      </c>
      <c r="BO254">
        <f>Model!BW296</f>
        <v>2892.4490000000001</v>
      </c>
      <c r="BP254">
        <f>Model!BX296</f>
        <v>1736.6769999999999</v>
      </c>
      <c r="BQ254">
        <f>Model!BY296</f>
        <v>1785.3130000000001</v>
      </c>
      <c r="BR254">
        <f>Model!BZ296</f>
        <v>2332.3710000000001</v>
      </c>
      <c r="BS254">
        <f>Model!CA296</f>
        <v>3523.7060000000001</v>
      </c>
      <c r="BT254">
        <f>Model!CB296</f>
        <v>2072.7359999999999</v>
      </c>
      <c r="BU254">
        <f>Model!CC296</f>
        <v>2190.0364561776123</v>
      </c>
      <c r="BV254">
        <f>Model!CD296</f>
        <v>2876.0999284314821</v>
      </c>
      <c r="BW254">
        <f>Model!CE296</f>
        <v>4083.2526724124418</v>
      </c>
      <c r="BX254">
        <f>Model!CF296</f>
        <v>2612.2718709832075</v>
      </c>
      <c r="BY254">
        <f>Model!CG296</f>
        <v>0</v>
      </c>
      <c r="BZ254">
        <f>Model!CH296</f>
        <v>0</v>
      </c>
      <c r="CA254">
        <f>Model!CI296</f>
        <v>0</v>
      </c>
      <c r="CB254">
        <f>Model!CJ296</f>
        <v>0</v>
      </c>
      <c r="CC254">
        <f>Model!CK296</f>
        <v>0</v>
      </c>
      <c r="CD254">
        <f>Model!CL296</f>
        <v>0</v>
      </c>
      <c r="CE254">
        <f>Model!CM296</f>
        <v>0</v>
      </c>
      <c r="CF254">
        <f>Model!CN296</f>
        <v>398.24599999999998</v>
      </c>
      <c r="CG254">
        <f>Model!CO296</f>
        <v>648.79199999999992</v>
      </c>
      <c r="CH254">
        <f>Model!CP296</f>
        <v>868.39400000000001</v>
      </c>
      <c r="CI254">
        <f>Model!CQ296</f>
        <v>1380.6019999999999</v>
      </c>
      <c r="CJ254">
        <f>Model!CR296</f>
        <v>2339.2520000000004</v>
      </c>
      <c r="CK254">
        <f>Model!CS296</f>
        <v>3142.8140000000003</v>
      </c>
      <c r="CL254">
        <f>Model!CT296</f>
        <v>4410.6890000000003</v>
      </c>
      <c r="CM254">
        <f>Model!CU296</f>
        <v>5845.8019999999997</v>
      </c>
      <c r="CN254">
        <f>Model!CV296</f>
        <v>6527.8980000000001</v>
      </c>
      <c r="CO254">
        <f>Model!CW296</f>
        <v>7982.116</v>
      </c>
      <c r="CP254">
        <f>Model!CX296</f>
        <v>9714.1260000000002</v>
      </c>
      <c r="CQ254">
        <f>Model!CY296</f>
        <v>11761.660928004745</v>
      </c>
      <c r="CR254">
        <f>Model!CZ296</f>
        <v>13551.386663448857</v>
      </c>
      <c r="CS254">
        <f>Model!DA296</f>
        <v>15336.573064356466</v>
      </c>
      <c r="CT254">
        <f>Model!DB296</f>
        <v>17055.446821221594</v>
      </c>
      <c r="CU254">
        <f>Model!DC296</f>
        <v>18739.088380825568</v>
      </c>
      <c r="CV254">
        <f>Model!DD296</f>
        <v>20381.539025738901</v>
      </c>
      <c r="CW254">
        <f>Model!DE296</f>
        <v>21965.131910591412</v>
      </c>
      <c r="CX254">
        <f>Model!DF296</f>
        <v>23672.706010480768</v>
      </c>
    </row>
    <row r="255" spans="1:102">
      <c r="A255" t="str">
        <f>Model!I297</f>
        <v>Gross Margin</v>
      </c>
      <c r="B255">
        <f>Model!J297</f>
        <v>0</v>
      </c>
      <c r="C255">
        <f>Model!K297</f>
        <v>0</v>
      </c>
      <c r="D255">
        <f>Model!L297</f>
        <v>0</v>
      </c>
      <c r="E255">
        <f>Model!M297</f>
        <v>0</v>
      </c>
      <c r="F255">
        <f>Model!N297</f>
        <v>0</v>
      </c>
      <c r="G255">
        <f>Model!O297</f>
        <v>0</v>
      </c>
      <c r="H255">
        <f>Model!P297</f>
        <v>0</v>
      </c>
      <c r="I255">
        <f>Model!Q297</f>
        <v>0</v>
      </c>
      <c r="J255">
        <f>Model!R297</f>
        <v>0</v>
      </c>
      <c r="K255">
        <f>Model!S297</f>
        <v>0</v>
      </c>
      <c r="L255">
        <f>Model!T297</f>
        <v>0</v>
      </c>
      <c r="M255">
        <f>Model!U297</f>
        <v>0</v>
      </c>
      <c r="N255">
        <f>Model!V297</f>
        <v>0</v>
      </c>
      <c r="O255">
        <f>Model!W297</f>
        <v>0</v>
      </c>
      <c r="P255">
        <f>Model!X297</f>
        <v>0</v>
      </c>
      <c r="Q255">
        <f>Model!Y297</f>
        <v>0</v>
      </c>
      <c r="R255">
        <f>Model!Z297</f>
        <v>0</v>
      </c>
      <c r="S255">
        <f>Model!AA297</f>
        <v>0</v>
      </c>
      <c r="T255">
        <f>Model!AB297</f>
        <v>0</v>
      </c>
      <c r="U255">
        <f>Model!AC297</f>
        <v>0</v>
      </c>
      <c r="V255">
        <f>Model!AD297</f>
        <v>0</v>
      </c>
      <c r="W255">
        <f>Model!AE297</f>
        <v>0</v>
      </c>
      <c r="X255">
        <f>Model!AF297</f>
        <v>0</v>
      </c>
      <c r="Y255">
        <f>Model!AG297</f>
        <v>0</v>
      </c>
      <c r="Z255">
        <f>Model!AH297</f>
        <v>0</v>
      </c>
      <c r="AA255">
        <f>Model!AI297</f>
        <v>0</v>
      </c>
      <c r="AB255">
        <f>Model!AJ297</f>
        <v>0</v>
      </c>
      <c r="AC255">
        <f>Model!AK297</f>
        <v>1</v>
      </c>
      <c r="AD255">
        <f>Model!AL297</f>
        <v>1</v>
      </c>
      <c r="AE255">
        <f>Model!AM297</f>
        <v>1</v>
      </c>
      <c r="AF255">
        <f>Model!AN297</f>
        <v>1</v>
      </c>
      <c r="AG255">
        <f>Model!AO297</f>
        <v>1</v>
      </c>
      <c r="AH255">
        <f>Model!AP297</f>
        <v>1</v>
      </c>
      <c r="AI255">
        <f>Model!AQ297</f>
        <v>1</v>
      </c>
      <c r="AJ255">
        <f>Model!AR297</f>
        <v>1</v>
      </c>
      <c r="AK255">
        <f>Model!AS297</f>
        <v>1</v>
      </c>
      <c r="AL255">
        <f>Model!AT297</f>
        <v>1</v>
      </c>
      <c r="AM255">
        <f>Model!AU297</f>
        <v>1</v>
      </c>
      <c r="AN255">
        <f>Model!AV297</f>
        <v>1</v>
      </c>
      <c r="AO255">
        <f>Model!AW297</f>
        <v>1</v>
      </c>
      <c r="AP255">
        <f>Model!AX297</f>
        <v>1</v>
      </c>
      <c r="AQ255">
        <f>Model!AY297</f>
        <v>1</v>
      </c>
      <c r="AR255">
        <f>Model!AZ297</f>
        <v>1</v>
      </c>
      <c r="AS255">
        <f>Model!BA297</f>
        <v>1</v>
      </c>
      <c r="AT255">
        <f>Model!BB297</f>
        <v>1</v>
      </c>
      <c r="AU255">
        <f>Model!BC297</f>
        <v>1</v>
      </c>
      <c r="AV255">
        <f>Model!BD297</f>
        <v>1</v>
      </c>
      <c r="AW255">
        <f>Model!BE297</f>
        <v>1</v>
      </c>
      <c r="AX255">
        <f>Model!BF297</f>
        <v>1</v>
      </c>
      <c r="AY255">
        <f>Model!BG297</f>
        <v>1</v>
      </c>
      <c r="AZ255">
        <f>Model!BH297</f>
        <v>1</v>
      </c>
      <c r="BA255">
        <f>Model!BI297</f>
        <v>1</v>
      </c>
      <c r="BB255">
        <f>Model!BJ297</f>
        <v>1</v>
      </c>
      <c r="BC255">
        <f>Model!BK297</f>
        <v>1</v>
      </c>
      <c r="BD255">
        <f>Model!BL297</f>
        <v>1</v>
      </c>
      <c r="BE255">
        <f>Model!BM297</f>
        <v>1</v>
      </c>
      <c r="BF255">
        <f>Model!BN297</f>
        <v>1</v>
      </c>
      <c r="BG255">
        <f>Model!BO297</f>
        <v>1</v>
      </c>
      <c r="BH255">
        <f>Model!BP297</f>
        <v>1</v>
      </c>
      <c r="BI255">
        <f>Model!BQ297</f>
        <v>1</v>
      </c>
      <c r="BJ255">
        <f>Model!BR297</f>
        <v>1</v>
      </c>
      <c r="BK255">
        <f>Model!BS297</f>
        <v>1</v>
      </c>
      <c r="BL255">
        <f>Model!BT297</f>
        <v>1</v>
      </c>
      <c r="BM255">
        <f>Model!BU297</f>
        <v>1</v>
      </c>
      <c r="BN255">
        <f>Model!BV297</f>
        <v>1</v>
      </c>
      <c r="BO255">
        <f>Model!BW297</f>
        <v>1</v>
      </c>
      <c r="BP255">
        <f>Model!BX297</f>
        <v>1</v>
      </c>
      <c r="BQ255">
        <f>Model!BY297</f>
        <v>1</v>
      </c>
      <c r="BR255">
        <f>Model!BZ297</f>
        <v>1</v>
      </c>
      <c r="BS255">
        <f>Model!CA297</f>
        <v>1</v>
      </c>
      <c r="BT255">
        <f>Model!CB297</f>
        <v>1</v>
      </c>
      <c r="BU255">
        <f>Model!CC297</f>
        <v>1</v>
      </c>
      <c r="BV255">
        <f>Model!CD297</f>
        <v>1</v>
      </c>
      <c r="BW255">
        <f>Model!CE297</f>
        <v>1</v>
      </c>
      <c r="BX255">
        <f>Model!CF297</f>
        <v>1</v>
      </c>
      <c r="BY255">
        <f>Model!CG297</f>
        <v>0</v>
      </c>
      <c r="BZ255">
        <f>Model!CH297</f>
        <v>0</v>
      </c>
      <c r="CA255">
        <f>Model!CI297</f>
        <v>0</v>
      </c>
      <c r="CB255">
        <f>Model!CJ297</f>
        <v>0</v>
      </c>
      <c r="CC255">
        <f>Model!CK297</f>
        <v>0</v>
      </c>
      <c r="CD255">
        <f>Model!CL297</f>
        <v>0</v>
      </c>
      <c r="CE255">
        <f>Model!CM297</f>
        <v>0</v>
      </c>
      <c r="CF255">
        <f>Model!CN297</f>
        <v>1</v>
      </c>
      <c r="CG255">
        <f>Model!CO297</f>
        <v>1</v>
      </c>
      <c r="CH255">
        <f>Model!CP297</f>
        <v>1</v>
      </c>
      <c r="CI255">
        <f>Model!CQ297</f>
        <v>1</v>
      </c>
      <c r="CJ255">
        <f>Model!CR297</f>
        <v>1</v>
      </c>
      <c r="CK255">
        <f>Model!CS297</f>
        <v>1</v>
      </c>
      <c r="CL255">
        <f>Model!CT297</f>
        <v>1</v>
      </c>
      <c r="CM255">
        <f>Model!CU297</f>
        <v>1</v>
      </c>
      <c r="CN255">
        <f>Model!CV297</f>
        <v>1</v>
      </c>
      <c r="CO255">
        <f>Model!CW297</f>
        <v>1</v>
      </c>
      <c r="CP255">
        <f>Model!CX297</f>
        <v>1</v>
      </c>
      <c r="CQ255">
        <f>Model!CY297</f>
        <v>1</v>
      </c>
      <c r="CR255">
        <f>Model!CZ297</f>
        <v>1</v>
      </c>
      <c r="CS255">
        <f>Model!DA297</f>
        <v>1</v>
      </c>
      <c r="CT255">
        <f>Model!DB297</f>
        <v>1</v>
      </c>
      <c r="CU255">
        <f>Model!DC297</f>
        <v>1</v>
      </c>
      <c r="CV255">
        <f>Model!DD297</f>
        <v>1</v>
      </c>
      <c r="CW255">
        <f>Model!DE297</f>
        <v>1</v>
      </c>
      <c r="CX255">
        <f>Model!DF297</f>
        <v>1</v>
      </c>
    </row>
    <row r="256" spans="1:102">
      <c r="A256">
        <f>Model!I298</f>
        <v>0</v>
      </c>
      <c r="B256">
        <f>Model!J298</f>
        <v>0</v>
      </c>
      <c r="C256">
        <f>Model!K298</f>
        <v>0</v>
      </c>
      <c r="D256">
        <f>Model!L298</f>
        <v>0</v>
      </c>
      <c r="E256">
        <f>Model!M298</f>
        <v>0</v>
      </c>
      <c r="F256">
        <f>Model!N298</f>
        <v>0</v>
      </c>
      <c r="G256">
        <f>Model!O298</f>
        <v>0</v>
      </c>
      <c r="H256">
        <f>Model!P298</f>
        <v>0</v>
      </c>
      <c r="I256">
        <f>Model!Q298</f>
        <v>0</v>
      </c>
      <c r="J256">
        <f>Model!R298</f>
        <v>0</v>
      </c>
      <c r="K256">
        <f>Model!S298</f>
        <v>0</v>
      </c>
      <c r="L256">
        <f>Model!T298</f>
        <v>0</v>
      </c>
      <c r="M256">
        <f>Model!U298</f>
        <v>0</v>
      </c>
      <c r="N256">
        <f>Model!V298</f>
        <v>0</v>
      </c>
      <c r="O256">
        <f>Model!W298</f>
        <v>0</v>
      </c>
      <c r="P256">
        <f>Model!X298</f>
        <v>0</v>
      </c>
      <c r="Q256">
        <f>Model!Y298</f>
        <v>0</v>
      </c>
      <c r="R256">
        <f>Model!Z298</f>
        <v>0</v>
      </c>
      <c r="S256">
        <f>Model!AA298</f>
        <v>0</v>
      </c>
      <c r="T256">
        <f>Model!AB298</f>
        <v>0</v>
      </c>
      <c r="U256">
        <f>Model!AC298</f>
        <v>0</v>
      </c>
      <c r="V256">
        <f>Model!AD298</f>
        <v>0</v>
      </c>
      <c r="W256">
        <f>Model!AE298</f>
        <v>0</v>
      </c>
      <c r="X256">
        <f>Model!AF298</f>
        <v>0</v>
      </c>
      <c r="Y256">
        <f>Model!AG298</f>
        <v>0</v>
      </c>
      <c r="Z256">
        <f>Model!AH298</f>
        <v>0</v>
      </c>
      <c r="AA256">
        <f>Model!AI298</f>
        <v>0</v>
      </c>
      <c r="AB256">
        <f>Model!AJ298</f>
        <v>0</v>
      </c>
      <c r="AC256">
        <f>Model!AK298</f>
        <v>0</v>
      </c>
      <c r="AD256">
        <f>Model!AL298</f>
        <v>0</v>
      </c>
      <c r="AE256">
        <f>Model!AM298</f>
        <v>0</v>
      </c>
      <c r="AF256">
        <f>Model!AN298</f>
        <v>0</v>
      </c>
      <c r="AG256">
        <f>Model!AO298</f>
        <v>0</v>
      </c>
      <c r="AH256">
        <f>Model!AP298</f>
        <v>0</v>
      </c>
      <c r="AI256">
        <f>Model!AQ298</f>
        <v>0</v>
      </c>
      <c r="AJ256">
        <f>Model!AR298</f>
        <v>0</v>
      </c>
      <c r="AK256">
        <f>Model!AS298</f>
        <v>0</v>
      </c>
      <c r="AL256">
        <f>Model!AT298</f>
        <v>0</v>
      </c>
      <c r="AM256">
        <f>Model!AU298</f>
        <v>0</v>
      </c>
      <c r="AN256">
        <f>Model!AV298</f>
        <v>0</v>
      </c>
      <c r="AO256">
        <f>Model!AW298</f>
        <v>0</v>
      </c>
      <c r="AP256">
        <f>Model!AX298</f>
        <v>0</v>
      </c>
      <c r="AQ256">
        <f>Model!AY298</f>
        <v>0</v>
      </c>
      <c r="AR256">
        <f>Model!AZ298</f>
        <v>0</v>
      </c>
      <c r="AS256">
        <f>Model!BA298</f>
        <v>0</v>
      </c>
      <c r="AT256">
        <f>Model!BB298</f>
        <v>0</v>
      </c>
      <c r="AU256">
        <f>Model!BC298</f>
        <v>0</v>
      </c>
      <c r="AV256">
        <f>Model!BD298</f>
        <v>0</v>
      </c>
      <c r="AW256">
        <f>Model!BE298</f>
        <v>0</v>
      </c>
      <c r="AX256">
        <f>Model!BF298</f>
        <v>0</v>
      </c>
      <c r="AY256">
        <f>Model!BG298</f>
        <v>0</v>
      </c>
      <c r="AZ256">
        <f>Model!BH298</f>
        <v>0</v>
      </c>
      <c r="BA256">
        <f>Model!BI298</f>
        <v>0</v>
      </c>
      <c r="BB256">
        <f>Model!BJ298</f>
        <v>0</v>
      </c>
      <c r="BC256">
        <f>Model!BK298</f>
        <v>0</v>
      </c>
      <c r="BD256">
        <f>Model!BL298</f>
        <v>0</v>
      </c>
      <c r="BE256">
        <f>Model!BM298</f>
        <v>0</v>
      </c>
      <c r="BF256">
        <f>Model!BN298</f>
        <v>0</v>
      </c>
      <c r="BG256">
        <f>Model!BO298</f>
        <v>0</v>
      </c>
      <c r="BH256">
        <f>Model!BP298</f>
        <v>0</v>
      </c>
      <c r="BI256">
        <f>Model!BQ298</f>
        <v>0</v>
      </c>
      <c r="BJ256">
        <f>Model!BR298</f>
        <v>0</v>
      </c>
      <c r="BK256">
        <f>Model!BS298</f>
        <v>0</v>
      </c>
      <c r="BL256">
        <f>Model!BT298</f>
        <v>0</v>
      </c>
      <c r="BM256">
        <f>Model!BU298</f>
        <v>0</v>
      </c>
      <c r="BN256">
        <f>Model!BV298</f>
        <v>0</v>
      </c>
      <c r="BO256">
        <f>Model!BW298</f>
        <v>0</v>
      </c>
      <c r="BP256">
        <f>Model!BX298</f>
        <v>0</v>
      </c>
      <c r="BQ256">
        <f>Model!BY298</f>
        <v>0</v>
      </c>
      <c r="BR256">
        <f>Model!BZ298</f>
        <v>0</v>
      </c>
      <c r="BS256">
        <f>Model!CA298</f>
        <v>0</v>
      </c>
      <c r="BT256">
        <f>Model!CB298</f>
        <v>0</v>
      </c>
      <c r="BU256">
        <f>Model!CC298</f>
        <v>0</v>
      </c>
      <c r="BV256">
        <f>Model!CD298</f>
        <v>0</v>
      </c>
      <c r="BW256">
        <f>Model!CE298</f>
        <v>0</v>
      </c>
      <c r="BX256">
        <f>Model!CF298</f>
        <v>0</v>
      </c>
      <c r="BY256">
        <f>Model!CG298</f>
        <v>0</v>
      </c>
      <c r="BZ256">
        <f>Model!CH298</f>
        <v>0</v>
      </c>
      <c r="CA256">
        <f>Model!CI298</f>
        <v>0</v>
      </c>
      <c r="CB256">
        <f>Model!CJ298</f>
        <v>0</v>
      </c>
      <c r="CC256">
        <f>Model!CK298</f>
        <v>0</v>
      </c>
      <c r="CD256">
        <f>Model!CL298</f>
        <v>0</v>
      </c>
      <c r="CE256">
        <f>Model!CM298</f>
        <v>0</v>
      </c>
      <c r="CF256">
        <f>Model!CN298</f>
        <v>0</v>
      </c>
      <c r="CG256">
        <f>Model!CO298</f>
        <v>0</v>
      </c>
      <c r="CH256">
        <f>Model!CP298</f>
        <v>0</v>
      </c>
      <c r="CI256">
        <f>Model!CQ298</f>
        <v>0</v>
      </c>
      <c r="CJ256">
        <f>Model!CR298</f>
        <v>0</v>
      </c>
      <c r="CK256">
        <f>Model!CS298</f>
        <v>0</v>
      </c>
      <c r="CL256">
        <f>Model!CT298</f>
        <v>0</v>
      </c>
      <c r="CM256">
        <f>Model!CU298</f>
        <v>0</v>
      </c>
      <c r="CN256">
        <f>Model!CV298</f>
        <v>0</v>
      </c>
      <c r="CO256">
        <f>Model!CW298</f>
        <v>0</v>
      </c>
      <c r="CP256">
        <f>Model!CX298</f>
        <v>0</v>
      </c>
      <c r="CQ256">
        <f>Model!CY298</f>
        <v>0</v>
      </c>
      <c r="CR256">
        <f>Model!CZ298</f>
        <v>0</v>
      </c>
      <c r="CS256">
        <f>Model!DA298</f>
        <v>0</v>
      </c>
      <c r="CT256">
        <f>Model!DB298</f>
        <v>0</v>
      </c>
      <c r="CU256">
        <f>Model!DC298</f>
        <v>0</v>
      </c>
      <c r="CV256">
        <f>Model!DD298</f>
        <v>0</v>
      </c>
      <c r="CW256">
        <f>Model!DE298</f>
        <v>0</v>
      </c>
      <c r="CX256">
        <f>Model!DF298</f>
        <v>0</v>
      </c>
    </row>
    <row r="257" spans="1:102">
      <c r="A257" t="str">
        <f>Model!I299</f>
        <v>Other Revenue (ex Kayak)</v>
      </c>
      <c r="B257">
        <f>Model!J299</f>
        <v>0</v>
      </c>
      <c r="C257">
        <f>Model!K299</f>
        <v>0</v>
      </c>
      <c r="D257">
        <f>Model!L299</f>
        <v>0</v>
      </c>
      <c r="E257">
        <f>Model!M299</f>
        <v>0</v>
      </c>
      <c r="F257">
        <f>Model!N299</f>
        <v>0</v>
      </c>
      <c r="G257">
        <f>Model!O299</f>
        <v>0</v>
      </c>
      <c r="H257">
        <f>Model!P299</f>
        <v>0</v>
      </c>
      <c r="I257">
        <f>Model!Q299</f>
        <v>0</v>
      </c>
      <c r="J257">
        <f>Model!R299</f>
        <v>0</v>
      </c>
      <c r="K257">
        <f>Model!S299</f>
        <v>0</v>
      </c>
      <c r="L257">
        <f>Model!T299</f>
        <v>0</v>
      </c>
      <c r="M257">
        <f>Model!U299</f>
        <v>0</v>
      </c>
      <c r="N257">
        <f>Model!V299</f>
        <v>0</v>
      </c>
      <c r="O257">
        <f>Model!W299</f>
        <v>0</v>
      </c>
      <c r="P257">
        <f>Model!X299</f>
        <v>0</v>
      </c>
      <c r="Q257">
        <f>Model!Y299</f>
        <v>0</v>
      </c>
      <c r="R257">
        <f>Model!Z299</f>
        <v>0</v>
      </c>
      <c r="S257">
        <f>Model!AA299</f>
        <v>0</v>
      </c>
      <c r="T257">
        <f>Model!AB299</f>
        <v>0</v>
      </c>
      <c r="U257">
        <f>Model!AC299</f>
        <v>0</v>
      </c>
      <c r="V257">
        <f>Model!AD299</f>
        <v>0</v>
      </c>
      <c r="W257">
        <f>Model!AE299</f>
        <v>0</v>
      </c>
      <c r="X257">
        <f>Model!AF299</f>
        <v>0</v>
      </c>
      <c r="Y257">
        <f>Model!AG299</f>
        <v>0</v>
      </c>
      <c r="Z257">
        <f>Model!AH299</f>
        <v>0</v>
      </c>
      <c r="AA257">
        <f>Model!AI299</f>
        <v>0</v>
      </c>
      <c r="AB257">
        <f>Model!AJ299</f>
        <v>0</v>
      </c>
      <c r="AC257">
        <f>Model!AK299</f>
        <v>0.86699999999999999</v>
      </c>
      <c r="AD257">
        <f>Model!AL299</f>
        <v>2.6269999999999998</v>
      </c>
      <c r="AE257">
        <f>Model!AM299</f>
        <v>2.4529999999999998</v>
      </c>
      <c r="AF257">
        <f>Model!AN299</f>
        <v>2.3919999999999999</v>
      </c>
      <c r="AG257">
        <f>Model!AO299</f>
        <v>4.0890000000000004</v>
      </c>
      <c r="AH257">
        <f>Model!AP299</f>
        <v>4.4969999999999999</v>
      </c>
      <c r="AI257">
        <f>Model!AQ299</f>
        <v>5.0140000000000002</v>
      </c>
      <c r="AJ257">
        <f>Model!AR299</f>
        <v>4.2519999999999998</v>
      </c>
      <c r="AK257">
        <f>Model!AS299</f>
        <v>4.7990000000000004</v>
      </c>
      <c r="AL257">
        <f>Model!AT299</f>
        <v>6.4340000000000002</v>
      </c>
      <c r="AM257">
        <f>Model!AU299</f>
        <v>7.1580000000000004</v>
      </c>
      <c r="AN257">
        <f>Model!AV299</f>
        <v>3.85</v>
      </c>
      <c r="AO257">
        <f>Model!AW299</f>
        <v>2.887</v>
      </c>
      <c r="AP257">
        <f>Model!AX299</f>
        <v>3.258</v>
      </c>
      <c r="AQ257">
        <f>Model!AY299</f>
        <v>3.274</v>
      </c>
      <c r="AR257">
        <f>Model!AZ299</f>
        <v>3.2440000000000002</v>
      </c>
      <c r="AS257">
        <f>Model!BA299</f>
        <v>3.0939999999999999</v>
      </c>
      <c r="AT257">
        <f>Model!BB299</f>
        <v>3.0049999999999999</v>
      </c>
      <c r="AU257">
        <f>Model!BC299</f>
        <v>2.9729999999999999</v>
      </c>
      <c r="AV257">
        <f>Model!BD299</f>
        <v>2.8530000000000002</v>
      </c>
      <c r="AW257">
        <f>Model!BE299</f>
        <v>3.2109999999999999</v>
      </c>
      <c r="AX257">
        <f>Model!BF299</f>
        <v>3.7389999999999999</v>
      </c>
      <c r="AY257">
        <f>Model!BG299</f>
        <v>3.2130000000000001</v>
      </c>
      <c r="AZ257">
        <f>Model!BH299</f>
        <v>3.2269999999999999</v>
      </c>
      <c r="BA257">
        <f>Model!BI299</f>
        <v>3.52</v>
      </c>
      <c r="BB257">
        <f>Model!BJ299</f>
        <v>4.2740000000000009</v>
      </c>
      <c r="BC257">
        <f>Model!BK299</f>
        <v>4.164999999999992</v>
      </c>
      <c r="BD257">
        <f>Model!BL299</f>
        <v>4.6839999999999975</v>
      </c>
      <c r="BE257">
        <f>Model!BM299</f>
        <v>4.6599999999999966</v>
      </c>
      <c r="BF257">
        <f>Model!BN299</f>
        <v>5.5259999999999962</v>
      </c>
      <c r="BG257">
        <f>Model!BO299</f>
        <v>4.4244766129032342</v>
      </c>
      <c r="BH257">
        <f>Model!BP299</f>
        <v>9.4449516129032247</v>
      </c>
      <c r="BI257">
        <f>Model!BQ299</f>
        <v>7.0348580645161221</v>
      </c>
      <c r="BJ257">
        <f>Model!BR299</f>
        <v>9.414135225806433</v>
      </c>
      <c r="BK257">
        <f>Model!BS299</f>
        <v>8.8914538064516222</v>
      </c>
      <c r="BL257">
        <f>Model!BT299</f>
        <v>10.507825806451621</v>
      </c>
      <c r="BM257">
        <f>Model!BU299</f>
        <v>21.689328129032248</v>
      </c>
      <c r="BN257">
        <f>Model!BV299</f>
        <v>24.213954691612898</v>
      </c>
      <c r="BO257">
        <f>Model!BW299</f>
        <v>10.487105572903218</v>
      </c>
      <c r="BP257">
        <f>Model!BX299</f>
        <v>13.439143612903223</v>
      </c>
      <c r="BQ257">
        <f>Model!BY299</f>
        <v>22.832894535483831</v>
      </c>
      <c r="BR257">
        <f>Model!BZ299</f>
        <v>19.926952426193509</v>
      </c>
      <c r="BS257">
        <f>Model!CA299</f>
        <v>45.147810851548371</v>
      </c>
      <c r="BT257">
        <f>Model!CB299</f>
        <v>49.550100793548367</v>
      </c>
      <c r="BU257">
        <f>Model!CC299</f>
        <v>22.832894535483831</v>
      </c>
      <c r="BV257">
        <f>Model!CD299</f>
        <v>19.926952426193509</v>
      </c>
      <c r="BW257">
        <f>Model!CE299</f>
        <v>45.147810851548371</v>
      </c>
      <c r="BX257">
        <f>Model!CF299</f>
        <v>49.550100793548367</v>
      </c>
      <c r="BY257">
        <f>Model!CG299</f>
        <v>0</v>
      </c>
      <c r="BZ257">
        <f>Model!CH299</f>
        <v>0</v>
      </c>
      <c r="CA257">
        <f>Model!CI299</f>
        <v>0</v>
      </c>
      <c r="CB257">
        <f>Model!CJ299</f>
        <v>0</v>
      </c>
      <c r="CC257">
        <f>Model!CK299</f>
        <v>0</v>
      </c>
      <c r="CD257">
        <f>Model!CL299</f>
        <v>0</v>
      </c>
      <c r="CE257">
        <f>Model!CM299</f>
        <v>0</v>
      </c>
      <c r="CF257">
        <f>Model!CN299</f>
        <v>8.3389999999999986</v>
      </c>
      <c r="CG257">
        <f>Model!CO299</f>
        <v>17.852</v>
      </c>
      <c r="CH257">
        <f>Model!CP299</f>
        <v>22.241000000000003</v>
      </c>
      <c r="CI257">
        <f>Model!CQ299</f>
        <v>12.663</v>
      </c>
      <c r="CJ257">
        <f>Model!CR299</f>
        <v>11.924999999999999</v>
      </c>
      <c r="CK257">
        <f>Model!CS299</f>
        <v>13.39</v>
      </c>
      <c r="CL257">
        <f>Model!CT299</f>
        <v>16.64299999999999</v>
      </c>
      <c r="CM257">
        <f>Model!CU299</f>
        <v>24.055428225806452</v>
      </c>
      <c r="CN257">
        <f>Model!CV299</f>
        <v>35.848272903225798</v>
      </c>
      <c r="CO257">
        <f>Model!CW299</f>
        <v>69.829532006451586</v>
      </c>
      <c r="CP257">
        <f>Model!CX299</f>
        <v>137.45775860677406</v>
      </c>
      <c r="CQ257">
        <f>Model!CY299</f>
        <v>137.45775860677406</v>
      </c>
      <c r="CR257">
        <f>Model!CZ299</f>
        <v>137.45775860677406</v>
      </c>
      <c r="CS257">
        <f>Model!DA299</f>
        <v>137.45775860677406</v>
      </c>
      <c r="CT257">
        <f>Model!DB299</f>
        <v>137.45775860677406</v>
      </c>
      <c r="CU257">
        <f>Model!DC299</f>
        <v>137.45775860677406</v>
      </c>
      <c r="CV257">
        <f>Model!DD299</f>
        <v>137.45775860677406</v>
      </c>
      <c r="CW257">
        <f>Model!DE299</f>
        <v>137.45775860677406</v>
      </c>
      <c r="CX257">
        <f>Model!DF299</f>
        <v>137.45775860677406</v>
      </c>
    </row>
    <row r="258" spans="1:102">
      <c r="A258" t="str">
        <f>Model!I300</f>
        <v>Other Gross Profit</v>
      </c>
      <c r="B258">
        <f>Model!J300</f>
        <v>0</v>
      </c>
      <c r="C258">
        <f>Model!K300</f>
        <v>0</v>
      </c>
      <c r="D258">
        <f>Model!L300</f>
        <v>0</v>
      </c>
      <c r="E258">
        <f>Model!M300</f>
        <v>0</v>
      </c>
      <c r="F258">
        <f>Model!N300</f>
        <v>0</v>
      </c>
      <c r="G258">
        <f>Model!O300</f>
        <v>0</v>
      </c>
      <c r="H258">
        <f>Model!P300</f>
        <v>0</v>
      </c>
      <c r="I258">
        <f>Model!Q300</f>
        <v>0</v>
      </c>
      <c r="J258">
        <f>Model!R300</f>
        <v>0</v>
      </c>
      <c r="K258">
        <f>Model!S300</f>
        <v>0</v>
      </c>
      <c r="L258">
        <f>Model!T300</f>
        <v>0</v>
      </c>
      <c r="M258">
        <f>Model!U300</f>
        <v>0</v>
      </c>
      <c r="N258">
        <f>Model!V300</f>
        <v>0</v>
      </c>
      <c r="O258">
        <f>Model!W300</f>
        <v>0</v>
      </c>
      <c r="P258">
        <f>Model!X300</f>
        <v>0</v>
      </c>
      <c r="Q258">
        <f>Model!Y300</f>
        <v>0</v>
      </c>
      <c r="R258">
        <f>Model!Z300</f>
        <v>0</v>
      </c>
      <c r="S258">
        <f>Model!AA300</f>
        <v>0</v>
      </c>
      <c r="T258">
        <f>Model!AB300</f>
        <v>0</v>
      </c>
      <c r="U258">
        <f>Model!AC300</f>
        <v>0</v>
      </c>
      <c r="V258">
        <f>Model!AD300</f>
        <v>0</v>
      </c>
      <c r="W258">
        <f>Model!AE300</f>
        <v>0</v>
      </c>
      <c r="X258">
        <f>Model!AF300</f>
        <v>0</v>
      </c>
      <c r="Y258">
        <f>Model!AG300</f>
        <v>0</v>
      </c>
      <c r="Z258">
        <f>Model!AH300</f>
        <v>0</v>
      </c>
      <c r="AA258">
        <f>Model!AI300</f>
        <v>0</v>
      </c>
      <c r="AB258">
        <f>Model!AJ300</f>
        <v>0</v>
      </c>
      <c r="AC258">
        <f>Model!AK300</f>
        <v>0.86699999999999999</v>
      </c>
      <c r="AD258">
        <f>Model!AL300</f>
        <v>2.6269999999999998</v>
      </c>
      <c r="AE258">
        <f>Model!AM300</f>
        <v>2.4529999999999998</v>
      </c>
      <c r="AF258">
        <f>Model!AN300</f>
        <v>2.3919999999999999</v>
      </c>
      <c r="AG258">
        <f>Model!AO300</f>
        <v>4.0890000000000004</v>
      </c>
      <c r="AH258">
        <f>Model!AP300</f>
        <v>4.4969999999999999</v>
      </c>
      <c r="AI258">
        <f>Model!AQ300</f>
        <v>5.0140000000000002</v>
      </c>
      <c r="AJ258">
        <f>Model!AR300</f>
        <v>4.2519999999999998</v>
      </c>
      <c r="AK258">
        <f>Model!AS300</f>
        <v>4.7990000000000004</v>
      </c>
      <c r="AL258">
        <f>Model!AT300</f>
        <v>6.4340000000000002</v>
      </c>
      <c r="AM258">
        <f>Model!AU300</f>
        <v>7.1580000000000004</v>
      </c>
      <c r="AN258">
        <f>Model!AV300</f>
        <v>3.85</v>
      </c>
      <c r="AO258">
        <f>Model!AW300</f>
        <v>2.887</v>
      </c>
      <c r="AP258">
        <f>Model!AX300</f>
        <v>3.258</v>
      </c>
      <c r="AQ258">
        <f>Model!AY300</f>
        <v>3.274</v>
      </c>
      <c r="AR258">
        <f>Model!AZ300</f>
        <v>3.2440000000000002</v>
      </c>
      <c r="AS258">
        <f>Model!BA300</f>
        <v>3.0939999999999999</v>
      </c>
      <c r="AT258">
        <f>Model!BB300</f>
        <v>3.0049999999999999</v>
      </c>
      <c r="AU258">
        <f>Model!BC300</f>
        <v>2.9729999999999999</v>
      </c>
      <c r="AV258">
        <f>Model!BD300</f>
        <v>2.8530000000000002</v>
      </c>
      <c r="AW258">
        <f>Model!BE300</f>
        <v>3.2109999999999999</v>
      </c>
      <c r="AX258">
        <f>Model!BF300</f>
        <v>3.7389999999999999</v>
      </c>
      <c r="AY258">
        <f>Model!BG300</f>
        <v>3.2130000000000001</v>
      </c>
      <c r="AZ258">
        <f>Model!BH300</f>
        <v>3.2269999999999999</v>
      </c>
      <c r="BA258">
        <f>Model!BI300</f>
        <v>3.52</v>
      </c>
      <c r="BB258">
        <f>Model!BJ300</f>
        <v>4.2740000000000009</v>
      </c>
      <c r="BC258">
        <f>Model!BK300</f>
        <v>4.164999999999992</v>
      </c>
      <c r="BD258">
        <f>Model!BL300</f>
        <v>4.6839999999999975</v>
      </c>
      <c r="BE258">
        <f>Model!BM300</f>
        <v>4.6599999999999966</v>
      </c>
      <c r="BF258">
        <f>Model!BN300</f>
        <v>5.5259999999999962</v>
      </c>
      <c r="BG258">
        <f>Model!BO300</f>
        <v>4.4244766129032342</v>
      </c>
      <c r="BH258">
        <f>Model!BP300</f>
        <v>9.4449516129032247</v>
      </c>
      <c r="BI258">
        <f>Model!BQ300</f>
        <v>7.0348580645161221</v>
      </c>
      <c r="BJ258">
        <f>Model!BR300</f>
        <v>9.414135225806433</v>
      </c>
      <c r="BK258">
        <f>Model!BS300</f>
        <v>8.8914538064516222</v>
      </c>
      <c r="BL258">
        <f>Model!BT300</f>
        <v>10.507825806451621</v>
      </c>
      <c r="BM258">
        <f>Model!BU300</f>
        <v>21.689328129032248</v>
      </c>
      <c r="BN258">
        <f>Model!BV300</f>
        <v>24.213954691612898</v>
      </c>
      <c r="BO258">
        <f>Model!BW300</f>
        <v>10.487105572903218</v>
      </c>
      <c r="BP258">
        <f>Model!BX300</f>
        <v>13.439143612903223</v>
      </c>
      <c r="BQ258">
        <f>Model!BY300</f>
        <v>22.832894535483831</v>
      </c>
      <c r="BR258">
        <f>Model!BZ300</f>
        <v>19.926952426193509</v>
      </c>
      <c r="BS258">
        <f>Model!CA300</f>
        <v>45.147810851548371</v>
      </c>
      <c r="BT258">
        <f>Model!CB300</f>
        <v>49.550100793548367</v>
      </c>
      <c r="BU258">
        <f>Model!CC300</f>
        <v>22.832894535483831</v>
      </c>
      <c r="BV258">
        <f>Model!CD300</f>
        <v>19.926952426193509</v>
      </c>
      <c r="BW258">
        <f>Model!CE300</f>
        <v>45.147810851548371</v>
      </c>
      <c r="BX258">
        <f>Model!CF300</f>
        <v>49.550100793548367</v>
      </c>
      <c r="BY258">
        <f>Model!CG300</f>
        <v>0</v>
      </c>
      <c r="BZ258">
        <f>Model!CH300</f>
        <v>0</v>
      </c>
      <c r="CA258">
        <f>Model!CI300</f>
        <v>0</v>
      </c>
      <c r="CB258">
        <f>Model!CJ300</f>
        <v>0</v>
      </c>
      <c r="CC258">
        <f>Model!CK300</f>
        <v>0</v>
      </c>
      <c r="CD258">
        <f>Model!CL300</f>
        <v>0</v>
      </c>
      <c r="CE258">
        <f>Model!CM300</f>
        <v>0</v>
      </c>
      <c r="CF258">
        <f>Model!CN300</f>
        <v>8.3389999999999986</v>
      </c>
      <c r="CG258">
        <f>Model!CO300</f>
        <v>17.852</v>
      </c>
      <c r="CH258">
        <f>Model!CP300</f>
        <v>22.241000000000003</v>
      </c>
      <c r="CI258">
        <f>Model!CQ300</f>
        <v>12.663</v>
      </c>
      <c r="CJ258">
        <f>Model!CR300</f>
        <v>11.924999999999999</v>
      </c>
      <c r="CK258">
        <f>Model!CS300</f>
        <v>13.39</v>
      </c>
      <c r="CL258">
        <f>Model!CT300</f>
        <v>16.64299999999999</v>
      </c>
      <c r="CM258">
        <f>Model!CU300</f>
        <v>24.055428225806452</v>
      </c>
      <c r="CN258">
        <f>Model!CV300</f>
        <v>35.848272903225798</v>
      </c>
      <c r="CO258">
        <f>Model!CW300</f>
        <v>69.829532006451586</v>
      </c>
      <c r="CP258">
        <f>Model!CX300</f>
        <v>137.45775860677406</v>
      </c>
      <c r="CQ258">
        <f>Model!CY300</f>
        <v>137.45775860677406</v>
      </c>
      <c r="CR258">
        <f>Model!CZ300</f>
        <v>137.45775860677406</v>
      </c>
      <c r="CS258">
        <f>Model!DA300</f>
        <v>137.45775860677406</v>
      </c>
      <c r="CT258">
        <f>Model!DB300</f>
        <v>137.45775860677406</v>
      </c>
      <c r="CU258">
        <f>Model!DC300</f>
        <v>137.45775860677406</v>
      </c>
      <c r="CV258">
        <f>Model!DD300</f>
        <v>137.45775860677406</v>
      </c>
      <c r="CW258">
        <f>Model!DE300</f>
        <v>137.45775860677406</v>
      </c>
      <c r="CX258">
        <f>Model!DF300</f>
        <v>137.45775860677406</v>
      </c>
    </row>
    <row r="259" spans="1:102">
      <c r="A259" t="str">
        <f>Model!I301</f>
        <v>Gross Margin</v>
      </c>
      <c r="B259">
        <f>Model!J301</f>
        <v>0</v>
      </c>
      <c r="C259">
        <f>Model!K301</f>
        <v>0</v>
      </c>
      <c r="D259">
        <f>Model!L301</f>
        <v>0</v>
      </c>
      <c r="E259">
        <f>Model!M301</f>
        <v>0</v>
      </c>
      <c r="F259">
        <f>Model!N301</f>
        <v>0</v>
      </c>
      <c r="G259">
        <f>Model!O301</f>
        <v>0</v>
      </c>
      <c r="H259">
        <f>Model!P301</f>
        <v>0</v>
      </c>
      <c r="I259">
        <f>Model!Q301</f>
        <v>0</v>
      </c>
      <c r="J259">
        <f>Model!R301</f>
        <v>0</v>
      </c>
      <c r="K259">
        <f>Model!S301</f>
        <v>0</v>
      </c>
      <c r="L259">
        <f>Model!T301</f>
        <v>0</v>
      </c>
      <c r="M259">
        <f>Model!U301</f>
        <v>0</v>
      </c>
      <c r="N259">
        <f>Model!V301</f>
        <v>0</v>
      </c>
      <c r="O259">
        <f>Model!W301</f>
        <v>0</v>
      </c>
      <c r="P259">
        <f>Model!X301</f>
        <v>0</v>
      </c>
      <c r="Q259">
        <f>Model!Y301</f>
        <v>0</v>
      </c>
      <c r="R259">
        <f>Model!Z301</f>
        <v>0</v>
      </c>
      <c r="S259">
        <f>Model!AA301</f>
        <v>0</v>
      </c>
      <c r="T259">
        <f>Model!AB301</f>
        <v>0</v>
      </c>
      <c r="U259">
        <f>Model!AC301</f>
        <v>0</v>
      </c>
      <c r="V259">
        <f>Model!AD301</f>
        <v>0</v>
      </c>
      <c r="W259">
        <f>Model!AE301</f>
        <v>0</v>
      </c>
      <c r="X259">
        <f>Model!AF301</f>
        <v>0</v>
      </c>
      <c r="Y259">
        <f>Model!AG301</f>
        <v>0</v>
      </c>
      <c r="Z259">
        <f>Model!AH301</f>
        <v>0</v>
      </c>
      <c r="AA259">
        <f>Model!AI301</f>
        <v>0</v>
      </c>
      <c r="AB259">
        <f>Model!AJ301</f>
        <v>0</v>
      </c>
      <c r="AC259">
        <f>Model!AK301</f>
        <v>1</v>
      </c>
      <c r="AD259">
        <f>Model!AL301</f>
        <v>1</v>
      </c>
      <c r="AE259">
        <f>Model!AM301</f>
        <v>1</v>
      </c>
      <c r="AF259">
        <f>Model!AN301</f>
        <v>1</v>
      </c>
      <c r="AG259">
        <f>Model!AO301</f>
        <v>1</v>
      </c>
      <c r="AH259">
        <f>Model!AP301</f>
        <v>1</v>
      </c>
      <c r="AI259">
        <f>Model!AQ301</f>
        <v>1</v>
      </c>
      <c r="AJ259">
        <f>Model!AR301</f>
        <v>1</v>
      </c>
      <c r="AK259">
        <f>Model!AS301</f>
        <v>1</v>
      </c>
      <c r="AL259">
        <f>Model!AT301</f>
        <v>1</v>
      </c>
      <c r="AM259">
        <f>Model!AU301</f>
        <v>1</v>
      </c>
      <c r="AN259">
        <f>Model!AV301</f>
        <v>1</v>
      </c>
      <c r="AO259">
        <f>Model!AW301</f>
        <v>1</v>
      </c>
      <c r="AP259">
        <f>Model!AX301</f>
        <v>1</v>
      </c>
      <c r="AQ259">
        <f>Model!AY301</f>
        <v>1</v>
      </c>
      <c r="AR259">
        <f>Model!AZ301</f>
        <v>1</v>
      </c>
      <c r="AS259">
        <f>Model!BA301</f>
        <v>1</v>
      </c>
      <c r="AT259">
        <f>Model!BB301</f>
        <v>1</v>
      </c>
      <c r="AU259">
        <f>Model!BC301</f>
        <v>1</v>
      </c>
      <c r="AV259">
        <f>Model!BD301</f>
        <v>1</v>
      </c>
      <c r="AW259">
        <f>Model!BE301</f>
        <v>1</v>
      </c>
      <c r="AX259">
        <f>Model!BF301</f>
        <v>1</v>
      </c>
      <c r="AY259">
        <f>Model!BG301</f>
        <v>1</v>
      </c>
      <c r="AZ259">
        <f>Model!BH301</f>
        <v>1</v>
      </c>
      <c r="BA259">
        <f>Model!BI301</f>
        <v>1</v>
      </c>
      <c r="BB259">
        <f>Model!BJ301</f>
        <v>1</v>
      </c>
      <c r="BC259">
        <f>Model!BK301</f>
        <v>1</v>
      </c>
      <c r="BD259">
        <f>Model!BL301</f>
        <v>1</v>
      </c>
      <c r="BE259">
        <f>Model!BM301</f>
        <v>1</v>
      </c>
      <c r="BF259">
        <f>Model!BN301</f>
        <v>1</v>
      </c>
      <c r="BG259">
        <f>Model!BO301</f>
        <v>1</v>
      </c>
      <c r="BH259">
        <f>Model!BP301</f>
        <v>1</v>
      </c>
      <c r="BI259">
        <f>Model!BQ301</f>
        <v>1</v>
      </c>
      <c r="BJ259">
        <f>Model!BR301</f>
        <v>1</v>
      </c>
      <c r="BK259">
        <f>Model!BS301</f>
        <v>1</v>
      </c>
      <c r="BL259">
        <f>Model!BT301</f>
        <v>1</v>
      </c>
      <c r="BM259">
        <f>Model!BU301</f>
        <v>1</v>
      </c>
      <c r="BN259">
        <f>Model!BV301</f>
        <v>1</v>
      </c>
      <c r="BO259">
        <f>Model!BW301</f>
        <v>1</v>
      </c>
      <c r="BP259">
        <f>Model!BX301</f>
        <v>1</v>
      </c>
      <c r="BQ259">
        <f>Model!BY301</f>
        <v>1</v>
      </c>
      <c r="BR259">
        <f>Model!BZ301</f>
        <v>1</v>
      </c>
      <c r="BS259">
        <f>Model!CA301</f>
        <v>1</v>
      </c>
      <c r="BT259">
        <f>Model!CB301</f>
        <v>1</v>
      </c>
      <c r="BU259">
        <f>Model!CC301</f>
        <v>1</v>
      </c>
      <c r="BV259">
        <f>Model!CD301</f>
        <v>1</v>
      </c>
      <c r="BW259">
        <f>Model!CE301</f>
        <v>1</v>
      </c>
      <c r="BX259">
        <f>Model!CF301</f>
        <v>1</v>
      </c>
      <c r="BY259">
        <f>Model!CG301</f>
        <v>0</v>
      </c>
      <c r="BZ259">
        <f>Model!CH301</f>
        <v>0</v>
      </c>
      <c r="CA259">
        <f>Model!CI301</f>
        <v>0</v>
      </c>
      <c r="CB259">
        <f>Model!CJ301</f>
        <v>0</v>
      </c>
      <c r="CC259">
        <f>Model!CK301</f>
        <v>0</v>
      </c>
      <c r="CD259">
        <f>Model!CL301</f>
        <v>0</v>
      </c>
      <c r="CE259">
        <f>Model!CM301</f>
        <v>0</v>
      </c>
      <c r="CF259">
        <f>Model!CN301</f>
        <v>1</v>
      </c>
      <c r="CG259">
        <f>Model!CO301</f>
        <v>1</v>
      </c>
      <c r="CH259">
        <f>Model!CP301</f>
        <v>1</v>
      </c>
      <c r="CI259">
        <f>Model!CQ301</f>
        <v>1</v>
      </c>
      <c r="CJ259">
        <f>Model!CR301</f>
        <v>1</v>
      </c>
      <c r="CK259">
        <f>Model!CS301</f>
        <v>1</v>
      </c>
      <c r="CL259">
        <f>Model!CT301</f>
        <v>1</v>
      </c>
      <c r="CM259">
        <f>Model!CU301</f>
        <v>1</v>
      </c>
      <c r="CN259">
        <f>Model!CV301</f>
        <v>1</v>
      </c>
      <c r="CO259">
        <f>Model!CW301</f>
        <v>1</v>
      </c>
      <c r="CP259">
        <f>Model!CX301</f>
        <v>1</v>
      </c>
      <c r="CQ259">
        <f>Model!CY301</f>
        <v>1</v>
      </c>
      <c r="CR259">
        <f>Model!CZ301</f>
        <v>1</v>
      </c>
      <c r="CS259">
        <f>Model!DA301</f>
        <v>1</v>
      </c>
      <c r="CT259">
        <f>Model!DB301</f>
        <v>1</v>
      </c>
      <c r="CU259">
        <f>Model!DC301</f>
        <v>1</v>
      </c>
      <c r="CV259">
        <f>Model!DD301</f>
        <v>1</v>
      </c>
      <c r="CW259">
        <f>Model!DE301</f>
        <v>1</v>
      </c>
      <c r="CX259">
        <f>Model!DF301</f>
        <v>1</v>
      </c>
    </row>
    <row r="260" spans="1:102">
      <c r="A260">
        <f>Model!I302</f>
        <v>0</v>
      </c>
      <c r="B260">
        <f>Model!J302</f>
        <v>0</v>
      </c>
      <c r="C260">
        <f>Model!K302</f>
        <v>0</v>
      </c>
      <c r="D260">
        <f>Model!L302</f>
        <v>0</v>
      </c>
      <c r="E260">
        <f>Model!M302</f>
        <v>0</v>
      </c>
      <c r="F260">
        <f>Model!N302</f>
        <v>0</v>
      </c>
      <c r="G260">
        <f>Model!O302</f>
        <v>0</v>
      </c>
      <c r="H260">
        <f>Model!P302</f>
        <v>0</v>
      </c>
      <c r="I260">
        <f>Model!Q302</f>
        <v>0</v>
      </c>
      <c r="J260">
        <f>Model!R302</f>
        <v>0</v>
      </c>
      <c r="K260">
        <f>Model!S302</f>
        <v>0</v>
      </c>
      <c r="L260">
        <f>Model!T302</f>
        <v>0</v>
      </c>
      <c r="M260">
        <f>Model!U302</f>
        <v>0</v>
      </c>
      <c r="N260">
        <f>Model!V302</f>
        <v>0</v>
      </c>
      <c r="O260">
        <f>Model!W302</f>
        <v>0</v>
      </c>
      <c r="P260">
        <f>Model!X302</f>
        <v>0</v>
      </c>
      <c r="Q260">
        <f>Model!Y302</f>
        <v>0</v>
      </c>
      <c r="R260">
        <f>Model!Z302</f>
        <v>0</v>
      </c>
      <c r="S260">
        <f>Model!AA302</f>
        <v>0</v>
      </c>
      <c r="T260">
        <f>Model!AB302</f>
        <v>0</v>
      </c>
      <c r="U260">
        <f>Model!AC302</f>
        <v>0</v>
      </c>
      <c r="V260">
        <f>Model!AD302</f>
        <v>0</v>
      </c>
      <c r="W260">
        <f>Model!AE302</f>
        <v>0</v>
      </c>
      <c r="X260">
        <f>Model!AF302</f>
        <v>0</v>
      </c>
      <c r="Y260">
        <f>Model!AG302</f>
        <v>0</v>
      </c>
      <c r="Z260">
        <f>Model!AH302</f>
        <v>0</v>
      </c>
      <c r="AA260">
        <f>Model!AI302</f>
        <v>0</v>
      </c>
      <c r="AB260">
        <f>Model!AJ302</f>
        <v>0</v>
      </c>
      <c r="AC260">
        <f>Model!AK302</f>
        <v>0</v>
      </c>
      <c r="AD260">
        <f>Model!AL302</f>
        <v>0</v>
      </c>
      <c r="AE260">
        <f>Model!AM302</f>
        <v>0</v>
      </c>
      <c r="AF260">
        <f>Model!AN302</f>
        <v>0</v>
      </c>
      <c r="AG260">
        <f>Model!AO302</f>
        <v>0</v>
      </c>
      <c r="AH260">
        <f>Model!AP302</f>
        <v>0</v>
      </c>
      <c r="AI260">
        <f>Model!AQ302</f>
        <v>0</v>
      </c>
      <c r="AJ260">
        <f>Model!AR302</f>
        <v>0</v>
      </c>
      <c r="AK260">
        <f>Model!AS302</f>
        <v>0</v>
      </c>
      <c r="AL260">
        <f>Model!AT302</f>
        <v>0</v>
      </c>
      <c r="AM260">
        <f>Model!AU302</f>
        <v>0</v>
      </c>
      <c r="AN260">
        <f>Model!AV302</f>
        <v>0</v>
      </c>
      <c r="AO260">
        <f>Model!AW302</f>
        <v>0</v>
      </c>
      <c r="AP260">
        <f>Model!AX302</f>
        <v>0</v>
      </c>
      <c r="AQ260">
        <f>Model!AY302</f>
        <v>0</v>
      </c>
      <c r="AR260">
        <f>Model!AZ302</f>
        <v>0</v>
      </c>
      <c r="AS260">
        <f>Model!BA302</f>
        <v>0</v>
      </c>
      <c r="AT260">
        <f>Model!BB302</f>
        <v>0</v>
      </c>
      <c r="AU260">
        <f>Model!BC302</f>
        <v>0</v>
      </c>
      <c r="AV260">
        <f>Model!BD302</f>
        <v>0</v>
      </c>
      <c r="AW260">
        <f>Model!BE302</f>
        <v>0</v>
      </c>
      <c r="AX260">
        <f>Model!BF302</f>
        <v>0</v>
      </c>
      <c r="AY260">
        <f>Model!BG302</f>
        <v>0</v>
      </c>
      <c r="AZ260">
        <f>Model!BH302</f>
        <v>0</v>
      </c>
      <c r="BA260">
        <f>Model!BI302</f>
        <v>0</v>
      </c>
      <c r="BB260">
        <f>Model!BJ302</f>
        <v>0</v>
      </c>
      <c r="BC260">
        <f>Model!BK302</f>
        <v>0</v>
      </c>
      <c r="BD260">
        <f>Model!BL302</f>
        <v>0</v>
      </c>
      <c r="BE260">
        <f>Model!BM302</f>
        <v>0</v>
      </c>
      <c r="BF260">
        <f>Model!BN302</f>
        <v>0</v>
      </c>
      <c r="BG260">
        <f>Model!BO302</f>
        <v>0</v>
      </c>
      <c r="BH260">
        <f>Model!BP302</f>
        <v>0</v>
      </c>
      <c r="BI260">
        <f>Model!BQ302</f>
        <v>0</v>
      </c>
      <c r="BJ260">
        <f>Model!BR302</f>
        <v>0</v>
      </c>
      <c r="BK260">
        <f>Model!BS302</f>
        <v>0</v>
      </c>
      <c r="BL260">
        <f>Model!BT302</f>
        <v>0</v>
      </c>
      <c r="BM260">
        <f>Model!BU302</f>
        <v>0</v>
      </c>
      <c r="BN260">
        <f>Model!BV302</f>
        <v>0</v>
      </c>
      <c r="BO260">
        <f>Model!BW302</f>
        <v>0</v>
      </c>
      <c r="BP260">
        <f>Model!BX302</f>
        <v>0</v>
      </c>
      <c r="BQ260">
        <f>Model!BY302</f>
        <v>0</v>
      </c>
      <c r="BR260">
        <f>Model!BZ302</f>
        <v>0</v>
      </c>
      <c r="BS260">
        <f>Model!CA302</f>
        <v>0</v>
      </c>
      <c r="BT260">
        <f>Model!CB302</f>
        <v>0</v>
      </c>
      <c r="BU260">
        <f>Model!CC302</f>
        <v>0</v>
      </c>
      <c r="BV260">
        <f>Model!CD302</f>
        <v>0</v>
      </c>
      <c r="BW260">
        <f>Model!CE302</f>
        <v>0</v>
      </c>
      <c r="BX260">
        <f>Model!CF302</f>
        <v>0</v>
      </c>
      <c r="BY260">
        <f>Model!CG302</f>
        <v>0</v>
      </c>
      <c r="BZ260">
        <f>Model!CH302</f>
        <v>0</v>
      </c>
      <c r="CA260">
        <f>Model!CI302</f>
        <v>0</v>
      </c>
      <c r="CB260">
        <f>Model!CJ302</f>
        <v>0</v>
      </c>
      <c r="CC260">
        <f>Model!CK302</f>
        <v>0</v>
      </c>
      <c r="CD260">
        <f>Model!CL302</f>
        <v>0</v>
      </c>
      <c r="CE260">
        <f>Model!CM302</f>
        <v>0</v>
      </c>
      <c r="CF260">
        <f>Model!CN302</f>
        <v>0</v>
      </c>
      <c r="CG260">
        <f>Model!CO302</f>
        <v>0</v>
      </c>
      <c r="CH260">
        <f>Model!CP302</f>
        <v>0</v>
      </c>
      <c r="CI260">
        <f>Model!CQ302</f>
        <v>0</v>
      </c>
      <c r="CJ260">
        <f>Model!CR302</f>
        <v>0</v>
      </c>
      <c r="CK260">
        <f>Model!CS302</f>
        <v>0</v>
      </c>
      <c r="CL260">
        <f>Model!CT302</f>
        <v>0</v>
      </c>
      <c r="CM260">
        <f>Model!CU302</f>
        <v>0</v>
      </c>
      <c r="CN260">
        <f>Model!CV302</f>
        <v>0</v>
      </c>
      <c r="CO260">
        <f>Model!CW302</f>
        <v>0</v>
      </c>
      <c r="CP260">
        <f>Model!CX302</f>
        <v>0</v>
      </c>
      <c r="CQ260">
        <f>Model!CY302</f>
        <v>0</v>
      </c>
      <c r="CR260">
        <f>Model!CZ302</f>
        <v>0</v>
      </c>
      <c r="CS260">
        <f>Model!DA302</f>
        <v>0</v>
      </c>
      <c r="CT260">
        <f>Model!DB302</f>
        <v>0</v>
      </c>
      <c r="CU260">
        <f>Model!DC302</f>
        <v>0</v>
      </c>
      <c r="CV260">
        <f>Model!DD302</f>
        <v>0</v>
      </c>
      <c r="CW260">
        <f>Model!DE302</f>
        <v>0</v>
      </c>
      <c r="CX260">
        <f>Model!DF302</f>
        <v>0</v>
      </c>
    </row>
    <row r="261" spans="1:102">
      <c r="A261">
        <f>Model!I303</f>
        <v>0</v>
      </c>
      <c r="B261">
        <f>Model!J303</f>
        <v>0</v>
      </c>
      <c r="C261">
        <f>Model!K303</f>
        <v>0</v>
      </c>
      <c r="D261">
        <f>Model!L303</f>
        <v>0</v>
      </c>
      <c r="E261">
        <f>Model!M303</f>
        <v>0</v>
      </c>
      <c r="F261">
        <f>Model!N303</f>
        <v>0</v>
      </c>
      <c r="G261">
        <f>Model!O303</f>
        <v>0</v>
      </c>
      <c r="H261">
        <f>Model!P303</f>
        <v>0</v>
      </c>
      <c r="I261">
        <f>Model!Q303</f>
        <v>0</v>
      </c>
      <c r="J261">
        <f>Model!R303</f>
        <v>0</v>
      </c>
      <c r="K261">
        <f>Model!S303</f>
        <v>0</v>
      </c>
      <c r="L261">
        <f>Model!T303</f>
        <v>0</v>
      </c>
      <c r="M261">
        <f>Model!U303</f>
        <v>0</v>
      </c>
      <c r="N261">
        <f>Model!V303</f>
        <v>0</v>
      </c>
      <c r="O261">
        <f>Model!W303</f>
        <v>0</v>
      </c>
      <c r="P261">
        <f>Model!X303</f>
        <v>0</v>
      </c>
      <c r="Q261">
        <f>Model!Y303</f>
        <v>0</v>
      </c>
      <c r="R261">
        <f>Model!Z303</f>
        <v>0</v>
      </c>
      <c r="S261">
        <f>Model!AA303</f>
        <v>0</v>
      </c>
      <c r="T261">
        <f>Model!AB303</f>
        <v>0</v>
      </c>
      <c r="U261">
        <f>Model!AC303</f>
        <v>0</v>
      </c>
      <c r="V261">
        <f>Model!AD303</f>
        <v>0</v>
      </c>
      <c r="W261">
        <f>Model!AE303</f>
        <v>0</v>
      </c>
      <c r="X261">
        <f>Model!AF303</f>
        <v>0</v>
      </c>
      <c r="Y261">
        <f>Model!AG303</f>
        <v>0</v>
      </c>
      <c r="Z261">
        <f>Model!AH303</f>
        <v>0</v>
      </c>
      <c r="AA261">
        <f>Model!AI303</f>
        <v>0</v>
      </c>
      <c r="AB261">
        <f>Model!AJ303</f>
        <v>0</v>
      </c>
      <c r="AC261">
        <f>Model!AK303</f>
        <v>0</v>
      </c>
      <c r="AD261">
        <f>Model!AL303</f>
        <v>0</v>
      </c>
      <c r="AE261">
        <f>Model!AM303</f>
        <v>0</v>
      </c>
      <c r="AF261">
        <f>Model!AN303</f>
        <v>0</v>
      </c>
      <c r="AG261">
        <f>Model!AO303</f>
        <v>0</v>
      </c>
      <c r="AH261">
        <f>Model!AP303</f>
        <v>0</v>
      </c>
      <c r="AI261">
        <f>Model!AQ303</f>
        <v>0</v>
      </c>
      <c r="AJ261">
        <f>Model!AR303</f>
        <v>0</v>
      </c>
      <c r="AK261">
        <f>Model!AS303</f>
        <v>0</v>
      </c>
      <c r="AL261">
        <f>Model!AT303</f>
        <v>0</v>
      </c>
      <c r="AM261">
        <f>Model!AU303</f>
        <v>0</v>
      </c>
      <c r="AN261">
        <f>Model!AV303</f>
        <v>0</v>
      </c>
      <c r="AO261">
        <f>Model!AW303</f>
        <v>0</v>
      </c>
      <c r="AP261">
        <f>Model!AX303</f>
        <v>0</v>
      </c>
      <c r="AQ261">
        <f>Model!AY303</f>
        <v>0</v>
      </c>
      <c r="AR261">
        <f>Model!AZ303</f>
        <v>0</v>
      </c>
      <c r="AS261">
        <f>Model!BA303</f>
        <v>0</v>
      </c>
      <c r="AT261">
        <f>Model!BB303</f>
        <v>0</v>
      </c>
      <c r="AU261">
        <f>Model!BC303</f>
        <v>0</v>
      </c>
      <c r="AV261">
        <f>Model!BD303</f>
        <v>0</v>
      </c>
      <c r="AW261">
        <f>Model!BE303</f>
        <v>0</v>
      </c>
      <c r="AX261">
        <f>Model!BF303</f>
        <v>0</v>
      </c>
      <c r="AY261">
        <f>Model!BG303</f>
        <v>0</v>
      </c>
      <c r="AZ261">
        <f>Model!BH303</f>
        <v>0</v>
      </c>
      <c r="BA261">
        <f>Model!BI303</f>
        <v>0</v>
      </c>
      <c r="BB261">
        <f>Model!BJ303</f>
        <v>0</v>
      </c>
      <c r="BC261">
        <f>Model!BK303</f>
        <v>0</v>
      </c>
      <c r="BD261">
        <f>Model!BL303</f>
        <v>0</v>
      </c>
      <c r="BE261">
        <f>Model!BM303</f>
        <v>0</v>
      </c>
      <c r="BF261">
        <f>Model!BN303</f>
        <v>0</v>
      </c>
      <c r="BG261">
        <f>Model!BO303</f>
        <v>0</v>
      </c>
      <c r="BH261">
        <f>Model!CA1</f>
        <v>0</v>
      </c>
      <c r="BI261">
        <f>Model!BQ303</f>
        <v>0</v>
      </c>
      <c r="BJ261">
        <f>Model!BR303</f>
        <v>0</v>
      </c>
      <c r="BK261">
        <f>Model!BS303</f>
        <v>0</v>
      </c>
      <c r="BL261">
        <f>Model!BT303</f>
        <v>0</v>
      </c>
      <c r="BM261">
        <f>Model!BU303</f>
        <v>0</v>
      </c>
      <c r="BN261">
        <f>Model!BV303</f>
        <v>0</v>
      </c>
      <c r="BO261">
        <f>Model!BW303</f>
        <v>0</v>
      </c>
      <c r="BP261">
        <f>Model!BX303</f>
        <v>0</v>
      </c>
      <c r="BQ261">
        <f>Model!BY303</f>
        <v>0</v>
      </c>
      <c r="BR261">
        <f>Model!BZ303</f>
        <v>0</v>
      </c>
      <c r="BS261">
        <f>Model!CA303</f>
        <v>0</v>
      </c>
      <c r="BT261">
        <f>Model!CB303</f>
        <v>0</v>
      </c>
      <c r="BU261">
        <f>Model!CC303</f>
        <v>0</v>
      </c>
      <c r="BV261">
        <f>Model!CD303</f>
        <v>0</v>
      </c>
      <c r="BW261">
        <f>Model!CE303</f>
        <v>0</v>
      </c>
      <c r="BX261">
        <f>Model!CF303</f>
        <v>0</v>
      </c>
      <c r="BY261">
        <f>Model!CG303</f>
        <v>0</v>
      </c>
      <c r="BZ261">
        <f>Model!CH303</f>
        <v>0</v>
      </c>
      <c r="CA261">
        <f>Model!CI303</f>
        <v>0</v>
      </c>
      <c r="CB261">
        <f>Model!CJ303</f>
        <v>0</v>
      </c>
      <c r="CC261">
        <f>Model!CK303</f>
        <v>0</v>
      </c>
      <c r="CD261">
        <f>Model!CL303</f>
        <v>0</v>
      </c>
      <c r="CE261">
        <f>Model!CM303</f>
        <v>0</v>
      </c>
      <c r="CF261">
        <f>Model!CN303</f>
        <v>0</v>
      </c>
      <c r="CG261">
        <f>Model!CO303</f>
        <v>0</v>
      </c>
      <c r="CH261">
        <f>Model!CP303</f>
        <v>0</v>
      </c>
      <c r="CI261">
        <f>Model!CQ303</f>
        <v>0</v>
      </c>
      <c r="CJ261">
        <f>Model!CR303</f>
        <v>0</v>
      </c>
      <c r="CK261">
        <f>Model!CS303</f>
        <v>0</v>
      </c>
      <c r="CL261">
        <f>Model!CT303</f>
        <v>0</v>
      </c>
      <c r="CM261">
        <f>Model!CU303</f>
        <v>0</v>
      </c>
      <c r="CN261">
        <f>Model!CV303</f>
        <v>0</v>
      </c>
      <c r="CO261">
        <f>Model!CW303</f>
        <v>0</v>
      </c>
      <c r="CP261">
        <f>Model!CX303</f>
        <v>0</v>
      </c>
      <c r="CQ261">
        <f>Model!CY303</f>
        <v>0</v>
      </c>
      <c r="CR261">
        <f>Model!CZ303</f>
        <v>0</v>
      </c>
      <c r="CS261">
        <f>Model!DA303</f>
        <v>0</v>
      </c>
      <c r="CT261">
        <f>Model!DB303</f>
        <v>0</v>
      </c>
      <c r="CU261">
        <f>Model!DC303</f>
        <v>0</v>
      </c>
      <c r="CV261">
        <f>Model!DD303</f>
        <v>0</v>
      </c>
      <c r="CW261">
        <f>Model!DE303</f>
        <v>0</v>
      </c>
      <c r="CX261">
        <f>Model!DF303</f>
        <v>0</v>
      </c>
    </row>
    <row r="262" spans="1:102">
      <c r="A262" t="str">
        <f>Model!I304</f>
        <v>Kayak</v>
      </c>
      <c r="B262">
        <f>Model!J304</f>
        <v>0</v>
      </c>
      <c r="C262">
        <f>Model!K304</f>
        <v>0</v>
      </c>
      <c r="D262">
        <f>Model!L304</f>
        <v>0</v>
      </c>
      <c r="E262">
        <f>Model!M304</f>
        <v>0</v>
      </c>
      <c r="F262">
        <f>Model!N304</f>
        <v>0</v>
      </c>
      <c r="G262">
        <f>Model!O304</f>
        <v>0</v>
      </c>
      <c r="H262">
        <f>Model!P304</f>
        <v>0</v>
      </c>
      <c r="I262">
        <f>Model!Q304</f>
        <v>0</v>
      </c>
      <c r="J262">
        <f>Model!R304</f>
        <v>0</v>
      </c>
      <c r="K262">
        <f>Model!S304</f>
        <v>0</v>
      </c>
      <c r="L262">
        <f>Model!T304</f>
        <v>0</v>
      </c>
      <c r="M262">
        <f>Model!U304</f>
        <v>0</v>
      </c>
      <c r="N262">
        <f>Model!V304</f>
        <v>0</v>
      </c>
      <c r="O262">
        <f>Model!W304</f>
        <v>0</v>
      </c>
      <c r="P262">
        <f>Model!X304</f>
        <v>0</v>
      </c>
      <c r="Q262">
        <f>Model!Y304</f>
        <v>0</v>
      </c>
      <c r="R262">
        <f>Model!Z304</f>
        <v>0</v>
      </c>
      <c r="S262">
        <f>Model!AA304</f>
        <v>0</v>
      </c>
      <c r="T262">
        <f>Model!AB304</f>
        <v>0</v>
      </c>
      <c r="U262">
        <f>Model!AC304</f>
        <v>0</v>
      </c>
      <c r="V262">
        <f>Model!AD304</f>
        <v>0</v>
      </c>
      <c r="W262">
        <f>Model!AE304</f>
        <v>0</v>
      </c>
      <c r="X262">
        <f>Model!AF304</f>
        <v>0</v>
      </c>
      <c r="Y262">
        <f>Model!AG304</f>
        <v>0</v>
      </c>
      <c r="Z262">
        <f>Model!AH304</f>
        <v>0</v>
      </c>
      <c r="AA262">
        <f>Model!AI304</f>
        <v>0</v>
      </c>
      <c r="AB262">
        <f>Model!AJ304</f>
        <v>0</v>
      </c>
      <c r="AC262">
        <f>Model!AK304</f>
        <v>0</v>
      </c>
      <c r="AD262">
        <f>Model!AL304</f>
        <v>0</v>
      </c>
      <c r="AE262">
        <f>Model!AM304</f>
        <v>0</v>
      </c>
      <c r="AF262">
        <f>Model!AN304</f>
        <v>0</v>
      </c>
      <c r="AG262">
        <f>Model!AO304</f>
        <v>0</v>
      </c>
      <c r="AH262">
        <f>Model!AP304</f>
        <v>0</v>
      </c>
      <c r="AI262">
        <f>Model!AQ304</f>
        <v>0</v>
      </c>
      <c r="AJ262">
        <f>Model!AR304</f>
        <v>0</v>
      </c>
      <c r="AK262">
        <f>Model!AS304</f>
        <v>0</v>
      </c>
      <c r="AL262">
        <f>Model!AT304</f>
        <v>0</v>
      </c>
      <c r="AM262">
        <f>Model!AU304</f>
        <v>0</v>
      </c>
      <c r="AN262">
        <f>Model!AV304</f>
        <v>0</v>
      </c>
      <c r="AO262">
        <f>Model!AW304</f>
        <v>0</v>
      </c>
      <c r="AP262">
        <f>Model!AX304</f>
        <v>0</v>
      </c>
      <c r="AQ262">
        <f>Model!AY304</f>
        <v>0</v>
      </c>
      <c r="AR262">
        <f>Model!AZ304</f>
        <v>0</v>
      </c>
      <c r="AS262">
        <f>Model!BA304</f>
        <v>0</v>
      </c>
      <c r="AT262">
        <f>Model!BB304</f>
        <v>0</v>
      </c>
      <c r="AU262">
        <f>Model!BC304</f>
        <v>0</v>
      </c>
      <c r="AV262">
        <f>Model!BD304</f>
        <v>0</v>
      </c>
      <c r="AW262">
        <f>Model!BE304</f>
        <v>0</v>
      </c>
      <c r="AX262">
        <f>Model!BF304</f>
        <v>0</v>
      </c>
      <c r="AY262">
        <f>Model!BG304</f>
        <v>0</v>
      </c>
      <c r="AZ262">
        <f>Model!BH304</f>
        <v>0</v>
      </c>
      <c r="BA262">
        <f>Model!BI304</f>
        <v>0</v>
      </c>
      <c r="BB262">
        <f>Model!BJ304</f>
        <v>0</v>
      </c>
      <c r="BC262">
        <f>Model!BK304</f>
        <v>0</v>
      </c>
      <c r="BD262">
        <f>Model!BL304</f>
        <v>0</v>
      </c>
      <c r="BE262">
        <f>Model!BM304</f>
        <v>0</v>
      </c>
      <c r="BF262">
        <f>Model!BN304</f>
        <v>0</v>
      </c>
      <c r="BG262">
        <f>Model!BO304</f>
        <v>0</v>
      </c>
      <c r="BH262">
        <f>Model!BP304</f>
        <v>0</v>
      </c>
      <c r="BI262">
        <f>Model!BQ304</f>
        <v>0</v>
      </c>
      <c r="BJ262">
        <f>Model!BR304</f>
        <v>0</v>
      </c>
      <c r="BK262">
        <f>Model!BS304</f>
        <v>0</v>
      </c>
      <c r="BL262">
        <f>Model!BT304</f>
        <v>0</v>
      </c>
      <c r="BM262">
        <f>Model!BU304</f>
        <v>0</v>
      </c>
      <c r="BN262">
        <f>Model!BV304</f>
        <v>0</v>
      </c>
      <c r="BO262">
        <f>Model!BW304</f>
        <v>0</v>
      </c>
      <c r="BP262">
        <f>Model!BX304</f>
        <v>0</v>
      </c>
      <c r="BQ262">
        <f>Model!BY304</f>
        <v>0</v>
      </c>
      <c r="BR262">
        <f>Model!BZ304</f>
        <v>0</v>
      </c>
      <c r="BS262">
        <f>Model!CA304</f>
        <v>0</v>
      </c>
      <c r="BT262">
        <f>Model!CB304</f>
        <v>0</v>
      </c>
      <c r="BU262">
        <f>Model!CC304</f>
        <v>0</v>
      </c>
      <c r="BV262">
        <f>Model!CD304</f>
        <v>0</v>
      </c>
      <c r="BW262">
        <f>Model!CE304</f>
        <v>0</v>
      </c>
      <c r="BX262">
        <f>Model!CF304</f>
        <v>0</v>
      </c>
      <c r="BY262">
        <f>Model!CG304</f>
        <v>0</v>
      </c>
      <c r="BZ262">
        <f>Model!CH304</f>
        <v>0</v>
      </c>
      <c r="CA262">
        <f>Model!CI304</f>
        <v>0</v>
      </c>
      <c r="CB262">
        <f>Model!CJ304</f>
        <v>0</v>
      </c>
      <c r="CC262">
        <f>Model!CK304</f>
        <v>0</v>
      </c>
      <c r="CD262">
        <f>Model!CL304</f>
        <v>0</v>
      </c>
      <c r="CE262">
        <f>Model!CM304</f>
        <v>0</v>
      </c>
      <c r="CF262">
        <f>Model!CN304</f>
        <v>0</v>
      </c>
      <c r="CG262">
        <f>Model!CO304</f>
        <v>0</v>
      </c>
      <c r="CH262">
        <f>Model!CP304</f>
        <v>0</v>
      </c>
      <c r="CI262">
        <f>Model!CQ304</f>
        <v>0</v>
      </c>
      <c r="CJ262">
        <f>Model!CR304</f>
        <v>0</v>
      </c>
      <c r="CK262">
        <f>Model!CS304</f>
        <v>0</v>
      </c>
      <c r="CL262">
        <f>Model!CT304</f>
        <v>0</v>
      </c>
      <c r="CM262">
        <f>Model!CU304</f>
        <v>0</v>
      </c>
      <c r="CN262">
        <f>Model!CV304</f>
        <v>0</v>
      </c>
      <c r="CO262">
        <f>Model!CW304</f>
        <v>0</v>
      </c>
      <c r="CP262">
        <f>Model!CX304</f>
        <v>0</v>
      </c>
      <c r="CQ262">
        <f>Model!CY304</f>
        <v>0</v>
      </c>
      <c r="CR262">
        <f>Model!CZ304</f>
        <v>0</v>
      </c>
      <c r="CS262">
        <f>Model!DA304</f>
        <v>0</v>
      </c>
      <c r="CT262">
        <f>Model!DB304</f>
        <v>0</v>
      </c>
      <c r="CU262">
        <f>Model!DC304</f>
        <v>0</v>
      </c>
      <c r="CV262">
        <f>Model!DD304</f>
        <v>0</v>
      </c>
      <c r="CW262">
        <f>Model!DE304</f>
        <v>0</v>
      </c>
      <c r="CX262">
        <f>Model!DF304</f>
        <v>0</v>
      </c>
    </row>
    <row r="263" spans="1:102">
      <c r="A263">
        <f>Model!I305</f>
        <v>0</v>
      </c>
      <c r="B263">
        <f>Model!J305</f>
        <v>0</v>
      </c>
      <c r="C263">
        <f>Model!K305</f>
        <v>0</v>
      </c>
      <c r="D263">
        <f>Model!L305</f>
        <v>0</v>
      </c>
      <c r="E263">
        <f>Model!M305</f>
        <v>0</v>
      </c>
      <c r="F263">
        <f>Model!N305</f>
        <v>0</v>
      </c>
      <c r="G263">
        <f>Model!O305</f>
        <v>0</v>
      </c>
      <c r="H263">
        <f>Model!P305</f>
        <v>0</v>
      </c>
      <c r="I263">
        <f>Model!Q305</f>
        <v>0</v>
      </c>
      <c r="J263">
        <f>Model!R305</f>
        <v>0</v>
      </c>
      <c r="K263">
        <f>Model!S305</f>
        <v>0</v>
      </c>
      <c r="L263">
        <f>Model!T305</f>
        <v>0</v>
      </c>
      <c r="M263">
        <f>Model!U305</f>
        <v>0</v>
      </c>
      <c r="N263">
        <f>Model!V305</f>
        <v>0</v>
      </c>
      <c r="O263">
        <f>Model!W305</f>
        <v>0</v>
      </c>
      <c r="P263">
        <f>Model!X305</f>
        <v>0</v>
      </c>
      <c r="Q263">
        <f>Model!Y305</f>
        <v>0</v>
      </c>
      <c r="R263">
        <f>Model!Z305</f>
        <v>0</v>
      </c>
      <c r="S263">
        <f>Model!AA305</f>
        <v>0</v>
      </c>
      <c r="T263">
        <f>Model!AB305</f>
        <v>0</v>
      </c>
      <c r="U263">
        <f>Model!AC305</f>
        <v>0</v>
      </c>
      <c r="V263">
        <f>Model!AD305</f>
        <v>0</v>
      </c>
      <c r="W263">
        <f>Model!AE305</f>
        <v>0</v>
      </c>
      <c r="X263">
        <f>Model!AF305</f>
        <v>0</v>
      </c>
      <c r="Y263">
        <f>Model!AG305</f>
        <v>0</v>
      </c>
      <c r="Z263">
        <f>Model!AH305</f>
        <v>0</v>
      </c>
      <c r="AA263">
        <f>Model!AI305</f>
        <v>0</v>
      </c>
      <c r="AB263">
        <f>Model!AJ305</f>
        <v>0</v>
      </c>
      <c r="AC263">
        <f>Model!AK305</f>
        <v>0</v>
      </c>
      <c r="AD263">
        <f>Model!AL305</f>
        <v>0</v>
      </c>
      <c r="AE263">
        <f>Model!AM305</f>
        <v>0</v>
      </c>
      <c r="AF263">
        <f>Model!AN305</f>
        <v>0</v>
      </c>
      <c r="AG263">
        <f>Model!AO305</f>
        <v>0</v>
      </c>
      <c r="AH263">
        <f>Model!AP305</f>
        <v>0</v>
      </c>
      <c r="AI263">
        <f>Model!AQ305</f>
        <v>0</v>
      </c>
      <c r="AJ263">
        <f>Model!AR305</f>
        <v>0</v>
      </c>
      <c r="AK263">
        <f>Model!AS305</f>
        <v>0</v>
      </c>
      <c r="AL263">
        <f>Model!AT305</f>
        <v>0</v>
      </c>
      <c r="AM263">
        <f>Model!AU305</f>
        <v>0</v>
      </c>
      <c r="AN263">
        <f>Model!AV305</f>
        <v>0</v>
      </c>
      <c r="AO263">
        <f>Model!AW305</f>
        <v>0</v>
      </c>
      <c r="AP263">
        <f>Model!AX305</f>
        <v>0</v>
      </c>
      <c r="AQ263">
        <f>Model!AY305</f>
        <v>0</v>
      </c>
      <c r="AR263">
        <f>Model!AZ305</f>
        <v>0</v>
      </c>
      <c r="AS263">
        <f>Model!BA305</f>
        <v>0</v>
      </c>
      <c r="AT263">
        <f>Model!BB305</f>
        <v>0</v>
      </c>
      <c r="AU263">
        <f>Model!BC305</f>
        <v>0</v>
      </c>
      <c r="AV263">
        <f>Model!BD305</f>
        <v>0</v>
      </c>
      <c r="AW263">
        <f>Model!BE305</f>
        <v>0</v>
      </c>
      <c r="AX263">
        <f>Model!BF305</f>
        <v>0</v>
      </c>
      <c r="AY263">
        <f>Model!BG305</f>
        <v>0</v>
      </c>
      <c r="AZ263">
        <f>Model!BH305</f>
        <v>0</v>
      </c>
      <c r="BA263">
        <f>Model!BI305</f>
        <v>0</v>
      </c>
      <c r="BB263">
        <f>Model!BJ305</f>
        <v>0</v>
      </c>
      <c r="BC263">
        <f>Model!BK305</f>
        <v>0</v>
      </c>
      <c r="BD263">
        <f>Model!BL305</f>
        <v>0</v>
      </c>
      <c r="BE263">
        <f>Model!BM305</f>
        <v>0</v>
      </c>
      <c r="BF263">
        <f>Model!BN305</f>
        <v>0</v>
      </c>
      <c r="BG263">
        <f>Model!BO305</f>
        <v>0</v>
      </c>
      <c r="BH263">
        <f>Model!BP305</f>
        <v>0</v>
      </c>
      <c r="BI263">
        <f>Model!BQ305</f>
        <v>0</v>
      </c>
      <c r="BJ263">
        <f>Model!BR305</f>
        <v>0</v>
      </c>
      <c r="BK263">
        <f>Model!BS305</f>
        <v>0</v>
      </c>
      <c r="BL263">
        <f>Model!BT305</f>
        <v>0</v>
      </c>
      <c r="BM263">
        <f>Model!BU305</f>
        <v>0</v>
      </c>
      <c r="BN263">
        <f>Model!BV305</f>
        <v>0</v>
      </c>
      <c r="BO263">
        <f>Model!BW305</f>
        <v>0</v>
      </c>
      <c r="BP263">
        <f>Model!BX305</f>
        <v>0</v>
      </c>
      <c r="BQ263">
        <f>Model!BY305</f>
        <v>0</v>
      </c>
      <c r="BR263">
        <f>Model!BZ305</f>
        <v>0</v>
      </c>
      <c r="BS263">
        <f>Model!CA305</f>
        <v>0</v>
      </c>
      <c r="BT263">
        <f>Model!CB305</f>
        <v>0</v>
      </c>
      <c r="BU263">
        <f>Model!CC305</f>
        <v>0</v>
      </c>
      <c r="BV263">
        <f>Model!CD305</f>
        <v>0</v>
      </c>
      <c r="BW263">
        <f>Model!CE305</f>
        <v>0</v>
      </c>
      <c r="BX263">
        <f>Model!CF305</f>
        <v>0</v>
      </c>
      <c r="BY263">
        <f>Model!CG305</f>
        <v>0</v>
      </c>
      <c r="BZ263">
        <f>Model!CH305</f>
        <v>0</v>
      </c>
      <c r="CA263">
        <f>Model!CI305</f>
        <v>0</v>
      </c>
      <c r="CB263">
        <f>Model!CJ305</f>
        <v>0</v>
      </c>
      <c r="CC263">
        <f>Model!CK305</f>
        <v>0</v>
      </c>
      <c r="CD263">
        <f>Model!CL305</f>
        <v>0</v>
      </c>
      <c r="CE263">
        <f>Model!CM305</f>
        <v>0</v>
      </c>
      <c r="CF263">
        <f>Model!CN305</f>
        <v>0</v>
      </c>
      <c r="CG263">
        <f>Model!CO305</f>
        <v>0</v>
      </c>
      <c r="CH263">
        <f>Model!CP305</f>
        <v>0</v>
      </c>
      <c r="CI263">
        <f>Model!CQ305</f>
        <v>0</v>
      </c>
      <c r="CJ263">
        <f>Model!CR305</f>
        <v>0</v>
      </c>
      <c r="CK263">
        <f>Model!CS305</f>
        <v>0</v>
      </c>
      <c r="CL263">
        <f>Model!CT305</f>
        <v>0</v>
      </c>
      <c r="CM263">
        <f>Model!CU305</f>
        <v>0</v>
      </c>
      <c r="CN263">
        <f>Model!CV305</f>
        <v>0</v>
      </c>
      <c r="CO263">
        <f>Model!CW305</f>
        <v>0</v>
      </c>
      <c r="CP263">
        <f>Model!CX305</f>
        <v>0</v>
      </c>
      <c r="CQ263">
        <f>Model!CY305</f>
        <v>0</v>
      </c>
      <c r="CR263">
        <f>Model!CZ305</f>
        <v>0</v>
      </c>
      <c r="CS263">
        <f>Model!DA305</f>
        <v>0</v>
      </c>
      <c r="CT263">
        <f>Model!DB305</f>
        <v>0</v>
      </c>
      <c r="CU263">
        <f>Model!DC305</f>
        <v>0</v>
      </c>
      <c r="CV263">
        <f>Model!DD305</f>
        <v>0</v>
      </c>
      <c r="CW263">
        <f>Model!DE305</f>
        <v>0</v>
      </c>
      <c r="CX263">
        <f>Model!DF305</f>
        <v>0</v>
      </c>
    </row>
    <row r="264" spans="1:102">
      <c r="A264" t="str">
        <f>Model!I306</f>
        <v>Revenue</v>
      </c>
      <c r="B264">
        <f>Model!J306</f>
        <v>0</v>
      </c>
      <c r="C264">
        <f>Model!K306</f>
        <v>0</v>
      </c>
      <c r="D264">
        <f>Model!L306</f>
        <v>0</v>
      </c>
      <c r="E264">
        <f>Model!M306</f>
        <v>0</v>
      </c>
      <c r="F264">
        <f>Model!N306</f>
        <v>0</v>
      </c>
      <c r="G264">
        <f>Model!O306</f>
        <v>0</v>
      </c>
      <c r="H264">
        <f>Model!P306</f>
        <v>0</v>
      </c>
      <c r="I264">
        <f>Model!Q306</f>
        <v>0</v>
      </c>
      <c r="J264">
        <f>Model!R306</f>
        <v>0</v>
      </c>
      <c r="K264">
        <f>Model!S306</f>
        <v>0</v>
      </c>
      <c r="L264">
        <f>Model!T306</f>
        <v>0</v>
      </c>
      <c r="M264">
        <f>Model!U306</f>
        <v>0</v>
      </c>
      <c r="N264">
        <f>Model!V306</f>
        <v>0</v>
      </c>
      <c r="O264">
        <f>Model!W306</f>
        <v>0</v>
      </c>
      <c r="P264">
        <f>Model!X306</f>
        <v>0</v>
      </c>
      <c r="Q264">
        <f>Model!Y306</f>
        <v>0</v>
      </c>
      <c r="R264">
        <f>Model!Z306</f>
        <v>0</v>
      </c>
      <c r="S264">
        <f>Model!AA306</f>
        <v>0</v>
      </c>
      <c r="T264">
        <f>Model!AB306</f>
        <v>0</v>
      </c>
      <c r="U264">
        <f>Model!AC306</f>
        <v>0</v>
      </c>
      <c r="V264">
        <f>Model!AD306</f>
        <v>0</v>
      </c>
      <c r="W264">
        <f>Model!AE306</f>
        <v>0</v>
      </c>
      <c r="X264">
        <f>Model!AF306</f>
        <v>0</v>
      </c>
      <c r="Y264">
        <f>Model!AG306</f>
        <v>0</v>
      </c>
      <c r="Z264">
        <f>Model!AH306</f>
        <v>0</v>
      </c>
      <c r="AA264">
        <f>Model!AI306</f>
        <v>0</v>
      </c>
      <c r="AB264">
        <f>Model!AJ306</f>
        <v>0</v>
      </c>
      <c r="AC264">
        <f>Model!AK306</f>
        <v>0</v>
      </c>
      <c r="AD264">
        <f>Model!AL306</f>
        <v>0</v>
      </c>
      <c r="AE264">
        <f>Model!AM306</f>
        <v>0</v>
      </c>
      <c r="AF264">
        <f>Model!AN306</f>
        <v>0</v>
      </c>
      <c r="AG264">
        <f>Model!AO306</f>
        <v>0</v>
      </c>
      <c r="AH264">
        <f>Model!AP306</f>
        <v>0</v>
      </c>
      <c r="AI264">
        <f>Model!AQ306</f>
        <v>0</v>
      </c>
      <c r="AJ264">
        <f>Model!AR306</f>
        <v>0</v>
      </c>
      <c r="AK264">
        <f>Model!AS306</f>
        <v>0</v>
      </c>
      <c r="AL264">
        <f>Model!AT306</f>
        <v>0</v>
      </c>
      <c r="AM264">
        <f>Model!AU306</f>
        <v>0</v>
      </c>
      <c r="AN264">
        <f>Model!AV306</f>
        <v>0</v>
      </c>
      <c r="AO264">
        <f>Model!AW306</f>
        <v>0</v>
      </c>
      <c r="AP264">
        <f>Model!AX306</f>
        <v>0</v>
      </c>
      <c r="AQ264">
        <f>Model!AY306</f>
        <v>0</v>
      </c>
      <c r="AR264">
        <f>Model!AZ306</f>
        <v>0</v>
      </c>
      <c r="AS264">
        <f>Model!BA306</f>
        <v>0</v>
      </c>
      <c r="AT264">
        <f>Model!BB306</f>
        <v>0</v>
      </c>
      <c r="AU264">
        <f>Model!BC306</f>
        <v>0</v>
      </c>
      <c r="AV264">
        <f>Model!BD306</f>
        <v>0</v>
      </c>
      <c r="AW264">
        <f>Model!BE306</f>
        <v>0</v>
      </c>
      <c r="AX264">
        <f>Model!BF306</f>
        <v>0</v>
      </c>
      <c r="AY264">
        <f>Model!BG306</f>
        <v>0</v>
      </c>
      <c r="AZ264">
        <f>Model!BH306</f>
        <v>0</v>
      </c>
      <c r="BA264">
        <f>Model!BI306</f>
        <v>82.307000000000002</v>
      </c>
      <c r="BB264">
        <f>Model!BJ306</f>
        <v>31.1</v>
      </c>
      <c r="BC264">
        <f>Model!BK306</f>
        <v>68.400000000000006</v>
      </c>
      <c r="BD264">
        <f>Model!BL306</f>
        <v>55</v>
      </c>
      <c r="BE264">
        <f>Model!BM306</f>
        <v>69</v>
      </c>
      <c r="BF264">
        <f>Model!BN306</f>
        <v>76.400000000000006</v>
      </c>
      <c r="BG264">
        <f>Model!BO306</f>
        <v>77.708523387096761</v>
      </c>
      <c r="BH264">
        <f>Model!BP306</f>
        <v>62.751048387096766</v>
      </c>
      <c r="BI264">
        <f>Model!BQ306</f>
        <v>79.036141935483869</v>
      </c>
      <c r="BJ264">
        <f>Model!BR306</f>
        <v>80.616864774193559</v>
      </c>
      <c r="BK264">
        <f>Model!BS306</f>
        <v>87.033546193548375</v>
      </c>
      <c r="BL264">
        <f>Model!BT306</f>
        <v>70.281174193548381</v>
      </c>
      <c r="BM264">
        <f>Model!BU306</f>
        <v>84.568671870967748</v>
      </c>
      <c r="BN264">
        <f>Model!BV306</f>
        <v>86.26004530838712</v>
      </c>
      <c r="BO264">
        <f>Model!BW306</f>
        <v>93.125894427096767</v>
      </c>
      <c r="BP264">
        <f>Model!BX306</f>
        <v>75.200856387096778</v>
      </c>
      <c r="BQ264">
        <f>Model!BY306</f>
        <v>88.79710546451615</v>
      </c>
      <c r="BR264">
        <f>Model!BZ306</f>
        <v>90.573047573806477</v>
      </c>
      <c r="BS264">
        <f>Model!CA306</f>
        <v>97.782189148451607</v>
      </c>
      <c r="BT264">
        <f>Model!CB306</f>
        <v>78.960899206451614</v>
      </c>
      <c r="BU264">
        <f>Model!CC306</f>
        <v>93.236960737741953</v>
      </c>
      <c r="BV264">
        <f>Model!CD306</f>
        <v>95.101699952496801</v>
      </c>
      <c r="BW264">
        <f>Model!CE306</f>
        <v>102.67129860587418</v>
      </c>
      <c r="BX264">
        <f>Model!CF306</f>
        <v>82.908944166774205</v>
      </c>
      <c r="BY264">
        <f>Model!CG306</f>
        <v>0</v>
      </c>
      <c r="BZ264">
        <f>Model!CH306</f>
        <v>0</v>
      </c>
      <c r="CA264">
        <f>Model!CI306</f>
        <v>0</v>
      </c>
      <c r="CB264">
        <f>Model!CJ306</f>
        <v>0</v>
      </c>
      <c r="CC264">
        <f>Model!CK306</f>
        <v>0</v>
      </c>
      <c r="CD264">
        <f>Model!CL306</f>
        <v>0</v>
      </c>
      <c r="CE264">
        <f>Model!CM306</f>
        <v>0</v>
      </c>
      <c r="CF264">
        <f>Model!CN306</f>
        <v>0</v>
      </c>
      <c r="CG264">
        <f>Model!CO306</f>
        <v>0</v>
      </c>
      <c r="CH264">
        <f>Model!CP306</f>
        <v>0</v>
      </c>
      <c r="CI264">
        <f>Model!CQ306</f>
        <v>0</v>
      </c>
      <c r="CJ264">
        <f>Model!CR306</f>
        <v>0</v>
      </c>
      <c r="CK264">
        <f>Model!CS306</f>
        <v>0</v>
      </c>
      <c r="CL264">
        <f>Model!CT306</f>
        <v>154.5</v>
      </c>
      <c r="CM264">
        <f>Model!CU306</f>
        <v>285.85957177419351</v>
      </c>
      <c r="CN264">
        <f>Model!CV306</f>
        <v>316.96772709677418</v>
      </c>
      <c r="CO264">
        <f>Model!CW306</f>
        <v>339.15546799354843</v>
      </c>
      <c r="CP264">
        <f>Model!CX306</f>
        <v>356.11324139322585</v>
      </c>
      <c r="CQ264">
        <f>Model!CY306</f>
        <v>373.9189034628871</v>
      </c>
      <c r="CR264">
        <f>Model!CZ306</f>
        <v>392.61484863603141</v>
      </c>
      <c r="CS264">
        <f>Model!DA306</f>
        <v>412.24559106783295</v>
      </c>
      <c r="CT264">
        <f>Model!DB306</f>
        <v>432.85787062122449</v>
      </c>
      <c r="CU264">
        <f>Model!DC306</f>
        <v>454.50076415228563</v>
      </c>
      <c r="CV264">
        <f>Model!DD306</f>
        <v>477.22580235989983</v>
      </c>
      <c r="CW264">
        <f>Model!DE306</f>
        <v>501.08709247789471</v>
      </c>
      <c r="CX264">
        <f>Model!DF306</f>
        <v>526.14144710178937</v>
      </c>
    </row>
    <row r="265" spans="1:102">
      <c r="A265" t="str">
        <f>Model!I307</f>
        <v>% change Y/Y</v>
      </c>
      <c r="B265">
        <f>Model!J307</f>
        <v>0</v>
      </c>
      <c r="C265">
        <f>Model!K307</f>
        <v>0</v>
      </c>
      <c r="D265">
        <f>Model!L307</f>
        <v>0</v>
      </c>
      <c r="E265">
        <f>Model!M307</f>
        <v>0</v>
      </c>
      <c r="F265">
        <f>Model!N307</f>
        <v>0</v>
      </c>
      <c r="G265">
        <f>Model!O307</f>
        <v>0</v>
      </c>
      <c r="H265">
        <f>Model!P307</f>
        <v>0</v>
      </c>
      <c r="I265">
        <f>Model!Q307</f>
        <v>0</v>
      </c>
      <c r="J265">
        <f>Model!R307</f>
        <v>0</v>
      </c>
      <c r="K265">
        <f>Model!S307</f>
        <v>0</v>
      </c>
      <c r="L265">
        <f>Model!T307</f>
        <v>0</v>
      </c>
      <c r="M265">
        <f>Model!U307</f>
        <v>0</v>
      </c>
      <c r="N265">
        <f>Model!V307</f>
        <v>0</v>
      </c>
      <c r="O265">
        <f>Model!W307</f>
        <v>0</v>
      </c>
      <c r="P265">
        <f>Model!X307</f>
        <v>0</v>
      </c>
      <c r="Q265">
        <f>Model!Y307</f>
        <v>0</v>
      </c>
      <c r="R265">
        <f>Model!Z307</f>
        <v>0</v>
      </c>
      <c r="S265">
        <f>Model!AA307</f>
        <v>0</v>
      </c>
      <c r="T265">
        <f>Model!AB307</f>
        <v>0</v>
      </c>
      <c r="U265">
        <f>Model!AC307</f>
        <v>0</v>
      </c>
      <c r="V265">
        <f>Model!AD307</f>
        <v>0</v>
      </c>
      <c r="W265">
        <f>Model!AE307</f>
        <v>0</v>
      </c>
      <c r="X265">
        <f>Model!AF307</f>
        <v>0</v>
      </c>
      <c r="Y265">
        <f>Model!AG307</f>
        <v>0</v>
      </c>
      <c r="Z265">
        <f>Model!AH307</f>
        <v>0</v>
      </c>
      <c r="AA265">
        <f>Model!AI307</f>
        <v>0</v>
      </c>
      <c r="AB265">
        <f>Model!AJ307</f>
        <v>0</v>
      </c>
      <c r="AC265">
        <f>Model!AK307</f>
        <v>0</v>
      </c>
      <c r="AD265">
        <f>Model!AL307</f>
        <v>0</v>
      </c>
      <c r="AE265">
        <f>Model!AM307</f>
        <v>0</v>
      </c>
      <c r="AF265">
        <f>Model!AN307</f>
        <v>0</v>
      </c>
      <c r="AG265">
        <f>Model!AO307</f>
        <v>0</v>
      </c>
      <c r="AH265">
        <f>Model!AP307</f>
        <v>0</v>
      </c>
      <c r="AI265">
        <f>Model!AQ307</f>
        <v>0</v>
      </c>
      <c r="AJ265">
        <f>Model!AR307</f>
        <v>0</v>
      </c>
      <c r="AK265">
        <f>Model!AS307</f>
        <v>0</v>
      </c>
      <c r="AL265">
        <f>Model!AT307</f>
        <v>0</v>
      </c>
      <c r="AM265">
        <f>Model!AU307</f>
        <v>0</v>
      </c>
      <c r="AN265">
        <f>Model!AV307</f>
        <v>0</v>
      </c>
      <c r="AO265">
        <f>Model!AW307</f>
        <v>0</v>
      </c>
      <c r="AP265">
        <f>Model!AX307</f>
        <v>0</v>
      </c>
      <c r="AQ265">
        <f>Model!AY307</f>
        <v>0</v>
      </c>
      <c r="AR265">
        <f>Model!AZ307</f>
        <v>0</v>
      </c>
      <c r="AS265">
        <f>Model!BA307</f>
        <v>0</v>
      </c>
      <c r="AT265">
        <f>Model!BB307</f>
        <v>0</v>
      </c>
      <c r="AU265">
        <f>Model!BC307</f>
        <v>0</v>
      </c>
      <c r="AV265">
        <f>Model!BD307</f>
        <v>0</v>
      </c>
      <c r="AW265">
        <f>Model!BE307</f>
        <v>0</v>
      </c>
      <c r="AX265">
        <f>Model!BF307</f>
        <v>0</v>
      </c>
      <c r="AY265">
        <f>Model!BG307</f>
        <v>0</v>
      </c>
      <c r="AZ265">
        <f>Model!BH307</f>
        <v>0</v>
      </c>
      <c r="BA265">
        <f>Model!BI307</f>
        <v>0</v>
      </c>
      <c r="BB265">
        <f>Model!BJ307</f>
        <v>0</v>
      </c>
      <c r="BC265">
        <f>Model!BK307</f>
        <v>0</v>
      </c>
      <c r="BD265">
        <f>Model!BL307</f>
        <v>0</v>
      </c>
      <c r="BE265">
        <f>Model!BM307</f>
        <v>-0.1616751916604906</v>
      </c>
      <c r="BF265">
        <f>Model!BN307</f>
        <v>1.4565916398713825</v>
      </c>
      <c r="BG265">
        <f>Model!BO307</f>
        <v>0.13608952320316892</v>
      </c>
      <c r="BH265">
        <f>Model!BP307</f>
        <v>0.14092815249266843</v>
      </c>
      <c r="BI265">
        <f>Model!BQ307</f>
        <v>0.14545133239831687</v>
      </c>
      <c r="BJ265">
        <f>Model!BR307</f>
        <v>5.5194565107245408E-2</v>
      </c>
      <c r="BK265">
        <f>Model!BS307</f>
        <v>0.12000000000000011</v>
      </c>
      <c r="BL265">
        <f>Model!BT307</f>
        <v>0.12000000000000011</v>
      </c>
      <c r="BM265">
        <f>Model!BU307</f>
        <v>7.0000000000000062E-2</v>
      </c>
      <c r="BN265">
        <f>Model!BV307</f>
        <v>7.0000000000000062E-2</v>
      </c>
      <c r="BO265">
        <f>Model!BW307</f>
        <v>7.0000000000000062E-2</v>
      </c>
      <c r="BP265">
        <f>Model!BX307</f>
        <v>7.0000000000000062E-2</v>
      </c>
      <c r="BQ265">
        <f>Model!BY307</f>
        <v>5.0000000000000266E-2</v>
      </c>
      <c r="BR265">
        <f>Model!BZ307</f>
        <v>5.0000000000000044E-2</v>
      </c>
      <c r="BS265">
        <f>Model!CA307</f>
        <v>5.0000000000000044E-2</v>
      </c>
      <c r="BT265">
        <f>Model!CB307</f>
        <v>5.0000000000000044E-2</v>
      </c>
      <c r="BU265">
        <f>Model!CC307</f>
        <v>5.0000000000000044E-2</v>
      </c>
      <c r="BV265">
        <f>Model!CD307</f>
        <v>5.0000000000000044E-2</v>
      </c>
      <c r="BW265">
        <f>Model!CE307</f>
        <v>5.0000000000000044E-2</v>
      </c>
      <c r="BX265">
        <f>Model!CF307</f>
        <v>5.0000000000000044E-2</v>
      </c>
      <c r="BY265">
        <f>Model!CG307</f>
        <v>0</v>
      </c>
      <c r="BZ265">
        <f>Model!CH307</f>
        <v>0</v>
      </c>
      <c r="CA265">
        <f>Model!CI307</f>
        <v>0</v>
      </c>
      <c r="CB265">
        <f>Model!CJ307</f>
        <v>0</v>
      </c>
      <c r="CC265">
        <f>Model!CK307</f>
        <v>0</v>
      </c>
      <c r="CD265">
        <f>Model!CL307</f>
        <v>0</v>
      </c>
      <c r="CE265">
        <f>Model!CM307</f>
        <v>0</v>
      </c>
      <c r="CF265">
        <f>Model!CN307</f>
        <v>0</v>
      </c>
      <c r="CG265">
        <f>Model!CO307</f>
        <v>0</v>
      </c>
      <c r="CH265">
        <f>Model!CP307</f>
        <v>0</v>
      </c>
      <c r="CI265">
        <f>Model!CQ307</f>
        <v>0</v>
      </c>
      <c r="CJ265">
        <f>Model!CR307</f>
        <v>0</v>
      </c>
      <c r="CK265">
        <f>Model!CS307</f>
        <v>0</v>
      </c>
      <c r="CL265">
        <f>Model!CT307</f>
        <v>0</v>
      </c>
      <c r="CM265">
        <f>Model!CU307</f>
        <v>0.85022376552876056</v>
      </c>
      <c r="CN265">
        <f>Model!CV307</f>
        <v>0.10882320689668434</v>
      </c>
      <c r="CO265">
        <f>Model!CW307</f>
        <v>7.0000000000000062E-2</v>
      </c>
      <c r="CP265">
        <f>Model!CX307</f>
        <v>5.0000000000000044E-2</v>
      </c>
      <c r="CQ265">
        <f>Model!CY307</f>
        <v>4.9999999999999822E-2</v>
      </c>
      <c r="CR265">
        <f>Model!CZ307</f>
        <v>4.9999999999999822E-2</v>
      </c>
      <c r="CS265">
        <f>Model!DA307</f>
        <v>4.9999999999999822E-2</v>
      </c>
      <c r="CT265">
        <f>Model!DB307</f>
        <v>4.9999999999999822E-2</v>
      </c>
      <c r="CU265">
        <f>Model!DC307</f>
        <v>4.9999999999999822E-2</v>
      </c>
      <c r="CV265">
        <f>Model!DD307</f>
        <v>4.9999999999999822E-2</v>
      </c>
      <c r="CW265">
        <f>Model!DE307</f>
        <v>4.9999999999999822E-2</v>
      </c>
      <c r="CX265">
        <f>Model!DF307</f>
        <v>4.9999999999999822E-2</v>
      </c>
    </row>
    <row r="266" spans="1:102">
      <c r="A266">
        <f>Model!I308</f>
        <v>0</v>
      </c>
      <c r="B266">
        <f>Model!J308</f>
        <v>0</v>
      </c>
      <c r="C266">
        <f>Model!K308</f>
        <v>0</v>
      </c>
      <c r="D266">
        <f>Model!L308</f>
        <v>0</v>
      </c>
      <c r="E266">
        <f>Model!M308</f>
        <v>0</v>
      </c>
      <c r="F266">
        <f>Model!N308</f>
        <v>0</v>
      </c>
      <c r="G266">
        <f>Model!O308</f>
        <v>0</v>
      </c>
      <c r="H266">
        <f>Model!P308</f>
        <v>0</v>
      </c>
      <c r="I266">
        <f>Model!Q308</f>
        <v>0</v>
      </c>
      <c r="J266">
        <f>Model!R308</f>
        <v>0</v>
      </c>
      <c r="K266">
        <f>Model!S308</f>
        <v>0</v>
      </c>
      <c r="L266">
        <f>Model!T308</f>
        <v>0</v>
      </c>
      <c r="M266">
        <f>Model!U308</f>
        <v>0</v>
      </c>
      <c r="N266">
        <f>Model!V308</f>
        <v>0</v>
      </c>
      <c r="O266">
        <f>Model!W308</f>
        <v>0</v>
      </c>
      <c r="P266">
        <f>Model!X308</f>
        <v>0</v>
      </c>
      <c r="Q266">
        <f>Model!Y308</f>
        <v>0</v>
      </c>
      <c r="R266">
        <f>Model!Z308</f>
        <v>0</v>
      </c>
      <c r="S266">
        <f>Model!AA308</f>
        <v>0</v>
      </c>
      <c r="T266">
        <f>Model!AB308</f>
        <v>0</v>
      </c>
      <c r="U266">
        <f>Model!AC308</f>
        <v>0</v>
      </c>
      <c r="V266">
        <f>Model!AD308</f>
        <v>0</v>
      </c>
      <c r="W266">
        <f>Model!AE308</f>
        <v>0</v>
      </c>
      <c r="X266">
        <f>Model!AF308</f>
        <v>0</v>
      </c>
      <c r="Y266">
        <f>Model!AG308</f>
        <v>0</v>
      </c>
      <c r="Z266">
        <f>Model!AH308</f>
        <v>0</v>
      </c>
      <c r="AA266">
        <f>Model!AI308</f>
        <v>0</v>
      </c>
      <c r="AB266">
        <f>Model!AJ308</f>
        <v>0</v>
      </c>
      <c r="AC266">
        <f>Model!AK308</f>
        <v>0</v>
      </c>
      <c r="AD266">
        <f>Model!AL308</f>
        <v>0</v>
      </c>
      <c r="AE266">
        <f>Model!AM308</f>
        <v>0</v>
      </c>
      <c r="AF266">
        <f>Model!AN308</f>
        <v>0</v>
      </c>
      <c r="AG266">
        <f>Model!AO308</f>
        <v>0</v>
      </c>
      <c r="AH266">
        <f>Model!AP308</f>
        <v>0</v>
      </c>
      <c r="AI266">
        <f>Model!AQ308</f>
        <v>0</v>
      </c>
      <c r="AJ266">
        <f>Model!AR308</f>
        <v>0</v>
      </c>
      <c r="AK266">
        <f>Model!AS308</f>
        <v>0</v>
      </c>
      <c r="AL266">
        <f>Model!AT308</f>
        <v>0</v>
      </c>
      <c r="AM266">
        <f>Model!AU308</f>
        <v>0</v>
      </c>
      <c r="AN266">
        <f>Model!AV308</f>
        <v>0</v>
      </c>
      <c r="AO266">
        <f>Model!AW308</f>
        <v>0</v>
      </c>
      <c r="AP266">
        <f>Model!AX308</f>
        <v>0</v>
      </c>
      <c r="AQ266">
        <f>Model!AY308</f>
        <v>0</v>
      </c>
      <c r="AR266">
        <f>Model!AZ308</f>
        <v>0</v>
      </c>
      <c r="AS266">
        <f>Model!BA308</f>
        <v>0</v>
      </c>
      <c r="AT266">
        <f>Model!BB308</f>
        <v>0</v>
      </c>
      <c r="AU266">
        <f>Model!BC308</f>
        <v>0</v>
      </c>
      <c r="AV266">
        <f>Model!BD308</f>
        <v>0</v>
      </c>
      <c r="AW266">
        <f>Model!BE308</f>
        <v>0</v>
      </c>
      <c r="AX266">
        <f>Model!BF308</f>
        <v>0</v>
      </c>
      <c r="AY266">
        <f>Model!BG308</f>
        <v>0</v>
      </c>
      <c r="AZ266">
        <f>Model!BH308</f>
        <v>0</v>
      </c>
      <c r="BA266">
        <f>Model!BI308</f>
        <v>0</v>
      </c>
      <c r="BB266">
        <f>Model!BJ308</f>
        <v>0</v>
      </c>
      <c r="BC266">
        <f>Model!BK308</f>
        <v>0</v>
      </c>
      <c r="BD266">
        <f>Model!BL308</f>
        <v>0</v>
      </c>
      <c r="BE266">
        <f>Model!BM308</f>
        <v>0</v>
      </c>
      <c r="BF266">
        <f>Model!BN308</f>
        <v>0</v>
      </c>
      <c r="BG266">
        <f>Model!BO308</f>
        <v>0</v>
      </c>
      <c r="BH266">
        <f>Model!BP308</f>
        <v>0</v>
      </c>
      <c r="BI266">
        <f>Model!BQ308</f>
        <v>0</v>
      </c>
      <c r="BJ266">
        <f>Model!BR308</f>
        <v>0</v>
      </c>
      <c r="BK266">
        <f>Model!BS308</f>
        <v>0</v>
      </c>
      <c r="BL266">
        <f>Model!BT308</f>
        <v>0</v>
      </c>
      <c r="BM266">
        <f>Model!BU308</f>
        <v>0</v>
      </c>
      <c r="BN266">
        <f>Model!BV308</f>
        <v>0</v>
      </c>
      <c r="BO266">
        <f>Model!BW308</f>
        <v>0</v>
      </c>
      <c r="BP266">
        <f>Model!BX308</f>
        <v>0</v>
      </c>
      <c r="BQ266">
        <f>Model!BY308</f>
        <v>0</v>
      </c>
      <c r="BR266">
        <f>Model!BZ308</f>
        <v>0</v>
      </c>
      <c r="BS266">
        <f>Model!CA308</f>
        <v>0</v>
      </c>
      <c r="BT266">
        <f>Model!CB308</f>
        <v>0</v>
      </c>
      <c r="BU266">
        <f>Model!CC308</f>
        <v>0</v>
      </c>
      <c r="BV266">
        <f>Model!CD308</f>
        <v>0</v>
      </c>
      <c r="BW266">
        <f>Model!CE308</f>
        <v>0</v>
      </c>
      <c r="BX266">
        <f>Model!CF308</f>
        <v>0</v>
      </c>
      <c r="BY266">
        <f>Model!CG308</f>
        <v>0</v>
      </c>
      <c r="BZ266">
        <f>Model!CH308</f>
        <v>0</v>
      </c>
      <c r="CA266">
        <f>Model!CI308</f>
        <v>0</v>
      </c>
      <c r="CB266">
        <f>Model!CJ308</f>
        <v>0</v>
      </c>
      <c r="CC266">
        <f>Model!CK308</f>
        <v>0</v>
      </c>
      <c r="CD266">
        <f>Model!CL308</f>
        <v>0</v>
      </c>
      <c r="CE266">
        <f>Model!CM308</f>
        <v>0</v>
      </c>
      <c r="CF266">
        <f>Model!CN308</f>
        <v>0</v>
      </c>
      <c r="CG266">
        <f>Model!CO308</f>
        <v>0</v>
      </c>
      <c r="CH266">
        <f>Model!CP308</f>
        <v>0</v>
      </c>
      <c r="CI266">
        <f>Model!CQ308</f>
        <v>0</v>
      </c>
      <c r="CJ266">
        <f>Model!CR308</f>
        <v>0</v>
      </c>
      <c r="CK266">
        <f>Model!CS308</f>
        <v>0</v>
      </c>
      <c r="CL266">
        <f>Model!CT308</f>
        <v>0</v>
      </c>
      <c r="CM266">
        <f>Model!CU308</f>
        <v>0</v>
      </c>
      <c r="CN266">
        <f>Model!CV308</f>
        <v>0</v>
      </c>
      <c r="CO266">
        <f>Model!CW308</f>
        <v>0</v>
      </c>
      <c r="CP266">
        <f>Model!CX308</f>
        <v>0</v>
      </c>
      <c r="CQ266">
        <f>Model!CY308</f>
        <v>0</v>
      </c>
      <c r="CR266">
        <f>Model!CZ308</f>
        <v>0</v>
      </c>
      <c r="CS266">
        <f>Model!DA308</f>
        <v>0</v>
      </c>
      <c r="CT266">
        <f>Model!DB308</f>
        <v>0</v>
      </c>
      <c r="CU266">
        <f>Model!DC308</f>
        <v>0</v>
      </c>
      <c r="CV266">
        <f>Model!DD308</f>
        <v>0</v>
      </c>
      <c r="CW266">
        <f>Model!DE308</f>
        <v>0</v>
      </c>
      <c r="CX266">
        <f>Model!DF308</f>
        <v>0</v>
      </c>
    </row>
    <row r="267" spans="1:102">
      <c r="A267" t="str">
        <f>Model!I309</f>
        <v>Cost of Revenue</v>
      </c>
      <c r="B267">
        <f>Model!J309</f>
        <v>0</v>
      </c>
      <c r="C267">
        <f>Model!K309</f>
        <v>0</v>
      </c>
      <c r="D267">
        <f>Model!L309</f>
        <v>0</v>
      </c>
      <c r="E267">
        <f>Model!M309</f>
        <v>0</v>
      </c>
      <c r="F267">
        <f>Model!N309</f>
        <v>0</v>
      </c>
      <c r="G267">
        <f>Model!O309</f>
        <v>0</v>
      </c>
      <c r="H267">
        <f>Model!P309</f>
        <v>0</v>
      </c>
      <c r="I267">
        <f>Model!Q309</f>
        <v>0</v>
      </c>
      <c r="J267">
        <f>Model!R309</f>
        <v>0</v>
      </c>
      <c r="K267">
        <f>Model!S309</f>
        <v>0</v>
      </c>
      <c r="L267">
        <f>Model!T309</f>
        <v>0</v>
      </c>
      <c r="M267">
        <f>Model!U309</f>
        <v>0</v>
      </c>
      <c r="N267">
        <f>Model!V309</f>
        <v>0</v>
      </c>
      <c r="O267">
        <f>Model!W309</f>
        <v>0</v>
      </c>
      <c r="P267">
        <f>Model!X309</f>
        <v>0</v>
      </c>
      <c r="Q267">
        <f>Model!Y309</f>
        <v>0</v>
      </c>
      <c r="R267">
        <f>Model!Z309</f>
        <v>0</v>
      </c>
      <c r="S267">
        <f>Model!AA309</f>
        <v>0</v>
      </c>
      <c r="T267">
        <f>Model!AB309</f>
        <v>0</v>
      </c>
      <c r="U267">
        <f>Model!AC309</f>
        <v>0</v>
      </c>
      <c r="V267">
        <f>Model!AD309</f>
        <v>0</v>
      </c>
      <c r="W267">
        <f>Model!AE309</f>
        <v>0</v>
      </c>
      <c r="X267">
        <f>Model!AF309</f>
        <v>0</v>
      </c>
      <c r="Y267">
        <f>Model!AG309</f>
        <v>0</v>
      </c>
      <c r="Z267">
        <f>Model!AH309</f>
        <v>0</v>
      </c>
      <c r="AA267">
        <f>Model!AI309</f>
        <v>0</v>
      </c>
      <c r="AB267">
        <f>Model!AJ309</f>
        <v>0</v>
      </c>
      <c r="AC267">
        <f>Model!AK309</f>
        <v>0</v>
      </c>
      <c r="AD267">
        <f>Model!AL309</f>
        <v>0</v>
      </c>
      <c r="AE267">
        <f>Model!AM309</f>
        <v>0</v>
      </c>
      <c r="AF267">
        <f>Model!AN309</f>
        <v>0</v>
      </c>
      <c r="AG267">
        <f>Model!AO309</f>
        <v>0</v>
      </c>
      <c r="AH267">
        <f>Model!AP309</f>
        <v>0</v>
      </c>
      <c r="AI267">
        <f>Model!AQ309</f>
        <v>0</v>
      </c>
      <c r="AJ267">
        <f>Model!AR309</f>
        <v>0</v>
      </c>
      <c r="AK267">
        <f>Model!AS309</f>
        <v>0</v>
      </c>
      <c r="AL267">
        <f>Model!AT309</f>
        <v>0</v>
      </c>
      <c r="AM267">
        <f>Model!AU309</f>
        <v>0</v>
      </c>
      <c r="AN267">
        <f>Model!AV309</f>
        <v>0</v>
      </c>
      <c r="AO267">
        <f>Model!AW309</f>
        <v>0</v>
      </c>
      <c r="AP267">
        <f>Model!AX309</f>
        <v>0</v>
      </c>
      <c r="AQ267">
        <f>Model!AY309</f>
        <v>0</v>
      </c>
      <c r="AR267">
        <f>Model!AZ309</f>
        <v>0</v>
      </c>
      <c r="AS267">
        <f>Model!BA309</f>
        <v>0</v>
      </c>
      <c r="AT267">
        <f>Model!BB309</f>
        <v>0</v>
      </c>
      <c r="AU267">
        <f>Model!BC309</f>
        <v>0</v>
      </c>
      <c r="AV267">
        <f>Model!BD309</f>
        <v>0</v>
      </c>
      <c r="AW267">
        <f>Model!BE309</f>
        <v>0</v>
      </c>
      <c r="AX267">
        <f>Model!BF309</f>
        <v>0</v>
      </c>
      <c r="AY267">
        <f>Model!BG309</f>
        <v>0</v>
      </c>
      <c r="AZ267">
        <f>Model!BH309</f>
        <v>0</v>
      </c>
      <c r="BA267">
        <f>Model!BI309</f>
        <v>5.4909999999999997</v>
      </c>
      <c r="BB267">
        <f>Model!BJ309</f>
        <v>2.984023999999998</v>
      </c>
      <c r="BC267">
        <f>Model!BK309</f>
        <v>5.5574550000000116</v>
      </c>
      <c r="BD267">
        <f>Model!BL309</f>
        <v>4.2534999999999954</v>
      </c>
      <c r="BE267">
        <f>Model!BM309</f>
        <v>3.3717749999999995</v>
      </c>
      <c r="BF267">
        <f>Model!BN309</f>
        <v>9.4592104999999975</v>
      </c>
      <c r="BG267">
        <f>Model!BO309</f>
        <v>5.4395966370967699</v>
      </c>
      <c r="BH267">
        <f>Model!BP309</f>
        <v>4.3925733870967676</v>
      </c>
      <c r="BI267">
        <f>Model!BQ309</f>
        <v>5.5325299354838648</v>
      </c>
      <c r="BJ267">
        <f>Model!BR309</f>
        <v>5.6431805341935473</v>
      </c>
      <c r="BK267">
        <f>Model!BS309</f>
        <v>6.0923482335483783</v>
      </c>
      <c r="BL267">
        <f>Model!BT309</f>
        <v>4.9196821935483825</v>
      </c>
      <c r="BM267">
        <f>Model!BU309</f>
        <v>5.919807030967732</v>
      </c>
      <c r="BN267">
        <f>Model!BV309</f>
        <v>6.0382031715870994</v>
      </c>
      <c r="BO267">
        <f>Model!BW309</f>
        <v>6.51881260989677</v>
      </c>
      <c r="BP267">
        <f>Model!BX309</f>
        <v>5.2640599470967686</v>
      </c>
      <c r="BQ267">
        <f>Model!BY309</f>
        <v>6.2157973825161292</v>
      </c>
      <c r="BR267">
        <f>Model!BZ309</f>
        <v>6.3401133301664458</v>
      </c>
      <c r="BS267">
        <f>Model!CA309</f>
        <v>6.8447532403916114</v>
      </c>
      <c r="BT267">
        <f>Model!CB309</f>
        <v>5.527262944451607</v>
      </c>
      <c r="BU267">
        <f>Model!CC309</f>
        <v>6.5265872516419279</v>
      </c>
      <c r="BV267">
        <f>Model!CD309</f>
        <v>6.6571189966747681</v>
      </c>
      <c r="BW267">
        <f>Model!CE309</f>
        <v>7.186990902411182</v>
      </c>
      <c r="BX267">
        <f>Model!CF309</f>
        <v>5.8036260916741895</v>
      </c>
      <c r="BY267">
        <f>Model!CG309</f>
        <v>0</v>
      </c>
      <c r="BZ267">
        <f>Model!CH309</f>
        <v>0</v>
      </c>
      <c r="CA267">
        <f>Model!CI309</f>
        <v>0</v>
      </c>
      <c r="CB267">
        <f>Model!CJ309</f>
        <v>0</v>
      </c>
      <c r="CC267">
        <f>Model!CK309</f>
        <v>0</v>
      </c>
      <c r="CD267">
        <f>Model!CL309</f>
        <v>0</v>
      </c>
      <c r="CE267">
        <f>Model!CM309</f>
        <v>0</v>
      </c>
      <c r="CF267">
        <f>Model!CN309</f>
        <v>0</v>
      </c>
      <c r="CG267">
        <f>Model!CO309</f>
        <v>0</v>
      </c>
      <c r="CH267">
        <f>Model!CP309</f>
        <v>0</v>
      </c>
      <c r="CI267">
        <f>Model!CQ309</f>
        <v>0</v>
      </c>
      <c r="CJ267">
        <f>Model!CR309</f>
        <v>0</v>
      </c>
      <c r="CK267">
        <f>Model!CS309</f>
        <v>0</v>
      </c>
      <c r="CL267">
        <f>Model!CT309</f>
        <v>12.794979000000012</v>
      </c>
      <c r="CM267">
        <f>Model!CU309</f>
        <v>22.663155524193542</v>
      </c>
      <c r="CN267">
        <f>Model!CV309</f>
        <v>22.187740896774187</v>
      </c>
      <c r="CO267">
        <f>Model!CW309</f>
        <v>23.740882759548413</v>
      </c>
      <c r="CP267">
        <f>Model!CX309</f>
        <v>24.927926897525765</v>
      </c>
      <c r="CQ267">
        <f>Model!CY309</f>
        <v>26.174323242402068</v>
      </c>
      <c r="CR267">
        <f>Model!CZ309</f>
        <v>27.483039404522174</v>
      </c>
      <c r="CS267">
        <f>Model!DA309</f>
        <v>28.857191374748311</v>
      </c>
      <c r="CT267">
        <f>Model!DB309</f>
        <v>30.300050943485701</v>
      </c>
      <c r="CU267">
        <f>Model!DC309</f>
        <v>31.815053490659977</v>
      </c>
      <c r="CV267">
        <f>Model!DD309</f>
        <v>33.405806165192985</v>
      </c>
      <c r="CW267">
        <f>Model!DE309</f>
        <v>35.076096473452594</v>
      </c>
      <c r="CX267">
        <f>Model!DF309</f>
        <v>36.829901297125218</v>
      </c>
    </row>
    <row r="268" spans="1:102">
      <c r="A268" t="str">
        <f>Model!I310</f>
        <v>% change Y/Y</v>
      </c>
      <c r="B268">
        <f>Model!J310</f>
        <v>0</v>
      </c>
      <c r="C268">
        <f>Model!K310</f>
        <v>0</v>
      </c>
      <c r="D268">
        <f>Model!L310</f>
        <v>0</v>
      </c>
      <c r="E268">
        <f>Model!M310</f>
        <v>0</v>
      </c>
      <c r="F268">
        <f>Model!N310</f>
        <v>0</v>
      </c>
      <c r="G268">
        <f>Model!O310</f>
        <v>0</v>
      </c>
      <c r="H268">
        <f>Model!P310</f>
        <v>0</v>
      </c>
      <c r="I268">
        <f>Model!Q310</f>
        <v>0</v>
      </c>
      <c r="J268">
        <f>Model!R310</f>
        <v>0</v>
      </c>
      <c r="K268">
        <f>Model!S310</f>
        <v>0</v>
      </c>
      <c r="L268">
        <f>Model!T310</f>
        <v>0</v>
      </c>
      <c r="M268">
        <f>Model!U310</f>
        <v>0</v>
      </c>
      <c r="N268">
        <f>Model!V310</f>
        <v>0</v>
      </c>
      <c r="O268">
        <f>Model!W310</f>
        <v>0</v>
      </c>
      <c r="P268">
        <f>Model!X310</f>
        <v>0</v>
      </c>
      <c r="Q268">
        <f>Model!Y310</f>
        <v>0</v>
      </c>
      <c r="R268">
        <f>Model!Z310</f>
        <v>0</v>
      </c>
      <c r="S268">
        <f>Model!AA310</f>
        <v>0</v>
      </c>
      <c r="T268">
        <f>Model!AB310</f>
        <v>0</v>
      </c>
      <c r="U268">
        <f>Model!AC310</f>
        <v>0</v>
      </c>
      <c r="V268">
        <f>Model!AD310</f>
        <v>0</v>
      </c>
      <c r="W268">
        <f>Model!AE310</f>
        <v>0</v>
      </c>
      <c r="X268">
        <f>Model!AF310</f>
        <v>0</v>
      </c>
      <c r="Y268">
        <f>Model!AG310</f>
        <v>0</v>
      </c>
      <c r="Z268">
        <f>Model!AH310</f>
        <v>0</v>
      </c>
      <c r="AA268">
        <f>Model!AI310</f>
        <v>0</v>
      </c>
      <c r="AB268">
        <f>Model!AJ310</f>
        <v>0</v>
      </c>
      <c r="AC268">
        <f>Model!AK310</f>
        <v>0</v>
      </c>
      <c r="AD268">
        <f>Model!AL310</f>
        <v>0</v>
      </c>
      <c r="AE268">
        <f>Model!AM310</f>
        <v>0</v>
      </c>
      <c r="AF268">
        <f>Model!AN310</f>
        <v>0</v>
      </c>
      <c r="AG268">
        <f>Model!AO310</f>
        <v>0</v>
      </c>
      <c r="AH268">
        <f>Model!AP310</f>
        <v>0</v>
      </c>
      <c r="AI268">
        <f>Model!AQ310</f>
        <v>0</v>
      </c>
      <c r="AJ268">
        <f>Model!AR310</f>
        <v>0</v>
      </c>
      <c r="AK268">
        <f>Model!AS310</f>
        <v>0</v>
      </c>
      <c r="AL268">
        <f>Model!AT310</f>
        <v>0</v>
      </c>
      <c r="AM268">
        <f>Model!AU310</f>
        <v>0</v>
      </c>
      <c r="AN268">
        <f>Model!AV310</f>
        <v>0</v>
      </c>
      <c r="AO268">
        <f>Model!AW310</f>
        <v>0</v>
      </c>
      <c r="AP268">
        <f>Model!AX310</f>
        <v>0</v>
      </c>
      <c r="AQ268">
        <f>Model!AY310</f>
        <v>0</v>
      </c>
      <c r="AR268">
        <f>Model!AZ310</f>
        <v>0</v>
      </c>
      <c r="AS268">
        <f>Model!BA310</f>
        <v>0</v>
      </c>
      <c r="AT268">
        <f>Model!BB310</f>
        <v>0</v>
      </c>
      <c r="AU268">
        <f>Model!BC310</f>
        <v>0</v>
      </c>
      <c r="AV268">
        <f>Model!BD310</f>
        <v>0</v>
      </c>
      <c r="AW268">
        <f>Model!BE310</f>
        <v>0</v>
      </c>
      <c r="AX268">
        <f>Model!BF310</f>
        <v>0</v>
      </c>
      <c r="AY268">
        <f>Model!BG310</f>
        <v>0</v>
      </c>
      <c r="AZ268">
        <f>Model!BH310</f>
        <v>0</v>
      </c>
      <c r="BA268">
        <f>Model!BI310</f>
        <v>0</v>
      </c>
      <c r="BB268">
        <f>Model!BJ310</f>
        <v>0</v>
      </c>
      <c r="BC268">
        <f>Model!BK310</f>
        <v>0</v>
      </c>
      <c r="BD268">
        <f>Model!BL310</f>
        <v>0</v>
      </c>
      <c r="BE268">
        <f>Model!BM310</f>
        <v>-0.38594518302677117</v>
      </c>
      <c r="BF268">
        <f>Model!BN310</f>
        <v>2.169951213529115</v>
      </c>
      <c r="BG268">
        <f>Model!BO310</f>
        <v>-2.120725456224859E-2</v>
      </c>
      <c r="BH268">
        <f>Model!BP310</f>
        <v>3.2696223603331909E-2</v>
      </c>
      <c r="BI268">
        <f>Model!BQ310</f>
        <v>0.64083603902510267</v>
      </c>
      <c r="BJ268">
        <f>Model!BR310</f>
        <v>-0.403419499524453</v>
      </c>
      <c r="BK268">
        <f>Model!BS310</f>
        <v>0.11999999999999922</v>
      </c>
      <c r="BL268">
        <f>Model!BT310</f>
        <v>0.12000000000000055</v>
      </c>
      <c r="BM268">
        <f>Model!BU310</f>
        <v>6.9999999999999396E-2</v>
      </c>
      <c r="BN268">
        <f>Model!BV310</f>
        <v>7.0000000000000728E-2</v>
      </c>
      <c r="BO268">
        <f>Model!BW310</f>
        <v>7.000000000000095E-2</v>
      </c>
      <c r="BP268">
        <f>Model!BX310</f>
        <v>6.999999999999984E-2</v>
      </c>
      <c r="BQ268">
        <f>Model!BY310</f>
        <v>5.0000000000001821E-2</v>
      </c>
      <c r="BR268">
        <f>Model!BZ310</f>
        <v>4.999999999999849E-2</v>
      </c>
      <c r="BS268">
        <f>Model!CA310</f>
        <v>5.0000000000000488E-2</v>
      </c>
      <c r="BT268">
        <f>Model!CB310</f>
        <v>5.0000000000000044E-2</v>
      </c>
      <c r="BU268">
        <f>Model!CC310</f>
        <v>4.9999999999998712E-2</v>
      </c>
      <c r="BV268">
        <f>Model!CD310</f>
        <v>5.0000000000000044E-2</v>
      </c>
      <c r="BW268">
        <f>Model!CE310</f>
        <v>4.999999999999849E-2</v>
      </c>
      <c r="BX268">
        <f>Model!CF310</f>
        <v>5.0000000000000488E-2</v>
      </c>
      <c r="BY268">
        <f>Model!CG310</f>
        <v>0</v>
      </c>
      <c r="BZ268">
        <f>Model!CH310</f>
        <v>0</v>
      </c>
      <c r="CA268">
        <f>Model!CI310</f>
        <v>0</v>
      </c>
      <c r="CB268">
        <f>Model!CJ310</f>
        <v>0</v>
      </c>
      <c r="CC268">
        <f>Model!CK310</f>
        <v>0</v>
      </c>
      <c r="CD268">
        <f>Model!CL310</f>
        <v>0</v>
      </c>
      <c r="CE268">
        <f>Model!CM310</f>
        <v>0</v>
      </c>
      <c r="CF268">
        <f>Model!CN310</f>
        <v>0</v>
      </c>
      <c r="CG268">
        <f>Model!CO310</f>
        <v>0</v>
      </c>
      <c r="CH268">
        <f>Model!CP310</f>
        <v>0</v>
      </c>
      <c r="CI268">
        <f>Model!CQ310</f>
        <v>0</v>
      </c>
      <c r="CJ268">
        <f>Model!CR310</f>
        <v>0</v>
      </c>
      <c r="CK268">
        <f>Model!CS310</f>
        <v>0</v>
      </c>
      <c r="CL268">
        <f>Model!CT310</f>
        <v>0</v>
      </c>
      <c r="CM268">
        <f>Model!CU310</f>
        <v>0.77125382731722492</v>
      </c>
      <c r="CN268">
        <f>Model!CV310</f>
        <v>-2.0977424212256568E-2</v>
      </c>
      <c r="CO268">
        <f>Model!CW310</f>
        <v>7.0000000000001394E-2</v>
      </c>
      <c r="CP268">
        <f>Model!CX310</f>
        <v>4.9999999999997158E-2</v>
      </c>
      <c r="CQ268">
        <f>Model!CY310</f>
        <v>5.0000000000000488E-2</v>
      </c>
      <c r="CR268">
        <f>Model!CZ310</f>
        <v>5.0000000000000044E-2</v>
      </c>
      <c r="CS268">
        <f>Model!DA310</f>
        <v>5.0000000000000933E-2</v>
      </c>
      <c r="CT268">
        <f>Model!DB310</f>
        <v>4.9999999999999156E-2</v>
      </c>
      <c r="CU268">
        <f>Model!DC310</f>
        <v>4.9999999999999822E-2</v>
      </c>
      <c r="CV268">
        <f>Model!DD310</f>
        <v>5.0000000000000266E-2</v>
      </c>
      <c r="CW268">
        <f>Model!DE310</f>
        <v>4.9999999999998712E-2</v>
      </c>
      <c r="CX268">
        <f>Model!DF310</f>
        <v>4.9999999999999822E-2</v>
      </c>
    </row>
    <row r="269" spans="1:102">
      <c r="A269">
        <f>Model!I311</f>
        <v>0</v>
      </c>
      <c r="B269">
        <f>Model!J311</f>
        <v>0</v>
      </c>
      <c r="C269">
        <f>Model!K311</f>
        <v>0</v>
      </c>
      <c r="D269">
        <f>Model!L311</f>
        <v>0</v>
      </c>
      <c r="E269">
        <f>Model!M311</f>
        <v>0</v>
      </c>
      <c r="F269">
        <f>Model!N311</f>
        <v>0</v>
      </c>
      <c r="G269">
        <f>Model!O311</f>
        <v>0</v>
      </c>
      <c r="H269">
        <f>Model!P311</f>
        <v>0</v>
      </c>
      <c r="I269">
        <f>Model!Q311</f>
        <v>0</v>
      </c>
      <c r="J269">
        <f>Model!R311</f>
        <v>0</v>
      </c>
      <c r="K269">
        <f>Model!S311</f>
        <v>0</v>
      </c>
      <c r="L269">
        <f>Model!T311</f>
        <v>0</v>
      </c>
      <c r="M269">
        <f>Model!U311</f>
        <v>0</v>
      </c>
      <c r="N269">
        <f>Model!V311</f>
        <v>0</v>
      </c>
      <c r="O269">
        <f>Model!W311</f>
        <v>0</v>
      </c>
      <c r="P269">
        <f>Model!X311</f>
        <v>0</v>
      </c>
      <c r="Q269">
        <f>Model!Y311</f>
        <v>0</v>
      </c>
      <c r="R269">
        <f>Model!Z311</f>
        <v>0</v>
      </c>
      <c r="S269">
        <f>Model!AA311</f>
        <v>0</v>
      </c>
      <c r="T269">
        <f>Model!AB311</f>
        <v>0</v>
      </c>
      <c r="U269">
        <f>Model!AC311</f>
        <v>0</v>
      </c>
      <c r="V269">
        <f>Model!AD311</f>
        <v>0</v>
      </c>
      <c r="W269">
        <f>Model!AE311</f>
        <v>0</v>
      </c>
      <c r="X269">
        <f>Model!AF311</f>
        <v>0</v>
      </c>
      <c r="Y269">
        <f>Model!AG311</f>
        <v>0</v>
      </c>
      <c r="Z269">
        <f>Model!AH311</f>
        <v>0</v>
      </c>
      <c r="AA269">
        <f>Model!AI311</f>
        <v>0</v>
      </c>
      <c r="AB269">
        <f>Model!AJ311</f>
        <v>0</v>
      </c>
      <c r="AC269">
        <f>Model!AK311</f>
        <v>0</v>
      </c>
      <c r="AD269">
        <f>Model!AL311</f>
        <v>0</v>
      </c>
      <c r="AE269">
        <f>Model!AM311</f>
        <v>0</v>
      </c>
      <c r="AF269">
        <f>Model!AN311</f>
        <v>0</v>
      </c>
      <c r="AG269">
        <f>Model!AO311</f>
        <v>0</v>
      </c>
      <c r="AH269">
        <f>Model!AP311</f>
        <v>0</v>
      </c>
      <c r="AI269">
        <f>Model!AQ311</f>
        <v>0</v>
      </c>
      <c r="AJ269">
        <f>Model!AR311</f>
        <v>0</v>
      </c>
      <c r="AK269">
        <f>Model!AS311</f>
        <v>0</v>
      </c>
      <c r="AL269">
        <f>Model!AT311</f>
        <v>0</v>
      </c>
      <c r="AM269">
        <f>Model!AU311</f>
        <v>0</v>
      </c>
      <c r="AN269">
        <f>Model!AV311</f>
        <v>0</v>
      </c>
      <c r="AO269">
        <f>Model!AW311</f>
        <v>0</v>
      </c>
      <c r="AP269">
        <f>Model!AX311</f>
        <v>0</v>
      </c>
      <c r="AQ269">
        <f>Model!AY311</f>
        <v>0</v>
      </c>
      <c r="AR269">
        <f>Model!AZ311</f>
        <v>0</v>
      </c>
      <c r="AS269">
        <f>Model!BA311</f>
        <v>0</v>
      </c>
      <c r="AT269">
        <f>Model!BB311</f>
        <v>0</v>
      </c>
      <c r="AU269">
        <f>Model!BC311</f>
        <v>0</v>
      </c>
      <c r="AV269">
        <f>Model!BD311</f>
        <v>0</v>
      </c>
      <c r="AW269">
        <f>Model!BE311</f>
        <v>0</v>
      </c>
      <c r="AX269">
        <f>Model!BF311</f>
        <v>0</v>
      </c>
      <c r="AY269">
        <f>Model!BG311</f>
        <v>0</v>
      </c>
      <c r="AZ269">
        <f>Model!BH311</f>
        <v>0</v>
      </c>
      <c r="BA269">
        <f>Model!BI311</f>
        <v>0</v>
      </c>
      <c r="BB269">
        <f>Model!BJ311</f>
        <v>0</v>
      </c>
      <c r="BC269">
        <f>Model!BK311</f>
        <v>0</v>
      </c>
      <c r="BD269">
        <f>Model!BL311</f>
        <v>0</v>
      </c>
      <c r="BE269">
        <f>Model!BM311</f>
        <v>0</v>
      </c>
      <c r="BF269">
        <f>Model!BN311</f>
        <v>0</v>
      </c>
      <c r="BG269">
        <f>Model!BO311</f>
        <v>0</v>
      </c>
      <c r="BH269">
        <f>Model!BP311</f>
        <v>0</v>
      </c>
      <c r="BI269">
        <f>Model!BQ311</f>
        <v>0</v>
      </c>
      <c r="BJ269">
        <f>Model!BR311</f>
        <v>0</v>
      </c>
      <c r="BK269">
        <f>Model!BS311</f>
        <v>0</v>
      </c>
      <c r="BL269">
        <f>Model!BT311</f>
        <v>0</v>
      </c>
      <c r="BM269">
        <f>Model!BU311</f>
        <v>0</v>
      </c>
      <c r="BN269">
        <f>Model!BV311</f>
        <v>0</v>
      </c>
      <c r="BO269">
        <f>Model!BW311</f>
        <v>0</v>
      </c>
      <c r="BP269">
        <f>Model!BX311</f>
        <v>0</v>
      </c>
      <c r="BQ269">
        <f>Model!BY311</f>
        <v>0</v>
      </c>
      <c r="BR269">
        <f>Model!BZ311</f>
        <v>0</v>
      </c>
      <c r="BS269">
        <f>Model!CA311</f>
        <v>0</v>
      </c>
      <c r="BT269">
        <f>Model!CB311</f>
        <v>0</v>
      </c>
      <c r="BU269">
        <f>Model!CC311</f>
        <v>0</v>
      </c>
      <c r="BV269">
        <f>Model!CD311</f>
        <v>0</v>
      </c>
      <c r="BW269">
        <f>Model!CE311</f>
        <v>0</v>
      </c>
      <c r="BX269">
        <f>Model!CF311</f>
        <v>0</v>
      </c>
      <c r="BY269">
        <f>Model!CG311</f>
        <v>0</v>
      </c>
      <c r="BZ269">
        <f>Model!CH311</f>
        <v>0</v>
      </c>
      <c r="CA269">
        <f>Model!CI311</f>
        <v>0</v>
      </c>
      <c r="CB269">
        <f>Model!CJ311</f>
        <v>0</v>
      </c>
      <c r="CC269">
        <f>Model!CK311</f>
        <v>0</v>
      </c>
      <c r="CD269">
        <f>Model!CL311</f>
        <v>0</v>
      </c>
      <c r="CE269">
        <f>Model!CM311</f>
        <v>0</v>
      </c>
      <c r="CF269">
        <f>Model!CN311</f>
        <v>0</v>
      </c>
      <c r="CG269">
        <f>Model!CO311</f>
        <v>0</v>
      </c>
      <c r="CH269">
        <f>Model!CP311</f>
        <v>0</v>
      </c>
      <c r="CI269">
        <f>Model!CQ311</f>
        <v>0</v>
      </c>
      <c r="CJ269">
        <f>Model!CR311</f>
        <v>0</v>
      </c>
      <c r="CK269">
        <f>Model!CS311</f>
        <v>0</v>
      </c>
      <c r="CL269">
        <f>Model!CT311</f>
        <v>0</v>
      </c>
      <c r="CM269">
        <f>Model!CU311</f>
        <v>0</v>
      </c>
      <c r="CN269">
        <f>Model!CV311</f>
        <v>0</v>
      </c>
      <c r="CO269">
        <f>Model!CW311</f>
        <v>0</v>
      </c>
      <c r="CP269">
        <f>Model!CX311</f>
        <v>0</v>
      </c>
      <c r="CQ269">
        <f>Model!CY311</f>
        <v>0</v>
      </c>
      <c r="CR269">
        <f>Model!CZ311</f>
        <v>0</v>
      </c>
      <c r="CS269">
        <f>Model!DA311</f>
        <v>0</v>
      </c>
      <c r="CT269">
        <f>Model!DB311</f>
        <v>0</v>
      </c>
      <c r="CU269">
        <f>Model!DC311</f>
        <v>0</v>
      </c>
      <c r="CV269">
        <f>Model!DD311</f>
        <v>0</v>
      </c>
      <c r="CW269">
        <f>Model!DE311</f>
        <v>0</v>
      </c>
      <c r="CX269">
        <f>Model!DF311</f>
        <v>0</v>
      </c>
    </row>
    <row r="270" spans="1:102">
      <c r="A270" t="str">
        <f>Model!I312</f>
        <v>Gross Profit</v>
      </c>
      <c r="B270">
        <f>Model!J312</f>
        <v>0</v>
      </c>
      <c r="C270">
        <f>Model!K312</f>
        <v>0</v>
      </c>
      <c r="D270">
        <f>Model!L312</f>
        <v>0</v>
      </c>
      <c r="E270">
        <f>Model!M312</f>
        <v>0</v>
      </c>
      <c r="F270">
        <f>Model!N312</f>
        <v>0</v>
      </c>
      <c r="G270">
        <f>Model!O312</f>
        <v>0</v>
      </c>
      <c r="H270">
        <f>Model!P312</f>
        <v>0</v>
      </c>
      <c r="I270">
        <f>Model!Q312</f>
        <v>0</v>
      </c>
      <c r="J270">
        <f>Model!R312</f>
        <v>0</v>
      </c>
      <c r="K270">
        <f>Model!S312</f>
        <v>0</v>
      </c>
      <c r="L270">
        <f>Model!T312</f>
        <v>0</v>
      </c>
      <c r="M270">
        <f>Model!U312</f>
        <v>0</v>
      </c>
      <c r="N270">
        <f>Model!V312</f>
        <v>0</v>
      </c>
      <c r="O270">
        <f>Model!W312</f>
        <v>0</v>
      </c>
      <c r="P270">
        <f>Model!X312</f>
        <v>0</v>
      </c>
      <c r="Q270">
        <f>Model!Y312</f>
        <v>0</v>
      </c>
      <c r="R270">
        <f>Model!Z312</f>
        <v>0</v>
      </c>
      <c r="S270">
        <f>Model!AA312</f>
        <v>0</v>
      </c>
      <c r="T270">
        <f>Model!AB312</f>
        <v>0</v>
      </c>
      <c r="U270">
        <f>Model!AC312</f>
        <v>0</v>
      </c>
      <c r="V270">
        <f>Model!AD312</f>
        <v>0</v>
      </c>
      <c r="W270">
        <f>Model!AE312</f>
        <v>0</v>
      </c>
      <c r="X270">
        <f>Model!AF312</f>
        <v>0</v>
      </c>
      <c r="Y270">
        <f>Model!AG312</f>
        <v>0</v>
      </c>
      <c r="Z270">
        <f>Model!AH312</f>
        <v>0</v>
      </c>
      <c r="AA270">
        <f>Model!AI312</f>
        <v>0</v>
      </c>
      <c r="AB270">
        <f>Model!AJ312</f>
        <v>0</v>
      </c>
      <c r="AC270">
        <f>Model!AK312</f>
        <v>0</v>
      </c>
      <c r="AD270">
        <f>Model!AL312</f>
        <v>0</v>
      </c>
      <c r="AE270">
        <f>Model!AM312</f>
        <v>0</v>
      </c>
      <c r="AF270">
        <f>Model!AN312</f>
        <v>0</v>
      </c>
      <c r="AG270">
        <f>Model!AO312</f>
        <v>0</v>
      </c>
      <c r="AH270">
        <f>Model!AP312</f>
        <v>0</v>
      </c>
      <c r="AI270">
        <f>Model!AQ312</f>
        <v>0</v>
      </c>
      <c r="AJ270">
        <f>Model!AR312</f>
        <v>0</v>
      </c>
      <c r="AK270">
        <f>Model!AS312</f>
        <v>0</v>
      </c>
      <c r="AL270">
        <f>Model!AT312</f>
        <v>0</v>
      </c>
      <c r="AM270">
        <f>Model!AU312</f>
        <v>0</v>
      </c>
      <c r="AN270">
        <f>Model!AV312</f>
        <v>0</v>
      </c>
      <c r="AO270">
        <f>Model!AW312</f>
        <v>0</v>
      </c>
      <c r="AP270">
        <f>Model!AX312</f>
        <v>0</v>
      </c>
      <c r="AQ270">
        <f>Model!AY312</f>
        <v>0</v>
      </c>
      <c r="AR270">
        <f>Model!AZ312</f>
        <v>0</v>
      </c>
      <c r="AS270">
        <f>Model!BA312</f>
        <v>0</v>
      </c>
      <c r="AT270">
        <f>Model!BB312</f>
        <v>0</v>
      </c>
      <c r="AU270">
        <f>Model!BC312</f>
        <v>0</v>
      </c>
      <c r="AV270">
        <f>Model!BD312</f>
        <v>0</v>
      </c>
      <c r="AW270">
        <f>Model!BE312</f>
        <v>0</v>
      </c>
      <c r="AX270">
        <f>Model!BF312</f>
        <v>0</v>
      </c>
      <c r="AY270">
        <f>Model!BG312</f>
        <v>0</v>
      </c>
      <c r="AZ270">
        <f>Model!BH312</f>
        <v>0</v>
      </c>
      <c r="BA270">
        <f>Model!BI312</f>
        <v>76.816000000000003</v>
      </c>
      <c r="BB270">
        <f>Model!BJ312</f>
        <v>28.115976000000003</v>
      </c>
      <c r="BC270">
        <f>Model!BK312</f>
        <v>62.842544999999994</v>
      </c>
      <c r="BD270">
        <f>Model!BL312</f>
        <v>50.746500000000005</v>
      </c>
      <c r="BE270">
        <f>Model!BM312</f>
        <v>65.628225</v>
      </c>
      <c r="BF270">
        <f>Model!BN312</f>
        <v>66.940789500000008</v>
      </c>
      <c r="BG270">
        <f>Model!BO312</f>
        <v>72.268926749999991</v>
      </c>
      <c r="BH270">
        <f>Model!BP312</f>
        <v>58.358474999999999</v>
      </c>
      <c r="BI270">
        <f>Model!BQ312</f>
        <v>73.503612000000004</v>
      </c>
      <c r="BJ270">
        <f>Model!BR312</f>
        <v>74.973684240000011</v>
      </c>
      <c r="BK270">
        <f>Model!BS312</f>
        <v>80.941197959999997</v>
      </c>
      <c r="BL270">
        <f>Model!BT312</f>
        <v>65.361491999999998</v>
      </c>
      <c r="BM270">
        <f>Model!BU312</f>
        <v>78.648864840000016</v>
      </c>
      <c r="BN270">
        <f>Model!BV312</f>
        <v>80.221842136800021</v>
      </c>
      <c r="BO270">
        <f>Model!BW312</f>
        <v>86.607081817199997</v>
      </c>
      <c r="BP270">
        <f>Model!BX312</f>
        <v>69.936796440000009</v>
      </c>
      <c r="BQ270">
        <f>Model!BY312</f>
        <v>82.581308082000021</v>
      </c>
      <c r="BR270">
        <f>Model!BZ312</f>
        <v>84.232934243640031</v>
      </c>
      <c r="BS270">
        <f>Model!CA312</f>
        <v>90.937435908059996</v>
      </c>
      <c r="BT270">
        <f>Model!CB312</f>
        <v>73.433636262000007</v>
      </c>
      <c r="BU270">
        <f>Model!CC312</f>
        <v>86.710373486100025</v>
      </c>
      <c r="BV270">
        <f>Model!CD312</f>
        <v>88.444580955822033</v>
      </c>
      <c r="BW270">
        <f>Model!CE312</f>
        <v>95.484307703463003</v>
      </c>
      <c r="BX270">
        <f>Model!CF312</f>
        <v>77.105318075100016</v>
      </c>
      <c r="BY270">
        <f>Model!CG312</f>
        <v>0</v>
      </c>
      <c r="BZ270">
        <f>Model!CH312</f>
        <v>0</v>
      </c>
      <c r="CA270">
        <f>Model!CI312</f>
        <v>0</v>
      </c>
      <c r="CB270">
        <f>Model!CJ312</f>
        <v>0</v>
      </c>
      <c r="CC270">
        <f>Model!CK312</f>
        <v>0</v>
      </c>
      <c r="CD270">
        <f>Model!CL312</f>
        <v>0</v>
      </c>
      <c r="CE270">
        <f>Model!CM312</f>
        <v>0</v>
      </c>
      <c r="CF270">
        <f>Model!CN312</f>
        <v>0</v>
      </c>
      <c r="CG270">
        <f>Model!CO312</f>
        <v>0</v>
      </c>
      <c r="CH270">
        <f>Model!CP312</f>
        <v>0</v>
      </c>
      <c r="CI270">
        <f>Model!CQ312</f>
        <v>0</v>
      </c>
      <c r="CJ270">
        <f>Model!CR312</f>
        <v>0</v>
      </c>
      <c r="CK270">
        <f>Model!CS312</f>
        <v>0</v>
      </c>
      <c r="CL270">
        <f>Model!CT312</f>
        <v>141.70502099999999</v>
      </c>
      <c r="CM270">
        <f>Model!CU312</f>
        <v>263.19641624999997</v>
      </c>
      <c r="CN270">
        <f>Model!CV312</f>
        <v>294.7799862</v>
      </c>
      <c r="CO270">
        <f>Model!CW312</f>
        <v>315.41458523400001</v>
      </c>
      <c r="CP270">
        <f>Model!CX312</f>
        <v>331.18531449570008</v>
      </c>
      <c r="CQ270">
        <f>Model!CY312</f>
        <v>347.74458022048503</v>
      </c>
      <c r="CR270">
        <f>Model!CZ312</f>
        <v>365.13180923150924</v>
      </c>
      <c r="CS270">
        <f>Model!DA312</f>
        <v>383.38839969308464</v>
      </c>
      <c r="CT270">
        <f>Model!DB312</f>
        <v>402.55781967773879</v>
      </c>
      <c r="CU270">
        <f>Model!DC312</f>
        <v>422.68571066162565</v>
      </c>
      <c r="CV270">
        <f>Model!DD312</f>
        <v>443.81999619470685</v>
      </c>
      <c r="CW270">
        <f>Model!DE312</f>
        <v>466.01099600444212</v>
      </c>
      <c r="CX270">
        <f>Model!DF312</f>
        <v>489.31154580466415</v>
      </c>
    </row>
    <row r="271" spans="1:102">
      <c r="A271" t="str">
        <f>Model!I313</f>
        <v>Gross Margin %</v>
      </c>
      <c r="B271">
        <f>Model!J313</f>
        <v>0</v>
      </c>
      <c r="C271">
        <f>Model!K313</f>
        <v>0</v>
      </c>
      <c r="D271">
        <f>Model!L313</f>
        <v>0</v>
      </c>
      <c r="E271">
        <f>Model!M313</f>
        <v>0</v>
      </c>
      <c r="F271">
        <f>Model!N313</f>
        <v>0</v>
      </c>
      <c r="G271">
        <f>Model!O313</f>
        <v>0</v>
      </c>
      <c r="H271">
        <f>Model!P313</f>
        <v>0</v>
      </c>
      <c r="I271">
        <f>Model!Q313</f>
        <v>0</v>
      </c>
      <c r="J271">
        <f>Model!R313</f>
        <v>0</v>
      </c>
      <c r="K271">
        <f>Model!S313</f>
        <v>0</v>
      </c>
      <c r="L271">
        <f>Model!T313</f>
        <v>0</v>
      </c>
      <c r="M271">
        <f>Model!U313</f>
        <v>0</v>
      </c>
      <c r="N271">
        <f>Model!V313</f>
        <v>0</v>
      </c>
      <c r="O271">
        <f>Model!W313</f>
        <v>0</v>
      </c>
      <c r="P271">
        <f>Model!X313</f>
        <v>0</v>
      </c>
      <c r="Q271">
        <f>Model!Y313</f>
        <v>0</v>
      </c>
      <c r="R271">
        <f>Model!Z313</f>
        <v>0</v>
      </c>
      <c r="S271">
        <f>Model!AA313</f>
        <v>0</v>
      </c>
      <c r="T271">
        <f>Model!AB313</f>
        <v>0</v>
      </c>
      <c r="U271">
        <f>Model!AC313</f>
        <v>0</v>
      </c>
      <c r="V271">
        <f>Model!AD313</f>
        <v>0</v>
      </c>
      <c r="W271">
        <f>Model!AE313</f>
        <v>0</v>
      </c>
      <c r="X271">
        <f>Model!AF313</f>
        <v>0</v>
      </c>
      <c r="Y271">
        <f>Model!AG313</f>
        <v>0</v>
      </c>
      <c r="Z271">
        <f>Model!AH313</f>
        <v>0</v>
      </c>
      <c r="AA271">
        <f>Model!AI313</f>
        <v>0</v>
      </c>
      <c r="AB271">
        <f>Model!AJ313</f>
        <v>0</v>
      </c>
      <c r="AC271">
        <f>Model!AK313</f>
        <v>0</v>
      </c>
      <c r="AD271">
        <f>Model!AL313</f>
        <v>0</v>
      </c>
      <c r="AE271">
        <f>Model!AM313</f>
        <v>0</v>
      </c>
      <c r="AF271">
        <f>Model!AN313</f>
        <v>0</v>
      </c>
      <c r="AG271">
        <f>Model!AO313</f>
        <v>0</v>
      </c>
      <c r="AH271">
        <f>Model!AP313</f>
        <v>0</v>
      </c>
      <c r="AI271">
        <f>Model!AQ313</f>
        <v>0</v>
      </c>
      <c r="AJ271">
        <f>Model!AR313</f>
        <v>0</v>
      </c>
      <c r="AK271">
        <f>Model!AS313</f>
        <v>0</v>
      </c>
      <c r="AL271">
        <f>Model!AT313</f>
        <v>0</v>
      </c>
      <c r="AM271">
        <f>Model!AU313</f>
        <v>0</v>
      </c>
      <c r="AN271">
        <f>Model!AV313</f>
        <v>0</v>
      </c>
      <c r="AO271">
        <f>Model!AW313</f>
        <v>0</v>
      </c>
      <c r="AP271">
        <f>Model!AX313</f>
        <v>0</v>
      </c>
      <c r="AQ271">
        <f>Model!AY313</f>
        <v>0</v>
      </c>
      <c r="AR271">
        <f>Model!AZ313</f>
        <v>0</v>
      </c>
      <c r="AS271">
        <f>Model!BA313</f>
        <v>0</v>
      </c>
      <c r="AT271">
        <f>Model!BB313</f>
        <v>0</v>
      </c>
      <c r="AU271">
        <f>Model!BC313</f>
        <v>0</v>
      </c>
      <c r="AV271">
        <f>Model!BD313</f>
        <v>0</v>
      </c>
      <c r="AW271">
        <f>Model!BE313</f>
        <v>0</v>
      </c>
      <c r="AX271">
        <f>Model!BF313</f>
        <v>0</v>
      </c>
      <c r="AY271">
        <f>Model!BG313</f>
        <v>0</v>
      </c>
      <c r="AZ271">
        <f>Model!BH313</f>
        <v>0</v>
      </c>
      <c r="BA271">
        <f>Model!BI313</f>
        <v>0.93328635474503996</v>
      </c>
      <c r="BB271">
        <f>Model!BJ313</f>
        <v>0.90405067524115768</v>
      </c>
      <c r="BC271">
        <f>Model!BK313</f>
        <v>0.91875065789473664</v>
      </c>
      <c r="BD271">
        <f>Model!BL313</f>
        <v>0.92266363636363646</v>
      </c>
      <c r="BE271">
        <f>Model!BM313</f>
        <v>0.95113369565217387</v>
      </c>
      <c r="BF271">
        <f>Model!BN313</f>
        <v>0.87618834424083769</v>
      </c>
      <c r="BG271">
        <f>Model!BO313</f>
        <v>0.93</v>
      </c>
      <c r="BH271">
        <f>Model!BP313</f>
        <v>0.93</v>
      </c>
      <c r="BI271">
        <f>Model!BQ313</f>
        <v>0.93</v>
      </c>
      <c r="BJ271">
        <f>Model!BR313</f>
        <v>0.93</v>
      </c>
      <c r="BK271">
        <f>Model!BS313</f>
        <v>0.93</v>
      </c>
      <c r="BL271">
        <f>Model!BT313</f>
        <v>0.93</v>
      </c>
      <c r="BM271">
        <f>Model!BU313</f>
        <v>0.93</v>
      </c>
      <c r="BN271">
        <f>Model!BV313</f>
        <v>0.93</v>
      </c>
      <c r="BO271">
        <f>Model!BW313</f>
        <v>0.93</v>
      </c>
      <c r="BP271">
        <f>Model!BX313</f>
        <v>0.93</v>
      </c>
      <c r="BQ271">
        <f>Model!BY313</f>
        <v>0.93</v>
      </c>
      <c r="BR271">
        <f>Model!BZ313</f>
        <v>0.93</v>
      </c>
      <c r="BS271">
        <f>Model!CA313</f>
        <v>0.93</v>
      </c>
      <c r="BT271">
        <f>Model!CB313</f>
        <v>0.93</v>
      </c>
      <c r="BU271">
        <f>Model!CC313</f>
        <v>0.93</v>
      </c>
      <c r="BV271">
        <f>Model!CD313</f>
        <v>0.93</v>
      </c>
      <c r="BW271">
        <f>Model!CE313</f>
        <v>0.93</v>
      </c>
      <c r="BX271">
        <f>Model!CF313</f>
        <v>0.93</v>
      </c>
      <c r="BY271">
        <f>Model!CG313</f>
        <v>0</v>
      </c>
      <c r="BZ271">
        <f>Model!CH313</f>
        <v>0</v>
      </c>
      <c r="CA271">
        <f>Model!CI313</f>
        <v>0</v>
      </c>
      <c r="CB271">
        <f>Model!CJ313</f>
        <v>0</v>
      </c>
      <c r="CC271">
        <f>Model!CK313</f>
        <v>0</v>
      </c>
      <c r="CD271">
        <f>Model!CL313</f>
        <v>0</v>
      </c>
      <c r="CE271">
        <f>Model!CM313</f>
        <v>0</v>
      </c>
      <c r="CF271">
        <f>Model!CN313</f>
        <v>0</v>
      </c>
      <c r="CG271">
        <f>Model!CO313</f>
        <v>0</v>
      </c>
      <c r="CH271">
        <f>Model!CP313</f>
        <v>0</v>
      </c>
      <c r="CI271">
        <f>Model!CQ313</f>
        <v>0</v>
      </c>
      <c r="CJ271">
        <f>Model!CR313</f>
        <v>0</v>
      </c>
      <c r="CK271">
        <f>Model!CS313</f>
        <v>0</v>
      </c>
      <c r="CL271">
        <f>Model!CT313</f>
        <v>0.91718460194174745</v>
      </c>
      <c r="CM271">
        <f>Model!CU313</f>
        <v>0.92071927001242537</v>
      </c>
      <c r="CN271">
        <f>Model!CV313</f>
        <v>0.93</v>
      </c>
      <c r="CO271">
        <f>Model!CW313</f>
        <v>0.92999999999999994</v>
      </c>
      <c r="CP271">
        <f>Model!CX313</f>
        <v>0.93000000000000016</v>
      </c>
      <c r="CQ271">
        <f>Model!CY313</f>
        <v>0.93</v>
      </c>
      <c r="CR271">
        <f>Model!CZ313</f>
        <v>0.93</v>
      </c>
      <c r="CS271">
        <f>Model!DA313</f>
        <v>0.93</v>
      </c>
      <c r="CT271">
        <f>Model!DB313</f>
        <v>0.93</v>
      </c>
      <c r="CU271">
        <f>Model!DC313</f>
        <v>0.93</v>
      </c>
      <c r="CV271">
        <f>Model!DD313</f>
        <v>0.93</v>
      </c>
      <c r="CW271">
        <f>Model!DE313</f>
        <v>0.93</v>
      </c>
      <c r="CX271">
        <f>Model!DF313</f>
        <v>0.93</v>
      </c>
    </row>
    <row r="272" spans="1:102">
      <c r="A272" t="str">
        <f>Model!I314</f>
        <v>% change Y/Y</v>
      </c>
      <c r="B272">
        <f>Model!J314</f>
        <v>0</v>
      </c>
      <c r="C272">
        <f>Model!K314</f>
        <v>0</v>
      </c>
      <c r="D272">
        <f>Model!L314</f>
        <v>0</v>
      </c>
      <c r="E272">
        <f>Model!M314</f>
        <v>0</v>
      </c>
      <c r="F272">
        <f>Model!N314</f>
        <v>0</v>
      </c>
      <c r="G272">
        <f>Model!O314</f>
        <v>0</v>
      </c>
      <c r="H272">
        <f>Model!P314</f>
        <v>0</v>
      </c>
      <c r="I272">
        <f>Model!Q314</f>
        <v>0</v>
      </c>
      <c r="J272">
        <f>Model!R314</f>
        <v>0</v>
      </c>
      <c r="K272">
        <f>Model!S314</f>
        <v>0</v>
      </c>
      <c r="L272">
        <f>Model!T314</f>
        <v>0</v>
      </c>
      <c r="M272">
        <f>Model!U314</f>
        <v>0</v>
      </c>
      <c r="N272">
        <f>Model!V314</f>
        <v>0</v>
      </c>
      <c r="O272">
        <f>Model!W314</f>
        <v>0</v>
      </c>
      <c r="P272">
        <f>Model!X314</f>
        <v>0</v>
      </c>
      <c r="Q272">
        <f>Model!Y314</f>
        <v>0</v>
      </c>
      <c r="R272">
        <f>Model!Z314</f>
        <v>0</v>
      </c>
      <c r="S272">
        <f>Model!AA314</f>
        <v>0</v>
      </c>
      <c r="T272">
        <f>Model!AB314</f>
        <v>0</v>
      </c>
      <c r="U272">
        <f>Model!AC314</f>
        <v>0</v>
      </c>
      <c r="V272">
        <f>Model!AD314</f>
        <v>0</v>
      </c>
      <c r="W272">
        <f>Model!AE314</f>
        <v>0</v>
      </c>
      <c r="X272">
        <f>Model!AF314</f>
        <v>0</v>
      </c>
      <c r="Y272">
        <f>Model!AG314</f>
        <v>0</v>
      </c>
      <c r="Z272">
        <f>Model!AH314</f>
        <v>0</v>
      </c>
      <c r="AA272">
        <f>Model!AI314</f>
        <v>0</v>
      </c>
      <c r="AB272">
        <f>Model!AJ314</f>
        <v>0</v>
      </c>
      <c r="AC272">
        <f>Model!AK314</f>
        <v>0</v>
      </c>
      <c r="AD272">
        <f>Model!AL314</f>
        <v>0</v>
      </c>
      <c r="AE272">
        <f>Model!AM314</f>
        <v>0</v>
      </c>
      <c r="AF272">
        <f>Model!AN314</f>
        <v>0</v>
      </c>
      <c r="AG272">
        <f>Model!AO314</f>
        <v>0</v>
      </c>
      <c r="AH272">
        <f>Model!AP314</f>
        <v>0</v>
      </c>
      <c r="AI272">
        <f>Model!AQ314</f>
        <v>0</v>
      </c>
      <c r="AJ272">
        <f>Model!AR314</f>
        <v>0</v>
      </c>
      <c r="AK272">
        <f>Model!AS314</f>
        <v>0</v>
      </c>
      <c r="AL272">
        <f>Model!AT314</f>
        <v>0</v>
      </c>
      <c r="AM272">
        <f>Model!AU314</f>
        <v>0</v>
      </c>
      <c r="AN272">
        <f>Model!AV314</f>
        <v>0</v>
      </c>
      <c r="AO272">
        <f>Model!AW314</f>
        <v>0</v>
      </c>
      <c r="AP272">
        <f>Model!AX314</f>
        <v>0</v>
      </c>
      <c r="AQ272">
        <f>Model!AY314</f>
        <v>0</v>
      </c>
      <c r="AR272">
        <f>Model!AZ314</f>
        <v>0</v>
      </c>
      <c r="AS272">
        <f>Model!BA314</f>
        <v>0</v>
      </c>
      <c r="AT272">
        <f>Model!BB314</f>
        <v>0</v>
      </c>
      <c r="AU272">
        <f>Model!BC314</f>
        <v>0</v>
      </c>
      <c r="AV272">
        <f>Model!BD314</f>
        <v>0</v>
      </c>
      <c r="AW272">
        <f>Model!BE314</f>
        <v>0</v>
      </c>
      <c r="AX272">
        <f>Model!BF314</f>
        <v>0</v>
      </c>
      <c r="AY272">
        <f>Model!BG314</f>
        <v>0</v>
      </c>
      <c r="AZ272">
        <f>Model!BH314</f>
        <v>0</v>
      </c>
      <c r="BA272">
        <f>Model!BI314</f>
        <v>0</v>
      </c>
      <c r="BB272">
        <f>Model!BJ314</f>
        <v>0</v>
      </c>
      <c r="BC272">
        <f>Model!BK314</f>
        <v>0</v>
      </c>
      <c r="BD272">
        <f>Model!BL314</f>
        <v>0</v>
      </c>
      <c r="BE272">
        <f>Model!BM314</f>
        <v>0</v>
      </c>
      <c r="BF272">
        <f>Model!BN314</f>
        <v>1.3808808735645526</v>
      </c>
      <c r="BG272">
        <f>Model!BO314</f>
        <v>0.15</v>
      </c>
      <c r="BH272">
        <f>Model!BP314</f>
        <v>0.15</v>
      </c>
      <c r="BI272">
        <f>Model!BQ314</f>
        <v>0.12</v>
      </c>
      <c r="BJ272">
        <f>Model!BR314</f>
        <v>0.12</v>
      </c>
      <c r="BK272">
        <f>Model!BS314</f>
        <v>0.12</v>
      </c>
      <c r="BL272">
        <f>Model!BT314</f>
        <v>0.12</v>
      </c>
      <c r="BM272">
        <f>Model!BU314</f>
        <v>7.0000000000000007E-2</v>
      </c>
      <c r="BN272">
        <f>Model!BV314</f>
        <v>7.0000000000000007E-2</v>
      </c>
      <c r="BO272">
        <f>Model!BW314</f>
        <v>7.0000000000000007E-2</v>
      </c>
      <c r="BP272">
        <f>Model!BX314</f>
        <v>7.0000000000000007E-2</v>
      </c>
      <c r="BQ272">
        <f>Model!BY314</f>
        <v>0.05</v>
      </c>
      <c r="BR272">
        <f>Model!BZ314</f>
        <v>0.05</v>
      </c>
      <c r="BS272">
        <f>Model!CA314</f>
        <v>0.05</v>
      </c>
      <c r="BT272">
        <f>Model!CB314</f>
        <v>0.05</v>
      </c>
      <c r="BU272">
        <f>Model!CC314</f>
        <v>0.05</v>
      </c>
      <c r="BV272">
        <f>Model!CD314</f>
        <v>0.05</v>
      </c>
      <c r="BW272">
        <f>Model!CE314</f>
        <v>0.05</v>
      </c>
      <c r="BX272">
        <f>Model!CF314</f>
        <v>0.05</v>
      </c>
      <c r="BY272">
        <f>Model!CG314</f>
        <v>0</v>
      </c>
      <c r="BZ272">
        <f>Model!CH315</f>
        <v>0</v>
      </c>
      <c r="CA272">
        <f>Model!CI315</f>
        <v>0</v>
      </c>
      <c r="CB272">
        <f>Model!CJ315</f>
        <v>0</v>
      </c>
      <c r="CC272">
        <f>Model!CK315</f>
        <v>0</v>
      </c>
      <c r="CD272">
        <f>Model!CL315</f>
        <v>0</v>
      </c>
      <c r="CE272">
        <f>Model!CM315</f>
        <v>0</v>
      </c>
      <c r="CF272">
        <f>Model!CN315</f>
        <v>0</v>
      </c>
      <c r="CG272">
        <f>Model!CO315</f>
        <v>0</v>
      </c>
      <c r="CH272">
        <f>Model!CP315</f>
        <v>0</v>
      </c>
      <c r="CI272">
        <f>Model!CQ315</f>
        <v>0</v>
      </c>
      <c r="CJ272">
        <f>Model!CR315</f>
        <v>0</v>
      </c>
      <c r="CK272">
        <f>Model!CS315</f>
        <v>0</v>
      </c>
      <c r="CL272">
        <f>Model!CT315</f>
        <v>0</v>
      </c>
      <c r="CM272">
        <f>Model!CU315</f>
        <v>0</v>
      </c>
      <c r="CN272">
        <f>Model!CV315</f>
        <v>0</v>
      </c>
      <c r="CO272">
        <f>Model!CW315</f>
        <v>0</v>
      </c>
      <c r="CP272">
        <f>Model!CX315</f>
        <v>0</v>
      </c>
      <c r="CQ272">
        <f>Model!CY315</f>
        <v>0</v>
      </c>
      <c r="CR272">
        <f>Model!CZ315</f>
        <v>0</v>
      </c>
      <c r="CS272">
        <f>Model!DA315</f>
        <v>0</v>
      </c>
      <c r="CT272">
        <f>Model!DB315</f>
        <v>0</v>
      </c>
      <c r="CU272">
        <f>Model!DC315</f>
        <v>0</v>
      </c>
      <c r="CV272">
        <f>Model!DD315</f>
        <v>0</v>
      </c>
      <c r="CW272">
        <f>Model!DE315</f>
        <v>0</v>
      </c>
      <c r="CX272">
        <f>Model!DF315</f>
        <v>0</v>
      </c>
    </row>
    <row r="273" spans="1:102">
      <c r="A273">
        <f>Model!I316</f>
        <v>0</v>
      </c>
      <c r="B273">
        <f>Model!J316</f>
        <v>0</v>
      </c>
      <c r="C273">
        <f>Model!K316</f>
        <v>0</v>
      </c>
      <c r="D273">
        <f>Model!L316</f>
        <v>0</v>
      </c>
      <c r="E273">
        <f>Model!M316</f>
        <v>0</v>
      </c>
      <c r="F273">
        <f>Model!N316</f>
        <v>0</v>
      </c>
      <c r="G273">
        <f>Model!O316</f>
        <v>0</v>
      </c>
      <c r="H273">
        <f>Model!P316</f>
        <v>0</v>
      </c>
      <c r="I273">
        <f>Model!Q316</f>
        <v>0</v>
      </c>
      <c r="J273">
        <f>Model!R316</f>
        <v>0</v>
      </c>
      <c r="K273">
        <f>Model!S316</f>
        <v>0</v>
      </c>
      <c r="L273">
        <f>Model!T316</f>
        <v>0</v>
      </c>
      <c r="M273">
        <f>Model!U316</f>
        <v>0</v>
      </c>
      <c r="N273">
        <f>Model!V316</f>
        <v>0</v>
      </c>
      <c r="O273">
        <f>Model!W316</f>
        <v>0</v>
      </c>
      <c r="P273">
        <f>Model!X316</f>
        <v>0</v>
      </c>
      <c r="Q273">
        <f>Model!Y316</f>
        <v>0</v>
      </c>
      <c r="R273">
        <f>Model!Z316</f>
        <v>0</v>
      </c>
      <c r="S273">
        <f>Model!AA316</f>
        <v>0</v>
      </c>
      <c r="T273">
        <f>Model!AB316</f>
        <v>0</v>
      </c>
      <c r="U273">
        <f>Model!AC316</f>
        <v>0</v>
      </c>
      <c r="V273">
        <f>Model!AD316</f>
        <v>0</v>
      </c>
      <c r="W273">
        <f>Model!AE316</f>
        <v>0</v>
      </c>
      <c r="X273">
        <f>Model!AF316</f>
        <v>0</v>
      </c>
      <c r="Y273">
        <f>Model!AG316</f>
        <v>0</v>
      </c>
      <c r="Z273">
        <f>Model!AH316</f>
        <v>0</v>
      </c>
      <c r="AA273">
        <f>Model!AI316</f>
        <v>0</v>
      </c>
      <c r="AB273">
        <f>Model!AJ316</f>
        <v>0</v>
      </c>
      <c r="AC273">
        <f>Model!AK316</f>
        <v>0</v>
      </c>
      <c r="AD273">
        <f>Model!AL316</f>
        <v>0</v>
      </c>
      <c r="AE273">
        <f>Model!AM316</f>
        <v>0</v>
      </c>
      <c r="AF273">
        <f>Model!AN316</f>
        <v>0</v>
      </c>
      <c r="AG273">
        <f>Model!AO316</f>
        <v>0</v>
      </c>
      <c r="AH273">
        <f>Model!AP316</f>
        <v>0</v>
      </c>
      <c r="AI273">
        <f>Model!AQ316</f>
        <v>0</v>
      </c>
      <c r="AJ273">
        <f>Model!AR316</f>
        <v>0</v>
      </c>
      <c r="AK273">
        <f>Model!AS316</f>
        <v>0</v>
      </c>
      <c r="AL273">
        <f>Model!AT316</f>
        <v>0</v>
      </c>
      <c r="AM273">
        <f>Model!AU316</f>
        <v>0</v>
      </c>
      <c r="AN273">
        <f>Model!AV316</f>
        <v>0</v>
      </c>
      <c r="AO273">
        <f>Model!AW316</f>
        <v>0</v>
      </c>
      <c r="AP273">
        <f>Model!AX316</f>
        <v>0</v>
      </c>
      <c r="AQ273">
        <f>Model!AY316</f>
        <v>0</v>
      </c>
      <c r="AR273">
        <f>Model!AZ316</f>
        <v>0</v>
      </c>
      <c r="AS273">
        <f>Model!BA316</f>
        <v>0</v>
      </c>
      <c r="AT273">
        <f>Model!BB316</f>
        <v>0</v>
      </c>
      <c r="AU273">
        <f>Model!BC316</f>
        <v>0</v>
      </c>
      <c r="AV273">
        <f>Model!BD316</f>
        <v>0</v>
      </c>
      <c r="AW273">
        <f>Model!BE316</f>
        <v>0</v>
      </c>
      <c r="AX273">
        <f>Model!BF316</f>
        <v>0</v>
      </c>
      <c r="AY273">
        <f>Model!BG316</f>
        <v>0</v>
      </c>
      <c r="AZ273">
        <f>Model!BH316</f>
        <v>0</v>
      </c>
      <c r="BA273">
        <f>Model!BI316</f>
        <v>0</v>
      </c>
      <c r="BB273">
        <f>Model!BJ316</f>
        <v>0</v>
      </c>
      <c r="BC273">
        <f>Model!BK316</f>
        <v>0</v>
      </c>
      <c r="BD273">
        <f>Model!BL316</f>
        <v>0</v>
      </c>
      <c r="BE273">
        <f>Model!BM316</f>
        <v>0</v>
      </c>
      <c r="BF273">
        <f>Model!BN316</f>
        <v>0</v>
      </c>
      <c r="BG273">
        <f>Model!BO316</f>
        <v>0</v>
      </c>
      <c r="BH273">
        <f>Model!BP316</f>
        <v>0</v>
      </c>
      <c r="BI273">
        <f>Model!BQ316</f>
        <v>0</v>
      </c>
      <c r="BJ273">
        <f>Model!BR316</f>
        <v>0</v>
      </c>
      <c r="BK273">
        <f>Model!BS316</f>
        <v>0</v>
      </c>
      <c r="BL273">
        <f>Model!BT316</f>
        <v>0</v>
      </c>
      <c r="BM273">
        <f>Model!BU316</f>
        <v>0</v>
      </c>
      <c r="BN273">
        <f>Model!BV316</f>
        <v>0</v>
      </c>
      <c r="BO273">
        <f>Model!BW316</f>
        <v>0</v>
      </c>
      <c r="BP273">
        <f>Model!BX316</f>
        <v>0</v>
      </c>
      <c r="BQ273">
        <f>Model!BY316</f>
        <v>0</v>
      </c>
      <c r="BR273">
        <f>Model!BZ316</f>
        <v>0</v>
      </c>
      <c r="BS273">
        <f>Model!CA316</f>
        <v>0</v>
      </c>
      <c r="BT273">
        <f>Model!CB316</f>
        <v>0</v>
      </c>
      <c r="BU273">
        <f>Model!CC316</f>
        <v>0</v>
      </c>
      <c r="BV273">
        <f>Model!CD316</f>
        <v>0</v>
      </c>
      <c r="BW273">
        <f>Model!CE316</f>
        <v>0</v>
      </c>
      <c r="BX273">
        <f>Model!CF316</f>
        <v>0</v>
      </c>
      <c r="BY273">
        <f>Model!CG316</f>
        <v>0</v>
      </c>
      <c r="BZ273">
        <f>Model!CH316</f>
        <v>0</v>
      </c>
      <c r="CA273">
        <f>Model!CI316</f>
        <v>0</v>
      </c>
      <c r="CB273">
        <f>Model!CJ316</f>
        <v>0</v>
      </c>
      <c r="CC273">
        <f>Model!CK316</f>
        <v>0</v>
      </c>
      <c r="CD273">
        <f>Model!CL316</f>
        <v>0</v>
      </c>
      <c r="CE273">
        <f>Model!CM316</f>
        <v>0</v>
      </c>
      <c r="CF273">
        <f>Model!CN316</f>
        <v>0</v>
      </c>
      <c r="CG273">
        <f>Model!CO316</f>
        <v>0</v>
      </c>
      <c r="CH273">
        <f>Model!CP316</f>
        <v>0</v>
      </c>
      <c r="CI273">
        <f>Model!CQ316</f>
        <v>0</v>
      </c>
      <c r="CJ273">
        <f>Model!CR316</f>
        <v>0</v>
      </c>
      <c r="CK273">
        <f>Model!CS316</f>
        <v>0</v>
      </c>
      <c r="CL273">
        <f>Model!CT316</f>
        <v>0</v>
      </c>
      <c r="CM273">
        <f>Model!CU316</f>
        <v>0</v>
      </c>
      <c r="CN273">
        <f>Model!CV316</f>
        <v>0</v>
      </c>
      <c r="CO273">
        <f>Model!CW316</f>
        <v>0</v>
      </c>
      <c r="CP273">
        <f>Model!CX316</f>
        <v>0</v>
      </c>
      <c r="CQ273">
        <f>Model!CY316</f>
        <v>0</v>
      </c>
      <c r="CR273">
        <f>Model!CZ316</f>
        <v>0</v>
      </c>
      <c r="CS273">
        <f>Model!DA316</f>
        <v>0</v>
      </c>
      <c r="CT273">
        <f>Model!DB316</f>
        <v>0</v>
      </c>
      <c r="CU273">
        <f>Model!DC316</f>
        <v>0</v>
      </c>
      <c r="CV273">
        <f>Model!DD316</f>
        <v>0</v>
      </c>
      <c r="CW273">
        <f>Model!DE316</f>
        <v>0</v>
      </c>
      <c r="CX273">
        <f>Model!DF316</f>
        <v>0</v>
      </c>
    </row>
    <row r="274" spans="1:102">
      <c r="A274" t="str">
        <f>Model!I317</f>
        <v>OpenTable</v>
      </c>
      <c r="B274">
        <f>Model!J317</f>
        <v>0</v>
      </c>
      <c r="C274">
        <f>Model!K317</f>
        <v>0</v>
      </c>
      <c r="D274">
        <f>Model!L317</f>
        <v>0</v>
      </c>
      <c r="E274">
        <f>Model!M317</f>
        <v>0</v>
      </c>
      <c r="F274">
        <f>Model!N317</f>
        <v>0</v>
      </c>
      <c r="G274">
        <f>Model!O317</f>
        <v>0</v>
      </c>
      <c r="H274">
        <f>Model!P317</f>
        <v>0</v>
      </c>
      <c r="I274">
        <f>Model!Q317</f>
        <v>0</v>
      </c>
      <c r="J274">
        <f>Model!R317</f>
        <v>0</v>
      </c>
      <c r="K274">
        <f>Model!S317</f>
        <v>0</v>
      </c>
      <c r="L274">
        <f>Model!T317</f>
        <v>0</v>
      </c>
      <c r="M274">
        <f>Model!U317</f>
        <v>0</v>
      </c>
      <c r="N274">
        <f>Model!V317</f>
        <v>0</v>
      </c>
      <c r="O274">
        <f>Model!W317</f>
        <v>0</v>
      </c>
      <c r="P274">
        <f>Model!X317</f>
        <v>0</v>
      </c>
      <c r="Q274">
        <f>Model!Y317</f>
        <v>0</v>
      </c>
      <c r="R274">
        <f>Model!Z317</f>
        <v>0</v>
      </c>
      <c r="S274">
        <f>Model!AA317</f>
        <v>0</v>
      </c>
      <c r="T274">
        <f>Model!AB317</f>
        <v>0</v>
      </c>
      <c r="U274">
        <f>Model!AC317</f>
        <v>0</v>
      </c>
      <c r="V274">
        <f>Model!AD317</f>
        <v>0</v>
      </c>
      <c r="W274">
        <f>Model!AE317</f>
        <v>0</v>
      </c>
      <c r="X274">
        <f>Model!AF317</f>
        <v>0</v>
      </c>
      <c r="Y274">
        <f>Model!AG317</f>
        <v>0</v>
      </c>
      <c r="Z274">
        <f>Model!AH317</f>
        <v>0</v>
      </c>
      <c r="AA274">
        <f>Model!AI317</f>
        <v>0</v>
      </c>
      <c r="AB274">
        <f>Model!AJ317</f>
        <v>0</v>
      </c>
      <c r="AC274">
        <f>Model!AK317</f>
        <v>0</v>
      </c>
      <c r="AD274">
        <f>Model!AL317</f>
        <v>0</v>
      </c>
      <c r="AE274">
        <f>Model!AM317</f>
        <v>0</v>
      </c>
      <c r="AF274">
        <f>Model!AN317</f>
        <v>0</v>
      </c>
      <c r="AG274">
        <f>Model!AO317</f>
        <v>0</v>
      </c>
      <c r="AH274">
        <f>Model!AP317</f>
        <v>0</v>
      </c>
      <c r="AI274">
        <f>Model!AQ317</f>
        <v>0</v>
      </c>
      <c r="AJ274">
        <f>Model!AR317</f>
        <v>0</v>
      </c>
      <c r="AK274">
        <f>Model!AS317</f>
        <v>0</v>
      </c>
      <c r="AL274">
        <f>Model!AT317</f>
        <v>0</v>
      </c>
      <c r="AM274">
        <f>Model!AU317</f>
        <v>0</v>
      </c>
      <c r="AN274">
        <f>Model!AV317</f>
        <v>0</v>
      </c>
      <c r="AO274">
        <f>Model!AW317</f>
        <v>0</v>
      </c>
      <c r="AP274">
        <f>Model!AX317</f>
        <v>0</v>
      </c>
      <c r="AQ274">
        <f>Model!AY317</f>
        <v>0</v>
      </c>
      <c r="AR274">
        <f>Model!AZ317</f>
        <v>0</v>
      </c>
      <c r="AS274">
        <f>Model!BA317</f>
        <v>0</v>
      </c>
      <c r="AT274">
        <f>Model!BB317</f>
        <v>0</v>
      </c>
      <c r="AU274">
        <f>Model!BC317</f>
        <v>0</v>
      </c>
      <c r="AV274">
        <f>Model!BD317</f>
        <v>0</v>
      </c>
      <c r="AW274">
        <f>Model!BE317</f>
        <v>0</v>
      </c>
      <c r="AX274">
        <f>Model!BF317</f>
        <v>0</v>
      </c>
      <c r="AY274">
        <f>Model!BG317</f>
        <v>0</v>
      </c>
      <c r="AZ274">
        <f>Model!BH317</f>
        <v>0</v>
      </c>
      <c r="BA274">
        <f>Model!BI317</f>
        <v>0</v>
      </c>
      <c r="BB274">
        <f>Model!BJ317</f>
        <v>0</v>
      </c>
      <c r="BC274">
        <f>Model!BK317</f>
        <v>0</v>
      </c>
      <c r="BD274">
        <f>Model!BL317</f>
        <v>0</v>
      </c>
      <c r="BE274">
        <f>Model!BM317</f>
        <v>0</v>
      </c>
      <c r="BF274">
        <f>Model!BN317</f>
        <v>0</v>
      </c>
      <c r="BG274">
        <f>Model!BO317</f>
        <v>0</v>
      </c>
      <c r="BH274">
        <f>Model!BP317</f>
        <v>0</v>
      </c>
      <c r="BI274">
        <f>Model!BQ317</f>
        <v>0</v>
      </c>
      <c r="BJ274">
        <f>Model!BR317</f>
        <v>0</v>
      </c>
      <c r="BK274">
        <f>Model!BS317</f>
        <v>0</v>
      </c>
      <c r="BL274">
        <f>Model!BT317</f>
        <v>0</v>
      </c>
      <c r="BM274">
        <f>Model!BU317</f>
        <v>0</v>
      </c>
      <c r="BN274">
        <f>Model!BV317</f>
        <v>0</v>
      </c>
      <c r="BO274">
        <f>Model!BW317</f>
        <v>0</v>
      </c>
      <c r="BP274">
        <f>Model!BX317</f>
        <v>0</v>
      </c>
      <c r="BQ274">
        <f>Model!BY317</f>
        <v>0</v>
      </c>
      <c r="BR274">
        <f>Model!BZ317</f>
        <v>0</v>
      </c>
      <c r="BS274">
        <f>Model!CA317</f>
        <v>0</v>
      </c>
      <c r="BT274">
        <f>Model!CB317</f>
        <v>0</v>
      </c>
      <c r="BU274">
        <f>Model!CC317</f>
        <v>0</v>
      </c>
      <c r="BV274">
        <f>Model!CD317</f>
        <v>0</v>
      </c>
      <c r="BW274">
        <f>Model!CE317</f>
        <v>0</v>
      </c>
      <c r="BX274">
        <f>Model!CF317</f>
        <v>0</v>
      </c>
      <c r="BY274">
        <f>Model!CG317</f>
        <v>0</v>
      </c>
      <c r="BZ274">
        <f>Model!CH317</f>
        <v>0</v>
      </c>
      <c r="CA274">
        <f>Model!CI317</f>
        <v>0</v>
      </c>
      <c r="CB274">
        <f>Model!CJ317</f>
        <v>0</v>
      </c>
      <c r="CC274">
        <f>Model!CK317</f>
        <v>0</v>
      </c>
      <c r="CD274">
        <f>Model!CL317</f>
        <v>0</v>
      </c>
      <c r="CE274">
        <f>Model!CM317</f>
        <v>0</v>
      </c>
      <c r="CF274">
        <f>Model!CN317</f>
        <v>0</v>
      </c>
      <c r="CG274">
        <f>Model!CO317</f>
        <v>0</v>
      </c>
      <c r="CH274">
        <f>Model!CP317</f>
        <v>0</v>
      </c>
      <c r="CI274">
        <f>Model!CQ317</f>
        <v>0</v>
      </c>
      <c r="CJ274">
        <f>Model!CR317</f>
        <v>0</v>
      </c>
      <c r="CK274">
        <f>Model!CS317</f>
        <v>0</v>
      </c>
      <c r="CL274">
        <f>Model!CT317</f>
        <v>0</v>
      </c>
      <c r="CM274">
        <f>Model!CU317</f>
        <v>0</v>
      </c>
      <c r="CN274">
        <f>Model!CV317</f>
        <v>0</v>
      </c>
      <c r="CO274">
        <f>Model!CW317</f>
        <v>0</v>
      </c>
      <c r="CP274">
        <f>Model!CX317</f>
        <v>0</v>
      </c>
      <c r="CQ274">
        <f>Model!CY317</f>
        <v>0</v>
      </c>
      <c r="CR274">
        <f>Model!CZ317</f>
        <v>0</v>
      </c>
      <c r="CS274">
        <f>Model!DA317</f>
        <v>0</v>
      </c>
      <c r="CT274">
        <f>Model!DB317</f>
        <v>0</v>
      </c>
      <c r="CU274">
        <f>Model!DC317</f>
        <v>0</v>
      </c>
      <c r="CV274">
        <f>Model!DD317</f>
        <v>0</v>
      </c>
      <c r="CW274">
        <f>Model!DE317</f>
        <v>0</v>
      </c>
      <c r="CX274">
        <f>Model!DF317</f>
        <v>0</v>
      </c>
    </row>
    <row r="275" spans="1:102">
      <c r="A275">
        <f>Model!I318</f>
        <v>0</v>
      </c>
      <c r="B275">
        <f>Model!J318</f>
        <v>0</v>
      </c>
      <c r="C275">
        <f>Model!K318</f>
        <v>0</v>
      </c>
      <c r="D275">
        <f>Model!L318</f>
        <v>0</v>
      </c>
      <c r="E275">
        <f>Model!M318</f>
        <v>0</v>
      </c>
      <c r="F275">
        <f>Model!N318</f>
        <v>0</v>
      </c>
      <c r="G275">
        <f>Model!O318</f>
        <v>0</v>
      </c>
      <c r="H275">
        <f>Model!P318</f>
        <v>0</v>
      </c>
      <c r="I275">
        <f>Model!Q318</f>
        <v>0</v>
      </c>
      <c r="J275">
        <f>Model!R318</f>
        <v>0</v>
      </c>
      <c r="K275">
        <f>Model!S318</f>
        <v>0</v>
      </c>
      <c r="L275">
        <f>Model!T318</f>
        <v>0</v>
      </c>
      <c r="M275">
        <f>Model!U318</f>
        <v>0</v>
      </c>
      <c r="N275">
        <f>Model!V318</f>
        <v>0</v>
      </c>
      <c r="O275">
        <f>Model!W318</f>
        <v>0</v>
      </c>
      <c r="P275">
        <f>Model!X318</f>
        <v>0</v>
      </c>
      <c r="Q275">
        <f>Model!Y318</f>
        <v>0</v>
      </c>
      <c r="R275">
        <f>Model!Z318</f>
        <v>0</v>
      </c>
      <c r="S275">
        <f>Model!AA318</f>
        <v>0</v>
      </c>
      <c r="T275">
        <f>Model!AB318</f>
        <v>0</v>
      </c>
      <c r="U275">
        <f>Model!AC318</f>
        <v>0</v>
      </c>
      <c r="V275">
        <f>Model!AD318</f>
        <v>0</v>
      </c>
      <c r="W275">
        <f>Model!AE318</f>
        <v>0</v>
      </c>
      <c r="X275">
        <f>Model!AF318</f>
        <v>0</v>
      </c>
      <c r="Y275">
        <f>Model!AG318</f>
        <v>0</v>
      </c>
      <c r="Z275">
        <f>Model!AH318</f>
        <v>0</v>
      </c>
      <c r="AA275">
        <f>Model!AI318</f>
        <v>0</v>
      </c>
      <c r="AB275">
        <f>Model!AJ318</f>
        <v>0</v>
      </c>
      <c r="AC275">
        <f>Model!AK318</f>
        <v>0</v>
      </c>
      <c r="AD275">
        <f>Model!AL318</f>
        <v>0</v>
      </c>
      <c r="AE275">
        <f>Model!AM318</f>
        <v>0</v>
      </c>
      <c r="AF275">
        <f>Model!AN318</f>
        <v>0</v>
      </c>
      <c r="AG275">
        <f>Model!AO318</f>
        <v>0</v>
      </c>
      <c r="AH275">
        <f>Model!AP318</f>
        <v>0</v>
      </c>
      <c r="AI275">
        <f>Model!AQ318</f>
        <v>0</v>
      </c>
      <c r="AJ275">
        <f>Model!AR318</f>
        <v>0</v>
      </c>
      <c r="AK275">
        <f>Model!AS318</f>
        <v>0</v>
      </c>
      <c r="AL275">
        <f>Model!AT318</f>
        <v>0</v>
      </c>
      <c r="AM275">
        <f>Model!AU318</f>
        <v>0</v>
      </c>
      <c r="AN275">
        <f>Model!AV318</f>
        <v>0</v>
      </c>
      <c r="AO275">
        <f>Model!AW318</f>
        <v>0</v>
      </c>
      <c r="AP275">
        <f>Model!AX318</f>
        <v>0</v>
      </c>
      <c r="AQ275">
        <f>Model!AY318</f>
        <v>0</v>
      </c>
      <c r="AR275">
        <f>Model!AZ318</f>
        <v>0</v>
      </c>
      <c r="AS275">
        <f>Model!BA318</f>
        <v>0</v>
      </c>
      <c r="AT275">
        <f>Model!BB318</f>
        <v>0</v>
      </c>
      <c r="AU275">
        <f>Model!BC318</f>
        <v>0</v>
      </c>
      <c r="AV275">
        <f>Model!BD318</f>
        <v>0</v>
      </c>
      <c r="AW275">
        <f>Model!BE318</f>
        <v>0</v>
      </c>
      <c r="AX275">
        <f>Model!BF318</f>
        <v>0</v>
      </c>
      <c r="AY275">
        <f>Model!BG318</f>
        <v>0</v>
      </c>
      <c r="AZ275">
        <f>Model!BH318</f>
        <v>0</v>
      </c>
      <c r="BA275">
        <f>Model!BI318</f>
        <v>0</v>
      </c>
      <c r="BB275">
        <f>Model!BJ318</f>
        <v>0</v>
      </c>
      <c r="BC275">
        <f>Model!BK318</f>
        <v>0</v>
      </c>
      <c r="BD275">
        <f>Model!BL318</f>
        <v>0</v>
      </c>
      <c r="BE275">
        <f>Model!BM318</f>
        <v>0</v>
      </c>
      <c r="BF275">
        <f>Model!BN318</f>
        <v>0</v>
      </c>
      <c r="BG275">
        <f>Model!BO318</f>
        <v>0</v>
      </c>
      <c r="BH275">
        <f>Model!BP318</f>
        <v>0</v>
      </c>
      <c r="BI275">
        <f>Model!BQ318</f>
        <v>0</v>
      </c>
      <c r="BJ275">
        <f>Model!BR318</f>
        <v>0</v>
      </c>
      <c r="BK275">
        <f>Model!BS318</f>
        <v>0</v>
      </c>
      <c r="BL275">
        <f>Model!BT318</f>
        <v>0</v>
      </c>
      <c r="BM275">
        <f>Model!BU318</f>
        <v>0</v>
      </c>
      <c r="BN275">
        <f>Model!BV318</f>
        <v>0</v>
      </c>
      <c r="BO275">
        <f>Model!BW318</f>
        <v>0</v>
      </c>
      <c r="BP275">
        <f>Model!BX318</f>
        <v>0</v>
      </c>
      <c r="BQ275">
        <f>Model!BY318</f>
        <v>0</v>
      </c>
      <c r="BR275">
        <f>Model!BZ318</f>
        <v>0</v>
      </c>
      <c r="BS275">
        <f>Model!CA318</f>
        <v>0</v>
      </c>
      <c r="BT275">
        <f>Model!CB318</f>
        <v>0</v>
      </c>
      <c r="BU275">
        <f>Model!CC318</f>
        <v>0</v>
      </c>
      <c r="BV275">
        <f>Model!CD318</f>
        <v>0</v>
      </c>
      <c r="BW275">
        <f>Model!CE318</f>
        <v>0</v>
      </c>
      <c r="BX275">
        <f>Model!CF318</f>
        <v>0</v>
      </c>
      <c r="BY275">
        <f>Model!CG318</f>
        <v>0</v>
      </c>
      <c r="BZ275">
        <f>Model!CH318</f>
        <v>0</v>
      </c>
      <c r="CA275">
        <f>Model!CI318</f>
        <v>0</v>
      </c>
      <c r="CB275">
        <f>Model!CJ318</f>
        <v>0</v>
      </c>
      <c r="CC275">
        <f>Model!CK318</f>
        <v>0</v>
      </c>
      <c r="CD275">
        <f>Model!CL318</f>
        <v>0</v>
      </c>
      <c r="CE275">
        <f>Model!CM318</f>
        <v>0</v>
      </c>
      <c r="CF275">
        <f>Model!CN318</f>
        <v>0</v>
      </c>
      <c r="CG275">
        <f>Model!CO318</f>
        <v>0</v>
      </c>
      <c r="CH275">
        <f>Model!CP318</f>
        <v>0</v>
      </c>
      <c r="CI275">
        <f>Model!CQ318</f>
        <v>0</v>
      </c>
      <c r="CJ275">
        <f>Model!CR318</f>
        <v>0</v>
      </c>
      <c r="CK275">
        <f>Model!CS318</f>
        <v>0</v>
      </c>
      <c r="CL275">
        <f>Model!CT318</f>
        <v>0</v>
      </c>
      <c r="CM275">
        <f>Model!CU318</f>
        <v>0</v>
      </c>
      <c r="CN275">
        <f>Model!CV318</f>
        <v>0</v>
      </c>
      <c r="CO275">
        <f>Model!CW318</f>
        <v>0</v>
      </c>
      <c r="CP275">
        <f>Model!CX318</f>
        <v>0</v>
      </c>
      <c r="CQ275">
        <f>Model!CY318</f>
        <v>0</v>
      </c>
      <c r="CR275">
        <f>Model!CZ318</f>
        <v>0</v>
      </c>
      <c r="CS275">
        <f>Model!DA318</f>
        <v>0</v>
      </c>
      <c r="CT275">
        <f>Model!DB318</f>
        <v>0</v>
      </c>
      <c r="CU275">
        <f>Model!DC318</f>
        <v>0</v>
      </c>
      <c r="CV275">
        <f>Model!DD318</f>
        <v>0</v>
      </c>
      <c r="CW275">
        <f>Model!DE318</f>
        <v>0</v>
      </c>
      <c r="CX275">
        <f>Model!DF318</f>
        <v>0</v>
      </c>
    </row>
    <row r="276" spans="1:102">
      <c r="A276" t="str">
        <f>Model!I319</f>
        <v>Revenue</v>
      </c>
      <c r="B276">
        <f>Model!J319</f>
        <v>0</v>
      </c>
      <c r="C276">
        <f>Model!K319</f>
        <v>0</v>
      </c>
      <c r="D276">
        <f>Model!L319</f>
        <v>0</v>
      </c>
      <c r="E276">
        <f>Model!M319</f>
        <v>0</v>
      </c>
      <c r="F276">
        <f>Model!N319</f>
        <v>0</v>
      </c>
      <c r="G276">
        <f>Model!O319</f>
        <v>0</v>
      </c>
      <c r="H276">
        <f>Model!P319</f>
        <v>0</v>
      </c>
      <c r="I276">
        <f>Model!Q319</f>
        <v>0</v>
      </c>
      <c r="J276">
        <f>Model!R319</f>
        <v>0</v>
      </c>
      <c r="K276">
        <f>Model!S319</f>
        <v>0</v>
      </c>
      <c r="L276">
        <f>Model!T319</f>
        <v>0</v>
      </c>
      <c r="M276">
        <f>Model!U319</f>
        <v>0</v>
      </c>
      <c r="N276">
        <f>Model!V319</f>
        <v>0</v>
      </c>
      <c r="O276">
        <f>Model!W319</f>
        <v>0</v>
      </c>
      <c r="P276">
        <f>Model!X319</f>
        <v>0</v>
      </c>
      <c r="Q276">
        <f>Model!Y319</f>
        <v>0</v>
      </c>
      <c r="R276">
        <f>Model!Z319</f>
        <v>0</v>
      </c>
      <c r="S276">
        <f>Model!AA319</f>
        <v>0</v>
      </c>
      <c r="T276">
        <f>Model!AB319</f>
        <v>0</v>
      </c>
      <c r="U276">
        <f>Model!AC319</f>
        <v>0</v>
      </c>
      <c r="V276">
        <f>Model!AD319</f>
        <v>0</v>
      </c>
      <c r="W276">
        <f>Model!AE319</f>
        <v>0</v>
      </c>
      <c r="X276">
        <f>Model!AF319</f>
        <v>0</v>
      </c>
      <c r="Y276">
        <f>Model!AG319</f>
        <v>0</v>
      </c>
      <c r="Z276">
        <f>Model!AH319</f>
        <v>0</v>
      </c>
      <c r="AA276">
        <f>Model!AI319</f>
        <v>0</v>
      </c>
      <c r="AB276">
        <f>Model!AJ319</f>
        <v>0</v>
      </c>
      <c r="AC276">
        <f>Model!AK319</f>
        <v>0</v>
      </c>
      <c r="AD276">
        <f>Model!AL319</f>
        <v>0</v>
      </c>
      <c r="AE276">
        <f>Model!AM319</f>
        <v>0</v>
      </c>
      <c r="AF276">
        <f>Model!AN319</f>
        <v>0</v>
      </c>
      <c r="AG276">
        <f>Model!AO319</f>
        <v>0</v>
      </c>
      <c r="AH276">
        <f>Model!AP319</f>
        <v>0</v>
      </c>
      <c r="AI276">
        <f>Model!AQ319</f>
        <v>0</v>
      </c>
      <c r="AJ276">
        <f>Model!AR319</f>
        <v>0</v>
      </c>
      <c r="AK276">
        <f>Model!AS319</f>
        <v>0</v>
      </c>
      <c r="AL276">
        <f>Model!AT319</f>
        <v>0</v>
      </c>
      <c r="AM276">
        <f>Model!AU319</f>
        <v>0</v>
      </c>
      <c r="AN276">
        <f>Model!AV319</f>
        <v>0</v>
      </c>
      <c r="AO276">
        <f>Model!AW319</f>
        <v>0</v>
      </c>
      <c r="AP276">
        <f>Model!AX319</f>
        <v>0</v>
      </c>
      <c r="AQ276">
        <f>Model!AY319</f>
        <v>0</v>
      </c>
      <c r="AR276">
        <f>Model!AZ319</f>
        <v>0</v>
      </c>
      <c r="AS276">
        <f>Model!BA319</f>
        <v>0</v>
      </c>
      <c r="AT276">
        <f>Model!BB319</f>
        <v>0</v>
      </c>
      <c r="AU276">
        <f>Model!BC319</f>
        <v>0</v>
      </c>
      <c r="AV276">
        <f>Model!BD319</f>
        <v>0</v>
      </c>
      <c r="AW276">
        <f>Model!BE319</f>
        <v>39.369</v>
      </c>
      <c r="AX276">
        <f>Model!BF319</f>
        <v>39.558</v>
      </c>
      <c r="AY276">
        <f>Model!BG319</f>
        <v>39.738</v>
      </c>
      <c r="AZ276">
        <f>Model!BH319</f>
        <v>42.966999999999999</v>
      </c>
      <c r="BA276">
        <f>Model!BI319</f>
        <v>45.500999999999998</v>
      </c>
      <c r="BB276">
        <f>Model!BJ319</f>
        <v>45.564999999999998</v>
      </c>
      <c r="BC276">
        <f>Model!BK319</f>
        <v>46.692999999999998</v>
      </c>
      <c r="BD276">
        <f>Model!BL319</f>
        <v>52.290999999999997</v>
      </c>
      <c r="BE276">
        <f>Model!BM319</f>
        <v>53.779000000000003</v>
      </c>
      <c r="BF276">
        <f>Model!BN319</f>
        <v>55.731999999999992</v>
      </c>
      <c r="BG276">
        <f>Model!BO319</f>
        <v>41.2</v>
      </c>
      <c r="BH276">
        <f>Model!BP319</f>
        <v>59</v>
      </c>
      <c r="BI276">
        <f>Model!BQ319</f>
        <v>60.6</v>
      </c>
      <c r="BJ276">
        <f>Model!BR319</f>
        <v>62.2</v>
      </c>
      <c r="BK276">
        <f>Model!BS319</f>
        <v>64.8</v>
      </c>
      <c r="BL276">
        <f>Model!BT319</f>
        <v>72.7</v>
      </c>
      <c r="BM276">
        <f>Model!BU319</f>
        <v>71.8</v>
      </c>
      <c r="BN276">
        <f>Model!BV319</f>
        <v>74.599999999999994</v>
      </c>
      <c r="BO276">
        <f>Model!BW319</f>
        <v>74.2</v>
      </c>
      <c r="BP276">
        <f>Model!BX319</f>
        <v>83.3</v>
      </c>
      <c r="BQ276">
        <f>Model!BY319</f>
        <v>80.416000000000011</v>
      </c>
      <c r="BR276">
        <f>Model!BZ319</f>
        <v>83.552000000000007</v>
      </c>
      <c r="BS276">
        <f>Model!CA319</f>
        <v>83.104000000000013</v>
      </c>
      <c r="BT276">
        <f>Model!CB319</f>
        <v>93.296000000000006</v>
      </c>
      <c r="BU276">
        <f>Model!CC319</f>
        <v>88.457600000000014</v>
      </c>
      <c r="BV276">
        <f>Model!CD319</f>
        <v>91.907200000000017</v>
      </c>
      <c r="BW276">
        <f>Model!CE319</f>
        <v>91.414400000000029</v>
      </c>
      <c r="BX276">
        <f>Model!CF319</f>
        <v>102.62560000000002</v>
      </c>
      <c r="BY276">
        <f>Model!CG319</f>
        <v>0</v>
      </c>
      <c r="BZ276">
        <f>Model!CH319</f>
        <v>0</v>
      </c>
      <c r="CA276">
        <f>Model!CI319</f>
        <v>0</v>
      </c>
      <c r="CB276">
        <f>Model!CJ319</f>
        <v>0</v>
      </c>
      <c r="CC276">
        <f>Model!CK319</f>
        <v>0</v>
      </c>
      <c r="CD276">
        <f>Model!CL319</f>
        <v>0</v>
      </c>
      <c r="CE276">
        <f>Model!CM319</f>
        <v>0</v>
      </c>
      <c r="CF276">
        <f>Model!CN319</f>
        <v>0</v>
      </c>
      <c r="CG276">
        <f>Model!CO319</f>
        <v>0</v>
      </c>
      <c r="CH276">
        <f>Model!CP319</f>
        <v>0</v>
      </c>
      <c r="CI276">
        <f>Model!CQ319</f>
        <v>0</v>
      </c>
      <c r="CJ276">
        <f>Model!CR319</f>
        <v>0</v>
      </c>
      <c r="CK276">
        <f>Model!CS319</f>
        <v>0</v>
      </c>
      <c r="CL276">
        <f>Model!CT319</f>
        <v>0</v>
      </c>
      <c r="CM276">
        <f>Model!CU319</f>
        <v>100.2</v>
      </c>
      <c r="CN276">
        <f>Model!CV319</f>
        <v>260.3</v>
      </c>
      <c r="CO276">
        <f>Model!CW319</f>
        <v>303.89999999999998</v>
      </c>
      <c r="CP276">
        <f>Model!CX319</f>
        <v>340.36800000000005</v>
      </c>
      <c r="CQ276">
        <f>Model!CY319</f>
        <v>374.40480000000008</v>
      </c>
      <c r="CR276">
        <f>Model!CZ319</f>
        <v>404.35718400000013</v>
      </c>
      <c r="CS276">
        <f>Model!DA319</f>
        <v>436.70575872000018</v>
      </c>
      <c r="CT276">
        <f>Model!DB319</f>
        <v>471.64221941760024</v>
      </c>
      <c r="CU276">
        <f>Model!DC319</f>
        <v>509.37359697100828</v>
      </c>
      <c r="CV276">
        <f>Model!DD319</f>
        <v>550.12348472868894</v>
      </c>
      <c r="CW276">
        <f>Model!DE319</f>
        <v>594.1333635069841</v>
      </c>
      <c r="CX276">
        <f>Model!DF319</f>
        <v>641.66403258754292</v>
      </c>
    </row>
    <row r="277" spans="1:102">
      <c r="A277" t="str">
        <f>Model!I320</f>
        <v>% change Y/Y</v>
      </c>
      <c r="B277">
        <f>Model!J320</f>
        <v>0</v>
      </c>
      <c r="C277">
        <f>Model!K320</f>
        <v>0</v>
      </c>
      <c r="D277">
        <f>Model!L320</f>
        <v>0</v>
      </c>
      <c r="E277">
        <f>Model!M320</f>
        <v>0</v>
      </c>
      <c r="F277">
        <f>Model!N320</f>
        <v>0</v>
      </c>
      <c r="G277">
        <f>Model!O320</f>
        <v>0</v>
      </c>
      <c r="H277">
        <f>Model!P320</f>
        <v>0</v>
      </c>
      <c r="I277">
        <f>Model!Q320</f>
        <v>0</v>
      </c>
      <c r="J277">
        <f>Model!R320</f>
        <v>0</v>
      </c>
      <c r="K277">
        <f>Model!S320</f>
        <v>0</v>
      </c>
      <c r="L277">
        <f>Model!T320</f>
        <v>0</v>
      </c>
      <c r="M277">
        <f>Model!U320</f>
        <v>0</v>
      </c>
      <c r="N277">
        <f>Model!V320</f>
        <v>0</v>
      </c>
      <c r="O277">
        <f>Model!W320</f>
        <v>0</v>
      </c>
      <c r="P277">
        <f>Model!X320</f>
        <v>0</v>
      </c>
      <c r="Q277">
        <f>Model!Y320</f>
        <v>0</v>
      </c>
      <c r="R277">
        <f>Model!Z320</f>
        <v>0</v>
      </c>
      <c r="S277">
        <f>Model!AA320</f>
        <v>0</v>
      </c>
      <c r="T277">
        <f>Model!AB320</f>
        <v>0</v>
      </c>
      <c r="U277">
        <f>Model!AC320</f>
        <v>0</v>
      </c>
      <c r="V277">
        <f>Model!AD320</f>
        <v>0</v>
      </c>
      <c r="W277">
        <f>Model!AE320</f>
        <v>0</v>
      </c>
      <c r="X277">
        <f>Model!AF320</f>
        <v>0</v>
      </c>
      <c r="Y277">
        <f>Model!AG320</f>
        <v>0</v>
      </c>
      <c r="Z277">
        <f>Model!AH320</f>
        <v>0</v>
      </c>
      <c r="AA277">
        <f>Model!AI320</f>
        <v>0</v>
      </c>
      <c r="AB277">
        <f>Model!AJ320</f>
        <v>0</v>
      </c>
      <c r="AC277">
        <f>Model!AK320</f>
        <v>0</v>
      </c>
      <c r="AD277">
        <f>Model!AL320</f>
        <v>0</v>
      </c>
      <c r="AE277">
        <f>Model!AM320</f>
        <v>0</v>
      </c>
      <c r="AF277">
        <f>Model!AN320</f>
        <v>0</v>
      </c>
      <c r="AG277">
        <f>Model!AO320</f>
        <v>0</v>
      </c>
      <c r="AH277">
        <f>Model!AP320</f>
        <v>0</v>
      </c>
      <c r="AI277">
        <f>Model!AQ320</f>
        <v>0</v>
      </c>
      <c r="AJ277">
        <f>Model!AR320</f>
        <v>0</v>
      </c>
      <c r="AK277">
        <f>Model!AS320</f>
        <v>0</v>
      </c>
      <c r="AL277">
        <f>Model!AT320</f>
        <v>0</v>
      </c>
      <c r="AM277">
        <f>Model!AU320</f>
        <v>0</v>
      </c>
      <c r="AN277">
        <f>Model!AV320</f>
        <v>0</v>
      </c>
      <c r="AO277">
        <f>Model!AW320</f>
        <v>0</v>
      </c>
      <c r="AP277">
        <f>Model!AX320</f>
        <v>0</v>
      </c>
      <c r="AQ277">
        <f>Model!AY320</f>
        <v>0</v>
      </c>
      <c r="AR277">
        <f>Model!AZ320</f>
        <v>0</v>
      </c>
      <c r="AS277">
        <f>Model!BA320</f>
        <v>0</v>
      </c>
      <c r="AT277">
        <f>Model!BB320</f>
        <v>0</v>
      </c>
      <c r="AU277">
        <f>Model!BC320</f>
        <v>0</v>
      </c>
      <c r="AV277">
        <f>Model!BD320</f>
        <v>0</v>
      </c>
      <c r="AW277">
        <f>Model!BE320</f>
        <v>0</v>
      </c>
      <c r="AX277">
        <f>Model!BF320</f>
        <v>0</v>
      </c>
      <c r="AY277">
        <f>Model!BG320</f>
        <v>0</v>
      </c>
      <c r="AZ277">
        <f>Model!BH320</f>
        <v>0</v>
      </c>
      <c r="BA277">
        <f>Model!BI320</f>
        <v>0.15575706774365616</v>
      </c>
      <c r="BB277">
        <f>Model!BJ320</f>
        <v>0.15185297537792608</v>
      </c>
      <c r="BC277">
        <f>Model!BK320</f>
        <v>0.17502139010518891</v>
      </c>
      <c r="BD277">
        <f>Model!BL320</f>
        <v>0.21700374706169856</v>
      </c>
      <c r="BE277">
        <f>Model!BM320</f>
        <v>0.18193006747104468</v>
      </c>
      <c r="BF277">
        <f>Model!BN320</f>
        <v>0.22313178975090509</v>
      </c>
      <c r="BG277">
        <f>Model!BO320</f>
        <v>0</v>
      </c>
      <c r="BH277">
        <f>Model!BP320</f>
        <v>0.12830123730661125</v>
      </c>
      <c r="BI277">
        <f>Model!BQ320</f>
        <v>0.12683389427099789</v>
      </c>
      <c r="BJ277">
        <f>Model!BR320</f>
        <v>0.11605540802411562</v>
      </c>
      <c r="BK277">
        <f>Model!BS320</f>
        <v>0.57281553398058227</v>
      </c>
      <c r="BL277">
        <f>Model!BT320</f>
        <v>0.23220338983050848</v>
      </c>
      <c r="BM277">
        <f>Model!BU320</f>
        <v>0.18481848184818483</v>
      </c>
      <c r="BN277">
        <f>Model!BV320</f>
        <v>0.19935691318327953</v>
      </c>
      <c r="BO277">
        <f>Model!BW320</f>
        <v>0.14506172839506193</v>
      </c>
      <c r="BP277">
        <f>Model!BX320</f>
        <v>0.14580467675378261</v>
      </c>
      <c r="BQ277">
        <f>Model!BY320</f>
        <v>0.12</v>
      </c>
      <c r="BR277">
        <f>Model!BZ320</f>
        <v>0.12</v>
      </c>
      <c r="BS277">
        <f>Model!CA320</f>
        <v>0.12</v>
      </c>
      <c r="BT277">
        <f>Model!CB320</f>
        <v>0.12</v>
      </c>
      <c r="BU277">
        <f>Model!CC320</f>
        <v>0.1</v>
      </c>
      <c r="BV277">
        <f>Model!CD320</f>
        <v>0.1</v>
      </c>
      <c r="BW277">
        <f>Model!CE320</f>
        <v>0.1</v>
      </c>
      <c r="BX277">
        <f>Model!CF320</f>
        <v>0.1</v>
      </c>
      <c r="BY277">
        <f>Model!CG320</f>
        <v>0</v>
      </c>
      <c r="BZ277">
        <f>Model!CH320</f>
        <v>0</v>
      </c>
      <c r="CA277">
        <f>Model!CI320</f>
        <v>0</v>
      </c>
      <c r="CB277">
        <f>Model!CJ320</f>
        <v>0</v>
      </c>
      <c r="CC277">
        <f>Model!CK320</f>
        <v>0</v>
      </c>
      <c r="CD277">
        <f>Model!CL320</f>
        <v>0</v>
      </c>
      <c r="CE277">
        <f>Model!CM320</f>
        <v>0</v>
      </c>
      <c r="CF277">
        <f>Model!CN320</f>
        <v>0</v>
      </c>
      <c r="CG277">
        <f>Model!CO320</f>
        <v>0</v>
      </c>
      <c r="CH277">
        <f>Model!CP320</f>
        <v>0</v>
      </c>
      <c r="CI277">
        <f>Model!CQ320</f>
        <v>0</v>
      </c>
      <c r="CJ277">
        <f>Model!CR320</f>
        <v>0</v>
      </c>
      <c r="CK277">
        <f>Model!CS320</f>
        <v>0</v>
      </c>
      <c r="CL277">
        <f>Model!CT320</f>
        <v>0</v>
      </c>
      <c r="CM277">
        <f>Model!CU320</f>
        <v>0</v>
      </c>
      <c r="CN277">
        <f>Model!CV320</f>
        <v>1.597804391217565</v>
      </c>
      <c r="CO277">
        <f>Model!CW320</f>
        <v>0.16749903956972712</v>
      </c>
      <c r="CP277">
        <f>Model!CX320</f>
        <v>0.12000000000000033</v>
      </c>
      <c r="CQ277">
        <f>Model!CY320</f>
        <v>0.10000000000000009</v>
      </c>
      <c r="CR277">
        <f>Model!CZ320</f>
        <v>8.0000000000000085E-2</v>
      </c>
      <c r="CS277">
        <f>Model!DA320</f>
        <v>8.0000000000000085E-2</v>
      </c>
      <c r="CT277">
        <f>Model!DB320</f>
        <v>8.0000000000000085E-2</v>
      </c>
      <c r="CU277">
        <f>Model!DC320</f>
        <v>8.0000000000000085E-2</v>
      </c>
      <c r="CV277">
        <f>Model!DD320</f>
        <v>8.0000000000000085E-2</v>
      </c>
      <c r="CW277">
        <f>Model!DE320</f>
        <v>8.0000000000000085E-2</v>
      </c>
      <c r="CX277">
        <f>Model!DF320</f>
        <v>8.0000000000000085E-2</v>
      </c>
    </row>
    <row r="278" spans="1:102">
      <c r="A278">
        <f>Model!I321</f>
        <v>0</v>
      </c>
      <c r="B278">
        <f>Model!J321</f>
        <v>0</v>
      </c>
      <c r="C278">
        <f>Model!K321</f>
        <v>0</v>
      </c>
      <c r="D278">
        <f>Model!L321</f>
        <v>0</v>
      </c>
      <c r="E278">
        <f>Model!M321</f>
        <v>0</v>
      </c>
      <c r="F278">
        <f>Model!N321</f>
        <v>0</v>
      </c>
      <c r="G278">
        <f>Model!O321</f>
        <v>0</v>
      </c>
      <c r="H278">
        <f>Model!P321</f>
        <v>0</v>
      </c>
      <c r="I278">
        <f>Model!Q321</f>
        <v>0</v>
      </c>
      <c r="J278">
        <f>Model!R321</f>
        <v>0</v>
      </c>
      <c r="K278">
        <f>Model!S321</f>
        <v>0</v>
      </c>
      <c r="L278">
        <f>Model!T321</f>
        <v>0</v>
      </c>
      <c r="M278">
        <f>Model!U321</f>
        <v>0</v>
      </c>
      <c r="N278">
        <f>Model!V321</f>
        <v>0</v>
      </c>
      <c r="O278">
        <f>Model!W321</f>
        <v>0</v>
      </c>
      <c r="P278">
        <f>Model!X321</f>
        <v>0</v>
      </c>
      <c r="Q278">
        <f>Model!Y321</f>
        <v>0</v>
      </c>
      <c r="R278">
        <f>Model!Z321</f>
        <v>0</v>
      </c>
      <c r="S278">
        <f>Model!AA321</f>
        <v>0</v>
      </c>
      <c r="T278">
        <f>Model!AB321</f>
        <v>0</v>
      </c>
      <c r="U278">
        <f>Model!AC321</f>
        <v>0</v>
      </c>
      <c r="V278">
        <f>Model!AD321</f>
        <v>0</v>
      </c>
      <c r="W278">
        <f>Model!AE321</f>
        <v>0</v>
      </c>
      <c r="X278">
        <f>Model!AF321</f>
        <v>0</v>
      </c>
      <c r="Y278">
        <f>Model!AG321</f>
        <v>0</v>
      </c>
      <c r="Z278">
        <f>Model!AH321</f>
        <v>0</v>
      </c>
      <c r="AA278">
        <f>Model!AI321</f>
        <v>0</v>
      </c>
      <c r="AB278">
        <f>Model!AJ321</f>
        <v>0</v>
      </c>
      <c r="AC278">
        <f>Model!AK321</f>
        <v>0</v>
      </c>
      <c r="AD278">
        <f>Model!AL321</f>
        <v>0</v>
      </c>
      <c r="AE278">
        <f>Model!AM321</f>
        <v>0</v>
      </c>
      <c r="AF278">
        <f>Model!AN321</f>
        <v>0</v>
      </c>
      <c r="AG278">
        <f>Model!AO321</f>
        <v>0</v>
      </c>
      <c r="AH278">
        <f>Model!AP321</f>
        <v>0</v>
      </c>
      <c r="AI278">
        <f>Model!AQ321</f>
        <v>0</v>
      </c>
      <c r="AJ278">
        <f>Model!AR321</f>
        <v>0</v>
      </c>
      <c r="AK278">
        <f>Model!AS321</f>
        <v>0</v>
      </c>
      <c r="AL278">
        <f>Model!AT321</f>
        <v>0</v>
      </c>
      <c r="AM278">
        <f>Model!AU321</f>
        <v>0</v>
      </c>
      <c r="AN278">
        <f>Model!AV321</f>
        <v>0</v>
      </c>
      <c r="AO278">
        <f>Model!AW321</f>
        <v>0</v>
      </c>
      <c r="AP278">
        <f>Model!AX321</f>
        <v>0</v>
      </c>
      <c r="AQ278">
        <f>Model!AY321</f>
        <v>0</v>
      </c>
      <c r="AR278">
        <f>Model!AZ321</f>
        <v>0</v>
      </c>
      <c r="AS278">
        <f>Model!BA321</f>
        <v>0</v>
      </c>
      <c r="AT278">
        <f>Model!BB321</f>
        <v>0</v>
      </c>
      <c r="AU278">
        <f>Model!BC321</f>
        <v>0</v>
      </c>
      <c r="AV278">
        <f>Model!BD321</f>
        <v>0</v>
      </c>
      <c r="AW278">
        <f>Model!BE321</f>
        <v>0</v>
      </c>
      <c r="AX278">
        <f>Model!BF321</f>
        <v>0</v>
      </c>
      <c r="AY278">
        <f>Model!BG321</f>
        <v>0</v>
      </c>
      <c r="AZ278">
        <f>Model!BH321</f>
        <v>0</v>
      </c>
      <c r="BA278">
        <f>Model!BI321</f>
        <v>0</v>
      </c>
      <c r="BB278">
        <f>Model!BJ321</f>
        <v>0</v>
      </c>
      <c r="BC278">
        <f>Model!BK321</f>
        <v>0</v>
      </c>
      <c r="BD278">
        <f>Model!BL321</f>
        <v>0</v>
      </c>
      <c r="BE278">
        <f>Model!BM321</f>
        <v>0</v>
      </c>
      <c r="BF278">
        <f>Model!BN321</f>
        <v>0</v>
      </c>
      <c r="BG278">
        <f>Model!BO321</f>
        <v>0</v>
      </c>
      <c r="BH278">
        <f>Model!BP321</f>
        <v>0</v>
      </c>
      <c r="BI278">
        <f>Model!BQ321</f>
        <v>0</v>
      </c>
      <c r="BJ278">
        <f>Model!BR321</f>
        <v>0</v>
      </c>
      <c r="BK278">
        <f>Model!BS321</f>
        <v>0</v>
      </c>
      <c r="BL278">
        <f>Model!BT321</f>
        <v>0</v>
      </c>
      <c r="BM278">
        <f>Model!BU321</f>
        <v>0</v>
      </c>
      <c r="BN278">
        <f>Model!BV321</f>
        <v>0</v>
      </c>
      <c r="BO278">
        <f>Model!BW321</f>
        <v>0</v>
      </c>
      <c r="BP278">
        <f>Model!BX321</f>
        <v>0</v>
      </c>
      <c r="BQ278">
        <f>Model!BY321</f>
        <v>0</v>
      </c>
      <c r="BR278">
        <f>Model!BZ321</f>
        <v>0</v>
      </c>
      <c r="BS278">
        <f>Model!CA321</f>
        <v>0</v>
      </c>
      <c r="BT278">
        <f>Model!CB321</f>
        <v>0</v>
      </c>
      <c r="BU278">
        <f>Model!CC321</f>
        <v>0</v>
      </c>
      <c r="BV278">
        <f>Model!CD321</f>
        <v>0</v>
      </c>
      <c r="BW278">
        <f>Model!CE321</f>
        <v>0</v>
      </c>
      <c r="BX278">
        <f>Model!CF321</f>
        <v>0</v>
      </c>
      <c r="BY278">
        <f>Model!CG321</f>
        <v>0</v>
      </c>
      <c r="BZ278">
        <f>Model!CH321</f>
        <v>0</v>
      </c>
      <c r="CA278">
        <f>Model!CI321</f>
        <v>0</v>
      </c>
      <c r="CB278">
        <f>Model!CJ321</f>
        <v>0</v>
      </c>
      <c r="CC278">
        <f>Model!CK321</f>
        <v>0</v>
      </c>
      <c r="CD278">
        <f>Model!CL321</f>
        <v>0</v>
      </c>
      <c r="CE278">
        <f>Model!CM321</f>
        <v>0</v>
      </c>
      <c r="CF278">
        <f>Model!CN321</f>
        <v>0</v>
      </c>
      <c r="CG278">
        <f>Model!CO321</f>
        <v>0</v>
      </c>
      <c r="CH278">
        <f>Model!CP321</f>
        <v>0</v>
      </c>
      <c r="CI278">
        <f>Model!CQ321</f>
        <v>0</v>
      </c>
      <c r="CJ278">
        <f>Model!CR321</f>
        <v>0</v>
      </c>
      <c r="CK278">
        <f>Model!CS321</f>
        <v>0</v>
      </c>
      <c r="CL278">
        <f>Model!CT321</f>
        <v>0</v>
      </c>
      <c r="CM278">
        <f>Model!CU321</f>
        <v>0</v>
      </c>
      <c r="CN278">
        <f>Model!CV321</f>
        <v>0</v>
      </c>
      <c r="CO278">
        <f>Model!CW321</f>
        <v>0</v>
      </c>
      <c r="CP278">
        <f>Model!CX321</f>
        <v>0</v>
      </c>
      <c r="CQ278">
        <f>Model!CY321</f>
        <v>0</v>
      </c>
      <c r="CR278">
        <f>Model!CZ321</f>
        <v>0</v>
      </c>
      <c r="CS278">
        <f>Model!DA321</f>
        <v>0</v>
      </c>
      <c r="CT278">
        <f>Model!DB321</f>
        <v>0</v>
      </c>
      <c r="CU278">
        <f>Model!DC321</f>
        <v>0</v>
      </c>
      <c r="CV278">
        <f>Model!DD321</f>
        <v>0</v>
      </c>
      <c r="CW278">
        <f>Model!DE321</f>
        <v>0</v>
      </c>
      <c r="CX278">
        <f>Model!DF321</f>
        <v>0</v>
      </c>
    </row>
    <row r="279" spans="1:102">
      <c r="A279" t="str">
        <f>Model!I322</f>
        <v>Cost of Revenue (ex SBC)</v>
      </c>
      <c r="B279">
        <f>Model!J322</f>
        <v>0</v>
      </c>
      <c r="C279">
        <f>Model!K322</f>
        <v>0</v>
      </c>
      <c r="D279">
        <f>Model!L322</f>
        <v>0</v>
      </c>
      <c r="E279">
        <f>Model!M322</f>
        <v>0</v>
      </c>
      <c r="F279">
        <f>Model!N322</f>
        <v>0</v>
      </c>
      <c r="G279">
        <f>Model!O322</f>
        <v>0</v>
      </c>
      <c r="H279">
        <f>Model!P322</f>
        <v>0</v>
      </c>
      <c r="I279">
        <f>Model!Q322</f>
        <v>0</v>
      </c>
      <c r="J279">
        <f>Model!R322</f>
        <v>0</v>
      </c>
      <c r="K279">
        <f>Model!S322</f>
        <v>0</v>
      </c>
      <c r="L279">
        <f>Model!T322</f>
        <v>0</v>
      </c>
      <c r="M279">
        <f>Model!U322</f>
        <v>0</v>
      </c>
      <c r="N279">
        <f>Model!V322</f>
        <v>0</v>
      </c>
      <c r="O279">
        <f>Model!W322</f>
        <v>0</v>
      </c>
      <c r="P279">
        <f>Model!X322</f>
        <v>0</v>
      </c>
      <c r="Q279">
        <f>Model!Y322</f>
        <v>0</v>
      </c>
      <c r="R279">
        <f>Model!Z322</f>
        <v>0</v>
      </c>
      <c r="S279">
        <f>Model!AA322</f>
        <v>0</v>
      </c>
      <c r="T279">
        <f>Model!AB322</f>
        <v>0</v>
      </c>
      <c r="U279">
        <f>Model!AC322</f>
        <v>0</v>
      </c>
      <c r="V279">
        <f>Model!AD322</f>
        <v>0</v>
      </c>
      <c r="W279">
        <f>Model!AE322</f>
        <v>0</v>
      </c>
      <c r="X279">
        <f>Model!AF322</f>
        <v>0</v>
      </c>
      <c r="Y279">
        <f>Model!AG322</f>
        <v>0</v>
      </c>
      <c r="Z279">
        <f>Model!AH322</f>
        <v>0</v>
      </c>
      <c r="AA279">
        <f>Model!AI322</f>
        <v>0</v>
      </c>
      <c r="AB279">
        <f>Model!AJ322</f>
        <v>0</v>
      </c>
      <c r="AC279">
        <f>Model!AK322</f>
        <v>0</v>
      </c>
      <c r="AD279">
        <f>Model!AL322</f>
        <v>0</v>
      </c>
      <c r="AE279">
        <f>Model!AM322</f>
        <v>0</v>
      </c>
      <c r="AF279">
        <f>Model!AN322</f>
        <v>0</v>
      </c>
      <c r="AG279">
        <f>Model!AO322</f>
        <v>0</v>
      </c>
      <c r="AH279">
        <f>Model!AP322</f>
        <v>0</v>
      </c>
      <c r="AI279">
        <f>Model!AQ322</f>
        <v>0</v>
      </c>
      <c r="AJ279">
        <f>Model!AR322</f>
        <v>0</v>
      </c>
      <c r="AK279">
        <f>Model!AS322</f>
        <v>0</v>
      </c>
      <c r="AL279">
        <f>Model!AT322</f>
        <v>0</v>
      </c>
      <c r="AM279">
        <f>Model!AU322</f>
        <v>0</v>
      </c>
      <c r="AN279">
        <f>Model!AV322</f>
        <v>0</v>
      </c>
      <c r="AO279">
        <f>Model!AW322</f>
        <v>0</v>
      </c>
      <c r="AP279">
        <f>Model!AX322</f>
        <v>0</v>
      </c>
      <c r="AQ279">
        <f>Model!AY322</f>
        <v>0</v>
      </c>
      <c r="AR279">
        <f>Model!AZ322</f>
        <v>0</v>
      </c>
      <c r="AS279">
        <f>Model!BA322</f>
        <v>0</v>
      </c>
      <c r="AT279">
        <f>Model!BB322</f>
        <v>0</v>
      </c>
      <c r="AU279">
        <f>Model!BC322</f>
        <v>0</v>
      </c>
      <c r="AV279">
        <f>Model!BD322</f>
        <v>0</v>
      </c>
      <c r="AW279">
        <f>Model!BE322</f>
        <v>10.218</v>
      </c>
      <c r="AX279">
        <f>Model!BF322</f>
        <v>10.004999999999999</v>
      </c>
      <c r="AY279">
        <f>Model!BG322</f>
        <v>10.212</v>
      </c>
      <c r="AZ279">
        <f>Model!BH322</f>
        <v>10.175000000000001</v>
      </c>
      <c r="BA279">
        <f>Model!BI322</f>
        <v>11.34</v>
      </c>
      <c r="BB279">
        <f>Model!BJ322</f>
        <v>11.234999999999999</v>
      </c>
      <c r="BC279">
        <f>Model!BK322</f>
        <v>12.568000000000001</v>
      </c>
      <c r="BD279">
        <f>Model!BL322</f>
        <v>12.255000000000001</v>
      </c>
      <c r="BE279">
        <f>Model!BM322</f>
        <v>0</v>
      </c>
      <c r="BF279">
        <f>Model!BN322</f>
        <v>0</v>
      </c>
      <c r="BG279">
        <f>Model!BO322</f>
        <v>0</v>
      </c>
      <c r="BH279">
        <f>Model!BP322</f>
        <v>0</v>
      </c>
      <c r="BI279">
        <f>Model!BQ322</f>
        <v>0</v>
      </c>
      <c r="BJ279">
        <f>Model!BR322</f>
        <v>0</v>
      </c>
      <c r="BK279">
        <f>Model!BS322</f>
        <v>0</v>
      </c>
      <c r="BL279">
        <f>Model!BT322</f>
        <v>0</v>
      </c>
      <c r="BM279">
        <f>Model!BU322</f>
        <v>0</v>
      </c>
      <c r="BN279">
        <f>Model!BV322</f>
        <v>0</v>
      </c>
      <c r="BO279">
        <f>Model!BW322</f>
        <v>0</v>
      </c>
      <c r="BP279">
        <f>Model!BX322</f>
        <v>0</v>
      </c>
      <c r="BQ279">
        <f>Model!BY322</f>
        <v>0</v>
      </c>
      <c r="BR279">
        <f>Model!BZ322</f>
        <v>0</v>
      </c>
      <c r="BS279">
        <f>Model!CA322</f>
        <v>0</v>
      </c>
      <c r="BT279">
        <f>Model!CB322</f>
        <v>0</v>
      </c>
      <c r="BU279">
        <f>Model!CC322</f>
        <v>0</v>
      </c>
      <c r="BV279">
        <f>Model!CD322</f>
        <v>0</v>
      </c>
      <c r="BW279">
        <f>Model!CE322</f>
        <v>0</v>
      </c>
      <c r="BX279">
        <f>Model!CF322</f>
        <v>0</v>
      </c>
      <c r="BY279">
        <f>Model!CG322</f>
        <v>0</v>
      </c>
      <c r="BZ279">
        <f>Model!CH322</f>
        <v>0</v>
      </c>
      <c r="CA279">
        <f>Model!CI322</f>
        <v>0</v>
      </c>
      <c r="CB279">
        <f>Model!CJ322</f>
        <v>0</v>
      </c>
      <c r="CC279">
        <f>Model!CK322</f>
        <v>0</v>
      </c>
      <c r="CD279">
        <f>Model!CL322</f>
        <v>0</v>
      </c>
      <c r="CE279">
        <f>Model!CM322</f>
        <v>0</v>
      </c>
      <c r="CF279">
        <f>Model!CN322</f>
        <v>0</v>
      </c>
      <c r="CG279">
        <f>Model!CO322</f>
        <v>0</v>
      </c>
      <c r="CH279">
        <f>Model!CP322</f>
        <v>0</v>
      </c>
      <c r="CI279">
        <f>Model!CQ322</f>
        <v>0</v>
      </c>
      <c r="CJ279">
        <f>Model!CR322</f>
        <v>0</v>
      </c>
      <c r="CK279">
        <f>Model!CS322</f>
        <v>0</v>
      </c>
      <c r="CL279">
        <f>Model!CT322</f>
        <v>0</v>
      </c>
      <c r="CM279">
        <f>Model!CU322</f>
        <v>0</v>
      </c>
      <c r="CN279">
        <f>Model!CV322</f>
        <v>0</v>
      </c>
      <c r="CO279">
        <f>Model!CW322</f>
        <v>0</v>
      </c>
      <c r="CP279">
        <f>Model!CX322</f>
        <v>0</v>
      </c>
      <c r="CQ279">
        <f>Model!CY322</f>
        <v>0</v>
      </c>
      <c r="CR279">
        <f>Model!CZ322</f>
        <v>0</v>
      </c>
      <c r="CS279">
        <f>Model!DA322</f>
        <v>0</v>
      </c>
      <c r="CT279">
        <f>Model!DB322</f>
        <v>0</v>
      </c>
      <c r="CU279">
        <f>Model!DC322</f>
        <v>0</v>
      </c>
      <c r="CV279">
        <f>Model!DD322</f>
        <v>0</v>
      </c>
      <c r="CW279">
        <f>Model!DE322</f>
        <v>0</v>
      </c>
      <c r="CX279">
        <f>Model!DF322</f>
        <v>0</v>
      </c>
    </row>
    <row r="280" spans="1:102">
      <c r="A280">
        <f>Model!I323</f>
        <v>0</v>
      </c>
      <c r="B280">
        <f>Model!J323</f>
        <v>0</v>
      </c>
      <c r="C280">
        <f>Model!K323</f>
        <v>0</v>
      </c>
      <c r="D280">
        <f>Model!L323</f>
        <v>0</v>
      </c>
      <c r="E280">
        <f>Model!M323</f>
        <v>0</v>
      </c>
      <c r="F280">
        <f>Model!N323</f>
        <v>0</v>
      </c>
      <c r="G280">
        <f>Model!O323</f>
        <v>0</v>
      </c>
      <c r="H280">
        <f>Model!P323</f>
        <v>0</v>
      </c>
      <c r="I280">
        <f>Model!Q323</f>
        <v>0</v>
      </c>
      <c r="J280">
        <f>Model!R323</f>
        <v>0</v>
      </c>
      <c r="K280">
        <f>Model!S323</f>
        <v>0</v>
      </c>
      <c r="L280">
        <f>Model!T323</f>
        <v>0</v>
      </c>
      <c r="M280">
        <f>Model!U323</f>
        <v>0</v>
      </c>
      <c r="N280">
        <f>Model!V323</f>
        <v>0</v>
      </c>
      <c r="O280">
        <f>Model!W323</f>
        <v>0</v>
      </c>
      <c r="P280">
        <f>Model!X323</f>
        <v>0</v>
      </c>
      <c r="Q280">
        <f>Model!Y323</f>
        <v>0</v>
      </c>
      <c r="R280">
        <f>Model!Z323</f>
        <v>0</v>
      </c>
      <c r="S280">
        <f>Model!AA323</f>
        <v>0</v>
      </c>
      <c r="T280">
        <f>Model!AB323</f>
        <v>0</v>
      </c>
      <c r="U280">
        <f>Model!AC323</f>
        <v>0</v>
      </c>
      <c r="V280">
        <f>Model!AD323</f>
        <v>0</v>
      </c>
      <c r="W280">
        <f>Model!AE323</f>
        <v>0</v>
      </c>
      <c r="X280">
        <f>Model!AF323</f>
        <v>0</v>
      </c>
      <c r="Y280">
        <f>Model!AG323</f>
        <v>0</v>
      </c>
      <c r="Z280">
        <f>Model!AH323</f>
        <v>0</v>
      </c>
      <c r="AA280">
        <f>Model!AI323</f>
        <v>0</v>
      </c>
      <c r="AB280">
        <f>Model!AJ323</f>
        <v>0</v>
      </c>
      <c r="AC280">
        <f>Model!AK323</f>
        <v>0</v>
      </c>
      <c r="AD280">
        <f>Model!AL323</f>
        <v>0</v>
      </c>
      <c r="AE280">
        <f>Model!AM323</f>
        <v>0</v>
      </c>
      <c r="AF280">
        <f>Model!AN323</f>
        <v>0</v>
      </c>
      <c r="AG280">
        <f>Model!AO323</f>
        <v>0</v>
      </c>
      <c r="AH280">
        <f>Model!AP323</f>
        <v>0</v>
      </c>
      <c r="AI280">
        <f>Model!AQ323</f>
        <v>0</v>
      </c>
      <c r="AJ280">
        <f>Model!AR323</f>
        <v>0</v>
      </c>
      <c r="AK280">
        <f>Model!AS323</f>
        <v>0</v>
      </c>
      <c r="AL280">
        <f>Model!AT323</f>
        <v>0</v>
      </c>
      <c r="AM280">
        <f>Model!AU323</f>
        <v>0</v>
      </c>
      <c r="AN280">
        <f>Model!AV323</f>
        <v>0</v>
      </c>
      <c r="AO280">
        <f>Model!AW323</f>
        <v>0</v>
      </c>
      <c r="AP280">
        <f>Model!AX323</f>
        <v>0</v>
      </c>
      <c r="AQ280">
        <f>Model!AY323</f>
        <v>0</v>
      </c>
      <c r="AR280">
        <f>Model!AZ323</f>
        <v>0</v>
      </c>
      <c r="AS280">
        <f>Model!BA323</f>
        <v>0</v>
      </c>
      <c r="AT280">
        <f>Model!BB323</f>
        <v>0</v>
      </c>
      <c r="AU280">
        <f>Model!BC323</f>
        <v>0</v>
      </c>
      <c r="AV280">
        <f>Model!BD323</f>
        <v>0</v>
      </c>
      <c r="AW280">
        <f>Model!BE323</f>
        <v>0</v>
      </c>
      <c r="AX280">
        <f>Model!BF323</f>
        <v>0</v>
      </c>
      <c r="AY280">
        <f>Model!BG323</f>
        <v>0</v>
      </c>
      <c r="AZ280">
        <f>Model!BH323</f>
        <v>0</v>
      </c>
      <c r="BA280">
        <f>Model!BI323</f>
        <v>0</v>
      </c>
      <c r="BB280">
        <f>Model!BJ323</f>
        <v>0</v>
      </c>
      <c r="BC280">
        <f>Model!BK323</f>
        <v>0</v>
      </c>
      <c r="BD280">
        <f>Model!BL323</f>
        <v>0</v>
      </c>
      <c r="BE280">
        <f>Model!BM323</f>
        <v>0</v>
      </c>
      <c r="BF280">
        <f>Model!BN323</f>
        <v>0</v>
      </c>
      <c r="BG280">
        <f>Model!BO323</f>
        <v>0</v>
      </c>
      <c r="BH280">
        <f>Model!BP323</f>
        <v>0</v>
      </c>
      <c r="BI280">
        <f>Model!BQ323</f>
        <v>0</v>
      </c>
      <c r="BJ280">
        <f>Model!BR323</f>
        <v>0</v>
      </c>
      <c r="BK280">
        <f>Model!BS323</f>
        <v>0</v>
      </c>
      <c r="BL280">
        <f>Model!BT323</f>
        <v>0</v>
      </c>
      <c r="BM280">
        <f>Model!BU323</f>
        <v>0</v>
      </c>
      <c r="BN280">
        <f>Model!BV323</f>
        <v>0</v>
      </c>
      <c r="BO280">
        <f>Model!BW323</f>
        <v>0</v>
      </c>
      <c r="BP280">
        <f>Model!BX323</f>
        <v>0</v>
      </c>
      <c r="BQ280">
        <f>Model!BY323</f>
        <v>0</v>
      </c>
      <c r="BR280">
        <f>Model!BZ323</f>
        <v>0</v>
      </c>
      <c r="BS280">
        <f>Model!CA323</f>
        <v>0</v>
      </c>
      <c r="BT280">
        <f>Model!CB323</f>
        <v>0</v>
      </c>
      <c r="BU280">
        <f>Model!CC323</f>
        <v>0</v>
      </c>
      <c r="BV280">
        <f>Model!CD323</f>
        <v>0</v>
      </c>
      <c r="BW280">
        <f>Model!CE323</f>
        <v>0</v>
      </c>
      <c r="BX280">
        <f>Model!CF323</f>
        <v>0</v>
      </c>
      <c r="BY280">
        <f>Model!CG323</f>
        <v>0</v>
      </c>
      <c r="BZ280">
        <f>Model!CH323</f>
        <v>0</v>
      </c>
      <c r="CA280">
        <f>Model!CI323</f>
        <v>0</v>
      </c>
      <c r="CB280">
        <f>Model!CJ323</f>
        <v>0</v>
      </c>
      <c r="CC280">
        <f>Model!CK323</f>
        <v>0</v>
      </c>
      <c r="CD280">
        <f>Model!CL323</f>
        <v>0</v>
      </c>
      <c r="CE280">
        <f>Model!CM323</f>
        <v>0</v>
      </c>
      <c r="CF280">
        <f>Model!CN323</f>
        <v>0</v>
      </c>
      <c r="CG280">
        <f>Model!CO323</f>
        <v>0</v>
      </c>
      <c r="CH280">
        <f>Model!CP323</f>
        <v>0</v>
      </c>
      <c r="CI280">
        <f>Model!CQ323</f>
        <v>0</v>
      </c>
      <c r="CJ280">
        <f>Model!CR323</f>
        <v>0</v>
      </c>
      <c r="CK280">
        <f>Model!CS323</f>
        <v>0</v>
      </c>
      <c r="CL280">
        <f>Model!CT323</f>
        <v>0</v>
      </c>
      <c r="CM280">
        <f>Model!CU323</f>
        <v>0</v>
      </c>
      <c r="CN280">
        <f>Model!CV323</f>
        <v>0</v>
      </c>
      <c r="CO280">
        <f>Model!CW323</f>
        <v>0</v>
      </c>
      <c r="CP280">
        <f>Model!CX323</f>
        <v>0</v>
      </c>
      <c r="CQ280">
        <f>Model!CY323</f>
        <v>0</v>
      </c>
      <c r="CR280">
        <f>Model!CZ323</f>
        <v>0</v>
      </c>
      <c r="CS280">
        <f>Model!DA323</f>
        <v>0</v>
      </c>
      <c r="CT280">
        <f>Model!DB323</f>
        <v>0</v>
      </c>
      <c r="CU280">
        <f>Model!DC323</f>
        <v>0</v>
      </c>
      <c r="CV280">
        <f>Model!DD323</f>
        <v>0</v>
      </c>
      <c r="CW280">
        <f>Model!DE323</f>
        <v>0</v>
      </c>
      <c r="CX280">
        <f>Model!DF323</f>
        <v>0</v>
      </c>
    </row>
    <row r="281" spans="1:102">
      <c r="A281" t="str">
        <f>Model!I324</f>
        <v>Gross Profit</v>
      </c>
      <c r="B281">
        <f>Model!J324</f>
        <v>0</v>
      </c>
      <c r="C281">
        <f>Model!K324</f>
        <v>0</v>
      </c>
      <c r="D281">
        <f>Model!L324</f>
        <v>0</v>
      </c>
      <c r="E281">
        <f>Model!M324</f>
        <v>0</v>
      </c>
      <c r="F281">
        <f>Model!N324</f>
        <v>0</v>
      </c>
      <c r="G281">
        <f>Model!O324</f>
        <v>0</v>
      </c>
      <c r="H281">
        <f>Model!P324</f>
        <v>0</v>
      </c>
      <c r="I281">
        <f>Model!Q324</f>
        <v>0</v>
      </c>
      <c r="J281">
        <f>Model!R324</f>
        <v>0</v>
      </c>
      <c r="K281">
        <f>Model!S324</f>
        <v>0</v>
      </c>
      <c r="L281">
        <f>Model!T324</f>
        <v>0</v>
      </c>
      <c r="M281">
        <f>Model!U324</f>
        <v>0</v>
      </c>
      <c r="N281">
        <f>Model!V324</f>
        <v>0</v>
      </c>
      <c r="O281">
        <f>Model!W324</f>
        <v>0</v>
      </c>
      <c r="P281">
        <f>Model!X324</f>
        <v>0</v>
      </c>
      <c r="Q281">
        <f>Model!Y324</f>
        <v>0</v>
      </c>
      <c r="R281">
        <f>Model!Z324</f>
        <v>0</v>
      </c>
      <c r="S281">
        <f>Model!AA324</f>
        <v>0</v>
      </c>
      <c r="T281">
        <f>Model!AB324</f>
        <v>0</v>
      </c>
      <c r="U281">
        <f>Model!AC324</f>
        <v>0</v>
      </c>
      <c r="V281">
        <f>Model!AD324</f>
        <v>0</v>
      </c>
      <c r="W281">
        <f>Model!AE324</f>
        <v>0</v>
      </c>
      <c r="X281">
        <f>Model!AF324</f>
        <v>0</v>
      </c>
      <c r="Y281">
        <f>Model!AG324</f>
        <v>0</v>
      </c>
      <c r="Z281">
        <f>Model!AH324</f>
        <v>0</v>
      </c>
      <c r="AA281">
        <f>Model!AI324</f>
        <v>0</v>
      </c>
      <c r="AB281">
        <f>Model!AJ324</f>
        <v>0</v>
      </c>
      <c r="AC281">
        <f>Model!AK324</f>
        <v>0</v>
      </c>
      <c r="AD281">
        <f>Model!AL324</f>
        <v>0</v>
      </c>
      <c r="AE281">
        <f>Model!AM324</f>
        <v>0</v>
      </c>
      <c r="AF281">
        <f>Model!AN324</f>
        <v>0</v>
      </c>
      <c r="AG281">
        <f>Model!AO324</f>
        <v>0</v>
      </c>
      <c r="AH281">
        <f>Model!AP324</f>
        <v>0</v>
      </c>
      <c r="AI281">
        <f>Model!AQ324</f>
        <v>0</v>
      </c>
      <c r="AJ281">
        <f>Model!AR324</f>
        <v>0</v>
      </c>
      <c r="AK281">
        <f>Model!AS324</f>
        <v>0</v>
      </c>
      <c r="AL281">
        <f>Model!AT324</f>
        <v>0</v>
      </c>
      <c r="AM281">
        <f>Model!AU324</f>
        <v>0</v>
      </c>
      <c r="AN281">
        <f>Model!AV324</f>
        <v>0</v>
      </c>
      <c r="AO281">
        <f>Model!AW324</f>
        <v>0</v>
      </c>
      <c r="AP281">
        <f>Model!AX324</f>
        <v>0</v>
      </c>
      <c r="AQ281">
        <f>Model!AY324</f>
        <v>0</v>
      </c>
      <c r="AR281">
        <f>Model!AZ324</f>
        <v>0</v>
      </c>
      <c r="AS281">
        <f>Model!BA324</f>
        <v>0</v>
      </c>
      <c r="AT281">
        <f>Model!BB324</f>
        <v>0</v>
      </c>
      <c r="AU281">
        <f>Model!BC324</f>
        <v>0</v>
      </c>
      <c r="AV281">
        <f>Model!BD324</f>
        <v>0</v>
      </c>
      <c r="AW281">
        <f>Model!BE324</f>
        <v>29.151</v>
      </c>
      <c r="AX281">
        <f>Model!BF324</f>
        <v>29.553000000000001</v>
      </c>
      <c r="AY281">
        <f>Model!BG324</f>
        <v>29.526</v>
      </c>
      <c r="AZ281">
        <f>Model!BH324</f>
        <v>32.792000000000002</v>
      </c>
      <c r="BA281">
        <f>Model!BI324</f>
        <v>34.161000000000001</v>
      </c>
      <c r="BB281">
        <f>Model!BJ324</f>
        <v>34.33</v>
      </c>
      <c r="BC281">
        <f>Model!BK324</f>
        <v>34.125</v>
      </c>
      <c r="BD281">
        <f>Model!BL324</f>
        <v>40.035999999999994</v>
      </c>
      <c r="BE281">
        <f>Model!BM324</f>
        <v>53.779000000000003</v>
      </c>
      <c r="BF281">
        <f>Model!BN324</f>
        <v>55.731999999999992</v>
      </c>
      <c r="BG281">
        <f>Model!BO324</f>
        <v>41.2</v>
      </c>
      <c r="BH281">
        <f>Model!BP324</f>
        <v>59</v>
      </c>
      <c r="BI281">
        <f>Model!BQ324</f>
        <v>60.6</v>
      </c>
      <c r="BJ281">
        <f>Model!BR324</f>
        <v>62.2</v>
      </c>
      <c r="BK281">
        <f>Model!BS324</f>
        <v>64.8</v>
      </c>
      <c r="BL281">
        <f>Model!BT324</f>
        <v>72.7</v>
      </c>
      <c r="BM281">
        <f>Model!BU324</f>
        <v>71.8</v>
      </c>
      <c r="BN281">
        <f>Model!BV324</f>
        <v>74.599999999999994</v>
      </c>
      <c r="BO281">
        <f>Model!BW324</f>
        <v>74.2</v>
      </c>
      <c r="BP281">
        <f>Model!BX324</f>
        <v>83.3</v>
      </c>
      <c r="BQ281">
        <f>Model!BY324</f>
        <v>80.416000000000011</v>
      </c>
      <c r="BR281">
        <f>Model!BZ324</f>
        <v>83.552000000000007</v>
      </c>
      <c r="BS281">
        <f>Model!CA324</f>
        <v>83.104000000000013</v>
      </c>
      <c r="BT281">
        <f>Model!CB324</f>
        <v>93.296000000000006</v>
      </c>
      <c r="BU281">
        <f>Model!CC324</f>
        <v>88.457600000000014</v>
      </c>
      <c r="BV281">
        <f>Model!CD324</f>
        <v>91.907200000000017</v>
      </c>
      <c r="BW281">
        <f>Model!CE324</f>
        <v>91.414400000000029</v>
      </c>
      <c r="BX281">
        <f>Model!CF324</f>
        <v>102.62560000000002</v>
      </c>
      <c r="BY281">
        <f>Model!CG324</f>
        <v>0</v>
      </c>
      <c r="BZ281">
        <f>Model!CH324</f>
        <v>0</v>
      </c>
      <c r="CA281">
        <f>Model!CI324</f>
        <v>0</v>
      </c>
      <c r="CB281">
        <f>Model!CJ324</f>
        <v>0</v>
      </c>
      <c r="CC281">
        <f>Model!CK324</f>
        <v>0</v>
      </c>
      <c r="CD281">
        <f>Model!CL324</f>
        <v>0</v>
      </c>
      <c r="CE281">
        <f>Model!CM324</f>
        <v>0</v>
      </c>
      <c r="CF281">
        <f>Model!CN324</f>
        <v>0</v>
      </c>
      <c r="CG281">
        <f>Model!CO324</f>
        <v>0</v>
      </c>
      <c r="CH281">
        <f>Model!CP324</f>
        <v>0</v>
      </c>
      <c r="CI281">
        <f>Model!CQ324</f>
        <v>0</v>
      </c>
      <c r="CJ281">
        <f>Model!CR324</f>
        <v>0</v>
      </c>
      <c r="CK281">
        <f>Model!CS324</f>
        <v>0</v>
      </c>
      <c r="CL281">
        <f>Model!CT324</f>
        <v>0</v>
      </c>
      <c r="CM281">
        <f>Model!CU324</f>
        <v>100.2</v>
      </c>
      <c r="CN281">
        <f>Model!CV324</f>
        <v>260.3</v>
      </c>
      <c r="CO281">
        <f>Model!CW324</f>
        <v>303.89999999999998</v>
      </c>
      <c r="CP281">
        <f>Model!CX324</f>
        <v>340.36800000000005</v>
      </c>
      <c r="CQ281">
        <f>Model!CY324</f>
        <v>374.40480000000008</v>
      </c>
      <c r="CR281">
        <f>Model!CZ324</f>
        <v>404.35718400000013</v>
      </c>
      <c r="CS281">
        <f>Model!DA324</f>
        <v>436.70575872000018</v>
      </c>
      <c r="CT281">
        <f>Model!DB324</f>
        <v>471.64221941760024</v>
      </c>
      <c r="CU281">
        <f>Model!DC324</f>
        <v>509.37359697100828</v>
      </c>
      <c r="CV281">
        <f>Model!DD324</f>
        <v>550.12348472868894</v>
      </c>
      <c r="CW281">
        <f>Model!DE324</f>
        <v>594.1333635069841</v>
      </c>
      <c r="CX281">
        <f>Model!DF324</f>
        <v>641.66403258754292</v>
      </c>
    </row>
    <row r="282" spans="1:102">
      <c r="A282" t="str">
        <f>Model!I325</f>
        <v>Gross Margin %</v>
      </c>
      <c r="B282">
        <f>Model!J325</f>
        <v>0</v>
      </c>
      <c r="C282">
        <f>Model!K325</f>
        <v>0</v>
      </c>
      <c r="D282">
        <f>Model!L325</f>
        <v>0</v>
      </c>
      <c r="E282">
        <f>Model!M325</f>
        <v>0</v>
      </c>
      <c r="F282">
        <f>Model!N325</f>
        <v>0</v>
      </c>
      <c r="G282">
        <f>Model!O325</f>
        <v>0</v>
      </c>
      <c r="H282">
        <f>Model!P325</f>
        <v>0</v>
      </c>
      <c r="I282">
        <f>Model!Q325</f>
        <v>0</v>
      </c>
      <c r="J282">
        <f>Model!R325</f>
        <v>0</v>
      </c>
      <c r="K282">
        <f>Model!S325</f>
        <v>0</v>
      </c>
      <c r="L282">
        <f>Model!T325</f>
        <v>0</v>
      </c>
      <c r="M282">
        <f>Model!U325</f>
        <v>0</v>
      </c>
      <c r="N282">
        <f>Model!V325</f>
        <v>0</v>
      </c>
      <c r="O282">
        <f>Model!W325</f>
        <v>0</v>
      </c>
      <c r="P282">
        <f>Model!X325</f>
        <v>0</v>
      </c>
      <c r="Q282">
        <f>Model!Y325</f>
        <v>0</v>
      </c>
      <c r="R282">
        <f>Model!Z325</f>
        <v>0</v>
      </c>
      <c r="S282">
        <f>Model!AA325</f>
        <v>0</v>
      </c>
      <c r="T282">
        <f>Model!AB325</f>
        <v>0</v>
      </c>
      <c r="U282">
        <f>Model!AC325</f>
        <v>0</v>
      </c>
      <c r="V282">
        <f>Model!AD325</f>
        <v>0</v>
      </c>
      <c r="W282">
        <f>Model!AE325</f>
        <v>0</v>
      </c>
      <c r="X282">
        <f>Model!AF325</f>
        <v>0</v>
      </c>
      <c r="Y282">
        <f>Model!AG325</f>
        <v>0</v>
      </c>
      <c r="Z282">
        <f>Model!AH325</f>
        <v>0</v>
      </c>
      <c r="AA282">
        <f>Model!AI325</f>
        <v>0</v>
      </c>
      <c r="AB282">
        <f>Model!AJ325</f>
        <v>0</v>
      </c>
      <c r="AC282">
        <f>Model!AK325</f>
        <v>0</v>
      </c>
      <c r="AD282">
        <f>Model!AL325</f>
        <v>0</v>
      </c>
      <c r="AE282">
        <f>Model!AM325</f>
        <v>0</v>
      </c>
      <c r="AF282">
        <f>Model!AN325</f>
        <v>0</v>
      </c>
      <c r="AG282">
        <f>Model!AO325</f>
        <v>0</v>
      </c>
      <c r="AH282">
        <f>Model!AP325</f>
        <v>0</v>
      </c>
      <c r="AI282">
        <f>Model!AQ325</f>
        <v>0</v>
      </c>
      <c r="AJ282">
        <f>Model!AR325</f>
        <v>0</v>
      </c>
      <c r="AK282">
        <f>Model!AS325</f>
        <v>0</v>
      </c>
      <c r="AL282">
        <f>Model!AT325</f>
        <v>0</v>
      </c>
      <c r="AM282">
        <f>Model!AU325</f>
        <v>0</v>
      </c>
      <c r="AN282">
        <f>Model!AV325</f>
        <v>0</v>
      </c>
      <c r="AO282">
        <f>Model!AW325</f>
        <v>0</v>
      </c>
      <c r="AP282">
        <f>Model!AX325</f>
        <v>0</v>
      </c>
      <c r="AQ282">
        <f>Model!AY325</f>
        <v>0</v>
      </c>
      <c r="AR282">
        <f>Model!AZ325</f>
        <v>0</v>
      </c>
      <c r="AS282">
        <f>Model!BA325</f>
        <v>0</v>
      </c>
      <c r="AT282">
        <f>Model!BB325</f>
        <v>0</v>
      </c>
      <c r="AU282">
        <f>Model!BC325</f>
        <v>0</v>
      </c>
      <c r="AV282">
        <f>Model!BD325</f>
        <v>0</v>
      </c>
      <c r="AW282">
        <f>Model!BE325</f>
        <v>0.74045568848586452</v>
      </c>
      <c r="AX282">
        <f>Model!BF325</f>
        <v>0.74708023661459122</v>
      </c>
      <c r="AY282">
        <f>Model!BG325</f>
        <v>0.74301675977653636</v>
      </c>
      <c r="AZ282">
        <f>Model!BH325</f>
        <v>0.76319035538901958</v>
      </c>
      <c r="BA282">
        <f>Model!BI325</f>
        <v>0.75077470824817039</v>
      </c>
      <c r="BB282">
        <f>Model!BJ325</f>
        <v>0.75342916712388897</v>
      </c>
      <c r="BC282">
        <f>Model!BK325</f>
        <v>0.7308375987835436</v>
      </c>
      <c r="BD282">
        <f>Model!BL325</f>
        <v>0.76563844638656742</v>
      </c>
      <c r="BE282">
        <f>Model!BM325</f>
        <v>1</v>
      </c>
      <c r="BF282">
        <f>Model!BN325</f>
        <v>1</v>
      </c>
      <c r="BG282">
        <f>Model!BO325</f>
        <v>1</v>
      </c>
      <c r="BH282">
        <f>Model!BP325</f>
        <v>1</v>
      </c>
      <c r="BI282">
        <f>Model!BQ325</f>
        <v>1</v>
      </c>
      <c r="BJ282">
        <f>Model!BR325</f>
        <v>1</v>
      </c>
      <c r="BK282">
        <f>Model!BS325</f>
        <v>1</v>
      </c>
      <c r="BL282">
        <f>Model!BT325</f>
        <v>1</v>
      </c>
      <c r="BM282">
        <f>Model!BU325</f>
        <v>1</v>
      </c>
      <c r="BN282">
        <f>Model!BV325</f>
        <v>1</v>
      </c>
      <c r="BO282">
        <f>Model!BW325</f>
        <v>1</v>
      </c>
      <c r="BP282">
        <f>Model!BX325</f>
        <v>1</v>
      </c>
      <c r="BQ282">
        <f>Model!BY325</f>
        <v>1</v>
      </c>
      <c r="BR282">
        <f>Model!BZ325</f>
        <v>1</v>
      </c>
      <c r="BS282">
        <f>Model!CA325</f>
        <v>1</v>
      </c>
      <c r="BT282">
        <f>Model!CB325</f>
        <v>1</v>
      </c>
      <c r="BU282">
        <f>Model!CC325</f>
        <v>1</v>
      </c>
      <c r="BV282">
        <f>Model!CD325</f>
        <v>1</v>
      </c>
      <c r="BW282">
        <f>Model!CE325</f>
        <v>1</v>
      </c>
      <c r="BX282">
        <f>Model!CF325</f>
        <v>1</v>
      </c>
      <c r="BY282">
        <f>Model!CG325</f>
        <v>0</v>
      </c>
      <c r="BZ282">
        <f>Model!CH325</f>
        <v>0</v>
      </c>
      <c r="CA282">
        <f>Model!CI325</f>
        <v>0</v>
      </c>
      <c r="CB282">
        <f>Model!CJ325</f>
        <v>0</v>
      </c>
      <c r="CC282">
        <f>Model!CK325</f>
        <v>0</v>
      </c>
      <c r="CD282">
        <f>Model!CL325</f>
        <v>0</v>
      </c>
      <c r="CE282">
        <f>Model!CM325</f>
        <v>0</v>
      </c>
      <c r="CF282">
        <f>Model!CN325</f>
        <v>0</v>
      </c>
      <c r="CG282">
        <f>Model!CO325</f>
        <v>0</v>
      </c>
      <c r="CH282">
        <f>Model!CP325</f>
        <v>0</v>
      </c>
      <c r="CI282">
        <f>Model!CQ325</f>
        <v>0</v>
      </c>
      <c r="CJ282">
        <f>Model!CR325</f>
        <v>0</v>
      </c>
      <c r="CK282">
        <f>Model!CS325</f>
        <v>0</v>
      </c>
      <c r="CL282">
        <f>Model!CT325</f>
        <v>0</v>
      </c>
      <c r="CM282">
        <f>Model!CU325</f>
        <v>1</v>
      </c>
      <c r="CN282">
        <f>Model!CV325</f>
        <v>1</v>
      </c>
      <c r="CO282">
        <f>Model!CW325</f>
        <v>1</v>
      </c>
      <c r="CP282">
        <f>Model!CX325</f>
        <v>1</v>
      </c>
      <c r="CQ282">
        <f>Model!CY325</f>
        <v>1</v>
      </c>
      <c r="CR282">
        <f>Model!CZ325</f>
        <v>1</v>
      </c>
      <c r="CS282">
        <f>Model!DA325</f>
        <v>1</v>
      </c>
      <c r="CT282">
        <f>Model!DB325</f>
        <v>1</v>
      </c>
      <c r="CU282">
        <f>Model!DC325</f>
        <v>1</v>
      </c>
      <c r="CV282">
        <f>Model!DD325</f>
        <v>1</v>
      </c>
      <c r="CW282">
        <f>Model!DE325</f>
        <v>1</v>
      </c>
      <c r="CX282">
        <f>Model!DF325</f>
        <v>1</v>
      </c>
    </row>
    <row r="283" spans="1:102">
      <c r="A283">
        <f>Model!I327</f>
        <v>0</v>
      </c>
      <c r="B283">
        <f>Model!J327</f>
        <v>0</v>
      </c>
      <c r="C283">
        <f>Model!K327</f>
        <v>0</v>
      </c>
      <c r="D283">
        <f>Model!L327</f>
        <v>0</v>
      </c>
      <c r="E283">
        <f>Model!M327</f>
        <v>0</v>
      </c>
      <c r="F283">
        <f>Model!N327</f>
        <v>0</v>
      </c>
      <c r="G283">
        <f>Model!O327</f>
        <v>0</v>
      </c>
      <c r="H283">
        <f>Model!P327</f>
        <v>0</v>
      </c>
      <c r="I283">
        <f>Model!Q327</f>
        <v>0</v>
      </c>
      <c r="J283">
        <f>Model!R327</f>
        <v>0</v>
      </c>
      <c r="K283">
        <f>Model!S327</f>
        <v>0</v>
      </c>
      <c r="L283">
        <f>Model!T327</f>
        <v>0</v>
      </c>
      <c r="M283">
        <f>Model!U327</f>
        <v>0</v>
      </c>
      <c r="N283">
        <f>Model!V327</f>
        <v>0</v>
      </c>
      <c r="O283">
        <f>Model!W327</f>
        <v>0</v>
      </c>
      <c r="P283">
        <f>Model!X327</f>
        <v>0</v>
      </c>
      <c r="Q283">
        <f>Model!Y327</f>
        <v>0</v>
      </c>
      <c r="R283">
        <f>Model!Z327</f>
        <v>0</v>
      </c>
      <c r="S283">
        <f>Model!AA327</f>
        <v>0</v>
      </c>
      <c r="T283">
        <f>Model!AB327</f>
        <v>0</v>
      </c>
      <c r="U283">
        <f>Model!AC327</f>
        <v>0</v>
      </c>
      <c r="V283">
        <f>Model!AD327</f>
        <v>0</v>
      </c>
      <c r="W283">
        <f>Model!AE327</f>
        <v>0</v>
      </c>
      <c r="X283">
        <f>Model!AF327</f>
        <v>0</v>
      </c>
      <c r="Y283">
        <f>Model!AG327</f>
        <v>0</v>
      </c>
      <c r="Z283">
        <f>Model!AH327</f>
        <v>0</v>
      </c>
      <c r="AA283">
        <f>Model!AI327</f>
        <v>0</v>
      </c>
      <c r="AB283">
        <f>Model!AJ327</f>
        <v>0</v>
      </c>
      <c r="AC283">
        <f>Model!AK327</f>
        <v>0</v>
      </c>
      <c r="AD283">
        <f>Model!AL327</f>
        <v>0</v>
      </c>
      <c r="AE283">
        <f>Model!AM327</f>
        <v>0</v>
      </c>
      <c r="AF283">
        <f>Model!AN327</f>
        <v>0</v>
      </c>
      <c r="AG283">
        <f>Model!AO327</f>
        <v>0</v>
      </c>
      <c r="AH283">
        <f>Model!AP327</f>
        <v>0</v>
      </c>
      <c r="AI283">
        <f>Model!AQ327</f>
        <v>0</v>
      </c>
      <c r="AJ283">
        <f>Model!AR327</f>
        <v>0</v>
      </c>
      <c r="AK283">
        <f>Model!AS327</f>
        <v>0</v>
      </c>
      <c r="AL283">
        <f>Model!AT327</f>
        <v>0</v>
      </c>
      <c r="AM283">
        <f>Model!AU327</f>
        <v>0</v>
      </c>
      <c r="AN283">
        <f>Model!AV327</f>
        <v>0</v>
      </c>
      <c r="AO283">
        <f>Model!AW327</f>
        <v>0</v>
      </c>
      <c r="AP283">
        <f>Model!AX327</f>
        <v>0</v>
      </c>
      <c r="AQ283">
        <f>Model!AY327</f>
        <v>0</v>
      </c>
      <c r="AR283">
        <f>Model!AZ327</f>
        <v>0</v>
      </c>
      <c r="AS283">
        <f>Model!BA327</f>
        <v>0</v>
      </c>
      <c r="AT283">
        <f>Model!BB327</f>
        <v>0</v>
      </c>
      <c r="AU283">
        <f>Model!BC327</f>
        <v>0</v>
      </c>
      <c r="AV283">
        <f>Model!BD327</f>
        <v>0</v>
      </c>
      <c r="AW283">
        <f>Model!BE327</f>
        <v>0</v>
      </c>
      <c r="AX283">
        <f>Model!BF327</f>
        <v>0</v>
      </c>
      <c r="AY283">
        <f>Model!BG327</f>
        <v>0</v>
      </c>
      <c r="AZ283">
        <f>Model!BH327</f>
        <v>0</v>
      </c>
      <c r="BA283">
        <f>Model!BI327</f>
        <v>0</v>
      </c>
      <c r="BB283">
        <f>Model!BJ327</f>
        <v>0</v>
      </c>
      <c r="BC283">
        <f>Model!BK327</f>
        <v>0</v>
      </c>
      <c r="BD283">
        <f>Model!BL327</f>
        <v>0</v>
      </c>
      <c r="BE283">
        <f>Model!BM327</f>
        <v>0</v>
      </c>
      <c r="BF283">
        <f>Model!BN327</f>
        <v>0</v>
      </c>
      <c r="BG283">
        <f>Model!BO327</f>
        <v>0</v>
      </c>
      <c r="BH283">
        <f>Model!BP327</f>
        <v>0</v>
      </c>
      <c r="BI283">
        <f>Model!BQ327</f>
        <v>0</v>
      </c>
      <c r="BJ283">
        <f>Model!BR327</f>
        <v>0</v>
      </c>
      <c r="BK283">
        <f>Model!BS327</f>
        <v>0</v>
      </c>
      <c r="BL283">
        <f>Model!BT327</f>
        <v>0</v>
      </c>
      <c r="BM283">
        <f>Model!BU327</f>
        <v>0</v>
      </c>
      <c r="BN283">
        <f>Model!BV327</f>
        <v>0</v>
      </c>
      <c r="BO283">
        <f>Model!BW327</f>
        <v>0</v>
      </c>
      <c r="BP283">
        <f>Model!BX327</f>
        <v>0</v>
      </c>
      <c r="BQ283">
        <f>Model!BY327</f>
        <v>0</v>
      </c>
      <c r="BR283">
        <f>Model!BZ327</f>
        <v>0</v>
      </c>
      <c r="BS283">
        <f>Model!CA327</f>
        <v>0</v>
      </c>
      <c r="BT283">
        <f>Model!CB327</f>
        <v>0</v>
      </c>
      <c r="BU283">
        <f>Model!CC327</f>
        <v>0</v>
      </c>
      <c r="BV283">
        <f>Model!CD327</f>
        <v>0</v>
      </c>
      <c r="BW283">
        <f>Model!CE327</f>
        <v>0</v>
      </c>
      <c r="BX283">
        <f>Model!CF327</f>
        <v>0</v>
      </c>
      <c r="BY283">
        <f>Model!CG327</f>
        <v>0</v>
      </c>
      <c r="BZ283">
        <f>Model!CH327</f>
        <v>0</v>
      </c>
      <c r="CA283">
        <f>Model!CI327</f>
        <v>0</v>
      </c>
      <c r="CB283">
        <f>Model!CJ327</f>
        <v>0</v>
      </c>
      <c r="CC283">
        <f>Model!CK327</f>
        <v>0</v>
      </c>
      <c r="CD283">
        <f>Model!CL327</f>
        <v>0</v>
      </c>
      <c r="CE283">
        <f>Model!CM327</f>
        <v>0</v>
      </c>
      <c r="CF283">
        <f>Model!CN327</f>
        <v>0</v>
      </c>
      <c r="CG283">
        <f>Model!CO327</f>
        <v>0</v>
      </c>
      <c r="CH283">
        <f>Model!CP327</f>
        <v>0</v>
      </c>
      <c r="CI283">
        <f>Model!CQ327</f>
        <v>0</v>
      </c>
      <c r="CJ283">
        <f>Model!CR327</f>
        <v>0</v>
      </c>
      <c r="CK283">
        <f>Model!CS327</f>
        <v>0</v>
      </c>
      <c r="CL283">
        <f>Model!CT327</f>
        <v>0</v>
      </c>
      <c r="CM283">
        <f>Model!CU327</f>
        <v>0</v>
      </c>
      <c r="CN283">
        <f>Model!CV327</f>
        <v>0</v>
      </c>
      <c r="CO283">
        <f>Model!CW327</f>
        <v>0</v>
      </c>
      <c r="CP283">
        <f>Model!CX327</f>
        <v>0</v>
      </c>
      <c r="CQ283">
        <f>Model!CY327</f>
        <v>0</v>
      </c>
      <c r="CR283">
        <f>Model!CZ327</f>
        <v>0</v>
      </c>
      <c r="CS283">
        <f>Model!DA327</f>
        <v>0</v>
      </c>
      <c r="CT283">
        <f>Model!DB327</f>
        <v>0</v>
      </c>
      <c r="CU283">
        <f>Model!DC327</f>
        <v>0</v>
      </c>
      <c r="CV283">
        <f>Model!DD327</f>
        <v>0</v>
      </c>
      <c r="CW283">
        <f>Model!DE327</f>
        <v>0</v>
      </c>
      <c r="CX283">
        <f>Model!DF327</f>
        <v>0</v>
      </c>
    </row>
    <row r="284" spans="1:102">
      <c r="A284">
        <f>Model!I328</f>
        <v>0</v>
      </c>
      <c r="B284">
        <f>Model!J328</f>
        <v>0</v>
      </c>
      <c r="C284">
        <f>Model!K328</f>
        <v>0</v>
      </c>
      <c r="D284">
        <f>Model!L328</f>
        <v>0</v>
      </c>
      <c r="E284">
        <f>Model!M328</f>
        <v>0</v>
      </c>
      <c r="F284">
        <f>Model!N328</f>
        <v>0</v>
      </c>
      <c r="G284">
        <f>Model!O328</f>
        <v>0</v>
      </c>
      <c r="H284">
        <f>Model!P328</f>
        <v>0</v>
      </c>
      <c r="I284">
        <f>Model!Q328</f>
        <v>0</v>
      </c>
      <c r="J284">
        <f>Model!R328</f>
        <v>0</v>
      </c>
      <c r="K284">
        <f>Model!S328</f>
        <v>0</v>
      </c>
      <c r="L284">
        <f>Model!T328</f>
        <v>0</v>
      </c>
      <c r="M284">
        <f>Model!U328</f>
        <v>0</v>
      </c>
      <c r="N284">
        <f>Model!V328</f>
        <v>0</v>
      </c>
      <c r="O284">
        <f>Model!W328</f>
        <v>0</v>
      </c>
      <c r="P284">
        <f>Model!X328</f>
        <v>0</v>
      </c>
      <c r="Q284">
        <f>Model!Y328</f>
        <v>0</v>
      </c>
      <c r="R284">
        <f>Model!Z328</f>
        <v>0</v>
      </c>
      <c r="S284">
        <f>Model!AA328</f>
        <v>0</v>
      </c>
      <c r="T284">
        <f>Model!AB328</f>
        <v>0</v>
      </c>
      <c r="U284">
        <f>Model!AC328</f>
        <v>0</v>
      </c>
      <c r="V284">
        <f>Model!AD328</f>
        <v>0</v>
      </c>
      <c r="W284">
        <f>Model!AE328</f>
        <v>0</v>
      </c>
      <c r="X284">
        <f>Model!AF328</f>
        <v>0</v>
      </c>
      <c r="Y284">
        <f>Model!AG328</f>
        <v>0</v>
      </c>
      <c r="Z284">
        <f>Model!AH328</f>
        <v>0</v>
      </c>
      <c r="AA284">
        <f>Model!AI328</f>
        <v>0</v>
      </c>
      <c r="AB284">
        <f>Model!AJ328</f>
        <v>0</v>
      </c>
      <c r="AC284">
        <f>Model!AK328</f>
        <v>0</v>
      </c>
      <c r="AD284">
        <f>Model!AL328</f>
        <v>0</v>
      </c>
      <c r="AE284">
        <f>Model!AM328</f>
        <v>0</v>
      </c>
      <c r="AF284">
        <f>Model!AN328</f>
        <v>0</v>
      </c>
      <c r="AG284">
        <f>Model!AO328</f>
        <v>0</v>
      </c>
      <c r="AH284">
        <f>Model!AP328</f>
        <v>0</v>
      </c>
      <c r="AI284">
        <f>Model!AQ328</f>
        <v>0</v>
      </c>
      <c r="AJ284">
        <f>Model!AR328</f>
        <v>0</v>
      </c>
      <c r="AK284">
        <f>Model!AS328</f>
        <v>0</v>
      </c>
      <c r="AL284">
        <f>Model!AT328</f>
        <v>0</v>
      </c>
      <c r="AM284">
        <f>Model!AU328</f>
        <v>0</v>
      </c>
      <c r="AN284">
        <f>Model!AV328</f>
        <v>0</v>
      </c>
      <c r="AO284">
        <f>Model!AW328</f>
        <v>0</v>
      </c>
      <c r="AP284">
        <f>Model!AX328</f>
        <v>0</v>
      </c>
      <c r="AQ284">
        <f>Model!AY328</f>
        <v>0</v>
      </c>
      <c r="AR284">
        <f>Model!AZ328</f>
        <v>0</v>
      </c>
      <c r="AS284">
        <f>Model!BA328</f>
        <v>0</v>
      </c>
      <c r="AT284">
        <f>Model!BB328</f>
        <v>0</v>
      </c>
      <c r="AU284">
        <f>Model!BC328</f>
        <v>0</v>
      </c>
      <c r="AV284">
        <f>Model!BD328</f>
        <v>0</v>
      </c>
      <c r="AW284">
        <f>Model!BE328</f>
        <v>0</v>
      </c>
      <c r="AX284">
        <f>Model!BF328</f>
        <v>0</v>
      </c>
      <c r="AY284">
        <f>Model!BG328</f>
        <v>0</v>
      </c>
      <c r="AZ284">
        <f>Model!BH328</f>
        <v>0</v>
      </c>
      <c r="BA284">
        <f>Model!BI328</f>
        <v>0</v>
      </c>
      <c r="BB284">
        <f>Model!BJ328</f>
        <v>0</v>
      </c>
      <c r="BC284">
        <f>Model!BK328</f>
        <v>0</v>
      </c>
      <c r="BD284">
        <f>Model!BL328</f>
        <v>0</v>
      </c>
      <c r="BE284">
        <f>Model!BM328</f>
        <v>0</v>
      </c>
      <c r="BF284">
        <f>Model!BN328</f>
        <v>0</v>
      </c>
      <c r="BG284">
        <f>Model!BO328</f>
        <v>0</v>
      </c>
      <c r="BH284">
        <f>Model!BP328</f>
        <v>0</v>
      </c>
      <c r="BI284">
        <f>Model!BQ328</f>
        <v>0</v>
      </c>
      <c r="BJ284">
        <f>Model!BR328</f>
        <v>0</v>
      </c>
      <c r="BK284">
        <f>Model!BS328</f>
        <v>0</v>
      </c>
      <c r="BL284">
        <f>Model!BT328</f>
        <v>0</v>
      </c>
      <c r="BM284">
        <f>Model!BU328</f>
        <v>0</v>
      </c>
      <c r="BN284">
        <f>Model!BV328</f>
        <v>0</v>
      </c>
      <c r="BO284">
        <f>Model!BW328</f>
        <v>0</v>
      </c>
      <c r="BP284">
        <f>Model!BX328</f>
        <v>0</v>
      </c>
      <c r="BQ284">
        <f>Model!BY328</f>
        <v>0</v>
      </c>
      <c r="BR284">
        <f>Model!BZ328</f>
        <v>0</v>
      </c>
      <c r="BS284">
        <f>Model!CA328</f>
        <v>0</v>
      </c>
      <c r="BT284">
        <f>Model!CB328</f>
        <v>0</v>
      </c>
      <c r="BU284">
        <f>Model!CC328</f>
        <v>0</v>
      </c>
      <c r="BV284">
        <f>Model!CD328</f>
        <v>0</v>
      </c>
      <c r="BW284">
        <f>Model!CE328</f>
        <v>0</v>
      </c>
      <c r="BX284">
        <f>Model!CF328</f>
        <v>0</v>
      </c>
      <c r="BY284">
        <f>Model!CG328</f>
        <v>0</v>
      </c>
      <c r="BZ284">
        <f>Model!CH328</f>
        <v>0</v>
      </c>
      <c r="CA284">
        <f>Model!CI328</f>
        <v>0</v>
      </c>
      <c r="CB284">
        <f>Model!CJ328</f>
        <v>0</v>
      </c>
      <c r="CC284">
        <f>Model!CK328</f>
        <v>0</v>
      </c>
      <c r="CD284">
        <f>Model!CL328</f>
        <v>0</v>
      </c>
      <c r="CE284">
        <f>Model!CM328</f>
        <v>0</v>
      </c>
      <c r="CF284">
        <f>Model!CN328</f>
        <v>0</v>
      </c>
      <c r="CG284">
        <f>Model!CO328</f>
        <v>0</v>
      </c>
      <c r="CH284">
        <f>Model!CP328</f>
        <v>0</v>
      </c>
      <c r="CI284">
        <f>Model!CQ328</f>
        <v>0</v>
      </c>
      <c r="CJ284">
        <f>Model!CR328</f>
        <v>0</v>
      </c>
      <c r="CK284">
        <f>Model!CS328</f>
        <v>0</v>
      </c>
      <c r="CL284">
        <f>Model!CT328</f>
        <v>0</v>
      </c>
      <c r="CM284">
        <f>Model!CU328</f>
        <v>0</v>
      </c>
      <c r="CN284">
        <f>Model!CV328</f>
        <v>0</v>
      </c>
      <c r="CO284">
        <f>Model!CW328</f>
        <v>0</v>
      </c>
      <c r="CP284">
        <f>Model!CX328</f>
        <v>0</v>
      </c>
      <c r="CQ284">
        <f>Model!CY328</f>
        <v>0</v>
      </c>
      <c r="CR284">
        <f>Model!CZ328</f>
        <v>0</v>
      </c>
      <c r="CS284">
        <f>Model!DA328</f>
        <v>0</v>
      </c>
      <c r="CT284">
        <f>Model!DB328</f>
        <v>0</v>
      </c>
      <c r="CU284">
        <f>Model!DC328</f>
        <v>0</v>
      </c>
      <c r="CV284">
        <f>Model!DD328</f>
        <v>0</v>
      </c>
      <c r="CW284">
        <f>Model!DE328</f>
        <v>0</v>
      </c>
      <c r="CX284">
        <f>Model!DF328</f>
        <v>0</v>
      </c>
    </row>
    <row r="285" spans="1:102">
      <c r="A285" t="str">
        <f>Model!I329</f>
        <v>Opex Drivers</v>
      </c>
      <c r="B285">
        <f>Model!J329</f>
        <v>0</v>
      </c>
      <c r="C285">
        <f>Model!K329</f>
        <v>0</v>
      </c>
      <c r="D285">
        <f>Model!L329</f>
        <v>0</v>
      </c>
      <c r="E285">
        <f>Model!M329</f>
        <v>0</v>
      </c>
      <c r="F285">
        <f>Model!N329</f>
        <v>0</v>
      </c>
      <c r="G285">
        <f>Model!O329</f>
        <v>0</v>
      </c>
      <c r="H285">
        <f>Model!P329</f>
        <v>0</v>
      </c>
      <c r="I285">
        <f>Model!Q329</f>
        <v>0</v>
      </c>
      <c r="J285">
        <f>Model!R329</f>
        <v>0</v>
      </c>
      <c r="K285">
        <f>Model!S329</f>
        <v>0</v>
      </c>
      <c r="L285">
        <f>Model!T329</f>
        <v>0</v>
      </c>
      <c r="M285">
        <f>Model!U329</f>
        <v>0</v>
      </c>
      <c r="N285">
        <f>Model!V329</f>
        <v>0</v>
      </c>
      <c r="O285">
        <f>Model!W329</f>
        <v>0</v>
      </c>
      <c r="P285">
        <f>Model!X329</f>
        <v>0</v>
      </c>
      <c r="Q285">
        <f>Model!Y329</f>
        <v>0</v>
      </c>
      <c r="R285">
        <f>Model!Z329</f>
        <v>0</v>
      </c>
      <c r="S285">
        <f>Model!AA329</f>
        <v>0</v>
      </c>
      <c r="T285">
        <f>Model!AB329</f>
        <v>0</v>
      </c>
      <c r="U285">
        <f>Model!AC329</f>
        <v>0</v>
      </c>
      <c r="V285">
        <f>Model!AD329</f>
        <v>0</v>
      </c>
      <c r="W285">
        <f>Model!AE329</f>
        <v>0</v>
      </c>
      <c r="X285">
        <f>Model!AF329</f>
        <v>0</v>
      </c>
      <c r="Y285">
        <f>Model!AG329</f>
        <v>0</v>
      </c>
      <c r="Z285">
        <f>Model!AH329</f>
        <v>0</v>
      </c>
      <c r="AA285">
        <f>Model!AI329</f>
        <v>0</v>
      </c>
      <c r="AB285">
        <f>Model!AJ329</f>
        <v>0</v>
      </c>
      <c r="AC285">
        <f>Model!AK329</f>
        <v>0</v>
      </c>
      <c r="AD285">
        <f>Model!AL329</f>
        <v>0</v>
      </c>
      <c r="AE285">
        <f>Model!AM329</f>
        <v>0</v>
      </c>
      <c r="AF285">
        <f>Model!AN329</f>
        <v>0</v>
      </c>
      <c r="AG285">
        <f>Model!AO329</f>
        <v>0</v>
      </c>
      <c r="AH285">
        <f>Model!AP329</f>
        <v>0</v>
      </c>
      <c r="AI285">
        <f>Model!AQ329</f>
        <v>0</v>
      </c>
      <c r="AJ285">
        <f>Model!AR329</f>
        <v>0</v>
      </c>
      <c r="AK285">
        <f>Model!AS329</f>
        <v>0</v>
      </c>
      <c r="AL285">
        <f>Model!AT329</f>
        <v>0</v>
      </c>
      <c r="AM285">
        <f>Model!AU329</f>
        <v>0</v>
      </c>
      <c r="AN285">
        <f>Model!AV329</f>
        <v>0</v>
      </c>
      <c r="AO285">
        <f>Model!AW329</f>
        <v>0</v>
      </c>
      <c r="AP285">
        <f>Model!AX329</f>
        <v>0</v>
      </c>
      <c r="AQ285">
        <f>Model!AY329</f>
        <v>0</v>
      </c>
      <c r="AR285">
        <f>Model!AZ329</f>
        <v>0</v>
      </c>
      <c r="AS285">
        <f>Model!BA329</f>
        <v>0</v>
      </c>
      <c r="AT285">
        <f>Model!BB329</f>
        <v>0</v>
      </c>
      <c r="AU285">
        <f>Model!BC329</f>
        <v>0</v>
      </c>
      <c r="AV285">
        <f>Model!BD329</f>
        <v>0</v>
      </c>
      <c r="AW285">
        <f>Model!BE329</f>
        <v>0</v>
      </c>
      <c r="AX285">
        <f>Model!BF329</f>
        <v>0</v>
      </c>
      <c r="AY285">
        <f>Model!BG329</f>
        <v>0</v>
      </c>
      <c r="AZ285">
        <f>Model!BH329</f>
        <v>0</v>
      </c>
      <c r="BA285">
        <f>Model!BI329</f>
        <v>0</v>
      </c>
      <c r="BB285">
        <f>Model!BJ329</f>
        <v>0</v>
      </c>
      <c r="BC285">
        <f>Model!BK329</f>
        <v>0</v>
      </c>
      <c r="BD285">
        <f>Model!BL329</f>
        <v>0</v>
      </c>
      <c r="BE285">
        <f>Model!BM329</f>
        <v>0</v>
      </c>
      <c r="BF285">
        <f>Model!BN329</f>
        <v>0</v>
      </c>
      <c r="BG285">
        <f>Model!BO329</f>
        <v>0</v>
      </c>
      <c r="BH285">
        <f>Model!BP329</f>
        <v>0</v>
      </c>
      <c r="BI285">
        <f>Model!BQ329</f>
        <v>0</v>
      </c>
      <c r="BJ285">
        <f>Model!BR329</f>
        <v>0</v>
      </c>
      <c r="BK285">
        <f>Model!BS329</f>
        <v>0</v>
      </c>
      <c r="BL285">
        <f>Model!BT329</f>
        <v>0</v>
      </c>
      <c r="BM285">
        <f>Model!BU329</f>
        <v>0</v>
      </c>
      <c r="BN285">
        <f>Model!BV329</f>
        <v>0</v>
      </c>
      <c r="BO285">
        <f>Model!BW329</f>
        <v>0</v>
      </c>
      <c r="BP285">
        <f>Model!BX329</f>
        <v>0</v>
      </c>
      <c r="BQ285">
        <f>Model!BY329</f>
        <v>0</v>
      </c>
      <c r="BR285">
        <f>Model!BZ329</f>
        <v>0</v>
      </c>
      <c r="BS285">
        <f>Model!CA329</f>
        <v>0</v>
      </c>
      <c r="BT285">
        <f>Model!CB329</f>
        <v>0</v>
      </c>
      <c r="BU285">
        <f>Model!CC329</f>
        <v>0</v>
      </c>
      <c r="BV285">
        <f>Model!CD329</f>
        <v>0</v>
      </c>
      <c r="BW285">
        <f>Model!CE329</f>
        <v>0</v>
      </c>
      <c r="BX285">
        <f>Model!CF329</f>
        <v>0</v>
      </c>
      <c r="BY285">
        <f>Model!CG329</f>
        <v>0</v>
      </c>
      <c r="BZ285">
        <f>Model!CH329</f>
        <v>0</v>
      </c>
      <c r="CA285">
        <f>Model!CI329</f>
        <v>0</v>
      </c>
      <c r="CB285">
        <f>Model!CJ329</f>
        <v>0</v>
      </c>
      <c r="CC285">
        <f>Model!CK329</f>
        <v>0</v>
      </c>
      <c r="CD285">
        <f>Model!CL329</f>
        <v>0</v>
      </c>
      <c r="CE285">
        <f>Model!CM329</f>
        <v>0</v>
      </c>
      <c r="CF285">
        <f>Model!CN329</f>
        <v>0</v>
      </c>
      <c r="CG285">
        <f>Model!CO329</f>
        <v>0</v>
      </c>
      <c r="CH285">
        <f>Model!CP329</f>
        <v>0</v>
      </c>
      <c r="CI285">
        <f>Model!CQ329</f>
        <v>0</v>
      </c>
      <c r="CJ285">
        <f>Model!CR329</f>
        <v>0</v>
      </c>
      <c r="CK285">
        <f>Model!CS329</f>
        <v>0</v>
      </c>
      <c r="CL285">
        <f>Model!CT329</f>
        <v>0</v>
      </c>
      <c r="CM285">
        <f>Model!CU329</f>
        <v>0</v>
      </c>
      <c r="CN285">
        <f>Model!CV329</f>
        <v>0</v>
      </c>
      <c r="CO285">
        <f>Model!CW329</f>
        <v>0</v>
      </c>
      <c r="CP285">
        <f>Model!CX329</f>
        <v>0</v>
      </c>
      <c r="CQ285">
        <f>Model!CY329</f>
        <v>0</v>
      </c>
      <c r="CR285">
        <f>Model!CZ329</f>
        <v>0</v>
      </c>
      <c r="CS285">
        <f>Model!DA329</f>
        <v>0</v>
      </c>
      <c r="CT285">
        <f>Model!DB329</f>
        <v>0</v>
      </c>
      <c r="CU285">
        <f>Model!DC329</f>
        <v>0</v>
      </c>
      <c r="CV285">
        <f>Model!DD329</f>
        <v>0</v>
      </c>
      <c r="CW285">
        <f>Model!DE329</f>
        <v>0</v>
      </c>
      <c r="CX285">
        <f>Model!DF329</f>
        <v>0</v>
      </c>
    </row>
    <row r="286" spans="1:102">
      <c r="A286">
        <f>Model!I330</f>
        <v>0</v>
      </c>
      <c r="B286">
        <f>Model!J330</f>
        <v>0</v>
      </c>
      <c r="C286">
        <f>Model!K330</f>
        <v>0</v>
      </c>
      <c r="D286">
        <f>Model!L330</f>
        <v>0</v>
      </c>
      <c r="E286">
        <f>Model!M330</f>
        <v>0</v>
      </c>
      <c r="F286">
        <f>Model!N330</f>
        <v>0</v>
      </c>
      <c r="G286">
        <f>Model!O330</f>
        <v>0</v>
      </c>
      <c r="H286">
        <f>Model!P330</f>
        <v>0</v>
      </c>
      <c r="I286">
        <f>Model!Q330</f>
        <v>0</v>
      </c>
      <c r="J286">
        <f>Model!R330</f>
        <v>0</v>
      </c>
      <c r="K286">
        <f>Model!S330</f>
        <v>0</v>
      </c>
      <c r="L286">
        <f>Model!T330</f>
        <v>0</v>
      </c>
      <c r="M286">
        <f>Model!U330</f>
        <v>0</v>
      </c>
      <c r="N286">
        <f>Model!V330</f>
        <v>0</v>
      </c>
      <c r="O286">
        <f>Model!W330</f>
        <v>0</v>
      </c>
      <c r="P286">
        <f>Model!X330</f>
        <v>0</v>
      </c>
      <c r="Q286">
        <f>Model!Y330</f>
        <v>0</v>
      </c>
      <c r="R286">
        <f>Model!Z330</f>
        <v>0</v>
      </c>
      <c r="S286">
        <f>Model!AA330</f>
        <v>0</v>
      </c>
      <c r="T286">
        <f>Model!AB330</f>
        <v>0</v>
      </c>
      <c r="U286">
        <f>Model!AC330</f>
        <v>0</v>
      </c>
      <c r="V286">
        <f>Model!AD330</f>
        <v>0</v>
      </c>
      <c r="W286">
        <f>Model!AE330</f>
        <v>0</v>
      </c>
      <c r="X286">
        <f>Model!AF330</f>
        <v>0</v>
      </c>
      <c r="Y286">
        <f>Model!AG330</f>
        <v>0</v>
      </c>
      <c r="Z286">
        <f>Model!AH330</f>
        <v>0</v>
      </c>
      <c r="AA286">
        <f>Model!AI330</f>
        <v>0</v>
      </c>
      <c r="AB286">
        <f>Model!AJ330</f>
        <v>0</v>
      </c>
      <c r="AC286">
        <f>Model!AK330</f>
        <v>0</v>
      </c>
      <c r="AD286">
        <f>Model!AL330</f>
        <v>0</v>
      </c>
      <c r="AE286">
        <f>Model!AM330</f>
        <v>0</v>
      </c>
      <c r="AF286">
        <f>Model!AN330</f>
        <v>0</v>
      </c>
      <c r="AG286">
        <f>Model!AO330</f>
        <v>0</v>
      </c>
      <c r="AH286">
        <f>Model!AP330</f>
        <v>0</v>
      </c>
      <c r="AI286">
        <f>Model!AQ330</f>
        <v>0</v>
      </c>
      <c r="AJ286">
        <f>Model!AR330</f>
        <v>0</v>
      </c>
      <c r="AK286">
        <f>Model!AS330</f>
        <v>0</v>
      </c>
      <c r="AL286">
        <f>Model!AT330</f>
        <v>0</v>
      </c>
      <c r="AM286">
        <f>Model!AU330</f>
        <v>0</v>
      </c>
      <c r="AN286">
        <f>Model!AV330</f>
        <v>0</v>
      </c>
      <c r="AO286">
        <f>Model!AW330</f>
        <v>0</v>
      </c>
      <c r="AP286">
        <f>Model!AX330</f>
        <v>0</v>
      </c>
      <c r="AQ286">
        <f>Model!AY330</f>
        <v>0</v>
      </c>
      <c r="AR286">
        <f>Model!AZ330</f>
        <v>0</v>
      </c>
      <c r="AS286">
        <f>Model!BA330</f>
        <v>0</v>
      </c>
      <c r="AT286">
        <f>Model!BB330</f>
        <v>0</v>
      </c>
      <c r="AU286">
        <f>Model!BC330</f>
        <v>0</v>
      </c>
      <c r="AV286">
        <f>Model!BD330</f>
        <v>0</v>
      </c>
      <c r="AW286">
        <f>Model!BE330</f>
        <v>0</v>
      </c>
      <c r="AX286">
        <f>Model!BF330</f>
        <v>0</v>
      </c>
      <c r="AY286">
        <f>Model!BG330</f>
        <v>0</v>
      </c>
      <c r="AZ286">
        <f>Model!BH330</f>
        <v>0</v>
      </c>
      <c r="BA286">
        <f>Model!BI330</f>
        <v>0</v>
      </c>
      <c r="BB286">
        <f>Model!BJ330</f>
        <v>0</v>
      </c>
      <c r="BC286">
        <f>Model!BK330</f>
        <v>0</v>
      </c>
      <c r="BD286">
        <f>Model!BL330</f>
        <v>0</v>
      </c>
      <c r="BE286">
        <f>Model!BM330</f>
        <v>0</v>
      </c>
      <c r="BF286">
        <f>Model!BN330</f>
        <v>0</v>
      </c>
      <c r="BG286">
        <f>Model!BO330</f>
        <v>0</v>
      </c>
      <c r="BH286">
        <f>Model!BP330</f>
        <v>0</v>
      </c>
      <c r="BI286">
        <f>Model!BQ330</f>
        <v>0</v>
      </c>
      <c r="BJ286">
        <f>Model!BR330</f>
        <v>0</v>
      </c>
      <c r="BK286">
        <f>Model!BS330</f>
        <v>0</v>
      </c>
      <c r="BL286">
        <f>Model!BT330</f>
        <v>0</v>
      </c>
      <c r="BM286">
        <f>Model!BU330</f>
        <v>0</v>
      </c>
      <c r="BN286">
        <f>Model!BV330</f>
        <v>0</v>
      </c>
      <c r="BO286">
        <f>Model!BW330</f>
        <v>0</v>
      </c>
      <c r="BP286">
        <f>Model!BX330</f>
        <v>0</v>
      </c>
      <c r="BQ286">
        <f>Model!BY330</f>
        <v>0</v>
      </c>
      <c r="BR286">
        <f>Model!BZ330</f>
        <v>0</v>
      </c>
      <c r="BS286">
        <f>Model!CA330</f>
        <v>0</v>
      </c>
      <c r="BT286">
        <f>Model!CB330</f>
        <v>0</v>
      </c>
      <c r="BU286">
        <f>Model!CC330</f>
        <v>0</v>
      </c>
      <c r="BV286">
        <f>Model!CD330</f>
        <v>0</v>
      </c>
      <c r="BW286">
        <f>Model!CE330</f>
        <v>0</v>
      </c>
      <c r="BX286">
        <f>Model!CF330</f>
        <v>0</v>
      </c>
      <c r="BY286">
        <f>Model!CG330</f>
        <v>0</v>
      </c>
      <c r="BZ286">
        <f>Model!CH330</f>
        <v>0</v>
      </c>
      <c r="CA286">
        <f>Model!CI330</f>
        <v>0</v>
      </c>
      <c r="CB286">
        <f>Model!CJ330</f>
        <v>0</v>
      </c>
      <c r="CC286">
        <f>Model!CK330</f>
        <v>0</v>
      </c>
      <c r="CD286">
        <f>Model!CL330</f>
        <v>0</v>
      </c>
      <c r="CE286">
        <f>Model!CM330</f>
        <v>0</v>
      </c>
      <c r="CF286">
        <f>Model!CN330</f>
        <v>0</v>
      </c>
      <c r="CG286">
        <f>Model!CO330</f>
        <v>0</v>
      </c>
      <c r="CH286">
        <f>Model!CP330</f>
        <v>0</v>
      </c>
      <c r="CI286">
        <f>Model!CQ330</f>
        <v>0</v>
      </c>
      <c r="CJ286">
        <f>Model!CR330</f>
        <v>0</v>
      </c>
      <c r="CK286">
        <f>Model!CS330</f>
        <v>0</v>
      </c>
      <c r="CL286">
        <f>Model!CT330</f>
        <v>0</v>
      </c>
      <c r="CM286">
        <f>Model!CU330</f>
        <v>0</v>
      </c>
      <c r="CN286">
        <f>Model!CV330</f>
        <v>0</v>
      </c>
      <c r="CO286">
        <f>Model!CW330</f>
        <v>0</v>
      </c>
      <c r="CP286">
        <f>Model!CX330</f>
        <v>0</v>
      </c>
      <c r="CQ286">
        <f>Model!CY330</f>
        <v>0</v>
      </c>
      <c r="CR286">
        <f>Model!CZ330</f>
        <v>0</v>
      </c>
      <c r="CS286">
        <f>Model!DA330</f>
        <v>0</v>
      </c>
      <c r="CT286">
        <f>Model!DB330</f>
        <v>0</v>
      </c>
      <c r="CU286">
        <f>Model!DC330</f>
        <v>0</v>
      </c>
      <c r="CV286">
        <f>Model!DD330</f>
        <v>0</v>
      </c>
      <c r="CW286">
        <f>Model!DE330</f>
        <v>0</v>
      </c>
      <c r="CX286">
        <f>Model!DF330</f>
        <v>0</v>
      </c>
    </row>
    <row r="287" spans="1:102">
      <c r="A287" t="str">
        <f>Model!I331</f>
        <v>% of Annual Bookings</v>
      </c>
      <c r="B287">
        <f>Model!J331</f>
        <v>0</v>
      </c>
      <c r="C287">
        <f>Model!K331</f>
        <v>0</v>
      </c>
      <c r="D287">
        <f>Model!L331</f>
        <v>0</v>
      </c>
      <c r="E287">
        <f>Model!M331</f>
        <v>0</v>
      </c>
      <c r="F287">
        <f>Model!N331</f>
        <v>0</v>
      </c>
      <c r="G287">
        <f>Model!O331</f>
        <v>0</v>
      </c>
      <c r="H287">
        <f>Model!P331</f>
        <v>0</v>
      </c>
      <c r="I287">
        <f>Model!Q331</f>
        <v>0</v>
      </c>
      <c r="J287">
        <f>Model!R331</f>
        <v>0</v>
      </c>
      <c r="K287">
        <f>Model!S331</f>
        <v>0</v>
      </c>
      <c r="L287">
        <f>Model!T331</f>
        <v>0</v>
      </c>
      <c r="M287">
        <f>Model!U331</f>
        <v>0</v>
      </c>
      <c r="N287">
        <f>Model!V331</f>
        <v>0</v>
      </c>
      <c r="O287">
        <f>Model!W331</f>
        <v>0</v>
      </c>
      <c r="P287">
        <f>Model!X331</f>
        <v>0</v>
      </c>
      <c r="Q287">
        <f>Model!Y331</f>
        <v>0</v>
      </c>
      <c r="R287">
        <f>Model!Z331</f>
        <v>0</v>
      </c>
      <c r="S287">
        <f>Model!AA331</f>
        <v>0</v>
      </c>
      <c r="T287">
        <f>Model!AB331</f>
        <v>0</v>
      </c>
      <c r="U287">
        <f>Model!AC331</f>
        <v>0</v>
      </c>
      <c r="V287">
        <f>Model!AD331</f>
        <v>0</v>
      </c>
      <c r="W287">
        <f>Model!AE331</f>
        <v>0</v>
      </c>
      <c r="X287">
        <f>Model!AF331</f>
        <v>0</v>
      </c>
      <c r="Y287">
        <f>Model!AG331</f>
        <v>0</v>
      </c>
      <c r="Z287">
        <f>Model!AH331</f>
        <v>0</v>
      </c>
      <c r="AA287">
        <f>Model!AI331</f>
        <v>0</v>
      </c>
      <c r="AB287">
        <f>Model!AJ331</f>
        <v>0</v>
      </c>
      <c r="AC287">
        <f>Model!AK331</f>
        <v>0.20675191368894291</v>
      </c>
      <c r="AD287">
        <f>Model!AL331</f>
        <v>0.25570607294960718</v>
      </c>
      <c r="AE287">
        <f>Model!AM331</f>
        <v>0.28796090458970608</v>
      </c>
      <c r="AF287">
        <f>Model!AN331</f>
        <v>0.2495811087717438</v>
      </c>
      <c r="AG287">
        <f>Model!AO331</f>
        <v>0.23764651288621516</v>
      </c>
      <c r="AH287">
        <f>Model!AP331</f>
        <v>0.28512589733378541</v>
      </c>
      <c r="AI287">
        <f>Model!AQ331</f>
        <v>0.27708034886475447</v>
      </c>
      <c r="AJ287">
        <f>Model!AR331</f>
        <v>0.20014724091524497</v>
      </c>
      <c r="AK287">
        <f>Model!AS331</f>
        <v>0.2087616602338416</v>
      </c>
      <c r="AL287">
        <f>Model!AT331</f>
        <v>0.25554910375462592</v>
      </c>
      <c r="AM287">
        <f>Model!AU331</f>
        <v>0.29246271399696372</v>
      </c>
      <c r="AN287">
        <f>Model!AV331</f>
        <v>0.24322652201456876</v>
      </c>
      <c r="AO287">
        <f>Model!AW331</f>
        <v>0.21725942821548638</v>
      </c>
      <c r="AP287">
        <f>Model!AX331</f>
        <v>0.24990555754028235</v>
      </c>
      <c r="AQ287">
        <f>Model!AY331</f>
        <v>0.29356856925627706</v>
      </c>
      <c r="AR287">
        <f>Model!AZ331</f>
        <v>0.23926644498795424</v>
      </c>
      <c r="AS287">
        <f>Model!BA331</f>
        <v>0.21539384984763135</v>
      </c>
      <c r="AT287">
        <f>Model!BB331</f>
        <v>0.26687598116169547</v>
      </c>
      <c r="AU287">
        <f>Model!BC331</f>
        <v>0.28890017545479729</v>
      </c>
      <c r="AV287">
        <f>Model!BD331</f>
        <v>0.22882999353587588</v>
      </c>
      <c r="AW287">
        <f>Model!BE331</f>
        <v>0.9156774457634056</v>
      </c>
      <c r="AX287">
        <f>Model!BF331</f>
        <v>0.25755552431824569</v>
      </c>
      <c r="AY287">
        <f>Model!BG331</f>
        <v>0.27523193702558335</v>
      </c>
      <c r="AZ287">
        <f>Model!BH331</f>
        <v>0.23137475400618499</v>
      </c>
      <c r="BA287">
        <f>Model!BI331</f>
        <v>0.2336617992443582</v>
      </c>
      <c r="BB287">
        <f>Model!BJ331</f>
        <v>0.25827121413254367</v>
      </c>
      <c r="BC287">
        <f>Model!BK331</f>
        <v>0.27481364239763095</v>
      </c>
      <c r="BD287">
        <f>Model!BL331</f>
        <v>0.23325334422546717</v>
      </c>
      <c r="BE287">
        <f>Model!BM331</f>
        <v>0.24413518886679919</v>
      </c>
      <c r="BF287">
        <f>Model!BN331</f>
        <v>0.26914512922465211</v>
      </c>
      <c r="BG287">
        <f>Model!BO331</f>
        <v>0.27481113320079525</v>
      </c>
      <c r="BH287">
        <f>Model!BP331</f>
        <v>0.21190854870775347</v>
      </c>
      <c r="BI287">
        <f>Model!BQ331</f>
        <v>0.24809105316236854</v>
      </c>
      <c r="BJ287">
        <f>Model!BR331</f>
        <v>0.26941362916006339</v>
      </c>
      <c r="BK287">
        <f>Model!BS331</f>
        <v>0.26613600345771504</v>
      </c>
      <c r="BL287">
        <f>Model!BT331</f>
        <v>0.21635931421985305</v>
      </c>
      <c r="BM287">
        <f>Model!BU331</f>
        <v>0.24458413500374521</v>
      </c>
      <c r="BN287">
        <f>Model!BV331</f>
        <v>0.26234082864570329</v>
      </c>
      <c r="BO287">
        <f>Model!BW331</f>
        <v>0.27112370937183311</v>
      </c>
      <c r="BP287">
        <f>Model!BX331</f>
        <v>0.22195132697871842</v>
      </c>
      <c r="BQ287">
        <f>Model!BY331</f>
        <v>0.25468446064068156</v>
      </c>
      <c r="BR287">
        <f>Model!BZ331</f>
        <v>0.25603870681801394</v>
      </c>
      <c r="BS287">
        <f>Model!CA331</f>
        <v>0.26791913919188437</v>
      </c>
      <c r="BT287">
        <f>Model!CB331</f>
        <v>0.22135769334942013</v>
      </c>
      <c r="BU287">
        <f>Model!CC331</f>
        <v>0.25707675241809463</v>
      </c>
      <c r="BV287">
        <f>Model!CD331</f>
        <v>0.259191247225312</v>
      </c>
      <c r="BW287">
        <f>Model!CE331</f>
        <v>0.25637532932096979</v>
      </c>
      <c r="BX287">
        <f>Model!CF331</f>
        <v>0.22735667103562363</v>
      </c>
      <c r="BY287">
        <f>Model!CG331</f>
        <v>0</v>
      </c>
      <c r="BZ287">
        <f>Model!CH331</f>
        <v>0</v>
      </c>
      <c r="CA287">
        <f>Model!CI331</f>
        <v>0</v>
      </c>
      <c r="CB287">
        <f>Model!CJ331</f>
        <v>0</v>
      </c>
      <c r="CC287">
        <f>Model!CK331</f>
        <v>0</v>
      </c>
      <c r="CD287">
        <f>Model!CL331</f>
        <v>0</v>
      </c>
      <c r="CE287">
        <f>Model!CM331</f>
        <v>0</v>
      </c>
      <c r="CF287">
        <f>Model!CN331</f>
        <v>0</v>
      </c>
      <c r="CG287">
        <f>Model!CO331</f>
        <v>0</v>
      </c>
      <c r="CH287">
        <f>Model!CP331</f>
        <v>0</v>
      </c>
      <c r="CI287">
        <f>Model!CQ331</f>
        <v>0</v>
      </c>
      <c r="CJ287">
        <f>Model!CR331</f>
        <v>0</v>
      </c>
      <c r="CK287">
        <f>Model!CS331</f>
        <v>0</v>
      </c>
      <c r="CL287">
        <f>Model!CT331</f>
        <v>0</v>
      </c>
      <c r="CM287">
        <f>Model!CU331</f>
        <v>0</v>
      </c>
      <c r="CN287">
        <f>Model!CV331</f>
        <v>0</v>
      </c>
      <c r="CO287">
        <f>Model!CW331</f>
        <v>0</v>
      </c>
      <c r="CP287">
        <f>Model!CX331</f>
        <v>0</v>
      </c>
      <c r="CQ287">
        <f>Model!CY331</f>
        <v>0</v>
      </c>
      <c r="CR287">
        <f>Model!CZ331</f>
        <v>0</v>
      </c>
      <c r="CS287">
        <f>Model!DA331</f>
        <v>0</v>
      </c>
      <c r="CT287">
        <f>Model!DB331</f>
        <v>0</v>
      </c>
      <c r="CU287">
        <f>Model!DC331</f>
        <v>0</v>
      </c>
      <c r="CV287">
        <f>Model!DD331</f>
        <v>0</v>
      </c>
      <c r="CW287">
        <f>Model!DE331</f>
        <v>0</v>
      </c>
      <c r="CX287">
        <f>Model!DF331</f>
        <v>0</v>
      </c>
    </row>
    <row r="288" spans="1:102">
      <c r="A288" t="str">
        <f>Model!I332</f>
        <v>% of Annual GP</v>
      </c>
      <c r="B288">
        <f>Model!J332</f>
        <v>0</v>
      </c>
      <c r="C288">
        <f>Model!K332</f>
        <v>0</v>
      </c>
      <c r="D288">
        <f>Model!L332</f>
        <v>0</v>
      </c>
      <c r="E288">
        <f>Model!M332</f>
        <v>0</v>
      </c>
      <c r="F288">
        <f>Model!N332</f>
        <v>0</v>
      </c>
      <c r="G288">
        <f>Model!O332</f>
        <v>0</v>
      </c>
      <c r="H288">
        <f>Model!P332</f>
        <v>0</v>
      </c>
      <c r="I288">
        <f>Model!Q332</f>
        <v>0</v>
      </c>
      <c r="J288">
        <f>Model!R332</f>
        <v>0</v>
      </c>
      <c r="K288">
        <f>Model!S332</f>
        <v>0</v>
      </c>
      <c r="L288">
        <f>Model!T332</f>
        <v>0</v>
      </c>
      <c r="M288">
        <f>Model!U332</f>
        <v>0</v>
      </c>
      <c r="N288">
        <f>Model!V332</f>
        <v>0</v>
      </c>
      <c r="O288">
        <f>Model!W332</f>
        <v>0</v>
      </c>
      <c r="P288">
        <f>Model!X332</f>
        <v>0</v>
      </c>
      <c r="Q288">
        <f>Model!Y332</f>
        <v>0</v>
      </c>
      <c r="R288">
        <f>Model!Z332</f>
        <v>0</v>
      </c>
      <c r="S288">
        <f>Model!AA332</f>
        <v>0</v>
      </c>
      <c r="T288">
        <f>Model!AB332</f>
        <v>0</v>
      </c>
      <c r="U288">
        <f>Model!AC332</f>
        <v>0</v>
      </c>
      <c r="V288">
        <f>Model!AD332</f>
        <v>0</v>
      </c>
      <c r="W288">
        <f>Model!AE332</f>
        <v>0</v>
      </c>
      <c r="X288">
        <f>Model!AF332</f>
        <v>0</v>
      </c>
      <c r="Y288">
        <f>Model!AG332</f>
        <v>0</v>
      </c>
      <c r="Z288">
        <f>Model!AH332</f>
        <v>0</v>
      </c>
      <c r="AA288">
        <f>Model!AI332</f>
        <v>0</v>
      </c>
      <c r="AB288">
        <f>Model!AJ332</f>
        <v>0</v>
      </c>
      <c r="AC288">
        <f>Model!AK332</f>
        <v>0.16715468879534473</v>
      </c>
      <c r="AD288">
        <f>Model!AL332</f>
        <v>0.24933879574704412</v>
      </c>
      <c r="AE288">
        <f>Model!AM332</f>
        <v>0.32570205162463894</v>
      </c>
      <c r="AF288">
        <f>Model!AN332</f>
        <v>0.25780446383297262</v>
      </c>
      <c r="AG288">
        <f>Model!AO332</f>
        <v>0.18944403125199402</v>
      </c>
      <c r="AH288">
        <f>Model!AP332</f>
        <v>0.2654107708288222</v>
      </c>
      <c r="AI288">
        <f>Model!AQ332</f>
        <v>0.33063555275212325</v>
      </c>
      <c r="AJ288">
        <f>Model!AR332</f>
        <v>0.21450964516706048</v>
      </c>
      <c r="AK288">
        <f>Model!AS332</f>
        <v>0.16524120711029749</v>
      </c>
      <c r="AL288">
        <f>Model!AT332</f>
        <v>0.24210577245683765</v>
      </c>
      <c r="AM288">
        <f>Model!AU332</f>
        <v>0.34424074945092775</v>
      </c>
      <c r="AN288">
        <f>Model!AV332</f>
        <v>0.24841227098193722</v>
      </c>
      <c r="AO288">
        <f>Model!AW332</f>
        <v>0.1667556752090481</v>
      </c>
      <c r="AP288">
        <f>Model!AX332</f>
        <v>0.23315569945560213</v>
      </c>
      <c r="AQ288">
        <f>Model!AY332</f>
        <v>0.34917546039712088</v>
      </c>
      <c r="AR288">
        <f>Model!AZ332</f>
        <v>0.25091316493822885</v>
      </c>
      <c r="AS288">
        <f>Model!BA332</f>
        <v>0.1642297751860462</v>
      </c>
      <c r="AT288">
        <f>Model!BB332</f>
        <v>0.2432649973375586</v>
      </c>
      <c r="AU288">
        <f>Model!BC332</f>
        <v>0.35720482616205823</v>
      </c>
      <c r="AV288">
        <f>Model!BD332</f>
        <v>0.23530040131433688</v>
      </c>
      <c r="AW288">
        <f>Model!BE332</f>
        <v>0.74022200047403652</v>
      </c>
      <c r="AX288">
        <f>Model!BF332</f>
        <v>0.24589139063506671</v>
      </c>
      <c r="AY288">
        <f>Model!BG332</f>
        <v>0.34197112849901834</v>
      </c>
      <c r="AZ288">
        <f>Model!BH332</f>
        <v>0.23012326379068293</v>
      </c>
      <c r="BA288">
        <f>Model!BI332</f>
        <v>0.1766419064341031</v>
      </c>
      <c r="BB288">
        <f>Model!BJ332</f>
        <v>0.24210682298422326</v>
      </c>
      <c r="BC288">
        <f>Model!BK332</f>
        <v>0.34798892070275711</v>
      </c>
      <c r="BD288">
        <f>Model!BL332</f>
        <v>0.23326234987891639</v>
      </c>
      <c r="BE288">
        <f>Model!BM332</f>
        <v>0.18544922093898711</v>
      </c>
      <c r="BF288">
        <f>Model!BN332</f>
        <v>0.24828108167977078</v>
      </c>
      <c r="BG288">
        <f>Model!BO332</f>
        <v>0.34545531260671958</v>
      </c>
      <c r="BH288">
        <f>Model!BP332</f>
        <v>0.22081438477452262</v>
      </c>
      <c r="BI288">
        <f>Model!BQ332</f>
        <v>0.19463146693122879</v>
      </c>
      <c r="BJ288">
        <f>Model!BR332</f>
        <v>0.2435932278273942</v>
      </c>
      <c r="BK288">
        <f>Model!BS332</f>
        <v>0.34303400902743741</v>
      </c>
      <c r="BL288">
        <f>Model!BT332</f>
        <v>0.21874129621393965</v>
      </c>
      <c r="BM288">
        <f>Model!BU332</f>
        <v>0.19578383920722012</v>
      </c>
      <c r="BN288">
        <f>Model!BV332</f>
        <v>0.23556864325178109</v>
      </c>
      <c r="BO288">
        <f>Model!BW332</f>
        <v>0.34795639074826473</v>
      </c>
      <c r="BP288">
        <f>Model!BX332</f>
        <v>0.22069112679273409</v>
      </c>
      <c r="BQ288">
        <f>Model!BY332</f>
        <v>0.18778219297705775</v>
      </c>
      <c r="BR288">
        <f>Model!BZ332</f>
        <v>0.23746456812633721</v>
      </c>
      <c r="BS288">
        <f>Model!CA332</f>
        <v>0.35191964632282818</v>
      </c>
      <c r="BT288">
        <f>Model!CB332</f>
        <v>0.22283359257377694</v>
      </c>
      <c r="BU288">
        <f>Model!CC332</f>
        <v>0.18976443120324171</v>
      </c>
      <c r="BV288">
        <f>Model!CD332</f>
        <v>0.24163735644429435</v>
      </c>
      <c r="BW288">
        <f>Model!CE332</f>
        <v>0.3394691869104286</v>
      </c>
      <c r="BX288">
        <f>Model!CF332</f>
        <v>0.22912902544203537</v>
      </c>
      <c r="BY288">
        <f>Model!CG332</f>
        <v>0</v>
      </c>
      <c r="BZ288">
        <f>Model!CH332</f>
        <v>0</v>
      </c>
      <c r="CA288">
        <f>Model!CI332</f>
        <v>0</v>
      </c>
      <c r="CB288">
        <f>Model!CJ332</f>
        <v>0</v>
      </c>
      <c r="CC288">
        <f>Model!CK332</f>
        <v>0</v>
      </c>
      <c r="CD288">
        <f>Model!CL332</f>
        <v>0</v>
      </c>
      <c r="CE288">
        <f>Model!CM332</f>
        <v>0</v>
      </c>
      <c r="CF288">
        <f>Model!CN332</f>
        <v>0</v>
      </c>
      <c r="CG288">
        <f>Model!CO332</f>
        <v>0</v>
      </c>
      <c r="CH288">
        <f>Model!CP332</f>
        <v>0</v>
      </c>
      <c r="CI288">
        <f>Model!CQ332</f>
        <v>0</v>
      </c>
      <c r="CJ288">
        <f>Model!CR332</f>
        <v>0</v>
      </c>
      <c r="CK288">
        <f>Model!CS332</f>
        <v>0</v>
      </c>
      <c r="CL288">
        <f>Model!CT332</f>
        <v>0</v>
      </c>
      <c r="CO288">
        <f>Model!CW332</f>
        <v>0</v>
      </c>
      <c r="CP288">
        <f>Model!CX332</f>
        <v>0</v>
      </c>
      <c r="CQ288">
        <f>Model!CY332</f>
        <v>0</v>
      </c>
      <c r="CR288">
        <f>Model!CZ332</f>
        <v>0</v>
      </c>
      <c r="CS288">
        <f>Model!DA332</f>
        <v>0</v>
      </c>
      <c r="CT288">
        <f>Model!DB332</f>
        <v>0</v>
      </c>
      <c r="CU288">
        <f>Model!DC332</f>
        <v>0</v>
      </c>
      <c r="CV288">
        <f>Model!DD332</f>
        <v>0</v>
      </c>
      <c r="CW288">
        <f>Model!DE332</f>
        <v>0</v>
      </c>
      <c r="CX288">
        <f>Model!DF332</f>
        <v>0</v>
      </c>
    </row>
    <row r="289" spans="1:102">
      <c r="A289" t="str">
        <f>Model!I333</f>
        <v>Variance</v>
      </c>
      <c r="B289">
        <f>Model!J333</f>
        <v>0</v>
      </c>
      <c r="C289">
        <f>Model!K333</f>
        <v>0</v>
      </c>
      <c r="D289">
        <f>Model!L333</f>
        <v>0</v>
      </c>
      <c r="E289">
        <f>Model!M333</f>
        <v>0</v>
      </c>
      <c r="F289">
        <f>Model!N333</f>
        <v>0</v>
      </c>
      <c r="G289">
        <f>Model!O333</f>
        <v>0</v>
      </c>
      <c r="H289">
        <f>Model!P333</f>
        <v>0</v>
      </c>
      <c r="I289">
        <f>Model!Q333</f>
        <v>0</v>
      </c>
      <c r="J289">
        <f>Model!R333</f>
        <v>0</v>
      </c>
      <c r="K289">
        <f>Model!S333</f>
        <v>0</v>
      </c>
      <c r="L289">
        <f>Model!T333</f>
        <v>0</v>
      </c>
      <c r="M289">
        <f>Model!U333</f>
        <v>0</v>
      </c>
      <c r="N289">
        <f>Model!V333</f>
        <v>0</v>
      </c>
      <c r="O289">
        <f>Model!W333</f>
        <v>0</v>
      </c>
      <c r="P289">
        <f>Model!X333</f>
        <v>0</v>
      </c>
      <c r="Q289">
        <f>Model!Y333</f>
        <v>0</v>
      </c>
      <c r="R289">
        <f>Model!Z333</f>
        <v>0</v>
      </c>
      <c r="S289">
        <f>Model!AA333</f>
        <v>0</v>
      </c>
      <c r="T289">
        <f>Model!AB333</f>
        <v>0</v>
      </c>
      <c r="U289">
        <f>Model!AC333</f>
        <v>0</v>
      </c>
      <c r="V289">
        <f>Model!AD333</f>
        <v>0</v>
      </c>
      <c r="W289">
        <f>Model!AE333</f>
        <v>0</v>
      </c>
      <c r="X289">
        <f>Model!AF333</f>
        <v>0</v>
      </c>
      <c r="Y289">
        <f>Model!AG333</f>
        <v>0</v>
      </c>
      <c r="Z289">
        <f>Model!AH333</f>
        <v>0</v>
      </c>
      <c r="AA289">
        <f>Model!AI333</f>
        <v>0</v>
      </c>
      <c r="AB289">
        <f>Model!AJ333</f>
        <v>0</v>
      </c>
      <c r="AC289">
        <f>Model!AK333</f>
        <v>395.97224893598184</v>
      </c>
      <c r="AD289">
        <f>Model!AL333</f>
        <v>63.672772025630543</v>
      </c>
      <c r="AE289">
        <f>Model!AM333</f>
        <v>-377.41147034932862</v>
      </c>
      <c r="AF289">
        <f>Model!AN333</f>
        <v>-82.233550612288155</v>
      </c>
      <c r="AG289">
        <f>Model!AO333</f>
        <v>482.02481634221141</v>
      </c>
      <c r="AH289">
        <f>Model!AP333</f>
        <v>197.15126504963209</v>
      </c>
      <c r="AI289">
        <f>Model!AQ333</f>
        <v>-535.55203887368782</v>
      </c>
      <c r="AJ289">
        <f>Model!AR333</f>
        <v>-143.62404251815508</v>
      </c>
      <c r="AK289">
        <f>Model!AS333</f>
        <v>435.20453123544104</v>
      </c>
      <c r="AL289">
        <f>Model!AT333</f>
        <v>134.43331297788268</v>
      </c>
      <c r="AM289">
        <f>Model!AU333</f>
        <v>-517.78035453964037</v>
      </c>
      <c r="AN289">
        <f>Model!AV333</f>
        <v>-51.857489673684533</v>
      </c>
      <c r="AO289">
        <f>Model!AW333</f>
        <v>505.03753006438279</v>
      </c>
      <c r="AP289">
        <f>Model!AX333</f>
        <v>167.49858084680213</v>
      </c>
      <c r="AQ289">
        <f>Model!AY333</f>
        <v>-556.06891140843823</v>
      </c>
      <c r="AR289">
        <f>Model!AZ333</f>
        <v>-116.46719950274608</v>
      </c>
      <c r="AS289">
        <f>Model!BA333</f>
        <v>511.64074661585153</v>
      </c>
      <c r="AT289">
        <f>Model!BB333</f>
        <v>236.10983824136872</v>
      </c>
      <c r="AU289">
        <f>Model!BC333</f>
        <v>-683.04650707260942</v>
      </c>
      <c r="AV289">
        <f>Model!BD333</f>
        <v>-64.704077784610021</v>
      </c>
      <c r="AW289">
        <f>Model!BE333</f>
        <v>1754.5544528936907</v>
      </c>
      <c r="AX289">
        <f>Model!BF333</f>
        <v>116.64133683178979</v>
      </c>
      <c r="AY289">
        <f>Model!BG333</f>
        <v>-667.39191473434994</v>
      </c>
      <c r="AZ289">
        <f>Model!BH333</f>
        <v>12.514902155020547</v>
      </c>
      <c r="BA289">
        <f>Model!BI333</f>
        <v>570.19892810255101</v>
      </c>
      <c r="BB289">
        <f>Model!BJ333</f>
        <v>161.64391148320411</v>
      </c>
      <c r="BC289">
        <f>Model!BK333</f>
        <v>-731.75278305126153</v>
      </c>
      <c r="BD289">
        <f>Model!BL333</f>
        <v>-9.0056534492177764E-2</v>
      </c>
      <c r="BE289">
        <f>Model!BM333</f>
        <v>586.85967927812078</v>
      </c>
      <c r="BF289">
        <f>Model!BN333</f>
        <v>208.64047544881331</v>
      </c>
      <c r="BG289">
        <f>Model!BO333</f>
        <v>-706.44179405924319</v>
      </c>
      <c r="BH289">
        <f>Model!BP333</f>
        <v>-89.05836066769146</v>
      </c>
      <c r="BI289">
        <f>Model!BQ333</f>
        <v>534.59586231139747</v>
      </c>
      <c r="BJ289">
        <f>Model!BR333</f>
        <v>258.20401332669189</v>
      </c>
      <c r="BK289">
        <f>Model!BS333</f>
        <v>-768.98005569722375</v>
      </c>
      <c r="BL289">
        <f>Model!BT333</f>
        <v>-23.819819940865962</v>
      </c>
      <c r="BM289">
        <f>Model!BU333</f>
        <v>488.00295796525091</v>
      </c>
      <c r="BN289">
        <f>Model!BV333</f>
        <v>267.72185393922206</v>
      </c>
      <c r="BO289">
        <f>Model!BW333</f>
        <v>-768.32681376431617</v>
      </c>
      <c r="BP289">
        <f>Model!BX333</f>
        <v>12.602001859843281</v>
      </c>
      <c r="BQ289">
        <f>Model!BY333</f>
        <v>669.02267663623809</v>
      </c>
      <c r="BR289">
        <f>Model!BZ333</f>
        <v>185.74138691676734</v>
      </c>
      <c r="BS289">
        <f>Model!CA333</f>
        <v>-840.00507130943811</v>
      </c>
      <c r="BT289">
        <f>Model!CB333</f>
        <v>-14.758992243568137</v>
      </c>
      <c r="BU289">
        <f>Model!CC333</f>
        <v>673.12321214852921</v>
      </c>
      <c r="BV289">
        <f>Model!CD333</f>
        <v>175.53890781017657</v>
      </c>
      <c r="BW289">
        <f>Model!CE333</f>
        <v>-830.9385758945881</v>
      </c>
      <c r="BX289">
        <f>Model!CF333</f>
        <v>-17.723544064117412</v>
      </c>
      <c r="BY289">
        <f>Model!CG333</f>
        <v>0</v>
      </c>
      <c r="BZ289">
        <f>Model!CH333</f>
        <v>0</v>
      </c>
      <c r="CA289">
        <f>Model!CI333</f>
        <v>0</v>
      </c>
      <c r="CB289">
        <f>Model!CJ333</f>
        <v>0</v>
      </c>
      <c r="CC289">
        <f>Model!CK333</f>
        <v>0</v>
      </c>
      <c r="CD289">
        <f>Model!CL333</f>
        <v>0</v>
      </c>
      <c r="CE289">
        <f>Model!CM333</f>
        <v>0</v>
      </c>
      <c r="CF289">
        <f>Model!CN333</f>
        <v>0</v>
      </c>
      <c r="CG289">
        <f>Model!CO333</f>
        <v>0</v>
      </c>
      <c r="CH289">
        <f>Model!CP333</f>
        <v>0</v>
      </c>
      <c r="CI289">
        <f>Model!CQ333</f>
        <v>0</v>
      </c>
      <c r="CJ289">
        <f>Model!CR333</f>
        <v>0</v>
      </c>
      <c r="CK289">
        <f>Model!CS333</f>
        <v>0</v>
      </c>
      <c r="CL289">
        <f>Model!CT333</f>
        <v>0</v>
      </c>
      <c r="CM289">
        <f>Model!CU332</f>
        <v>0</v>
      </c>
      <c r="CN289">
        <f>Model!CV332</f>
        <v>0</v>
      </c>
      <c r="CO289">
        <f>Model!CW333</f>
        <v>0</v>
      </c>
      <c r="CP289">
        <f>Model!CX333</f>
        <v>0</v>
      </c>
      <c r="CQ289">
        <f>Model!CY333</f>
        <v>0</v>
      </c>
      <c r="CR289">
        <f>Model!CZ333</f>
        <v>0</v>
      </c>
      <c r="CS289">
        <f>Model!DA333</f>
        <v>0</v>
      </c>
      <c r="CT289">
        <f>Model!DB333</f>
        <v>0</v>
      </c>
      <c r="CU289">
        <f>Model!DC333</f>
        <v>0</v>
      </c>
      <c r="CV289">
        <f>Model!DD333</f>
        <v>0</v>
      </c>
      <c r="CW289">
        <f>Model!DE333</f>
        <v>0</v>
      </c>
      <c r="CX289">
        <f>Model!DF333</f>
        <v>0</v>
      </c>
    </row>
    <row r="290" spans="1:102">
      <c r="A290">
        <f>Model!I334</f>
        <v>0</v>
      </c>
      <c r="B290">
        <f>Model!J334</f>
        <v>0</v>
      </c>
      <c r="C290">
        <f>Model!K334</f>
        <v>0</v>
      </c>
      <c r="D290">
        <f>Model!L334</f>
        <v>0</v>
      </c>
      <c r="E290">
        <f>Model!M334</f>
        <v>0</v>
      </c>
      <c r="F290">
        <f>Model!N334</f>
        <v>0</v>
      </c>
      <c r="G290">
        <f>Model!O334</f>
        <v>0</v>
      </c>
      <c r="H290">
        <f>Model!P334</f>
        <v>0</v>
      </c>
      <c r="I290">
        <f>Model!Q334</f>
        <v>0</v>
      </c>
      <c r="J290">
        <f>Model!R334</f>
        <v>0</v>
      </c>
      <c r="K290">
        <f>Model!S334</f>
        <v>0</v>
      </c>
      <c r="L290">
        <f>Model!T334</f>
        <v>0</v>
      </c>
      <c r="M290">
        <f>Model!U334</f>
        <v>0</v>
      </c>
      <c r="N290">
        <f>Model!V334</f>
        <v>0</v>
      </c>
      <c r="O290">
        <f>Model!W334</f>
        <v>0</v>
      </c>
      <c r="P290">
        <f>Model!X334</f>
        <v>0</v>
      </c>
      <c r="Q290">
        <f>Model!Y334</f>
        <v>0</v>
      </c>
      <c r="R290">
        <f>Model!Z334</f>
        <v>0</v>
      </c>
      <c r="S290">
        <f>Model!AA334</f>
        <v>0</v>
      </c>
      <c r="T290">
        <f>Model!AB334</f>
        <v>0</v>
      </c>
      <c r="U290">
        <f>Model!AC334</f>
        <v>0</v>
      </c>
      <c r="V290">
        <f>Model!AD334</f>
        <v>0</v>
      </c>
      <c r="W290">
        <f>Model!AE334</f>
        <v>0</v>
      </c>
      <c r="X290">
        <f>Model!AF334</f>
        <v>0</v>
      </c>
      <c r="Y290">
        <f>Model!AG334</f>
        <v>0</v>
      </c>
      <c r="Z290">
        <f>Model!AH334</f>
        <v>0</v>
      </c>
      <c r="AA290">
        <f>Model!AI334</f>
        <v>0</v>
      </c>
      <c r="AB290">
        <f>Model!AJ334</f>
        <v>0</v>
      </c>
      <c r="AC290">
        <f>Model!AK334</f>
        <v>0</v>
      </c>
      <c r="AD290">
        <f>Model!AL334</f>
        <v>0</v>
      </c>
      <c r="AE290">
        <f>Model!AM334</f>
        <v>0</v>
      </c>
      <c r="AF290">
        <f>Model!AN334</f>
        <v>0</v>
      </c>
      <c r="AG290">
        <f>Model!AO334</f>
        <v>0</v>
      </c>
      <c r="AH290">
        <f>Model!AP334</f>
        <v>0</v>
      </c>
      <c r="AI290">
        <f>Model!AQ334</f>
        <v>0</v>
      </c>
      <c r="AJ290">
        <f>Model!AR334</f>
        <v>0</v>
      </c>
      <c r="AK290">
        <f>Model!AS334</f>
        <v>0</v>
      </c>
      <c r="AL290">
        <f>Model!AT334</f>
        <v>0</v>
      </c>
      <c r="AM290">
        <f>Model!AU334</f>
        <v>0</v>
      </c>
      <c r="AN290">
        <f>Model!AV334</f>
        <v>0</v>
      </c>
      <c r="AO290">
        <f>Model!AW334</f>
        <v>0</v>
      </c>
      <c r="AP290">
        <f>Model!AX334</f>
        <v>0</v>
      </c>
      <c r="AQ290">
        <f>Model!AY334</f>
        <v>0</v>
      </c>
      <c r="AR290">
        <f>Model!AZ334</f>
        <v>0</v>
      </c>
      <c r="AS290">
        <f>Model!BA334</f>
        <v>0</v>
      </c>
      <c r="AT290">
        <f>Model!BB334</f>
        <v>0</v>
      </c>
      <c r="AU290">
        <f>Model!BC334</f>
        <v>0</v>
      </c>
      <c r="AV290">
        <f>Model!BD334</f>
        <v>0</v>
      </c>
      <c r="AW290">
        <f>Model!BE334</f>
        <v>0</v>
      </c>
      <c r="AX290">
        <f>Model!BF334</f>
        <v>0</v>
      </c>
      <c r="AY290">
        <f>Model!BG334</f>
        <v>0</v>
      </c>
      <c r="AZ290">
        <f>Model!BH334</f>
        <v>0</v>
      </c>
      <c r="BA290">
        <f>Model!BI334</f>
        <v>0</v>
      </c>
      <c r="BB290">
        <f>Model!BJ334</f>
        <v>0</v>
      </c>
      <c r="BC290">
        <f>Model!BK334</f>
        <v>0</v>
      </c>
      <c r="BD290">
        <f>Model!BL334</f>
        <v>0</v>
      </c>
      <c r="BE290">
        <f>Model!BM334</f>
        <v>0</v>
      </c>
      <c r="BF290">
        <f>Model!BN334</f>
        <v>0</v>
      </c>
      <c r="BG290">
        <f>Model!BO334</f>
        <v>0</v>
      </c>
      <c r="BH290">
        <f>Model!BP334</f>
        <v>0</v>
      </c>
      <c r="BI290">
        <f>Model!BQ334</f>
        <v>0</v>
      </c>
      <c r="BJ290">
        <f>Model!BR334</f>
        <v>0</v>
      </c>
      <c r="BK290">
        <f>Model!BS334</f>
        <v>0</v>
      </c>
      <c r="BL290">
        <f>Model!BT334</f>
        <v>0</v>
      </c>
      <c r="BM290">
        <f>Model!BU334</f>
        <v>0</v>
      </c>
      <c r="BN290">
        <f>Model!BV334</f>
        <v>0</v>
      </c>
      <c r="BO290">
        <f>Model!BW334</f>
        <v>0</v>
      </c>
      <c r="BP290">
        <f>Model!BX334</f>
        <v>0</v>
      </c>
      <c r="BQ290">
        <f>Model!BY334</f>
        <v>0</v>
      </c>
      <c r="BR290">
        <f>Model!BZ334</f>
        <v>0</v>
      </c>
      <c r="BS290">
        <f>Model!CA334</f>
        <v>0</v>
      </c>
      <c r="BT290">
        <f>Model!CB334</f>
        <v>0</v>
      </c>
      <c r="BU290">
        <f>Model!CC334</f>
        <v>0</v>
      </c>
      <c r="BV290">
        <f>Model!CD334</f>
        <v>0</v>
      </c>
      <c r="BW290">
        <f>Model!CE334</f>
        <v>0</v>
      </c>
      <c r="BX290">
        <f>Model!CF334</f>
        <v>0</v>
      </c>
      <c r="BY290">
        <f>Model!CG334</f>
        <v>0</v>
      </c>
      <c r="BZ290">
        <f>Model!CH334</f>
        <v>0</v>
      </c>
      <c r="CA290">
        <f>Model!CI334</f>
        <v>0</v>
      </c>
      <c r="CB290">
        <f>Model!CJ334</f>
        <v>0</v>
      </c>
      <c r="CC290">
        <f>Model!CK334</f>
        <v>0</v>
      </c>
      <c r="CD290">
        <f>Model!CL334</f>
        <v>0</v>
      </c>
      <c r="CE290">
        <f>Model!CM334</f>
        <v>0</v>
      </c>
      <c r="CF290">
        <f>Model!CN334</f>
        <v>0</v>
      </c>
      <c r="CG290">
        <f>Model!CO334</f>
        <v>0</v>
      </c>
      <c r="CH290">
        <f>Model!CP334</f>
        <v>0</v>
      </c>
      <c r="CI290">
        <f>Model!CQ334</f>
        <v>0</v>
      </c>
      <c r="CJ290">
        <f>Model!CR334</f>
        <v>0</v>
      </c>
      <c r="CK290">
        <f>Model!CS334</f>
        <v>0</v>
      </c>
      <c r="CL290">
        <f>Model!CT334</f>
        <v>0</v>
      </c>
      <c r="CM290">
        <f>Model!CU334</f>
        <v>0</v>
      </c>
      <c r="CN290">
        <f>Model!CV334</f>
        <v>0</v>
      </c>
      <c r="CO290">
        <f>Model!CW334</f>
        <v>0</v>
      </c>
      <c r="CP290">
        <f>Model!CX334</f>
        <v>0</v>
      </c>
      <c r="CQ290">
        <f>Model!CY334</f>
        <v>0</v>
      </c>
      <c r="CR290">
        <f>Model!CZ334</f>
        <v>0</v>
      </c>
      <c r="CS290">
        <f>Model!DA334</f>
        <v>0</v>
      </c>
      <c r="CT290">
        <f>Model!DB334</f>
        <v>0</v>
      </c>
      <c r="CU290">
        <f>Model!DC334</f>
        <v>0</v>
      </c>
      <c r="CV290">
        <f>Model!DD334</f>
        <v>0</v>
      </c>
      <c r="CW290">
        <f>Model!DE334</f>
        <v>0</v>
      </c>
      <c r="CX290">
        <f>Model!DF334</f>
        <v>0</v>
      </c>
    </row>
    <row r="291" spans="1:102">
      <c r="A291" t="str">
        <f>Model!I335</f>
        <v>Advertising - Brand Advertising (fka Offline)</v>
      </c>
      <c r="B291">
        <f>Model!J335</f>
        <v>0</v>
      </c>
      <c r="C291">
        <f>Model!K335</f>
        <v>0</v>
      </c>
      <c r="D291">
        <f>Model!L335</f>
        <v>0</v>
      </c>
      <c r="E291">
        <f>Model!M335</f>
        <v>16.189</v>
      </c>
      <c r="F291">
        <f>Model!N335</f>
        <v>13.701000000000001</v>
      </c>
      <c r="G291">
        <f>Model!O335</f>
        <v>9.6</v>
      </c>
      <c r="H291">
        <f>Model!P335</f>
        <v>7.3849999999999998</v>
      </c>
      <c r="I291">
        <f>Model!Q335</f>
        <v>10.227</v>
      </c>
      <c r="J291">
        <f>Model!R335</f>
        <v>12.776999999999999</v>
      </c>
      <c r="K291">
        <f>Model!S335</f>
        <v>11.648999999999999</v>
      </c>
      <c r="L291">
        <f>Model!T335</f>
        <v>10.010999999999999</v>
      </c>
      <c r="M291">
        <f>Model!U335</f>
        <v>6.9859999999999998</v>
      </c>
      <c r="N291">
        <f>Model!V335</f>
        <v>6.5010000000000003</v>
      </c>
      <c r="O291">
        <f>Model!W335</f>
        <v>5.524</v>
      </c>
      <c r="P291">
        <f>Model!X335</f>
        <v>6.0279999999999996</v>
      </c>
      <c r="Q291">
        <f>Model!Y335</f>
        <v>10.664</v>
      </c>
      <c r="R291">
        <f>Model!Z335</f>
        <v>9.6170000000000009</v>
      </c>
      <c r="S291">
        <f>Model!AA335</f>
        <v>7.4710000000000001</v>
      </c>
      <c r="T291">
        <f>Model!AB335</f>
        <v>6.0179999999999998</v>
      </c>
      <c r="U291">
        <f>Model!AC335</f>
        <v>11.071999999999999</v>
      </c>
      <c r="V291">
        <f>Model!AD335</f>
        <v>8.0890000000000004</v>
      </c>
      <c r="W291">
        <f>Model!AE335</f>
        <v>7.32</v>
      </c>
      <c r="X291">
        <f>Model!AF335</f>
        <v>4.4749999999999996</v>
      </c>
      <c r="Y291">
        <f>Model!AG335</f>
        <v>9.4379999999999988</v>
      </c>
      <c r="Z291">
        <f>Model!AH335</f>
        <v>8.8610000000000007</v>
      </c>
      <c r="AA291">
        <f>Model!AI335</f>
        <v>6.6649999999999991</v>
      </c>
      <c r="AB291">
        <f>Model!AJ335</f>
        <v>6.8689999999999998</v>
      </c>
      <c r="AC291">
        <f>Model!AK335</f>
        <v>11.333999999999996</v>
      </c>
      <c r="AD291">
        <f>Model!AL335</f>
        <v>9.2810000000000006</v>
      </c>
      <c r="AE291">
        <f>Model!AM335</f>
        <v>8.4130000000000003</v>
      </c>
      <c r="AF291">
        <f>Model!AN335</f>
        <v>6.9349999999999996</v>
      </c>
      <c r="AG291">
        <f>Model!AO335</f>
        <v>12.031000000000006</v>
      </c>
      <c r="AH291">
        <f>Model!AP335</f>
        <v>9.9280000000000008</v>
      </c>
      <c r="AI291">
        <f>Model!AQ335</f>
        <v>8.2929999999999993</v>
      </c>
      <c r="AJ291">
        <f>Model!AR335</f>
        <v>7.7789999999999999</v>
      </c>
      <c r="AK291">
        <f>Model!AS335</f>
        <v>10.766</v>
      </c>
      <c r="AL291">
        <f>Model!AT335</f>
        <v>11.053000000000001</v>
      </c>
      <c r="AM291">
        <f>Model!AU335</f>
        <v>8.4740000000000002</v>
      </c>
      <c r="AN291">
        <f>Model!AV335</f>
        <v>5.9779999999999998</v>
      </c>
      <c r="AO291">
        <f>Model!AW335</f>
        <v>11.788</v>
      </c>
      <c r="AP291">
        <f>Model!AX335</f>
        <v>10.122999999999999</v>
      </c>
      <c r="AQ291">
        <f>Model!AY335</f>
        <v>7.7729999999999997</v>
      </c>
      <c r="AR291">
        <f>Model!AZ335</f>
        <v>6.03</v>
      </c>
      <c r="AS291">
        <f>Model!BA335</f>
        <v>11.614000000000001</v>
      </c>
      <c r="AT291">
        <f>Model!BB335</f>
        <v>9.8149999999999995</v>
      </c>
      <c r="AU291">
        <f>Model!BC335</f>
        <v>8.0350000000000001</v>
      </c>
      <c r="AV291">
        <f>Model!BD335</f>
        <v>6.0060000000000002</v>
      </c>
      <c r="AW291">
        <f>Model!BE335</f>
        <v>11.157</v>
      </c>
      <c r="AX291">
        <f>Model!BF335</f>
        <v>9.9220000000000006</v>
      </c>
      <c r="AY291">
        <f>Model!BG335</f>
        <v>8.4410000000000007</v>
      </c>
      <c r="AZ291">
        <f>Model!BH335</f>
        <v>5.9729999999999999</v>
      </c>
      <c r="BA291">
        <f>Model!BI335</f>
        <v>27.728999999999999</v>
      </c>
      <c r="BB291">
        <f>Model!BJ335</f>
        <v>32.130000000000003</v>
      </c>
      <c r="BC291">
        <f>Model!BK335</f>
        <v>39.890999999999998</v>
      </c>
      <c r="BD291">
        <f>Model!BL335</f>
        <v>27.709</v>
      </c>
      <c r="BE291">
        <f>Model!BM335</f>
        <v>53.473999999999997</v>
      </c>
      <c r="BF291">
        <f>Model!BN335</f>
        <v>58.026000000000003</v>
      </c>
      <c r="BG291">
        <f>Model!BO335</f>
        <v>71.593000000000004</v>
      </c>
      <c r="BH291">
        <f>Model!BP335</f>
        <v>48.216000000000001</v>
      </c>
      <c r="BI291">
        <f>Model!BQ335</f>
        <v>73.254000000000005</v>
      </c>
      <c r="BJ291">
        <f>Model!BR335</f>
        <v>78.430999999999997</v>
      </c>
      <c r="BK291">
        <f>Model!BS335</f>
        <v>67.858000000000004</v>
      </c>
      <c r="BL291">
        <f>Model!BT335</f>
        <v>54.161000000000001</v>
      </c>
      <c r="BM291">
        <f>Model!BU335</f>
        <v>69.844999999999999</v>
      </c>
      <c r="BN291">
        <f>Model!BV335</f>
        <v>112.321</v>
      </c>
      <c r="BO291">
        <f>Model!BW335</f>
        <v>72.792000000000002</v>
      </c>
      <c r="BP291">
        <f>Model!BX335</f>
        <v>40.74</v>
      </c>
      <c r="BQ291">
        <f>Model!BY335</f>
        <v>73.012</v>
      </c>
      <c r="BR291">
        <f>Model!BZ335</f>
        <v>121.187</v>
      </c>
      <c r="BS291">
        <f>Model!CA335</f>
        <v>112.79600000000001</v>
      </c>
      <c r="BT291">
        <f>Model!CB335</f>
        <v>84.588999999999999</v>
      </c>
      <c r="BU291">
        <f>Model!CC335</f>
        <v>123.012</v>
      </c>
      <c r="BV291">
        <f>Model!CD335</f>
        <v>176.18700000000001</v>
      </c>
      <c r="BW291">
        <f>Model!CE335</f>
        <v>142.79599999999999</v>
      </c>
      <c r="BX291">
        <f>Model!CF335</f>
        <v>94.588999999999999</v>
      </c>
      <c r="BY291">
        <f>Model!CG335</f>
        <v>0</v>
      </c>
      <c r="BZ291">
        <f>Model!CH335</f>
        <v>46.875</v>
      </c>
      <c r="CA291">
        <f>Model!CI335</f>
        <v>44.664000000000001</v>
      </c>
      <c r="CB291">
        <f>Model!CJ335</f>
        <v>25.039000000000001</v>
      </c>
      <c r="CC291">
        <f>Model!CK335</f>
        <v>33.475999999999999</v>
      </c>
      <c r="CD291">
        <f>Model!CL335</f>
        <v>30.956</v>
      </c>
      <c r="CE291">
        <f>Model!CM335</f>
        <v>31.832999999999998</v>
      </c>
      <c r="CF291">
        <f>Model!CN335</f>
        <v>35.962999999999994</v>
      </c>
      <c r="CG291">
        <f>Model!CO335</f>
        <v>38.031000000000006</v>
      </c>
      <c r="CH291">
        <f>Model!CP335</f>
        <v>36.271000000000001</v>
      </c>
      <c r="CI291">
        <f>Model!CQ335</f>
        <v>35.713999999999999</v>
      </c>
      <c r="CJ291">
        <f>Model!CR335</f>
        <v>35.47</v>
      </c>
      <c r="CK291">
        <f>Model!CS335</f>
        <v>35.493000000000002</v>
      </c>
      <c r="CL291">
        <f>Model!CT335</f>
        <v>127.459</v>
      </c>
      <c r="CM291">
        <f>Model!CU335</f>
        <v>231.30900000000003</v>
      </c>
      <c r="CN291">
        <f>Model!CV335</f>
        <v>273.70400000000001</v>
      </c>
      <c r="CO291">
        <f>Model!CW335</f>
        <v>295.69799999999998</v>
      </c>
      <c r="CP291">
        <f>Model!CX335</f>
        <v>391.584</v>
      </c>
      <c r="CQ291">
        <f>Model!CY335</f>
        <v>536.58400000000006</v>
      </c>
      <c r="CR291">
        <f>Model!CZ335</f>
        <v>616.58400000000006</v>
      </c>
      <c r="CS291">
        <f>Model!DA335</f>
        <v>686.58400000000006</v>
      </c>
      <c r="CT291">
        <f>Model!DB335</f>
        <v>746.58400000000006</v>
      </c>
      <c r="CU291">
        <f>Model!DC335</f>
        <v>806.58400000000006</v>
      </c>
      <c r="CV291">
        <f>Model!DD335</f>
        <v>866.58400000000006</v>
      </c>
      <c r="CW291">
        <f>Model!DE335</f>
        <v>926.58400000000006</v>
      </c>
      <c r="CX291">
        <f>Model!DF335</f>
        <v>976.58400000000006</v>
      </c>
    </row>
    <row r="292" spans="1:102">
      <c r="A292" t="str">
        <f>Model!I336</f>
        <v>% change Y/Y</v>
      </c>
      <c r="B292">
        <f>Model!J336</f>
        <v>0</v>
      </c>
      <c r="C292">
        <f>Model!K336</f>
        <v>0</v>
      </c>
      <c r="D292">
        <f>Model!L336</f>
        <v>0</v>
      </c>
      <c r="E292">
        <f>Model!M336</f>
        <v>0</v>
      </c>
      <c r="F292">
        <f>Model!N336</f>
        <v>0</v>
      </c>
      <c r="G292">
        <f>Model!O336</f>
        <v>0</v>
      </c>
      <c r="H292">
        <f>Model!P336</f>
        <v>0</v>
      </c>
      <c r="I292">
        <f>Model!Q336</f>
        <v>-0.36827475446290692</v>
      </c>
      <c r="J292">
        <f>Model!R336</f>
        <v>-6.7440332822421789E-2</v>
      </c>
      <c r="K292">
        <f>Model!S336</f>
        <v>0.21343749999999995</v>
      </c>
      <c r="L292">
        <f>Model!T336</f>
        <v>0.35558564658090708</v>
      </c>
      <c r="M292">
        <f>Model!U336</f>
        <v>-0.31690622861054074</v>
      </c>
      <c r="N292">
        <f>Model!V336</f>
        <v>-0.49119511622446577</v>
      </c>
      <c r="O292">
        <f>Model!W336</f>
        <v>-0.5257962056828912</v>
      </c>
      <c r="P292">
        <f>Model!X336</f>
        <v>-0.39786235141344517</v>
      </c>
      <c r="Q292">
        <f>Model!Y336</f>
        <v>0.52648153449756663</v>
      </c>
      <c r="R292">
        <f>Model!Z336</f>
        <v>0.47931087524996152</v>
      </c>
      <c r="S292">
        <f>Model!AA336</f>
        <v>0.3524619840695149</v>
      </c>
      <c r="T292">
        <f>Model!AB336</f>
        <v>-1.6589250165892633E-3</v>
      </c>
      <c r="U292">
        <f>Model!AC336</f>
        <v>3.825956489122273E-2</v>
      </c>
      <c r="V292">
        <f>Model!AD336</f>
        <v>-0.15888530726837891</v>
      </c>
      <c r="W292">
        <f>Model!AE336</f>
        <v>-2.0211484406371327E-2</v>
      </c>
      <c r="X292">
        <f>Model!AF336</f>
        <v>-0.25639747424393489</v>
      </c>
      <c r="Y292">
        <f>Model!AG336</f>
        <v>-0.14757947976878616</v>
      </c>
      <c r="Z292">
        <f>Model!AH336</f>
        <v>9.5438249474595116E-2</v>
      </c>
      <c r="AA292">
        <f>Model!AI336</f>
        <v>-8.9480874316940073E-2</v>
      </c>
      <c r="AB292">
        <f>Model!AJ336</f>
        <v>0.53497206703910627</v>
      </c>
      <c r="AC292">
        <f>Model!AK336</f>
        <v>0.20089001907183701</v>
      </c>
      <c r="AD292">
        <f>Model!AL336</f>
        <v>4.7398713463491671E-2</v>
      </c>
      <c r="AE292">
        <f>Model!AM336</f>
        <v>0.26226556639159804</v>
      </c>
      <c r="AF292">
        <f>Model!AN336</f>
        <v>9.6083855000728136E-3</v>
      </c>
      <c r="AG292">
        <f>Model!AO336</f>
        <v>6.1496382565732421E-2</v>
      </c>
      <c r="AH292">
        <f>Model!AP336</f>
        <v>6.9712315483245302E-2</v>
      </c>
      <c r="AI292">
        <f>Model!AQ336</f>
        <v>-1.4263639605372802E-2</v>
      </c>
      <c r="AJ292">
        <f>Model!AR336</f>
        <v>0.12170151405912044</v>
      </c>
      <c r="AK292">
        <f>Model!AS336</f>
        <v>-0.1051450419748986</v>
      </c>
      <c r="AL292">
        <f>Model!AT336</f>
        <v>0.1133158742949234</v>
      </c>
      <c r="AM292">
        <f>Model!AU336</f>
        <v>2.1825636078620647E-2</v>
      </c>
      <c r="AN292">
        <f>Model!AV336</f>
        <v>-0.2315207610232678</v>
      </c>
      <c r="AO292">
        <f>Model!AW336</f>
        <v>9.4928478543563122E-2</v>
      </c>
      <c r="AP292">
        <f>Model!AX336</f>
        <v>-8.4140052474441451E-2</v>
      </c>
      <c r="AQ292">
        <f>Model!AY336</f>
        <v>-8.2723625206514106E-2</v>
      </c>
      <c r="AR292">
        <f>Model!AZ336</f>
        <v>8.6985613917698323E-3</v>
      </c>
      <c r="AS292">
        <f>Model!BA336</f>
        <v>-1.4760773668136995E-2</v>
      </c>
      <c r="AT292">
        <f>Model!BB336</f>
        <v>-3.0425763113701487E-2</v>
      </c>
      <c r="AU292">
        <f>Model!BC336</f>
        <v>3.3706419657789866E-2</v>
      </c>
      <c r="AV292">
        <f>Model!BD336</f>
        <v>-3.9800995024875663E-3</v>
      </c>
      <c r="AW292">
        <f>Model!BE336</f>
        <v>-3.9349061477527147E-2</v>
      </c>
      <c r="AX292">
        <f>Model!BF336</f>
        <v>1.0901681100356608E-2</v>
      </c>
      <c r="AY292">
        <f>Model!BG336</f>
        <v>5.0528935905413963E-2</v>
      </c>
      <c r="AZ292">
        <f>Model!BH336</f>
        <v>-5.494505494505586E-3</v>
      </c>
      <c r="BA292">
        <f>Model!BI336</f>
        <v>1.485345522990051</v>
      </c>
      <c r="BB292">
        <f>Model!BJ336</f>
        <v>2.2382584156420076</v>
      </c>
      <c r="BC292">
        <f>Model!BK336</f>
        <v>3.725861864707972</v>
      </c>
      <c r="BD292">
        <f>Model!BL336</f>
        <v>3.639042357274402</v>
      </c>
      <c r="BE292">
        <f>Model!BM336</f>
        <v>0.92845035883010563</v>
      </c>
      <c r="BF292">
        <f>Model!BN336</f>
        <v>0.80597572362278247</v>
      </c>
      <c r="BG292">
        <f>Model!BO336</f>
        <v>0.7947156000100275</v>
      </c>
      <c r="BH292">
        <f>Model!BP336</f>
        <v>0.74008444909596172</v>
      </c>
      <c r="BI292">
        <f>Model!BQ336</f>
        <v>0.36989939035793107</v>
      </c>
      <c r="BJ292">
        <f>Model!BR336</f>
        <v>0.35165270740702437</v>
      </c>
      <c r="BK292">
        <f>Model!BS336</f>
        <v>-5.2169904878968554E-2</v>
      </c>
      <c r="BL292">
        <f>Model!BT336</f>
        <v>0.1232993197278911</v>
      </c>
      <c r="BM292">
        <f>Model!BU336</f>
        <v>-4.6536707893084395E-2</v>
      </c>
      <c r="BN292">
        <f>Model!BV336</f>
        <v>0.43209955247287435</v>
      </c>
      <c r="BO292">
        <f>Model!BW336</f>
        <v>7.2710660496920099E-2</v>
      </c>
      <c r="BP292">
        <f>Model!BX336</f>
        <v>-0.24779823119957167</v>
      </c>
      <c r="BQ292">
        <f>Model!BY336</f>
        <v>4.5343260075882297E-2</v>
      </c>
      <c r="BR292">
        <f>Model!BZ336</f>
        <v>7.8934482420918606E-2</v>
      </c>
      <c r="BS292">
        <f>Model!CA336</f>
        <v>0.54956588636113857</v>
      </c>
      <c r="BT292">
        <f>Model!CB336</f>
        <v>1.0763132056946487</v>
      </c>
      <c r="BU292">
        <f>Model!CC336</f>
        <v>0.68481893387388371</v>
      </c>
      <c r="BV292">
        <f>Model!CD336</f>
        <v>0.45384405918126536</v>
      </c>
      <c r="BW292">
        <f>Model!CE336</f>
        <v>0.26596687825809417</v>
      </c>
      <c r="BX292">
        <f>Model!CF336</f>
        <v>0.11821868091595844</v>
      </c>
      <c r="BY292">
        <f>Model!CG336</f>
        <v>0</v>
      </c>
      <c r="BZ292">
        <f>Model!CH336</f>
        <v>0</v>
      </c>
      <c r="CA292">
        <f>Model!CI336</f>
        <v>-4.7167999999999988E-2</v>
      </c>
      <c r="CB292">
        <f>Model!CJ336</f>
        <v>-0.43939190399426831</v>
      </c>
      <c r="CC292">
        <f>Model!CK336</f>
        <v>0.33695435121210893</v>
      </c>
      <c r="CD292">
        <f>Model!CL336</f>
        <v>-7.5277810969052394E-2</v>
      </c>
      <c r="CE292">
        <f>Model!CM336</f>
        <v>2.8330533660679613E-2</v>
      </c>
      <c r="CF292">
        <f>Model!CN336</f>
        <v>0.12973957842490491</v>
      </c>
      <c r="CG292">
        <f>Model!CO336</f>
        <v>5.7503545310458426E-2</v>
      </c>
      <c r="CH292">
        <f>Model!CP336</f>
        <v>-4.6278036338776363E-2</v>
      </c>
      <c r="CI292">
        <f>Model!CQ336</f>
        <v>-1.5356620991977099E-2</v>
      </c>
      <c r="CJ292">
        <f>Model!CR336</f>
        <v>-6.8320546564372142E-3</v>
      </c>
      <c r="CK292">
        <f>Model!CS336</f>
        <v>6.4843529743452422E-4</v>
      </c>
      <c r="CL292">
        <f>Model!CT336</f>
        <v>2.5911024709097568</v>
      </c>
      <c r="CM292">
        <f>Model!CU336</f>
        <v>0.81477180897386625</v>
      </c>
      <c r="CN292">
        <f>Model!CV336</f>
        <v>0.18328296780497078</v>
      </c>
      <c r="CO292">
        <f>Model!CW336</f>
        <v>8.0356881887001963E-2</v>
      </c>
      <c r="CP292">
        <f>Model!CX336</f>
        <v>0.32427003226264639</v>
      </c>
      <c r="CQ292">
        <f>Model!CY336</f>
        <v>0.37029092097736394</v>
      </c>
      <c r="CR292">
        <f>Model!CZ336</f>
        <v>0.1490912885960074</v>
      </c>
      <c r="CS292">
        <f>Model!DA336</f>
        <v>0.11352873250035689</v>
      </c>
      <c r="CT292">
        <f>Model!DB336</f>
        <v>8.7389161413607086E-2</v>
      </c>
      <c r="CU292">
        <f>Model!DC336</f>
        <v>8.036604052591545E-2</v>
      </c>
      <c r="CV292">
        <f>Model!DD336</f>
        <v>7.4387788500639651E-2</v>
      </c>
      <c r="CW292">
        <f>Model!DE336</f>
        <v>6.9237373411002334E-2</v>
      </c>
      <c r="CX292">
        <f>Model!DF336</f>
        <v>5.3961648377265359E-2</v>
      </c>
    </row>
    <row r="293" spans="1:102">
      <c r="A293" t="str">
        <f>Model!I337</f>
        <v>% of Total Gross Profit</v>
      </c>
      <c r="B293">
        <f>Model!J337</f>
        <v>0</v>
      </c>
      <c r="C293">
        <f>Model!K337</f>
        <v>0</v>
      </c>
      <c r="D293">
        <f>Model!L337</f>
        <v>0</v>
      </c>
      <c r="E293">
        <f>Model!M337</f>
        <v>0.37548417024237501</v>
      </c>
      <c r="F293">
        <f>Model!N337</f>
        <v>0.22794729311549597</v>
      </c>
      <c r="G293">
        <f>Model!O337</f>
        <v>0.19035532994923857</v>
      </c>
      <c r="H293">
        <f>Model!P337</f>
        <v>0.18813848623035181</v>
      </c>
      <c r="I293">
        <f>Model!Q337</f>
        <v>0.24354059009834972</v>
      </c>
      <c r="J293">
        <f>Model!R337</f>
        <v>0.26536927805931709</v>
      </c>
      <c r="K293">
        <f>Model!S337</f>
        <v>0.30865636840571259</v>
      </c>
      <c r="L293">
        <f>Model!T337</f>
        <v>0.32840178454271091</v>
      </c>
      <c r="M293">
        <f>Model!U337</f>
        <v>0.21178039833873949</v>
      </c>
      <c r="N293">
        <f>Model!V337</f>
        <v>0.16054230256334273</v>
      </c>
      <c r="O293">
        <f>Model!W337</f>
        <v>0.13589844518795513</v>
      </c>
      <c r="P293">
        <f>Model!X337</f>
        <v>0.18946442041740005</v>
      </c>
      <c r="Q293">
        <f>Model!Y337</f>
        <v>0.24586157605939041</v>
      </c>
      <c r="R293">
        <f>Model!Z337</f>
        <v>0.17610972751245241</v>
      </c>
      <c r="S293">
        <f>Model!AA337</f>
        <v>0.14462425955321537</v>
      </c>
      <c r="T293">
        <f>Model!AB337</f>
        <v>0.11685663799297073</v>
      </c>
      <c r="U293">
        <f>Model!AC337</f>
        <v>0.1906730040642006</v>
      </c>
      <c r="V293">
        <f>Model!AD337</f>
        <v>0.12335681825113613</v>
      </c>
      <c r="W293">
        <f>Model!AE337</f>
        <v>9.0521239102207399E-2</v>
      </c>
      <c r="X293">
        <f>Model!AF337</f>
        <v>6.8484765009258819E-2</v>
      </c>
      <c r="Y293">
        <f>Model!AG337</f>
        <v>0.13066411928396393</v>
      </c>
      <c r="Z293">
        <f>Model!AH337</f>
        <v>8.3749196627726744E-2</v>
      </c>
      <c r="AA293">
        <f>Model!AI337</f>
        <v>5.4488227599738377E-2</v>
      </c>
      <c r="AB293">
        <f>Model!AJ337</f>
        <v>6.9023382939598282E-2</v>
      </c>
      <c r="AC293">
        <f>Model!AK337</f>
        <v>0.10914974142663154</v>
      </c>
      <c r="AD293">
        <f>Model!AL337</f>
        <v>5.9918782643502311E-2</v>
      </c>
      <c r="AE293">
        <f>Model!AM337</f>
        <v>4.1580380663368444E-2</v>
      </c>
      <c r="AF293">
        <f>Model!AN337</f>
        <v>4.330261251810779E-2</v>
      </c>
      <c r="AG293">
        <f>Model!AO337</f>
        <v>6.6431809522757804E-2</v>
      </c>
      <c r="AH293">
        <f>Model!AP337</f>
        <v>3.9128978224455609E-2</v>
      </c>
      <c r="AI293">
        <f>Model!AQ337</f>
        <v>2.6237194616518703E-2</v>
      </c>
      <c r="AJ293">
        <f>Model!AR337</f>
        <v>3.7934313510350377E-2</v>
      </c>
      <c r="AK293">
        <f>Model!AS337</f>
        <v>5.1677626842029478E-2</v>
      </c>
      <c r="AL293">
        <f>Model!AT337</f>
        <v>3.6211087741369032E-2</v>
      </c>
      <c r="AM293">
        <f>Model!AU337</f>
        <v>1.9525075690197832E-2</v>
      </c>
      <c r="AN293">
        <f>Model!AV337</f>
        <v>1.9087515845064795E-2</v>
      </c>
      <c r="AO293">
        <f>Model!AW337</f>
        <v>3.6939545494428377E-2</v>
      </c>
      <c r="AP293">
        <f>Model!AX337</f>
        <v>2.2687949366180772E-2</v>
      </c>
      <c r="AQ293">
        <f>Model!AY337</f>
        <v>1.1632605416277569E-2</v>
      </c>
      <c r="AR293">
        <f>Model!AZ337</f>
        <v>1.2558156970714295E-2</v>
      </c>
      <c r="AS293">
        <f>Model!BA337</f>
        <v>2.2961281751178311E-2</v>
      </c>
      <c r="AT293">
        <f>Model!BB337</f>
        <v>1.3100168573743336E-2</v>
      </c>
      <c r="AU293">
        <f>Model!BC337</f>
        <v>7.3035627933696187E-3</v>
      </c>
      <c r="AV293">
        <f>Model!BD337</f>
        <v>8.2876015769349116E-3</v>
      </c>
      <c r="AW293">
        <f>Model!BE337</f>
        <v>1.5010332468706611E-2</v>
      </c>
      <c r="AX293">
        <f>Model!BF337</f>
        <v>9.8810725973019747E-3</v>
      </c>
      <c r="AY293">
        <f>Model!BG337</f>
        <v>6.0443923778071059E-3</v>
      </c>
      <c r="AZ293">
        <f>Model!BH337</f>
        <v>6.3559457302474051E-3</v>
      </c>
      <c r="BA293">
        <f>Model!BI337</f>
        <v>2.7463564647680173E-2</v>
      </c>
      <c r="BB293">
        <f>Model!BJ337</f>
        <v>2.3217750414602688E-2</v>
      </c>
      <c r="BC293">
        <f>Model!BK337</f>
        <v>2.0055151541050694E-2</v>
      </c>
      <c r="BD293">
        <f>Model!BL337</f>
        <v>2.0782253969658764E-2</v>
      </c>
      <c r="BE293">
        <f>Model!BM337</f>
        <v>3.8019980504397165E-2</v>
      </c>
      <c r="BF293">
        <f>Model!BN337</f>
        <v>3.0815785057429761E-2</v>
      </c>
      <c r="BG293">
        <f>Model!BO337</f>
        <v>2.7325801972382976E-2</v>
      </c>
      <c r="BH293">
        <f>Model!BP337</f>
        <v>2.8791086084845808E-2</v>
      </c>
      <c r="BI293">
        <f>Model!BQ337</f>
        <v>4.3806017810883162E-2</v>
      </c>
      <c r="BJ293">
        <f>Model!BR337</f>
        <v>3.7474688304204778E-2</v>
      </c>
      <c r="BK293">
        <f>Model!BS337</f>
        <v>2.3023925094375092E-2</v>
      </c>
      <c r="BL293">
        <f>Model!BT337</f>
        <v>2.8818500539804823E-2</v>
      </c>
      <c r="BM293">
        <f>Model!BU337</f>
        <v>3.4586149694223682E-2</v>
      </c>
      <c r="BN293">
        <f>Model!BV337</f>
        <v>4.6226095946280743E-2</v>
      </c>
      <c r="BO293">
        <f>Model!BW337</f>
        <v>2.028161667822493E-2</v>
      </c>
      <c r="BP293">
        <f>Model!BX337</f>
        <v>1.7896985583569568E-2</v>
      </c>
      <c r="BQ293">
        <f>Model!BY337</f>
        <v>3.1278770132398832E-2</v>
      </c>
      <c r="BR293">
        <f>Model!BZ337</f>
        <v>4.1055093579744524E-2</v>
      </c>
      <c r="BS293">
        <f>Model!CA337</f>
        <v>2.5784577304241146E-2</v>
      </c>
      <c r="BT293">
        <f>Model!CB337</f>
        <v>3.053817352920259E-2</v>
      </c>
      <c r="BU293">
        <f>Model!CC337</f>
        <v>4.3972388899227791E-2</v>
      </c>
      <c r="BV293">
        <f>Model!CD337</f>
        <v>4.9460349249667482E-2</v>
      </c>
      <c r="BW293">
        <f>Model!CE337</f>
        <v>2.8534027519122322E-2</v>
      </c>
      <c r="BX293">
        <f>Model!CF337</f>
        <v>2.8003216622527624E-2</v>
      </c>
      <c r="BY293">
        <f>Model!CG337</f>
        <v>0</v>
      </c>
      <c r="BZ293">
        <f>Model!CH337</f>
        <v>0.24299399707629621</v>
      </c>
      <c r="CA293">
        <f>Model!CI337</f>
        <v>0.28203023376229747</v>
      </c>
      <c r="CB293">
        <f>Model!CJ337</f>
        <v>0.17156463051149407</v>
      </c>
      <c r="CC293">
        <f>Model!CK337</f>
        <v>0.16643216879869144</v>
      </c>
      <c r="CD293">
        <f>Model!CL337</f>
        <v>0.11471558273114692</v>
      </c>
      <c r="CE293">
        <f>Model!CM337</f>
        <v>7.9607974551856558E-2</v>
      </c>
      <c r="CF293">
        <f>Model!CN337</f>
        <v>5.7891390259411014E-2</v>
      </c>
      <c r="CG293">
        <f>Model!CO337</f>
        <v>3.9782587547111788E-2</v>
      </c>
      <c r="CH293">
        <f>Model!CP337</f>
        <v>2.8769086656254984E-2</v>
      </c>
      <c r="CI293">
        <f>Model!CQ337</f>
        <v>1.8662530817683681E-2</v>
      </c>
      <c r="CJ293">
        <f>Model!CR337</f>
        <v>1.1516682468148107E-2</v>
      </c>
      <c r="CK293">
        <f>Model!CS337</f>
        <v>8.6914232526977483E-3</v>
      </c>
      <c r="CL293">
        <f>Model!CT337</f>
        <v>2.2299080142606061E-2</v>
      </c>
      <c r="CM293">
        <f>Model!CU337</f>
        <v>3.0499081634940337E-2</v>
      </c>
      <c r="CN293">
        <f>Model!CV337</f>
        <v>3.1856395284484397E-2</v>
      </c>
      <c r="CO293">
        <f>Model!CW337</f>
        <v>2.8667651927948987E-2</v>
      </c>
      <c r="CP293">
        <f>Model!CX337</f>
        <v>3.1501756359033337E-2</v>
      </c>
      <c r="CQ293">
        <f>Model!CY337</f>
        <v>3.6398636264769101E-2</v>
      </c>
      <c r="CR293">
        <f>Model!CZ337</f>
        <v>3.6724464930162792E-2</v>
      </c>
      <c r="CS293">
        <f>Model!DA337</f>
        <v>3.6478245835761945E-2</v>
      </c>
      <c r="CT293">
        <f>Model!DB337</f>
        <v>3.5933063425630678E-2</v>
      </c>
      <c r="CU293">
        <f>Model!DC337</f>
        <v>3.5556452553036771E-2</v>
      </c>
      <c r="CV293">
        <f>Model!DD337</f>
        <v>3.5278488463216913E-2</v>
      </c>
      <c r="CW293">
        <f>Model!DE337</f>
        <v>3.509912237852162E-2</v>
      </c>
      <c r="CX293">
        <f>Model!DF337</f>
        <v>3.4414768622174012E-2</v>
      </c>
    </row>
    <row r="294" spans="1:102">
      <c r="A294" t="str">
        <f>Model!I338</f>
        <v>change Y/Y (in bp)</v>
      </c>
      <c r="B294">
        <f>Model!J338</f>
        <v>0</v>
      </c>
      <c r="C294">
        <f>Model!K338</f>
        <v>0</v>
      </c>
      <c r="D294">
        <f>Model!L338</f>
        <v>0</v>
      </c>
      <c r="E294">
        <f>Model!M338</f>
        <v>0</v>
      </c>
      <c r="F294">
        <f>Model!N338</f>
        <v>0</v>
      </c>
      <c r="G294">
        <f>Model!O338</f>
        <v>0</v>
      </c>
      <c r="H294">
        <f>Model!P338</f>
        <v>0</v>
      </c>
      <c r="I294">
        <f>Model!Q338</f>
        <v>0</v>
      </c>
      <c r="J294">
        <f>Model!R338</f>
        <v>0</v>
      </c>
      <c r="K294">
        <f>Model!S338</f>
        <v>0</v>
      </c>
      <c r="L294">
        <f>Model!T338</f>
        <v>0</v>
      </c>
      <c r="M294">
        <f>Model!U338</f>
        <v>0</v>
      </c>
      <c r="N294">
        <f>Model!V338</f>
        <v>0</v>
      </c>
      <c r="O294">
        <f>Model!W338</f>
        <v>0</v>
      </c>
      <c r="P294">
        <f>Model!X338</f>
        <v>0</v>
      </c>
      <c r="Q294">
        <f>Model!Y338</f>
        <v>0</v>
      </c>
      <c r="R294">
        <f>Model!Z338</f>
        <v>0</v>
      </c>
      <c r="S294">
        <f>Model!AA338</f>
        <v>0</v>
      </c>
      <c r="T294">
        <f>Model!AB338</f>
        <v>0</v>
      </c>
      <c r="U294">
        <f>Model!AC338</f>
        <v>0</v>
      </c>
      <c r="V294">
        <f>Model!AD338</f>
        <v>0</v>
      </c>
      <c r="W294">
        <f>Model!AE338</f>
        <v>0</v>
      </c>
      <c r="X294">
        <f>Model!AF338</f>
        <v>0</v>
      </c>
      <c r="Y294">
        <f>Model!AG338</f>
        <v>0</v>
      </c>
      <c r="Z294">
        <f>Model!AH338</f>
        <v>0</v>
      </c>
      <c r="AA294">
        <f>Model!AI338</f>
        <v>0</v>
      </c>
      <c r="AB294">
        <f>Model!AJ338</f>
        <v>0</v>
      </c>
      <c r="AC294">
        <f>Model!AK338</f>
        <v>-215.14377857332386</v>
      </c>
      <c r="AD294">
        <f>Model!AL338</f>
        <v>-238.30413984224433</v>
      </c>
      <c r="AE294">
        <f>Model!AM338</f>
        <v>-129.07846936369933</v>
      </c>
      <c r="AF294">
        <f>Model!AN338</f>
        <v>-257.20770421490494</v>
      </c>
      <c r="AG294">
        <f>Model!AO338</f>
        <v>-427.17931903873739</v>
      </c>
      <c r="AH294">
        <f>Model!AP338</f>
        <v>-207.89804419046703</v>
      </c>
      <c r="AI294">
        <f>Model!AQ338</f>
        <v>-153.4318604684974</v>
      </c>
      <c r="AJ294">
        <f>Model!AR338</f>
        <v>-53.682990077574125</v>
      </c>
      <c r="AK294">
        <f>Model!AS338</f>
        <v>-147.54182680728326</v>
      </c>
      <c r="AL294">
        <f>Model!AT338</f>
        <v>-29.178904830865772</v>
      </c>
      <c r="AM294">
        <f>Model!AU338</f>
        <v>-67.121189263208706</v>
      </c>
      <c r="AN294">
        <f>Model!AV338</f>
        <v>-188.46797665285581</v>
      </c>
      <c r="AO294">
        <f>Model!AW338</f>
        <v>-147.38081347601101</v>
      </c>
      <c r="AP294">
        <f>Model!AX338</f>
        <v>-135.23138375188259</v>
      </c>
      <c r="AQ294">
        <f>Model!AY338</f>
        <v>-78.92470273920263</v>
      </c>
      <c r="AR294">
        <f>Model!AZ338</f>
        <v>-65.293588743505012</v>
      </c>
      <c r="AS294">
        <f>Model!BA338</f>
        <v>-139.78263743250068</v>
      </c>
      <c r="AT294">
        <f>Model!BB338</f>
        <v>-95.877807924374352</v>
      </c>
      <c r="AU294">
        <f>Model!BC338</f>
        <v>-43.2904262290795</v>
      </c>
      <c r="AV294">
        <f>Model!BD338</f>
        <v>-42.70555393779383</v>
      </c>
      <c r="AW294">
        <f>Model!BE338</f>
        <v>-79.509492824717</v>
      </c>
      <c r="AX294">
        <f>Model!BF338</f>
        <v>-32.19095976441362</v>
      </c>
      <c r="AY294">
        <f>Model!BG338</f>
        <v>-12.591704155625127</v>
      </c>
      <c r="AZ294">
        <f>Model!BH338</f>
        <v>-19.316558466875065</v>
      </c>
      <c r="BA294">
        <f>Model!BI338</f>
        <v>124.53232178973562</v>
      </c>
      <c r="BB294">
        <f>Model!BJ338</f>
        <v>133.36677817300713</v>
      </c>
      <c r="BC294">
        <f>Model!BK338</f>
        <v>140.10759163243588</v>
      </c>
      <c r="BD294">
        <f>Model!BL338</f>
        <v>144.26308239411358</v>
      </c>
      <c r="BE294">
        <f>Model!BM338</f>
        <v>105.56415856716993</v>
      </c>
      <c r="BF294">
        <f>Model!BN338</f>
        <v>75.980346428270735</v>
      </c>
      <c r="BG294">
        <f>Model!BO338</f>
        <v>72.706504313322824</v>
      </c>
      <c r="BH294">
        <f>Model!BP338</f>
        <v>80.088321151870446</v>
      </c>
      <c r="BI294">
        <f>Model!BQ338</f>
        <v>57.860373064859971</v>
      </c>
      <c r="BJ294">
        <f>Model!BR338</f>
        <v>66.589032467750172</v>
      </c>
      <c r="BK294">
        <f>Model!BS338</f>
        <v>-43.018768780078851</v>
      </c>
      <c r="BL294">
        <f>Model!BT338</f>
        <v>0.27414454959014817</v>
      </c>
      <c r="BM294">
        <f>Model!BU338</f>
        <v>-92.198681166594795</v>
      </c>
      <c r="BN294">
        <f>Model!BV338</f>
        <v>87.51407642075965</v>
      </c>
      <c r="BO294">
        <f>Model!BW338</f>
        <v>-27.423084161501617</v>
      </c>
      <c r="BP294">
        <f>Model!BX338</f>
        <v>-109.21514956235255</v>
      </c>
      <c r="BQ294">
        <f>Model!BY338</f>
        <v>-33.073795618248496</v>
      </c>
      <c r="BR294">
        <f>Model!BZ338</f>
        <v>-51.710023665362186</v>
      </c>
      <c r="BS294">
        <f>Model!CA338</f>
        <v>55.029606260162154</v>
      </c>
      <c r="BT294">
        <f>Model!CB338</f>
        <v>126.41187945633021</v>
      </c>
      <c r="BU294">
        <f>Model!CC338</f>
        <v>126.93618766828958</v>
      </c>
      <c r="BV294">
        <f>Model!CD338</f>
        <v>84.052556699229584</v>
      </c>
      <c r="BW294">
        <f>Model!CE338</f>
        <v>27.494502148811758</v>
      </c>
      <c r="BX294">
        <f>Model!CF338</f>
        <v>-25.349569066749655</v>
      </c>
      <c r="BY294">
        <f>Model!CG338</f>
        <v>0</v>
      </c>
      <c r="BZ294">
        <f>Model!CH338</f>
        <v>0</v>
      </c>
      <c r="CA294">
        <f>Model!CI338</f>
        <v>0</v>
      </c>
      <c r="CB294">
        <f>Model!CJ338</f>
        <v>0</v>
      </c>
      <c r="CC294">
        <f>Model!CK338</f>
        <v>0</v>
      </c>
      <c r="CD294">
        <f>Model!CL338</f>
        <v>0</v>
      </c>
      <c r="CE294">
        <f>Model!CM338</f>
        <v>0</v>
      </c>
      <c r="CF294">
        <f>Model!CN338</f>
        <v>-217.16584292445543</v>
      </c>
      <c r="CG294">
        <f>Model!CO338</f>
        <v>-181.08802712299226</v>
      </c>
      <c r="CH294">
        <f>Model!CP338</f>
        <v>-110.13500890856804</v>
      </c>
      <c r="CI294">
        <f>Model!CQ338</f>
        <v>-101.06555838571302</v>
      </c>
      <c r="CJ294">
        <f>Model!CR338</f>
        <v>-71.458483495355736</v>
      </c>
      <c r="CK294">
        <f>Model!CS338</f>
        <v>-28.252592154503592</v>
      </c>
      <c r="CL294">
        <f>Model!CT338</f>
        <v>136.07656889908313</v>
      </c>
      <c r="CM294">
        <f>Model!CU338</f>
        <v>82.000014923342761</v>
      </c>
      <c r="CN294">
        <f>Model!CV338</f>
        <v>13.573136495440599</v>
      </c>
      <c r="CO294">
        <f>Model!CW338</f>
        <v>-31.887433565354097</v>
      </c>
      <c r="CP294">
        <f>Model!CX338</f>
        <v>28.341044310843493</v>
      </c>
      <c r="CQ294">
        <f>Model!CY338</f>
        <v>48.968799057357643</v>
      </c>
      <c r="CR294">
        <f>Model!CZ338</f>
        <v>3.2582866539369175</v>
      </c>
      <c r="CS294">
        <f>Model!DA338</f>
        <v>-2.4621909440084715</v>
      </c>
      <c r="CT294">
        <f>Model!DB338</f>
        <v>-5.451824101312674</v>
      </c>
      <c r="CU294">
        <f>Model!DC338</f>
        <v>-3.7661087259390631</v>
      </c>
      <c r="CV294">
        <f>Model!DD338</f>
        <v>-2.779640898198585</v>
      </c>
      <c r="CW294">
        <f>Model!DE338</f>
        <v>-1.7936608469529269</v>
      </c>
      <c r="CX294">
        <f>Model!DF338</f>
        <v>-6.8435375634760822</v>
      </c>
    </row>
    <row r="296" spans="1:102">
      <c r="A296" t="str">
        <f>Model!I346</f>
        <v>Advertising - Performance Advertising (fka Online)</v>
      </c>
      <c r="B296">
        <f>Model!J346</f>
        <v>0</v>
      </c>
      <c r="C296">
        <f>Model!K346</f>
        <v>0</v>
      </c>
      <c r="D296">
        <f>Model!L346</f>
        <v>0</v>
      </c>
      <c r="E296">
        <f>Model!M346</f>
        <v>0</v>
      </c>
      <c r="F296">
        <f>Model!N346</f>
        <v>0</v>
      </c>
      <c r="G296">
        <f>Model!O346</f>
        <v>0</v>
      </c>
      <c r="H296">
        <f>Model!P346</f>
        <v>0</v>
      </c>
      <c r="I296">
        <f>Model!Q346</f>
        <v>0</v>
      </c>
      <c r="J296">
        <f>Model!R346</f>
        <v>0</v>
      </c>
      <c r="K296">
        <f>Model!S346</f>
        <v>0</v>
      </c>
      <c r="L296">
        <f>Model!T346</f>
        <v>0</v>
      </c>
      <c r="M296">
        <f>Model!U346</f>
        <v>4.1120000000000001</v>
      </c>
      <c r="N296">
        <f>Model!V346</f>
        <v>4.2729999999999997</v>
      </c>
      <c r="O296">
        <f>Model!W346</f>
        <v>4.76</v>
      </c>
      <c r="P296">
        <f>Model!X346</f>
        <v>4.0640000000000001</v>
      </c>
      <c r="Q296">
        <f>Model!Y346</f>
        <v>4.7409999999999997</v>
      </c>
      <c r="R296">
        <f>Model!Z346</f>
        <v>6.7489999999999997</v>
      </c>
      <c r="S296">
        <f>Model!AA346</f>
        <v>7.1779999999999999</v>
      </c>
      <c r="T296">
        <f>Model!AB346</f>
        <v>8.5180000000000007</v>
      </c>
      <c r="U296">
        <f>Model!AC346</f>
        <v>9.9320000000000004</v>
      </c>
      <c r="V296">
        <f>Model!AD346</f>
        <v>12.205</v>
      </c>
      <c r="W296">
        <f>Model!AE346</f>
        <v>19.864999999999998</v>
      </c>
      <c r="X296">
        <f>Model!AF346</f>
        <v>16.533000000000001</v>
      </c>
      <c r="Y296">
        <f>Model!AG346</f>
        <v>21.861000000000001</v>
      </c>
      <c r="Z296">
        <f>Model!AH346</f>
        <v>30.492999999999999</v>
      </c>
      <c r="AA296">
        <f>Model!AI346</f>
        <v>34.56</v>
      </c>
      <c r="AB296">
        <f>Model!AJ346</f>
        <v>26.908000000000001</v>
      </c>
      <c r="AC296">
        <f>Model!AK346</f>
        <v>31.927</v>
      </c>
      <c r="AD296">
        <f>Model!AL346</f>
        <v>43.47</v>
      </c>
      <c r="AE296">
        <f>Model!AM346</f>
        <v>53.844000000000001</v>
      </c>
      <c r="AF296">
        <f>Model!AN346</f>
        <v>43.433999999999997</v>
      </c>
      <c r="AG296">
        <f>Model!AO346</f>
        <v>57.8</v>
      </c>
      <c r="AH296">
        <f>Model!AP346</f>
        <v>72.86</v>
      </c>
      <c r="AI296">
        <f>Model!AQ346</f>
        <v>84.290999999999997</v>
      </c>
      <c r="AJ296">
        <f>Model!AR346</f>
        <v>55.761000000000003</v>
      </c>
      <c r="AK296">
        <f>Model!AS346</f>
        <v>68.117000000000004</v>
      </c>
      <c r="AL296">
        <f>Model!AT346</f>
        <v>90.106999999999999</v>
      </c>
      <c r="AM296">
        <f>Model!AU346</f>
        <v>115.10299999999999</v>
      </c>
      <c r="AN296">
        <f>Model!AV346</f>
        <v>92.054000000000002</v>
      </c>
      <c r="AO296">
        <f>Model!AW346</f>
        <v>113.10899999999999</v>
      </c>
      <c r="AP296">
        <f>Model!AX346</f>
        <v>132.518</v>
      </c>
      <c r="AQ296">
        <f>Model!AY346</f>
        <v>172.727</v>
      </c>
      <c r="AR296">
        <f>Model!AZ346</f>
        <v>133.786</v>
      </c>
      <c r="AS296">
        <f>Model!BA346</f>
        <v>185.108</v>
      </c>
      <c r="AT296">
        <f>Model!BB346</f>
        <v>236.28200000000001</v>
      </c>
      <c r="AU296">
        <f>Model!BC346</f>
        <v>279.92599999999999</v>
      </c>
      <c r="AV296">
        <f>Model!BD346</f>
        <v>217.89699999999999</v>
      </c>
      <c r="AW296">
        <f>Model!BE346</f>
        <v>277.13600000000002</v>
      </c>
      <c r="AX296">
        <f>Model!BF346</f>
        <v>314.48</v>
      </c>
      <c r="AY296">
        <f>Model!BG346</f>
        <v>375.20400000000001</v>
      </c>
      <c r="AZ296">
        <f>Model!BH346</f>
        <v>306.81700000000001</v>
      </c>
      <c r="BA296">
        <f>Model!BI346</f>
        <v>403.15300000000002</v>
      </c>
      <c r="BB296">
        <f>Model!BJ346</f>
        <v>463.13499999999999</v>
      </c>
      <c r="BC296">
        <f>Model!BK346</f>
        <v>533.16399999999999</v>
      </c>
      <c r="BD296">
        <f>Model!BL346</f>
        <v>399.19299999999998</v>
      </c>
      <c r="BE296">
        <f>Model!BM346</f>
        <v>520.84799999999996</v>
      </c>
      <c r="BF296">
        <f>Model!BN346</f>
        <v>639.65499999999997</v>
      </c>
      <c r="BG296">
        <f>Model!BO346</f>
        <v>699.81399999999996</v>
      </c>
      <c r="BH296">
        <f>Model!BP346</f>
        <v>499.904</v>
      </c>
      <c r="BI296">
        <f>Model!BQ346</f>
        <v>633.54399999999998</v>
      </c>
      <c r="BJ296">
        <f>Model!BR346</f>
        <v>758.69</v>
      </c>
      <c r="BK296">
        <f>Model!BS346</f>
        <v>784.72900000000004</v>
      </c>
      <c r="BL296">
        <f>Model!BT346</f>
        <v>561.255</v>
      </c>
      <c r="BM296">
        <f>Model!BU346</f>
        <v>779.90899999999999</v>
      </c>
      <c r="BN296">
        <f>Model!BV346</f>
        <v>920.76300000000003</v>
      </c>
      <c r="BO296">
        <f>Model!BW346</f>
        <v>1040.1489999999999</v>
      </c>
      <c r="BP296">
        <f>Model!BX346</f>
        <v>738.46600000000001</v>
      </c>
      <c r="BQ296">
        <f>Model!BY346</f>
        <v>980.77300000000002</v>
      </c>
      <c r="BR296">
        <f>Model!BZ346</f>
        <v>1147.5889999999999</v>
      </c>
      <c r="BS296">
        <f>Model!CA346</f>
        <v>1224.345</v>
      </c>
      <c r="BT296">
        <f>Model!CB346</f>
        <v>789.06399999999996</v>
      </c>
      <c r="BU296">
        <f>Model!CC346</f>
        <v>1091.4908296427843</v>
      </c>
      <c r="BV296">
        <f>Model!CD346</f>
        <v>1313.6424108728399</v>
      </c>
      <c r="BW296">
        <f>Model!CE346</f>
        <v>1350.5848311780512</v>
      </c>
      <c r="BX296">
        <f>Model!CF346</f>
        <v>952.08603475695327</v>
      </c>
      <c r="BY296">
        <f>Model!CG346</f>
        <v>0</v>
      </c>
      <c r="BZ296">
        <f>Model!CH346</f>
        <v>0</v>
      </c>
      <c r="CA296">
        <f>Model!CI346</f>
        <v>0</v>
      </c>
      <c r="CB296">
        <f>Model!CJ346</f>
        <v>17.209</v>
      </c>
      <c r="CC296">
        <f>Model!CK346</f>
        <v>27.48</v>
      </c>
      <c r="CD296">
        <f>Model!CL346</f>
        <v>58.534999999999997</v>
      </c>
      <c r="CE296">
        <f>Model!CM346</f>
        <v>113.822</v>
      </c>
      <c r="CF296">
        <f>Model!CN346</f>
        <v>172.67499999999998</v>
      </c>
      <c r="CG296">
        <f>Model!CO346</f>
        <v>270.71199999999999</v>
      </c>
      <c r="CH296">
        <f>Model!CP346</f>
        <v>365.38099999999997</v>
      </c>
      <c r="CI296">
        <f>Model!CQ346</f>
        <v>552.1400000000001</v>
      </c>
      <c r="CJ296">
        <f>Model!CR346</f>
        <v>919.21299999999997</v>
      </c>
      <c r="CK296">
        <f>Model!CS346</f>
        <v>1273.6369999999999</v>
      </c>
      <c r="CL296">
        <f>Model!CT346</f>
        <v>1798.645</v>
      </c>
      <c r="CM296">
        <f>Model!CU346</f>
        <v>2360.221</v>
      </c>
      <c r="CN296">
        <f>Model!CV346</f>
        <v>2738.2179999999998</v>
      </c>
      <c r="CO296">
        <f>Model!CW346</f>
        <v>3479.2869999999998</v>
      </c>
      <c r="CP296">
        <f>Model!CX346</f>
        <v>4141.7710000000006</v>
      </c>
      <c r="CQ296">
        <f>Model!CY346</f>
        <v>4707.8041064506288</v>
      </c>
      <c r="CR296">
        <f>Model!CZ346</f>
        <v>5361.7005010785706</v>
      </c>
      <c r="CS296">
        <f>Model!DA346</f>
        <v>6029.5280687813502</v>
      </c>
      <c r="CT296">
        <f>Model!DB346</f>
        <v>6676.6959966893583</v>
      </c>
      <c r="CU296">
        <f>Model!DC346</f>
        <v>7312.3626124099183</v>
      </c>
      <c r="CV296">
        <f>Model!DD346</f>
        <v>7942.7781642904947</v>
      </c>
      <c r="CW296">
        <f>Model!DE346</f>
        <v>8562.5144170209351</v>
      </c>
      <c r="CX296">
        <f>Model!DF346</f>
        <v>9232.3963250340639</v>
      </c>
    </row>
    <row r="297" spans="1:102">
      <c r="A297" t="str">
        <f>Model!I347</f>
        <v>DRIVER: % of Total Gross Profit</v>
      </c>
      <c r="B297">
        <f>Model!J347</f>
        <v>0</v>
      </c>
      <c r="C297">
        <f>Model!K347</f>
        <v>0</v>
      </c>
      <c r="D297">
        <f>Model!L347</f>
        <v>0</v>
      </c>
      <c r="E297">
        <f>Model!M347</f>
        <v>0</v>
      </c>
      <c r="F297">
        <f>Model!N347</f>
        <v>0</v>
      </c>
      <c r="G297">
        <f>Model!O347</f>
        <v>0</v>
      </c>
      <c r="H297">
        <f>Model!P347</f>
        <v>0</v>
      </c>
      <c r="I297">
        <f>Model!Q347</f>
        <v>0</v>
      </c>
      <c r="J297">
        <f>Model!R347</f>
        <v>0</v>
      </c>
      <c r="K297">
        <f>Model!S347</f>
        <v>0</v>
      </c>
      <c r="L297">
        <f>Model!T347</f>
        <v>0</v>
      </c>
      <c r="M297">
        <f>Model!U347</f>
        <v>0.12465516718707369</v>
      </c>
      <c r="N297">
        <f>Model!V347</f>
        <v>0.10552180569960981</v>
      </c>
      <c r="O297">
        <f>Model!W347</f>
        <v>0.11710293249360361</v>
      </c>
      <c r="P297">
        <f>Model!X347</f>
        <v>0.12773447322102088</v>
      </c>
      <c r="Q297">
        <f>Model!Y347</f>
        <v>0.10930511366256281</v>
      </c>
      <c r="R297">
        <f>Model!Z347</f>
        <v>0.12358995019044829</v>
      </c>
      <c r="S297">
        <f>Model!AA347</f>
        <v>0.13895234039258197</v>
      </c>
      <c r="T297">
        <f>Model!AB347</f>
        <v>0.16540126992757143</v>
      </c>
      <c r="U297">
        <f>Model!AC347</f>
        <v>0.17104084866019151</v>
      </c>
      <c r="V297">
        <f>Model!AD347</f>
        <v>0.18612559856040506</v>
      </c>
      <c r="W297">
        <f>Model!AE347</f>
        <v>0.24565634081493848</v>
      </c>
      <c r="X297">
        <f>Model!AF347</f>
        <v>0.25301868601074329</v>
      </c>
      <c r="Y297">
        <f>Model!AG347</f>
        <v>0.30265398513103797</v>
      </c>
      <c r="Z297">
        <f>Model!AH347</f>
        <v>0.28820271445313977</v>
      </c>
      <c r="AA297">
        <f>Model!AI347</f>
        <v>0.28253760627861346</v>
      </c>
      <c r="AB297">
        <f>Model!AJ347</f>
        <v>0.27038596420712047</v>
      </c>
      <c r="AC297">
        <f>Model!AK347</f>
        <v>0.30746636620152346</v>
      </c>
      <c r="AD297">
        <f>Model!AL347</f>
        <v>0.28064534872460351</v>
      </c>
      <c r="AE297">
        <f>Model!AM347</f>
        <v>0.26611839016265426</v>
      </c>
      <c r="AF297">
        <f>Model!AN347</f>
        <v>0.27120485538738193</v>
      </c>
      <c r="AG297">
        <f>Model!AO347</f>
        <v>0.31915539775707741</v>
      </c>
      <c r="AH297">
        <f>Model!AP347</f>
        <v>0.28716129667947576</v>
      </c>
      <c r="AI297">
        <f>Model!AQ347</f>
        <v>0.26667784534197253</v>
      </c>
      <c r="AJ297">
        <f>Model!AR347</f>
        <v>0.27191865993709313</v>
      </c>
      <c r="AK297">
        <f>Model!AS347</f>
        <v>0.32696683146930355</v>
      </c>
      <c r="AL297">
        <f>Model!AT347</f>
        <v>0.29520243220044684</v>
      </c>
      <c r="AM297">
        <f>Model!AU347</f>
        <v>0.26521061920802941</v>
      </c>
      <c r="AN297">
        <f>Model!AV347</f>
        <v>0.29392475470083551</v>
      </c>
      <c r="AO297">
        <f>Model!AW347</f>
        <v>0.35444477870116209</v>
      </c>
      <c r="AP297">
        <f>Model!AX347</f>
        <v>0.29700303014003199</v>
      </c>
      <c r="AQ297">
        <f>Model!AY347</f>
        <v>0.25849286449728237</v>
      </c>
      <c r="AR297">
        <f>Model!AZ347</f>
        <v>0.27862447570215298</v>
      </c>
      <c r="AS297">
        <f>Model!BA347</f>
        <v>0.36596495112770061</v>
      </c>
      <c r="AT297">
        <f>Model!BB347</f>
        <v>0.31536770564862182</v>
      </c>
      <c r="AU297">
        <f>Model!BC347</f>
        <v>0.25444394754160343</v>
      </c>
      <c r="AV297">
        <f>Model!BD347</f>
        <v>0.30067324688800973</v>
      </c>
      <c r="AW297">
        <f>Model!BE347</f>
        <v>0.37285143847337776</v>
      </c>
      <c r="AX297">
        <f>Model!BF347</f>
        <v>0.31318279685542483</v>
      </c>
      <c r="AY297">
        <f>Model!BG347</f>
        <v>0.26867435111038229</v>
      </c>
      <c r="AZ297">
        <f>Model!BH347</f>
        <v>0.32648789571694597</v>
      </c>
      <c r="BA297">
        <f>Model!BI347</f>
        <v>0.39929382517963885</v>
      </c>
      <c r="BB297">
        <f>Model!BJ347</f>
        <v>0.33467017859530079</v>
      </c>
      <c r="BC297">
        <f>Model!BK347</f>
        <v>0.26804754997951302</v>
      </c>
      <c r="BD297">
        <f>Model!BL347</f>
        <v>0.29940201049875459</v>
      </c>
      <c r="BE297">
        <f>Model!BM347</f>
        <v>0.37032260174578779</v>
      </c>
      <c r="BF297">
        <f>Model!BN347</f>
        <v>0.33970066850912056</v>
      </c>
      <c r="BG297">
        <f>Model!BO347</f>
        <v>0.26710682303439187</v>
      </c>
      <c r="BH297">
        <f>Model!BP347</f>
        <v>0.29850628625681846</v>
      </c>
      <c r="BI297">
        <f>Model!BQ347</f>
        <v>0.37886040008706906</v>
      </c>
      <c r="BJ297">
        <f>Model!BR347</f>
        <v>0.36250553058761364</v>
      </c>
      <c r="BK297">
        <f>Model!BS347</f>
        <v>0.26625514626696739</v>
      </c>
      <c r="BL297">
        <f>Model!BT347</f>
        <v>0.29863790403552659</v>
      </c>
      <c r="BM297">
        <f>Model!BU347</f>
        <v>0.38619871747257922</v>
      </c>
      <c r="BN297">
        <f>Model!BV347</f>
        <v>0.37894319656863185</v>
      </c>
      <c r="BO297">
        <f>Model!BW347</f>
        <v>0.28981073890316217</v>
      </c>
      <c r="BP297">
        <f>Model!BX347</f>
        <v>0.32440636612558377</v>
      </c>
      <c r="BQ297">
        <f>Model!BY347</f>
        <v>0.42016892043860193</v>
      </c>
      <c r="BR297">
        <f>Model!BZ347</f>
        <v>0.38877415717928027</v>
      </c>
      <c r="BS297">
        <f>Model!CA347</f>
        <v>0.27987888133941913</v>
      </c>
      <c r="BT297">
        <f>Model!CB347</f>
        <v>0.28486651169356192</v>
      </c>
      <c r="BU297">
        <f>Model!CC347</f>
        <v>0.39016892043860196</v>
      </c>
      <c r="BV297">
        <f>Model!CD347</f>
        <v>0.36877415717928025</v>
      </c>
      <c r="BW297">
        <f>Model!CE347</f>
        <v>0.26987888133941912</v>
      </c>
      <c r="BX297">
        <f>Model!CF347</f>
        <v>0.28186651169356192</v>
      </c>
      <c r="BY297">
        <f>Model!CG347</f>
        <v>0</v>
      </c>
      <c r="BZ297">
        <f>Model!CH347</f>
        <v>0</v>
      </c>
      <c r="CA297">
        <f>Model!CI347</f>
        <v>0</v>
      </c>
      <c r="CB297">
        <f>Model!CJ347</f>
        <v>0.11791428277775874</v>
      </c>
      <c r="CC297">
        <f>Model!CK347</f>
        <v>0.13662193806273273</v>
      </c>
      <c r="CD297">
        <f>Model!CL347</f>
        <v>0.21691680563275892</v>
      </c>
      <c r="CE297">
        <f>Model!CM347</f>
        <v>0.28464608674775915</v>
      </c>
      <c r="CF297">
        <f>Model!CN347</f>
        <v>0.27796334602351852</v>
      </c>
      <c r="CG297">
        <f>Model!CO347</f>
        <v>0.28318013830963484</v>
      </c>
      <c r="CH297">
        <f>Model!CP347</f>
        <v>0.28980942492760337</v>
      </c>
      <c r="CI297">
        <f>Model!CQ347</f>
        <v>0.28852354162725741</v>
      </c>
      <c r="CJ297">
        <f>Model!CR347</f>
        <v>0.29845740743145832</v>
      </c>
      <c r="CK297">
        <f>Model!CS347</f>
        <v>0.31188454729936049</v>
      </c>
      <c r="CL297">
        <f>Model!CT347</f>
        <v>0.31467475033616832</v>
      </c>
      <c r="CM297">
        <f>Model!CU347</f>
        <v>0.31120524041650133</v>
      </c>
      <c r="CN297">
        <f>Model!CV347</f>
        <v>0.31870106020770722</v>
      </c>
      <c r="CO297">
        <f>Model!CW347</f>
        <v>0.33731370747667505</v>
      </c>
      <c r="CP297">
        <f>Model!CX347</f>
        <v>0.33319303377285558</v>
      </c>
      <c r="CQ297">
        <f>Model!CY347</f>
        <v>0.31934915926766866</v>
      </c>
      <c r="CR297">
        <f>Model!CZ347</f>
        <v>0.31934915926766866</v>
      </c>
      <c r="CS297">
        <f>Model!DA347</f>
        <v>0.32034915926766866</v>
      </c>
      <c r="CT297">
        <f>Model!DB347</f>
        <v>0.32134915926766866</v>
      </c>
      <c r="CU297">
        <f>Model!DC347</f>
        <v>0.32234915926766866</v>
      </c>
      <c r="CV297">
        <f>Model!DD347</f>
        <v>0.32334915926766866</v>
      </c>
      <c r="CW297">
        <f>Model!DE347</f>
        <v>0.32434915926766866</v>
      </c>
      <c r="CX297">
        <f>Model!DF347</f>
        <v>0.32534915926766866</v>
      </c>
    </row>
    <row r="298" spans="1:102">
      <c r="A298" t="str">
        <f>Model!I349</f>
        <v>Sequential Change in bp</v>
      </c>
      <c r="B298">
        <f>Model!J349</f>
        <v>0</v>
      </c>
      <c r="C298">
        <f>Model!K349</f>
        <v>0</v>
      </c>
      <c r="D298">
        <f>Model!L349</f>
        <v>0</v>
      </c>
      <c r="E298">
        <f>Model!M349</f>
        <v>0</v>
      </c>
      <c r="F298">
        <f>Model!N349</f>
        <v>0</v>
      </c>
      <c r="G298">
        <f>Model!O349</f>
        <v>0</v>
      </c>
      <c r="H298">
        <f>Model!P349</f>
        <v>0</v>
      </c>
      <c r="I298">
        <f>Model!Q349</f>
        <v>0</v>
      </c>
      <c r="J298">
        <f>Model!R349</f>
        <v>0</v>
      </c>
      <c r="K298">
        <f>Model!S349</f>
        <v>0</v>
      </c>
      <c r="L298">
        <f>Model!T349</f>
        <v>0</v>
      </c>
      <c r="M298">
        <f>Model!U349</f>
        <v>0</v>
      </c>
      <c r="N298">
        <f>Model!V349</f>
        <v>0</v>
      </c>
      <c r="O298">
        <f>Model!W349</f>
        <v>0</v>
      </c>
      <c r="P298">
        <f>Model!X349</f>
        <v>0</v>
      </c>
      <c r="Q298">
        <f>Model!Y349</f>
        <v>0</v>
      </c>
      <c r="R298">
        <f>Model!Z349</f>
        <v>0</v>
      </c>
      <c r="S298">
        <f>Model!AA349</f>
        <v>0</v>
      </c>
      <c r="T298">
        <f>Model!AB349</f>
        <v>0</v>
      </c>
      <c r="U298">
        <f>Model!AC349</f>
        <v>0</v>
      </c>
      <c r="V298">
        <f>Model!AD349</f>
        <v>0</v>
      </c>
      <c r="W298">
        <f>Model!AE349</f>
        <v>0</v>
      </c>
      <c r="X298">
        <f>Model!AF349</f>
        <v>0</v>
      </c>
      <c r="Y298">
        <f>Model!AG349</f>
        <v>0</v>
      </c>
      <c r="Z298">
        <f>Model!AH349</f>
        <v>0</v>
      </c>
      <c r="AA298">
        <f>Model!AI349</f>
        <v>0</v>
      </c>
      <c r="AB298">
        <f>Model!AJ349</f>
        <v>0</v>
      </c>
      <c r="AC298">
        <f>Model!AK349</f>
        <v>37.08040199440299</v>
      </c>
      <c r="AD298">
        <f>Model!AL349</f>
        <v>-26.821017476919952</v>
      </c>
      <c r="AE298">
        <f>Model!AM349</f>
        <v>-14.526958561949243</v>
      </c>
      <c r="AF298">
        <f>Model!AN349</f>
        <v>5.0864652247276654</v>
      </c>
      <c r="AG298">
        <f>Model!AO349</f>
        <v>47.950542369695484</v>
      </c>
      <c r="AH298">
        <f>Model!AP349</f>
        <v>-31.994101077601645</v>
      </c>
      <c r="AI298">
        <f>Model!AQ349</f>
        <v>-20.483451337503233</v>
      </c>
      <c r="AJ298">
        <f>Model!AR349</f>
        <v>5.240814595120602</v>
      </c>
      <c r="AK298">
        <f>Model!AS349</f>
        <v>55.048171532210418</v>
      </c>
      <c r="AL298">
        <f>Model!AT349</f>
        <v>-31.764399268856714</v>
      </c>
      <c r="AM298">
        <f>Model!AU349</f>
        <v>-29.991812992417433</v>
      </c>
      <c r="AN298">
        <f>Model!AV349</f>
        <v>28.714135492806104</v>
      </c>
      <c r="AO298">
        <f>Model!AW349</f>
        <v>60.520024000326579</v>
      </c>
      <c r="AP298">
        <f>Model!AX349</f>
        <v>-57.441748561130105</v>
      </c>
      <c r="AQ298">
        <f>Model!AY349</f>
        <v>-38.51016564274962</v>
      </c>
      <c r="AR298">
        <f>Model!AZ349</f>
        <v>20.131611204870616</v>
      </c>
      <c r="AS298">
        <f>Model!BA349</f>
        <v>87.340475425547623</v>
      </c>
      <c r="AT298">
        <f>Model!BB349</f>
        <v>-50.597245479078786</v>
      </c>
      <c r="AU298">
        <f>Model!BC349</f>
        <v>-60.923758107018386</v>
      </c>
      <c r="AV298">
        <f>Model!BD349</f>
        <v>46.229299346406293</v>
      </c>
      <c r="AW298">
        <f>Model!BE349</f>
        <v>72.17819158536804</v>
      </c>
      <c r="AX298">
        <f>Model!BF349</f>
        <v>-59.668641617952936</v>
      </c>
      <c r="AY298">
        <f>Model!BG349</f>
        <v>-44.508445745042536</v>
      </c>
      <c r="AZ298">
        <f>Model!BH349</f>
        <v>57.813544606563681</v>
      </c>
      <c r="BA298">
        <f>Model!BI349</f>
        <v>72.805929462692873</v>
      </c>
      <c r="BB298">
        <f>Model!BJ349</f>
        <v>-64.623646584338061</v>
      </c>
      <c r="BC298">
        <f>Model!BK349</f>
        <v>-66.622628615787775</v>
      </c>
      <c r="BD298">
        <f>Model!BL349</f>
        <v>31.354460519241567</v>
      </c>
      <c r="BE298">
        <f>Model!BM349</f>
        <v>70.920591247033201</v>
      </c>
      <c r="BF298">
        <f>Model!BN349</f>
        <v>-30.621933236667232</v>
      </c>
      <c r="BG298">
        <f>Model!BO349</f>
        <v>-72.593845474728695</v>
      </c>
      <c r="BH298">
        <f>Model!BP349</f>
        <v>31.399463222426593</v>
      </c>
      <c r="BI298">
        <f>Model!BQ349</f>
        <v>80.354113830250597</v>
      </c>
      <c r="BJ298">
        <f>Model!BR349</f>
        <v>-16.354869499455415</v>
      </c>
      <c r="BK298">
        <f>Model!BS349</f>
        <v>-96.250384320646248</v>
      </c>
      <c r="BL298">
        <f>Model!BT349</f>
        <v>32.382757768559202</v>
      </c>
      <c r="BM298">
        <f>Model!BU349</f>
        <v>87.56081343705263</v>
      </c>
      <c r="BN298">
        <f>Model!BV349</f>
        <v>-7.2555209039473763</v>
      </c>
      <c r="BO298">
        <f>Model!BW349</f>
        <v>-89.132457665469673</v>
      </c>
      <c r="BP298">
        <f>Model!BX349</f>
        <v>34.595627222421598</v>
      </c>
      <c r="BQ298">
        <f>Model!BY349</f>
        <v>95.762554313018171</v>
      </c>
      <c r="BR298">
        <f>Model!BZ349</f>
        <v>-31.394763259321667</v>
      </c>
      <c r="BS298">
        <f>Model!CA349</f>
        <v>-108.89527583986114</v>
      </c>
      <c r="BT298">
        <f>Model!CB349</f>
        <v>4.9876303541427909</v>
      </c>
      <c r="BU298">
        <f>Model!CC349</f>
        <v>105.30240874504004</v>
      </c>
      <c r="BV298">
        <f>Model!CD349</f>
        <v>-21.394763259321714</v>
      </c>
      <c r="BW298">
        <f>Model!CE349</f>
        <v>-98.895275839861128</v>
      </c>
      <c r="BX298">
        <f>Model!CF349</f>
        <v>11.987630354142798</v>
      </c>
      <c r="BY298">
        <f>Model!CG349</f>
        <v>0</v>
      </c>
      <c r="BZ298">
        <f>Model!CH349</f>
        <v>0</v>
      </c>
      <c r="CA298">
        <f>Model!CI349</f>
        <v>0</v>
      </c>
      <c r="CB298">
        <f>Model!CJ349</f>
        <v>0</v>
      </c>
      <c r="CC298">
        <f>Model!CK349</f>
        <v>0</v>
      </c>
      <c r="CD298">
        <f>Model!CL349</f>
        <v>0</v>
      </c>
      <c r="CE298">
        <f>Model!CM349</f>
        <v>0</v>
      </c>
      <c r="CF298">
        <f>Model!CN349</f>
        <v>0</v>
      </c>
      <c r="CG298">
        <f>Model!CO349</f>
        <v>0</v>
      </c>
      <c r="CH298">
        <f>Model!CP349</f>
        <v>0</v>
      </c>
      <c r="CI298">
        <f>Model!CQ349</f>
        <v>0</v>
      </c>
      <c r="CJ298">
        <f>Model!CR349</f>
        <v>0</v>
      </c>
      <c r="CK298">
        <f>Model!CS349</f>
        <v>0</v>
      </c>
      <c r="CL298">
        <f>Model!CT349</f>
        <v>0</v>
      </c>
      <c r="CM298">
        <f>Model!CU349</f>
        <v>0</v>
      </c>
      <c r="CN298">
        <f>Model!CV349</f>
        <v>0</v>
      </c>
      <c r="CO298">
        <f>Model!CW349</f>
        <v>0</v>
      </c>
      <c r="CP298">
        <f>Model!CX349</f>
        <v>0</v>
      </c>
      <c r="CQ298">
        <f>Model!CY349</f>
        <v>0</v>
      </c>
      <c r="CR298">
        <f>Model!CZ349</f>
        <v>0</v>
      </c>
      <c r="CS298">
        <f>Model!DA349</f>
        <v>0</v>
      </c>
      <c r="CT298">
        <f>Model!DB349</f>
        <v>0</v>
      </c>
      <c r="CU298">
        <f>Model!DC349</f>
        <v>0</v>
      </c>
      <c r="CV298">
        <f>Model!DD349</f>
        <v>0</v>
      </c>
      <c r="CW298">
        <f>Model!DE349</f>
        <v>0</v>
      </c>
      <c r="CX298">
        <f>Model!DF349</f>
        <v>0</v>
      </c>
    </row>
    <row r="299" spans="1:102">
      <c r="A299" t="str">
        <f>Model!I348</f>
        <v>change Y/Y (in bp)</v>
      </c>
      <c r="B299">
        <f>Model!J348</f>
        <v>0</v>
      </c>
      <c r="C299">
        <f>Model!K348</f>
        <v>0</v>
      </c>
      <c r="D299">
        <f>Model!L348</f>
        <v>0</v>
      </c>
      <c r="E299">
        <f>Model!M348</f>
        <v>0</v>
      </c>
      <c r="F299">
        <f>Model!N348</f>
        <v>0</v>
      </c>
      <c r="G299">
        <f>Model!O348</f>
        <v>0</v>
      </c>
      <c r="H299">
        <f>Model!P348</f>
        <v>0</v>
      </c>
      <c r="I299">
        <f>Model!Q348</f>
        <v>0</v>
      </c>
      <c r="J299">
        <f>Model!R348</f>
        <v>0</v>
      </c>
      <c r="K299">
        <f>Model!S348</f>
        <v>0</v>
      </c>
      <c r="L299">
        <f>Model!T348</f>
        <v>0</v>
      </c>
      <c r="M299">
        <f>Model!U348</f>
        <v>0</v>
      </c>
      <c r="N299">
        <f>Model!V348</f>
        <v>0</v>
      </c>
      <c r="O299">
        <f>Model!W348</f>
        <v>0</v>
      </c>
      <c r="P299">
        <f>Model!X348</f>
        <v>0</v>
      </c>
      <c r="Q299">
        <f>Model!Y348</f>
        <v>0</v>
      </c>
      <c r="R299">
        <f>Model!Z348</f>
        <v>0</v>
      </c>
      <c r="S299">
        <f>Model!AA348</f>
        <v>0</v>
      </c>
      <c r="T299">
        <f>Model!AB348</f>
        <v>0</v>
      </c>
      <c r="U299">
        <f>Model!AC348</f>
        <v>0</v>
      </c>
      <c r="V299">
        <f>Model!AD348</f>
        <v>0</v>
      </c>
      <c r="W299">
        <f>Model!AE348</f>
        <v>0</v>
      </c>
      <c r="X299">
        <f>Model!AF348</f>
        <v>0</v>
      </c>
      <c r="Y299">
        <f>Model!AG348</f>
        <v>0</v>
      </c>
      <c r="Z299">
        <f>Model!AH348</f>
        <v>0</v>
      </c>
      <c r="AA299">
        <f>Model!AI348</f>
        <v>0</v>
      </c>
      <c r="AB299">
        <f>Model!AJ348</f>
        <v>0</v>
      </c>
      <c r="AC299">
        <f>Model!AK348</f>
        <v>48.123810704854833</v>
      </c>
      <c r="AD299">
        <f>Model!AL348</f>
        <v>-75.5736572853627</v>
      </c>
      <c r="AE299">
        <f>Model!AM348</f>
        <v>-164.19216115959202</v>
      </c>
      <c r="AF299">
        <f>Model!AN348</f>
        <v>8.1889118026146068</v>
      </c>
      <c r="AG299">
        <f>Model!AO348</f>
        <v>116.89031555553953</v>
      </c>
      <c r="AH299">
        <f>Model!AP348</f>
        <v>65.159479548722587</v>
      </c>
      <c r="AI299">
        <f>Model!AQ348</f>
        <v>5.5945517931826894</v>
      </c>
      <c r="AJ299">
        <f>Model!AR348</f>
        <v>7.1380454971120555</v>
      </c>
      <c r="AK299">
        <f>Model!AS348</f>
        <v>78.11433712226146</v>
      </c>
      <c r="AL299">
        <f>Model!AT348</f>
        <v>80.411355209710763</v>
      </c>
      <c r="AM299">
        <f>Model!AU348</f>
        <v>-14.672261339431225</v>
      </c>
      <c r="AN299">
        <f>Model!AV348</f>
        <v>220.06094763742379</v>
      </c>
      <c r="AO299">
        <f>Model!AW348</f>
        <v>274.77947231858536</v>
      </c>
      <c r="AP299">
        <f>Model!AX348</f>
        <v>18.005979395851469</v>
      </c>
      <c r="AQ299">
        <f>Model!AY348</f>
        <v>-67.177547107470374</v>
      </c>
      <c r="AR299">
        <f>Model!AZ348</f>
        <v>-153.00278998682526</v>
      </c>
      <c r="AS299">
        <f>Model!BA348</f>
        <v>115.20172426538522</v>
      </c>
      <c r="AT299">
        <f>Model!BB348</f>
        <v>183.64675508589835</v>
      </c>
      <c r="AU299">
        <f>Model!BC348</f>
        <v>-40.489169556789385</v>
      </c>
      <c r="AV299">
        <f>Model!BD348</f>
        <v>220.48771185856742</v>
      </c>
      <c r="AW299">
        <f>Model!BE348</f>
        <v>68.864873456771505</v>
      </c>
      <c r="AX299">
        <f>Model!BF348</f>
        <v>-21.849087931969933</v>
      </c>
      <c r="AY299">
        <f>Model!BG348</f>
        <v>142.3040356877886</v>
      </c>
      <c r="AZ299">
        <f>Model!BH348</f>
        <v>258.14648828936248</v>
      </c>
      <c r="BA299">
        <f>Model!BI348</f>
        <v>264.4238670626109</v>
      </c>
      <c r="BB299">
        <f>Model!BJ348</f>
        <v>214.87381739875966</v>
      </c>
      <c r="BC299">
        <f>Model!BK348</f>
        <v>-6.2680113086927003</v>
      </c>
      <c r="BD299">
        <f>Model!BL348</f>
        <v>-270.85885218191385</v>
      </c>
      <c r="BE299">
        <f>Model!BM348</f>
        <v>-289.71223433851054</v>
      </c>
      <c r="BF299">
        <f>Model!BN348</f>
        <v>50.30489913819769</v>
      </c>
      <c r="BG299">
        <f>Model!BO348</f>
        <v>-9.4072694512115085</v>
      </c>
      <c r="BH299">
        <f>Model!BP348</f>
        <v>-8.9572424193612434</v>
      </c>
      <c r="BI299">
        <f>Model!BQ348</f>
        <v>85.377983412812668</v>
      </c>
      <c r="BJ299">
        <f>Model!BR348</f>
        <v>228.04862078493082</v>
      </c>
      <c r="BK299">
        <f>Model!BS348</f>
        <v>-8.5167676742448073</v>
      </c>
      <c r="BL299">
        <f>Model!BT348</f>
        <v>1.316177787081263</v>
      </c>
      <c r="BM299">
        <f>Model!BU348</f>
        <v>73.383173855101631</v>
      </c>
      <c r="BN299">
        <f>Model!BV348</f>
        <v>164.37665981018202</v>
      </c>
      <c r="BO299">
        <f>Model!BW348</f>
        <v>235.55592636194777</v>
      </c>
      <c r="BP299">
        <f>Model!BX348</f>
        <v>257.68462090057176</v>
      </c>
      <c r="BQ299">
        <f>Model!BY348</f>
        <v>339.70202966022714</v>
      </c>
      <c r="BR299">
        <f>Model!BZ348</f>
        <v>98.30960610648421</v>
      </c>
      <c r="BS299">
        <f>Model!CA348</f>
        <v>-99.318575637430399</v>
      </c>
      <c r="BT299">
        <f>Model!CB348</f>
        <v>-395.39854432021849</v>
      </c>
      <c r="BU299">
        <f>Model!CC348</f>
        <v>-299.99999999999972</v>
      </c>
      <c r="BV299">
        <f>Model!CD348</f>
        <v>-200.00000000000017</v>
      </c>
      <c r="BW299">
        <f>Model!CE348</f>
        <v>-100.00000000000009</v>
      </c>
      <c r="BX299">
        <f>Model!CF348</f>
        <v>-30.000000000000028</v>
      </c>
      <c r="BY299">
        <f>Model!CG348</f>
        <v>0</v>
      </c>
      <c r="BZ299">
        <f>Model!CH348</f>
        <v>0</v>
      </c>
      <c r="CA299">
        <f>Model!CI348</f>
        <v>0</v>
      </c>
      <c r="CB299">
        <f>Model!CJ348</f>
        <v>0</v>
      </c>
      <c r="CC299">
        <f>Model!CK348</f>
        <v>0</v>
      </c>
      <c r="CD299">
        <f>Model!CL348</f>
        <v>0</v>
      </c>
      <c r="CE299">
        <f>Model!CM348</f>
        <v>0</v>
      </c>
      <c r="CF299">
        <f>Model!CN348</f>
        <v>-66.827407242406323</v>
      </c>
      <c r="CG299">
        <f>Model!CO348</f>
        <v>52.167922861163227</v>
      </c>
      <c r="CH299">
        <f>Model!CP348</f>
        <v>66.29286617968522</v>
      </c>
      <c r="CI299">
        <f>Model!CQ348</f>
        <v>-12.85883300345958</v>
      </c>
      <c r="CJ299">
        <f>Model!CR348</f>
        <v>99.338658042009143</v>
      </c>
      <c r="CK299">
        <f>Model!CS348</f>
        <v>134.2713986790217</v>
      </c>
      <c r="CL299">
        <f>Model!CT348</f>
        <v>27.902030368078258</v>
      </c>
      <c r="CM299">
        <f>Model!CU348</f>
        <v>-34.695099196669908</v>
      </c>
      <c r="CN299">
        <f>Model!CV348</f>
        <v>74.958197912058935</v>
      </c>
      <c r="CO299">
        <f>Model!CW348</f>
        <v>186.12647268967831</v>
      </c>
      <c r="CP299">
        <f>Model!CX348</f>
        <v>-41.20673703819466</v>
      </c>
      <c r="CQ299">
        <f>Model!CY348</f>
        <v>-138.43874505186926</v>
      </c>
      <c r="CR299">
        <f>Model!CZ348</f>
        <v>0</v>
      </c>
      <c r="CS299">
        <f>Model!DA348</f>
        <v>10.000000000000009</v>
      </c>
      <c r="CT299">
        <f>Model!DB348</f>
        <v>10.000000000000009</v>
      </c>
      <c r="CU299">
        <f>Model!DC348</f>
        <v>10.000000000000009</v>
      </c>
      <c r="CV299">
        <f>Model!DD348</f>
        <v>10.000000000000009</v>
      </c>
      <c r="CW299">
        <f>Model!DE348</f>
        <v>10.000000000000009</v>
      </c>
      <c r="CX299">
        <f>Model!DF348</f>
        <v>10.000000000000009</v>
      </c>
    </row>
    <row r="300" spans="1:102">
      <c r="A300" t="str">
        <f>Model!I350</f>
        <v>Period-to-period change Y/Y</v>
      </c>
      <c r="B300">
        <f>Model!J350</f>
        <v>0</v>
      </c>
      <c r="C300">
        <f>Model!K350</f>
        <v>0</v>
      </c>
      <c r="D300">
        <f>Model!L350</f>
        <v>0</v>
      </c>
      <c r="E300">
        <f>Model!M350</f>
        <v>0</v>
      </c>
      <c r="F300">
        <f>Model!N350</f>
        <v>0</v>
      </c>
      <c r="G300">
        <f>Model!O350</f>
        <v>0</v>
      </c>
      <c r="H300">
        <f>Model!P350</f>
        <v>0</v>
      </c>
      <c r="I300">
        <f>Model!Q350</f>
        <v>0</v>
      </c>
      <c r="J300">
        <f>Model!R350</f>
        <v>0</v>
      </c>
      <c r="K300">
        <f>Model!S350</f>
        <v>0</v>
      </c>
      <c r="L300">
        <f>Model!T350</f>
        <v>0</v>
      </c>
      <c r="M300">
        <f>Model!U350</f>
        <v>0</v>
      </c>
      <c r="N300">
        <f>Model!V350</f>
        <v>0</v>
      </c>
      <c r="O300">
        <f>Model!W350</f>
        <v>0</v>
      </c>
      <c r="P300">
        <f>Model!X350</f>
        <v>0</v>
      </c>
      <c r="Q300">
        <f>Model!Y350</f>
        <v>0</v>
      </c>
      <c r="R300">
        <f>Model!Z350</f>
        <v>0</v>
      </c>
      <c r="S300">
        <f>Model!AA350</f>
        <v>0</v>
      </c>
      <c r="T300">
        <f>Model!AB350</f>
        <v>0</v>
      </c>
      <c r="U300">
        <f>Model!AC350</f>
        <v>0</v>
      </c>
      <c r="V300">
        <f>Model!AD350</f>
        <v>0</v>
      </c>
      <c r="W300">
        <f>Model!AE350</f>
        <v>0</v>
      </c>
      <c r="X300">
        <f>Model!AF350</f>
        <v>0</v>
      </c>
      <c r="Y300">
        <f>Model!AG350</f>
        <v>0</v>
      </c>
      <c r="Z300">
        <f>Model!AH350</f>
        <v>0</v>
      </c>
      <c r="AA300">
        <f>Model!AI350</f>
        <v>0</v>
      </c>
      <c r="AB300">
        <f>Model!AJ350</f>
        <v>0</v>
      </c>
      <c r="AC300">
        <f>Model!AK350</f>
        <v>10.065999999999999</v>
      </c>
      <c r="AD300">
        <f>Model!AL350</f>
        <v>12.977</v>
      </c>
      <c r="AE300">
        <f>Model!AM350</f>
        <v>19.283999999999999</v>
      </c>
      <c r="AF300">
        <f>Model!AN350</f>
        <v>16.525999999999996</v>
      </c>
      <c r="AG300">
        <f>Model!AO350</f>
        <v>25.872999999999998</v>
      </c>
      <c r="AH300">
        <f>Model!AP350</f>
        <v>29.39</v>
      </c>
      <c r="AI300">
        <f>Model!AQ350</f>
        <v>30.446999999999996</v>
      </c>
      <c r="AJ300">
        <f>Model!AR350</f>
        <v>12.327000000000005</v>
      </c>
      <c r="AK300">
        <f>Model!AS350</f>
        <v>10.317000000000007</v>
      </c>
      <c r="AL300">
        <f>Model!AT350</f>
        <v>17.247</v>
      </c>
      <c r="AM300">
        <f>Model!AU350</f>
        <v>30.811999999999998</v>
      </c>
      <c r="AN300">
        <f>Model!AV350</f>
        <v>36.292999999999999</v>
      </c>
      <c r="AO300">
        <f>Model!AW350</f>
        <v>44.99199999999999</v>
      </c>
      <c r="AP300">
        <f>Model!AX350</f>
        <v>42.411000000000001</v>
      </c>
      <c r="AQ300">
        <f>Model!AY350</f>
        <v>57.624000000000009</v>
      </c>
      <c r="AR300">
        <f>Model!AZ350</f>
        <v>41.731999999999999</v>
      </c>
      <c r="AS300">
        <f>Model!BA350</f>
        <v>71.999000000000009</v>
      </c>
      <c r="AT300">
        <f>Model!BB350</f>
        <v>103.76400000000001</v>
      </c>
      <c r="AU300">
        <f>Model!BC350</f>
        <v>107.19899999999998</v>
      </c>
      <c r="AV300">
        <f>Model!BD350</f>
        <v>84.11099999999999</v>
      </c>
      <c r="AW300">
        <f>Model!BE350</f>
        <v>92.02800000000002</v>
      </c>
      <c r="AX300">
        <f>Model!BF350</f>
        <v>78.198000000000008</v>
      </c>
      <c r="AY300">
        <f>Model!BG350</f>
        <v>95.27800000000002</v>
      </c>
      <c r="AZ300">
        <f>Model!BH350</f>
        <v>88.920000000000016</v>
      </c>
      <c r="BA300">
        <f>Model!BI350</f>
        <v>126.017</v>
      </c>
      <c r="BB300">
        <f>Model!BJ350</f>
        <v>148.65499999999997</v>
      </c>
      <c r="BC300">
        <f>Model!BK350</f>
        <v>157.95999999999998</v>
      </c>
      <c r="BD300">
        <f>Model!BL350</f>
        <v>92.375999999999976</v>
      </c>
      <c r="BE300">
        <f>Model!BM350</f>
        <v>117.69499999999994</v>
      </c>
      <c r="BF300">
        <f>Model!BN350</f>
        <v>176.51999999999998</v>
      </c>
      <c r="BG300">
        <f>Model!BO350</f>
        <v>166.64999999999998</v>
      </c>
      <c r="BH300">
        <f>Model!BP350</f>
        <v>100.71100000000001</v>
      </c>
      <c r="BI300">
        <f>Model!BQ350</f>
        <v>112.69600000000003</v>
      </c>
      <c r="BJ300">
        <f>Model!BR350</f>
        <v>119.03500000000008</v>
      </c>
      <c r="BK300">
        <f>Model!BS350</f>
        <v>84.915000000000077</v>
      </c>
      <c r="BL300">
        <f>Model!BT350</f>
        <v>61.350999999999999</v>
      </c>
      <c r="BM300">
        <f>Model!BU350</f>
        <v>146.36500000000001</v>
      </c>
      <c r="BN300">
        <f>Model!BV350</f>
        <v>162.07299999999998</v>
      </c>
      <c r="BO300">
        <f>Model!BW350</f>
        <v>255.41999999999985</v>
      </c>
      <c r="BP300">
        <f>Model!BX350</f>
        <v>177.21100000000001</v>
      </c>
      <c r="BQ300">
        <f>Model!BY350</f>
        <v>200.86400000000003</v>
      </c>
      <c r="BR300">
        <f>Model!BZ350</f>
        <v>226.82599999999991</v>
      </c>
      <c r="BS300">
        <f>Model!CA350</f>
        <v>184.19600000000014</v>
      </c>
      <c r="BT300">
        <f>Model!CB350</f>
        <v>50.597999999999956</v>
      </c>
      <c r="BU300">
        <f>Model!CC350</f>
        <v>110.7178296427843</v>
      </c>
      <c r="BV300">
        <f>Model!CD350</f>
        <v>166.05341087284</v>
      </c>
      <c r="BW300">
        <f>Model!CE350</f>
        <v>126.23983117805119</v>
      </c>
      <c r="BX300">
        <f>Model!CF350</f>
        <v>163.0220347569533</v>
      </c>
      <c r="BY300">
        <f>Model!CG350</f>
        <v>0</v>
      </c>
      <c r="BZ300">
        <f>Model!CH350</f>
        <v>0</v>
      </c>
      <c r="CA300">
        <f>Model!CI350</f>
        <v>0</v>
      </c>
      <c r="CB300">
        <f>Model!CJ350</f>
        <v>0</v>
      </c>
      <c r="CC300">
        <f>Model!CK350</f>
        <v>10.271000000000001</v>
      </c>
      <c r="CD300">
        <f>Model!CL350</f>
        <v>31.054999999999996</v>
      </c>
      <c r="CE300">
        <f>Model!CM350</f>
        <v>55.287000000000006</v>
      </c>
      <c r="CF300">
        <f>Model!CN350</f>
        <v>58.85299999999998</v>
      </c>
      <c r="CG300">
        <f>Model!CO350</f>
        <v>98.037000000000006</v>
      </c>
      <c r="CH300">
        <f>Model!CP350</f>
        <v>94.668999999999983</v>
      </c>
      <c r="CI300">
        <f>Model!CQ350</f>
        <v>186.75900000000013</v>
      </c>
      <c r="CJ300">
        <f>Model!CR350</f>
        <v>367.07299999999987</v>
      </c>
      <c r="CK300">
        <f>Model!CS350</f>
        <v>354.42399999999998</v>
      </c>
      <c r="CL300">
        <f>Model!CT350</f>
        <v>525.00800000000004</v>
      </c>
      <c r="CM300">
        <f>Model!CU350</f>
        <v>561.57600000000002</v>
      </c>
      <c r="CN300">
        <f>Model!CV350</f>
        <v>377.99699999999984</v>
      </c>
      <c r="CO300">
        <f>Model!CW350</f>
        <v>741.06899999999996</v>
      </c>
      <c r="CP300">
        <f>Model!CX350</f>
        <v>662.48400000000083</v>
      </c>
      <c r="CQ300">
        <f>Model!CY350</f>
        <v>566.03310645062811</v>
      </c>
      <c r="CR300">
        <f>Model!CZ350</f>
        <v>653.89639462794185</v>
      </c>
      <c r="CS300">
        <f>Model!DA350</f>
        <v>667.82756770277956</v>
      </c>
      <c r="CT300">
        <f>Model!DB350</f>
        <v>647.1679279080081</v>
      </c>
      <c r="CU300">
        <f>Model!DC350</f>
        <v>635.66661572056</v>
      </c>
      <c r="CV300">
        <f>Model!DD350</f>
        <v>630.41555188057646</v>
      </c>
      <c r="CW300">
        <f>Model!DE350</f>
        <v>619.73625273044036</v>
      </c>
      <c r="CX300">
        <f>Model!DF350</f>
        <v>669.88190801312885</v>
      </c>
    </row>
    <row r="301" spans="1:102">
      <c r="A301" t="str">
        <f>Model!I351</f>
        <v>Period-to-period change Q/Q</v>
      </c>
      <c r="B301">
        <f>Model!J351</f>
        <v>0</v>
      </c>
      <c r="C301">
        <f>Model!K351</f>
        <v>0</v>
      </c>
      <c r="D301">
        <f>Model!L351</f>
        <v>0</v>
      </c>
      <c r="E301">
        <f>Model!M351</f>
        <v>0</v>
      </c>
      <c r="F301">
        <f>Model!N351</f>
        <v>0</v>
      </c>
      <c r="G301">
        <f>Model!O351</f>
        <v>0</v>
      </c>
      <c r="H301">
        <f>Model!P351</f>
        <v>0</v>
      </c>
      <c r="I301">
        <f>Model!Q351</f>
        <v>0</v>
      </c>
      <c r="J301">
        <f>Model!R351</f>
        <v>0</v>
      </c>
      <c r="K301">
        <f>Model!S351</f>
        <v>0</v>
      </c>
      <c r="L301">
        <f>Model!T351</f>
        <v>0</v>
      </c>
      <c r="M301">
        <f>Model!U351</f>
        <v>0</v>
      </c>
      <c r="N301">
        <f>Model!V351</f>
        <v>0</v>
      </c>
      <c r="O301">
        <f>Model!W351</f>
        <v>0</v>
      </c>
      <c r="P301">
        <f>Model!X351</f>
        <v>0</v>
      </c>
      <c r="Q301">
        <f>Model!Y351</f>
        <v>0</v>
      </c>
      <c r="R301">
        <f>Model!Z351</f>
        <v>0</v>
      </c>
      <c r="S301">
        <f>Model!AA351</f>
        <v>0</v>
      </c>
      <c r="T301">
        <f>Model!AB351</f>
        <v>0</v>
      </c>
      <c r="U301">
        <f>Model!AC351</f>
        <v>0</v>
      </c>
      <c r="V301">
        <f>Model!AD351</f>
        <v>0</v>
      </c>
      <c r="W301">
        <f>Model!AE351</f>
        <v>0</v>
      </c>
      <c r="X301">
        <f>Model!AF351</f>
        <v>0</v>
      </c>
      <c r="Y301">
        <f>Model!AG351</f>
        <v>5.3279999999999994</v>
      </c>
      <c r="Z301">
        <f>Model!AH351</f>
        <v>8.6319999999999979</v>
      </c>
      <c r="AA301">
        <f>Model!AI351</f>
        <v>4.0670000000000037</v>
      </c>
      <c r="AB301">
        <f>Model!AJ351</f>
        <v>-7.652000000000001</v>
      </c>
      <c r="AC301">
        <f>Model!AK351</f>
        <v>5.0189999999999984</v>
      </c>
      <c r="AD301">
        <f>Model!AL351</f>
        <v>11.542999999999999</v>
      </c>
      <c r="AE301">
        <f>Model!AM351</f>
        <v>10.374000000000002</v>
      </c>
      <c r="AF301">
        <f>Model!AN351</f>
        <v>-10.410000000000004</v>
      </c>
      <c r="AG301">
        <f>Model!AO351</f>
        <v>14.366</v>
      </c>
      <c r="AH301">
        <f>Model!AP351</f>
        <v>15.060000000000002</v>
      </c>
      <c r="AI301">
        <f>Model!AQ351</f>
        <v>11.430999999999997</v>
      </c>
      <c r="AJ301">
        <f>Model!AR351</f>
        <v>-28.529999999999994</v>
      </c>
      <c r="AK301">
        <f>Model!AS351</f>
        <v>12.356000000000002</v>
      </c>
      <c r="AL301">
        <f>Model!AT351</f>
        <v>21.989999999999995</v>
      </c>
      <c r="AM301">
        <f>Model!AU351</f>
        <v>24.995999999999995</v>
      </c>
      <c r="AN301">
        <f>Model!AV351</f>
        <v>-23.048999999999992</v>
      </c>
      <c r="AO301">
        <f>Model!AW351</f>
        <v>21.054999999999993</v>
      </c>
      <c r="AP301">
        <f>Model!AX351</f>
        <v>19.409000000000006</v>
      </c>
      <c r="AQ301">
        <f>Model!AY351</f>
        <v>40.209000000000003</v>
      </c>
      <c r="AR301">
        <f>Model!AZ351</f>
        <v>-38.941000000000003</v>
      </c>
      <c r="AS301">
        <f>Model!BA351</f>
        <v>51.322000000000003</v>
      </c>
      <c r="AT301">
        <f>Model!BB351</f>
        <v>51.174000000000007</v>
      </c>
      <c r="AU301">
        <f>Model!BC351</f>
        <v>43.643999999999977</v>
      </c>
      <c r="AV301">
        <f>Model!BD351</f>
        <v>-62.028999999999996</v>
      </c>
      <c r="AW301">
        <f>Model!BE351</f>
        <v>59.239000000000033</v>
      </c>
      <c r="AX301">
        <f>Model!BF351</f>
        <v>37.343999999999994</v>
      </c>
      <c r="AY301">
        <f>Model!BG351</f>
        <v>60.72399999999999</v>
      </c>
      <c r="AZ301">
        <f>Model!BH351</f>
        <v>-68.387</v>
      </c>
      <c r="BA301">
        <f>Model!BI351</f>
        <v>96.336000000000013</v>
      </c>
      <c r="BB301">
        <f>Model!BJ351</f>
        <v>59.981999999999971</v>
      </c>
      <c r="BC301">
        <f>Model!BK351</f>
        <v>70.028999999999996</v>
      </c>
      <c r="BD301">
        <f>Model!BL351</f>
        <v>-133.971</v>
      </c>
      <c r="BE301">
        <f>Model!BM351</f>
        <v>121.65499999999997</v>
      </c>
      <c r="BF301">
        <f>Model!BN351</f>
        <v>118.80700000000002</v>
      </c>
      <c r="BG301">
        <f>Model!BO351</f>
        <v>60.158999999999992</v>
      </c>
      <c r="BH301">
        <f>Model!BP351</f>
        <v>-199.90999999999997</v>
      </c>
      <c r="BI301">
        <f>Model!BQ351</f>
        <v>133.63999999999999</v>
      </c>
      <c r="BJ301">
        <f>Model!BR351</f>
        <v>125.14600000000007</v>
      </c>
      <c r="BK301">
        <f>Model!BS351</f>
        <v>26.038999999999987</v>
      </c>
      <c r="BL301">
        <f>Model!BT351</f>
        <v>-223.47400000000005</v>
      </c>
      <c r="BM301">
        <f>Model!BU351</f>
        <v>218.654</v>
      </c>
      <c r="BN301">
        <f>Model!BV351</f>
        <v>140.85400000000004</v>
      </c>
      <c r="BO301">
        <f>Model!BW351</f>
        <v>119.38599999999985</v>
      </c>
      <c r="BP301">
        <f>Model!BX351</f>
        <v>-301.68299999999988</v>
      </c>
      <c r="BQ301">
        <f>Model!BY351</f>
        <v>242.30700000000002</v>
      </c>
      <c r="BR301">
        <f>Model!BZ351</f>
        <v>166.81599999999992</v>
      </c>
      <c r="BS301">
        <f>Model!CA351</f>
        <v>76.756000000000085</v>
      </c>
      <c r="BT301">
        <f>Model!CB351</f>
        <v>-435.28100000000006</v>
      </c>
      <c r="BU301">
        <f>Model!CC351</f>
        <v>302.42682964278436</v>
      </c>
      <c r="BV301">
        <f>Model!CD351</f>
        <v>222.15158123005563</v>
      </c>
      <c r="BW301">
        <f>Model!CE351</f>
        <v>36.942420305211272</v>
      </c>
      <c r="BX301">
        <f>Model!CF351</f>
        <v>-398.49879642109795</v>
      </c>
      <c r="BY301">
        <f>Model!CG351</f>
        <v>0</v>
      </c>
      <c r="BZ301">
        <f>Model!CH351</f>
        <v>0</v>
      </c>
      <c r="CA301">
        <f>Model!CI351</f>
        <v>0</v>
      </c>
      <c r="CB301">
        <f>Model!CJ351</f>
        <v>0</v>
      </c>
      <c r="CC301">
        <f>Model!CK351</f>
        <v>0</v>
      </c>
      <c r="CD301">
        <f>Model!CL351</f>
        <v>0</v>
      </c>
      <c r="CE301">
        <f>Model!CM351</f>
        <v>0</v>
      </c>
      <c r="CF301">
        <f>Model!CN351</f>
        <v>0</v>
      </c>
      <c r="CG301">
        <f>Model!CO351</f>
        <v>0</v>
      </c>
      <c r="CH301">
        <f>Model!CP351</f>
        <v>0</v>
      </c>
      <c r="CI301">
        <f>Model!CQ351</f>
        <v>0</v>
      </c>
      <c r="CJ301">
        <f>Model!CR351</f>
        <v>0</v>
      </c>
      <c r="CK301">
        <f>Model!CS351</f>
        <v>0</v>
      </c>
      <c r="CL301">
        <f>Model!CT351</f>
        <v>0</v>
      </c>
      <c r="CM301">
        <f>Model!CU351</f>
        <v>0</v>
      </c>
      <c r="CN301">
        <f>Model!CV351</f>
        <v>0</v>
      </c>
      <c r="CO301">
        <f>Model!CW351</f>
        <v>0</v>
      </c>
      <c r="CP301">
        <f>Model!CX351</f>
        <v>0</v>
      </c>
      <c r="CQ301">
        <f>Model!CY351</f>
        <v>0</v>
      </c>
      <c r="CR301">
        <f>Model!CZ351</f>
        <v>0</v>
      </c>
      <c r="CS301">
        <f>Model!DA351</f>
        <v>0</v>
      </c>
      <c r="CT301">
        <f>Model!DB351</f>
        <v>0</v>
      </c>
      <c r="CU301">
        <f>Model!DC351</f>
        <v>0</v>
      </c>
      <c r="CV301">
        <f>Model!DD351</f>
        <v>0</v>
      </c>
      <c r="CW301">
        <f>Model!DE351</f>
        <v>0</v>
      </c>
      <c r="CX301">
        <f>Model!DF351</f>
        <v>0</v>
      </c>
    </row>
    <row r="302" spans="1:102">
      <c r="A302" t="str">
        <f>Model!I354</f>
        <v>% of Total Gross Bookings</v>
      </c>
      <c r="B302">
        <f>Model!J354</f>
        <v>0</v>
      </c>
      <c r="C302">
        <f>Model!K354</f>
        <v>0</v>
      </c>
      <c r="D302">
        <f>Model!L354</f>
        <v>0</v>
      </c>
      <c r="E302">
        <f>Model!M354</f>
        <v>0</v>
      </c>
      <c r="F302">
        <f>Model!N354</f>
        <v>0</v>
      </c>
      <c r="G302">
        <f>Model!O354</f>
        <v>0</v>
      </c>
      <c r="H302">
        <f>Model!P354</f>
        <v>0</v>
      </c>
      <c r="I302">
        <f>Model!Q354</f>
        <v>0</v>
      </c>
      <c r="J302">
        <f>Model!R354</f>
        <v>0</v>
      </c>
      <c r="K302">
        <f>Model!S354</f>
        <v>0</v>
      </c>
      <c r="L302">
        <f>Model!T354</f>
        <v>0</v>
      </c>
      <c r="M302">
        <f>Model!U354</f>
        <v>0</v>
      </c>
      <c r="N302">
        <f>Model!V354</f>
        <v>0</v>
      </c>
      <c r="O302">
        <f>Model!W354</f>
        <v>0</v>
      </c>
      <c r="P302">
        <f>Model!X354</f>
        <v>0</v>
      </c>
      <c r="Q302">
        <f>Model!Y354</f>
        <v>0</v>
      </c>
      <c r="R302">
        <f>Model!Z354</f>
        <v>0</v>
      </c>
      <c r="S302">
        <f>Model!AA354</f>
        <v>0</v>
      </c>
      <c r="T302">
        <f>Model!AB354</f>
        <v>0</v>
      </c>
      <c r="U302">
        <f>Model!AC354</f>
        <v>0</v>
      </c>
      <c r="V302">
        <f>Model!AD354</f>
        <v>0</v>
      </c>
      <c r="W302">
        <f>Model!AE354</f>
        <v>0</v>
      </c>
      <c r="X302">
        <f>Model!AF354</f>
        <v>0</v>
      </c>
      <c r="Y302">
        <f>Model!AG354</f>
        <v>2.9272074566730186E-2</v>
      </c>
      <c r="Z302">
        <f>Model!AH354</f>
        <v>3.2881867687496631E-2</v>
      </c>
      <c r="AA302">
        <f>Model!AI354</f>
        <v>3.8265306122448987E-2</v>
      </c>
      <c r="AB302">
        <f>Model!AJ354</f>
        <v>3.624412386686602E-2</v>
      </c>
      <c r="AC302">
        <f>Model!AK354</f>
        <v>3.1975250653235733E-2</v>
      </c>
      <c r="AD302">
        <f>Model!AL354</f>
        <v>3.520091731306952E-2</v>
      </c>
      <c r="AE302">
        <f>Model!AM354</f>
        <v>3.8717666067680415E-2</v>
      </c>
      <c r="AF302">
        <f>Model!AN354</f>
        <v>3.603491489059852E-2</v>
      </c>
      <c r="AG302">
        <f>Model!AO354</f>
        <v>3.2866829067469121E-2</v>
      </c>
      <c r="AH302">
        <f>Model!AP354</f>
        <v>3.4531378482581462E-2</v>
      </c>
      <c r="AI302">
        <f>Model!AQ354</f>
        <v>4.1108998272067231E-2</v>
      </c>
      <c r="AJ302">
        <f>Model!AR354</f>
        <v>3.7648039008502394E-2</v>
      </c>
      <c r="AK302">
        <f>Model!AS354</f>
        <v>3.5047108846337494E-2</v>
      </c>
      <c r="AL302">
        <f>Model!AT354</f>
        <v>3.7873164597184407E-2</v>
      </c>
      <c r="AM302">
        <f>Model!AU354</f>
        <v>4.2273048126849622E-2</v>
      </c>
      <c r="AN302">
        <f>Model!AV354</f>
        <v>4.0651742097653563E-2</v>
      </c>
      <c r="AO302">
        <f>Model!AW354</f>
        <v>3.8151985280104696E-2</v>
      </c>
      <c r="AP302">
        <f>Model!AX354</f>
        <v>3.8859532341401333E-2</v>
      </c>
      <c r="AQ302">
        <f>Model!AY354</f>
        <v>4.3117074388417373E-2</v>
      </c>
      <c r="AR302">
        <f>Model!AZ354</f>
        <v>4.0975803981623281E-2</v>
      </c>
      <c r="AS302">
        <f>Model!BA354</f>
        <v>3.9680171489817791E-2</v>
      </c>
      <c r="AT302">
        <f>Model!BB354</f>
        <v>4.087923875432526E-2</v>
      </c>
      <c r="AU302">
        <f>Model!BC354</f>
        <v>4.4738053380214159E-2</v>
      </c>
      <c r="AV302">
        <f>Model!BD354</f>
        <v>4.3966303470540757E-2</v>
      </c>
      <c r="AW302">
        <f>Model!BE354</f>
        <v>4.1295783042765613E-2</v>
      </c>
      <c r="AX302">
        <f>Model!BF354</f>
        <v>4.2908991676899988E-2</v>
      </c>
      <c r="AY302">
        <f>Model!BG354</f>
        <v>4.790653728294178E-2</v>
      </c>
      <c r="AZ302">
        <f>Model!BH354</f>
        <v>4.660039489671932E-2</v>
      </c>
      <c r="BA302">
        <f>Model!BI354</f>
        <v>4.404599584835573E-2</v>
      </c>
      <c r="BB302">
        <f>Model!BJ354</f>
        <v>4.577789858653751E-2</v>
      </c>
      <c r="BC302">
        <f>Model!BK354</f>
        <v>4.9527542963307011E-2</v>
      </c>
      <c r="BD302">
        <f>Model!BL354</f>
        <v>4.3689723103863411E-2</v>
      </c>
      <c r="BE302">
        <f>Model!BM354</f>
        <v>4.2414332247557002E-2</v>
      </c>
      <c r="BF302">
        <f>Model!BN354</f>
        <v>4.7248855074604815E-2</v>
      </c>
      <c r="BG302">
        <f>Model!BO354</f>
        <v>5.0626781451204514E-2</v>
      </c>
      <c r="BH302">
        <f>Model!BP354</f>
        <v>4.6899709165963033E-2</v>
      </c>
      <c r="BI302">
        <f>Model!BQ354</f>
        <v>4.5988966318234611E-2</v>
      </c>
      <c r="BJ302">
        <f>Model!BR354</f>
        <v>5.0714572192513373E-2</v>
      </c>
      <c r="BK302">
        <f>Model!BS354</f>
        <v>5.3101163892272298E-2</v>
      </c>
      <c r="BL302">
        <f>Model!BT354</f>
        <v>4.6716747128350257E-2</v>
      </c>
      <c r="BM302">
        <f>Model!BU354</f>
        <v>4.6832943013270879E-2</v>
      </c>
      <c r="BN302">
        <f>Model!BV354</f>
        <v>5.1548706751763519E-2</v>
      </c>
      <c r="BO302">
        <f>Model!BW354</f>
        <v>5.6346099674972908E-2</v>
      </c>
      <c r="BP302">
        <f>Model!BX354</f>
        <v>4.8866199047114874E-2</v>
      </c>
      <c r="BQ302">
        <f>Model!BY354</f>
        <v>4.7410112631120993E-2</v>
      </c>
      <c r="BR302">
        <f>Model!BZ354</f>
        <v>5.5180506803865936E-2</v>
      </c>
      <c r="BS302">
        <f>Model!CA354</f>
        <v>5.6260683760683765E-2</v>
      </c>
      <c r="BT302">
        <f>Model!CB354</f>
        <v>4.3885650723025582E-2</v>
      </c>
      <c r="BU302">
        <f>Model!CC354</f>
        <v>4.3867611197693231E-2</v>
      </c>
      <c r="BV302">
        <f>Model!CD354</f>
        <v>5.236529192579073E-2</v>
      </c>
      <c r="BW302">
        <f>Model!CE354</f>
        <v>5.4429248212459348E-2</v>
      </c>
      <c r="BX302">
        <f>Model!CF354</f>
        <v>4.3266841494126608E-2</v>
      </c>
      <c r="BY302">
        <f>Model!CG354</f>
        <v>0</v>
      </c>
      <c r="BZ302">
        <f>Model!CH354</f>
        <v>0</v>
      </c>
      <c r="CA302">
        <f>Model!CI354</f>
        <v>0</v>
      </c>
      <c r="CB302">
        <f>Model!CJ354</f>
        <v>0</v>
      </c>
      <c r="CC302">
        <f>Model!CK354</f>
        <v>0</v>
      </c>
      <c r="CD302">
        <f>Model!CL354</f>
        <v>0</v>
      </c>
      <c r="CE302">
        <f>Model!CM354</f>
        <v>3.428632706870309E-2</v>
      </c>
      <c r="CF302">
        <f>Model!CN354</f>
        <v>3.5754840750931369E-2</v>
      </c>
      <c r="CG302">
        <f>Model!CO354</f>
        <v>3.6582124309656183E-2</v>
      </c>
      <c r="CH302">
        <f>Model!CP354</f>
        <v>3.9245818126667685E-2</v>
      </c>
      <c r="CI302">
        <f>Model!CQ354</f>
        <v>4.0462044390704159E-2</v>
      </c>
      <c r="CJ302">
        <f>Model!CR354</f>
        <v>4.244219226151999E-2</v>
      </c>
      <c r="CK302">
        <f>Model!CS354</f>
        <v>4.4758117795895412E-2</v>
      </c>
      <c r="CL302">
        <f>Model!CT354</f>
        <v>4.5916598590830186E-2</v>
      </c>
      <c r="CM302">
        <f>Model!CU354</f>
        <v>4.6922882703777334E-2</v>
      </c>
      <c r="CN302">
        <f>Model!CV354</f>
        <v>4.9312382941939202E-2</v>
      </c>
      <c r="CO302">
        <f>Model!CW354</f>
        <v>5.1100606576879579E-2</v>
      </c>
      <c r="CP302">
        <f>Model!CX354</f>
        <v>5.0990704946691952E-2</v>
      </c>
      <c r="CQ302">
        <f>Model!CY354</f>
        <v>4.8641289832098561E-2</v>
      </c>
      <c r="CR302">
        <f>Model!CZ354</f>
        <v>4.8337204017689879E-2</v>
      </c>
      <c r="CS302">
        <f>Model!DA354</f>
        <v>4.8302344599154216E-2</v>
      </c>
      <c r="CT302">
        <f>Model!DB354</f>
        <v>4.8289623421081278E-2</v>
      </c>
      <c r="CU302">
        <f>Model!DC354</f>
        <v>4.8286528808900497E-2</v>
      </c>
      <c r="CV302">
        <f>Model!DD354</f>
        <v>4.8290135730566612E-2</v>
      </c>
      <c r="CW302">
        <f>Model!DE354</f>
        <v>4.8300283319863642E-2</v>
      </c>
      <c r="CX302">
        <f>Model!DF354</f>
        <v>4.8306924062336887E-2</v>
      </c>
    </row>
    <row r="304" spans="1:102">
      <c r="A304" t="str">
        <f>Model!I393</f>
        <v>% change Y/Y</v>
      </c>
      <c r="B304">
        <f>Model!J393</f>
        <v>0</v>
      </c>
      <c r="C304">
        <f>Model!K393</f>
        <v>0</v>
      </c>
      <c r="D304">
        <f>Model!L393</f>
        <v>0</v>
      </c>
      <c r="E304">
        <f>Model!M393</f>
        <v>0</v>
      </c>
      <c r="F304">
        <f>Model!N393</f>
        <v>0</v>
      </c>
      <c r="G304">
        <f>Model!O393</f>
        <v>0</v>
      </c>
      <c r="H304">
        <f>Model!P393</f>
        <v>0</v>
      </c>
      <c r="I304">
        <f>Model!Q393</f>
        <v>0</v>
      </c>
      <c r="J304">
        <f>Model!R393</f>
        <v>0</v>
      </c>
      <c r="K304">
        <f>Model!S393</f>
        <v>0</v>
      </c>
      <c r="L304">
        <f>Model!T393</f>
        <v>0</v>
      </c>
      <c r="M304">
        <f>Model!U393</f>
        <v>0</v>
      </c>
      <c r="N304">
        <f>Model!V393</f>
        <v>0</v>
      </c>
      <c r="O304">
        <f>Model!W393</f>
        <v>0</v>
      </c>
      <c r="P304">
        <f>Model!X393</f>
        <v>0</v>
      </c>
      <c r="Q304">
        <f>Model!Y393</f>
        <v>0</v>
      </c>
      <c r="R304">
        <f>Model!Z393</f>
        <v>0</v>
      </c>
      <c r="S304">
        <f>Model!AA393</f>
        <v>0</v>
      </c>
      <c r="T304">
        <f>Model!AB393</f>
        <v>0</v>
      </c>
      <c r="U304">
        <f>Model!AC393</f>
        <v>0</v>
      </c>
      <c r="V304">
        <f>Model!AD393</f>
        <v>0</v>
      </c>
      <c r="W304">
        <f>Model!AE393</f>
        <v>0</v>
      </c>
      <c r="X304">
        <f>Model!AF393</f>
        <v>0</v>
      </c>
      <c r="Y304">
        <f>Model!AG393</f>
        <v>0</v>
      </c>
      <c r="Z304">
        <f>Model!AH393</f>
        <v>0</v>
      </c>
      <c r="AA304">
        <f>Model!AI393</f>
        <v>0</v>
      </c>
      <c r="AB304">
        <f>Model!AJ393</f>
        <v>0</v>
      </c>
      <c r="AC304">
        <f>Model!AK393</f>
        <v>0</v>
      </c>
      <c r="AD304">
        <f>Model!AL393</f>
        <v>0</v>
      </c>
      <c r="AE304">
        <f>Model!AM393</f>
        <v>0</v>
      </c>
      <c r="AF304">
        <f>Model!AN393</f>
        <v>0</v>
      </c>
      <c r="AG304">
        <f>Model!AO393</f>
        <v>0.3597639580922718</v>
      </c>
      <c r="AH304">
        <f>Model!AP393</f>
        <v>0.2689794609953664</v>
      </c>
      <c r="AI304">
        <f>Model!AQ393</f>
        <v>-6.1490683148943459E-2</v>
      </c>
      <c r="AJ304">
        <f>Model!AR393</f>
        <v>-0.24952017185876885</v>
      </c>
      <c r="AK304">
        <f>Model!AS393</f>
        <v>-0.28571707159470727</v>
      </c>
      <c r="AL304">
        <f>Model!AT393</f>
        <v>-0.49700775288933219</v>
      </c>
      <c r="AM304">
        <f>Model!AU393</f>
        <v>-2.6895671742787064E-3</v>
      </c>
      <c r="AN304">
        <f>Model!AV393</f>
        <v>8.4639243287872645E-2</v>
      </c>
      <c r="AO304">
        <f>Model!AW393</f>
        <v>8.5979230639903426E-2</v>
      </c>
      <c r="AP304">
        <f>Model!AX393</f>
        <v>0.69617516185156481</v>
      </c>
      <c r="AQ304">
        <f>Model!AY393</f>
        <v>3.899783212687824E-2</v>
      </c>
      <c r="AR304">
        <f>Model!AZ393</f>
        <v>5.4373705186238741E-2</v>
      </c>
      <c r="AS304">
        <f>Model!BA393</f>
        <v>6.676370417352695E-2</v>
      </c>
      <c r="AT304">
        <f>Model!BB393</f>
        <v>-7.8385312739522761E-2</v>
      </c>
      <c r="AU304">
        <f>Model!BC393</f>
        <v>-7.0747761934972009E-2</v>
      </c>
      <c r="AV304">
        <f>Model!BD393</f>
        <v>-0.16017712048012989</v>
      </c>
      <c r="AW304">
        <f>Model!BE393</f>
        <v>-5.6164137105500722E-2</v>
      </c>
      <c r="AX304">
        <f>Model!BF393</f>
        <v>-0.13642065490151045</v>
      </c>
      <c r="AY304">
        <f>Model!BG393</f>
        <v>-0.21419168783607612</v>
      </c>
      <c r="AZ304">
        <f>Model!BH393</f>
        <v>-8.924533895310427E-2</v>
      </c>
      <c r="BA304">
        <f>Model!BI393</f>
        <v>-0.23350034466306158</v>
      </c>
      <c r="BB304">
        <f>Model!BJ393</f>
        <v>-0.17513511054940112</v>
      </c>
      <c r="BC304">
        <f>Model!BK393</f>
        <v>-5.9263654975391655E-2</v>
      </c>
      <c r="BD304">
        <f>Model!BL393</f>
        <v>0.22200624094815824</v>
      </c>
      <c r="BE304">
        <f>Model!BM393</f>
        <v>0.27291079137495733</v>
      </c>
      <c r="BF304">
        <f>Model!BN393</f>
        <v>3.577039541676541E-2</v>
      </c>
      <c r="BG304">
        <f>Model!BO393</f>
        <v>-4.3842957067498078E-3</v>
      </c>
      <c r="BH304">
        <f>Model!BP393</f>
        <v>-0.43937491780278282</v>
      </c>
      <c r="BI304">
        <f>Model!BQ393</f>
        <v>-0.48233788607725614</v>
      </c>
      <c r="BJ304">
        <f>Model!BR393</f>
        <v>-0.39660183306408159</v>
      </c>
      <c r="BK304">
        <f>Model!BS393</f>
        <v>-0.23694924326614164</v>
      </c>
      <c r="BL304">
        <f>Model!BT393</f>
        <v>0.60586243377311289</v>
      </c>
      <c r="BM304">
        <f>Model!BU393</f>
        <v>0.7839571377810568</v>
      </c>
      <c r="BN304">
        <f>Model!BV393</f>
        <v>0.45214875338884353</v>
      </c>
      <c r="BO304">
        <f>Model!BW393</f>
        <v>0.20216811528500211</v>
      </c>
      <c r="BP304">
        <f>Model!BX393</f>
        <v>-6.1609972190811324E-2</v>
      </c>
      <c r="BQ304">
        <f>Model!BY393</f>
        <v>-1.7909898136485358E-2</v>
      </c>
      <c r="BR304">
        <f>Model!BZ393</f>
        <v>-0.15910855279559555</v>
      </c>
      <c r="BS304">
        <f>Model!CA393</f>
        <v>4.1410449175071973E-2</v>
      </c>
      <c r="BT304">
        <f>Model!CB393</f>
        <v>0.60596899664662263</v>
      </c>
      <c r="BU304">
        <f>Model!CC393</f>
        <v>0.31999934933334906</v>
      </c>
      <c r="BV304">
        <f>Model!CD393</f>
        <v>0.55814730452721761</v>
      </c>
      <c r="BW304">
        <f>Model!CE393</f>
        <v>0.32614921158026888</v>
      </c>
      <c r="BX304">
        <f>Model!CF393</f>
        <v>-0.23392469196659282</v>
      </c>
      <c r="BY304">
        <f>Model!CG393</f>
        <v>0</v>
      </c>
      <c r="BZ304">
        <f>Model!CH393</f>
        <v>0</v>
      </c>
      <c r="CA304">
        <f>Model!CI393</f>
        <v>0</v>
      </c>
      <c r="CB304">
        <f>Model!CJ393</f>
        <v>0</v>
      </c>
      <c r="CC304">
        <f>Model!CK393</f>
        <v>0</v>
      </c>
      <c r="CD304">
        <f>Model!CL393</f>
        <v>0</v>
      </c>
      <c r="CE304">
        <f>Model!CM393</f>
        <v>0</v>
      </c>
      <c r="CF304">
        <f>Model!CN393</f>
        <v>0</v>
      </c>
      <c r="CG304">
        <f>Model!CO393</f>
        <v>0</v>
      </c>
      <c r="CH304">
        <f>Model!CP393</f>
        <v>0</v>
      </c>
      <c r="CI304">
        <f>Model!CQ393</f>
        <v>0.13272145400727542</v>
      </c>
      <c r="CJ304">
        <f>Model!CR393</f>
        <v>-6.201076830773955E-2</v>
      </c>
      <c r="CK304">
        <f>Model!CS393</f>
        <v>-0.12189631234203346</v>
      </c>
      <c r="CL304">
        <f>Model!CT393</f>
        <v>-9.4316381362946178E-2</v>
      </c>
      <c r="CM304">
        <f>Model!CU393</f>
        <v>-3.734215550374842E-2</v>
      </c>
      <c r="CN304">
        <f>Model!CV393</f>
        <v>-0.2562913822554187</v>
      </c>
      <c r="CO304">
        <f>Model!CW393</f>
        <v>0.32346825521653977</v>
      </c>
      <c r="CP304">
        <f>Model!CX393</f>
        <v>5.2656079993490312E-2</v>
      </c>
      <c r="CQ304">
        <f>Model!CY393</f>
        <v>0.26311625462008714</v>
      </c>
      <c r="CR304">
        <f>Model!CZ393</f>
        <v>-0.11978604145919636</v>
      </c>
      <c r="CS304">
        <f>Model!DA393</f>
        <v>-2.1556364187414023E-2</v>
      </c>
      <c r="CT304">
        <f>Model!DB393</f>
        <v>7.9903832680812137E-3</v>
      </c>
      <c r="CU304">
        <f>Model!DC393</f>
        <v>-3.2424394528275391E-3</v>
      </c>
      <c r="CV304">
        <f>Model!DD393</f>
        <v>-2.3298291362933155E-3</v>
      </c>
      <c r="CW304">
        <f>Model!DE393</f>
        <v>-3.5303030551884218E-3</v>
      </c>
      <c r="CX304">
        <f>Model!DF393</f>
        <v>2.1452411947471495E-2</v>
      </c>
    </row>
    <row r="305" spans="1:102">
      <c r="A305" t="str">
        <f>Model!I412</f>
        <v>Advertising Spend per Room Night</v>
      </c>
      <c r="B305">
        <f>Model!J412</f>
        <v>0</v>
      </c>
      <c r="C305">
        <f>Model!K412</f>
        <v>0</v>
      </c>
      <c r="D305">
        <f>Model!L412</f>
        <v>0</v>
      </c>
      <c r="E305">
        <f>Model!M412</f>
        <v>0</v>
      </c>
      <c r="F305">
        <f>Model!N412</f>
        <v>0</v>
      </c>
      <c r="G305">
        <f>Model!O412</f>
        <v>0</v>
      </c>
      <c r="H305">
        <f>Model!P412</f>
        <v>0</v>
      </c>
      <c r="I305">
        <f>Model!Q412</f>
        <v>0</v>
      </c>
      <c r="J305">
        <f>Model!R412</f>
        <v>0</v>
      </c>
      <c r="K305">
        <f>Model!S412</f>
        <v>0</v>
      </c>
      <c r="L305">
        <f>Model!T412</f>
        <v>0</v>
      </c>
      <c r="M305">
        <f>Model!U412</f>
        <v>0</v>
      </c>
      <c r="N305">
        <f>Model!V412</f>
        <v>0</v>
      </c>
      <c r="O305">
        <f>Model!W412</f>
        <v>0</v>
      </c>
      <c r="P305">
        <f>Model!X412</f>
        <v>0</v>
      </c>
      <c r="Q305">
        <f>Model!Y412</f>
        <v>0</v>
      </c>
      <c r="R305">
        <f>Model!Z412</f>
        <v>0</v>
      </c>
      <c r="S305">
        <f>Model!AA412</f>
        <v>0</v>
      </c>
      <c r="T305">
        <f>Model!AB412</f>
        <v>0</v>
      </c>
      <c r="U305">
        <f>Model!AC412</f>
        <v>0</v>
      </c>
      <c r="V305">
        <f>Model!AD412</f>
        <v>0</v>
      </c>
      <c r="W305">
        <f>Model!AE412</f>
        <v>0</v>
      </c>
      <c r="X305">
        <f>Model!AF412</f>
        <v>0</v>
      </c>
      <c r="Y305">
        <f>Model!AG412</f>
        <v>0</v>
      </c>
      <c r="Z305">
        <f>Model!AH412</f>
        <v>0</v>
      </c>
      <c r="AA305">
        <f>Model!AI412</f>
        <v>0</v>
      </c>
      <c r="AB305">
        <f>Model!AJ412</f>
        <v>0</v>
      </c>
      <c r="AC305">
        <f>Model!AK412</f>
        <v>0</v>
      </c>
      <c r="AD305">
        <f>Model!AL412</f>
        <v>0</v>
      </c>
      <c r="AE305">
        <f>Model!AM412</f>
        <v>0</v>
      </c>
      <c r="AF305">
        <f>Model!AN412</f>
        <v>0</v>
      </c>
      <c r="AG305">
        <f>Model!AO412</f>
        <v>0</v>
      </c>
      <c r="AH305">
        <f>Model!AP412</f>
        <v>0</v>
      </c>
      <c r="AI305">
        <f>Model!AQ412</f>
        <v>0</v>
      </c>
      <c r="AJ305">
        <f>Model!AR412</f>
        <v>0</v>
      </c>
      <c r="AK305">
        <f>Model!AS412</f>
        <v>0</v>
      </c>
      <c r="AL305">
        <f>Model!AT412</f>
        <v>0</v>
      </c>
      <c r="AM305">
        <f>Model!AU412</f>
        <v>0</v>
      </c>
      <c r="AN305">
        <f>Model!AV412</f>
        <v>0</v>
      </c>
      <c r="AO305">
        <f>Model!AW412</f>
        <v>0</v>
      </c>
      <c r="AP305">
        <f>Model!AX412</f>
        <v>0</v>
      </c>
      <c r="AQ305">
        <f>Model!AY412</f>
        <v>0</v>
      </c>
      <c r="AR305">
        <f>Model!AZ412</f>
        <v>0</v>
      </c>
      <c r="AS305">
        <f>Model!BA412</f>
        <v>0</v>
      </c>
      <c r="AT305">
        <f>Model!BB412</f>
        <v>0</v>
      </c>
      <c r="AU305">
        <f>Model!BC412</f>
        <v>0</v>
      </c>
      <c r="AV305">
        <f>Model!BD412</f>
        <v>0</v>
      </c>
      <c r="AW305">
        <f>Model!BE412</f>
        <v>0</v>
      </c>
      <c r="AX305">
        <f>Model!BF412</f>
        <v>0</v>
      </c>
      <c r="AY305">
        <f>Model!BG412</f>
        <v>0</v>
      </c>
      <c r="AZ305">
        <f>Model!BH412</f>
        <v>0</v>
      </c>
      <c r="BA305">
        <f>Model!BI412</f>
        <v>0</v>
      </c>
      <c r="BB305">
        <f>Model!BJ412</f>
        <v>0</v>
      </c>
      <c r="BC305">
        <f>Model!BK412</f>
        <v>0</v>
      </c>
      <c r="BD305">
        <f>Model!BL412</f>
        <v>0</v>
      </c>
      <c r="BE305">
        <f>Model!BM412</f>
        <v>0</v>
      </c>
      <c r="BF305">
        <f>Model!BN412</f>
        <v>0</v>
      </c>
      <c r="BG305">
        <f>Model!BO412</f>
        <v>0</v>
      </c>
      <c r="BH305">
        <f>Model!BP412</f>
        <v>0</v>
      </c>
      <c r="BI305">
        <f>Model!BQ412</f>
        <v>0</v>
      </c>
      <c r="BJ305">
        <f>Model!BR412</f>
        <v>0</v>
      </c>
      <c r="BK305">
        <f>Model!BS412</f>
        <v>0</v>
      </c>
      <c r="BL305">
        <f>Model!BT412</f>
        <v>0</v>
      </c>
      <c r="BM305">
        <f>Model!BU412</f>
        <v>0</v>
      </c>
      <c r="BN305">
        <f>Model!BV412</f>
        <v>0</v>
      </c>
      <c r="BO305">
        <f>Model!BW412</f>
        <v>0</v>
      </c>
      <c r="BP305">
        <f>Model!BX412</f>
        <v>0</v>
      </c>
      <c r="BQ305">
        <f>Model!BY412</f>
        <v>0</v>
      </c>
      <c r="BR305">
        <f>Model!BZ412</f>
        <v>0</v>
      </c>
      <c r="BS305">
        <f>Model!CA412</f>
        <v>0</v>
      </c>
      <c r="BT305">
        <f>Model!CB412</f>
        <v>0</v>
      </c>
      <c r="BU305">
        <f>Model!CC412</f>
        <v>0</v>
      </c>
      <c r="BV305">
        <f>Model!CD412</f>
        <v>0</v>
      </c>
      <c r="BW305">
        <f>Model!CE412</f>
        <v>0</v>
      </c>
      <c r="BX305">
        <f>Model!CF412</f>
        <v>0</v>
      </c>
      <c r="BY305">
        <f>Model!CG412</f>
        <v>0</v>
      </c>
      <c r="BZ305">
        <f>Model!CH412</f>
        <v>0</v>
      </c>
      <c r="CA305">
        <f>Model!CI412</f>
        <v>0</v>
      </c>
      <c r="CB305">
        <f>Model!CJ412</f>
        <v>0</v>
      </c>
      <c r="CC305">
        <f>Model!CK412</f>
        <v>0</v>
      </c>
      <c r="CD305">
        <f>Model!CL412</f>
        <v>0</v>
      </c>
      <c r="CE305">
        <f>Model!CM412</f>
        <v>0</v>
      </c>
      <c r="CF305">
        <f>Model!CN412</f>
        <v>0</v>
      </c>
      <c r="CG305">
        <f>Model!CO412</f>
        <v>0</v>
      </c>
      <c r="CH305">
        <f>Model!CP412</f>
        <v>0</v>
      </c>
      <c r="CI305">
        <f>Model!CQ412</f>
        <v>0</v>
      </c>
      <c r="CJ305">
        <f>Model!CR412</f>
        <v>0</v>
      </c>
      <c r="CK305">
        <f>Model!CS412</f>
        <v>0</v>
      </c>
      <c r="CL305">
        <f>Model!CT412</f>
        <v>0</v>
      </c>
      <c r="CM305">
        <f>Model!CU412</f>
        <v>0</v>
      </c>
      <c r="CN305">
        <f>Model!CV412</f>
        <v>0</v>
      </c>
      <c r="CO305">
        <f>Model!CW412</f>
        <v>0</v>
      </c>
      <c r="CP305">
        <f>Model!CX412</f>
        <v>0</v>
      </c>
      <c r="CQ305">
        <f>Model!CY412</f>
        <v>0</v>
      </c>
      <c r="CR305">
        <f>Model!CZ412</f>
        <v>0</v>
      </c>
      <c r="CS305">
        <f>Model!DA412</f>
        <v>0</v>
      </c>
      <c r="CT305">
        <f>Model!DB412</f>
        <v>0</v>
      </c>
      <c r="CU305">
        <f>Model!DC412</f>
        <v>0</v>
      </c>
      <c r="CV305">
        <f>Model!DD412</f>
        <v>0</v>
      </c>
      <c r="CW305">
        <f>Model!DE412</f>
        <v>0</v>
      </c>
      <c r="CX305">
        <f>Model!DF412</f>
        <v>0</v>
      </c>
    </row>
    <row r="306" spans="1:102">
      <c r="A306" t="str">
        <f>Model!I413</f>
        <v>Total Advertsing Spend</v>
      </c>
      <c r="B306">
        <f>Model!J413</f>
        <v>0</v>
      </c>
      <c r="C306">
        <f>Model!K413</f>
        <v>0</v>
      </c>
      <c r="D306">
        <f>Model!L413</f>
        <v>0</v>
      </c>
      <c r="E306">
        <f>Model!M413</f>
        <v>16.189</v>
      </c>
      <c r="F306">
        <f>Model!N413</f>
        <v>13.701000000000001</v>
      </c>
      <c r="G306">
        <f>Model!O413</f>
        <v>9.6</v>
      </c>
      <c r="H306">
        <f>Model!P413</f>
        <v>7.3849999999999998</v>
      </c>
      <c r="I306">
        <f>Model!Q413</f>
        <v>10.227</v>
      </c>
      <c r="J306">
        <f>Model!R413</f>
        <v>12.776999999999999</v>
      </c>
      <c r="K306">
        <f>Model!S413</f>
        <v>11.648999999999999</v>
      </c>
      <c r="L306">
        <f>Model!T413</f>
        <v>10.010999999999999</v>
      </c>
      <c r="M306">
        <f>Model!U413</f>
        <v>11.097999999999999</v>
      </c>
      <c r="N306">
        <f>Model!V413</f>
        <v>10.774000000000001</v>
      </c>
      <c r="O306">
        <f>Model!W413</f>
        <v>10.283999999999999</v>
      </c>
      <c r="P306">
        <f>Model!X413</f>
        <v>10.091999999999999</v>
      </c>
      <c r="Q306">
        <f>Model!Y413</f>
        <v>15.404999999999999</v>
      </c>
      <c r="R306">
        <f>Model!Z413</f>
        <v>16.366</v>
      </c>
      <c r="S306">
        <f>Model!AA413</f>
        <v>14.649000000000001</v>
      </c>
      <c r="T306">
        <f>Model!AB413</f>
        <v>14.536000000000001</v>
      </c>
      <c r="U306">
        <f>Model!AC413</f>
        <v>21.003999999999998</v>
      </c>
      <c r="V306">
        <f>Model!AD413</f>
        <v>20.294</v>
      </c>
      <c r="W306">
        <f>Model!AE413</f>
        <v>27.184999999999999</v>
      </c>
      <c r="X306">
        <f>Model!AF413</f>
        <v>21.008000000000003</v>
      </c>
      <c r="Y306">
        <f>Model!AG413</f>
        <v>31.298999999999999</v>
      </c>
      <c r="Z306">
        <f>Model!AH413</f>
        <v>39.353999999999999</v>
      </c>
      <c r="AA306">
        <f>Model!AI413</f>
        <v>41.225000000000001</v>
      </c>
      <c r="AB306">
        <f>Model!AJ413</f>
        <v>33.777000000000001</v>
      </c>
      <c r="AC306">
        <f>Model!AK413</f>
        <v>43.260999999999996</v>
      </c>
      <c r="AD306">
        <f>Model!AL413</f>
        <v>52.750999999999998</v>
      </c>
      <c r="AE306">
        <f>Model!AM413</f>
        <v>62.257000000000005</v>
      </c>
      <c r="AF306">
        <f>Model!AN413</f>
        <v>50.369</v>
      </c>
      <c r="AG306">
        <f>Model!AO413</f>
        <v>69.831000000000003</v>
      </c>
      <c r="AH306">
        <f>Model!AP413</f>
        <v>82.787999999999997</v>
      </c>
      <c r="AI306">
        <f>Model!AQ413</f>
        <v>92.584000000000003</v>
      </c>
      <c r="AJ306">
        <f>Model!AR413</f>
        <v>63.540000000000006</v>
      </c>
      <c r="AK306">
        <f>Model!AS413</f>
        <v>78.88300000000001</v>
      </c>
      <c r="AL306">
        <f>Model!AT413</f>
        <v>101.16</v>
      </c>
      <c r="AM306">
        <f>Model!AU413</f>
        <v>123.577</v>
      </c>
      <c r="AN306">
        <f>Model!AV413</f>
        <v>98.031999999999996</v>
      </c>
      <c r="AO306">
        <f>Model!AW413</f>
        <v>124.89699999999999</v>
      </c>
      <c r="AP306">
        <f>Model!AX413</f>
        <v>142.64099999999999</v>
      </c>
      <c r="AQ306">
        <f>Model!AY413</f>
        <v>180.5</v>
      </c>
      <c r="AR306">
        <f>Model!AZ413</f>
        <v>139.816</v>
      </c>
      <c r="AS306">
        <f>Model!BA413</f>
        <v>196.72200000000001</v>
      </c>
      <c r="AT306">
        <f>Model!BB413</f>
        <v>246.09700000000001</v>
      </c>
      <c r="AU306">
        <f>Model!BC413</f>
        <v>287.96100000000001</v>
      </c>
      <c r="AV306">
        <f>Model!BD413</f>
        <v>223.90299999999999</v>
      </c>
      <c r="AW306">
        <f>Model!BE413</f>
        <v>288.29300000000001</v>
      </c>
      <c r="AX306">
        <f>Model!BF413</f>
        <v>324.40200000000004</v>
      </c>
      <c r="AY306">
        <f>Model!BG413</f>
        <v>383.64499999999998</v>
      </c>
      <c r="AZ306">
        <f>Model!BH413</f>
        <v>312.79000000000002</v>
      </c>
      <c r="BA306">
        <f>Model!BI413</f>
        <v>430.88200000000001</v>
      </c>
      <c r="BB306">
        <f>Model!BJ413</f>
        <v>495.26499999999999</v>
      </c>
      <c r="BC306">
        <f>Model!BK413</f>
        <v>573.05499999999995</v>
      </c>
      <c r="BD306">
        <f>Model!BL413</f>
        <v>426.90199999999999</v>
      </c>
      <c r="BE306">
        <f>Model!BM413</f>
        <v>574.322</v>
      </c>
      <c r="BF306">
        <f>Model!BN413</f>
        <v>697.68099999999993</v>
      </c>
      <c r="BG306">
        <f>Model!BO413</f>
        <v>771.40699999999993</v>
      </c>
      <c r="BH306">
        <f>Model!BP413</f>
        <v>548.12</v>
      </c>
      <c r="BI306">
        <f>Model!BQ413</f>
        <v>706.798</v>
      </c>
      <c r="BJ306">
        <f>Model!BR413</f>
        <v>837.12100000000009</v>
      </c>
      <c r="BK306">
        <f>Model!BS413</f>
        <v>852.58699999999999</v>
      </c>
      <c r="BL306">
        <f>Model!BT413</f>
        <v>615.41599999999994</v>
      </c>
      <c r="BM306">
        <f>Model!BU413</f>
        <v>849.75400000000002</v>
      </c>
      <c r="BN306">
        <f>Model!BV413</f>
        <v>1033.0840000000001</v>
      </c>
      <c r="BO306">
        <f>Model!BW413</f>
        <v>1112.9409999999998</v>
      </c>
      <c r="BP306">
        <f>Model!BX413</f>
        <v>779.20600000000002</v>
      </c>
      <c r="BQ306">
        <f>Model!BY413</f>
        <v>1053.7850000000001</v>
      </c>
      <c r="BR306">
        <f>Model!BZ413</f>
        <v>1268.7759999999998</v>
      </c>
      <c r="BS306">
        <f>Model!CA413</f>
        <v>1337.1410000000001</v>
      </c>
      <c r="BT306">
        <f>Model!CB413</f>
        <v>873.65300000000002</v>
      </c>
      <c r="BU306">
        <f>Model!CC413</f>
        <v>1214.5028296427843</v>
      </c>
      <c r="BV306">
        <f>Model!CD413</f>
        <v>1489.8294108728401</v>
      </c>
      <c r="BW306">
        <f>Model!CE413</f>
        <v>1493.3808311780513</v>
      </c>
      <c r="BX306">
        <f>Model!CF413</f>
        <v>1046.6750347569532</v>
      </c>
      <c r="BY306">
        <f>Model!CG413</f>
        <v>0</v>
      </c>
      <c r="BZ306">
        <f>Model!CH413</f>
        <v>46.875</v>
      </c>
      <c r="CA306">
        <f>Model!CI413</f>
        <v>44.664000000000001</v>
      </c>
      <c r="CB306">
        <f>Model!CJ413</f>
        <v>42.248000000000005</v>
      </c>
      <c r="CC306">
        <f>Model!CK413</f>
        <v>60.956000000000003</v>
      </c>
      <c r="CD306">
        <f>Model!CL413</f>
        <v>89.491</v>
      </c>
      <c r="CE306">
        <f>Model!CM413</f>
        <v>145.655</v>
      </c>
      <c r="CF306">
        <f>Model!CN413</f>
        <v>208.63799999999998</v>
      </c>
      <c r="CG306">
        <f>Model!CO413</f>
        <v>308.74299999999999</v>
      </c>
      <c r="CH306">
        <f>Model!CP413</f>
        <v>401.65199999999999</v>
      </c>
      <c r="CI306">
        <f>Model!CQ413</f>
        <v>587.85400000000004</v>
      </c>
      <c r="CJ306">
        <f>Model!CR413</f>
        <v>954.68299999999999</v>
      </c>
      <c r="CK306">
        <f>Model!CS413</f>
        <v>1309.1299999999999</v>
      </c>
      <c r="CL306">
        <f>Model!CT413</f>
        <v>1926.104</v>
      </c>
      <c r="CM306">
        <f>Model!CU413</f>
        <v>2591.5300000000002</v>
      </c>
      <c r="CN306">
        <f>Model!CV413</f>
        <v>3011.922</v>
      </c>
      <c r="CO306">
        <f>Model!CW413</f>
        <v>3774.9849999999997</v>
      </c>
      <c r="CP306">
        <f>Model!CX413</f>
        <v>4533.3550000000005</v>
      </c>
      <c r="CQ306">
        <f>Model!CY413</f>
        <v>5244.3881064506286</v>
      </c>
      <c r="CR306">
        <f>Model!CZ413</f>
        <v>5978.2845010785704</v>
      </c>
      <c r="CS306">
        <f>Model!DA413</f>
        <v>6716.11206878135</v>
      </c>
      <c r="CT306">
        <f>Model!DB413</f>
        <v>7423.2799966893581</v>
      </c>
      <c r="CU306">
        <f>Model!DC413</f>
        <v>8118.9466124099181</v>
      </c>
      <c r="CV306">
        <f>Model!DD413</f>
        <v>8809.3621642904945</v>
      </c>
      <c r="CW306">
        <f>Model!DE413</f>
        <v>9489.0984170209358</v>
      </c>
      <c r="CX306">
        <f>Model!DF413</f>
        <v>10208.980325034065</v>
      </c>
    </row>
    <row r="307" spans="1:102">
      <c r="A307" t="str">
        <f>Model!I414</f>
        <v>Room Nights Stayed</v>
      </c>
      <c r="B307">
        <f>Model!J414</f>
        <v>0</v>
      </c>
      <c r="C307">
        <f>Model!K414</f>
        <v>0</v>
      </c>
      <c r="D307">
        <f>Model!L414</f>
        <v>0</v>
      </c>
      <c r="E307">
        <f>Model!M414</f>
        <v>0</v>
      </c>
      <c r="F307">
        <f>Model!N414</f>
        <v>0</v>
      </c>
      <c r="G307">
        <f>Model!O414</f>
        <v>0</v>
      </c>
      <c r="H307">
        <f>Model!P414</f>
        <v>0</v>
      </c>
      <c r="I307">
        <f>Model!Q414</f>
        <v>0</v>
      </c>
      <c r="J307">
        <f>Model!R414</f>
        <v>0</v>
      </c>
      <c r="K307">
        <f>Model!S414</f>
        <v>0</v>
      </c>
      <c r="L307">
        <f>Model!T414</f>
        <v>0</v>
      </c>
      <c r="M307">
        <f>Model!U414</f>
        <v>0</v>
      </c>
      <c r="N307">
        <f>Model!V414</f>
        <v>0</v>
      </c>
      <c r="O307">
        <f>Model!W414</f>
        <v>0</v>
      </c>
      <c r="P307">
        <f>Model!X414</f>
        <v>0</v>
      </c>
      <c r="Q307">
        <f>Model!Y414</f>
        <v>0</v>
      </c>
      <c r="R307">
        <f>Model!Z414</f>
        <v>0</v>
      </c>
      <c r="S307">
        <f>Model!AA414</f>
        <v>0</v>
      </c>
      <c r="T307">
        <f>Model!AB414</f>
        <v>0</v>
      </c>
      <c r="U307">
        <f>Model!AC414</f>
        <v>2.556</v>
      </c>
      <c r="V307">
        <f>Model!AD414</f>
        <v>2.7360000000000002</v>
      </c>
      <c r="W307">
        <f>Model!AE414</f>
        <v>3.4990000000000001</v>
      </c>
      <c r="X307">
        <f>Model!AF414</f>
        <v>2.968</v>
      </c>
      <c r="Y307">
        <f>Model!AG414</f>
        <v>4.1529999999999996</v>
      </c>
      <c r="Z307">
        <f>Model!AH414</f>
        <v>4.9950000000000001</v>
      </c>
      <c r="AA307">
        <f>Model!AI414</f>
        <v>5.2380000000000004</v>
      </c>
      <c r="AB307">
        <f>Model!AJ414</f>
        <v>4.2649999999999997</v>
      </c>
      <c r="AC307">
        <f>Model!AK414</f>
        <v>5.9550000000000001</v>
      </c>
      <c r="AD307">
        <f>Model!AL414</f>
        <v>7.242</v>
      </c>
      <c r="AE307">
        <f>Model!AM414</f>
        <v>7.9640000000000004</v>
      </c>
      <c r="AF307">
        <f>Model!AN414</f>
        <v>6.6159999999999997</v>
      </c>
      <c r="AG307">
        <f>Model!AO414</f>
        <v>9.375</v>
      </c>
      <c r="AH307">
        <f>Model!AP414</f>
        <v>10.879</v>
      </c>
      <c r="AI307">
        <f>Model!AQ414</f>
        <v>11.433999999999999</v>
      </c>
      <c r="AJ307">
        <f>Model!AR414</f>
        <v>9.1259999999999994</v>
      </c>
      <c r="AK307">
        <f>Model!AS414</f>
        <v>12.785</v>
      </c>
      <c r="AL307">
        <f>Model!AT414</f>
        <v>15.664999999999999</v>
      </c>
      <c r="AM307">
        <f>Model!AU414</f>
        <v>17.869</v>
      </c>
      <c r="AN307">
        <f>Model!AV414</f>
        <v>14.593</v>
      </c>
      <c r="AO307">
        <f>Model!AW414</f>
        <v>20.042000000000002</v>
      </c>
      <c r="AP307">
        <f>Model!AX414</f>
        <v>23.2</v>
      </c>
      <c r="AQ307">
        <f>Model!AY414</f>
        <v>27.5</v>
      </c>
      <c r="AR307">
        <f>Model!AZ414</f>
        <v>22</v>
      </c>
      <c r="AS307">
        <f>Model!BA414</f>
        <v>31.2</v>
      </c>
      <c r="AT307">
        <f>Model!BB414</f>
        <v>36.1</v>
      </c>
      <c r="AU307">
        <f>Model!BC414</f>
        <v>40.6</v>
      </c>
      <c r="AV307">
        <f>Model!BD414</f>
        <v>33.6</v>
      </c>
      <c r="AW307">
        <f>Model!BE414</f>
        <v>45.9</v>
      </c>
      <c r="AX307">
        <f>Model!BF414</f>
        <v>50.2</v>
      </c>
      <c r="AY307">
        <f>Model!BG414</f>
        <v>55.2</v>
      </c>
      <c r="AZ307">
        <f>Model!BH414</f>
        <v>46.2</v>
      </c>
      <c r="BA307">
        <f>Model!BI414</f>
        <v>63.2</v>
      </c>
      <c r="BB307">
        <f>Model!BJ414</f>
        <v>69.400000000000006</v>
      </c>
      <c r="BC307">
        <f>Model!BK414</f>
        <v>74.8</v>
      </c>
      <c r="BD307">
        <f>Model!BL414</f>
        <v>63.1</v>
      </c>
      <c r="BE307">
        <f>Model!BM414</f>
        <v>83.4</v>
      </c>
      <c r="BF307">
        <f>Model!BN414</f>
        <v>89.6</v>
      </c>
      <c r="BG307">
        <f>Model!BO414</f>
        <v>94.8</v>
      </c>
      <c r="BH307">
        <f>Model!BP414</f>
        <v>78.2</v>
      </c>
      <c r="BI307">
        <f>Model!BQ414</f>
        <v>104.6</v>
      </c>
      <c r="BJ307">
        <f>Model!BR414</f>
        <v>113.1</v>
      </c>
      <c r="BK307">
        <f>Model!BS414</f>
        <v>115.6</v>
      </c>
      <c r="BL307">
        <f>Model!BT414</f>
        <v>99.1</v>
      </c>
      <c r="BM307">
        <f>Model!BU414</f>
        <v>136.5</v>
      </c>
      <c r="BN307">
        <f>Model!BV414</f>
        <v>140.69999999999999</v>
      </c>
      <c r="BO307">
        <f>Model!BW414</f>
        <v>149.6</v>
      </c>
      <c r="BP307">
        <f>Model!BX414</f>
        <v>129.69999999999999</v>
      </c>
      <c r="BQ307">
        <f>Model!BY414</f>
        <v>173.9</v>
      </c>
      <c r="BR307">
        <f>Model!BZ414</f>
        <v>170.2</v>
      </c>
      <c r="BS307">
        <f>Model!CA414</f>
        <v>177.5</v>
      </c>
      <c r="BT307">
        <f>Model!CB414</f>
        <v>151.5</v>
      </c>
      <c r="BU307">
        <f>Model!CC414</f>
        <v>200.25719366501625</v>
      </c>
      <c r="BV307">
        <f>Model!CD414</f>
        <v>201.63248673995</v>
      </c>
      <c r="BW307">
        <f>Model!CE414</f>
        <v>208.49900124583999</v>
      </c>
      <c r="BX307">
        <f>Model!CF414</f>
        <v>180.06537883575001</v>
      </c>
      <c r="BY307">
        <f>Model!CG414</f>
        <v>0</v>
      </c>
      <c r="BZ307">
        <f>Model!CH414</f>
        <v>0</v>
      </c>
      <c r="CA307">
        <f>Model!CI414</f>
        <v>0</v>
      </c>
      <c r="CB307">
        <f>Model!CJ414</f>
        <v>0</v>
      </c>
      <c r="CC307">
        <f>Model!CK414</f>
        <v>0</v>
      </c>
      <c r="CD307">
        <f>Model!CL414</f>
        <v>11.759</v>
      </c>
      <c r="CE307">
        <f>Model!CM414</f>
        <v>18.651</v>
      </c>
      <c r="CF307">
        <f>Model!CN414</f>
        <v>27.777000000000001</v>
      </c>
      <c r="CG307">
        <f>Model!CO414</f>
        <v>40.814</v>
      </c>
      <c r="CH307">
        <f>Model!CP414</f>
        <v>60.911999999999999</v>
      </c>
      <c r="CI307">
        <f>Model!CQ414</f>
        <v>92.742000000000004</v>
      </c>
      <c r="CJ307">
        <f>Model!CR414</f>
        <v>141.5</v>
      </c>
      <c r="CK307">
        <f>Model!CS414</f>
        <v>197.5</v>
      </c>
      <c r="CL307">
        <f>Model!CT414</f>
        <v>270.5</v>
      </c>
      <c r="CM307">
        <f>Model!CU414</f>
        <v>346</v>
      </c>
      <c r="CN307">
        <f>Model!CV414</f>
        <v>432.4</v>
      </c>
      <c r="CO307">
        <f>Model!CW414</f>
        <v>556.5</v>
      </c>
      <c r="CP307">
        <f>Model!CX414</f>
        <v>673.1</v>
      </c>
      <c r="CQ307">
        <f>Model!CY414</f>
        <v>790.45406048655627</v>
      </c>
      <c r="CR307">
        <f>Model!CZ414</f>
        <v>911.9919076507698</v>
      </c>
      <c r="CS307">
        <f>Model!DA414</f>
        <v>1032.3658992588914</v>
      </c>
      <c r="CT307">
        <f>Model!DB414</f>
        <v>1149.3241670952232</v>
      </c>
      <c r="CU307">
        <f>Model!DC414</f>
        <v>1264.2012581736624</v>
      </c>
      <c r="CV307">
        <f>Model!DD414</f>
        <v>1378.1562994027181</v>
      </c>
      <c r="CW307">
        <f>Model!DE414</f>
        <v>1490.1692343656396</v>
      </c>
      <c r="CX307">
        <f>Model!DF414</f>
        <v>1611.3447584483351</v>
      </c>
    </row>
    <row r="308" spans="1:102">
      <c r="A308" t="str">
        <f>Model!I415</f>
        <v>Ad Dollars Spent per Room Night</v>
      </c>
      <c r="B308">
        <f>Model!J415</f>
        <v>0</v>
      </c>
      <c r="C308">
        <f>Model!K415</f>
        <v>0</v>
      </c>
      <c r="D308">
        <f>Model!L415</f>
        <v>0</v>
      </c>
      <c r="E308">
        <f>Model!M415</f>
        <v>0</v>
      </c>
      <c r="F308">
        <f>Model!N415</f>
        <v>0</v>
      </c>
      <c r="G308">
        <f>Model!O415</f>
        <v>0</v>
      </c>
      <c r="H308">
        <f>Model!P415</f>
        <v>0</v>
      </c>
      <c r="I308">
        <f>Model!Q415</f>
        <v>0</v>
      </c>
      <c r="J308">
        <f>Model!R415</f>
        <v>0</v>
      </c>
      <c r="K308">
        <f>Model!S415</f>
        <v>0</v>
      </c>
      <c r="L308">
        <f>Model!T415</f>
        <v>0</v>
      </c>
      <c r="M308">
        <f>Model!U415</f>
        <v>0</v>
      </c>
      <c r="N308">
        <f>Model!V415</f>
        <v>0</v>
      </c>
      <c r="O308">
        <f>Model!W415</f>
        <v>0</v>
      </c>
      <c r="P308">
        <f>Model!X415</f>
        <v>0</v>
      </c>
      <c r="Q308">
        <f>Model!Y415</f>
        <v>0</v>
      </c>
      <c r="R308">
        <f>Model!Z415</f>
        <v>0</v>
      </c>
      <c r="S308">
        <f>Model!AA415</f>
        <v>0</v>
      </c>
      <c r="T308">
        <f>Model!AB415</f>
        <v>0</v>
      </c>
      <c r="U308">
        <f>Model!AC415</f>
        <v>8.2175273865414695</v>
      </c>
      <c r="V308">
        <f>Model!AD415</f>
        <v>7.4173976608187129</v>
      </c>
      <c r="W308">
        <f>Model!AE415</f>
        <v>7.7693626750500133</v>
      </c>
      <c r="X308">
        <f>Model!AF415</f>
        <v>7.078167115902966</v>
      </c>
      <c r="Y308">
        <f>Model!AG415</f>
        <v>7.5364796532627025</v>
      </c>
      <c r="Z308">
        <f>Model!AH415</f>
        <v>7.8786786786786784</v>
      </c>
      <c r="AA308">
        <f>Model!AI415</f>
        <v>7.8703703703703702</v>
      </c>
      <c r="AB308">
        <f>Model!AJ415</f>
        <v>7.919577960140681</v>
      </c>
      <c r="AC308">
        <f>Model!AK415</f>
        <v>7.2646515533165399</v>
      </c>
      <c r="AD308">
        <f>Model!AL415</f>
        <v>7.284037558685446</v>
      </c>
      <c r="AE308">
        <f>Model!AM415</f>
        <v>7.8173028628829737</v>
      </c>
      <c r="AF308">
        <f>Model!AN415</f>
        <v>7.6132103990326483</v>
      </c>
      <c r="AG308">
        <f>Model!AO415</f>
        <v>7.4486400000000001</v>
      </c>
      <c r="AH308">
        <f>Model!AP415</f>
        <v>7.6098906149462264</v>
      </c>
      <c r="AI308">
        <f>Model!AQ415</f>
        <v>8.0972538044428912</v>
      </c>
      <c r="AJ308">
        <f>Model!AR415</f>
        <v>6.9625246548323485</v>
      </c>
      <c r="AK308">
        <f>Model!AS415</f>
        <v>6.1699648025029337</v>
      </c>
      <c r="AL308">
        <f>Model!AT415</f>
        <v>6.4577082668368977</v>
      </c>
      <c r="AM308">
        <f>Model!AU415</f>
        <v>6.9157199619452685</v>
      </c>
      <c r="AN308">
        <f>Model!AV415</f>
        <v>6.7177413828547934</v>
      </c>
      <c r="AO308">
        <f>Model!AW415</f>
        <v>6.2317632970761387</v>
      </c>
      <c r="AP308">
        <f>Model!AX415</f>
        <v>6.148318965517241</v>
      </c>
      <c r="AQ308">
        <f>Model!AY415</f>
        <v>6.5636363636363635</v>
      </c>
      <c r="AR308">
        <f>Model!AZ415</f>
        <v>6.3552727272727276</v>
      </c>
      <c r="AS308">
        <f>Model!BA415</f>
        <v>6.305192307692308</v>
      </c>
      <c r="AT308">
        <f>Model!BB415</f>
        <v>6.8170914127423821</v>
      </c>
      <c r="AU308">
        <f>Model!BC415</f>
        <v>7.0926354679802959</v>
      </c>
      <c r="AV308">
        <f>Model!BD415</f>
        <v>6.6637797619047614</v>
      </c>
      <c r="AW308">
        <f>Model!BE415</f>
        <v>6.2808932461873646</v>
      </c>
      <c r="AX308">
        <f>Model!BF415</f>
        <v>6.4621912350597617</v>
      </c>
      <c r="AY308">
        <f>Model!BG415</f>
        <v>6.9500905797101442</v>
      </c>
      <c r="AZ308">
        <f>Model!BH415</f>
        <v>6.7703463203463201</v>
      </c>
      <c r="BA308">
        <f>Model!BI415</f>
        <v>6.8177531645569616</v>
      </c>
      <c r="BB308">
        <f>Model!BJ415</f>
        <v>7.1363832853025926</v>
      </c>
      <c r="BC308">
        <f>Model!BK415</f>
        <v>7.661163101604278</v>
      </c>
      <c r="BD308">
        <f>Model!BL415</f>
        <v>6.7654833597464341</v>
      </c>
      <c r="BE308">
        <f>Model!BM415</f>
        <v>6.8863549160671456</v>
      </c>
      <c r="BF308">
        <f>Model!BN415</f>
        <v>7.7866183035714283</v>
      </c>
      <c r="BG308">
        <f>Model!BO415</f>
        <v>8.1372046413502108</v>
      </c>
      <c r="BH308">
        <f>Model!BP415</f>
        <v>7.0092071611253193</v>
      </c>
      <c r="BI308">
        <f>Model!BQ415</f>
        <v>6.7571510516252395</v>
      </c>
      <c r="BJ308">
        <f>Model!BR415</f>
        <v>7.4016003536693207</v>
      </c>
      <c r="BK308">
        <f>Model!BS415</f>
        <v>7.375320069204153</v>
      </c>
      <c r="BL308">
        <f>Model!BT415</f>
        <v>6.2100504540867805</v>
      </c>
      <c r="BM308">
        <f>Model!BU415</f>
        <v>6.2253040293040298</v>
      </c>
      <c r="BN308">
        <f>Model!BV415</f>
        <v>7.3424591329068951</v>
      </c>
      <c r="BO308">
        <f>Model!BW415</f>
        <v>7.4394451871657745</v>
      </c>
      <c r="BP308">
        <f>Model!BX415</f>
        <v>6.0077563608326914</v>
      </c>
      <c r="BQ308">
        <f>Model!BY415</f>
        <v>6.0597182288671654</v>
      </c>
      <c r="BR308">
        <f>Model!BZ415</f>
        <v>7.4546180963572262</v>
      </c>
      <c r="BS308">
        <f>Model!CA415</f>
        <v>7.5331887323943665</v>
      </c>
      <c r="BT308">
        <f>Model!CB415</f>
        <v>5.7666864686468644</v>
      </c>
      <c r="BU308">
        <f>Model!CC415</f>
        <v>6.0647151166732378</v>
      </c>
      <c r="BV308">
        <f>Model!CD415</f>
        <v>7.3888361690162903</v>
      </c>
      <c r="BW308">
        <f>Model!CE415</f>
        <v>7.1625323011366104</v>
      </c>
      <c r="BX308">
        <f>Model!CF415</f>
        <v>5.8127500218223371</v>
      </c>
      <c r="BY308">
        <f>Model!CG415</f>
        <v>0</v>
      </c>
      <c r="BZ308">
        <f>Model!CH415</f>
        <v>0</v>
      </c>
      <c r="CA308">
        <f>Model!CI415</f>
        <v>0</v>
      </c>
      <c r="CB308">
        <f>Model!CJ415</f>
        <v>0</v>
      </c>
      <c r="CC308">
        <f>Model!CK415</f>
        <v>0</v>
      </c>
      <c r="CD308">
        <f>Model!CL415</f>
        <v>7.6104260566374693</v>
      </c>
      <c r="CE308">
        <f>Model!CM415</f>
        <v>7.8095008310546357</v>
      </c>
      <c r="CF308">
        <f>Model!CN415</f>
        <v>7.5111783129927625</v>
      </c>
      <c r="CG308">
        <f>Model!CO415</f>
        <v>7.5646346841769976</v>
      </c>
      <c r="CH308">
        <f>Model!CP415</f>
        <v>6.5939716312056733</v>
      </c>
      <c r="CI308">
        <f>Model!CQ415</f>
        <v>6.3385952427163534</v>
      </c>
      <c r="CJ308">
        <f>Model!CR415</f>
        <v>6.7468763250883388</v>
      </c>
      <c r="CK308">
        <f>Model!CS415</f>
        <v>6.6285063291139235</v>
      </c>
      <c r="CL308">
        <f>Model!CT415</f>
        <v>7.1205323475046214</v>
      </c>
      <c r="CM308">
        <f>Model!CU415</f>
        <v>7.4899710982658965</v>
      </c>
      <c r="CN308">
        <f>Model!CV415</f>
        <v>6.9655920444033308</v>
      </c>
      <c r="CO308">
        <f>Model!CW415</f>
        <v>6.783441150044923</v>
      </c>
      <c r="CP308">
        <f>Model!CX415</f>
        <v>6.7350393700787405</v>
      </c>
      <c r="CQ308">
        <f>Model!CY415</f>
        <v>6.634652623863424</v>
      </c>
      <c r="CR308">
        <f>Model!CZ415</f>
        <v>6.5551946798280607</v>
      </c>
      <c r="CS308">
        <f>Model!DA415</f>
        <v>6.5055539645417113</v>
      </c>
      <c r="CT308">
        <f>Model!DB415</f>
        <v>6.4588218095603036</v>
      </c>
      <c r="CU308">
        <f>Model!DC415</f>
        <v>6.4221946940149497</v>
      </c>
      <c r="CV308">
        <f>Model!DD415</f>
        <v>6.3921357600066129</v>
      </c>
      <c r="CW308">
        <f>Model!DE415</f>
        <v>6.3677991721929592</v>
      </c>
      <c r="CX308">
        <f>Model!DF415</f>
        <v>6.3356896601475476</v>
      </c>
    </row>
    <row r="309" spans="1:102">
      <c r="A309" t="str">
        <f>Model!I416</f>
        <v>% change Y/Y</v>
      </c>
      <c r="B309">
        <f>Model!J416</f>
        <v>0</v>
      </c>
      <c r="C309">
        <f>Model!K416</f>
        <v>0</v>
      </c>
      <c r="D309">
        <f>Model!L416</f>
        <v>0</v>
      </c>
      <c r="E309">
        <f>Model!M416</f>
        <v>0</v>
      </c>
      <c r="F309">
        <f>Model!N416</f>
        <v>0</v>
      </c>
      <c r="G309">
        <f>Model!O416</f>
        <v>0</v>
      </c>
      <c r="H309">
        <f>Model!P416</f>
        <v>0</v>
      </c>
      <c r="I309">
        <f>Model!Q416</f>
        <v>0</v>
      </c>
      <c r="J309">
        <f>Model!R416</f>
        <v>0</v>
      </c>
      <c r="K309">
        <f>Model!S416</f>
        <v>0</v>
      </c>
      <c r="L309">
        <f>Model!T416</f>
        <v>0</v>
      </c>
      <c r="M309">
        <f>Model!U416</f>
        <v>0</v>
      </c>
      <c r="N309">
        <f>Model!V416</f>
        <v>0</v>
      </c>
      <c r="O309">
        <f>Model!W416</f>
        <v>0</v>
      </c>
      <c r="P309">
        <f>Model!X416</f>
        <v>0</v>
      </c>
      <c r="Q309">
        <f>Model!Y416</f>
        <v>0</v>
      </c>
      <c r="R309">
        <f>Model!Z416</f>
        <v>0</v>
      </c>
      <c r="S309">
        <f>Model!AA416</f>
        <v>0</v>
      </c>
      <c r="T309">
        <f>Model!AB416</f>
        <v>0</v>
      </c>
      <c r="U309">
        <f>Model!AC416</f>
        <v>0</v>
      </c>
      <c r="V309">
        <f>Model!AD416</f>
        <v>0</v>
      </c>
      <c r="W309">
        <f>Model!AE416</f>
        <v>0</v>
      </c>
      <c r="X309">
        <f>Model!AF416</f>
        <v>0</v>
      </c>
      <c r="Y309">
        <f>Model!AG416</f>
        <v>-8.2877452211984837E-2</v>
      </c>
      <c r="Z309">
        <f>Model!AH416</f>
        <v>6.2189064002407868E-2</v>
      </c>
      <c r="AA309">
        <f>Model!AI416</f>
        <v>1.3000769760012076E-2</v>
      </c>
      <c r="AB309">
        <f>Model!AJ416</f>
        <v>0.1188741139421905</v>
      </c>
      <c r="AC309">
        <f>Model!AK416</f>
        <v>-3.6068312057139673E-2</v>
      </c>
      <c r="AD309">
        <f>Model!AL416</f>
        <v>-7.5474726695283767E-2</v>
      </c>
      <c r="AE309">
        <f>Model!AM416</f>
        <v>-6.742695068986837E-3</v>
      </c>
      <c r="AF309">
        <f>Model!AN416</f>
        <v>-3.8684834299249737E-2</v>
      </c>
      <c r="AG309">
        <f>Model!AO416</f>
        <v>2.5326534291856495E-2</v>
      </c>
      <c r="AH309">
        <f>Model!AP416</f>
        <v>4.4735224610729096E-2</v>
      </c>
      <c r="AI309">
        <f>Model!AQ416</f>
        <v>3.5811704685146717E-2</v>
      </c>
      <c r="AJ309">
        <f>Model!AR416</f>
        <v>-8.5467983951025062E-2</v>
      </c>
      <c r="AK309">
        <f>Model!AS416</f>
        <v>-0.17166559230907474</v>
      </c>
      <c r="AL309">
        <f>Model!AT416</f>
        <v>-0.15140590139973653</v>
      </c>
      <c r="AM309">
        <f>Model!AU416</f>
        <v>-0.14591784709148248</v>
      </c>
      <c r="AN309">
        <f>Model!AV416</f>
        <v>-3.5157257476662984E-2</v>
      </c>
      <c r="AO309">
        <f>Model!AW416</f>
        <v>1.0016020601630649E-2</v>
      </c>
      <c r="AP309">
        <f>Model!AX416</f>
        <v>-4.7910077156706476E-2</v>
      </c>
      <c r="AQ309">
        <f>Model!AY416</f>
        <v>-5.0910621055550997E-2</v>
      </c>
      <c r="AR309">
        <f>Model!AZ416</f>
        <v>-5.3956923156816994E-2</v>
      </c>
      <c r="AS309">
        <f>Model!BA416</f>
        <v>1.1783023057153175E-2</v>
      </c>
      <c r="AT309">
        <f>Model!BB416</f>
        <v>0.10877321931017914</v>
      </c>
      <c r="AU309">
        <f>Model!BC416</f>
        <v>8.0595431409740348E-2</v>
      </c>
      <c r="AV309">
        <f>Model!BD416</f>
        <v>4.85434768689188E-2</v>
      </c>
      <c r="AW309">
        <f>Model!BE416</f>
        <v>-3.8538176663222012E-3</v>
      </c>
      <c r="AX309">
        <f>Model!BF416</f>
        <v>-5.2060351870776955E-2</v>
      </c>
      <c r="AY309">
        <f>Model!BG416</f>
        <v>-2.0097591214672028E-2</v>
      </c>
      <c r="AZ309">
        <f>Model!BH416</f>
        <v>1.5991908833898449E-2</v>
      </c>
      <c r="BA309">
        <f>Model!BI416</f>
        <v>8.5475090457154623E-2</v>
      </c>
      <c r="BB309">
        <f>Model!BJ416</f>
        <v>0.10432870611830425</v>
      </c>
      <c r="BC309">
        <f>Model!BK416</f>
        <v>0.10231125965034393</v>
      </c>
      <c r="BD309">
        <f>Model!BL416</f>
        <v>-7.1827353724462917E-4</v>
      </c>
      <c r="BE309">
        <f>Model!BM416</f>
        <v>1.0062222825375944E-2</v>
      </c>
      <c r="BF309">
        <f>Model!BN416</f>
        <v>9.1115484170811945E-2</v>
      </c>
      <c r="BG309">
        <f>Model!BO416</f>
        <v>6.213698017292546E-2</v>
      </c>
      <c r="BH309">
        <f>Model!BP416</f>
        <v>3.6024595497345269E-2</v>
      </c>
      <c r="BI309">
        <f>Model!BQ416</f>
        <v>-1.8762301103657841E-2</v>
      </c>
      <c r="BJ309">
        <f>Model!BR416</f>
        <v>-4.9446105471166346E-2</v>
      </c>
      <c r="BK309">
        <f>Model!BS416</f>
        <v>-9.3629766698314021E-2</v>
      </c>
      <c r="BL309">
        <f>Model!BT416</f>
        <v>-0.11401527857114091</v>
      </c>
      <c r="BM309">
        <f>Model!BU416</f>
        <v>-7.8708766203071545E-2</v>
      </c>
      <c r="BN309">
        <f>Model!BV416</f>
        <v>-7.9903288392363381E-3</v>
      </c>
      <c r="BO309">
        <f>Model!BW416</f>
        <v>8.6945539122265103E-3</v>
      </c>
      <c r="BP309">
        <f>Model!BX416</f>
        <v>-3.2575273703446483E-2</v>
      </c>
      <c r="BQ309">
        <f>Model!BY416</f>
        <v>-2.6598829496103593E-2</v>
      </c>
      <c r="BR309">
        <f>Model!BZ416</f>
        <v>1.5275394989624935E-2</v>
      </c>
      <c r="BS309">
        <f>Model!CA416</f>
        <v>1.260087854270564E-2</v>
      </c>
      <c r="BT309">
        <f>Model!CB416</f>
        <v>-4.0126442836043053E-2</v>
      </c>
      <c r="BU309">
        <f>Model!CC416</f>
        <v>8.2460728656785776E-4</v>
      </c>
      <c r="BV309">
        <f>Model!CD416</f>
        <v>-8.8243188974470588E-3</v>
      </c>
      <c r="BW309">
        <f>Model!CE416</f>
        <v>-4.9203125585298602E-2</v>
      </c>
      <c r="BX309">
        <f>Model!CF416</f>
        <v>7.9878719652815011E-3</v>
      </c>
      <c r="BY309">
        <f>Model!CG416</f>
        <v>0</v>
      </c>
      <c r="BZ309">
        <f>Model!CH416</f>
        <v>0</v>
      </c>
      <c r="CA309">
        <f>Model!CI416</f>
        <v>0</v>
      </c>
      <c r="CB309">
        <f>Model!CJ416</f>
        <v>0</v>
      </c>
      <c r="CC309">
        <f>Model!CK416</f>
        <v>0</v>
      </c>
      <c r="CD309">
        <f>Model!CL416</f>
        <v>0</v>
      </c>
      <c r="CE309">
        <f>Model!CM416</f>
        <v>2.6158164199433065E-2</v>
      </c>
      <c r="CF309">
        <f>Model!CN416</f>
        <v>-3.81999470280594E-2</v>
      </c>
      <c r="CG309">
        <f>Model!CO416</f>
        <v>7.1169088199871666E-3</v>
      </c>
      <c r="CH309">
        <f>Model!CP416</f>
        <v>-0.12831591920779295</v>
      </c>
      <c r="CI309">
        <f>Model!CQ416</f>
        <v>-3.8728766632959544E-2</v>
      </c>
      <c r="CJ309">
        <f>Model!CR416</f>
        <v>6.4411918846078553E-2</v>
      </c>
      <c r="CK309">
        <f>Model!CS416</f>
        <v>-1.7544414669979247E-2</v>
      </c>
      <c r="CL309">
        <f>Model!CT416</f>
        <v>7.4228792123137488E-2</v>
      </c>
      <c r="CM309">
        <f>Model!CU416</f>
        <v>5.1883585767396267E-2</v>
      </c>
      <c r="CN309">
        <f>Model!CV416</f>
        <v>-7.0010824739226485E-2</v>
      </c>
      <c r="CO309">
        <f>Model!CW416</f>
        <v>-2.6150095095615167E-2</v>
      </c>
      <c r="CP309">
        <f>Model!CX416</f>
        <v>-7.1352841272694922E-3</v>
      </c>
      <c r="CQ309">
        <f>Model!CY416</f>
        <v>-1.4905146161624083E-2</v>
      </c>
      <c r="CR309">
        <f>Model!CZ416</f>
        <v>-1.197620260472565E-2</v>
      </c>
      <c r="CS309">
        <f>Model!DA416</f>
        <v>-7.5727293712734012E-3</v>
      </c>
      <c r="CT309">
        <f>Model!DB416</f>
        <v>-7.183424384167636E-3</v>
      </c>
      <c r="CU309">
        <f>Model!DC416</f>
        <v>-5.6708663941059667E-3</v>
      </c>
      <c r="CV309">
        <f>Model!DD416</f>
        <v>-4.6804769149010328E-3</v>
      </c>
      <c r="CW309">
        <f>Model!DE416</f>
        <v>-3.8072701718757651E-3</v>
      </c>
      <c r="CX309">
        <f>Model!DF416</f>
        <v>-5.0424818963556994E-3</v>
      </c>
    </row>
    <row r="310" spans="1:102">
      <c r="A310">
        <f>Model!I417</f>
        <v>0</v>
      </c>
      <c r="B310">
        <f>Model!J417</f>
        <v>0</v>
      </c>
      <c r="C310">
        <f>Model!K417</f>
        <v>0</v>
      </c>
      <c r="D310">
        <f>Model!L417</f>
        <v>0</v>
      </c>
      <c r="E310">
        <f>Model!M417</f>
        <v>0</v>
      </c>
      <c r="F310">
        <f>Model!N417</f>
        <v>0</v>
      </c>
      <c r="G310">
        <f>Model!O417</f>
        <v>0</v>
      </c>
      <c r="H310">
        <f>Model!P417</f>
        <v>0</v>
      </c>
      <c r="I310">
        <f>Model!Q417</f>
        <v>0</v>
      </c>
      <c r="J310">
        <f>Model!R417</f>
        <v>0</v>
      </c>
      <c r="K310">
        <f>Model!S417</f>
        <v>0</v>
      </c>
      <c r="L310">
        <f>Model!T417</f>
        <v>0</v>
      </c>
      <c r="M310">
        <f>Model!U417</f>
        <v>0</v>
      </c>
      <c r="N310">
        <f>Model!V417</f>
        <v>0</v>
      </c>
      <c r="O310">
        <f>Model!W417</f>
        <v>0</v>
      </c>
      <c r="P310">
        <f>Model!X417</f>
        <v>0</v>
      </c>
      <c r="Q310">
        <f>Model!Y417</f>
        <v>0</v>
      </c>
      <c r="R310">
        <f>Model!Z417</f>
        <v>0</v>
      </c>
      <c r="S310">
        <f>Model!AA417</f>
        <v>0</v>
      </c>
      <c r="T310">
        <f>Model!AB417</f>
        <v>0</v>
      </c>
      <c r="U310">
        <f>Model!AC417</f>
        <v>0</v>
      </c>
      <c r="V310">
        <f>Model!AD417</f>
        <v>0</v>
      </c>
      <c r="W310">
        <f>Model!AE417</f>
        <v>0</v>
      </c>
      <c r="X310">
        <f>Model!AF417</f>
        <v>0</v>
      </c>
      <c r="Y310">
        <f>Model!AG417</f>
        <v>0</v>
      </c>
      <c r="Z310">
        <f>Model!AH417</f>
        <v>0</v>
      </c>
      <c r="AA310">
        <f>Model!AI417</f>
        <v>0</v>
      </c>
      <c r="AB310">
        <f>Model!AJ417</f>
        <v>0</v>
      </c>
      <c r="AC310">
        <f>Model!AK417</f>
        <v>0</v>
      </c>
      <c r="AD310">
        <f>Model!AL417</f>
        <v>0</v>
      </c>
      <c r="AE310">
        <f>Model!AM417</f>
        <v>0</v>
      </c>
      <c r="AF310">
        <f>Model!AN417</f>
        <v>0</v>
      </c>
      <c r="AG310">
        <f>Model!AO417</f>
        <v>0</v>
      </c>
      <c r="AH310">
        <f>Model!AP417</f>
        <v>0</v>
      </c>
      <c r="AI310">
        <f>Model!AQ417</f>
        <v>0</v>
      </c>
      <c r="AJ310">
        <f>Model!AR417</f>
        <v>0</v>
      </c>
      <c r="AK310">
        <f>Model!AS417</f>
        <v>0</v>
      </c>
      <c r="AL310">
        <f>Model!AT417</f>
        <v>0</v>
      </c>
      <c r="AM310">
        <f>Model!AU417</f>
        <v>0</v>
      </c>
      <c r="AN310">
        <f>Model!AV417</f>
        <v>0</v>
      </c>
      <c r="AO310">
        <f>Model!AW417</f>
        <v>0</v>
      </c>
      <c r="AP310">
        <f>Model!AX417</f>
        <v>0</v>
      </c>
      <c r="AQ310">
        <f>Model!AY417</f>
        <v>0</v>
      </c>
      <c r="AR310">
        <f>Model!AZ417</f>
        <v>0</v>
      </c>
      <c r="AS310">
        <f>Model!BA417</f>
        <v>0</v>
      </c>
      <c r="AT310">
        <f>Model!BB417</f>
        <v>0</v>
      </c>
      <c r="AU310">
        <f>Model!BC417</f>
        <v>0</v>
      </c>
      <c r="AV310">
        <f>Model!BD417</f>
        <v>0</v>
      </c>
      <c r="AW310">
        <f>Model!BE417</f>
        <v>0</v>
      </c>
      <c r="AX310">
        <f>Model!BF417</f>
        <v>0</v>
      </c>
      <c r="AY310">
        <f>Model!BG417</f>
        <v>0</v>
      </c>
      <c r="AZ310">
        <f>Model!BH417</f>
        <v>0</v>
      </c>
      <c r="BA310">
        <f>Model!BI417</f>
        <v>0</v>
      </c>
      <c r="BB310">
        <f>Model!BJ417</f>
        <v>0</v>
      </c>
      <c r="BC310">
        <f>Model!BK417</f>
        <v>0</v>
      </c>
      <c r="BD310">
        <f>Model!BL417</f>
        <v>0</v>
      </c>
      <c r="BE310">
        <f>Model!BM417</f>
        <v>0</v>
      </c>
      <c r="BF310">
        <f>Model!BN417</f>
        <v>0</v>
      </c>
      <c r="BG310">
        <f>Model!BO417</f>
        <v>0</v>
      </c>
      <c r="BH310">
        <f>Model!BP417</f>
        <v>0</v>
      </c>
      <c r="BI310">
        <f>Model!BQ417</f>
        <v>0</v>
      </c>
      <c r="BL310">
        <f>Model!BT417</f>
        <v>0</v>
      </c>
      <c r="BM310">
        <f>Model!BU417</f>
        <v>0</v>
      </c>
      <c r="BN310">
        <f>Model!BV417</f>
        <v>0</v>
      </c>
      <c r="BO310">
        <f>Model!BW417</f>
        <v>0</v>
      </c>
      <c r="BP310">
        <f>Model!BX417</f>
        <v>0</v>
      </c>
      <c r="BQ310">
        <f>Model!BY417</f>
        <v>0</v>
      </c>
      <c r="BR310">
        <f>Model!BZ417</f>
        <v>0</v>
      </c>
      <c r="BS310">
        <f>Model!CA417</f>
        <v>0</v>
      </c>
      <c r="BT310">
        <f>Model!CB417</f>
        <v>0</v>
      </c>
      <c r="BU310">
        <f>Model!CC417</f>
        <v>0</v>
      </c>
      <c r="BV310">
        <f>Model!CD417</f>
        <v>0</v>
      </c>
      <c r="BW310">
        <f>Model!CE417</f>
        <v>0</v>
      </c>
      <c r="BX310">
        <f>Model!CF417</f>
        <v>0</v>
      </c>
      <c r="BY310">
        <f>Model!CG417</f>
        <v>0</v>
      </c>
      <c r="BZ310">
        <f>Model!CH417</f>
        <v>0</v>
      </c>
      <c r="CA310">
        <f>Model!CI417</f>
        <v>0</v>
      </c>
      <c r="CB310">
        <f>Model!CJ417</f>
        <v>0</v>
      </c>
      <c r="CC310">
        <f>Model!CK417</f>
        <v>0</v>
      </c>
      <c r="CD310">
        <f>Model!CL417</f>
        <v>0</v>
      </c>
      <c r="CE310">
        <f>Model!CM417</f>
        <v>0</v>
      </c>
      <c r="CF310">
        <f>Model!CN417</f>
        <v>0</v>
      </c>
      <c r="CG310">
        <f>Model!CO417</f>
        <v>0</v>
      </c>
      <c r="CH310">
        <f>Model!CP417</f>
        <v>0</v>
      </c>
      <c r="CI310">
        <f>Model!CQ417</f>
        <v>0</v>
      </c>
      <c r="CJ310">
        <f>Model!CR417</f>
        <v>0</v>
      </c>
      <c r="CK310">
        <f>Model!CS417</f>
        <v>0</v>
      </c>
      <c r="CL310">
        <f>Model!CT417</f>
        <v>0</v>
      </c>
      <c r="CM310">
        <f>Model!CU417</f>
        <v>0</v>
      </c>
      <c r="CN310">
        <f>Model!CV417</f>
        <v>0</v>
      </c>
      <c r="CO310">
        <f>Model!CW417</f>
        <v>0</v>
      </c>
      <c r="CP310">
        <f>Model!CX417</f>
        <v>0</v>
      </c>
      <c r="CQ310">
        <f>Model!CY417</f>
        <v>0</v>
      </c>
      <c r="CR310">
        <f>Model!CZ417</f>
        <v>0</v>
      </c>
      <c r="CS310">
        <f>Model!DA417</f>
        <v>0</v>
      </c>
      <c r="CT310">
        <f>Model!DB417</f>
        <v>0</v>
      </c>
      <c r="CU310">
        <f>Model!DC417</f>
        <v>0</v>
      </c>
      <c r="CV310">
        <f>Model!DD417</f>
        <v>0</v>
      </c>
      <c r="CW310">
        <f>Model!DE417</f>
        <v>0</v>
      </c>
      <c r="CX310">
        <f>Model!DF417</f>
        <v>0</v>
      </c>
    </row>
    <row r="311" spans="1:102">
      <c r="A311" t="str">
        <f>Model!I418</f>
        <v>Constant Currency</v>
      </c>
      <c r="B311">
        <f>Model!J418</f>
        <v>0</v>
      </c>
      <c r="C311">
        <f>Model!K418</f>
        <v>0</v>
      </c>
      <c r="D311">
        <f>Model!L418</f>
        <v>0</v>
      </c>
      <c r="E311">
        <f>Model!M418</f>
        <v>0</v>
      </c>
      <c r="F311">
        <f>Model!N418</f>
        <v>0</v>
      </c>
      <c r="G311">
        <f>Model!O418</f>
        <v>0</v>
      </c>
      <c r="H311">
        <f>Model!P418</f>
        <v>0</v>
      </c>
      <c r="I311">
        <f>Model!Q418</f>
        <v>0</v>
      </c>
      <c r="J311">
        <f>Model!R418</f>
        <v>0</v>
      </c>
      <c r="K311">
        <f>Model!S418</f>
        <v>0</v>
      </c>
      <c r="L311">
        <f>Model!T418</f>
        <v>0</v>
      </c>
      <c r="M311">
        <f>Model!U418</f>
        <v>0</v>
      </c>
      <c r="N311">
        <f>Model!V418</f>
        <v>0</v>
      </c>
      <c r="O311">
        <f>Model!W418</f>
        <v>0</v>
      </c>
      <c r="P311">
        <f>Model!X418</f>
        <v>0</v>
      </c>
      <c r="Q311">
        <f>Model!Y418</f>
        <v>0</v>
      </c>
      <c r="R311">
        <f>Model!Z418</f>
        <v>0</v>
      </c>
      <c r="S311">
        <f>Model!AA418</f>
        <v>0</v>
      </c>
      <c r="T311">
        <f>Model!AB418</f>
        <v>0</v>
      </c>
      <c r="U311">
        <f>Model!AC418</f>
        <v>0</v>
      </c>
      <c r="V311">
        <f>Model!AD418</f>
        <v>0</v>
      </c>
      <c r="W311">
        <f>Model!AE418</f>
        <v>0</v>
      </c>
      <c r="X311">
        <f>Model!AF418</f>
        <v>0</v>
      </c>
      <c r="Y311">
        <f>Model!AG418</f>
        <v>0</v>
      </c>
      <c r="Z311">
        <f>Model!AH418</f>
        <v>0</v>
      </c>
      <c r="AA311">
        <f>Model!AI418</f>
        <v>0</v>
      </c>
      <c r="AB311">
        <f>Model!AJ418</f>
        <v>0</v>
      </c>
      <c r="AC311">
        <f>Model!AK418</f>
        <v>0</v>
      </c>
      <c r="AD311">
        <f>Model!AL418</f>
        <v>0</v>
      </c>
      <c r="AE311">
        <f>Model!AM418</f>
        <v>0</v>
      </c>
      <c r="AF311">
        <f>Model!AN418</f>
        <v>0</v>
      </c>
      <c r="AG311">
        <f>Model!AO418</f>
        <v>0</v>
      </c>
      <c r="AH311">
        <f>Model!AP418</f>
        <v>0</v>
      </c>
      <c r="AI311">
        <f>Model!AQ418</f>
        <v>0</v>
      </c>
      <c r="AJ311">
        <f>Model!AR418</f>
        <v>0</v>
      </c>
      <c r="AK311">
        <f>Model!AS418</f>
        <v>0</v>
      </c>
      <c r="AL311">
        <f>Model!AT418</f>
        <v>0</v>
      </c>
      <c r="AM311">
        <f>Model!AU418</f>
        <v>0</v>
      </c>
      <c r="AN311">
        <f>Model!AV418</f>
        <v>0</v>
      </c>
      <c r="AO311">
        <f>Model!AW418</f>
        <v>0</v>
      </c>
      <c r="AP311">
        <f>Model!AX418</f>
        <v>0</v>
      </c>
      <c r="AQ311">
        <f>Model!AY418</f>
        <v>0</v>
      </c>
      <c r="AR311">
        <f>Model!AZ418</f>
        <v>0</v>
      </c>
      <c r="AS311">
        <f>Model!BA418</f>
        <v>0</v>
      </c>
      <c r="AT311">
        <f>Model!BB418</f>
        <v>0</v>
      </c>
      <c r="AU311">
        <f>Model!BC418</f>
        <v>0</v>
      </c>
      <c r="AV311">
        <f>Model!BD418</f>
        <v>0</v>
      </c>
      <c r="AW311">
        <f>Model!BE418</f>
        <v>0</v>
      </c>
      <c r="AX311">
        <f>Model!BF418</f>
        <v>0</v>
      </c>
      <c r="AY311">
        <f>Model!BG418</f>
        <v>0</v>
      </c>
      <c r="AZ311">
        <f>Model!BH418</f>
        <v>0</v>
      </c>
      <c r="BA311">
        <f>Model!BI418</f>
        <v>0</v>
      </c>
      <c r="BB311">
        <f>Model!BJ418</f>
        <v>0</v>
      </c>
      <c r="BC311">
        <f>Model!BK418</f>
        <v>0</v>
      </c>
      <c r="BD311">
        <f>Model!BL418</f>
        <v>0</v>
      </c>
      <c r="BE311">
        <f>Model!BM418</f>
        <v>0</v>
      </c>
      <c r="BF311">
        <f>Model!BN418</f>
        <v>0</v>
      </c>
      <c r="BG311">
        <f>Model!BO418</f>
        <v>0</v>
      </c>
      <c r="BH311">
        <f>Model!BP418</f>
        <v>0</v>
      </c>
      <c r="BI311">
        <f>Model!BQ418</f>
        <v>0</v>
      </c>
      <c r="BJ311">
        <f>Model!BR418</f>
        <v>0</v>
      </c>
      <c r="BK311">
        <f>Model!BS418</f>
        <v>0</v>
      </c>
      <c r="BL311">
        <f>Model!BT418</f>
        <v>0</v>
      </c>
      <c r="BM311">
        <f>Model!BU418</f>
        <v>0</v>
      </c>
      <c r="BN311">
        <f>Model!BV418</f>
        <v>0</v>
      </c>
      <c r="BO311">
        <f>Model!BW418</f>
        <v>0</v>
      </c>
      <c r="BP311">
        <f>Model!BX418</f>
        <v>0</v>
      </c>
      <c r="BQ311">
        <f>Model!BY418</f>
        <v>0</v>
      </c>
      <c r="BR311">
        <f>Model!BZ418</f>
        <v>0</v>
      </c>
      <c r="BS311">
        <f>Model!CA418</f>
        <v>0</v>
      </c>
      <c r="BT311">
        <f>Model!CB418</f>
        <v>0</v>
      </c>
      <c r="BU311">
        <f>Model!CC418</f>
        <v>0</v>
      </c>
      <c r="BV311">
        <f>Model!CD418</f>
        <v>0</v>
      </c>
      <c r="BW311">
        <f>Model!CE418</f>
        <v>0</v>
      </c>
      <c r="BX311">
        <f>Model!CF418</f>
        <v>0</v>
      </c>
      <c r="BY311">
        <f>Model!CG418</f>
        <v>0</v>
      </c>
      <c r="BZ311">
        <f>Model!CH418</f>
        <v>0</v>
      </c>
      <c r="CA311">
        <f>Model!CI418</f>
        <v>0</v>
      </c>
      <c r="CB311">
        <f>Model!CJ418</f>
        <v>0</v>
      </c>
      <c r="CC311">
        <f>Model!CK418</f>
        <v>0</v>
      </c>
      <c r="CD311">
        <f>Model!CL418</f>
        <v>0</v>
      </c>
      <c r="CE311">
        <f>Model!CM418</f>
        <v>0</v>
      </c>
      <c r="CF311">
        <f>Model!CN418</f>
        <v>0</v>
      </c>
      <c r="CG311">
        <f>Model!CO418</f>
        <v>0</v>
      </c>
      <c r="CH311">
        <f>Model!CP418</f>
        <v>0</v>
      </c>
      <c r="CI311">
        <f>Model!CQ418</f>
        <v>0</v>
      </c>
      <c r="CJ311">
        <f>Model!CR418</f>
        <v>0</v>
      </c>
      <c r="CK311">
        <f>Model!CS418</f>
        <v>0</v>
      </c>
      <c r="CL311">
        <f>Model!CT418</f>
        <v>0</v>
      </c>
      <c r="CM311">
        <f>Model!CU418</f>
        <v>0</v>
      </c>
      <c r="CN311">
        <f>Model!CV418</f>
        <v>0</v>
      </c>
      <c r="CO311">
        <f>Model!CW418</f>
        <v>0</v>
      </c>
      <c r="CP311">
        <f>Model!CX418</f>
        <v>0</v>
      </c>
      <c r="CQ311">
        <f>Model!CY418</f>
        <v>0</v>
      </c>
      <c r="CR311">
        <f>Model!CZ418</f>
        <v>0</v>
      </c>
      <c r="CS311">
        <f>Model!DA418</f>
        <v>0</v>
      </c>
      <c r="CT311">
        <f>Model!DB418</f>
        <v>0</v>
      </c>
      <c r="CU311">
        <f>Model!DC418</f>
        <v>0</v>
      </c>
      <c r="CV311">
        <f>Model!DD418</f>
        <v>0</v>
      </c>
      <c r="CW311">
        <f>Model!DE418</f>
        <v>0</v>
      </c>
      <c r="CX311">
        <f>Model!DF418</f>
        <v>0</v>
      </c>
    </row>
    <row r="312" spans="1:102">
      <c r="A312" t="str">
        <f>Model!I419</f>
        <v>Total % change Y/Y in Ad Spend</v>
      </c>
      <c r="B312">
        <f>Model!J419</f>
        <v>0</v>
      </c>
      <c r="C312">
        <f>Model!K419</f>
        <v>0</v>
      </c>
      <c r="D312">
        <f>Model!L419</f>
        <v>0</v>
      </c>
      <c r="E312">
        <f>Model!M419</f>
        <v>0</v>
      </c>
      <c r="F312">
        <f>Model!N419</f>
        <v>0</v>
      </c>
      <c r="G312">
        <f>Model!O419</f>
        <v>0</v>
      </c>
      <c r="H312">
        <f>Model!P419</f>
        <v>0</v>
      </c>
      <c r="I312">
        <f>Model!Q419</f>
        <v>0</v>
      </c>
      <c r="J312">
        <f>Model!R419</f>
        <v>0</v>
      </c>
      <c r="K312">
        <f>Model!S419</f>
        <v>0</v>
      </c>
      <c r="L312">
        <f>Model!T419</f>
        <v>0</v>
      </c>
      <c r="M312">
        <f>Model!U419</f>
        <v>0</v>
      </c>
      <c r="N312">
        <f>Model!V419</f>
        <v>0</v>
      </c>
      <c r="O312">
        <f>Model!W419</f>
        <v>0</v>
      </c>
      <c r="P312">
        <f>Model!X419</f>
        <v>0</v>
      </c>
      <c r="Q312">
        <f>Model!Y419</f>
        <v>0</v>
      </c>
      <c r="R312">
        <f>Model!Z419</f>
        <v>0</v>
      </c>
      <c r="S312">
        <f>Model!AA419</f>
        <v>0</v>
      </c>
      <c r="T312">
        <f>Model!AB419</f>
        <v>0</v>
      </c>
      <c r="U312">
        <f>Model!AC419</f>
        <v>0.36345342421291771</v>
      </c>
      <c r="V312">
        <f>Model!AD419</f>
        <v>0.24000977636563614</v>
      </c>
      <c r="W312">
        <f>Model!AE419</f>
        <v>0.85575807222335976</v>
      </c>
      <c r="X312">
        <f>Model!AF419</f>
        <v>0.44523940561364883</v>
      </c>
      <c r="Y312">
        <f>Model!AG419</f>
        <v>0.490144734336317</v>
      </c>
      <c r="Z312">
        <f>Model!AH419</f>
        <v>0.93919385039913261</v>
      </c>
      <c r="AA312">
        <f>Model!AI419</f>
        <v>0.51646128379621126</v>
      </c>
      <c r="AB312">
        <f>Model!AJ419</f>
        <v>0.6078160700685451</v>
      </c>
      <c r="AC312">
        <f>Model!AK419</f>
        <v>0.38218473433656008</v>
      </c>
      <c r="AD312">
        <f>Model!AL419</f>
        <v>0.34042282868323426</v>
      </c>
      <c r="AE312">
        <f>Model!AM419</f>
        <v>0.51017586416009708</v>
      </c>
      <c r="AF312">
        <f>Model!AN419</f>
        <v>0.49122183734493885</v>
      </c>
      <c r="AG312">
        <f>Model!AO419</f>
        <v>0.61417905272647433</v>
      </c>
      <c r="AH312">
        <f>Model!AP419</f>
        <v>0.5694110064264184</v>
      </c>
      <c r="AI312">
        <f>Model!AQ419</f>
        <v>0.48712594567679135</v>
      </c>
      <c r="AJ312">
        <f>Model!AR419</f>
        <v>0.26149020230697473</v>
      </c>
      <c r="AK312">
        <f>Model!AS419</f>
        <v>0.1296272429150378</v>
      </c>
      <c r="AL312">
        <f>Model!AT419</f>
        <v>0.22191621974199149</v>
      </c>
      <c r="AM312">
        <f>Model!AU419</f>
        <v>0.33475546530718048</v>
      </c>
      <c r="AN312">
        <f>Model!AV419</f>
        <v>0.54283915643688996</v>
      </c>
      <c r="AO312">
        <f>Model!AW419</f>
        <v>0.58331959991379612</v>
      </c>
      <c r="AP312">
        <f>Model!AX419</f>
        <v>0.41005338078291809</v>
      </c>
      <c r="AQ312">
        <f>Model!AY419</f>
        <v>0.4606277867240669</v>
      </c>
      <c r="AR312">
        <f>Model!AZ419</f>
        <v>0.42622817039334104</v>
      </c>
      <c r="AS312">
        <f>Model!BA419</f>
        <v>0.57507386086134993</v>
      </c>
      <c r="AT312">
        <f>Model!BB419</f>
        <v>0.7252893628059256</v>
      </c>
      <c r="AU312">
        <f>Model!BC419</f>
        <v>0.5953518005540166</v>
      </c>
      <c r="AV312">
        <f>Model!BD419</f>
        <v>0.60141185558162147</v>
      </c>
      <c r="AW312">
        <f>Model!BE419</f>
        <v>0.46548428747166049</v>
      </c>
      <c r="AX312">
        <f>Model!BF419</f>
        <v>0.31818754393592785</v>
      </c>
      <c r="AY312">
        <f>Model!BG419</f>
        <v>0.33228110751108653</v>
      </c>
      <c r="AZ312">
        <f>Model!BH419</f>
        <v>0.39698887464661059</v>
      </c>
      <c r="BA312">
        <f>Model!BI419</f>
        <v>0.49459751017194309</v>
      </c>
      <c r="BB312">
        <f>Model!BJ419</f>
        <v>0.52670143833885086</v>
      </c>
      <c r="BC312">
        <f>Model!BK419</f>
        <v>0.49371163445372668</v>
      </c>
      <c r="BD312">
        <f>Model!BL419</f>
        <v>0.36481984718181515</v>
      </c>
      <c r="BE312">
        <f>Model!BM419</f>
        <v>0.33289856619677782</v>
      </c>
      <c r="BF312">
        <f>Model!BN419</f>
        <v>0.4087024118401259</v>
      </c>
      <c r="BG312">
        <f>Model!BO419</f>
        <v>0.34613082513894833</v>
      </c>
      <c r="BH312">
        <f>Model!BP419</f>
        <v>0.28394807239132169</v>
      </c>
      <c r="BI312">
        <f>Model!BQ419</f>
        <v>0.23066502763258234</v>
      </c>
      <c r="BJ312">
        <f>Model!BR419</f>
        <v>0.19986211463405223</v>
      </c>
      <c r="BK312">
        <f>Model!BS419</f>
        <v>0.10523627605142294</v>
      </c>
      <c r="BL312">
        <f>Model!BT419</f>
        <v>0.12277603444501195</v>
      </c>
      <c r="BM312">
        <f>Model!BU419</f>
        <v>0.20225863683824796</v>
      </c>
      <c r="BN312">
        <f>Model!BV419</f>
        <v>0.2340916068286425</v>
      </c>
      <c r="BO312">
        <f>Model!BW419</f>
        <v>0.30536942270994016</v>
      </c>
      <c r="BP312">
        <f>Model!BX419</f>
        <v>0.26614517659599368</v>
      </c>
      <c r="BQ312">
        <f>Model!BY419</f>
        <v>0.24010596007785789</v>
      </c>
      <c r="BR312">
        <f>Model!BZ419</f>
        <v>0.2281440812170159</v>
      </c>
      <c r="BS312">
        <f>Model!CA419</f>
        <v>0.20144823490194019</v>
      </c>
      <c r="BT312">
        <f>Model!CB419</f>
        <v>0.1212092822693871</v>
      </c>
      <c r="BU312">
        <f>Model!CC419</f>
        <v>0.1525148200465789</v>
      </c>
      <c r="BV312">
        <f>Model!CD419</f>
        <v>0.17422571901804584</v>
      </c>
      <c r="BW312">
        <f>Model!CE419</f>
        <v>0.11684618987679762</v>
      </c>
      <c r="BX312">
        <f>Model!CF419</f>
        <v>0.19804434341432264</v>
      </c>
      <c r="BY312">
        <f>Model!CG419</f>
        <v>0</v>
      </c>
      <c r="BZ312">
        <f>Model!CH419</f>
        <v>0</v>
      </c>
      <c r="CA312">
        <f>Model!CI419</f>
        <v>0</v>
      </c>
      <c r="CB312">
        <f>Model!CJ419</f>
        <v>0</v>
      </c>
      <c r="CC312">
        <f>Model!CK419</f>
        <v>0</v>
      </c>
      <c r="CD312">
        <f>Model!CL419</f>
        <v>0</v>
      </c>
      <c r="CE312">
        <f>Model!CM419</f>
        <v>0</v>
      </c>
      <c r="CF312">
        <f>Model!CN419</f>
        <v>0</v>
      </c>
      <c r="CG312">
        <f>Model!CO419</f>
        <v>0.47980233706228037</v>
      </c>
      <c r="CH312">
        <f>Model!CP419</f>
        <v>0.3009266606854244</v>
      </c>
      <c r="CI312">
        <f>Model!CQ419</f>
        <v>0.46359037176461237</v>
      </c>
      <c r="CJ312">
        <f>Model!CR419</f>
        <v>0.62401378573591382</v>
      </c>
      <c r="CK312">
        <f>Model!CS419</f>
        <v>0.37127193005426928</v>
      </c>
      <c r="CL312">
        <f>Model!CT419</f>
        <v>0.47128551022434761</v>
      </c>
      <c r="CM312">
        <f>Model!CU419</f>
        <v>0.34547771044554199</v>
      </c>
      <c r="CN312">
        <f>Model!CV419</f>
        <v>0.16221768607733655</v>
      </c>
      <c r="CO312">
        <f>Model!CW419</f>
        <v>0.25334753024812717</v>
      </c>
      <c r="CP312">
        <f>Model!CX419</f>
        <v>0.20089351348415985</v>
      </c>
      <c r="CQ312">
        <f>Model!CY419</f>
        <v>0.15684478856181094</v>
      </c>
      <c r="CR312">
        <f>Model!CZ419</f>
        <v>0.13993937514373611</v>
      </c>
      <c r="CS312">
        <f>Model!DA419</f>
        <v>0.12341794164691633</v>
      </c>
      <c r="CT312">
        <f>Model!DB419</f>
        <v>0.10529424176751778</v>
      </c>
      <c r="CU312">
        <f>Model!DC419</f>
        <v>9.3714182414083025E-2</v>
      </c>
      <c r="CV312">
        <f>Model!DD419</f>
        <v>8.5037577513475293E-2</v>
      </c>
      <c r="CW312">
        <f>Model!DE419</f>
        <v>7.7160666124706623E-2</v>
      </c>
      <c r="CX312">
        <f>Model!DF419</f>
        <v>7.5864099662181994E-2</v>
      </c>
    </row>
    <row r="313" spans="1:102">
      <c r="A313" t="str">
        <f>Model!I421</f>
        <v>Currency Impact (%)</v>
      </c>
      <c r="B313">
        <f>Model!J421</f>
        <v>0</v>
      </c>
      <c r="C313">
        <f>Model!K421</f>
        <v>0</v>
      </c>
      <c r="D313">
        <f>Model!L421</f>
        <v>0</v>
      </c>
      <c r="E313">
        <f>Model!M421</f>
        <v>0</v>
      </c>
      <c r="F313">
        <f>Model!N421</f>
        <v>0</v>
      </c>
      <c r="G313">
        <f>Model!O421</f>
        <v>0</v>
      </c>
      <c r="H313">
        <f>Model!P421</f>
        <v>0</v>
      </c>
      <c r="I313">
        <f>Model!Q421</f>
        <v>0</v>
      </c>
      <c r="J313">
        <f>Model!R421</f>
        <v>0</v>
      </c>
      <c r="K313">
        <f>Model!S421</f>
        <v>0</v>
      </c>
      <c r="L313">
        <f>Model!T421</f>
        <v>0</v>
      </c>
      <c r="M313">
        <f>Model!U421</f>
        <v>0</v>
      </c>
      <c r="N313">
        <f>Model!V421</f>
        <v>0</v>
      </c>
      <c r="O313">
        <f>Model!W421</f>
        <v>0</v>
      </c>
      <c r="P313">
        <f>Model!X421</f>
        <v>0</v>
      </c>
      <c r="Q313">
        <f>Model!Y421</f>
        <v>0</v>
      </c>
      <c r="R313">
        <f>Model!Z421</f>
        <v>0</v>
      </c>
      <c r="S313">
        <f>Model!AA421</f>
        <v>0</v>
      </c>
      <c r="T313">
        <f>Model!AB421</f>
        <v>0</v>
      </c>
      <c r="U313">
        <f>Model!AC421</f>
        <v>0</v>
      </c>
      <c r="V313">
        <f>Model!AD421</f>
        <v>0</v>
      </c>
      <c r="W313">
        <f>Model!AE421</f>
        <v>0</v>
      </c>
      <c r="X313">
        <f>Model!AF421</f>
        <v>0</v>
      </c>
      <c r="Y313">
        <f>Model!AG421</f>
        <v>0</v>
      </c>
      <c r="Z313">
        <f>Model!AH421</f>
        <v>0</v>
      </c>
      <c r="AA313">
        <f>Model!AI421</f>
        <v>0</v>
      </c>
      <c r="AB313">
        <f>Model!AJ421</f>
        <v>0</v>
      </c>
      <c r="AC313">
        <f>Model!AK421</f>
        <v>8.3213882074507195E-2</v>
      </c>
      <c r="AD313">
        <f>Model!AL421</f>
        <v>7.2842550230693123E-2</v>
      </c>
      <c r="AE313">
        <f>Model!AM421</f>
        <v>6.5219877535805382E-2</v>
      </c>
      <c r="AF313">
        <f>Model!AN421</f>
        <v>0.13027561856479319</v>
      </c>
      <c r="AG313">
        <f>Model!AO421</f>
        <v>0.14556289454262397</v>
      </c>
      <c r="AH313">
        <f>Model!AP421</f>
        <v>0.14268668573674295</v>
      </c>
      <c r="AI313">
        <f>Model!AQ421</f>
        <v>8.5046663822106003E-2</v>
      </c>
      <c r="AJ313">
        <f>Model!AR421</f>
        <v>-5.9157470816737681E-2</v>
      </c>
      <c r="AK313">
        <f>Model!AS421</f>
        <v>-0.10241134194793704</v>
      </c>
      <c r="AL313">
        <f>Model!AT421</f>
        <v>-0.10760533056400479</v>
      </c>
      <c r="AM313">
        <f>Model!AU421</f>
        <v>-6.7520668247712162E-2</v>
      </c>
      <c r="AN313">
        <f>Model!AV421</f>
        <v>7.2484674391877987E-2</v>
      </c>
      <c r="AO313">
        <f>Model!AW421</f>
        <v>5.3447696468529225E-2</v>
      </c>
      <c r="AP313">
        <f>Model!AX421</f>
        <v>-5.0362897248835241E-2</v>
      </c>
      <c r="AQ313">
        <f>Model!AY421</f>
        <v>-7.6837267471436863E-2</v>
      </c>
      <c r="AR313">
        <f>Model!AZ421</f>
        <v>-4.4548648462389893E-2</v>
      </c>
      <c r="AS313">
        <f>Model!BA421</f>
        <v>6.8726890420110417E-3</v>
      </c>
      <c r="AT313">
        <f>Model!BB421</f>
        <v>0.15242329247989281</v>
      </c>
      <c r="AU313">
        <f>Model!BC421</f>
        <v>9.1925676310123675E-2</v>
      </c>
      <c r="AV313">
        <f>Model!BD421</f>
        <v>-1.0638302973914854E-2</v>
      </c>
      <c r="AW313">
        <f>Model!BE421</f>
        <v>-3.121276374103155E-2</v>
      </c>
      <c r="AX313">
        <f>Model!BF421</f>
        <v>-9.0999151311805374E-2</v>
      </c>
      <c r="AY313">
        <f>Model!BG421</f>
        <v>-8.9710887496926378E-2</v>
      </c>
      <c r="AZ313">
        <f>Model!BH421</f>
        <v>-1.8026788620613455E-2</v>
      </c>
      <c r="BA313">
        <f>Model!BI421</f>
        <v>-1.8610062416968608E-3</v>
      </c>
      <c r="BB313">
        <f>Model!BJ421</f>
        <v>1.1568525934735942E-3</v>
      </c>
      <c r="BC313">
        <f>Model!BK421</f>
        <v>6.8590395389214456E-3</v>
      </c>
      <c r="BD313">
        <f>Model!BL421</f>
        <v>-6.718920491309008E-3</v>
      </c>
      <c r="BE313">
        <f>Model!BM421</f>
        <v>-1.0861790354907782E-2</v>
      </c>
      <c r="BF313">
        <f>Model!BN421</f>
        <v>1.0093537506192272E-2</v>
      </c>
      <c r="BG313">
        <f>Model!BO421</f>
        <v>-3.4541129487172186E-3</v>
      </c>
      <c r="BH313">
        <f>Model!BP421</f>
        <v>-6.9187885937255583E-2</v>
      </c>
      <c r="BI313">
        <f>Model!BQ421</f>
        <v>-0.13419990358599074</v>
      </c>
      <c r="BJ313">
        <f>Model!BR421</f>
        <v>-0.15691277407447077</v>
      </c>
      <c r="BK313">
        <f>Model!BS421</f>
        <v>-0.1481289306907799</v>
      </c>
      <c r="BL313">
        <f>Model!BT421</f>
        <v>-0.11702003321870257</v>
      </c>
      <c r="BM313">
        <f>Model!BU421</f>
        <v>-5.1070780399274041E-2</v>
      </c>
      <c r="BN313">
        <f>Model!BV421</f>
        <v>-1.6592040122384629E-2</v>
      </c>
      <c r="BO313">
        <f>Model!BW421</f>
        <v>-1.1146367651723312E-2</v>
      </c>
      <c r="BP313">
        <f>Model!BX421</f>
        <v>-2.3207461135675754E-2</v>
      </c>
      <c r="BQ313">
        <f>Model!BY421</f>
        <v>-2.9401893107762436E-2</v>
      </c>
      <c r="BR313">
        <f>Model!BZ421</f>
        <v>-2.6971936117361522E-2</v>
      </c>
      <c r="BS313">
        <f>Model!CA421</f>
        <v>1.9660360220411274E-2</v>
      </c>
      <c r="BT313">
        <f>Model!CB421</f>
        <v>5.2628085235402924E-2</v>
      </c>
      <c r="BU313">
        <f>Model!CC421</f>
        <v>6.171233571310078E-2</v>
      </c>
      <c r="BV313">
        <f>Model!CD421</f>
        <v>3.4986884159618183E-2</v>
      </c>
      <c r="BW313">
        <f>Model!CE421</f>
        <v>-4.557675090678546E-3</v>
      </c>
      <c r="BX313">
        <f>Model!CF421</f>
        <v>3.6821902121040105E-2</v>
      </c>
      <c r="BY313">
        <f>Model!CG421</f>
        <v>0</v>
      </c>
      <c r="BZ313">
        <f>Model!CH421</f>
        <v>0</v>
      </c>
      <c r="CA313">
        <f>Model!CI421</f>
        <v>0</v>
      </c>
      <c r="CB313">
        <f>Model!CJ421</f>
        <v>0</v>
      </c>
      <c r="CC313">
        <f>Model!CK421</f>
        <v>0</v>
      </c>
      <c r="CD313">
        <f>Model!CL421</f>
        <v>0</v>
      </c>
      <c r="CE313">
        <f>Model!CM421</f>
        <v>0</v>
      </c>
      <c r="CF313">
        <f>Model!CN421</f>
        <v>0</v>
      </c>
      <c r="CG313">
        <f>Model!CO421</f>
        <v>3.2802420937837057E-3</v>
      </c>
      <c r="CH313">
        <f>Model!CP421</f>
        <v>-5.8505127907454768E-2</v>
      </c>
      <c r="CI313">
        <f>Model!CQ421</f>
        <v>-2.3317772499692517E-2</v>
      </c>
      <c r="CJ313">
        <f>Model!CR421</f>
        <v>1.2390599810113089E-3</v>
      </c>
      <c r="CK313">
        <f>Model!CS421</f>
        <v>-5.4851299737803866E-2</v>
      </c>
      <c r="CL313">
        <f>Model!CT421</f>
        <v>-2.1106341786858104E-4</v>
      </c>
      <c r="CM313">
        <f>Model!CU421</f>
        <v>-1.9592559987190242E-2</v>
      </c>
      <c r="CN313">
        <f>Model!CV421</f>
        <v>-0.13896771583995177</v>
      </c>
      <c r="CO313">
        <f>Model!CW421</f>
        <v>-2.5412829772573559E-2</v>
      </c>
      <c r="CP313">
        <f>Model!CX421</f>
        <v>2.380801179736703E-2</v>
      </c>
      <c r="CQ313">
        <f>Model!CY421</f>
        <v>3.0660110734828074E-2</v>
      </c>
      <c r="CR313">
        <f>Model!CZ421</f>
        <v>1.800640704885353E-4</v>
      </c>
      <c r="CS313">
        <f>Model!DA421</f>
        <v>0</v>
      </c>
      <c r="CT313">
        <f>Model!DB421</f>
        <v>0</v>
      </c>
      <c r="CU313">
        <f>Model!DC421</f>
        <v>0</v>
      </c>
      <c r="CV313">
        <f>Model!DD421</f>
        <v>0</v>
      </c>
      <c r="CW313">
        <f>Model!DE421</f>
        <v>0</v>
      </c>
      <c r="CX313">
        <f>Model!DF421</f>
        <v>0</v>
      </c>
    </row>
    <row r="316" spans="1:102">
      <c r="A316" t="str">
        <f>Model!I423</f>
        <v>Implied Ad Spend ex FX</v>
      </c>
      <c r="B316">
        <f>Model!J423</f>
        <v>0</v>
      </c>
      <c r="C316">
        <f>Model!K423</f>
        <v>0</v>
      </c>
      <c r="D316">
        <f>Model!L423</f>
        <v>0</v>
      </c>
      <c r="E316">
        <f>Model!M423</f>
        <v>0</v>
      </c>
      <c r="F316">
        <f>Model!N423</f>
        <v>0</v>
      </c>
      <c r="G316">
        <f>Model!O423</f>
        <v>0</v>
      </c>
      <c r="H316">
        <f>Model!P423</f>
        <v>0</v>
      </c>
      <c r="I316">
        <f>Model!Q423</f>
        <v>0</v>
      </c>
      <c r="J316">
        <f>Model!R423</f>
        <v>0</v>
      </c>
      <c r="K316">
        <f>Model!S423</f>
        <v>0</v>
      </c>
      <c r="L316">
        <f>Model!T423</f>
        <v>0</v>
      </c>
      <c r="M316">
        <f>Model!U423</f>
        <v>0</v>
      </c>
      <c r="N316">
        <f>Model!V423</f>
        <v>0</v>
      </c>
      <c r="O316">
        <f>Model!W423</f>
        <v>0</v>
      </c>
      <c r="P316">
        <f>Model!X423</f>
        <v>0</v>
      </c>
      <c r="Q316">
        <f>Model!Y423</f>
        <v>0</v>
      </c>
      <c r="R316">
        <f>Model!Z423</f>
        <v>0</v>
      </c>
      <c r="S316">
        <f>Model!AA423</f>
        <v>0</v>
      </c>
      <c r="T316">
        <f>Model!AB423</f>
        <v>0</v>
      </c>
      <c r="U316">
        <f>Model!AC423</f>
        <v>0</v>
      </c>
      <c r="V316">
        <f>Model!AD423</f>
        <v>0</v>
      </c>
      <c r="W316">
        <f>Model!AE423</f>
        <v>0</v>
      </c>
      <c r="X316">
        <f>Model!AF423</f>
        <v>0</v>
      </c>
      <c r="Y316">
        <f>Model!AG423</f>
        <v>0</v>
      </c>
      <c r="Z316">
        <f>Model!AH423</f>
        <v>0</v>
      </c>
      <c r="AA316">
        <f>Model!AI423</f>
        <v>0</v>
      </c>
      <c r="AB316">
        <f>Model!AJ423</f>
        <v>0</v>
      </c>
      <c r="AC316">
        <f>Model!AK423</f>
        <v>40.656488704949993</v>
      </c>
      <c r="AD316">
        <f>Model!AL423</f>
        <v>49.884354278221302</v>
      </c>
      <c r="AE316">
        <f>Model!AM423</f>
        <v>59.568310548586425</v>
      </c>
      <c r="AF316">
        <f>Model!AN423</f>
        <v>45.968680431736978</v>
      </c>
      <c r="AG316">
        <f>Model!AO423</f>
        <v>63.533803619191545</v>
      </c>
      <c r="AH316">
        <f>Model!AP423</f>
        <v>75.261134640701073</v>
      </c>
      <c r="AI316">
        <f>Model!AQ423</f>
        <v>87.289249850427154</v>
      </c>
      <c r="AJ316">
        <f>Model!AR423</f>
        <v>66.519702647568266</v>
      </c>
      <c r="AK316">
        <f>Model!AS423</f>
        <v>86.034486419566406</v>
      </c>
      <c r="AL316">
        <f>Model!AT423</f>
        <v>110.06843010673282</v>
      </c>
      <c r="AM316">
        <f>Model!AU423</f>
        <v>129.82833354904619</v>
      </c>
      <c r="AN316">
        <f>Model!AV423</f>
        <v>93.426323789140071</v>
      </c>
      <c r="AO316">
        <f>Model!AW423</f>
        <v>120.680885359473</v>
      </c>
      <c r="AP316">
        <f>Model!AX423</f>
        <v>147.73571068569217</v>
      </c>
      <c r="AQ316">
        <f>Model!AY423</f>
        <v>189.99531900231776</v>
      </c>
      <c r="AR316">
        <f>Model!AZ423</f>
        <v>144.183193106065</v>
      </c>
      <c r="AS316">
        <f>Model!BA423</f>
        <v>195.86362175671997</v>
      </c>
      <c r="AT316">
        <f>Model!BB423</f>
        <v>224.35518913737562</v>
      </c>
      <c r="AU316">
        <f>Model!BC423</f>
        <v>271.36841542602269</v>
      </c>
      <c r="AV316">
        <f>Model!BD423</f>
        <v>225.39040496860088</v>
      </c>
      <c r="AW316">
        <f>Model!BE423</f>
        <v>294.43323730866319</v>
      </c>
      <c r="AX316">
        <f>Model!BF423</f>
        <v>346.79661814038138</v>
      </c>
      <c r="AY316">
        <f>Model!BG423</f>
        <v>409.47823687450239</v>
      </c>
      <c r="AZ316">
        <f>Model!BH423</f>
        <v>316.82625205252123</v>
      </c>
      <c r="BA316">
        <f>Model!BI423</f>
        <v>431.41851507243751</v>
      </c>
      <c r="BB316">
        <f>Model!BJ423</f>
        <v>494.88971470497199</v>
      </c>
      <c r="BC316">
        <f>Model!BK423</f>
        <v>570.42356377609042</v>
      </c>
      <c r="BD316">
        <f>Model!BL423</f>
        <v>429.00361114047655</v>
      </c>
      <c r="BE316">
        <f>Model!BM423</f>
        <v>579.00214995170336</v>
      </c>
      <c r="BF316">
        <f>Model!BN423</f>
        <v>692.68202414699556</v>
      </c>
      <c r="BG316">
        <f>Model!BO423</f>
        <v>773.3863966958271</v>
      </c>
      <c r="BH316">
        <f>Model!BP423</f>
        <v>577.65644688238626</v>
      </c>
      <c r="BI316">
        <f>Model!BQ423</f>
        <v>783.87195702731333</v>
      </c>
      <c r="BJ316">
        <f>Model!BR423</f>
        <v>946.5960611290509</v>
      </c>
      <c r="BK316">
        <f>Model!BS423</f>
        <v>966.85469403738239</v>
      </c>
      <c r="BL316">
        <f>Model!BT423</f>
        <v>679.55702060783517</v>
      </c>
      <c r="BM316">
        <f>Model!BU423</f>
        <v>885.85072544464606</v>
      </c>
      <c r="BN316">
        <f>Model!BV423</f>
        <v>1046.9735452192908</v>
      </c>
      <c r="BO316">
        <f>Model!BW423</f>
        <v>1122.4442481570795</v>
      </c>
      <c r="BP316">
        <f>Model!BX423</f>
        <v>793.4882429022731</v>
      </c>
      <c r="BQ316">
        <f>Model!BY423</f>
        <v>1078.7693762758936</v>
      </c>
      <c r="BR316">
        <f>Model!BZ423</f>
        <v>1296.6402756518683</v>
      </c>
      <c r="BS316">
        <f>Model!CA423</f>
        <v>1315.2601790359354</v>
      </c>
      <c r="BT316">
        <f>Model!CB423</f>
        <v>832.64488021606269</v>
      </c>
      <c r="BU316">
        <f>Model!CC423</f>
        <v>1149.4712959533545</v>
      </c>
      <c r="BV316">
        <f>Model!CD423</f>
        <v>1445.4388919363364</v>
      </c>
      <c r="BW316">
        <f>Model!CE423</f>
        <v>1499.4750854064762</v>
      </c>
      <c r="BX316">
        <f>Model!CF423</f>
        <v>1014.5054695032002</v>
      </c>
      <c r="BY316">
        <f>Model!CG423</f>
        <v>0</v>
      </c>
      <c r="BZ316">
        <f>Model!CH423</f>
        <v>0</v>
      </c>
      <c r="CA316">
        <f>Model!CI423</f>
        <v>0</v>
      </c>
      <c r="CB316">
        <f>Model!CJ423</f>
        <v>0</v>
      </c>
      <c r="CC316">
        <f>Model!CK423</f>
        <v>0</v>
      </c>
      <c r="CD316">
        <f>Model!CL423</f>
        <v>0</v>
      </c>
      <c r="CE316">
        <f>Model!CM423</f>
        <v>0</v>
      </c>
      <c r="CF316">
        <f>Model!CN423</f>
        <v>0</v>
      </c>
      <c r="CG316">
        <f>Model!CO423</f>
        <v>308.05861685003714</v>
      </c>
      <c r="CH316">
        <f>Model!CP423</f>
        <v>419.71504870553127</v>
      </c>
      <c r="CI316">
        <f>Model!CQ423</f>
        <v>597.21962996004652</v>
      </c>
      <c r="CJ316">
        <f>Model!CR423</f>
        <v>953.95461363392258</v>
      </c>
      <c r="CK316">
        <f>Model!CS423</f>
        <v>1361.4956033875858</v>
      </c>
      <c r="CL316">
        <f>Model!CT423</f>
        <v>1926.3803094522343</v>
      </c>
      <c r="CM316">
        <f>Model!CU423</f>
        <v>2629.2673081615671</v>
      </c>
      <c r="CN316">
        <f>Model!CV423</f>
        <v>3372.0610046307102</v>
      </c>
      <c r="CO316">
        <f>Model!CW423</f>
        <v>3851.5264610742688</v>
      </c>
      <c r="CP316">
        <f>Model!CX423</f>
        <v>4443.4801125851172</v>
      </c>
      <c r="CQ316">
        <f>Model!CY423</f>
        <v>5105.3949401503423</v>
      </c>
      <c r="CR316">
        <f>Model!CZ423</f>
        <v>5977.3401752089012</v>
      </c>
      <c r="CS316">
        <f>Model!DA423</f>
        <v>6716.11206878135</v>
      </c>
      <c r="CT316">
        <f>Model!DB423</f>
        <v>7423.2799966893581</v>
      </c>
      <c r="CU316">
        <f>Model!DC423</f>
        <v>8118.9466124099181</v>
      </c>
      <c r="CV316">
        <f>Model!DD423</f>
        <v>8809.3621642904945</v>
      </c>
      <c r="CW316">
        <f>Model!DE423</f>
        <v>9489.0984170209358</v>
      </c>
      <c r="CX316">
        <f>Model!DF423</f>
        <v>10208.980325034065</v>
      </c>
    </row>
    <row r="317" spans="1:102">
      <c r="A317" t="str">
        <f>Model!I424</f>
        <v>Constant Currency Ad Dollars Spent per Room Night</v>
      </c>
      <c r="B317">
        <f>Model!J424</f>
        <v>0</v>
      </c>
      <c r="C317">
        <f>Model!K424</f>
        <v>0</v>
      </c>
      <c r="D317">
        <f>Model!L424</f>
        <v>0</v>
      </c>
      <c r="E317">
        <f>Model!M424</f>
        <v>0</v>
      </c>
      <c r="F317">
        <f>Model!N424</f>
        <v>0</v>
      </c>
      <c r="G317">
        <f>Model!O424</f>
        <v>0</v>
      </c>
      <c r="H317">
        <f>Model!P424</f>
        <v>0</v>
      </c>
      <c r="I317">
        <f>Model!Q424</f>
        <v>0</v>
      </c>
      <c r="J317">
        <f>Model!R424</f>
        <v>0</v>
      </c>
      <c r="K317">
        <f>Model!S424</f>
        <v>0</v>
      </c>
      <c r="L317">
        <f>Model!T424</f>
        <v>0</v>
      </c>
      <c r="M317">
        <f>Model!U424</f>
        <v>0</v>
      </c>
      <c r="N317">
        <f>Model!V424</f>
        <v>0</v>
      </c>
      <c r="O317">
        <f>Model!W424</f>
        <v>0</v>
      </c>
      <c r="P317">
        <f>Model!X424</f>
        <v>0</v>
      </c>
      <c r="Q317">
        <f>Model!Y424</f>
        <v>0</v>
      </c>
      <c r="R317">
        <f>Model!Z424</f>
        <v>0</v>
      </c>
      <c r="S317">
        <f>Model!AA424</f>
        <v>0</v>
      </c>
      <c r="T317">
        <f>Model!AB424</f>
        <v>0</v>
      </c>
      <c r="U317">
        <f>Model!AC424</f>
        <v>0</v>
      </c>
      <c r="V317">
        <f>Model!AD424</f>
        <v>0</v>
      </c>
      <c r="W317">
        <f>Model!AE424</f>
        <v>0</v>
      </c>
      <c r="X317">
        <f>Model!AF424</f>
        <v>0</v>
      </c>
      <c r="Y317">
        <f>Model!AG424</f>
        <v>0</v>
      </c>
      <c r="Z317">
        <f>Model!AH424</f>
        <v>0</v>
      </c>
      <c r="AA317">
        <f>Model!AI424</f>
        <v>0</v>
      </c>
      <c r="AB317">
        <f>Model!AJ424</f>
        <v>0</v>
      </c>
      <c r="AC317">
        <f>Model!AK424</f>
        <v>6.8272860965491171</v>
      </c>
      <c r="AD317">
        <f>Model!AL424</f>
        <v>6.888201364018407</v>
      </c>
      <c r="AE317">
        <f>Model!AM424</f>
        <v>7.4796974571303894</v>
      </c>
      <c r="AF317">
        <f>Model!AN424</f>
        <v>6.9481076831525064</v>
      </c>
      <c r="AG317">
        <f>Model!AO424</f>
        <v>6.7769390527137645</v>
      </c>
      <c r="AH317">
        <f>Model!AP424</f>
        <v>6.9180195459785896</v>
      </c>
      <c r="AI317">
        <f>Model!AQ424</f>
        <v>7.6341831249280361</v>
      </c>
      <c r="AJ317">
        <f>Model!AR424</f>
        <v>7.2890316291440138</v>
      </c>
      <c r="AK317">
        <f>Model!AS424</f>
        <v>6.7293301853395704</v>
      </c>
      <c r="AL317">
        <f>Model!AT424</f>
        <v>7.0263919634045848</v>
      </c>
      <c r="AM317">
        <f>Model!AU424</f>
        <v>7.2655623453492746</v>
      </c>
      <c r="AN317">
        <f>Model!AV424</f>
        <v>6.4021327889495012</v>
      </c>
      <c r="AO317">
        <f>Model!AW424</f>
        <v>6.0213993293819472</v>
      </c>
      <c r="AP317">
        <f>Model!AX424</f>
        <v>6.3679185640384555</v>
      </c>
      <c r="AQ317">
        <f>Model!AY424</f>
        <v>6.9089206909933729</v>
      </c>
      <c r="AR317">
        <f>Model!AZ424</f>
        <v>6.5537815048211367</v>
      </c>
      <c r="AS317">
        <f>Model!BA424</f>
        <v>6.2776801845102552</v>
      </c>
      <c r="AT317">
        <f>Model!BB424</f>
        <v>6.2148251838608202</v>
      </c>
      <c r="AU317">
        <f>Model!BC424</f>
        <v>6.6839511188675536</v>
      </c>
      <c r="AV317">
        <f>Model!BD424</f>
        <v>6.708047766922645</v>
      </c>
      <c r="AW317">
        <f>Model!BE424</f>
        <v>6.4146674794915732</v>
      </c>
      <c r="AX317">
        <f>Model!BF424</f>
        <v>6.9082991661430553</v>
      </c>
      <c r="AY317">
        <f>Model!BG424</f>
        <v>7.4180840013496807</v>
      </c>
      <c r="AZ317">
        <f>Model!BH424</f>
        <v>6.8577110833879047</v>
      </c>
      <c r="BA317">
        <f>Model!BI424</f>
        <v>6.8262423270955299</v>
      </c>
      <c r="BB317">
        <f>Model!BJ424</f>
        <v>7.1309757162099707</v>
      </c>
      <c r="BC317">
        <f>Model!BK424</f>
        <v>7.6259834729423854</v>
      </c>
      <c r="BD317">
        <f>Model!BL424</f>
        <v>6.7987894000075517</v>
      </c>
      <c r="BE317">
        <f>Model!BM424</f>
        <v>6.9424718219628696</v>
      </c>
      <c r="BF317">
        <f>Model!BN424</f>
        <v>7.7308261623548615</v>
      </c>
      <c r="BG317">
        <f>Model!BO424</f>
        <v>8.1580843533315104</v>
      </c>
      <c r="BH317">
        <f>Model!BP424</f>
        <v>7.3869110854525095</v>
      </c>
      <c r="BI317">
        <f>Model!BQ424</f>
        <v>7.493995765079478</v>
      </c>
      <c r="BJ317">
        <f>Model!BR424</f>
        <v>8.3695496121047821</v>
      </c>
      <c r="BK317">
        <f>Model!BS424</f>
        <v>8.3637949311192248</v>
      </c>
      <c r="BL317">
        <f>Model!BT424</f>
        <v>6.8572857780810814</v>
      </c>
      <c r="BM317">
        <f>Model!BU424</f>
        <v>6.4897489043563814</v>
      </c>
      <c r="BN317">
        <f>Model!BV424</f>
        <v>7.4411765829373913</v>
      </c>
      <c r="BO317">
        <f>Model!BW424</f>
        <v>7.5029695732425106</v>
      </c>
      <c r="BP317">
        <f>Model!BX424</f>
        <v>6.1178738851370333</v>
      </c>
      <c r="BQ317">
        <f>Model!BY424</f>
        <v>6.2033891677739712</v>
      </c>
      <c r="BR317">
        <f>Model!BZ424</f>
        <v>7.6183329944293083</v>
      </c>
      <c r="BS317">
        <f>Model!CA424</f>
        <v>7.4099165016109039</v>
      </c>
      <c r="BT317">
        <f>Model!CB424</f>
        <v>5.4960058100070146</v>
      </c>
      <c r="BU317">
        <f>Model!CC424</f>
        <v>5.7399750536610075</v>
      </c>
      <c r="BV317">
        <f>Model!CD424</f>
        <v>7.1686805797349109</v>
      </c>
      <c r="BW317">
        <f>Model!CE424</f>
        <v>7.1917614782166446</v>
      </c>
      <c r="BX317">
        <f>Model!CF424</f>
        <v>5.6340951051373418</v>
      </c>
      <c r="BY317">
        <f>Model!CG424</f>
        <v>0</v>
      </c>
      <c r="BZ317">
        <f>Model!CH424</f>
        <v>0</v>
      </c>
      <c r="CA317">
        <f>Model!CI424</f>
        <v>0</v>
      </c>
      <c r="CB317">
        <f>Model!CJ424</f>
        <v>0</v>
      </c>
      <c r="CC317">
        <f>Model!CK424</f>
        <v>0</v>
      </c>
      <c r="CD317">
        <f>Model!CL424</f>
        <v>0</v>
      </c>
      <c r="CE317">
        <f>Model!CM424</f>
        <v>0</v>
      </c>
      <c r="CF317">
        <f>Model!CN424</f>
        <v>0</v>
      </c>
      <c r="CG317">
        <f>Model!CO424</f>
        <v>7.5478663412073583</v>
      </c>
      <c r="CH317">
        <f>Model!CP424</f>
        <v>6.8905149840020243</v>
      </c>
      <c r="CI317">
        <f>Model!CQ424</f>
        <v>6.439581095512783</v>
      </c>
      <c r="CJ317">
        <f>Model!CR424</f>
        <v>6.7417287182609371</v>
      </c>
      <c r="CK317">
        <f>Model!CS424</f>
        <v>6.8936486247472697</v>
      </c>
      <c r="CL317">
        <f>Model!CT424</f>
        <v>7.1215538242226781</v>
      </c>
      <c r="CM317">
        <f>Model!CU424</f>
        <v>7.5990384628947023</v>
      </c>
      <c r="CN317">
        <f>Model!CV424</f>
        <v>7.7984759589054358</v>
      </c>
      <c r="CO317">
        <f>Model!CW424</f>
        <v>6.9209819606006624</v>
      </c>
      <c r="CP317">
        <f>Model!CX424</f>
        <v>6.6015155438792412</v>
      </c>
      <c r="CQ317">
        <f>Model!CY424</f>
        <v>6.4588129726448189</v>
      </c>
      <c r="CR317">
        <f>Model!DG424</f>
        <v>3.9035591225240029E-2</v>
      </c>
      <c r="CS317">
        <f>Model!DH424</f>
        <v>-3.5605090706939069E-2</v>
      </c>
      <c r="CT317">
        <f>Model!DI424</f>
        <v>0</v>
      </c>
      <c r="CU317">
        <f>Model!DJ424</f>
        <v>0</v>
      </c>
    </row>
    <row r="318" spans="1:102">
      <c r="A318" t="str">
        <f>Model!I425</f>
        <v>% change Y/Y</v>
      </c>
      <c r="B318">
        <f>Model!J425</f>
        <v>0</v>
      </c>
      <c r="C318">
        <f>Model!K425</f>
        <v>0</v>
      </c>
      <c r="D318">
        <f>Model!L425</f>
        <v>0</v>
      </c>
      <c r="E318">
        <f>Model!M425</f>
        <v>0</v>
      </c>
      <c r="F318">
        <f>Model!N425</f>
        <v>0</v>
      </c>
      <c r="G318">
        <f>Model!O425</f>
        <v>0</v>
      </c>
      <c r="H318">
        <f>Model!P425</f>
        <v>0</v>
      </c>
      <c r="I318">
        <f>Model!Q425</f>
        <v>0</v>
      </c>
      <c r="J318">
        <f>Model!R425</f>
        <v>0</v>
      </c>
      <c r="K318">
        <f>Model!S425</f>
        <v>0</v>
      </c>
      <c r="L318">
        <f>Model!T425</f>
        <v>0</v>
      </c>
      <c r="M318">
        <f>Model!U425</f>
        <v>0</v>
      </c>
      <c r="N318">
        <f>Model!V425</f>
        <v>0</v>
      </c>
      <c r="O318">
        <f>Model!W425</f>
        <v>0</v>
      </c>
      <c r="P318">
        <f>Model!X425</f>
        <v>0</v>
      </c>
      <c r="Q318">
        <f>Model!Y425</f>
        <v>0</v>
      </c>
      <c r="R318">
        <f>Model!Z425</f>
        <v>0</v>
      </c>
      <c r="S318">
        <f>Model!AA425</f>
        <v>0</v>
      </c>
      <c r="T318">
        <f>Model!AB425</f>
        <v>0</v>
      </c>
      <c r="U318">
        <f>Model!AC425</f>
        <v>0</v>
      </c>
      <c r="V318">
        <f>Model!AD425</f>
        <v>0</v>
      </c>
      <c r="W318">
        <f>Model!AE425</f>
        <v>0</v>
      </c>
      <c r="X318">
        <f>Model!AF425</f>
        <v>0</v>
      </c>
      <c r="Y318">
        <f>Model!AG425</f>
        <v>0</v>
      </c>
      <c r="Z318">
        <f>Model!AH425</f>
        <v>0</v>
      </c>
      <c r="AA318">
        <f>Model!AI425</f>
        <v>0</v>
      </c>
      <c r="AB318">
        <f>Model!AJ425</f>
        <v>0</v>
      </c>
      <c r="AC318">
        <f>Model!AK425</f>
        <v>0</v>
      </c>
      <c r="AD318">
        <f>Model!AL425</f>
        <v>0</v>
      </c>
      <c r="AE318">
        <f>Model!AM425</f>
        <v>0</v>
      </c>
      <c r="AF318">
        <f>Model!AN425</f>
        <v>0</v>
      </c>
      <c r="AG318">
        <f>Model!AO425</f>
        <v>-7.3743861211266193E-3</v>
      </c>
      <c r="AH318">
        <f>Model!AP425</f>
        <v>4.3288777990642124E-3</v>
      </c>
      <c r="AI318">
        <f>Model!AQ425</f>
        <v>2.0653999534483214E-2</v>
      </c>
      <c r="AJ318">
        <f>Model!AR425</f>
        <v>4.9067164980497679E-2</v>
      </c>
      <c r="AK318">
        <f>Model!AS425</f>
        <v>-7.0251284545830295E-3</v>
      </c>
      <c r="AL318">
        <f>Model!AT425</f>
        <v>1.5665237241052843E-2</v>
      </c>
      <c r="AM318">
        <f>Model!AU425</f>
        <v>-4.8285556364910498E-2</v>
      </c>
      <c r="AN318">
        <f>Model!AV425</f>
        <v>-0.1216758117290081</v>
      </c>
      <c r="AO318">
        <f>Model!AW425</f>
        <v>-0.10520079063736709</v>
      </c>
      <c r="AP318">
        <f>Model!AX425</f>
        <v>-9.3714299286980163E-2</v>
      </c>
      <c r="AQ318">
        <f>Model!AY425</f>
        <v>-4.9086586475194149E-2</v>
      </c>
      <c r="AR318">
        <f>Model!AZ425</f>
        <v>2.3687218130400423E-2</v>
      </c>
      <c r="AS318">
        <f>Model!BA425</f>
        <v>4.2561677296133249E-2</v>
      </c>
      <c r="AT318">
        <f>Model!BB425</f>
        <v>-2.4041353330458648E-2</v>
      </c>
      <c r="AU318">
        <f>Model!BC425</f>
        <v>-3.2562187668342291E-2</v>
      </c>
      <c r="AV318">
        <f>Model!BD425</f>
        <v>2.3538511619288105E-2</v>
      </c>
      <c r="AW318">
        <f>Model!BE425</f>
        <v>2.1821324271874332E-2</v>
      </c>
      <c r="AX318">
        <f>Model!BF425</f>
        <v>0.11158382766471164</v>
      </c>
      <c r="AY318">
        <f>Model!BG425</f>
        <v>0.10983516627011314</v>
      </c>
      <c r="AZ318">
        <f>Model!BH425</f>
        <v>2.231100935256447E-2</v>
      </c>
      <c r="BA318">
        <f>Model!BI425</f>
        <v>6.416152496131855E-2</v>
      </c>
      <c r="BB318">
        <f>Model!BJ425</f>
        <v>3.2233194410316246E-2</v>
      </c>
      <c r="BC318">
        <f>Model!BK425</f>
        <v>2.8026033616615598E-2</v>
      </c>
      <c r="BD318">
        <f>Model!BL425</f>
        <v>-8.592033502706875E-3</v>
      </c>
      <c r="BE318">
        <f>Model!BM425</f>
        <v>1.7026863286992766E-2</v>
      </c>
      <c r="BF318">
        <f>Model!BN425</f>
        <v>8.4118985958867354E-2</v>
      </c>
      <c r="BG318">
        <f>Model!BO425</f>
        <v>6.9774722470493433E-2</v>
      </c>
      <c r="BH318">
        <f>Model!BP425</f>
        <v>8.6503883389049241E-2</v>
      </c>
      <c r="BI318">
        <f>Model!BQ425</f>
        <v>7.944201391957173E-2</v>
      </c>
      <c r="BJ318">
        <f>Model!BR425</f>
        <v>8.2620335309073978E-2</v>
      </c>
      <c r="BK318">
        <f>Model!BS425</f>
        <v>2.5215549248851277E-2</v>
      </c>
      <c r="BL318">
        <f>Model!BT425</f>
        <v>-7.169780456873931E-2</v>
      </c>
      <c r="BM318">
        <f>Model!BU425</f>
        <v>-0.13400686258760464</v>
      </c>
      <c r="BN318">
        <f>Model!BV425</f>
        <v>-0.11092269861507187</v>
      </c>
      <c r="BO318">
        <f>Model!BW425</f>
        <v>-0.10292281972072703</v>
      </c>
      <c r="BP318">
        <f>Model!BX425</f>
        <v>-0.10782865362087368</v>
      </c>
      <c r="BQ318">
        <f>Model!BY425</f>
        <v>-4.4124933152681067E-2</v>
      </c>
      <c r="BR318">
        <f>Model!BZ425</f>
        <v>2.3807580631554526E-2</v>
      </c>
      <c r="BS318">
        <f>Model!CA425</f>
        <v>-1.2402165665639564E-2</v>
      </c>
      <c r="BT318">
        <f>Model!CB425</f>
        <v>-0.10164774344904459</v>
      </c>
      <c r="BU318">
        <f>Model!CC425</f>
        <v>-7.4703376102914332E-2</v>
      </c>
      <c r="BV318">
        <f>Model!CD425</f>
        <v>-5.9022415405469042E-2</v>
      </c>
      <c r="BW318">
        <f>Model!CE425</f>
        <v>-2.9440955690503756E-2</v>
      </c>
      <c r="BX318">
        <f>Model!CF425</f>
        <v>2.5125391039233724E-2</v>
      </c>
      <c r="BY318">
        <f>Model!CG425</f>
        <v>0</v>
      </c>
      <c r="BZ318">
        <f>Model!CH425</f>
        <v>0</v>
      </c>
      <c r="CA318">
        <f>Model!CI425</f>
        <v>0</v>
      </c>
      <c r="CB318">
        <f>Model!CJ425</f>
        <v>0</v>
      </c>
      <c r="CC318">
        <f>Model!CK425</f>
        <v>0</v>
      </c>
      <c r="CD318">
        <f>Model!CL425</f>
        <v>0</v>
      </c>
      <c r="CE318">
        <f>Model!CM425</f>
        <v>0</v>
      </c>
      <c r="CF318">
        <f>Model!CN425</f>
        <v>0</v>
      </c>
      <c r="CG318">
        <f>Model!CO425</f>
        <v>0</v>
      </c>
      <c r="CH318">
        <f>Model!CP425</f>
        <v>-8.7091017181444186E-2</v>
      </c>
      <c r="CI318">
        <f>Model!CQ425</f>
        <v>-6.5442697612035139E-2</v>
      </c>
      <c r="CJ318">
        <f>Model!CR425</f>
        <v>4.6920384768303736E-2</v>
      </c>
      <c r="CK318">
        <f>Model!CS425</f>
        <v>2.253426574030426E-2</v>
      </c>
      <c r="CL318">
        <f>Model!CT425</f>
        <v>3.3060170583290249E-2</v>
      </c>
      <c r="CM318">
        <f>Model!CU425</f>
        <v>6.7047817155849732E-2</v>
      </c>
      <c r="CN318">
        <f>Model!CV425</f>
        <v>2.6245096269029933E-2</v>
      </c>
      <c r="CO318">
        <f>Model!CW425</f>
        <v>-0.11252121605923815</v>
      </c>
      <c r="CP318">
        <f>Model!CX425</f>
        <v>-4.615911709350784E-2</v>
      </c>
      <c r="CQ318">
        <f>Model!CY425</f>
        <v>-2.1616637919868675E-2</v>
      </c>
      <c r="CR318">
        <f>Model!DI425</f>
        <v>0</v>
      </c>
      <c r="CS318">
        <f>Model!DH425</f>
        <v>0</v>
      </c>
      <c r="CU318">
        <f>Model!DJ425</f>
        <v>0</v>
      </c>
    </row>
    <row r="319" spans="1:102">
      <c r="A319" t="str">
        <f>Model!I426</f>
        <v>Two-Year</v>
      </c>
      <c r="B319">
        <f>Model!J426</f>
        <v>0</v>
      </c>
      <c r="C319">
        <f>Model!K426</f>
        <v>0</v>
      </c>
      <c r="D319">
        <f>Model!L426</f>
        <v>0</v>
      </c>
      <c r="E319">
        <f>Model!M426</f>
        <v>0</v>
      </c>
      <c r="F319">
        <f>Model!N426</f>
        <v>0</v>
      </c>
      <c r="G319">
        <f>Model!O426</f>
        <v>0</v>
      </c>
      <c r="H319">
        <f>Model!P426</f>
        <v>0</v>
      </c>
      <c r="I319">
        <f>Model!Q426</f>
        <v>0</v>
      </c>
      <c r="J319">
        <f>Model!R426</f>
        <v>0</v>
      </c>
      <c r="K319">
        <f>Model!S426</f>
        <v>0</v>
      </c>
      <c r="L319">
        <f>Model!T426</f>
        <v>0</v>
      </c>
      <c r="M319">
        <f>Model!U426</f>
        <v>0</v>
      </c>
      <c r="N319">
        <f>Model!V426</f>
        <v>0</v>
      </c>
      <c r="O319">
        <f>Model!W426</f>
        <v>0</v>
      </c>
      <c r="P319">
        <f>Model!X426</f>
        <v>0</v>
      </c>
      <c r="Q319">
        <f>Model!Y426</f>
        <v>0</v>
      </c>
      <c r="R319">
        <f>Model!Z426</f>
        <v>0</v>
      </c>
      <c r="S319">
        <f>Model!AA426</f>
        <v>0</v>
      </c>
      <c r="T319">
        <f>Model!AB426</f>
        <v>0</v>
      </c>
      <c r="U319">
        <f>Model!AC426</f>
        <v>0</v>
      </c>
      <c r="V319">
        <f>Model!AD426</f>
        <v>0</v>
      </c>
      <c r="W319">
        <f>Model!AE426</f>
        <v>0</v>
      </c>
      <c r="X319">
        <f>Model!AF426</f>
        <v>0</v>
      </c>
      <c r="Y319">
        <f>Model!AG426</f>
        <v>0</v>
      </c>
      <c r="Z319">
        <f>Model!AH426</f>
        <v>0</v>
      </c>
      <c r="AA319">
        <f>Model!AI426</f>
        <v>0</v>
      </c>
      <c r="AB319">
        <f>Model!AJ426</f>
        <v>0</v>
      </c>
      <c r="AC319">
        <f>Model!AK426</f>
        <v>0</v>
      </c>
      <c r="AD319">
        <f>Model!AL426</f>
        <v>0</v>
      </c>
      <c r="AE319">
        <f>Model!AM426</f>
        <v>0</v>
      </c>
      <c r="AF319">
        <f>Model!AN426</f>
        <v>0</v>
      </c>
      <c r="AG319">
        <f>Model!AO426</f>
        <v>0</v>
      </c>
      <c r="AH319">
        <f>Model!AP426</f>
        <v>0</v>
      </c>
      <c r="AI319">
        <f>Model!AQ426</f>
        <v>0</v>
      </c>
      <c r="AJ319">
        <f>Model!AR426</f>
        <v>0</v>
      </c>
      <c r="AK319">
        <f>Model!AS426</f>
        <v>-1.4399514575709649E-2</v>
      </c>
      <c r="AL319">
        <f>Model!AT426</f>
        <v>1.9994115040117055E-2</v>
      </c>
      <c r="AM319">
        <f>Model!AU426</f>
        <v>-2.7631556830427284E-2</v>
      </c>
      <c r="AN319">
        <f>Model!AV426</f>
        <v>-7.2608646748510419E-2</v>
      </c>
      <c r="AO319">
        <f>Model!AW426</f>
        <v>-0.11222591909195012</v>
      </c>
      <c r="AP319">
        <f>Model!AX426</f>
        <v>-7.804906204592732E-2</v>
      </c>
      <c r="AQ319">
        <f>Model!AY426</f>
        <v>-9.7372142840104647E-2</v>
      </c>
      <c r="AR319">
        <f>Model!AZ426</f>
        <v>-9.7988593598607676E-2</v>
      </c>
      <c r="AS319">
        <f>Model!BA426</f>
        <v>-6.2639113341233843E-2</v>
      </c>
      <c r="AT319">
        <f>Model!BB426</f>
        <v>-0.11775565261743881</v>
      </c>
      <c r="AU319">
        <f>Model!BC426</f>
        <v>-8.164877414353644E-2</v>
      </c>
      <c r="AV319">
        <f>Model!BD426</f>
        <v>4.7225729749688528E-2</v>
      </c>
      <c r="AW319">
        <f>Model!BE426</f>
        <v>6.4383001568007581E-2</v>
      </c>
      <c r="AX319">
        <f>Model!BF426</f>
        <v>8.7542474334252995E-2</v>
      </c>
      <c r="AY319">
        <f>Model!BG426</f>
        <v>7.7272978601770848E-2</v>
      </c>
      <c r="AZ319">
        <f>Model!BH426</f>
        <v>4.5849520971852575E-2</v>
      </c>
      <c r="BA319">
        <f>Model!BI426</f>
        <v>8.5982849233192882E-2</v>
      </c>
      <c r="BB319">
        <f>Model!BJ426</f>
        <v>0.14381702207502789</v>
      </c>
      <c r="BC319">
        <f>Model!BK426</f>
        <v>0.13786119988672874</v>
      </c>
      <c r="BD319">
        <f>Model!BL426</f>
        <v>1.3718975849857595E-2</v>
      </c>
      <c r="BE319">
        <f>Model!BM426</f>
        <v>8.1188388248311316E-2</v>
      </c>
      <c r="BF319">
        <f>Model!BN426</f>
        <v>0.1163521803691836</v>
      </c>
      <c r="BG319">
        <f>Model!BO426</f>
        <v>9.7800756087109031E-2</v>
      </c>
      <c r="BH319">
        <f>Model!BP426</f>
        <v>7.7911849886342366E-2</v>
      </c>
      <c r="BI319">
        <f>Model!BQ426</f>
        <v>9.6468877206564496E-2</v>
      </c>
      <c r="BJ319">
        <f>Model!BR426</f>
        <v>0.16673932126794133</v>
      </c>
      <c r="BK319">
        <f>Model!BS426</f>
        <v>9.499027171934471E-2</v>
      </c>
      <c r="BL319">
        <f>Model!BT426</f>
        <v>1.4806078820309931E-2</v>
      </c>
      <c r="BM319">
        <f>Model!BU426</f>
        <v>-5.4564848668032906E-2</v>
      </c>
      <c r="BN319">
        <f>Model!BV426</f>
        <v>-2.8302363305997891E-2</v>
      </c>
      <c r="BO319">
        <f>Model!BW426</f>
        <v>-7.7707270471875756E-2</v>
      </c>
      <c r="BP319">
        <f>Model!BX426</f>
        <v>-0.17952645818961299</v>
      </c>
      <c r="BQ319">
        <f>Model!BY426</f>
        <v>-0.1781317957402857</v>
      </c>
      <c r="BR319">
        <f>Model!BZ426</f>
        <v>-8.7115117983517343E-2</v>
      </c>
      <c r="BS319">
        <f>Model!CA426</f>
        <v>-0.1153249853863666</v>
      </c>
      <c r="BT319">
        <f>Model!CB426</f>
        <v>-0.20947639706991827</v>
      </c>
      <c r="BU319">
        <f>Model!CC426</f>
        <v>-0.1188283092555954</v>
      </c>
      <c r="BV319">
        <f>Model!CD426</f>
        <v>-3.5214834773914516E-2</v>
      </c>
      <c r="BW319">
        <f>Model!CE426</f>
        <v>-4.184312135614332E-2</v>
      </c>
      <c r="BX319">
        <f>Model!CF426</f>
        <v>-7.6522352409810868E-2</v>
      </c>
      <c r="BY319">
        <f>Model!CG426</f>
        <v>0</v>
      </c>
      <c r="BZ319">
        <f>Model!CH426</f>
        <v>0</v>
      </c>
      <c r="CA319">
        <f>Model!CI426</f>
        <v>0</v>
      </c>
      <c r="CB319">
        <f>Model!CJ426</f>
        <v>0</v>
      </c>
      <c r="CC319">
        <f>Model!CK426</f>
        <v>0</v>
      </c>
      <c r="CD319">
        <f>Model!CL426</f>
        <v>0</v>
      </c>
      <c r="CE319">
        <f>Model!CM426</f>
        <v>0</v>
      </c>
      <c r="CF319">
        <f>Model!CN426</f>
        <v>0</v>
      </c>
      <c r="CG319">
        <f>Model!CO426</f>
        <v>0</v>
      </c>
      <c r="CH319">
        <f>Model!CP426</f>
        <v>0</v>
      </c>
      <c r="CI319">
        <f>Model!CQ426</f>
        <v>-0.15253371479347932</v>
      </c>
      <c r="CJ319">
        <f>Model!CR426</f>
        <v>-1.8522312843731403E-2</v>
      </c>
      <c r="CK319">
        <f>Model!CS426</f>
        <v>6.9454650508607996E-2</v>
      </c>
      <c r="CL319">
        <f>Model!CT426</f>
        <v>5.5594436323594509E-2</v>
      </c>
      <c r="CM319">
        <f>Model!CU426</f>
        <v>0.10010798773913998</v>
      </c>
      <c r="CN319">
        <f>Model!CV426</f>
        <v>9.3292913424879664E-2</v>
      </c>
      <c r="CO319">
        <f>Model!CW426</f>
        <v>-8.6276119790208217E-2</v>
      </c>
      <c r="CP319">
        <f>Model!CX426</f>
        <v>-0.15868033315274599</v>
      </c>
      <c r="CQ319">
        <f>Model!CY426</f>
        <v>-6.7775755013376515E-2</v>
      </c>
      <c r="CR319">
        <f>Model!DG426</f>
        <v>0</v>
      </c>
      <c r="CS319">
        <f>Model!DH426</f>
        <v>0</v>
      </c>
      <c r="CT319">
        <f>Model!DI426</f>
        <v>0</v>
      </c>
      <c r="CU319">
        <f>Model!DJ426</f>
        <v>0</v>
      </c>
    </row>
    <row r="323" spans="1:99">
      <c r="A323">
        <f>Model!I427</f>
        <v>0</v>
      </c>
      <c r="B323">
        <f>Model!J427</f>
        <v>0</v>
      </c>
      <c r="C323">
        <f>Model!K427</f>
        <v>0</v>
      </c>
      <c r="D323">
        <f>Model!L427</f>
        <v>0</v>
      </c>
      <c r="E323">
        <f>Model!M427</f>
        <v>0</v>
      </c>
      <c r="F323">
        <f>Model!N427</f>
        <v>0</v>
      </c>
      <c r="G323">
        <f>Model!O427</f>
        <v>0</v>
      </c>
      <c r="H323">
        <f>Model!P427</f>
        <v>0</v>
      </c>
      <c r="I323">
        <f>Model!Q427</f>
        <v>0</v>
      </c>
      <c r="J323">
        <f>Model!R427</f>
        <v>0</v>
      </c>
      <c r="K323">
        <f>Model!S427</f>
        <v>0</v>
      </c>
      <c r="L323">
        <f>Model!T427</f>
        <v>0</v>
      </c>
      <c r="M323">
        <f>Model!U427</f>
        <v>0</v>
      </c>
      <c r="N323">
        <f>Model!V427</f>
        <v>0</v>
      </c>
      <c r="O323">
        <f>Model!W427</f>
        <v>0</v>
      </c>
      <c r="P323">
        <f>Model!X427</f>
        <v>0</v>
      </c>
      <c r="Q323">
        <f>Model!Y427</f>
        <v>0</v>
      </c>
      <c r="R323">
        <f>Model!Z427</f>
        <v>0</v>
      </c>
      <c r="S323">
        <f>Model!AA427</f>
        <v>0</v>
      </c>
      <c r="T323">
        <f>Model!AB427</f>
        <v>0</v>
      </c>
      <c r="U323">
        <f>Model!AC427</f>
        <v>0</v>
      </c>
      <c r="V323">
        <f>Model!AD427</f>
        <v>0</v>
      </c>
      <c r="W323">
        <f>Model!AE427</f>
        <v>0</v>
      </c>
      <c r="X323">
        <f>Model!AF427</f>
        <v>0</v>
      </c>
      <c r="Y323">
        <f>Model!AG427</f>
        <v>0</v>
      </c>
      <c r="Z323">
        <f>Model!AH427</f>
        <v>0</v>
      </c>
      <c r="AA323">
        <f>Model!AI427</f>
        <v>0</v>
      </c>
      <c r="AB323">
        <f>Model!AJ427</f>
        <v>0</v>
      </c>
      <c r="AC323">
        <f>Model!AK427</f>
        <v>0</v>
      </c>
      <c r="AD323">
        <f>Model!AL427</f>
        <v>0</v>
      </c>
      <c r="AE323">
        <f>Model!AM427</f>
        <v>0</v>
      </c>
      <c r="AF323">
        <f>Model!AN427</f>
        <v>0</v>
      </c>
      <c r="AG323">
        <f>Model!AO427</f>
        <v>0</v>
      </c>
      <c r="AH323">
        <f>Model!AP427</f>
        <v>0</v>
      </c>
      <c r="AI323">
        <f>Model!AQ427</f>
        <v>0</v>
      </c>
      <c r="AJ323">
        <f>Model!AR427</f>
        <v>0</v>
      </c>
      <c r="AK323">
        <f>Model!AS427</f>
        <v>0</v>
      </c>
      <c r="AL323">
        <f>Model!AT427</f>
        <v>0</v>
      </c>
      <c r="AM323">
        <f>Model!AU427</f>
        <v>0</v>
      </c>
      <c r="AN323">
        <f>Model!AV427</f>
        <v>0</v>
      </c>
      <c r="AO323">
        <f>Model!AW427</f>
        <v>0</v>
      </c>
      <c r="AP323">
        <f>Model!AX427</f>
        <v>0</v>
      </c>
      <c r="AQ323">
        <f>Model!AY427</f>
        <v>0</v>
      </c>
      <c r="AR323">
        <f>Model!AZ427</f>
        <v>0</v>
      </c>
      <c r="AS323">
        <f>Model!BA427</f>
        <v>0</v>
      </c>
      <c r="AT323">
        <f>Model!BB427</f>
        <v>0</v>
      </c>
      <c r="AU323">
        <f>Model!BC427</f>
        <v>0</v>
      </c>
      <c r="AV323">
        <f>Model!BD427</f>
        <v>0</v>
      </c>
      <c r="AW323">
        <f>Model!BE427</f>
        <v>0</v>
      </c>
      <c r="AX323">
        <f>Model!BF427</f>
        <v>0</v>
      </c>
      <c r="AY323">
        <f>Model!BG427</f>
        <v>0</v>
      </c>
      <c r="AZ323">
        <f>Model!BH427</f>
        <v>0</v>
      </c>
      <c r="BA323">
        <f>Model!BI427</f>
        <v>0</v>
      </c>
      <c r="BB323">
        <f>Model!BJ427</f>
        <v>0</v>
      </c>
      <c r="BC323">
        <f>Model!BK427</f>
        <v>0</v>
      </c>
      <c r="BD323">
        <f>Model!BL427</f>
        <v>0</v>
      </c>
      <c r="BE323">
        <f>Model!BM427</f>
        <v>0</v>
      </c>
      <c r="BF323">
        <f>Model!BN427</f>
        <v>0</v>
      </c>
      <c r="BG323">
        <f>Model!BO427</f>
        <v>0</v>
      </c>
      <c r="BH323">
        <f>Model!BP427</f>
        <v>0</v>
      </c>
      <c r="BI323">
        <f>Model!BQ427</f>
        <v>0</v>
      </c>
      <c r="BJ323">
        <f>Model!BR427</f>
        <v>0</v>
      </c>
      <c r="BK323">
        <f>Model!BS427</f>
        <v>0</v>
      </c>
      <c r="BL323">
        <f>Model!BT427</f>
        <v>0</v>
      </c>
      <c r="BM323">
        <f>Model!BU427</f>
        <v>0</v>
      </c>
      <c r="BN323">
        <f>Model!BV427</f>
        <v>0</v>
      </c>
      <c r="BO323">
        <f>Model!BW427</f>
        <v>0</v>
      </c>
      <c r="BP323">
        <f>Model!BX427</f>
        <v>0</v>
      </c>
      <c r="BQ323">
        <f>Model!BY427</f>
        <v>0</v>
      </c>
      <c r="BR323">
        <f>Model!BZ427</f>
        <v>0</v>
      </c>
      <c r="BS323">
        <f>Model!CA427</f>
        <v>0</v>
      </c>
      <c r="BT323">
        <f>Model!CB427</f>
        <v>0</v>
      </c>
      <c r="BU323">
        <f>Model!CC427</f>
        <v>0</v>
      </c>
      <c r="BV323">
        <f>Model!CD427</f>
        <v>0</v>
      </c>
      <c r="BW323">
        <f>Model!CE427</f>
        <v>0</v>
      </c>
      <c r="BX323">
        <f>Model!CF427</f>
        <v>0</v>
      </c>
      <c r="BY323">
        <f>Model!CG427</f>
        <v>0</v>
      </c>
      <c r="BZ323">
        <f>Model!CH427</f>
        <v>0</v>
      </c>
      <c r="CA323">
        <f>Model!CI427</f>
        <v>0</v>
      </c>
      <c r="CB323">
        <f>Model!CJ427</f>
        <v>0</v>
      </c>
      <c r="CC323">
        <f>Model!CK427</f>
        <v>0</v>
      </c>
      <c r="CD323">
        <f>Model!CL427</f>
        <v>0</v>
      </c>
      <c r="CE323">
        <f>Model!CM427</f>
        <v>0</v>
      </c>
      <c r="CF323">
        <f>Model!CN427</f>
        <v>0</v>
      </c>
      <c r="CG323">
        <f>Model!CO427</f>
        <v>0</v>
      </c>
      <c r="CH323">
        <f>Model!CP427</f>
        <v>0</v>
      </c>
      <c r="CI323">
        <f>Model!CQ427</f>
        <v>0</v>
      </c>
      <c r="CJ323">
        <f>Model!CR427</f>
        <v>0</v>
      </c>
      <c r="CK323">
        <f>Model!CS427</f>
        <v>0</v>
      </c>
      <c r="CL323">
        <f>Model!CT427</f>
        <v>0</v>
      </c>
      <c r="CM323">
        <f>Model!CU427</f>
        <v>0</v>
      </c>
      <c r="CN323">
        <f>Model!CV427</f>
        <v>0</v>
      </c>
      <c r="CO323">
        <f>Model!CW427</f>
        <v>0</v>
      </c>
      <c r="CP323">
        <f>Model!CX427</f>
        <v>0</v>
      </c>
      <c r="CQ323">
        <f>Model!CY427</f>
        <v>0</v>
      </c>
      <c r="CR323">
        <f>Model!DG427</f>
        <v>0</v>
      </c>
      <c r="CS323">
        <f>Model!DH427</f>
        <v>0</v>
      </c>
      <c r="CT323">
        <f>Model!DI427</f>
        <v>0</v>
      </c>
      <c r="CU323">
        <f>Model!DJ427</f>
        <v>0</v>
      </c>
    </row>
    <row r="324" spans="1:99">
      <c r="A324" t="str">
        <f>Model!I446</f>
        <v>Gross Bookings</v>
      </c>
      <c r="B324">
        <f>Model!J446</f>
        <v>0</v>
      </c>
      <c r="C324">
        <f>Model!K446</f>
        <v>0</v>
      </c>
      <c r="D324">
        <f>Model!L446</f>
        <v>0</v>
      </c>
      <c r="E324">
        <f>Model!M446</f>
        <v>0</v>
      </c>
      <c r="F324">
        <f>Model!N446</f>
        <v>0</v>
      </c>
      <c r="G324">
        <f>Model!O446</f>
        <v>0</v>
      </c>
      <c r="H324">
        <f>Model!P446</f>
        <v>0</v>
      </c>
      <c r="I324">
        <f>Model!Q446</f>
        <v>0</v>
      </c>
      <c r="J324">
        <f>Model!R446</f>
        <v>0</v>
      </c>
      <c r="K324">
        <f>Model!S446</f>
        <v>0</v>
      </c>
      <c r="L324">
        <f>Model!T446</f>
        <v>0</v>
      </c>
      <c r="M324">
        <f>Model!U446</f>
        <v>0</v>
      </c>
      <c r="N324">
        <f>Model!V446</f>
        <v>0</v>
      </c>
      <c r="O324">
        <f>Model!W446</f>
        <v>0</v>
      </c>
      <c r="P324">
        <f>Model!X446</f>
        <v>0</v>
      </c>
      <c r="Q324">
        <f>Model!Y446</f>
        <v>0</v>
      </c>
      <c r="R324">
        <f>Model!Z446</f>
        <v>0</v>
      </c>
      <c r="S324">
        <f>Model!AA446</f>
        <v>0</v>
      </c>
      <c r="T324">
        <f>Model!AB446</f>
        <v>0</v>
      </c>
      <c r="U324">
        <f>Model!AC446</f>
        <v>0</v>
      </c>
      <c r="V324">
        <f>Model!AD446</f>
        <v>0</v>
      </c>
      <c r="W324">
        <f>Model!AE446</f>
        <v>0</v>
      </c>
      <c r="X324">
        <f>Model!AF446</f>
        <v>0</v>
      </c>
      <c r="Y324">
        <f>Model!AG446</f>
        <v>0</v>
      </c>
      <c r="Z324">
        <f>Model!AH446</f>
        <v>0</v>
      </c>
      <c r="AA324">
        <f>Model!AI446</f>
        <v>0</v>
      </c>
      <c r="AB324">
        <f>Model!AJ446</f>
        <v>0</v>
      </c>
      <c r="AC324">
        <f>Model!AK446</f>
        <v>0</v>
      </c>
      <c r="AD324">
        <f>Model!AL446</f>
        <v>0</v>
      </c>
      <c r="AE324">
        <f>Model!AM446</f>
        <v>0</v>
      </c>
      <c r="AF324">
        <f>Model!AN446</f>
        <v>0</v>
      </c>
      <c r="AG324">
        <f>Model!AO446</f>
        <v>1758.6119999999999</v>
      </c>
      <c r="AH324">
        <f>Model!AP446</f>
        <v>2109.9650000000001</v>
      </c>
      <c r="AI324">
        <f>Model!AQ446</f>
        <v>2050.4270000000001</v>
      </c>
      <c r="AJ324">
        <f>Model!AR446</f>
        <v>1481.1129999999998</v>
      </c>
      <c r="AK324">
        <f>Model!AS446</f>
        <v>1943.5839999999998</v>
      </c>
      <c r="AL324">
        <f>Model!AT446</f>
        <v>2379.1779999999999</v>
      </c>
      <c r="AM324">
        <f>Model!AU446</f>
        <v>2722.846</v>
      </c>
      <c r="AN324">
        <f>Model!AV446</f>
        <v>2264.4540000000002</v>
      </c>
      <c r="AO324">
        <f>Model!AW446</f>
        <v>2964.6950000000002</v>
      </c>
      <c r="AP324">
        <f>Model!AX446</f>
        <v>3410.1800000000003</v>
      </c>
      <c r="AQ324">
        <f>Model!AY446</f>
        <v>4006</v>
      </c>
      <c r="AR324">
        <f>Model!AZ446</f>
        <v>3265</v>
      </c>
      <c r="AS324">
        <f>Model!BA446</f>
        <v>4665</v>
      </c>
      <c r="AT324">
        <f>Model!BB446</f>
        <v>5780</v>
      </c>
      <c r="AU324">
        <f>Model!BC446</f>
        <v>6257</v>
      </c>
      <c r="AV324">
        <f>Model!BD446</f>
        <v>4956</v>
      </c>
      <c r="AW324">
        <f>Model!BE446</f>
        <v>6711</v>
      </c>
      <c r="AX324">
        <f>Model!BF446</f>
        <v>7329</v>
      </c>
      <c r="AY324">
        <f>Model!BG446</f>
        <v>7832</v>
      </c>
      <c r="AZ324">
        <f>Model!BH446</f>
        <v>6584</v>
      </c>
      <c r="BA324">
        <f>Model!BI446</f>
        <v>9153</v>
      </c>
      <c r="BB324">
        <f>Model!BJ446</f>
        <v>10117</v>
      </c>
      <c r="BC324">
        <f>Model!BK446</f>
        <v>10765</v>
      </c>
      <c r="BD324">
        <f>Model!BL446</f>
        <v>9138</v>
      </c>
      <c r="BE324">
        <f>Model!BM446</f>
        <v>12280</v>
      </c>
      <c r="BF324">
        <f>Model!BN446</f>
        <v>13538</v>
      </c>
      <c r="BG324">
        <f>Model!BO446</f>
        <v>13823</v>
      </c>
      <c r="BH324">
        <f>Model!BP446</f>
        <v>10659</v>
      </c>
      <c r="BI324">
        <f>Model!BQ446</f>
        <v>13775</v>
      </c>
      <c r="BJ324">
        <f>Model!BR446</f>
        <v>14960</v>
      </c>
      <c r="BK324">
        <f>Model!BS446</f>
        <v>14778</v>
      </c>
      <c r="BL324">
        <f>Model!BT446</f>
        <v>12015</v>
      </c>
      <c r="BM324">
        <f>Model!BU446</f>
        <v>16653</v>
      </c>
      <c r="BN324">
        <f>Model!BV446</f>
        <v>17862</v>
      </c>
      <c r="BO324">
        <f>Model!BW446</f>
        <v>18460</v>
      </c>
      <c r="BP324">
        <f>Model!BX446</f>
        <v>15112</v>
      </c>
      <c r="BQ324">
        <f>Model!BY446</f>
        <v>20687</v>
      </c>
      <c r="BR324">
        <f>Model!BZ446</f>
        <v>20797</v>
      </c>
      <c r="BS324">
        <f>Model!CA446</f>
        <v>21762</v>
      </c>
      <c r="BT324">
        <f>Model!CB446</f>
        <v>17980</v>
      </c>
      <c r="BU324">
        <f>Model!CC446</f>
        <v>24881.474049815144</v>
      </c>
      <c r="BV324">
        <f>Model!CD446</f>
        <v>25086.12790194053</v>
      </c>
      <c r="BW324">
        <f>Model!CE446</f>
        <v>24813.585995275425</v>
      </c>
      <c r="BX324">
        <f>Model!CF446</f>
        <v>22004.981225315398</v>
      </c>
      <c r="BY324">
        <f>Model!CG446</f>
        <v>0</v>
      </c>
      <c r="BZ324">
        <f>Model!CH446</f>
        <v>0</v>
      </c>
      <c r="CA324">
        <f>Model!CI446</f>
        <v>0</v>
      </c>
      <c r="CB324">
        <f>Model!CJ446</f>
        <v>0</v>
      </c>
      <c r="CC324">
        <f>Model!CK446</f>
        <v>0</v>
      </c>
      <c r="CD324">
        <f>Model!CL446</f>
        <v>0</v>
      </c>
      <c r="CE324">
        <f>Model!CM446</f>
        <v>0</v>
      </c>
      <c r="CF324">
        <f>Model!CN446</f>
        <v>0</v>
      </c>
      <c r="CG324">
        <f>Model!CO446</f>
        <v>0</v>
      </c>
      <c r="CH324">
        <f>Model!CP446</f>
        <v>9310.0619999999999</v>
      </c>
      <c r="CI324">
        <f>Model!CQ446</f>
        <v>13645.875</v>
      </c>
      <c r="CJ324">
        <f>Model!CR446</f>
        <v>21658</v>
      </c>
      <c r="CK324">
        <f>Model!CS446</f>
        <v>28456</v>
      </c>
      <c r="CL324">
        <f>Model!CT446</f>
        <v>39173</v>
      </c>
      <c r="CM324">
        <f>Model!CU446</f>
        <v>50300</v>
      </c>
      <c r="CN324">
        <f>Model!CV446</f>
        <v>55528</v>
      </c>
      <c r="CO324">
        <f>Model!CW446</f>
        <v>68087</v>
      </c>
      <c r="CP324">
        <f>Model!CX446</f>
        <v>81226</v>
      </c>
      <c r="CQ324">
        <f>Model!CY446</f>
        <v>96786.16917234649</v>
      </c>
      <c r="CR324">
        <f>Model!DG446</f>
        <v>0</v>
      </c>
      <c r="CS324">
        <f>Model!DH446</f>
        <v>0</v>
      </c>
      <c r="CT324">
        <f>Model!DI446</f>
        <v>0</v>
      </c>
      <c r="CU324">
        <f>Model!DJ446</f>
        <v>0</v>
      </c>
    </row>
    <row r="335" spans="1:99">
      <c r="A335" t="str">
        <f>Model!I410</f>
        <v>ROI Commentary (10-Q)</v>
      </c>
      <c r="B335">
        <f>Model!J410</f>
        <v>0</v>
      </c>
      <c r="C335">
        <f>Model!K410</f>
        <v>0</v>
      </c>
      <c r="D335">
        <f>Model!L410</f>
        <v>0</v>
      </c>
      <c r="E335">
        <f>Model!M410</f>
        <v>0</v>
      </c>
      <c r="F335">
        <f>Model!N410</f>
        <v>0</v>
      </c>
      <c r="G335">
        <f>Model!O410</f>
        <v>0</v>
      </c>
      <c r="H335">
        <f>Model!P410</f>
        <v>0</v>
      </c>
      <c r="I335">
        <f>Model!Q410</f>
        <v>0</v>
      </c>
      <c r="J335">
        <f>Model!R410</f>
        <v>0</v>
      </c>
      <c r="K335">
        <f>Model!S410</f>
        <v>0</v>
      </c>
      <c r="L335">
        <f>Model!T410</f>
        <v>0</v>
      </c>
      <c r="M335">
        <f>Model!U410</f>
        <v>0</v>
      </c>
      <c r="N335">
        <f>Model!V410</f>
        <v>0</v>
      </c>
      <c r="O335">
        <f>Model!W410</f>
        <v>0</v>
      </c>
      <c r="P335">
        <f>Model!X410</f>
        <v>0</v>
      </c>
      <c r="Q335">
        <f>Model!Y410</f>
        <v>0</v>
      </c>
      <c r="R335">
        <f>Model!Z410</f>
        <v>0</v>
      </c>
      <c r="S335">
        <f>Model!AA410</f>
        <v>0</v>
      </c>
      <c r="T335">
        <f>Model!AB410</f>
        <v>0</v>
      </c>
      <c r="U335">
        <f>Model!AC410</f>
        <v>0</v>
      </c>
      <c r="V335">
        <f>Model!AD410</f>
        <v>0</v>
      </c>
      <c r="W335">
        <f>Model!AE410</f>
        <v>0</v>
      </c>
      <c r="X335">
        <f>Model!AF410</f>
        <v>0</v>
      </c>
      <c r="Y335">
        <f>Model!AG410</f>
        <v>0</v>
      </c>
      <c r="Z335">
        <f>Model!AH410</f>
        <v>0</v>
      </c>
      <c r="AA335">
        <f>Model!AI410</f>
        <v>0</v>
      </c>
      <c r="AB335">
        <f>Model!AJ410</f>
        <v>0</v>
      </c>
      <c r="AC335">
        <f>Model!AK410</f>
        <v>0</v>
      </c>
      <c r="AD335">
        <f>Model!AL410</f>
        <v>0</v>
      </c>
      <c r="AE335">
        <f>Model!AM410</f>
        <v>0</v>
      </c>
      <c r="AF335">
        <f>Model!AN410</f>
        <v>0</v>
      </c>
      <c r="AG335">
        <f>Model!AO410</f>
        <v>0</v>
      </c>
      <c r="AH335">
        <f>Model!AP410</f>
        <v>0</v>
      </c>
      <c r="AI335">
        <f>Model!AQ410</f>
        <v>0</v>
      </c>
      <c r="AJ335">
        <f>Model!AR410</f>
        <v>0</v>
      </c>
      <c r="AK335">
        <f>Model!AS410</f>
        <v>0</v>
      </c>
      <c r="AL335">
        <f>Model!AT410</f>
        <v>0</v>
      </c>
      <c r="AM335">
        <f>Model!AU410</f>
        <v>0</v>
      </c>
      <c r="AN335">
        <f>Model!AV410</f>
        <v>0</v>
      </c>
      <c r="AO335">
        <f>Model!AW410</f>
        <v>0</v>
      </c>
      <c r="AP335">
        <f>Model!AX410</f>
        <v>0</v>
      </c>
      <c r="AQ335">
        <f>Model!AY410</f>
        <v>0</v>
      </c>
      <c r="AR335">
        <f>Model!AZ410</f>
        <v>0</v>
      </c>
      <c r="AS335">
        <f>Model!BA410</f>
        <v>0</v>
      </c>
      <c r="AT335">
        <f>Model!BB410</f>
        <v>0</v>
      </c>
      <c r="AU335">
        <f>Model!BC410</f>
        <v>0</v>
      </c>
      <c r="AV335">
        <f>Model!BD410</f>
        <v>0</v>
      </c>
      <c r="AW335">
        <f>Model!BE410</f>
        <v>0</v>
      </c>
      <c r="AX335">
        <f>Model!BF410</f>
        <v>0</v>
      </c>
      <c r="AY335">
        <f>Model!BG410</f>
        <v>0</v>
      </c>
      <c r="AZ335">
        <f>Model!BH410</f>
        <v>0</v>
      </c>
      <c r="BA335" t="str">
        <f>Model!BI410</f>
        <v>Decline</v>
      </c>
      <c r="BB335" t="str">
        <f>Model!BJ410</f>
        <v>Decline</v>
      </c>
      <c r="BC335" t="str">
        <f>Model!BK410</f>
        <v>Decline</v>
      </c>
      <c r="BD335" t="str">
        <f>Model!BL410</f>
        <v>Decline</v>
      </c>
      <c r="BE335" t="str">
        <f>Model!BM410</f>
        <v>Decline</v>
      </c>
      <c r="BF335" t="str">
        <f>Model!BN410</f>
        <v>Decline</v>
      </c>
      <c r="BG335" t="str">
        <f>Model!BO410</f>
        <v>Decline</v>
      </c>
      <c r="BH335" t="str">
        <f>Model!BP410</f>
        <v>Decline</v>
      </c>
      <c r="BI335" t="str">
        <f>Model!BQ410</f>
        <v>Decline</v>
      </c>
      <c r="BJ335" t="str">
        <f>Model!BR410</f>
        <v>Decline</v>
      </c>
      <c r="BK335" t="str">
        <f>Model!BS410</f>
        <v>Decline</v>
      </c>
      <c r="BL335" t="str">
        <f>Model!BT410</f>
        <v>Stable</v>
      </c>
      <c r="BM335" t="str">
        <f>Model!BU410</f>
        <v>Solid</v>
      </c>
      <c r="BN335" t="str">
        <f>Model!BV410</f>
        <v>Stable</v>
      </c>
      <c r="BO335" t="str">
        <f>Model!BW410</f>
        <v>Pressure</v>
      </c>
      <c r="BP335" t="str">
        <f>Model!BX410</f>
        <v>Pressure</v>
      </c>
      <c r="BQ335" t="str">
        <f>Model!BY410</f>
        <v>Pressure</v>
      </c>
      <c r="BR335" t="str">
        <f>Model!BZ410</f>
        <v>Pressure</v>
      </c>
      <c r="BS335" t="str">
        <f>Model!CA410</f>
        <v>Improved</v>
      </c>
      <c r="BT335">
        <f>Model!CB410</f>
        <v>0</v>
      </c>
      <c r="BU335">
        <f>Model!CC410</f>
        <v>0</v>
      </c>
      <c r="BV335">
        <f>Model!CD410</f>
        <v>0</v>
      </c>
      <c r="BW335">
        <f>Model!CE410</f>
        <v>0</v>
      </c>
      <c r="BX335">
        <f>Model!CF410</f>
        <v>0</v>
      </c>
      <c r="BY335">
        <f>Model!CG410</f>
        <v>0</v>
      </c>
      <c r="BZ335">
        <f>Model!CH410</f>
        <v>0</v>
      </c>
      <c r="CA335">
        <f>Model!CI410</f>
        <v>0</v>
      </c>
      <c r="CB335">
        <f>Model!CJ410</f>
        <v>0</v>
      </c>
      <c r="CC335">
        <f>Model!CK410</f>
        <v>0</v>
      </c>
      <c r="CD335">
        <f>Model!CL410</f>
        <v>0</v>
      </c>
      <c r="CE335">
        <f>Model!CM410</f>
        <v>0</v>
      </c>
      <c r="CF335">
        <f>Model!CN410</f>
        <v>0</v>
      </c>
      <c r="CG335">
        <f>Model!CO410</f>
        <v>0</v>
      </c>
      <c r="CH335">
        <f>Model!CP410</f>
        <v>0</v>
      </c>
      <c r="CI335">
        <f>Model!CQ410</f>
        <v>0</v>
      </c>
      <c r="CJ335">
        <f>Model!CR410</f>
        <v>0</v>
      </c>
      <c r="CK335">
        <f>Model!CS410</f>
        <v>0</v>
      </c>
      <c r="CL335">
        <f>Model!CT410</f>
        <v>0</v>
      </c>
      <c r="CM335">
        <f>Model!CU410</f>
        <v>0</v>
      </c>
      <c r="CN335" t="str">
        <f>Model!CV410</f>
        <v>Decline</v>
      </c>
      <c r="CO335">
        <f>Model!CW410</f>
        <v>0</v>
      </c>
      <c r="CP335">
        <f>Model!CX410</f>
        <v>0</v>
      </c>
      <c r="CQ335">
        <f>Model!CY410</f>
        <v>0</v>
      </c>
      <c r="CR335">
        <f>Model!DG410</f>
        <v>0</v>
      </c>
      <c r="CS335">
        <f>Model!DH410</f>
        <v>0</v>
      </c>
      <c r="CT335">
        <f>Model!DI410</f>
        <v>0</v>
      </c>
      <c r="CU335">
        <f>Model!DJ410</f>
        <v>0</v>
      </c>
    </row>
    <row r="336" spans="1:99">
      <c r="A336">
        <f>Model!I449</f>
        <v>0</v>
      </c>
      <c r="B336">
        <f>Model!J449</f>
        <v>0</v>
      </c>
      <c r="C336">
        <f>Model!K449</f>
        <v>0</v>
      </c>
      <c r="D336">
        <f>Model!L449</f>
        <v>0</v>
      </c>
      <c r="E336">
        <f>Model!M449</f>
        <v>0</v>
      </c>
      <c r="F336">
        <f>Model!N449</f>
        <v>0</v>
      </c>
      <c r="G336">
        <f>Model!O449</f>
        <v>0</v>
      </c>
      <c r="H336">
        <f>Model!P449</f>
        <v>0</v>
      </c>
      <c r="I336">
        <f>Model!Q449</f>
        <v>0</v>
      </c>
      <c r="J336">
        <f>Model!R449</f>
        <v>0</v>
      </c>
      <c r="K336">
        <f>Model!S449</f>
        <v>0</v>
      </c>
      <c r="L336">
        <f>Model!T449</f>
        <v>0</v>
      </c>
      <c r="M336">
        <f>Model!U449</f>
        <v>0</v>
      </c>
      <c r="N336">
        <f>Model!V449</f>
        <v>0</v>
      </c>
      <c r="O336">
        <f>Model!W449</f>
        <v>0</v>
      </c>
      <c r="P336">
        <f>Model!X449</f>
        <v>0</v>
      </c>
      <c r="Q336">
        <f>Model!Y449</f>
        <v>0</v>
      </c>
      <c r="R336">
        <f>Model!Z449</f>
        <v>0</v>
      </c>
      <c r="S336">
        <f>Model!AA449</f>
        <v>0</v>
      </c>
      <c r="T336">
        <f>Model!AB449</f>
        <v>0</v>
      </c>
      <c r="U336">
        <f>Model!AC449</f>
        <v>0</v>
      </c>
      <c r="V336">
        <f>Model!AD449</f>
        <v>0</v>
      </c>
      <c r="W336">
        <f>Model!AE449</f>
        <v>0</v>
      </c>
      <c r="X336">
        <f>Model!AF449</f>
        <v>0</v>
      </c>
      <c r="Y336">
        <f>Model!AG449</f>
        <v>0</v>
      </c>
      <c r="Z336">
        <f>Model!AH449</f>
        <v>0</v>
      </c>
      <c r="AA336">
        <f>Model!AI449</f>
        <v>0</v>
      </c>
      <c r="AB336">
        <f>Model!AJ449</f>
        <v>0</v>
      </c>
      <c r="AC336">
        <f>Model!AK449</f>
        <v>0</v>
      </c>
      <c r="AD336">
        <f>Model!AL449</f>
        <v>0</v>
      </c>
      <c r="AE336">
        <f>Model!AM449</f>
        <v>0</v>
      </c>
      <c r="AF336">
        <f>Model!AN449</f>
        <v>0</v>
      </c>
      <c r="AG336">
        <f>Model!AO449</f>
        <v>0</v>
      </c>
      <c r="AH336">
        <f>Model!AP449</f>
        <v>0</v>
      </c>
      <c r="AI336">
        <f>Model!AQ449</f>
        <v>0</v>
      </c>
      <c r="AJ336">
        <f>Model!AR449</f>
        <v>0</v>
      </c>
      <c r="AK336">
        <f>Model!AS449</f>
        <v>0</v>
      </c>
      <c r="AL336">
        <f>Model!AT449</f>
        <v>0</v>
      </c>
      <c r="AM336">
        <f>Model!AU449</f>
        <v>0</v>
      </c>
      <c r="AN336">
        <f>Model!AV449</f>
        <v>0</v>
      </c>
      <c r="AO336">
        <f>Model!AW449</f>
        <v>0</v>
      </c>
      <c r="AP336">
        <f>Model!AX449</f>
        <v>0</v>
      </c>
      <c r="AQ336">
        <f>Model!AY449</f>
        <v>0</v>
      </c>
      <c r="AR336">
        <f>Model!AZ449</f>
        <v>0</v>
      </c>
      <c r="AS336">
        <f>Model!BA449</f>
        <v>0</v>
      </c>
      <c r="AT336">
        <f>Model!BB449</f>
        <v>0</v>
      </c>
      <c r="AU336">
        <f>Model!BC449</f>
        <v>0</v>
      </c>
      <c r="AV336">
        <f>Model!BD449</f>
        <v>0</v>
      </c>
      <c r="AW336">
        <f>Model!BE449</f>
        <v>0</v>
      </c>
      <c r="AX336">
        <f>Model!BF449</f>
        <v>0</v>
      </c>
      <c r="AY336">
        <f>Model!BG449</f>
        <v>0</v>
      </c>
      <c r="AZ336">
        <f>Model!BH449</f>
        <v>0</v>
      </c>
      <c r="BA336">
        <f>Model!BI449</f>
        <v>0</v>
      </c>
      <c r="BB336">
        <f>Model!BJ449</f>
        <v>0</v>
      </c>
      <c r="BC336">
        <f>Model!BK449</f>
        <v>0</v>
      </c>
      <c r="BD336">
        <f>Model!BL449</f>
        <v>0</v>
      </c>
      <c r="BE336">
        <f>Model!BM449</f>
        <v>0</v>
      </c>
      <c r="BF336">
        <f>Model!BN449</f>
        <v>0</v>
      </c>
      <c r="BG336">
        <f>Model!BO449</f>
        <v>0</v>
      </c>
      <c r="BH336">
        <f>Model!BP449</f>
        <v>0</v>
      </c>
      <c r="BI336">
        <f>Model!BQ449</f>
        <v>0</v>
      </c>
      <c r="BJ336">
        <f>Model!BR449</f>
        <v>0</v>
      </c>
      <c r="BK336">
        <f>Model!BS449</f>
        <v>0</v>
      </c>
      <c r="BL336">
        <f>Model!BT449</f>
        <v>0</v>
      </c>
      <c r="BM336">
        <f>Model!BU449</f>
        <v>0</v>
      </c>
      <c r="BN336">
        <f>Model!BV449</f>
        <v>0</v>
      </c>
      <c r="BO336">
        <f>Model!BW449</f>
        <v>0</v>
      </c>
      <c r="BP336">
        <f>Model!BX449</f>
        <v>0</v>
      </c>
      <c r="BQ336">
        <f>Model!BY449</f>
        <v>0</v>
      </c>
      <c r="BR336">
        <f>Model!BZ449</f>
        <v>0</v>
      </c>
      <c r="BS336">
        <f>Model!CA449</f>
        <v>0</v>
      </c>
      <c r="BT336">
        <f>Model!CB449</f>
        <v>0</v>
      </c>
      <c r="BU336">
        <f>Model!CC449</f>
        <v>0</v>
      </c>
      <c r="BV336">
        <f>Model!CD449</f>
        <v>0</v>
      </c>
      <c r="BW336">
        <f>Model!CE449</f>
        <v>0</v>
      </c>
      <c r="BX336">
        <f>Model!CF449</f>
        <v>0</v>
      </c>
      <c r="BY336">
        <f>Model!CG449</f>
        <v>0</v>
      </c>
      <c r="BZ336">
        <f>Model!CH449</f>
        <v>0</v>
      </c>
      <c r="CA336">
        <f>Model!CI449</f>
        <v>0</v>
      </c>
      <c r="CB336">
        <f>Model!CJ449</f>
        <v>0</v>
      </c>
      <c r="CC336">
        <f>Model!CK449</f>
        <v>0</v>
      </c>
      <c r="CD336">
        <f>Model!CL449</f>
        <v>0</v>
      </c>
      <c r="CE336">
        <f>Model!CM449</f>
        <v>0</v>
      </c>
      <c r="CF336">
        <f>Model!CN449</f>
        <v>0</v>
      </c>
      <c r="CG336">
        <f>Model!CO449</f>
        <v>0</v>
      </c>
      <c r="CH336">
        <f>Model!CP449</f>
        <v>0</v>
      </c>
      <c r="CI336">
        <f>Model!CQ449</f>
        <v>0</v>
      </c>
      <c r="CJ336">
        <f>Model!CR449</f>
        <v>0</v>
      </c>
      <c r="CK336">
        <f>Model!CS449</f>
        <v>0</v>
      </c>
      <c r="CL336">
        <f>Model!CT449</f>
        <v>0</v>
      </c>
      <c r="CM336">
        <f>Model!CU449</f>
        <v>0</v>
      </c>
      <c r="CN336">
        <f>Model!CV449</f>
        <v>0</v>
      </c>
      <c r="CO336">
        <f>Model!CW449</f>
        <v>0</v>
      </c>
      <c r="CP336">
        <f>Model!CX449</f>
        <v>0</v>
      </c>
      <c r="CQ336">
        <f>Model!CY449</f>
        <v>0</v>
      </c>
      <c r="CR336">
        <f>Model!DG449</f>
        <v>0</v>
      </c>
      <c r="CS336">
        <f>Model!DH449</f>
        <v>0</v>
      </c>
      <c r="CT336">
        <f>Model!DI449</f>
        <v>0</v>
      </c>
      <c r="CU336">
        <f>Model!DJ449</f>
        <v>0</v>
      </c>
    </row>
    <row r="337" spans="1:99">
      <c r="A337">
        <f>Model!I450</f>
        <v>0</v>
      </c>
      <c r="B337">
        <f>Model!J450</f>
        <v>0</v>
      </c>
      <c r="C337">
        <f>Model!K450</f>
        <v>0</v>
      </c>
      <c r="D337">
        <f>Model!L450</f>
        <v>0</v>
      </c>
      <c r="E337">
        <f>Model!M450</f>
        <v>0</v>
      </c>
      <c r="F337">
        <f>Model!N450</f>
        <v>0</v>
      </c>
      <c r="G337">
        <f>Model!O450</f>
        <v>0</v>
      </c>
      <c r="H337">
        <f>Model!P450</f>
        <v>0</v>
      </c>
      <c r="I337">
        <f>Model!Q450</f>
        <v>0</v>
      </c>
      <c r="J337">
        <f>Model!R450</f>
        <v>0</v>
      </c>
      <c r="K337">
        <f>Model!S450</f>
        <v>0</v>
      </c>
      <c r="L337">
        <f>Model!T450</f>
        <v>0</v>
      </c>
      <c r="M337">
        <f>Model!U450</f>
        <v>0</v>
      </c>
      <c r="N337">
        <f>Model!V450</f>
        <v>0</v>
      </c>
      <c r="O337">
        <f>Model!W450</f>
        <v>0</v>
      </c>
      <c r="P337">
        <f>Model!X450</f>
        <v>0</v>
      </c>
      <c r="Q337">
        <f>Model!Y450</f>
        <v>0</v>
      </c>
      <c r="R337">
        <f>Model!Z450</f>
        <v>0</v>
      </c>
      <c r="S337">
        <f>Model!AA450</f>
        <v>0</v>
      </c>
      <c r="T337">
        <f>Model!AB450</f>
        <v>0</v>
      </c>
      <c r="U337">
        <f>Model!AC450</f>
        <v>0</v>
      </c>
      <c r="V337">
        <f>Model!AD450</f>
        <v>0</v>
      </c>
      <c r="W337">
        <f>Model!AE450</f>
        <v>0</v>
      </c>
      <c r="X337">
        <f>Model!AF450</f>
        <v>0</v>
      </c>
      <c r="Y337">
        <f>Model!AG450</f>
        <v>0</v>
      </c>
      <c r="Z337">
        <f>Model!AH450</f>
        <v>0</v>
      </c>
      <c r="AA337">
        <f>Model!AI450</f>
        <v>0</v>
      </c>
      <c r="AB337">
        <f>Model!AJ450</f>
        <v>0</v>
      </c>
      <c r="AC337">
        <f>Model!AK450</f>
        <v>0</v>
      </c>
      <c r="AD337">
        <f>Model!AL450</f>
        <v>0</v>
      </c>
      <c r="AE337">
        <f>Model!AM450</f>
        <v>0</v>
      </c>
      <c r="AF337">
        <f>Model!AN450</f>
        <v>0</v>
      </c>
      <c r="AG337">
        <f>Model!AO450</f>
        <v>0</v>
      </c>
      <c r="AH337">
        <f>Model!AP450</f>
        <v>0</v>
      </c>
      <c r="AI337">
        <f>Model!AQ450</f>
        <v>0</v>
      </c>
      <c r="AJ337">
        <f>Model!AR450</f>
        <v>0</v>
      </c>
      <c r="AK337">
        <f>Model!AS450</f>
        <v>0</v>
      </c>
      <c r="AL337">
        <f>Model!AT450</f>
        <v>0</v>
      </c>
      <c r="AM337">
        <f>Model!AU450</f>
        <v>0</v>
      </c>
      <c r="AN337">
        <f>Model!AV450</f>
        <v>0</v>
      </c>
      <c r="AO337">
        <f>Model!AW450</f>
        <v>0</v>
      </c>
      <c r="AP337">
        <f>Model!AX450</f>
        <v>0</v>
      </c>
      <c r="AQ337">
        <f>Model!AY450</f>
        <v>0</v>
      </c>
      <c r="AR337">
        <f>Model!AZ450</f>
        <v>0</v>
      </c>
      <c r="AS337">
        <f>Model!BA450</f>
        <v>0</v>
      </c>
      <c r="AT337">
        <f>Model!BB450</f>
        <v>0</v>
      </c>
      <c r="AU337">
        <f>Model!BC450</f>
        <v>0</v>
      </c>
      <c r="AV337">
        <f>Model!BD450</f>
        <v>0</v>
      </c>
      <c r="AW337">
        <f>Model!BE450</f>
        <v>0</v>
      </c>
      <c r="AX337">
        <f>Model!BF450</f>
        <v>0</v>
      </c>
      <c r="AY337">
        <f>Model!BG450</f>
        <v>0</v>
      </c>
      <c r="AZ337">
        <f>Model!BH450</f>
        <v>0</v>
      </c>
      <c r="BA337">
        <f>Model!BI450</f>
        <v>0</v>
      </c>
      <c r="BB337">
        <f>Model!BJ450</f>
        <v>0</v>
      </c>
      <c r="BC337">
        <f>Model!BK450</f>
        <v>0</v>
      </c>
      <c r="BD337">
        <f>Model!BL450</f>
        <v>0</v>
      </c>
      <c r="BE337">
        <f>Model!BM450</f>
        <v>0</v>
      </c>
      <c r="BF337">
        <f>Model!BN450</f>
        <v>0</v>
      </c>
      <c r="BG337">
        <f>Model!BO450</f>
        <v>0</v>
      </c>
      <c r="BH337">
        <f>Model!BP450</f>
        <v>0</v>
      </c>
      <c r="BI337">
        <f>Model!BQ450</f>
        <v>0</v>
      </c>
      <c r="BJ337">
        <f>Model!BR450</f>
        <v>0</v>
      </c>
      <c r="BK337">
        <f>Model!BS450</f>
        <v>0</v>
      </c>
      <c r="BL337">
        <f>Model!BT450</f>
        <v>0</v>
      </c>
      <c r="BM337">
        <f>Model!BU450</f>
        <v>0</v>
      </c>
      <c r="BN337">
        <f>Model!BV450</f>
        <v>0</v>
      </c>
      <c r="BO337">
        <f>Model!BW450</f>
        <v>0</v>
      </c>
      <c r="BP337">
        <f>Model!BX450</f>
        <v>0</v>
      </c>
      <c r="BQ337">
        <f>Model!BY450</f>
        <v>0</v>
      </c>
      <c r="BR337">
        <f>Model!BZ450</f>
        <v>0</v>
      </c>
      <c r="BS337">
        <f>Model!CA450</f>
        <v>0</v>
      </c>
      <c r="BT337">
        <f>Model!CB450</f>
        <v>0</v>
      </c>
      <c r="BU337">
        <f>Model!CC450</f>
        <v>0</v>
      </c>
      <c r="BV337">
        <f>Model!CD450</f>
        <v>0</v>
      </c>
      <c r="BW337">
        <f>Model!CE450</f>
        <v>0</v>
      </c>
      <c r="BX337">
        <f>Model!CF450</f>
        <v>0</v>
      </c>
      <c r="BY337">
        <f>Model!CG450</f>
        <v>0</v>
      </c>
      <c r="BZ337">
        <f>Model!CH450</f>
        <v>0</v>
      </c>
      <c r="CA337">
        <f>Model!CI450</f>
        <v>0</v>
      </c>
      <c r="CB337">
        <f>Model!CJ450</f>
        <v>0</v>
      </c>
      <c r="CC337">
        <f>Model!CK450</f>
        <v>0</v>
      </c>
      <c r="CD337">
        <f>Model!CL450</f>
        <v>0</v>
      </c>
      <c r="CE337">
        <f>Model!CM450</f>
        <v>0.18566441261203576</v>
      </c>
      <c r="CF337">
        <f>Model!CN450</f>
        <v>0.16180871356937621</v>
      </c>
      <c r="CG337">
        <f>Model!CO450</f>
        <v>0.14771996221642703</v>
      </c>
      <c r="CH337">
        <f>Model!CP450</f>
        <v>0.12581190913756196</v>
      </c>
      <c r="CI337">
        <f>Model!CQ450</f>
        <v>0.11646131995313729</v>
      </c>
      <c r="CJ337">
        <f>Model!CR450</f>
        <v>0.10402483213631697</v>
      </c>
      <c r="CK337">
        <f>Model!CS450</f>
        <v>0.1074883175252915</v>
      </c>
      <c r="CL337">
        <f>Model!CT450</f>
        <v>0.11022893038804482</v>
      </c>
      <c r="CM337">
        <f>Model!CU450</f>
        <v>0.11356134454446326</v>
      </c>
      <c r="CN337">
        <f>Model!CV450</f>
        <v>0.12016657264298419</v>
      </c>
      <c r="CO337">
        <f>Model!CW450</f>
        <v>0.12049327309046166</v>
      </c>
      <c r="CP337">
        <f>Model!CX450</f>
        <v>0.12775103585562825</v>
      </c>
      <c r="CQ337">
        <f>Model!CY450</f>
        <v>0.13102351630235462</v>
      </c>
      <c r="CR337">
        <f>Model!DG450</f>
        <v>0</v>
      </c>
      <c r="CS337">
        <f>Model!DH450</f>
        <v>0</v>
      </c>
      <c r="CT337">
        <f>Model!DI450</f>
        <v>0</v>
      </c>
      <c r="CU337">
        <f>Model!DJ450</f>
        <v>0</v>
      </c>
    </row>
    <row r="338" spans="1:99">
      <c r="A338" t="str">
        <f>Model!I451</f>
        <v>Non-Advertising Costs</v>
      </c>
      <c r="B338">
        <f>Model!J451</f>
        <v>0</v>
      </c>
      <c r="C338">
        <f>Model!K451</f>
        <v>0</v>
      </c>
      <c r="D338">
        <f>Model!L451</f>
        <v>0</v>
      </c>
      <c r="E338">
        <f>Model!M451</f>
        <v>0</v>
      </c>
      <c r="F338">
        <f>Model!N451</f>
        <v>0</v>
      </c>
      <c r="G338">
        <f>Model!O451</f>
        <v>0</v>
      </c>
      <c r="H338">
        <f>Model!P451</f>
        <v>0</v>
      </c>
      <c r="I338">
        <f>Model!Q451</f>
        <v>0</v>
      </c>
      <c r="J338">
        <f>Model!R451</f>
        <v>0</v>
      </c>
      <c r="K338">
        <f>Model!S451</f>
        <v>0</v>
      </c>
      <c r="L338">
        <f>Model!T451</f>
        <v>0</v>
      </c>
      <c r="M338">
        <f>Model!U451</f>
        <v>0</v>
      </c>
      <c r="N338">
        <f>Model!V451</f>
        <v>0</v>
      </c>
      <c r="O338">
        <f>Model!W451</f>
        <v>0</v>
      </c>
      <c r="P338">
        <f>Model!X451</f>
        <v>0</v>
      </c>
      <c r="Q338">
        <f>Model!Y451</f>
        <v>0</v>
      </c>
      <c r="R338">
        <f>Model!Z451</f>
        <v>0</v>
      </c>
      <c r="S338">
        <f>Model!AA451</f>
        <v>0</v>
      </c>
      <c r="T338">
        <f>Model!AB451</f>
        <v>0</v>
      </c>
      <c r="U338">
        <f>Model!AC451</f>
        <v>0</v>
      </c>
      <c r="V338">
        <f>Model!AD451</f>
        <v>0</v>
      </c>
      <c r="W338">
        <f>Model!AE451</f>
        <v>0</v>
      </c>
      <c r="X338">
        <f>Model!AF451</f>
        <v>0</v>
      </c>
      <c r="Y338">
        <f>Model!AG451</f>
        <v>0</v>
      </c>
      <c r="Z338">
        <f>Model!AH451</f>
        <v>0</v>
      </c>
      <c r="AA338">
        <f>Model!AI451</f>
        <v>0</v>
      </c>
      <c r="AB338">
        <f>Model!AJ451</f>
        <v>0</v>
      </c>
      <c r="AC338">
        <f>Model!AK451</f>
        <v>0</v>
      </c>
      <c r="AD338">
        <f>Model!AL451</f>
        <v>0</v>
      </c>
      <c r="AE338">
        <f>Model!AM451</f>
        <v>0</v>
      </c>
      <c r="AF338">
        <f>Model!AN451</f>
        <v>0</v>
      </c>
      <c r="AG338">
        <f>Model!AO451</f>
        <v>0</v>
      </c>
      <c r="AH338">
        <f>Model!AP451</f>
        <v>0</v>
      </c>
      <c r="AI338">
        <f>Model!AQ451</f>
        <v>0</v>
      </c>
      <c r="AJ338">
        <f>Model!AR451</f>
        <v>0</v>
      </c>
      <c r="AK338">
        <f>Model!AS451</f>
        <v>0</v>
      </c>
      <c r="AL338">
        <f>Model!AT451</f>
        <v>0</v>
      </c>
      <c r="AM338">
        <f>Model!AU451</f>
        <v>0</v>
      </c>
      <c r="AN338">
        <f>Model!AV451</f>
        <v>0</v>
      </c>
      <c r="AO338">
        <f>Model!AW451</f>
        <v>0</v>
      </c>
      <c r="AP338">
        <f>Model!AX451</f>
        <v>0</v>
      </c>
      <c r="AQ338">
        <f>Model!AY451</f>
        <v>0</v>
      </c>
      <c r="AR338">
        <f>Model!AZ451</f>
        <v>0</v>
      </c>
      <c r="AS338">
        <f>Model!BA451</f>
        <v>0</v>
      </c>
      <c r="AT338">
        <f>Model!BB451</f>
        <v>0</v>
      </c>
      <c r="AU338">
        <f>Model!BC451</f>
        <v>0</v>
      </c>
      <c r="AV338">
        <f>Model!BD451</f>
        <v>0</v>
      </c>
      <c r="AW338">
        <f>Model!BE451</f>
        <v>0</v>
      </c>
      <c r="AX338">
        <f>Model!BF451</f>
        <v>0</v>
      </c>
      <c r="AY338">
        <f>Model!BG451</f>
        <v>0</v>
      </c>
      <c r="AZ338">
        <f>Model!BH451</f>
        <v>0</v>
      </c>
      <c r="BA338">
        <f>Model!BI451</f>
        <v>0</v>
      </c>
      <c r="BB338">
        <f>Model!BJ451</f>
        <v>0</v>
      </c>
      <c r="BC338">
        <f>Model!BK451</f>
        <v>0</v>
      </c>
      <c r="BD338">
        <f>Model!BL451</f>
        <v>0</v>
      </c>
      <c r="BE338">
        <f>Model!BM451</f>
        <v>0</v>
      </c>
      <c r="BF338">
        <f>Model!BN451</f>
        <v>0</v>
      </c>
      <c r="BG338">
        <f>Model!BO451</f>
        <v>0</v>
      </c>
      <c r="BH338">
        <f>Model!BP451</f>
        <v>0</v>
      </c>
      <c r="BI338">
        <f>Model!BQ451</f>
        <v>0</v>
      </c>
      <c r="BJ338">
        <f>Model!BR451</f>
        <v>0</v>
      </c>
      <c r="BK338">
        <f>Model!BS451</f>
        <v>0</v>
      </c>
      <c r="BL338">
        <f>Model!BT451</f>
        <v>0</v>
      </c>
      <c r="BM338">
        <f>Model!BU451</f>
        <v>0</v>
      </c>
      <c r="BN338">
        <f>Model!BV451</f>
        <v>0</v>
      </c>
      <c r="BO338">
        <f>Model!BW451</f>
        <v>0</v>
      </c>
      <c r="BP338">
        <f>Model!BX451</f>
        <v>0</v>
      </c>
      <c r="BQ338">
        <f>Model!BY451</f>
        <v>0</v>
      </c>
      <c r="BR338">
        <f>Model!BZ451</f>
        <v>0</v>
      </c>
      <c r="BS338">
        <f>Model!CA451</f>
        <v>0</v>
      </c>
      <c r="BT338">
        <f>Model!CB451</f>
        <v>0</v>
      </c>
      <c r="BU338">
        <f>Model!CC451</f>
        <v>0</v>
      </c>
      <c r="BV338">
        <f>Model!CD451</f>
        <v>0</v>
      </c>
      <c r="BW338">
        <f>Model!CE451</f>
        <v>0</v>
      </c>
      <c r="BX338">
        <f>Model!CF451</f>
        <v>0</v>
      </c>
      <c r="BY338">
        <f>Model!CG451</f>
        <v>0</v>
      </c>
      <c r="BZ338">
        <f>Model!CH451</f>
        <v>0</v>
      </c>
      <c r="CA338">
        <f>Model!CI451</f>
        <v>0</v>
      </c>
      <c r="CB338">
        <f>Model!CJ451</f>
        <v>0</v>
      </c>
      <c r="CC338">
        <f>Model!CK451</f>
        <v>0</v>
      </c>
      <c r="CD338">
        <f>Model!CL451</f>
        <v>0</v>
      </c>
      <c r="CE338">
        <f>Model!CM451</f>
        <v>0</v>
      </c>
      <c r="CF338">
        <f>Model!CN451</f>
        <v>0</v>
      </c>
      <c r="CG338">
        <f>Model!CO451</f>
        <v>0</v>
      </c>
      <c r="CH338">
        <f>Model!CP451</f>
        <v>0</v>
      </c>
      <c r="CI338">
        <f>Model!CQ451</f>
        <v>0</v>
      </c>
      <c r="CJ338">
        <f>Model!CR451</f>
        <v>0</v>
      </c>
      <c r="CK338">
        <f>Model!CS451</f>
        <v>0</v>
      </c>
      <c r="CL338">
        <f>Model!CT451</f>
        <v>0</v>
      </c>
      <c r="CM338">
        <f>Model!CU451</f>
        <v>0</v>
      </c>
      <c r="CN338">
        <f>Model!CV451</f>
        <v>0</v>
      </c>
      <c r="CO338">
        <f>Model!CW451</f>
        <v>0</v>
      </c>
      <c r="CP338">
        <f>Model!CX451</f>
        <v>0</v>
      </c>
      <c r="CQ338">
        <f>Model!CY451</f>
        <v>0</v>
      </c>
      <c r="CR338">
        <f>Model!DG451</f>
        <v>0</v>
      </c>
      <c r="CS338">
        <f>Model!DH451</f>
        <v>0</v>
      </c>
      <c r="CT338">
        <f>Model!DI451</f>
        <v>0</v>
      </c>
      <c r="CU338">
        <f>Model!DJ451</f>
        <v>0</v>
      </c>
    </row>
    <row r="339" spans="1:99">
      <c r="A339" t="str">
        <f>Model!I452</f>
        <v>Total Sales &amp; Marketing</v>
      </c>
      <c r="B339">
        <f>Model!J452</f>
        <v>0</v>
      </c>
      <c r="C339">
        <f>Model!K452</f>
        <v>0</v>
      </c>
      <c r="D339">
        <f>Model!L452</f>
        <v>0</v>
      </c>
      <c r="E339">
        <f>Model!M452</f>
        <v>0</v>
      </c>
      <c r="F339">
        <f>Model!N452</f>
        <v>0</v>
      </c>
      <c r="G339">
        <f>Model!O452</f>
        <v>0</v>
      </c>
      <c r="H339">
        <f>Model!P452</f>
        <v>0</v>
      </c>
      <c r="I339">
        <f>Model!Q452</f>
        <v>0</v>
      </c>
      <c r="J339">
        <f>Model!R452</f>
        <v>0</v>
      </c>
      <c r="K339">
        <f>Model!S452</f>
        <v>0</v>
      </c>
      <c r="L339">
        <f>Model!T452</f>
        <v>0</v>
      </c>
      <c r="M339">
        <f>Model!U452</f>
        <v>0</v>
      </c>
      <c r="N339">
        <f>Model!V452</f>
        <v>0</v>
      </c>
      <c r="O339">
        <f>Model!W452</f>
        <v>0</v>
      </c>
      <c r="P339">
        <f>Model!X452</f>
        <v>0</v>
      </c>
      <c r="Q339">
        <f>Model!Y452</f>
        <v>0</v>
      </c>
      <c r="R339">
        <f>Model!Z452</f>
        <v>0</v>
      </c>
      <c r="S339">
        <f>Model!AA452</f>
        <v>0</v>
      </c>
      <c r="T339">
        <f>Model!AB452</f>
        <v>0</v>
      </c>
      <c r="U339">
        <f>Model!AC452</f>
        <v>0</v>
      </c>
      <c r="V339">
        <f>Model!AD452</f>
        <v>0</v>
      </c>
      <c r="W339">
        <f>Model!AE452</f>
        <v>0</v>
      </c>
      <c r="X339">
        <f>Model!AF452</f>
        <v>0</v>
      </c>
      <c r="Y339">
        <f>Model!AG452</f>
        <v>9.5820000000000007</v>
      </c>
      <c r="Z339">
        <f>Model!AH452</f>
        <v>10.708</v>
      </c>
      <c r="AA339">
        <f>Model!AI452</f>
        <v>11.204000000000001</v>
      </c>
      <c r="AB339">
        <f>Model!AJ452</f>
        <v>10.624000000000001</v>
      </c>
      <c r="AC339">
        <f>Model!AK452</f>
        <v>11.41</v>
      </c>
      <c r="AD339">
        <f>Model!AL452</f>
        <v>11.525</v>
      </c>
      <c r="AE339">
        <f>Model!AM452</f>
        <v>13.093</v>
      </c>
      <c r="AF339">
        <f>Model!AN452</f>
        <v>11.131</v>
      </c>
      <c r="AG339">
        <f>Model!AO452</f>
        <v>16.332999999999998</v>
      </c>
      <c r="AH339">
        <f>Model!AP452</f>
        <v>19.93</v>
      </c>
      <c r="AI339">
        <f>Model!AQ452</f>
        <v>21.452000000000002</v>
      </c>
      <c r="AJ339">
        <f>Model!AR452</f>
        <v>20.233000000000001</v>
      </c>
      <c r="AK339">
        <f>Model!AS452</f>
        <v>18.419</v>
      </c>
      <c r="AL339">
        <f>Model!AT452</f>
        <v>20.690999999999999</v>
      </c>
      <c r="AM339">
        <f>Model!AU452</f>
        <v>24.472999999999999</v>
      </c>
      <c r="AN339">
        <f>Model!AV452</f>
        <v>17.655000000000001</v>
      </c>
      <c r="AO339">
        <f>Model!AW452</f>
        <v>24.113</v>
      </c>
      <c r="AP339">
        <f>Model!AX452</f>
        <v>28.49</v>
      </c>
      <c r="AQ339">
        <f>Model!AY452</f>
        <v>33.06</v>
      </c>
      <c r="AR339">
        <f>Model!AZ452</f>
        <v>30.640999999999998</v>
      </c>
      <c r="AS339">
        <f>Model!BA452</f>
        <v>34.777999999999999</v>
      </c>
      <c r="AT339">
        <f>Model!BB452</f>
        <v>41.03</v>
      </c>
      <c r="AU339">
        <f>Model!BC452</f>
        <v>47.124000000000002</v>
      </c>
      <c r="AV339">
        <f>Model!BD452</f>
        <v>39.759</v>
      </c>
      <c r="AW339">
        <f>Model!BE452</f>
        <v>45.536999999999999</v>
      </c>
      <c r="AX339">
        <f>Model!BF452</f>
        <v>47.445</v>
      </c>
      <c r="AY339">
        <f>Model!BG452</f>
        <v>52.960999999999999</v>
      </c>
      <c r="AZ339">
        <f>Model!BH452</f>
        <v>49.991</v>
      </c>
      <c r="BA339">
        <f>Model!BI452</f>
        <v>52.262999999999998</v>
      </c>
      <c r="BB339">
        <f>Model!BJ452</f>
        <v>59.854999999999997</v>
      </c>
      <c r="BC339">
        <f>Model!BK452</f>
        <v>65.274000000000001</v>
      </c>
      <c r="BD339">
        <f>Model!BL452</f>
        <v>58.424999999999997</v>
      </c>
      <c r="BE339">
        <f>Model!BM452</f>
        <v>64.311000000000007</v>
      </c>
      <c r="BF339">
        <f>Model!BN452</f>
        <v>75.052999999999997</v>
      </c>
      <c r="BG339">
        <f>Model!BO452</f>
        <v>86.091999999999999</v>
      </c>
      <c r="BH339">
        <f>Model!BP452</f>
        <v>85.453999999999994</v>
      </c>
      <c r="BI339">
        <f>Model!BQ452</f>
        <v>81.944000000000003</v>
      </c>
      <c r="BJ339">
        <f>Model!BR452</f>
        <v>94.522999999999996</v>
      </c>
      <c r="BK339">
        <f>Model!BS452</f>
        <v>93.069000000000003</v>
      </c>
      <c r="BL339">
        <f>Model!BT452</f>
        <v>83.685000000000002</v>
      </c>
      <c r="BM339">
        <f>Model!BU452</f>
        <v>92.322999999999993</v>
      </c>
      <c r="BN339">
        <f>Model!BV452</f>
        <v>105.52200000000001</v>
      </c>
      <c r="BO339">
        <f>Model!BW452</f>
        <v>124.86499999999999</v>
      </c>
      <c r="BP339">
        <f>Model!BX452</f>
        <v>112.515</v>
      </c>
      <c r="BQ339">
        <f>Model!BY452</f>
        <v>114.036</v>
      </c>
      <c r="BR339">
        <f>Model!BZ452</f>
        <v>131.73400000000001</v>
      </c>
      <c r="BS339">
        <f>Model!CA452</f>
        <v>165.53899999999999</v>
      </c>
      <c r="BT339">
        <f>Model!CB452</f>
        <v>150.649</v>
      </c>
      <c r="BU339">
        <f>Model!CC452</f>
        <v>154.036</v>
      </c>
      <c r="BV339">
        <f>Model!CD452</f>
        <v>161.73400000000001</v>
      </c>
      <c r="BW339">
        <f>Model!CE452</f>
        <v>185.53899999999999</v>
      </c>
      <c r="BX339">
        <f>Model!CF452</f>
        <v>170.649</v>
      </c>
      <c r="BY339">
        <f>Model!CG452</f>
        <v>0</v>
      </c>
      <c r="BZ339">
        <f>Model!CH452</f>
        <v>0</v>
      </c>
      <c r="CA339">
        <f>Model!CI452</f>
        <v>0</v>
      </c>
      <c r="CB339">
        <f>Model!CJ452</f>
        <v>0</v>
      </c>
      <c r="CC339">
        <f>Model!CK452</f>
        <v>0</v>
      </c>
      <c r="CD339">
        <f>Model!CL452</f>
        <v>0</v>
      </c>
      <c r="CE339">
        <f>Model!CM452</f>
        <v>42.118000000000002</v>
      </c>
      <c r="CF339">
        <f>Model!CN452</f>
        <v>47.159000000000006</v>
      </c>
      <c r="CG339">
        <f>Model!CO452</f>
        <v>77.948000000000008</v>
      </c>
      <c r="CH339">
        <f>Model!CP452</f>
        <v>81.238</v>
      </c>
      <c r="CI339">
        <f>Model!CQ452</f>
        <v>116.304</v>
      </c>
      <c r="CJ339">
        <f>Model!CR452</f>
        <v>162.69099999999997</v>
      </c>
      <c r="CK339">
        <f>Model!CS452</f>
        <v>195.93399999999997</v>
      </c>
      <c r="CL339">
        <f>Model!CT452</f>
        <v>235.81700000000001</v>
      </c>
      <c r="CM339">
        <f>Model!CU452</f>
        <v>310.91000000000003</v>
      </c>
      <c r="CN339">
        <f>Model!CV452</f>
        <v>353.221</v>
      </c>
      <c r="CO339">
        <f>Model!CW452</f>
        <v>435.22499999999997</v>
      </c>
      <c r="CP339">
        <f>Model!CX452</f>
        <v>561.95799999999997</v>
      </c>
      <c r="CQ339">
        <f>Model!CY452</f>
        <v>671.95799999999997</v>
      </c>
      <c r="CR339">
        <f>Model!DG452</f>
        <v>0</v>
      </c>
      <c r="CS339">
        <f>Model!DH452</f>
        <v>0</v>
      </c>
      <c r="CT339">
        <f>Model!DI452</f>
        <v>0</v>
      </c>
      <c r="CU339">
        <f>Model!DJ452</f>
        <v>0</v>
      </c>
    </row>
    <row r="340" spans="1:99">
      <c r="A340" t="str">
        <f>Model!I453</f>
        <v>% of Total Gross Profit</v>
      </c>
      <c r="B340">
        <f>Model!J453</f>
        <v>0</v>
      </c>
      <c r="C340">
        <f>Model!K453</f>
        <v>0</v>
      </c>
      <c r="D340">
        <f>Model!L453</f>
        <v>0</v>
      </c>
      <c r="E340">
        <f>Model!M453</f>
        <v>0</v>
      </c>
      <c r="F340">
        <f>Model!N453</f>
        <v>0</v>
      </c>
      <c r="G340">
        <f>Model!O453</f>
        <v>0</v>
      </c>
      <c r="H340">
        <f>Model!P453</f>
        <v>0</v>
      </c>
      <c r="I340">
        <f>Model!Q453</f>
        <v>0</v>
      </c>
      <c r="J340">
        <f>Model!R453</f>
        <v>0</v>
      </c>
      <c r="K340">
        <f>Model!S453</f>
        <v>0</v>
      </c>
      <c r="L340">
        <f>Model!T453</f>
        <v>0</v>
      </c>
      <c r="M340">
        <f>Model!U453</f>
        <v>0</v>
      </c>
      <c r="N340">
        <f>Model!V453</f>
        <v>0</v>
      </c>
      <c r="O340">
        <f>Model!W453</f>
        <v>0</v>
      </c>
      <c r="P340">
        <f>Model!X453</f>
        <v>0</v>
      </c>
      <c r="Q340">
        <f>Model!Y453</f>
        <v>0</v>
      </c>
      <c r="R340">
        <f>Model!Z453</f>
        <v>0</v>
      </c>
      <c r="S340">
        <f>Model!AA453</f>
        <v>0</v>
      </c>
      <c r="T340">
        <f>Model!AB453</f>
        <v>0</v>
      </c>
      <c r="U340">
        <f>Model!AC453</f>
        <v>0</v>
      </c>
      <c r="V340">
        <f>Model!AD453</f>
        <v>0</v>
      </c>
      <c r="W340">
        <f>Model!AE453</f>
        <v>0</v>
      </c>
      <c r="X340">
        <f>Model!AF453</f>
        <v>0</v>
      </c>
      <c r="Y340">
        <f>Model!AG453</f>
        <v>0.13265772313826477</v>
      </c>
      <c r="Z340">
        <f>Model!AH453</f>
        <v>0.10120600355374088</v>
      </c>
      <c r="AA340">
        <f>Model!AI453</f>
        <v>9.1595814257684746E-2</v>
      </c>
      <c r="AB340">
        <f>Model!AJ453</f>
        <v>0.10675562969140955</v>
      </c>
      <c r="AC340">
        <f>Model!AK453</f>
        <v>0.10988164369841771</v>
      </c>
      <c r="AD340">
        <f>Model!AL453</f>
        <v>7.440620299174272E-2</v>
      </c>
      <c r="AE340">
        <f>Model!AM453</f>
        <v>6.4710795676391653E-2</v>
      </c>
      <c r="AF340">
        <f>Model!AN453</f>
        <v>6.9502722413706974E-2</v>
      </c>
      <c r="AG340">
        <f>Model!AO453</f>
        <v>9.018624760495407E-2</v>
      </c>
      <c r="AH340">
        <f>Model!AP453</f>
        <v>7.8549610799093506E-2</v>
      </c>
      <c r="AI340">
        <f>Model!AQ453</f>
        <v>6.7869323394858225E-2</v>
      </c>
      <c r="AJ340">
        <f>Model!AR453</f>
        <v>9.8666276546460888E-2</v>
      </c>
      <c r="AK340">
        <f>Model!AS453</f>
        <v>8.8412614601833639E-2</v>
      </c>
      <c r="AL340">
        <f>Model!AT453</f>
        <v>6.7786448607316252E-2</v>
      </c>
      <c r="AM340">
        <f>Model!AU453</f>
        <v>5.6388621355465136E-2</v>
      </c>
      <c r="AN340">
        <f>Model!AV453</f>
        <v>5.6371711650153727E-2</v>
      </c>
      <c r="AO340">
        <f>Model!AW453</f>
        <v>7.5561864651098695E-2</v>
      </c>
      <c r="AP340">
        <f>Model!AX453</f>
        <v>6.3852580997973946E-2</v>
      </c>
      <c r="AQ340">
        <f>Model!AY453</f>
        <v>4.9475612384167818E-2</v>
      </c>
      <c r="AR340">
        <f>Model!AZ453</f>
        <v>6.3813347883856827E-2</v>
      </c>
      <c r="AS340">
        <f>Model!BA453</f>
        <v>6.8757315028627461E-2</v>
      </c>
      <c r="AT340">
        <f>Model!BB453</f>
        <v>5.4763109177859308E-2</v>
      </c>
      <c r="AU340">
        <f>Model!BC453</f>
        <v>4.2834236848133159E-2</v>
      </c>
      <c r="AV340">
        <f>Model!BD453</f>
        <v>5.4862928920638557E-2</v>
      </c>
      <c r="AW340">
        <f>Model!BE453</f>
        <v>6.1264274413148065E-2</v>
      </c>
      <c r="AX340">
        <f>Model!BF453</f>
        <v>4.7249293426626912E-2</v>
      </c>
      <c r="AY340">
        <f>Model!BG453</f>
        <v>3.7924068797659291E-2</v>
      </c>
      <c r="AZ340">
        <f>Model!BH453</f>
        <v>5.3196062782654957E-2</v>
      </c>
      <c r="BA340">
        <f>Model!BI453</f>
        <v>5.176271337522842E-2</v>
      </c>
      <c r="BB340">
        <f>Model!BJ453</f>
        <v>4.3252363867601736E-2</v>
      </c>
      <c r="BC340">
        <f>Model!BK453</f>
        <v>3.2816423797110708E-2</v>
      </c>
      <c r="BD340">
        <f>Model!BL453</f>
        <v>4.3819812630456291E-2</v>
      </c>
      <c r="BE340">
        <f>Model!BM453</f>
        <v>4.5725080716203889E-2</v>
      </c>
      <c r="BF340">
        <f>Model!BN453</f>
        <v>3.9858289661794291E-2</v>
      </c>
      <c r="BG340">
        <f>Model!BO453</f>
        <v>3.2859817906867921E-2</v>
      </c>
      <c r="BH340">
        <f>Model!BP453</f>
        <v>5.1026909538211658E-2</v>
      </c>
      <c r="BI340">
        <f>Model!BQ453</f>
        <v>4.9002652735618664E-2</v>
      </c>
      <c r="BJ340">
        <f>Model!BR453</f>
        <v>4.5163519049589422E-2</v>
      </c>
      <c r="BK340">
        <f>Model!BS453</f>
        <v>3.1577908052232533E-2</v>
      </c>
      <c r="BL340">
        <f>Model!BT453</f>
        <v>4.4527911553951485E-2</v>
      </c>
      <c r="BM340">
        <f>Model!BU453</f>
        <v>4.5716903117185376E-2</v>
      </c>
      <c r="BN340">
        <f>Model!BV453</f>
        <v>4.3427943985928162E-2</v>
      </c>
      <c r="BO340">
        <f>Model!BW453</f>
        <v>3.4790417443215677E-2</v>
      </c>
      <c r="BP340">
        <f>Model!BX453</f>
        <v>4.94275732188348E-2</v>
      </c>
      <c r="BQ340">
        <f>Model!BY453</f>
        <v>4.8853692965789647E-2</v>
      </c>
      <c r="BR340">
        <f>Model!BZ453</f>
        <v>4.4628150689711488E-2</v>
      </c>
      <c r="BS340">
        <f>Model!CA453</f>
        <v>3.78413520192806E-2</v>
      </c>
      <c r="BT340">
        <f>Model!CB453</f>
        <v>5.4387039733308599E-2</v>
      </c>
      <c r="BU340">
        <f>Model!CC453</f>
        <v>5.5062358928246451E-2</v>
      </c>
      <c r="BV340">
        <f>Model!CD453</f>
        <v>4.5403010015186818E-2</v>
      </c>
      <c r="BW340">
        <f>Model!CE453</f>
        <v>3.7075092662752711E-2</v>
      </c>
      <c r="BX340">
        <f>Model!CF453</f>
        <v>5.0520894749048161E-2</v>
      </c>
      <c r="BY340">
        <f>Model!CG453</f>
        <v>0</v>
      </c>
      <c r="BZ340">
        <f>Model!CH453</f>
        <v>0</v>
      </c>
      <c r="CA340">
        <f>Model!CI453</f>
        <v>0</v>
      </c>
      <c r="CB340">
        <f>Model!CJ453</f>
        <v>0</v>
      </c>
      <c r="CC340">
        <f>Model!CK453</f>
        <v>0</v>
      </c>
      <c r="CD340">
        <f>Model!CL453</f>
        <v>0</v>
      </c>
      <c r="CE340">
        <f>Model!CM453</f>
        <v>0.10532870518565937</v>
      </c>
      <c r="CF340">
        <f>Model!CN453</f>
        <v>7.5914136007662447E-2</v>
      </c>
      <c r="CG340">
        <f>Model!CO453</f>
        <v>8.1538038287772327E-2</v>
      </c>
      <c r="CH340">
        <f>Model!CP453</f>
        <v>6.4435583848828054E-2</v>
      </c>
      <c r="CI340">
        <f>Model!CQ453</f>
        <v>6.077524176009081E-2</v>
      </c>
      <c r="CJ340">
        <f>Model!CR453</f>
        <v>5.2823811317324033E-2</v>
      </c>
      <c r="CK340">
        <f>Model!CS453</f>
        <v>4.7979751601557499E-2</v>
      </c>
      <c r="CL340">
        <f>Model!CT453</f>
        <v>4.1256421139259945E-2</v>
      </c>
      <c r="CM340">
        <f>Model!CU453</f>
        <v>4.0994814171170596E-2</v>
      </c>
      <c r="CN340">
        <f>Model!CV453</f>
        <v>4.1111375057656677E-2</v>
      </c>
      <c r="CO340">
        <f>Model!CW453</f>
        <v>4.2194667567388343E-2</v>
      </c>
      <c r="CP340">
        <f>Model!CX453</f>
        <v>4.5207832802182046E-2</v>
      </c>
      <c r="CQ340">
        <f>Model!CY453</f>
        <v>4.5581595476573492E-2</v>
      </c>
      <c r="CR340">
        <f>Model!DG453</f>
        <v>0</v>
      </c>
      <c r="CS340">
        <f>Model!DH453</f>
        <v>0</v>
      </c>
      <c r="CT340">
        <f>Model!DI453</f>
        <v>0</v>
      </c>
      <c r="CU340">
        <f>Model!DJ453</f>
        <v>0</v>
      </c>
    </row>
    <row r="341" spans="1:99">
      <c r="A341" t="str">
        <f>Model!I454</f>
        <v>change Y/Y (in bp)</v>
      </c>
      <c r="B341">
        <f>Model!J454</f>
        <v>0</v>
      </c>
      <c r="C341">
        <f>Model!K454</f>
        <v>0</v>
      </c>
      <c r="D341">
        <f>Model!L454</f>
        <v>0</v>
      </c>
      <c r="E341">
        <f>Model!M454</f>
        <v>0</v>
      </c>
      <c r="F341">
        <f>Model!N454</f>
        <v>0</v>
      </c>
      <c r="G341">
        <f>Model!O454</f>
        <v>0</v>
      </c>
      <c r="H341">
        <f>Model!P454</f>
        <v>0</v>
      </c>
      <c r="I341">
        <f>Model!Q454</f>
        <v>0</v>
      </c>
      <c r="J341">
        <f>Model!R454</f>
        <v>0</v>
      </c>
      <c r="K341">
        <f>Model!S454</f>
        <v>0</v>
      </c>
      <c r="L341">
        <f>Model!T454</f>
        <v>0</v>
      </c>
      <c r="M341">
        <f>Model!U454</f>
        <v>0</v>
      </c>
      <c r="N341">
        <f>Model!V454</f>
        <v>0</v>
      </c>
      <c r="O341">
        <f>Model!W454</f>
        <v>0</v>
      </c>
      <c r="P341">
        <f>Model!X454</f>
        <v>0</v>
      </c>
      <c r="Q341">
        <f>Model!Y454</f>
        <v>0</v>
      </c>
      <c r="R341">
        <f>Model!Z454</f>
        <v>0</v>
      </c>
      <c r="S341">
        <f>Model!AA454</f>
        <v>0</v>
      </c>
      <c r="T341">
        <f>Model!AB454</f>
        <v>0</v>
      </c>
      <c r="U341">
        <f>Model!AC454</f>
        <v>0</v>
      </c>
      <c r="V341">
        <f>Model!AD454</f>
        <v>0</v>
      </c>
      <c r="W341">
        <f>Model!AE454</f>
        <v>0</v>
      </c>
      <c r="X341">
        <f>Model!AF454</f>
        <v>0</v>
      </c>
      <c r="Y341">
        <f>Model!AG454</f>
        <v>0</v>
      </c>
      <c r="Z341">
        <f>Model!AH454</f>
        <v>0</v>
      </c>
      <c r="AA341">
        <f>Model!AI454</f>
        <v>0</v>
      </c>
      <c r="AB341">
        <f>Model!AJ454</f>
        <v>0</v>
      </c>
      <c r="AC341">
        <f>Model!AK454</f>
        <v>-227.76079439847052</v>
      </c>
      <c r="AD341">
        <f>Model!AL454</f>
        <v>-267.99800561998154</v>
      </c>
      <c r="AE341">
        <f>Model!AM454</f>
        <v>-268.85018581293093</v>
      </c>
      <c r="AF341">
        <f>Model!AN454</f>
        <v>-372.5290727770257</v>
      </c>
      <c r="AG341">
        <f>Model!AO454</f>
        <v>-196.95396093463643</v>
      </c>
      <c r="AH341">
        <f>Model!AP454</f>
        <v>41.434078073507848</v>
      </c>
      <c r="AI341">
        <f>Model!AQ454</f>
        <v>31.585277184665721</v>
      </c>
      <c r="AJ341">
        <f>Model!AR454</f>
        <v>291.63554132753916</v>
      </c>
      <c r="AK341">
        <f>Model!AS454</f>
        <v>-17.736330031204311</v>
      </c>
      <c r="AL341">
        <f>Model!AT454</f>
        <v>-107.63162191777253</v>
      </c>
      <c r="AM341">
        <f>Model!AU454</f>
        <v>-114.80702039393088</v>
      </c>
      <c r="AN341">
        <f>Model!AV454</f>
        <v>-422.94564896307162</v>
      </c>
      <c r="AO341">
        <f>Model!AW454</f>
        <v>-128.50749950734945</v>
      </c>
      <c r="AP341">
        <f>Model!AX454</f>
        <v>-39.338676093423061</v>
      </c>
      <c r="AQ341">
        <f>Model!AY454</f>
        <v>-69.130089712973188</v>
      </c>
      <c r="AR341">
        <f>Model!AZ454</f>
        <v>74.416362337031003</v>
      </c>
      <c r="AS341">
        <f>Model!BA454</f>
        <v>-68.045496224712338</v>
      </c>
      <c r="AT341">
        <f>Model!BB454</f>
        <v>-90.894718201146375</v>
      </c>
      <c r="AU341">
        <f>Model!BC454</f>
        <v>-66.413755360346585</v>
      </c>
      <c r="AV341">
        <f>Model!BD454</f>
        <v>-89.504189632182701</v>
      </c>
      <c r="AW341">
        <f>Model!BE454</f>
        <v>-74.930406154793957</v>
      </c>
      <c r="AX341">
        <f>Model!BF454</f>
        <v>-75.138157512323957</v>
      </c>
      <c r="AY341">
        <f>Model!BG454</f>
        <v>-49.101680504738674</v>
      </c>
      <c r="AZ341">
        <f>Model!BH454</f>
        <v>-16.668661379835996</v>
      </c>
      <c r="BA341">
        <f>Model!BI454</f>
        <v>-95.015610379196445</v>
      </c>
      <c r="BB341">
        <f>Model!BJ454</f>
        <v>-39.969295590251768</v>
      </c>
      <c r="BC341">
        <f>Model!BK454</f>
        <v>-51.076450005485832</v>
      </c>
      <c r="BD341">
        <f>Model!BL454</f>
        <v>-93.762501521986664</v>
      </c>
      <c r="BE341">
        <f>Model!BM454</f>
        <v>-60.376326590245306</v>
      </c>
      <c r="BF341">
        <f>Model!BN454</f>
        <v>-33.940742058074441</v>
      </c>
      <c r="BG341">
        <f>Model!BO454</f>
        <v>0.43394109757212418</v>
      </c>
      <c r="BH341">
        <f>Model!BP454</f>
        <v>72.07096907755367</v>
      </c>
      <c r="BI341">
        <f>Model!BQ454</f>
        <v>32.775720194147745</v>
      </c>
      <c r="BJ341">
        <f>Model!BR454</f>
        <v>53.052293877951307</v>
      </c>
      <c r="BK341">
        <f>Model!BS454</f>
        <v>-12.81909854635388</v>
      </c>
      <c r="BL341">
        <f>Model!BT454</f>
        <v>-64.989979842601727</v>
      </c>
      <c r="BM341">
        <f>Model!BU454</f>
        <v>-32.857496184332881</v>
      </c>
      <c r="BN341">
        <f>Model!BV454</f>
        <v>-17.355750636612598</v>
      </c>
      <c r="BO341">
        <f>Model!BW454</f>
        <v>32.125093909831442</v>
      </c>
      <c r="BP341">
        <f>Model!BX454</f>
        <v>48.996616648833147</v>
      </c>
      <c r="BQ341">
        <f>Model!BY454</f>
        <v>31.367898486042712</v>
      </c>
      <c r="BR341">
        <f>Model!BZ454</f>
        <v>12.002067037833255</v>
      </c>
      <c r="BS341">
        <f>Model!CA454</f>
        <v>30.509345760649232</v>
      </c>
      <c r="BT341">
        <f>Model!CB454</f>
        <v>49.594665144737995</v>
      </c>
      <c r="BU341">
        <f>Model!CC454</f>
        <v>62.086659624568036</v>
      </c>
      <c r="BV341">
        <f>Model!CD454</f>
        <v>7.7485932547532999</v>
      </c>
      <c r="BW341">
        <f>Model!CE454</f>
        <v>-7.6625935652788888</v>
      </c>
      <c r="BX341">
        <f>Model!CF454</f>
        <v>-38.661449842604391</v>
      </c>
      <c r="BY341">
        <f>Model!CG454</f>
        <v>0</v>
      </c>
      <c r="BZ341">
        <f>Model!CH454</f>
        <v>0</v>
      </c>
      <c r="CA341">
        <f>Model!CI454</f>
        <v>0</v>
      </c>
      <c r="CB341">
        <f>Model!CJ454</f>
        <v>0</v>
      </c>
      <c r="CC341">
        <f>Model!CK454</f>
        <v>0</v>
      </c>
      <c r="CD341">
        <f>Model!CL454</f>
        <v>0</v>
      </c>
      <c r="CE341">
        <f>Model!CM454</f>
        <v>0</v>
      </c>
      <c r="CF341">
        <f>Model!CN454</f>
        <v>-294.14569177996924</v>
      </c>
      <c r="CG341">
        <f>Model!CO454</f>
        <v>56.239022801098798</v>
      </c>
      <c r="CH341">
        <f>Model!CP454</f>
        <v>-171.02454438944272</v>
      </c>
      <c r="CI341">
        <f>Model!CQ454</f>
        <v>-36.603420887372437</v>
      </c>
      <c r="CJ341">
        <f>Model!CR454</f>
        <v>-79.514304427667767</v>
      </c>
      <c r="CK341">
        <f>Model!CS454</f>
        <v>-48.440597157665344</v>
      </c>
      <c r="CL341">
        <f>Model!CT454</f>
        <v>-67.233304622975538</v>
      </c>
      <c r="CM341">
        <f>Model!CU454</f>
        <v>-2.6160696808934931</v>
      </c>
      <c r="CN341">
        <f>Model!CV454</f>
        <v>1.1656088648608065</v>
      </c>
      <c r="CO341">
        <f>Model!CW454</f>
        <v>10.832925097316663</v>
      </c>
      <c r="CP341">
        <f>Model!CX454</f>
        <v>30.131652347937035</v>
      </c>
      <c r="CQ341">
        <f>Model!CY454</f>
        <v>3.7376267439144515</v>
      </c>
      <c r="CR341">
        <f>Model!DG454</f>
        <v>0</v>
      </c>
      <c r="CS341">
        <f>Model!DH454</f>
        <v>0</v>
      </c>
      <c r="CT341">
        <f>Model!DI454</f>
        <v>0</v>
      </c>
      <c r="CU341">
        <f>Model!DJ454</f>
        <v>0</v>
      </c>
    </row>
    <row r="342" spans="1:99">
      <c r="A342" t="str">
        <f>Model!I455</f>
        <v>DRIVER: Period-to-period change Y/Y</v>
      </c>
      <c r="B342">
        <f>Model!J455</f>
        <v>0</v>
      </c>
      <c r="C342">
        <f>Model!K455</f>
        <v>0</v>
      </c>
      <c r="D342">
        <f>Model!L455</f>
        <v>0</v>
      </c>
      <c r="E342">
        <f>Model!M455</f>
        <v>0</v>
      </c>
      <c r="F342">
        <f>Model!N455</f>
        <v>0</v>
      </c>
      <c r="G342">
        <f>Model!O455</f>
        <v>0</v>
      </c>
      <c r="H342">
        <f>Model!P455</f>
        <v>0</v>
      </c>
      <c r="I342">
        <f>Model!Q455</f>
        <v>0</v>
      </c>
      <c r="J342">
        <f>Model!R455</f>
        <v>0</v>
      </c>
      <c r="K342">
        <f>Model!S455</f>
        <v>0</v>
      </c>
      <c r="L342">
        <f>Model!T455</f>
        <v>0</v>
      </c>
      <c r="M342">
        <f>Model!U455</f>
        <v>0</v>
      </c>
      <c r="N342">
        <f>Model!V455</f>
        <v>0</v>
      </c>
      <c r="O342">
        <f>Model!W455</f>
        <v>0</v>
      </c>
      <c r="P342">
        <f>Model!X455</f>
        <v>0</v>
      </c>
      <c r="Q342">
        <f>Model!Y455</f>
        <v>0</v>
      </c>
      <c r="R342">
        <f>Model!Z455</f>
        <v>0</v>
      </c>
      <c r="S342">
        <f>Model!AA455</f>
        <v>0</v>
      </c>
      <c r="T342">
        <f>Model!AB455</f>
        <v>0</v>
      </c>
      <c r="U342">
        <f>Model!AC455</f>
        <v>0</v>
      </c>
      <c r="V342">
        <f>Model!AD455</f>
        <v>0</v>
      </c>
      <c r="W342">
        <f>Model!AE455</f>
        <v>0</v>
      </c>
      <c r="X342">
        <f>Model!AF455</f>
        <v>0</v>
      </c>
      <c r="Y342">
        <f>Model!AG455</f>
        <v>0</v>
      </c>
      <c r="Z342">
        <f>Model!AH455</f>
        <v>0</v>
      </c>
      <c r="AA342">
        <f>Model!AI455</f>
        <v>0</v>
      </c>
      <c r="AB342">
        <f>Model!AJ455</f>
        <v>0</v>
      </c>
      <c r="AC342">
        <f>Model!AK455</f>
        <v>1.8279999999999994</v>
      </c>
      <c r="AD342">
        <f>Model!AL455</f>
        <v>0.81700000000000017</v>
      </c>
      <c r="AE342">
        <f>Model!AM455</f>
        <v>1.8889999999999993</v>
      </c>
      <c r="AF342">
        <f>Model!AN455</f>
        <v>0.50699999999999967</v>
      </c>
      <c r="AG342">
        <f>Model!AO455</f>
        <v>4.9229999999999983</v>
      </c>
      <c r="AH342">
        <f>Model!AP455</f>
        <v>8.4049999999999994</v>
      </c>
      <c r="AI342">
        <f>Model!AQ455</f>
        <v>8.3590000000000018</v>
      </c>
      <c r="AJ342">
        <f>Model!AR455</f>
        <v>9.1020000000000003</v>
      </c>
      <c r="AK342">
        <f>Model!AS455</f>
        <v>2.0860000000000021</v>
      </c>
      <c r="AL342">
        <f>Model!AT455</f>
        <v>0.76099999999999923</v>
      </c>
      <c r="AM342">
        <f>Model!AU455</f>
        <v>3.0209999999999972</v>
      </c>
      <c r="AN342">
        <f>Model!AV455</f>
        <v>-2.5779999999999994</v>
      </c>
      <c r="AO342">
        <f>Model!AW455</f>
        <v>5.6939999999999991</v>
      </c>
      <c r="AP342">
        <f>Model!AX455</f>
        <v>7.7989999999999995</v>
      </c>
      <c r="AQ342">
        <f>Model!AY455</f>
        <v>8.5870000000000033</v>
      </c>
      <c r="AR342">
        <f>Model!AZ455</f>
        <v>12.985999999999997</v>
      </c>
      <c r="AS342">
        <f>Model!BA455</f>
        <v>10.664999999999999</v>
      </c>
      <c r="AT342">
        <f>Model!BB455</f>
        <v>12.540000000000003</v>
      </c>
      <c r="AU342">
        <f>Model!BC455</f>
        <v>14.064</v>
      </c>
      <c r="AV342">
        <f>Model!BD455</f>
        <v>9.1180000000000021</v>
      </c>
      <c r="AW342">
        <f>Model!BE455</f>
        <v>10.759</v>
      </c>
      <c r="AX342">
        <f>Model!BF455</f>
        <v>6.4149999999999991</v>
      </c>
      <c r="AY342">
        <f>Model!BG455</f>
        <v>5.8369999999999962</v>
      </c>
      <c r="AZ342">
        <f>Model!BH455</f>
        <v>10.231999999999999</v>
      </c>
      <c r="BA342">
        <f>Model!BI455</f>
        <v>6.7259999999999991</v>
      </c>
      <c r="BB342">
        <f>Model!BJ455</f>
        <v>12.409999999999997</v>
      </c>
      <c r="BC342">
        <f>Model!BK455</f>
        <v>12.313000000000002</v>
      </c>
      <c r="BD342">
        <f>Model!BL455</f>
        <v>8.4339999999999975</v>
      </c>
      <c r="BE342">
        <f>Model!BM455</f>
        <v>12.048000000000009</v>
      </c>
      <c r="BF342">
        <f>Model!BN455</f>
        <v>15.198</v>
      </c>
      <c r="BG342">
        <f>Model!BO455</f>
        <v>20.817999999999998</v>
      </c>
      <c r="BH342">
        <f>Model!BP455</f>
        <v>27.028999999999996</v>
      </c>
      <c r="BI342">
        <f>Model!BQ455</f>
        <v>17.632999999999996</v>
      </c>
      <c r="BJ342">
        <f>Model!BR455</f>
        <v>19.47</v>
      </c>
      <c r="BK342">
        <f>Model!BS455</f>
        <v>6.9770000000000039</v>
      </c>
      <c r="BL342">
        <f>Model!BT455</f>
        <v>-1.7689999999999912</v>
      </c>
      <c r="BM342">
        <f>Model!BU455</f>
        <v>10.378999999999991</v>
      </c>
      <c r="BN342">
        <f>Model!BV455</f>
        <v>10.999000000000009</v>
      </c>
      <c r="BO342">
        <f>Model!BW455</f>
        <v>31.795999999999992</v>
      </c>
      <c r="BP342">
        <f>Model!BX455</f>
        <v>28.83</v>
      </c>
      <c r="BQ342">
        <f>Model!BY455</f>
        <v>21.713000000000008</v>
      </c>
      <c r="BR342">
        <f>Model!BZ455</f>
        <v>26.212000000000003</v>
      </c>
      <c r="BS342">
        <f>Model!CA455</f>
        <v>40.673999999999992</v>
      </c>
      <c r="BT342">
        <f>Model!CB455</f>
        <v>38.134</v>
      </c>
      <c r="BU342">
        <f>Model!CC455</f>
        <v>40</v>
      </c>
      <c r="BV342">
        <f>Model!CD455</f>
        <v>30</v>
      </c>
      <c r="BW342">
        <f>Model!CE455</f>
        <v>20</v>
      </c>
      <c r="BX342">
        <f>Model!CF455</f>
        <v>20</v>
      </c>
      <c r="BY342">
        <f>Model!CG455</f>
        <v>0</v>
      </c>
      <c r="BZ342">
        <f>Model!CH455</f>
        <v>0</v>
      </c>
      <c r="CA342">
        <f>Model!CI455</f>
        <v>0</v>
      </c>
      <c r="CB342">
        <f>Model!CJ455</f>
        <v>0</v>
      </c>
      <c r="CC342">
        <f>Model!CK455</f>
        <v>0</v>
      </c>
      <c r="CD342">
        <f>Model!CL455</f>
        <v>0</v>
      </c>
      <c r="CE342">
        <f>Model!CM455</f>
        <v>0</v>
      </c>
      <c r="CF342">
        <f>Model!CN455</f>
        <v>5.0410000000000039</v>
      </c>
      <c r="CG342">
        <f>Model!CO455</f>
        <v>30.789000000000001</v>
      </c>
      <c r="CH342">
        <f>Model!CP455</f>
        <v>3.289999999999992</v>
      </c>
      <c r="CI342">
        <f>Model!CQ455</f>
        <v>35.066000000000003</v>
      </c>
      <c r="CJ342">
        <f>Model!CR455</f>
        <v>46.386999999999972</v>
      </c>
      <c r="CK342">
        <f>Model!CS455</f>
        <v>33.242999999999995</v>
      </c>
      <c r="CL342">
        <f>Model!CT455</f>
        <v>39.883000000000038</v>
      </c>
      <c r="CM342">
        <f>Model!CU455</f>
        <v>75.093000000000018</v>
      </c>
      <c r="CN342">
        <f>Model!CV455</f>
        <v>42.310999999999979</v>
      </c>
      <c r="CO342">
        <f>Model!CW455</f>
        <v>82.003999999999962</v>
      </c>
      <c r="CP342">
        <f>Model!CX455</f>
        <v>126.733</v>
      </c>
      <c r="CQ342">
        <f>Model!CY455</f>
        <v>110</v>
      </c>
      <c r="CR342">
        <f>Model!DG455</f>
        <v>0</v>
      </c>
      <c r="CS342">
        <f>Model!DH455</f>
        <v>0</v>
      </c>
      <c r="CT342">
        <f>Model!DI455</f>
        <v>0</v>
      </c>
      <c r="CU342">
        <f>Model!DJ455</f>
        <v>0</v>
      </c>
    </row>
    <row r="343" spans="1:99">
      <c r="A343" t="str">
        <f>Model!I456</f>
        <v>Period-to-period change Q/Q</v>
      </c>
      <c r="B343">
        <f>Model!J456</f>
        <v>0</v>
      </c>
      <c r="C343">
        <f>Model!K456</f>
        <v>0</v>
      </c>
      <c r="D343">
        <f>Model!L456</f>
        <v>0</v>
      </c>
      <c r="E343">
        <f>Model!M456</f>
        <v>0</v>
      </c>
      <c r="F343">
        <f>Model!N456</f>
        <v>0</v>
      </c>
      <c r="G343">
        <f>Model!O456</f>
        <v>0</v>
      </c>
      <c r="H343">
        <f>Model!P456</f>
        <v>0</v>
      </c>
      <c r="I343">
        <f>Model!Q456</f>
        <v>0</v>
      </c>
      <c r="J343">
        <f>Model!R456</f>
        <v>0</v>
      </c>
      <c r="K343">
        <f>Model!S456</f>
        <v>0</v>
      </c>
      <c r="L343">
        <f>Model!T456</f>
        <v>0</v>
      </c>
      <c r="M343">
        <f>Model!U456</f>
        <v>0</v>
      </c>
      <c r="N343">
        <f>Model!V456</f>
        <v>0</v>
      </c>
      <c r="O343">
        <f>Model!W456</f>
        <v>0</v>
      </c>
      <c r="P343">
        <f>Model!X456</f>
        <v>0</v>
      </c>
      <c r="Q343">
        <f>Model!Y456</f>
        <v>0</v>
      </c>
      <c r="R343">
        <f>Model!Z456</f>
        <v>0</v>
      </c>
      <c r="S343">
        <f>Model!AA456</f>
        <v>0</v>
      </c>
      <c r="T343">
        <f>Model!AB456</f>
        <v>0</v>
      </c>
      <c r="U343">
        <f>Model!AC456</f>
        <v>0</v>
      </c>
      <c r="V343">
        <f>Model!AD456</f>
        <v>0</v>
      </c>
      <c r="W343">
        <f>Model!AE456</f>
        <v>0</v>
      </c>
      <c r="X343">
        <f>Model!AF456</f>
        <v>0</v>
      </c>
      <c r="Y343">
        <f>Model!AG456</f>
        <v>0</v>
      </c>
      <c r="Z343">
        <f>Model!AH456</f>
        <v>0</v>
      </c>
      <c r="AA343">
        <f>Model!AI456</f>
        <v>0</v>
      </c>
      <c r="AB343">
        <f>Model!AJ456</f>
        <v>0</v>
      </c>
      <c r="AC343">
        <f>Model!AK456</f>
        <v>0.78599999999999959</v>
      </c>
      <c r="AD343">
        <f>Model!AL456</f>
        <v>0.11500000000000021</v>
      </c>
      <c r="AE343">
        <f>Model!AM456</f>
        <v>1.5679999999999996</v>
      </c>
      <c r="AF343">
        <f>Model!AN456</f>
        <v>-1.9619999999999997</v>
      </c>
      <c r="AG343">
        <f>Model!AO456</f>
        <v>5.2019999999999982</v>
      </c>
      <c r="AH343">
        <f>Model!AP456</f>
        <v>3.5970000000000013</v>
      </c>
      <c r="AI343">
        <f>Model!AQ456</f>
        <v>1.522000000000002</v>
      </c>
      <c r="AJ343">
        <f>Model!AR456</f>
        <v>-1.2190000000000012</v>
      </c>
      <c r="AK343">
        <f>Model!AS456</f>
        <v>-1.8140000000000001</v>
      </c>
      <c r="AL343">
        <f>Model!AT456</f>
        <v>2.2719999999999985</v>
      </c>
      <c r="AM343">
        <f>Model!AU456</f>
        <v>3.782</v>
      </c>
      <c r="AN343">
        <f>Model!AV456</f>
        <v>-6.8179999999999978</v>
      </c>
      <c r="AO343">
        <f>Model!AW456</f>
        <v>6.4579999999999984</v>
      </c>
      <c r="AP343">
        <f>Model!AX456</f>
        <v>4.3769999999999989</v>
      </c>
      <c r="AQ343">
        <f>Model!AY456</f>
        <v>4.5700000000000038</v>
      </c>
      <c r="AR343">
        <f>Model!AZ456</f>
        <v>-2.419000000000004</v>
      </c>
      <c r="AS343">
        <f>Model!BA456</f>
        <v>4.1370000000000005</v>
      </c>
      <c r="AT343">
        <f>Model!BB456</f>
        <v>6.2520000000000024</v>
      </c>
      <c r="AU343">
        <f>Model!BC456</f>
        <v>6.0940000000000012</v>
      </c>
      <c r="AV343">
        <f>Model!BD456</f>
        <v>-7.365000000000002</v>
      </c>
      <c r="AW343">
        <f>Model!BE456</f>
        <v>5.7779999999999987</v>
      </c>
      <c r="AX343">
        <f>Model!BF456</f>
        <v>1.9080000000000013</v>
      </c>
      <c r="AY343">
        <f>Model!BG456</f>
        <v>5.5159999999999982</v>
      </c>
      <c r="AZ343">
        <f>Model!BH456</f>
        <v>-2.9699999999999989</v>
      </c>
      <c r="BA343">
        <f>Model!BI456</f>
        <v>2.2719999999999985</v>
      </c>
      <c r="BB343">
        <f>Model!BJ456</f>
        <v>7.5919999999999987</v>
      </c>
      <c r="BC343">
        <f>Model!BK456</f>
        <v>5.419000000000004</v>
      </c>
      <c r="BD343">
        <f>Model!BL456</f>
        <v>-6.8490000000000038</v>
      </c>
      <c r="BE343">
        <f>Model!BM456</f>
        <v>5.8860000000000099</v>
      </c>
      <c r="BF343">
        <f>Model!BN456</f>
        <v>10.74199999999999</v>
      </c>
      <c r="BG343">
        <f>Model!BO456</f>
        <v>11.039000000000001</v>
      </c>
      <c r="BH343">
        <f>Model!BP456</f>
        <v>-0.63800000000000523</v>
      </c>
      <c r="BI343">
        <f>Model!BQ456</f>
        <v>-3.5099999999999909</v>
      </c>
      <c r="BJ343">
        <f>Model!BR456</f>
        <v>12.578999999999994</v>
      </c>
      <c r="BK343">
        <f>Model!BS456</f>
        <v>-1.4539999999999935</v>
      </c>
      <c r="BL343">
        <f>Model!BT456</f>
        <v>-9.3840000000000003</v>
      </c>
      <c r="BM343">
        <f>Model!BU456</f>
        <v>8.637999999999991</v>
      </c>
      <c r="BN343">
        <f>Model!BV456</f>
        <v>13.199000000000012</v>
      </c>
      <c r="BO343">
        <f>Model!BW456</f>
        <v>19.342999999999989</v>
      </c>
      <c r="BP343">
        <f>Model!BX456</f>
        <v>-12.349999999999994</v>
      </c>
      <c r="BQ343">
        <f>Model!BY456</f>
        <v>1.5210000000000008</v>
      </c>
      <c r="BR343">
        <f>Model!BZ456</f>
        <v>17.698000000000008</v>
      </c>
      <c r="BS343">
        <f>Model!CA456</f>
        <v>33.804999999999978</v>
      </c>
      <c r="BT343">
        <f>Model!CB456</f>
        <v>-14.889999999999986</v>
      </c>
      <c r="BU343">
        <f>Model!CC456</f>
        <v>3.3870000000000005</v>
      </c>
      <c r="BV343">
        <f>Model!CD456</f>
        <v>7.6980000000000075</v>
      </c>
      <c r="BW343">
        <f>Model!CE456</f>
        <v>23.804999999999978</v>
      </c>
      <c r="BX343">
        <f>Model!CF456</f>
        <v>-14.889999999999986</v>
      </c>
      <c r="BY343">
        <f>Model!CG456</f>
        <v>0</v>
      </c>
      <c r="BZ343">
        <f>Model!CH456</f>
        <v>0</v>
      </c>
      <c r="CA343">
        <f>Model!CI456</f>
        <v>0</v>
      </c>
      <c r="CB343">
        <f>Model!CJ456</f>
        <v>0</v>
      </c>
      <c r="CC343">
        <f>Model!CK456</f>
        <v>0</v>
      </c>
      <c r="CD343">
        <f>Model!CL456</f>
        <v>0</v>
      </c>
      <c r="CE343">
        <f>Model!CM456</f>
        <v>0</v>
      </c>
      <c r="CF343">
        <f>Model!CN456</f>
        <v>0</v>
      </c>
      <c r="CG343">
        <f>Model!CO456</f>
        <v>0</v>
      </c>
      <c r="CH343">
        <f>Model!CP456</f>
        <v>0</v>
      </c>
      <c r="CI343">
        <f>Model!CQ456</f>
        <v>0</v>
      </c>
      <c r="CJ343">
        <f>Model!CR456</f>
        <v>0</v>
      </c>
      <c r="CK343">
        <f>Model!CS456</f>
        <v>0</v>
      </c>
      <c r="CL343">
        <f>Model!CT456</f>
        <v>0</v>
      </c>
      <c r="CM343">
        <f>Model!CU456</f>
        <v>0</v>
      </c>
      <c r="CN343">
        <f>Model!CV456</f>
        <v>0</v>
      </c>
      <c r="CO343">
        <f>Model!CW456</f>
        <v>0</v>
      </c>
      <c r="CP343">
        <f>Model!CX456</f>
        <v>0</v>
      </c>
      <c r="CQ343">
        <f>Model!CY456</f>
        <v>0</v>
      </c>
      <c r="CR343">
        <f>Model!DG456</f>
        <v>0</v>
      </c>
      <c r="CS343">
        <f>Model!DH456</f>
        <v>0</v>
      </c>
      <c r="CT343">
        <f>Model!DI456</f>
        <v>0</v>
      </c>
      <c r="CU343">
        <f>Model!DJ456</f>
        <v>0</v>
      </c>
    </row>
    <row r="344" spans="1:99">
      <c r="A344">
        <f>Model!I457</f>
        <v>0</v>
      </c>
      <c r="B344">
        <f>Model!J457</f>
        <v>0</v>
      </c>
      <c r="C344">
        <f>Model!K457</f>
        <v>0</v>
      </c>
      <c r="D344">
        <f>Model!L457</f>
        <v>0</v>
      </c>
      <c r="E344">
        <f>Model!M457</f>
        <v>0</v>
      </c>
      <c r="F344">
        <f>Model!N457</f>
        <v>0</v>
      </c>
      <c r="G344">
        <f>Model!O457</f>
        <v>0</v>
      </c>
      <c r="H344">
        <f>Model!P457</f>
        <v>0</v>
      </c>
      <c r="I344">
        <f>Model!Q457</f>
        <v>0</v>
      </c>
      <c r="J344">
        <f>Model!R457</f>
        <v>0</v>
      </c>
      <c r="K344">
        <f>Model!S457</f>
        <v>0</v>
      </c>
      <c r="L344">
        <f>Model!T457</f>
        <v>0</v>
      </c>
      <c r="M344">
        <f>Model!U457</f>
        <v>0</v>
      </c>
      <c r="N344">
        <f>Model!V457</f>
        <v>0</v>
      </c>
      <c r="O344">
        <f>Model!W457</f>
        <v>0</v>
      </c>
      <c r="P344">
        <f>Model!X457</f>
        <v>0</v>
      </c>
      <c r="Q344">
        <f>Model!Y457</f>
        <v>0</v>
      </c>
      <c r="R344">
        <f>Model!Z457</f>
        <v>0</v>
      </c>
      <c r="S344">
        <f>Model!AA457</f>
        <v>0</v>
      </c>
      <c r="T344">
        <f>Model!AB457</f>
        <v>0</v>
      </c>
      <c r="U344">
        <f>Model!AC457</f>
        <v>0</v>
      </c>
      <c r="V344">
        <f>Model!AD457</f>
        <v>0</v>
      </c>
      <c r="W344">
        <f>Model!AE457</f>
        <v>0</v>
      </c>
      <c r="X344">
        <f>Model!AF457</f>
        <v>0</v>
      </c>
      <c r="Y344">
        <f>Model!AG457</f>
        <v>0</v>
      </c>
      <c r="Z344">
        <f>Model!AH457</f>
        <v>0</v>
      </c>
      <c r="AA344">
        <f>Model!AI457</f>
        <v>0</v>
      </c>
      <c r="AB344">
        <f>Model!AJ457</f>
        <v>0</v>
      </c>
      <c r="AC344">
        <f>Model!AK457</f>
        <v>0</v>
      </c>
      <c r="AD344">
        <f>Model!AL457</f>
        <v>0</v>
      </c>
      <c r="AE344">
        <f>Model!AM457</f>
        <v>0</v>
      </c>
      <c r="AF344">
        <f>Model!AN457</f>
        <v>0</v>
      </c>
      <c r="AG344">
        <f>Model!AO457</f>
        <v>0</v>
      </c>
      <c r="AH344">
        <f>Model!AP457</f>
        <v>0</v>
      </c>
      <c r="AI344">
        <f>Model!AQ457</f>
        <v>0</v>
      </c>
      <c r="AJ344">
        <f>Model!AR457</f>
        <v>0</v>
      </c>
      <c r="AK344">
        <f>Model!AS457</f>
        <v>0</v>
      </c>
      <c r="AL344">
        <f>Model!AT457</f>
        <v>0</v>
      </c>
      <c r="AM344">
        <f>Model!AU457</f>
        <v>0</v>
      </c>
      <c r="AN344">
        <f>Model!AV457</f>
        <v>0</v>
      </c>
      <c r="AO344">
        <f>Model!AW457</f>
        <v>0</v>
      </c>
      <c r="AP344">
        <f>Model!AX457</f>
        <v>0</v>
      </c>
      <c r="AQ344">
        <f>Model!AY457</f>
        <v>0</v>
      </c>
      <c r="AR344">
        <f>Model!AZ457</f>
        <v>0</v>
      </c>
      <c r="AS344">
        <f>Model!BA457</f>
        <v>0</v>
      </c>
      <c r="AT344">
        <f>Model!BB457</f>
        <v>0</v>
      </c>
      <c r="AU344">
        <f>Model!BC457</f>
        <v>0</v>
      </c>
      <c r="AV344">
        <f>Model!BD457</f>
        <v>0</v>
      </c>
      <c r="AW344">
        <f>Model!BE457</f>
        <v>0</v>
      </c>
      <c r="AX344">
        <f>Model!BF457</f>
        <v>0</v>
      </c>
      <c r="AY344">
        <f>Model!BG457</f>
        <v>0</v>
      </c>
      <c r="AZ344">
        <f>Model!BH457</f>
        <v>0</v>
      </c>
      <c r="BA344">
        <f>Model!BI457</f>
        <v>0</v>
      </c>
      <c r="BB344">
        <f>Model!BJ457</f>
        <v>0</v>
      </c>
      <c r="BC344">
        <f>Model!BK457</f>
        <v>0</v>
      </c>
      <c r="BD344">
        <f>Model!BL457</f>
        <v>0</v>
      </c>
      <c r="BE344">
        <f>Model!BM457</f>
        <v>0</v>
      </c>
      <c r="BF344">
        <f>Model!BN457</f>
        <v>0</v>
      </c>
      <c r="BG344">
        <f>Model!BO457</f>
        <v>0</v>
      </c>
      <c r="BH344">
        <f>Model!BP457</f>
        <v>0</v>
      </c>
      <c r="BI344">
        <f>Model!BQ457</f>
        <v>0</v>
      </c>
      <c r="BJ344">
        <f>Model!BR457</f>
        <v>0</v>
      </c>
      <c r="BK344">
        <f>Model!BS457</f>
        <v>0</v>
      </c>
      <c r="BL344">
        <f>Model!BT457</f>
        <v>0</v>
      </c>
      <c r="BM344">
        <f>Model!BU457</f>
        <v>0</v>
      </c>
      <c r="BN344">
        <f>Model!BV457</f>
        <v>0</v>
      </c>
      <c r="BO344">
        <f>Model!BW457</f>
        <v>0</v>
      </c>
      <c r="BP344">
        <f>Model!BX457</f>
        <v>0</v>
      </c>
      <c r="BQ344">
        <f>Model!BY457</f>
        <v>0</v>
      </c>
      <c r="BR344">
        <f>Model!BZ457</f>
        <v>0</v>
      </c>
      <c r="BS344">
        <f>Model!CA457</f>
        <v>0</v>
      </c>
      <c r="BT344">
        <f>Model!CB457</f>
        <v>0</v>
      </c>
      <c r="BU344">
        <f>Model!CC457</f>
        <v>0</v>
      </c>
      <c r="BV344">
        <f>Model!CD457</f>
        <v>0</v>
      </c>
      <c r="BW344">
        <f>Model!CE457</f>
        <v>0</v>
      </c>
      <c r="BX344">
        <f>Model!CF457</f>
        <v>0</v>
      </c>
      <c r="BY344">
        <f>Model!CG457</f>
        <v>0</v>
      </c>
      <c r="BZ344">
        <f>Model!CH457</f>
        <v>0</v>
      </c>
      <c r="CA344">
        <f>Model!CI457</f>
        <v>0</v>
      </c>
      <c r="CB344">
        <f>Model!CJ457</f>
        <v>0</v>
      </c>
      <c r="CC344">
        <f>Model!CK457</f>
        <v>0</v>
      </c>
      <c r="CD344">
        <f>Model!CL457</f>
        <v>0</v>
      </c>
      <c r="CE344">
        <f>Model!CM457</f>
        <v>0</v>
      </c>
      <c r="CF344">
        <f>Model!CN457</f>
        <v>0</v>
      </c>
      <c r="CG344">
        <f>Model!CO457</f>
        <v>0</v>
      </c>
      <c r="CH344">
        <f>Model!CP457</f>
        <v>0</v>
      </c>
      <c r="CI344">
        <f>Model!CQ457</f>
        <v>0</v>
      </c>
      <c r="CJ344">
        <f>Model!CR457</f>
        <v>0</v>
      </c>
      <c r="CK344">
        <f>Model!CS457</f>
        <v>0</v>
      </c>
      <c r="CL344">
        <f>Model!CT457</f>
        <v>0</v>
      </c>
      <c r="CM344">
        <f>Model!CU457</f>
        <v>0</v>
      </c>
      <c r="CN344">
        <f>Model!CV457</f>
        <v>0</v>
      </c>
      <c r="CO344">
        <f>Model!CW457</f>
        <v>0</v>
      </c>
      <c r="CP344">
        <f>Model!CX457</f>
        <v>0</v>
      </c>
      <c r="CQ344">
        <f>Model!CY457</f>
        <v>0</v>
      </c>
      <c r="CR344">
        <f>Model!DG457</f>
        <v>0</v>
      </c>
      <c r="CS344">
        <f>Model!DH457</f>
        <v>0</v>
      </c>
      <c r="CT344">
        <f>Model!DI457</f>
        <v>0</v>
      </c>
      <c r="CU344">
        <f>Model!DJ457</f>
        <v>0</v>
      </c>
    </row>
    <row r="345" spans="1:99">
      <c r="A345" t="str">
        <f>Model!I458</f>
        <v>Total Personnel, ex SBC</v>
      </c>
      <c r="B345">
        <f>Model!J458</f>
        <v>0</v>
      </c>
      <c r="C345">
        <f>Model!K458</f>
        <v>0</v>
      </c>
      <c r="D345">
        <f>Model!L458</f>
        <v>0</v>
      </c>
      <c r="E345">
        <f>Model!M458</f>
        <v>0</v>
      </c>
      <c r="F345">
        <f>Model!N458</f>
        <v>0</v>
      </c>
      <c r="G345">
        <f>Model!O458</f>
        <v>0</v>
      </c>
      <c r="H345">
        <f>Model!P458</f>
        <v>0</v>
      </c>
      <c r="I345">
        <f>Model!Q458</f>
        <v>0</v>
      </c>
      <c r="J345">
        <f>Model!R458</f>
        <v>0</v>
      </c>
      <c r="K345">
        <f>Model!S458</f>
        <v>0</v>
      </c>
      <c r="L345">
        <f>Model!T458</f>
        <v>0</v>
      </c>
      <c r="M345">
        <f>Model!U458</f>
        <v>0</v>
      </c>
      <c r="N345">
        <f>Model!V458</f>
        <v>0</v>
      </c>
      <c r="O345">
        <f>Model!W458</f>
        <v>0</v>
      </c>
      <c r="P345">
        <f>Model!X458</f>
        <v>0</v>
      </c>
      <c r="Q345">
        <f>Model!Y458</f>
        <v>0</v>
      </c>
      <c r="R345">
        <f>Model!Z458</f>
        <v>0</v>
      </c>
      <c r="S345">
        <f>Model!AA458</f>
        <v>0</v>
      </c>
      <c r="T345">
        <f>Model!AB458</f>
        <v>0</v>
      </c>
      <c r="U345">
        <f>Model!AC458</f>
        <v>0</v>
      </c>
      <c r="V345">
        <f>Model!AD458</f>
        <v>0</v>
      </c>
      <c r="W345">
        <f>Model!AE458</f>
        <v>0</v>
      </c>
      <c r="X345">
        <f>Model!AF458</f>
        <v>0</v>
      </c>
      <c r="Y345">
        <f>Model!AG458</f>
        <v>13.437000000000001</v>
      </c>
      <c r="Z345">
        <f>Model!AH458</f>
        <v>15.04</v>
      </c>
      <c r="AA345">
        <f>Model!AI458</f>
        <v>18.115000000000002</v>
      </c>
      <c r="AB345">
        <f>Model!AJ458</f>
        <v>17.901</v>
      </c>
      <c r="AC345">
        <f>Model!AK458</f>
        <v>18.323999999999998</v>
      </c>
      <c r="AD345">
        <f>Model!AL458</f>
        <v>19.968999999999998</v>
      </c>
      <c r="AE345">
        <f>Model!AM458</f>
        <v>23.055</v>
      </c>
      <c r="AF345">
        <f>Model!AN458</f>
        <v>25.391000000000002</v>
      </c>
      <c r="AG345">
        <f>Model!AO458</f>
        <v>26.944000000000003</v>
      </c>
      <c r="AH345">
        <f>Model!AP458</f>
        <v>30.567</v>
      </c>
      <c r="AI345">
        <f>Model!AQ458</f>
        <v>35.204000000000001</v>
      </c>
      <c r="AJ345">
        <f>Model!AR458</f>
        <v>30.545999999999999</v>
      </c>
      <c r="AK345">
        <f>Model!AS458</f>
        <v>28.916999999999998</v>
      </c>
      <c r="AL345">
        <f>Model!AT458</f>
        <v>33.599999999999994</v>
      </c>
      <c r="AM345">
        <f>Model!AU458</f>
        <v>40.089000000000006</v>
      </c>
      <c r="AN345">
        <f>Model!AV458</f>
        <v>36.875</v>
      </c>
      <c r="AO345">
        <f>Model!AW458</f>
        <v>37.868000000000002</v>
      </c>
      <c r="AP345">
        <f>Model!AX458</f>
        <v>47.385000000000005</v>
      </c>
      <c r="AQ345">
        <f>Model!AY458</f>
        <v>60.831000000000003</v>
      </c>
      <c r="AR345">
        <f>Model!AZ458</f>
        <v>55.786999999999999</v>
      </c>
      <c r="AS345">
        <f>Model!BA458</f>
        <v>61.228000000000002</v>
      </c>
      <c r="AT345">
        <f>Model!BB458</f>
        <v>72.653000000000006</v>
      </c>
      <c r="AU345">
        <f>Model!BC458</f>
        <v>81.164999999999992</v>
      </c>
      <c r="AV345">
        <f>Model!BD458</f>
        <v>71.524000000000001</v>
      </c>
      <c r="AW345">
        <f>Model!BE458</f>
        <v>84.153000000000006</v>
      </c>
      <c r="AX345">
        <f>Model!BF458</f>
        <v>90.418000000000006</v>
      </c>
      <c r="AY345">
        <f>Model!BG458</f>
        <v>117.655</v>
      </c>
      <c r="AZ345">
        <f>Model!BH458</f>
        <v>103.03700000000001</v>
      </c>
      <c r="BA345">
        <f>Model!BI458</f>
        <v>112.50899999999999</v>
      </c>
      <c r="BB345">
        <f>Model!BJ458</f>
        <v>131.26100000000002</v>
      </c>
      <c r="BC345">
        <f>Model!BK458</f>
        <v>151.892</v>
      </c>
      <c r="BD345">
        <f>Model!BL458</f>
        <v>162.50399999999999</v>
      </c>
      <c r="BE345">
        <f>Model!BM458</f>
        <v>155.72800000000001</v>
      </c>
      <c r="BF345">
        <f>Model!BN458</f>
        <v>186.684</v>
      </c>
      <c r="BG345">
        <f>Model!BO458</f>
        <v>213.33500000000001</v>
      </c>
      <c r="BH345">
        <f>Model!BP458</f>
        <v>208.01900000000001</v>
      </c>
      <c r="BI345">
        <f>Model!BQ458</f>
        <v>204.97599999999997</v>
      </c>
      <c r="BJ345">
        <f>Model!BR458</f>
        <v>228.99200000000002</v>
      </c>
      <c r="BK345">
        <f>Model!BS458</f>
        <v>247.05500000000001</v>
      </c>
      <c r="BL345">
        <f>Model!BT458</f>
        <v>237.80799999999999</v>
      </c>
      <c r="BM345">
        <f>Model!BU458</f>
        <v>242.351</v>
      </c>
      <c r="BN345">
        <f>Model!BV458</f>
        <v>277.678</v>
      </c>
      <c r="BO345">
        <f>Model!BW458</f>
        <v>293.536</v>
      </c>
      <c r="BP345">
        <f>Model!BX458</f>
        <v>286.89299999999997</v>
      </c>
      <c r="BQ345">
        <f>Model!BY458</f>
        <v>292.08199999999999</v>
      </c>
      <c r="BR345">
        <f>Model!BZ458</f>
        <v>318.82900000000001</v>
      </c>
      <c r="BS345">
        <f>Model!CA458</f>
        <v>417.017</v>
      </c>
      <c r="BT345">
        <f>Model!CB458</f>
        <v>370.74299999999994</v>
      </c>
      <c r="BU345">
        <f>Model!CC458</f>
        <v>385.10706243975392</v>
      </c>
      <c r="BV345">
        <f>Model!CD458</f>
        <v>404.98383328972693</v>
      </c>
      <c r="BW345">
        <f>Model!CE458</f>
        <v>470.11637200671049</v>
      </c>
      <c r="BX345">
        <f>Model!CF458</f>
        <v>434.39446245806073</v>
      </c>
      <c r="BY345">
        <f>Model!CG458</f>
        <v>0</v>
      </c>
      <c r="BZ345">
        <f>Model!CH458</f>
        <v>0</v>
      </c>
      <c r="CA345">
        <f>Model!CI458</f>
        <v>0</v>
      </c>
      <c r="CB345">
        <f>Model!CJ458</f>
        <v>0</v>
      </c>
      <c r="CC345">
        <f>Model!CK458</f>
        <v>0</v>
      </c>
      <c r="CD345">
        <f>Model!CL458</f>
        <v>0</v>
      </c>
      <c r="CE345">
        <f>Model!CM458</f>
        <v>64.492999999999995</v>
      </c>
      <c r="CF345">
        <f>Model!CN458</f>
        <v>86.73899999999999</v>
      </c>
      <c r="CG345">
        <f>Model!CO458</f>
        <v>123.261</v>
      </c>
      <c r="CH345">
        <f>Model!CP458</f>
        <v>139.48099999999999</v>
      </c>
      <c r="CI345">
        <f>Model!CQ458</f>
        <v>201.87100000000001</v>
      </c>
      <c r="CJ345">
        <f>Model!CR458</f>
        <v>286.57</v>
      </c>
      <c r="CK345">
        <f>Model!CS458</f>
        <v>395.26300000000003</v>
      </c>
      <c r="CL345">
        <f>Model!CT458</f>
        <v>558.16600000000005</v>
      </c>
      <c r="CM345">
        <f>Model!CU458</f>
        <v>763.76600000000008</v>
      </c>
      <c r="CN345">
        <f>Model!CV458</f>
        <v>918.8309999999999</v>
      </c>
      <c r="CO345">
        <f>Model!CW458</f>
        <v>1100.4580000000001</v>
      </c>
      <c r="CP345">
        <f>Model!CX458</f>
        <v>1398.671</v>
      </c>
      <c r="CQ345">
        <f>Model!CY458</f>
        <v>1694.601730194252</v>
      </c>
      <c r="CR345">
        <f>Model!DG458</f>
        <v>0</v>
      </c>
      <c r="CS345">
        <f>Model!DH458</f>
        <v>0</v>
      </c>
      <c r="CT345">
        <f>Model!DI458</f>
        <v>0</v>
      </c>
      <c r="CU345">
        <f>Model!DJ458</f>
        <v>0</v>
      </c>
    </row>
    <row r="346" spans="1:99">
      <c r="A346" t="str">
        <f>Model!I459</f>
        <v>% of Total Gross Profit</v>
      </c>
      <c r="B346">
        <f>Model!J459</f>
        <v>0</v>
      </c>
      <c r="C346">
        <f>Model!K459</f>
        <v>0</v>
      </c>
      <c r="D346">
        <f>Model!L459</f>
        <v>0</v>
      </c>
      <c r="E346">
        <f>Model!M459</f>
        <v>0</v>
      </c>
      <c r="F346">
        <f>Model!N459</f>
        <v>0</v>
      </c>
      <c r="G346">
        <f>Model!O459</f>
        <v>0</v>
      </c>
      <c r="H346">
        <f>Model!P459</f>
        <v>0</v>
      </c>
      <c r="I346">
        <f>Model!Q459</f>
        <v>0</v>
      </c>
      <c r="J346">
        <f>Model!R459</f>
        <v>0</v>
      </c>
      <c r="K346">
        <f>Model!S459</f>
        <v>0</v>
      </c>
      <c r="L346">
        <f>Model!T459</f>
        <v>0</v>
      </c>
      <c r="M346">
        <f>Model!U459</f>
        <v>0</v>
      </c>
      <c r="N346">
        <f>Model!V459</f>
        <v>0</v>
      </c>
      <c r="O346">
        <f>Model!W459</f>
        <v>0</v>
      </c>
      <c r="P346">
        <f>Model!X459</f>
        <v>0</v>
      </c>
      <c r="Q346">
        <f>Model!Y459</f>
        <v>0</v>
      </c>
      <c r="R346">
        <f>Model!Z459</f>
        <v>0</v>
      </c>
      <c r="S346">
        <f>Model!AA459</f>
        <v>0</v>
      </c>
      <c r="T346">
        <f>Model!AB459</f>
        <v>0</v>
      </c>
      <c r="U346">
        <f>Model!AC459</f>
        <v>0</v>
      </c>
      <c r="V346">
        <f>Model!AD459</f>
        <v>0</v>
      </c>
      <c r="W346">
        <f>Model!AE459</f>
        <v>0</v>
      </c>
      <c r="X346">
        <f>Model!AF459</f>
        <v>0</v>
      </c>
      <c r="Y346">
        <f>Model!AG459</f>
        <v>0.18602815965444203</v>
      </c>
      <c r="Z346">
        <f>Model!AH459</f>
        <v>0.14214963517447354</v>
      </c>
      <c r="AA346">
        <f>Model!AI459</f>
        <v>0.148095160235448</v>
      </c>
      <c r="AB346">
        <f>Model!AJ459</f>
        <v>0.17987881467487973</v>
      </c>
      <c r="AC346">
        <f>Model!AK459</f>
        <v>0.17646548984485591</v>
      </c>
      <c r="AD346">
        <f>Model!AL459</f>
        <v>0.12892125531818743</v>
      </c>
      <c r="AE346">
        <f>Model!AM459</f>
        <v>0.11394694831736116</v>
      </c>
      <c r="AF346">
        <f>Model!AN459</f>
        <v>0.15854313402267844</v>
      </c>
      <c r="AG346">
        <f>Model!AO459</f>
        <v>0.1487772151758944</v>
      </c>
      <c r="AH346">
        <f>Model!AP459</f>
        <v>0.12047295300029559</v>
      </c>
      <c r="AI346">
        <f>Model!AQ459</f>
        <v>0.11137757135896835</v>
      </c>
      <c r="AJ346">
        <f>Model!AR459</f>
        <v>0.14895764757515909</v>
      </c>
      <c r="AK346">
        <f>Model!AS459</f>
        <v>0.13880382086113377</v>
      </c>
      <c r="AL346">
        <f>Model!AT459</f>
        <v>0.11007803746584631</v>
      </c>
      <c r="AM346">
        <f>Model!AU459</f>
        <v>9.2369690741602672E-2</v>
      </c>
      <c r="AN346">
        <f>Model!AV459</f>
        <v>0.1177404059529549</v>
      </c>
      <c r="AO346">
        <f>Model!AW459</f>
        <v>0.11866531292696078</v>
      </c>
      <c r="AP346">
        <f>Model!AX459</f>
        <v>0.10620058092625467</v>
      </c>
      <c r="AQ346">
        <f>Model!AY459</f>
        <v>9.1036024710868496E-2</v>
      </c>
      <c r="AR346">
        <f>Model!AZ459</f>
        <v>0.1161827368035221</v>
      </c>
      <c r="AS346">
        <f>Model!BA459</f>
        <v>0.12104988454116976</v>
      </c>
      <c r="AT346">
        <f>Model!BB459</f>
        <v>9.6970611043115107E-2</v>
      </c>
      <c r="AU346">
        <f>Model!BC459</f>
        <v>4.2834236848133159E-2</v>
      </c>
      <c r="AV346">
        <f>Model!BD459</f>
        <v>9.8695040823958149E-2</v>
      </c>
      <c r="AW346">
        <f>Model!BE459</f>
        <v>0.11321721862858004</v>
      </c>
      <c r="AX346">
        <f>Model!BF459</f>
        <v>9.0045033471361627E-2</v>
      </c>
      <c r="AY346">
        <f>Model!BG459</f>
        <v>3.7924068797659291E-2</v>
      </c>
      <c r="AZ346">
        <f>Model!BH459</f>
        <v>0.10964299015695662</v>
      </c>
      <c r="BA346">
        <f>Model!BI459</f>
        <v>0.11143200962695547</v>
      </c>
      <c r="BB346">
        <f>Model!BJ459</f>
        <v>9.4851700503304187E-2</v>
      </c>
      <c r="BC346">
        <f>Model!BK459</f>
        <v>7.6363517532106795E-2</v>
      </c>
      <c r="BD346">
        <f>Model!BL459</f>
        <v>0.12188095561317362</v>
      </c>
      <c r="BE346">
        <f>Model!BM459</f>
        <v>0.11072251045346827</v>
      </c>
      <c r="BF346">
        <f>Model!BN459</f>
        <v>9.914200561233269E-2</v>
      </c>
      <c r="BG346">
        <f>Model!BO459</f>
        <v>8.142625625100669E-2</v>
      </c>
      <c r="BH346">
        <f>Model!BP459</f>
        <v>0.1242138073727298</v>
      </c>
      <c r="BI346">
        <f>Model!BQ459</f>
        <v>0.1225760000382721</v>
      </c>
      <c r="BJ346">
        <f>Model!BR459</f>
        <v>0.10941341847173262</v>
      </c>
      <c r="BK346">
        <f>Model!BS459</f>
        <v>8.3824690002517591E-2</v>
      </c>
      <c r="BL346">
        <f>Model!BT459</f>
        <v>0.12653514477889818</v>
      </c>
      <c r="BM346">
        <f>Model!BU459</f>
        <v>0.12000841813365028</v>
      </c>
      <c r="BN346">
        <f>Model!BV459</f>
        <v>0.11427934108645173</v>
      </c>
      <c r="BO346">
        <f>Model!BW459</f>
        <v>8.178624894575548E-2</v>
      </c>
      <c r="BP346">
        <f>Model!BX459</f>
        <v>0.12603141593095296</v>
      </c>
      <c r="BQ346">
        <f>Model!BY459</f>
        <v>0.1251296463295255</v>
      </c>
      <c r="BR346">
        <f>Model!BZ459</f>
        <v>0.10801120937836869</v>
      </c>
      <c r="BS346">
        <f>Model!CA459</f>
        <v>9.5327911217443245E-2</v>
      </c>
      <c r="BT346">
        <f>Model!CB459</f>
        <v>0.13384499247818457</v>
      </c>
      <c r="BU346">
        <f>Model!CC459</f>
        <v>0.13766199653237129</v>
      </c>
      <c r="BV346">
        <f>Model!CD459</f>
        <v>0.11368966969741812</v>
      </c>
      <c r="BW346">
        <f>Model!CE459</f>
        <v>9.3940400963818491E-2</v>
      </c>
      <c r="BX346">
        <f>Model!CF459</f>
        <v>0.12860313812218671</v>
      </c>
      <c r="BY346">
        <f>Model!CG459</f>
        <v>0</v>
      </c>
      <c r="BZ346">
        <f>Model!CH459</f>
        <v>0</v>
      </c>
      <c r="CA346">
        <f>Model!CI459</f>
        <v>0</v>
      </c>
      <c r="CB346">
        <f>Model!CJ459</f>
        <v>0</v>
      </c>
      <c r="CC346">
        <f>Model!CK459</f>
        <v>0</v>
      </c>
      <c r="CD346">
        <f>Model!CL459</f>
        <v>0</v>
      </c>
      <c r="CE346">
        <f>Model!CM459</f>
        <v>0.16128411091549288</v>
      </c>
      <c r="CF346">
        <f>Model!CN459</f>
        <v>0.13962798708981597</v>
      </c>
      <c r="CG346">
        <f>Model!CO459</f>
        <v>0.12893801171792865</v>
      </c>
      <c r="CH346">
        <f>Model!CP459</f>
        <v>0.11063221239836513</v>
      </c>
      <c r="CI346">
        <f>Model!CQ459</f>
        <v>0.10548870915317866</v>
      </c>
      <c r="CJ346">
        <f>Model!CR459</f>
        <v>9.3045832954530672E-2</v>
      </c>
      <c r="CK346">
        <f>Model!CS459</f>
        <v>9.6790860990366281E-2</v>
      </c>
      <c r="CL346">
        <f>Model!CT459</f>
        <v>9.7651702640675478E-2</v>
      </c>
      <c r="CM346">
        <f>Model!CU459</f>
        <v>0.10070581596043318</v>
      </c>
      <c r="CN346">
        <f>Model!CV459</f>
        <v>0.1069426955237705</v>
      </c>
      <c r="CO346">
        <f>Model!CW459</f>
        <v>0.10668840135992429</v>
      </c>
      <c r="CP346">
        <f>Model!CX459</f>
        <v>0.11251887990430028</v>
      </c>
      <c r="CQ346">
        <f>Model!CY459</f>
        <v>0.11495160495092839</v>
      </c>
      <c r="CR346">
        <f>Model!DG459</f>
        <v>0</v>
      </c>
      <c r="CS346">
        <f>Model!DH459</f>
        <v>0</v>
      </c>
      <c r="CT346">
        <f>Model!DI459</f>
        <v>0</v>
      </c>
      <c r="CU346">
        <f>Model!DJ459</f>
        <v>0</v>
      </c>
    </row>
    <row r="347" spans="1:99">
      <c r="A347" t="str">
        <f>Model!I460</f>
        <v>change Y/Y (in bp)</v>
      </c>
      <c r="B347">
        <f>Model!J460</f>
        <v>0</v>
      </c>
      <c r="C347">
        <f>Model!K460</f>
        <v>0</v>
      </c>
      <c r="D347">
        <f>Model!L460</f>
        <v>0</v>
      </c>
      <c r="E347">
        <f>Model!M460</f>
        <v>0</v>
      </c>
      <c r="F347">
        <f>Model!N460</f>
        <v>0</v>
      </c>
      <c r="G347">
        <f>Model!O460</f>
        <v>0</v>
      </c>
      <c r="H347">
        <f>Model!P460</f>
        <v>0</v>
      </c>
      <c r="I347">
        <f>Model!Q460</f>
        <v>0</v>
      </c>
      <c r="J347">
        <f>Model!R460</f>
        <v>0</v>
      </c>
      <c r="K347">
        <f>Model!S460</f>
        <v>0</v>
      </c>
      <c r="L347">
        <f>Model!T460</f>
        <v>0</v>
      </c>
      <c r="M347">
        <f>Model!U460</f>
        <v>0</v>
      </c>
      <c r="N347">
        <f>Model!V460</f>
        <v>0</v>
      </c>
      <c r="O347">
        <f>Model!W460</f>
        <v>0</v>
      </c>
      <c r="P347">
        <f>Model!X460</f>
        <v>0</v>
      </c>
      <c r="Q347">
        <f>Model!Y460</f>
        <v>0</v>
      </c>
      <c r="R347">
        <f>Model!Z460</f>
        <v>0</v>
      </c>
      <c r="S347">
        <f>Model!AA460</f>
        <v>0</v>
      </c>
      <c r="T347">
        <f>Model!AB460</f>
        <v>0</v>
      </c>
      <c r="U347">
        <f>Model!AC460</f>
        <v>0</v>
      </c>
      <c r="V347">
        <f>Model!AD460</f>
        <v>0</v>
      </c>
      <c r="W347">
        <f>Model!AE460</f>
        <v>0</v>
      </c>
      <c r="X347">
        <f>Model!AF460</f>
        <v>0</v>
      </c>
      <c r="Y347">
        <f>Model!AG460</f>
        <v>0</v>
      </c>
      <c r="Z347">
        <f>Model!AH460</f>
        <v>0</v>
      </c>
      <c r="AA347">
        <f>Model!AI460</f>
        <v>0</v>
      </c>
      <c r="AB347">
        <f>Model!AJ460</f>
        <v>0</v>
      </c>
      <c r="AC347">
        <f>Model!AK460</f>
        <v>-95.626698095861158</v>
      </c>
      <c r="AD347">
        <f>Model!AL460</f>
        <v>-132.28379856286111</v>
      </c>
      <c r="AE347">
        <f>Model!AM460</f>
        <v>-341.48211918086838</v>
      </c>
      <c r="AF347">
        <f>Model!AN460</f>
        <v>-213.35680652201287</v>
      </c>
      <c r="AG347">
        <f>Model!AO460</f>
        <v>-276.88274668961509</v>
      </c>
      <c r="AH347">
        <f>Model!AP460</f>
        <v>-84.48302317891843</v>
      </c>
      <c r="AI347">
        <f>Model!AQ460</f>
        <v>-25.693769583928077</v>
      </c>
      <c r="AJ347">
        <f>Model!AR460</f>
        <v>-95.854864475193594</v>
      </c>
      <c r="AK347">
        <f>Model!AS460</f>
        <v>-99.733943147606311</v>
      </c>
      <c r="AL347">
        <f>Model!AT460</f>
        <v>-103.94915534449281</v>
      </c>
      <c r="AM347">
        <f>Model!AU460</f>
        <v>-190.07880617365677</v>
      </c>
      <c r="AN347">
        <f>Model!AV460</f>
        <v>-312.17241622204182</v>
      </c>
      <c r="AO347">
        <f>Model!AW460</f>
        <v>-201.38507934172989</v>
      </c>
      <c r="AP347">
        <f>Model!AX460</f>
        <v>-38.774565395916369</v>
      </c>
      <c r="AQ347">
        <f>Model!AY460</f>
        <v>-13.336660307341763</v>
      </c>
      <c r="AR347">
        <f>Model!AZ460</f>
        <v>-15.576691494327971</v>
      </c>
      <c r="AS347">
        <f>Model!BA460</f>
        <v>23.845716142089774</v>
      </c>
      <c r="AT347">
        <f>Model!BB460</f>
        <v>-92.299698831395659</v>
      </c>
      <c r="AU347">
        <f>Model!BC460</f>
        <v>-482.01787862735335</v>
      </c>
      <c r="AV347">
        <f>Model!BD460</f>
        <v>-174.87695979563955</v>
      </c>
      <c r="AW347">
        <f>Model!BE460</f>
        <v>-78.326659125897152</v>
      </c>
      <c r="AX347">
        <f>Model!BF460</f>
        <v>-69.255775717534803</v>
      </c>
      <c r="AY347">
        <f>Model!BG460</f>
        <v>-49.101680504738674</v>
      </c>
      <c r="AZ347">
        <f>Model!BH460</f>
        <v>109.47949332998475</v>
      </c>
      <c r="BA347">
        <f>Model!BI460</f>
        <v>-17.852090016245715</v>
      </c>
      <c r="BB347">
        <f>Model!BJ460</f>
        <v>48.066670319425604</v>
      </c>
      <c r="BC347">
        <f>Model!BK460</f>
        <v>384.39448734447507</v>
      </c>
      <c r="BD347">
        <f>Model!BL460</f>
        <v>122.37965456216997</v>
      </c>
      <c r="BE347">
        <f>Model!BM460</f>
        <v>-7.0949917348719911</v>
      </c>
      <c r="BF347">
        <f>Model!BN460</f>
        <v>42.903051090285025</v>
      </c>
      <c r="BG347">
        <f>Model!BO460</f>
        <v>50.627387188998952</v>
      </c>
      <c r="BH347">
        <f>Model!BP460</f>
        <v>23.328517595561788</v>
      </c>
      <c r="BI347">
        <f>Model!BQ460</f>
        <v>118.53489584803825</v>
      </c>
      <c r="BJ347">
        <f>Model!BR460</f>
        <v>102.71412859399933</v>
      </c>
      <c r="BK347">
        <f>Model!BS460</f>
        <v>23.984337515109004</v>
      </c>
      <c r="BL347">
        <f>Model!BT460</f>
        <v>23.213374061683833</v>
      </c>
      <c r="BM347">
        <f>Model!BU460</f>
        <v>-25.675819046218212</v>
      </c>
      <c r="BN347">
        <f>Model!BV460</f>
        <v>48.659226147191035</v>
      </c>
      <c r="BO347">
        <f>Model!BW460</f>
        <v>-20.38441056762111</v>
      </c>
      <c r="BP347">
        <f>Model!BX460</f>
        <v>-5.0372884794522292</v>
      </c>
      <c r="BQ347">
        <f>Model!BY460</f>
        <v>51.212281958752243</v>
      </c>
      <c r="BR347">
        <f>Model!BZ460</f>
        <v>-62.681317080830325</v>
      </c>
      <c r="BS347">
        <f>Model!CA460</f>
        <v>135.41662271687767</v>
      </c>
      <c r="BT347">
        <f>Model!CB460</f>
        <v>78.135765472316095</v>
      </c>
      <c r="BU347">
        <f>Model!CC460</f>
        <v>125.32350202845794</v>
      </c>
      <c r="BV347">
        <f>Model!CD460</f>
        <v>56.784603190494224</v>
      </c>
      <c r="BW347">
        <f>Model!CE460</f>
        <v>-13.875102536247546</v>
      </c>
      <c r="BX347">
        <f>Model!CF460</f>
        <v>-52.418543559978602</v>
      </c>
      <c r="BY347">
        <f>Model!CG460</f>
        <v>0</v>
      </c>
      <c r="BZ347">
        <f>Model!CH460</f>
        <v>0</v>
      </c>
      <c r="CA347">
        <f>Model!CI460</f>
        <v>0</v>
      </c>
      <c r="CB347">
        <f>Model!CJ460</f>
        <v>0</v>
      </c>
      <c r="CC347">
        <f>Model!CK460</f>
        <v>0</v>
      </c>
      <c r="CD347">
        <f>Model!CL460</f>
        <v>0</v>
      </c>
      <c r="CE347">
        <f>Model!CM460</f>
        <v>0</v>
      </c>
      <c r="CF347">
        <f>Model!CN460</f>
        <v>-216.56123825676914</v>
      </c>
      <c r="CG347">
        <f>Model!CO460</f>
        <v>-106.89975371887317</v>
      </c>
      <c r="CH347">
        <f>Model!CP460</f>
        <v>-183.05799319563525</v>
      </c>
      <c r="CI347">
        <f>Model!CQ460</f>
        <v>-51.435032451864622</v>
      </c>
      <c r="CJ347">
        <f>Model!CR460</f>
        <v>-124.42876198647993</v>
      </c>
      <c r="CK347">
        <f>Model!CS460</f>
        <v>37.450280358356096</v>
      </c>
      <c r="CL347">
        <f>Model!CT460</f>
        <v>8.6084165030919646</v>
      </c>
      <c r="CM347">
        <f>Model!CU460</f>
        <v>30.541133197577036</v>
      </c>
      <c r="CN347">
        <f>Model!CV460</f>
        <v>62.368795633373217</v>
      </c>
      <c r="CO347">
        <f>Model!CW460</f>
        <v>-2.5429416384621648</v>
      </c>
      <c r="CP347">
        <f>Model!CX460</f>
        <v>58.30478544375989</v>
      </c>
      <c r="CQ347">
        <f>Model!CY460</f>
        <v>24.327250466281146</v>
      </c>
      <c r="CR347">
        <f>Model!DG460</f>
        <v>0</v>
      </c>
      <c r="CS347">
        <f>Model!DH460</f>
        <v>0</v>
      </c>
      <c r="CT347">
        <f>Model!DI460</f>
        <v>0</v>
      </c>
      <c r="CU347">
        <f>Model!DJ460</f>
        <v>0</v>
      </c>
    </row>
    <row r="348" spans="1:99">
      <c r="A348" t="str">
        <f>Model!I462</f>
        <v>Period-to-period change Y/Y</v>
      </c>
      <c r="B348">
        <f>Model!J462</f>
        <v>0</v>
      </c>
      <c r="C348">
        <f>Model!K462</f>
        <v>0</v>
      </c>
      <c r="D348">
        <f>Model!L462</f>
        <v>0</v>
      </c>
      <c r="E348">
        <f>Model!M462</f>
        <v>0</v>
      </c>
      <c r="F348">
        <f>Model!N462</f>
        <v>0</v>
      </c>
      <c r="G348">
        <f>Model!O462</f>
        <v>0</v>
      </c>
      <c r="H348">
        <f>Model!P462</f>
        <v>0</v>
      </c>
      <c r="I348">
        <f>Model!Q462</f>
        <v>0</v>
      </c>
      <c r="J348">
        <f>Model!R462</f>
        <v>0</v>
      </c>
      <c r="K348">
        <f>Model!S462</f>
        <v>0</v>
      </c>
      <c r="L348">
        <f>Model!T462</f>
        <v>0</v>
      </c>
      <c r="M348">
        <f>Model!U462</f>
        <v>0</v>
      </c>
      <c r="N348">
        <f>Model!V462</f>
        <v>0</v>
      </c>
      <c r="O348">
        <f>Model!W462</f>
        <v>0</v>
      </c>
      <c r="P348">
        <f>Model!X462</f>
        <v>0</v>
      </c>
      <c r="Q348">
        <f>Model!Y462</f>
        <v>0</v>
      </c>
      <c r="R348">
        <f>Model!Z462</f>
        <v>0</v>
      </c>
      <c r="S348">
        <f>Model!AA462</f>
        <v>0</v>
      </c>
      <c r="T348">
        <f>Model!AB462</f>
        <v>0</v>
      </c>
      <c r="U348">
        <f>Model!AC462</f>
        <v>0</v>
      </c>
      <c r="V348">
        <f>Model!AD462</f>
        <v>0</v>
      </c>
      <c r="W348">
        <f>Model!AE462</f>
        <v>0</v>
      </c>
      <c r="X348">
        <f>Model!AF462</f>
        <v>0</v>
      </c>
      <c r="Y348">
        <f>Model!AG462</f>
        <v>0</v>
      </c>
      <c r="Z348">
        <f>Model!AH462</f>
        <v>0</v>
      </c>
      <c r="AA348">
        <f>Model!AI462</f>
        <v>0</v>
      </c>
      <c r="AB348">
        <f>Model!AJ462</f>
        <v>0</v>
      </c>
      <c r="AC348">
        <f>Model!AK462</f>
        <v>4.8869999999999969</v>
      </c>
      <c r="AD348">
        <f>Model!AL462</f>
        <v>4.9289999999999985</v>
      </c>
      <c r="AE348">
        <f>Model!AM462</f>
        <v>4.9399999999999977</v>
      </c>
      <c r="AF348">
        <f>Model!AN462</f>
        <v>7.490000000000002</v>
      </c>
      <c r="AG348">
        <f>Model!AO462</f>
        <v>8.6200000000000045</v>
      </c>
      <c r="AH348">
        <f>Model!AP462</f>
        <v>10.598000000000003</v>
      </c>
      <c r="AI348">
        <f>Model!AQ462</f>
        <v>12.149000000000001</v>
      </c>
      <c r="AJ348">
        <f>Model!AR462</f>
        <v>5.1549999999999976</v>
      </c>
      <c r="AK348">
        <f>Model!AS462</f>
        <v>1.9729999999999954</v>
      </c>
      <c r="AL348">
        <f>Model!AT462</f>
        <v>3.0329999999999941</v>
      </c>
      <c r="AM348">
        <f>Model!AU462</f>
        <v>4.8850000000000051</v>
      </c>
      <c r="AN348">
        <f>Model!AV462</f>
        <v>6.3290000000000006</v>
      </c>
      <c r="AO348">
        <f>Model!AW462</f>
        <v>8.9510000000000041</v>
      </c>
      <c r="AP348">
        <f>Model!AX462</f>
        <v>13.785000000000011</v>
      </c>
      <c r="AQ348">
        <f>Model!AY462</f>
        <v>20.741999999999997</v>
      </c>
      <c r="AR348">
        <f>Model!AZ462</f>
        <v>18.911999999999999</v>
      </c>
      <c r="AS348">
        <f>Model!BA462</f>
        <v>23.36</v>
      </c>
      <c r="AT348">
        <f>Model!BB462</f>
        <v>25.268000000000001</v>
      </c>
      <c r="AU348">
        <f>Model!BC462</f>
        <v>20.333999999999989</v>
      </c>
      <c r="AV348">
        <f>Model!BD462</f>
        <v>15.737000000000002</v>
      </c>
      <c r="AW348">
        <f>Model!BE462</f>
        <v>22.925000000000004</v>
      </c>
      <c r="AX348">
        <f>Model!BF462</f>
        <v>17.765000000000001</v>
      </c>
      <c r="AY348">
        <f>Model!BG462</f>
        <v>36.490000000000009</v>
      </c>
      <c r="AZ348">
        <f>Model!BH462</f>
        <v>31.513000000000005</v>
      </c>
      <c r="BA348">
        <f>Model!BI462</f>
        <v>28.35599999999998</v>
      </c>
      <c r="BB348">
        <f>Model!BJ462</f>
        <v>40.843000000000018</v>
      </c>
      <c r="BC348">
        <f>Model!BK462</f>
        <v>34.236999999999995</v>
      </c>
      <c r="BD348">
        <f>Model!BL462</f>
        <v>59.466999999999985</v>
      </c>
      <c r="BE348">
        <f>Model!BM462</f>
        <v>43.219000000000023</v>
      </c>
      <c r="BF348">
        <f>Model!BN462</f>
        <v>55.422999999999973</v>
      </c>
      <c r="BG348">
        <f>Model!BO462</f>
        <v>61.443000000000012</v>
      </c>
      <c r="BH348">
        <f>Model!BP462</f>
        <v>45.515000000000015</v>
      </c>
      <c r="BI348">
        <f>Model!BQ462</f>
        <v>49.247999999999962</v>
      </c>
      <c r="BJ348">
        <f>Model!BR462</f>
        <v>42.308000000000021</v>
      </c>
      <c r="BK348">
        <f>Model!BS462</f>
        <v>33.72</v>
      </c>
      <c r="BL348">
        <f>Model!BT462</f>
        <v>29.788999999999987</v>
      </c>
      <c r="BM348">
        <f>Model!BU462</f>
        <v>37.375000000000028</v>
      </c>
      <c r="BN348">
        <f>Model!BV462</f>
        <v>48.685999999999979</v>
      </c>
      <c r="BO348">
        <f>Model!BW462</f>
        <v>46.480999999999995</v>
      </c>
      <c r="BP348">
        <f>Model!BX462</f>
        <v>49.08499999999998</v>
      </c>
      <c r="BQ348">
        <f>Model!BY462</f>
        <v>49.730999999999995</v>
      </c>
      <c r="BR348">
        <f>Model!BZ462</f>
        <v>41.15100000000001</v>
      </c>
      <c r="BS348">
        <f>Model!CA462</f>
        <v>123.48099999999999</v>
      </c>
      <c r="BT348">
        <f>Model!CB462</f>
        <v>83.849999999999966</v>
      </c>
      <c r="BU348">
        <f>Model!CC462</f>
        <v>93.025062439753896</v>
      </c>
      <c r="BV348">
        <f>Model!CD462</f>
        <v>86.154833289726909</v>
      </c>
      <c r="BW348">
        <f>Model!CE462</f>
        <v>53.099372006710503</v>
      </c>
      <c r="BX348">
        <f>Model!CF462</f>
        <v>63.65146245806077</v>
      </c>
      <c r="BY348">
        <f>Model!CG462</f>
        <v>0</v>
      </c>
      <c r="BZ348">
        <f>Model!CH462</f>
        <v>0</v>
      </c>
      <c r="CA348">
        <f>Model!CI462</f>
        <v>0</v>
      </c>
      <c r="CB348">
        <f>Model!CJ462</f>
        <v>0</v>
      </c>
      <c r="CC348">
        <f>Model!CK462</f>
        <v>0</v>
      </c>
      <c r="CD348">
        <f>Model!CL462</f>
        <v>0</v>
      </c>
      <c r="CE348">
        <f>Model!CM462</f>
        <v>0</v>
      </c>
      <c r="CF348">
        <f>Model!CN462</f>
        <v>22.245999999999995</v>
      </c>
      <c r="CG348">
        <f>Model!CO462</f>
        <v>36.522000000000006</v>
      </c>
      <c r="CH348">
        <f>Model!CP462</f>
        <v>16.22</v>
      </c>
      <c r="CI348">
        <f>Model!CQ462</f>
        <v>62.390000000000015</v>
      </c>
      <c r="CJ348">
        <f>Model!CR462</f>
        <v>84.698999999999984</v>
      </c>
      <c r="CK348">
        <f>Model!CS462</f>
        <v>108.69300000000004</v>
      </c>
      <c r="CL348">
        <f>Model!CT462</f>
        <v>162.90300000000002</v>
      </c>
      <c r="CM348">
        <f>Model!CU462</f>
        <v>205.60000000000002</v>
      </c>
      <c r="CN348">
        <f>Model!CV462</f>
        <v>155.06499999999983</v>
      </c>
      <c r="CO348">
        <f>Model!CW462</f>
        <v>181.62700000000018</v>
      </c>
      <c r="CP348">
        <f>Model!CX462</f>
        <v>298.21299999999997</v>
      </c>
      <c r="CQ348">
        <f>Model!CY462</f>
        <v>295.93073019425196</v>
      </c>
      <c r="CR348">
        <f>Model!DG462</f>
        <v>0</v>
      </c>
      <c r="CS348">
        <f>Model!DH462</f>
        <v>0</v>
      </c>
      <c r="CT348">
        <f>Model!DI462</f>
        <v>0</v>
      </c>
      <c r="CU348">
        <f>Model!DJ462</f>
        <v>0</v>
      </c>
    </row>
    <row r="349" spans="1:99">
      <c r="A349" t="str">
        <f>Model!I461</f>
        <v>Period-to-period change Q/Q</v>
      </c>
      <c r="B349">
        <f>Model!J461</f>
        <v>0</v>
      </c>
      <c r="C349">
        <f>Model!K461</f>
        <v>0</v>
      </c>
      <c r="D349">
        <f>Model!L461</f>
        <v>0</v>
      </c>
      <c r="E349">
        <f>Model!M461</f>
        <v>0</v>
      </c>
      <c r="F349">
        <f>Model!N461</f>
        <v>0</v>
      </c>
      <c r="G349">
        <f>Model!O461</f>
        <v>0</v>
      </c>
      <c r="H349">
        <f>Model!P461</f>
        <v>0</v>
      </c>
      <c r="I349">
        <f>Model!Q461</f>
        <v>0</v>
      </c>
      <c r="J349">
        <f>Model!R461</f>
        <v>0</v>
      </c>
      <c r="K349">
        <f>Model!S461</f>
        <v>0</v>
      </c>
      <c r="L349">
        <f>Model!T461</f>
        <v>0</v>
      </c>
      <c r="M349">
        <f>Model!U461</f>
        <v>0</v>
      </c>
      <c r="N349">
        <f>Model!V461</f>
        <v>0</v>
      </c>
      <c r="O349">
        <f>Model!W461</f>
        <v>0</v>
      </c>
      <c r="P349">
        <f>Model!X461</f>
        <v>0</v>
      </c>
      <c r="Q349">
        <f>Model!Y461</f>
        <v>0</v>
      </c>
      <c r="R349">
        <f>Model!Z461</f>
        <v>0</v>
      </c>
      <c r="S349">
        <f>Model!AA461</f>
        <v>0</v>
      </c>
      <c r="T349">
        <f>Model!AB461</f>
        <v>0</v>
      </c>
      <c r="U349">
        <f>Model!AC461</f>
        <v>0</v>
      </c>
      <c r="V349">
        <f>Model!AD461</f>
        <v>0</v>
      </c>
      <c r="W349">
        <f>Model!AE461</f>
        <v>0</v>
      </c>
      <c r="X349">
        <f>Model!AF461</f>
        <v>0</v>
      </c>
      <c r="Y349">
        <f>Model!AG461</f>
        <v>0</v>
      </c>
      <c r="Z349">
        <f>Model!AH461</f>
        <v>0</v>
      </c>
      <c r="AA349">
        <f>Model!AI461</f>
        <v>0</v>
      </c>
      <c r="AB349">
        <f>Model!AJ461</f>
        <v>0</v>
      </c>
      <c r="AC349">
        <f>Model!AK461</f>
        <v>0.42299999999999827</v>
      </c>
      <c r="AD349">
        <f>Model!AL461</f>
        <v>1.6449999999999996</v>
      </c>
      <c r="AE349">
        <f>Model!AM461</f>
        <v>3.0860000000000021</v>
      </c>
      <c r="AF349">
        <f>Model!AN461</f>
        <v>2.3360000000000021</v>
      </c>
      <c r="AG349">
        <f>Model!AO461</f>
        <v>1.5530000000000008</v>
      </c>
      <c r="AH349">
        <f>Model!AP461</f>
        <v>3.6229999999999976</v>
      </c>
      <c r="AI349">
        <f>Model!AQ461</f>
        <v>4.6370000000000005</v>
      </c>
      <c r="AJ349">
        <f>Model!AR461</f>
        <v>-4.6580000000000013</v>
      </c>
      <c r="AK349">
        <f>Model!AS461</f>
        <v>-1.6290000000000013</v>
      </c>
      <c r="AL349">
        <f>Model!AT461</f>
        <v>4.6829999999999963</v>
      </c>
      <c r="AM349">
        <f>Model!AU461</f>
        <v>6.4890000000000114</v>
      </c>
      <c r="AN349">
        <f>Model!AV461</f>
        <v>-3.2140000000000057</v>
      </c>
      <c r="AO349">
        <f>Model!AW461</f>
        <v>0.9930000000000021</v>
      </c>
      <c r="AP349">
        <f>Model!AX461</f>
        <v>9.517000000000003</v>
      </c>
      <c r="AQ349">
        <f>Model!AY461</f>
        <v>13.445999999999998</v>
      </c>
      <c r="AR349">
        <f>Model!AZ461</f>
        <v>-5.044000000000004</v>
      </c>
      <c r="AS349">
        <f>Model!BA461</f>
        <v>5.4410000000000025</v>
      </c>
      <c r="AT349">
        <f>Model!BB461</f>
        <v>11.425000000000004</v>
      </c>
      <c r="AU349">
        <f>Model!BC461</f>
        <v>8.5119999999999862</v>
      </c>
      <c r="AV349">
        <f>Model!BD461</f>
        <v>-9.6409999999999911</v>
      </c>
      <c r="AW349">
        <f>Model!BE461</f>
        <v>12.629000000000005</v>
      </c>
      <c r="AX349">
        <f>Model!BF461</f>
        <v>6.2650000000000006</v>
      </c>
      <c r="AY349">
        <f>Model!BG461</f>
        <v>27.236999999999995</v>
      </c>
      <c r="AZ349">
        <f>Model!BH461</f>
        <v>-14.617999999999995</v>
      </c>
      <c r="BA349">
        <f>Model!BI461</f>
        <v>9.47199999999998</v>
      </c>
      <c r="BB349">
        <f>Model!BJ461</f>
        <v>18.752000000000038</v>
      </c>
      <c r="BC349">
        <f>Model!BK461</f>
        <v>20.630999999999972</v>
      </c>
      <c r="BD349">
        <f>Model!BL461</f>
        <v>10.611999999999995</v>
      </c>
      <c r="BE349">
        <f>Model!BM461</f>
        <v>-6.775999999999982</v>
      </c>
      <c r="BF349">
        <f>Model!BN461</f>
        <v>30.955999999999989</v>
      </c>
      <c r="BG349">
        <f>Model!BO461</f>
        <v>26.65100000000001</v>
      </c>
      <c r="BH349">
        <f>Model!BP461</f>
        <v>-5.3160000000000025</v>
      </c>
      <c r="BI349">
        <f>Model!BQ461</f>
        <v>-3.0430000000000348</v>
      </c>
      <c r="BJ349">
        <f>Model!BR461</f>
        <v>24.016000000000048</v>
      </c>
      <c r="BK349">
        <f>Model!BS461</f>
        <v>18.062999999999988</v>
      </c>
      <c r="BL349">
        <f>Model!BT461</f>
        <v>-9.2470000000000141</v>
      </c>
      <c r="BM349">
        <f>Model!BU461</f>
        <v>4.5430000000000064</v>
      </c>
      <c r="BN349">
        <f>Model!BV461</f>
        <v>35.326999999999998</v>
      </c>
      <c r="BO349">
        <f>Model!BW461</f>
        <v>15.858000000000004</v>
      </c>
      <c r="BP349">
        <f>Model!BX461</f>
        <v>-6.6430000000000291</v>
      </c>
      <c r="BQ349">
        <f>Model!BY461</f>
        <v>5.1890000000000214</v>
      </c>
      <c r="BR349">
        <f>Model!BZ461</f>
        <v>26.747000000000014</v>
      </c>
      <c r="BS349">
        <f>Model!CA461</f>
        <v>98.187999999999988</v>
      </c>
      <c r="BT349">
        <f>Model!CB461</f>
        <v>-46.274000000000058</v>
      </c>
      <c r="BU349">
        <f>Model!CC461</f>
        <v>14.36406243975398</v>
      </c>
      <c r="BV349">
        <f>Model!CD461</f>
        <v>19.876770849973013</v>
      </c>
      <c r="BW349">
        <f>Model!CE461</f>
        <v>65.132538716983561</v>
      </c>
      <c r="BX349">
        <f>Model!CF461</f>
        <v>-35.721909548649762</v>
      </c>
      <c r="BY349">
        <f>Model!CG461</f>
        <v>0</v>
      </c>
      <c r="BZ349">
        <f>Model!CH461</f>
        <v>0</v>
      </c>
      <c r="CA349">
        <f>Model!CI461</f>
        <v>0</v>
      </c>
      <c r="CB349">
        <f>Model!CJ461</f>
        <v>0</v>
      </c>
      <c r="CC349">
        <f>Model!CK461</f>
        <v>0</v>
      </c>
      <c r="CD349">
        <f>Model!CL461</f>
        <v>0</v>
      </c>
      <c r="CE349">
        <f>Model!CM461</f>
        <v>0</v>
      </c>
      <c r="CF349">
        <f>Model!CN461</f>
        <v>0</v>
      </c>
      <c r="CG349">
        <f>Model!CO461</f>
        <v>0</v>
      </c>
      <c r="CH349">
        <f>Model!CP461</f>
        <v>0</v>
      </c>
      <c r="CI349">
        <f>Model!CQ461</f>
        <v>0</v>
      </c>
      <c r="CJ349">
        <f>Model!CR461</f>
        <v>0</v>
      </c>
      <c r="CK349">
        <f>Model!CS461</f>
        <v>0</v>
      </c>
      <c r="CL349">
        <f>Model!CT461</f>
        <v>0</v>
      </c>
      <c r="CM349">
        <f>Model!CU461</f>
        <v>0</v>
      </c>
      <c r="CN349">
        <f>Model!CV461</f>
        <v>0</v>
      </c>
      <c r="CO349">
        <f>Model!CW461</f>
        <v>0</v>
      </c>
      <c r="CP349">
        <f>Model!CX461</f>
        <v>0</v>
      </c>
      <c r="CQ349">
        <f>Model!CY461</f>
        <v>0</v>
      </c>
      <c r="CR349">
        <f>Model!DG461</f>
        <v>0</v>
      </c>
      <c r="CS349">
        <f>Model!DH461</f>
        <v>0</v>
      </c>
      <c r="CT349">
        <f>Model!DI461</f>
        <v>0</v>
      </c>
      <c r="CU349">
        <f>Model!DJ461</f>
        <v>0</v>
      </c>
    </row>
    <row r="352" spans="1:99">
      <c r="A352" t="str">
        <f>Model!I466</f>
        <v>Total G&amp;A</v>
      </c>
      <c r="B352">
        <f>Model!J466</f>
        <v>0</v>
      </c>
      <c r="C352">
        <f>Model!K466</f>
        <v>0</v>
      </c>
      <c r="D352">
        <f>Model!L466</f>
        <v>0</v>
      </c>
      <c r="E352">
        <f>Model!M466</f>
        <v>0</v>
      </c>
      <c r="F352">
        <f>Model!N466</f>
        <v>0</v>
      </c>
      <c r="G352">
        <f>Model!O466</f>
        <v>0</v>
      </c>
      <c r="H352">
        <f>Model!P466</f>
        <v>0</v>
      </c>
      <c r="I352">
        <f>Model!Q466</f>
        <v>0</v>
      </c>
      <c r="J352">
        <f>Model!R466</f>
        <v>0</v>
      </c>
      <c r="K352">
        <f>Model!S466</f>
        <v>0</v>
      </c>
      <c r="L352">
        <f>Model!T466</f>
        <v>0</v>
      </c>
      <c r="M352">
        <f>Model!U466</f>
        <v>0</v>
      </c>
      <c r="N352">
        <f>Model!V466</f>
        <v>0</v>
      </c>
      <c r="O352">
        <f>Model!W466</f>
        <v>0</v>
      </c>
      <c r="P352">
        <f>Model!X466</f>
        <v>0</v>
      </c>
      <c r="Q352">
        <f>Model!Y466</f>
        <v>0</v>
      </c>
      <c r="R352">
        <f>Model!Z466</f>
        <v>0</v>
      </c>
      <c r="S352">
        <f>Model!AA466</f>
        <v>0</v>
      </c>
      <c r="T352">
        <f>Model!AB466</f>
        <v>0</v>
      </c>
      <c r="U352">
        <f>Model!AC466</f>
        <v>0</v>
      </c>
      <c r="V352">
        <f>Model!AD466</f>
        <v>0</v>
      </c>
      <c r="W352">
        <f>Model!AE466</f>
        <v>0</v>
      </c>
      <c r="X352">
        <f>Model!AF466</f>
        <v>0</v>
      </c>
      <c r="Y352">
        <f>Model!AG466</f>
        <v>5.7370000000000001</v>
      </c>
      <c r="Z352">
        <f>Model!AH466</f>
        <v>7.2560000000000002</v>
      </c>
      <c r="AA352">
        <f>Model!AI466</f>
        <v>6.6429999999999998</v>
      </c>
      <c r="AB352">
        <f>Model!AJ466</f>
        <v>8.9499999999999993</v>
      </c>
      <c r="AC352">
        <f>Model!AK466</f>
        <v>9.0180000000000007</v>
      </c>
      <c r="AD352">
        <f>Model!AL466</f>
        <v>9.7769999999999992</v>
      </c>
      <c r="AE352">
        <f>Model!AM466</f>
        <v>9.2409999999999997</v>
      </c>
      <c r="AF352">
        <f>Model!AN466</f>
        <v>8.9429999999999996</v>
      </c>
      <c r="AG352">
        <f>Model!AO466</f>
        <v>11.789</v>
      </c>
      <c r="AH352">
        <f>Model!AP466</f>
        <v>14.209</v>
      </c>
      <c r="AI352">
        <f>Model!AQ466</f>
        <v>13.523999999999999</v>
      </c>
      <c r="AJ352">
        <f>Model!AR466</f>
        <v>15.749000000000001</v>
      </c>
      <c r="AK352">
        <f>Model!AS466</f>
        <v>14.788</v>
      </c>
      <c r="AL352">
        <f>Model!AT466</f>
        <v>14.728</v>
      </c>
      <c r="AM352">
        <f>Model!AU466</f>
        <v>19.367000000000001</v>
      </c>
      <c r="AN352">
        <f>Model!AV466</f>
        <v>19.672999999999998</v>
      </c>
      <c r="AO352">
        <f>Model!AW466</f>
        <v>18.033000000000001</v>
      </c>
      <c r="AP352">
        <f>Model!AX466</f>
        <v>22.462</v>
      </c>
      <c r="AQ352">
        <f>Model!AY466</f>
        <v>15.73</v>
      </c>
      <c r="AR352">
        <f>Model!AZ466</f>
        <v>24.960999999999999</v>
      </c>
      <c r="AS352">
        <f>Model!BA466</f>
        <v>25.879000000000001</v>
      </c>
      <c r="AT352">
        <f>Model!BB466</f>
        <v>29.736000000000001</v>
      </c>
      <c r="AU352">
        <f>Model!BC466</f>
        <v>31.716999999999999</v>
      </c>
      <c r="AV352">
        <f>Model!BD466</f>
        <v>36.32</v>
      </c>
      <c r="AW352">
        <f>Model!BE466</f>
        <v>40.673999999999999</v>
      </c>
      <c r="AX352">
        <f>Model!BF466</f>
        <v>39.807000000000002</v>
      </c>
      <c r="AY352">
        <f>Model!BG466</f>
        <v>42.286999999999999</v>
      </c>
      <c r="AZ352">
        <f>Model!BH466</f>
        <v>50.402999999999999</v>
      </c>
      <c r="BA352">
        <f>Model!BI466</f>
        <v>50.161000000000001</v>
      </c>
      <c r="BB352">
        <f>Model!BJ466</f>
        <v>64.921000000000006</v>
      </c>
      <c r="BC352">
        <f>Model!BK466</f>
        <v>63.113</v>
      </c>
      <c r="BD352">
        <f>Model!BL466</f>
        <v>74.799000000000007</v>
      </c>
      <c r="BE352">
        <f>Model!BM466</f>
        <v>72.980999999999995</v>
      </c>
      <c r="BF352">
        <f>Model!BN466</f>
        <v>91.066999999999993</v>
      </c>
      <c r="BG352">
        <f>Model!BO466</f>
        <v>97.902000000000001</v>
      </c>
      <c r="BH352">
        <f>Model!BP466</f>
        <v>90.918999999999997</v>
      </c>
      <c r="BI352">
        <f>Model!BQ466</f>
        <v>100.178</v>
      </c>
      <c r="BJ352">
        <f>Model!BR466</f>
        <v>98.944999999999993</v>
      </c>
      <c r="BK352">
        <f>Model!BS466</f>
        <v>109.706</v>
      </c>
      <c r="BL352">
        <f>Model!BT466</f>
        <v>106.59099999999999</v>
      </c>
      <c r="BM352">
        <f>Model!BU466</f>
        <v>113.045</v>
      </c>
      <c r="BN352">
        <f>Model!BV466</f>
        <v>112.642</v>
      </c>
      <c r="BO352">
        <f>Model!BW466</f>
        <v>114.586</v>
      </c>
      <c r="BP352">
        <f>Model!BX466</f>
        <v>115.636</v>
      </c>
      <c r="BQ352">
        <f>Model!BY466</f>
        <v>135.547</v>
      </c>
      <c r="BR352">
        <f>Model!BZ466</f>
        <v>141.63399999999999</v>
      </c>
      <c r="BS352">
        <f>Model!CA466</f>
        <v>142.82300000000001</v>
      </c>
      <c r="BT352">
        <f>Model!CB466</f>
        <v>165.53700000000001</v>
      </c>
      <c r="BU352">
        <f>Model!CC466</f>
        <v>165.547</v>
      </c>
      <c r="BV352">
        <f>Model!CD466</f>
        <v>166.63399999999999</v>
      </c>
      <c r="BW352">
        <f>Model!CE466</f>
        <v>167.82300000000001</v>
      </c>
      <c r="BX352">
        <f>Model!CF466</f>
        <v>188.53700000000001</v>
      </c>
      <c r="BY352">
        <f>Model!CG466</f>
        <v>0</v>
      </c>
      <c r="BZ352">
        <f>Model!CH466</f>
        <v>0</v>
      </c>
      <c r="CA352">
        <f>Model!CI466</f>
        <v>0</v>
      </c>
      <c r="CB352">
        <f>Model!CJ466</f>
        <v>0</v>
      </c>
      <c r="CC352">
        <f>Model!CK466</f>
        <v>0</v>
      </c>
      <c r="CD352">
        <f>Model!CL466</f>
        <v>0</v>
      </c>
      <c r="CE352">
        <f>Model!CM466</f>
        <v>28.585999999999999</v>
      </c>
      <c r="CF352">
        <f>Model!CN466</f>
        <v>36.978999999999999</v>
      </c>
      <c r="CG352">
        <f>Model!CO466</f>
        <v>55.271000000000001</v>
      </c>
      <c r="CH352">
        <f>Model!CP466</f>
        <v>68.555999999999997</v>
      </c>
      <c r="CI352">
        <f>Model!CQ466</f>
        <v>81.186000000000007</v>
      </c>
      <c r="CJ352">
        <f>Model!CR466</f>
        <v>123.65199999999999</v>
      </c>
      <c r="CK352">
        <f>Model!CS466</f>
        <v>173.17099999999999</v>
      </c>
      <c r="CL352">
        <f>Model!CT466</f>
        <v>252.994</v>
      </c>
      <c r="CM352">
        <f>Model!CU466</f>
        <v>352.86899999999997</v>
      </c>
      <c r="CN352">
        <f>Model!CV466</f>
        <v>415.42</v>
      </c>
      <c r="CO352">
        <f>Model!CW466</f>
        <v>455.90899999999999</v>
      </c>
      <c r="CP352">
        <f>Model!CX466</f>
        <v>585.54100000000005</v>
      </c>
      <c r="CQ352">
        <f>Model!CY466</f>
        <v>688.54100000000005</v>
      </c>
      <c r="CR352">
        <f>Model!DG466</f>
        <v>0</v>
      </c>
      <c r="CS352">
        <f>Model!DH466</f>
        <v>0</v>
      </c>
      <c r="CT352">
        <f>Model!DI466</f>
        <v>0</v>
      </c>
      <c r="CU352">
        <f>Model!DJ466</f>
        <v>0</v>
      </c>
    </row>
    <row r="353" spans="1:99">
      <c r="A353" t="str">
        <f>Model!I467</f>
        <v>% of Total Gross Profit</v>
      </c>
      <c r="B353">
        <f>Model!J467</f>
        <v>0</v>
      </c>
      <c r="C353">
        <f>Model!K467</f>
        <v>0</v>
      </c>
      <c r="D353">
        <f>Model!L467</f>
        <v>0</v>
      </c>
      <c r="E353">
        <f>Model!M467</f>
        <v>0</v>
      </c>
      <c r="F353">
        <f>Model!N467</f>
        <v>0</v>
      </c>
      <c r="G353">
        <f>Model!O467</f>
        <v>0</v>
      </c>
      <c r="H353">
        <f>Model!P467</f>
        <v>0</v>
      </c>
      <c r="I353">
        <f>Model!Q467</f>
        <v>0</v>
      </c>
      <c r="J353">
        <f>Model!R467</f>
        <v>0</v>
      </c>
      <c r="K353">
        <f>Model!S467</f>
        <v>0</v>
      </c>
      <c r="L353">
        <f>Model!T467</f>
        <v>0</v>
      </c>
      <c r="M353">
        <f>Model!U467</f>
        <v>0</v>
      </c>
      <c r="N353">
        <f>Model!V467</f>
        <v>0</v>
      </c>
      <c r="O353">
        <f>Model!W467</f>
        <v>0</v>
      </c>
      <c r="P353">
        <f>Model!X467</f>
        <v>0</v>
      </c>
      <c r="Q353">
        <f>Model!Y467</f>
        <v>0</v>
      </c>
      <c r="R353">
        <f>Model!Z467</f>
        <v>0</v>
      </c>
      <c r="S353">
        <f>Model!AA467</f>
        <v>0</v>
      </c>
      <c r="T353">
        <f>Model!AB467</f>
        <v>0</v>
      </c>
      <c r="U353">
        <f>Model!AC467</f>
        <v>0</v>
      </c>
      <c r="V353">
        <f>Model!AD467</f>
        <v>0</v>
      </c>
      <c r="W353">
        <f>Model!AE467</f>
        <v>0</v>
      </c>
      <c r="X353">
        <f>Model!AF467</f>
        <v>0</v>
      </c>
      <c r="Y353">
        <f>Model!AG467</f>
        <v>7.9425731334191702E-2</v>
      </c>
      <c r="Z353">
        <f>Model!AH467</f>
        <v>6.8579637820876338E-2</v>
      </c>
      <c r="AA353">
        <f>Model!AI467</f>
        <v>5.4308371484630469E-2</v>
      </c>
      <c r="AB353">
        <f>Model!AJ467</f>
        <v>8.9934383070229232E-2</v>
      </c>
      <c r="AC353">
        <f>Model!AK467</f>
        <v>8.684598272325425E-2</v>
      </c>
      <c r="AD353">
        <f>Model!AL467</f>
        <v>6.3120993201758652E-2</v>
      </c>
      <c r="AE353">
        <f>Model!AM467</f>
        <v>4.5672684857980241E-2</v>
      </c>
      <c r="AF353">
        <f>Model!AN467</f>
        <v>5.5840701333732944E-2</v>
      </c>
      <c r="AG353">
        <f>Model!AO467</f>
        <v>6.5095553359138164E-2</v>
      </c>
      <c r="AH353">
        <f>Model!AP467</f>
        <v>5.6001576510000976E-2</v>
      </c>
      <c r="AI353">
        <f>Model!AQ467</f>
        <v>4.2786907029277579E-2</v>
      </c>
      <c r="AJ353">
        <f>Model!AR467</f>
        <v>7.6800039012020579E-2</v>
      </c>
      <c r="AK353">
        <f>Model!AS467</f>
        <v>7.098353573657179E-2</v>
      </c>
      <c r="AL353">
        <f>Model!AT467</f>
        <v>4.825087308919597E-2</v>
      </c>
      <c r="AM353">
        <f>Model!AU467</f>
        <v>4.4623807044142254E-2</v>
      </c>
      <c r="AN353">
        <f>Model!AV467</f>
        <v>6.2815105255931702E-2</v>
      </c>
      <c r="AO353">
        <f>Model!AW467</f>
        <v>5.650923175271691E-2</v>
      </c>
      <c r="AP353">
        <f>Model!AX467</f>
        <v>5.0342459613074438E-2</v>
      </c>
      <c r="AQ353">
        <f>Model!AY467</f>
        <v>2.3540574192467023E-2</v>
      </c>
      <c r="AR353">
        <f>Model!AZ467</f>
        <v>5.1984105496848995E-2</v>
      </c>
      <c r="AS353">
        <f>Model!BA467</f>
        <v>5.1163682662195932E-2</v>
      </c>
      <c r="AT353">
        <f>Model!BB467</f>
        <v>3.9688906032484143E-2</v>
      </c>
      <c r="AU353">
        <f>Model!BC467</f>
        <v>2.8829757450815705E-2</v>
      </c>
      <c r="AV353">
        <f>Model!BD467</f>
        <v>5.0117497381664336E-2</v>
      </c>
      <c r="AW353">
        <f>Model!BE467</f>
        <v>5.4721722939156829E-2</v>
      </c>
      <c r="AX353">
        <f>Model!BF467</f>
        <v>3.9642799524370061E-2</v>
      </c>
      <c r="AY353">
        <f>Model!BG467</f>
        <v>3.0280680071120607E-2</v>
      </c>
      <c r="AZ353">
        <f>Model!BH467</f>
        <v>5.3634477254588982E-2</v>
      </c>
      <c r="BA353">
        <f>Model!BI467</f>
        <v>4.9680834732312204E-2</v>
      </c>
      <c r="BB353">
        <f>Model!BJ467</f>
        <v>4.6913152028211051E-2</v>
      </c>
      <c r="BC353">
        <f>Model!BK467</f>
        <v>3.1729983685802127E-2</v>
      </c>
      <c r="BD353">
        <f>Model!BL467</f>
        <v>5.6100610439803175E-2</v>
      </c>
      <c r="BE353">
        <f>Model!BM467</f>
        <v>5.188944528539869E-2</v>
      </c>
      <c r="BF353">
        <f>Model!BN467</f>
        <v>4.836282180100223E-2</v>
      </c>
      <c r="BG353">
        <f>Model!BO467</f>
        <v>3.7367489345330379E-2</v>
      </c>
      <c r="BH353">
        <f>Model!BP467</f>
        <v>5.4290209800649074E-2</v>
      </c>
      <c r="BI353">
        <f>Model!BQ467</f>
        <v>5.9906616051801302E-2</v>
      </c>
      <c r="BJ353">
        <f>Model!BR467</f>
        <v>4.727637074957021E-2</v>
      </c>
      <c r="BK353">
        <f>Model!BS467</f>
        <v>3.7222769996220248E-2</v>
      </c>
      <c r="BL353">
        <f>Model!BT467</f>
        <v>5.67159541189848E-2</v>
      </c>
      <c r="BM353">
        <f>Model!BU467</f>
        <v>5.5978112852509358E-2</v>
      </c>
      <c r="BN353">
        <f>Model!BV467</f>
        <v>4.6358204606270915E-2</v>
      </c>
      <c r="BO353">
        <f>Model!BW467</f>
        <v>3.1926438739024642E-2</v>
      </c>
      <c r="BP353">
        <f>Model!BX467</f>
        <v>5.0798621132588373E-2</v>
      </c>
      <c r="BQ353">
        <f>Model!BY467</f>
        <v>5.8069131856903863E-2</v>
      </c>
      <c r="BR353">
        <f>Model!BZ467</f>
        <v>4.7982020547365112E-2</v>
      </c>
      <c r="BS353">
        <f>Model!CA467</f>
        <v>3.2648592896234202E-2</v>
      </c>
      <c r="BT353">
        <f>Model!CB467</f>
        <v>5.9761879576583354E-2</v>
      </c>
      <c r="BU353">
        <f>Model!CC467</f>
        <v>5.9177129589799884E-2</v>
      </c>
      <c r="BV353">
        <f>Model!CD467</f>
        <v>4.6778569570224193E-2</v>
      </c>
      <c r="BW353">
        <f>Model!CE467</f>
        <v>3.35350156891066E-2</v>
      </c>
      <c r="BX353">
        <f>Model!CF467</f>
        <v>5.5816664224819915E-2</v>
      </c>
      <c r="BY353">
        <f>Model!CG467</f>
        <v>0</v>
      </c>
      <c r="BZ353">
        <f>Model!CH467</f>
        <v>0</v>
      </c>
      <c r="CA353">
        <f>Model!CI467</f>
        <v>0</v>
      </c>
      <c r="CB353">
        <f>Model!CJ467</f>
        <v>0</v>
      </c>
      <c r="CC353">
        <f>Model!CK467</f>
        <v>0</v>
      </c>
      <c r="CD353">
        <f>Model!CL467</f>
        <v>0</v>
      </c>
      <c r="CE353">
        <f>Model!CM467</f>
        <v>7.1487876120358479E-2</v>
      </c>
      <c r="CF353">
        <f>Model!CN467</f>
        <v>5.9526894875365242E-2</v>
      </c>
      <c r="CG353">
        <f>Model!CO467</f>
        <v>5.7816607407546877E-2</v>
      </c>
      <c r="CH353">
        <f>Model!CP467</f>
        <v>5.4376595759869223E-2</v>
      </c>
      <c r="CI353">
        <f>Model!CQ467</f>
        <v>4.2424153748235077E-2</v>
      </c>
      <c r="CJ353">
        <f>Model!CR467</f>
        <v>4.0148317466914281E-2</v>
      </c>
      <c r="CK353">
        <f>Model!CS467</f>
        <v>4.2405613954664911E-2</v>
      </c>
      <c r="CL353">
        <f>Model!CT467</f>
        <v>4.4261554551647805E-2</v>
      </c>
      <c r="CM353">
        <f>Model!CU467</f>
        <v>4.6527287902501671E-2</v>
      </c>
      <c r="CN353">
        <f>Model!CV467</f>
        <v>4.8350713650807106E-2</v>
      </c>
      <c r="CO353">
        <f>Model!CW467</f>
        <v>4.4199962538871741E-2</v>
      </c>
      <c r="CP353">
        <f>Model!CX467</f>
        <v>4.7105014301464666E-2</v>
      </c>
      <c r="CQ353">
        <f>Model!CY467</f>
        <v>4.6706486612311172E-2</v>
      </c>
      <c r="CR353">
        <f>Model!DG467</f>
        <v>0</v>
      </c>
      <c r="CS353">
        <f>Model!DH467</f>
        <v>0</v>
      </c>
      <c r="CT353">
        <f>Model!DI467</f>
        <v>0</v>
      </c>
      <c r="CU353">
        <f>Model!DJ467</f>
        <v>0</v>
      </c>
    </row>
    <row r="354" spans="1:99">
      <c r="A354" t="str">
        <f>Model!I468</f>
        <v>change Y/Y (in bp)</v>
      </c>
      <c r="B354">
        <f>Model!J468</f>
        <v>0</v>
      </c>
      <c r="C354">
        <f>Model!K468</f>
        <v>0</v>
      </c>
      <c r="D354">
        <f>Model!L468</f>
        <v>0</v>
      </c>
      <c r="E354">
        <f>Model!M468</f>
        <v>0</v>
      </c>
      <c r="F354">
        <f>Model!N468</f>
        <v>0</v>
      </c>
      <c r="G354">
        <f>Model!O468</f>
        <v>0</v>
      </c>
      <c r="H354">
        <f>Model!P468</f>
        <v>0</v>
      </c>
      <c r="I354">
        <f>Model!Q468</f>
        <v>0</v>
      </c>
      <c r="J354">
        <f>Model!R468</f>
        <v>0</v>
      </c>
      <c r="K354">
        <f>Model!S468</f>
        <v>0</v>
      </c>
      <c r="L354">
        <f>Model!T468</f>
        <v>0</v>
      </c>
      <c r="M354">
        <f>Model!U468</f>
        <v>0</v>
      </c>
      <c r="N354">
        <f>Model!V468</f>
        <v>0</v>
      </c>
      <c r="O354">
        <f>Model!W468</f>
        <v>0</v>
      </c>
      <c r="P354">
        <f>Model!X468</f>
        <v>0</v>
      </c>
      <c r="Q354">
        <f>Model!Y468</f>
        <v>0</v>
      </c>
      <c r="R354">
        <f>Model!Z468</f>
        <v>0</v>
      </c>
      <c r="S354">
        <f>Model!AA468</f>
        <v>0</v>
      </c>
      <c r="T354">
        <f>Model!AB468</f>
        <v>0</v>
      </c>
      <c r="U354">
        <f>Model!AC468</f>
        <v>0</v>
      </c>
      <c r="V354">
        <f>Model!AD468</f>
        <v>0</v>
      </c>
      <c r="W354">
        <f>Model!AE468</f>
        <v>0</v>
      </c>
      <c r="X354">
        <f>Model!AF468</f>
        <v>0</v>
      </c>
      <c r="Y354">
        <f>Model!AG468</f>
        <v>0</v>
      </c>
      <c r="Z354">
        <f>Model!AH468</f>
        <v>0</v>
      </c>
      <c r="AA354">
        <f>Model!AI468</f>
        <v>0</v>
      </c>
      <c r="AB354">
        <f>Model!AJ468</f>
        <v>0</v>
      </c>
      <c r="AC354">
        <f>Model!AK468</f>
        <v>74.202513890625482</v>
      </c>
      <c r="AD354">
        <f>Model!AL468</f>
        <v>-54.586446191176861</v>
      </c>
      <c r="AE354">
        <f>Model!AM468</f>
        <v>-86.35686626650228</v>
      </c>
      <c r="AF354">
        <f>Model!AN468</f>
        <v>-340.93681736496291</v>
      </c>
      <c r="AG354">
        <f>Model!AO468</f>
        <v>-217.50429364116087</v>
      </c>
      <c r="AH354">
        <f>Model!AP468</f>
        <v>-71.194166917576752</v>
      </c>
      <c r="AI354">
        <f>Model!AQ468</f>
        <v>-28.857778287026612</v>
      </c>
      <c r="AJ354">
        <f>Model!AR468</f>
        <v>209.59337678287636</v>
      </c>
      <c r="AK354">
        <f>Model!AS468</f>
        <v>58.879823774336259</v>
      </c>
      <c r="AL354">
        <f>Model!AT468</f>
        <v>-77.507034208050072</v>
      </c>
      <c r="AM354">
        <f>Model!AU468</f>
        <v>18.369000148646744</v>
      </c>
      <c r="AN354">
        <f>Model!AV468</f>
        <v>-139.84933756088876</v>
      </c>
      <c r="AO354">
        <f>Model!AW468</f>
        <v>-144.74303983854881</v>
      </c>
      <c r="AP354">
        <f>Model!AX468</f>
        <v>20.915865238784679</v>
      </c>
      <c r="AQ354">
        <f>Model!AY468</f>
        <v>-210.83232851675231</v>
      </c>
      <c r="AR354">
        <f>Model!AZ468</f>
        <v>-108.30999759082707</v>
      </c>
      <c r="AS354">
        <f>Model!BA468</f>
        <v>-53.455490905209778</v>
      </c>
      <c r="AT354">
        <f>Model!BB468</f>
        <v>-106.53553580590294</v>
      </c>
      <c r="AU354">
        <f>Model!BC468</f>
        <v>52.891832583486824</v>
      </c>
      <c r="AV354">
        <f>Model!BD468</f>
        <v>-18.666081151846591</v>
      </c>
      <c r="AW354">
        <f>Model!BE468</f>
        <v>35.580402769608973</v>
      </c>
      <c r="AX354">
        <f>Model!BF468</f>
        <v>-0.46106508114082678</v>
      </c>
      <c r="AY354">
        <f>Model!BG468</f>
        <v>14.509226203049016</v>
      </c>
      <c r="AZ354">
        <f>Model!BH468</f>
        <v>35.169798729246459</v>
      </c>
      <c r="BA354">
        <f>Model!BI468</f>
        <v>-50.408882068446253</v>
      </c>
      <c r="BB354">
        <f>Model!BJ468</f>
        <v>72.703525038409907</v>
      </c>
      <c r="BC354">
        <f>Model!BK468</f>
        <v>14.4930361468152</v>
      </c>
      <c r="BD354">
        <f>Model!BL468</f>
        <v>24.661331852141934</v>
      </c>
      <c r="BE354">
        <f>Model!BM468</f>
        <v>22.08610553086486</v>
      </c>
      <c r="BF354">
        <f>Model!BN468</f>
        <v>14.496697727911789</v>
      </c>
      <c r="BG354">
        <f>Model!BO468</f>
        <v>56.375056595282523</v>
      </c>
      <c r="BH354">
        <f>Model!BP468</f>
        <v>-18.104006391541013</v>
      </c>
      <c r="BI354">
        <f>Model!BQ468</f>
        <v>80.171707664026115</v>
      </c>
      <c r="BJ354">
        <f>Model!BR468</f>
        <v>-10.864510514320205</v>
      </c>
      <c r="BK354">
        <f>Model!BS468</f>
        <v>-1.4471934911013118</v>
      </c>
      <c r="BL354">
        <f>Model!BT468</f>
        <v>24.257443183357264</v>
      </c>
      <c r="BM354">
        <f>Model!BU468</f>
        <v>-39.285031992919443</v>
      </c>
      <c r="BN354">
        <f>Model!BV468</f>
        <v>-9.1816614329929411</v>
      </c>
      <c r="BO354">
        <f>Model!BW468</f>
        <v>-52.963312571956067</v>
      </c>
      <c r="BP354">
        <f>Model!BX468</f>
        <v>-59.17332986396427</v>
      </c>
      <c r="BQ354">
        <f>Model!BY468</f>
        <v>20.91019004394505</v>
      </c>
      <c r="BR354">
        <f>Model!BZ468</f>
        <v>16.238159410941964</v>
      </c>
      <c r="BS354">
        <f>Model!CA468</f>
        <v>7.2215415720956049</v>
      </c>
      <c r="BT354">
        <f>Model!CB468</f>
        <v>89.63258443994981</v>
      </c>
      <c r="BU354">
        <f>Model!CC468</f>
        <v>11.079977328960211</v>
      </c>
      <c r="BV354">
        <f>Model!CD468</f>
        <v>-12.034509771409185</v>
      </c>
      <c r="BW354">
        <f>Model!CE468</f>
        <v>8.8642279287239756</v>
      </c>
      <c r="BX354">
        <f>Model!CF468</f>
        <v>-39.4521535176344</v>
      </c>
      <c r="BY354">
        <f>Model!CG468</f>
        <v>0</v>
      </c>
      <c r="BZ354">
        <f>Model!CH468</f>
        <v>0</v>
      </c>
      <c r="CA354">
        <f>Model!CI468</f>
        <v>0</v>
      </c>
      <c r="CB354">
        <f>Model!CJ468</f>
        <v>0</v>
      </c>
      <c r="CC354">
        <f>Model!CK468</f>
        <v>0</v>
      </c>
      <c r="CD354">
        <f>Model!CL468</f>
        <v>0</v>
      </c>
      <c r="CE354">
        <f>Model!CM468</f>
        <v>0</v>
      </c>
      <c r="CF354">
        <f>Model!CN468</f>
        <v>-119.60981244993236</v>
      </c>
      <c r="CG354">
        <f>Model!CO468</f>
        <v>-17.102874678183653</v>
      </c>
      <c r="CH354">
        <f>Model!CP468</f>
        <v>-34.400116476776546</v>
      </c>
      <c r="CI354">
        <f>Model!CQ468</f>
        <v>-119.52442011634146</v>
      </c>
      <c r="CJ354">
        <f>Model!CR468</f>
        <v>-22.758362813207963</v>
      </c>
      <c r="CK354">
        <f>Model!CS468</f>
        <v>22.572964877506305</v>
      </c>
      <c r="CL354">
        <f>Model!CT468</f>
        <v>18.559405969828941</v>
      </c>
      <c r="CM354">
        <f>Model!CU468</f>
        <v>22.657333508538656</v>
      </c>
      <c r="CN354">
        <f>Model!CV468</f>
        <v>18.23425748305435</v>
      </c>
      <c r="CO354">
        <f>Model!CW468</f>
        <v>-41.507511119353651</v>
      </c>
      <c r="CP354">
        <f>Model!CX468</f>
        <v>29.050517625929253</v>
      </c>
      <c r="CQ354">
        <f>Model!CY468</f>
        <v>-3.985276891534939</v>
      </c>
      <c r="CR354">
        <f>Model!DG468</f>
        <v>0</v>
      </c>
      <c r="CS354">
        <f>Model!DH468</f>
        <v>0</v>
      </c>
      <c r="CT354">
        <f>Model!DI468</f>
        <v>0</v>
      </c>
      <c r="CU354">
        <f>Model!DJ468</f>
        <v>0</v>
      </c>
    </row>
    <row r="355" spans="1:99">
      <c r="A355" t="str">
        <f>Model!I470</f>
        <v>Period-to-period change Q/Q</v>
      </c>
      <c r="B355">
        <f>Model!J470</f>
        <v>0</v>
      </c>
      <c r="C355">
        <f>Model!K470</f>
        <v>0</v>
      </c>
      <c r="D355">
        <f>Model!L470</f>
        <v>0</v>
      </c>
      <c r="E355">
        <f>Model!M470</f>
        <v>0</v>
      </c>
      <c r="F355">
        <f>Model!N470</f>
        <v>0</v>
      </c>
      <c r="G355">
        <f>Model!O470</f>
        <v>0</v>
      </c>
      <c r="H355">
        <f>Model!P470</f>
        <v>0</v>
      </c>
      <c r="I355">
        <f>Model!Q470</f>
        <v>0</v>
      </c>
      <c r="J355">
        <f>Model!R470</f>
        <v>0</v>
      </c>
      <c r="K355">
        <f>Model!S470</f>
        <v>0</v>
      </c>
      <c r="L355">
        <f>Model!T470</f>
        <v>0</v>
      </c>
      <c r="M355">
        <f>Model!U470</f>
        <v>0</v>
      </c>
      <c r="N355">
        <f>Model!V470</f>
        <v>0</v>
      </c>
      <c r="O355">
        <f>Model!W470</f>
        <v>0</v>
      </c>
      <c r="P355">
        <f>Model!X470</f>
        <v>0</v>
      </c>
      <c r="Q355">
        <f>Model!Y470</f>
        <v>0</v>
      </c>
      <c r="R355">
        <f>Model!Z470</f>
        <v>0</v>
      </c>
      <c r="S355">
        <f>Model!AA470</f>
        <v>0</v>
      </c>
      <c r="T355">
        <f>Model!AB470</f>
        <v>0</v>
      </c>
      <c r="U355">
        <f>Model!AC470</f>
        <v>0</v>
      </c>
      <c r="V355">
        <f>Model!AD470</f>
        <v>0</v>
      </c>
      <c r="W355">
        <f>Model!AE470</f>
        <v>0</v>
      </c>
      <c r="X355">
        <f>Model!AF470</f>
        <v>0</v>
      </c>
      <c r="Y355">
        <f>Model!AG470</f>
        <v>0</v>
      </c>
      <c r="Z355">
        <f>Model!AH470</f>
        <v>0</v>
      </c>
      <c r="AA355">
        <f>Model!AI470</f>
        <v>0</v>
      </c>
      <c r="AB355">
        <f>Model!AJ470</f>
        <v>0</v>
      </c>
      <c r="AC355">
        <f>Model!AK470</f>
        <v>6.8000000000001393E-2</v>
      </c>
      <c r="AD355">
        <f>Model!AL470</f>
        <v>0.75899999999999856</v>
      </c>
      <c r="AE355">
        <f>Model!AM470</f>
        <v>-0.53599999999999959</v>
      </c>
      <c r="AF355">
        <f>Model!AN470</f>
        <v>-0.29800000000000004</v>
      </c>
      <c r="AG355">
        <f>Model!AO470</f>
        <v>2.8460000000000001</v>
      </c>
      <c r="AH355">
        <f>Model!AP470</f>
        <v>2.42</v>
      </c>
      <c r="AI355">
        <f>Model!AQ470</f>
        <v>-0.6850000000000005</v>
      </c>
      <c r="AJ355">
        <f>Model!AR470</f>
        <v>2.2250000000000014</v>
      </c>
      <c r="AK355">
        <f>Model!AS470</f>
        <v>-0.9610000000000003</v>
      </c>
      <c r="AL355">
        <f>Model!AT470</f>
        <v>-6.0000000000000497E-2</v>
      </c>
      <c r="AM355">
        <f>Model!AU470</f>
        <v>4.6390000000000011</v>
      </c>
      <c r="AN355">
        <f>Model!AV470</f>
        <v>0.30599999999999739</v>
      </c>
      <c r="AO355">
        <f>Model!AW470</f>
        <v>-1.639999999999997</v>
      </c>
      <c r="AP355">
        <f>Model!AX470</f>
        <v>4.4289999999999985</v>
      </c>
      <c r="AQ355">
        <f>Model!AY470</f>
        <v>-6.7319999999999993</v>
      </c>
      <c r="AR355">
        <f>Model!AZ470</f>
        <v>9.2309999999999981</v>
      </c>
      <c r="AS355">
        <f>Model!BA470</f>
        <v>0.91800000000000281</v>
      </c>
      <c r="AT355">
        <f>Model!BB470</f>
        <v>3.8569999999999993</v>
      </c>
      <c r="AU355">
        <f>Model!BC470</f>
        <v>1.9809999999999981</v>
      </c>
      <c r="AV355">
        <f>Model!BD470</f>
        <v>4.6030000000000015</v>
      </c>
      <c r="AW355">
        <f>Model!BE470</f>
        <v>4.3539999999999992</v>
      </c>
      <c r="AX355">
        <f>Model!BF470</f>
        <v>-0.86699999999999733</v>
      </c>
      <c r="AY355">
        <f>Model!BG470</f>
        <v>2.4799999999999969</v>
      </c>
      <c r="AZ355">
        <f>Model!BH470</f>
        <v>8.1159999999999997</v>
      </c>
      <c r="BA355">
        <f>Model!BI470</f>
        <v>-0.24199999999999733</v>
      </c>
      <c r="BB355">
        <f>Model!BJ470</f>
        <v>14.760000000000005</v>
      </c>
      <c r="BC355">
        <f>Model!BK470</f>
        <v>-1.8080000000000069</v>
      </c>
      <c r="BD355">
        <f>Model!BL470</f>
        <v>11.686000000000007</v>
      </c>
      <c r="BE355">
        <f>Model!BM470</f>
        <v>-1.8180000000000121</v>
      </c>
      <c r="BF355">
        <f>Model!BN470</f>
        <v>18.085999999999999</v>
      </c>
      <c r="BG355">
        <f>Model!BO470</f>
        <v>6.835000000000008</v>
      </c>
      <c r="BH355">
        <f>Model!BP470</f>
        <v>-6.9830000000000041</v>
      </c>
      <c r="BI355">
        <f>Model!BQ470</f>
        <v>9.2590000000000003</v>
      </c>
      <c r="BJ355">
        <f>Model!BR470</f>
        <v>-1.2330000000000041</v>
      </c>
      <c r="BK355">
        <f>Model!BS470</f>
        <v>10.76100000000001</v>
      </c>
      <c r="BL355">
        <f>Model!BT470</f>
        <v>-3.1150000000000091</v>
      </c>
      <c r="BM355">
        <f>Model!BU470</f>
        <v>6.4540000000000077</v>
      </c>
      <c r="BN355">
        <f>Model!BV470</f>
        <v>-0.4030000000000058</v>
      </c>
      <c r="BO355">
        <f>Model!BW470</f>
        <v>1.9440000000000026</v>
      </c>
      <c r="BP355">
        <f>Model!BX470</f>
        <v>1.0499999999999972</v>
      </c>
      <c r="BQ355">
        <f>Model!BY470</f>
        <v>19.911000000000001</v>
      </c>
      <c r="BR355">
        <f>Model!BZ470</f>
        <v>6.0869999999999891</v>
      </c>
      <c r="BS355">
        <f>Model!CA470</f>
        <v>1.1890000000000214</v>
      </c>
      <c r="BT355">
        <f>Model!CB470</f>
        <v>22.713999999999999</v>
      </c>
      <c r="BU355">
        <f>Model!CC470</f>
        <v>9.9999999999909051E-3</v>
      </c>
      <c r="BV355">
        <f>Model!CD470</f>
        <v>1.0869999999999891</v>
      </c>
      <c r="BW355">
        <f>Model!CE470</f>
        <v>1.1890000000000214</v>
      </c>
      <c r="BX355">
        <f>Model!CF470</f>
        <v>20.713999999999999</v>
      </c>
      <c r="BY355">
        <f>Model!CG470</f>
        <v>0</v>
      </c>
      <c r="BZ355">
        <f>Model!CH470</f>
        <v>0</v>
      </c>
      <c r="CA355">
        <f>Model!CI470</f>
        <v>0</v>
      </c>
      <c r="CB355">
        <f>Model!CJ470</f>
        <v>0</v>
      </c>
      <c r="CC355">
        <f>Model!CK470</f>
        <v>0</v>
      </c>
      <c r="CD355">
        <f>Model!CL470</f>
        <v>0</v>
      </c>
      <c r="CE355">
        <f>Model!CM470</f>
        <v>0</v>
      </c>
      <c r="CF355">
        <f>Model!CN470</f>
        <v>0</v>
      </c>
      <c r="CG355">
        <f>Model!CO470</f>
        <v>0</v>
      </c>
      <c r="CH355">
        <f>Model!CP470</f>
        <v>0</v>
      </c>
      <c r="CI355">
        <f>Model!CQ470</f>
        <v>0</v>
      </c>
      <c r="CJ355">
        <f>Model!CR470</f>
        <v>0</v>
      </c>
      <c r="CK355">
        <f>Model!CS470</f>
        <v>0</v>
      </c>
      <c r="CL355">
        <f>Model!CT470</f>
        <v>0</v>
      </c>
      <c r="CM355">
        <f>Model!CU470</f>
        <v>0</v>
      </c>
      <c r="CN355">
        <f>Model!CV470</f>
        <v>0</v>
      </c>
      <c r="CO355">
        <f>Model!CW470</f>
        <v>0</v>
      </c>
      <c r="CP355">
        <f>Model!CX470</f>
        <v>0</v>
      </c>
      <c r="CQ355">
        <f>Model!CY470</f>
        <v>0</v>
      </c>
      <c r="CR355">
        <f>Model!DG470</f>
        <v>0</v>
      </c>
      <c r="CS355">
        <f>Model!DH470</f>
        <v>0</v>
      </c>
      <c r="CT355">
        <f>Model!DI470</f>
        <v>0</v>
      </c>
      <c r="CU355">
        <f>Model!DJ470</f>
        <v>0</v>
      </c>
    </row>
    <row r="357" spans="1:99">
      <c r="A357">
        <f>Model!I471</f>
        <v>0</v>
      </c>
      <c r="B357">
        <f>Model!J471</f>
        <v>0</v>
      </c>
      <c r="C357">
        <f>Model!K471</f>
        <v>0</v>
      </c>
      <c r="D357">
        <f>Model!L471</f>
        <v>0</v>
      </c>
      <c r="E357">
        <f>Model!M471</f>
        <v>0</v>
      </c>
      <c r="F357">
        <f>Model!N471</f>
        <v>0</v>
      </c>
      <c r="G357">
        <f>Model!O471</f>
        <v>0</v>
      </c>
      <c r="H357">
        <f>Model!P471</f>
        <v>0</v>
      </c>
      <c r="I357">
        <f>Model!Q471</f>
        <v>0</v>
      </c>
      <c r="J357">
        <f>Model!R471</f>
        <v>0</v>
      </c>
      <c r="K357">
        <f>Model!S471</f>
        <v>0</v>
      </c>
      <c r="L357">
        <f>Model!T471</f>
        <v>0</v>
      </c>
      <c r="M357">
        <f>Model!U471</f>
        <v>0</v>
      </c>
      <c r="N357">
        <f>Model!V471</f>
        <v>0</v>
      </c>
      <c r="O357">
        <f>Model!W471</f>
        <v>0</v>
      </c>
      <c r="P357">
        <f>Model!X471</f>
        <v>0</v>
      </c>
      <c r="Q357">
        <f>Model!Y471</f>
        <v>0</v>
      </c>
      <c r="R357">
        <f>Model!Z471</f>
        <v>0</v>
      </c>
      <c r="S357">
        <f>Model!AA471</f>
        <v>0</v>
      </c>
      <c r="T357">
        <f>Model!AB471</f>
        <v>0</v>
      </c>
      <c r="U357">
        <f>Model!AC471</f>
        <v>0</v>
      </c>
      <c r="V357">
        <f>Model!AD471</f>
        <v>0</v>
      </c>
      <c r="W357">
        <f>Model!AE471</f>
        <v>0</v>
      </c>
      <c r="X357">
        <f>Model!AF471</f>
        <v>0</v>
      </c>
      <c r="Y357">
        <f>Model!AG471</f>
        <v>0</v>
      </c>
      <c r="Z357">
        <f>Model!AH471</f>
        <v>0</v>
      </c>
      <c r="AA357">
        <f>Model!AI471</f>
        <v>0</v>
      </c>
      <c r="AB357">
        <f>Model!AJ471</f>
        <v>0</v>
      </c>
      <c r="AC357">
        <f>Model!AK471</f>
        <v>0</v>
      </c>
      <c r="AD357">
        <f>Model!AL471</f>
        <v>0</v>
      </c>
      <c r="AE357">
        <f>Model!AM471</f>
        <v>0</v>
      </c>
      <c r="AF357">
        <f>Model!AN471</f>
        <v>0</v>
      </c>
      <c r="AG357">
        <f>Model!AO471</f>
        <v>0</v>
      </c>
      <c r="AH357">
        <f>Model!AP471</f>
        <v>0</v>
      </c>
      <c r="AI357">
        <f>Model!AQ471</f>
        <v>0</v>
      </c>
      <c r="AJ357">
        <f>Model!AR471</f>
        <v>0</v>
      </c>
      <c r="AK357">
        <f>Model!AS471</f>
        <v>0</v>
      </c>
      <c r="AL357">
        <f>Model!AT471</f>
        <v>0</v>
      </c>
      <c r="AM357">
        <f>Model!AU471</f>
        <v>0</v>
      </c>
      <c r="AN357">
        <f>Model!AV471</f>
        <v>0</v>
      </c>
      <c r="AO357">
        <f>Model!AW471</f>
        <v>0</v>
      </c>
      <c r="AP357">
        <f>Model!AX471</f>
        <v>0</v>
      </c>
      <c r="AQ357">
        <f>Model!AY471</f>
        <v>0</v>
      </c>
      <c r="AR357">
        <f>Model!AZ471</f>
        <v>0</v>
      </c>
      <c r="AS357">
        <f>Model!BA471</f>
        <v>0</v>
      </c>
      <c r="AT357">
        <f>Model!BB471</f>
        <v>0</v>
      </c>
      <c r="AU357">
        <f>Model!BC471</f>
        <v>0</v>
      </c>
      <c r="AV357">
        <f>Model!BD471</f>
        <v>0</v>
      </c>
      <c r="AW357">
        <f>Model!BE471</f>
        <v>0</v>
      </c>
      <c r="AX357">
        <f>Model!BF471</f>
        <v>0</v>
      </c>
      <c r="AY357">
        <f>Model!BG471</f>
        <v>0</v>
      </c>
      <c r="AZ357">
        <f>Model!BH471</f>
        <v>0</v>
      </c>
      <c r="BA357">
        <f>Model!BI471</f>
        <v>0</v>
      </c>
      <c r="BB357">
        <f>Model!BJ471</f>
        <v>0</v>
      </c>
      <c r="BC357">
        <f>Model!BK471</f>
        <v>0</v>
      </c>
      <c r="BD357">
        <f>Model!BL471</f>
        <v>0</v>
      </c>
      <c r="BE357">
        <f>Model!BM471</f>
        <v>0</v>
      </c>
      <c r="BF357">
        <f>Model!BN471</f>
        <v>0</v>
      </c>
      <c r="BG357">
        <f>Model!BO471</f>
        <v>0</v>
      </c>
      <c r="BH357">
        <f>Model!BP471</f>
        <v>0</v>
      </c>
      <c r="BI357">
        <f>Model!BQ471</f>
        <v>0</v>
      </c>
      <c r="BJ357">
        <f>Model!BR471</f>
        <v>0</v>
      </c>
      <c r="BK357">
        <f>Model!BS471</f>
        <v>0</v>
      </c>
      <c r="BL357">
        <f>Model!BT471</f>
        <v>0</v>
      </c>
      <c r="BM357">
        <f>Model!BU471</f>
        <v>0</v>
      </c>
      <c r="BN357">
        <f>Model!BV471</f>
        <v>0</v>
      </c>
      <c r="BO357">
        <f>Model!BW471</f>
        <v>0</v>
      </c>
      <c r="BP357">
        <f>Model!BX471</f>
        <v>0</v>
      </c>
      <c r="BQ357">
        <f>Model!BY471</f>
        <v>0</v>
      </c>
      <c r="BR357">
        <f>Model!BZ471</f>
        <v>0</v>
      </c>
      <c r="BS357">
        <f>Model!CA471</f>
        <v>0</v>
      </c>
      <c r="BT357">
        <f>Model!CB471</f>
        <v>0</v>
      </c>
      <c r="BU357">
        <f>Model!CC471</f>
        <v>0</v>
      </c>
      <c r="BV357">
        <f>Model!CD471</f>
        <v>0</v>
      </c>
      <c r="BW357">
        <f>Model!CE471</f>
        <v>0</v>
      </c>
      <c r="BX357">
        <f>Model!CF471</f>
        <v>0</v>
      </c>
      <c r="BY357">
        <f>Model!CG471</f>
        <v>0</v>
      </c>
      <c r="BZ357">
        <f>Model!CH471</f>
        <v>0</v>
      </c>
      <c r="CA357">
        <f>Model!CI471</f>
        <v>0</v>
      </c>
      <c r="CB357">
        <f>Model!CJ471</f>
        <v>0</v>
      </c>
      <c r="CC357">
        <f>Model!CK471</f>
        <v>0</v>
      </c>
      <c r="CD357">
        <f>Model!CL471</f>
        <v>0</v>
      </c>
      <c r="CE357">
        <f>Model!CM471</f>
        <v>0</v>
      </c>
      <c r="CF357">
        <f>Model!CN471</f>
        <v>0</v>
      </c>
      <c r="CG357">
        <f>Model!CO471</f>
        <v>0</v>
      </c>
      <c r="CH357">
        <f>Model!CP471</f>
        <v>0</v>
      </c>
      <c r="CI357">
        <f>Model!CQ471</f>
        <v>0</v>
      </c>
      <c r="CJ357">
        <f>Model!CR471</f>
        <v>0</v>
      </c>
      <c r="CK357">
        <f>Model!CS471</f>
        <v>0</v>
      </c>
      <c r="CL357">
        <f>Model!CT471</f>
        <v>0</v>
      </c>
      <c r="CM357">
        <f>Model!CU471</f>
        <v>0</v>
      </c>
      <c r="CN357">
        <f>Model!CV471</f>
        <v>0</v>
      </c>
      <c r="CO357">
        <f>Model!CW471</f>
        <v>0</v>
      </c>
      <c r="CP357">
        <f>Model!CX471</f>
        <v>0</v>
      </c>
      <c r="CQ357">
        <f>Model!CY471</f>
        <v>0</v>
      </c>
      <c r="CR357">
        <f>Model!DG471</f>
        <v>0</v>
      </c>
      <c r="CS357">
        <f>Model!DH471</f>
        <v>0</v>
      </c>
      <c r="CT357">
        <f>Model!DI471</f>
        <v>0</v>
      </c>
      <c r="CU357">
        <f>Model!DJ471</f>
        <v>0</v>
      </c>
    </row>
    <row r="358" spans="1:99">
      <c r="A358" t="str">
        <f>Model!I472</f>
        <v>Total Information Technology</v>
      </c>
      <c r="B358">
        <f>Model!J472</f>
        <v>0</v>
      </c>
      <c r="C358">
        <f>Model!K472</f>
        <v>0</v>
      </c>
      <c r="D358">
        <f>Model!L472</f>
        <v>0</v>
      </c>
      <c r="E358">
        <f>Model!M472</f>
        <v>0</v>
      </c>
      <c r="F358">
        <f>Model!N472</f>
        <v>0</v>
      </c>
      <c r="G358">
        <f>Model!O472</f>
        <v>0</v>
      </c>
      <c r="H358">
        <f>Model!P472</f>
        <v>0</v>
      </c>
      <c r="I358">
        <f>Model!Q472</f>
        <v>0</v>
      </c>
      <c r="J358">
        <f>Model!R472</f>
        <v>0</v>
      </c>
      <c r="K358">
        <f>Model!S472</f>
        <v>0</v>
      </c>
      <c r="L358">
        <f>Model!T472</f>
        <v>0</v>
      </c>
      <c r="M358">
        <f>Model!U472</f>
        <v>0</v>
      </c>
      <c r="N358">
        <f>Model!V472</f>
        <v>0</v>
      </c>
      <c r="O358">
        <f>Model!W472</f>
        <v>0</v>
      </c>
      <c r="P358">
        <f>Model!X472</f>
        <v>0</v>
      </c>
      <c r="Q358">
        <f>Model!Y472</f>
        <v>0</v>
      </c>
      <c r="R358">
        <f>Model!Z472</f>
        <v>0</v>
      </c>
      <c r="S358">
        <f>Model!AA472</f>
        <v>0</v>
      </c>
      <c r="T358">
        <f>Model!AB472</f>
        <v>0</v>
      </c>
      <c r="U358">
        <f>Model!AC472</f>
        <v>0</v>
      </c>
      <c r="V358">
        <f>Model!AD472</f>
        <v>0</v>
      </c>
      <c r="W358">
        <f>Model!AE472</f>
        <v>0</v>
      </c>
      <c r="X358">
        <f>Model!AF472</f>
        <v>0</v>
      </c>
      <c r="Y358">
        <f>Model!AG472</f>
        <v>2.3069999999999999</v>
      </c>
      <c r="Z358">
        <f>Model!AH472</f>
        <v>2.3319999999999999</v>
      </c>
      <c r="AA358">
        <f>Model!AI472</f>
        <v>2.5510000000000002</v>
      </c>
      <c r="AB358">
        <f>Model!AJ472</f>
        <v>2.5590000000000002</v>
      </c>
      <c r="AC358">
        <f>Model!AK472</f>
        <v>2.911</v>
      </c>
      <c r="AD358">
        <f>Model!AL472</f>
        <v>3.1520000000000001</v>
      </c>
      <c r="AE358">
        <f>Model!AM472</f>
        <v>3.343</v>
      </c>
      <c r="AF358">
        <f>Model!AN472</f>
        <v>4.3730000000000002</v>
      </c>
      <c r="AG358">
        <f>Model!AO472</f>
        <v>4.149</v>
      </c>
      <c r="AH358">
        <f>Model!AP472</f>
        <v>5.1360000000000001</v>
      </c>
      <c r="AI358">
        <f>Model!AQ472</f>
        <v>4.4020000000000001</v>
      </c>
      <c r="AJ358">
        <f>Model!AR472</f>
        <v>4.2679999999999998</v>
      </c>
      <c r="AK358">
        <f>Model!AS472</f>
        <v>4.5270000000000001</v>
      </c>
      <c r="AL358">
        <f>Model!AT472</f>
        <v>4.6970000000000001</v>
      </c>
      <c r="AM358">
        <f>Model!AU472</f>
        <v>4.7770000000000001</v>
      </c>
      <c r="AN358">
        <f>Model!AV472</f>
        <v>5.1369999999999996</v>
      </c>
      <c r="AO358">
        <f>Model!AW472</f>
        <v>4.6079999999999997</v>
      </c>
      <c r="AP358">
        <f>Model!AX472</f>
        <v>4.8949999999999996</v>
      </c>
      <c r="AQ358">
        <f>Model!AY472</f>
        <v>5.3470000000000004</v>
      </c>
      <c r="AR358">
        <f>Model!AZ472</f>
        <v>6.1479999999999997</v>
      </c>
      <c r="AS358">
        <f>Model!BA472</f>
        <v>6.67</v>
      </c>
      <c r="AT358">
        <f>Model!BB472</f>
        <v>8.2390000000000008</v>
      </c>
      <c r="AU358">
        <f>Model!BC472</f>
        <v>8.548</v>
      </c>
      <c r="AV358">
        <f>Model!BD472</f>
        <v>10.356999999999999</v>
      </c>
      <c r="AW358">
        <f>Model!BE472</f>
        <v>10.734999999999999</v>
      </c>
      <c r="AX358">
        <f>Model!BF472</f>
        <v>10.44</v>
      </c>
      <c r="AY358">
        <f>Model!BG472</f>
        <v>10.798999999999999</v>
      </c>
      <c r="AZ358">
        <f>Model!BH472</f>
        <v>11.711</v>
      </c>
      <c r="BA358">
        <f>Model!BI472</f>
        <v>13.222</v>
      </c>
      <c r="BB358">
        <f>Model!BJ472</f>
        <v>16.959</v>
      </c>
      <c r="BC358">
        <f>Model!BK472</f>
        <v>18.536000000000001</v>
      </c>
      <c r="BD358">
        <f>Model!BL472</f>
        <v>23.172999999999998</v>
      </c>
      <c r="BE358">
        <f>Model!BM472</f>
        <v>23.224</v>
      </c>
      <c r="BF358">
        <f>Model!BN472</f>
        <v>24.042000000000002</v>
      </c>
      <c r="BG358">
        <f>Model!BO472</f>
        <v>24.802</v>
      </c>
      <c r="BH358">
        <f>Model!BP472</f>
        <v>25.43</v>
      </c>
      <c r="BI358">
        <f>Model!BQ472</f>
        <v>25.361000000000001</v>
      </c>
      <c r="BJ358">
        <f>Model!BR472</f>
        <v>27.155999999999999</v>
      </c>
      <c r="BK358">
        <f>Model!BS472</f>
        <v>28.83</v>
      </c>
      <c r="BL358">
        <f>Model!BT472</f>
        <v>32.270000000000003</v>
      </c>
      <c r="BM358">
        <f>Model!BU472</f>
        <v>32.787999999999997</v>
      </c>
      <c r="BN358">
        <f>Model!BV472</f>
        <v>35.796999999999997</v>
      </c>
      <c r="BO358">
        <f>Model!BW472</f>
        <v>36.389000000000003</v>
      </c>
      <c r="BP358">
        <f>Model!BX472</f>
        <v>37.418999999999997</v>
      </c>
      <c r="BQ358">
        <f>Model!BY472</f>
        <v>39.945</v>
      </c>
      <c r="BR358">
        <f>Model!BZ472</f>
        <v>44.831000000000003</v>
      </c>
      <c r="BS358">
        <f>Model!CA472</f>
        <v>47.901000000000003</v>
      </c>
      <c r="BT358">
        <f>Model!CB472</f>
        <v>56.667000000000002</v>
      </c>
      <c r="BU358">
        <f>Model!CC472</f>
        <v>49.970519509452046</v>
      </c>
      <c r="BV358">
        <f>Model!CD472</f>
        <v>56.772743139529744</v>
      </c>
      <c r="BW358">
        <f>Model!CE472</f>
        <v>58.551201697556394</v>
      </c>
      <c r="BX358">
        <f>Model!CF472</f>
        <v>71.635579346910561</v>
      </c>
      <c r="BY358">
        <f>Model!CG472</f>
        <v>0</v>
      </c>
      <c r="BZ358">
        <f>Model!CH472</f>
        <v>0</v>
      </c>
      <c r="CA358">
        <f>Model!CI472</f>
        <v>0</v>
      </c>
      <c r="CB358">
        <f>Model!CJ472</f>
        <v>0</v>
      </c>
      <c r="CC358">
        <f>Model!CK472</f>
        <v>0</v>
      </c>
      <c r="CD358">
        <f>Model!CL472</f>
        <v>0</v>
      </c>
      <c r="CE358">
        <f>Model!CM472</f>
        <v>9.7489999999999988</v>
      </c>
      <c r="CF358">
        <f>Model!CN472</f>
        <v>13.779</v>
      </c>
      <c r="CG358">
        <f>Model!CO472</f>
        <v>17.955000000000002</v>
      </c>
      <c r="CH358">
        <f>Model!CP472</f>
        <v>19.138000000000002</v>
      </c>
      <c r="CI358">
        <f>Model!CQ472</f>
        <v>20.998000000000001</v>
      </c>
      <c r="CJ358">
        <f>Model!CR472</f>
        <v>33.814</v>
      </c>
      <c r="CK358">
        <f>Model!CS472</f>
        <v>43.684999999999995</v>
      </c>
      <c r="CL358">
        <f>Model!CT472</f>
        <v>71.89</v>
      </c>
      <c r="CM358">
        <f>Model!CU472</f>
        <v>97.498000000000019</v>
      </c>
      <c r="CN358">
        <f>Model!CV472</f>
        <v>113.61699999999999</v>
      </c>
      <c r="CO358">
        <f>Model!CW472</f>
        <v>142.39299999999997</v>
      </c>
      <c r="CP358">
        <f>Model!CX472</f>
        <v>189.34400000000002</v>
      </c>
      <c r="CQ358">
        <f>Model!CY472</f>
        <v>236.93004369344874</v>
      </c>
      <c r="CR358">
        <f>Model!DG472</f>
        <v>0</v>
      </c>
      <c r="CS358">
        <f>Model!DH472</f>
        <v>0</v>
      </c>
      <c r="CT358">
        <f>Model!DI472</f>
        <v>0</v>
      </c>
      <c r="CU358">
        <f>Model!DJ472</f>
        <v>0</v>
      </c>
    </row>
    <row r="359" spans="1:99">
      <c r="A359" t="str">
        <f>Model!I473</f>
        <v>DRIVER: % of Total Gross Profit</v>
      </c>
      <c r="B359">
        <f>Model!J473</f>
        <v>0</v>
      </c>
      <c r="C359">
        <f>Model!K473</f>
        <v>0</v>
      </c>
      <c r="D359">
        <f>Model!L473</f>
        <v>0</v>
      </c>
      <c r="E359">
        <f>Model!M473</f>
        <v>0</v>
      </c>
      <c r="F359">
        <f>Model!N473</f>
        <v>0</v>
      </c>
      <c r="G359">
        <f>Model!O473</f>
        <v>0</v>
      </c>
      <c r="H359">
        <f>Model!P473</f>
        <v>0</v>
      </c>
      <c r="I359">
        <f>Model!Q473</f>
        <v>0</v>
      </c>
      <c r="J359">
        <f>Model!R473</f>
        <v>0</v>
      </c>
      <c r="K359">
        <f>Model!S473</f>
        <v>0</v>
      </c>
      <c r="L359">
        <f>Model!T473</f>
        <v>0</v>
      </c>
      <c r="M359">
        <f>Model!U473</f>
        <v>0</v>
      </c>
      <c r="N359">
        <f>Model!V473</f>
        <v>0</v>
      </c>
      <c r="O359">
        <f>Model!W473</f>
        <v>0</v>
      </c>
      <c r="P359">
        <f>Model!X473</f>
        <v>0</v>
      </c>
      <c r="Q359">
        <f>Model!Y473</f>
        <v>0</v>
      </c>
      <c r="R359">
        <f>Model!Z473</f>
        <v>0</v>
      </c>
      <c r="S359">
        <f>Model!AA473</f>
        <v>0</v>
      </c>
      <c r="T359">
        <f>Model!AB473</f>
        <v>0</v>
      </c>
      <c r="U359">
        <f>Model!AC473</f>
        <v>0</v>
      </c>
      <c r="V359">
        <f>Model!AD473</f>
        <v>0</v>
      </c>
      <c r="W359">
        <f>Model!AE473</f>
        <v>0</v>
      </c>
      <c r="X359">
        <f>Model!AF473</f>
        <v>0</v>
      </c>
      <c r="Y359">
        <f>Model!AG473</f>
        <v>3.1939195082443826E-2</v>
      </c>
      <c r="Z359">
        <f>Model!AH473</f>
        <v>2.2040754602850553E-2</v>
      </c>
      <c r="AA359">
        <f>Model!AI473</f>
        <v>2.0855134074558534E-2</v>
      </c>
      <c r="AB359">
        <f>Model!AJ473</f>
        <v>2.5714199583990686E-2</v>
      </c>
      <c r="AC359">
        <f>Model!AK473</f>
        <v>2.8033783068018753E-2</v>
      </c>
      <c r="AD359">
        <f>Model!AL473</f>
        <v>2.0349531612145165E-2</v>
      </c>
      <c r="AE359">
        <f>Model!AM473</f>
        <v>1.6522431065926626E-2</v>
      </c>
      <c r="AF359">
        <f>Model!AN473</f>
        <v>2.7305309955542232E-2</v>
      </c>
      <c r="AG359">
        <f>Model!AO473</f>
        <v>2.2909614970486408E-2</v>
      </c>
      <c r="AH359">
        <f>Model!AP473</f>
        <v>2.0242388412651493E-2</v>
      </c>
      <c r="AI359">
        <f>Model!AQ473</f>
        <v>1.3926942083915995E-2</v>
      </c>
      <c r="AJ359">
        <f>Model!AR473</f>
        <v>2.0812912978811597E-2</v>
      </c>
      <c r="AK359">
        <f>Model!AS473</f>
        <v>2.1729947679162868E-2</v>
      </c>
      <c r="AL359">
        <f>Model!AT473</f>
        <v>1.5387992320746434E-2</v>
      </c>
      <c r="AM359">
        <f>Model!AU473</f>
        <v>1.1006760275203569E-2</v>
      </c>
      <c r="AN359">
        <f>Model!AV473</f>
        <v>1.6402236349297064E-2</v>
      </c>
      <c r="AO359">
        <f>Model!AW473</f>
        <v>1.44398901966683E-2</v>
      </c>
      <c r="AP359">
        <f>Model!AX473</f>
        <v>1.0970810248686642E-2</v>
      </c>
      <c r="AQ359">
        <f>Model!AY473</f>
        <v>8.001999377439362E-3</v>
      </c>
      <c r="AR359">
        <f>Model!AZ473</f>
        <v>1.2803905316078187E-2</v>
      </c>
      <c r="AS359">
        <f>Model!BA473</f>
        <v>1.3186821877075885E-2</v>
      </c>
      <c r="AT359">
        <f>Model!BB473</f>
        <v>1.0996667231693465E-2</v>
      </c>
      <c r="AU359">
        <f>Model!BC473</f>
        <v>7.7698636910670188E-3</v>
      </c>
      <c r="AV359">
        <f>Model!BD473</f>
        <v>1.4291490098620525E-2</v>
      </c>
      <c r="AW359">
        <f>Model!BE473</f>
        <v>1.4442584839254769E-2</v>
      </c>
      <c r="AX359">
        <f>Model!BF473</f>
        <v>1.0396935891537252E-2</v>
      </c>
      <c r="AY359">
        <f>Model!BG473</f>
        <v>7.7328981504488714E-3</v>
      </c>
      <c r="AZ359">
        <f>Model!BH473</f>
        <v>1.2461824953445064E-2</v>
      </c>
      <c r="BA359">
        <f>Model!BI473</f>
        <v>1.3095432643500568E-2</v>
      </c>
      <c r="BB359">
        <f>Model!BJ473</f>
        <v>1.2254896647408869E-2</v>
      </c>
      <c r="BC359">
        <f>Model!BK473</f>
        <v>9.3189513665968698E-3</v>
      </c>
      <c r="BD359">
        <f>Model!BL473</f>
        <v>1.7380171469158125E-2</v>
      </c>
      <c r="BE359">
        <f>Model!BM473</f>
        <v>1.6512249452708228E-2</v>
      </c>
      <c r="BF359">
        <f>Model!BN473</f>
        <v>1.2767950648859584E-2</v>
      </c>
      <c r="BG359">
        <f>Model!BO473</f>
        <v>9.466491703365448E-3</v>
      </c>
      <c r="BH359">
        <f>Model!BP473</f>
        <v>1.5184945228505659E-2</v>
      </c>
      <c r="BI359">
        <f>Model!BQ473</f>
        <v>1.5165921556526712E-2</v>
      </c>
      <c r="BJ359">
        <f>Model!BR473</f>
        <v>1.297526023624568E-2</v>
      </c>
      <c r="BK359">
        <f>Model!BS473</f>
        <v>9.7818939619622423E-3</v>
      </c>
      <c r="BL359">
        <f>Model!BT473</f>
        <v>1.7170528838453901E-2</v>
      </c>
      <c r="BM359">
        <f>Model!BU473</f>
        <v>1.6236103889672931E-2</v>
      </c>
      <c r="BN359">
        <f>Model!BV473</f>
        <v>1.473237913292271E-2</v>
      </c>
      <c r="BO359">
        <f>Model!BW473</f>
        <v>1.0138857969336288E-2</v>
      </c>
      <c r="BP359">
        <f>Model!BX473</f>
        <v>1.6438078143141618E-2</v>
      </c>
      <c r="BQ359">
        <f>Model!BY473</f>
        <v>1.7112672888548067E-2</v>
      </c>
      <c r="BR359">
        <f>Model!BZ473</f>
        <v>1.5187610059441416E-2</v>
      </c>
      <c r="BS359">
        <f>Model!CA473</f>
        <v>1.0949918768843355E-2</v>
      </c>
      <c r="BT359">
        <f>Model!CB473</f>
        <v>2.0457821695247885E-2</v>
      </c>
      <c r="BU359">
        <f>Model!CC473</f>
        <v>1.7862672888548068E-2</v>
      </c>
      <c r="BV359">
        <f>Model!CD473</f>
        <v>1.5937610059441415E-2</v>
      </c>
      <c r="BW359">
        <f>Model!CE473</f>
        <v>1.1699918768843355E-2</v>
      </c>
      <c r="BX359">
        <f>Model!CF473</f>
        <v>2.1207821695247885E-2</v>
      </c>
      <c r="BY359">
        <f>Model!CG473</f>
        <v>0</v>
      </c>
      <c r="BZ359">
        <f>Model!CH473</f>
        <v>0</v>
      </c>
      <c r="CA359">
        <f>Model!CI473</f>
        <v>0</v>
      </c>
      <c r="CB359">
        <f>Model!CJ473</f>
        <v>0</v>
      </c>
      <c r="CC359">
        <f>Model!CK473</f>
        <v>0</v>
      </c>
      <c r="CD359">
        <f>Model!CL473</f>
        <v>0</v>
      </c>
      <c r="CE359">
        <f>Model!CM473</f>
        <v>2.4380301696542879E-2</v>
      </c>
      <c r="CF359">
        <f>Model!CN473</f>
        <v>2.2180726479560226E-2</v>
      </c>
      <c r="CG359">
        <f>Model!CO473</f>
        <v>1.8781950498498384E-2</v>
      </c>
      <c r="CH359">
        <f>Model!CP473</f>
        <v>1.5179696739196821E-2</v>
      </c>
      <c r="CI359">
        <f>Model!CQ473</f>
        <v>1.0972610799958616E-2</v>
      </c>
      <c r="CJ359">
        <f>Model!CR473</f>
        <v>1.0978999181786301E-2</v>
      </c>
      <c r="CK359">
        <f>Model!CS473</f>
        <v>1.0697456534925227E-2</v>
      </c>
      <c r="CL359">
        <f>Model!CT473</f>
        <v>1.2577227747369349E-2</v>
      </c>
      <c r="CM359">
        <f>Model!CU473</f>
        <v>1.2855528584030078E-2</v>
      </c>
      <c r="CN359">
        <f>Model!CV473</f>
        <v>1.3223877119213689E-2</v>
      </c>
      <c r="CO359">
        <f>Model!CW473</f>
        <v>1.3804871730537372E-2</v>
      </c>
      <c r="CP359">
        <f>Model!CX473</f>
        <v>1.5232155951327963E-2</v>
      </c>
      <c r="CQ359">
        <f>Model!CY473</f>
        <v>1.6071911351426226E-2</v>
      </c>
      <c r="CR359">
        <f>Model!DG473</f>
        <v>0</v>
      </c>
      <c r="CS359">
        <f>Model!DH473</f>
        <v>0</v>
      </c>
      <c r="CT359">
        <f>Model!DI473</f>
        <v>0</v>
      </c>
      <c r="CU359">
        <f>Model!DJ473</f>
        <v>0</v>
      </c>
    </row>
    <row r="360" spans="1:99">
      <c r="A360" t="str">
        <f>Model!I474</f>
        <v>% change Y/Y (in bp)</v>
      </c>
      <c r="B360">
        <f>Model!J474</f>
        <v>0</v>
      </c>
      <c r="C360">
        <f>Model!K474</f>
        <v>0</v>
      </c>
      <c r="D360">
        <f>Model!L474</f>
        <v>0</v>
      </c>
      <c r="E360">
        <f>Model!M474</f>
        <v>0</v>
      </c>
      <c r="F360">
        <f>Model!N474</f>
        <v>0</v>
      </c>
      <c r="G360">
        <f>Model!O474</f>
        <v>0</v>
      </c>
      <c r="H360">
        <f>Model!P474</f>
        <v>0</v>
      </c>
      <c r="I360">
        <f>Model!Q474</f>
        <v>0</v>
      </c>
      <c r="J360">
        <f>Model!R474</f>
        <v>0</v>
      </c>
      <c r="K360">
        <f>Model!S474</f>
        <v>0</v>
      </c>
      <c r="L360">
        <f>Model!T474</f>
        <v>0</v>
      </c>
      <c r="M360">
        <f>Model!U474</f>
        <v>0</v>
      </c>
      <c r="N360">
        <f>Model!V474</f>
        <v>0</v>
      </c>
      <c r="O360">
        <f>Model!W474</f>
        <v>0</v>
      </c>
      <c r="P360">
        <f>Model!X474</f>
        <v>0</v>
      </c>
      <c r="Q360">
        <f>Model!Y474</f>
        <v>0</v>
      </c>
      <c r="R360">
        <f>Model!Z474</f>
        <v>0</v>
      </c>
      <c r="S360">
        <f>Model!AA474</f>
        <v>0</v>
      </c>
      <c r="T360">
        <f>Model!AB474</f>
        <v>0</v>
      </c>
      <c r="U360">
        <f>Model!AC474</f>
        <v>0</v>
      </c>
      <c r="V360">
        <f>Model!AD474</f>
        <v>0</v>
      </c>
      <c r="W360">
        <f>Model!AE474</f>
        <v>0</v>
      </c>
      <c r="X360">
        <f>Model!AF474</f>
        <v>0</v>
      </c>
      <c r="Y360">
        <f>Model!AG474</f>
        <v>0</v>
      </c>
      <c r="Z360">
        <f>Model!AH474</f>
        <v>0</v>
      </c>
      <c r="AA360">
        <f>Model!AI474</f>
        <v>0</v>
      </c>
      <c r="AB360">
        <f>Model!AJ474</f>
        <v>0</v>
      </c>
      <c r="AC360">
        <f>Model!AK474</f>
        <v>-39.054120144250724</v>
      </c>
      <c r="AD360">
        <f>Model!AL474</f>
        <v>-16.912229907053884</v>
      </c>
      <c r="AE360">
        <f>Model!AM474</f>
        <v>-43.327030086319077</v>
      </c>
      <c r="AF360">
        <f>Model!AN474</f>
        <v>15.911103715515463</v>
      </c>
      <c r="AG360">
        <f>Model!AO474</f>
        <v>-51.241680975323455</v>
      </c>
      <c r="AH360">
        <f>Model!AP474</f>
        <v>-1.071431994936721</v>
      </c>
      <c r="AI360">
        <f>Model!AQ474</f>
        <v>-25.954889820106306</v>
      </c>
      <c r="AJ360">
        <f>Model!AR474</f>
        <v>-64.923969767306346</v>
      </c>
      <c r="AK360">
        <f>Model!AS474</f>
        <v>-11.796672913235405</v>
      </c>
      <c r="AL360">
        <f>Model!AT474</f>
        <v>-48.543960919050583</v>
      </c>
      <c r="AM360">
        <f>Model!AU474</f>
        <v>-29.201818087124259</v>
      </c>
      <c r="AN360">
        <f>Model!AV474</f>
        <v>-44.106766295145327</v>
      </c>
      <c r="AO360">
        <f>Model!AW474</f>
        <v>-72.900574824945679</v>
      </c>
      <c r="AP360">
        <f>Model!AX474</f>
        <v>-44.171820720597928</v>
      </c>
      <c r="AQ360">
        <f>Model!AY474</f>
        <v>-30.047608977642071</v>
      </c>
      <c r="AR360">
        <f>Model!AZ474</f>
        <v>-35.983310332188772</v>
      </c>
      <c r="AS360">
        <f>Model!BA474</f>
        <v>-12.530683195924146</v>
      </c>
      <c r="AT360">
        <f>Model!BB474</f>
        <v>0.25856983006822959</v>
      </c>
      <c r="AU360">
        <f>Model!BC474</f>
        <v>-2.3213568637234316</v>
      </c>
      <c r="AV360">
        <f>Model!BD474</f>
        <v>14.875847825423383</v>
      </c>
      <c r="AW360">
        <f>Model!BE474</f>
        <v>12.557629621788839</v>
      </c>
      <c r="AX360">
        <f>Model!BF474</f>
        <v>-5.9973134015621312</v>
      </c>
      <c r="AY360">
        <f>Model!BG474</f>
        <v>-0.36965540618147386</v>
      </c>
      <c r="AZ360">
        <f>Model!BH474</f>
        <v>-18.296651451754613</v>
      </c>
      <c r="BA360">
        <f>Model!BI474</f>
        <v>-13.471521957542018</v>
      </c>
      <c r="BB360">
        <f>Model!BJ474</f>
        <v>18.579607558716177</v>
      </c>
      <c r="BC360">
        <f>Model!BK474</f>
        <v>15.860532161479984</v>
      </c>
      <c r="BD360">
        <f>Model!BL474</f>
        <v>49.183465157130613</v>
      </c>
      <c r="BE360">
        <f>Model!BM474</f>
        <v>34.168168092076606</v>
      </c>
      <c r="BF360">
        <f>Model!BN474</f>
        <v>5.1305400145071518</v>
      </c>
      <c r="BG360">
        <f>Model!BO474</f>
        <v>1.4754033676857812</v>
      </c>
      <c r="BH360">
        <f>Model!BP474</f>
        <v>-21.952262406524664</v>
      </c>
      <c r="BI360">
        <f>Model!BQ474</f>
        <v>-13.463278961815158</v>
      </c>
      <c r="BJ360">
        <f>Model!BR474</f>
        <v>2.0730958738609564</v>
      </c>
      <c r="BK360">
        <f>Model!BS474</f>
        <v>3.1540225859679438</v>
      </c>
      <c r="BL360">
        <f>Model!BT474</f>
        <v>19.855836099482421</v>
      </c>
      <c r="BM360">
        <f>Model!BU474</f>
        <v>10.701823331462183</v>
      </c>
      <c r="BN360">
        <f>Model!BV474</f>
        <v>17.571188966770297</v>
      </c>
      <c r="BO360">
        <f>Model!BW474</f>
        <v>3.5696400737404534</v>
      </c>
      <c r="BP360">
        <f>Model!BX474</f>
        <v>-7.3245069531228255</v>
      </c>
      <c r="BQ360">
        <f>Model!BY474</f>
        <v>8.7656899887513653</v>
      </c>
      <c r="BR360">
        <f>Model!BZ474</f>
        <v>4.5523092651870645</v>
      </c>
      <c r="BS360">
        <f>Model!CA474</f>
        <v>8.1106079950706711</v>
      </c>
      <c r="BT360">
        <f>Model!CB474</f>
        <v>40.197435521062658</v>
      </c>
      <c r="BU360">
        <f>Model!CC474</f>
        <v>7.5000000000000071</v>
      </c>
      <c r="BV360">
        <f>Model!CD474</f>
        <v>7.4999999999999893</v>
      </c>
      <c r="BW360">
        <f>Model!CE474</f>
        <v>7.5000000000000071</v>
      </c>
      <c r="BX360">
        <f>Model!CF474</f>
        <v>7.5000000000000071</v>
      </c>
      <c r="BY360">
        <f>Model!CG474</f>
        <v>0</v>
      </c>
      <c r="BZ360">
        <f>Model!CH474</f>
        <v>0</v>
      </c>
      <c r="CA360">
        <f>Model!CI474</f>
        <v>0</v>
      </c>
      <c r="CB360">
        <f>Model!CJ474</f>
        <v>0</v>
      </c>
      <c r="CC360">
        <f>Model!CK474</f>
        <v>0</v>
      </c>
      <c r="CD360">
        <f>Model!CL474</f>
        <v>0</v>
      </c>
      <c r="CE360">
        <f>Model!CM474</f>
        <v>0</v>
      </c>
      <c r="CF360">
        <f>Model!CN474</f>
        <v>-21.995752169826527</v>
      </c>
      <c r="CG360">
        <f>Model!CO474</f>
        <v>-33.987759810618428</v>
      </c>
      <c r="CH360">
        <f>Model!CP474</f>
        <v>-36.02253759301562</v>
      </c>
      <c r="CI360">
        <f>Model!CQ474</f>
        <v>-42.070859392382054</v>
      </c>
      <c r="CJ360">
        <f>Model!CR474</f>
        <v>6.3883818276853216E-2</v>
      </c>
      <c r="CK360">
        <f>Model!CS474</f>
        <v>-2.8154264686107435</v>
      </c>
      <c r="CL360">
        <f>Model!CT474</f>
        <v>18.797712124441219</v>
      </c>
      <c r="CM360">
        <f>Model!CU474</f>
        <v>2.7830083666072896</v>
      </c>
      <c r="CN360">
        <f>Model!CV474</f>
        <v>3.6834853518361195</v>
      </c>
      <c r="CO360">
        <f>Model!CW474</f>
        <v>5.8099461132368226</v>
      </c>
      <c r="CP360">
        <f>Model!CX474</f>
        <v>14.272842207905915</v>
      </c>
      <c r="CQ360">
        <f>Model!CY474</f>
        <v>8.3975540009826286</v>
      </c>
      <c r="CR360">
        <f>Model!DG474</f>
        <v>0</v>
      </c>
      <c r="CS360">
        <f>Model!DH474</f>
        <v>0</v>
      </c>
      <c r="CT360">
        <f>Model!DI474</f>
        <v>0</v>
      </c>
      <c r="CU360">
        <f>Model!DJ474</f>
        <v>0</v>
      </c>
    </row>
    <row r="361" spans="1:99">
      <c r="A361" t="str">
        <f>Model!I476</f>
        <v>Period-to-period change Q/Q</v>
      </c>
      <c r="B361">
        <f>Model!J476</f>
        <v>0</v>
      </c>
      <c r="C361">
        <f>Model!K476</f>
        <v>0</v>
      </c>
      <c r="D361">
        <f>Model!L476</f>
        <v>0</v>
      </c>
      <c r="E361">
        <f>Model!M476</f>
        <v>0</v>
      </c>
      <c r="F361">
        <f>Model!N476</f>
        <v>0</v>
      </c>
      <c r="G361">
        <f>Model!O476</f>
        <v>0</v>
      </c>
      <c r="H361">
        <f>Model!P476</f>
        <v>0</v>
      </c>
      <c r="I361">
        <f>Model!Q476</f>
        <v>0</v>
      </c>
      <c r="J361">
        <f>Model!R476</f>
        <v>0</v>
      </c>
      <c r="K361">
        <f>Model!S476</f>
        <v>0</v>
      </c>
      <c r="L361">
        <f>Model!T476</f>
        <v>0</v>
      </c>
      <c r="M361">
        <f>Model!U476</f>
        <v>0</v>
      </c>
      <c r="N361">
        <f>Model!V476</f>
        <v>0</v>
      </c>
      <c r="O361">
        <f>Model!W476</f>
        <v>0</v>
      </c>
      <c r="P361">
        <f>Model!X476</f>
        <v>0</v>
      </c>
      <c r="Q361">
        <f>Model!Y476</f>
        <v>0</v>
      </c>
      <c r="R361">
        <f>Model!Z476</f>
        <v>0</v>
      </c>
      <c r="S361">
        <f>Model!AA476</f>
        <v>0</v>
      </c>
      <c r="T361">
        <f>Model!AB476</f>
        <v>0</v>
      </c>
      <c r="U361">
        <f>Model!AC476</f>
        <v>0</v>
      </c>
      <c r="V361">
        <f>Model!AD476</f>
        <v>0</v>
      </c>
      <c r="W361">
        <f>Model!AE476</f>
        <v>0</v>
      </c>
      <c r="X361">
        <f>Model!AF476</f>
        <v>0</v>
      </c>
      <c r="Y361">
        <f>Model!AG476</f>
        <v>0</v>
      </c>
      <c r="Z361">
        <f>Model!AH476</f>
        <v>0</v>
      </c>
      <c r="AA361">
        <f>Model!AI476</f>
        <v>0</v>
      </c>
      <c r="AB361">
        <f>Model!AJ476</f>
        <v>0</v>
      </c>
      <c r="AC361">
        <f>Model!AK476</f>
        <v>0.35199999999999987</v>
      </c>
      <c r="AD361">
        <f>Model!AL476</f>
        <v>0.2410000000000001</v>
      </c>
      <c r="AE361">
        <f>Model!AM476</f>
        <v>0.19099999999999984</v>
      </c>
      <c r="AF361">
        <f>Model!AN476</f>
        <v>1.0300000000000002</v>
      </c>
      <c r="AG361">
        <f>Model!AO476</f>
        <v>-0.2240000000000002</v>
      </c>
      <c r="AH361">
        <f>Model!AP476</f>
        <v>0.9870000000000001</v>
      </c>
      <c r="AI361">
        <f>Model!AQ476</f>
        <v>-0.73399999999999999</v>
      </c>
      <c r="AJ361">
        <f>Model!AR476</f>
        <v>-0.13400000000000034</v>
      </c>
      <c r="AK361">
        <f>Model!AS476</f>
        <v>0.25900000000000034</v>
      </c>
      <c r="AL361">
        <f>Model!AT476</f>
        <v>0.16999999999999993</v>
      </c>
      <c r="AM361">
        <f>Model!AU476</f>
        <v>8.0000000000000071E-2</v>
      </c>
      <c r="AN361">
        <f>Model!AV476</f>
        <v>0.35999999999999943</v>
      </c>
      <c r="AO361">
        <f>Model!AW476</f>
        <v>-0.52899999999999991</v>
      </c>
      <c r="AP361">
        <f>Model!AX476</f>
        <v>0.28699999999999992</v>
      </c>
      <c r="AQ361">
        <f>Model!AY476</f>
        <v>0.45200000000000085</v>
      </c>
      <c r="AR361">
        <f>Model!AZ476</f>
        <v>0.80099999999999927</v>
      </c>
      <c r="AS361">
        <f>Model!BA476</f>
        <v>0.52200000000000024</v>
      </c>
      <c r="AT361">
        <f>Model!BB476</f>
        <v>1.5690000000000008</v>
      </c>
      <c r="AU361">
        <f>Model!BC476</f>
        <v>0.30899999999999928</v>
      </c>
      <c r="AV361">
        <f>Model!BD476</f>
        <v>1.8089999999999993</v>
      </c>
      <c r="AW361">
        <f>Model!BE476</f>
        <v>0.37800000000000011</v>
      </c>
      <c r="AX361">
        <f>Model!BF476</f>
        <v>-0.29499999999999993</v>
      </c>
      <c r="AY361">
        <f>Model!BG476</f>
        <v>0.35899999999999999</v>
      </c>
      <c r="AZ361">
        <f>Model!BH476</f>
        <v>0.91200000000000081</v>
      </c>
      <c r="BA361">
        <f>Model!BI476</f>
        <v>1.5109999999999992</v>
      </c>
      <c r="BB361">
        <f>Model!BJ476</f>
        <v>3.7370000000000001</v>
      </c>
      <c r="BC361">
        <f>Model!BK476</f>
        <v>1.5770000000000017</v>
      </c>
      <c r="BD361">
        <f>Model!BL476</f>
        <v>4.6369999999999969</v>
      </c>
      <c r="BE361">
        <f>Model!BM476</f>
        <v>5.1000000000001933E-2</v>
      </c>
      <c r="BF361">
        <f>Model!BN476</f>
        <v>0.81800000000000139</v>
      </c>
      <c r="BG361">
        <f>Model!BO476</f>
        <v>0.75999999999999801</v>
      </c>
      <c r="BH361">
        <f>Model!BP476</f>
        <v>0.62800000000000011</v>
      </c>
      <c r="BI361">
        <f>Model!BQ476</f>
        <v>-6.8999999999999062E-2</v>
      </c>
      <c r="BJ361">
        <f>Model!BR476</f>
        <v>1.7949999999999982</v>
      </c>
      <c r="BK361">
        <f>Model!BS476</f>
        <v>1.6739999999999995</v>
      </c>
      <c r="BL361">
        <f>Model!BT476</f>
        <v>3.4400000000000048</v>
      </c>
      <c r="BM361">
        <f>Model!BU476</f>
        <v>0.51799999999999358</v>
      </c>
      <c r="BN361">
        <f>Model!BV476</f>
        <v>3.0090000000000003</v>
      </c>
      <c r="BO361">
        <f>Model!BW476</f>
        <v>0.59200000000000585</v>
      </c>
      <c r="BP361">
        <f>Model!BX476</f>
        <v>1.029999999999994</v>
      </c>
      <c r="BQ361">
        <f>Model!BY476</f>
        <v>2.5260000000000034</v>
      </c>
      <c r="BR361">
        <f>Model!BZ476</f>
        <v>4.8860000000000028</v>
      </c>
      <c r="BS361">
        <f>Model!CA476</f>
        <v>3.0700000000000003</v>
      </c>
      <c r="BT361">
        <f>Model!CB476</f>
        <v>8.7659999999999982</v>
      </c>
      <c r="BU361">
        <f>Model!CC476</f>
        <v>-6.6964804905479554</v>
      </c>
      <c r="BV361">
        <f>Model!CD476</f>
        <v>6.8022236300776981</v>
      </c>
      <c r="BW361">
        <f>Model!CE476</f>
        <v>1.7784585580266494</v>
      </c>
      <c r="BX361">
        <f>Model!CF476</f>
        <v>13.084377649354167</v>
      </c>
      <c r="BY361">
        <f>Model!CG476</f>
        <v>0</v>
      </c>
      <c r="BZ361">
        <f>Model!CH476</f>
        <v>0</v>
      </c>
      <c r="CA361">
        <f>Model!CI476</f>
        <v>0</v>
      </c>
      <c r="CB361">
        <f>Model!CJ476</f>
        <v>0</v>
      </c>
      <c r="CC361">
        <f>Model!CK476</f>
        <v>0</v>
      </c>
      <c r="CD361">
        <f>Model!CL476</f>
        <v>0</v>
      </c>
      <c r="CE361">
        <f>Model!CM476</f>
        <v>0</v>
      </c>
      <c r="CF361">
        <f>Model!CN476</f>
        <v>0</v>
      </c>
      <c r="CG361">
        <f>Model!CO476</f>
        <v>0</v>
      </c>
      <c r="CH361">
        <f>Model!CP476</f>
        <v>0</v>
      </c>
      <c r="CI361">
        <f>Model!CQ476</f>
        <v>0</v>
      </c>
      <c r="CJ361">
        <f>Model!CR476</f>
        <v>0</v>
      </c>
      <c r="CK361">
        <f>Model!CS476</f>
        <v>0</v>
      </c>
      <c r="CL361">
        <f>Model!CT476</f>
        <v>0</v>
      </c>
      <c r="CM361">
        <f>Model!CU476</f>
        <v>0</v>
      </c>
      <c r="CN361">
        <f>Model!CV476</f>
        <v>0</v>
      </c>
      <c r="CO361">
        <f>Model!CW476</f>
        <v>0</v>
      </c>
      <c r="CP361">
        <f>Model!CX476</f>
        <v>0</v>
      </c>
      <c r="CQ361">
        <f>Model!CY476</f>
        <v>0</v>
      </c>
      <c r="CR361">
        <f>Model!DG476</f>
        <v>0</v>
      </c>
      <c r="CS361">
        <f>Model!DH476</f>
        <v>0</v>
      </c>
      <c r="CT361">
        <f>Model!DI476</f>
        <v>0</v>
      </c>
      <c r="CU361">
        <f>Model!DJ476</f>
        <v>0</v>
      </c>
    </row>
    <row r="362" spans="1:99">
      <c r="A362">
        <f>Model!I477</f>
        <v>0</v>
      </c>
      <c r="B362">
        <f>Model!J477</f>
        <v>0</v>
      </c>
      <c r="C362">
        <f>Model!K477</f>
        <v>0</v>
      </c>
      <c r="D362">
        <f>Model!L477</f>
        <v>0</v>
      </c>
      <c r="E362">
        <f>Model!M477</f>
        <v>0</v>
      </c>
      <c r="F362">
        <f>Model!N477</f>
        <v>0</v>
      </c>
      <c r="G362">
        <f>Model!O477</f>
        <v>0</v>
      </c>
      <c r="H362">
        <f>Model!P477</f>
        <v>0</v>
      </c>
      <c r="I362">
        <f>Model!Q477</f>
        <v>0</v>
      </c>
      <c r="J362">
        <f>Model!R477</f>
        <v>0</v>
      </c>
      <c r="K362">
        <f>Model!S477</f>
        <v>0</v>
      </c>
      <c r="L362">
        <f>Model!T477</f>
        <v>0</v>
      </c>
      <c r="M362">
        <f>Model!U477</f>
        <v>0</v>
      </c>
      <c r="N362">
        <f>Model!V477</f>
        <v>0</v>
      </c>
      <c r="O362">
        <f>Model!W477</f>
        <v>0</v>
      </c>
      <c r="P362">
        <f>Model!X477</f>
        <v>0</v>
      </c>
      <c r="Q362">
        <f>Model!Y477</f>
        <v>0</v>
      </c>
      <c r="R362">
        <f>Model!Z477</f>
        <v>0</v>
      </c>
      <c r="S362">
        <f>Model!AA477</f>
        <v>0</v>
      </c>
      <c r="T362">
        <f>Model!AB477</f>
        <v>0</v>
      </c>
      <c r="U362">
        <f>Model!AC477</f>
        <v>0</v>
      </c>
      <c r="V362">
        <f>Model!AD477</f>
        <v>0</v>
      </c>
      <c r="W362">
        <f>Model!AE477</f>
        <v>0</v>
      </c>
      <c r="X362">
        <f>Model!AF477</f>
        <v>0</v>
      </c>
      <c r="Y362">
        <f>Model!AG477</f>
        <v>0</v>
      </c>
      <c r="Z362">
        <f>Model!AH477</f>
        <v>0</v>
      </c>
      <c r="AA362">
        <f>Model!AI477</f>
        <v>0</v>
      </c>
      <c r="AB362">
        <f>Model!AJ477</f>
        <v>0</v>
      </c>
      <c r="AC362">
        <f>Model!AK477</f>
        <v>0</v>
      </c>
      <c r="AD362">
        <f>Model!AL477</f>
        <v>0</v>
      </c>
      <c r="AE362">
        <f>Model!AM477</f>
        <v>0</v>
      </c>
      <c r="AF362">
        <f>Model!AN477</f>
        <v>0</v>
      </c>
      <c r="AG362">
        <f>Model!AO477</f>
        <v>0</v>
      </c>
      <c r="AH362">
        <f>Model!AP477</f>
        <v>0</v>
      </c>
      <c r="AI362">
        <f>Model!AQ477</f>
        <v>0</v>
      </c>
      <c r="AJ362">
        <f>Model!AR477</f>
        <v>0</v>
      </c>
      <c r="AK362">
        <f>Model!AS477</f>
        <v>0</v>
      </c>
      <c r="AL362">
        <f>Model!AT477</f>
        <v>0</v>
      </c>
      <c r="AM362">
        <f>Model!AU477</f>
        <v>0</v>
      </c>
      <c r="AN362">
        <f>Model!AV477</f>
        <v>0</v>
      </c>
      <c r="AO362">
        <f>Model!AW477</f>
        <v>0</v>
      </c>
      <c r="AP362">
        <f>Model!AX477</f>
        <v>0</v>
      </c>
      <c r="AQ362">
        <f>Model!AY477</f>
        <v>0</v>
      </c>
      <c r="AR362">
        <f>Model!AZ477</f>
        <v>0</v>
      </c>
      <c r="AS362">
        <f>Model!BA477</f>
        <v>0</v>
      </c>
      <c r="AT362">
        <f>Model!BB477</f>
        <v>0</v>
      </c>
      <c r="AU362">
        <f>Model!BC477</f>
        <v>0</v>
      </c>
      <c r="AV362">
        <f>Model!BD477</f>
        <v>0</v>
      </c>
      <c r="AW362">
        <f>Model!BE477</f>
        <v>0</v>
      </c>
      <c r="AX362">
        <f>Model!BF477</f>
        <v>0</v>
      </c>
      <c r="AY362">
        <f>Model!BG477</f>
        <v>0</v>
      </c>
      <c r="AZ362">
        <f>Model!BH477</f>
        <v>0</v>
      </c>
      <c r="BA362">
        <f>Model!BI477</f>
        <v>0</v>
      </c>
      <c r="BB362">
        <f>Model!BJ477</f>
        <v>0</v>
      </c>
      <c r="BC362">
        <f>Model!BK477</f>
        <v>0</v>
      </c>
      <c r="BD362">
        <f>Model!BL477</f>
        <v>0</v>
      </c>
      <c r="BE362">
        <f>Model!BM477</f>
        <v>0</v>
      </c>
      <c r="BF362">
        <f>Model!BN477</f>
        <v>0</v>
      </c>
      <c r="BG362">
        <f>Model!BO477</f>
        <v>0</v>
      </c>
      <c r="BH362">
        <f>Model!BP477</f>
        <v>0</v>
      </c>
      <c r="BI362">
        <f>Model!BQ477</f>
        <v>0</v>
      </c>
      <c r="BJ362">
        <f>Model!BR477</f>
        <v>0</v>
      </c>
      <c r="BK362">
        <f>Model!BS477</f>
        <v>0</v>
      </c>
      <c r="BL362">
        <f>Model!BT477</f>
        <v>0</v>
      </c>
      <c r="BM362">
        <f>Model!BU477</f>
        <v>0</v>
      </c>
      <c r="BN362">
        <f>Model!BV477</f>
        <v>0</v>
      </c>
      <c r="BO362">
        <f>Model!BW477</f>
        <v>0</v>
      </c>
      <c r="BP362">
        <f>Model!BX477</f>
        <v>0</v>
      </c>
      <c r="BQ362">
        <f>Model!BY477</f>
        <v>0</v>
      </c>
      <c r="BR362">
        <f>Model!BZ477</f>
        <v>0</v>
      </c>
      <c r="BS362">
        <f>Model!CA477</f>
        <v>0</v>
      </c>
      <c r="BT362">
        <f>Model!CB477</f>
        <v>0</v>
      </c>
      <c r="BU362">
        <f>Model!CC477</f>
        <v>0</v>
      </c>
      <c r="BV362">
        <f>Model!CD477</f>
        <v>0</v>
      </c>
      <c r="BW362">
        <f>Model!CE477</f>
        <v>0</v>
      </c>
      <c r="BX362">
        <f>Model!CF477</f>
        <v>0</v>
      </c>
      <c r="BY362">
        <f>Model!CG477</f>
        <v>0</v>
      </c>
      <c r="BZ362">
        <f>Model!CH477</f>
        <v>0</v>
      </c>
      <c r="CA362">
        <f>Model!CI477</f>
        <v>0</v>
      </c>
      <c r="CB362">
        <f>Model!CJ477</f>
        <v>0</v>
      </c>
      <c r="CC362">
        <f>Model!CK477</f>
        <v>0</v>
      </c>
      <c r="CD362">
        <f>Model!CL477</f>
        <v>0</v>
      </c>
      <c r="CE362">
        <f>Model!CM477</f>
        <v>0</v>
      </c>
      <c r="CF362">
        <f>Model!CN477</f>
        <v>0</v>
      </c>
      <c r="CG362">
        <f>Model!CO477</f>
        <v>0</v>
      </c>
      <c r="CH362">
        <f>Model!CP477</f>
        <v>0</v>
      </c>
      <c r="CI362">
        <f>Model!CQ477</f>
        <v>0</v>
      </c>
      <c r="CJ362">
        <f>Model!CR477</f>
        <v>0</v>
      </c>
      <c r="CK362">
        <f>Model!CS477</f>
        <v>0</v>
      </c>
      <c r="CL362">
        <f>Model!CT477</f>
        <v>0</v>
      </c>
      <c r="CM362">
        <f>Model!CU477</f>
        <v>0</v>
      </c>
      <c r="CN362">
        <f>Model!CV477</f>
        <v>0</v>
      </c>
      <c r="CO362">
        <f>Model!CW477</f>
        <v>0</v>
      </c>
      <c r="CP362">
        <f>Model!CX477</f>
        <v>0</v>
      </c>
      <c r="CQ362">
        <f>Model!CY477</f>
        <v>0</v>
      </c>
      <c r="CR362">
        <f>Model!DG477</f>
        <v>0</v>
      </c>
      <c r="CS362">
        <f>Model!DH477</f>
        <v>0</v>
      </c>
      <c r="CT362">
        <f>Model!DI477</f>
        <v>0</v>
      </c>
      <c r="CU362">
        <f>Model!DJ477</f>
        <v>0</v>
      </c>
    </row>
    <row r="364" spans="1:99">
      <c r="A364" t="str">
        <f>Model!I478</f>
        <v>Stock-Based Comp</v>
      </c>
      <c r="B364">
        <f>Model!J478</f>
        <v>0</v>
      </c>
      <c r="C364">
        <f>Model!K478</f>
        <v>0</v>
      </c>
      <c r="D364">
        <f>Model!L478</f>
        <v>0</v>
      </c>
      <c r="E364">
        <f>Model!M478</f>
        <v>0</v>
      </c>
      <c r="F364">
        <f>Model!N478</f>
        <v>0</v>
      </c>
      <c r="G364">
        <f>Model!O478</f>
        <v>0</v>
      </c>
      <c r="H364">
        <f>Model!P478</f>
        <v>0</v>
      </c>
      <c r="I364">
        <f>Model!Q478</f>
        <v>0</v>
      </c>
      <c r="J364">
        <f>Model!R478</f>
        <v>0</v>
      </c>
      <c r="K364">
        <f>Model!S478</f>
        <v>0</v>
      </c>
      <c r="L364">
        <f>Model!T478</f>
        <v>0</v>
      </c>
      <c r="M364">
        <f>Model!U478</f>
        <v>0</v>
      </c>
      <c r="N364">
        <f>Model!V478</f>
        <v>0</v>
      </c>
      <c r="O364">
        <f>Model!W478</f>
        <v>0</v>
      </c>
      <c r="P364">
        <f>Model!X478</f>
        <v>0</v>
      </c>
      <c r="Q364">
        <f>Model!Y478</f>
        <v>0</v>
      </c>
      <c r="R364">
        <f>Model!Z478</f>
        <v>0</v>
      </c>
      <c r="S364">
        <f>Model!AA478</f>
        <v>0</v>
      </c>
      <c r="T364">
        <f>Model!AB478</f>
        <v>0</v>
      </c>
      <c r="U364">
        <f>Model!AC478</f>
        <v>0</v>
      </c>
      <c r="V364">
        <f>Model!AD478</f>
        <v>0</v>
      </c>
      <c r="W364">
        <f>Model!AE478</f>
        <v>0</v>
      </c>
      <c r="X364">
        <f>Model!AF478</f>
        <v>0</v>
      </c>
      <c r="Y364">
        <f>Model!AG478</f>
        <v>3.0169999999999999</v>
      </c>
      <c r="Z364">
        <f>Model!AH478</f>
        <v>3.7170000000000001</v>
      </c>
      <c r="AA364">
        <f>Model!AI478</f>
        <v>3.5430000000000001</v>
      </c>
      <c r="AB364">
        <f>Model!AJ478</f>
        <v>4.6509999999999998</v>
      </c>
      <c r="AC364">
        <f>Model!AK478</f>
        <v>3.1659999999999999</v>
      </c>
      <c r="AD364">
        <f>Model!AL478</f>
        <v>3.4660000000000002</v>
      </c>
      <c r="AE364">
        <f>Model!AM478</f>
        <v>4.1269999999999998</v>
      </c>
      <c r="AF364">
        <f>Model!AN478</f>
        <v>5.4939999999999998</v>
      </c>
      <c r="AG364">
        <f>Model!AO478</f>
        <v>9.9390000000000001</v>
      </c>
      <c r="AH364">
        <f>Model!AP478</f>
        <v>9.077</v>
      </c>
      <c r="AI364">
        <f>Model!AQ478</f>
        <v>10.055</v>
      </c>
      <c r="AJ364">
        <f>Model!AR478</f>
        <v>11.452</v>
      </c>
      <c r="AK364">
        <f>Model!AS478</f>
        <v>10.593</v>
      </c>
      <c r="AL364">
        <f>Model!AT478</f>
        <v>11.263999999999999</v>
      </c>
      <c r="AM364">
        <f>Model!AU478</f>
        <v>10.87</v>
      </c>
      <c r="AN364">
        <f>Model!AV478</f>
        <v>7.944</v>
      </c>
      <c r="AO364">
        <f>Model!AW478</f>
        <v>11.909000000000001</v>
      </c>
      <c r="AP364">
        <f>Model!AX478</f>
        <v>15.465</v>
      </c>
      <c r="AQ364">
        <f>Model!AY478</f>
        <v>21.175999999999998</v>
      </c>
      <c r="AR364">
        <f>Model!AZ478</f>
        <v>19.649999999999999</v>
      </c>
      <c r="AS364">
        <f>Model!BA478</f>
        <v>13.993</v>
      </c>
      <c r="AT364">
        <f>Model!BB478</f>
        <v>13.113</v>
      </c>
      <c r="AU364">
        <f>Model!BC478</f>
        <v>13.298</v>
      </c>
      <c r="AV364">
        <f>Model!BD478</f>
        <v>25.32</v>
      </c>
      <c r="AW364">
        <f>Model!BE478</f>
        <v>16.523</v>
      </c>
      <c r="AX364">
        <f>Model!BF478</f>
        <v>17.611999999999998</v>
      </c>
      <c r="AY364">
        <f>Model!BG478</f>
        <v>17.555</v>
      </c>
      <c r="AZ364">
        <f>Model!BH478</f>
        <v>19.875</v>
      </c>
      <c r="BA364">
        <f>Model!BI478</f>
        <v>21.709</v>
      </c>
      <c r="BB364">
        <f>Model!BJ478</f>
        <v>34.735999999999997</v>
      </c>
      <c r="BC364">
        <f>Model!BK478</f>
        <v>34.551000000000002</v>
      </c>
      <c r="BD364">
        <f>Model!BL478</f>
        <v>49.53</v>
      </c>
      <c r="BE364">
        <f>Model!BM478</f>
        <v>38.802999999999997</v>
      </c>
      <c r="BF364">
        <f>Model!BN478</f>
        <v>35.167999999999999</v>
      </c>
      <c r="BG364">
        <f>Model!BO478</f>
        <v>46.136000000000003</v>
      </c>
      <c r="BH364">
        <f>Model!BP478</f>
        <v>66.317999999999998</v>
      </c>
      <c r="BI364">
        <f>Model!BQ478</f>
        <v>54.008000000000003</v>
      </c>
      <c r="BJ364">
        <f>Model!BR478</f>
        <v>60.164000000000001</v>
      </c>
      <c r="BK364">
        <f>Model!BS478</f>
        <v>58.274000000000001</v>
      </c>
      <c r="BL364">
        <f>Model!BT478</f>
        <v>74.948999999999998</v>
      </c>
      <c r="BM364">
        <f>Model!BU478</f>
        <v>66</v>
      </c>
      <c r="BN364">
        <f>Model!BV478</f>
        <v>54.975999999999999</v>
      </c>
      <c r="BO364">
        <f>Model!BW478</f>
        <v>54.073999999999998</v>
      </c>
      <c r="BP364">
        <f>Model!BX478</f>
        <v>74.524000000000001</v>
      </c>
      <c r="BQ364">
        <f>Model!BY478</f>
        <v>58.948</v>
      </c>
      <c r="BR364">
        <f>Model!BZ478</f>
        <v>66.879000000000005</v>
      </c>
      <c r="BS364">
        <f>Model!CA478</f>
        <v>66.421000000000006</v>
      </c>
      <c r="BT364">
        <f>Model!CB478</f>
        <v>68.662000000000006</v>
      </c>
      <c r="BU364">
        <f>Model!CC478</f>
        <v>63.663840000000008</v>
      </c>
      <c r="BV364">
        <f>Model!CD478</f>
        <v>72.229320000000016</v>
      </c>
      <c r="BW364">
        <f>Model!CE478</f>
        <v>71.734680000000012</v>
      </c>
      <c r="BX364">
        <f>Model!CF478</f>
        <v>74.154960000000017</v>
      </c>
      <c r="BY364">
        <f>Model!CG478</f>
        <v>0</v>
      </c>
      <c r="BZ364">
        <f>Model!CH478</f>
        <v>0</v>
      </c>
      <c r="CA364">
        <f>Model!CI478</f>
        <v>0</v>
      </c>
      <c r="CB364">
        <f>Model!CJ478</f>
        <v>0</v>
      </c>
      <c r="CC364">
        <f>Model!CK478</f>
        <v>0</v>
      </c>
      <c r="CD364">
        <f>Model!CL478</f>
        <v>0</v>
      </c>
      <c r="CE364">
        <f>Model!CM478</f>
        <v>14.928000000000001</v>
      </c>
      <c r="CF364">
        <f>Model!CN478</f>
        <v>16.253</v>
      </c>
      <c r="CG364">
        <f>Model!CO478</f>
        <v>40.522999999999996</v>
      </c>
      <c r="CH364">
        <f>Model!CP478</f>
        <v>40.670999999999999</v>
      </c>
      <c r="CI364">
        <f>Model!CQ478</f>
        <v>68.199999999999989</v>
      </c>
      <c r="CJ364">
        <f>Model!CR478</f>
        <v>65.724000000000004</v>
      </c>
      <c r="CK364">
        <f>Model!CS478</f>
        <v>71.564999999999998</v>
      </c>
      <c r="CL364">
        <f>Model!CT478</f>
        <v>140.52600000000001</v>
      </c>
      <c r="CM364">
        <f>Model!CU478</f>
        <v>186.42500000000001</v>
      </c>
      <c r="CN364">
        <f>Model!CV478</f>
        <v>247.39499999999998</v>
      </c>
      <c r="CO364">
        <f>Model!CW478</f>
        <v>249.57400000000001</v>
      </c>
      <c r="CP364">
        <f>Model!CX478</f>
        <v>260.90999999999997</v>
      </c>
      <c r="CQ364">
        <f>Model!CY478</f>
        <v>281.78280000000007</v>
      </c>
      <c r="CR364">
        <f>Model!DG478</f>
        <v>0</v>
      </c>
      <c r="CS364">
        <f>Model!DH478</f>
        <v>0</v>
      </c>
      <c r="CT364">
        <f>Model!DI478</f>
        <v>0</v>
      </c>
      <c r="CU364">
        <f>Model!DJ478</f>
        <v>0</v>
      </c>
    </row>
    <row r="365" spans="1:99">
      <c r="A365" t="str">
        <f>Model!I483</f>
        <v>DRIVER: % change Y/Y</v>
      </c>
      <c r="B365">
        <f>Model!J483</f>
        <v>0</v>
      </c>
      <c r="C365">
        <f>Model!K483</f>
        <v>0</v>
      </c>
      <c r="D365">
        <f>Model!L483</f>
        <v>0</v>
      </c>
      <c r="E365">
        <f>Model!M483</f>
        <v>0</v>
      </c>
      <c r="F365">
        <f>Model!N483</f>
        <v>0</v>
      </c>
      <c r="G365">
        <f>Model!O483</f>
        <v>0</v>
      </c>
      <c r="H365">
        <f>Model!P483</f>
        <v>0</v>
      </c>
      <c r="I365">
        <f>Model!Q483</f>
        <v>0</v>
      </c>
      <c r="J365">
        <f>Model!R483</f>
        <v>0</v>
      </c>
      <c r="K365">
        <f>Model!S483</f>
        <v>0</v>
      </c>
      <c r="L365">
        <f>Model!T483</f>
        <v>0</v>
      </c>
      <c r="M365">
        <f>Model!U483</f>
        <v>0</v>
      </c>
      <c r="N365">
        <f>Model!V483</f>
        <v>0</v>
      </c>
      <c r="O365">
        <f>Model!W483</f>
        <v>0</v>
      </c>
      <c r="P365">
        <f>Model!X483</f>
        <v>0</v>
      </c>
      <c r="Q365">
        <f>Model!Y483</f>
        <v>0</v>
      </c>
      <c r="R365">
        <f>Model!Z483</f>
        <v>0</v>
      </c>
      <c r="S365">
        <f>Model!AA483</f>
        <v>0</v>
      </c>
      <c r="T365">
        <f>Model!AB483</f>
        <v>0</v>
      </c>
      <c r="U365">
        <f>Model!AC483</f>
        <v>0</v>
      </c>
      <c r="V365">
        <f>Model!AD483</f>
        <v>0</v>
      </c>
      <c r="W365">
        <f>Model!AE483</f>
        <v>0</v>
      </c>
      <c r="X365">
        <f>Model!AF483</f>
        <v>0</v>
      </c>
      <c r="Y365">
        <f>Model!AG483</f>
        <v>0</v>
      </c>
      <c r="Z365">
        <f>Model!AH483</f>
        <v>0</v>
      </c>
      <c r="AA365">
        <f>Model!AI483</f>
        <v>0</v>
      </c>
      <c r="AB365">
        <f>Model!AJ483</f>
        <v>0</v>
      </c>
      <c r="AC365">
        <f>Model!AK483</f>
        <v>4.9386808087504175E-2</v>
      </c>
      <c r="AD365">
        <f>Model!AL483</f>
        <v>-6.7527576002152201E-2</v>
      </c>
      <c r="AE365">
        <f>Model!AM483</f>
        <v>0.16483206322325694</v>
      </c>
      <c r="AF365">
        <f>Model!AN483</f>
        <v>0.18125134379703289</v>
      </c>
      <c r="AG365">
        <f>Model!AO483</f>
        <v>2.1392924826279218</v>
      </c>
      <c r="AH365">
        <f>Model!AP483</f>
        <v>1.6188690132717829</v>
      </c>
      <c r="AI365">
        <f>Model!AQ483</f>
        <v>1.436394475405864</v>
      </c>
      <c r="AJ365">
        <f>Model!AR483</f>
        <v>1.0844557699308339</v>
      </c>
      <c r="AK365">
        <f>Model!AS483</f>
        <v>6.5801388469664879E-2</v>
      </c>
      <c r="AL365">
        <f>Model!AT483</f>
        <v>0.24093863611325328</v>
      </c>
      <c r="AM365">
        <f>Model!AU483</f>
        <v>8.1054201889607214E-2</v>
      </c>
      <c r="AN365">
        <f>Model!AV483</f>
        <v>-0.30632203981837236</v>
      </c>
      <c r="AO365">
        <f>Model!AW483</f>
        <v>0.12423298404606831</v>
      </c>
      <c r="AP365">
        <f>Model!AX483</f>
        <v>0.37295809659090917</v>
      </c>
      <c r="AQ365">
        <f>Model!AY483</f>
        <v>0.94811407543698256</v>
      </c>
      <c r="AR365">
        <f>Model!AZ483</f>
        <v>1.4735649546827791</v>
      </c>
      <c r="AS365">
        <f>Model!BA483</f>
        <v>0.17499370224200184</v>
      </c>
      <c r="AT365">
        <f>Model!BB483</f>
        <v>-0.15208535402521828</v>
      </c>
      <c r="AU365">
        <f>Model!BC483</f>
        <v>-0.37202493388741964</v>
      </c>
      <c r="AV365">
        <f>Model!BD483</f>
        <v>0.28854961832061088</v>
      </c>
      <c r="AW365">
        <f>Model!BE483</f>
        <v>0.18080468805831473</v>
      </c>
      <c r="AX365">
        <f>Model!BF483</f>
        <v>0.34309463890795389</v>
      </c>
      <c r="AY365">
        <f>Model!BG483</f>
        <v>0.32012332681606259</v>
      </c>
      <c r="AZ365">
        <f>Model!BH483</f>
        <v>-0.21504739336492895</v>
      </c>
      <c r="BA365">
        <f>Model!BI483</f>
        <v>0.31386552078920293</v>
      </c>
      <c r="BB365">
        <f>Model!BJ483</f>
        <v>0.97229161935044295</v>
      </c>
      <c r="BC365">
        <f>Model!BK483</f>
        <v>0.96815722016519534</v>
      </c>
      <c r="BD365">
        <f>Model!BL483</f>
        <v>1.4920754716981133</v>
      </c>
      <c r="BE365">
        <f>Model!BM483</f>
        <v>0.78741535768575233</v>
      </c>
      <c r="BF365">
        <f>Model!BN483</f>
        <v>1.2436665131275948E-2</v>
      </c>
      <c r="BG365">
        <f>Model!BO483</f>
        <v>0.33530143845330085</v>
      </c>
      <c r="BH365">
        <f>Model!BP483</f>
        <v>0.33894609327680181</v>
      </c>
      <c r="BI365">
        <f>Model!BQ483</f>
        <v>0.3918511455299849</v>
      </c>
      <c r="BJ365">
        <f>Model!BR483</f>
        <v>0.71075978161965425</v>
      </c>
      <c r="BK365">
        <f>Model!BS483</f>
        <v>0.26309172880180332</v>
      </c>
      <c r="BL365">
        <f>Model!BT483</f>
        <v>0.13014566181127307</v>
      </c>
      <c r="BM365">
        <f>Model!BU483</f>
        <v>0.22204117908457999</v>
      </c>
      <c r="BN365">
        <f>Model!BV483</f>
        <v>-8.6230968685592768E-2</v>
      </c>
      <c r="BO365">
        <f>Model!BW483</f>
        <v>-7.207330885128882E-2</v>
      </c>
      <c r="BP365">
        <f>Model!BX483</f>
        <v>-5.6705226220495897E-3</v>
      </c>
      <c r="BQ365">
        <f>Model!BY483</f>
        <v>-0.10684848484848486</v>
      </c>
      <c r="BR365">
        <f>Model!BZ483</f>
        <v>0.21651266006984882</v>
      </c>
      <c r="BS365">
        <f>Model!CA483</f>
        <v>0.22833524429485541</v>
      </c>
      <c r="BT365">
        <f>Model!CB483</f>
        <v>-7.8659223874188111E-2</v>
      </c>
      <c r="BU365">
        <f>Model!CC483</f>
        <v>0.08</v>
      </c>
      <c r="BV365">
        <f>Model!CD483</f>
        <v>0.08</v>
      </c>
      <c r="BW365">
        <f>Model!CE483</f>
        <v>0.08</v>
      </c>
      <c r="BX365">
        <f>Model!CF483</f>
        <v>0.08</v>
      </c>
      <c r="BY365">
        <f>Model!CG483</f>
        <v>0</v>
      </c>
      <c r="BZ365">
        <f>Model!CH483</f>
        <v>0</v>
      </c>
      <c r="CA365">
        <f>Model!CI483</f>
        <v>0</v>
      </c>
      <c r="CB365">
        <f>Model!CJ483</f>
        <v>0</v>
      </c>
      <c r="CC365">
        <f>Model!CK483</f>
        <v>0</v>
      </c>
      <c r="CD365">
        <f>Model!CL483</f>
        <v>0</v>
      </c>
      <c r="CE365">
        <f>Model!CM483</f>
        <v>0</v>
      </c>
      <c r="CF365">
        <f>Model!CN483</f>
        <v>8.87593783494105E-2</v>
      </c>
      <c r="CG365">
        <f>Model!CO483</f>
        <v>1.4932627822555835</v>
      </c>
      <c r="CH365">
        <f>Model!CP483</f>
        <v>3.6522468721467138E-3</v>
      </c>
      <c r="CI365">
        <f>Model!CQ483</f>
        <v>0.67687049740601379</v>
      </c>
      <c r="CJ365">
        <f>Model!CR483</f>
        <v>-3.6304985337243134E-2</v>
      </c>
      <c r="CK365">
        <f>Model!CS483</f>
        <v>8.887164506116485E-2</v>
      </c>
      <c r="CL365">
        <f>Model!CT483</f>
        <v>0.96361349821840303</v>
      </c>
      <c r="CM365">
        <f>Model!CU483</f>
        <v>0.32662283136216774</v>
      </c>
      <c r="CN365">
        <f>Model!CV483</f>
        <v>0.32704841088909742</v>
      </c>
      <c r="CO365">
        <f>Model!CW483</f>
        <v>8.8077770367227526E-3</v>
      </c>
      <c r="CP365">
        <f>Model!CX483</f>
        <v>4.5421398062297946E-2</v>
      </c>
      <c r="CQ365">
        <f>Model!CY483</f>
        <v>8.0000000000000293E-2</v>
      </c>
      <c r="CR365">
        <f>Model!DG483</f>
        <v>0</v>
      </c>
      <c r="CS365">
        <f>Model!DH483</f>
        <v>0</v>
      </c>
      <c r="CT365">
        <f>Model!DI483</f>
        <v>0</v>
      </c>
      <c r="CU365">
        <f>Model!DJ483</f>
        <v>0</v>
      </c>
    </row>
    <row r="366" spans="1:99">
      <c r="A366" t="str">
        <f>Model!I479</f>
        <v>% of Total Gross Profit</v>
      </c>
      <c r="B366">
        <f>Model!J479</f>
        <v>0</v>
      </c>
      <c r="C366">
        <f>Model!K479</f>
        <v>0</v>
      </c>
      <c r="D366">
        <f>Model!L479</f>
        <v>0</v>
      </c>
      <c r="E366">
        <f>Model!M479</f>
        <v>0</v>
      </c>
      <c r="F366">
        <f>Model!N479</f>
        <v>0</v>
      </c>
      <c r="G366">
        <f>Model!O479</f>
        <v>0</v>
      </c>
      <c r="H366">
        <f>Model!P479</f>
        <v>0</v>
      </c>
      <c r="I366">
        <f>Model!Q479</f>
        <v>0</v>
      </c>
      <c r="J366">
        <f>Model!R479</f>
        <v>0</v>
      </c>
      <c r="K366">
        <f>Model!S479</f>
        <v>0</v>
      </c>
      <c r="L366">
        <f>Model!T479</f>
        <v>0</v>
      </c>
      <c r="M366">
        <f>Model!U479</f>
        <v>0</v>
      </c>
      <c r="N366">
        <f>Model!V479</f>
        <v>0</v>
      </c>
      <c r="O366">
        <f>Model!W479</f>
        <v>0</v>
      </c>
      <c r="P366">
        <f>Model!X479</f>
        <v>0</v>
      </c>
      <c r="Q366">
        <f>Model!Y479</f>
        <v>0</v>
      </c>
      <c r="R366">
        <f>Model!Z479</f>
        <v>0</v>
      </c>
      <c r="S366">
        <f>Model!AA479</f>
        <v>0</v>
      </c>
      <c r="T366">
        <f>Model!AB479</f>
        <v>0</v>
      </c>
      <c r="U366">
        <f>Model!AC479</f>
        <v>0</v>
      </c>
      <c r="V366">
        <f>Model!AD479</f>
        <v>0</v>
      </c>
      <c r="W366">
        <f>Model!AE479</f>
        <v>0</v>
      </c>
      <c r="X366">
        <f>Model!AF479</f>
        <v>0</v>
      </c>
      <c r="Y366">
        <f>Model!AG479</f>
        <v>4.1768769641843534E-2</v>
      </c>
      <c r="Z366">
        <f>Model!AH479</f>
        <v>3.5130996937733923E-2</v>
      </c>
      <c r="AA366">
        <f>Model!AI479</f>
        <v>2.8965009810333547E-2</v>
      </c>
      <c r="AB366">
        <f>Model!AJ479</f>
        <v>4.6735733593255439E-2</v>
      </c>
      <c r="AC366">
        <f>Model!AK479</f>
        <v>3.0489507795722216E-2</v>
      </c>
      <c r="AD366">
        <f>Model!AL479</f>
        <v>2.2376737489750997E-2</v>
      </c>
      <c r="AE366">
        <f>Model!AM479</f>
        <v>2.0397269820245045E-2</v>
      </c>
      <c r="AF366">
        <f>Model!AN479</f>
        <v>3.4304910335181571E-2</v>
      </c>
      <c r="AG366">
        <f>Model!AO479</f>
        <v>5.4880371943037937E-2</v>
      </c>
      <c r="AH366">
        <f>Model!AP479</f>
        <v>3.5774953197359342E-2</v>
      </c>
      <c r="AI366">
        <f>Model!AQ479</f>
        <v>3.1811767981321064E-2</v>
      </c>
      <c r="AJ366">
        <f>Model!AR479</f>
        <v>5.5845707458610686E-2</v>
      </c>
      <c r="AK366">
        <f>Model!AS479</f>
        <v>5.0847213555416888E-2</v>
      </c>
      <c r="AL366">
        <f>Model!AT479</f>
        <v>3.6902351607598007E-2</v>
      </c>
      <c r="AM366">
        <f>Model!AU479</f>
        <v>2.5045736694884402E-2</v>
      </c>
      <c r="AN366">
        <f>Model!AV479</f>
        <v>2.5364875522448101E-2</v>
      </c>
      <c r="AO366">
        <f>Model!AW479</f>
        <v>3.731871795835999E-2</v>
      </c>
      <c r="AP366">
        <f>Model!AX479</f>
        <v>3.4660588456780168E-2</v>
      </c>
      <c r="AQ366">
        <f>Model!AY479</f>
        <v>3.1690731029858969E-2</v>
      </c>
      <c r="AR366">
        <f>Model!AZ479</f>
        <v>4.0923347342377417E-2</v>
      </c>
      <c r="AS366">
        <f>Model!BA479</f>
        <v>2.7664647455160851E-2</v>
      </c>
      <c r="AT366">
        <f>Model!BB479</f>
        <v>1.7502038767956838E-2</v>
      </c>
      <c r="AU366">
        <f>Model!BC479</f>
        <v>1.2087464595672582E-2</v>
      </c>
      <c r="AV366">
        <f>Model!BD479</f>
        <v>3.4938739914750577E-2</v>
      </c>
      <c r="AW366">
        <f>Model!BE479</f>
        <v>2.2229606828039736E-2</v>
      </c>
      <c r="AX366">
        <f>Model!BF479</f>
        <v>1.753935200399943E-2</v>
      </c>
      <c r="AY366">
        <f>Model!BG479</f>
        <v>1.2570703493946657E-2</v>
      </c>
      <c r="AZ366">
        <f>Model!BH479</f>
        <v>2.1149241819632878E-2</v>
      </c>
      <c r="BA366">
        <f>Model!BI479</f>
        <v>2.1501190989090441E-2</v>
      </c>
      <c r="BB366">
        <f>Model!BJ479</f>
        <v>2.5100895686325515E-2</v>
      </c>
      <c r="BC366">
        <f>Model!BK479</f>
        <v>1.7370473061463554E-2</v>
      </c>
      <c r="BD366">
        <f>Model!BL479</f>
        <v>3.7148400848720585E-2</v>
      </c>
      <c r="BE366">
        <f>Model!BM479</f>
        <v>2.7588908694171434E-2</v>
      </c>
      <c r="BF366">
        <f>Model!BN479</f>
        <v>1.8676619599829209E-2</v>
      </c>
      <c r="BG366">
        <f>Model!BO479</f>
        <v>1.760930816976326E-2</v>
      </c>
      <c r="BH366">
        <f>Model!BP479</f>
        <v>3.9600283038302729E-2</v>
      </c>
      <c r="BI366">
        <f>Model!BQ479</f>
        <v>3.2296876756630052E-2</v>
      </c>
      <c r="BJ366">
        <f>Model!BR479</f>
        <v>2.8746632672465942E-2</v>
      </c>
      <c r="BK366">
        <f>Model!BS479</f>
        <v>1.9772115460956911E-2</v>
      </c>
      <c r="BL366">
        <f>Model!BT479</f>
        <v>3.9879577499636852E-2</v>
      </c>
      <c r="BM366">
        <f>Model!BU479</f>
        <v>3.2682165936269783E-2</v>
      </c>
      <c r="BN366">
        <f>Model!BV479</f>
        <v>2.2625562902242057E-2</v>
      </c>
      <c r="BO366">
        <f>Model!BW479</f>
        <v>1.5066327896724019E-2</v>
      </c>
      <c r="BP366">
        <f>Model!BX479</f>
        <v>3.2738216829404476E-2</v>
      </c>
      <c r="BQ366">
        <f>Model!BY479</f>
        <v>2.5253669831872112E-2</v>
      </c>
      <c r="BR366">
        <f>Model!BZ479</f>
        <v>2.2656915374749224E-2</v>
      </c>
      <c r="BS366">
        <f>Model!CA479</f>
        <v>1.5183494176433571E-2</v>
      </c>
      <c r="BT366">
        <f>Model!CB479</f>
        <v>2.4788235714597741E-2</v>
      </c>
      <c r="BU366">
        <f>Model!CC479</f>
        <v>2.2757545046810185E-2</v>
      </c>
      <c r="BV366">
        <f>Model!CD479</f>
        <v>2.0276679853031113E-2</v>
      </c>
      <c r="BW366">
        <f>Model!CE479</f>
        <v>1.4334290408662947E-2</v>
      </c>
      <c r="BX366">
        <f>Model!CF479</f>
        <v>2.1953688150999288E-2</v>
      </c>
      <c r="BY366">
        <f>Model!CG479</f>
        <v>0</v>
      </c>
      <c r="BZ366">
        <f>Model!CH479</f>
        <v>0</v>
      </c>
      <c r="CA366">
        <f>Model!CI479</f>
        <v>0</v>
      </c>
      <c r="CB366">
        <f>Model!CJ479</f>
        <v>0</v>
      </c>
      <c r="CC366">
        <f>Model!CK479</f>
        <v>0</v>
      </c>
      <c r="CD366">
        <f>Model!CL479</f>
        <v>0</v>
      </c>
      <c r="CE366">
        <f>Model!CM479</f>
        <v>3.7331946222791276E-2</v>
      </c>
      <c r="CF366">
        <f>Model!CN479</f>
        <v>2.6163244609354264E-2</v>
      </c>
      <c r="CG366">
        <f>Model!CO479</f>
        <v>4.2389361183550536E-2</v>
      </c>
      <c r="CH366">
        <f>Model!CP479</f>
        <v>3.2259036789626598E-2</v>
      </c>
      <c r="CI366">
        <f>Model!CQ479</f>
        <v>3.5638253955480398E-2</v>
      </c>
      <c r="CJ366">
        <f>Model!CR479</f>
        <v>2.133979245944647E-2</v>
      </c>
      <c r="CK366">
        <f>Model!CS479</f>
        <v>1.7524630351881055E-2</v>
      </c>
      <c r="CL366">
        <f>Model!CT479</f>
        <v>2.4585164924562877E-2</v>
      </c>
      <c r="CM366">
        <f>Model!CU479</f>
        <v>2.4580934134831554E-2</v>
      </c>
      <c r="CN366">
        <f>Model!CV479</f>
        <v>2.8794292050554674E-2</v>
      </c>
      <c r="CO366">
        <f>Model!CW479</f>
        <v>2.4195972114339433E-2</v>
      </c>
      <c r="CP366">
        <f>Model!CX479</f>
        <v>2.0989425644651945E-2</v>
      </c>
      <c r="CQ366">
        <f>Model!CY479</f>
        <v>1.9114452989407397E-2</v>
      </c>
      <c r="CR366">
        <f>Model!DG479</f>
        <v>0</v>
      </c>
      <c r="CS366">
        <f>Model!DH479</f>
        <v>0</v>
      </c>
      <c r="CT366">
        <f>Model!DI479</f>
        <v>0</v>
      </c>
      <c r="CU366">
        <f>Model!DJ479</f>
        <v>0</v>
      </c>
    </row>
    <row r="367" spans="1:99">
      <c r="A367" t="str">
        <f>Model!I480</f>
        <v>change Y/Y (in bp)</v>
      </c>
      <c r="B367">
        <f>Model!J480</f>
        <v>0</v>
      </c>
      <c r="C367">
        <f>Model!K480</f>
        <v>0</v>
      </c>
      <c r="D367">
        <f>Model!L480</f>
        <v>0</v>
      </c>
      <c r="E367">
        <f>Model!M480</f>
        <v>0</v>
      </c>
      <c r="F367">
        <f>Model!N480</f>
        <v>0</v>
      </c>
      <c r="G367">
        <f>Model!O480</f>
        <v>0</v>
      </c>
      <c r="H367">
        <f>Model!P480</f>
        <v>0</v>
      </c>
      <c r="I367">
        <f>Model!Q480</f>
        <v>0</v>
      </c>
      <c r="J367">
        <f>Model!R480</f>
        <v>0</v>
      </c>
      <c r="K367">
        <f>Model!S480</f>
        <v>0</v>
      </c>
      <c r="L367">
        <f>Model!T480</f>
        <v>0</v>
      </c>
      <c r="M367">
        <f>Model!U480</f>
        <v>0</v>
      </c>
      <c r="N367">
        <f>Model!V480</f>
        <v>0</v>
      </c>
      <c r="O367">
        <f>Model!W480</f>
        <v>0</v>
      </c>
      <c r="P367">
        <f>Model!X480</f>
        <v>0</v>
      </c>
      <c r="Q367">
        <f>Model!Y480</f>
        <v>0</v>
      </c>
      <c r="R367">
        <f>Model!Z480</f>
        <v>0</v>
      </c>
      <c r="S367">
        <f>Model!AA480</f>
        <v>0</v>
      </c>
      <c r="T367">
        <f>Model!AB480</f>
        <v>0</v>
      </c>
      <c r="U367">
        <f>Model!AC480</f>
        <v>0</v>
      </c>
      <c r="V367">
        <f>Model!AD480</f>
        <v>0</v>
      </c>
      <c r="W367">
        <f>Model!AE480</f>
        <v>0</v>
      </c>
      <c r="X367">
        <f>Model!AF480</f>
        <v>0</v>
      </c>
      <c r="Y367">
        <f>Model!AG480</f>
        <v>0</v>
      </c>
      <c r="Z367">
        <f>Model!AH480</f>
        <v>0</v>
      </c>
      <c r="AA367">
        <f>Model!AI480</f>
        <v>0</v>
      </c>
      <c r="AB367">
        <f>Model!AJ480</f>
        <v>0</v>
      </c>
      <c r="AC367">
        <f>Model!AK480</f>
        <v>-112.79261846121318</v>
      </c>
      <c r="AD367">
        <f>Model!AL480</f>
        <v>-127.54259447982926</v>
      </c>
      <c r="AE367">
        <f>Model!AM480</f>
        <v>-85.677399900885021</v>
      </c>
      <c r="AF367">
        <f>Model!AN480</f>
        <v>-124.30823258073869</v>
      </c>
      <c r="AG367">
        <f>Model!AO480</f>
        <v>243.90864147315719</v>
      </c>
      <c r="AH367">
        <f>Model!AP480</f>
        <v>133.98215707608344</v>
      </c>
      <c r="AI367">
        <f>Model!AQ480</f>
        <v>114.1449816107602</v>
      </c>
      <c r="AJ367">
        <f>Model!AR480</f>
        <v>215.40797123429115</v>
      </c>
      <c r="AK367">
        <f>Model!AS480</f>
        <v>-40.33158387621048</v>
      </c>
      <c r="AL367">
        <f>Model!AT480</f>
        <v>11.273984102386642</v>
      </c>
      <c r="AM367">
        <f>Model!AU480</f>
        <v>-67.660312864366617</v>
      </c>
      <c r="AN367">
        <f>Model!AV480</f>
        <v>-304.80831936162588</v>
      </c>
      <c r="AO367">
        <f>Model!AW480</f>
        <v>-135.28495597056897</v>
      </c>
      <c r="AP367">
        <f>Model!AX480</f>
        <v>-22.417631508178381</v>
      </c>
      <c r="AQ367">
        <f>Model!AY480</f>
        <v>66.449943349745666</v>
      </c>
      <c r="AR367">
        <f>Model!AZ480</f>
        <v>155.58471819929315</v>
      </c>
      <c r="AS367">
        <f>Model!BA480</f>
        <v>-96.540705031991394</v>
      </c>
      <c r="AT367">
        <f>Model!BB480</f>
        <v>-171.58549688823331</v>
      </c>
      <c r="AU367">
        <f>Model!BC480</f>
        <v>-196.03266434186389</v>
      </c>
      <c r="AV367">
        <f>Model!BD480</f>
        <v>-59.846074276268396</v>
      </c>
      <c r="AW367">
        <f>Model!BE480</f>
        <v>-54.350406271211142</v>
      </c>
      <c r="AX367">
        <f>Model!BF480</f>
        <v>0.37313236042592346</v>
      </c>
      <c r="AY367">
        <f>Model!BG480</f>
        <v>4.8323889827407536</v>
      </c>
      <c r="AZ367">
        <f>Model!BH480</f>
        <v>-137.89498095117699</v>
      </c>
      <c r="BA367">
        <f>Model!BI480</f>
        <v>-7.2841583894929505</v>
      </c>
      <c r="BB367">
        <f>Model!BJ480</f>
        <v>75.61543682326085</v>
      </c>
      <c r="BC367">
        <f>Model!BK480</f>
        <v>47.99769567516897</v>
      </c>
      <c r="BD367">
        <f>Model!BL480</f>
        <v>159.99159029087707</v>
      </c>
      <c r="BE367">
        <f>Model!BM480</f>
        <v>60.877177050809934</v>
      </c>
      <c r="BF367">
        <f>Model!BN480</f>
        <v>-64.24276086496306</v>
      </c>
      <c r="BG367">
        <f>Model!BO480</f>
        <v>2.3883510829970573</v>
      </c>
      <c r="BH367">
        <f>Model!BP480</f>
        <v>24.518821895821439</v>
      </c>
      <c r="BI367">
        <f>Model!BQ480</f>
        <v>47.079680624586182</v>
      </c>
      <c r="BJ367">
        <f>Model!BR480</f>
        <v>100.70013072636732</v>
      </c>
      <c r="BK367">
        <f>Model!BS480</f>
        <v>21.628072911936517</v>
      </c>
      <c r="BL367">
        <f>Model!BT480</f>
        <v>2.7929446133412306</v>
      </c>
      <c r="BM367">
        <f>Model!BU480</f>
        <v>3.8528917963973064</v>
      </c>
      <c r="BN367">
        <f>Model!BV480</f>
        <v>-61.210697702238846</v>
      </c>
      <c r="BO367">
        <f>Model!BW480</f>
        <v>-47.057875642328924</v>
      </c>
      <c r="BP367">
        <f>Model!BX480</f>
        <v>-71.413606702323762</v>
      </c>
      <c r="BQ367">
        <f>Model!BY480</f>
        <v>-74.284961043976708</v>
      </c>
      <c r="BR367">
        <f>Model!BZ480</f>
        <v>0.31352472507167189</v>
      </c>
      <c r="BS367">
        <f>Model!CA480</f>
        <v>1.1716627970955253</v>
      </c>
      <c r="BT367">
        <f>Model!CB480</f>
        <v>-79.499811148067351</v>
      </c>
      <c r="BU367">
        <f>Model!CC480</f>
        <v>-24.961247850619277</v>
      </c>
      <c r="BV367">
        <f>Model!CD480</f>
        <v>-23.802355217181109</v>
      </c>
      <c r="BW367">
        <f>Model!CE480</f>
        <v>-8.4920376777062465</v>
      </c>
      <c r="BX367">
        <f>Model!CF480</f>
        <v>-28.345475635984524</v>
      </c>
      <c r="BY367">
        <f>Model!CG480</f>
        <v>0</v>
      </c>
      <c r="BZ367">
        <f>Model!CH480</f>
        <v>0</v>
      </c>
      <c r="CA367">
        <f>Model!CI480</f>
        <v>0</v>
      </c>
      <c r="CB367">
        <f>Model!CJ480</f>
        <v>0</v>
      </c>
      <c r="CC367">
        <f>Model!CK480</f>
        <v>0</v>
      </c>
      <c r="CD367">
        <f>Model!CL480</f>
        <v>0</v>
      </c>
      <c r="CE367">
        <f>Model!CM480</f>
        <v>0</v>
      </c>
      <c r="CF367">
        <f>Model!CN480</f>
        <v>-111.68701613437013</v>
      </c>
      <c r="CG367">
        <f>Model!CO480</f>
        <v>162.26116574196271</v>
      </c>
      <c r="CH367">
        <f>Model!CP480</f>
        <v>-101.30324393923938</v>
      </c>
      <c r="CI367">
        <f>Model!CQ480</f>
        <v>33.792171658537995</v>
      </c>
      <c r="CJ367">
        <f>Model!CR480</f>
        <v>-142.98461496033929</v>
      </c>
      <c r="CK367">
        <f>Model!CS480</f>
        <v>-38.151621075654155</v>
      </c>
      <c r="CL367">
        <f>Model!CT480</f>
        <v>70.605345726818229</v>
      </c>
      <c r="CM367">
        <f>Model!CU480</f>
        <v>-4.2307897313229037E-2</v>
      </c>
      <c r="CN367">
        <f>Model!CV480</f>
        <v>42.133579157231196</v>
      </c>
      <c r="CO367">
        <f>Model!CW480</f>
        <v>-45.983199362152405</v>
      </c>
      <c r="CP367">
        <f>Model!CX480</f>
        <v>-32.065464696874876</v>
      </c>
      <c r="CQ367">
        <f>Model!CY480</f>
        <v>-18.749726552445487</v>
      </c>
      <c r="CR367">
        <f>Model!DG480</f>
        <v>0</v>
      </c>
      <c r="CS367">
        <f>Model!DH480</f>
        <v>0</v>
      </c>
      <c r="CT367">
        <f>Model!DI480</f>
        <v>0</v>
      </c>
      <c r="CU367">
        <f>Model!DJ480</f>
        <v>0</v>
      </c>
    </row>
    <row r="368" spans="1:99">
      <c r="A368">
        <f>Model!I484</f>
        <v>0</v>
      </c>
      <c r="B368">
        <f>Model!J484</f>
        <v>0</v>
      </c>
      <c r="C368">
        <f>Model!K484</f>
        <v>0</v>
      </c>
      <c r="D368">
        <f>Model!L484</f>
        <v>0</v>
      </c>
      <c r="E368">
        <f>Model!M484</f>
        <v>0</v>
      </c>
      <c r="F368">
        <f>Model!N484</f>
        <v>0</v>
      </c>
      <c r="G368">
        <f>Model!O484</f>
        <v>0</v>
      </c>
      <c r="H368">
        <f>Model!P484</f>
        <v>0</v>
      </c>
      <c r="I368">
        <f>Model!Q484</f>
        <v>0</v>
      </c>
      <c r="J368">
        <f>Model!R484</f>
        <v>0</v>
      </c>
      <c r="K368">
        <f>Model!S484</f>
        <v>0</v>
      </c>
      <c r="L368">
        <f>Model!T484</f>
        <v>0</v>
      </c>
      <c r="M368">
        <f>Model!U484</f>
        <v>0</v>
      </c>
      <c r="N368">
        <f>Model!V484</f>
        <v>0</v>
      </c>
      <c r="O368">
        <f>Model!W484</f>
        <v>0</v>
      </c>
      <c r="P368">
        <f>Model!X484</f>
        <v>0</v>
      </c>
      <c r="Q368">
        <f>Model!Y484</f>
        <v>0</v>
      </c>
      <c r="R368">
        <f>Model!Z484</f>
        <v>0</v>
      </c>
      <c r="S368">
        <f>Model!AA484</f>
        <v>0</v>
      </c>
      <c r="T368">
        <f>Model!AB484</f>
        <v>0</v>
      </c>
      <c r="U368">
        <f>Model!AC484</f>
        <v>0</v>
      </c>
      <c r="V368">
        <f>Model!AD484</f>
        <v>0</v>
      </c>
      <c r="W368">
        <f>Model!AE484</f>
        <v>0</v>
      </c>
      <c r="X368">
        <f>Model!AF484</f>
        <v>0</v>
      </c>
      <c r="Y368">
        <f>Model!AG484</f>
        <v>0</v>
      </c>
      <c r="Z368">
        <f>Model!AH484</f>
        <v>0</v>
      </c>
      <c r="AA368">
        <f>Model!AI484</f>
        <v>0</v>
      </c>
      <c r="AB368">
        <f>Model!AJ484</f>
        <v>0</v>
      </c>
      <c r="AC368">
        <f>Model!AK484</f>
        <v>0</v>
      </c>
      <c r="AD368">
        <f>Model!AL484</f>
        <v>0</v>
      </c>
      <c r="AE368">
        <f>Model!AM484</f>
        <v>0</v>
      </c>
      <c r="AF368">
        <f>Model!AN484</f>
        <v>0</v>
      </c>
      <c r="AG368">
        <f>Model!AO484</f>
        <v>0</v>
      </c>
      <c r="AH368">
        <f>Model!AP484</f>
        <v>0</v>
      </c>
      <c r="AI368">
        <f>Model!AQ484</f>
        <v>0</v>
      </c>
      <c r="AJ368">
        <f>Model!AR484</f>
        <v>0</v>
      </c>
      <c r="AK368">
        <f>Model!AS484</f>
        <v>0</v>
      </c>
      <c r="AL368">
        <f>Model!AT484</f>
        <v>0</v>
      </c>
      <c r="AM368">
        <f>Model!AU484</f>
        <v>0</v>
      </c>
      <c r="AN368">
        <f>Model!AV484</f>
        <v>0</v>
      </c>
      <c r="AO368">
        <f>Model!AW484</f>
        <v>0</v>
      </c>
      <c r="AP368">
        <f>Model!AX484</f>
        <v>0</v>
      </c>
      <c r="AQ368">
        <f>Model!AY484</f>
        <v>0</v>
      </c>
      <c r="AR368">
        <f>Model!AZ484</f>
        <v>0</v>
      </c>
      <c r="AS368">
        <f>Model!BA484</f>
        <v>0</v>
      </c>
      <c r="AT368">
        <f>Model!BB484</f>
        <v>0</v>
      </c>
      <c r="AU368">
        <f>Model!BC484</f>
        <v>0</v>
      </c>
      <c r="AV368">
        <f>Model!BD484</f>
        <v>0</v>
      </c>
      <c r="AW368">
        <f>Model!BE484</f>
        <v>0</v>
      </c>
      <c r="AX368">
        <f>Model!BF484</f>
        <v>0</v>
      </c>
      <c r="AY368">
        <f>Model!BG484</f>
        <v>0</v>
      </c>
      <c r="AZ368">
        <f>Model!BH484</f>
        <v>0</v>
      </c>
      <c r="BA368">
        <f>Model!BI484</f>
        <v>0</v>
      </c>
      <c r="BB368">
        <f>Model!BJ484</f>
        <v>0</v>
      </c>
      <c r="BC368">
        <f>Model!BK484</f>
        <v>0</v>
      </c>
      <c r="BD368">
        <f>Model!BL484</f>
        <v>0</v>
      </c>
      <c r="BE368">
        <f>Model!BM484</f>
        <v>0</v>
      </c>
      <c r="BF368">
        <f>Model!BN484</f>
        <v>0</v>
      </c>
      <c r="BG368">
        <f>Model!BO484</f>
        <v>0</v>
      </c>
      <c r="BH368">
        <f>Model!BP484</f>
        <v>0</v>
      </c>
      <c r="BI368">
        <f>Model!BQ484</f>
        <v>0</v>
      </c>
      <c r="BJ368">
        <f>Model!BR484</f>
        <v>0</v>
      </c>
      <c r="BK368">
        <f>Model!BS484</f>
        <v>0</v>
      </c>
      <c r="BL368">
        <f>Model!BT484</f>
        <v>0</v>
      </c>
      <c r="BM368">
        <f>Model!BU484</f>
        <v>0</v>
      </c>
      <c r="BN368">
        <f>Model!BV484</f>
        <v>0</v>
      </c>
      <c r="BO368">
        <f>Model!BW484</f>
        <v>0</v>
      </c>
      <c r="BP368">
        <f>Model!BX484</f>
        <v>0</v>
      </c>
      <c r="BQ368">
        <f>Model!BY484</f>
        <v>0</v>
      </c>
      <c r="BR368">
        <f>Model!BZ484</f>
        <v>0</v>
      </c>
      <c r="BS368">
        <f>Model!CA484</f>
        <v>0</v>
      </c>
      <c r="BT368">
        <f>Model!CB484</f>
        <v>0</v>
      </c>
      <c r="BU368">
        <f>Model!CC484</f>
        <v>0</v>
      </c>
      <c r="BV368">
        <f>Model!CD484</f>
        <v>0</v>
      </c>
      <c r="BW368">
        <f>Model!CE484</f>
        <v>0</v>
      </c>
      <c r="BX368">
        <f>Model!CF484</f>
        <v>0</v>
      </c>
      <c r="BY368">
        <f>Model!CG484</f>
        <v>0</v>
      </c>
      <c r="BZ368">
        <f>Model!CH484</f>
        <v>0</v>
      </c>
      <c r="CA368">
        <f>Model!CI484</f>
        <v>0</v>
      </c>
      <c r="CB368">
        <f>Model!CJ484</f>
        <v>0</v>
      </c>
      <c r="CC368">
        <f>Model!CK484</f>
        <v>0</v>
      </c>
      <c r="CD368">
        <f>Model!CL484</f>
        <v>0</v>
      </c>
      <c r="CE368">
        <f>Model!CM484</f>
        <v>0</v>
      </c>
      <c r="CF368">
        <f>Model!CN484</f>
        <v>0</v>
      </c>
      <c r="CG368">
        <f>Model!CO484</f>
        <v>0</v>
      </c>
      <c r="CH368">
        <f>Model!CP484</f>
        <v>0</v>
      </c>
      <c r="CI368">
        <f>Model!CQ484</f>
        <v>0</v>
      </c>
      <c r="CJ368">
        <f>Model!CR484</f>
        <v>0</v>
      </c>
      <c r="CK368">
        <f>Model!CS484</f>
        <v>0</v>
      </c>
      <c r="CL368">
        <f>Model!CT484</f>
        <v>0</v>
      </c>
      <c r="CM368">
        <f>Model!CU484</f>
        <v>0</v>
      </c>
      <c r="CN368">
        <f>Model!CV484</f>
        <v>0</v>
      </c>
      <c r="CO368">
        <f>Model!CW484</f>
        <v>0</v>
      </c>
      <c r="CP368">
        <f>Model!CX484</f>
        <v>0</v>
      </c>
      <c r="CQ368">
        <f>Model!CY484</f>
        <v>0</v>
      </c>
      <c r="CR368">
        <f>Model!DG484</f>
        <v>0</v>
      </c>
      <c r="CS368">
        <f>Model!DH484</f>
        <v>0</v>
      </c>
      <c r="CT368">
        <f>Model!DI484</f>
        <v>0</v>
      </c>
      <c r="CU368">
        <f>Model!DJ484</f>
        <v>0</v>
      </c>
    </row>
    <row r="369" spans="1:99">
      <c r="A369" t="str">
        <f>Model!I509</f>
        <v>Depreciation and Capex</v>
      </c>
      <c r="B369">
        <f>Model!J509</f>
        <v>0</v>
      </c>
      <c r="C369">
        <f>Model!K509</f>
        <v>0</v>
      </c>
      <c r="D369">
        <f>Model!L509</f>
        <v>0</v>
      </c>
      <c r="E369">
        <f>Model!M509</f>
        <v>0</v>
      </c>
      <c r="F369">
        <f>Model!N509</f>
        <v>0</v>
      </c>
      <c r="G369">
        <f>Model!O509</f>
        <v>0</v>
      </c>
      <c r="H369">
        <f>Model!P509</f>
        <v>0</v>
      </c>
      <c r="I369">
        <f>Model!Q509</f>
        <v>0</v>
      </c>
      <c r="J369">
        <f>Model!R509</f>
        <v>0</v>
      </c>
      <c r="K369">
        <f>Model!S509</f>
        <v>0</v>
      </c>
      <c r="L369">
        <f>Model!T509</f>
        <v>0</v>
      </c>
      <c r="M369">
        <f>Model!U509</f>
        <v>0</v>
      </c>
      <c r="N369">
        <f>Model!V509</f>
        <v>0</v>
      </c>
      <c r="O369">
        <f>Model!W509</f>
        <v>0</v>
      </c>
      <c r="P369">
        <f>Model!X509</f>
        <v>0</v>
      </c>
      <c r="Q369">
        <f>Model!Y509</f>
        <v>0</v>
      </c>
      <c r="R369">
        <f>Model!Z509</f>
        <v>0</v>
      </c>
      <c r="S369">
        <f>Model!AA509</f>
        <v>0</v>
      </c>
      <c r="T369">
        <f>Model!AB509</f>
        <v>0</v>
      </c>
      <c r="U369">
        <f>Model!AC509</f>
        <v>0</v>
      </c>
      <c r="V369">
        <f>Model!AD509</f>
        <v>0</v>
      </c>
      <c r="W369">
        <f>Model!AE509</f>
        <v>0</v>
      </c>
      <c r="X369">
        <f>Model!AF509</f>
        <v>0</v>
      </c>
      <c r="Y369">
        <f>Model!AG509</f>
        <v>0</v>
      </c>
      <c r="Z369">
        <f>Model!AH509</f>
        <v>0</v>
      </c>
      <c r="AA369">
        <f>Model!AI509</f>
        <v>0</v>
      </c>
      <c r="AB369">
        <f>Model!AJ509</f>
        <v>0</v>
      </c>
      <c r="AC369">
        <f>Model!AK509</f>
        <v>0</v>
      </c>
      <c r="AD369">
        <f>Model!AL509</f>
        <v>0</v>
      </c>
      <c r="AE369">
        <f>Model!AM509</f>
        <v>0</v>
      </c>
      <c r="AF369">
        <f>Model!AN509</f>
        <v>0</v>
      </c>
      <c r="AG369">
        <f>Model!AO509</f>
        <v>0</v>
      </c>
      <c r="AH369">
        <f>Model!AP509</f>
        <v>0</v>
      </c>
      <c r="AI369">
        <f>Model!AQ509</f>
        <v>0</v>
      </c>
      <c r="AJ369">
        <f>Model!AR509</f>
        <v>0</v>
      </c>
      <c r="AK369">
        <f>Model!AS509</f>
        <v>0</v>
      </c>
      <c r="AL369">
        <f>Model!AT509</f>
        <v>5.7000000000000384E-2</v>
      </c>
      <c r="AM369">
        <f>Model!AU509</f>
        <v>0.15800000000000036</v>
      </c>
      <c r="AN369">
        <f>Model!AV509</f>
        <v>0.22499999999999787</v>
      </c>
      <c r="AO369">
        <f>Model!AW509</f>
        <v>0</v>
      </c>
      <c r="AP369">
        <f>Model!AX509</f>
        <v>0</v>
      </c>
      <c r="AQ369">
        <f>Model!AY509</f>
        <v>0</v>
      </c>
      <c r="AR369">
        <f>Model!AZ509</f>
        <v>0</v>
      </c>
      <c r="AS369">
        <f>Model!BA509</f>
        <v>0</v>
      </c>
      <c r="AT369">
        <f>Model!BB509</f>
        <v>0</v>
      </c>
      <c r="AU369">
        <f>Model!BC509</f>
        <v>0</v>
      </c>
      <c r="AV369">
        <f>Model!BD509</f>
        <v>0</v>
      </c>
      <c r="AW369">
        <f>Model!BE509</f>
        <v>0</v>
      </c>
      <c r="AX369">
        <f>Model!BF509</f>
        <v>0</v>
      </c>
      <c r="AY369">
        <f>Model!BG509</f>
        <v>0</v>
      </c>
      <c r="AZ369">
        <f>Model!BH509</f>
        <v>0</v>
      </c>
      <c r="BA369">
        <f>Model!BI509</f>
        <v>0</v>
      </c>
      <c r="BB369">
        <f>Model!BJ509</f>
        <v>0</v>
      </c>
      <c r="BC369">
        <f>Model!BK509</f>
        <v>0</v>
      </c>
      <c r="BD369">
        <f>Model!BL509</f>
        <v>0</v>
      </c>
      <c r="BE369">
        <f>Model!BM509</f>
        <v>0</v>
      </c>
      <c r="BF369">
        <f>Model!BN509</f>
        <v>0</v>
      </c>
      <c r="BG369">
        <f>Model!BO509</f>
        <v>0</v>
      </c>
      <c r="BH369">
        <f>Model!BP509</f>
        <v>0</v>
      </c>
      <c r="BI369">
        <f>Model!BQ509</f>
        <v>0</v>
      </c>
      <c r="BJ369">
        <f>Model!BR509</f>
        <v>0</v>
      </c>
      <c r="BK369">
        <f>Model!BS509</f>
        <v>0</v>
      </c>
      <c r="BL369">
        <f>Model!BT509</f>
        <v>0</v>
      </c>
      <c r="BM369">
        <f>Model!BU509</f>
        <v>0</v>
      </c>
      <c r="BN369">
        <f>Model!BV509</f>
        <v>0</v>
      </c>
      <c r="BO369">
        <f>Model!BW509</f>
        <v>0</v>
      </c>
      <c r="BP369">
        <f>Model!BX509</f>
        <v>0</v>
      </c>
      <c r="BQ369">
        <f>Model!BY509</f>
        <v>0</v>
      </c>
      <c r="BR369">
        <f>Model!BZ509</f>
        <v>0</v>
      </c>
      <c r="BS369">
        <f>Model!CA509</f>
        <v>0</v>
      </c>
      <c r="BT369">
        <f>Model!CB509</f>
        <v>0</v>
      </c>
      <c r="BU369">
        <f>Model!CC509</f>
        <v>0</v>
      </c>
      <c r="BV369">
        <f>Model!CD509</f>
        <v>0</v>
      </c>
      <c r="BW369">
        <f>Model!CE509</f>
        <v>0</v>
      </c>
      <c r="BX369">
        <f>Model!CF509</f>
        <v>0</v>
      </c>
      <c r="BY369">
        <f>Model!CG509</f>
        <v>0</v>
      </c>
      <c r="BZ369">
        <f>Model!CH509</f>
        <v>0</v>
      </c>
      <c r="CA369">
        <f>Model!CI509</f>
        <v>0</v>
      </c>
      <c r="CB369">
        <f>Model!CJ509</f>
        <v>0</v>
      </c>
      <c r="CC369">
        <f>Model!CK509</f>
        <v>0</v>
      </c>
      <c r="CD369">
        <f>Model!CL509</f>
        <v>0</v>
      </c>
      <c r="CE369">
        <f>Model!CM509</f>
        <v>0</v>
      </c>
      <c r="CF369">
        <f>Model!CN509</f>
        <v>0</v>
      </c>
      <c r="CG369">
        <f>Model!CO509</f>
        <v>0</v>
      </c>
      <c r="CH369">
        <f>Model!CP509</f>
        <v>0</v>
      </c>
      <c r="CI369">
        <f>Model!CQ509</f>
        <v>0</v>
      </c>
      <c r="CJ369">
        <f>Model!CR509</f>
        <v>0</v>
      </c>
      <c r="CK369">
        <f>Model!CS509</f>
        <v>0</v>
      </c>
      <c r="CL369">
        <f>Model!CT509</f>
        <v>0</v>
      </c>
      <c r="CM369">
        <f>Model!CU509</f>
        <v>0</v>
      </c>
      <c r="CN369">
        <f>Model!CV509</f>
        <v>0</v>
      </c>
      <c r="CO369">
        <f>Model!CW509</f>
        <v>0</v>
      </c>
      <c r="CP369">
        <f>Model!CX509</f>
        <v>0</v>
      </c>
      <c r="CQ369">
        <f>Model!CY509</f>
        <v>0</v>
      </c>
      <c r="CR369">
        <f>Model!DG509</f>
        <v>0</v>
      </c>
      <c r="CS369">
        <f>Model!DH509</f>
        <v>0</v>
      </c>
      <c r="CT369">
        <f>Model!DI509</f>
        <v>0</v>
      </c>
      <c r="CU369">
        <f>Model!DJ509</f>
        <v>0</v>
      </c>
    </row>
    <row r="370" spans="1:99">
      <c r="A370" t="str">
        <f>Model!I510</f>
        <v>Depreciation</v>
      </c>
      <c r="B370">
        <f>Model!J510</f>
        <v>0</v>
      </c>
      <c r="C370">
        <f>Model!K510</f>
        <v>0</v>
      </c>
      <c r="D370">
        <f>Model!L510</f>
        <v>0</v>
      </c>
      <c r="E370">
        <f>Model!M510</f>
        <v>0</v>
      </c>
      <c r="F370">
        <f>Model!N510</f>
        <v>0</v>
      </c>
      <c r="G370">
        <f>Model!O510</f>
        <v>0</v>
      </c>
      <c r="H370">
        <f>Model!P510</f>
        <v>0</v>
      </c>
      <c r="I370">
        <f>Model!Q510</f>
        <v>0</v>
      </c>
      <c r="J370">
        <f>Model!R510</f>
        <v>0</v>
      </c>
      <c r="K370">
        <f>Model!S510</f>
        <v>0</v>
      </c>
      <c r="L370">
        <f>Model!T510</f>
        <v>0</v>
      </c>
      <c r="M370">
        <f>Model!U510</f>
        <v>0</v>
      </c>
      <c r="N370">
        <f>Model!V510</f>
        <v>0</v>
      </c>
      <c r="O370">
        <f>Model!W510</f>
        <v>0</v>
      </c>
      <c r="P370">
        <f>Model!X510</f>
        <v>0</v>
      </c>
      <c r="Q370">
        <f>Model!Y510</f>
        <v>0</v>
      </c>
      <c r="R370">
        <f>Model!Z510</f>
        <v>0</v>
      </c>
      <c r="S370">
        <f>Model!AA510</f>
        <v>0</v>
      </c>
      <c r="T370">
        <f>Model!AB510</f>
        <v>0</v>
      </c>
      <c r="U370">
        <f>Model!AC510</f>
        <v>0</v>
      </c>
      <c r="V370">
        <f>Model!AD510</f>
        <v>0</v>
      </c>
      <c r="W370">
        <f>Model!AE510</f>
        <v>0</v>
      </c>
      <c r="X370">
        <f>Model!AF510</f>
        <v>0</v>
      </c>
      <c r="Y370">
        <f>Model!AG510</f>
        <v>2.387</v>
      </c>
      <c r="Z370">
        <f>Model!AH510</f>
        <v>2.5859999999999999</v>
      </c>
      <c r="AA370">
        <f>Model!AI510</f>
        <v>2.6850000000000001</v>
      </c>
      <c r="AB370">
        <f>Model!AJ510</f>
        <v>2.5859999999999994</v>
      </c>
      <c r="AC370">
        <f>Model!AK510</f>
        <v>2.5920000000000005</v>
      </c>
      <c r="AD370">
        <f>Model!AL510</f>
        <v>2.7030000000000003</v>
      </c>
      <c r="AE370">
        <f>Model!AM510</f>
        <v>3.0140000000000002</v>
      </c>
      <c r="AF370">
        <f>Model!AN510</f>
        <v>3.5860000000000003</v>
      </c>
      <c r="AG370">
        <f>Model!AO510</f>
        <v>3.6079999999999997</v>
      </c>
      <c r="AH370">
        <f>Model!AP510</f>
        <v>3.6079999999999997</v>
      </c>
      <c r="AI370">
        <f>Model!AQ510</f>
        <v>3.5830000000000002</v>
      </c>
      <c r="AJ370">
        <f>Model!AR510</f>
        <v>3.5890000000000004</v>
      </c>
      <c r="AK370">
        <f>Model!AS510</f>
        <v>3.4560000000000004</v>
      </c>
      <c r="AL370">
        <f>Model!AT510</f>
        <v>3.5130000000000008</v>
      </c>
      <c r="AM370">
        <f>Model!AU510</f>
        <v>3.6710000000000012</v>
      </c>
      <c r="AN370">
        <f>Model!AV510</f>
        <v>3.895999999999999</v>
      </c>
      <c r="AO370">
        <f>Model!AW510</f>
        <v>3.9820000000000002</v>
      </c>
      <c r="AP370">
        <f>Model!AX510</f>
        <v>3.9129999999999994</v>
      </c>
      <c r="AQ370">
        <f>Model!AY510</f>
        <v>4.2170000000000005</v>
      </c>
      <c r="AR370">
        <f>Model!AZ510</f>
        <v>4.18</v>
      </c>
      <c r="AS370">
        <f>Model!BA510</f>
        <v>4.2519999999999989</v>
      </c>
      <c r="AT370">
        <f>Model!BB510</f>
        <v>5.1899999999999995</v>
      </c>
      <c r="AU370">
        <f>Model!BC510</f>
        <v>5.7469999999999999</v>
      </c>
      <c r="AV370">
        <f>Model!BD510</f>
        <v>6.0250000000000004</v>
      </c>
      <c r="AW370">
        <f>Model!BE510</f>
        <v>7.6850000000000005</v>
      </c>
      <c r="AX370">
        <f>Model!BF510</f>
        <v>7.4649999999999999</v>
      </c>
      <c r="AY370">
        <f>Model!BG510</f>
        <v>8.1710000000000012</v>
      </c>
      <c r="AZ370">
        <f>Model!BH510</f>
        <v>9.4969999999999999</v>
      </c>
      <c r="BA370">
        <f>Model!BI510</f>
        <v>9.8019999999999978</v>
      </c>
      <c r="BB370">
        <f>Model!BJ510</f>
        <v>4.8230000000000004</v>
      </c>
      <c r="BC370">
        <f>Model!BK510</f>
        <v>12.896999999999998</v>
      </c>
      <c r="BD370">
        <f>Model!BL510</f>
        <v>14.399000000000001</v>
      </c>
      <c r="BE370">
        <f>Model!BM510</f>
        <v>15.551999999999996</v>
      </c>
      <c r="BF370">
        <f>Model!BN510</f>
        <v>17.337</v>
      </c>
      <c r="BG370">
        <f>Model!BO510</f>
        <v>21.814999999999998</v>
      </c>
      <c r="BH370">
        <f>Model!BP510</f>
        <v>23.537000000000006</v>
      </c>
      <c r="BI370">
        <f>Model!BQ510</f>
        <v>21.673999999999992</v>
      </c>
      <c r="BJ370">
        <f>Model!BR510</f>
        <v>25.021000000000008</v>
      </c>
      <c r="BK370">
        <f>Model!BS510</f>
        <v>26.825000000000003</v>
      </c>
      <c r="BL370">
        <f>Model!BT510</f>
        <v>27.996999999999993</v>
      </c>
      <c r="BM370">
        <f>Model!BU510</f>
        <v>30.485999999999997</v>
      </c>
      <c r="BN370">
        <f>Model!BV510</f>
        <v>34.671000000000006</v>
      </c>
      <c r="BO370">
        <f>Model!BW510</f>
        <v>36.796000000000006</v>
      </c>
      <c r="BP370">
        <f>Model!BX510</f>
        <v>38.106000000000002</v>
      </c>
      <c r="BQ370">
        <f>Model!BY510</f>
        <v>40.412000000000006</v>
      </c>
      <c r="BR370">
        <f>Model!BZ510</f>
        <v>44.710999999999999</v>
      </c>
      <c r="BS370">
        <f>Model!CA510</f>
        <v>50.613</v>
      </c>
      <c r="BT370">
        <f>Model!CB510</f>
        <v>51.494999999999997</v>
      </c>
      <c r="BU370">
        <f>Model!CC510</f>
        <v>54.865422558556318</v>
      </c>
      <c r="BV370">
        <f>Model!CD510</f>
        <v>60.770257247692818</v>
      </c>
      <c r="BW370">
        <f>Model!CE510</f>
        <v>65.303793061066244</v>
      </c>
      <c r="BX370">
        <f>Model!CF510</f>
        <v>70.194950400720117</v>
      </c>
      <c r="BY370">
        <f>Model!CG510</f>
        <v>0</v>
      </c>
      <c r="BZ370">
        <f>Model!CH510</f>
        <v>0</v>
      </c>
      <c r="CA370">
        <f>Model!CI510</f>
        <v>0</v>
      </c>
      <c r="CB370">
        <f>Model!CJ510</f>
        <v>0</v>
      </c>
      <c r="CC370">
        <f>Model!CK510</f>
        <v>0</v>
      </c>
      <c r="CD370">
        <f>Model!CL510</f>
        <v>0</v>
      </c>
      <c r="CE370">
        <f>Model!CM510</f>
        <v>10.244</v>
      </c>
      <c r="CF370">
        <f>Model!CN510</f>
        <v>11.895000000000001</v>
      </c>
      <c r="CG370">
        <f>Model!CO510</f>
        <v>14.388</v>
      </c>
      <c r="CH370">
        <f>Model!CP510</f>
        <v>14.536000000000001</v>
      </c>
      <c r="CI370">
        <f>Model!CQ510</f>
        <v>16.292000000000002</v>
      </c>
      <c r="CJ370">
        <f>Model!CR510</f>
        <v>21.213999999999999</v>
      </c>
      <c r="CK370">
        <f>Model!CS510</f>
        <v>32.817999999999998</v>
      </c>
      <c r="CL370">
        <f>Model!CT510</f>
        <v>41.920999999999999</v>
      </c>
      <c r="CM370">
        <f>Model!CU510</f>
        <v>78.241</v>
      </c>
      <c r="CN370">
        <f>Model!CV510</f>
        <v>101.517</v>
      </c>
      <c r="CO370">
        <f>Model!CW510</f>
        <v>140.05900000000003</v>
      </c>
      <c r="CP370">
        <f>Model!CX510</f>
        <v>187.23099999999999</v>
      </c>
      <c r="CQ370">
        <f>Model!CY510</f>
        <v>251.1344232680355</v>
      </c>
      <c r="CR370">
        <f>Model!DG510</f>
        <v>0</v>
      </c>
      <c r="CS370">
        <f>Model!DH510</f>
        <v>0</v>
      </c>
      <c r="CT370">
        <f>Model!DI510</f>
        <v>0</v>
      </c>
      <c r="CU370">
        <f>Model!DJ510</f>
        <v>0</v>
      </c>
    </row>
    <row r="371" spans="1:99">
      <c r="A371" t="str">
        <f>Model!I511</f>
        <v>% change Y/Y</v>
      </c>
      <c r="B371">
        <f>Model!J511</f>
        <v>0</v>
      </c>
      <c r="C371">
        <f>Model!K511</f>
        <v>0</v>
      </c>
      <c r="D371">
        <f>Model!L511</f>
        <v>0</v>
      </c>
      <c r="E371">
        <f>Model!M511</f>
        <v>0</v>
      </c>
      <c r="F371">
        <f>Model!N511</f>
        <v>0</v>
      </c>
      <c r="G371">
        <f>Model!O511</f>
        <v>0</v>
      </c>
      <c r="H371">
        <f>Model!P511</f>
        <v>0</v>
      </c>
      <c r="I371">
        <f>Model!Q511</f>
        <v>0</v>
      </c>
      <c r="J371">
        <f>Model!R511</f>
        <v>0</v>
      </c>
      <c r="K371">
        <f>Model!S511</f>
        <v>0</v>
      </c>
      <c r="L371">
        <f>Model!T511</f>
        <v>0</v>
      </c>
      <c r="M371">
        <f>Model!U511</f>
        <v>0</v>
      </c>
      <c r="N371">
        <f>Model!V511</f>
        <v>0</v>
      </c>
      <c r="O371">
        <f>Model!W511</f>
        <v>0</v>
      </c>
      <c r="P371">
        <f>Model!X511</f>
        <v>0</v>
      </c>
      <c r="Q371">
        <f>Model!Y511</f>
        <v>0</v>
      </c>
      <c r="R371">
        <f>Model!Z511</f>
        <v>0</v>
      </c>
      <c r="S371">
        <f>Model!AA511</f>
        <v>0</v>
      </c>
      <c r="T371">
        <f>Model!AB511</f>
        <v>0</v>
      </c>
      <c r="U371">
        <f>Model!AC511</f>
        <v>0</v>
      </c>
      <c r="V371">
        <f>Model!AD511</f>
        <v>0</v>
      </c>
      <c r="W371">
        <f>Model!AE511</f>
        <v>0</v>
      </c>
      <c r="X371">
        <f>Model!AF511</f>
        <v>0</v>
      </c>
      <c r="Y371">
        <f>Model!AG511</f>
        <v>0</v>
      </c>
      <c r="Z371">
        <f>Model!AH511</f>
        <v>0</v>
      </c>
      <c r="AA371">
        <f>Model!AI511</f>
        <v>0</v>
      </c>
      <c r="AB371">
        <f>Model!AJ511</f>
        <v>0</v>
      </c>
      <c r="AC371">
        <f>Model!AK511</f>
        <v>8.5881860075408767E-2</v>
      </c>
      <c r="AD371">
        <f>Model!AL511</f>
        <v>4.524361948955935E-2</v>
      </c>
      <c r="AE371">
        <f>Model!AM511</f>
        <v>0.1225325884543762</v>
      </c>
      <c r="AF371">
        <f>Model!AN511</f>
        <v>0.38669760247486518</v>
      </c>
      <c r="AG371">
        <f>Model!AO511</f>
        <v>0.39197530864197483</v>
      </c>
      <c r="AH371">
        <f>Model!AP511</f>
        <v>0.33481317055123916</v>
      </c>
      <c r="AI371">
        <f>Model!AQ511</f>
        <v>0.1887856668878567</v>
      </c>
      <c r="AJ371">
        <f>Model!AR511</f>
        <v>8.3658672615727347E-4</v>
      </c>
      <c r="AK371">
        <f>Model!AS511</f>
        <v>-4.2128603104212625E-2</v>
      </c>
      <c r="AL371">
        <f>Model!AT511</f>
        <v>-2.6330376940132738E-2</v>
      </c>
      <c r="AM371">
        <f>Model!AU511</f>
        <v>2.4560424225509525E-2</v>
      </c>
      <c r="AN371">
        <f>Model!AV511</f>
        <v>8.553914739481705E-2</v>
      </c>
      <c r="AO371">
        <f>Model!AW511</f>
        <v>0.15219907407407396</v>
      </c>
      <c r="AP371">
        <f>Model!AX511</f>
        <v>0.11386279533162491</v>
      </c>
      <c r="AQ371">
        <f>Model!AY511</f>
        <v>0.14873331517297728</v>
      </c>
      <c r="AR371">
        <f>Model!AZ511</f>
        <v>7.2895277207392306E-2</v>
      </c>
      <c r="AS371">
        <f>Model!BA511</f>
        <v>6.7805123053741534E-2</v>
      </c>
      <c r="AT371">
        <f>Model!BB511</f>
        <v>0.32634807053411707</v>
      </c>
      <c r="AU371">
        <f>Model!BC511</f>
        <v>0.36281716860327218</v>
      </c>
      <c r="AV371">
        <f>Model!BD511</f>
        <v>0.44138755980861255</v>
      </c>
      <c r="AW371">
        <f>Model!BE511</f>
        <v>0.80738476011288873</v>
      </c>
      <c r="AX371">
        <f>Model!BF511</f>
        <v>0.43834296724470145</v>
      </c>
      <c r="AY371">
        <f>Model!BG511</f>
        <v>0.42178527927614429</v>
      </c>
      <c r="AZ371">
        <f>Model!BH511</f>
        <v>0.57626556016597497</v>
      </c>
      <c r="BA371">
        <f>Model!BI511</f>
        <v>0.27547169811320726</v>
      </c>
      <c r="BB371">
        <f>Model!BJ511</f>
        <v>-0.35391828533154712</v>
      </c>
      <c r="BC371">
        <f>Model!BK511</f>
        <v>0.57838697833802422</v>
      </c>
      <c r="BD371">
        <f>Model!BL511</f>
        <v>0.51616299884173955</v>
      </c>
      <c r="BE371">
        <f>Model!BM511</f>
        <v>0.58661497653540096</v>
      </c>
      <c r="BF371">
        <f>Model!BN511</f>
        <v>2.5946506323864811</v>
      </c>
      <c r="BG371">
        <f>Model!BO511</f>
        <v>0.69147863844304869</v>
      </c>
      <c r="BH371">
        <f>Model!BP511</f>
        <v>0.63462740468088086</v>
      </c>
      <c r="BI371">
        <f>Model!BQ511</f>
        <v>0.3936471193415636</v>
      </c>
      <c r="BJ371">
        <f>Model!BR511</f>
        <v>0.44321393551364174</v>
      </c>
      <c r="BK371">
        <f>Model!BS511</f>
        <v>0.22965849186339704</v>
      </c>
      <c r="BL371">
        <f>Model!BT511</f>
        <v>0.18948888983302825</v>
      </c>
      <c r="BM371">
        <f>Model!BU511</f>
        <v>0.40657008397157912</v>
      </c>
      <c r="BN371">
        <f>Model!BV511</f>
        <v>0.38567603213300816</v>
      </c>
      <c r="BO371">
        <f>Model!BW511</f>
        <v>0.37170549860205049</v>
      </c>
      <c r="BP371">
        <f>Model!BX511</f>
        <v>0.3610744008286606</v>
      </c>
      <c r="BQ371">
        <f>Model!BY511</f>
        <v>0.32559207505084342</v>
      </c>
      <c r="BR371">
        <f>Model!BZ511</f>
        <v>0.28957918721698217</v>
      </c>
      <c r="BS371">
        <f>Model!CA511</f>
        <v>0.37550277204043891</v>
      </c>
      <c r="BT371">
        <f>Model!CB511</f>
        <v>0.3513619902377576</v>
      </c>
      <c r="BU371">
        <f>Model!CC511</f>
        <v>0.35765175092933554</v>
      </c>
      <c r="BV371">
        <f>Model!CD511</f>
        <v>0.35917911135275027</v>
      </c>
      <c r="BW371">
        <f>Model!CE511</f>
        <v>0.2902573066418952</v>
      </c>
      <c r="BX371">
        <f>Model!CF511</f>
        <v>0.36314108944014212</v>
      </c>
      <c r="BY371">
        <f>Model!CG511</f>
        <v>0</v>
      </c>
      <c r="BZ371">
        <f>Model!CH511</f>
        <v>0</v>
      </c>
      <c r="CA371">
        <f>Model!CI511</f>
        <v>0</v>
      </c>
      <c r="CB371">
        <f>Model!CJ511</f>
        <v>0</v>
      </c>
      <c r="CC371">
        <f>Model!CK511</f>
        <v>0</v>
      </c>
      <c r="CD371">
        <f>Model!CL511</f>
        <v>0</v>
      </c>
      <c r="CE371">
        <f>Model!CM511</f>
        <v>0</v>
      </c>
      <c r="CF371">
        <f>Model!CN511</f>
        <v>0.16116751269035556</v>
      </c>
      <c r="CG371">
        <f>Model!CO511</f>
        <v>0.2095838587641865</v>
      </c>
      <c r="CH371">
        <f>Model!CP511</f>
        <v>1.0286349735891154E-2</v>
      </c>
      <c r="CI371">
        <f>Model!CQ511</f>
        <v>0.1208035222894881</v>
      </c>
      <c r="CJ371">
        <f>Model!CR511</f>
        <v>0.3021114657500612</v>
      </c>
      <c r="CK371">
        <f>Model!CS511</f>
        <v>0.54699726595644393</v>
      </c>
      <c r="CL371">
        <f>Model!CT511</f>
        <v>0.27737826802364562</v>
      </c>
      <c r="CM371">
        <f>Model!CU511</f>
        <v>0.86639154600319657</v>
      </c>
      <c r="CN371">
        <f>Model!CV511</f>
        <v>0.29749108523664058</v>
      </c>
      <c r="CO371">
        <f>Model!CW511</f>
        <v>0.37966054946462191</v>
      </c>
      <c r="CP371">
        <f>Model!CX511</f>
        <v>0.33680091961244885</v>
      </c>
      <c r="CQ371">
        <f>Model!CY511</f>
        <v>0.34130792052617087</v>
      </c>
      <c r="CR371">
        <f>Model!DG511</f>
        <v>0</v>
      </c>
      <c r="CS371">
        <f>Model!DH511</f>
        <v>0</v>
      </c>
      <c r="CT371">
        <f>Model!DI511</f>
        <v>0</v>
      </c>
      <c r="CU371">
        <f>Model!DJ511</f>
        <v>0</v>
      </c>
    </row>
    <row r="372" spans="1:99">
      <c r="A372" t="str">
        <f>Model!I518</f>
        <v>DRIVER: % of Total Gross Profit</v>
      </c>
      <c r="B372">
        <f>Model!J518</f>
        <v>0</v>
      </c>
      <c r="C372">
        <f>Model!K518</f>
        <v>0</v>
      </c>
      <c r="D372">
        <f>Model!L518</f>
        <v>0</v>
      </c>
      <c r="E372">
        <f>Model!M518</f>
        <v>0</v>
      </c>
      <c r="F372">
        <f>Model!N518</f>
        <v>0</v>
      </c>
      <c r="G372">
        <f>Model!O518</f>
        <v>0</v>
      </c>
      <c r="H372">
        <f>Model!P518</f>
        <v>0</v>
      </c>
      <c r="I372">
        <f>Model!Q518</f>
        <v>0</v>
      </c>
      <c r="J372">
        <f>Model!R518</f>
        <v>0</v>
      </c>
      <c r="K372">
        <f>Model!S518</f>
        <v>0</v>
      </c>
      <c r="L372">
        <f>Model!T518</f>
        <v>0</v>
      </c>
      <c r="M372">
        <f>Model!U518</f>
        <v>0</v>
      </c>
      <c r="N372">
        <f>Model!V518</f>
        <v>0</v>
      </c>
      <c r="O372">
        <f>Model!W518</f>
        <v>0</v>
      </c>
      <c r="P372">
        <f>Model!X518</f>
        <v>0</v>
      </c>
      <c r="Q372">
        <f>Model!Y518</f>
        <v>0</v>
      </c>
      <c r="R372">
        <f>Model!Z518</f>
        <v>0</v>
      </c>
      <c r="S372">
        <f>Model!AA518</f>
        <v>0</v>
      </c>
      <c r="T372">
        <f>Model!AB518</f>
        <v>0</v>
      </c>
      <c r="U372">
        <f>Model!AC518</f>
        <v>0</v>
      </c>
      <c r="V372">
        <f>Model!AD518</f>
        <v>0</v>
      </c>
      <c r="W372">
        <f>Model!AE518</f>
        <v>0</v>
      </c>
      <c r="X372">
        <f>Model!AF518</f>
        <v>0</v>
      </c>
      <c r="Y372">
        <f>Model!AG518</f>
        <v>3.3046752779277599E-2</v>
      </c>
      <c r="Z372">
        <f>Model!AH518</f>
        <v>2.4441419984121582E-2</v>
      </c>
      <c r="AA372">
        <f>Model!AI518</f>
        <v>2.1950621321124915E-2</v>
      </c>
      <c r="AB372">
        <f>Model!AJ518</f>
        <v>2.5985510013364552E-2</v>
      </c>
      <c r="AC372">
        <f>Model!AK518</f>
        <v>2.4961719585126975E-2</v>
      </c>
      <c r="AD372">
        <f>Model!AL518</f>
        <v>1.7450756328562307E-2</v>
      </c>
      <c r="AE372">
        <f>Model!AM518</f>
        <v>1.4896382660096576E-2</v>
      </c>
      <c r="AF372">
        <f>Model!AN518</f>
        <v>2.239122833308357E-2</v>
      </c>
      <c r="AG372">
        <f>Model!AO518</f>
        <v>1.9922364621237636E-2</v>
      </c>
      <c r="AH372">
        <f>Model!AP518</f>
        <v>1.4220120208887573E-2</v>
      </c>
      <c r="AI372">
        <f>Model!AQ518</f>
        <v>1.1335809515372787E-2</v>
      </c>
      <c r="AJ372">
        <f>Model!AR518</f>
        <v>1.7501767732182479E-2</v>
      </c>
      <c r="AK372">
        <f>Model!AS518</f>
        <v>1.6589065425046803E-2</v>
      </c>
      <c r="AL372">
        <f>Model!AT518</f>
        <v>1.1509051952902328E-2</v>
      </c>
      <c r="AM372">
        <f>Model!AU518</f>
        <v>8.4584084091003375E-3</v>
      </c>
      <c r="AN372">
        <f>Model!AV518</f>
        <v>1.2439772788954907E-2</v>
      </c>
      <c r="AO372">
        <f>Model!AW518</f>
        <v>1.2478221085749388E-2</v>
      </c>
      <c r="AP372">
        <f>Model!AX518</f>
        <v>8.7699245154465432E-3</v>
      </c>
      <c r="AQ372">
        <f>Model!AY518</f>
        <v>6.3109091779805114E-3</v>
      </c>
      <c r="AR372">
        <f>Model!AZ518</f>
        <v>8.7053227425515321E-3</v>
      </c>
      <c r="AS372">
        <f>Model!BA518</f>
        <v>8.4063518172903529E-3</v>
      </c>
      <c r="AT372">
        <f>Model!BB518</f>
        <v>6.9271395718520541E-3</v>
      </c>
      <c r="AU372">
        <f>Model!BC518</f>
        <v>5.2238426102669813E-3</v>
      </c>
      <c r="AV372">
        <f>Model!BD518</f>
        <v>8.3138194307413992E-3</v>
      </c>
      <c r="AW372">
        <f>Model!BE518</f>
        <v>1.0339195574259238E-2</v>
      </c>
      <c r="AX372">
        <f>Model!BF518</f>
        <v>7.4342075124832936E-3</v>
      </c>
      <c r="AY372">
        <f>Model!BG518</f>
        <v>5.8510520221611018E-3</v>
      </c>
      <c r="AZ372">
        <f>Model!BH518</f>
        <v>1.0105879223197658E-2</v>
      </c>
      <c r="BA372">
        <f>Model!BI518</f>
        <v>9.7081705318100547E-3</v>
      </c>
      <c r="BB372">
        <f>Model!BJ518</f>
        <v>3.5574693319442288E-3</v>
      </c>
      <c r="BC372">
        <f>Model!BK518</f>
        <v>6.6954883463862429E-3</v>
      </c>
      <c r="BD372">
        <f>Model!BL518</f>
        <v>1.1226813363486699E-2</v>
      </c>
      <c r="BE372">
        <f>Model!BM518</f>
        <v>1.1598675318215436E-2</v>
      </c>
      <c r="BF372">
        <f>Model!BN518</f>
        <v>9.5465159317632987E-3</v>
      </c>
      <c r="BG372">
        <f>Model!BO518</f>
        <v>8.7033397296719696E-3</v>
      </c>
      <c r="BH372">
        <f>Model!BP518</f>
        <v>1.5113721895926743E-2</v>
      </c>
      <c r="BI372">
        <f>Model!BQ518</f>
        <v>1.4091114763003088E-2</v>
      </c>
      <c r="BJ372">
        <f>Model!BR518</f>
        <v>1.2793673141447692E-2</v>
      </c>
      <c r="BK372">
        <f>Model!BS518</f>
        <v>9.5750881016856259E-3</v>
      </c>
      <c r="BL372">
        <f>Model!BT518</f>
        <v>1.6078018833039071E-2</v>
      </c>
      <c r="BM372">
        <f>Model!BU518</f>
        <v>1.6311386561779793E-2</v>
      </c>
      <c r="BN372">
        <f>Model!BV518</f>
        <v>1.5240025738137902E-2</v>
      </c>
      <c r="BO372">
        <f>Model!BW518</f>
        <v>1.0733154372998004E-2</v>
      </c>
      <c r="BP372">
        <f>Model!BX518</f>
        <v>1.7948078560879689E-2</v>
      </c>
      <c r="BQ372">
        <f>Model!BY518</f>
        <v>1.8612425599659414E-2</v>
      </c>
      <c r="BR372">
        <f>Model!BZ518</f>
        <v>1.6059817963090483E-2</v>
      </c>
      <c r="BS372">
        <f>Model!CA518</f>
        <v>1.2049246675729947E-2</v>
      </c>
      <c r="BT372">
        <f>Model!CB518</f>
        <v>1.978132131515237E-2</v>
      </c>
      <c r="BU372">
        <f>Model!CC518</f>
        <v>1.9612425599659415E-2</v>
      </c>
      <c r="BV372">
        <f>Model!CD518</f>
        <v>1.7059817963090484E-2</v>
      </c>
      <c r="BW372">
        <f>Model!CE518</f>
        <v>1.3049246675729948E-2</v>
      </c>
      <c r="BX372">
        <f>Model!CF518</f>
        <v>2.0781321315152371E-2</v>
      </c>
      <c r="BY372">
        <f>Model!CG518</f>
        <v>0</v>
      </c>
      <c r="BZ372">
        <f>Model!CH518</f>
        <v>0</v>
      </c>
      <c r="CA372">
        <f>Model!CI518</f>
        <v>0</v>
      </c>
      <c r="CB372">
        <f>Model!CJ518</f>
        <v>0</v>
      </c>
      <c r="CC372">
        <f>Model!CK518</f>
        <v>0</v>
      </c>
      <c r="CD372">
        <f>Model!CL518</f>
        <v>0</v>
      </c>
      <c r="CE372">
        <f>Model!CM518</f>
        <v>2.5618197823303445E-2</v>
      </c>
      <c r="CF372">
        <f>Model!CN518</f>
        <v>1.9147960046038824E-2</v>
      </c>
      <c r="CG372">
        <f>Model!CO518</f>
        <v>1.5050665762873557E-2</v>
      </c>
      <c r="CH372">
        <f>Model!CP518</f>
        <v>1.1529526167884052E-2</v>
      </c>
      <c r="CI372">
        <f>Model!CQ518</f>
        <v>8.5134667660218006E-3</v>
      </c>
      <c r="CJ372">
        <f>Model!CR518</f>
        <v>6.8879306985986447E-3</v>
      </c>
      <c r="CK372">
        <f>Model!CS518</f>
        <v>8.0363769843922652E-3</v>
      </c>
      <c r="CL372">
        <f>Model!CT518</f>
        <v>7.3341210793917153E-3</v>
      </c>
      <c r="CM372">
        <f>Model!CU518</f>
        <v>1.0316410715533622E-2</v>
      </c>
      <c r="CN372">
        <f>Model!CV518</f>
        <v>1.1815558706102222E-2</v>
      </c>
      <c r="CO372">
        <f>Model!CW518</f>
        <v>1.3578592555163067E-2</v>
      </c>
      <c r="CP372">
        <f>Model!CX518</f>
        <v>1.5062171449441679E-2</v>
      </c>
      <c r="CQ372">
        <f>Model!CY518</f>
        <v>1.7035451161599654E-2</v>
      </c>
      <c r="CR372">
        <f>Model!DG518</f>
        <v>0</v>
      </c>
      <c r="CS372">
        <f>Model!DH518</f>
        <v>0</v>
      </c>
      <c r="CT372">
        <f>Model!DI518</f>
        <v>0</v>
      </c>
      <c r="CU372">
        <f>Model!DJ518</f>
        <v>0</v>
      </c>
    </row>
    <row r="373" spans="1:99">
      <c r="A373">
        <f>Model!I520</f>
        <v>0</v>
      </c>
      <c r="B373">
        <f>Model!J520</f>
        <v>0</v>
      </c>
      <c r="C373">
        <f>Model!K520</f>
        <v>0</v>
      </c>
      <c r="D373">
        <f>Model!L520</f>
        <v>0</v>
      </c>
      <c r="E373">
        <f>Model!M520</f>
        <v>0</v>
      </c>
      <c r="F373">
        <f>Model!N520</f>
        <v>0</v>
      </c>
      <c r="G373">
        <f>Model!O520</f>
        <v>0</v>
      </c>
      <c r="H373">
        <f>Model!P520</f>
        <v>0</v>
      </c>
      <c r="I373">
        <f>Model!Q520</f>
        <v>0</v>
      </c>
      <c r="J373">
        <f>Model!R520</f>
        <v>0</v>
      </c>
      <c r="K373">
        <f>Model!S520</f>
        <v>0</v>
      </c>
      <c r="L373">
        <f>Model!T520</f>
        <v>0</v>
      </c>
      <c r="M373">
        <f>Model!U520</f>
        <v>0</v>
      </c>
      <c r="N373">
        <f>Model!V520</f>
        <v>0</v>
      </c>
      <c r="O373">
        <f>Model!W520</f>
        <v>0</v>
      </c>
      <c r="P373">
        <f>Model!X520</f>
        <v>0</v>
      </c>
      <c r="Q373">
        <f>Model!Y520</f>
        <v>0</v>
      </c>
      <c r="R373">
        <f>Model!Z520</f>
        <v>0</v>
      </c>
      <c r="S373">
        <f>Model!AA520</f>
        <v>0</v>
      </c>
      <c r="T373">
        <f>Model!AB520</f>
        <v>0</v>
      </c>
      <c r="U373">
        <f>Model!AC520</f>
        <v>0</v>
      </c>
      <c r="V373">
        <f>Model!AD520</f>
        <v>0</v>
      </c>
      <c r="W373">
        <f>Model!AE520</f>
        <v>0</v>
      </c>
      <c r="X373">
        <f>Model!AF520</f>
        <v>0</v>
      </c>
      <c r="Y373">
        <f>Model!AG520</f>
        <v>0</v>
      </c>
      <c r="Z373">
        <f>Model!AH520</f>
        <v>0</v>
      </c>
      <c r="AA373">
        <f>Model!AI520</f>
        <v>0</v>
      </c>
      <c r="AB373">
        <f>Model!AJ520</f>
        <v>0</v>
      </c>
      <c r="AC373">
        <f>Model!AK520</f>
        <v>0</v>
      </c>
      <c r="AD373">
        <f>Model!AL520</f>
        <v>0</v>
      </c>
      <c r="AE373">
        <f>Model!AM520</f>
        <v>0</v>
      </c>
      <c r="AF373">
        <f>Model!AN520</f>
        <v>0</v>
      </c>
      <c r="AG373">
        <f>Model!AO520</f>
        <v>0</v>
      </c>
      <c r="AH373">
        <f>Model!AP520</f>
        <v>0</v>
      </c>
      <c r="AI373">
        <f>Model!AQ520</f>
        <v>0</v>
      </c>
      <c r="AJ373">
        <f>Model!AR520</f>
        <v>0</v>
      </c>
      <c r="AK373">
        <f>Model!AS520</f>
        <v>0</v>
      </c>
      <c r="AL373">
        <f>Model!AT520</f>
        <v>0</v>
      </c>
      <c r="AM373">
        <f>Model!AU520</f>
        <v>0</v>
      </c>
      <c r="AN373">
        <f>Model!AV520</f>
        <v>0</v>
      </c>
      <c r="AO373">
        <f>Model!AW520</f>
        <v>0</v>
      </c>
      <c r="AP373">
        <f>Model!AX520</f>
        <v>0</v>
      </c>
      <c r="AQ373">
        <f>Model!AY520</f>
        <v>0</v>
      </c>
      <c r="AR373">
        <f>Model!AZ520</f>
        <v>0</v>
      </c>
      <c r="AS373">
        <f>Model!BA520</f>
        <v>0</v>
      </c>
      <c r="AT373">
        <f>Model!BB520</f>
        <v>0</v>
      </c>
      <c r="AU373">
        <f>Model!BC520</f>
        <v>0</v>
      </c>
      <c r="AV373">
        <f>Model!BD520</f>
        <v>0</v>
      </c>
      <c r="AW373">
        <f>Model!BE520</f>
        <v>0</v>
      </c>
      <c r="AX373">
        <f>Model!BF520</f>
        <v>0</v>
      </c>
      <c r="AY373">
        <f>Model!BG520</f>
        <v>0</v>
      </c>
      <c r="AZ373">
        <f>Model!BH520</f>
        <v>0</v>
      </c>
      <c r="BA373">
        <f>Model!BI520</f>
        <v>0</v>
      </c>
      <c r="BB373">
        <f>Model!BJ520</f>
        <v>0</v>
      </c>
      <c r="BC373">
        <f>Model!BK520</f>
        <v>0</v>
      </c>
      <c r="BD373">
        <f>Model!BL520</f>
        <v>0</v>
      </c>
      <c r="BE373">
        <f>Model!BM520</f>
        <v>0</v>
      </c>
      <c r="BF373">
        <f>Model!BN520</f>
        <v>0</v>
      </c>
      <c r="BG373">
        <f>Model!BO520</f>
        <v>0</v>
      </c>
      <c r="BH373">
        <f>Model!BP520</f>
        <v>0</v>
      </c>
      <c r="BI373">
        <f>Model!BQ520</f>
        <v>0</v>
      </c>
      <c r="BJ373">
        <f>Model!BR520</f>
        <v>0</v>
      </c>
      <c r="BK373">
        <f>Model!BS520</f>
        <v>0</v>
      </c>
      <c r="BL373">
        <f>Model!BT520</f>
        <v>0</v>
      </c>
      <c r="BM373">
        <f>Model!BU520</f>
        <v>0</v>
      </c>
      <c r="BN373">
        <f>Model!BV520</f>
        <v>0</v>
      </c>
      <c r="BO373">
        <f>Model!BW520</f>
        <v>0</v>
      </c>
      <c r="BP373">
        <f>Model!BX520</f>
        <v>0</v>
      </c>
      <c r="BQ373">
        <f>Model!BY520</f>
        <v>0</v>
      </c>
      <c r="BR373">
        <f>Model!BZ520</f>
        <v>0</v>
      </c>
      <c r="BS373">
        <f>Model!CA520</f>
        <v>0</v>
      </c>
      <c r="BT373">
        <f>Model!CB520</f>
        <v>0</v>
      </c>
      <c r="BU373">
        <f>Model!CC520</f>
        <v>0</v>
      </c>
      <c r="BV373">
        <f>Model!CD520</f>
        <v>0</v>
      </c>
      <c r="BW373">
        <f>Model!CE520</f>
        <v>0</v>
      </c>
      <c r="BX373">
        <f>Model!CF520</f>
        <v>0</v>
      </c>
      <c r="BY373">
        <f>Model!CG520</f>
        <v>0</v>
      </c>
      <c r="BZ373">
        <f>Model!CH520</f>
        <v>0</v>
      </c>
      <c r="CA373">
        <f>Model!CI520</f>
        <v>0</v>
      </c>
      <c r="CB373">
        <f>Model!CJ520</f>
        <v>0</v>
      </c>
      <c r="CC373">
        <f>Model!CK520</f>
        <v>0</v>
      </c>
      <c r="CD373">
        <f>Model!CL520</f>
        <v>0</v>
      </c>
      <c r="CE373">
        <f>Model!CM520</f>
        <v>0</v>
      </c>
      <c r="CF373">
        <f>Model!CN520</f>
        <v>0</v>
      </c>
      <c r="CG373">
        <f>Model!CO520</f>
        <v>0</v>
      </c>
      <c r="CH373">
        <f>Model!CP520</f>
        <v>0</v>
      </c>
      <c r="CI373">
        <f>Model!CQ520</f>
        <v>0</v>
      </c>
      <c r="CJ373">
        <f>Model!CR520</f>
        <v>0</v>
      </c>
      <c r="CK373">
        <f>Model!CS520</f>
        <v>0</v>
      </c>
      <c r="CL373">
        <f>Model!CT520</f>
        <v>0</v>
      </c>
      <c r="CM373">
        <f>Model!CU520</f>
        <v>0</v>
      </c>
      <c r="CN373">
        <f>Model!CV520</f>
        <v>0</v>
      </c>
      <c r="CO373">
        <f>Model!CW520</f>
        <v>0</v>
      </c>
      <c r="CP373">
        <f>Model!CX520</f>
        <v>0</v>
      </c>
      <c r="CQ373">
        <f>Model!CY520</f>
        <v>0</v>
      </c>
      <c r="CR373">
        <f>Model!DG520</f>
        <v>0</v>
      </c>
      <c r="CS373">
        <f>Model!DH520</f>
        <v>0</v>
      </c>
      <c r="CT373">
        <f>Model!DI520</f>
        <v>0</v>
      </c>
      <c r="CU373">
        <f>Model!DJ520</f>
        <v>0</v>
      </c>
    </row>
    <row r="374" spans="1:99">
      <c r="A374" t="str">
        <f>Model!I495</f>
        <v>Employee Count</v>
      </c>
      <c r="B374">
        <f>Model!J495</f>
        <v>0</v>
      </c>
      <c r="C374">
        <f>Model!K495</f>
        <v>0</v>
      </c>
      <c r="D374">
        <f>Model!L495</f>
        <v>0</v>
      </c>
      <c r="E374">
        <f>Model!M495</f>
        <v>0</v>
      </c>
      <c r="F374">
        <f>Model!N495</f>
        <v>0</v>
      </c>
      <c r="G374">
        <f>Model!O495</f>
        <v>0</v>
      </c>
      <c r="H374">
        <f>Model!P495</f>
        <v>0</v>
      </c>
      <c r="I374">
        <f>Model!Q495</f>
        <v>0</v>
      </c>
      <c r="J374">
        <f>Model!R495</f>
        <v>0</v>
      </c>
      <c r="K374">
        <f>Model!S495</f>
        <v>0</v>
      </c>
      <c r="L374">
        <f>Model!T495</f>
        <v>0</v>
      </c>
      <c r="M374">
        <f>Model!U495</f>
        <v>0</v>
      </c>
      <c r="N374">
        <f>Model!V495</f>
        <v>0</v>
      </c>
      <c r="O374">
        <f>Model!W495</f>
        <v>0</v>
      </c>
      <c r="P374">
        <f>Model!X495</f>
        <v>0</v>
      </c>
      <c r="Q374">
        <f>Model!Y495</f>
        <v>0</v>
      </c>
      <c r="R374">
        <f>Model!Z495</f>
        <v>0</v>
      </c>
      <c r="S374">
        <f>Model!AA495</f>
        <v>0</v>
      </c>
      <c r="T374">
        <f>Model!AB495</f>
        <v>0</v>
      </c>
      <c r="U374">
        <f>Model!AC495</f>
        <v>0</v>
      </c>
      <c r="V374">
        <f>Model!AD495</f>
        <v>0</v>
      </c>
      <c r="W374">
        <f>Model!AE495</f>
        <v>0</v>
      </c>
      <c r="X374">
        <f>Model!AF495</f>
        <v>0</v>
      </c>
      <c r="Y374">
        <f>Model!AG495</f>
        <v>0</v>
      </c>
      <c r="Z374">
        <f>Model!AH495</f>
        <v>0</v>
      </c>
      <c r="AA374">
        <f>Model!AI495</f>
        <v>0</v>
      </c>
      <c r="AB374">
        <f>Model!AJ495</f>
        <v>0</v>
      </c>
      <c r="AC374">
        <f>Model!AK495</f>
        <v>0</v>
      </c>
      <c r="AD374">
        <f>Model!AL495</f>
        <v>0</v>
      </c>
      <c r="AE374">
        <f>Model!AM495</f>
        <v>0</v>
      </c>
      <c r="AF374">
        <f>Model!AN495</f>
        <v>0</v>
      </c>
      <c r="AG374">
        <f>Model!AO495</f>
        <v>0</v>
      </c>
      <c r="AH374">
        <f>Model!AP495</f>
        <v>0</v>
      </c>
      <c r="AI374">
        <f>Model!AQ495</f>
        <v>0</v>
      </c>
      <c r="AJ374">
        <f>Model!AR495</f>
        <v>0</v>
      </c>
      <c r="AK374">
        <f>Model!AS495</f>
        <v>0</v>
      </c>
      <c r="AL374">
        <f>Model!AT495</f>
        <v>0</v>
      </c>
      <c r="AM374">
        <f>Model!AU495</f>
        <v>0</v>
      </c>
      <c r="AN374">
        <f>Model!AV495</f>
        <v>0</v>
      </c>
      <c r="AO374">
        <f>Model!AW495</f>
        <v>0</v>
      </c>
      <c r="AP374">
        <f>Model!AX495</f>
        <v>0</v>
      </c>
      <c r="AQ374">
        <f>Model!AY495</f>
        <v>0</v>
      </c>
      <c r="AR374">
        <f>Model!AZ495</f>
        <v>0</v>
      </c>
      <c r="AS374">
        <f>Model!BA495</f>
        <v>0</v>
      </c>
      <c r="AT374">
        <f>Model!BB495</f>
        <v>0</v>
      </c>
      <c r="AU374">
        <f>Model!BC495</f>
        <v>0</v>
      </c>
      <c r="AV374">
        <f>Model!BD495</f>
        <v>0</v>
      </c>
      <c r="AW374">
        <f>Model!BE495</f>
        <v>5700</v>
      </c>
      <c r="AX374">
        <f>Model!BF495</f>
        <v>6400</v>
      </c>
      <c r="AY374">
        <f>Model!BG495</f>
        <v>6600</v>
      </c>
      <c r="AZ374">
        <f>Model!BH495</f>
        <v>7000</v>
      </c>
      <c r="BA374">
        <f>Model!BI495</f>
        <v>7900</v>
      </c>
      <c r="BB374">
        <f>Model!BJ495</f>
        <v>9500</v>
      </c>
      <c r="BC374">
        <f>Model!BK495</f>
        <v>9400</v>
      </c>
      <c r="BD374">
        <f>Model!BL495</f>
        <v>9500</v>
      </c>
      <c r="BE374">
        <f>Model!BM495</f>
        <v>10200</v>
      </c>
      <c r="BF374">
        <f>Model!BN495</f>
        <v>11700</v>
      </c>
      <c r="BG374">
        <f>Model!BO495</f>
        <v>12600</v>
      </c>
      <c r="BH374">
        <f>Model!BP495</f>
        <v>12700</v>
      </c>
      <c r="BI374">
        <f>Model!BQ495</f>
        <v>13200</v>
      </c>
      <c r="BJ374">
        <f>Model!BR495</f>
        <v>16200</v>
      </c>
      <c r="BK374">
        <f>Model!BS495</f>
        <v>15500</v>
      </c>
      <c r="BL374">
        <f>Model!BT495</f>
        <v>15500</v>
      </c>
      <c r="BM374">
        <f>Model!BU495</f>
        <v>16000</v>
      </c>
      <c r="BN374">
        <f>Model!BV495</f>
        <v>17600</v>
      </c>
      <c r="BO374">
        <f>Model!BW495</f>
        <v>18000</v>
      </c>
      <c r="BP374">
        <f>Model!BX495</f>
        <v>18500</v>
      </c>
      <c r="BQ374">
        <f>Model!BY495</f>
        <v>20500</v>
      </c>
      <c r="BR374">
        <f>Model!BZ495</f>
        <v>22500</v>
      </c>
      <c r="BS374">
        <f>Model!CA495</f>
        <v>23000</v>
      </c>
      <c r="BT374">
        <f>Model!CB495</f>
        <v>22900</v>
      </c>
      <c r="BU374">
        <f>Model!CC495</f>
        <v>0</v>
      </c>
      <c r="BV374">
        <f>Model!CD495</f>
        <v>0</v>
      </c>
      <c r="BW374">
        <f>Model!CE495</f>
        <v>0</v>
      </c>
      <c r="BX374">
        <f>Model!CF495</f>
        <v>0</v>
      </c>
      <c r="BY374">
        <f>Model!CG495</f>
        <v>0</v>
      </c>
      <c r="BZ374">
        <f>Model!CH495</f>
        <v>0</v>
      </c>
      <c r="CA374">
        <f>Model!CI495</f>
        <v>0</v>
      </c>
      <c r="CB374">
        <f>Model!CJ495</f>
        <v>0</v>
      </c>
      <c r="CC374">
        <f>Model!CK495</f>
        <v>0</v>
      </c>
      <c r="CD374">
        <f>Model!CL495</f>
        <v>0</v>
      </c>
      <c r="CE374">
        <f>Model!CM495</f>
        <v>0</v>
      </c>
      <c r="CF374">
        <f>Model!CN495</f>
        <v>0</v>
      </c>
      <c r="CG374">
        <f>Model!CO495</f>
        <v>0</v>
      </c>
      <c r="CH374">
        <f>Model!CP495</f>
        <v>0</v>
      </c>
      <c r="CI374">
        <f>Model!CQ495</f>
        <v>0</v>
      </c>
      <c r="CJ374">
        <f>Model!CR495</f>
        <v>0</v>
      </c>
      <c r="CK374">
        <f>Model!CS495</f>
        <v>7000</v>
      </c>
      <c r="CL374">
        <f>Model!CT495</f>
        <v>9500</v>
      </c>
      <c r="CM374">
        <f>Model!CU495</f>
        <v>12700</v>
      </c>
      <c r="CN374">
        <f>Model!CV495</f>
        <v>15500</v>
      </c>
      <c r="CO374">
        <f>Model!CW495</f>
        <v>18500</v>
      </c>
      <c r="CP374">
        <f>Model!CX495</f>
        <v>22900</v>
      </c>
      <c r="CQ374">
        <f>Model!CY495</f>
        <v>0</v>
      </c>
      <c r="CR374">
        <f>Model!DG495</f>
        <v>0</v>
      </c>
      <c r="CS374">
        <f>Model!DH495</f>
        <v>0</v>
      </c>
      <c r="CT374">
        <f>Model!DI495</f>
        <v>0</v>
      </c>
      <c r="CU374">
        <f>Model!DJ495</f>
        <v>0</v>
      </c>
    </row>
    <row r="375" spans="1:99">
      <c r="A375" t="str">
        <f>Model!I496</f>
        <v>Net Adds</v>
      </c>
      <c r="B375">
        <f>Model!J496</f>
        <v>0</v>
      </c>
      <c r="C375">
        <f>Model!K496</f>
        <v>0</v>
      </c>
      <c r="D375">
        <f>Model!L496</f>
        <v>0</v>
      </c>
      <c r="E375">
        <f>Model!M496</f>
        <v>0</v>
      </c>
      <c r="F375">
        <f>Model!N496</f>
        <v>0</v>
      </c>
      <c r="G375">
        <f>Model!O496</f>
        <v>0</v>
      </c>
      <c r="H375">
        <f>Model!P496</f>
        <v>0</v>
      </c>
      <c r="I375">
        <f>Model!Q496</f>
        <v>0</v>
      </c>
      <c r="J375">
        <f>Model!R496</f>
        <v>0</v>
      </c>
      <c r="K375">
        <f>Model!S496</f>
        <v>0</v>
      </c>
      <c r="L375">
        <f>Model!T496</f>
        <v>0</v>
      </c>
      <c r="M375">
        <f>Model!U496</f>
        <v>0</v>
      </c>
      <c r="N375">
        <f>Model!V496</f>
        <v>0</v>
      </c>
      <c r="O375">
        <f>Model!W496</f>
        <v>0</v>
      </c>
      <c r="P375">
        <f>Model!X496</f>
        <v>0</v>
      </c>
      <c r="Q375">
        <f>Model!Y496</f>
        <v>0</v>
      </c>
      <c r="R375">
        <f>Model!Z496</f>
        <v>0</v>
      </c>
      <c r="S375">
        <f>Model!AA496</f>
        <v>0</v>
      </c>
      <c r="T375">
        <f>Model!AB496</f>
        <v>0</v>
      </c>
      <c r="U375">
        <f>Model!AC496</f>
        <v>0</v>
      </c>
      <c r="V375">
        <f>Model!AD496</f>
        <v>0</v>
      </c>
      <c r="W375">
        <f>Model!AE496</f>
        <v>0</v>
      </c>
      <c r="X375">
        <f>Model!AF496</f>
        <v>0</v>
      </c>
      <c r="Y375">
        <f>Model!AG496</f>
        <v>0</v>
      </c>
      <c r="Z375">
        <f>Model!AH496</f>
        <v>0</v>
      </c>
      <c r="AA375">
        <f>Model!AI496</f>
        <v>0</v>
      </c>
      <c r="AB375">
        <f>Model!AJ496</f>
        <v>0</v>
      </c>
      <c r="AC375">
        <f>Model!AK496</f>
        <v>0</v>
      </c>
      <c r="AD375">
        <f>Model!AL496</f>
        <v>0</v>
      </c>
      <c r="AE375">
        <f>Model!AM496</f>
        <v>0</v>
      </c>
      <c r="AF375">
        <f>Model!AN496</f>
        <v>0</v>
      </c>
      <c r="AG375">
        <f>Model!AO496</f>
        <v>0</v>
      </c>
      <c r="AH375">
        <f>Model!AP496</f>
        <v>0</v>
      </c>
      <c r="AI375">
        <f>Model!AQ496</f>
        <v>0</v>
      </c>
      <c r="AJ375">
        <f>Model!AR496</f>
        <v>0</v>
      </c>
      <c r="AK375">
        <f>Model!AS496</f>
        <v>0</v>
      </c>
      <c r="AL375">
        <f>Model!AT496</f>
        <v>0</v>
      </c>
      <c r="AM375">
        <f>Model!AU496</f>
        <v>0</v>
      </c>
      <c r="AN375">
        <f>Model!AV496</f>
        <v>0</v>
      </c>
      <c r="AO375">
        <f>Model!AW496</f>
        <v>0</v>
      </c>
      <c r="AP375">
        <f>Model!AX496</f>
        <v>0</v>
      </c>
      <c r="AQ375">
        <f>Model!AY496</f>
        <v>0</v>
      </c>
      <c r="AR375">
        <f>Model!AZ496</f>
        <v>0</v>
      </c>
      <c r="AS375">
        <f>Model!BA496</f>
        <v>0</v>
      </c>
      <c r="AT375">
        <f>Model!BB496</f>
        <v>0</v>
      </c>
      <c r="AU375">
        <f>Model!BC496</f>
        <v>0</v>
      </c>
      <c r="AV375">
        <f>Model!BD496</f>
        <v>0</v>
      </c>
      <c r="AW375">
        <f>Model!BE496</f>
        <v>0</v>
      </c>
      <c r="AX375">
        <f>Model!BF496</f>
        <v>700</v>
      </c>
      <c r="AY375">
        <f>Model!BG496</f>
        <v>200</v>
      </c>
      <c r="AZ375">
        <f>Model!BH496</f>
        <v>400</v>
      </c>
      <c r="BA375">
        <f>Model!BI496</f>
        <v>900</v>
      </c>
      <c r="BB375">
        <f>Model!BJ496</f>
        <v>1600</v>
      </c>
      <c r="BC375">
        <f>Model!BK496</f>
        <v>-100</v>
      </c>
      <c r="BD375">
        <f>Model!BL496</f>
        <v>100</v>
      </c>
      <c r="BE375">
        <f>Model!BM496</f>
        <v>700</v>
      </c>
      <c r="BF375">
        <f>Model!BN496</f>
        <v>1500</v>
      </c>
      <c r="BG375">
        <f>Model!BO496</f>
        <v>900</v>
      </c>
      <c r="BH375">
        <f>Model!BP496</f>
        <v>100</v>
      </c>
      <c r="BI375">
        <f>Model!BQ496</f>
        <v>500</v>
      </c>
      <c r="BJ375">
        <f>Model!BR496</f>
        <v>3000</v>
      </c>
      <c r="BK375">
        <f>Model!BS496</f>
        <v>-700</v>
      </c>
      <c r="BL375">
        <f>Model!BT496</f>
        <v>0</v>
      </c>
      <c r="BM375">
        <f>Model!BU496</f>
        <v>500</v>
      </c>
      <c r="BN375">
        <f>Model!BV496</f>
        <v>1600</v>
      </c>
      <c r="BO375">
        <f>Model!BW496</f>
        <v>400</v>
      </c>
      <c r="BP375">
        <f>Model!BX496</f>
        <v>500</v>
      </c>
      <c r="BQ375">
        <f>Model!BY496</f>
        <v>2000</v>
      </c>
      <c r="BR375">
        <f>Model!BZ496</f>
        <v>2000</v>
      </c>
      <c r="BS375">
        <f>Model!CA496</f>
        <v>500</v>
      </c>
      <c r="BT375">
        <f>Model!CB496</f>
        <v>-100</v>
      </c>
      <c r="BU375">
        <f>Model!CC496</f>
        <v>0</v>
      </c>
      <c r="BV375">
        <f>Model!CD496</f>
        <v>0</v>
      </c>
      <c r="BW375">
        <f>Model!CE496</f>
        <v>0</v>
      </c>
      <c r="BX375">
        <f>Model!CF496</f>
        <v>0</v>
      </c>
      <c r="BY375">
        <f>Model!CG496</f>
        <v>0</v>
      </c>
      <c r="BZ375">
        <f>Model!CH496</f>
        <v>0</v>
      </c>
      <c r="CA375">
        <f>Model!CI496</f>
        <v>0</v>
      </c>
      <c r="CB375">
        <f>Model!CJ496</f>
        <v>0</v>
      </c>
      <c r="CC375">
        <f>Model!CK496</f>
        <v>0</v>
      </c>
      <c r="CD375">
        <f>Model!CL496</f>
        <v>0</v>
      </c>
      <c r="CE375">
        <f>Model!CM496</f>
        <v>0</v>
      </c>
      <c r="CF375">
        <f>Model!CN496</f>
        <v>0</v>
      </c>
      <c r="CG375">
        <f>Model!CO496</f>
        <v>0</v>
      </c>
      <c r="CH375">
        <f>Model!CP496</f>
        <v>0</v>
      </c>
      <c r="CI375">
        <f>Model!CQ496</f>
        <v>0</v>
      </c>
      <c r="CJ375">
        <f>Model!CR496</f>
        <v>0</v>
      </c>
      <c r="CK375">
        <f>Model!CS496</f>
        <v>0</v>
      </c>
      <c r="CL375">
        <f>Model!CT496</f>
        <v>2500</v>
      </c>
      <c r="CM375">
        <f>Model!CU496</f>
        <v>3200</v>
      </c>
      <c r="CN375">
        <f>Model!CV496</f>
        <v>2800</v>
      </c>
      <c r="CO375">
        <f>Model!CW496</f>
        <v>3000</v>
      </c>
      <c r="CP375">
        <f>Model!CX496</f>
        <v>4400</v>
      </c>
      <c r="CQ375">
        <f>Model!CY496</f>
        <v>0</v>
      </c>
      <c r="CR375">
        <f>Model!DG496</f>
        <v>0</v>
      </c>
      <c r="CS375">
        <f>Model!DH496</f>
        <v>0</v>
      </c>
      <c r="CT375">
        <f>Model!DI496</f>
        <v>0</v>
      </c>
      <c r="CU375">
        <f>Model!DJ496</f>
        <v>0</v>
      </c>
    </row>
    <row r="377" spans="1:99">
      <c r="A377">
        <f>Model!I485</f>
        <v>0</v>
      </c>
      <c r="B377">
        <f>Model!J485</f>
        <v>0</v>
      </c>
      <c r="C377">
        <f>Model!K485</f>
        <v>0</v>
      </c>
      <c r="D377">
        <f>Model!L485</f>
        <v>0</v>
      </c>
      <c r="E377">
        <f>Model!M485</f>
        <v>0</v>
      </c>
      <c r="F377">
        <f>Model!N485</f>
        <v>0</v>
      </c>
      <c r="G377">
        <f>Model!O485</f>
        <v>0</v>
      </c>
      <c r="H377">
        <f>Model!P485</f>
        <v>0</v>
      </c>
      <c r="I377">
        <f>Model!Q485</f>
        <v>0</v>
      </c>
      <c r="J377">
        <f>Model!R485</f>
        <v>0</v>
      </c>
      <c r="K377">
        <f>Model!S485</f>
        <v>0</v>
      </c>
      <c r="L377">
        <f>Model!T485</f>
        <v>0</v>
      </c>
      <c r="M377">
        <f>Model!U485</f>
        <v>0</v>
      </c>
      <c r="N377">
        <f>Model!V485</f>
        <v>0</v>
      </c>
      <c r="O377">
        <f>Model!W485</f>
        <v>0</v>
      </c>
      <c r="P377">
        <f>Model!X485</f>
        <v>0</v>
      </c>
      <c r="Q377">
        <f>Model!Y485</f>
        <v>0</v>
      </c>
      <c r="R377">
        <f>Model!Z485</f>
        <v>0</v>
      </c>
      <c r="S377">
        <f>Model!AA485</f>
        <v>0</v>
      </c>
      <c r="T377">
        <f>Model!AB485</f>
        <v>0</v>
      </c>
      <c r="U377">
        <f>Model!AC485</f>
        <v>0</v>
      </c>
      <c r="V377">
        <f>Model!AD485</f>
        <v>0</v>
      </c>
      <c r="W377">
        <f>Model!AE485</f>
        <v>0</v>
      </c>
      <c r="X377">
        <f>Model!AF485</f>
        <v>0</v>
      </c>
      <c r="Y377">
        <f>Model!AG485</f>
        <v>0</v>
      </c>
      <c r="Z377">
        <f>Model!AH485</f>
        <v>0</v>
      </c>
      <c r="AA377">
        <f>Model!AI485</f>
        <v>0</v>
      </c>
      <c r="AB377">
        <f>Model!AJ485</f>
        <v>0</v>
      </c>
      <c r="AC377">
        <f>Model!AK485</f>
        <v>0</v>
      </c>
      <c r="AD377">
        <f>Model!AL485</f>
        <v>0</v>
      </c>
      <c r="AE377">
        <f>Model!AM485</f>
        <v>0</v>
      </c>
      <c r="AF377">
        <f>Model!AN485</f>
        <v>0</v>
      </c>
      <c r="AG377">
        <f>Model!AO485</f>
        <v>0</v>
      </c>
      <c r="AH377">
        <f>Model!AP485</f>
        <v>0</v>
      </c>
      <c r="AI377">
        <f>Model!AQ485</f>
        <v>0</v>
      </c>
      <c r="AJ377">
        <f>Model!AR485</f>
        <v>0</v>
      </c>
      <c r="AK377">
        <f>Model!AS485</f>
        <v>0</v>
      </c>
      <c r="AL377">
        <f>Model!AT485</f>
        <v>0</v>
      </c>
      <c r="AM377">
        <f>Model!AU485</f>
        <v>0</v>
      </c>
      <c r="AN377">
        <f>Model!AV485</f>
        <v>0</v>
      </c>
      <c r="AO377">
        <f>Model!AW485</f>
        <v>0</v>
      </c>
      <c r="AP377">
        <f>Model!AX485</f>
        <v>0</v>
      </c>
      <c r="AQ377">
        <f>Model!AY485</f>
        <v>0</v>
      </c>
      <c r="AR377">
        <f>Model!AZ485</f>
        <v>0</v>
      </c>
      <c r="AS377">
        <f>Model!BA485</f>
        <v>0</v>
      </c>
      <c r="AT377">
        <f>Model!BB485</f>
        <v>0</v>
      </c>
      <c r="AU377">
        <f>Model!BC485</f>
        <v>0</v>
      </c>
      <c r="AV377">
        <f>Model!BD485</f>
        <v>0</v>
      </c>
      <c r="AW377">
        <f>Model!BE485</f>
        <v>0</v>
      </c>
      <c r="AX377">
        <f>Model!BF485</f>
        <v>0</v>
      </c>
      <c r="AY377">
        <f>Model!BG485</f>
        <v>0</v>
      </c>
      <c r="AZ377">
        <f>Model!BH485</f>
        <v>0</v>
      </c>
      <c r="BA377">
        <f>Model!BI485</f>
        <v>0</v>
      </c>
      <c r="BB377">
        <f>Model!BJ485</f>
        <v>0</v>
      </c>
      <c r="BC377">
        <f>Model!BK485</f>
        <v>0</v>
      </c>
      <c r="BD377">
        <f>Model!BL485</f>
        <v>0</v>
      </c>
      <c r="BE377">
        <f>Model!BM485</f>
        <v>0</v>
      </c>
      <c r="BF377">
        <f>Model!BN485</f>
        <v>0</v>
      </c>
      <c r="BG377">
        <f>Model!BO485</f>
        <v>0</v>
      </c>
      <c r="BH377">
        <f>Model!BP485</f>
        <v>0</v>
      </c>
      <c r="BI377">
        <f>Model!BQ485</f>
        <v>0</v>
      </c>
      <c r="BJ377">
        <f>Model!BR485</f>
        <v>0</v>
      </c>
      <c r="BK377">
        <f>Model!BS485</f>
        <v>0</v>
      </c>
      <c r="BL377">
        <f>Model!BT485</f>
        <v>0</v>
      </c>
      <c r="BM377">
        <f>Model!BU485</f>
        <v>0</v>
      </c>
      <c r="BN377">
        <f>Model!BV485</f>
        <v>0</v>
      </c>
      <c r="BO377">
        <f>Model!BW485</f>
        <v>0</v>
      </c>
      <c r="BP377">
        <f>Model!BX485</f>
        <v>0</v>
      </c>
      <c r="BQ377">
        <f>Model!BY485</f>
        <v>0</v>
      </c>
      <c r="BR377">
        <f>Model!BZ485</f>
        <v>0</v>
      </c>
      <c r="BS377">
        <f>Model!CA485</f>
        <v>0</v>
      </c>
      <c r="BT377">
        <f>Model!CB485</f>
        <v>0</v>
      </c>
      <c r="BU377">
        <f>Model!CC485</f>
        <v>0</v>
      </c>
      <c r="BV377">
        <f>Model!CD485</f>
        <v>0</v>
      </c>
      <c r="BW377">
        <f>Model!CE485</f>
        <v>0</v>
      </c>
      <c r="BX377">
        <f>Model!CF485</f>
        <v>0</v>
      </c>
      <c r="BY377">
        <f>Model!CG485</f>
        <v>0</v>
      </c>
      <c r="BZ377">
        <f>Model!CH485</f>
        <v>0</v>
      </c>
      <c r="CA377">
        <f>Model!CI485</f>
        <v>0</v>
      </c>
      <c r="CB377">
        <f>Model!CJ485</f>
        <v>0</v>
      </c>
      <c r="CC377">
        <f>Model!CK485</f>
        <v>0</v>
      </c>
      <c r="CD377">
        <f>Model!CL485</f>
        <v>0</v>
      </c>
      <c r="CE377">
        <f>Model!CM485</f>
        <v>0</v>
      </c>
      <c r="CF377">
        <f>Model!CN485</f>
        <v>0</v>
      </c>
      <c r="CG377">
        <f>Model!CO485</f>
        <v>0</v>
      </c>
      <c r="CH377">
        <f>Model!CP485</f>
        <v>0</v>
      </c>
      <c r="CI377">
        <f>Model!CQ485</f>
        <v>0</v>
      </c>
      <c r="CJ377">
        <f>Model!CR485</f>
        <v>0</v>
      </c>
      <c r="CK377">
        <f>Model!CS485</f>
        <v>0</v>
      </c>
      <c r="CL377">
        <f>Model!CT485</f>
        <v>0</v>
      </c>
      <c r="CM377">
        <f>Model!CU485</f>
        <v>0</v>
      </c>
      <c r="CN377">
        <f>Model!CV485</f>
        <v>0</v>
      </c>
      <c r="CO377">
        <f>Model!CW485</f>
        <v>0</v>
      </c>
      <c r="CP377">
        <f>Model!CX485</f>
        <v>0</v>
      </c>
      <c r="CQ377">
        <f>Model!CY485</f>
        <v>0</v>
      </c>
      <c r="CR377">
        <f>Model!DG485</f>
        <v>0</v>
      </c>
      <c r="CS377">
        <f>Model!DH485</f>
        <v>0</v>
      </c>
      <c r="CT377">
        <f>Model!DI485</f>
        <v>0</v>
      </c>
      <c r="CU377">
        <f>Model!DJ485</f>
        <v>0</v>
      </c>
    </row>
    <row r="378" spans="1:99">
      <c r="A378" t="str">
        <f>Model!I486</f>
        <v>Non-Advertising Sanity Check</v>
      </c>
      <c r="B378">
        <f>Model!J486</f>
        <v>0</v>
      </c>
      <c r="C378">
        <f>Model!K486</f>
        <v>0</v>
      </c>
      <c r="D378">
        <f>Model!L486</f>
        <v>0</v>
      </c>
      <c r="E378">
        <f>Model!M486</f>
        <v>0</v>
      </c>
      <c r="F378">
        <f>Model!N486</f>
        <v>0</v>
      </c>
      <c r="G378">
        <f>Model!O486</f>
        <v>0</v>
      </c>
      <c r="H378">
        <f>Model!P486</f>
        <v>0</v>
      </c>
      <c r="I378">
        <f>Model!Q486</f>
        <v>0</v>
      </c>
      <c r="J378">
        <f>Model!R486</f>
        <v>0</v>
      </c>
      <c r="K378">
        <f>Model!S486</f>
        <v>0</v>
      </c>
      <c r="L378">
        <f>Model!T486</f>
        <v>0</v>
      </c>
      <c r="M378">
        <f>Model!U486</f>
        <v>0</v>
      </c>
      <c r="N378">
        <f>Model!V486</f>
        <v>0</v>
      </c>
      <c r="O378">
        <f>Model!W486</f>
        <v>0</v>
      </c>
      <c r="P378">
        <f>Model!X486</f>
        <v>0</v>
      </c>
      <c r="Q378">
        <f>Model!Y486</f>
        <v>0</v>
      </c>
      <c r="R378">
        <f>Model!Z486</f>
        <v>0</v>
      </c>
      <c r="S378">
        <f>Model!AA486</f>
        <v>0</v>
      </c>
      <c r="T378">
        <f>Model!AB486</f>
        <v>0</v>
      </c>
      <c r="U378">
        <f>Model!AC486</f>
        <v>0</v>
      </c>
      <c r="V378">
        <f>Model!AD486</f>
        <v>0</v>
      </c>
      <c r="W378">
        <f>Model!AE486</f>
        <v>0</v>
      </c>
      <c r="X378">
        <f>Model!AF486</f>
        <v>0</v>
      </c>
      <c r="Y378">
        <f>Model!AG486</f>
        <v>0</v>
      </c>
      <c r="Z378">
        <f>Model!AH486</f>
        <v>0</v>
      </c>
      <c r="AA378">
        <f>Model!AI486</f>
        <v>0</v>
      </c>
      <c r="AB378">
        <f>Model!AJ486</f>
        <v>0</v>
      </c>
      <c r="AC378">
        <f>Model!AK486</f>
        <v>0</v>
      </c>
      <c r="AD378">
        <f>Model!AL486</f>
        <v>0</v>
      </c>
      <c r="AE378">
        <f>Model!AM486</f>
        <v>0</v>
      </c>
      <c r="AF378">
        <f>Model!AN486</f>
        <v>0</v>
      </c>
      <c r="AG378">
        <f>Model!AO486</f>
        <v>0</v>
      </c>
      <c r="AH378">
        <f>Model!AP486</f>
        <v>0</v>
      </c>
      <c r="AI378">
        <f>Model!AQ486</f>
        <v>0</v>
      </c>
      <c r="AJ378">
        <f>Model!AR486</f>
        <v>0</v>
      </c>
      <c r="AK378">
        <f>Model!AS486</f>
        <v>66.650999999999996</v>
      </c>
      <c r="AL378">
        <f>Model!AT486</f>
        <v>73.715999999999994</v>
      </c>
      <c r="AM378">
        <f>Model!AU486</f>
        <v>88.706000000000017</v>
      </c>
      <c r="AN378">
        <f>Model!AV486</f>
        <v>79.34</v>
      </c>
      <c r="AO378">
        <f>Model!AW486</f>
        <v>84.622000000000014</v>
      </c>
      <c r="AP378">
        <f>Model!AX486</f>
        <v>103.232</v>
      </c>
      <c r="AQ378">
        <f>Model!AY486</f>
        <v>114.968</v>
      </c>
      <c r="AR378">
        <f>Model!AZ486</f>
        <v>117.53699999999999</v>
      </c>
      <c r="AS378">
        <f>Model!BA486</f>
        <v>128.55500000000001</v>
      </c>
      <c r="AT378">
        <f>Model!BB486</f>
        <v>151.65800000000002</v>
      </c>
      <c r="AU378">
        <f>Model!BC486</f>
        <v>168.55399999999997</v>
      </c>
      <c r="AV378">
        <f>Model!BD486</f>
        <v>157.96</v>
      </c>
      <c r="AW378">
        <f>Model!BE486</f>
        <v>181.09899999999999</v>
      </c>
      <c r="AX378">
        <f>Model!BF486</f>
        <v>188.11</v>
      </c>
      <c r="AY378">
        <f>Model!BG486</f>
        <v>223.702</v>
      </c>
      <c r="AZ378">
        <f>Model!BH486</f>
        <v>215.14200000000002</v>
      </c>
      <c r="BA378">
        <f>Model!BI486</f>
        <v>228.155</v>
      </c>
      <c r="BB378">
        <f>Model!BJ486</f>
        <v>272.99600000000004</v>
      </c>
      <c r="BC378">
        <f>Model!BK486</f>
        <v>298.815</v>
      </c>
      <c r="BD378">
        <f>Model!BL486</f>
        <v>318.90099999999995</v>
      </c>
      <c r="BE378">
        <f>Model!BM486</f>
        <v>316.24399999999997</v>
      </c>
      <c r="BF378">
        <f>Model!BN486</f>
        <v>376.846</v>
      </c>
      <c r="BG378">
        <f>Model!BO486</f>
        <v>422.13100000000003</v>
      </c>
      <c r="BH378">
        <f>Model!BP486</f>
        <v>409.822</v>
      </c>
      <c r="BI378">
        <f>Model!BQ486</f>
        <v>412.45899999999995</v>
      </c>
      <c r="BJ378">
        <f>Model!BR486</f>
        <v>449.61599999999999</v>
      </c>
      <c r="BK378">
        <f>Model!BS486</f>
        <v>478.66</v>
      </c>
      <c r="BL378">
        <f>Model!BT486</f>
        <v>460.35399999999998</v>
      </c>
      <c r="BM378">
        <f>Model!BU486</f>
        <v>480.50700000000001</v>
      </c>
      <c r="BN378">
        <f>Model!BV486</f>
        <v>531.63900000000001</v>
      </c>
      <c r="BO378">
        <f>Model!BW486</f>
        <v>569.37599999999998</v>
      </c>
      <c r="BP378">
        <f>Model!BX486</f>
        <v>552.46299999999997</v>
      </c>
      <c r="BQ378">
        <f>Model!BY486</f>
        <v>581.61</v>
      </c>
      <c r="BR378">
        <f>Model!BZ486</f>
        <v>637.02800000000002</v>
      </c>
      <c r="BS378">
        <f>Model!CA486</f>
        <v>773.28</v>
      </c>
      <c r="BT378">
        <f>Model!CB486</f>
        <v>743.596</v>
      </c>
      <c r="BU378">
        <f>Model!CC486</f>
        <v>754.66058194920606</v>
      </c>
      <c r="BV378">
        <f>Model!CD486</f>
        <v>790.12457642925676</v>
      </c>
      <c r="BW378">
        <f>Model!CE486</f>
        <v>882.0295737042668</v>
      </c>
      <c r="BX378">
        <f>Model!CF486</f>
        <v>865.21604180497138</v>
      </c>
      <c r="BY378">
        <f>Model!CG486</f>
        <v>0</v>
      </c>
      <c r="BZ378">
        <f>Model!CH486</f>
        <v>0</v>
      </c>
      <c r="CA378">
        <f>Model!CI486</f>
        <v>0</v>
      </c>
      <c r="CB378">
        <f>Model!CJ486</f>
        <v>0</v>
      </c>
      <c r="CC378">
        <f>Model!CK486</f>
        <v>0</v>
      </c>
      <c r="CD378">
        <f>Model!CL486</f>
        <v>0</v>
      </c>
      <c r="CE378">
        <f>Model!CM486</f>
        <v>0</v>
      </c>
      <c r="CF378">
        <f>Model!CN486</f>
        <v>0</v>
      </c>
      <c r="CG378">
        <f>Model!CO486</f>
        <v>0</v>
      </c>
      <c r="CH378">
        <f>Model!CP486</f>
        <v>0</v>
      </c>
      <c r="CI378">
        <f>Model!CQ486</f>
        <v>0</v>
      </c>
      <c r="CJ378">
        <f>Model!CR486</f>
        <v>606.72699999999998</v>
      </c>
      <c r="CK378">
        <f>Model!CS486</f>
        <v>808.05299999999988</v>
      </c>
      <c r="CL378">
        <f>Model!CT486</f>
        <v>1118.8670000000002</v>
      </c>
      <c r="CM378">
        <f>Model!CU486</f>
        <v>1525.0430000000001</v>
      </c>
      <c r="CN378">
        <f>Model!CV486</f>
        <v>1801.0889999999999</v>
      </c>
      <c r="CO378">
        <f>Model!CW486</f>
        <v>2133.9850000000001</v>
      </c>
      <c r="CP378">
        <f>Model!CX486</f>
        <v>2735.5140000000001</v>
      </c>
      <c r="CQ378">
        <f>Model!CY486</f>
        <v>3292.0307738877009</v>
      </c>
      <c r="CR378">
        <f>Model!DG486</f>
        <v>0</v>
      </c>
      <c r="CS378">
        <f>Model!DH486</f>
        <v>0</v>
      </c>
      <c r="CT378">
        <f>Model!DI486</f>
        <v>0</v>
      </c>
      <c r="CU378">
        <f>Model!DJ486</f>
        <v>0</v>
      </c>
    </row>
    <row r="379" spans="1:99">
      <c r="A379" t="str">
        <f>Model!I487</f>
        <v>% change Y/Y</v>
      </c>
      <c r="B379">
        <f>Model!J487</f>
        <v>0</v>
      </c>
      <c r="C379">
        <f>Model!K487</f>
        <v>0</v>
      </c>
      <c r="D379">
        <f>Model!L487</f>
        <v>0</v>
      </c>
      <c r="E379">
        <f>Model!M487</f>
        <v>0</v>
      </c>
      <c r="F379">
        <f>Model!N487</f>
        <v>0</v>
      </c>
      <c r="G379">
        <f>Model!O487</f>
        <v>0</v>
      </c>
      <c r="H379">
        <f>Model!P487</f>
        <v>0</v>
      </c>
      <c r="I379">
        <f>Model!Q487</f>
        <v>0</v>
      </c>
      <c r="J379">
        <f>Model!R487</f>
        <v>0</v>
      </c>
      <c r="K379">
        <f>Model!S487</f>
        <v>0</v>
      </c>
      <c r="L379">
        <f>Model!T487</f>
        <v>0</v>
      </c>
      <c r="M379">
        <f>Model!U487</f>
        <v>0</v>
      </c>
      <c r="N379">
        <f>Model!V487</f>
        <v>0</v>
      </c>
      <c r="O379">
        <f>Model!W487</f>
        <v>0</v>
      </c>
      <c r="P379">
        <f>Model!X487</f>
        <v>0</v>
      </c>
      <c r="Q379">
        <f>Model!Y487</f>
        <v>0</v>
      </c>
      <c r="R379">
        <f>Model!Z487</f>
        <v>0</v>
      </c>
      <c r="S379">
        <f>Model!AA487</f>
        <v>0</v>
      </c>
      <c r="T379">
        <f>Model!AB487</f>
        <v>0</v>
      </c>
      <c r="U379">
        <f>Model!AC487</f>
        <v>0</v>
      </c>
      <c r="V379">
        <f>Model!AD487</f>
        <v>0</v>
      </c>
      <c r="W379">
        <f>Model!AE487</f>
        <v>0</v>
      </c>
      <c r="X379">
        <f>Model!AF487</f>
        <v>0</v>
      </c>
      <c r="Y379">
        <f>Model!AG487</f>
        <v>0</v>
      </c>
      <c r="Z379">
        <f>Model!AH487</f>
        <v>0</v>
      </c>
      <c r="AA379">
        <f>Model!AI487</f>
        <v>0</v>
      </c>
      <c r="AB379">
        <f>Model!AJ487</f>
        <v>0</v>
      </c>
      <c r="AC379">
        <f>Model!AK487</f>
        <v>0</v>
      </c>
      <c r="AD379">
        <f>Model!AL487</f>
        <v>0</v>
      </c>
      <c r="AE379">
        <f>Model!AM487</f>
        <v>0</v>
      </c>
      <c r="AF379">
        <f>Model!AN487</f>
        <v>0</v>
      </c>
      <c r="AG379">
        <f>Model!AO487</f>
        <v>0</v>
      </c>
      <c r="AH379">
        <f>Model!AP487</f>
        <v>0</v>
      </c>
      <c r="AI379">
        <f>Model!AQ487</f>
        <v>0</v>
      </c>
      <c r="AJ379">
        <f>Model!AR487</f>
        <v>0</v>
      </c>
      <c r="AK379">
        <f>Model!AS487</f>
        <v>0</v>
      </c>
      <c r="AL379">
        <f>Model!AT487</f>
        <v>0</v>
      </c>
      <c r="AM379">
        <f>Model!AU487</f>
        <v>0</v>
      </c>
      <c r="AN379">
        <f>Model!AV487</f>
        <v>0</v>
      </c>
      <c r="AO379">
        <f>Model!AW487</f>
        <v>0.26962836266522672</v>
      </c>
      <c r="AP379">
        <f>Model!AX487</f>
        <v>0.40040154104943304</v>
      </c>
      <c r="AQ379">
        <f>Model!AY487</f>
        <v>0.29605663652965952</v>
      </c>
      <c r="AR379">
        <f>Model!AZ487</f>
        <v>0.48143433324930651</v>
      </c>
      <c r="AS379">
        <f>Model!BA487</f>
        <v>0.5191675923518706</v>
      </c>
      <c r="AT379">
        <f>Model!BB487</f>
        <v>0.46909872907625561</v>
      </c>
      <c r="AU379">
        <f>Model!BC487</f>
        <v>0.46609491336719766</v>
      </c>
      <c r="AV379">
        <f>Model!BD487</f>
        <v>0.3439172345729431</v>
      </c>
      <c r="AW379">
        <f>Model!BE487</f>
        <v>0.40872778188324044</v>
      </c>
      <c r="AX379">
        <f>Model!BF487</f>
        <v>0.24035659180524593</v>
      </c>
      <c r="AY379">
        <f>Model!BG487</f>
        <v>0.32718297993521395</v>
      </c>
      <c r="AZ379">
        <f>Model!BH487</f>
        <v>0.36200303874398587</v>
      </c>
      <c r="BA379">
        <f>Model!BI487</f>
        <v>0.25983578042948885</v>
      </c>
      <c r="BB379">
        <f>Model!BJ487</f>
        <v>0.4512572431024402</v>
      </c>
      <c r="BC379">
        <f>Model!BK487</f>
        <v>0.33577259032105222</v>
      </c>
      <c r="BD379">
        <f>Model!BL487</f>
        <v>0.48228146991289433</v>
      </c>
      <c r="BE379">
        <f>Model!BM487</f>
        <v>0.3860927877977689</v>
      </c>
      <c r="BF379">
        <f>Model!BN487</f>
        <v>0.38040850415390692</v>
      </c>
      <c r="BG379">
        <f>Model!BO487</f>
        <v>0.41268343289326181</v>
      </c>
      <c r="BH379">
        <f>Model!BP487</f>
        <v>0.28510729035029692</v>
      </c>
      <c r="BI379">
        <f>Model!BQ487</f>
        <v>0.30424292634800976</v>
      </c>
      <c r="BJ379">
        <f>Model!BR487</f>
        <v>0.19310275284864376</v>
      </c>
      <c r="BK379">
        <f>Model!BS487</f>
        <v>0.13391340602798651</v>
      </c>
      <c r="BL379">
        <f>Model!BT487</f>
        <v>0.12330231173533868</v>
      </c>
      <c r="BM379">
        <f>Model!BU487</f>
        <v>0.16498124662087643</v>
      </c>
      <c r="BN379">
        <f>Model!BV487</f>
        <v>0.18242900608519275</v>
      </c>
      <c r="BO379">
        <f>Model!BW487</f>
        <v>0.18952074541428132</v>
      </c>
      <c r="BP379">
        <f>Model!BX487</f>
        <v>0.20008297962003141</v>
      </c>
      <c r="BQ379">
        <f>Model!BY487</f>
        <v>0.21040900548795327</v>
      </c>
      <c r="BR379">
        <f>Model!BZ487</f>
        <v>0.1982341400837786</v>
      </c>
      <c r="BS379">
        <f>Model!CA487</f>
        <v>0.35811836115326257</v>
      </c>
      <c r="BT379">
        <f>Model!CB487</f>
        <v>0.34596525016154933</v>
      </c>
      <c r="BU379">
        <f>Model!CC487</f>
        <v>0.29753715023676697</v>
      </c>
      <c r="BV379">
        <f>Model!CD487</f>
        <v>0.24032943046342825</v>
      </c>
      <c r="BW379">
        <f>Model!CE487</f>
        <v>0.1406341476622528</v>
      </c>
      <c r="BX379">
        <f>Model!CF487</f>
        <v>0.16355661112347475</v>
      </c>
      <c r="BY379">
        <f>Model!CG487</f>
        <v>0</v>
      </c>
      <c r="BZ379">
        <f>Model!CH487</f>
        <v>0</v>
      </c>
      <c r="CA379">
        <f>Model!CI487</f>
        <v>0</v>
      </c>
      <c r="CB379">
        <f>Model!CJ487</f>
        <v>0</v>
      </c>
      <c r="CC379">
        <f>Model!CK487</f>
        <v>0</v>
      </c>
      <c r="CD379">
        <f>Model!CL487</f>
        <v>0</v>
      </c>
      <c r="CE379">
        <f>Model!CM487</f>
        <v>0</v>
      </c>
      <c r="CF379">
        <f>Model!CN487</f>
        <v>0</v>
      </c>
      <c r="CG379">
        <f>Model!CO487</f>
        <v>0</v>
      </c>
      <c r="CH379">
        <f>Model!CP487</f>
        <v>0</v>
      </c>
      <c r="CI379">
        <f>Model!CQ487</f>
        <v>0</v>
      </c>
      <c r="CJ379">
        <f>Model!CR487</f>
        <v>0</v>
      </c>
      <c r="CK379">
        <f>Model!CS487</f>
        <v>0</v>
      </c>
      <c r="CL379">
        <f>Model!CT487</f>
        <v>0</v>
      </c>
      <c r="CM379">
        <f>Model!CU487</f>
        <v>0.36302438091390643</v>
      </c>
      <c r="CN379">
        <f>Model!CV487</f>
        <v>0.181008666640875</v>
      </c>
      <c r="CO379">
        <f>Model!CW487</f>
        <v>0.1848303998303249</v>
      </c>
      <c r="CP379">
        <f>Model!CX487</f>
        <v>0.28188061303148793</v>
      </c>
      <c r="CQ379">
        <f>Model!CY487</f>
        <v>0.20344139122947302</v>
      </c>
      <c r="CR379">
        <f>Model!DG487</f>
        <v>0</v>
      </c>
      <c r="CS379">
        <f>Model!DH487</f>
        <v>0</v>
      </c>
      <c r="CT379">
        <f>Model!DI487</f>
        <v>0</v>
      </c>
      <c r="CU379">
        <f>Model!DJ487</f>
        <v>0</v>
      </c>
    </row>
    <row r="380" spans="1:99">
      <c r="A380" t="str">
        <f>Model!I488</f>
        <v>% change Q/Q</v>
      </c>
      <c r="B380">
        <f>Model!J488</f>
        <v>0</v>
      </c>
      <c r="C380">
        <f>Model!K488</f>
        <v>0</v>
      </c>
      <c r="D380">
        <f>Model!L488</f>
        <v>0</v>
      </c>
      <c r="E380">
        <f>Model!M488</f>
        <v>0</v>
      </c>
      <c r="F380">
        <f>Model!N488</f>
        <v>0</v>
      </c>
      <c r="G380">
        <f>Model!O488</f>
        <v>0</v>
      </c>
      <c r="H380">
        <f>Model!P488</f>
        <v>0</v>
      </c>
      <c r="I380">
        <f>Model!Q488</f>
        <v>0</v>
      </c>
      <c r="J380">
        <f>Model!R488</f>
        <v>0</v>
      </c>
      <c r="K380">
        <f>Model!S488</f>
        <v>0</v>
      </c>
      <c r="L380">
        <f>Model!T488</f>
        <v>0</v>
      </c>
      <c r="M380">
        <f>Model!U488</f>
        <v>0</v>
      </c>
      <c r="N380">
        <f>Model!V488</f>
        <v>0</v>
      </c>
      <c r="O380">
        <f>Model!W488</f>
        <v>0</v>
      </c>
      <c r="P380">
        <f>Model!X488</f>
        <v>0</v>
      </c>
      <c r="Q380">
        <f>Model!Y488</f>
        <v>0</v>
      </c>
      <c r="R380">
        <f>Model!Z488</f>
        <v>0</v>
      </c>
      <c r="S380">
        <f>Model!AA488</f>
        <v>0</v>
      </c>
      <c r="T380">
        <f>Model!AB488</f>
        <v>0</v>
      </c>
      <c r="U380">
        <f>Model!AC488</f>
        <v>0</v>
      </c>
      <c r="V380">
        <f>Model!AD488</f>
        <v>0</v>
      </c>
      <c r="W380">
        <f>Model!AE488</f>
        <v>0</v>
      </c>
      <c r="X380">
        <f>Model!AF488</f>
        <v>0</v>
      </c>
      <c r="Y380">
        <f>Model!AG488</f>
        <v>0</v>
      </c>
      <c r="Z380">
        <f>Model!AH488</f>
        <v>0</v>
      </c>
      <c r="AA380">
        <f>Model!AI488</f>
        <v>0</v>
      </c>
      <c r="AB380">
        <f>Model!AJ488</f>
        <v>0</v>
      </c>
      <c r="AC380">
        <f>Model!AK488</f>
        <v>0</v>
      </c>
      <c r="AD380">
        <f>Model!AL488</f>
        <v>0</v>
      </c>
      <c r="AE380">
        <f>Model!AM488</f>
        <v>0</v>
      </c>
      <c r="AF380">
        <f>Model!AN488</f>
        <v>0</v>
      </c>
      <c r="AG380">
        <f>Model!AO488</f>
        <v>0</v>
      </c>
      <c r="AH380">
        <f>Model!AP488</f>
        <v>0</v>
      </c>
      <c r="AI380">
        <f>Model!AQ488</f>
        <v>0</v>
      </c>
      <c r="AJ380">
        <f>Model!AR488</f>
        <v>0</v>
      </c>
      <c r="AK380">
        <f>Model!AS488</f>
        <v>0</v>
      </c>
      <c r="AL380">
        <f>Model!AT488</f>
        <v>0.1059999099788449</v>
      </c>
      <c r="AM380">
        <f>Model!AU488</f>
        <v>0.20334798415540756</v>
      </c>
      <c r="AN380">
        <f>Model!AV488</f>
        <v>-0.10558474060379242</v>
      </c>
      <c r="AO380">
        <f>Model!AW488</f>
        <v>6.6574237459037233E-2</v>
      </c>
      <c r="AP380">
        <f>Model!AX488</f>
        <v>0.21991916995580318</v>
      </c>
      <c r="AQ380">
        <f>Model!AY488</f>
        <v>0.11368567885926839</v>
      </c>
      <c r="AR380">
        <f>Model!AZ488</f>
        <v>2.2345348270823129E-2</v>
      </c>
      <c r="AS380">
        <f>Model!BA488</f>
        <v>9.3740694419629733E-2</v>
      </c>
      <c r="AT380">
        <f>Model!BB488</f>
        <v>0.17971296332309139</v>
      </c>
      <c r="AU380">
        <f>Model!BC488</f>
        <v>0.11140856400585508</v>
      </c>
      <c r="AV380">
        <f>Model!BD488</f>
        <v>-6.2852260996475673E-2</v>
      </c>
      <c r="AW380">
        <f>Model!BE488</f>
        <v>0.14648645226639645</v>
      </c>
      <c r="AX380">
        <f>Model!BF488</f>
        <v>3.871363177046816E-2</v>
      </c>
      <c r="AY380">
        <f>Model!BG488</f>
        <v>0.18920844186911911</v>
      </c>
      <c r="AZ380">
        <f>Model!BH488</f>
        <v>-3.8265192085899846E-2</v>
      </c>
      <c r="BA380">
        <f>Model!BI488</f>
        <v>6.048563274488461E-2</v>
      </c>
      <c r="BB380">
        <f>Model!BJ488</f>
        <v>0.1965374416515091</v>
      </c>
      <c r="BC380">
        <f>Model!BK488</f>
        <v>9.45764773110227E-2</v>
      </c>
      <c r="BD380">
        <f>Model!BL488</f>
        <v>6.7218847782072322E-2</v>
      </c>
      <c r="BE380">
        <f>Model!BM488</f>
        <v>-8.3317393172175347E-3</v>
      </c>
      <c r="BF380">
        <f>Model!BN488</f>
        <v>0.19163051314807555</v>
      </c>
      <c r="BG380">
        <f>Model!BO488</f>
        <v>0.12016845077299476</v>
      </c>
      <c r="BH380">
        <f>Model!BP488</f>
        <v>-2.9159194657582654E-2</v>
      </c>
      <c r="BI380">
        <f>Model!BQ488</f>
        <v>6.4345008320683128E-3</v>
      </c>
      <c r="BJ380">
        <f>Model!BR488</f>
        <v>9.0086529812660299E-2</v>
      </c>
      <c r="BK380">
        <f>Model!BS488</f>
        <v>6.4597345290203334E-2</v>
      </c>
      <c r="BL380">
        <f>Model!BT488</f>
        <v>-3.8244265240463093E-2</v>
      </c>
      <c r="BM380">
        <f>Model!BU488</f>
        <v>4.3777180170043062E-2</v>
      </c>
      <c r="BN380">
        <f>Model!BV488</f>
        <v>0.10641260168946554</v>
      </c>
      <c r="BO380">
        <f>Model!BW488</f>
        <v>7.0982377139374497E-2</v>
      </c>
      <c r="BP380">
        <f>Model!BX488</f>
        <v>-2.9704448378575887E-2</v>
      </c>
      <c r="BQ380">
        <f>Model!BY488</f>
        <v>5.2758284265190802E-2</v>
      </c>
      <c r="BR380">
        <f>Model!BZ488</f>
        <v>9.5283781227970543E-2</v>
      </c>
      <c r="BS380">
        <f>Model!CA488</f>
        <v>0.21388698769912784</v>
      </c>
      <c r="BT380">
        <f>Model!CB488</f>
        <v>-3.8387130146906645E-2</v>
      </c>
      <c r="BU380">
        <f>Model!CC488</f>
        <v>1.4879829839329561E-2</v>
      </c>
      <c r="BV380">
        <f>Model!CD488</f>
        <v>4.6993304444828743E-2</v>
      </c>
      <c r="BW380">
        <f>Model!CE488</f>
        <v>0.11631709734982354</v>
      </c>
      <c r="BX380">
        <f>Model!CF488</f>
        <v>-1.9062322172127999E-2</v>
      </c>
      <c r="BY380">
        <f>Model!CG488</f>
        <v>0</v>
      </c>
      <c r="BZ380">
        <f>Model!CH488</f>
        <v>0</v>
      </c>
      <c r="CA380">
        <f>Model!CI488</f>
        <v>0</v>
      </c>
      <c r="CB380">
        <f>Model!CJ488</f>
        <v>0</v>
      </c>
      <c r="CC380">
        <f>Model!CK488</f>
        <v>0</v>
      </c>
      <c r="CD380">
        <f>Model!CL488</f>
        <v>0</v>
      </c>
      <c r="CE380">
        <f>Model!CM488</f>
        <v>0</v>
      </c>
      <c r="CF380">
        <f>Model!CN488</f>
        <v>0</v>
      </c>
      <c r="CG380">
        <f>Model!CO488</f>
        <v>0</v>
      </c>
      <c r="CH380">
        <f>Model!CP488</f>
        <v>0</v>
      </c>
      <c r="CI380">
        <f>Model!CQ488</f>
        <v>0</v>
      </c>
      <c r="CJ380">
        <f>Model!CR488</f>
        <v>0</v>
      </c>
      <c r="CK380">
        <f>Model!CS488</f>
        <v>0</v>
      </c>
      <c r="CL380">
        <f>Model!CT488</f>
        <v>0</v>
      </c>
      <c r="CM380">
        <f>Model!CU488</f>
        <v>0</v>
      </c>
      <c r="CN380">
        <f>Model!CV488</f>
        <v>0</v>
      </c>
      <c r="CO380">
        <f>Model!CW488</f>
        <v>0</v>
      </c>
      <c r="CP380">
        <f>Model!CX488</f>
        <v>0</v>
      </c>
      <c r="CQ380">
        <f>Model!CY488</f>
        <v>0</v>
      </c>
      <c r="CR380">
        <f>Model!DG488</f>
        <v>0</v>
      </c>
      <c r="CS380">
        <f>Model!DH488</f>
        <v>0</v>
      </c>
      <c r="CT380">
        <f>Model!DI488</f>
        <v>0</v>
      </c>
      <c r="CU380">
        <f>Model!DJ488</f>
        <v>0</v>
      </c>
    </row>
    <row r="381" spans="1:99">
      <c r="A381" t="str">
        <f>Model!I489</f>
        <v>% of Gross Profit</v>
      </c>
      <c r="B381">
        <f>Model!J489</f>
        <v>0</v>
      </c>
      <c r="C381">
        <f>Model!K489</f>
        <v>0</v>
      </c>
      <c r="D381">
        <f>Model!L489</f>
        <v>0</v>
      </c>
      <c r="E381">
        <f>Model!M489</f>
        <v>0</v>
      </c>
      <c r="F381">
        <f>Model!N489</f>
        <v>0</v>
      </c>
      <c r="G381">
        <f>Model!O489</f>
        <v>0</v>
      </c>
      <c r="H381">
        <f>Model!P489</f>
        <v>0</v>
      </c>
      <c r="I381">
        <f>Model!Q489</f>
        <v>0</v>
      </c>
      <c r="J381">
        <f>Model!R489</f>
        <v>0</v>
      </c>
      <c r="K381">
        <f>Model!S489</f>
        <v>0</v>
      </c>
      <c r="L381">
        <f>Model!T489</f>
        <v>0</v>
      </c>
      <c r="M381">
        <f>Model!U489</f>
        <v>0</v>
      </c>
      <c r="N381">
        <f>Model!V489</f>
        <v>0</v>
      </c>
      <c r="O381">
        <f>Model!W489</f>
        <v>0</v>
      </c>
      <c r="P381">
        <f>Model!X489</f>
        <v>0</v>
      </c>
      <c r="Q381">
        <f>Model!Y489</f>
        <v>0</v>
      </c>
      <c r="R381">
        <f>Model!Z489</f>
        <v>0</v>
      </c>
      <c r="S381">
        <f>Model!AA489</f>
        <v>0</v>
      </c>
      <c r="T381">
        <f>Model!AB489</f>
        <v>0</v>
      </c>
      <c r="U381">
        <f>Model!AC489</f>
        <v>0</v>
      </c>
      <c r="V381">
        <f>Model!AD489</f>
        <v>0</v>
      </c>
      <c r="W381">
        <f>Model!AE489</f>
        <v>0</v>
      </c>
      <c r="X381">
        <f>Model!AF489</f>
        <v>0</v>
      </c>
      <c r="Y381">
        <f>Model!AG489</f>
        <v>0</v>
      </c>
      <c r="Z381">
        <f>Model!AH489</f>
        <v>0</v>
      </c>
      <c r="AA381">
        <f>Model!AI489</f>
        <v>0</v>
      </c>
      <c r="AB381">
        <f>Model!AJ489</f>
        <v>0</v>
      </c>
      <c r="AC381">
        <f>Model!AK489</f>
        <v>0</v>
      </c>
      <c r="AD381">
        <f>Model!AL489</f>
        <v>0</v>
      </c>
      <c r="AE381">
        <f>Model!AM489</f>
        <v>0</v>
      </c>
      <c r="AF381">
        <f>Model!AN489</f>
        <v>0</v>
      </c>
      <c r="AG381">
        <f>Model!AO489</f>
        <v>0</v>
      </c>
      <c r="AH381">
        <f>Model!AP489</f>
        <v>0</v>
      </c>
      <c r="AI381">
        <f>Model!AQ489</f>
        <v>0</v>
      </c>
      <c r="AJ381">
        <f>Model!AR489</f>
        <v>0</v>
      </c>
      <c r="AK381">
        <f>Model!AS489</f>
        <v>0.31992991887870209</v>
      </c>
      <c r="AL381">
        <f>Model!AT489</f>
        <v>0.24150335148310498</v>
      </c>
      <c r="AM381">
        <f>Model!AU489</f>
        <v>0.20438887941641365</v>
      </c>
      <c r="AN381">
        <f>Model!AV489</f>
        <v>0.25332945920833738</v>
      </c>
      <c r="AO381">
        <f>Model!AW489</f>
        <v>0.2651762995274447</v>
      </c>
      <c r="AP381">
        <f>Model!AX489</f>
        <v>0.23136643178598967</v>
      </c>
      <c r="AQ381">
        <f>Model!AY489</f>
        <v>0.1720542106649427</v>
      </c>
      <c r="AR381">
        <f>Model!AZ489</f>
        <v>0.24478409550030611</v>
      </c>
      <c r="AS381">
        <f>Model!BA489</f>
        <v>0.25415770410906902</v>
      </c>
      <c r="AT381">
        <f>Model!BB489</f>
        <v>0.20241929348515203</v>
      </c>
      <c r="AU381">
        <f>Model!BC489</f>
        <v>0.15321029534208119</v>
      </c>
      <c r="AV381">
        <f>Model!BD489</f>
        <v>0.21796695722488157</v>
      </c>
      <c r="AW381">
        <f>Model!BE489</f>
        <v>0.24364580082013967</v>
      </c>
      <c r="AX381">
        <f>Model!BF489</f>
        <v>0.18733406231389585</v>
      </c>
      <c r="AY381">
        <f>Model!BG489</f>
        <v>0.16018749718045314</v>
      </c>
      <c r="AZ381">
        <f>Model!BH489</f>
        <v>0.22893535514764565</v>
      </c>
      <c r="BA381">
        <f>Model!BI489</f>
        <v>0.22597099037799667</v>
      </c>
      <c r="BB381">
        <f>Model!BJ489</f>
        <v>0.19727211304652587</v>
      </c>
      <c r="BC381">
        <f>Model!BK489</f>
        <v>0.1502288763816165</v>
      </c>
      <c r="BD381">
        <f>Model!BL489</f>
        <v>0.23918155015259118</v>
      </c>
      <c r="BE381">
        <f>Model!BM489</f>
        <v>0.22484928590777906</v>
      </c>
      <c r="BF381">
        <f>Model!BN489</f>
        <v>0.20013106772398881</v>
      </c>
      <c r="BG381">
        <f>Model!BO489</f>
        <v>0.16112005520657044</v>
      </c>
      <c r="BH381">
        <f>Model!BP489</f>
        <v>0.2447158719400962</v>
      </c>
      <c r="BI381">
        <f>Model!BQ489</f>
        <v>0.24665119038221878</v>
      </c>
      <c r="BJ381">
        <f>Model!BR489</f>
        <v>0.21482856850713791</v>
      </c>
      <c r="BK381">
        <f>Model!BS489</f>
        <v>0.16240726201293262</v>
      </c>
      <c r="BL381">
        <f>Model!BT489</f>
        <v>0.24494953929028837</v>
      </c>
      <c r="BM381">
        <f>Model!BU489</f>
        <v>0.23793953799301795</v>
      </c>
      <c r="BN381">
        <f>Model!BV489</f>
        <v>0.21879786881157354</v>
      </c>
      <c r="BO381">
        <f>Model!BW489</f>
        <v>0.15864196309733208</v>
      </c>
      <c r="BP381">
        <f>Model!BX489</f>
        <v>0.24269568842551775</v>
      </c>
      <c r="BQ381">
        <f>Model!BY489</f>
        <v>0.24916514404076709</v>
      </c>
      <c r="BR381">
        <f>Model!BZ489</f>
        <v>0.21580899067488671</v>
      </c>
      <c r="BS381">
        <f>Model!CA489</f>
        <v>0.1767677749018014</v>
      </c>
      <c r="BT381">
        <f>Model!CB489</f>
        <v>0.26845173348332441</v>
      </c>
      <c r="BU381">
        <f>Model!CC489</f>
        <v>0.26976415793896574</v>
      </c>
      <c r="BV381">
        <f>Model!CD489</f>
        <v>0.22180885934227057</v>
      </c>
      <c r="BW381">
        <f>Model!CE489</f>
        <v>0.17625042808452113</v>
      </c>
      <c r="BX381">
        <f>Model!CF489</f>
        <v>0.25614851879130268</v>
      </c>
      <c r="BY381">
        <f>Model!CG489</f>
        <v>0</v>
      </c>
      <c r="BZ381">
        <f>Model!CH489</f>
        <v>0</v>
      </c>
      <c r="CA381">
        <f>Model!CI489</f>
        <v>0</v>
      </c>
      <c r="CB381">
        <f>Model!CJ489</f>
        <v>0</v>
      </c>
      <c r="CC381">
        <f>Model!CK489</f>
        <v>0</v>
      </c>
      <c r="CD381">
        <f>Model!CL489</f>
        <v>0</v>
      </c>
      <c r="CE381">
        <f>Model!CM489</f>
        <v>0</v>
      </c>
      <c r="CF381">
        <f>Model!CN489</f>
        <v>0</v>
      </c>
      <c r="CG381">
        <f>Model!CO489</f>
        <v>0</v>
      </c>
      <c r="CH381">
        <f>Model!CP489</f>
        <v>0</v>
      </c>
      <c r="CI381">
        <f>Model!CQ489</f>
        <v>0</v>
      </c>
      <c r="CJ381">
        <f>Model!CR489</f>
        <v>0.1969969609205553</v>
      </c>
      <c r="CK381">
        <f>Model!CS489</f>
        <v>0.19787368308151387</v>
      </c>
      <c r="CL381">
        <f>Model!CT489</f>
        <v>0.19574690607895262</v>
      </c>
      <c r="CM381">
        <f>Model!CU489</f>
        <v>0.20108344661813554</v>
      </c>
      <c r="CN381">
        <f>Model!CV489</f>
        <v>0.20962866135144798</v>
      </c>
      <c r="CO381">
        <f>Model!CW489</f>
        <v>0.20688790319672176</v>
      </c>
      <c r="CP381">
        <f>Model!CX489</f>
        <v>0.22006388295927495</v>
      </c>
      <c r="CQ381">
        <f>Model!CY489</f>
        <v>0.22331159839123929</v>
      </c>
      <c r="CR381">
        <f>Model!DG489</f>
        <v>0</v>
      </c>
      <c r="CS381">
        <f>Model!DH489</f>
        <v>0</v>
      </c>
      <c r="CT381">
        <f>Model!DI489</f>
        <v>0</v>
      </c>
      <c r="CU381">
        <f>Model!DJ489</f>
        <v>0</v>
      </c>
    </row>
    <row r="382" spans="1:99">
      <c r="A382" t="str">
        <f>Model!I490</f>
        <v>change Y/Y (in bp)</v>
      </c>
      <c r="B382">
        <f>Model!J490</f>
        <v>0</v>
      </c>
      <c r="C382">
        <f>Model!K490</f>
        <v>0</v>
      </c>
      <c r="D382">
        <f>Model!L490</f>
        <v>0</v>
      </c>
      <c r="E382">
        <f>Model!M490</f>
        <v>0</v>
      </c>
      <c r="F382">
        <f>Model!N490</f>
        <v>0</v>
      </c>
      <c r="G382">
        <f>Model!O490</f>
        <v>0</v>
      </c>
      <c r="H382">
        <f>Model!P490</f>
        <v>0</v>
      </c>
      <c r="I382">
        <f>Model!Q490</f>
        <v>0</v>
      </c>
      <c r="J382">
        <f>Model!R490</f>
        <v>0</v>
      </c>
      <c r="K382">
        <f>Model!S490</f>
        <v>0</v>
      </c>
      <c r="L382">
        <f>Model!T490</f>
        <v>0</v>
      </c>
      <c r="M382">
        <f>Model!U490</f>
        <v>0</v>
      </c>
      <c r="N382">
        <f>Model!V490</f>
        <v>0</v>
      </c>
      <c r="O382">
        <f>Model!W490</f>
        <v>0</v>
      </c>
      <c r="P382">
        <f>Model!X490</f>
        <v>0</v>
      </c>
      <c r="Q382">
        <f>Model!Y490</f>
        <v>0</v>
      </c>
      <c r="R382">
        <f>Model!Z490</f>
        <v>0</v>
      </c>
      <c r="S382">
        <f>Model!AA490</f>
        <v>0</v>
      </c>
      <c r="T382">
        <f>Model!AB490</f>
        <v>0</v>
      </c>
      <c r="U382">
        <f>Model!AC490</f>
        <v>0</v>
      </c>
      <c r="V382">
        <f>Model!AD490</f>
        <v>0</v>
      </c>
      <c r="W382">
        <f>Model!AE490</f>
        <v>0</v>
      </c>
      <c r="X382">
        <f>Model!AF490</f>
        <v>0</v>
      </c>
      <c r="Y382">
        <f>Model!AG490</f>
        <v>0</v>
      </c>
      <c r="Z382">
        <f>Model!AH490</f>
        <v>0</v>
      </c>
      <c r="AA382">
        <f>Model!AI490</f>
        <v>0</v>
      </c>
      <c r="AB382">
        <f>Model!AJ490</f>
        <v>0</v>
      </c>
      <c r="AC382">
        <f>Model!AK490</f>
        <v>0</v>
      </c>
      <c r="AD382">
        <f>Model!AL490</f>
        <v>0</v>
      </c>
      <c r="AE382">
        <f>Model!AM490</f>
        <v>0</v>
      </c>
      <c r="AF382">
        <f>Model!AN490</f>
        <v>0</v>
      </c>
      <c r="AG382">
        <f>Model!AO490</f>
        <v>0</v>
      </c>
      <c r="AH382">
        <f>Model!AP490</f>
        <v>0</v>
      </c>
      <c r="AI382">
        <f>Model!AQ490</f>
        <v>0</v>
      </c>
      <c r="AJ382">
        <f>Model!AR490</f>
        <v>0</v>
      </c>
      <c r="AK382">
        <f>Model!AS490</f>
        <v>3199.2991887870207</v>
      </c>
      <c r="AL382">
        <f>Model!AT490</f>
        <v>2415.0335148310496</v>
      </c>
      <c r="AM382">
        <f>Model!AU490</f>
        <v>2043.8887941641365</v>
      </c>
      <c r="AN382">
        <f>Model!AV490</f>
        <v>2533.294592083374</v>
      </c>
      <c r="AO382">
        <f>Model!AW490</f>
        <v>-547.53619351257385</v>
      </c>
      <c r="AP382">
        <f>Model!AX490</f>
        <v>-101.36919697115304</v>
      </c>
      <c r="AQ382">
        <f>Model!AY490</f>
        <v>-323.34668751470952</v>
      </c>
      <c r="AR382">
        <f>Model!AZ490</f>
        <v>-85.453637080312731</v>
      </c>
      <c r="AS382">
        <f>Model!BA490</f>
        <v>-110.18595418375688</v>
      </c>
      <c r="AT382">
        <f>Model!BB490</f>
        <v>-289.47138300837645</v>
      </c>
      <c r="AU382">
        <f>Model!BC490</f>
        <v>-188.43915322861506</v>
      </c>
      <c r="AV382">
        <f>Model!BD490</f>
        <v>-268.17138275424537</v>
      </c>
      <c r="AW382">
        <f>Model!BE490</f>
        <v>-105.11903288929342</v>
      </c>
      <c r="AX382">
        <f>Model!BF490</f>
        <v>-150.8523117125618</v>
      </c>
      <c r="AY382">
        <f>Model!BG490</f>
        <v>69.772018383719441</v>
      </c>
      <c r="AZ382">
        <f>Model!BH490</f>
        <v>109.68397922764078</v>
      </c>
      <c r="BA382">
        <f>Model!BI490</f>
        <v>-176.74810442143001</v>
      </c>
      <c r="BB382">
        <f>Model!BJ490</f>
        <v>99.380507326300162</v>
      </c>
      <c r="BC382">
        <f>Model!BK490</f>
        <v>-99.586207988366368</v>
      </c>
      <c r="BD382">
        <f>Model!BL490</f>
        <v>102.4619500494553</v>
      </c>
      <c r="BE382">
        <f>Model!BM490</f>
        <v>-11.21704470217616</v>
      </c>
      <c r="BF382">
        <f>Model!BN490</f>
        <v>28.589546774629436</v>
      </c>
      <c r="BG382">
        <f>Model!BO490</f>
        <v>108.9117882495394</v>
      </c>
      <c r="BH382">
        <f>Model!BP490</f>
        <v>55.343217875050144</v>
      </c>
      <c r="BI382">
        <f>Model!BQ490</f>
        <v>218.01904474439721</v>
      </c>
      <c r="BJ382">
        <f>Model!BR490</f>
        <v>146.97500783149104</v>
      </c>
      <c r="BK382">
        <f>Model!BS490</f>
        <v>12.872068063621844</v>
      </c>
      <c r="BL382">
        <f>Model!BT490</f>
        <v>2.3366735019217377</v>
      </c>
      <c r="BM382">
        <f>Model!BU490</f>
        <v>-87.116523892008246</v>
      </c>
      <c r="BN382">
        <f>Model!BV490</f>
        <v>39.693003044356246</v>
      </c>
      <c r="BO382">
        <f>Model!BW490</f>
        <v>-37.652989156005404</v>
      </c>
      <c r="BP382">
        <f>Model!BX490</f>
        <v>-22.53850864770618</v>
      </c>
      <c r="BQ382">
        <f>Model!BY490</f>
        <v>112.25606047749137</v>
      </c>
      <c r="BR382">
        <f>Model!BZ490</f>
        <v>-29.88878136686829</v>
      </c>
      <c r="BS382">
        <f>Model!CA490</f>
        <v>181.25811804469316</v>
      </c>
      <c r="BT382">
        <f>Model!CB490</f>
        <v>257.56045057806654</v>
      </c>
      <c r="BU382">
        <f>Model!CC490</f>
        <v>205.99013898198655</v>
      </c>
      <c r="BV382">
        <f>Model!CD490</f>
        <v>59.99868667383862</v>
      </c>
      <c r="BW382">
        <f>Model!CE490</f>
        <v>-5.173468172802731</v>
      </c>
      <c r="BX382">
        <f>Model!CF490</f>
        <v>-123.03214692021724</v>
      </c>
      <c r="BY382">
        <f>Model!CG490</f>
        <v>0</v>
      </c>
      <c r="BZ382">
        <f>Model!CH490</f>
        <v>0</v>
      </c>
      <c r="CA382">
        <f>Model!CI490</f>
        <v>0</v>
      </c>
      <c r="CB382">
        <f>Model!CJ490</f>
        <v>0</v>
      </c>
      <c r="CC382">
        <f>Model!CK490</f>
        <v>0</v>
      </c>
      <c r="CD382">
        <f>Model!CL490</f>
        <v>0</v>
      </c>
      <c r="CE382">
        <f>Model!CM490</f>
        <v>0</v>
      </c>
      <c r="CF382">
        <f>Model!CN490</f>
        <v>0</v>
      </c>
      <c r="CG382">
        <f>Model!CO490</f>
        <v>0</v>
      </c>
      <c r="CH382">
        <f>Model!CP490</f>
        <v>0</v>
      </c>
      <c r="CI382">
        <f>Model!CQ490</f>
        <v>0</v>
      </c>
      <c r="CJ382">
        <f>Model!CR490</f>
        <v>0</v>
      </c>
      <c r="CK382">
        <f>Model!CS490</f>
        <v>8.7672216095857625</v>
      </c>
      <c r="CL382">
        <f>Model!CT490</f>
        <v>-21.267770025612531</v>
      </c>
      <c r="CM382">
        <f>Model!CU490</f>
        <v>53.365405391829213</v>
      </c>
      <c r="CN382">
        <f>Model!CV490</f>
        <v>85.452147333124344</v>
      </c>
      <c r="CO382">
        <f>Model!CW490</f>
        <v>-27.40758154726214</v>
      </c>
      <c r="CP382">
        <f>Model!CX490</f>
        <v>131.75979762553192</v>
      </c>
      <c r="CQ382">
        <f>Model!CY490</f>
        <v>32.477154319643375</v>
      </c>
      <c r="CR382">
        <f>Model!DG490</f>
        <v>0</v>
      </c>
      <c r="CS382">
        <f>Model!DH490</f>
        <v>0</v>
      </c>
      <c r="CT382">
        <f>Model!DI490</f>
        <v>0</v>
      </c>
      <c r="CU382">
        <f>Model!DJ490</f>
        <v>0</v>
      </c>
    </row>
    <row r="383" spans="1:99">
      <c r="A383">
        <f>Model!I534</f>
        <v>0</v>
      </c>
      <c r="B383">
        <f>Model!J534</f>
        <v>0</v>
      </c>
      <c r="C383">
        <f>Model!K534</f>
        <v>0</v>
      </c>
      <c r="D383">
        <f>Model!L534</f>
        <v>0</v>
      </c>
      <c r="E383">
        <f>Model!M534</f>
        <v>0</v>
      </c>
      <c r="F383">
        <f>Model!N534</f>
        <v>0</v>
      </c>
      <c r="G383">
        <f>Model!O534</f>
        <v>0</v>
      </c>
      <c r="H383">
        <f>Model!P534</f>
        <v>0</v>
      </c>
      <c r="I383">
        <f>Model!Q534</f>
        <v>0</v>
      </c>
      <c r="J383">
        <f>Model!R534</f>
        <v>0</v>
      </c>
      <c r="K383">
        <f>Model!S534</f>
        <v>0</v>
      </c>
      <c r="L383">
        <f>Model!T534</f>
        <v>0</v>
      </c>
      <c r="M383">
        <f>Model!U534</f>
        <v>0</v>
      </c>
      <c r="N383">
        <f>Model!V534</f>
        <v>0</v>
      </c>
      <c r="O383">
        <f>Model!W534</f>
        <v>0</v>
      </c>
      <c r="P383">
        <f>Model!X534</f>
        <v>0</v>
      </c>
      <c r="Q383">
        <f>Model!Y534</f>
        <v>0</v>
      </c>
      <c r="R383">
        <f>Model!Z534</f>
        <v>0</v>
      </c>
      <c r="S383">
        <f>Model!AA534</f>
        <v>0</v>
      </c>
      <c r="T383">
        <f>Model!AB534</f>
        <v>0</v>
      </c>
      <c r="U383">
        <f>Model!AC534</f>
        <v>0</v>
      </c>
      <c r="V383">
        <f>Model!AD534</f>
        <v>0</v>
      </c>
      <c r="W383">
        <f>Model!AE534</f>
        <v>0</v>
      </c>
      <c r="X383">
        <f>Model!AF534</f>
        <v>0</v>
      </c>
      <c r="Y383">
        <f>Model!AG534</f>
        <v>0</v>
      </c>
      <c r="Z383">
        <f>Model!AH534</f>
        <v>0</v>
      </c>
      <c r="AA383">
        <f>Model!AI534</f>
        <v>0</v>
      </c>
      <c r="AB383">
        <f>Model!AJ534</f>
        <v>0</v>
      </c>
      <c r="AC383">
        <f>Model!AK534</f>
        <v>0</v>
      </c>
      <c r="AD383">
        <f>Model!AL534</f>
        <v>0</v>
      </c>
      <c r="AE383">
        <f>Model!AM534</f>
        <v>0</v>
      </c>
      <c r="AF383">
        <f>Model!AN534</f>
        <v>0</v>
      </c>
      <c r="AG383">
        <f>Model!AO534</f>
        <v>0</v>
      </c>
      <c r="AH383">
        <f>Model!AP534</f>
        <v>0</v>
      </c>
      <c r="AI383">
        <f>Model!AQ534</f>
        <v>0</v>
      </c>
      <c r="AJ383">
        <f>Model!AR534</f>
        <v>0</v>
      </c>
      <c r="AK383">
        <f>Model!AS534</f>
        <v>0</v>
      </c>
      <c r="AL383">
        <f>Model!AT534</f>
        <v>0</v>
      </c>
      <c r="AM383">
        <f>Model!AU534</f>
        <v>0</v>
      </c>
      <c r="AN383">
        <f>Model!AV534</f>
        <v>0</v>
      </c>
      <c r="AO383">
        <f>Model!AW534</f>
        <v>0</v>
      </c>
      <c r="AP383">
        <f>Model!AX534</f>
        <v>0</v>
      </c>
      <c r="AQ383">
        <f>Model!AY534</f>
        <v>0</v>
      </c>
      <c r="AR383">
        <f>Model!AZ534</f>
        <v>0</v>
      </c>
      <c r="AS383">
        <f>Model!BA534</f>
        <v>0</v>
      </c>
      <c r="AT383">
        <f>Model!BB534</f>
        <v>0</v>
      </c>
      <c r="AU383">
        <f>Model!BC534</f>
        <v>0</v>
      </c>
      <c r="AV383">
        <f>Model!BD534</f>
        <v>0</v>
      </c>
      <c r="AW383">
        <f>Model!BE534</f>
        <v>0</v>
      </c>
      <c r="AX383">
        <f>Model!BF534</f>
        <v>0</v>
      </c>
      <c r="AY383">
        <f>Model!BG534</f>
        <v>0</v>
      </c>
      <c r="AZ383">
        <f>Model!BH534</f>
        <v>0</v>
      </c>
      <c r="BA383">
        <f>Model!BI534</f>
        <v>0</v>
      </c>
      <c r="BB383">
        <f>Model!BJ534</f>
        <v>0</v>
      </c>
      <c r="BC383">
        <f>Model!BK534</f>
        <v>0</v>
      </c>
      <c r="BD383">
        <f>Model!BL534</f>
        <v>0</v>
      </c>
      <c r="BE383">
        <f>Model!BM534</f>
        <v>0</v>
      </c>
      <c r="BF383">
        <f>Model!BN534</f>
        <v>0</v>
      </c>
      <c r="BG383">
        <f>Model!BO534</f>
        <v>0</v>
      </c>
      <c r="BH383">
        <f>Model!BP534</f>
        <v>0</v>
      </c>
      <c r="BI383">
        <f>Model!BQ534</f>
        <v>0</v>
      </c>
      <c r="BJ383">
        <f>Model!BR534</f>
        <v>0</v>
      </c>
      <c r="BK383">
        <f>Model!BS534</f>
        <v>0</v>
      </c>
      <c r="BL383">
        <f>Model!BT534</f>
        <v>0</v>
      </c>
      <c r="BM383">
        <f>Model!BU534</f>
        <v>0</v>
      </c>
      <c r="BN383">
        <f>Model!BV534</f>
        <v>0</v>
      </c>
      <c r="BO383">
        <f>Model!BW534</f>
        <v>0</v>
      </c>
      <c r="BP383">
        <f>Model!BX534</f>
        <v>0</v>
      </c>
      <c r="BQ383">
        <f>Model!BY534</f>
        <v>0</v>
      </c>
      <c r="BR383">
        <f>Model!BZ534</f>
        <v>0</v>
      </c>
      <c r="BS383">
        <f>Model!CA534</f>
        <v>0</v>
      </c>
      <c r="BT383">
        <f>Model!CB534</f>
        <v>0</v>
      </c>
      <c r="BU383">
        <f>Model!CC534</f>
        <v>0</v>
      </c>
      <c r="BV383">
        <f>Model!CD534</f>
        <v>0</v>
      </c>
      <c r="BW383">
        <f>Model!CE534</f>
        <v>0</v>
      </c>
      <c r="BX383">
        <f>Model!CF534</f>
        <v>0</v>
      </c>
      <c r="BY383">
        <f>Model!CG534</f>
        <v>0</v>
      </c>
      <c r="BZ383">
        <f>Model!CH534</f>
        <v>0</v>
      </c>
      <c r="CA383">
        <f>Model!CI534</f>
        <v>0</v>
      </c>
      <c r="CB383">
        <f>Model!CJ534</f>
        <v>0</v>
      </c>
      <c r="CC383">
        <f>Model!CK534</f>
        <v>0</v>
      </c>
      <c r="CD383">
        <f>Model!CL534</f>
        <v>0</v>
      </c>
      <c r="CE383">
        <f>Model!CM534</f>
        <v>0</v>
      </c>
      <c r="CF383">
        <f>Model!CN534</f>
        <v>0</v>
      </c>
      <c r="CG383">
        <f>Model!CO534</f>
        <v>0</v>
      </c>
      <c r="CH383">
        <f>Model!CP534</f>
        <v>0</v>
      </c>
      <c r="CI383">
        <f>Model!CQ534</f>
        <v>0</v>
      </c>
      <c r="CJ383">
        <f>Model!CR534</f>
        <v>0</v>
      </c>
      <c r="CK383">
        <f>Model!CS534</f>
        <v>0</v>
      </c>
      <c r="CL383">
        <f>Model!CT534</f>
        <v>0</v>
      </c>
      <c r="CM383">
        <f>Model!CU534</f>
        <v>0</v>
      </c>
      <c r="CN383">
        <f>Model!CV534</f>
        <v>0</v>
      </c>
      <c r="CO383">
        <f>Model!CW534</f>
        <v>0</v>
      </c>
      <c r="CP383">
        <f>Model!CX534</f>
        <v>0</v>
      </c>
      <c r="CQ383">
        <f>Model!CY534</f>
        <v>0</v>
      </c>
      <c r="CR383">
        <f>Model!DG534</f>
        <v>0</v>
      </c>
      <c r="CS383">
        <f>Model!DH534</f>
        <v>0</v>
      </c>
      <c r="CT383">
        <f>Model!DI534</f>
        <v>0</v>
      </c>
      <c r="CU383">
        <f>Model!DJ534</f>
        <v>0</v>
      </c>
    </row>
    <row r="384" spans="1:99">
      <c r="A384">
        <f>Model!I535</f>
        <v>0</v>
      </c>
      <c r="B384">
        <f>Model!J535</f>
        <v>0</v>
      </c>
      <c r="C384">
        <f>Model!K535</f>
        <v>0</v>
      </c>
      <c r="D384">
        <f>Model!L535</f>
        <v>0</v>
      </c>
      <c r="E384">
        <f>Model!M535</f>
        <v>0</v>
      </c>
      <c r="F384">
        <f>Model!N535</f>
        <v>0</v>
      </c>
      <c r="G384">
        <f>Model!O535</f>
        <v>0</v>
      </c>
      <c r="H384">
        <f>Model!P535</f>
        <v>0</v>
      </c>
      <c r="I384">
        <f>Model!Q535</f>
        <v>0</v>
      </c>
      <c r="J384">
        <f>Model!R535</f>
        <v>0</v>
      </c>
      <c r="K384">
        <f>Model!S535</f>
        <v>0</v>
      </c>
      <c r="L384">
        <f>Model!T535</f>
        <v>0</v>
      </c>
      <c r="M384">
        <f>Model!U535</f>
        <v>0</v>
      </c>
      <c r="N384">
        <f>Model!V535</f>
        <v>0</v>
      </c>
      <c r="O384">
        <f>Model!W535</f>
        <v>0</v>
      </c>
      <c r="P384">
        <f>Model!X535</f>
        <v>0</v>
      </c>
      <c r="Q384">
        <f>Model!Y535</f>
        <v>0</v>
      </c>
      <c r="R384">
        <f>Model!Z535</f>
        <v>0</v>
      </c>
      <c r="S384">
        <f>Model!AA535</f>
        <v>0</v>
      </c>
      <c r="T384">
        <f>Model!AB535</f>
        <v>0</v>
      </c>
      <c r="U384">
        <f>Model!AC535</f>
        <v>0</v>
      </c>
      <c r="V384">
        <f>Model!AD535</f>
        <v>0</v>
      </c>
      <c r="W384">
        <f>Model!AE535</f>
        <v>0</v>
      </c>
      <c r="X384">
        <f>Model!AF535</f>
        <v>0</v>
      </c>
      <c r="Y384">
        <f>Model!AG535</f>
        <v>0</v>
      </c>
      <c r="Z384">
        <f>Model!AH535</f>
        <v>0</v>
      </c>
      <c r="AA384">
        <f>Model!AI535</f>
        <v>0</v>
      </c>
      <c r="AB384">
        <f>Model!AJ535</f>
        <v>0</v>
      </c>
      <c r="AC384">
        <f>Model!AK535</f>
        <v>0</v>
      </c>
      <c r="AD384">
        <f>Model!AL535</f>
        <v>0</v>
      </c>
      <c r="AE384">
        <f>Model!AM535</f>
        <v>0</v>
      </c>
      <c r="AF384">
        <f>Model!AN535</f>
        <v>0</v>
      </c>
      <c r="AG384">
        <f>Model!AO535</f>
        <v>0</v>
      </c>
      <c r="AH384">
        <f>Model!AP535</f>
        <v>0</v>
      </c>
      <c r="AI384">
        <f>Model!AQ535</f>
        <v>0</v>
      </c>
      <c r="AJ384">
        <f>Model!AR535</f>
        <v>0</v>
      </c>
      <c r="AK384">
        <f>Model!AS535</f>
        <v>0</v>
      </c>
      <c r="AL384">
        <f>Model!AT535</f>
        <v>0</v>
      </c>
      <c r="AM384">
        <f>Model!AU535</f>
        <v>0</v>
      </c>
      <c r="AN384">
        <f>Model!AV535</f>
        <v>0</v>
      </c>
      <c r="AO384">
        <f>Model!AW535</f>
        <v>0</v>
      </c>
      <c r="AP384">
        <f>Model!AX535</f>
        <v>0</v>
      </c>
      <c r="AQ384">
        <f>Model!AY535</f>
        <v>0</v>
      </c>
      <c r="AR384">
        <f>Model!AZ535</f>
        <v>0</v>
      </c>
      <c r="AS384">
        <f>Model!BA535</f>
        <v>0</v>
      </c>
      <c r="AT384">
        <f>Model!BB535</f>
        <v>0</v>
      </c>
      <c r="AU384">
        <f>Model!BC535</f>
        <v>0</v>
      </c>
      <c r="AV384">
        <f>Model!BD535</f>
        <v>0</v>
      </c>
      <c r="AW384">
        <f>Model!BE535</f>
        <v>0</v>
      </c>
      <c r="AX384">
        <f>Model!BF535</f>
        <v>0</v>
      </c>
      <c r="AY384">
        <f>Model!BG535</f>
        <v>0</v>
      </c>
      <c r="AZ384">
        <f>Model!BH535</f>
        <v>0</v>
      </c>
      <c r="BA384">
        <f>Model!BI535</f>
        <v>0</v>
      </c>
      <c r="BB384">
        <f>Model!BJ535</f>
        <v>0</v>
      </c>
      <c r="BC384">
        <f>Model!BK535</f>
        <v>0</v>
      </c>
      <c r="BD384">
        <f>Model!BL535</f>
        <v>0</v>
      </c>
      <c r="BE384">
        <f>Model!BM535</f>
        <v>0</v>
      </c>
      <c r="BF384">
        <f>Model!BN535</f>
        <v>0</v>
      </c>
      <c r="BG384">
        <f>Model!BO535</f>
        <v>0</v>
      </c>
      <c r="BH384">
        <f>Model!BP535</f>
        <v>0</v>
      </c>
      <c r="BI384">
        <f>Model!BQ535</f>
        <v>0</v>
      </c>
      <c r="BJ384">
        <f>Model!BR535</f>
        <v>0</v>
      </c>
      <c r="BK384">
        <f>Model!BS535</f>
        <v>0</v>
      </c>
      <c r="BL384">
        <f>Model!BT535</f>
        <v>0</v>
      </c>
      <c r="BM384">
        <f>Model!BU535</f>
        <v>0</v>
      </c>
      <c r="BN384">
        <f>Model!BV535</f>
        <v>0</v>
      </c>
      <c r="BO384">
        <f>Model!BW535</f>
        <v>0</v>
      </c>
      <c r="BP384">
        <f>Model!BX535</f>
        <v>0</v>
      </c>
      <c r="BQ384">
        <f>Model!BY535</f>
        <v>0</v>
      </c>
      <c r="BR384">
        <f>Model!BZ535</f>
        <v>0</v>
      </c>
      <c r="BS384">
        <f>Model!CA535</f>
        <v>0</v>
      </c>
      <c r="BT384">
        <f>Model!CB535</f>
        <v>0</v>
      </c>
      <c r="BU384">
        <f>Model!CC535</f>
        <v>0</v>
      </c>
      <c r="BV384">
        <f>Model!CD535</f>
        <v>0</v>
      </c>
      <c r="BW384">
        <f>Model!CE535</f>
        <v>0</v>
      </c>
      <c r="BX384">
        <f>Model!CF535</f>
        <v>0</v>
      </c>
      <c r="BY384">
        <f>Model!CG535</f>
        <v>0</v>
      </c>
      <c r="BZ384">
        <f>Model!CH535</f>
        <v>0</v>
      </c>
      <c r="CA384">
        <f>Model!CI535</f>
        <v>0</v>
      </c>
      <c r="CB384">
        <f>Model!CJ535</f>
        <v>0</v>
      </c>
      <c r="CC384">
        <f>Model!CK535</f>
        <v>0</v>
      </c>
      <c r="CD384">
        <f>Model!CL535</f>
        <v>0</v>
      </c>
      <c r="CE384">
        <f>Model!CM535</f>
        <v>0</v>
      </c>
      <c r="CF384">
        <f>Model!CN535</f>
        <v>0</v>
      </c>
      <c r="CG384">
        <f>Model!CO535</f>
        <v>0</v>
      </c>
      <c r="CH384">
        <f>Model!CP535</f>
        <v>0</v>
      </c>
      <c r="CI384">
        <f>Model!CQ535</f>
        <v>0</v>
      </c>
      <c r="CJ384">
        <f>Model!CR535</f>
        <v>0</v>
      </c>
      <c r="CK384">
        <f>Model!CS535</f>
        <v>0</v>
      </c>
      <c r="CL384">
        <f>Model!CT535</f>
        <v>0</v>
      </c>
      <c r="CM384">
        <f>Model!CU535</f>
        <v>0</v>
      </c>
      <c r="CN384">
        <f>Model!CV535</f>
        <v>0</v>
      </c>
      <c r="CO384">
        <f>Model!CW535</f>
        <v>0</v>
      </c>
      <c r="CP384">
        <f>Model!CX535</f>
        <v>0</v>
      </c>
      <c r="CQ384">
        <f>Model!CY535</f>
        <v>0</v>
      </c>
      <c r="CR384">
        <f>Model!DG535</f>
        <v>0</v>
      </c>
      <c r="CS384">
        <f>Model!DH535</f>
        <v>0</v>
      </c>
      <c r="CT384">
        <f>Model!DI535</f>
        <v>0</v>
      </c>
      <c r="CU384">
        <f>Model!DJ535</f>
        <v>0</v>
      </c>
    </row>
    <row r="385" spans="1:99">
      <c r="A385" t="str">
        <f>Model!I536</f>
        <v>Free cash flow analysis</v>
      </c>
      <c r="B385">
        <f>Model!J536</f>
        <v>0</v>
      </c>
      <c r="C385">
        <f>Model!K536</f>
        <v>0</v>
      </c>
      <c r="D385">
        <f>Model!L536</f>
        <v>0</v>
      </c>
      <c r="E385">
        <f>Model!M536</f>
        <v>0</v>
      </c>
      <c r="F385">
        <f>Model!N536</f>
        <v>0</v>
      </c>
      <c r="G385">
        <f>Model!O536</f>
        <v>0</v>
      </c>
      <c r="H385">
        <f>Model!P536</f>
        <v>0</v>
      </c>
      <c r="I385">
        <f>Model!Q536</f>
        <v>0</v>
      </c>
      <c r="J385">
        <f>Model!R536</f>
        <v>0</v>
      </c>
      <c r="K385">
        <f>Model!S536</f>
        <v>0</v>
      </c>
      <c r="L385">
        <f>Model!T536</f>
        <v>0</v>
      </c>
      <c r="M385">
        <f>Model!U536</f>
        <v>0</v>
      </c>
      <c r="N385">
        <f>Model!V536</f>
        <v>0</v>
      </c>
      <c r="O385">
        <f>Model!W536</f>
        <v>0</v>
      </c>
      <c r="P385">
        <f>Model!X536</f>
        <v>0</v>
      </c>
      <c r="Q385">
        <f>Model!Y536</f>
        <v>0</v>
      </c>
      <c r="R385">
        <f>Model!Z536</f>
        <v>0</v>
      </c>
      <c r="S385">
        <f>Model!AA536</f>
        <v>0</v>
      </c>
      <c r="T385">
        <f>Model!AB536</f>
        <v>0</v>
      </c>
      <c r="U385">
        <f>Model!AC536</f>
        <v>0</v>
      </c>
      <c r="V385">
        <f>Model!AD536</f>
        <v>0</v>
      </c>
      <c r="W385">
        <f>Model!AE536</f>
        <v>0</v>
      </c>
      <c r="X385">
        <f>Model!AF536</f>
        <v>0</v>
      </c>
      <c r="Y385">
        <f>Model!AG536</f>
        <v>0</v>
      </c>
      <c r="Z385">
        <f>Model!AH536</f>
        <v>0</v>
      </c>
      <c r="AA385">
        <f>Model!AI536</f>
        <v>0</v>
      </c>
      <c r="AB385">
        <f>Model!AJ536</f>
        <v>0</v>
      </c>
      <c r="AC385">
        <f>Model!AK536</f>
        <v>0</v>
      </c>
      <c r="AD385">
        <f>Model!AL536</f>
        <v>0</v>
      </c>
      <c r="AE385">
        <f>Model!AM536</f>
        <v>0</v>
      </c>
      <c r="AF385">
        <f>Model!AN536</f>
        <v>0</v>
      </c>
      <c r="AG385">
        <f>Model!AO536</f>
        <v>0</v>
      </c>
      <c r="AH385">
        <f>Model!AP536</f>
        <v>0</v>
      </c>
      <c r="AI385">
        <f>Model!AQ536</f>
        <v>0</v>
      </c>
      <c r="AJ385">
        <f>Model!AR536</f>
        <v>0</v>
      </c>
      <c r="AK385">
        <f>Model!AS536</f>
        <v>0</v>
      </c>
      <c r="AL385">
        <f>Model!AT536</f>
        <v>0</v>
      </c>
      <c r="AM385">
        <f>Model!AU536</f>
        <v>0</v>
      </c>
      <c r="AN385">
        <f>Model!AV536</f>
        <v>0</v>
      </c>
      <c r="AO385">
        <f>Model!AW536</f>
        <v>0</v>
      </c>
      <c r="AP385">
        <f>Model!AX536</f>
        <v>0</v>
      </c>
      <c r="AQ385">
        <f>Model!AY536</f>
        <v>0</v>
      </c>
      <c r="AR385">
        <f>Model!AZ536</f>
        <v>0</v>
      </c>
      <c r="AS385">
        <f>Model!BA536</f>
        <v>0</v>
      </c>
      <c r="AT385">
        <f>Model!BB536</f>
        <v>0</v>
      </c>
      <c r="AU385">
        <f>Model!BC536</f>
        <v>0</v>
      </c>
      <c r="AV385">
        <f>Model!BD536</f>
        <v>0</v>
      </c>
      <c r="AW385">
        <f>Model!BE536</f>
        <v>0</v>
      </c>
      <c r="AX385">
        <f>Model!BF536</f>
        <v>0</v>
      </c>
      <c r="AY385">
        <f>Model!BG536</f>
        <v>0</v>
      </c>
      <c r="AZ385">
        <f>Model!BH536</f>
        <v>0</v>
      </c>
      <c r="BA385">
        <f>Model!BI536</f>
        <v>0</v>
      </c>
      <c r="BB385">
        <f>Model!BJ536</f>
        <v>0</v>
      </c>
      <c r="BC385">
        <f>Model!BK536</f>
        <v>0</v>
      </c>
      <c r="BD385">
        <f>Model!BL536</f>
        <v>0</v>
      </c>
      <c r="BE385">
        <f>Model!BM536</f>
        <v>0</v>
      </c>
      <c r="BF385">
        <f>Model!BN536</f>
        <v>0</v>
      </c>
      <c r="BG385">
        <f>Model!BO536</f>
        <v>0</v>
      </c>
      <c r="BH385">
        <f>Model!BP536</f>
        <v>0</v>
      </c>
      <c r="BI385">
        <f>Model!BQ536</f>
        <v>0</v>
      </c>
      <c r="BJ385">
        <f>Model!BR536</f>
        <v>0</v>
      </c>
      <c r="BK385">
        <f>Model!BS536</f>
        <v>0</v>
      </c>
      <c r="BL385">
        <f>Model!BT536</f>
        <v>0</v>
      </c>
      <c r="BM385">
        <f>Model!BU536</f>
        <v>0</v>
      </c>
      <c r="BN385">
        <f>Model!BV536</f>
        <v>0</v>
      </c>
      <c r="BO385">
        <f>Model!BW536</f>
        <v>0</v>
      </c>
      <c r="BP385">
        <f>Model!BX536</f>
        <v>0</v>
      </c>
      <c r="BQ385">
        <f>Model!BY536</f>
        <v>0</v>
      </c>
      <c r="BR385">
        <f>Model!BZ536</f>
        <v>0</v>
      </c>
      <c r="BS385">
        <f>Model!CA536</f>
        <v>0</v>
      </c>
      <c r="BT385">
        <f>Model!CB536</f>
        <v>0</v>
      </c>
      <c r="BU385">
        <f>Model!CC536</f>
        <v>0</v>
      </c>
      <c r="BV385">
        <f>Model!CD536</f>
        <v>0</v>
      </c>
      <c r="BW385">
        <f>Model!CE536</f>
        <v>0</v>
      </c>
      <c r="BX385">
        <f>Model!CF536</f>
        <v>0</v>
      </c>
      <c r="BY385">
        <f>Model!CG536</f>
        <v>0</v>
      </c>
      <c r="BZ385">
        <f>Model!CH536</f>
        <v>0</v>
      </c>
      <c r="CA385">
        <f>Model!CI536</f>
        <v>0</v>
      </c>
      <c r="CB385">
        <f>Model!CJ536</f>
        <v>0</v>
      </c>
      <c r="CC385">
        <f>Model!CK536</f>
        <v>0</v>
      </c>
      <c r="CD385">
        <f>Model!CL536</f>
        <v>0</v>
      </c>
      <c r="CE385">
        <f>Model!CM536</f>
        <v>0</v>
      </c>
      <c r="CF385">
        <f>Model!CN536</f>
        <v>0</v>
      </c>
      <c r="CG385">
        <f>Model!CO536</f>
        <v>0</v>
      </c>
      <c r="CH385">
        <f>Model!CP536</f>
        <v>0</v>
      </c>
      <c r="CI385">
        <f>Model!CQ536</f>
        <v>0</v>
      </c>
      <c r="CJ385">
        <f>Model!CR536</f>
        <v>0</v>
      </c>
      <c r="CK385">
        <f>Model!CS536</f>
        <v>0</v>
      </c>
      <c r="CL385">
        <f>Model!CT536</f>
        <v>0</v>
      </c>
      <c r="CM385">
        <f>Model!CU536</f>
        <v>0</v>
      </c>
      <c r="CN385">
        <f>Model!CV536</f>
        <v>0</v>
      </c>
      <c r="CO385">
        <f>Model!CW536</f>
        <v>0</v>
      </c>
      <c r="CP385">
        <f>Model!CX536</f>
        <v>0</v>
      </c>
      <c r="CQ385">
        <f>Model!CY536</f>
        <v>0</v>
      </c>
      <c r="CR385">
        <f>Model!DG536</f>
        <v>0</v>
      </c>
      <c r="CS385">
        <f>Model!DH536</f>
        <v>0</v>
      </c>
      <c r="CT385">
        <f>Model!DI536</f>
        <v>0</v>
      </c>
      <c r="CU385">
        <f>Model!DJ536</f>
        <v>0</v>
      </c>
    </row>
    <row r="386" spans="1:99">
      <c r="A386" t="str">
        <f>Model!I537</f>
        <v>EBITDA</v>
      </c>
      <c r="B386">
        <f>Model!J537</f>
        <v>0</v>
      </c>
      <c r="C386">
        <f>Model!K537</f>
        <v>0</v>
      </c>
      <c r="D386">
        <f>Model!L537</f>
        <v>0</v>
      </c>
      <c r="E386">
        <f>Model!M537</f>
        <v>0</v>
      </c>
      <c r="F386">
        <f>Model!N537</f>
        <v>0</v>
      </c>
      <c r="G386">
        <f>Model!O537</f>
        <v>0</v>
      </c>
      <c r="H386">
        <f>Model!P537</f>
        <v>0</v>
      </c>
      <c r="I386">
        <f>Model!Q537</f>
        <v>0</v>
      </c>
      <c r="J386">
        <f>Model!R537</f>
        <v>0</v>
      </c>
      <c r="K386">
        <f>Model!S537</f>
        <v>0</v>
      </c>
      <c r="L386">
        <f>Model!T537</f>
        <v>0</v>
      </c>
      <c r="M386">
        <f>Model!U537</f>
        <v>0</v>
      </c>
      <c r="N386">
        <f>Model!V537</f>
        <v>0</v>
      </c>
      <c r="O386">
        <f>Model!W537</f>
        <v>0</v>
      </c>
      <c r="P386">
        <f>Model!X537</f>
        <v>0</v>
      </c>
      <c r="Q386">
        <f>Model!Y537</f>
        <v>0</v>
      </c>
      <c r="R386">
        <f>Model!Z537</f>
        <v>0</v>
      </c>
      <c r="S386">
        <f>Model!AA537</f>
        <v>0</v>
      </c>
      <c r="T386">
        <f>Model!AB537</f>
        <v>0</v>
      </c>
      <c r="U386">
        <f>Model!AC537</f>
        <v>0</v>
      </c>
      <c r="V386">
        <f>Model!AD537</f>
        <v>0</v>
      </c>
      <c r="W386">
        <f>Model!AE537</f>
        <v>0</v>
      </c>
      <c r="X386">
        <f>Model!AF537</f>
        <v>0</v>
      </c>
      <c r="Y386">
        <f>Model!AG537</f>
        <v>0</v>
      </c>
      <c r="Z386">
        <f>Model!AH537</f>
        <v>0</v>
      </c>
      <c r="AA386">
        <f>Model!AI537</f>
        <v>0</v>
      </c>
      <c r="AB386">
        <f>Model!AJ537</f>
        <v>0</v>
      </c>
      <c r="AC386">
        <f>Model!AK537</f>
        <v>0</v>
      </c>
      <c r="AD386">
        <f>Model!AL537</f>
        <v>0</v>
      </c>
      <c r="AE386">
        <f>Model!AM537</f>
        <v>0</v>
      </c>
      <c r="AF386">
        <f>Model!AN537</f>
        <v>0</v>
      </c>
      <c r="AG386">
        <f>Model!AO537</f>
        <v>0</v>
      </c>
      <c r="AH386">
        <f>Model!AP537</f>
        <v>0</v>
      </c>
      <c r="AI386">
        <f>Model!AQ537</f>
        <v>0</v>
      </c>
      <c r="AJ386">
        <f>Model!AR537</f>
        <v>0</v>
      </c>
      <c r="AK386">
        <f>Model!AS537</f>
        <v>0</v>
      </c>
      <c r="AL386">
        <f>Model!AT537</f>
        <v>0</v>
      </c>
      <c r="AM386">
        <f>Model!AU537</f>
        <v>0</v>
      </c>
      <c r="AN386">
        <f>Model!AV537</f>
        <v>0</v>
      </c>
      <c r="AO386">
        <f>Model!AW537</f>
        <v>0</v>
      </c>
      <c r="AP386">
        <f>Model!AX537</f>
        <v>0</v>
      </c>
      <c r="AQ386">
        <f>Model!AY537</f>
        <v>0</v>
      </c>
      <c r="AR386">
        <f>Model!AZ537</f>
        <v>0</v>
      </c>
      <c r="AS386">
        <f>Model!BA537</f>
        <v>0</v>
      </c>
      <c r="AT386">
        <f>Model!BB537</f>
        <v>0</v>
      </c>
      <c r="AU386">
        <f>Model!BC537</f>
        <v>0</v>
      </c>
      <c r="AV386">
        <f>Model!BD537</f>
        <v>0</v>
      </c>
      <c r="AW386">
        <f>Model!BE537</f>
        <v>0</v>
      </c>
      <c r="AX386">
        <f>Model!BF537</f>
        <v>0</v>
      </c>
      <c r="AY386">
        <f>Model!BG537</f>
        <v>0</v>
      </c>
      <c r="AZ386">
        <f>Model!BH537</f>
        <v>0</v>
      </c>
      <c r="BA386">
        <f>Model!BI537</f>
        <v>368.23599999999988</v>
      </c>
      <c r="BB386">
        <f>Model!BJ537</f>
        <v>621.25599999999986</v>
      </c>
      <c r="BC386">
        <f>Model!BK537</f>
        <v>1113.9169999999997</v>
      </c>
      <c r="BD386">
        <f>Model!BL537</f>
        <v>578.09499999999991</v>
      </c>
      <c r="BE386">
        <f>Model!BM537</f>
        <v>513.33199999999999</v>
      </c>
      <c r="BF386">
        <f>Model!BN537</f>
        <v>809.42499999999995</v>
      </c>
      <c r="BG386">
        <f>Model!BO537</f>
        <v>1429.9110000000003</v>
      </c>
      <c r="BH386">
        <f>Model!BP537</f>
        <v>711.71399999999994</v>
      </c>
      <c r="BI386">
        <f>Model!BQ537</f>
        <v>531.7349999999999</v>
      </c>
      <c r="BJ386">
        <f>Model!BR537</f>
        <v>804.72500000000014</v>
      </c>
      <c r="BK386">
        <f>Model!BS537</f>
        <v>1596.597</v>
      </c>
      <c r="BL386">
        <f>Model!BT537</f>
        <v>789.59599999999966</v>
      </c>
      <c r="BM386">
        <f>Model!BU537</f>
        <v>676.26099999999951</v>
      </c>
      <c r="BN386">
        <f>Model!BV537</f>
        <v>867.09200000000021</v>
      </c>
      <c r="BO386">
        <f>Model!BW537</f>
        <v>1902.3150000000005</v>
      </c>
      <c r="BP386">
        <f>Model!BX537</f>
        <v>943.14099999999974</v>
      </c>
      <c r="BQ386">
        <f>Model!BY537</f>
        <v>693.71299999999997</v>
      </c>
      <c r="BR386">
        <f>Model!BZ537</f>
        <v>1041.0160000000005</v>
      </c>
      <c r="BS386">
        <f>Model!CA537</f>
        <v>2254.0970000000002</v>
      </c>
      <c r="BT386">
        <f>Model!CB537</f>
        <v>1139.3159999999998</v>
      </c>
      <c r="BU386">
        <f>Model!CC537</f>
        <v>828.3193515553229</v>
      </c>
      <c r="BV386">
        <f>Model!CD537</f>
        <v>1282.2327475840202</v>
      </c>
      <c r="BW386">
        <f>Model!CE537</f>
        <v>2629.0005533780973</v>
      </c>
      <c r="BX386">
        <f>Model!CF537</f>
        <v>1465.8994563980068</v>
      </c>
      <c r="BY386">
        <f>Model!CG537</f>
        <v>0</v>
      </c>
      <c r="BZ386">
        <f>Model!CH537</f>
        <v>0</v>
      </c>
      <c r="CA386">
        <f>Model!CI537</f>
        <v>0</v>
      </c>
      <c r="CB386">
        <f>Model!CJ537</f>
        <v>0</v>
      </c>
      <c r="CC386">
        <f>Model!CK537</f>
        <v>0</v>
      </c>
      <c r="CD386">
        <f>Model!CL537</f>
        <v>0</v>
      </c>
      <c r="CE386">
        <f>Model!CM537</f>
        <v>0</v>
      </c>
      <c r="CF386">
        <f>Model!CN537</f>
        <v>0</v>
      </c>
      <c r="CG386">
        <f>Model!CO537</f>
        <v>0</v>
      </c>
      <c r="CH386">
        <f>Model!CP537</f>
        <v>0</v>
      </c>
      <c r="CI386">
        <f>Model!CQ537</f>
        <v>901.38099999999974</v>
      </c>
      <c r="CJ386">
        <f>Model!CR537</f>
        <v>1510.9750000000004</v>
      </c>
      <c r="CK386">
        <f>Model!CS537</f>
        <v>1972.9040000000009</v>
      </c>
      <c r="CL386">
        <f>Model!CT537</f>
        <v>2681.5039999999995</v>
      </c>
      <c r="CM386">
        <f>Model!CU537</f>
        <v>3464.3819999999987</v>
      </c>
      <c r="CN386">
        <f>Model!CV537</f>
        <v>3722.6529999999993</v>
      </c>
      <c r="CO386">
        <f>Model!CW537</f>
        <v>4388.8089999999993</v>
      </c>
      <c r="CP386">
        <f>Model!CX537</f>
        <v>5128.1419999999989</v>
      </c>
      <c r="CQ386">
        <f>Model!CY537</f>
        <v>6205.4521089154487</v>
      </c>
      <c r="CR386">
        <f>Model!DG537</f>
        <v>0</v>
      </c>
      <c r="CS386">
        <f>Model!DH537</f>
        <v>0</v>
      </c>
      <c r="CT386">
        <f>Model!DI537</f>
        <v>0</v>
      </c>
      <c r="CU386">
        <f>Model!DJ537</f>
        <v>0</v>
      </c>
    </row>
    <row r="387" spans="1:99">
      <c r="A387" t="str">
        <f>Model!I538</f>
        <v>(-) Stock based compensation</v>
      </c>
      <c r="B387">
        <f>Model!J538</f>
        <v>0</v>
      </c>
      <c r="C387">
        <f>Model!K538</f>
        <v>0</v>
      </c>
      <c r="D387">
        <f>Model!L538</f>
        <v>0</v>
      </c>
      <c r="E387">
        <f>Model!M538</f>
        <v>0</v>
      </c>
      <c r="F387">
        <f>Model!N538</f>
        <v>0</v>
      </c>
      <c r="G387">
        <f>Model!O538</f>
        <v>0</v>
      </c>
      <c r="H387">
        <f>Model!P538</f>
        <v>0</v>
      </c>
      <c r="I387">
        <f>Model!Q538</f>
        <v>0</v>
      </c>
      <c r="J387">
        <f>Model!R538</f>
        <v>0</v>
      </c>
      <c r="K387">
        <f>Model!S538</f>
        <v>0</v>
      </c>
      <c r="L387">
        <f>Model!T538</f>
        <v>0</v>
      </c>
      <c r="M387">
        <f>Model!U538</f>
        <v>0</v>
      </c>
      <c r="N387">
        <f>Model!V538</f>
        <v>0</v>
      </c>
      <c r="O387">
        <f>Model!W538</f>
        <v>0</v>
      </c>
      <c r="P387">
        <f>Model!X538</f>
        <v>0</v>
      </c>
      <c r="Q387">
        <f>Model!Y538</f>
        <v>0</v>
      </c>
      <c r="R387">
        <f>Model!Z538</f>
        <v>0</v>
      </c>
      <c r="S387">
        <f>Model!AA538</f>
        <v>0</v>
      </c>
      <c r="T387">
        <f>Model!AB538</f>
        <v>0</v>
      </c>
      <c r="U387">
        <f>Model!AC538</f>
        <v>0</v>
      </c>
      <c r="V387">
        <f>Model!AD538</f>
        <v>0</v>
      </c>
      <c r="W387">
        <f>Model!AE538</f>
        <v>0</v>
      </c>
      <c r="X387">
        <f>Model!AF538</f>
        <v>0</v>
      </c>
      <c r="Y387">
        <f>Model!AG538</f>
        <v>0</v>
      </c>
      <c r="Z387">
        <f>Model!AH538</f>
        <v>0</v>
      </c>
      <c r="AA387">
        <f>Model!AI538</f>
        <v>0</v>
      </c>
      <c r="AB387">
        <f>Model!AJ538</f>
        <v>0</v>
      </c>
      <c r="AC387">
        <f>Model!AK538</f>
        <v>0</v>
      </c>
      <c r="AD387">
        <f>Model!AL538</f>
        <v>0</v>
      </c>
      <c r="AE387">
        <f>Model!AM538</f>
        <v>0</v>
      </c>
      <c r="AF387">
        <f>Model!AN538</f>
        <v>0</v>
      </c>
      <c r="AG387">
        <f>Model!AO538</f>
        <v>0</v>
      </c>
      <c r="AH387">
        <f>Model!AP538</f>
        <v>0</v>
      </c>
      <c r="AI387">
        <f>Model!AQ538</f>
        <v>0</v>
      </c>
      <c r="AJ387">
        <f>Model!AR538</f>
        <v>0</v>
      </c>
      <c r="AK387">
        <f>Model!AS538</f>
        <v>0</v>
      </c>
      <c r="AL387">
        <f>Model!AT538</f>
        <v>0</v>
      </c>
      <c r="AM387">
        <f>Model!AU538</f>
        <v>0</v>
      </c>
      <c r="AN387">
        <f>Model!AV538</f>
        <v>0</v>
      </c>
      <c r="AO387">
        <f>Model!AW538</f>
        <v>0</v>
      </c>
      <c r="AP387">
        <f>Model!AX538</f>
        <v>0</v>
      </c>
      <c r="AQ387">
        <f>Model!AY538</f>
        <v>0</v>
      </c>
      <c r="AR387">
        <f>Model!AZ538</f>
        <v>0</v>
      </c>
      <c r="AS387">
        <f>Model!BA538</f>
        <v>0</v>
      </c>
      <c r="AT387">
        <f>Model!BB538</f>
        <v>0</v>
      </c>
      <c r="AU387">
        <f>Model!BC538</f>
        <v>0</v>
      </c>
      <c r="AV387">
        <f>Model!BD538</f>
        <v>0</v>
      </c>
      <c r="AW387">
        <f>Model!BE538</f>
        <v>0</v>
      </c>
      <c r="AX387">
        <f>Model!BF538</f>
        <v>0</v>
      </c>
      <c r="AY387">
        <f>Model!BG538</f>
        <v>0</v>
      </c>
      <c r="AZ387">
        <f>Model!BH538</f>
        <v>0</v>
      </c>
      <c r="BA387">
        <f>Model!BI538</f>
        <v>-21.709</v>
      </c>
      <c r="BB387">
        <f>Model!BJ538</f>
        <v>-34.735999999999997</v>
      </c>
      <c r="BC387">
        <f>Model!BK538</f>
        <v>-34.551000000000002</v>
      </c>
      <c r="BD387">
        <f>Model!BL538</f>
        <v>-49.53</v>
      </c>
      <c r="BE387">
        <f>Model!BM538</f>
        <v>-38.802999999999997</v>
      </c>
      <c r="BF387">
        <f>Model!BN538</f>
        <v>-35.167999999999999</v>
      </c>
      <c r="BG387">
        <f>Model!BO538</f>
        <v>-46.136000000000003</v>
      </c>
      <c r="BH387">
        <f>Model!BP538</f>
        <v>-66.317999999999998</v>
      </c>
      <c r="BI387">
        <f>Model!BQ538</f>
        <v>-54.008000000000003</v>
      </c>
      <c r="BJ387">
        <f>Model!BR538</f>
        <v>-60.164000000000001</v>
      </c>
      <c r="BK387">
        <f>Model!BS538</f>
        <v>-58.274000000000001</v>
      </c>
      <c r="BL387">
        <f>Model!BT538</f>
        <v>-74.948999999999998</v>
      </c>
      <c r="BM387">
        <f>Model!BU538</f>
        <v>-66</v>
      </c>
      <c r="BN387">
        <f>Model!BV538</f>
        <v>-54.975999999999999</v>
      </c>
      <c r="BO387">
        <f>Model!BW538</f>
        <v>-54.073999999999998</v>
      </c>
      <c r="BP387">
        <f>Model!BX538</f>
        <v>-74.524000000000001</v>
      </c>
      <c r="BQ387">
        <f>Model!BY538</f>
        <v>-58.948</v>
      </c>
      <c r="BR387">
        <f>Model!BZ538</f>
        <v>-66.879000000000005</v>
      </c>
      <c r="BS387">
        <f>Model!CA538</f>
        <v>-66.421000000000006</v>
      </c>
      <c r="BT387">
        <f>Model!CB538</f>
        <v>-68.662000000000006</v>
      </c>
      <c r="BU387">
        <f>Model!CC538</f>
        <v>-63.663840000000008</v>
      </c>
      <c r="BV387">
        <f>Model!CD538</f>
        <v>-72.229320000000016</v>
      </c>
      <c r="BW387">
        <f>Model!CE538</f>
        <v>-71.734680000000012</v>
      </c>
      <c r="BX387">
        <f>Model!CF538</f>
        <v>-74.154960000000017</v>
      </c>
      <c r="BY387">
        <f>Model!CG538</f>
        <v>0</v>
      </c>
      <c r="BZ387">
        <f>Model!CH538</f>
        <v>0</v>
      </c>
      <c r="CA387">
        <f>Model!CI538</f>
        <v>0</v>
      </c>
      <c r="CB387">
        <f>Model!CJ538</f>
        <v>0</v>
      </c>
      <c r="CC387">
        <f>Model!CK538</f>
        <v>0</v>
      </c>
      <c r="CD387">
        <f>Model!CL538</f>
        <v>0</v>
      </c>
      <c r="CE387">
        <f>Model!CM538</f>
        <v>0</v>
      </c>
      <c r="CF387">
        <f>Model!CN538</f>
        <v>0</v>
      </c>
      <c r="CG387">
        <f>Model!CO538</f>
        <v>0</v>
      </c>
      <c r="CH387">
        <f>Model!CP538</f>
        <v>0</v>
      </c>
      <c r="CI387">
        <f>Model!CQ538</f>
        <v>-68.199999999999989</v>
      </c>
      <c r="CJ387">
        <f>Model!CR538</f>
        <v>-65.724000000000004</v>
      </c>
      <c r="CK387">
        <f>Model!CS538</f>
        <v>-71.564999999999998</v>
      </c>
      <c r="CL387">
        <f>Model!CT538</f>
        <v>-140.52600000000001</v>
      </c>
      <c r="CM387">
        <f>Model!CU538</f>
        <v>-186.42500000000001</v>
      </c>
      <c r="CN387">
        <f>Model!CV538</f>
        <v>-247.39499999999998</v>
      </c>
      <c r="CO387">
        <f>Model!CW538</f>
        <v>-249.57400000000001</v>
      </c>
      <c r="CP387">
        <f>Model!CX538</f>
        <v>-260.90999999999997</v>
      </c>
      <c r="CQ387">
        <f>Model!CY538</f>
        <v>-281.78280000000007</v>
      </c>
      <c r="CR387">
        <f>Model!DG538</f>
        <v>0</v>
      </c>
      <c r="CS387">
        <f>Model!DH538</f>
        <v>0</v>
      </c>
      <c r="CT387">
        <f>Model!DI538</f>
        <v>0</v>
      </c>
      <c r="CU387">
        <f>Model!DJ538</f>
        <v>0</v>
      </c>
    </row>
    <row r="388" spans="1:99">
      <c r="A388" t="str">
        <f>Model!I539</f>
        <v>(-) Cash interest expense</v>
      </c>
      <c r="B388">
        <f>Model!J539</f>
        <v>0</v>
      </c>
      <c r="C388">
        <f>Model!K539</f>
        <v>0</v>
      </c>
      <c r="D388">
        <f>Model!L539</f>
        <v>0</v>
      </c>
      <c r="E388">
        <f>Model!M539</f>
        <v>0</v>
      </c>
      <c r="F388">
        <f>Model!N539</f>
        <v>0</v>
      </c>
      <c r="G388">
        <f>Model!O539</f>
        <v>0</v>
      </c>
      <c r="H388">
        <f>Model!P539</f>
        <v>0</v>
      </c>
      <c r="I388">
        <f>Model!Q539</f>
        <v>0</v>
      </c>
      <c r="J388">
        <f>Model!R539</f>
        <v>0</v>
      </c>
      <c r="K388">
        <f>Model!S539</f>
        <v>0</v>
      </c>
      <c r="L388">
        <f>Model!T539</f>
        <v>0</v>
      </c>
      <c r="M388">
        <f>Model!U539</f>
        <v>0</v>
      </c>
      <c r="N388">
        <f>Model!V539</f>
        <v>0</v>
      </c>
      <c r="O388">
        <f>Model!W539</f>
        <v>0</v>
      </c>
      <c r="P388">
        <f>Model!X539</f>
        <v>0</v>
      </c>
      <c r="Q388">
        <f>Model!Y539</f>
        <v>0</v>
      </c>
      <c r="R388">
        <f>Model!Z539</f>
        <v>0</v>
      </c>
      <c r="S388">
        <f>Model!AA539</f>
        <v>0</v>
      </c>
      <c r="T388">
        <f>Model!AB539</f>
        <v>0</v>
      </c>
      <c r="U388">
        <f>Model!AC539</f>
        <v>0</v>
      </c>
      <c r="V388">
        <f>Model!AD539</f>
        <v>0</v>
      </c>
      <c r="W388">
        <f>Model!AE539</f>
        <v>0</v>
      </c>
      <c r="X388">
        <f>Model!AF539</f>
        <v>0</v>
      </c>
      <c r="Y388">
        <f>Model!AG539</f>
        <v>0</v>
      </c>
      <c r="Z388">
        <f>Model!AH539</f>
        <v>0</v>
      </c>
      <c r="AA388">
        <f>Model!AI539</f>
        <v>0</v>
      </c>
      <c r="AB388">
        <f>Model!AJ539</f>
        <v>0</v>
      </c>
      <c r="AC388">
        <f>Model!AK539</f>
        <v>0</v>
      </c>
      <c r="AD388">
        <f>Model!AL539</f>
        <v>0</v>
      </c>
      <c r="AE388">
        <f>Model!AM539</f>
        <v>0</v>
      </c>
      <c r="AF388">
        <f>Model!AN539</f>
        <v>0</v>
      </c>
      <c r="AG388">
        <f>Model!AO539</f>
        <v>0</v>
      </c>
      <c r="AH388">
        <f>Model!AP539</f>
        <v>0</v>
      </c>
      <c r="AI388">
        <f>Model!AQ539</f>
        <v>0</v>
      </c>
      <c r="AJ388">
        <f>Model!AR539</f>
        <v>0</v>
      </c>
      <c r="AK388">
        <f>Model!AS539</f>
        <v>0</v>
      </c>
      <c r="AL388">
        <f>Model!AT539</f>
        <v>0</v>
      </c>
      <c r="AM388">
        <f>Model!AU539</f>
        <v>0</v>
      </c>
      <c r="AN388">
        <f>Model!AV539</f>
        <v>0</v>
      </c>
      <c r="AO388">
        <f>Model!AW539</f>
        <v>0</v>
      </c>
      <c r="AP388">
        <f>Model!AX539</f>
        <v>0</v>
      </c>
      <c r="AQ388">
        <f>Model!AY539</f>
        <v>0</v>
      </c>
      <c r="AR388">
        <f>Model!AZ539</f>
        <v>0</v>
      </c>
      <c r="AS388">
        <f>Model!BA539</f>
        <v>-3.601</v>
      </c>
      <c r="AT388">
        <f>Model!BB539</f>
        <v>-0.1160000000000001</v>
      </c>
      <c r="AU388">
        <f>Model!BC539</f>
        <v>-3.726</v>
      </c>
      <c r="AV388">
        <f>Model!BD539</f>
        <v>-0.13000000000000034</v>
      </c>
      <c r="AW388">
        <f>Model!BE539</f>
        <v>-3.9119999999999999</v>
      </c>
      <c r="AX388">
        <f>Model!BF539</f>
        <v>-4.3490000000000002</v>
      </c>
      <c r="AY388">
        <f>Model!BG539</f>
        <v>-13.462999999999999</v>
      </c>
      <c r="AZ388">
        <f>Model!BH539</f>
        <v>7.7909999999999995</v>
      </c>
      <c r="BA388">
        <f>Model!BI539</f>
        <v>-9.0719999999999992</v>
      </c>
      <c r="BB388">
        <f>Model!BJ539</f>
        <v>-0.46799999999999997</v>
      </c>
      <c r="BC388">
        <f>Model!BK539</f>
        <v>-9.0740000000000016</v>
      </c>
      <c r="BD388">
        <f>Model!BL539</f>
        <v>-2.34</v>
      </c>
      <c r="BE388">
        <f>Model!BM539</f>
        <v>-5.8209999999999997</v>
      </c>
      <c r="BF388">
        <f>Model!BN539</f>
        <v>-2.2590000000000003</v>
      </c>
      <c r="BG388">
        <f>Model!BO539</f>
        <v>-6.4510000000000005</v>
      </c>
      <c r="BH388">
        <f>Model!BP539</f>
        <v>-2.4189999999999987</v>
      </c>
      <c r="BI388">
        <f>Model!BQ539</f>
        <v>-10.840999999999999</v>
      </c>
      <c r="BJ388">
        <f>Model!BR539</f>
        <v>-2.6960000000000015</v>
      </c>
      <c r="BK388">
        <f>Model!BS539</f>
        <v>-36.862999999999992</v>
      </c>
      <c r="BL388">
        <f>Model!BT539</f>
        <v>-3.8990000000000062</v>
      </c>
      <c r="BM388">
        <f>Model!BU539</f>
        <v>-40.119</v>
      </c>
      <c r="BN388">
        <f>Model!BV539</f>
        <v>-3.607999999999997</v>
      </c>
      <c r="BO388">
        <f>Model!BW539</f>
        <v>-43.700000000000017</v>
      </c>
      <c r="BP388">
        <f>Model!BX539</f>
        <v>-38.484999999999985</v>
      </c>
      <c r="BQ388">
        <f>Model!BY539</f>
        <v>-55.716999999999999</v>
      </c>
      <c r="BR388">
        <f>Model!BZ539</f>
        <v>-60.942</v>
      </c>
      <c r="BS388">
        <f>Model!CA539</f>
        <v>-66.337999999999994</v>
      </c>
      <c r="BT388">
        <f>Model!CB539</f>
        <v>-70.978999999999999</v>
      </c>
      <c r="BU388">
        <f>Model!CC539</f>
        <v>-66.860399999999998</v>
      </c>
      <c r="BV388">
        <f>Model!CD539</f>
        <v>-63.989100000000001</v>
      </c>
      <c r="BW388">
        <f>Model!CE539</f>
        <v>-68.328139999999991</v>
      </c>
      <c r="BX388">
        <f>Model!CF539</f>
        <v>-68.271695999999991</v>
      </c>
      <c r="BY388">
        <f>Model!CG539</f>
        <v>0</v>
      </c>
      <c r="BZ388">
        <f>Model!CH539</f>
        <v>0</v>
      </c>
      <c r="CA388">
        <f>Model!CI539</f>
        <v>0</v>
      </c>
      <c r="CB388">
        <f>Model!CJ539</f>
        <v>0</v>
      </c>
      <c r="CC388">
        <f>Model!CK539</f>
        <v>0</v>
      </c>
      <c r="CD388">
        <f>Model!CL539</f>
        <v>0</v>
      </c>
      <c r="CE388">
        <f>Model!CM539</f>
        <v>0</v>
      </c>
      <c r="CF388">
        <f>Model!CN539</f>
        <v>0</v>
      </c>
      <c r="CG388">
        <f>Model!CO539</f>
        <v>0</v>
      </c>
      <c r="CH388">
        <f>Model!CP539</f>
        <v>0</v>
      </c>
      <c r="CI388">
        <f>Model!CQ539</f>
        <v>-4.9009999999999998</v>
      </c>
      <c r="CJ388">
        <f>Model!CR539</f>
        <v>-7.5730000000000004</v>
      </c>
      <c r="CK388">
        <f>Model!CS539</f>
        <v>-13.932999999999996</v>
      </c>
      <c r="CL388">
        <f>Model!CT539</f>
        <v>-20.954000000000001</v>
      </c>
      <c r="CM388">
        <f>Model!CU539</f>
        <v>-16.95</v>
      </c>
      <c r="CN388">
        <f>Model!CV539</f>
        <v>-160.22899999999998</v>
      </c>
      <c r="CO388">
        <f>Model!CW539</f>
        <v>-207.89999999999998</v>
      </c>
      <c r="CP388">
        <f>Model!CX539</f>
        <v>-253.976</v>
      </c>
      <c r="CQ388">
        <f>Model!CY539</f>
        <v>-267.44933600000002</v>
      </c>
      <c r="CR388">
        <f>Model!DG539</f>
        <v>0</v>
      </c>
      <c r="CS388">
        <f>Model!DH539</f>
        <v>0</v>
      </c>
      <c r="CT388">
        <f>Model!DI539</f>
        <v>0</v>
      </c>
      <c r="CU388">
        <f>Model!DJ539</f>
        <v>0</v>
      </c>
    </row>
    <row r="389" spans="1:99">
      <c r="A389" t="str">
        <f>Model!I540</f>
        <v>(-) Cash taxes</v>
      </c>
      <c r="B389">
        <f>Model!J540</f>
        <v>0</v>
      </c>
      <c r="C389">
        <f>Model!K540</f>
        <v>0</v>
      </c>
      <c r="D389">
        <f>Model!L540</f>
        <v>0</v>
      </c>
      <c r="E389">
        <f>Model!M540</f>
        <v>0</v>
      </c>
      <c r="F389">
        <f>Model!N540</f>
        <v>0</v>
      </c>
      <c r="G389">
        <f>Model!O540</f>
        <v>0</v>
      </c>
      <c r="H389">
        <f>Model!P540</f>
        <v>0</v>
      </c>
      <c r="I389">
        <f>Model!Q540</f>
        <v>0</v>
      </c>
      <c r="J389">
        <f>Model!R540</f>
        <v>0</v>
      </c>
      <c r="K389">
        <f>Model!S540</f>
        <v>0</v>
      </c>
      <c r="L389">
        <f>Model!T540</f>
        <v>0</v>
      </c>
      <c r="M389">
        <f>Model!U540</f>
        <v>0</v>
      </c>
      <c r="N389">
        <f>Model!V540</f>
        <v>0</v>
      </c>
      <c r="O389">
        <f>Model!W540</f>
        <v>0</v>
      </c>
      <c r="P389">
        <f>Model!X540</f>
        <v>0</v>
      </c>
      <c r="Q389">
        <f>Model!Y540</f>
        <v>0</v>
      </c>
      <c r="R389">
        <f>Model!Z540</f>
        <v>0</v>
      </c>
      <c r="S389">
        <f>Model!AA540</f>
        <v>0</v>
      </c>
      <c r="T389">
        <f>Model!AB540</f>
        <v>0</v>
      </c>
      <c r="U389">
        <f>Model!AC540</f>
        <v>0</v>
      </c>
      <c r="V389">
        <f>Model!AD540</f>
        <v>0</v>
      </c>
      <c r="W389">
        <f>Model!AE540</f>
        <v>0</v>
      </c>
      <c r="X389">
        <f>Model!AF540</f>
        <v>0</v>
      </c>
      <c r="Y389">
        <f>Model!AG540</f>
        <v>0</v>
      </c>
      <c r="Z389">
        <f>Model!AH540</f>
        <v>0</v>
      </c>
      <c r="AA389">
        <f>Model!AI540</f>
        <v>0</v>
      </c>
      <c r="AB389">
        <f>Model!AJ540</f>
        <v>0</v>
      </c>
      <c r="AC389">
        <f>Model!AK540</f>
        <v>0</v>
      </c>
      <c r="AD389">
        <f>Model!AL540</f>
        <v>0</v>
      </c>
      <c r="AE389">
        <f>Model!AM540</f>
        <v>0</v>
      </c>
      <c r="AF389">
        <f>Model!AN540</f>
        <v>0</v>
      </c>
      <c r="AG389">
        <f>Model!AO540</f>
        <v>0</v>
      </c>
      <c r="AH389">
        <f>Model!AP540</f>
        <v>0</v>
      </c>
      <c r="AI389">
        <f>Model!AQ540</f>
        <v>0</v>
      </c>
      <c r="AJ389">
        <f>Model!AR540</f>
        <v>0</v>
      </c>
      <c r="AK389">
        <f>Model!AS540</f>
        <v>0</v>
      </c>
      <c r="AL389">
        <f>Model!AT540</f>
        <v>0</v>
      </c>
      <c r="AM389">
        <f>Model!AU540</f>
        <v>0</v>
      </c>
      <c r="AN389">
        <f>Model!AV540</f>
        <v>0</v>
      </c>
      <c r="AO389">
        <f>Model!AW540</f>
        <v>0</v>
      </c>
      <c r="AP389">
        <f>Model!AX540</f>
        <v>0</v>
      </c>
      <c r="AQ389">
        <f>Model!AY540</f>
        <v>0</v>
      </c>
      <c r="AR389">
        <f>Model!AZ540</f>
        <v>0</v>
      </c>
      <c r="AS389">
        <f>Model!BA540</f>
        <v>-28.956</v>
      </c>
      <c r="AT389">
        <f>Model!BB540</f>
        <v>-26.504999999999999</v>
      </c>
      <c r="AU389">
        <f>Model!BC540</f>
        <v>-43.915000000000006</v>
      </c>
      <c r="AV389">
        <f>Model!BD540</f>
        <v>-133.386</v>
      </c>
      <c r="AW389">
        <f>Model!BE540</f>
        <v>-173.52799999999999</v>
      </c>
      <c r="AX389">
        <f>Model!BF540</f>
        <v>-189.06100000000001</v>
      </c>
      <c r="AY389">
        <f>Model!BG540</f>
        <v>-205.256</v>
      </c>
      <c r="AZ389">
        <f>Model!BH540</f>
        <v>267.30600000000004</v>
      </c>
      <c r="BA389">
        <f>Model!BI540</f>
        <v>-228.893</v>
      </c>
      <c r="BB389">
        <f>Model!BJ540</f>
        <v>-18.144000000000005</v>
      </c>
      <c r="BC389">
        <f>Model!BK540</f>
        <v>-18.265999999999991</v>
      </c>
      <c r="BD389">
        <f>Model!BL540</f>
        <v>-125.86600000000001</v>
      </c>
      <c r="BE389">
        <f>Model!BM540</f>
        <v>-367.16</v>
      </c>
      <c r="BF389">
        <f>Model!BN540</f>
        <v>-18.345999999999947</v>
      </c>
      <c r="BG389">
        <f>Model!BO540</f>
        <v>-26.67900000000003</v>
      </c>
      <c r="BH389">
        <f>Model!BP540</f>
        <v>-79.34499999999997</v>
      </c>
      <c r="BI389">
        <f>Model!BQ540</f>
        <v>-379.60300000000001</v>
      </c>
      <c r="BJ389">
        <f>Model!BR540</f>
        <v>-92.747000000000014</v>
      </c>
      <c r="BK389">
        <f>Model!BS540</f>
        <v>-27.07099999999997</v>
      </c>
      <c r="BL389">
        <f>Model!BT540</f>
        <v>-34.684000000000026</v>
      </c>
      <c r="BM389">
        <f>Model!BU540</f>
        <v>-449.31400000000002</v>
      </c>
      <c r="BN389">
        <f>Model!BV540</f>
        <v>-47.088999999999999</v>
      </c>
      <c r="BO389">
        <f>Model!BW540</f>
        <v>-116.20899999999989</v>
      </c>
      <c r="BP389">
        <f>Model!BX540</f>
        <v>-23.938000000000102</v>
      </c>
      <c r="BQ389">
        <f>Model!BY540</f>
        <v>-536.19200000000001</v>
      </c>
      <c r="BR389">
        <f>Model!BZ540</f>
        <v>-577.24699999999996</v>
      </c>
      <c r="BS389">
        <f>Model!CA540</f>
        <v>-601.24800000000005</v>
      </c>
      <c r="BT389">
        <f>Model!CB540</f>
        <v>1012.266</v>
      </c>
      <c r="BU389">
        <f>Model!CC540</f>
        <v>-114.03059201941795</v>
      </c>
      <c r="BV389">
        <f>Model!CD540</f>
        <v>-200.30784726222055</v>
      </c>
      <c r="BW389">
        <f>Model!CE540</f>
        <v>-460.15987716023591</v>
      </c>
      <c r="BX389">
        <f>Model!CF540</f>
        <v>-229.54959932449805</v>
      </c>
      <c r="BY389">
        <f>Model!CG540</f>
        <v>0</v>
      </c>
      <c r="BZ389">
        <f>Model!CH540</f>
        <v>0</v>
      </c>
      <c r="CA389">
        <f>Model!CI540</f>
        <v>0</v>
      </c>
      <c r="CB389">
        <f>Model!CJ540</f>
        <v>0</v>
      </c>
      <c r="CC389">
        <f>Model!CK540</f>
        <v>0</v>
      </c>
      <c r="CD389">
        <f>Model!CL540</f>
        <v>0</v>
      </c>
      <c r="CE389">
        <f>Model!CM540</f>
        <v>0</v>
      </c>
      <c r="CF389">
        <f>Model!CN540</f>
        <v>0</v>
      </c>
      <c r="CG389">
        <f>Model!CO540</f>
        <v>0</v>
      </c>
      <c r="CH389">
        <f>Model!CP540</f>
        <v>0</v>
      </c>
      <c r="CI389">
        <f>Model!CQ540</f>
        <v>-169.32</v>
      </c>
      <c r="CJ389">
        <f>Model!CR540</f>
        <v>-232.762</v>
      </c>
      <c r="CK389">
        <f>Model!CS540</f>
        <v>-300.53899999999999</v>
      </c>
      <c r="CL389">
        <f>Model!CT540</f>
        <v>-391.16899999999998</v>
      </c>
      <c r="CM389">
        <f>Model!CU540</f>
        <v>-491.53</v>
      </c>
      <c r="CN389">
        <f>Model!CV540</f>
        <v>-534.10500000000002</v>
      </c>
      <c r="CO389">
        <f>Model!CW540</f>
        <v>-636.54999999999995</v>
      </c>
      <c r="CP389">
        <f>Model!CX540</f>
        <v>-2057.5569999999998</v>
      </c>
      <c r="CQ389">
        <f>Model!CY540</f>
        <v>-1004.0479157663724</v>
      </c>
      <c r="CR389">
        <f>Model!DG540</f>
        <v>0</v>
      </c>
      <c r="CS389">
        <f>Model!DH540</f>
        <v>0</v>
      </c>
      <c r="CT389">
        <f>Model!DI540</f>
        <v>0</v>
      </c>
      <c r="CU389">
        <f>Model!DJ540</f>
        <v>0</v>
      </c>
    </row>
    <row r="390" spans="1:99">
      <c r="A390" t="str">
        <f>Model!I541</f>
        <v>(-) Capex</v>
      </c>
      <c r="B390">
        <f>Model!J541</f>
        <v>0</v>
      </c>
      <c r="C390">
        <f>Model!K541</f>
        <v>0</v>
      </c>
      <c r="D390">
        <f>Model!L541</f>
        <v>0</v>
      </c>
      <c r="E390">
        <f>Model!M541</f>
        <v>0</v>
      </c>
      <c r="F390">
        <f>Model!N541</f>
        <v>0</v>
      </c>
      <c r="G390">
        <f>Model!O541</f>
        <v>0</v>
      </c>
      <c r="H390">
        <f>Model!P541</f>
        <v>0</v>
      </c>
      <c r="I390">
        <f>Model!Q541</f>
        <v>0</v>
      </c>
      <c r="J390">
        <f>Model!R541</f>
        <v>0</v>
      </c>
      <c r="K390">
        <f>Model!S541</f>
        <v>0</v>
      </c>
      <c r="L390">
        <f>Model!T541</f>
        <v>0</v>
      </c>
      <c r="M390">
        <f>Model!U541</f>
        <v>0</v>
      </c>
      <c r="N390">
        <f>Model!V541</f>
        <v>0</v>
      </c>
      <c r="O390">
        <f>Model!W541</f>
        <v>0</v>
      </c>
      <c r="P390">
        <f>Model!X541</f>
        <v>0</v>
      </c>
      <c r="Q390">
        <f>Model!Y541</f>
        <v>0</v>
      </c>
      <c r="R390">
        <f>Model!Z541</f>
        <v>0</v>
      </c>
      <c r="S390">
        <f>Model!AA541</f>
        <v>0</v>
      </c>
      <c r="T390">
        <f>Model!AB541</f>
        <v>0</v>
      </c>
      <c r="U390">
        <f>Model!AC541</f>
        <v>0</v>
      </c>
      <c r="V390">
        <f>Model!AD541</f>
        <v>0</v>
      </c>
      <c r="W390">
        <f>Model!AE541</f>
        <v>0</v>
      </c>
      <c r="X390">
        <f>Model!AF541</f>
        <v>0</v>
      </c>
      <c r="Y390">
        <f>Model!AG541</f>
        <v>0</v>
      </c>
      <c r="Z390">
        <f>Model!AH541</f>
        <v>0</v>
      </c>
      <c r="AA390">
        <f>Model!AI541</f>
        <v>0</v>
      </c>
      <c r="AB390">
        <f>Model!AJ541</f>
        <v>0</v>
      </c>
      <c r="AC390">
        <f>Model!AK541</f>
        <v>0</v>
      </c>
      <c r="AD390">
        <f>Model!AL541</f>
        <v>0</v>
      </c>
      <c r="AE390">
        <f>Model!AM541</f>
        <v>0</v>
      </c>
      <c r="AF390">
        <f>Model!AN541</f>
        <v>0</v>
      </c>
      <c r="AG390">
        <f>Model!AO541</f>
        <v>0</v>
      </c>
      <c r="AH390">
        <f>Model!AP541</f>
        <v>0</v>
      </c>
      <c r="AI390">
        <f>Model!AQ541</f>
        <v>0</v>
      </c>
      <c r="AJ390">
        <f>Model!AR541</f>
        <v>0</v>
      </c>
      <c r="AK390">
        <f>Model!AS541</f>
        <v>0</v>
      </c>
      <c r="AL390">
        <f>Model!AT541</f>
        <v>0</v>
      </c>
      <c r="AM390">
        <f>Model!AU541</f>
        <v>0</v>
      </c>
      <c r="AN390">
        <f>Model!AV541</f>
        <v>0</v>
      </c>
      <c r="AO390">
        <f>Model!AW541</f>
        <v>0</v>
      </c>
      <c r="AP390">
        <f>Model!AX541</f>
        <v>0</v>
      </c>
      <c r="AQ390">
        <f>Model!AY541</f>
        <v>0</v>
      </c>
      <c r="AR390">
        <f>Model!AZ541</f>
        <v>0</v>
      </c>
      <c r="AS390">
        <f>Model!BA541</f>
        <v>0</v>
      </c>
      <c r="AT390">
        <f>Model!BB541</f>
        <v>0</v>
      </c>
      <c r="AU390">
        <f>Model!BC541</f>
        <v>0</v>
      </c>
      <c r="AV390">
        <f>Model!BD541</f>
        <v>0</v>
      </c>
      <c r="AW390">
        <f>Model!BE541</f>
        <v>0</v>
      </c>
      <c r="AX390">
        <f>Model!BF541</f>
        <v>0</v>
      </c>
      <c r="AY390">
        <f>Model!BG541</f>
        <v>0</v>
      </c>
      <c r="AZ390">
        <f>Model!BH541</f>
        <v>0</v>
      </c>
      <c r="BA390">
        <f>Model!BI541</f>
        <v>-15.051</v>
      </c>
      <c r="BB390">
        <f>Model!BJ541</f>
        <v>-21.43</v>
      </c>
      <c r="BC390">
        <f>Model!BK541</f>
        <v>-20.476999999999997</v>
      </c>
      <c r="BD390">
        <f>Model!BL541</f>
        <v>-27.486999999999995</v>
      </c>
      <c r="BE390">
        <f>Model!BM541</f>
        <v>-29.731000000000002</v>
      </c>
      <c r="BF390">
        <f>Model!BN541</f>
        <v>-32.254999999999995</v>
      </c>
      <c r="BG390">
        <f>Model!BO541</f>
        <v>-28.738999999999997</v>
      </c>
      <c r="BH390">
        <f>Model!BP541</f>
        <v>-40.778999999999989</v>
      </c>
      <c r="BI390">
        <f>Model!BQ541</f>
        <v>-31.263000000000002</v>
      </c>
      <c r="BJ390">
        <f>Model!BR541</f>
        <v>-53.087999999999994</v>
      </c>
      <c r="BK390">
        <f>Model!BS541</f>
        <v>-42.286000000000001</v>
      </c>
      <c r="BL390">
        <f>Model!BT541</f>
        <v>-47.277999999999992</v>
      </c>
      <c r="BM390">
        <f>Model!BU541</f>
        <v>-53.256</v>
      </c>
      <c r="BN390">
        <f>Model!BV541</f>
        <v>-60.442999999999998</v>
      </c>
      <c r="BO390">
        <f>Model!BW541</f>
        <v>-54.376999999999995</v>
      </c>
      <c r="BP390">
        <f>Model!BX541</f>
        <v>-51.813000000000002</v>
      </c>
      <c r="BQ390">
        <f>Model!BY541</f>
        <v>-70.558999999999997</v>
      </c>
      <c r="BR390">
        <f>Model!BZ541</f>
        <v>-76.710000000000008</v>
      </c>
      <c r="BS390">
        <f>Model!CA541</f>
        <v>-76.423000000000002</v>
      </c>
      <c r="BT390">
        <f>Model!CB541</f>
        <v>-64.113</v>
      </c>
      <c r="BU390">
        <f>Model!CC541</f>
        <v>-98.549416478241099</v>
      </c>
      <c r="BV390">
        <f>Model!CD541</f>
        <v>-101.47747321468827</v>
      </c>
      <c r="BW390">
        <f>Model!CE541</f>
        <v>-77.417733131077327</v>
      </c>
      <c r="BX390">
        <f>Model!CF541</f>
        <v>-86.62669323710152</v>
      </c>
      <c r="BY390">
        <f>Model!CG541</f>
        <v>0</v>
      </c>
      <c r="BZ390">
        <f>Model!CH541</f>
        <v>0</v>
      </c>
      <c r="CA390">
        <f>Model!CI541</f>
        <v>0</v>
      </c>
      <c r="CB390">
        <f>Model!CJ541</f>
        <v>0</v>
      </c>
      <c r="CC390">
        <f>Model!CK541</f>
        <v>0</v>
      </c>
      <c r="CD390">
        <f>Model!CL541</f>
        <v>0</v>
      </c>
      <c r="CE390">
        <f>Model!CM541</f>
        <v>0</v>
      </c>
      <c r="CF390">
        <f>Model!CN541</f>
        <v>0</v>
      </c>
      <c r="CG390">
        <f>Model!CO541</f>
        <v>0</v>
      </c>
      <c r="CH390">
        <f>Model!CP541</f>
        <v>0</v>
      </c>
      <c r="CI390">
        <f>Model!CQ541</f>
        <v>-22.593</v>
      </c>
      <c r="CJ390">
        <f>Model!CR541</f>
        <v>-46.832999999999998</v>
      </c>
      <c r="CK390">
        <f>Model!CS541</f>
        <v>-55.158000000000001</v>
      </c>
      <c r="CL390">
        <f>Model!CT541</f>
        <v>-84.444999999999993</v>
      </c>
      <c r="CM390">
        <f>Model!CU541</f>
        <v>-131.50399999999999</v>
      </c>
      <c r="CN390">
        <f>Model!CV541</f>
        <v>-173.91499999999999</v>
      </c>
      <c r="CO390">
        <f>Model!CW541</f>
        <v>-219.88900000000001</v>
      </c>
      <c r="CP390">
        <f>Model!CX541</f>
        <v>-287.80500000000001</v>
      </c>
      <c r="CQ390">
        <f>Model!CY541</f>
        <v>-364.07131606110823</v>
      </c>
      <c r="CR390">
        <f>Model!DG541</f>
        <v>0</v>
      </c>
      <c r="CS390">
        <f>Model!DH541</f>
        <v>0</v>
      </c>
      <c r="CT390">
        <f>Model!DI541</f>
        <v>0</v>
      </c>
      <c r="CU390">
        <f>Model!DJ541</f>
        <v>0</v>
      </c>
    </row>
    <row r="391" spans="1:99">
      <c r="A391" t="str">
        <f>Model!I542</f>
        <v>(+/-) Change in working capital</v>
      </c>
      <c r="B391">
        <f>Model!J542</f>
        <v>0</v>
      </c>
      <c r="C391">
        <f>Model!K542</f>
        <v>0</v>
      </c>
      <c r="D391">
        <f>Model!L542</f>
        <v>0</v>
      </c>
      <c r="E391">
        <f>Model!M542</f>
        <v>0</v>
      </c>
      <c r="F391">
        <f>Model!N542</f>
        <v>0</v>
      </c>
      <c r="G391">
        <f>Model!O542</f>
        <v>0</v>
      </c>
      <c r="H391">
        <f>Model!P542</f>
        <v>0</v>
      </c>
      <c r="I391">
        <f>Model!Q542</f>
        <v>0</v>
      </c>
      <c r="J391">
        <f>Model!R542</f>
        <v>0</v>
      </c>
      <c r="K391">
        <f>Model!S542</f>
        <v>0</v>
      </c>
      <c r="L391">
        <f>Model!T542</f>
        <v>0</v>
      </c>
      <c r="M391">
        <f>Model!U542</f>
        <v>0</v>
      </c>
      <c r="N391">
        <f>Model!V542</f>
        <v>0</v>
      </c>
      <c r="O391">
        <f>Model!W542</f>
        <v>0</v>
      </c>
      <c r="P391">
        <f>Model!X542</f>
        <v>0</v>
      </c>
      <c r="Q391">
        <f>Model!Y542</f>
        <v>0</v>
      </c>
      <c r="R391">
        <f>Model!Z542</f>
        <v>0</v>
      </c>
      <c r="S391">
        <f>Model!AA542</f>
        <v>0</v>
      </c>
      <c r="T391">
        <f>Model!AB542</f>
        <v>0</v>
      </c>
      <c r="U391">
        <f>Model!AC542</f>
        <v>0</v>
      </c>
      <c r="V391">
        <f>Model!AD542</f>
        <v>0</v>
      </c>
      <c r="W391">
        <f>Model!AE542</f>
        <v>0</v>
      </c>
      <c r="X391">
        <f>Model!AF542</f>
        <v>0</v>
      </c>
      <c r="Y391">
        <f>Model!AG542</f>
        <v>0</v>
      </c>
      <c r="Z391">
        <f>Model!AH542</f>
        <v>0</v>
      </c>
      <c r="AA391">
        <f>Model!AI542</f>
        <v>0</v>
      </c>
      <c r="AB391">
        <f>Model!AJ542</f>
        <v>0</v>
      </c>
      <c r="AC391">
        <f>Model!AK542</f>
        <v>0</v>
      </c>
      <c r="AD391">
        <f>Model!AL542</f>
        <v>0</v>
      </c>
      <c r="AE391">
        <f>Model!AM542</f>
        <v>0</v>
      </c>
      <c r="AF391">
        <f>Model!AN542</f>
        <v>0</v>
      </c>
      <c r="AG391">
        <f>Model!AO542</f>
        <v>0</v>
      </c>
      <c r="AH391">
        <f>Model!AP542</f>
        <v>0</v>
      </c>
      <c r="AI391">
        <f>Model!AQ542</f>
        <v>0</v>
      </c>
      <c r="AJ391">
        <f>Model!AR542</f>
        <v>0</v>
      </c>
      <c r="AK391">
        <f>Model!AS542</f>
        <v>0</v>
      </c>
      <c r="AL391">
        <f>Model!AT542</f>
        <v>0</v>
      </c>
      <c r="AM391">
        <f>Model!AU542</f>
        <v>0</v>
      </c>
      <c r="AN391">
        <f>Model!AV542</f>
        <v>0</v>
      </c>
      <c r="AO391">
        <f>Model!AW542</f>
        <v>0</v>
      </c>
      <c r="AP391">
        <f>Model!AX542</f>
        <v>0</v>
      </c>
      <c r="AQ391">
        <f>Model!AY542</f>
        <v>0</v>
      </c>
      <c r="AR391">
        <f>Model!AZ542</f>
        <v>0</v>
      </c>
      <c r="AS391">
        <f>Model!BA542</f>
        <v>0</v>
      </c>
      <c r="AT391">
        <f>Model!BB542</f>
        <v>0</v>
      </c>
      <c r="AU391">
        <f>Model!BC542</f>
        <v>0</v>
      </c>
      <c r="AV391">
        <f>Model!BD542</f>
        <v>0</v>
      </c>
      <c r="AW391">
        <f>Model!BE542</f>
        <v>0</v>
      </c>
      <c r="AX391">
        <f>Model!BF542</f>
        <v>0</v>
      </c>
      <c r="AY391">
        <f>Model!BG542</f>
        <v>0</v>
      </c>
      <c r="AZ391">
        <f>Model!BH542</f>
        <v>0</v>
      </c>
      <c r="BA391">
        <f>Model!BI542</f>
        <v>52.846000000000188</v>
      </c>
      <c r="BB391">
        <f>Model!BJ542</f>
        <v>-9.2619999999999436</v>
      </c>
      <c r="BC391">
        <f>Model!BK542</f>
        <v>-116.11299999999972</v>
      </c>
      <c r="BD391">
        <f>Model!BL542</f>
        <v>104.58400000000029</v>
      </c>
      <c r="BE391">
        <f>Model!BM542</f>
        <v>36.653000000000077</v>
      </c>
      <c r="BF391">
        <f>Model!BN542</f>
        <v>-98.839000000000055</v>
      </c>
      <c r="BG391">
        <f>Model!BO542</f>
        <v>-104.64900000000034</v>
      </c>
      <c r="BH391">
        <f>Model!BP542</f>
        <v>125.33000000000015</v>
      </c>
      <c r="BI391">
        <f>Model!BQ542</f>
        <v>67.692000000000093</v>
      </c>
      <c r="BJ391">
        <f>Model!BR542</f>
        <v>-6.9060000000000628</v>
      </c>
      <c r="BK391">
        <f>Model!BS542</f>
        <v>-222.86300000000006</v>
      </c>
      <c r="BL391">
        <f>Model!BT542</f>
        <v>130.05900000000076</v>
      </c>
      <c r="BM391">
        <f>Model!BU542</f>
        <v>157.49900000000045</v>
      </c>
      <c r="BN391">
        <f>Model!BV542</f>
        <v>149.61199999999974</v>
      </c>
      <c r="BO391">
        <f>Model!BW542</f>
        <v>-234.55200000000059</v>
      </c>
      <c r="BP391">
        <f>Model!BX542</f>
        <v>225.79100000000051</v>
      </c>
      <c r="BQ391">
        <f>Model!BY542</f>
        <v>278.81400000000008</v>
      </c>
      <c r="BR391">
        <f>Model!BZ542</f>
        <v>818.38899999999967</v>
      </c>
      <c r="BS391">
        <f>Model!CA542</f>
        <v>300.0799999999997</v>
      </c>
      <c r="BT391">
        <f>Model!CB542</f>
        <v>-906.99200000000019</v>
      </c>
      <c r="BU391">
        <f>Model!CC542</f>
        <v>-529.54658399564903</v>
      </c>
      <c r="BV391">
        <f>Model!CD542</f>
        <v>273.5731403886449</v>
      </c>
      <c r="BW391">
        <f>Model!CE542</f>
        <v>-146.31314375964939</v>
      </c>
      <c r="BX391">
        <f>Model!CF542</f>
        <v>389.68043496202199</v>
      </c>
      <c r="BY391">
        <f>Model!CG542</f>
        <v>0</v>
      </c>
      <c r="BZ391">
        <f>Model!CH542</f>
        <v>0</v>
      </c>
      <c r="CA391">
        <f>Model!CI542</f>
        <v>0</v>
      </c>
      <c r="CB391">
        <f>Model!CJ542</f>
        <v>0</v>
      </c>
      <c r="CC391">
        <f>Model!CK542</f>
        <v>0</v>
      </c>
      <c r="CD391">
        <f>Model!CL542</f>
        <v>0</v>
      </c>
      <c r="CE391">
        <f>Model!CM542</f>
        <v>0</v>
      </c>
      <c r="CF391">
        <f>Model!CN542</f>
        <v>0</v>
      </c>
      <c r="CG391">
        <f>Model!CO542</f>
        <v>0</v>
      </c>
      <c r="CH391">
        <f>Model!CP542</f>
        <v>0</v>
      </c>
      <c r="CI391">
        <f>Model!CQ542</f>
        <v>95.316900000000146</v>
      </c>
      <c r="CJ391">
        <f>Model!CR542</f>
        <v>164.83799999999997</v>
      </c>
      <c r="CK391">
        <f>Model!CS542</f>
        <v>237.63399999999888</v>
      </c>
      <c r="CL391">
        <f>Model!CT542</f>
        <v>200.94500000000085</v>
      </c>
      <c r="CM391">
        <f>Model!CU542</f>
        <v>221.50300000000107</v>
      </c>
      <c r="CN391">
        <f>Model!CV542</f>
        <v>421.74200000000064</v>
      </c>
      <c r="CO391">
        <f>Model!CW542</f>
        <v>820.11600000000044</v>
      </c>
      <c r="CP391">
        <f>Model!CX542</f>
        <v>2421.0370000000007</v>
      </c>
      <c r="CQ391">
        <f>Model!CY542</f>
        <v>715.53647971758346</v>
      </c>
      <c r="CR391">
        <f>Model!DG542</f>
        <v>0</v>
      </c>
      <c r="CS391">
        <f>Model!DH542</f>
        <v>0</v>
      </c>
      <c r="CT391">
        <f>Model!DI542</f>
        <v>0</v>
      </c>
      <c r="CU391">
        <f>Model!DJ542</f>
        <v>0</v>
      </c>
    </row>
    <row r="392" spans="1:99">
      <c r="A392" t="str">
        <f>Model!I543</f>
        <v>Free cash flow (CFO - capex - SBC)</v>
      </c>
      <c r="B392">
        <f>Model!J543</f>
        <v>0</v>
      </c>
      <c r="C392">
        <f>Model!K543</f>
        <v>0</v>
      </c>
      <c r="D392">
        <f>Model!L543</f>
        <v>0</v>
      </c>
      <c r="E392">
        <f>Model!M543</f>
        <v>0</v>
      </c>
      <c r="F392">
        <f>Model!N543</f>
        <v>0</v>
      </c>
      <c r="G392">
        <f>Model!O543</f>
        <v>0</v>
      </c>
      <c r="H392">
        <f>Model!P543</f>
        <v>0</v>
      </c>
      <c r="I392">
        <f>Model!Q543</f>
        <v>0</v>
      </c>
      <c r="J392">
        <f>Model!R543</f>
        <v>0</v>
      </c>
      <c r="K392">
        <f>Model!S543</f>
        <v>0</v>
      </c>
      <c r="L392">
        <f>Model!T543</f>
        <v>0</v>
      </c>
      <c r="M392">
        <f>Model!U543</f>
        <v>0</v>
      </c>
      <c r="N392">
        <f>Model!V543</f>
        <v>0</v>
      </c>
      <c r="O392">
        <f>Model!W543</f>
        <v>0</v>
      </c>
      <c r="P392">
        <f>Model!X543</f>
        <v>0</v>
      </c>
      <c r="Q392">
        <f>Model!Y543</f>
        <v>0</v>
      </c>
      <c r="R392">
        <f>Model!Z543</f>
        <v>0</v>
      </c>
      <c r="S392">
        <f>Model!AA543</f>
        <v>0</v>
      </c>
      <c r="T392">
        <f>Model!AB543</f>
        <v>0</v>
      </c>
      <c r="U392">
        <f>Model!AC543</f>
        <v>0</v>
      </c>
      <c r="V392">
        <f>Model!AD543</f>
        <v>0</v>
      </c>
      <c r="W392">
        <f>Model!AE543</f>
        <v>0</v>
      </c>
      <c r="X392">
        <f>Model!AF543</f>
        <v>0</v>
      </c>
      <c r="Y392">
        <f>Model!AG543</f>
        <v>0</v>
      </c>
      <c r="Z392">
        <f>Model!AH543</f>
        <v>0</v>
      </c>
      <c r="AA392">
        <f>Model!AI543</f>
        <v>0</v>
      </c>
      <c r="AB392">
        <f>Model!AJ543</f>
        <v>0</v>
      </c>
      <c r="AC392">
        <f>Model!AK543</f>
        <v>0</v>
      </c>
      <c r="AD392">
        <f>Model!AL543</f>
        <v>0</v>
      </c>
      <c r="AE392">
        <f>Model!AM543</f>
        <v>0</v>
      </c>
      <c r="AF392">
        <f>Model!AN543</f>
        <v>0</v>
      </c>
      <c r="AG392">
        <f>Model!AO543</f>
        <v>0</v>
      </c>
      <c r="AH392">
        <f>Model!AP543</f>
        <v>0</v>
      </c>
      <c r="AI392">
        <f>Model!AQ543</f>
        <v>0</v>
      </c>
      <c r="AJ392">
        <f>Model!AR543</f>
        <v>0</v>
      </c>
      <c r="AK392">
        <f>Model!AS543</f>
        <v>0</v>
      </c>
      <c r="AL392">
        <f>Model!AT543</f>
        <v>0</v>
      </c>
      <c r="AM392">
        <f>Model!AU543</f>
        <v>0</v>
      </c>
      <c r="AN392">
        <f>Model!AV543</f>
        <v>0</v>
      </c>
      <c r="AO392">
        <f>Model!AW543</f>
        <v>0</v>
      </c>
      <c r="AP392">
        <f>Model!AX543</f>
        <v>0</v>
      </c>
      <c r="AQ392">
        <f>Model!AY543</f>
        <v>0</v>
      </c>
      <c r="AR392">
        <f>Model!AZ543</f>
        <v>0</v>
      </c>
      <c r="AS392">
        <f>Model!BA543</f>
        <v>0</v>
      </c>
      <c r="AT392">
        <f>Model!BB543</f>
        <v>0</v>
      </c>
      <c r="AU392">
        <f>Model!BC543</f>
        <v>0</v>
      </c>
      <c r="AV392">
        <f>Model!BD543</f>
        <v>0</v>
      </c>
      <c r="AW392">
        <f>Model!BE543</f>
        <v>0</v>
      </c>
      <c r="AX392">
        <f>Model!BF543</f>
        <v>0</v>
      </c>
      <c r="AY392">
        <f>Model!BG543</f>
        <v>0</v>
      </c>
      <c r="AZ392">
        <f>Model!BH543</f>
        <v>0</v>
      </c>
      <c r="BA392">
        <f>Model!BI543</f>
        <v>146.35700000000006</v>
      </c>
      <c r="BB392">
        <f>Model!BJ543</f>
        <v>537.21600000000001</v>
      </c>
      <c r="BC392">
        <f>Model!BK543</f>
        <v>915.43599999999981</v>
      </c>
      <c r="BD392">
        <f>Model!BL543</f>
        <v>477.45600000000024</v>
      </c>
      <c r="BE392">
        <f>Model!BM543</f>
        <v>108.47000000000003</v>
      </c>
      <c r="BF392">
        <f>Model!BN543</f>
        <v>622.55799999999999</v>
      </c>
      <c r="BG392">
        <f>Model!BO543</f>
        <v>1217.2569999999998</v>
      </c>
      <c r="BH392">
        <f>Model!BP543</f>
        <v>648.18300000000022</v>
      </c>
      <c r="BI392">
        <f>Model!BQ543</f>
        <v>123.71199999999999</v>
      </c>
      <c r="BJ392">
        <f>Model!BR543</f>
        <v>589.12400000000014</v>
      </c>
      <c r="BK392">
        <f>Model!BS543</f>
        <v>1209.2399999999998</v>
      </c>
      <c r="BL392">
        <f>Model!BT543</f>
        <v>758.84500000000037</v>
      </c>
      <c r="BM392">
        <f>Model!BU543</f>
        <v>225.07099999999991</v>
      </c>
      <c r="BN392">
        <f>Model!BV543</f>
        <v>850.58800000000008</v>
      </c>
      <c r="BO392">
        <f>Model!BW543</f>
        <v>1399.403</v>
      </c>
      <c r="BP392">
        <f>Model!BX543</f>
        <v>980.17200000000014</v>
      </c>
      <c r="BQ392">
        <f>Model!BY543</f>
        <v>251.11100000000008</v>
      </c>
      <c r="BR392">
        <f>Model!BZ543</f>
        <v>1077.6270000000002</v>
      </c>
      <c r="BS392">
        <f>Model!CA543</f>
        <v>1743.7469999999998</v>
      </c>
      <c r="BT392">
        <f>Model!CB543</f>
        <v>1040.8359999999996</v>
      </c>
      <c r="BU392">
        <f>Model!CC543</f>
        <v>-44.331480937985276</v>
      </c>
      <c r="BV392">
        <f>Model!CD543</f>
        <v>1117.8021474957563</v>
      </c>
      <c r="BW392">
        <f>Model!CE543</f>
        <v>1805.0469793271345</v>
      </c>
      <c r="BX392">
        <f>Model!CF543</f>
        <v>1396.976942798429</v>
      </c>
      <c r="BY392">
        <f>Model!CG543</f>
        <v>0</v>
      </c>
      <c r="BZ392">
        <f>Model!CH543</f>
        <v>0</v>
      </c>
      <c r="CA392">
        <f>Model!CI543</f>
        <v>0</v>
      </c>
      <c r="CB392">
        <f>Model!CJ543</f>
        <v>0</v>
      </c>
      <c r="CC392">
        <f>Model!CK543</f>
        <v>0</v>
      </c>
      <c r="CD392">
        <f>Model!CL543</f>
        <v>0</v>
      </c>
      <c r="CE392">
        <f>Model!CM543</f>
        <v>0</v>
      </c>
      <c r="CF392">
        <f>Model!CN543</f>
        <v>0</v>
      </c>
      <c r="CG392">
        <f>Model!CO543</f>
        <v>0</v>
      </c>
      <c r="CH392">
        <f>Model!CP543</f>
        <v>0</v>
      </c>
      <c r="CI392">
        <f>Model!CQ543</f>
        <v>731.68389999999999</v>
      </c>
      <c r="CJ392">
        <f>Model!CR543</f>
        <v>1322.9210000000003</v>
      </c>
      <c r="CK392">
        <f>Model!CS543</f>
        <v>1769.3429999999998</v>
      </c>
      <c r="CL392">
        <f>Model!CT543</f>
        <v>2245.3550000000005</v>
      </c>
      <c r="CM392">
        <f>Model!CU543</f>
        <v>2859.4760000000001</v>
      </c>
      <c r="CN392">
        <f>Model!CV543</f>
        <v>3028.7510000000002</v>
      </c>
      <c r="CO392">
        <f>Model!CW543</f>
        <v>3895.0120000000002</v>
      </c>
      <c r="CP392">
        <f>Model!CX543</f>
        <v>4688.9310000000005</v>
      </c>
      <c r="CQ392">
        <f>Model!CY543</f>
        <v>5003.6372208055518</v>
      </c>
      <c r="CR392">
        <f>Model!DG543</f>
        <v>0</v>
      </c>
      <c r="CS392">
        <f>Model!DH543</f>
        <v>0</v>
      </c>
      <c r="CT392">
        <f>Model!DI543</f>
        <v>0</v>
      </c>
      <c r="CU392">
        <f>Model!DJ543</f>
        <v>0</v>
      </c>
    </row>
    <row r="393" spans="1:99">
      <c r="A393" t="str">
        <f>Model!I544</f>
        <v>% change Y/Y</v>
      </c>
      <c r="B393">
        <f>Model!J544</f>
        <v>0</v>
      </c>
      <c r="C393">
        <f>Model!K544</f>
        <v>0</v>
      </c>
      <c r="D393">
        <f>Model!L544</f>
        <v>0</v>
      </c>
      <c r="E393">
        <f>Model!M544</f>
        <v>0</v>
      </c>
      <c r="F393">
        <f>Model!N544</f>
        <v>0</v>
      </c>
      <c r="G393">
        <f>Model!O544</f>
        <v>0</v>
      </c>
      <c r="H393">
        <f>Model!P544</f>
        <v>0</v>
      </c>
      <c r="I393">
        <f>Model!Q544</f>
        <v>0</v>
      </c>
      <c r="J393">
        <f>Model!R544</f>
        <v>0</v>
      </c>
      <c r="K393">
        <f>Model!S544</f>
        <v>0</v>
      </c>
      <c r="L393">
        <f>Model!T544</f>
        <v>0</v>
      </c>
      <c r="M393">
        <f>Model!U544</f>
        <v>0</v>
      </c>
      <c r="N393">
        <f>Model!V544</f>
        <v>0</v>
      </c>
      <c r="O393">
        <f>Model!W544</f>
        <v>0</v>
      </c>
      <c r="P393">
        <f>Model!X544</f>
        <v>0</v>
      </c>
      <c r="Q393">
        <f>Model!Y544</f>
        <v>0</v>
      </c>
      <c r="R393">
        <f>Model!Z544</f>
        <v>0</v>
      </c>
      <c r="S393">
        <f>Model!AA544</f>
        <v>0</v>
      </c>
      <c r="T393">
        <f>Model!AB544</f>
        <v>0</v>
      </c>
      <c r="U393">
        <f>Model!AC544</f>
        <v>0</v>
      </c>
      <c r="V393">
        <f>Model!AD544</f>
        <v>0</v>
      </c>
      <c r="W393">
        <f>Model!AE544</f>
        <v>0</v>
      </c>
      <c r="X393">
        <f>Model!AF544</f>
        <v>0</v>
      </c>
      <c r="Y393">
        <f>Model!AG544</f>
        <v>0</v>
      </c>
      <c r="Z393">
        <f>Model!AH544</f>
        <v>0</v>
      </c>
      <c r="AA393">
        <f>Model!AI544</f>
        <v>0</v>
      </c>
      <c r="AB393">
        <f>Model!AJ544</f>
        <v>0</v>
      </c>
      <c r="AC393">
        <f>Model!AK544</f>
        <v>0</v>
      </c>
      <c r="AD393">
        <f>Model!AL544</f>
        <v>0</v>
      </c>
      <c r="AE393">
        <f>Model!AM544</f>
        <v>0</v>
      </c>
      <c r="AF393">
        <f>Model!AN544</f>
        <v>0</v>
      </c>
      <c r="AG393">
        <f>Model!AO544</f>
        <v>0</v>
      </c>
      <c r="AH393">
        <f>Model!AP544</f>
        <v>0</v>
      </c>
      <c r="AI393">
        <f>Model!AQ544</f>
        <v>0</v>
      </c>
      <c r="AJ393">
        <f>Model!AR544</f>
        <v>0</v>
      </c>
      <c r="AK393">
        <f>Model!AS544</f>
        <v>0</v>
      </c>
      <c r="AL393">
        <f>Model!AT544</f>
        <v>0</v>
      </c>
      <c r="AM393">
        <f>Model!AU544</f>
        <v>0</v>
      </c>
      <c r="AN393">
        <f>Model!AV544</f>
        <v>0</v>
      </c>
      <c r="AO393">
        <f>Model!AW544</f>
        <v>0</v>
      </c>
      <c r="AP393">
        <f>Model!AX544</f>
        <v>0</v>
      </c>
      <c r="AQ393">
        <f>Model!AY544</f>
        <v>0</v>
      </c>
      <c r="AR393">
        <f>Model!AZ544</f>
        <v>0</v>
      </c>
      <c r="AS393">
        <f>Model!BA544</f>
        <v>0</v>
      </c>
      <c r="AT393">
        <f>Model!BB544</f>
        <v>0</v>
      </c>
      <c r="AU393">
        <f>Model!BC544</f>
        <v>0</v>
      </c>
      <c r="AV393">
        <f>Model!BD544</f>
        <v>0</v>
      </c>
      <c r="AW393">
        <f>Model!BE544</f>
        <v>0</v>
      </c>
      <c r="AX393">
        <f>Model!BF544</f>
        <v>0</v>
      </c>
      <c r="AY393">
        <f>Model!BG544</f>
        <v>0</v>
      </c>
      <c r="AZ393">
        <f>Model!BH544</f>
        <v>0</v>
      </c>
      <c r="BA393">
        <f>Model!BI544</f>
        <v>0</v>
      </c>
      <c r="BB393">
        <f>Model!BJ544</f>
        <v>0</v>
      </c>
      <c r="BC393">
        <f>Model!BK544</f>
        <v>0</v>
      </c>
      <c r="BD393">
        <f>Model!BL544</f>
        <v>0</v>
      </c>
      <c r="BE393">
        <f>Model!BM544</f>
        <v>-0.25886701695170045</v>
      </c>
      <c r="BF393">
        <f>Model!BN544</f>
        <v>0.15885975101262795</v>
      </c>
      <c r="BG393">
        <f>Model!BO544</f>
        <v>0.32970191253129677</v>
      </c>
      <c r="BH393">
        <f>Model!BP544</f>
        <v>0.35757640494621468</v>
      </c>
      <c r="BI393">
        <f>Model!BQ544</f>
        <v>0.14051811560800176</v>
      </c>
      <c r="BJ393">
        <f>Model!BR544</f>
        <v>-5.3704233179880156E-2</v>
      </c>
      <c r="BK393">
        <f>Model!BS544</f>
        <v>-6.5861194472490725E-3</v>
      </c>
      <c r="BL393">
        <f>Model!BT544</f>
        <v>0.1707264769362975</v>
      </c>
      <c r="BM393">
        <f>Model!BU544</f>
        <v>0.81931421365752666</v>
      </c>
      <c r="BN393">
        <f>Model!BV544</f>
        <v>0.44381827934356743</v>
      </c>
      <c r="BO393">
        <f>Model!BW544</f>
        <v>0.15725827792663183</v>
      </c>
      <c r="BP393">
        <f>Model!BX544</f>
        <v>0.29166298783018885</v>
      </c>
      <c r="BQ393">
        <f>Model!BY544</f>
        <v>0.1156968245575849</v>
      </c>
      <c r="BR393">
        <f>Model!BZ544</f>
        <v>0.26692006000554924</v>
      </c>
      <c r="BS393">
        <f>Model!CA544</f>
        <v>0.24606492911620159</v>
      </c>
      <c r="BT393">
        <f>Model!CB544</f>
        <v>6.189117828299473E-2</v>
      </c>
      <c r="BU393">
        <f>Model!CC544</f>
        <v>-1.1765413738863899</v>
      </c>
      <c r="BV393">
        <f>Model!CD544</f>
        <v>3.7281125561772432E-2</v>
      </c>
      <c r="BW393">
        <f>Model!CE544</f>
        <v>3.5154170488685965E-2</v>
      </c>
      <c r="BX393">
        <f>Model!CF544</f>
        <v>0.34216816366692693</v>
      </c>
      <c r="BY393">
        <f>Model!CG544</f>
        <v>0</v>
      </c>
      <c r="BZ393">
        <f>Model!CH544</f>
        <v>0</v>
      </c>
      <c r="CA393">
        <f>Model!CI544</f>
        <v>0</v>
      </c>
      <c r="CB393">
        <f>Model!CJ544</f>
        <v>0</v>
      </c>
      <c r="CC393">
        <f>Model!CK544</f>
        <v>0</v>
      </c>
      <c r="CD393">
        <f>Model!CL544</f>
        <v>0</v>
      </c>
      <c r="CE393">
        <f>Model!CM544</f>
        <v>0</v>
      </c>
      <c r="CF393">
        <f>Model!CN544</f>
        <v>0</v>
      </c>
      <c r="CG393">
        <f>Model!CO544</f>
        <v>0</v>
      </c>
      <c r="CH393">
        <f>Model!CP544</f>
        <v>0</v>
      </c>
      <c r="CI393">
        <f>Model!CQ544</f>
        <v>0</v>
      </c>
      <c r="CJ393">
        <f>Model!CR544</f>
        <v>0.80804989695686924</v>
      </c>
      <c r="CK393">
        <f>Model!CS544</f>
        <v>0.33745174503995279</v>
      </c>
      <c r="CL393">
        <f>Model!CT544</f>
        <v>0.26903319480733856</v>
      </c>
      <c r="CM393">
        <f>Model!CU544</f>
        <v>0.27350730730775297</v>
      </c>
      <c r="CN393">
        <f>Model!CV544</f>
        <v>5.9197908987520753E-2</v>
      </c>
      <c r="CO393">
        <f>Model!CW544</f>
        <v>0.28601261708209091</v>
      </c>
      <c r="CP393">
        <f>Model!CX544</f>
        <v>0.20382966727702012</v>
      </c>
      <c r="CQ393">
        <f>Model!CY544</f>
        <v>6.711683767697818E-2</v>
      </c>
      <c r="CR393">
        <f>Model!DG544</f>
        <v>0</v>
      </c>
      <c r="CS393">
        <f>Model!DH544</f>
        <v>0</v>
      </c>
      <c r="CT393">
        <f>Model!DI544</f>
        <v>0</v>
      </c>
      <c r="CU393">
        <f>Model!DJ544</f>
        <v>0</v>
      </c>
    </row>
    <row r="394" spans="1:99">
      <c r="A394">
        <f>Model!I545</f>
        <v>0</v>
      </c>
      <c r="B394">
        <f>Model!J545</f>
        <v>0</v>
      </c>
      <c r="C394">
        <f>Model!K545</f>
        <v>0</v>
      </c>
      <c r="D394">
        <f>Model!L545</f>
        <v>0</v>
      </c>
      <c r="E394">
        <f>Model!M545</f>
        <v>0</v>
      </c>
      <c r="F394">
        <f>Model!N545</f>
        <v>0</v>
      </c>
      <c r="G394">
        <f>Model!O545</f>
        <v>0</v>
      </c>
      <c r="H394">
        <f>Model!P545</f>
        <v>0</v>
      </c>
      <c r="I394">
        <f>Model!Q545</f>
        <v>0</v>
      </c>
      <c r="J394">
        <f>Model!R545</f>
        <v>0</v>
      </c>
      <c r="K394">
        <f>Model!S545</f>
        <v>0</v>
      </c>
      <c r="L394">
        <f>Model!T545</f>
        <v>0</v>
      </c>
      <c r="M394">
        <f>Model!U545</f>
        <v>0</v>
      </c>
      <c r="N394">
        <f>Model!V545</f>
        <v>0</v>
      </c>
      <c r="O394">
        <f>Model!W545</f>
        <v>0</v>
      </c>
      <c r="P394">
        <f>Model!X545</f>
        <v>0</v>
      </c>
      <c r="Q394">
        <f>Model!Y545</f>
        <v>0</v>
      </c>
      <c r="R394">
        <f>Model!Z545</f>
        <v>0</v>
      </c>
      <c r="S394">
        <f>Model!AA545</f>
        <v>0</v>
      </c>
      <c r="T394">
        <f>Model!AB545</f>
        <v>0</v>
      </c>
      <c r="U394">
        <f>Model!AC545</f>
        <v>0</v>
      </c>
      <c r="V394">
        <f>Model!AD545</f>
        <v>0</v>
      </c>
      <c r="W394">
        <f>Model!AE545</f>
        <v>0</v>
      </c>
      <c r="X394">
        <f>Model!AF545</f>
        <v>0</v>
      </c>
      <c r="Y394">
        <f>Model!AG545</f>
        <v>0</v>
      </c>
      <c r="Z394">
        <f>Model!AH545</f>
        <v>0</v>
      </c>
      <c r="AA394">
        <f>Model!AI545</f>
        <v>0</v>
      </c>
      <c r="AB394">
        <f>Model!AJ545</f>
        <v>0</v>
      </c>
      <c r="AC394">
        <f>Model!AK545</f>
        <v>0</v>
      </c>
      <c r="AD394">
        <f>Model!AL545</f>
        <v>0</v>
      </c>
      <c r="AE394">
        <f>Model!AM545</f>
        <v>0</v>
      </c>
      <c r="AF394">
        <f>Model!AN545</f>
        <v>0</v>
      </c>
      <c r="AG394">
        <f>Model!AO545</f>
        <v>0</v>
      </c>
      <c r="AH394">
        <f>Model!AP545</f>
        <v>0</v>
      </c>
      <c r="AI394">
        <f>Model!AQ545</f>
        <v>0</v>
      </c>
      <c r="AJ394">
        <f>Model!AR545</f>
        <v>0</v>
      </c>
      <c r="AK394">
        <f>Model!AS545</f>
        <v>0</v>
      </c>
      <c r="AL394">
        <f>Model!AT545</f>
        <v>0</v>
      </c>
      <c r="AM394">
        <f>Model!AU545</f>
        <v>0</v>
      </c>
      <c r="AN394">
        <f>Model!AV545</f>
        <v>0</v>
      </c>
      <c r="AO394">
        <f>Model!AW545</f>
        <v>0</v>
      </c>
      <c r="AP394">
        <f>Model!AX545</f>
        <v>0</v>
      </c>
      <c r="AQ394">
        <f>Model!AY545</f>
        <v>0</v>
      </c>
      <c r="AR394">
        <f>Model!AZ545</f>
        <v>0</v>
      </c>
      <c r="AS394">
        <f>Model!BA545</f>
        <v>0</v>
      </c>
      <c r="AT394">
        <f>Model!BB545</f>
        <v>0</v>
      </c>
      <c r="AU394">
        <f>Model!BC545</f>
        <v>0</v>
      </c>
      <c r="AV394">
        <f>Model!BD545</f>
        <v>0</v>
      </c>
      <c r="AW394">
        <f>Model!BE545</f>
        <v>0</v>
      </c>
      <c r="AX394">
        <f>Model!BF545</f>
        <v>0</v>
      </c>
      <c r="AY394">
        <f>Model!BG545</f>
        <v>0</v>
      </c>
      <c r="AZ394">
        <f>Model!BH545</f>
        <v>0</v>
      </c>
      <c r="BA394">
        <f>Model!BI545</f>
        <v>0</v>
      </c>
      <c r="BB394">
        <f>Model!BJ545</f>
        <v>0</v>
      </c>
      <c r="BC394">
        <f>Model!BK545</f>
        <v>0</v>
      </c>
      <c r="BD394">
        <f>Model!BL545</f>
        <v>0</v>
      </c>
      <c r="BE394">
        <f>Model!BM545</f>
        <v>0</v>
      </c>
      <c r="BF394">
        <f>Model!BN545</f>
        <v>0</v>
      </c>
      <c r="BG394">
        <f>Model!BO545</f>
        <v>0</v>
      </c>
      <c r="BH394">
        <f>Model!BP545</f>
        <v>0</v>
      </c>
      <c r="BI394">
        <f>Model!BQ545</f>
        <v>0</v>
      </c>
      <c r="BJ394">
        <f>Model!BR545</f>
        <v>0</v>
      </c>
      <c r="BK394">
        <f>Model!BS545</f>
        <v>0</v>
      </c>
      <c r="BL394">
        <f>Model!BT545</f>
        <v>0</v>
      </c>
      <c r="BM394">
        <f>Model!BU545</f>
        <v>0</v>
      </c>
      <c r="BN394">
        <f>Model!BV545</f>
        <v>0</v>
      </c>
      <c r="BO394">
        <f>Model!BW545</f>
        <v>0</v>
      </c>
      <c r="BP394">
        <f>Model!BX545</f>
        <v>0</v>
      </c>
      <c r="BQ394">
        <f>Model!BY545</f>
        <v>0</v>
      </c>
      <c r="BR394">
        <f>Model!BZ545</f>
        <v>0</v>
      </c>
      <c r="BS394">
        <f>Model!CA545</f>
        <v>0</v>
      </c>
      <c r="BT394">
        <f>Model!CB545</f>
        <v>0</v>
      </c>
      <c r="BU394">
        <f>Model!CC545</f>
        <v>0</v>
      </c>
      <c r="BV394">
        <f>Model!CD545</f>
        <v>0</v>
      </c>
      <c r="BW394">
        <f>Model!CE545</f>
        <v>0</v>
      </c>
      <c r="BX394">
        <f>Model!CF545</f>
        <v>0</v>
      </c>
      <c r="BY394">
        <f>Model!CG545</f>
        <v>0</v>
      </c>
      <c r="BZ394">
        <f>Model!CH545</f>
        <v>0</v>
      </c>
      <c r="CA394">
        <f>Model!CI545</f>
        <v>0</v>
      </c>
      <c r="CB394">
        <f>Model!CJ545</f>
        <v>0</v>
      </c>
      <c r="CC394">
        <f>Model!CK545</f>
        <v>0</v>
      </c>
      <c r="CD394">
        <f>Model!CL545</f>
        <v>0</v>
      </c>
      <c r="CE394">
        <f>Model!CM545</f>
        <v>0</v>
      </c>
      <c r="CF394">
        <f>Model!CN545</f>
        <v>0</v>
      </c>
      <c r="CG394">
        <f>Model!CO545</f>
        <v>0</v>
      </c>
      <c r="CH394">
        <f>Model!CP545</f>
        <v>0</v>
      </c>
      <c r="CI394">
        <f>Model!CQ545</f>
        <v>0</v>
      </c>
      <c r="CJ394">
        <f>Model!CR545</f>
        <v>0</v>
      </c>
      <c r="CK394">
        <f>Model!CS545</f>
        <v>0</v>
      </c>
      <c r="CL394">
        <f>Model!CT545</f>
        <v>0</v>
      </c>
      <c r="CM394">
        <f>Model!CU545</f>
        <v>0</v>
      </c>
      <c r="CN394">
        <f>Model!CV545</f>
        <v>0</v>
      </c>
      <c r="CO394">
        <f>Model!CW545</f>
        <v>0</v>
      </c>
      <c r="CP394">
        <f>Model!CX545</f>
        <v>0</v>
      </c>
      <c r="CQ394">
        <f>Model!CY545</f>
        <v>0</v>
      </c>
      <c r="CR394">
        <f>Model!DG545</f>
        <v>0</v>
      </c>
      <c r="CS394">
        <f>Model!DH545</f>
        <v>0</v>
      </c>
      <c r="CT394">
        <f>Model!DI545</f>
        <v>0</v>
      </c>
      <c r="CU394">
        <f>Model!DJ545</f>
        <v>0</v>
      </c>
    </row>
    <row r="395" spans="1:99">
      <c r="A395" t="str">
        <f>Model!I546</f>
        <v>FCF Conversion</v>
      </c>
      <c r="B395">
        <f>Model!J546</f>
        <v>0</v>
      </c>
      <c r="C395">
        <f>Model!K546</f>
        <v>0</v>
      </c>
      <c r="D395">
        <f>Model!L546</f>
        <v>0</v>
      </c>
      <c r="E395">
        <f>Model!M546</f>
        <v>0</v>
      </c>
      <c r="F395">
        <f>Model!N546</f>
        <v>0</v>
      </c>
      <c r="G395">
        <f>Model!O546</f>
        <v>0</v>
      </c>
      <c r="H395">
        <f>Model!P546</f>
        <v>0</v>
      </c>
      <c r="I395">
        <f>Model!Q546</f>
        <v>0</v>
      </c>
      <c r="J395">
        <f>Model!R546</f>
        <v>0</v>
      </c>
      <c r="K395">
        <f>Model!S546</f>
        <v>0</v>
      </c>
      <c r="L395">
        <f>Model!T546</f>
        <v>0</v>
      </c>
      <c r="M395">
        <f>Model!U546</f>
        <v>0</v>
      </c>
      <c r="N395">
        <f>Model!V546</f>
        <v>0</v>
      </c>
      <c r="O395">
        <f>Model!W546</f>
        <v>0</v>
      </c>
      <c r="P395">
        <f>Model!X546</f>
        <v>0</v>
      </c>
      <c r="Q395">
        <f>Model!Y546</f>
        <v>0</v>
      </c>
      <c r="R395">
        <f>Model!Z546</f>
        <v>0</v>
      </c>
      <c r="S395">
        <f>Model!AA546</f>
        <v>0</v>
      </c>
      <c r="T395">
        <f>Model!AB546</f>
        <v>0</v>
      </c>
      <c r="U395">
        <f>Model!AC546</f>
        <v>0</v>
      </c>
      <c r="V395">
        <f>Model!AD546</f>
        <v>0</v>
      </c>
      <c r="W395">
        <f>Model!AE546</f>
        <v>0</v>
      </c>
      <c r="X395">
        <f>Model!AF546</f>
        <v>0</v>
      </c>
      <c r="Y395">
        <f>Model!AG546</f>
        <v>0</v>
      </c>
      <c r="Z395">
        <f>Model!AH546</f>
        <v>0</v>
      </c>
      <c r="AA395">
        <f>Model!AI546</f>
        <v>0</v>
      </c>
      <c r="AB395">
        <f>Model!AJ546</f>
        <v>0</v>
      </c>
      <c r="AC395">
        <f>Model!AK546</f>
        <v>0</v>
      </c>
      <c r="AD395">
        <f>Model!AL546</f>
        <v>0</v>
      </c>
      <c r="AE395">
        <f>Model!AM546</f>
        <v>0</v>
      </c>
      <c r="AF395">
        <f>Model!AN546</f>
        <v>0</v>
      </c>
      <c r="AG395">
        <f>Model!AO546</f>
        <v>0</v>
      </c>
      <c r="AH395">
        <f>Model!AP546</f>
        <v>0</v>
      </c>
      <c r="AI395">
        <f>Model!AQ546</f>
        <v>0</v>
      </c>
      <c r="AJ395">
        <f>Model!AR546</f>
        <v>0</v>
      </c>
      <c r="AK395">
        <f>Model!AS546</f>
        <v>0</v>
      </c>
      <c r="AL395">
        <f>Model!AT546</f>
        <v>0</v>
      </c>
      <c r="AM395">
        <f>Model!AU546</f>
        <v>0</v>
      </c>
      <c r="AN395">
        <f>Model!AV546</f>
        <v>0</v>
      </c>
      <c r="AO395">
        <f>Model!AW546</f>
        <v>0</v>
      </c>
      <c r="AP395">
        <f>Model!AX546</f>
        <v>0</v>
      </c>
      <c r="AQ395">
        <f>Model!AY546</f>
        <v>0</v>
      </c>
      <c r="AR395">
        <f>Model!AZ546</f>
        <v>0</v>
      </c>
      <c r="AS395">
        <f>Model!BA546</f>
        <v>0</v>
      </c>
      <c r="AT395">
        <f>Model!BB546</f>
        <v>0</v>
      </c>
      <c r="AU395">
        <f>Model!BC546</f>
        <v>0</v>
      </c>
      <c r="AV395">
        <f>Model!BD546</f>
        <v>0</v>
      </c>
      <c r="AW395">
        <f>Model!BE546</f>
        <v>0</v>
      </c>
      <c r="AX395">
        <f>Model!BF546</f>
        <v>0</v>
      </c>
      <c r="AY395">
        <f>Model!BG546</f>
        <v>0</v>
      </c>
      <c r="AZ395">
        <f>Model!BH546</f>
        <v>0</v>
      </c>
      <c r="BA395">
        <f>Model!BI546</f>
        <v>0.39745434992776402</v>
      </c>
      <c r="BB395">
        <f>Model!BJ546</f>
        <v>0.86472565254902989</v>
      </c>
      <c r="BC395">
        <f>Model!BK546</f>
        <v>0.82181706536483423</v>
      </c>
      <c r="BD395">
        <f>Model!BL546</f>
        <v>0.82591269601017192</v>
      </c>
      <c r="BE395">
        <f>Model!BM546</f>
        <v>0.21130574365128227</v>
      </c>
      <c r="BF395">
        <f>Model!BN546</f>
        <v>0.76913611514346603</v>
      </c>
      <c r="BG395">
        <f>Model!BO546</f>
        <v>0.85128165319379989</v>
      </c>
      <c r="BH395">
        <f>Model!BP546</f>
        <v>0.91073521105387878</v>
      </c>
      <c r="BI395">
        <f>Model!BQ546</f>
        <v>0.23265724468015084</v>
      </c>
      <c r="BJ395">
        <f>Model!BR546</f>
        <v>0.73208114573301442</v>
      </c>
      <c r="BK395">
        <f>Model!BS546</f>
        <v>0.75738586506175309</v>
      </c>
      <c r="BL395">
        <f>Model!BT546</f>
        <v>0.96105476724806194</v>
      </c>
      <c r="BM395">
        <f>Model!BU546</f>
        <v>0.33281676749065831</v>
      </c>
      <c r="BN395">
        <f>Model!BV546</f>
        <v>0.9809662642487762</v>
      </c>
      <c r="BO395">
        <f>Model!BW546</f>
        <v>0.73563158572581289</v>
      </c>
      <c r="BP395">
        <f>Model!BX546</f>
        <v>1.0392634823425133</v>
      </c>
      <c r="BQ395">
        <f>Model!BY546</f>
        <v>0.36198110746086648</v>
      </c>
      <c r="BR395">
        <f>Model!BZ546</f>
        <v>1.0351685276691229</v>
      </c>
      <c r="BS395">
        <f>Model!CA546</f>
        <v>0.77359004514889984</v>
      </c>
      <c r="BT395">
        <f>Model!CB546</f>
        <v>0.91356217239115378</v>
      </c>
      <c r="BU395">
        <f>Model!CC546</f>
        <v>-5.351979385094012E-2</v>
      </c>
      <c r="BV395">
        <f>Model!CD546</f>
        <v>0.87176228309713377</v>
      </c>
      <c r="BW395">
        <f>Model!CE546</f>
        <v>0.68659056652071249</v>
      </c>
      <c r="BX395">
        <f>Model!CF546</f>
        <v>0.95298278248295865</v>
      </c>
      <c r="BY395">
        <f>Model!CG546</f>
        <v>0</v>
      </c>
      <c r="BZ395">
        <f>Model!CH546</f>
        <v>0</v>
      </c>
      <c r="CA395">
        <f>Model!CI546</f>
        <v>0</v>
      </c>
      <c r="CB395">
        <f>Model!CJ546</f>
        <v>0</v>
      </c>
      <c r="CC395">
        <f>Model!CK546</f>
        <v>0</v>
      </c>
      <c r="CD395">
        <f>Model!CL546</f>
        <v>0</v>
      </c>
      <c r="CE395">
        <f>Model!CM546</f>
        <v>0</v>
      </c>
      <c r="CF395">
        <f>Model!CN546</f>
        <v>0</v>
      </c>
      <c r="CG395">
        <f>Model!CO546</f>
        <v>0</v>
      </c>
      <c r="CH395">
        <f>Model!CP546</f>
        <v>0</v>
      </c>
      <c r="CI395">
        <f>Model!CQ546</f>
        <v>0.81173654647701721</v>
      </c>
      <c r="CJ395">
        <f>Model!CR546</f>
        <v>0.87554128956468502</v>
      </c>
      <c r="CK395">
        <f>Model!CS546</f>
        <v>0.89682163957293359</v>
      </c>
      <c r="CL395">
        <f>Model!CT546</f>
        <v>0.83734911452677341</v>
      </c>
      <c r="CM395">
        <f>Model!CU546</f>
        <v>0.82539281176267543</v>
      </c>
      <c r="CN395">
        <f>Model!CV546</f>
        <v>0.81360013947042631</v>
      </c>
      <c r="CO395">
        <f>Model!CW546</f>
        <v>0.88748724312222305</v>
      </c>
      <c r="CP395">
        <f>Model!CX546</f>
        <v>0.91435280068297675</v>
      </c>
      <c r="CQ395">
        <f>Model!CY546</f>
        <v>0.80632919777380363</v>
      </c>
      <c r="CR395">
        <f>Model!DG546</f>
        <v>0</v>
      </c>
      <c r="CS395">
        <f>Model!DH546</f>
        <v>0</v>
      </c>
      <c r="CT395">
        <f>Model!DI546</f>
        <v>0</v>
      </c>
      <c r="CU395">
        <f>Model!DJ546</f>
        <v>0</v>
      </c>
    </row>
    <row r="396" spans="1:99">
      <c r="A396" t="str">
        <f>Model!I547</f>
        <v>Operating Cash Flow to EBITDA</v>
      </c>
      <c r="B396">
        <f>Model!J547</f>
        <v>0</v>
      </c>
      <c r="C396">
        <f>Model!K547</f>
        <v>0</v>
      </c>
      <c r="D396">
        <f>Model!L547</f>
        <v>0</v>
      </c>
      <c r="E396">
        <f>Model!M547</f>
        <v>0</v>
      </c>
      <c r="F396">
        <f>Model!N547</f>
        <v>0</v>
      </c>
      <c r="G396">
        <f>Model!O547</f>
        <v>0</v>
      </c>
      <c r="H396">
        <f>Model!P547</f>
        <v>0</v>
      </c>
      <c r="I396">
        <f>Model!Q547</f>
        <v>0</v>
      </c>
      <c r="J396">
        <f>Model!R547</f>
        <v>0</v>
      </c>
      <c r="K396">
        <f>Model!S547</f>
        <v>0</v>
      </c>
      <c r="L396">
        <f>Model!T547</f>
        <v>0</v>
      </c>
      <c r="M396">
        <f>Model!U547</f>
        <v>0</v>
      </c>
      <c r="N396">
        <f>Model!V547</f>
        <v>0</v>
      </c>
      <c r="O396">
        <f>Model!W547</f>
        <v>0</v>
      </c>
      <c r="P396">
        <f>Model!X547</f>
        <v>0</v>
      </c>
      <c r="Q396">
        <f>Model!Y547</f>
        <v>0</v>
      </c>
      <c r="R396">
        <f>Model!Z547</f>
        <v>0</v>
      </c>
      <c r="S396">
        <f>Model!AA547</f>
        <v>0</v>
      </c>
      <c r="T396">
        <f>Model!AB547</f>
        <v>0</v>
      </c>
      <c r="U396">
        <f>Model!AC547</f>
        <v>0</v>
      </c>
      <c r="V396">
        <f>Model!AD547</f>
        <v>0</v>
      </c>
      <c r="W396">
        <f>Model!AE547</f>
        <v>0</v>
      </c>
      <c r="X396">
        <f>Model!AF547</f>
        <v>0</v>
      </c>
      <c r="Y396">
        <f>Model!AG547</f>
        <v>0</v>
      </c>
      <c r="Z396">
        <f>Model!AH547</f>
        <v>0</v>
      </c>
      <c r="AA396">
        <f>Model!AI547</f>
        <v>0</v>
      </c>
      <c r="AB396">
        <f>Model!AJ547</f>
        <v>0</v>
      </c>
      <c r="AC396">
        <f>Model!AK547</f>
        <v>0</v>
      </c>
      <c r="AD396">
        <f>Model!AL547</f>
        <v>0</v>
      </c>
      <c r="AE396">
        <f>Model!AM547</f>
        <v>0</v>
      </c>
      <c r="AF396">
        <f>Model!AN547</f>
        <v>0</v>
      </c>
      <c r="AG396">
        <f>Model!AO547</f>
        <v>0</v>
      </c>
      <c r="AH396">
        <f>Model!AP547</f>
        <v>0</v>
      </c>
      <c r="AI396">
        <f>Model!AQ547</f>
        <v>0</v>
      </c>
      <c r="AJ396">
        <f>Model!AR547</f>
        <v>0</v>
      </c>
      <c r="AK396">
        <f>Model!AS547</f>
        <v>0</v>
      </c>
      <c r="AL396">
        <f>Model!AT547</f>
        <v>0</v>
      </c>
      <c r="AM396">
        <f>Model!AU547</f>
        <v>0</v>
      </c>
      <c r="AN396">
        <f>Model!AV547</f>
        <v>0</v>
      </c>
      <c r="AO396">
        <f>Model!AW547</f>
        <v>0</v>
      </c>
      <c r="AP396">
        <f>Model!AX547</f>
        <v>0</v>
      </c>
      <c r="AQ396">
        <f>Model!AY547</f>
        <v>0</v>
      </c>
      <c r="AR396">
        <f>Model!AZ547</f>
        <v>0</v>
      </c>
      <c r="AS396">
        <f>Model!BA547</f>
        <v>0</v>
      </c>
      <c r="AT396">
        <f>Model!BB547</f>
        <v>0</v>
      </c>
      <c r="AU396">
        <f>Model!BC547</f>
        <v>0</v>
      </c>
      <c r="AV396">
        <f>Model!BD547</f>
        <v>0</v>
      </c>
      <c r="AW396">
        <f>Model!BE547</f>
        <v>0</v>
      </c>
      <c r="AX396">
        <f>Model!BF547</f>
        <v>0</v>
      </c>
      <c r="AY396">
        <f>Model!BG547</f>
        <v>0</v>
      </c>
      <c r="AZ396">
        <f>Model!BH547</f>
        <v>0</v>
      </c>
      <c r="BA396">
        <f>Model!BI547</f>
        <v>0.49728163460389563</v>
      </c>
      <c r="BB396">
        <f>Model!BJ547</f>
        <v>0.95513282769100027</v>
      </c>
      <c r="BC396">
        <f>Model!BK547</f>
        <v>0.87121751441085837</v>
      </c>
      <c r="BD396">
        <f>Model!BL547</f>
        <v>0.95913820392842053</v>
      </c>
      <c r="BE396">
        <f>Model!BM547</f>
        <v>0.34481388263346141</v>
      </c>
      <c r="BF396">
        <f>Model!BN547</f>
        <v>0.8524335176205331</v>
      </c>
      <c r="BG396">
        <f>Model!BO547</f>
        <v>0.9036450520347068</v>
      </c>
      <c r="BH396">
        <f>Model!BP547</f>
        <v>1.0612127905310282</v>
      </c>
      <c r="BI396">
        <f>Model!BQ547</f>
        <v>0.39302095968856676</v>
      </c>
      <c r="BJ396">
        <f>Model!BR547</f>
        <v>0.87281493677964517</v>
      </c>
      <c r="BK396">
        <f>Model!BS547</f>
        <v>0.82036982406956782</v>
      </c>
      <c r="BL396">
        <f>Model!BT547</f>
        <v>1.1158516507175831</v>
      </c>
      <c r="BM396">
        <f>Model!BU547</f>
        <v>0.50916288237825358</v>
      </c>
      <c r="BN396">
        <f>Model!BV547</f>
        <v>1.1140767069699637</v>
      </c>
      <c r="BO396">
        <f>Model!BW547</f>
        <v>0.79264159721181804</v>
      </c>
      <c r="BP396">
        <f>Model!BX547</f>
        <v>1.1732169421115195</v>
      </c>
      <c r="BQ396">
        <f>Model!BY547</f>
        <v>0.54866782084233701</v>
      </c>
      <c r="BR396">
        <f>Model!BZ547</f>
        <v>1.1731001252622433</v>
      </c>
      <c r="BS396">
        <f>Model!CA547</f>
        <v>0.83696087612911052</v>
      </c>
      <c r="BT396">
        <f>Model!CB547</f>
        <v>1.0301013941698351</v>
      </c>
      <c r="BU396">
        <f>Model!CC547</f>
        <v>0.14231440484749147</v>
      </c>
      <c r="BV396">
        <f>Model!CD547</f>
        <v>1.0072344066581536</v>
      </c>
      <c r="BW396">
        <f>Model!CE547</f>
        <v>0.74332407041420767</v>
      </c>
      <c r="BX396">
        <f>Model!CF547</f>
        <v>1.0626640109842453</v>
      </c>
      <c r="BY396">
        <f>Model!CG547</f>
        <v>0</v>
      </c>
      <c r="BZ396">
        <f>Model!CH547</f>
        <v>0</v>
      </c>
      <c r="CA396">
        <f>Model!CI547</f>
        <v>0</v>
      </c>
      <c r="CB396">
        <f>Model!CJ547</f>
        <v>0</v>
      </c>
      <c r="CC396">
        <f>Model!CK547</f>
        <v>0</v>
      </c>
      <c r="CD396">
        <f>Model!CL547</f>
        <v>0</v>
      </c>
      <c r="CE396">
        <f>Model!CM547</f>
        <v>0</v>
      </c>
      <c r="CF396">
        <f>Model!CN547</f>
        <v>0</v>
      </c>
      <c r="CG396">
        <f>Model!CO547</f>
        <v>0</v>
      </c>
      <c r="CH396">
        <f>Model!CP547</f>
        <v>0</v>
      </c>
      <c r="CI396">
        <f>Model!CQ547</f>
        <v>0.86233335293288871</v>
      </c>
      <c r="CJ396">
        <f>Model!CR547</f>
        <v>0.88804381276990008</v>
      </c>
      <c r="CK396">
        <f>Model!CS547</f>
        <v>0.90513780700936242</v>
      </c>
      <c r="CL396">
        <f>Model!CT547</f>
        <v>0.8582631239781856</v>
      </c>
      <c r="CM396">
        <f>Model!CU547</f>
        <v>0.84124585568219712</v>
      </c>
      <c r="CN396">
        <f>Model!CV547</f>
        <v>0.83333875061683182</v>
      </c>
      <c r="CO396">
        <f>Model!CW547</f>
        <v>0.89425103712647347</v>
      </c>
      <c r="CP396">
        <f>Model!CX547</f>
        <v>0.90910821112207907</v>
      </c>
      <c r="CQ396">
        <f>Model!CY547</f>
        <v>0.79306851754989482</v>
      </c>
      <c r="CR396">
        <f>Model!DG547</f>
        <v>0</v>
      </c>
      <c r="CS396">
        <f>Model!DH547</f>
        <v>0</v>
      </c>
      <c r="CT396">
        <f>Model!DI547</f>
        <v>0</v>
      </c>
      <c r="CU396">
        <f>Model!DJ547</f>
        <v>0</v>
      </c>
    </row>
    <row r="397" spans="1:99">
      <c r="A397">
        <f>Model!I548</f>
        <v>0</v>
      </c>
      <c r="B397">
        <f>Model!J548</f>
        <v>0</v>
      </c>
      <c r="C397">
        <f>Model!K548</f>
        <v>0</v>
      </c>
      <c r="D397">
        <f>Model!L548</f>
        <v>0</v>
      </c>
      <c r="E397">
        <f>Model!M548</f>
        <v>0</v>
      </c>
      <c r="F397">
        <f>Model!N548</f>
        <v>0</v>
      </c>
      <c r="G397">
        <f>Model!O548</f>
        <v>0</v>
      </c>
      <c r="H397">
        <f>Model!P548</f>
        <v>0</v>
      </c>
      <c r="I397">
        <f>Model!Q548</f>
        <v>0</v>
      </c>
      <c r="J397">
        <f>Model!R548</f>
        <v>0</v>
      </c>
      <c r="K397">
        <f>Model!S548</f>
        <v>0</v>
      </c>
      <c r="L397">
        <f>Model!T548</f>
        <v>0</v>
      </c>
      <c r="M397">
        <f>Model!U548</f>
        <v>0</v>
      </c>
      <c r="N397">
        <f>Model!V548</f>
        <v>0</v>
      </c>
      <c r="O397">
        <f>Model!W548</f>
        <v>0</v>
      </c>
      <c r="P397">
        <f>Model!X548</f>
        <v>0</v>
      </c>
      <c r="Q397">
        <f>Model!Y548</f>
        <v>0</v>
      </c>
      <c r="R397">
        <f>Model!Z548</f>
        <v>0</v>
      </c>
      <c r="S397">
        <f>Model!AA548</f>
        <v>0</v>
      </c>
      <c r="T397">
        <f>Model!AB548</f>
        <v>0</v>
      </c>
      <c r="U397">
        <f>Model!AC548</f>
        <v>0</v>
      </c>
      <c r="V397">
        <f>Model!AD548</f>
        <v>0</v>
      </c>
      <c r="W397">
        <f>Model!AE548</f>
        <v>0</v>
      </c>
      <c r="X397">
        <f>Model!AF548</f>
        <v>0</v>
      </c>
      <c r="Y397">
        <f>Model!AG548</f>
        <v>0</v>
      </c>
      <c r="Z397">
        <f>Model!AH548</f>
        <v>0</v>
      </c>
      <c r="AA397">
        <f>Model!AI548</f>
        <v>0</v>
      </c>
      <c r="AB397">
        <f>Model!AJ548</f>
        <v>0</v>
      </c>
      <c r="AC397">
        <f>Model!AK548</f>
        <v>0</v>
      </c>
      <c r="AD397">
        <f>Model!AL548</f>
        <v>0</v>
      </c>
      <c r="AE397">
        <f>Model!AM548</f>
        <v>0</v>
      </c>
      <c r="AF397">
        <f>Model!AN548</f>
        <v>0</v>
      </c>
      <c r="AG397">
        <f>Model!AO548</f>
        <v>0</v>
      </c>
      <c r="AH397">
        <f>Model!AP548</f>
        <v>0</v>
      </c>
      <c r="AI397">
        <f>Model!AQ548</f>
        <v>0</v>
      </c>
      <c r="AJ397">
        <f>Model!AR548</f>
        <v>0</v>
      </c>
      <c r="AK397">
        <f>Model!AS548</f>
        <v>0</v>
      </c>
      <c r="AL397">
        <f>Model!AT548</f>
        <v>0</v>
      </c>
      <c r="AM397">
        <f>Model!AU548</f>
        <v>0</v>
      </c>
      <c r="AN397">
        <f>Model!AV548</f>
        <v>0</v>
      </c>
      <c r="AO397">
        <f>Model!AW548</f>
        <v>0</v>
      </c>
      <c r="AP397">
        <f>Model!AX548</f>
        <v>0</v>
      </c>
      <c r="AQ397">
        <f>Model!AY548</f>
        <v>0</v>
      </c>
      <c r="AR397">
        <f>Model!AZ548</f>
        <v>0</v>
      </c>
      <c r="AS397">
        <f>Model!BA548</f>
        <v>0</v>
      </c>
      <c r="AT397">
        <f>Model!BB548</f>
        <v>0</v>
      </c>
      <c r="AU397">
        <f>Model!BC548</f>
        <v>0</v>
      </c>
      <c r="AV397">
        <f>Model!BD548</f>
        <v>0</v>
      </c>
      <c r="AW397">
        <f>Model!BE548</f>
        <v>0</v>
      </c>
      <c r="AX397">
        <f>Model!BF548</f>
        <v>0</v>
      </c>
      <c r="AY397">
        <f>Model!BG548</f>
        <v>0</v>
      </c>
      <c r="AZ397">
        <f>Model!BH548</f>
        <v>0</v>
      </c>
      <c r="BA397">
        <f>Model!BI548</f>
        <v>0</v>
      </c>
      <c r="BB397">
        <f>Model!BJ548</f>
        <v>0</v>
      </c>
      <c r="BC397">
        <f>Model!BK548</f>
        <v>0</v>
      </c>
      <c r="BD397">
        <f>Model!BL548</f>
        <v>0</v>
      </c>
      <c r="BE397">
        <f>Model!BM548</f>
        <v>0</v>
      </c>
      <c r="BF397">
        <f>Model!BN548</f>
        <v>0</v>
      </c>
      <c r="BG397">
        <f>Model!BO548</f>
        <v>0</v>
      </c>
      <c r="BH397">
        <f>Model!BP548</f>
        <v>0</v>
      </c>
      <c r="BI397">
        <f>Model!BQ548</f>
        <v>0</v>
      </c>
      <c r="BJ397">
        <f>Model!BR548</f>
        <v>0</v>
      </c>
      <c r="BK397">
        <f>Model!BS548</f>
        <v>0</v>
      </c>
      <c r="BL397">
        <f>Model!BT548</f>
        <v>0</v>
      </c>
      <c r="BM397">
        <f>Model!BU548</f>
        <v>0</v>
      </c>
      <c r="BN397">
        <f>Model!BV548</f>
        <v>0</v>
      </c>
      <c r="BO397">
        <f>Model!BW548</f>
        <v>0</v>
      </c>
      <c r="BP397">
        <f>Model!BX548</f>
        <v>0</v>
      </c>
      <c r="BQ397">
        <f>Model!BY548</f>
        <v>0</v>
      </c>
      <c r="BR397">
        <f>Model!BZ548</f>
        <v>0</v>
      </c>
      <c r="BS397">
        <f>Model!CA548</f>
        <v>0</v>
      </c>
      <c r="BT397">
        <f>Model!CB548</f>
        <v>0</v>
      </c>
      <c r="BU397">
        <f>Model!CC548</f>
        <v>0</v>
      </c>
      <c r="BV397">
        <f>Model!CD548</f>
        <v>0</v>
      </c>
      <c r="BW397">
        <f>Model!CE548</f>
        <v>0</v>
      </c>
      <c r="BX397">
        <f>Model!CF548</f>
        <v>0</v>
      </c>
      <c r="BY397">
        <f>Model!CG548</f>
        <v>0</v>
      </c>
      <c r="BZ397">
        <f>Model!CH548</f>
        <v>0</v>
      </c>
      <c r="CA397">
        <f>Model!CI548</f>
        <v>0</v>
      </c>
      <c r="CB397">
        <f>Model!CJ548</f>
        <v>0</v>
      </c>
      <c r="CC397">
        <f>Model!CK548</f>
        <v>0</v>
      </c>
      <c r="CD397">
        <f>Model!CL548</f>
        <v>0</v>
      </c>
      <c r="CE397">
        <f>Model!CM548</f>
        <v>0</v>
      </c>
      <c r="CF397">
        <f>Model!CN548</f>
        <v>0</v>
      </c>
      <c r="CG397">
        <f>Model!CO548</f>
        <v>0</v>
      </c>
      <c r="CH397">
        <f>Model!CP548</f>
        <v>0</v>
      </c>
      <c r="CI397">
        <f>Model!CQ548</f>
        <v>0</v>
      </c>
      <c r="CJ397">
        <f>Model!CR548</f>
        <v>0</v>
      </c>
      <c r="CK397">
        <f>Model!CS548</f>
        <v>0</v>
      </c>
      <c r="CL397">
        <f>Model!CT548</f>
        <v>0</v>
      </c>
      <c r="CM397">
        <f>Model!CU548</f>
        <v>0</v>
      </c>
      <c r="CN397">
        <f>Model!CV548</f>
        <v>0</v>
      </c>
      <c r="CO397">
        <f>Model!CW548</f>
        <v>0</v>
      </c>
      <c r="CP397">
        <f>Model!CX548</f>
        <v>0</v>
      </c>
      <c r="CQ397">
        <f>Model!CY548</f>
        <v>0</v>
      </c>
      <c r="CR397">
        <f>Model!DG548</f>
        <v>0</v>
      </c>
      <c r="CS397">
        <f>Model!DH548</f>
        <v>0</v>
      </c>
      <c r="CT397">
        <f>Model!DI548</f>
        <v>0</v>
      </c>
      <c r="CU397">
        <f>Model!DJ548</f>
        <v>0</v>
      </c>
    </row>
    <row r="398" spans="1:99">
      <c r="A398" t="str">
        <f>Model!I549</f>
        <v>FCF / share</v>
      </c>
      <c r="B398">
        <f>Model!J549</f>
        <v>0</v>
      </c>
      <c r="C398">
        <f>Model!K549</f>
        <v>0</v>
      </c>
      <c r="D398">
        <f>Model!L549</f>
        <v>0</v>
      </c>
      <c r="E398">
        <f>Model!M549</f>
        <v>0</v>
      </c>
      <c r="F398">
        <f>Model!N549</f>
        <v>0</v>
      </c>
      <c r="G398">
        <f>Model!O549</f>
        <v>0</v>
      </c>
      <c r="H398">
        <f>Model!P549</f>
        <v>0</v>
      </c>
      <c r="I398">
        <f>Model!Q549</f>
        <v>0</v>
      </c>
      <c r="J398">
        <f>Model!R549</f>
        <v>0</v>
      </c>
      <c r="K398">
        <f>Model!S549</f>
        <v>0</v>
      </c>
      <c r="L398">
        <f>Model!T549</f>
        <v>0</v>
      </c>
      <c r="M398">
        <f>Model!U549</f>
        <v>0</v>
      </c>
      <c r="N398">
        <f>Model!V549</f>
        <v>0</v>
      </c>
      <c r="O398">
        <f>Model!W549</f>
        <v>0</v>
      </c>
      <c r="P398">
        <f>Model!X549</f>
        <v>0</v>
      </c>
      <c r="Q398">
        <f>Model!Y549</f>
        <v>0</v>
      </c>
      <c r="R398">
        <f>Model!Z549</f>
        <v>0</v>
      </c>
      <c r="S398">
        <f>Model!AA549</f>
        <v>0</v>
      </c>
      <c r="T398">
        <f>Model!AB549</f>
        <v>0</v>
      </c>
      <c r="U398">
        <f>Model!AC549</f>
        <v>0</v>
      </c>
      <c r="V398">
        <f>Model!AD549</f>
        <v>0</v>
      </c>
      <c r="W398">
        <f>Model!AE549</f>
        <v>0</v>
      </c>
      <c r="X398">
        <f>Model!AF549</f>
        <v>0</v>
      </c>
      <c r="Y398">
        <f>Model!AG549</f>
        <v>0</v>
      </c>
      <c r="Z398">
        <f>Model!AH549</f>
        <v>0</v>
      </c>
      <c r="AA398">
        <f>Model!AI549</f>
        <v>0</v>
      </c>
      <c r="AB398">
        <f>Model!AJ549</f>
        <v>0</v>
      </c>
      <c r="AC398">
        <f>Model!AK549</f>
        <v>0</v>
      </c>
      <c r="AD398">
        <f>Model!AL549</f>
        <v>0</v>
      </c>
      <c r="AE398">
        <f>Model!AM549</f>
        <v>0</v>
      </c>
      <c r="AF398">
        <f>Model!AN549</f>
        <v>0</v>
      </c>
      <c r="AG398">
        <f>Model!AO549</f>
        <v>0</v>
      </c>
      <c r="AH398">
        <f>Model!AP549</f>
        <v>0</v>
      </c>
      <c r="AI398">
        <f>Model!AQ549</f>
        <v>0</v>
      </c>
      <c r="AJ398">
        <f>Model!AR549</f>
        <v>0</v>
      </c>
      <c r="AK398">
        <f>Model!AS549</f>
        <v>0</v>
      </c>
      <c r="AL398">
        <f>Model!AT549</f>
        <v>0</v>
      </c>
      <c r="AM398">
        <f>Model!AU549</f>
        <v>0</v>
      </c>
      <c r="AN398">
        <f>Model!AV549</f>
        <v>0</v>
      </c>
      <c r="AO398">
        <f>Model!AW549</f>
        <v>0</v>
      </c>
      <c r="AP398">
        <f>Model!AX549</f>
        <v>0</v>
      </c>
      <c r="AQ398">
        <f>Model!AY549</f>
        <v>0</v>
      </c>
      <c r="AR398">
        <f>Model!AZ549</f>
        <v>0</v>
      </c>
      <c r="AS398">
        <f>Model!BA549</f>
        <v>0</v>
      </c>
      <c r="AT398">
        <f>Model!BB549</f>
        <v>0</v>
      </c>
      <c r="AU398">
        <f>Model!BC549</f>
        <v>0</v>
      </c>
      <c r="AV398">
        <f>Model!BD549</f>
        <v>0</v>
      </c>
      <c r="AW398">
        <f>Model!BE549</f>
        <v>0</v>
      </c>
      <c r="AX398">
        <f>Model!BF549</f>
        <v>0</v>
      </c>
      <c r="AY398">
        <f>Model!BG549</f>
        <v>0</v>
      </c>
      <c r="AZ398">
        <f>Model!BH549</f>
        <v>0</v>
      </c>
      <c r="BA398">
        <f>Model!BI549</f>
        <v>2.8381360533664304</v>
      </c>
      <c r="BB398">
        <f>Model!BJ549</f>
        <v>10.253192098482678</v>
      </c>
      <c r="BC398">
        <f>Model!BK549</f>
        <v>17.209708044291538</v>
      </c>
      <c r="BD398">
        <f>Model!BL549</f>
        <v>8.9730501785378731</v>
      </c>
      <c r="BE398">
        <f>Model!BM549</f>
        <v>2.0341303328645104</v>
      </c>
      <c r="BF398">
        <f>Model!BN549</f>
        <v>11.674567753066047</v>
      </c>
      <c r="BG398">
        <f>Model!BO549</f>
        <v>22.81130767212623</v>
      </c>
      <c r="BH398">
        <f>Model!BP549</f>
        <v>12.193746825441622</v>
      </c>
      <c r="BI398">
        <f>Model!BQ549</f>
        <v>2.3432965867333411</v>
      </c>
      <c r="BJ398">
        <f>Model!BR549</f>
        <v>11.228253411603264</v>
      </c>
      <c r="BK398">
        <f>Model!BS549</f>
        <v>23.503663822426091</v>
      </c>
      <c r="BL398">
        <f>Model!BT549</f>
        <v>14.954084146221311</v>
      </c>
      <c r="BM398">
        <f>Model!BU549</f>
        <v>4.4561455610992295</v>
      </c>
      <c r="BN398">
        <f>Model!BV549</f>
        <v>16.860354020892387</v>
      </c>
      <c r="BO398">
        <f>Model!BW549</f>
        <v>27.811733608919454</v>
      </c>
      <c r="BP398">
        <f>Model!BX549</f>
        <v>19.595601759296283</v>
      </c>
      <c r="BQ398">
        <f>Model!BY549</f>
        <v>5.0197101449275383</v>
      </c>
      <c r="BR398">
        <f>Model!BZ549</f>
        <v>21.52842816046029</v>
      </c>
      <c r="BS398">
        <f>Model!CA549</f>
        <v>34.894480909309209</v>
      </c>
      <c r="BT398">
        <f>Model!CB549</f>
        <v>20.997720349411921</v>
      </c>
      <c r="BU398">
        <f>Model!CC549</f>
        <v>-0.89606154303211516</v>
      </c>
      <c r="BV398">
        <f>Model!CD549</f>
        <v>22.840913722095209</v>
      </c>
      <c r="BW398">
        <f>Model!CE549</f>
        <v>37.220033859484644</v>
      </c>
      <c r="BX398">
        <f>Model!CF549</f>
        <v>28.892095736848219</v>
      </c>
      <c r="BY398">
        <f>Model!CG549</f>
        <v>0</v>
      </c>
      <c r="BZ398">
        <f>Model!CH549</f>
        <v>0</v>
      </c>
      <c r="CA398">
        <f>Model!CI549</f>
        <v>0</v>
      </c>
      <c r="CB398">
        <f>Model!CJ549</f>
        <v>0</v>
      </c>
      <c r="CC398">
        <f>Model!CK549</f>
        <v>0</v>
      </c>
      <c r="CD398">
        <f>Model!CL549</f>
        <v>0</v>
      </c>
      <c r="CE398">
        <f>Model!CM549</f>
        <v>0</v>
      </c>
      <c r="CF398">
        <f>Model!CN549</f>
        <v>0</v>
      </c>
      <c r="CG398">
        <f>Model!CO549</f>
        <v>0</v>
      </c>
      <c r="CH398">
        <f>Model!CP549</f>
        <v>0</v>
      </c>
      <c r="CI398">
        <f>Model!CQ549</f>
        <v>14.254785793605953</v>
      </c>
      <c r="CJ398">
        <f>Model!CR549</f>
        <v>25.661875387957796</v>
      </c>
      <c r="CK398">
        <f>Model!CS549</f>
        <v>34.328844997186707</v>
      </c>
      <c r="CL398">
        <f>Model!CT549</f>
        <v>42.640339549546134</v>
      </c>
      <c r="CM398">
        <f>Model!CU549</f>
        <v>53.62556495320969</v>
      </c>
      <c r="CN398">
        <f>Model!CV549</f>
        <v>58.365309386622471</v>
      </c>
      <c r="CO398">
        <f>Model!CW549</f>
        <v>77.399465458483604</v>
      </c>
      <c r="CP398">
        <f>Model!CX549</f>
        <v>93.956197212732064</v>
      </c>
      <c r="CQ398">
        <f>Model!CY549</f>
        <v>102.5017960247787</v>
      </c>
      <c r="CR398">
        <f>Model!CZ549</f>
        <v>102.19956204132146</v>
      </c>
      <c r="CS398">
        <f>Model!DA549</f>
        <v>118.71438753365231</v>
      </c>
      <c r="CT398">
        <f>Model!DB549</f>
        <v>136.13022189618152</v>
      </c>
      <c r="CU398">
        <f>Model!DC549</f>
        <v>153.07567364969049</v>
      </c>
    </row>
    <row r="399" spans="1:99">
      <c r="A399">
        <f>Model!I553</f>
        <v>0</v>
      </c>
      <c r="B399">
        <f>Model!J553</f>
        <v>0</v>
      </c>
      <c r="C399">
        <f>Model!K553</f>
        <v>0</v>
      </c>
      <c r="D399">
        <f>Model!L553</f>
        <v>0</v>
      </c>
      <c r="E399">
        <f>Model!M553</f>
        <v>0</v>
      </c>
      <c r="F399">
        <f>Model!N553</f>
        <v>0</v>
      </c>
      <c r="G399">
        <f>Model!O553</f>
        <v>0</v>
      </c>
      <c r="H399">
        <f>Model!P553</f>
        <v>0</v>
      </c>
      <c r="I399">
        <f>Model!Q553</f>
        <v>0</v>
      </c>
      <c r="J399">
        <f>Model!R553</f>
        <v>0</v>
      </c>
      <c r="K399">
        <f>Model!S553</f>
        <v>0</v>
      </c>
      <c r="L399">
        <f>Model!T553</f>
        <v>0</v>
      </c>
      <c r="M399">
        <f>Model!U553</f>
        <v>0</v>
      </c>
      <c r="N399">
        <f>Model!V553</f>
        <v>0</v>
      </c>
      <c r="O399">
        <f>Model!W553</f>
        <v>0</v>
      </c>
      <c r="P399">
        <f>Model!X553</f>
        <v>0</v>
      </c>
      <c r="Q399">
        <f>Model!Y553</f>
        <v>0</v>
      </c>
      <c r="R399">
        <f>Model!Z553</f>
        <v>0</v>
      </c>
      <c r="S399">
        <f>Model!AA553</f>
        <v>0</v>
      </c>
      <c r="T399">
        <f>Model!AB553</f>
        <v>0</v>
      </c>
      <c r="U399">
        <f>Model!AC553</f>
        <v>0</v>
      </c>
      <c r="V399">
        <f>Model!AD553</f>
        <v>0</v>
      </c>
      <c r="W399">
        <f>Model!AE553</f>
        <v>0</v>
      </c>
      <c r="X399">
        <f>Model!AF553</f>
        <v>0</v>
      </c>
      <c r="Y399">
        <f>Model!AG553</f>
        <v>0</v>
      </c>
      <c r="Z399">
        <f>Model!AH553</f>
        <v>0</v>
      </c>
      <c r="AA399">
        <f>Model!AI553</f>
        <v>0</v>
      </c>
      <c r="AB399">
        <f>Model!AJ553</f>
        <v>0</v>
      </c>
      <c r="AC399">
        <f>Model!AK553</f>
        <v>0</v>
      </c>
      <c r="AD399">
        <f>Model!AL553</f>
        <v>0</v>
      </c>
      <c r="AE399">
        <f>Model!AM553</f>
        <v>0</v>
      </c>
      <c r="AF399">
        <f>Model!AN553</f>
        <v>0</v>
      </c>
      <c r="AG399">
        <f>Model!AO553</f>
        <v>0</v>
      </c>
      <c r="AH399">
        <f>Model!AP553</f>
        <v>0</v>
      </c>
      <c r="AI399">
        <f>Model!AQ553</f>
        <v>0</v>
      </c>
      <c r="AJ399">
        <f>Model!AR553</f>
        <v>0</v>
      </c>
      <c r="AK399">
        <f>Model!AS553</f>
        <v>0</v>
      </c>
      <c r="AL399">
        <f>Model!AT553</f>
        <v>0</v>
      </c>
      <c r="AM399">
        <f>Model!AU553</f>
        <v>0</v>
      </c>
      <c r="AN399">
        <f>Model!AV553</f>
        <v>0</v>
      </c>
      <c r="AO399">
        <f>Model!AW553</f>
        <v>0</v>
      </c>
      <c r="AP399">
        <f>Model!AX553</f>
        <v>0</v>
      </c>
      <c r="AQ399">
        <f>Model!AY553</f>
        <v>0</v>
      </c>
      <c r="AR399">
        <f>Model!AZ553</f>
        <v>0</v>
      </c>
      <c r="AS399">
        <f>Model!BA553</f>
        <v>0</v>
      </c>
      <c r="AT399">
        <f>Model!BB553</f>
        <v>0</v>
      </c>
      <c r="AU399">
        <f>Model!BC553</f>
        <v>0</v>
      </c>
      <c r="AV399">
        <f>Model!BD553</f>
        <v>0</v>
      </c>
      <c r="AW399">
        <f>Model!BE553</f>
        <v>0</v>
      </c>
      <c r="AX399">
        <f>Model!BF553</f>
        <v>0</v>
      </c>
      <c r="AY399">
        <f>Model!BG553</f>
        <v>0</v>
      </c>
      <c r="AZ399">
        <f>Model!BH553</f>
        <v>0</v>
      </c>
      <c r="BA399">
        <f>Model!BI553</f>
        <v>0</v>
      </c>
      <c r="BB399">
        <f>Model!BJ553</f>
        <v>0</v>
      </c>
      <c r="BC399">
        <f>Model!BK553</f>
        <v>0</v>
      </c>
      <c r="BD399">
        <f>Model!BL553</f>
        <v>0</v>
      </c>
      <c r="BE399">
        <f>Model!BM553</f>
        <v>0</v>
      </c>
      <c r="BF399">
        <f>Model!BN553</f>
        <v>0</v>
      </c>
      <c r="BG399">
        <f>Model!BO553</f>
        <v>0</v>
      </c>
      <c r="BH399">
        <f>Model!BP553</f>
        <v>0</v>
      </c>
      <c r="BI399">
        <f>Model!BQ553</f>
        <v>0</v>
      </c>
      <c r="BJ399">
        <f>Model!BR553</f>
        <v>0</v>
      </c>
      <c r="BK399">
        <f>Model!BS553</f>
        <v>0</v>
      </c>
      <c r="BL399">
        <f>Model!BT553</f>
        <v>0</v>
      </c>
      <c r="BM399">
        <f>Model!BU553</f>
        <v>0</v>
      </c>
      <c r="BN399">
        <f>Model!BV553</f>
        <v>0</v>
      </c>
      <c r="BO399">
        <f>Model!BW553</f>
        <v>0</v>
      </c>
      <c r="BP399">
        <f>Model!BX553</f>
        <v>0</v>
      </c>
      <c r="BQ399">
        <f>Model!BY553</f>
        <v>0</v>
      </c>
      <c r="BR399">
        <f>Model!BZ553</f>
        <v>0</v>
      </c>
      <c r="BS399">
        <f>Model!CA553</f>
        <v>0</v>
      </c>
      <c r="BT399">
        <f>Model!CB553</f>
        <v>0</v>
      </c>
      <c r="BU399">
        <f>Model!CC553</f>
        <v>0</v>
      </c>
      <c r="BV399">
        <f>Model!CD553</f>
        <v>0</v>
      </c>
      <c r="BW399">
        <f>Model!CE553</f>
        <v>0</v>
      </c>
      <c r="BX399">
        <f>Model!CF553</f>
        <v>0</v>
      </c>
      <c r="BY399">
        <f>Model!CG553</f>
        <v>0</v>
      </c>
      <c r="BZ399">
        <f>Model!CH553</f>
        <v>0</v>
      </c>
      <c r="CA399">
        <f>Model!CI553</f>
        <v>0</v>
      </c>
      <c r="CB399">
        <f>Model!CJ553</f>
        <v>0</v>
      </c>
      <c r="CC399">
        <f>Model!CK553</f>
        <v>0</v>
      </c>
      <c r="CD399">
        <f>Model!CL553</f>
        <v>0</v>
      </c>
      <c r="CE399">
        <f>Model!CM553</f>
        <v>0</v>
      </c>
      <c r="CF399">
        <f>Model!CN553</f>
        <v>0</v>
      </c>
      <c r="CG399">
        <f>Model!CO553</f>
        <v>0</v>
      </c>
      <c r="CH399">
        <f>Model!CP553</f>
        <v>0</v>
      </c>
      <c r="CI399" t="str">
        <f>Model!CQ553</f>
        <v xml:space="preserve"> </v>
      </c>
      <c r="CJ399">
        <f>Model!CR553</f>
        <v>0</v>
      </c>
      <c r="CK399">
        <f>Model!CS553</f>
        <v>0</v>
      </c>
      <c r="CL399">
        <f>Model!CT553</f>
        <v>0</v>
      </c>
      <c r="CM399">
        <f>Model!CU553</f>
        <v>0</v>
      </c>
      <c r="CN399">
        <f>Model!CV553</f>
        <v>0</v>
      </c>
      <c r="CO399">
        <f>Model!CW553</f>
        <v>0</v>
      </c>
      <c r="CP399">
        <f>Model!CX553</f>
        <v>0</v>
      </c>
      <c r="CQ399">
        <f>Model!CY553</f>
        <v>0</v>
      </c>
      <c r="CR399">
        <f>Model!DG553</f>
        <v>0</v>
      </c>
      <c r="CS399">
        <f>Model!DH553</f>
        <v>0</v>
      </c>
      <c r="CT399">
        <f>Model!DI553</f>
        <v>0</v>
      </c>
      <c r="CU399">
        <f>Model!DJ553</f>
        <v>0</v>
      </c>
    </row>
    <row r="400" spans="1:99">
      <c r="A400" t="str">
        <f>Model!I554</f>
        <v>Uses of free cash flow:</v>
      </c>
      <c r="B400">
        <f>Model!J554</f>
        <v>0</v>
      </c>
      <c r="C400">
        <f>Model!K554</f>
        <v>0</v>
      </c>
      <c r="D400">
        <f>Model!L554</f>
        <v>0</v>
      </c>
      <c r="E400">
        <f>Model!M554</f>
        <v>0</v>
      </c>
      <c r="F400">
        <f>Model!N554</f>
        <v>0</v>
      </c>
      <c r="G400">
        <f>Model!O554</f>
        <v>0</v>
      </c>
      <c r="H400">
        <f>Model!P554</f>
        <v>0</v>
      </c>
      <c r="I400">
        <f>Model!Q554</f>
        <v>0</v>
      </c>
      <c r="J400">
        <f>Model!R554</f>
        <v>0</v>
      </c>
      <c r="K400">
        <f>Model!S554</f>
        <v>0</v>
      </c>
      <c r="L400">
        <f>Model!T554</f>
        <v>0</v>
      </c>
      <c r="M400">
        <f>Model!U554</f>
        <v>0</v>
      </c>
      <c r="N400">
        <f>Model!V554</f>
        <v>0</v>
      </c>
      <c r="O400">
        <f>Model!W554</f>
        <v>0</v>
      </c>
      <c r="P400">
        <f>Model!X554</f>
        <v>0</v>
      </c>
      <c r="Q400">
        <f>Model!Y554</f>
        <v>0</v>
      </c>
      <c r="R400">
        <f>Model!Z554</f>
        <v>0</v>
      </c>
      <c r="S400">
        <f>Model!AA554</f>
        <v>0</v>
      </c>
      <c r="T400">
        <f>Model!AB554</f>
        <v>0</v>
      </c>
      <c r="U400">
        <f>Model!AC554</f>
        <v>0</v>
      </c>
      <c r="V400">
        <f>Model!AD554</f>
        <v>0</v>
      </c>
      <c r="W400">
        <f>Model!AE554</f>
        <v>0</v>
      </c>
      <c r="X400">
        <f>Model!AF554</f>
        <v>0</v>
      </c>
      <c r="Y400">
        <f>Model!AG554</f>
        <v>0</v>
      </c>
      <c r="Z400">
        <f>Model!AH554</f>
        <v>0</v>
      </c>
      <c r="AA400">
        <f>Model!AI554</f>
        <v>0</v>
      </c>
      <c r="AB400">
        <f>Model!AJ554</f>
        <v>0</v>
      </c>
      <c r="AC400">
        <f>Model!AK554</f>
        <v>0</v>
      </c>
      <c r="AD400">
        <f>Model!AL554</f>
        <v>0</v>
      </c>
      <c r="AE400">
        <f>Model!AM554</f>
        <v>0</v>
      </c>
      <c r="AF400">
        <f>Model!AN554</f>
        <v>0</v>
      </c>
      <c r="AG400">
        <f>Model!AO554</f>
        <v>0</v>
      </c>
      <c r="AH400">
        <f>Model!AP554</f>
        <v>0</v>
      </c>
      <c r="AI400">
        <f>Model!AQ554</f>
        <v>0</v>
      </c>
      <c r="AJ400">
        <f>Model!AR554</f>
        <v>0</v>
      </c>
      <c r="AK400">
        <f>Model!AS554</f>
        <v>0</v>
      </c>
      <c r="AL400">
        <f>Model!AT554</f>
        <v>0</v>
      </c>
      <c r="AM400">
        <f>Model!AU554</f>
        <v>0</v>
      </c>
      <c r="AN400">
        <f>Model!AV554</f>
        <v>0</v>
      </c>
      <c r="AO400">
        <f>Model!AW554</f>
        <v>0</v>
      </c>
      <c r="AP400">
        <f>Model!AX554</f>
        <v>0</v>
      </c>
      <c r="AQ400">
        <f>Model!AY554</f>
        <v>0</v>
      </c>
      <c r="AR400">
        <f>Model!AZ554</f>
        <v>0</v>
      </c>
      <c r="AS400">
        <f>Model!BA554</f>
        <v>0</v>
      </c>
      <c r="AT400">
        <f>Model!BB554</f>
        <v>0</v>
      </c>
      <c r="AU400">
        <f>Model!BC554</f>
        <v>0</v>
      </c>
      <c r="AV400">
        <f>Model!BD554</f>
        <v>0</v>
      </c>
      <c r="AW400">
        <f>Model!BE554</f>
        <v>0</v>
      </c>
      <c r="AX400">
        <f>Model!BF554</f>
        <v>0</v>
      </c>
      <c r="AY400">
        <f>Model!BG554</f>
        <v>0</v>
      </c>
      <c r="AZ400">
        <f>Model!BH554</f>
        <v>0</v>
      </c>
      <c r="BA400">
        <f>Model!BI554</f>
        <v>0</v>
      </c>
      <c r="BB400">
        <f>Model!BJ554</f>
        <v>0</v>
      </c>
      <c r="BC400">
        <f>Model!BK554</f>
        <v>0</v>
      </c>
      <c r="BD400">
        <f>Model!BL554</f>
        <v>0</v>
      </c>
      <c r="BE400">
        <f>Model!BM554</f>
        <v>0</v>
      </c>
      <c r="BF400">
        <f>Model!BN554</f>
        <v>0</v>
      </c>
      <c r="BG400">
        <f>Model!BO554</f>
        <v>0</v>
      </c>
      <c r="BH400">
        <f>Model!BP554</f>
        <v>0</v>
      </c>
      <c r="BI400">
        <f>Model!BQ554</f>
        <v>0</v>
      </c>
      <c r="BJ400">
        <f>Model!BR554</f>
        <v>0</v>
      </c>
      <c r="BK400">
        <f>Model!BS554</f>
        <v>0</v>
      </c>
      <c r="BL400">
        <f>Model!BT554</f>
        <v>0</v>
      </c>
      <c r="BM400">
        <f>Model!BU554</f>
        <v>0</v>
      </c>
      <c r="BN400">
        <f>Model!BV554</f>
        <v>0</v>
      </c>
      <c r="BO400">
        <f>Model!BW554</f>
        <v>0</v>
      </c>
      <c r="BP400">
        <f>Model!BX554</f>
        <v>0</v>
      </c>
      <c r="BQ400">
        <f>Model!BY554</f>
        <v>0</v>
      </c>
      <c r="BR400">
        <f>Model!BZ554</f>
        <v>0</v>
      </c>
      <c r="BS400">
        <f>Model!CA554</f>
        <v>0</v>
      </c>
      <c r="BT400">
        <f>Model!CB554</f>
        <v>0</v>
      </c>
      <c r="BU400">
        <f>Model!CC554</f>
        <v>0</v>
      </c>
      <c r="BV400">
        <f>Model!CD554</f>
        <v>0</v>
      </c>
      <c r="BW400">
        <f>Model!CE554</f>
        <v>0</v>
      </c>
      <c r="BX400">
        <f>Model!CF554</f>
        <v>0</v>
      </c>
      <c r="BY400">
        <f>Model!CG554</f>
        <v>0</v>
      </c>
      <c r="BZ400">
        <f>Model!CH554</f>
        <v>0</v>
      </c>
      <c r="CA400">
        <f>Model!CI554</f>
        <v>0</v>
      </c>
      <c r="CB400">
        <f>Model!CJ554</f>
        <v>0</v>
      </c>
      <c r="CC400">
        <f>Model!CK554</f>
        <v>0</v>
      </c>
      <c r="CD400">
        <f>Model!CL554</f>
        <v>0</v>
      </c>
      <c r="CE400">
        <f>Model!CM554</f>
        <v>0</v>
      </c>
      <c r="CF400">
        <f>Model!CN554</f>
        <v>0</v>
      </c>
      <c r="CG400">
        <f>Model!CO554</f>
        <v>0</v>
      </c>
      <c r="CH400">
        <f>Model!CP554</f>
        <v>0</v>
      </c>
      <c r="CI400">
        <f>Model!CQ554</f>
        <v>0</v>
      </c>
      <c r="CJ400">
        <f>Model!CR554</f>
        <v>0</v>
      </c>
      <c r="CK400">
        <f>Model!CS554</f>
        <v>0</v>
      </c>
      <c r="CL400">
        <f>Model!CT554</f>
        <v>0</v>
      </c>
      <c r="CM400">
        <f>Model!CU554</f>
        <v>0</v>
      </c>
      <c r="CN400">
        <f>Model!CV554</f>
        <v>0</v>
      </c>
      <c r="CO400">
        <f>Model!CW554</f>
        <v>0</v>
      </c>
      <c r="CP400">
        <f>Model!CX554</f>
        <v>0</v>
      </c>
      <c r="CQ400">
        <f>Model!CY554</f>
        <v>0</v>
      </c>
      <c r="CR400">
        <f>Model!DG554</f>
        <v>0</v>
      </c>
      <c r="CS400">
        <f>Model!DH554</f>
        <v>0</v>
      </c>
      <c r="CT400">
        <f>Model!DI554</f>
        <v>0</v>
      </c>
      <c r="CU400">
        <f>Model!DJ554</f>
        <v>0</v>
      </c>
    </row>
    <row r="401" spans="1:99">
      <c r="A401" t="str">
        <f>Model!I555</f>
        <v>Dividend</v>
      </c>
      <c r="B401">
        <f>Model!J555</f>
        <v>0</v>
      </c>
      <c r="C401">
        <f>Model!K555</f>
        <v>0</v>
      </c>
      <c r="D401">
        <f>Model!L555</f>
        <v>0</v>
      </c>
      <c r="E401">
        <f>Model!M555</f>
        <v>0</v>
      </c>
      <c r="F401">
        <f>Model!N555</f>
        <v>0</v>
      </c>
      <c r="G401">
        <f>Model!O555</f>
        <v>0</v>
      </c>
      <c r="H401">
        <f>Model!P555</f>
        <v>0</v>
      </c>
      <c r="I401">
        <f>Model!Q555</f>
        <v>0</v>
      </c>
      <c r="J401">
        <f>Model!R555</f>
        <v>0</v>
      </c>
      <c r="K401">
        <f>Model!S555</f>
        <v>0</v>
      </c>
      <c r="L401">
        <f>Model!T555</f>
        <v>0</v>
      </c>
      <c r="M401">
        <f>Model!U555</f>
        <v>0</v>
      </c>
      <c r="N401">
        <f>Model!V555</f>
        <v>0</v>
      </c>
      <c r="O401">
        <f>Model!W555</f>
        <v>0</v>
      </c>
      <c r="P401">
        <f>Model!X555</f>
        <v>0</v>
      </c>
      <c r="Q401">
        <f>Model!Y555</f>
        <v>0</v>
      </c>
      <c r="R401">
        <f>Model!Z555</f>
        <v>0</v>
      </c>
      <c r="S401">
        <f>Model!AA555</f>
        <v>0</v>
      </c>
      <c r="T401">
        <f>Model!AB555</f>
        <v>0</v>
      </c>
      <c r="U401">
        <f>Model!AC555</f>
        <v>0</v>
      </c>
      <c r="V401">
        <f>Model!AD555</f>
        <v>0</v>
      </c>
      <c r="W401">
        <f>Model!AE555</f>
        <v>0</v>
      </c>
      <c r="X401">
        <f>Model!AF555</f>
        <v>0</v>
      </c>
      <c r="Y401">
        <f>Model!AG555</f>
        <v>0</v>
      </c>
      <c r="Z401">
        <f>Model!AH555</f>
        <v>0</v>
      </c>
      <c r="AA401">
        <f>Model!AI555</f>
        <v>0</v>
      </c>
      <c r="AB401">
        <f>Model!AJ555</f>
        <v>0</v>
      </c>
      <c r="AC401">
        <f>Model!AK555</f>
        <v>0</v>
      </c>
      <c r="AD401">
        <f>Model!AL555</f>
        <v>0</v>
      </c>
      <c r="AE401">
        <f>Model!AM555</f>
        <v>0</v>
      </c>
      <c r="AF401">
        <f>Model!AN555</f>
        <v>0</v>
      </c>
      <c r="AG401">
        <f>Model!AO555</f>
        <v>0</v>
      </c>
      <c r="AH401">
        <f>Model!AP555</f>
        <v>0</v>
      </c>
      <c r="AI401">
        <f>Model!AQ555</f>
        <v>0</v>
      </c>
      <c r="AJ401">
        <f>Model!AR555</f>
        <v>0</v>
      </c>
      <c r="AK401">
        <f>Model!AS555</f>
        <v>0</v>
      </c>
      <c r="AL401">
        <f>Model!AT555</f>
        <v>0</v>
      </c>
      <c r="AM401">
        <f>Model!AU555</f>
        <v>0</v>
      </c>
      <c r="AN401">
        <f>Model!AV555</f>
        <v>0</v>
      </c>
      <c r="AO401">
        <f>Model!AW555</f>
        <v>0</v>
      </c>
      <c r="AP401">
        <f>Model!AX555</f>
        <v>0</v>
      </c>
      <c r="AQ401">
        <f>Model!AY555</f>
        <v>0</v>
      </c>
      <c r="AR401">
        <f>Model!AZ555</f>
        <v>0</v>
      </c>
      <c r="AS401">
        <f>Model!BA555</f>
        <v>0</v>
      </c>
      <c r="AT401">
        <f>Model!BB555</f>
        <v>0</v>
      </c>
      <c r="AU401">
        <f>Model!BC555</f>
        <v>0</v>
      </c>
      <c r="AV401">
        <f>Model!BD555</f>
        <v>0</v>
      </c>
      <c r="AW401">
        <f>Model!BE555</f>
        <v>0</v>
      </c>
      <c r="AX401">
        <f>Model!BF555</f>
        <v>0</v>
      </c>
      <c r="AY401">
        <f>Model!BG555</f>
        <v>0</v>
      </c>
      <c r="AZ401">
        <f>Model!BH555</f>
        <v>0</v>
      </c>
      <c r="BA401">
        <f>Model!BI555</f>
        <v>0</v>
      </c>
      <c r="BB401">
        <f>Model!BJ555</f>
        <v>0</v>
      </c>
      <c r="BC401">
        <f>Model!BK555</f>
        <v>0</v>
      </c>
      <c r="BD401">
        <f>Model!BL555</f>
        <v>0</v>
      </c>
      <c r="BE401">
        <f>Model!BM555</f>
        <v>0</v>
      </c>
      <c r="BF401">
        <f>Model!BN555</f>
        <v>0</v>
      </c>
      <c r="BG401">
        <f>Model!BO555</f>
        <v>0</v>
      </c>
      <c r="BH401">
        <f>Model!BP555</f>
        <v>0</v>
      </c>
      <c r="BI401">
        <f>Model!BQ555</f>
        <v>0</v>
      </c>
      <c r="BJ401">
        <f>Model!BR555</f>
        <v>0</v>
      </c>
      <c r="BK401">
        <f>Model!BS555</f>
        <v>0</v>
      </c>
      <c r="BL401">
        <f>Model!BT555</f>
        <v>0</v>
      </c>
      <c r="BM401">
        <f>Model!BU555</f>
        <v>0</v>
      </c>
      <c r="BN401">
        <f>Model!BV555</f>
        <v>0</v>
      </c>
      <c r="BO401">
        <f>Model!BW555</f>
        <v>0</v>
      </c>
      <c r="BP401">
        <f>Model!BX555</f>
        <v>0</v>
      </c>
      <c r="BQ401">
        <f>Model!BY555</f>
        <v>0</v>
      </c>
      <c r="BR401">
        <f>Model!BZ555</f>
        <v>0</v>
      </c>
      <c r="BS401">
        <f>Model!CA555</f>
        <v>0</v>
      </c>
      <c r="BT401">
        <f>Model!CB555</f>
        <v>0</v>
      </c>
      <c r="BU401">
        <f>Model!CC555</f>
        <v>0</v>
      </c>
      <c r="BV401">
        <f>Model!CD555</f>
        <v>0</v>
      </c>
      <c r="BW401">
        <f>Model!CE555</f>
        <v>0</v>
      </c>
      <c r="BX401">
        <f>Model!CF555</f>
        <v>0</v>
      </c>
      <c r="BY401">
        <f>Model!CG555</f>
        <v>0</v>
      </c>
      <c r="BZ401">
        <f>Model!CH555</f>
        <v>0</v>
      </c>
      <c r="CA401">
        <f>Model!CI555</f>
        <v>0</v>
      </c>
      <c r="CB401">
        <f>Model!CJ555</f>
        <v>0</v>
      </c>
      <c r="CC401">
        <f>Model!CK555</f>
        <v>0</v>
      </c>
      <c r="CD401">
        <f>Model!CL555</f>
        <v>0</v>
      </c>
      <c r="CE401">
        <f>Model!CM555</f>
        <v>0</v>
      </c>
      <c r="CF401">
        <f>Model!CN555</f>
        <v>0</v>
      </c>
      <c r="CG401">
        <f>Model!CO555</f>
        <v>0</v>
      </c>
      <c r="CH401">
        <f>Model!CP555</f>
        <v>0</v>
      </c>
      <c r="CI401">
        <f>Model!CQ555</f>
        <v>0</v>
      </c>
      <c r="CJ401">
        <f>Model!CR555</f>
        <v>0</v>
      </c>
      <c r="CK401">
        <f>Model!CS555</f>
        <v>0</v>
      </c>
      <c r="CL401">
        <f>Model!CT555</f>
        <v>0</v>
      </c>
      <c r="CM401">
        <f>Model!CU555</f>
        <v>0</v>
      </c>
      <c r="CN401">
        <f>Model!CV555</f>
        <v>0</v>
      </c>
      <c r="CO401">
        <f>Model!CW555</f>
        <v>0</v>
      </c>
      <c r="CP401">
        <f>Model!CX555</f>
        <v>0</v>
      </c>
      <c r="CQ401">
        <f>Model!CY555</f>
        <v>0</v>
      </c>
      <c r="CR401">
        <f>Model!DG555</f>
        <v>0</v>
      </c>
      <c r="CS401">
        <f>Model!DH555</f>
        <v>0</v>
      </c>
      <c r="CT401">
        <f>Model!DI555</f>
        <v>0</v>
      </c>
      <c r="CU401">
        <f>Model!DJ555</f>
        <v>0</v>
      </c>
    </row>
    <row r="402" spans="1:99">
      <c r="A402" t="str">
        <f>Model!I556</f>
        <v>Debt repayment / issuance</v>
      </c>
      <c r="B402">
        <f>Model!J556</f>
        <v>0</v>
      </c>
      <c r="C402">
        <f>Model!K556</f>
        <v>0</v>
      </c>
      <c r="D402">
        <f>Model!L556</f>
        <v>0</v>
      </c>
      <c r="E402">
        <f>Model!M556</f>
        <v>0</v>
      </c>
      <c r="F402">
        <f>Model!N556</f>
        <v>0</v>
      </c>
      <c r="G402">
        <f>Model!O556</f>
        <v>0</v>
      </c>
      <c r="H402">
        <f>Model!P556</f>
        <v>0</v>
      </c>
      <c r="I402">
        <f>Model!Q556</f>
        <v>0</v>
      </c>
      <c r="J402">
        <f>Model!R556</f>
        <v>0</v>
      </c>
      <c r="K402">
        <f>Model!S556</f>
        <v>0</v>
      </c>
      <c r="L402">
        <f>Model!T556</f>
        <v>0</v>
      </c>
      <c r="M402">
        <f>Model!U556</f>
        <v>0</v>
      </c>
      <c r="N402">
        <f>Model!V556</f>
        <v>0</v>
      </c>
      <c r="O402">
        <f>Model!W556</f>
        <v>0</v>
      </c>
      <c r="P402">
        <f>Model!X556</f>
        <v>0</v>
      </c>
      <c r="Q402">
        <f>Model!Y556</f>
        <v>0</v>
      </c>
      <c r="R402">
        <f>Model!Z556</f>
        <v>0</v>
      </c>
      <c r="S402">
        <f>Model!AA556</f>
        <v>0</v>
      </c>
      <c r="T402">
        <f>Model!AB556</f>
        <v>0</v>
      </c>
      <c r="U402">
        <f>Model!AC556</f>
        <v>0</v>
      </c>
      <c r="V402">
        <f>Model!AD556</f>
        <v>0</v>
      </c>
      <c r="W402">
        <f>Model!AE556</f>
        <v>0</v>
      </c>
      <c r="X402">
        <f>Model!AF556</f>
        <v>0</v>
      </c>
      <c r="Y402">
        <f>Model!AG556</f>
        <v>0</v>
      </c>
      <c r="Z402">
        <f>Model!AH556</f>
        <v>0</v>
      </c>
      <c r="AA402">
        <f>Model!AI556</f>
        <v>0</v>
      </c>
      <c r="AB402">
        <f>Model!AJ556</f>
        <v>0</v>
      </c>
      <c r="AC402">
        <f>Model!AK556</f>
        <v>0</v>
      </c>
      <c r="AD402">
        <f>Model!AL556</f>
        <v>0</v>
      </c>
      <c r="AE402">
        <f>Model!AM556</f>
        <v>0</v>
      </c>
      <c r="AF402">
        <f>Model!AN556</f>
        <v>0</v>
      </c>
      <c r="AG402">
        <f>Model!AO556</f>
        <v>0</v>
      </c>
      <c r="AH402">
        <f>Model!AP556</f>
        <v>0</v>
      </c>
      <c r="AI402">
        <f>Model!AQ556</f>
        <v>0</v>
      </c>
      <c r="AJ402">
        <f>Model!AR556</f>
        <v>0</v>
      </c>
      <c r="AK402">
        <f>Model!AS556</f>
        <v>0</v>
      </c>
      <c r="AL402">
        <f>Model!AT556</f>
        <v>0</v>
      </c>
      <c r="AM402">
        <f>Model!AU556</f>
        <v>0</v>
      </c>
      <c r="AN402">
        <f>Model!AV556</f>
        <v>0</v>
      </c>
      <c r="AO402">
        <f>Model!AW556</f>
        <v>0</v>
      </c>
      <c r="AP402">
        <f>Model!AX556</f>
        <v>0</v>
      </c>
      <c r="AQ402">
        <f>Model!AY556</f>
        <v>0</v>
      </c>
      <c r="AR402">
        <f>Model!AZ556</f>
        <v>0</v>
      </c>
      <c r="AS402">
        <f>Model!BA556</f>
        <v>0</v>
      </c>
      <c r="AT402">
        <f>Model!BB556</f>
        <v>0</v>
      </c>
      <c r="AU402">
        <f>Model!BC556</f>
        <v>0</v>
      </c>
      <c r="AV402">
        <f>Model!BD556</f>
        <v>0</v>
      </c>
      <c r="AW402">
        <f>Model!BE556</f>
        <v>0</v>
      </c>
      <c r="AX402">
        <f>Model!BF556</f>
        <v>0</v>
      </c>
      <c r="AY402">
        <f>Model!BG556</f>
        <v>0</v>
      </c>
      <c r="AZ402">
        <f>Model!BH556</f>
        <v>0</v>
      </c>
      <c r="BA402">
        <f>Model!BI556</f>
        <v>0</v>
      </c>
      <c r="BB402">
        <f>Model!BJ556</f>
        <v>979.971</v>
      </c>
      <c r="BC402">
        <f>Model!BK556</f>
        <v>-0.88900000000000001</v>
      </c>
      <c r="BD402">
        <f>Model!BL556</f>
        <v>-414.66900000000004</v>
      </c>
      <c r="BE402">
        <f>Model!BM556</f>
        <v>-58.448999999999998</v>
      </c>
      <c r="BF402">
        <f>Model!BN556</f>
        <v>-59.381</v>
      </c>
      <c r="BG402">
        <f>Model!BO556</f>
        <v>2261.8810000000003</v>
      </c>
      <c r="BH402">
        <f>Model!BP556</f>
        <v>-4.4339999999999975</v>
      </c>
      <c r="BI402">
        <f>Model!BQ556</f>
        <v>1464.258</v>
      </c>
      <c r="BJ402">
        <f>Model!BR556</f>
        <v>-5.2080000000000002</v>
      </c>
      <c r="BK402">
        <f>Model!BS556</f>
        <v>-0.23499999999999943</v>
      </c>
      <c r="BL402">
        <f>Model!BT556</f>
        <v>788.58500000000004</v>
      </c>
      <c r="BM402">
        <f>Model!BU556</f>
        <v>2.5</v>
      </c>
      <c r="BN402">
        <f>Model!BV556</f>
        <v>992.20500000000004</v>
      </c>
      <c r="BO402">
        <f>Model!BW556</f>
        <v>0</v>
      </c>
      <c r="BP402">
        <f>Model!BX556</f>
        <v>0</v>
      </c>
      <c r="BQ402">
        <f>Model!BY556</f>
        <v>1051.7180000000001</v>
      </c>
      <c r="BR402">
        <f>Model!BZ556</f>
        <v>-83.468999999999994</v>
      </c>
      <c r="BS402">
        <f>Model!CA556</f>
        <v>-1072.942</v>
      </c>
      <c r="BT402">
        <f>Model!CB556</f>
        <v>1863.9269999999999</v>
      </c>
      <c r="BU402">
        <f>Model!CC556</f>
        <v>-1414</v>
      </c>
      <c r="BV402">
        <f>Model!CD556</f>
        <v>0</v>
      </c>
      <c r="BW402">
        <f>Model!CE556</f>
        <v>0</v>
      </c>
      <c r="BX402">
        <f>Model!CF556</f>
        <v>0</v>
      </c>
      <c r="BY402">
        <f>Model!CG556</f>
        <v>0</v>
      </c>
      <c r="BZ402">
        <f>Model!CH556</f>
        <v>0</v>
      </c>
      <c r="CA402">
        <f>Model!CI556</f>
        <v>0</v>
      </c>
      <c r="CB402">
        <f>Model!CJ556</f>
        <v>0</v>
      </c>
      <c r="CC402">
        <f>Model!CK556</f>
        <v>0</v>
      </c>
      <c r="CD402">
        <f>Model!CL556</f>
        <v>0</v>
      </c>
      <c r="CE402">
        <f>Model!CM556</f>
        <v>0</v>
      </c>
      <c r="CF402">
        <f>Model!CN556</f>
        <v>0</v>
      </c>
      <c r="CG402">
        <f>Model!CO556</f>
        <v>0</v>
      </c>
      <c r="CH402">
        <f>Model!CP556</f>
        <v>0</v>
      </c>
      <c r="CI402">
        <f>Model!CQ556</f>
        <v>266.26500000000004</v>
      </c>
      <c r="CJ402">
        <f>Model!CR556</f>
        <v>-0.21299999999999999</v>
      </c>
      <c r="CK402">
        <f>Model!CS556</f>
        <v>979.08299999999997</v>
      </c>
      <c r="CL402">
        <f>Model!CT556</f>
        <v>564.41300000000001</v>
      </c>
      <c r="CM402">
        <f>Model!CU556</f>
        <v>2139.6170000000002</v>
      </c>
      <c r="CN402">
        <f>Model!CV556</f>
        <v>2247.4</v>
      </c>
      <c r="CO402">
        <f>Model!CW556</f>
        <v>994.70500000000004</v>
      </c>
      <c r="CP402">
        <f>Model!CX556</f>
        <v>1759.2339999999999</v>
      </c>
      <c r="CQ402">
        <f>Model!CY556</f>
        <v>-1414</v>
      </c>
      <c r="CR402">
        <f>Model!DG556</f>
        <v>0</v>
      </c>
      <c r="CS402">
        <f>Model!DH556</f>
        <v>0</v>
      </c>
      <c r="CT402">
        <f>Model!DI556</f>
        <v>0</v>
      </c>
      <c r="CU402">
        <f>Model!DJ556</f>
        <v>0</v>
      </c>
    </row>
    <row r="403" spans="1:99">
      <c r="A403" t="str">
        <f>Model!I557</f>
        <v>Acquisitions / investments (net)</v>
      </c>
      <c r="B403">
        <f>Model!J557</f>
        <v>0</v>
      </c>
      <c r="C403">
        <f>Model!K557</f>
        <v>0</v>
      </c>
      <c r="D403">
        <f>Model!L557</f>
        <v>0</v>
      </c>
      <c r="E403">
        <f>Model!M557</f>
        <v>0</v>
      </c>
      <c r="F403">
        <f>Model!N557</f>
        <v>0</v>
      </c>
      <c r="G403">
        <f>Model!O557</f>
        <v>0</v>
      </c>
      <c r="H403">
        <f>Model!P557</f>
        <v>0</v>
      </c>
      <c r="I403">
        <f>Model!Q557</f>
        <v>0</v>
      </c>
      <c r="J403">
        <f>Model!R557</f>
        <v>0</v>
      </c>
      <c r="K403">
        <f>Model!S557</f>
        <v>0</v>
      </c>
      <c r="L403">
        <f>Model!T557</f>
        <v>0</v>
      </c>
      <c r="M403">
        <f>Model!U557</f>
        <v>0</v>
      </c>
      <c r="N403">
        <f>Model!V557</f>
        <v>0</v>
      </c>
      <c r="O403">
        <f>Model!W557</f>
        <v>0</v>
      </c>
      <c r="P403">
        <f>Model!X557</f>
        <v>0</v>
      </c>
      <c r="Q403">
        <f>Model!Y557</f>
        <v>0</v>
      </c>
      <c r="R403">
        <f>Model!Z557</f>
        <v>0</v>
      </c>
      <c r="S403">
        <f>Model!AA557</f>
        <v>0</v>
      </c>
      <c r="T403">
        <f>Model!AB557</f>
        <v>0</v>
      </c>
      <c r="U403">
        <f>Model!AC557</f>
        <v>0</v>
      </c>
      <c r="V403">
        <f>Model!AD557</f>
        <v>0</v>
      </c>
      <c r="W403">
        <f>Model!AE557</f>
        <v>0</v>
      </c>
      <c r="X403">
        <f>Model!AF557</f>
        <v>0</v>
      </c>
      <c r="Y403">
        <f>Model!AG557</f>
        <v>0</v>
      </c>
      <c r="Z403">
        <f>Model!AH557</f>
        <v>0</v>
      </c>
      <c r="AA403">
        <f>Model!AI557</f>
        <v>0</v>
      </c>
      <c r="AB403">
        <f>Model!AJ557</f>
        <v>0</v>
      </c>
      <c r="AC403">
        <f>Model!AK557</f>
        <v>0</v>
      </c>
      <c r="AD403">
        <f>Model!AL557</f>
        <v>0</v>
      </c>
      <c r="AE403">
        <f>Model!AM557</f>
        <v>0</v>
      </c>
      <c r="AF403">
        <f>Model!AN557</f>
        <v>0</v>
      </c>
      <c r="AG403">
        <f>Model!AO557</f>
        <v>0</v>
      </c>
      <c r="AH403">
        <f>Model!AP557</f>
        <v>0</v>
      </c>
      <c r="AI403">
        <f>Model!AQ557</f>
        <v>0</v>
      </c>
      <c r="AJ403">
        <f>Model!AR557</f>
        <v>0</v>
      </c>
      <c r="AK403">
        <f>Model!AS557</f>
        <v>0</v>
      </c>
      <c r="AL403">
        <f>Model!AT557</f>
        <v>0</v>
      </c>
      <c r="AM403">
        <f>Model!AU557</f>
        <v>0</v>
      </c>
      <c r="AN403">
        <f>Model!AV557</f>
        <v>0</v>
      </c>
      <c r="AO403">
        <f>Model!AW557</f>
        <v>0</v>
      </c>
      <c r="AP403">
        <f>Model!AX557</f>
        <v>0</v>
      </c>
      <c r="AQ403">
        <f>Model!AY557</f>
        <v>0</v>
      </c>
      <c r="AR403">
        <f>Model!AZ557</f>
        <v>0</v>
      </c>
      <c r="AS403">
        <f>Model!BA557</f>
        <v>0</v>
      </c>
      <c r="AT403">
        <f>Model!BB557</f>
        <v>0</v>
      </c>
      <c r="AU403">
        <f>Model!BC557</f>
        <v>0</v>
      </c>
      <c r="AV403">
        <f>Model!BD557</f>
        <v>0</v>
      </c>
      <c r="AW403">
        <f>Model!BE557</f>
        <v>0</v>
      </c>
      <c r="AX403">
        <f>Model!BF557</f>
        <v>0</v>
      </c>
      <c r="AY403">
        <f>Model!BG557</f>
        <v>0</v>
      </c>
      <c r="AZ403">
        <f>Model!BH557</f>
        <v>0</v>
      </c>
      <c r="BA403">
        <f>Model!BI557</f>
        <v>-17.168999999999958</v>
      </c>
      <c r="BB403">
        <f>Model!BJ557</f>
        <v>921.9219999999998</v>
      </c>
      <c r="BC403">
        <f>Model!BK557</f>
        <v>1185.3969999999995</v>
      </c>
      <c r="BD403">
        <f>Model!BL557</f>
        <v>-93.715000000000515</v>
      </c>
      <c r="BE403">
        <f>Model!BM557</f>
        <v>-37.332999999999892</v>
      </c>
      <c r="BF403">
        <f>Model!BN557</f>
        <v>-1634.9949999999999</v>
      </c>
      <c r="BG403">
        <f>Model!BO557</f>
        <v>1793.0150000000003</v>
      </c>
      <c r="BH403">
        <f>Model!BP557</f>
        <v>2025.3929999999993</v>
      </c>
      <c r="BI403">
        <f>Model!BQ557</f>
        <v>1114.68</v>
      </c>
      <c r="BJ403">
        <f>Model!BR557</f>
        <v>1385.8379999999997</v>
      </c>
      <c r="BK403">
        <f>Model!BS557</f>
        <v>52.062000000000126</v>
      </c>
      <c r="BL403">
        <f>Model!BT557</f>
        <v>1173.2100000000009</v>
      </c>
      <c r="BM403">
        <f>Model!BU557</f>
        <v>-200.53500000000003</v>
      </c>
      <c r="BN403">
        <f>Model!BV557</f>
        <v>726.12399999999991</v>
      </c>
      <c r="BO403">
        <f>Model!BW557</f>
        <v>1508.883</v>
      </c>
      <c r="BP403">
        <f>Model!BX557</f>
        <v>1078.9340000000009</v>
      </c>
      <c r="BQ403">
        <f>Model!BY557</f>
        <v>822.25499999999988</v>
      </c>
      <c r="BR403">
        <f>Model!BZ557</f>
        <v>567.90199999999982</v>
      </c>
      <c r="BS403">
        <f>Model!CA557</f>
        <v>2029.2090000000012</v>
      </c>
      <c r="BT403">
        <f>Model!CB557</f>
        <v>494.86399999999929</v>
      </c>
      <c r="BU403">
        <f>Model!CC557</f>
        <v>0</v>
      </c>
      <c r="BV403">
        <f>Model!CD557</f>
        <v>0</v>
      </c>
      <c r="BW403">
        <f>Model!CE557</f>
        <v>0</v>
      </c>
      <c r="BX403">
        <f>Model!CF557</f>
        <v>0</v>
      </c>
      <c r="BY403">
        <f>Model!CG557</f>
        <v>0</v>
      </c>
      <c r="BZ403">
        <f>Model!CH557</f>
        <v>0</v>
      </c>
      <c r="CA403">
        <f>Model!CI557</f>
        <v>0</v>
      </c>
      <c r="CB403">
        <f>Model!CJ557</f>
        <v>0</v>
      </c>
      <c r="CC403">
        <f>Model!CK557</f>
        <v>0</v>
      </c>
      <c r="CD403">
        <f>Model!CL557</f>
        <v>0</v>
      </c>
      <c r="CE403">
        <f>Model!CM557</f>
        <v>0</v>
      </c>
      <c r="CF403">
        <f>Model!CN557</f>
        <v>0</v>
      </c>
      <c r="CG403">
        <f>Model!CO557</f>
        <v>0</v>
      </c>
      <c r="CH403">
        <f>Model!CP557</f>
        <v>0</v>
      </c>
      <c r="CI403">
        <f>Model!CQ557</f>
        <v>853.7679999999998</v>
      </c>
      <c r="CJ403">
        <f>Model!CR557</f>
        <v>844.02599999999984</v>
      </c>
      <c r="CK403">
        <f>Model!CS557</f>
        <v>1586.9439999999997</v>
      </c>
      <c r="CL403">
        <f>Model!CT557</f>
        <v>1996.4349999999999</v>
      </c>
      <c r="CM403">
        <f>Model!CU557</f>
        <v>2146.08</v>
      </c>
      <c r="CN403">
        <f>Model!CV557</f>
        <v>3725.7900000000004</v>
      </c>
      <c r="CO403">
        <f>Model!CW557</f>
        <v>3113.4059999999999</v>
      </c>
      <c r="CP403">
        <f>Model!CX557</f>
        <v>3914.2299999999996</v>
      </c>
      <c r="CQ403">
        <f>Model!CY557</f>
        <v>0</v>
      </c>
      <c r="CR403">
        <f>Model!DG557</f>
        <v>0</v>
      </c>
      <c r="CS403">
        <f>Model!DH557</f>
        <v>0</v>
      </c>
      <c r="CT403">
        <f>Model!DI557</f>
        <v>0</v>
      </c>
      <c r="CU403">
        <f>Model!DJ557</f>
        <v>0</v>
      </c>
    </row>
    <row r="404" spans="1:99">
      <c r="A404" t="str">
        <f>Model!I558</f>
        <v>Share repurchases</v>
      </c>
      <c r="B404">
        <f>Model!J558</f>
        <v>0</v>
      </c>
      <c r="C404">
        <f>Model!K558</f>
        <v>0</v>
      </c>
      <c r="D404">
        <f>Model!L558</f>
        <v>0</v>
      </c>
      <c r="E404">
        <f>Model!M558</f>
        <v>0</v>
      </c>
      <c r="F404">
        <f>Model!N558</f>
        <v>0</v>
      </c>
      <c r="G404">
        <f>Model!O558</f>
        <v>0</v>
      </c>
      <c r="H404">
        <f>Model!P558</f>
        <v>0</v>
      </c>
      <c r="I404">
        <f>Model!Q558</f>
        <v>0</v>
      </c>
      <c r="J404">
        <f>Model!R558</f>
        <v>0</v>
      </c>
      <c r="K404">
        <f>Model!S558</f>
        <v>0</v>
      </c>
      <c r="L404">
        <f>Model!T558</f>
        <v>0</v>
      </c>
      <c r="M404">
        <f>Model!U558</f>
        <v>0</v>
      </c>
      <c r="N404">
        <f>Model!V558</f>
        <v>0</v>
      </c>
      <c r="O404">
        <f>Model!W558</f>
        <v>0</v>
      </c>
      <c r="P404">
        <f>Model!X558</f>
        <v>0</v>
      </c>
      <c r="Q404">
        <f>Model!Y558</f>
        <v>0</v>
      </c>
      <c r="R404">
        <f>Model!Z558</f>
        <v>0</v>
      </c>
      <c r="S404">
        <f>Model!AA558</f>
        <v>0</v>
      </c>
      <c r="T404">
        <f>Model!AB558</f>
        <v>0</v>
      </c>
      <c r="U404">
        <f>Model!AC558</f>
        <v>0</v>
      </c>
      <c r="V404">
        <f>Model!AD558</f>
        <v>0</v>
      </c>
      <c r="W404">
        <f>Model!AE558</f>
        <v>0</v>
      </c>
      <c r="X404">
        <f>Model!AF558</f>
        <v>0</v>
      </c>
      <c r="Y404">
        <f>Model!AG558</f>
        <v>0</v>
      </c>
      <c r="Z404">
        <f>Model!AH558</f>
        <v>0</v>
      </c>
      <c r="AA404">
        <f>Model!AI558</f>
        <v>0</v>
      </c>
      <c r="AB404">
        <f>Model!AJ558</f>
        <v>0</v>
      </c>
      <c r="AC404">
        <f>Model!AK558</f>
        <v>0</v>
      </c>
      <c r="AD404">
        <f>Model!AL558</f>
        <v>0</v>
      </c>
      <c r="AE404">
        <f>Model!AM558</f>
        <v>0</v>
      </c>
      <c r="AF404">
        <f>Model!AN558</f>
        <v>0</v>
      </c>
      <c r="AG404">
        <f>Model!AO558</f>
        <v>0</v>
      </c>
      <c r="AH404">
        <f>Model!AP558</f>
        <v>0</v>
      </c>
      <c r="AI404">
        <f>Model!AQ558</f>
        <v>0</v>
      </c>
      <c r="AJ404">
        <f>Model!AR558</f>
        <v>0</v>
      </c>
      <c r="AK404">
        <f>Model!AS558</f>
        <v>0</v>
      </c>
      <c r="AL404">
        <f>Model!AT558</f>
        <v>0</v>
      </c>
      <c r="AM404">
        <f>Model!AU558</f>
        <v>0</v>
      </c>
      <c r="AN404">
        <f>Model!AV558</f>
        <v>0</v>
      </c>
      <c r="AO404">
        <f>Model!AW558</f>
        <v>0</v>
      </c>
      <c r="AP404">
        <f>Model!AX558</f>
        <v>0</v>
      </c>
      <c r="AQ404">
        <f>Model!AY558</f>
        <v>0</v>
      </c>
      <c r="AR404">
        <f>Model!AZ558</f>
        <v>0</v>
      </c>
      <c r="AS404">
        <f>Model!BA558</f>
        <v>0</v>
      </c>
      <c r="AT404">
        <f>Model!BB558</f>
        <v>0</v>
      </c>
      <c r="AU404">
        <f>Model!BC558</f>
        <v>0</v>
      </c>
      <c r="AV404">
        <f>Model!BD558</f>
        <v>0</v>
      </c>
      <c r="AW404">
        <f>Model!BE558</f>
        <v>0</v>
      </c>
      <c r="AX404">
        <f>Model!BF558</f>
        <v>0</v>
      </c>
      <c r="AY404">
        <f>Model!BG558</f>
        <v>0</v>
      </c>
      <c r="AZ404">
        <f>Model!BH558</f>
        <v>0</v>
      </c>
      <c r="BA404">
        <f>Model!BI558</f>
        <v>-76.38</v>
      </c>
      <c r="BB404">
        <f>Model!BJ558</f>
        <v>-346.90500000000003</v>
      </c>
      <c r="BC404">
        <f>Model!BK558</f>
        <v>-459.72300000000007</v>
      </c>
      <c r="BD404">
        <f>Model!BL558</f>
        <v>-0.50699999999989132</v>
      </c>
      <c r="BE404">
        <f>Model!BM558</f>
        <v>-96.66</v>
      </c>
      <c r="BF404">
        <f>Model!BN558</f>
        <v>-0.66599999999999682</v>
      </c>
      <c r="BG404">
        <f>Model!BO558</f>
        <v>-148.13</v>
      </c>
      <c r="BH404">
        <f>Model!BP558</f>
        <v>-504.92200000000014</v>
      </c>
      <c r="BI404">
        <f>Model!BQ558</f>
        <v>-308.61799999999999</v>
      </c>
      <c r="BJ404">
        <f>Model!BR558</f>
        <v>-677.96299999999997</v>
      </c>
      <c r="BK404">
        <f>Model!BS558</f>
        <v>-1280.8030000000001</v>
      </c>
      <c r="BL404">
        <f>Model!BT558</f>
        <v>-821.67099999999982</v>
      </c>
      <c r="BM404">
        <f>Model!BU558</f>
        <v>-259.36099999999999</v>
      </c>
      <c r="BN404">
        <f>Model!BV558</f>
        <v>-265.78300000000002</v>
      </c>
      <c r="BO404">
        <f>Model!BW558</f>
        <v>-232.33299999999997</v>
      </c>
      <c r="BP404">
        <f>Model!BX558</f>
        <v>-256.04899999999998</v>
      </c>
      <c r="BQ404">
        <f>Model!BY558</f>
        <v>-209.797</v>
      </c>
      <c r="BR404">
        <f>Model!BZ558</f>
        <v>-345.45299999999997</v>
      </c>
      <c r="BS404">
        <f>Model!CA558</f>
        <v>-567.85200000000009</v>
      </c>
      <c r="BT404">
        <f>Model!CB558</f>
        <v>-704.81700000000001</v>
      </c>
      <c r="BU404">
        <f>Model!CC558</f>
        <v>-625</v>
      </c>
      <c r="BV404">
        <f>Model!CD558</f>
        <v>-625</v>
      </c>
      <c r="BW404">
        <f>Model!CE558</f>
        <v>-625</v>
      </c>
      <c r="BX404">
        <f>Model!CF558</f>
        <v>-625</v>
      </c>
      <c r="BY404">
        <f>Model!CG558</f>
        <v>0</v>
      </c>
      <c r="BZ404">
        <f>Model!CH558</f>
        <v>0</v>
      </c>
      <c r="CA404">
        <f>Model!CI558</f>
        <v>0</v>
      </c>
      <c r="CB404">
        <f>Model!CJ558</f>
        <v>0</v>
      </c>
      <c r="CC404">
        <f>Model!CK558</f>
        <v>0</v>
      </c>
      <c r="CD404">
        <f>Model!CL558</f>
        <v>0</v>
      </c>
      <c r="CE404">
        <f>Model!CM558</f>
        <v>0</v>
      </c>
      <c r="CF404">
        <f>Model!CN558</f>
        <v>0</v>
      </c>
      <c r="CG404">
        <f>Model!CO558</f>
        <v>0</v>
      </c>
      <c r="CH404">
        <f>Model!CP558</f>
        <v>0</v>
      </c>
      <c r="CI404">
        <f>Model!CQ558</f>
        <v>-129.44499999999999</v>
      </c>
      <c r="CJ404">
        <f>Model!CR558</f>
        <v>-163.17099999999999</v>
      </c>
      <c r="CK404">
        <f>Model!CS558</f>
        <v>-257.02100000000002</v>
      </c>
      <c r="CL404">
        <f>Model!CT558</f>
        <v>-883.51499999999987</v>
      </c>
      <c r="CM404">
        <f>Model!CU558</f>
        <v>-750.37800000000004</v>
      </c>
      <c r="CN404">
        <f>Model!CV558</f>
        <v>-3089.0549999999998</v>
      </c>
      <c r="CO404">
        <f>Model!CW558</f>
        <v>-1013.526</v>
      </c>
      <c r="CP404">
        <f>Model!CX558</f>
        <v>-1827.9190000000001</v>
      </c>
      <c r="CQ404">
        <f>Model!CY558</f>
        <v>-2500</v>
      </c>
      <c r="CR404">
        <f>Model!DG558</f>
        <v>0</v>
      </c>
      <c r="CS404">
        <f>Model!DH558</f>
        <v>0</v>
      </c>
      <c r="CT404">
        <f>Model!DI558</f>
        <v>0</v>
      </c>
      <c r="CU404">
        <f>Model!DJ558</f>
        <v>0</v>
      </c>
    </row>
    <row r="405" spans="1:99">
      <c r="A405" t="str">
        <f>Model!I559</f>
        <v>Excess free cash</v>
      </c>
      <c r="B405">
        <f>Model!J559</f>
        <v>0</v>
      </c>
      <c r="C405">
        <f>Model!K559</f>
        <v>0</v>
      </c>
      <c r="D405">
        <f>Model!L559</f>
        <v>0</v>
      </c>
      <c r="E405">
        <f>Model!M559</f>
        <v>0</v>
      </c>
      <c r="F405">
        <f>Model!N559</f>
        <v>0</v>
      </c>
      <c r="G405">
        <f>Model!O559</f>
        <v>0</v>
      </c>
      <c r="H405">
        <f>Model!P559</f>
        <v>0</v>
      </c>
      <c r="I405">
        <f>Model!Q559</f>
        <v>0</v>
      </c>
      <c r="J405">
        <f>Model!R559</f>
        <v>0</v>
      </c>
      <c r="K405">
        <f>Model!S559</f>
        <v>0</v>
      </c>
      <c r="L405">
        <f>Model!T559</f>
        <v>0</v>
      </c>
      <c r="M405">
        <f>Model!U559</f>
        <v>0</v>
      </c>
      <c r="N405">
        <f>Model!V559</f>
        <v>0</v>
      </c>
      <c r="O405">
        <f>Model!W559</f>
        <v>0</v>
      </c>
      <c r="P405">
        <f>Model!X559</f>
        <v>0</v>
      </c>
      <c r="Q405">
        <f>Model!Y559</f>
        <v>0</v>
      </c>
      <c r="R405">
        <f>Model!Z559</f>
        <v>0</v>
      </c>
      <c r="S405">
        <f>Model!AA559</f>
        <v>0</v>
      </c>
      <c r="T405">
        <f>Model!AB559</f>
        <v>0</v>
      </c>
      <c r="U405">
        <f>Model!AC559</f>
        <v>0</v>
      </c>
      <c r="V405">
        <f>Model!AD559</f>
        <v>0</v>
      </c>
      <c r="W405">
        <f>Model!AE559</f>
        <v>0</v>
      </c>
      <c r="X405">
        <f>Model!AF559</f>
        <v>0</v>
      </c>
      <c r="Y405">
        <f>Model!AG559</f>
        <v>0</v>
      </c>
      <c r="Z405">
        <f>Model!AH559</f>
        <v>0</v>
      </c>
      <c r="AA405">
        <f>Model!AI559</f>
        <v>0</v>
      </c>
      <c r="AB405">
        <f>Model!AJ559</f>
        <v>0</v>
      </c>
      <c r="AC405">
        <f>Model!AK559</f>
        <v>0</v>
      </c>
      <c r="AD405">
        <f>Model!AL559</f>
        <v>0</v>
      </c>
      <c r="AE405">
        <f>Model!AM559</f>
        <v>0</v>
      </c>
      <c r="AF405">
        <f>Model!AN559</f>
        <v>0</v>
      </c>
      <c r="AG405">
        <f>Model!AO559</f>
        <v>0</v>
      </c>
      <c r="AH405">
        <f>Model!AP559</f>
        <v>0</v>
      </c>
      <c r="AI405">
        <f>Model!AQ559</f>
        <v>0</v>
      </c>
      <c r="AJ405">
        <f>Model!AR559</f>
        <v>0</v>
      </c>
      <c r="AK405">
        <f>Model!AS559</f>
        <v>0</v>
      </c>
      <c r="AL405">
        <f>Model!AT559</f>
        <v>0</v>
      </c>
      <c r="AM405">
        <f>Model!AU559</f>
        <v>0</v>
      </c>
      <c r="AN405">
        <f>Model!AV559</f>
        <v>0</v>
      </c>
      <c r="AO405">
        <f>Model!AW559</f>
        <v>0</v>
      </c>
      <c r="AP405">
        <f>Model!AX559</f>
        <v>0</v>
      </c>
      <c r="AQ405">
        <f>Model!AY559</f>
        <v>0</v>
      </c>
      <c r="AR405">
        <f>Model!AZ559</f>
        <v>0</v>
      </c>
      <c r="AS405">
        <f>Model!BA559</f>
        <v>0</v>
      </c>
      <c r="AT405">
        <f>Model!BB559</f>
        <v>0</v>
      </c>
      <c r="AU405">
        <f>Model!BC559</f>
        <v>0</v>
      </c>
      <c r="AV405">
        <f>Model!BD559</f>
        <v>0</v>
      </c>
      <c r="AW405">
        <f>Model!BE559</f>
        <v>0</v>
      </c>
      <c r="AX405">
        <f>Model!BF559</f>
        <v>0</v>
      </c>
      <c r="AY405">
        <f>Model!BG559</f>
        <v>0</v>
      </c>
      <c r="AZ405">
        <f>Model!BH559</f>
        <v>0</v>
      </c>
      <c r="BA405">
        <f>Model!BI559</f>
        <v>52.808000000000106</v>
      </c>
      <c r="BB405">
        <f>Model!BJ559</f>
        <v>2092.2039999999997</v>
      </c>
      <c r="BC405">
        <f>Model!BK559</f>
        <v>1640.2209999999993</v>
      </c>
      <c r="BD405">
        <f>Model!BL559</f>
        <v>-31.43500000000023</v>
      </c>
      <c r="BE405">
        <f>Model!BM559</f>
        <v>-83.971999999999866</v>
      </c>
      <c r="BF405">
        <f>Model!BN559</f>
        <v>-1072.4839999999999</v>
      </c>
      <c r="BG405">
        <f>Model!BO559</f>
        <v>5124.0230000000001</v>
      </c>
      <c r="BH405">
        <f>Model!BP559</f>
        <v>2164.2199999999993</v>
      </c>
      <c r="BI405">
        <f>Model!BQ559</f>
        <v>2394.0320000000002</v>
      </c>
      <c r="BJ405">
        <f>Model!BR559</f>
        <v>1291.7909999999997</v>
      </c>
      <c r="BK405">
        <f>Model!BS559</f>
        <v>-19.736000000000104</v>
      </c>
      <c r="BL405">
        <f>Model!BT559</f>
        <v>1898.9690000000014</v>
      </c>
      <c r="BM405">
        <f>Model!BU559</f>
        <v>-232.3250000000001</v>
      </c>
      <c r="BN405">
        <f>Model!BV559</f>
        <v>2303.134</v>
      </c>
      <c r="BO405">
        <f>Model!BW559</f>
        <v>2675.9530000000004</v>
      </c>
      <c r="BP405">
        <f>Model!BX559</f>
        <v>1803.0570000000012</v>
      </c>
      <c r="BQ405">
        <f>Model!BY559</f>
        <v>1915.287</v>
      </c>
      <c r="BR405">
        <f>Model!BZ559</f>
        <v>1216.607</v>
      </c>
      <c r="BS405">
        <f>Model!CA559</f>
        <v>2132.1620000000012</v>
      </c>
      <c r="BT405">
        <f>Model!CB559</f>
        <v>2694.8099999999986</v>
      </c>
      <c r="BU405">
        <f>Model!CC559</f>
        <v>-2083.3314809379854</v>
      </c>
      <c r="BV405">
        <f>Model!CD559</f>
        <v>492.80214749575634</v>
      </c>
      <c r="BW405">
        <f>Model!CE559</f>
        <v>1180.0469793271345</v>
      </c>
      <c r="BX405">
        <f>Model!CF559</f>
        <v>771.97694279842904</v>
      </c>
      <c r="BY405">
        <f>Model!CG559</f>
        <v>0</v>
      </c>
      <c r="BZ405">
        <f>Model!CH559</f>
        <v>0</v>
      </c>
      <c r="CA405">
        <f>Model!CI559</f>
        <v>0</v>
      </c>
      <c r="CB405">
        <f>Model!CJ559</f>
        <v>0</v>
      </c>
      <c r="CC405">
        <f>Model!CK559</f>
        <v>0</v>
      </c>
      <c r="CD405">
        <f>Model!CL559</f>
        <v>0</v>
      </c>
      <c r="CE405">
        <f>Model!CM559</f>
        <v>0</v>
      </c>
      <c r="CF405">
        <f>Model!CN559</f>
        <v>0</v>
      </c>
      <c r="CG405">
        <f>Model!CO559</f>
        <v>0</v>
      </c>
      <c r="CH405">
        <f>Model!CP559</f>
        <v>0</v>
      </c>
      <c r="CI405">
        <f>Model!CQ559</f>
        <v>1722.2719</v>
      </c>
      <c r="CJ405">
        <f>Model!CR559</f>
        <v>2003.5630000000001</v>
      </c>
      <c r="CK405">
        <f>Model!CS559</f>
        <v>4078.3489999999993</v>
      </c>
      <c r="CL405">
        <f>Model!CT559</f>
        <v>3922.6880000000006</v>
      </c>
      <c r="CM405">
        <f>Model!CU559</f>
        <v>6394.7950000000001</v>
      </c>
      <c r="CN405">
        <f>Model!CV559</f>
        <v>5912.8860000000004</v>
      </c>
      <c r="CO405">
        <f>Model!CW559</f>
        <v>6989.5969999999998</v>
      </c>
      <c r="CP405">
        <f>Model!CX559</f>
        <v>8534.4760000000006</v>
      </c>
      <c r="CQ405">
        <f>Model!CY559</f>
        <v>1089.6372208055518</v>
      </c>
      <c r="CR405">
        <f>Model!DG559</f>
        <v>0</v>
      </c>
      <c r="CS405">
        <f>Model!DH559</f>
        <v>0</v>
      </c>
      <c r="CT405">
        <f>Model!DI559</f>
        <v>0</v>
      </c>
      <c r="CU405">
        <f>Model!DJ559</f>
        <v>0</v>
      </c>
    </row>
    <row r="406" spans="1:99">
      <c r="A406">
        <f>Model!I560</f>
        <v>0</v>
      </c>
      <c r="B406">
        <f>Model!J560</f>
        <v>0</v>
      </c>
      <c r="C406">
        <f>Model!K560</f>
        <v>0</v>
      </c>
      <c r="D406">
        <f>Model!L560</f>
        <v>0</v>
      </c>
      <c r="E406">
        <f>Model!M560</f>
        <v>0</v>
      </c>
      <c r="F406">
        <f>Model!N560</f>
        <v>0</v>
      </c>
      <c r="G406">
        <f>Model!O560</f>
        <v>0</v>
      </c>
      <c r="H406">
        <f>Model!P560</f>
        <v>0</v>
      </c>
      <c r="I406">
        <f>Model!Q560</f>
        <v>0</v>
      </c>
      <c r="J406">
        <f>Model!R560</f>
        <v>0</v>
      </c>
      <c r="K406">
        <f>Model!S560</f>
        <v>0</v>
      </c>
      <c r="L406">
        <f>Model!T560</f>
        <v>0</v>
      </c>
      <c r="M406">
        <f>Model!U560</f>
        <v>0</v>
      </c>
      <c r="N406">
        <f>Model!V560</f>
        <v>0</v>
      </c>
      <c r="O406">
        <f>Model!W560</f>
        <v>0</v>
      </c>
      <c r="P406">
        <f>Model!X560</f>
        <v>0</v>
      </c>
      <c r="Q406">
        <f>Model!Y560</f>
        <v>0</v>
      </c>
      <c r="R406">
        <f>Model!Z560</f>
        <v>0</v>
      </c>
      <c r="S406">
        <f>Model!AA560</f>
        <v>0</v>
      </c>
      <c r="T406">
        <f>Model!AB560</f>
        <v>0</v>
      </c>
      <c r="U406">
        <f>Model!AC560</f>
        <v>0</v>
      </c>
      <c r="V406">
        <f>Model!AD560</f>
        <v>0</v>
      </c>
      <c r="W406">
        <f>Model!AE560</f>
        <v>0</v>
      </c>
      <c r="X406">
        <f>Model!AF560</f>
        <v>0</v>
      </c>
      <c r="Y406">
        <f>Model!AG560</f>
        <v>0</v>
      </c>
      <c r="Z406">
        <f>Model!AH560</f>
        <v>0</v>
      </c>
      <c r="AA406">
        <f>Model!AI560</f>
        <v>0</v>
      </c>
      <c r="AB406">
        <f>Model!AJ560</f>
        <v>0</v>
      </c>
      <c r="AC406">
        <f>Model!AK560</f>
        <v>0</v>
      </c>
      <c r="AD406">
        <f>Model!AL560</f>
        <v>0</v>
      </c>
      <c r="AE406">
        <f>Model!AM560</f>
        <v>0</v>
      </c>
      <c r="AF406">
        <f>Model!AN560</f>
        <v>0</v>
      </c>
      <c r="AG406">
        <f>Model!AO560</f>
        <v>0</v>
      </c>
      <c r="AH406">
        <f>Model!AP560</f>
        <v>0</v>
      </c>
      <c r="AI406">
        <f>Model!AQ560</f>
        <v>0</v>
      </c>
      <c r="AJ406">
        <f>Model!AR560</f>
        <v>0</v>
      </c>
      <c r="AK406">
        <f>Model!AS560</f>
        <v>0</v>
      </c>
      <c r="AL406">
        <f>Model!AT560</f>
        <v>0</v>
      </c>
      <c r="AM406">
        <f>Model!AU560</f>
        <v>0</v>
      </c>
      <c r="AN406">
        <f>Model!AV560</f>
        <v>0</v>
      </c>
      <c r="AO406">
        <f>Model!AW560</f>
        <v>0</v>
      </c>
      <c r="AP406">
        <f>Model!AX560</f>
        <v>0</v>
      </c>
      <c r="AQ406">
        <f>Model!AY560</f>
        <v>0</v>
      </c>
      <c r="AR406">
        <f>Model!AZ560</f>
        <v>0</v>
      </c>
      <c r="AS406">
        <f>Model!BA560</f>
        <v>0</v>
      </c>
      <c r="AT406">
        <f>Model!BB560</f>
        <v>0</v>
      </c>
      <c r="AU406">
        <f>Model!BC560</f>
        <v>0</v>
      </c>
      <c r="AV406">
        <f>Model!BD560</f>
        <v>0</v>
      </c>
      <c r="AW406">
        <f>Model!BE560</f>
        <v>0</v>
      </c>
      <c r="AX406">
        <f>Model!BF560</f>
        <v>0</v>
      </c>
      <c r="AY406">
        <f>Model!BG560</f>
        <v>0</v>
      </c>
      <c r="AZ406">
        <f>Model!BH560</f>
        <v>0</v>
      </c>
      <c r="BA406">
        <f>Model!BI560</f>
        <v>0</v>
      </c>
      <c r="BB406">
        <f>Model!BJ560</f>
        <v>0</v>
      </c>
      <c r="BC406">
        <f>Model!BK560</f>
        <v>0</v>
      </c>
      <c r="BD406">
        <f>Model!BL560</f>
        <v>0</v>
      </c>
      <c r="BE406">
        <f>Model!BM560</f>
        <v>0</v>
      </c>
      <c r="BF406">
        <f>Model!BN560</f>
        <v>0</v>
      </c>
      <c r="BG406">
        <f>Model!BO560</f>
        <v>0</v>
      </c>
      <c r="BH406">
        <f>Model!BP560</f>
        <v>0</v>
      </c>
      <c r="BI406">
        <f>Model!BQ560</f>
        <v>0</v>
      </c>
      <c r="BJ406">
        <f>Model!BR560</f>
        <v>0</v>
      </c>
      <c r="BK406">
        <f>Model!BS560</f>
        <v>0</v>
      </c>
      <c r="BL406">
        <f>Model!BT560</f>
        <v>0</v>
      </c>
      <c r="BM406">
        <f>Model!BU560</f>
        <v>0</v>
      </c>
      <c r="BN406">
        <f>Model!BV560</f>
        <v>0</v>
      </c>
      <c r="BO406">
        <f>Model!BW560</f>
        <v>0</v>
      </c>
      <c r="BP406">
        <f>Model!BX560</f>
        <v>0</v>
      </c>
      <c r="BQ406">
        <f>Model!BY560</f>
        <v>0</v>
      </c>
      <c r="BR406">
        <f>Model!BZ560</f>
        <v>0</v>
      </c>
      <c r="BS406">
        <f>Model!CA560</f>
        <v>0</v>
      </c>
      <c r="BT406">
        <f>Model!CB560</f>
        <v>0</v>
      </c>
      <c r="BU406">
        <f>Model!CC560</f>
        <v>0</v>
      </c>
      <c r="BV406">
        <f>Model!CD560</f>
        <v>0</v>
      </c>
      <c r="BW406">
        <f>Model!CE560</f>
        <v>0</v>
      </c>
      <c r="BX406">
        <f>Model!CF560</f>
        <v>0</v>
      </c>
      <c r="BY406">
        <f>Model!CG560</f>
        <v>0</v>
      </c>
      <c r="BZ406">
        <f>Model!CH560</f>
        <v>0</v>
      </c>
      <c r="CA406">
        <f>Model!CI560</f>
        <v>0</v>
      </c>
      <c r="CB406">
        <f>Model!CJ560</f>
        <v>0</v>
      </c>
      <c r="CC406">
        <f>Model!CK560</f>
        <v>0</v>
      </c>
      <c r="CD406">
        <f>Model!CL560</f>
        <v>0</v>
      </c>
      <c r="CE406">
        <f>Model!CM560</f>
        <v>0</v>
      </c>
      <c r="CF406">
        <f>Model!CN560</f>
        <v>0</v>
      </c>
      <c r="CG406">
        <f>Model!CO560</f>
        <v>0</v>
      </c>
      <c r="CH406">
        <f>Model!CP560</f>
        <v>0</v>
      </c>
      <c r="CI406">
        <f>Model!CQ560</f>
        <v>0</v>
      </c>
      <c r="CJ406">
        <f>Model!CR560</f>
        <v>0</v>
      </c>
      <c r="CK406">
        <f>Model!CS560</f>
        <v>0</v>
      </c>
      <c r="CL406">
        <f>Model!CT560</f>
        <v>0</v>
      </c>
      <c r="CM406">
        <f>Model!CU560</f>
        <v>0</v>
      </c>
      <c r="CN406">
        <f>Model!CV560</f>
        <v>0</v>
      </c>
      <c r="CO406">
        <f>Model!CW560</f>
        <v>0</v>
      </c>
      <c r="CP406">
        <f>Model!CX560</f>
        <v>0</v>
      </c>
      <c r="CQ406">
        <f>Model!CY560</f>
        <v>0</v>
      </c>
      <c r="CR406">
        <f>Model!DG560</f>
        <v>0</v>
      </c>
      <c r="CS406">
        <f>Model!DH560</f>
        <v>0</v>
      </c>
      <c r="CT406">
        <f>Model!DI560</f>
        <v>0</v>
      </c>
      <c r="CU406">
        <f>Model!DJ560</f>
        <v>0</v>
      </c>
    </row>
    <row r="407" spans="1:99">
      <c r="A407" t="str">
        <f>Model!I561</f>
        <v>Working capital</v>
      </c>
      <c r="B407">
        <f>Model!J561</f>
        <v>0</v>
      </c>
      <c r="C407">
        <f>Model!K561</f>
        <v>0</v>
      </c>
      <c r="D407">
        <f>Model!L561</f>
        <v>0</v>
      </c>
      <c r="E407">
        <f>Model!M561</f>
        <v>0</v>
      </c>
      <c r="F407">
        <f>Model!N561</f>
        <v>0</v>
      </c>
      <c r="G407">
        <f>Model!O561</f>
        <v>0</v>
      </c>
      <c r="H407">
        <f>Model!P561</f>
        <v>0</v>
      </c>
      <c r="I407">
        <f>Model!Q561</f>
        <v>0</v>
      </c>
      <c r="J407">
        <f>Model!R561</f>
        <v>0</v>
      </c>
      <c r="K407">
        <f>Model!S561</f>
        <v>0</v>
      </c>
      <c r="L407">
        <f>Model!T561</f>
        <v>0</v>
      </c>
      <c r="M407">
        <f>Model!U561</f>
        <v>0</v>
      </c>
      <c r="N407">
        <f>Model!V561</f>
        <v>0</v>
      </c>
      <c r="O407">
        <f>Model!W561</f>
        <v>0</v>
      </c>
      <c r="P407">
        <f>Model!X561</f>
        <v>0</v>
      </c>
      <c r="Q407">
        <f>Model!Y561</f>
        <v>0</v>
      </c>
      <c r="R407">
        <f>Model!Z561</f>
        <v>0</v>
      </c>
      <c r="S407">
        <f>Model!AA561</f>
        <v>0</v>
      </c>
      <c r="T407">
        <f>Model!AB561</f>
        <v>0</v>
      </c>
      <c r="U407">
        <f>Model!AC561</f>
        <v>0</v>
      </c>
      <c r="V407">
        <f>Model!AD561</f>
        <v>0</v>
      </c>
      <c r="W407">
        <f>Model!AE561</f>
        <v>0</v>
      </c>
      <c r="X407">
        <f>Model!AF561</f>
        <v>0</v>
      </c>
      <c r="Y407">
        <f>Model!AG561</f>
        <v>0</v>
      </c>
      <c r="Z407">
        <f>Model!AH561</f>
        <v>0</v>
      </c>
      <c r="AA407">
        <f>Model!AI561</f>
        <v>0</v>
      </c>
      <c r="AB407">
        <f>Model!AJ561</f>
        <v>0</v>
      </c>
      <c r="AC407">
        <f>Model!AK561</f>
        <v>0</v>
      </c>
      <c r="AD407">
        <f>Model!AL561</f>
        <v>0</v>
      </c>
      <c r="AE407">
        <f>Model!AM561</f>
        <v>0</v>
      </c>
      <c r="AF407">
        <f>Model!AN561</f>
        <v>0</v>
      </c>
      <c r="AG407">
        <f>Model!AO561</f>
        <v>0</v>
      </c>
      <c r="AH407">
        <f>Model!AP561</f>
        <v>0</v>
      </c>
      <c r="AI407">
        <f>Model!AQ561</f>
        <v>0</v>
      </c>
      <c r="AJ407">
        <f>Model!AR561</f>
        <v>0</v>
      </c>
      <c r="AK407">
        <f>Model!AS561</f>
        <v>0</v>
      </c>
      <c r="AL407">
        <f>Model!AT561</f>
        <v>0</v>
      </c>
      <c r="AM407">
        <f>Model!AU561</f>
        <v>0</v>
      </c>
      <c r="AN407">
        <f>Model!AV561</f>
        <v>0</v>
      </c>
      <c r="AO407">
        <f>Model!AW561</f>
        <v>0</v>
      </c>
      <c r="AP407">
        <f>Model!AX561</f>
        <v>0</v>
      </c>
      <c r="AQ407">
        <f>Model!AY561</f>
        <v>0</v>
      </c>
      <c r="AR407">
        <f>Model!AZ561</f>
        <v>0</v>
      </c>
      <c r="AS407">
        <f>Model!BA561</f>
        <v>0</v>
      </c>
      <c r="AT407">
        <f>Model!BB561</f>
        <v>0</v>
      </c>
      <c r="AU407">
        <f>Model!BC561</f>
        <v>0</v>
      </c>
      <c r="AV407">
        <f>Model!BD561</f>
        <v>0</v>
      </c>
      <c r="AW407">
        <f>Model!BE561</f>
        <v>0</v>
      </c>
      <c r="AX407">
        <f>Model!BF561</f>
        <v>0</v>
      </c>
      <c r="AY407">
        <f>Model!BG561</f>
        <v>0</v>
      </c>
      <c r="AZ407">
        <f>Model!BH561</f>
        <v>0</v>
      </c>
      <c r="BA407">
        <f>Model!BI561</f>
        <v>4425.1130000000003</v>
      </c>
      <c r="BB407">
        <f>Model!BJ561</f>
        <v>5154.7129999999997</v>
      </c>
      <c r="BC407">
        <f>Model!BK561</f>
        <v>5663.2030000000004</v>
      </c>
      <c r="BD407">
        <f>Model!BL561</f>
        <v>6099.1959999999999</v>
      </c>
      <c r="BE407">
        <f>Model!BM561</f>
        <v>6424.9510000000009</v>
      </c>
      <c r="BF407">
        <f>Model!BN561</f>
        <v>7001.5140000000001</v>
      </c>
      <c r="BG407">
        <f>Model!BO561</f>
        <v>5714.7199999999993</v>
      </c>
      <c r="BH407">
        <f>Model!BP561</f>
        <v>3887.3829999999998</v>
      </c>
      <c r="BI407">
        <f>Model!BQ561</f>
        <v>4264.2469999999994</v>
      </c>
      <c r="BJ407">
        <f>Model!BR561</f>
        <v>2762.3370000000004</v>
      </c>
      <c r="BK407">
        <f>Model!BS561</f>
        <v>2716.1500000000005</v>
      </c>
      <c r="BL407">
        <f>Model!BT561</f>
        <v>2113.9270000000001</v>
      </c>
      <c r="BM407">
        <f>Model!BU561</f>
        <v>2877.1889999999999</v>
      </c>
      <c r="BN407">
        <f>Model!BV561</f>
        <v>3704.8160000000007</v>
      </c>
      <c r="BO407">
        <f>Model!BW561</f>
        <v>2927.6060000000002</v>
      </c>
      <c r="BP407">
        <f>Model!BX561</f>
        <v>2542.8490000000002</v>
      </c>
      <c r="BQ407">
        <f>Model!BY561</f>
        <v>3739.683</v>
      </c>
      <c r="BR407">
        <f>Model!BZ561</f>
        <v>4515.6149999999998</v>
      </c>
      <c r="BS407">
        <f>Model!CA561</f>
        <v>5500.3200000000015</v>
      </c>
      <c r="BT407">
        <f>Model!CB561</f>
        <v>5536.9369999999981</v>
      </c>
      <c r="BU407">
        <f>Model!CC561</f>
        <v>4016.7437030576634</v>
      </c>
      <c r="BV407">
        <f>Model!CD561</f>
        <v>4274.634760164774</v>
      </c>
      <c r="BW407">
        <f>Model!CE561</f>
        <v>5644.5520332515589</v>
      </c>
      <c r="BX407">
        <f>Model!CF561</f>
        <v>6060.4463360879654</v>
      </c>
      <c r="BY407">
        <f>Model!CG561</f>
        <v>0</v>
      </c>
      <c r="BZ407">
        <f>Model!CH561</f>
        <v>0</v>
      </c>
      <c r="CA407">
        <f>Model!CI561</f>
        <v>0</v>
      </c>
      <c r="CB407">
        <f>Model!CJ561</f>
        <v>0</v>
      </c>
      <c r="CC407">
        <f>Model!CK561</f>
        <v>0</v>
      </c>
      <c r="CD407">
        <f>Model!CL561</f>
        <v>0</v>
      </c>
      <c r="CE407">
        <f>Model!CM561</f>
        <v>0</v>
      </c>
      <c r="CF407">
        <f>Model!CN561</f>
        <v>0</v>
      </c>
      <c r="CG407">
        <f>Model!CO561</f>
        <v>0</v>
      </c>
      <c r="CH407">
        <f>Model!CP561</f>
        <v>0</v>
      </c>
      <c r="CI407">
        <f>Model!CQ561</f>
        <v>1486.2959999999998</v>
      </c>
      <c r="CJ407">
        <f>Model!CR561</f>
        <v>1961.046</v>
      </c>
      <c r="CK407">
        <f>Model!CS561</f>
        <v>4220.6490000000003</v>
      </c>
      <c r="CL407">
        <f>Model!CT561</f>
        <v>6099.1959999999999</v>
      </c>
      <c r="CM407">
        <f>Model!CU561</f>
        <v>3887.3829999999998</v>
      </c>
      <c r="CN407">
        <f>Model!CV561</f>
        <v>2113.9270000000001</v>
      </c>
      <c r="CO407">
        <f>Model!CW561</f>
        <v>2542.8489999999993</v>
      </c>
      <c r="CP407">
        <f>Model!CX561</f>
        <v>5536.9369999999981</v>
      </c>
      <c r="CQ407">
        <f>Model!CY561</f>
        <v>6060.4463360879636</v>
      </c>
      <c r="CR407">
        <f>Model!DG561</f>
        <v>0</v>
      </c>
      <c r="CS407">
        <f>Model!DH561</f>
        <v>0</v>
      </c>
      <c r="CT407">
        <f>Model!DI561</f>
        <v>0</v>
      </c>
      <c r="CU407">
        <f>Model!DJ561</f>
        <v>0</v>
      </c>
    </row>
    <row r="408" spans="1:99">
      <c r="A408" t="str">
        <f>Model!I562</f>
        <v>% of revenue</v>
      </c>
      <c r="B408">
        <f>Model!J562</f>
        <v>0</v>
      </c>
      <c r="C408">
        <f>Model!K562</f>
        <v>0</v>
      </c>
      <c r="D408">
        <f>Model!L562</f>
        <v>0</v>
      </c>
      <c r="E408">
        <f>Model!M562</f>
        <v>0</v>
      </c>
      <c r="F408">
        <f>Model!N562</f>
        <v>0</v>
      </c>
      <c r="G408">
        <f>Model!O562</f>
        <v>0</v>
      </c>
      <c r="H408">
        <f>Model!P562</f>
        <v>0</v>
      </c>
      <c r="I408">
        <f>Model!Q562</f>
        <v>0</v>
      </c>
      <c r="J408">
        <f>Model!R562</f>
        <v>0</v>
      </c>
      <c r="K408">
        <f>Model!S562</f>
        <v>0</v>
      </c>
      <c r="L408">
        <f>Model!T562</f>
        <v>0</v>
      </c>
      <c r="M408">
        <f>Model!U562</f>
        <v>0</v>
      </c>
      <c r="N408">
        <f>Model!V562</f>
        <v>0</v>
      </c>
      <c r="O408">
        <f>Model!W562</f>
        <v>0</v>
      </c>
      <c r="P408">
        <f>Model!X562</f>
        <v>0</v>
      </c>
      <c r="Q408">
        <f>Model!Y562</f>
        <v>0</v>
      </c>
      <c r="R408">
        <f>Model!Z562</f>
        <v>0</v>
      </c>
      <c r="S408">
        <f>Model!AA562</f>
        <v>0</v>
      </c>
      <c r="T408">
        <f>Model!AB562</f>
        <v>0</v>
      </c>
      <c r="U408">
        <f>Model!AC562</f>
        <v>0</v>
      </c>
      <c r="V408">
        <f>Model!AD562</f>
        <v>0</v>
      </c>
      <c r="W408">
        <f>Model!AE562</f>
        <v>0</v>
      </c>
      <c r="X408">
        <f>Model!AF562</f>
        <v>0</v>
      </c>
      <c r="Y408">
        <f>Model!AG562</f>
        <v>0</v>
      </c>
      <c r="Z408">
        <f>Model!AH562</f>
        <v>0</v>
      </c>
      <c r="AA408">
        <f>Model!AI562</f>
        <v>0</v>
      </c>
      <c r="AB408">
        <f>Model!AJ562</f>
        <v>0</v>
      </c>
      <c r="AC408">
        <f>Model!AK562</f>
        <v>0</v>
      </c>
      <c r="AD408">
        <f>Model!AL562</f>
        <v>0</v>
      </c>
      <c r="AE408">
        <f>Model!AM562</f>
        <v>0</v>
      </c>
      <c r="AF408">
        <f>Model!AN562</f>
        <v>0</v>
      </c>
      <c r="AG408">
        <f>Model!AO562</f>
        <v>0</v>
      </c>
      <c r="AH408">
        <f>Model!AP562</f>
        <v>0</v>
      </c>
      <c r="AI408">
        <f>Model!AQ562</f>
        <v>0</v>
      </c>
      <c r="AJ408">
        <f>Model!AR562</f>
        <v>0</v>
      </c>
      <c r="AK408">
        <f>Model!AS562</f>
        <v>0</v>
      </c>
      <c r="AL408">
        <f>Model!AT562</f>
        <v>0</v>
      </c>
      <c r="AM408">
        <f>Model!AU562</f>
        <v>0</v>
      </c>
      <c r="AN408">
        <f>Model!AV562</f>
        <v>0</v>
      </c>
      <c r="AO408">
        <f>Model!AW562</f>
        <v>0</v>
      </c>
      <c r="AP408">
        <f>Model!AX562</f>
        <v>0</v>
      </c>
      <c r="AQ408">
        <f>Model!AY562</f>
        <v>0</v>
      </c>
      <c r="AR408">
        <f>Model!AZ562</f>
        <v>0</v>
      </c>
      <c r="AS408">
        <f>Model!BA562</f>
        <v>0</v>
      </c>
      <c r="AT408">
        <f>Model!BB562</f>
        <v>0</v>
      </c>
      <c r="AU408">
        <f>Model!BC562</f>
        <v>0</v>
      </c>
      <c r="AV408">
        <f>Model!BD562</f>
        <v>0</v>
      </c>
      <c r="AW408">
        <f>Model!BE562</f>
        <v>0</v>
      </c>
      <c r="AX408">
        <f>Model!BF562</f>
        <v>0</v>
      </c>
      <c r="AY408">
        <f>Model!BG562</f>
        <v>0</v>
      </c>
      <c r="AZ408">
        <f>Model!BH562</f>
        <v>0</v>
      </c>
      <c r="BA408">
        <f>Model!BI562</f>
        <v>3.3986729769003667</v>
      </c>
      <c r="BB408">
        <f>Model!BJ562</f>
        <v>3.0678469359697846</v>
      </c>
      <c r="BC408">
        <f>Model!BK562</f>
        <v>2.4949096943790114</v>
      </c>
      <c r="BD408">
        <f>Model!BL562</f>
        <v>3.9575538574041644</v>
      </c>
      <c r="BE408">
        <f>Model!BM562</f>
        <v>3.9133531327163693</v>
      </c>
      <c r="BF408">
        <f>Model!BN562</f>
        <v>3.2970410746029692</v>
      </c>
      <c r="BG408">
        <f>Model!BO562</f>
        <v>2.0147103980719878</v>
      </c>
      <c r="BH408">
        <f>Model!BP562</f>
        <v>2.11259678158271</v>
      </c>
      <c r="BI408">
        <f>Model!BQ562</f>
        <v>2.3166517628677004</v>
      </c>
      <c r="BJ408">
        <f>Model!BR562</f>
        <v>1.2113403937998517</v>
      </c>
      <c r="BK408">
        <f>Model!BS562</f>
        <v>0.87535825345378426</v>
      </c>
      <c r="BL408">
        <f>Model!BT562</f>
        <v>1.056966142415356</v>
      </c>
      <c r="BM408">
        <f>Model!BU562</f>
        <v>1.3393992604692757</v>
      </c>
      <c r="BN408">
        <f>Model!BV562</f>
        <v>1.4495141050008962</v>
      </c>
      <c r="BO408">
        <f>Model!BW562</f>
        <v>0.79327049178551068</v>
      </c>
      <c r="BP408">
        <f>Model!BX562</f>
        <v>1.0827854147850928</v>
      </c>
      <c r="BQ408">
        <f>Model!BY562</f>
        <v>1.5457042312900202</v>
      </c>
      <c r="BR408">
        <f>Model!BZ562</f>
        <v>1.4929844248213622</v>
      </c>
      <c r="BS408">
        <f>Model!CA562</f>
        <v>1.2404790315985759</v>
      </c>
      <c r="BT408">
        <f>Model!CB562</f>
        <v>1.975295503930836</v>
      </c>
      <c r="BU408">
        <f>Model!CC562</f>
        <v>1.3734965487630193</v>
      </c>
      <c r="BV408">
        <f>Model!CD562</f>
        <v>1.1607037239941558</v>
      </c>
      <c r="BW408">
        <f>Model!CE562</f>
        <v>1.0953514232073389</v>
      </c>
      <c r="BX408">
        <f>Model!CF562</f>
        <v>1.7260079700585593</v>
      </c>
      <c r="BY408">
        <f>Model!CG562</f>
        <v>0</v>
      </c>
      <c r="BZ408">
        <f>Model!CH562</f>
        <v>0</v>
      </c>
      <c r="CA408">
        <f>Model!CI562</f>
        <v>0</v>
      </c>
      <c r="CB408">
        <f>Model!CJ562</f>
        <v>0</v>
      </c>
      <c r="CC408">
        <f>Model!CK562</f>
        <v>0</v>
      </c>
      <c r="CD408">
        <f>Model!CL562</f>
        <v>0</v>
      </c>
      <c r="CE408">
        <f>Model!CM562</f>
        <v>0</v>
      </c>
      <c r="CF408">
        <f>Model!CN562</f>
        <v>0</v>
      </c>
      <c r="CG408">
        <f>Model!CO562</f>
        <v>0</v>
      </c>
      <c r="CH408">
        <f>Model!CP562</f>
        <v>0</v>
      </c>
      <c r="CI408">
        <f>Model!CQ562</f>
        <v>0.48106296980069962</v>
      </c>
      <c r="CJ408">
        <f>Model!CR562</f>
        <v>0.45023452512966033</v>
      </c>
      <c r="CK408">
        <f>Model!CS562</f>
        <v>0.80225894305141487</v>
      </c>
      <c r="CL408">
        <f>Model!CT562</f>
        <v>0.89782441715418082</v>
      </c>
      <c r="CM408">
        <f>Model!CU562</f>
        <v>0.46048286590892107</v>
      </c>
      <c r="CN408">
        <f>Model!CV562</f>
        <v>0.22917714433032049</v>
      </c>
      <c r="CO408">
        <f>Model!CW562</f>
        <v>0.23669808990146698</v>
      </c>
      <c r="CP408">
        <f>Model!CX562</f>
        <v>0.43662969768667986</v>
      </c>
      <c r="CQ408">
        <f>Model!CY562</f>
        <v>0.39684162378797272</v>
      </c>
      <c r="CR408">
        <f>Model!DG562</f>
        <v>0</v>
      </c>
      <c r="CS408">
        <f>Model!DH562</f>
        <v>0</v>
      </c>
      <c r="CT408">
        <f>Model!DI562</f>
        <v>0</v>
      </c>
      <c r="CU408">
        <f>Model!DJ562</f>
        <v>0</v>
      </c>
    </row>
    <row r="409" spans="1:99">
      <c r="A409">
        <f>Model!I563</f>
        <v>0</v>
      </c>
      <c r="B409">
        <f>Model!J563</f>
        <v>0</v>
      </c>
      <c r="C409">
        <f>Model!K563</f>
        <v>0</v>
      </c>
      <c r="D409">
        <f>Model!L563</f>
        <v>0</v>
      </c>
      <c r="E409">
        <f>Model!M563</f>
        <v>0</v>
      </c>
      <c r="F409">
        <f>Model!N563</f>
        <v>0</v>
      </c>
      <c r="G409">
        <f>Model!O563</f>
        <v>0</v>
      </c>
      <c r="H409">
        <f>Model!P563</f>
        <v>0</v>
      </c>
      <c r="I409">
        <f>Model!Q563</f>
        <v>0</v>
      </c>
      <c r="J409">
        <f>Model!R563</f>
        <v>0</v>
      </c>
      <c r="K409">
        <f>Model!S563</f>
        <v>0</v>
      </c>
      <c r="L409">
        <f>Model!T563</f>
        <v>0</v>
      </c>
      <c r="M409">
        <f>Model!U563</f>
        <v>0</v>
      </c>
      <c r="N409">
        <f>Model!V563</f>
        <v>0</v>
      </c>
      <c r="O409">
        <f>Model!W563</f>
        <v>0</v>
      </c>
      <c r="P409">
        <f>Model!X563</f>
        <v>0</v>
      </c>
      <c r="Q409">
        <f>Model!Y563</f>
        <v>0</v>
      </c>
      <c r="R409">
        <f>Model!Z563</f>
        <v>0</v>
      </c>
      <c r="S409">
        <f>Model!AA563</f>
        <v>0</v>
      </c>
      <c r="T409">
        <f>Model!AB563</f>
        <v>0</v>
      </c>
      <c r="U409">
        <f>Model!AC563</f>
        <v>0</v>
      </c>
      <c r="V409">
        <f>Model!AD563</f>
        <v>0</v>
      </c>
      <c r="W409">
        <f>Model!AE563</f>
        <v>0</v>
      </c>
      <c r="X409">
        <f>Model!AF563</f>
        <v>0</v>
      </c>
      <c r="Y409">
        <f>Model!AG563</f>
        <v>0</v>
      </c>
      <c r="Z409">
        <f>Model!AH563</f>
        <v>0</v>
      </c>
      <c r="AA409">
        <f>Model!AI563</f>
        <v>0</v>
      </c>
      <c r="AB409">
        <f>Model!AJ563</f>
        <v>0</v>
      </c>
      <c r="AC409">
        <f>Model!AK563</f>
        <v>0</v>
      </c>
      <c r="AD409">
        <f>Model!AL563</f>
        <v>0</v>
      </c>
      <c r="AE409">
        <f>Model!AM563</f>
        <v>0</v>
      </c>
      <c r="AF409">
        <f>Model!AN563</f>
        <v>0</v>
      </c>
      <c r="AG409">
        <f>Model!AO563</f>
        <v>0</v>
      </c>
      <c r="AH409">
        <f>Model!AP563</f>
        <v>0</v>
      </c>
      <c r="AI409">
        <f>Model!AQ563</f>
        <v>0</v>
      </c>
      <c r="AJ409">
        <f>Model!AR563</f>
        <v>0</v>
      </c>
      <c r="AK409">
        <f>Model!AS563</f>
        <v>0</v>
      </c>
      <c r="AL409">
        <f>Model!AT563</f>
        <v>0</v>
      </c>
      <c r="AM409">
        <f>Model!AU563</f>
        <v>0</v>
      </c>
      <c r="AN409">
        <f>Model!AV563</f>
        <v>0</v>
      </c>
      <c r="AO409">
        <f>Model!AW563</f>
        <v>0</v>
      </c>
      <c r="AP409">
        <f>Model!AX563</f>
        <v>0</v>
      </c>
      <c r="AQ409">
        <f>Model!AY563</f>
        <v>0</v>
      </c>
      <c r="AR409">
        <f>Model!AZ563</f>
        <v>0</v>
      </c>
      <c r="AS409">
        <f>Model!BA563</f>
        <v>0</v>
      </c>
      <c r="AT409">
        <f>Model!BB563</f>
        <v>0</v>
      </c>
      <c r="AU409">
        <f>Model!BC563</f>
        <v>0</v>
      </c>
      <c r="AV409">
        <f>Model!BD563</f>
        <v>0</v>
      </c>
      <c r="AW409">
        <f>Model!BE563</f>
        <v>0</v>
      </c>
      <c r="AX409">
        <f>Model!BF563</f>
        <v>0</v>
      </c>
      <c r="AY409">
        <f>Model!BG563</f>
        <v>0</v>
      </c>
      <c r="AZ409">
        <f>Model!BH563</f>
        <v>0</v>
      </c>
      <c r="BA409">
        <f>Model!BI563</f>
        <v>0</v>
      </c>
      <c r="BB409">
        <f>Model!BJ563</f>
        <v>0</v>
      </c>
      <c r="BC409">
        <f>Model!BK563</f>
        <v>0</v>
      </c>
      <c r="BD409">
        <f>Model!BL563</f>
        <v>0</v>
      </c>
      <c r="BE409">
        <f>Model!BM563</f>
        <v>0</v>
      </c>
      <c r="BF409">
        <f>Model!BN563</f>
        <v>0</v>
      </c>
      <c r="BG409">
        <f>Model!BO563</f>
        <v>0</v>
      </c>
      <c r="BH409">
        <f>Model!BP563</f>
        <v>0</v>
      </c>
      <c r="BI409">
        <f>Model!BQ563</f>
        <v>0</v>
      </c>
      <c r="BJ409">
        <f>Model!BR563</f>
        <v>0</v>
      </c>
      <c r="BK409">
        <f>Model!BS563</f>
        <v>0</v>
      </c>
      <c r="BL409">
        <f>Model!BT563</f>
        <v>0</v>
      </c>
      <c r="BM409">
        <f>Model!BU563</f>
        <v>0</v>
      </c>
      <c r="BN409">
        <f>Model!BV563</f>
        <v>0</v>
      </c>
      <c r="BO409">
        <f>Model!BW563</f>
        <v>0</v>
      </c>
      <c r="BP409">
        <f>Model!BX563</f>
        <v>0</v>
      </c>
      <c r="BQ409">
        <f>Model!BY563</f>
        <v>0</v>
      </c>
      <c r="BR409">
        <f>Model!BZ563</f>
        <v>0</v>
      </c>
      <c r="BS409">
        <f>Model!CA563</f>
        <v>0</v>
      </c>
      <c r="BT409">
        <f>Model!CB563</f>
        <v>0</v>
      </c>
      <c r="BU409">
        <f>Model!CC563</f>
        <v>0</v>
      </c>
      <c r="BV409">
        <f>Model!CD563</f>
        <v>0</v>
      </c>
      <c r="BW409">
        <f>Model!CE563</f>
        <v>0</v>
      </c>
      <c r="BX409">
        <f>Model!CF563</f>
        <v>0</v>
      </c>
      <c r="BY409">
        <f>Model!CG563</f>
        <v>0</v>
      </c>
      <c r="BZ409">
        <f>Model!CH563</f>
        <v>0</v>
      </c>
      <c r="CA409">
        <f>Model!CI563</f>
        <v>0</v>
      </c>
      <c r="CB409">
        <f>Model!CJ563</f>
        <v>0</v>
      </c>
      <c r="CC409">
        <f>Model!CK563</f>
        <v>0</v>
      </c>
      <c r="CD409">
        <f>Model!CL563</f>
        <v>0</v>
      </c>
      <c r="CE409">
        <f>Model!CM563</f>
        <v>0</v>
      </c>
      <c r="CF409">
        <f>Model!CN563</f>
        <v>0</v>
      </c>
      <c r="CG409">
        <f>Model!CO563</f>
        <v>0</v>
      </c>
      <c r="CH409">
        <f>Model!CP563</f>
        <v>0</v>
      </c>
      <c r="CI409">
        <f>Model!CQ563</f>
        <v>0</v>
      </c>
      <c r="CJ409">
        <f>Model!CR563</f>
        <v>0</v>
      </c>
      <c r="CK409">
        <f>Model!CS563</f>
        <v>0</v>
      </c>
      <c r="CL409">
        <f>Model!CT563</f>
        <v>0</v>
      </c>
      <c r="CM409">
        <f>Model!CU563</f>
        <v>0</v>
      </c>
      <c r="CN409">
        <f>Model!CV563</f>
        <v>0</v>
      </c>
      <c r="CO409">
        <f>Model!CW563</f>
        <v>0</v>
      </c>
      <c r="CP409">
        <f>Model!CX563</f>
        <v>0</v>
      </c>
      <c r="CQ409">
        <f>Model!CY563</f>
        <v>0</v>
      </c>
      <c r="CR409">
        <f>Model!DG563</f>
        <v>0</v>
      </c>
      <c r="CS409">
        <f>Model!DH563</f>
        <v>0</v>
      </c>
      <c r="CT409">
        <f>Model!DI563</f>
        <v>0</v>
      </c>
      <c r="CU409">
        <f>Model!DJ563</f>
        <v>0</v>
      </c>
    </row>
    <row r="410" spans="1:99">
      <c r="A410">
        <f>Model!I564</f>
        <v>0</v>
      </c>
      <c r="B410">
        <f>Model!J564</f>
        <v>0</v>
      </c>
      <c r="C410">
        <f>Model!K564</f>
        <v>0</v>
      </c>
      <c r="D410">
        <f>Model!L564</f>
        <v>0</v>
      </c>
      <c r="E410">
        <f>Model!M564</f>
        <v>0</v>
      </c>
      <c r="F410">
        <f>Model!N564</f>
        <v>0</v>
      </c>
      <c r="G410">
        <f>Model!O564</f>
        <v>0</v>
      </c>
      <c r="H410">
        <f>Model!P564</f>
        <v>0</v>
      </c>
      <c r="I410">
        <f>Model!Q564</f>
        <v>0</v>
      </c>
      <c r="J410">
        <f>Model!R564</f>
        <v>0</v>
      </c>
      <c r="K410">
        <f>Model!S564</f>
        <v>0</v>
      </c>
      <c r="L410">
        <f>Model!T564</f>
        <v>0</v>
      </c>
      <c r="M410">
        <f>Model!U564</f>
        <v>0</v>
      </c>
      <c r="N410">
        <f>Model!V564</f>
        <v>0</v>
      </c>
      <c r="O410">
        <f>Model!W564</f>
        <v>0</v>
      </c>
      <c r="P410">
        <f>Model!X564</f>
        <v>0</v>
      </c>
      <c r="Q410">
        <f>Model!Y564</f>
        <v>0</v>
      </c>
      <c r="R410">
        <f>Model!Z564</f>
        <v>0</v>
      </c>
      <c r="S410">
        <f>Model!AA564</f>
        <v>0</v>
      </c>
      <c r="T410">
        <f>Model!AB564</f>
        <v>0</v>
      </c>
      <c r="U410">
        <f>Model!AC564</f>
        <v>0</v>
      </c>
      <c r="V410">
        <f>Model!AD564</f>
        <v>0</v>
      </c>
      <c r="W410">
        <f>Model!AE564</f>
        <v>0</v>
      </c>
      <c r="X410">
        <f>Model!AF564</f>
        <v>0</v>
      </c>
      <c r="Y410">
        <f>Model!AG564</f>
        <v>0</v>
      </c>
      <c r="Z410">
        <f>Model!AH564</f>
        <v>0</v>
      </c>
      <c r="AA410">
        <f>Model!AI564</f>
        <v>0</v>
      </c>
      <c r="AB410">
        <f>Model!AJ564</f>
        <v>0</v>
      </c>
      <c r="AC410">
        <f>Model!AK564</f>
        <v>0</v>
      </c>
      <c r="AD410">
        <f>Model!AL564</f>
        <v>0</v>
      </c>
      <c r="AE410">
        <f>Model!AM564</f>
        <v>0</v>
      </c>
      <c r="AF410">
        <f>Model!AN564</f>
        <v>0</v>
      </c>
      <c r="AG410">
        <f>Model!AO564</f>
        <v>0</v>
      </c>
      <c r="AH410">
        <f>Model!AP564</f>
        <v>0</v>
      </c>
      <c r="AI410">
        <f>Model!AQ564</f>
        <v>0</v>
      </c>
      <c r="AJ410">
        <f>Model!AR564</f>
        <v>0</v>
      </c>
      <c r="AK410">
        <f>Model!AS564</f>
        <v>0</v>
      </c>
      <c r="AL410">
        <f>Model!AT564</f>
        <v>0</v>
      </c>
      <c r="AM410">
        <f>Model!AU564</f>
        <v>0</v>
      </c>
      <c r="AN410">
        <f>Model!AV564</f>
        <v>0</v>
      </c>
      <c r="AO410">
        <f>Model!AW564</f>
        <v>0</v>
      </c>
      <c r="AP410">
        <f>Model!AX564</f>
        <v>0</v>
      </c>
      <c r="AQ410">
        <f>Model!AY564</f>
        <v>0</v>
      </c>
      <c r="AR410">
        <f>Model!AZ564</f>
        <v>0</v>
      </c>
      <c r="AS410">
        <f>Model!BA564</f>
        <v>0</v>
      </c>
      <c r="AT410">
        <f>Model!BB564</f>
        <v>0</v>
      </c>
      <c r="AU410">
        <f>Model!BC564</f>
        <v>0</v>
      </c>
      <c r="AV410">
        <f>Model!BD564</f>
        <v>0</v>
      </c>
      <c r="AW410">
        <f>Model!BE564</f>
        <v>0</v>
      </c>
      <c r="AX410">
        <f>Model!BF564</f>
        <v>0</v>
      </c>
      <c r="AY410">
        <f>Model!BG564</f>
        <v>0</v>
      </c>
      <c r="AZ410">
        <f>Model!BH564</f>
        <v>0</v>
      </c>
      <c r="BA410">
        <f>Model!BI564</f>
        <v>0</v>
      </c>
      <c r="BB410">
        <f>Model!BJ564</f>
        <v>0</v>
      </c>
      <c r="BC410">
        <f>Model!BK564</f>
        <v>0</v>
      </c>
      <c r="BD410">
        <f>Model!BL564</f>
        <v>0</v>
      </c>
      <c r="BE410">
        <f>Model!BM564</f>
        <v>0</v>
      </c>
      <c r="BF410">
        <f>Model!BN564</f>
        <v>0</v>
      </c>
      <c r="BG410">
        <f>Model!BO564</f>
        <v>0</v>
      </c>
      <c r="BH410">
        <f>Model!BP564</f>
        <v>0</v>
      </c>
      <c r="BI410">
        <f>Model!BQ564</f>
        <v>0</v>
      </c>
      <c r="BJ410">
        <f>Model!BR564</f>
        <v>0</v>
      </c>
      <c r="BK410">
        <f>Model!BS564</f>
        <v>0</v>
      </c>
      <c r="BL410">
        <f>Model!BT564</f>
        <v>0</v>
      </c>
      <c r="BM410">
        <f>Model!BU564</f>
        <v>0</v>
      </c>
      <c r="BN410">
        <f>Model!BV564</f>
        <v>0</v>
      </c>
      <c r="BO410">
        <f>Model!BW564</f>
        <v>0</v>
      </c>
      <c r="BP410">
        <f>Model!BX564</f>
        <v>0</v>
      </c>
      <c r="BQ410">
        <f>Model!BY564</f>
        <v>0</v>
      </c>
      <c r="BR410">
        <f>Model!BZ564</f>
        <v>0</v>
      </c>
      <c r="BS410">
        <f>Model!CA564</f>
        <v>0</v>
      </c>
      <c r="BT410">
        <f>Model!CB564</f>
        <v>0</v>
      </c>
      <c r="BU410">
        <f>Model!CC564</f>
        <v>0</v>
      </c>
      <c r="BV410">
        <f>Model!CD564</f>
        <v>0</v>
      </c>
      <c r="BW410">
        <f>Model!CE564</f>
        <v>0</v>
      </c>
      <c r="BX410">
        <f>Model!CF564</f>
        <v>0</v>
      </c>
      <c r="BY410">
        <f>Model!CG564</f>
        <v>0</v>
      </c>
      <c r="BZ410">
        <f>Model!CH564</f>
        <v>0</v>
      </c>
      <c r="CA410">
        <f>Model!CI564</f>
        <v>0</v>
      </c>
      <c r="CB410">
        <f>Model!CJ564</f>
        <v>0</v>
      </c>
      <c r="CC410">
        <f>Model!CK564</f>
        <v>0</v>
      </c>
      <c r="CD410">
        <f>Model!CL564</f>
        <v>0</v>
      </c>
      <c r="CE410">
        <f>Model!CM564</f>
        <v>0</v>
      </c>
      <c r="CF410">
        <f>Model!CN564</f>
        <v>0</v>
      </c>
      <c r="CG410">
        <f>Model!CO564</f>
        <v>0</v>
      </c>
      <c r="CH410">
        <f>Model!CP564</f>
        <v>0</v>
      </c>
      <c r="CI410">
        <f>Model!CQ564</f>
        <v>0</v>
      </c>
      <c r="CJ410">
        <f>Model!CR564</f>
        <v>0</v>
      </c>
      <c r="CK410">
        <f>Model!CS564</f>
        <v>0</v>
      </c>
      <c r="CL410">
        <f>Model!CT564</f>
        <v>0</v>
      </c>
      <c r="CM410">
        <f>Model!CU564</f>
        <v>0</v>
      </c>
      <c r="CN410">
        <f>Model!CV564</f>
        <v>0</v>
      </c>
      <c r="CO410">
        <f>Model!CW564</f>
        <v>0</v>
      </c>
      <c r="CP410">
        <f>Model!CX564</f>
        <v>0</v>
      </c>
      <c r="CQ410">
        <f>Model!CY564</f>
        <v>0</v>
      </c>
      <c r="CR410">
        <f>Model!DG564</f>
        <v>0</v>
      </c>
      <c r="CS410">
        <f>Model!DH564</f>
        <v>0</v>
      </c>
      <c r="CT410">
        <f>Model!DI564</f>
        <v>0</v>
      </c>
      <c r="CU410">
        <f>Model!DJ564</f>
        <v>0</v>
      </c>
    </row>
    <row r="411" spans="1:99">
      <c r="A411" t="str">
        <f>Model!I565</f>
        <v>Return on invested capital</v>
      </c>
      <c r="B411">
        <f>Model!J565</f>
        <v>0</v>
      </c>
      <c r="C411">
        <f>Model!K565</f>
        <v>0</v>
      </c>
      <c r="D411">
        <f>Model!L565</f>
        <v>0</v>
      </c>
      <c r="E411">
        <f>Model!M565</f>
        <v>0</v>
      </c>
      <c r="F411">
        <f>Model!N565</f>
        <v>0</v>
      </c>
      <c r="G411">
        <f>Model!O565</f>
        <v>0</v>
      </c>
      <c r="H411">
        <f>Model!P565</f>
        <v>0</v>
      </c>
      <c r="I411">
        <f>Model!Q565</f>
        <v>0</v>
      </c>
      <c r="J411">
        <f>Model!R565</f>
        <v>0</v>
      </c>
      <c r="K411">
        <f>Model!S565</f>
        <v>0</v>
      </c>
      <c r="L411">
        <f>Model!T565</f>
        <v>0</v>
      </c>
      <c r="M411">
        <f>Model!U565</f>
        <v>0</v>
      </c>
      <c r="N411">
        <f>Model!V565</f>
        <v>0</v>
      </c>
      <c r="O411">
        <f>Model!W565</f>
        <v>0</v>
      </c>
      <c r="P411">
        <f>Model!X565</f>
        <v>0</v>
      </c>
      <c r="Q411">
        <f>Model!Y565</f>
        <v>0</v>
      </c>
      <c r="R411">
        <f>Model!Z565</f>
        <v>0</v>
      </c>
      <c r="S411">
        <f>Model!AA565</f>
        <v>0</v>
      </c>
      <c r="T411">
        <f>Model!AB565</f>
        <v>0</v>
      </c>
      <c r="U411">
        <f>Model!AC565</f>
        <v>0</v>
      </c>
      <c r="V411">
        <f>Model!AD565</f>
        <v>0</v>
      </c>
      <c r="W411">
        <f>Model!AE565</f>
        <v>0</v>
      </c>
      <c r="X411">
        <f>Model!AF565</f>
        <v>0</v>
      </c>
      <c r="Y411">
        <f>Model!AG565</f>
        <v>0</v>
      </c>
      <c r="Z411">
        <f>Model!AH565</f>
        <v>0</v>
      </c>
      <c r="AA411">
        <f>Model!AI565</f>
        <v>0</v>
      </c>
      <c r="AB411">
        <f>Model!AJ565</f>
        <v>0</v>
      </c>
      <c r="AC411">
        <f>Model!AK565</f>
        <v>0</v>
      </c>
      <c r="AD411">
        <f>Model!AL565</f>
        <v>0</v>
      </c>
      <c r="AE411">
        <f>Model!AM565</f>
        <v>0</v>
      </c>
      <c r="AF411">
        <f>Model!AN565</f>
        <v>0</v>
      </c>
      <c r="AG411">
        <f>Model!AO565</f>
        <v>0</v>
      </c>
      <c r="AH411">
        <f>Model!AP565</f>
        <v>0</v>
      </c>
      <c r="AI411">
        <f>Model!AQ565</f>
        <v>0</v>
      </c>
      <c r="AJ411">
        <f>Model!AR565</f>
        <v>0</v>
      </c>
      <c r="AK411">
        <f>Model!AS565</f>
        <v>0</v>
      </c>
      <c r="AL411">
        <f>Model!AT565</f>
        <v>0</v>
      </c>
      <c r="AM411">
        <f>Model!AU565</f>
        <v>0</v>
      </c>
      <c r="AN411">
        <f>Model!AV565</f>
        <v>0</v>
      </c>
      <c r="AO411">
        <f>Model!AW565</f>
        <v>0</v>
      </c>
      <c r="AP411">
        <f>Model!AX565</f>
        <v>0</v>
      </c>
      <c r="AQ411">
        <f>Model!AY565</f>
        <v>0</v>
      </c>
      <c r="AR411">
        <f>Model!AZ565</f>
        <v>0</v>
      </c>
      <c r="AS411">
        <f>Model!BA565</f>
        <v>0</v>
      </c>
      <c r="AT411">
        <f>Model!BB565</f>
        <v>0</v>
      </c>
      <c r="AU411">
        <f>Model!BC565</f>
        <v>0</v>
      </c>
      <c r="AV411">
        <f>Model!BD565</f>
        <v>0</v>
      </c>
      <c r="AW411">
        <f>Model!BE565</f>
        <v>0</v>
      </c>
      <c r="AX411">
        <f>Model!BF565</f>
        <v>0</v>
      </c>
      <c r="AY411">
        <f>Model!BG565</f>
        <v>0</v>
      </c>
      <c r="AZ411">
        <f>Model!BH565</f>
        <v>0</v>
      </c>
      <c r="BA411">
        <f>Model!BI565</f>
        <v>0</v>
      </c>
      <c r="BB411">
        <f>Model!BJ565</f>
        <v>0</v>
      </c>
      <c r="BC411">
        <f>Model!BK565</f>
        <v>0</v>
      </c>
      <c r="BD411">
        <f>Model!BL565</f>
        <v>0</v>
      </c>
      <c r="BE411">
        <f>Model!BM565</f>
        <v>0</v>
      </c>
      <c r="BF411">
        <f>Model!BN565</f>
        <v>0</v>
      </c>
      <c r="BG411">
        <f>Model!BO565</f>
        <v>0</v>
      </c>
      <c r="BH411">
        <f>Model!BP565</f>
        <v>0</v>
      </c>
      <c r="BI411">
        <f>Model!BQ565</f>
        <v>0</v>
      </c>
      <c r="BJ411">
        <f>Model!BR565</f>
        <v>0</v>
      </c>
      <c r="BK411">
        <f>Model!BS565</f>
        <v>0</v>
      </c>
      <c r="BL411">
        <f>Model!BT565</f>
        <v>0</v>
      </c>
      <c r="BM411">
        <f>Model!BU565</f>
        <v>0</v>
      </c>
      <c r="BN411">
        <f>Model!BV565</f>
        <v>0</v>
      </c>
      <c r="BO411">
        <f>Model!BW565</f>
        <v>0</v>
      </c>
      <c r="BP411">
        <f>Model!BX565</f>
        <v>0</v>
      </c>
      <c r="BQ411">
        <f>Model!BY565</f>
        <v>0</v>
      </c>
      <c r="BR411">
        <f>Model!BZ565</f>
        <v>0</v>
      </c>
      <c r="BS411">
        <f>Model!CA565</f>
        <v>0</v>
      </c>
      <c r="BT411">
        <f>Model!CB565</f>
        <v>0</v>
      </c>
      <c r="BU411">
        <f>Model!CC565</f>
        <v>0</v>
      </c>
      <c r="BV411">
        <f>Model!CD565</f>
        <v>0</v>
      </c>
      <c r="BW411">
        <f>Model!CE565</f>
        <v>0</v>
      </c>
      <c r="BX411">
        <f>Model!CF565</f>
        <v>0</v>
      </c>
      <c r="BY411">
        <f>Model!CG565</f>
        <v>0</v>
      </c>
      <c r="BZ411">
        <f>Model!CH565</f>
        <v>0</v>
      </c>
      <c r="CA411">
        <f>Model!CI565</f>
        <v>0</v>
      </c>
      <c r="CB411">
        <f>Model!CJ565</f>
        <v>0</v>
      </c>
      <c r="CC411">
        <f>Model!CK565</f>
        <v>0</v>
      </c>
      <c r="CD411">
        <f>Model!CL565</f>
        <v>0</v>
      </c>
      <c r="CE411">
        <f>Model!CM565</f>
        <v>0</v>
      </c>
      <c r="CF411">
        <f>Model!CN565</f>
        <v>0</v>
      </c>
      <c r="CG411">
        <f>Model!CO565</f>
        <v>0</v>
      </c>
      <c r="CH411">
        <f>Model!CP565</f>
        <v>0</v>
      </c>
      <c r="CI411">
        <f>Model!CQ565</f>
        <v>0</v>
      </c>
      <c r="CJ411">
        <f>Model!CR565</f>
        <v>0</v>
      </c>
      <c r="CK411">
        <f>Model!CS565</f>
        <v>0</v>
      </c>
      <c r="CL411">
        <f>Model!CT565</f>
        <v>0</v>
      </c>
      <c r="CM411">
        <f>Model!CU565</f>
        <v>0</v>
      </c>
      <c r="CN411">
        <f>Model!CV565</f>
        <v>0</v>
      </c>
      <c r="CO411">
        <f>Model!CW565</f>
        <v>0</v>
      </c>
      <c r="CP411">
        <f>Model!CX565</f>
        <v>0</v>
      </c>
      <c r="CQ411">
        <f>Model!CY565</f>
        <v>0</v>
      </c>
      <c r="CR411">
        <f>Model!DG565</f>
        <v>0</v>
      </c>
      <c r="CS411">
        <f>Model!DH565</f>
        <v>0</v>
      </c>
      <c r="CT411">
        <f>Model!DI565</f>
        <v>0</v>
      </c>
      <c r="CU411">
        <f>Model!DJ565</f>
        <v>0</v>
      </c>
    </row>
    <row r="412" spans="1:99">
      <c r="A412" t="str">
        <f>Model!I566</f>
        <v>Total assets</v>
      </c>
      <c r="B412">
        <f>Model!J566</f>
        <v>0</v>
      </c>
      <c r="C412">
        <f>Model!K566</f>
        <v>0</v>
      </c>
      <c r="D412">
        <f>Model!L566</f>
        <v>0</v>
      </c>
      <c r="E412">
        <f>Model!M566</f>
        <v>0</v>
      </c>
      <c r="F412">
        <f>Model!N566</f>
        <v>0</v>
      </c>
      <c r="G412">
        <f>Model!O566</f>
        <v>0</v>
      </c>
      <c r="H412">
        <f>Model!P566</f>
        <v>0</v>
      </c>
      <c r="I412">
        <f>Model!Q566</f>
        <v>0</v>
      </c>
      <c r="J412">
        <f>Model!R566</f>
        <v>0</v>
      </c>
      <c r="K412">
        <f>Model!S566</f>
        <v>0</v>
      </c>
      <c r="L412">
        <f>Model!T566</f>
        <v>0</v>
      </c>
      <c r="M412">
        <f>Model!U566</f>
        <v>0</v>
      </c>
      <c r="N412">
        <f>Model!V566</f>
        <v>0</v>
      </c>
      <c r="O412">
        <f>Model!W566</f>
        <v>0</v>
      </c>
      <c r="P412">
        <f>Model!X566</f>
        <v>0</v>
      </c>
      <c r="Q412">
        <f>Model!Y566</f>
        <v>0</v>
      </c>
      <c r="R412">
        <f>Model!Z566</f>
        <v>0</v>
      </c>
      <c r="S412">
        <f>Model!AA566</f>
        <v>0</v>
      </c>
      <c r="T412">
        <f>Model!AB566</f>
        <v>0</v>
      </c>
      <c r="U412">
        <f>Model!AC566</f>
        <v>0</v>
      </c>
      <c r="V412">
        <f>Model!AD566</f>
        <v>0</v>
      </c>
      <c r="W412">
        <f>Model!AE566</f>
        <v>0</v>
      </c>
      <c r="X412">
        <f>Model!AF566</f>
        <v>0</v>
      </c>
      <c r="Y412">
        <f>Model!AG566</f>
        <v>0</v>
      </c>
      <c r="Z412">
        <f>Model!AH566</f>
        <v>0</v>
      </c>
      <c r="AA412">
        <f>Model!AI566</f>
        <v>0</v>
      </c>
      <c r="AB412">
        <f>Model!AJ566</f>
        <v>0</v>
      </c>
      <c r="AC412">
        <f>Model!AK566</f>
        <v>0</v>
      </c>
      <c r="AD412">
        <f>Model!AL566</f>
        <v>0</v>
      </c>
      <c r="AE412">
        <f>Model!AM566</f>
        <v>0</v>
      </c>
      <c r="AF412">
        <f>Model!AN566</f>
        <v>0</v>
      </c>
      <c r="AG412">
        <f>Model!AO566</f>
        <v>0</v>
      </c>
      <c r="AH412">
        <f>Model!AP566</f>
        <v>0</v>
      </c>
      <c r="AI412">
        <f>Model!AQ566</f>
        <v>0</v>
      </c>
      <c r="AJ412">
        <f>Model!AR566</f>
        <v>0</v>
      </c>
      <c r="AK412">
        <f>Model!AS566</f>
        <v>0</v>
      </c>
      <c r="AL412">
        <f>Model!AT566</f>
        <v>0</v>
      </c>
      <c r="AM412">
        <f>Model!AU566</f>
        <v>0</v>
      </c>
      <c r="AN412">
        <f>Model!AV566</f>
        <v>0</v>
      </c>
      <c r="AO412">
        <f>Model!AW566</f>
        <v>0</v>
      </c>
      <c r="AP412">
        <f>Model!AX566</f>
        <v>0</v>
      </c>
      <c r="AQ412">
        <f>Model!AY566</f>
        <v>0</v>
      </c>
      <c r="AR412">
        <f>Model!AZ566</f>
        <v>0</v>
      </c>
      <c r="AS412">
        <f>Model!BA566</f>
        <v>0</v>
      </c>
      <c r="AT412">
        <f>Model!BB566</f>
        <v>0</v>
      </c>
      <c r="AU412">
        <f>Model!BC566</f>
        <v>0</v>
      </c>
      <c r="AV412">
        <f>Model!BD566</f>
        <v>0</v>
      </c>
      <c r="AW412">
        <f>Model!BE566</f>
        <v>0</v>
      </c>
      <c r="AX412">
        <f>Model!BF566</f>
        <v>0</v>
      </c>
      <c r="AY412">
        <f>Model!BG566</f>
        <v>0</v>
      </c>
      <c r="AZ412">
        <f>Model!BH566</f>
        <v>0</v>
      </c>
      <c r="BA412">
        <f>Model!BI566</f>
        <v>6855.1270000000004</v>
      </c>
      <c r="BB412">
        <f>Model!BJ566</f>
        <v>9867.3709999999992</v>
      </c>
      <c r="BC412">
        <f>Model!BK566</f>
        <v>10445.655000000001</v>
      </c>
      <c r="BD412">
        <f>Model!BL566</f>
        <v>10444.459999999999</v>
      </c>
      <c r="BE412">
        <f>Model!BM566</f>
        <v>10813.684000000001</v>
      </c>
      <c r="BF412">
        <f>Model!BN566</f>
        <v>11600.323</v>
      </c>
      <c r="BG412">
        <f>Model!BO566</f>
        <v>15184.38</v>
      </c>
      <c r="BH412">
        <f>Model!BP566</f>
        <v>14940.563</v>
      </c>
      <c r="BI412">
        <f>Model!BQ566</f>
        <v>16842.491999999998</v>
      </c>
      <c r="BJ412">
        <f>Model!BR566</f>
        <v>17027.346000000001</v>
      </c>
      <c r="BK412">
        <f>Model!BS566</f>
        <v>16614.77</v>
      </c>
      <c r="BL412">
        <f>Model!BT566</f>
        <v>17420.575000000001</v>
      </c>
      <c r="BM412">
        <f>Model!BU566</f>
        <v>18334.545999999998</v>
      </c>
      <c r="BN412">
        <f>Model!BV566</f>
        <v>19687.169999999998</v>
      </c>
      <c r="BO412">
        <f>Model!BW566</f>
        <v>20033.784</v>
      </c>
      <c r="BP412">
        <f>Model!BX566</f>
        <v>19838.972999999998</v>
      </c>
      <c r="BQ412">
        <f>Model!BY566</f>
        <v>21994.252</v>
      </c>
      <c r="BR412">
        <f>Model!BZ566</f>
        <v>23458.323</v>
      </c>
      <c r="BS412">
        <f>Model!CA566</f>
        <v>25789.111000000001</v>
      </c>
      <c r="BT412">
        <f>Model!CB566</f>
        <v>25451.262999999999</v>
      </c>
      <c r="BU412">
        <f>Model!CC566</f>
        <v>23754.340571380384</v>
      </c>
      <c r="BV412">
        <f>Model!CD566</f>
        <v>24697.079372486529</v>
      </c>
      <c r="BW412">
        <f>Model!CE566</f>
        <v>25756.879135734431</v>
      </c>
      <c r="BX412">
        <f>Model!CF566</f>
        <v>26444.56898963936</v>
      </c>
      <c r="BY412">
        <f>Model!CG566</f>
        <v>0</v>
      </c>
      <c r="BZ412">
        <f>Model!CH566</f>
        <v>0</v>
      </c>
      <c r="CA412">
        <f>Model!CI566</f>
        <v>0</v>
      </c>
      <c r="CB412">
        <f>Model!CJ566</f>
        <v>0</v>
      </c>
      <c r="CC412">
        <f>Model!CK566</f>
        <v>0</v>
      </c>
      <c r="CD412">
        <f>Model!CL566</f>
        <v>0</v>
      </c>
      <c r="CE412">
        <f>Model!CM566</f>
        <v>0</v>
      </c>
      <c r="CF412">
        <f>Model!CN566</f>
        <v>0</v>
      </c>
      <c r="CG412">
        <f>Model!CO566</f>
        <v>0</v>
      </c>
      <c r="CH412">
        <f>Model!CP566</f>
        <v>0</v>
      </c>
      <c r="CI412">
        <f>Model!CQ566</f>
        <v>2905.953</v>
      </c>
      <c r="CJ412">
        <f>Model!CR566</f>
        <v>3970.6710000000003</v>
      </c>
      <c r="CK412">
        <f>Model!CS566</f>
        <v>6569.7420000000002</v>
      </c>
      <c r="CL412">
        <f>Model!CT566</f>
        <v>10444.459999999999</v>
      </c>
      <c r="CM412">
        <f>Model!CU566</f>
        <v>14940.563</v>
      </c>
      <c r="CN412">
        <f>Model!CV566</f>
        <v>17420.575000000001</v>
      </c>
      <c r="CO412">
        <f>Model!CW566</f>
        <v>19838.972999999998</v>
      </c>
      <c r="CP412">
        <f>Model!CX566</f>
        <v>25451.262999999999</v>
      </c>
      <c r="CQ412">
        <f>Model!CY566</f>
        <v>26444.56898963936</v>
      </c>
      <c r="CR412">
        <f>Model!DG566</f>
        <v>0</v>
      </c>
      <c r="CS412">
        <f>Model!DH566</f>
        <v>0</v>
      </c>
      <c r="CT412">
        <f>Model!DI566</f>
        <v>0</v>
      </c>
      <c r="CU412">
        <f>Model!DJ566</f>
        <v>0</v>
      </c>
    </row>
    <row r="413" spans="1:99">
      <c r="A413" t="str">
        <f>Model!I567</f>
        <v>(-) cash</v>
      </c>
      <c r="B413">
        <f>Model!J567</f>
        <v>0</v>
      </c>
      <c r="C413">
        <f>Model!K567</f>
        <v>0</v>
      </c>
      <c r="D413">
        <f>Model!L567</f>
        <v>0</v>
      </c>
      <c r="E413">
        <f>Model!M567</f>
        <v>0</v>
      </c>
      <c r="F413">
        <f>Model!N567</f>
        <v>0</v>
      </c>
      <c r="G413">
        <f>Model!O567</f>
        <v>0</v>
      </c>
      <c r="H413">
        <f>Model!P567</f>
        <v>0</v>
      </c>
      <c r="I413">
        <f>Model!Q567</f>
        <v>0</v>
      </c>
      <c r="J413">
        <f>Model!R567</f>
        <v>0</v>
      </c>
      <c r="K413">
        <f>Model!S567</f>
        <v>0</v>
      </c>
      <c r="L413">
        <f>Model!T567</f>
        <v>0</v>
      </c>
      <c r="M413">
        <f>Model!U567</f>
        <v>0</v>
      </c>
      <c r="N413">
        <f>Model!V567</f>
        <v>0</v>
      </c>
      <c r="O413">
        <f>Model!W567</f>
        <v>0</v>
      </c>
      <c r="P413">
        <f>Model!X567</f>
        <v>0</v>
      </c>
      <c r="Q413">
        <f>Model!Y567</f>
        <v>0</v>
      </c>
      <c r="R413">
        <f>Model!Z567</f>
        <v>0</v>
      </c>
      <c r="S413">
        <f>Model!AA567</f>
        <v>0</v>
      </c>
      <c r="T413">
        <f>Model!AB567</f>
        <v>0</v>
      </c>
      <c r="U413">
        <f>Model!AC567</f>
        <v>0</v>
      </c>
      <c r="V413">
        <f>Model!AD567</f>
        <v>0</v>
      </c>
      <c r="W413">
        <f>Model!AE567</f>
        <v>0</v>
      </c>
      <c r="X413">
        <f>Model!AF567</f>
        <v>0</v>
      </c>
      <c r="Y413">
        <f>Model!AG567</f>
        <v>0</v>
      </c>
      <c r="Z413">
        <f>Model!AH567</f>
        <v>0</v>
      </c>
      <c r="AA413">
        <f>Model!AI567</f>
        <v>0</v>
      </c>
      <c r="AB413">
        <f>Model!AJ567</f>
        <v>0</v>
      </c>
      <c r="AC413">
        <f>Model!AK567</f>
        <v>0</v>
      </c>
      <c r="AD413">
        <f>Model!AL567</f>
        <v>0</v>
      </c>
      <c r="AE413">
        <f>Model!AM567</f>
        <v>0</v>
      </c>
      <c r="AF413">
        <f>Model!AN567</f>
        <v>0</v>
      </c>
      <c r="AG413">
        <f>Model!AO567</f>
        <v>0</v>
      </c>
      <c r="AH413">
        <f>Model!AP567</f>
        <v>0</v>
      </c>
      <c r="AI413">
        <f>Model!AQ567</f>
        <v>0</v>
      </c>
      <c r="AJ413">
        <f>Model!AR567</f>
        <v>0</v>
      </c>
      <c r="AK413">
        <f>Model!AS567</f>
        <v>0</v>
      </c>
      <c r="AL413">
        <f>Model!AT567</f>
        <v>0</v>
      </c>
      <c r="AM413">
        <f>Model!AU567</f>
        <v>0</v>
      </c>
      <c r="AN413">
        <f>Model!AV567</f>
        <v>0</v>
      </c>
      <c r="AO413">
        <f>Model!AW567</f>
        <v>0</v>
      </c>
      <c r="AP413">
        <f>Model!AX567</f>
        <v>0</v>
      </c>
      <c r="AQ413">
        <f>Model!AY567</f>
        <v>0</v>
      </c>
      <c r="AR413">
        <f>Model!AZ567</f>
        <v>0</v>
      </c>
      <c r="AS413">
        <f>Model!BA567</f>
        <v>0</v>
      </c>
      <c r="AT413">
        <f>Model!BB567</f>
        <v>0</v>
      </c>
      <c r="AU413">
        <f>Model!BC567</f>
        <v>0</v>
      </c>
      <c r="AV413">
        <f>Model!BD567</f>
        <v>0</v>
      </c>
      <c r="AW413">
        <f>Model!BE567</f>
        <v>0</v>
      </c>
      <c r="AX413">
        <f>Model!BF567</f>
        <v>0</v>
      </c>
      <c r="AY413">
        <f>Model!BG567</f>
        <v>0</v>
      </c>
      <c r="AZ413">
        <f>Model!BH567</f>
        <v>0</v>
      </c>
      <c r="BA413">
        <f>Model!BI567</f>
        <v>-5181.6170000000002</v>
      </c>
      <c r="BB413">
        <f>Model!BJ567</f>
        <v>-5945.0739999999996</v>
      </c>
      <c r="BC413">
        <f>Model!BK567</f>
        <v>-6583.62</v>
      </c>
      <c r="BD413">
        <f>Model!BL567</f>
        <v>-6752.7139999999999</v>
      </c>
      <c r="BE413">
        <f>Model!BM567</f>
        <v>-6710.5079999999998</v>
      </c>
      <c r="BF413">
        <f>Model!BN567</f>
        <v>-7164.7060000000001</v>
      </c>
      <c r="BG413">
        <f>Model!BO567</f>
        <v>-6237.0770000000002</v>
      </c>
      <c r="BH413">
        <f>Model!BP567</f>
        <v>-4290.8329999999996</v>
      </c>
      <c r="BI413">
        <f>Model!BQ567</f>
        <v>-4635.4549999999999</v>
      </c>
      <c r="BJ413">
        <f>Model!BR567</f>
        <v>-3188.076</v>
      </c>
      <c r="BK413">
        <f>Model!BS567</f>
        <v>-3052.8419999999996</v>
      </c>
      <c r="BL413">
        <f>Model!BT567</f>
        <v>-2648.5110000000004</v>
      </c>
      <c r="BM413">
        <f>Model!BU567</f>
        <v>-3382.8019999999997</v>
      </c>
      <c r="BN413">
        <f>Model!BV567</f>
        <v>-4370.96</v>
      </c>
      <c r="BO413">
        <f>Model!BW567</f>
        <v>-4378.3159999999998</v>
      </c>
      <c r="BP413">
        <f>Model!BX567</f>
        <v>-4299.9549999999999</v>
      </c>
      <c r="BQ413">
        <f>Model!BY567</f>
        <v>-5370.1779999999999</v>
      </c>
      <c r="BR413">
        <f>Model!BZ567</f>
        <v>-6356.0889999999999</v>
      </c>
      <c r="BS413">
        <f>Model!CA567</f>
        <v>-7253.3280000000004</v>
      </c>
      <c r="BT413">
        <f>Model!CB567</f>
        <v>-7401.476999999999</v>
      </c>
      <c r="BU413">
        <f>Model!CC567</f>
        <v>-5381.8093590620147</v>
      </c>
      <c r="BV413">
        <f>Model!CD567</f>
        <v>-5946.8408265577709</v>
      </c>
      <c r="BW413">
        <f>Model!CE567</f>
        <v>-7198.6224858849055</v>
      </c>
      <c r="BX413">
        <f>Model!CF567</f>
        <v>-8044.7543886833337</v>
      </c>
      <c r="BY413">
        <f>Model!CG567</f>
        <v>0</v>
      </c>
      <c r="BZ413">
        <f>Model!CH567</f>
        <v>0</v>
      </c>
      <c r="CA413">
        <f>Model!CI567</f>
        <v>0</v>
      </c>
      <c r="CB413">
        <f>Model!CJ567</f>
        <v>0</v>
      </c>
      <c r="CC413">
        <f>Model!CK567</f>
        <v>0</v>
      </c>
      <c r="CD413">
        <f>Model!CL567</f>
        <v>0</v>
      </c>
      <c r="CE413">
        <f>Model!CM567</f>
        <v>0</v>
      </c>
      <c r="CF413">
        <f>Model!CN567</f>
        <v>0</v>
      </c>
      <c r="CG413">
        <f>Model!CO567</f>
        <v>0</v>
      </c>
      <c r="CH413">
        <f>Model!CP567</f>
        <v>0</v>
      </c>
      <c r="CI413">
        <f>Model!CQ567</f>
        <v>-1662.2179999999998</v>
      </c>
      <c r="CJ413">
        <f>Model!CR567</f>
        <v>-2657.663</v>
      </c>
      <c r="CK413">
        <f>Model!CS567</f>
        <v>-5183.1939999999995</v>
      </c>
      <c r="CL413">
        <f>Model!CT567</f>
        <v>-6752.7139999999999</v>
      </c>
      <c r="CM413">
        <f>Model!CU567</f>
        <v>-4290.8329999999996</v>
      </c>
      <c r="CN413">
        <f>Model!CV567</f>
        <v>-2648.5110000000004</v>
      </c>
      <c r="CO413">
        <f>Model!CW567</f>
        <v>-4299.9549999999999</v>
      </c>
      <c r="CP413">
        <f>Model!CX567</f>
        <v>-7401.476999999999</v>
      </c>
      <c r="CQ413">
        <f>Model!CY567</f>
        <v>-8044.7543886833337</v>
      </c>
      <c r="CR413">
        <f>Model!DG567</f>
        <v>0</v>
      </c>
      <c r="CS413">
        <f>Model!DH567</f>
        <v>0</v>
      </c>
      <c r="CT413">
        <f>Model!DI567</f>
        <v>0</v>
      </c>
      <c r="CU413">
        <f>Model!DJ567</f>
        <v>0</v>
      </c>
    </row>
    <row r="414" spans="1:99">
      <c r="A414" t="str">
        <f>Model!I568</f>
        <v>(-) accounts payable</v>
      </c>
      <c r="B414">
        <f>Model!J568</f>
        <v>0</v>
      </c>
      <c r="C414">
        <f>Model!K568</f>
        <v>0</v>
      </c>
      <c r="D414">
        <f>Model!L568</f>
        <v>0</v>
      </c>
      <c r="E414">
        <f>Model!M568</f>
        <v>0</v>
      </c>
      <c r="F414">
        <f>Model!N568</f>
        <v>0</v>
      </c>
      <c r="G414">
        <f>Model!O568</f>
        <v>0</v>
      </c>
      <c r="H414">
        <f>Model!P568</f>
        <v>0</v>
      </c>
      <c r="I414">
        <f>Model!Q568</f>
        <v>0</v>
      </c>
      <c r="J414">
        <f>Model!R568</f>
        <v>0</v>
      </c>
      <c r="K414">
        <f>Model!S568</f>
        <v>0</v>
      </c>
      <c r="L414">
        <f>Model!T568</f>
        <v>0</v>
      </c>
      <c r="M414">
        <f>Model!U568</f>
        <v>0</v>
      </c>
      <c r="N414">
        <f>Model!V568</f>
        <v>0</v>
      </c>
      <c r="O414">
        <f>Model!W568</f>
        <v>0</v>
      </c>
      <c r="P414">
        <f>Model!X568</f>
        <v>0</v>
      </c>
      <c r="Q414">
        <f>Model!Y568</f>
        <v>0</v>
      </c>
      <c r="R414">
        <f>Model!Z568</f>
        <v>0</v>
      </c>
      <c r="S414">
        <f>Model!AA568</f>
        <v>0</v>
      </c>
      <c r="T414">
        <f>Model!AB568</f>
        <v>0</v>
      </c>
      <c r="U414">
        <f>Model!AC568</f>
        <v>0</v>
      </c>
      <c r="V414">
        <f>Model!AD568</f>
        <v>0</v>
      </c>
      <c r="W414">
        <f>Model!AE568</f>
        <v>0</v>
      </c>
      <c r="X414">
        <f>Model!AF568</f>
        <v>0</v>
      </c>
      <c r="Y414">
        <f>Model!AG568</f>
        <v>0</v>
      </c>
      <c r="Z414">
        <f>Model!AH568</f>
        <v>0</v>
      </c>
      <c r="AA414">
        <f>Model!AI568</f>
        <v>0</v>
      </c>
      <c r="AB414">
        <f>Model!AJ568</f>
        <v>0</v>
      </c>
      <c r="AC414">
        <f>Model!AK568</f>
        <v>0</v>
      </c>
      <c r="AD414">
        <f>Model!AL568</f>
        <v>0</v>
      </c>
      <c r="AE414">
        <f>Model!AM568</f>
        <v>0</v>
      </c>
      <c r="AF414">
        <f>Model!AN568</f>
        <v>0</v>
      </c>
      <c r="AG414">
        <f>Model!AO568</f>
        <v>0</v>
      </c>
      <c r="AH414">
        <f>Model!AP568</f>
        <v>0</v>
      </c>
      <c r="AI414">
        <f>Model!AQ568</f>
        <v>0</v>
      </c>
      <c r="AJ414">
        <f>Model!AR568</f>
        <v>0</v>
      </c>
      <c r="AK414">
        <f>Model!AS568</f>
        <v>0</v>
      </c>
      <c r="AL414">
        <f>Model!AT568</f>
        <v>0</v>
      </c>
      <c r="AM414">
        <f>Model!AU568</f>
        <v>0</v>
      </c>
      <c r="AN414">
        <f>Model!AV568</f>
        <v>0</v>
      </c>
      <c r="AO414">
        <f>Model!AW568</f>
        <v>0</v>
      </c>
      <c r="AP414">
        <f>Model!AX568</f>
        <v>0</v>
      </c>
      <c r="AQ414">
        <f>Model!AY568</f>
        <v>0</v>
      </c>
      <c r="AR414">
        <f>Model!AZ568</f>
        <v>0</v>
      </c>
      <c r="AS414">
        <f>Model!BA568</f>
        <v>0</v>
      </c>
      <c r="AT414">
        <f>Model!BB568</f>
        <v>0</v>
      </c>
      <c r="AU414">
        <f>Model!BC568</f>
        <v>0</v>
      </c>
      <c r="AV414">
        <f>Model!BD568</f>
        <v>0</v>
      </c>
      <c r="AW414">
        <f>Model!BE568</f>
        <v>0</v>
      </c>
      <c r="AX414">
        <f>Model!BF568</f>
        <v>0</v>
      </c>
      <c r="AY414">
        <f>Model!BG568</f>
        <v>0</v>
      </c>
      <c r="AZ414">
        <f>Model!BH568</f>
        <v>0</v>
      </c>
      <c r="BA414">
        <f>Model!BI568</f>
        <v>-250.54599999999999</v>
      </c>
      <c r="BB414">
        <f>Model!BJ568</f>
        <v>-316.25099999999998</v>
      </c>
      <c r="BC414">
        <f>Model!BK568</f>
        <v>-312.89600000000002</v>
      </c>
      <c r="BD414">
        <f>Model!BL568</f>
        <v>-247.345</v>
      </c>
      <c r="BE414">
        <f>Model!BM568</f>
        <v>-299.411</v>
      </c>
      <c r="BF414">
        <f>Model!BN568</f>
        <v>-340.90300000000002</v>
      </c>
      <c r="BG414">
        <f>Model!BO568</f>
        <v>-525.44100000000003</v>
      </c>
      <c r="BH414">
        <f>Model!BP568</f>
        <v>-281.48</v>
      </c>
      <c r="BI414">
        <f>Model!BQ568</f>
        <v>-567.322</v>
      </c>
      <c r="BJ414">
        <f>Model!BR568</f>
        <v>-367.221</v>
      </c>
      <c r="BK414">
        <f>Model!BS568</f>
        <v>-388.52800000000002</v>
      </c>
      <c r="BL414">
        <f>Model!BT568</f>
        <v>-322.84199999999998</v>
      </c>
      <c r="BM414">
        <f>Model!BU568</f>
        <v>-334.78300000000002</v>
      </c>
      <c r="BN414">
        <f>Model!BV568</f>
        <v>-431.87</v>
      </c>
      <c r="BO414">
        <f>Model!BW568</f>
        <v>-494.60700000000003</v>
      </c>
      <c r="BP414">
        <f>Model!BX568</f>
        <v>-419.108</v>
      </c>
      <c r="BQ414">
        <f>Model!BY568</f>
        <v>-407.57499999999999</v>
      </c>
      <c r="BR414">
        <f>Model!BZ568</f>
        <v>-598.20000000000005</v>
      </c>
      <c r="BS414">
        <f>Model!CA568</f>
        <v>-805.74</v>
      </c>
      <c r="BT414">
        <f>Model!CB568</f>
        <v>-667.52300000000002</v>
      </c>
      <c r="BU414">
        <f>Model!CC568</f>
        <v>-473.4445042197637</v>
      </c>
      <c r="BV414">
        <f>Model!CD568</f>
        <v>-699.98027429135811</v>
      </c>
      <c r="BW414">
        <f>Model!CE568</f>
        <v>-899.903180330091</v>
      </c>
      <c r="BX414">
        <f>Model!CF568</f>
        <v>-803.55189246266514</v>
      </c>
      <c r="BY414">
        <f>Model!CG568</f>
        <v>0</v>
      </c>
      <c r="BZ414">
        <f>Model!CH568</f>
        <v>0</v>
      </c>
      <c r="CA414">
        <f>Model!CI568</f>
        <v>0</v>
      </c>
      <c r="CB414">
        <f>Model!CJ568</f>
        <v>0</v>
      </c>
      <c r="CC414">
        <f>Model!CK568</f>
        <v>0</v>
      </c>
      <c r="CD414">
        <f>Model!CL568</f>
        <v>0</v>
      </c>
      <c r="CE414">
        <f>Model!CM568</f>
        <v>0</v>
      </c>
      <c r="CF414">
        <f>Model!CN568</f>
        <v>0</v>
      </c>
      <c r="CG414">
        <f>Model!CO568</f>
        <v>0</v>
      </c>
      <c r="CH414">
        <f>Model!CP568</f>
        <v>0</v>
      </c>
      <c r="CI414">
        <f>Model!CQ568</f>
        <v>-90.311000000000007</v>
      </c>
      <c r="CJ414">
        <f>Model!CR568</f>
        <v>-146.86699999999999</v>
      </c>
      <c r="CK414">
        <f>Model!CS568</f>
        <v>-184.648</v>
      </c>
      <c r="CL414">
        <f>Model!CT568</f>
        <v>-247.345</v>
      </c>
      <c r="CM414">
        <f>Model!CU568</f>
        <v>-281.48</v>
      </c>
      <c r="CN414">
        <f>Model!CV568</f>
        <v>-322.84199999999998</v>
      </c>
      <c r="CO414">
        <f>Model!CW568</f>
        <v>-419.108</v>
      </c>
      <c r="CP414">
        <f>Model!CX568</f>
        <v>-667.52300000000002</v>
      </c>
      <c r="CQ414">
        <f>Model!CY568</f>
        <v>-803.55189246266514</v>
      </c>
      <c r="CR414">
        <f>Model!DG568</f>
        <v>0</v>
      </c>
      <c r="CS414">
        <f>Model!DH568</f>
        <v>0</v>
      </c>
      <c r="CT414">
        <f>Model!DI568</f>
        <v>0</v>
      </c>
      <c r="CU414">
        <f>Model!DJ568</f>
        <v>0</v>
      </c>
    </row>
    <row r="415" spans="1:99">
      <c r="A415" t="str">
        <f>Model!I569</f>
        <v>(-) accrued expenses</v>
      </c>
      <c r="B415">
        <f>Model!J569</f>
        <v>0</v>
      </c>
      <c r="C415">
        <f>Model!K569</f>
        <v>0</v>
      </c>
      <c r="D415">
        <f>Model!L569</f>
        <v>0</v>
      </c>
      <c r="E415">
        <f>Model!M569</f>
        <v>0</v>
      </c>
      <c r="F415">
        <f>Model!N569</f>
        <v>0</v>
      </c>
      <c r="G415">
        <f>Model!O569</f>
        <v>0</v>
      </c>
      <c r="H415">
        <f>Model!P569</f>
        <v>0</v>
      </c>
      <c r="I415">
        <f>Model!Q569</f>
        <v>0</v>
      </c>
      <c r="J415">
        <f>Model!R569</f>
        <v>0</v>
      </c>
      <c r="K415">
        <f>Model!S569</f>
        <v>0</v>
      </c>
      <c r="L415">
        <f>Model!T569</f>
        <v>0</v>
      </c>
      <c r="M415">
        <f>Model!U569</f>
        <v>0</v>
      </c>
      <c r="N415">
        <f>Model!V569</f>
        <v>0</v>
      </c>
      <c r="O415">
        <f>Model!W569</f>
        <v>0</v>
      </c>
      <c r="P415">
        <f>Model!X569</f>
        <v>0</v>
      </c>
      <c r="Q415">
        <f>Model!Y569</f>
        <v>0</v>
      </c>
      <c r="R415">
        <f>Model!Z569</f>
        <v>0</v>
      </c>
      <c r="S415">
        <f>Model!AA569</f>
        <v>0</v>
      </c>
      <c r="T415">
        <f>Model!AB569</f>
        <v>0</v>
      </c>
      <c r="U415">
        <f>Model!AC569</f>
        <v>0</v>
      </c>
      <c r="V415">
        <f>Model!AD569</f>
        <v>0</v>
      </c>
      <c r="W415">
        <f>Model!AE569</f>
        <v>0</v>
      </c>
      <c r="X415">
        <f>Model!AF569</f>
        <v>0</v>
      </c>
      <c r="Y415">
        <f>Model!AG569</f>
        <v>0</v>
      </c>
      <c r="Z415">
        <f>Model!AH569</f>
        <v>0</v>
      </c>
      <c r="AA415">
        <f>Model!AI569</f>
        <v>0</v>
      </c>
      <c r="AB415">
        <f>Model!AJ569</f>
        <v>0</v>
      </c>
      <c r="AC415">
        <f>Model!AK569</f>
        <v>0</v>
      </c>
      <c r="AD415">
        <f>Model!AL569</f>
        <v>0</v>
      </c>
      <c r="AE415">
        <f>Model!AM569</f>
        <v>0</v>
      </c>
      <c r="AF415">
        <f>Model!AN569</f>
        <v>0</v>
      </c>
      <c r="AG415">
        <f>Model!AO569</f>
        <v>0</v>
      </c>
      <c r="AH415">
        <f>Model!AP569</f>
        <v>0</v>
      </c>
      <c r="AI415">
        <f>Model!AQ569</f>
        <v>0</v>
      </c>
      <c r="AJ415">
        <f>Model!AR569</f>
        <v>0</v>
      </c>
      <c r="AK415">
        <f>Model!AS569</f>
        <v>0</v>
      </c>
      <c r="AL415">
        <f>Model!AT569</f>
        <v>0</v>
      </c>
      <c r="AM415">
        <f>Model!AU569</f>
        <v>0</v>
      </c>
      <c r="AN415">
        <f>Model!AV569</f>
        <v>0</v>
      </c>
      <c r="AO415">
        <f>Model!AW569</f>
        <v>0</v>
      </c>
      <c r="AP415">
        <f>Model!AX569</f>
        <v>0</v>
      </c>
      <c r="AQ415">
        <f>Model!AY569</f>
        <v>0</v>
      </c>
      <c r="AR415">
        <f>Model!AZ569</f>
        <v>0</v>
      </c>
      <c r="AS415">
        <f>Model!BA569</f>
        <v>0</v>
      </c>
      <c r="AT415">
        <f>Model!BB569</f>
        <v>0</v>
      </c>
      <c r="AU415">
        <f>Model!BC569</f>
        <v>0</v>
      </c>
      <c r="AV415">
        <f>Model!BD569</f>
        <v>0</v>
      </c>
      <c r="AW415">
        <f>Model!BE569</f>
        <v>0</v>
      </c>
      <c r="AX415">
        <f>Model!BF569</f>
        <v>0</v>
      </c>
      <c r="AY415">
        <f>Model!BG569</f>
        <v>0</v>
      </c>
      <c r="AZ415">
        <f>Model!BH569</f>
        <v>0</v>
      </c>
      <c r="BA415">
        <f>Model!BI569</f>
        <v>-425.03199999999998</v>
      </c>
      <c r="BB415">
        <f>Model!BJ569</f>
        <v>-387.33600000000001</v>
      </c>
      <c r="BC415">
        <f>Model!BK569</f>
        <v>-544.02099999999996</v>
      </c>
      <c r="BD415">
        <f>Model!BL569</f>
        <v>-545.34199999999998</v>
      </c>
      <c r="BE415">
        <f>Model!BM569</f>
        <v>-561.91499999999996</v>
      </c>
      <c r="BF415">
        <f>Model!BN569</f>
        <v>-555.71600000000001</v>
      </c>
      <c r="BG415">
        <f>Model!BO569</f>
        <v>-609.07100000000003</v>
      </c>
      <c r="BH415">
        <f>Model!BP569</f>
        <v>-600.75800000000004</v>
      </c>
      <c r="BI415">
        <f>Model!BQ569</f>
        <v>-610.76400000000001</v>
      </c>
      <c r="BJ415">
        <f>Model!BR569</f>
        <v>-903.64099999999996</v>
      </c>
      <c r="BK415">
        <f>Model!BS569</f>
        <v>-780.78399999999999</v>
      </c>
      <c r="BL415">
        <f>Model!BT569</f>
        <v>-681.58699999999999</v>
      </c>
      <c r="BM415">
        <f>Model!BU569</f>
        <v>-1117.2550000000001</v>
      </c>
      <c r="BN415">
        <f>Model!BV569</f>
        <v>-1019.513</v>
      </c>
      <c r="BO415">
        <f>Model!BW569</f>
        <v>-882.08100000000002</v>
      </c>
      <c r="BP415">
        <f>Model!BX569</f>
        <v>-857.46699999999998</v>
      </c>
      <c r="BQ415">
        <f>Model!BY569</f>
        <v>-986.68100000000004</v>
      </c>
      <c r="BR415">
        <f>Model!BZ569</f>
        <v>-1073.6320000000001</v>
      </c>
      <c r="BS415">
        <f>Model!CA569</f>
        <v>-1091.3720000000001</v>
      </c>
      <c r="BT415">
        <f>Model!CB569</f>
        <v>-1138.98</v>
      </c>
      <c r="BU415">
        <f>Model!CC569</f>
        <v>-1168.8021335570013</v>
      </c>
      <c r="BV415">
        <f>Model!CD569</f>
        <v>-1281.1427647684986</v>
      </c>
      <c r="BW415">
        <f>Model!CE569</f>
        <v>-1243.0149667921785</v>
      </c>
      <c r="BX415">
        <f>Model!CF569</f>
        <v>-1398.1909287274664</v>
      </c>
      <c r="BY415">
        <f>Model!CG569</f>
        <v>0</v>
      </c>
      <c r="BZ415">
        <f>Model!CH569</f>
        <v>0</v>
      </c>
      <c r="CA415">
        <f>Model!CI569</f>
        <v>0</v>
      </c>
      <c r="CB415">
        <f>Model!CJ569</f>
        <v>0</v>
      </c>
      <c r="CC415">
        <f>Model!CK569</f>
        <v>0</v>
      </c>
      <c r="CD415">
        <f>Model!CL569</f>
        <v>0</v>
      </c>
      <c r="CE415">
        <f>Model!CM569</f>
        <v>0</v>
      </c>
      <c r="CF415">
        <f>Model!CN569</f>
        <v>0</v>
      </c>
      <c r="CG415">
        <f>Model!CO569</f>
        <v>0</v>
      </c>
      <c r="CH415">
        <f>Model!CP569</f>
        <v>0</v>
      </c>
      <c r="CI415">
        <f>Model!CQ569</f>
        <v>-243.767</v>
      </c>
      <c r="CJ415">
        <f>Model!CR569</f>
        <v>-222.13399999999999</v>
      </c>
      <c r="CK415">
        <f>Model!CS569</f>
        <v>-387.911</v>
      </c>
      <c r="CL415">
        <f>Model!CT569</f>
        <v>-545.34199999999998</v>
      </c>
      <c r="CM415">
        <f>Model!CU569</f>
        <v>-600.75800000000004</v>
      </c>
      <c r="CN415">
        <f>Model!CV569</f>
        <v>-681.58699999999999</v>
      </c>
      <c r="CO415">
        <f>Model!CW569</f>
        <v>-857.46699999999998</v>
      </c>
      <c r="CP415">
        <f>Model!CX569</f>
        <v>-1138.98</v>
      </c>
      <c r="CQ415">
        <f>Model!CY569</f>
        <v>-1398.1909287274664</v>
      </c>
      <c r="CR415">
        <f>Model!DG569</f>
        <v>0</v>
      </c>
      <c r="CS415">
        <f>Model!DH569</f>
        <v>0</v>
      </c>
      <c r="CT415">
        <f>Model!DI569</f>
        <v>0</v>
      </c>
      <c r="CU415">
        <f>Model!DJ569</f>
        <v>0</v>
      </c>
    </row>
    <row r="416" spans="1:99">
      <c r="A416" t="str">
        <f>Model!I570</f>
        <v>Invested capital</v>
      </c>
      <c r="B416">
        <f>Model!J570</f>
        <v>0</v>
      </c>
      <c r="C416">
        <f>Model!K570</f>
        <v>0</v>
      </c>
      <c r="D416">
        <f>Model!L570</f>
        <v>0</v>
      </c>
      <c r="E416">
        <f>Model!M570</f>
        <v>0</v>
      </c>
      <c r="F416">
        <f>Model!N570</f>
        <v>0</v>
      </c>
      <c r="G416">
        <f>Model!O570</f>
        <v>0</v>
      </c>
      <c r="H416">
        <f>Model!P570</f>
        <v>0</v>
      </c>
      <c r="I416">
        <f>Model!Q570</f>
        <v>0</v>
      </c>
      <c r="J416">
        <f>Model!R570</f>
        <v>0</v>
      </c>
      <c r="K416">
        <f>Model!S570</f>
        <v>0</v>
      </c>
      <c r="L416">
        <f>Model!T570</f>
        <v>0</v>
      </c>
      <c r="M416">
        <f>Model!U570</f>
        <v>0</v>
      </c>
      <c r="N416">
        <f>Model!V570</f>
        <v>0</v>
      </c>
      <c r="O416">
        <f>Model!W570</f>
        <v>0</v>
      </c>
      <c r="P416">
        <f>Model!X570</f>
        <v>0</v>
      </c>
      <c r="Q416">
        <f>Model!Y570</f>
        <v>0</v>
      </c>
      <c r="R416">
        <f>Model!Z570</f>
        <v>0</v>
      </c>
      <c r="S416">
        <f>Model!AA570</f>
        <v>0</v>
      </c>
      <c r="T416">
        <f>Model!AB570</f>
        <v>0</v>
      </c>
      <c r="U416">
        <f>Model!AC570</f>
        <v>0</v>
      </c>
      <c r="V416">
        <f>Model!AD570</f>
        <v>0</v>
      </c>
      <c r="W416">
        <f>Model!AE570</f>
        <v>0</v>
      </c>
      <c r="X416">
        <f>Model!AF570</f>
        <v>0</v>
      </c>
      <c r="Y416">
        <f>Model!AG570</f>
        <v>0</v>
      </c>
      <c r="Z416">
        <f>Model!AH570</f>
        <v>0</v>
      </c>
      <c r="AA416">
        <f>Model!AI570</f>
        <v>0</v>
      </c>
      <c r="AB416">
        <f>Model!AJ570</f>
        <v>0</v>
      </c>
      <c r="AC416">
        <f>Model!AK570</f>
        <v>0</v>
      </c>
      <c r="AD416">
        <f>Model!AL570</f>
        <v>0</v>
      </c>
      <c r="AE416">
        <f>Model!AM570</f>
        <v>0</v>
      </c>
      <c r="AF416">
        <f>Model!AN570</f>
        <v>0</v>
      </c>
      <c r="AG416">
        <f>Model!AO570</f>
        <v>0</v>
      </c>
      <c r="AH416">
        <f>Model!AP570</f>
        <v>0</v>
      </c>
      <c r="AI416">
        <f>Model!AQ570</f>
        <v>0</v>
      </c>
      <c r="AJ416">
        <f>Model!AR570</f>
        <v>0</v>
      </c>
      <c r="AK416">
        <f>Model!AS570</f>
        <v>0</v>
      </c>
      <c r="AL416">
        <f>Model!AT570</f>
        <v>0</v>
      </c>
      <c r="AM416">
        <f>Model!AU570</f>
        <v>0</v>
      </c>
      <c r="AN416">
        <f>Model!AV570</f>
        <v>0</v>
      </c>
      <c r="AO416">
        <f>Model!AW570</f>
        <v>0</v>
      </c>
      <c r="AP416">
        <f>Model!AX570</f>
        <v>0</v>
      </c>
      <c r="AQ416">
        <f>Model!AY570</f>
        <v>0</v>
      </c>
      <c r="AR416">
        <f>Model!AZ570</f>
        <v>0</v>
      </c>
      <c r="AS416">
        <f>Model!BA570</f>
        <v>0</v>
      </c>
      <c r="AT416">
        <f>Model!BB570</f>
        <v>0</v>
      </c>
      <c r="AU416">
        <f>Model!BC570</f>
        <v>0</v>
      </c>
      <c r="AV416">
        <f>Model!BD570</f>
        <v>0</v>
      </c>
      <c r="AW416">
        <f>Model!BE570</f>
        <v>0</v>
      </c>
      <c r="AX416">
        <f>Model!BF570</f>
        <v>0</v>
      </c>
      <c r="AY416">
        <f>Model!BG570</f>
        <v>0</v>
      </c>
      <c r="AZ416">
        <f>Model!BH570</f>
        <v>0</v>
      </c>
      <c r="BA416">
        <f>Model!BI570</f>
        <v>997.93200000000024</v>
      </c>
      <c r="BB416">
        <f>Model!BJ570</f>
        <v>3218.7099999999991</v>
      </c>
      <c r="BC416">
        <f>Model!BK570</f>
        <v>3005.1180000000004</v>
      </c>
      <c r="BD416">
        <f>Model!BL570</f>
        <v>2899.0589999999993</v>
      </c>
      <c r="BE416">
        <f>Model!BM570</f>
        <v>3241.8500000000013</v>
      </c>
      <c r="BF416">
        <f>Model!BN570</f>
        <v>3538.998</v>
      </c>
      <c r="BG416">
        <f>Model!BO570</f>
        <v>7812.7909999999993</v>
      </c>
      <c r="BH416">
        <f>Model!BP570</f>
        <v>9767.4920000000002</v>
      </c>
      <c r="BI416">
        <f>Model!BQ570</f>
        <v>11028.950999999999</v>
      </c>
      <c r="BJ416">
        <f>Model!BR570</f>
        <v>12568.408000000001</v>
      </c>
      <c r="BK416">
        <f>Model!BS570</f>
        <v>12392.616</v>
      </c>
      <c r="BL416">
        <f>Model!BT570</f>
        <v>13767.635</v>
      </c>
      <c r="BM416">
        <f>Model!BU570</f>
        <v>13499.705999999998</v>
      </c>
      <c r="BN416">
        <f>Model!BV570</f>
        <v>13864.826999999997</v>
      </c>
      <c r="BO416">
        <f>Model!BW570</f>
        <v>14278.78</v>
      </c>
      <c r="BP416">
        <f>Model!BX570</f>
        <v>14262.442999999997</v>
      </c>
      <c r="BQ416">
        <f>Model!BY570</f>
        <v>15229.817999999999</v>
      </c>
      <c r="BR416">
        <f>Model!BZ570</f>
        <v>15430.402</v>
      </c>
      <c r="BS416">
        <f>Model!CA570</f>
        <v>16638.670999999998</v>
      </c>
      <c r="BT416">
        <f>Model!CB570</f>
        <v>16243.282999999999</v>
      </c>
      <c r="BU416">
        <f>Model!CC570</f>
        <v>16730.284574541605</v>
      </c>
      <c r="BV416">
        <f>Model!CD570</f>
        <v>16769.1155068689</v>
      </c>
      <c r="BW416">
        <f>Model!CE570</f>
        <v>16415.338502727256</v>
      </c>
      <c r="BX416">
        <f>Model!CF570</f>
        <v>16198.071779765893</v>
      </c>
      <c r="BY416">
        <f>Model!CG570</f>
        <v>0</v>
      </c>
      <c r="BZ416">
        <f>Model!CH570</f>
        <v>0</v>
      </c>
      <c r="CA416">
        <f>Model!CI570</f>
        <v>0</v>
      </c>
      <c r="CB416">
        <f>Model!CJ570</f>
        <v>0</v>
      </c>
      <c r="CC416">
        <f>Model!CK570</f>
        <v>0</v>
      </c>
      <c r="CD416">
        <f>Model!CL570</f>
        <v>0</v>
      </c>
      <c r="CE416">
        <f>Model!CM570</f>
        <v>0</v>
      </c>
      <c r="CF416">
        <f>Model!CN570</f>
        <v>0</v>
      </c>
      <c r="CG416">
        <f>Model!CO570</f>
        <v>0</v>
      </c>
      <c r="CH416">
        <f>Model!CP570</f>
        <v>0</v>
      </c>
      <c r="CI416">
        <f>Model!CQ570</f>
        <v>909.65700000000015</v>
      </c>
      <c r="CJ416">
        <f>Model!CR570</f>
        <v>944.00700000000029</v>
      </c>
      <c r="CK416">
        <f>Model!CS570</f>
        <v>813.98900000000071</v>
      </c>
      <c r="CL416">
        <f>Model!CT570</f>
        <v>2899.0589999999993</v>
      </c>
      <c r="CM416">
        <f>Model!CU570</f>
        <v>9767.4920000000002</v>
      </c>
      <c r="CN416">
        <f>Model!CV570</f>
        <v>13767.635</v>
      </c>
      <c r="CO416">
        <f>Model!CW570</f>
        <v>14262.442999999997</v>
      </c>
      <c r="CP416">
        <f>Model!CX570</f>
        <v>16243.282999999999</v>
      </c>
      <c r="CQ416">
        <f>Model!CY570</f>
        <v>16198.071779765893</v>
      </c>
      <c r="CR416">
        <f>Model!DG570</f>
        <v>0</v>
      </c>
      <c r="CS416">
        <f>Model!DH570</f>
        <v>0</v>
      </c>
      <c r="CT416">
        <f>Model!DI570</f>
        <v>0</v>
      </c>
      <c r="CU416">
        <f>Model!DJ570</f>
        <v>0</v>
      </c>
    </row>
    <row r="417" spans="1:99">
      <c r="A417">
        <f>Model!I571</f>
        <v>0</v>
      </c>
      <c r="B417">
        <f>Model!J571</f>
        <v>0</v>
      </c>
      <c r="C417">
        <f>Model!K571</f>
        <v>0</v>
      </c>
      <c r="D417">
        <f>Model!L571</f>
        <v>0</v>
      </c>
      <c r="E417">
        <f>Model!M571</f>
        <v>0</v>
      </c>
      <c r="F417">
        <f>Model!N571</f>
        <v>0</v>
      </c>
      <c r="G417">
        <f>Model!O571</f>
        <v>0</v>
      </c>
      <c r="H417">
        <f>Model!P571</f>
        <v>0</v>
      </c>
      <c r="I417">
        <f>Model!Q571</f>
        <v>0</v>
      </c>
      <c r="J417">
        <f>Model!R571</f>
        <v>0</v>
      </c>
      <c r="K417">
        <f>Model!S571</f>
        <v>0</v>
      </c>
      <c r="L417">
        <f>Model!T571</f>
        <v>0</v>
      </c>
      <c r="M417">
        <f>Model!U571</f>
        <v>0</v>
      </c>
      <c r="N417">
        <f>Model!V571</f>
        <v>0</v>
      </c>
      <c r="O417">
        <f>Model!W571</f>
        <v>0</v>
      </c>
      <c r="P417">
        <f>Model!X571</f>
        <v>0</v>
      </c>
      <c r="Q417">
        <f>Model!Y571</f>
        <v>0</v>
      </c>
      <c r="R417">
        <f>Model!Z571</f>
        <v>0</v>
      </c>
      <c r="S417">
        <f>Model!AA571</f>
        <v>0</v>
      </c>
      <c r="T417">
        <f>Model!AB571</f>
        <v>0</v>
      </c>
      <c r="U417">
        <f>Model!AC571</f>
        <v>0</v>
      </c>
      <c r="V417">
        <f>Model!AD571</f>
        <v>0</v>
      </c>
      <c r="W417">
        <f>Model!AE571</f>
        <v>0</v>
      </c>
      <c r="X417">
        <f>Model!AF571</f>
        <v>0</v>
      </c>
      <c r="Y417">
        <f>Model!AG571</f>
        <v>0</v>
      </c>
      <c r="Z417">
        <f>Model!AH571</f>
        <v>0</v>
      </c>
      <c r="AA417">
        <f>Model!AI571</f>
        <v>0</v>
      </c>
      <c r="AB417">
        <f>Model!AJ571</f>
        <v>0</v>
      </c>
      <c r="AC417">
        <f>Model!AK571</f>
        <v>0</v>
      </c>
      <c r="AD417">
        <f>Model!AL571</f>
        <v>0</v>
      </c>
      <c r="AE417">
        <f>Model!AM571</f>
        <v>0</v>
      </c>
      <c r="AF417">
        <f>Model!AN571</f>
        <v>0</v>
      </c>
      <c r="AG417">
        <f>Model!AO571</f>
        <v>0</v>
      </c>
      <c r="AH417">
        <f>Model!AP571</f>
        <v>0</v>
      </c>
      <c r="AI417">
        <f>Model!AQ571</f>
        <v>0</v>
      </c>
      <c r="AJ417">
        <f>Model!AR571</f>
        <v>0</v>
      </c>
      <c r="AK417">
        <f>Model!AS571</f>
        <v>0</v>
      </c>
      <c r="AL417">
        <f>Model!AT571</f>
        <v>0</v>
      </c>
      <c r="AM417">
        <f>Model!AU571</f>
        <v>0</v>
      </c>
      <c r="AN417">
        <f>Model!AV571</f>
        <v>0</v>
      </c>
      <c r="AO417">
        <f>Model!AW571</f>
        <v>0</v>
      </c>
      <c r="AP417">
        <f>Model!AX571</f>
        <v>0</v>
      </c>
      <c r="AQ417">
        <f>Model!AY571</f>
        <v>0</v>
      </c>
      <c r="AR417">
        <f>Model!AZ571</f>
        <v>0</v>
      </c>
      <c r="AS417">
        <f>Model!BA571</f>
        <v>0</v>
      </c>
      <c r="AT417">
        <f>Model!BB571</f>
        <v>0</v>
      </c>
      <c r="AU417">
        <f>Model!BC571</f>
        <v>0</v>
      </c>
      <c r="AV417">
        <f>Model!BD571</f>
        <v>0</v>
      </c>
      <c r="AW417">
        <f>Model!BE571</f>
        <v>0</v>
      </c>
      <c r="AX417">
        <f>Model!BF571</f>
        <v>0</v>
      </c>
      <c r="AY417">
        <f>Model!BG571</f>
        <v>0</v>
      </c>
      <c r="AZ417">
        <f>Model!BH571</f>
        <v>0</v>
      </c>
      <c r="BA417">
        <f>Model!BI571</f>
        <v>0</v>
      </c>
      <c r="BB417">
        <f>Model!BJ571</f>
        <v>0</v>
      </c>
      <c r="BC417">
        <f>Model!BK571</f>
        <v>0</v>
      </c>
      <c r="BD417">
        <f>Model!BL571</f>
        <v>0</v>
      </c>
      <c r="BE417">
        <f>Model!BM571</f>
        <v>0</v>
      </c>
      <c r="BF417">
        <f>Model!BN571</f>
        <v>0</v>
      </c>
      <c r="BG417">
        <f>Model!BO571</f>
        <v>0</v>
      </c>
      <c r="BH417">
        <f>Model!BP571</f>
        <v>0</v>
      </c>
      <c r="BI417">
        <f>Model!BQ571</f>
        <v>0</v>
      </c>
      <c r="BJ417">
        <f>Model!BR571</f>
        <v>0</v>
      </c>
      <c r="BK417">
        <f>Model!BS571</f>
        <v>0</v>
      </c>
      <c r="BL417">
        <f>Model!BT571</f>
        <v>0</v>
      </c>
      <c r="BM417">
        <f>Model!BU571</f>
        <v>0</v>
      </c>
      <c r="BN417">
        <f>Model!BV571</f>
        <v>0</v>
      </c>
      <c r="BO417">
        <f>Model!BW571</f>
        <v>0</v>
      </c>
      <c r="BP417">
        <f>Model!BX571</f>
        <v>0</v>
      </c>
      <c r="BQ417">
        <f>Model!BY571</f>
        <v>0</v>
      </c>
      <c r="BR417">
        <f>Model!BZ571</f>
        <v>0</v>
      </c>
      <c r="BS417">
        <f>Model!CA571</f>
        <v>0</v>
      </c>
      <c r="BT417">
        <f>Model!CB571</f>
        <v>0</v>
      </c>
      <c r="BU417">
        <f>Model!CC571</f>
        <v>0</v>
      </c>
      <c r="BV417">
        <f>Model!CD571</f>
        <v>0</v>
      </c>
      <c r="BW417">
        <f>Model!CE571</f>
        <v>0</v>
      </c>
      <c r="BX417">
        <f>Model!CF571</f>
        <v>0</v>
      </c>
      <c r="BY417">
        <f>Model!CG571</f>
        <v>0</v>
      </c>
      <c r="BZ417">
        <f>Model!CH571</f>
        <v>0</v>
      </c>
      <c r="CA417">
        <f>Model!CI571</f>
        <v>0</v>
      </c>
      <c r="CB417">
        <f>Model!CJ571</f>
        <v>0</v>
      </c>
      <c r="CC417">
        <f>Model!CK571</f>
        <v>0</v>
      </c>
      <c r="CD417">
        <f>Model!CL571</f>
        <v>0</v>
      </c>
      <c r="CE417">
        <f>Model!CM571</f>
        <v>0</v>
      </c>
      <c r="CF417">
        <f>Model!CN571</f>
        <v>0</v>
      </c>
      <c r="CG417">
        <f>Model!CO571</f>
        <v>0</v>
      </c>
      <c r="CH417">
        <f>Model!CP571</f>
        <v>0</v>
      </c>
      <c r="CI417">
        <f>Model!CQ571</f>
        <v>0</v>
      </c>
      <c r="CJ417">
        <f>Model!CR571</f>
        <v>0</v>
      </c>
      <c r="CK417">
        <f>Model!CS571</f>
        <v>0</v>
      </c>
      <c r="CL417">
        <f>Model!CT571</f>
        <v>0</v>
      </c>
      <c r="CM417">
        <f>Model!CU571</f>
        <v>0</v>
      </c>
      <c r="CN417">
        <f>Model!CV571</f>
        <v>0</v>
      </c>
      <c r="CO417">
        <f>Model!CW571</f>
        <v>0</v>
      </c>
      <c r="CP417">
        <f>Model!CX571</f>
        <v>0</v>
      </c>
      <c r="CQ417">
        <f>Model!CY571</f>
        <v>0</v>
      </c>
      <c r="CR417">
        <f>Model!DG571</f>
        <v>0</v>
      </c>
      <c r="CS417">
        <f>Model!DH571</f>
        <v>0</v>
      </c>
      <c r="CT417">
        <f>Model!DI571</f>
        <v>0</v>
      </c>
      <c r="CU417">
        <f>Model!DJ571</f>
        <v>0</v>
      </c>
    </row>
    <row r="418" spans="1:99">
      <c r="A418" t="str">
        <f>Model!I572</f>
        <v>NOPAT</v>
      </c>
      <c r="B418">
        <f>Model!J572</f>
        <v>0</v>
      </c>
      <c r="C418">
        <f>Model!K572</f>
        <v>0</v>
      </c>
      <c r="D418">
        <f>Model!L572</f>
        <v>0</v>
      </c>
      <c r="E418">
        <f>Model!M572</f>
        <v>0</v>
      </c>
      <c r="F418">
        <f>Model!N572</f>
        <v>0</v>
      </c>
      <c r="G418">
        <f>Model!O572</f>
        <v>0</v>
      </c>
      <c r="H418">
        <f>Model!P572</f>
        <v>0</v>
      </c>
      <c r="I418">
        <f>Model!Q572</f>
        <v>0</v>
      </c>
      <c r="J418">
        <f>Model!R572</f>
        <v>0</v>
      </c>
      <c r="K418">
        <f>Model!S572</f>
        <v>0</v>
      </c>
      <c r="L418">
        <f>Model!T572</f>
        <v>0</v>
      </c>
      <c r="M418">
        <f>Model!U572</f>
        <v>0</v>
      </c>
      <c r="N418">
        <f>Model!V572</f>
        <v>0</v>
      </c>
      <c r="O418">
        <f>Model!W572</f>
        <v>0</v>
      </c>
      <c r="P418">
        <f>Model!X572</f>
        <v>0</v>
      </c>
      <c r="Q418">
        <f>Model!Y572</f>
        <v>0</v>
      </c>
      <c r="R418">
        <f>Model!Z572</f>
        <v>0</v>
      </c>
      <c r="S418">
        <f>Model!AA572</f>
        <v>0</v>
      </c>
      <c r="T418">
        <f>Model!AB572</f>
        <v>0</v>
      </c>
      <c r="U418">
        <f>Model!AC572</f>
        <v>0</v>
      </c>
      <c r="V418">
        <f>Model!AD572</f>
        <v>0</v>
      </c>
      <c r="W418">
        <f>Model!AE572</f>
        <v>0</v>
      </c>
      <c r="X418">
        <f>Model!AF572</f>
        <v>0</v>
      </c>
      <c r="Y418">
        <f>Model!AG572</f>
        <v>0</v>
      </c>
      <c r="Z418">
        <f>Model!AH572</f>
        <v>0</v>
      </c>
      <c r="AA418">
        <f>Model!AI572</f>
        <v>0</v>
      </c>
      <c r="AB418">
        <f>Model!AJ572</f>
        <v>0</v>
      </c>
      <c r="AC418">
        <f>Model!AK572</f>
        <v>0</v>
      </c>
      <c r="AD418">
        <f>Model!AL572</f>
        <v>0</v>
      </c>
      <c r="AE418">
        <f>Model!AM572</f>
        <v>0</v>
      </c>
      <c r="AF418">
        <f>Model!AN572</f>
        <v>0</v>
      </c>
      <c r="AG418">
        <f>Model!AO572</f>
        <v>0</v>
      </c>
      <c r="AH418">
        <f>Model!AP572</f>
        <v>0</v>
      </c>
      <c r="AI418">
        <f>Model!AQ572</f>
        <v>0</v>
      </c>
      <c r="AJ418">
        <f>Model!AR572</f>
        <v>0</v>
      </c>
      <c r="AK418">
        <f>Model!AS572</f>
        <v>0</v>
      </c>
      <c r="AL418">
        <f>Model!AT572</f>
        <v>0</v>
      </c>
      <c r="AM418">
        <f>Model!AU572</f>
        <v>0</v>
      </c>
      <c r="AN418">
        <f>Model!AV572</f>
        <v>0</v>
      </c>
      <c r="AO418">
        <f>Model!AW572</f>
        <v>0</v>
      </c>
      <c r="AP418">
        <f>Model!AX572</f>
        <v>0</v>
      </c>
      <c r="AQ418">
        <f>Model!AY572</f>
        <v>0</v>
      </c>
      <c r="AR418">
        <f>Model!AZ572</f>
        <v>0</v>
      </c>
      <c r="AS418">
        <f>Model!BA572</f>
        <v>0</v>
      </c>
      <c r="AT418">
        <f>Model!BB572</f>
        <v>0</v>
      </c>
      <c r="AU418">
        <f>Model!BC572</f>
        <v>0</v>
      </c>
      <c r="AV418">
        <f>Model!BD572</f>
        <v>0</v>
      </c>
      <c r="AW418">
        <f>Model!BE572</f>
        <v>0</v>
      </c>
      <c r="AX418">
        <f>Model!BF572</f>
        <v>0</v>
      </c>
      <c r="AY418">
        <f>Model!BG572</f>
        <v>0</v>
      </c>
      <c r="AZ418">
        <f>Model!BH572</f>
        <v>0</v>
      </c>
      <c r="BA418">
        <f>Model!BI572</f>
        <v>0</v>
      </c>
      <c r="BB418">
        <f>Model!BJ572</f>
        <v>0</v>
      </c>
      <c r="BC418">
        <f>Model!BK572</f>
        <v>0</v>
      </c>
      <c r="BD418">
        <f>Model!BL572</f>
        <v>0</v>
      </c>
      <c r="BE418">
        <f>Model!BM572</f>
        <v>0</v>
      </c>
      <c r="BF418">
        <f>Model!BN572</f>
        <v>0</v>
      </c>
      <c r="BG418">
        <f>Model!BO572</f>
        <v>0</v>
      </c>
      <c r="BH418">
        <f>Model!BP572</f>
        <v>0</v>
      </c>
      <c r="BI418">
        <f>Model!BQ572</f>
        <v>0</v>
      </c>
      <c r="BJ418">
        <f>Model!BR572</f>
        <v>0</v>
      </c>
      <c r="BK418">
        <f>Model!BS572</f>
        <v>0</v>
      </c>
      <c r="BL418">
        <f>Model!BT572</f>
        <v>0</v>
      </c>
      <c r="BM418">
        <f>Model!BU572</f>
        <v>0</v>
      </c>
      <c r="BN418">
        <f>Model!BV572</f>
        <v>0</v>
      </c>
      <c r="BO418">
        <f>Model!BW572</f>
        <v>0</v>
      </c>
      <c r="BP418">
        <f>Model!BX572</f>
        <v>0</v>
      </c>
      <c r="BQ418">
        <f>Model!BY572</f>
        <v>0</v>
      </c>
      <c r="BR418">
        <f>Model!BZ572</f>
        <v>0</v>
      </c>
      <c r="BS418">
        <f>Model!CA572</f>
        <v>0</v>
      </c>
      <c r="BT418">
        <f>Model!CB572</f>
        <v>0</v>
      </c>
      <c r="BU418">
        <f>Model!CC572</f>
        <v>0</v>
      </c>
      <c r="BV418">
        <f>Model!CD572</f>
        <v>0</v>
      </c>
      <c r="BW418">
        <f>Model!CE572</f>
        <v>0</v>
      </c>
      <c r="BX418">
        <f>Model!CF572</f>
        <v>0</v>
      </c>
      <c r="BY418">
        <f>Model!CG572</f>
        <v>0</v>
      </c>
      <c r="BZ418">
        <f>Model!CH572</f>
        <v>0</v>
      </c>
      <c r="CA418">
        <f>Model!CI572</f>
        <v>0</v>
      </c>
      <c r="CB418">
        <f>Model!CJ572</f>
        <v>0</v>
      </c>
      <c r="CC418">
        <f>Model!CK572</f>
        <v>0</v>
      </c>
      <c r="CD418">
        <f>Model!CL572</f>
        <v>0</v>
      </c>
      <c r="CE418">
        <f>Model!CM572</f>
        <v>0</v>
      </c>
      <c r="CF418">
        <f>Model!CN572</f>
        <v>0</v>
      </c>
      <c r="CG418">
        <f>Model!CO572</f>
        <v>0</v>
      </c>
      <c r="CH418">
        <f>Model!CP572</f>
        <v>0</v>
      </c>
      <c r="CI418">
        <f>Model!CQ572</f>
        <v>0</v>
      </c>
      <c r="CJ418">
        <f>Model!CR572</f>
        <v>0</v>
      </c>
      <c r="CK418">
        <f>Model!CS572</f>
        <v>0</v>
      </c>
      <c r="CL418">
        <f>Model!CT572</f>
        <v>0</v>
      </c>
      <c r="CM418">
        <f>Model!CU572</f>
        <v>0</v>
      </c>
      <c r="CN418">
        <f>Model!CV572</f>
        <v>0</v>
      </c>
      <c r="CO418">
        <f>Model!CW572</f>
        <v>0</v>
      </c>
      <c r="CP418">
        <f>Model!CX572</f>
        <v>0</v>
      </c>
      <c r="CQ418">
        <f>Model!CY572</f>
        <v>0</v>
      </c>
      <c r="CR418">
        <f>Model!DG572</f>
        <v>0</v>
      </c>
      <c r="CS418">
        <f>Model!DH572</f>
        <v>0</v>
      </c>
      <c r="CT418">
        <f>Model!DI572</f>
        <v>0</v>
      </c>
      <c r="CU418">
        <f>Model!DJ572</f>
        <v>0</v>
      </c>
    </row>
    <row r="419" spans="1:99">
      <c r="A419" t="str">
        <f>Model!I573</f>
        <v>Adj. EBIT</v>
      </c>
      <c r="B419">
        <f>Model!J573</f>
        <v>0</v>
      </c>
      <c r="C419">
        <f>Model!K573</f>
        <v>0</v>
      </c>
      <c r="D419">
        <f>Model!L573</f>
        <v>0</v>
      </c>
      <c r="E419">
        <f>Model!M573</f>
        <v>0</v>
      </c>
      <c r="F419">
        <f>Model!N573</f>
        <v>0</v>
      </c>
      <c r="G419">
        <f>Model!O573</f>
        <v>0</v>
      </c>
      <c r="H419">
        <f>Model!P573</f>
        <v>0</v>
      </c>
      <c r="I419">
        <f>Model!Q573</f>
        <v>0</v>
      </c>
      <c r="J419">
        <f>Model!R573</f>
        <v>0</v>
      </c>
      <c r="K419">
        <f>Model!S573</f>
        <v>0</v>
      </c>
      <c r="L419">
        <f>Model!T573</f>
        <v>0</v>
      </c>
      <c r="M419">
        <f>Model!U573</f>
        <v>0</v>
      </c>
      <c r="N419">
        <f>Model!V573</f>
        <v>0</v>
      </c>
      <c r="O419">
        <f>Model!W573</f>
        <v>0</v>
      </c>
      <c r="P419">
        <f>Model!X573</f>
        <v>0</v>
      </c>
      <c r="Q419">
        <f>Model!Y573</f>
        <v>0</v>
      </c>
      <c r="R419">
        <f>Model!Z573</f>
        <v>0</v>
      </c>
      <c r="S419">
        <f>Model!AA573</f>
        <v>0</v>
      </c>
      <c r="T419">
        <f>Model!AB573</f>
        <v>0</v>
      </c>
      <c r="U419">
        <f>Model!AC573</f>
        <v>0</v>
      </c>
      <c r="V419">
        <f>Model!AD573</f>
        <v>0</v>
      </c>
      <c r="W419">
        <f>Model!AE573</f>
        <v>0</v>
      </c>
      <c r="X419">
        <f>Model!AF573</f>
        <v>0</v>
      </c>
      <c r="Y419">
        <f>Model!AG573</f>
        <v>0</v>
      </c>
      <c r="Z419">
        <f>Model!AH573</f>
        <v>0</v>
      </c>
      <c r="AA419">
        <f>Model!AI573</f>
        <v>0</v>
      </c>
      <c r="AB419">
        <f>Model!AJ573</f>
        <v>0</v>
      </c>
      <c r="AC419">
        <f>Model!AK573</f>
        <v>0</v>
      </c>
      <c r="AD419">
        <f>Model!AL573</f>
        <v>0</v>
      </c>
      <c r="AE419">
        <f>Model!AM573</f>
        <v>0</v>
      </c>
      <c r="AF419">
        <f>Model!AN573</f>
        <v>0</v>
      </c>
      <c r="AG419">
        <f>Model!AO573</f>
        <v>0</v>
      </c>
      <c r="AH419">
        <f>Model!AP573</f>
        <v>0</v>
      </c>
      <c r="AI419">
        <f>Model!AQ573</f>
        <v>0</v>
      </c>
      <c r="AJ419">
        <f>Model!AR573</f>
        <v>0</v>
      </c>
      <c r="AK419">
        <f>Model!AS573</f>
        <v>0</v>
      </c>
      <c r="AL419">
        <f>Model!AT573</f>
        <v>0</v>
      </c>
      <c r="AM419">
        <f>Model!AU573</f>
        <v>0</v>
      </c>
      <c r="AN419">
        <f>Model!AV573</f>
        <v>0</v>
      </c>
      <c r="AO419">
        <f>Model!AW573</f>
        <v>0</v>
      </c>
      <c r="AP419">
        <f>Model!AX573</f>
        <v>0</v>
      </c>
      <c r="AQ419">
        <f>Model!AY573</f>
        <v>0</v>
      </c>
      <c r="AR419">
        <f>Model!AZ573</f>
        <v>0</v>
      </c>
      <c r="AS419">
        <f>Model!BA573</f>
        <v>0</v>
      </c>
      <c r="AT419">
        <f>Model!BB573</f>
        <v>0</v>
      </c>
      <c r="AU419">
        <f>Model!BC573</f>
        <v>0</v>
      </c>
      <c r="AV419">
        <f>Model!BD573</f>
        <v>0</v>
      </c>
      <c r="AW419">
        <f>Model!BE573</f>
        <v>0</v>
      </c>
      <c r="AX419">
        <f>Model!BF573</f>
        <v>0</v>
      </c>
      <c r="AY419">
        <f>Model!BG573</f>
        <v>0</v>
      </c>
      <c r="AZ419">
        <f>Model!BH573</f>
        <v>0</v>
      </c>
      <c r="BA419">
        <f>Model!BI573</f>
        <v>361.37599999999986</v>
      </c>
      <c r="BB419">
        <f>Model!BJ573</f>
        <v>610.77099999999996</v>
      </c>
      <c r="BC419">
        <f>Model!BK573</f>
        <v>1104.2979999999998</v>
      </c>
      <c r="BD419">
        <f>Model!BL573</f>
        <v>566.7879999999999</v>
      </c>
      <c r="BE419">
        <f>Model!BM573</f>
        <v>500.35300000000007</v>
      </c>
      <c r="BF419">
        <f>Model!BN573</f>
        <v>791.13200000000006</v>
      </c>
      <c r="BG419">
        <f>Model!BO573</f>
        <v>1404.6250000000002</v>
      </c>
      <c r="BH419">
        <f>Model!BP573</f>
        <v>693.2059999999999</v>
      </c>
      <c r="BI419">
        <f>Model!BQ573</f>
        <v>514.90099999999984</v>
      </c>
      <c r="BJ419">
        <f>Model!BR573</f>
        <v>781.14800000000014</v>
      </c>
      <c r="BK419">
        <f>Model!BS573</f>
        <v>1575.5549999999998</v>
      </c>
      <c r="BL419">
        <f>Model!BT573</f>
        <v>775.61599999999976</v>
      </c>
      <c r="BM419">
        <f>Model!BU573</f>
        <v>658.70299999999952</v>
      </c>
      <c r="BN419">
        <f>Model!BV573</f>
        <v>830.42400000000021</v>
      </c>
      <c r="BO419">
        <f>Model!BW573</f>
        <v>1869.9500000000005</v>
      </c>
      <c r="BP419">
        <f>Model!BX573</f>
        <v>906.58599999999979</v>
      </c>
      <c r="BQ419">
        <f>Model!BY573</f>
        <v>658.42799999999988</v>
      </c>
      <c r="BR419">
        <f>Model!BZ573</f>
        <v>1001.2990000000004</v>
      </c>
      <c r="BS419">
        <f>Model!CA573</f>
        <v>2213.5190000000002</v>
      </c>
      <c r="BT419">
        <f>Model!CB573</f>
        <v>1101.1989999999998</v>
      </c>
      <c r="BU419">
        <f>Model!CC573</f>
        <v>773.45392899676654</v>
      </c>
      <c r="BV419">
        <f>Model!CD573</f>
        <v>1221.4624903363274</v>
      </c>
      <c r="BW419">
        <f>Model!CE573</f>
        <v>2563.696760317031</v>
      </c>
      <c r="BX419">
        <f>Model!CF573</f>
        <v>1395.7045059972868</v>
      </c>
      <c r="BY419">
        <f>Model!CG573</f>
        <v>0</v>
      </c>
      <c r="BZ419">
        <f>Model!CH573</f>
        <v>0</v>
      </c>
      <c r="CA419">
        <f>Model!CI573</f>
        <v>0</v>
      </c>
      <c r="CB419">
        <f>Model!CJ573</f>
        <v>0</v>
      </c>
      <c r="CC419">
        <f>Model!CK573</f>
        <v>0</v>
      </c>
      <c r="CD419">
        <f>Model!CL573</f>
        <v>0</v>
      </c>
      <c r="CE419">
        <f>Model!CM573</f>
        <v>0</v>
      </c>
      <c r="CF419">
        <f>Model!CN573</f>
        <v>0</v>
      </c>
      <c r="CG419">
        <f>Model!CO573</f>
        <v>0</v>
      </c>
      <c r="CH419">
        <f>Model!CP573</f>
        <v>0</v>
      </c>
      <c r="CI419">
        <f>Model!CQ573</f>
        <v>888.18099999999981</v>
      </c>
      <c r="CJ419">
        <f>Model!CR573</f>
        <v>1497.2560000000005</v>
      </c>
      <c r="CK419">
        <f>Model!CS573</f>
        <v>1949.8060000000009</v>
      </c>
      <c r="CL419">
        <f>Model!CT573</f>
        <v>2643.2330000000002</v>
      </c>
      <c r="CM419">
        <f>Model!CU573</f>
        <v>3389.3159999999989</v>
      </c>
      <c r="CN419">
        <f>Model!CV573</f>
        <v>3647.2199999999993</v>
      </c>
      <c r="CO419">
        <f>Model!CW573</f>
        <v>4265.6629999999996</v>
      </c>
      <c r="CP419">
        <f>Model!CX573</f>
        <v>4974.4449999999988</v>
      </c>
      <c r="CQ419">
        <f>Model!CY573</f>
        <v>5954.3176856474129</v>
      </c>
      <c r="CR419">
        <f>Model!DG573</f>
        <v>0</v>
      </c>
      <c r="CS419">
        <f>Model!DH573</f>
        <v>0</v>
      </c>
      <c r="CT419">
        <f>Model!DI573</f>
        <v>0</v>
      </c>
      <c r="CU419">
        <f>Model!DJ573</f>
        <v>0</v>
      </c>
    </row>
    <row r="420" spans="1:99">
      <c r="A420" t="str">
        <f>Model!I574</f>
        <v>GAAP EBIT (Total)</v>
      </c>
      <c r="B420">
        <f>Model!J574</f>
        <v>0</v>
      </c>
      <c r="C420">
        <f>Model!K574</f>
        <v>0</v>
      </c>
      <c r="D420">
        <f>Model!L574</f>
        <v>0</v>
      </c>
      <c r="E420">
        <f>Model!M574</f>
        <v>0</v>
      </c>
      <c r="F420">
        <f>Model!N574</f>
        <v>0</v>
      </c>
      <c r="G420">
        <f>Model!O574</f>
        <v>0</v>
      </c>
      <c r="H420">
        <f>Model!P574</f>
        <v>0</v>
      </c>
      <c r="I420">
        <f>Model!Q574</f>
        <v>0</v>
      </c>
      <c r="J420">
        <f>Model!R574</f>
        <v>0</v>
      </c>
      <c r="K420">
        <f>Model!S574</f>
        <v>0</v>
      </c>
      <c r="L420">
        <f>Model!T574</f>
        <v>0</v>
      </c>
      <c r="M420">
        <f>Model!U574</f>
        <v>0</v>
      </c>
      <c r="N420">
        <f>Model!V574</f>
        <v>0</v>
      </c>
      <c r="O420">
        <f>Model!W574</f>
        <v>0</v>
      </c>
      <c r="P420">
        <f>Model!X574</f>
        <v>0</v>
      </c>
      <c r="Q420">
        <f>Model!Y574</f>
        <v>0</v>
      </c>
      <c r="R420">
        <f>Model!Z574</f>
        <v>0</v>
      </c>
      <c r="S420">
        <f>Model!AA574</f>
        <v>0</v>
      </c>
      <c r="T420">
        <f>Model!AB574</f>
        <v>0</v>
      </c>
      <c r="U420">
        <f>Model!AC574</f>
        <v>0</v>
      </c>
      <c r="V420">
        <f>Model!AD574</f>
        <v>0</v>
      </c>
      <c r="W420">
        <f>Model!AE574</f>
        <v>0</v>
      </c>
      <c r="X420">
        <f>Model!AF574</f>
        <v>0</v>
      </c>
      <c r="Y420">
        <f>Model!AG574</f>
        <v>0</v>
      </c>
      <c r="Z420">
        <f>Model!AH574</f>
        <v>0</v>
      </c>
      <c r="AA420">
        <f>Model!AI574</f>
        <v>0</v>
      </c>
      <c r="AB420">
        <f>Model!AJ574</f>
        <v>0</v>
      </c>
      <c r="AC420">
        <f>Model!AK574</f>
        <v>0</v>
      </c>
      <c r="AD420">
        <f>Model!AL574</f>
        <v>0</v>
      </c>
      <c r="AE420">
        <f>Model!AM574</f>
        <v>0</v>
      </c>
      <c r="AF420">
        <f>Model!AN574</f>
        <v>0</v>
      </c>
      <c r="AG420">
        <f>Model!AO574</f>
        <v>0</v>
      </c>
      <c r="AH420">
        <f>Model!AP574</f>
        <v>0</v>
      </c>
      <c r="AI420">
        <f>Model!AQ574</f>
        <v>0</v>
      </c>
      <c r="AJ420">
        <f>Model!AR574</f>
        <v>0</v>
      </c>
      <c r="AK420">
        <f>Model!AS574</f>
        <v>0</v>
      </c>
      <c r="AL420">
        <f>Model!AT574</f>
        <v>0</v>
      </c>
      <c r="AM420">
        <f>Model!AU574</f>
        <v>0</v>
      </c>
      <c r="AN420">
        <f>Model!AV574</f>
        <v>0</v>
      </c>
      <c r="AO420">
        <f>Model!AW574</f>
        <v>0</v>
      </c>
      <c r="AP420">
        <f>Model!AX574</f>
        <v>0</v>
      </c>
      <c r="AQ420">
        <f>Model!AY574</f>
        <v>0</v>
      </c>
      <c r="AR420">
        <f>Model!AZ574</f>
        <v>0</v>
      </c>
      <c r="AS420">
        <f>Model!BA574</f>
        <v>0</v>
      </c>
      <c r="AT420">
        <f>Model!BB574</f>
        <v>0</v>
      </c>
      <c r="AU420">
        <f>Model!BC574</f>
        <v>0</v>
      </c>
      <c r="AV420">
        <f>Model!BD574</f>
        <v>0</v>
      </c>
      <c r="AW420">
        <f>Model!BE574</f>
        <v>0</v>
      </c>
      <c r="AX420">
        <f>Model!BF574</f>
        <v>0</v>
      </c>
      <c r="AY420">
        <f>Model!BG574</f>
        <v>0</v>
      </c>
      <c r="AZ420">
        <f>Model!BH574</f>
        <v>0</v>
      </c>
      <c r="BA420">
        <f>Model!BI574</f>
        <v>309.83899999999994</v>
      </c>
      <c r="BB420">
        <f>Model!BJ574</f>
        <v>554.83100000000002</v>
      </c>
      <c r="BC420">
        <f>Model!BK574</f>
        <v>1046.8969999999995</v>
      </c>
      <c r="BD420">
        <f>Model!BL574</f>
        <v>500.84699999999998</v>
      </c>
      <c r="BE420">
        <f>Model!BM574</f>
        <v>438.72600000000011</v>
      </c>
      <c r="BF420">
        <f>Model!BN574</f>
        <v>733.01400000000012</v>
      </c>
      <c r="BG420">
        <f>Model!BO574</f>
        <v>1322.7050000000002</v>
      </c>
      <c r="BH420">
        <f>Model!BP574</f>
        <v>578.86699999999996</v>
      </c>
      <c r="BI420">
        <f>Model!BQ574</f>
        <v>433.96899999999982</v>
      </c>
      <c r="BJ420">
        <f>Model!BR574</f>
        <v>678.33100000000013</v>
      </c>
      <c r="BK420">
        <f>Model!BS574</f>
        <v>1488.7069999999999</v>
      </c>
      <c r="BL420">
        <f>Model!BT574</f>
        <v>657.89999999999964</v>
      </c>
      <c r="BM420">
        <f>Model!BU574</f>
        <v>550.31799999999953</v>
      </c>
      <c r="BN420">
        <f>Model!BV574</f>
        <v>732.40700000000015</v>
      </c>
      <c r="BO420">
        <f>Model!BW574</f>
        <v>833.22700000000032</v>
      </c>
      <c r="BP420">
        <f>Model!BX574</f>
        <v>790.36099999999965</v>
      </c>
      <c r="BQ420">
        <f>Model!BY574</f>
        <v>556.46199999999976</v>
      </c>
      <c r="BR420">
        <f>Model!BZ574</f>
        <v>893.25900000000047</v>
      </c>
      <c r="BS420">
        <f>Model!CA574</f>
        <v>2101.8010000000004</v>
      </c>
      <c r="BT420">
        <f>Model!CB574</f>
        <v>986.4699999999998</v>
      </c>
      <c r="BU420">
        <f>Model!CC574</f>
        <v>666.77208899676634</v>
      </c>
      <c r="BV420">
        <f>Model!CD574</f>
        <v>1108.0721703363274</v>
      </c>
      <c r="BW420">
        <f>Model!CE574</f>
        <v>2446.665080317031</v>
      </c>
      <c r="BX420">
        <f>Model!CF574</f>
        <v>1275.4825459972867</v>
      </c>
      <c r="BY420">
        <f>Model!CG574</f>
        <v>0</v>
      </c>
      <c r="BZ420">
        <f>Model!CH574</f>
        <v>0</v>
      </c>
      <c r="CA420">
        <f>Model!CI574</f>
        <v>0</v>
      </c>
      <c r="CB420">
        <f>Model!CJ574</f>
        <v>0</v>
      </c>
      <c r="CC420">
        <f>Model!CK574</f>
        <v>0</v>
      </c>
      <c r="CD420">
        <f>Model!CL574</f>
        <v>0</v>
      </c>
      <c r="CE420">
        <f>Model!CM574</f>
        <v>0</v>
      </c>
      <c r="CF420">
        <f>Model!CN574</f>
        <v>0</v>
      </c>
      <c r="CG420">
        <f>Model!CO574</f>
        <v>0</v>
      </c>
      <c r="CH420">
        <f>Model!CP574</f>
        <v>0</v>
      </c>
      <c r="CI420">
        <f>Model!CQ574</f>
        <v>791.49799999999982</v>
      </c>
      <c r="CJ420">
        <f>Model!CR574</f>
        <v>1398.9220000000007</v>
      </c>
      <c r="CK420">
        <f>Model!CS574</f>
        <v>1829.793000000001</v>
      </c>
      <c r="CL420">
        <f>Model!CT574</f>
        <v>2412.4140000000002</v>
      </c>
      <c r="CM420">
        <f>Model!CU574</f>
        <v>3073.311999999999</v>
      </c>
      <c r="CN420">
        <f>Model!CV574</f>
        <v>3258.9069999999983</v>
      </c>
      <c r="CO420">
        <f>Model!CW574</f>
        <v>2906.3130000000001</v>
      </c>
      <c r="CP420">
        <f>Model!CX574</f>
        <v>4537.9919999999984</v>
      </c>
      <c r="CQ420">
        <f>Model!CY574</f>
        <v>5496.9918856474142</v>
      </c>
      <c r="CR420">
        <f>Model!DG574</f>
        <v>0</v>
      </c>
      <c r="CS420">
        <f>Model!DH574</f>
        <v>0</v>
      </c>
      <c r="CT420">
        <f>Model!DI574</f>
        <v>0</v>
      </c>
      <c r="CU420">
        <f>Model!DJ574</f>
        <v>0</v>
      </c>
    </row>
    <row r="421" spans="1:99">
      <c r="A421">
        <f>Model!I575</f>
        <v>0</v>
      </c>
      <c r="B421">
        <f>Model!J575</f>
        <v>0</v>
      </c>
      <c r="C421">
        <f>Model!K575</f>
        <v>0</v>
      </c>
      <c r="D421">
        <f>Model!L575</f>
        <v>0</v>
      </c>
      <c r="E421">
        <f>Model!M575</f>
        <v>0</v>
      </c>
      <c r="F421">
        <f>Model!N575</f>
        <v>0</v>
      </c>
      <c r="G421">
        <f>Model!O575</f>
        <v>0</v>
      </c>
      <c r="H421">
        <f>Model!P575</f>
        <v>0</v>
      </c>
      <c r="I421">
        <f>Model!Q575</f>
        <v>0</v>
      </c>
      <c r="J421">
        <f>Model!R575</f>
        <v>0</v>
      </c>
      <c r="K421">
        <f>Model!S575</f>
        <v>0</v>
      </c>
      <c r="L421">
        <f>Model!T575</f>
        <v>0</v>
      </c>
      <c r="M421">
        <f>Model!U575</f>
        <v>0</v>
      </c>
      <c r="N421">
        <f>Model!V575</f>
        <v>0</v>
      </c>
      <c r="O421">
        <f>Model!W575</f>
        <v>0</v>
      </c>
      <c r="P421">
        <f>Model!X575</f>
        <v>0</v>
      </c>
      <c r="Q421">
        <f>Model!Y575</f>
        <v>0</v>
      </c>
      <c r="R421">
        <f>Model!Z575</f>
        <v>0</v>
      </c>
      <c r="S421">
        <f>Model!AA575</f>
        <v>0</v>
      </c>
      <c r="T421">
        <f>Model!AB575</f>
        <v>0</v>
      </c>
      <c r="U421">
        <f>Model!AC575</f>
        <v>0</v>
      </c>
      <c r="V421">
        <f>Model!AD575</f>
        <v>0</v>
      </c>
      <c r="W421">
        <f>Model!AE575</f>
        <v>0</v>
      </c>
      <c r="X421">
        <f>Model!AF575</f>
        <v>0</v>
      </c>
      <c r="Y421">
        <f>Model!AG575</f>
        <v>0</v>
      </c>
      <c r="Z421">
        <f>Model!AH575</f>
        <v>0</v>
      </c>
      <c r="AA421">
        <f>Model!AI575</f>
        <v>0</v>
      </c>
      <c r="AB421">
        <f>Model!AJ575</f>
        <v>0</v>
      </c>
      <c r="AC421">
        <f>Model!AK575</f>
        <v>0</v>
      </c>
      <c r="AD421">
        <f>Model!AL575</f>
        <v>0</v>
      </c>
      <c r="AE421">
        <f>Model!AM575</f>
        <v>0</v>
      </c>
      <c r="AF421">
        <f>Model!AN575</f>
        <v>0</v>
      </c>
      <c r="AG421">
        <f>Model!AO575</f>
        <v>0</v>
      </c>
      <c r="AH421">
        <f>Model!AP575</f>
        <v>0</v>
      </c>
      <c r="AI421">
        <f>Model!AQ575</f>
        <v>0</v>
      </c>
      <c r="AJ421">
        <f>Model!AR575</f>
        <v>0</v>
      </c>
      <c r="AK421">
        <f>Model!AS575</f>
        <v>0</v>
      </c>
      <c r="AL421">
        <f>Model!AT575</f>
        <v>0</v>
      </c>
      <c r="AM421">
        <f>Model!AU575</f>
        <v>0</v>
      </c>
      <c r="AN421">
        <f>Model!AV575</f>
        <v>0</v>
      </c>
      <c r="AO421">
        <f>Model!AW575</f>
        <v>0</v>
      </c>
      <c r="AP421">
        <f>Model!AX575</f>
        <v>0</v>
      </c>
      <c r="AQ421">
        <f>Model!AY575</f>
        <v>0</v>
      </c>
      <c r="AR421">
        <f>Model!AZ575</f>
        <v>0</v>
      </c>
      <c r="AS421">
        <f>Model!BA575</f>
        <v>0</v>
      </c>
      <c r="AT421">
        <f>Model!BB575</f>
        <v>0</v>
      </c>
      <c r="AU421">
        <f>Model!BC575</f>
        <v>0</v>
      </c>
      <c r="AV421">
        <f>Model!BD575</f>
        <v>0</v>
      </c>
      <c r="AW421">
        <f>Model!BE575</f>
        <v>0</v>
      </c>
      <c r="AX421">
        <f>Model!BF575</f>
        <v>0</v>
      </c>
      <c r="AY421">
        <f>Model!BG575</f>
        <v>0</v>
      </c>
      <c r="AZ421">
        <f>Model!BH575</f>
        <v>0</v>
      </c>
      <c r="BA421">
        <f>Model!BI575</f>
        <v>0</v>
      </c>
      <c r="BB421">
        <f>Model!BJ575</f>
        <v>0</v>
      </c>
      <c r="BC421">
        <f>Model!BK575</f>
        <v>0</v>
      </c>
      <c r="BD421">
        <f>Model!BL575</f>
        <v>0</v>
      </c>
      <c r="BE421">
        <f>Model!BM575</f>
        <v>0</v>
      </c>
      <c r="BF421">
        <f>Model!BN575</f>
        <v>0</v>
      </c>
      <c r="BG421">
        <f>Model!BO575</f>
        <v>0</v>
      </c>
      <c r="BH421">
        <f>Model!BP575</f>
        <v>0</v>
      </c>
      <c r="BI421">
        <f>Model!BQ575</f>
        <v>0</v>
      </c>
      <c r="BJ421">
        <f>Model!BR575</f>
        <v>0</v>
      </c>
      <c r="BK421">
        <f>Model!BS575</f>
        <v>0</v>
      </c>
      <c r="BL421">
        <f>Model!BT575</f>
        <v>0</v>
      </c>
      <c r="BM421">
        <f>Model!BU575</f>
        <v>0</v>
      </c>
      <c r="BN421">
        <f>Model!BV575</f>
        <v>0</v>
      </c>
      <c r="BO421">
        <f>Model!BW575</f>
        <v>0</v>
      </c>
      <c r="BP421">
        <f>Model!BX575</f>
        <v>0</v>
      </c>
      <c r="BQ421">
        <f>Model!BY575</f>
        <v>0</v>
      </c>
      <c r="BR421">
        <f>Model!BZ575</f>
        <v>0</v>
      </c>
      <c r="BS421">
        <f>Model!CA575</f>
        <v>0</v>
      </c>
      <c r="BT421">
        <f>Model!CB575</f>
        <v>0</v>
      </c>
      <c r="BU421">
        <f>Model!CC575</f>
        <v>0</v>
      </c>
      <c r="BV421">
        <f>Model!CD575</f>
        <v>0</v>
      </c>
      <c r="BW421">
        <f>Model!CE575</f>
        <v>0</v>
      </c>
      <c r="BX421">
        <f>Model!CF575</f>
        <v>0</v>
      </c>
      <c r="BY421">
        <f>Model!CG575</f>
        <v>0</v>
      </c>
      <c r="BZ421">
        <f>Model!CH575</f>
        <v>0</v>
      </c>
      <c r="CA421">
        <f>Model!CI575</f>
        <v>0</v>
      </c>
      <c r="CB421">
        <f>Model!CJ575</f>
        <v>0</v>
      </c>
      <c r="CC421">
        <f>Model!CK575</f>
        <v>0</v>
      </c>
      <c r="CD421">
        <f>Model!CL575</f>
        <v>0</v>
      </c>
      <c r="CE421">
        <f>Model!CM575</f>
        <v>0</v>
      </c>
      <c r="CF421">
        <f>Model!CN575</f>
        <v>0</v>
      </c>
      <c r="CG421">
        <f>Model!CO575</f>
        <v>0</v>
      </c>
      <c r="CH421">
        <f>Model!CP575</f>
        <v>0</v>
      </c>
      <c r="CI421">
        <f>Model!CQ575</f>
        <v>0</v>
      </c>
      <c r="CJ421">
        <f>Model!CR575</f>
        <v>0</v>
      </c>
      <c r="CK421">
        <f>Model!CS575</f>
        <v>0</v>
      </c>
      <c r="CL421">
        <f>Model!CT575</f>
        <v>0</v>
      </c>
      <c r="CM421">
        <f>Model!CU575</f>
        <v>0</v>
      </c>
      <c r="CN421">
        <f>Model!CV575</f>
        <v>0</v>
      </c>
      <c r="CO421">
        <f>Model!CW575</f>
        <v>0</v>
      </c>
      <c r="CP421">
        <f>Model!CX575</f>
        <v>0</v>
      </c>
      <c r="CQ421">
        <f>Model!CY575</f>
        <v>0</v>
      </c>
      <c r="CR421">
        <f>Model!DG575</f>
        <v>0</v>
      </c>
      <c r="CS421">
        <f>Model!DH575</f>
        <v>0</v>
      </c>
      <c r="CT421">
        <f>Model!DI575</f>
        <v>0</v>
      </c>
      <c r="CU421">
        <f>Model!DJ575</f>
        <v>0</v>
      </c>
    </row>
    <row r="422" spans="1:99">
      <c r="A422" t="str">
        <f>Model!I576</f>
        <v>Adjusted taxes:</v>
      </c>
      <c r="B422">
        <f>Model!J576</f>
        <v>0</v>
      </c>
      <c r="C422">
        <f>Model!K576</f>
        <v>0</v>
      </c>
      <c r="D422">
        <f>Model!L576</f>
        <v>0</v>
      </c>
      <c r="E422">
        <f>Model!M576</f>
        <v>0</v>
      </c>
      <c r="F422">
        <f>Model!N576</f>
        <v>0</v>
      </c>
      <c r="G422">
        <f>Model!O576</f>
        <v>0</v>
      </c>
      <c r="H422">
        <f>Model!P576</f>
        <v>0</v>
      </c>
      <c r="I422">
        <f>Model!Q576</f>
        <v>0</v>
      </c>
      <c r="J422">
        <f>Model!R576</f>
        <v>0</v>
      </c>
      <c r="K422">
        <f>Model!S576</f>
        <v>0</v>
      </c>
      <c r="L422">
        <f>Model!T576</f>
        <v>0</v>
      </c>
      <c r="M422">
        <f>Model!U576</f>
        <v>0</v>
      </c>
      <c r="N422">
        <f>Model!V576</f>
        <v>0</v>
      </c>
      <c r="O422">
        <f>Model!W576</f>
        <v>0</v>
      </c>
      <c r="P422">
        <f>Model!X576</f>
        <v>0</v>
      </c>
      <c r="Q422">
        <f>Model!Y576</f>
        <v>0</v>
      </c>
      <c r="R422">
        <f>Model!Z576</f>
        <v>0</v>
      </c>
      <c r="S422">
        <f>Model!AA576</f>
        <v>0</v>
      </c>
      <c r="T422">
        <f>Model!AB576</f>
        <v>0</v>
      </c>
      <c r="U422">
        <f>Model!AC576</f>
        <v>0</v>
      </c>
      <c r="V422">
        <f>Model!AD576</f>
        <v>0</v>
      </c>
      <c r="W422">
        <f>Model!AE576</f>
        <v>0</v>
      </c>
      <c r="X422">
        <f>Model!AF576</f>
        <v>0</v>
      </c>
      <c r="Y422">
        <f>Model!AG576</f>
        <v>0</v>
      </c>
      <c r="Z422">
        <f>Model!AH576</f>
        <v>0</v>
      </c>
      <c r="AA422">
        <f>Model!AI576</f>
        <v>0</v>
      </c>
      <c r="AB422">
        <f>Model!AJ576</f>
        <v>0</v>
      </c>
      <c r="AC422">
        <f>Model!AK576</f>
        <v>0</v>
      </c>
      <c r="AD422">
        <f>Model!AL576</f>
        <v>0</v>
      </c>
      <c r="AE422">
        <f>Model!AM576</f>
        <v>0</v>
      </c>
      <c r="AF422">
        <f>Model!AN576</f>
        <v>0</v>
      </c>
      <c r="AG422">
        <f>Model!AO576</f>
        <v>0</v>
      </c>
      <c r="AH422">
        <f>Model!AP576</f>
        <v>0</v>
      </c>
      <c r="AI422">
        <f>Model!AQ576</f>
        <v>0</v>
      </c>
      <c r="AJ422">
        <f>Model!AR576</f>
        <v>0</v>
      </c>
      <c r="AK422">
        <f>Model!AS576</f>
        <v>0</v>
      </c>
      <c r="AL422">
        <f>Model!AT576</f>
        <v>0</v>
      </c>
      <c r="AM422">
        <f>Model!AU576</f>
        <v>0</v>
      </c>
      <c r="AN422">
        <f>Model!AV576</f>
        <v>0</v>
      </c>
      <c r="AO422">
        <f>Model!AW576</f>
        <v>0</v>
      </c>
      <c r="AP422">
        <f>Model!AX576</f>
        <v>0</v>
      </c>
      <c r="AQ422">
        <f>Model!AY576</f>
        <v>0</v>
      </c>
      <c r="AR422">
        <f>Model!AZ576</f>
        <v>0</v>
      </c>
      <c r="AS422">
        <f>Model!BA576</f>
        <v>0</v>
      </c>
      <c r="AT422">
        <f>Model!BB576</f>
        <v>0</v>
      </c>
      <c r="AU422">
        <f>Model!BC576</f>
        <v>0</v>
      </c>
      <c r="AV422">
        <f>Model!BD576</f>
        <v>0</v>
      </c>
      <c r="AW422">
        <f>Model!BE576</f>
        <v>0</v>
      </c>
      <c r="AX422">
        <f>Model!BF576</f>
        <v>0</v>
      </c>
      <c r="AY422">
        <f>Model!BG576</f>
        <v>0</v>
      </c>
      <c r="AZ422">
        <f>Model!BH576</f>
        <v>0</v>
      </c>
      <c r="BA422">
        <f>Model!BI576</f>
        <v>0</v>
      </c>
      <c r="BB422">
        <f>Model!BJ576</f>
        <v>0</v>
      </c>
      <c r="BC422">
        <f>Model!BK576</f>
        <v>0</v>
      </c>
      <c r="BD422">
        <f>Model!BL576</f>
        <v>0</v>
      </c>
      <c r="BE422">
        <f>Model!BM576</f>
        <v>0</v>
      </c>
      <c r="BF422">
        <f>Model!BN576</f>
        <v>0</v>
      </c>
      <c r="BG422">
        <f>Model!BO576</f>
        <v>0</v>
      </c>
      <c r="BH422">
        <f>Model!BP576</f>
        <v>0</v>
      </c>
      <c r="BI422">
        <f>Model!BQ576</f>
        <v>0</v>
      </c>
      <c r="BJ422">
        <f>Model!BR576</f>
        <v>0</v>
      </c>
      <c r="BK422">
        <f>Model!BS576</f>
        <v>0</v>
      </c>
      <c r="BL422">
        <f>Model!BT576</f>
        <v>0</v>
      </c>
      <c r="BM422">
        <f>Model!BU576</f>
        <v>0</v>
      </c>
      <c r="BN422">
        <f>Model!BV576</f>
        <v>0</v>
      </c>
      <c r="BO422">
        <f>Model!BW576</f>
        <v>0</v>
      </c>
      <c r="BP422">
        <f>Model!BX576</f>
        <v>0</v>
      </c>
      <c r="BQ422">
        <f>Model!BY576</f>
        <v>0</v>
      </c>
      <c r="BR422">
        <f>Model!BZ576</f>
        <v>0</v>
      </c>
      <c r="BS422">
        <f>Model!CA576</f>
        <v>0</v>
      </c>
      <c r="BT422">
        <f>Model!CB576</f>
        <v>0</v>
      </c>
      <c r="BU422">
        <f>Model!CC576</f>
        <v>0</v>
      </c>
      <c r="BV422">
        <f>Model!CD576</f>
        <v>0</v>
      </c>
      <c r="BW422">
        <f>Model!CE576</f>
        <v>0</v>
      </c>
      <c r="BX422">
        <f>Model!CF576</f>
        <v>0</v>
      </c>
      <c r="BY422">
        <f>Model!CG576</f>
        <v>0</v>
      </c>
      <c r="BZ422">
        <f>Model!CH576</f>
        <v>0</v>
      </c>
      <c r="CA422">
        <f>Model!CI576</f>
        <v>0</v>
      </c>
      <c r="CB422">
        <f>Model!CJ576</f>
        <v>0</v>
      </c>
      <c r="CC422">
        <f>Model!CK576</f>
        <v>0</v>
      </c>
      <c r="CD422">
        <f>Model!CL576</f>
        <v>0</v>
      </c>
      <c r="CE422">
        <f>Model!CM576</f>
        <v>0</v>
      </c>
      <c r="CF422">
        <f>Model!CN576</f>
        <v>0</v>
      </c>
      <c r="CG422">
        <f>Model!CO576</f>
        <v>0</v>
      </c>
      <c r="CH422">
        <f>Model!CP576</f>
        <v>0</v>
      </c>
      <c r="CI422">
        <f>Model!CQ576</f>
        <v>0</v>
      </c>
      <c r="CJ422">
        <f>Model!CR576</f>
        <v>0</v>
      </c>
      <c r="CK422">
        <f>Model!CS576</f>
        <v>0</v>
      </c>
      <c r="CL422">
        <f>Model!CT576</f>
        <v>0</v>
      </c>
      <c r="CM422">
        <f>Model!CU576</f>
        <v>0</v>
      </c>
      <c r="CN422">
        <f>Model!CV576</f>
        <v>0</v>
      </c>
      <c r="CO422">
        <f>Model!CW576</f>
        <v>0</v>
      </c>
      <c r="CP422">
        <f>Model!CX576</f>
        <v>0</v>
      </c>
      <c r="CQ422">
        <f>Model!CY576</f>
        <v>0</v>
      </c>
      <c r="CR422">
        <f>Model!DG576</f>
        <v>0</v>
      </c>
      <c r="CS422">
        <f>Model!DH576</f>
        <v>0</v>
      </c>
      <c r="CT422">
        <f>Model!DI576</f>
        <v>0</v>
      </c>
      <c r="CU422">
        <f>Model!DJ576</f>
        <v>0</v>
      </c>
    </row>
    <row r="423" spans="1:99">
      <c r="A423" t="str">
        <f>Model!I577</f>
        <v>Taxes on EBIT (at 40%)</v>
      </c>
      <c r="B423">
        <f>Model!J577</f>
        <v>0</v>
      </c>
      <c r="C423">
        <f>Model!K577</f>
        <v>0</v>
      </c>
      <c r="D423">
        <f>Model!L577</f>
        <v>0</v>
      </c>
      <c r="E423">
        <f>Model!M577</f>
        <v>0</v>
      </c>
      <c r="F423">
        <f>Model!N577</f>
        <v>0</v>
      </c>
      <c r="G423">
        <f>Model!O577</f>
        <v>0</v>
      </c>
      <c r="H423">
        <f>Model!P577</f>
        <v>0</v>
      </c>
      <c r="I423">
        <f>Model!Q577</f>
        <v>0</v>
      </c>
      <c r="J423">
        <f>Model!R577</f>
        <v>0</v>
      </c>
      <c r="K423">
        <f>Model!S577</f>
        <v>0</v>
      </c>
      <c r="L423">
        <f>Model!T577</f>
        <v>0</v>
      </c>
      <c r="M423">
        <f>Model!U577</f>
        <v>0</v>
      </c>
      <c r="N423">
        <f>Model!V577</f>
        <v>0</v>
      </c>
      <c r="O423">
        <f>Model!W577</f>
        <v>0</v>
      </c>
      <c r="P423">
        <f>Model!X577</f>
        <v>0</v>
      </c>
      <c r="Q423">
        <f>Model!Y577</f>
        <v>0</v>
      </c>
      <c r="R423">
        <f>Model!Z577</f>
        <v>0</v>
      </c>
      <c r="S423">
        <f>Model!AA577</f>
        <v>0</v>
      </c>
      <c r="T423">
        <f>Model!AB577</f>
        <v>0</v>
      </c>
      <c r="U423">
        <f>Model!AC577</f>
        <v>0</v>
      </c>
      <c r="V423">
        <f>Model!AD577</f>
        <v>0</v>
      </c>
      <c r="W423">
        <f>Model!AE577</f>
        <v>0</v>
      </c>
      <c r="X423">
        <f>Model!AF577</f>
        <v>0</v>
      </c>
      <c r="Y423">
        <f>Model!AG577</f>
        <v>0</v>
      </c>
      <c r="Z423">
        <f>Model!AH577</f>
        <v>0</v>
      </c>
      <c r="AA423">
        <f>Model!AI577</f>
        <v>0</v>
      </c>
      <c r="AB423">
        <f>Model!AJ577</f>
        <v>0</v>
      </c>
      <c r="AC423">
        <f>Model!AK577</f>
        <v>0</v>
      </c>
      <c r="AD423">
        <f>Model!AL577</f>
        <v>0</v>
      </c>
      <c r="AE423">
        <f>Model!AM577</f>
        <v>0</v>
      </c>
      <c r="AF423">
        <f>Model!AN577</f>
        <v>0</v>
      </c>
      <c r="AG423">
        <f>Model!AO577</f>
        <v>0</v>
      </c>
      <c r="AH423">
        <f>Model!AP577</f>
        <v>0</v>
      </c>
      <c r="AI423">
        <f>Model!AQ577</f>
        <v>0</v>
      </c>
      <c r="AJ423">
        <f>Model!AR577</f>
        <v>0</v>
      </c>
      <c r="AK423">
        <f>Model!AS577</f>
        <v>0</v>
      </c>
      <c r="AL423">
        <f>Model!AT577</f>
        <v>0</v>
      </c>
      <c r="AM423">
        <f>Model!AU577</f>
        <v>0</v>
      </c>
      <c r="AN423">
        <f>Model!AV577</f>
        <v>0</v>
      </c>
      <c r="AO423">
        <f>Model!AW577</f>
        <v>0</v>
      </c>
      <c r="AP423">
        <f>Model!AX577</f>
        <v>0</v>
      </c>
      <c r="AQ423">
        <f>Model!AY577</f>
        <v>0</v>
      </c>
      <c r="AR423">
        <f>Model!AZ577</f>
        <v>0</v>
      </c>
      <c r="AS423">
        <f>Model!BA577</f>
        <v>0</v>
      </c>
      <c r="AT423">
        <f>Model!BB577</f>
        <v>0</v>
      </c>
      <c r="AU423">
        <f>Model!BC577</f>
        <v>0</v>
      </c>
      <c r="AV423">
        <f>Model!BD577</f>
        <v>0</v>
      </c>
      <c r="AW423">
        <f>Model!BE577</f>
        <v>0</v>
      </c>
      <c r="AX423">
        <f>Model!BF577</f>
        <v>0</v>
      </c>
      <c r="AY423">
        <f>Model!BG577</f>
        <v>0</v>
      </c>
      <c r="AZ423">
        <f>Model!BH577</f>
        <v>0</v>
      </c>
      <c r="BA423">
        <f>Model!BI577</f>
        <v>-123.93559999999998</v>
      </c>
      <c r="BB423">
        <f>Model!BJ577</f>
        <v>-221.93240000000003</v>
      </c>
      <c r="BC423">
        <f>Model!BK577</f>
        <v>-418.75879999999984</v>
      </c>
      <c r="BD423">
        <f>Model!BL577</f>
        <v>-200.33879999999999</v>
      </c>
      <c r="BE423">
        <f>Model!BM577</f>
        <v>-175.49040000000005</v>
      </c>
      <c r="BF423">
        <f>Model!BN577</f>
        <v>-293.20560000000006</v>
      </c>
      <c r="BG423">
        <f>Model!BO577</f>
        <v>-529.08200000000011</v>
      </c>
      <c r="BH423">
        <f>Model!BP577</f>
        <v>-231.54679999999999</v>
      </c>
      <c r="BI423">
        <f>Model!BQ577</f>
        <v>-173.58759999999995</v>
      </c>
      <c r="BJ423">
        <f>Model!BR577</f>
        <v>-271.33240000000006</v>
      </c>
      <c r="BK423">
        <f>Model!BS577</f>
        <v>-595.4828</v>
      </c>
      <c r="BL423">
        <f>Model!BT577</f>
        <v>-263.15999999999985</v>
      </c>
      <c r="BM423">
        <f>Model!BU577</f>
        <v>-220.12719999999982</v>
      </c>
      <c r="BN423">
        <f>Model!BV577</f>
        <v>-292.96280000000007</v>
      </c>
      <c r="BO423">
        <f>Model!BW577</f>
        <v>-333.29080000000016</v>
      </c>
      <c r="BP423">
        <f>Model!BX577</f>
        <v>-316.14439999999991</v>
      </c>
      <c r="BQ423">
        <f>Model!BY577</f>
        <v>-222.58479999999992</v>
      </c>
      <c r="BR423">
        <f>Model!BZ577</f>
        <v>-357.30360000000019</v>
      </c>
      <c r="BS423">
        <f>Model!CA577</f>
        <v>-840.72040000000015</v>
      </c>
      <c r="BT423">
        <f>Model!CB577</f>
        <v>-394.58799999999997</v>
      </c>
      <c r="BU423">
        <f>Model!CC577</f>
        <v>-266.70883559870657</v>
      </c>
      <c r="BV423">
        <f>Model!CD577</f>
        <v>-443.22886813453101</v>
      </c>
      <c r="BW423">
        <f>Model!CE577</f>
        <v>-978.66603212681241</v>
      </c>
      <c r="BX423">
        <f>Model!CF577</f>
        <v>-510.19301839891472</v>
      </c>
      <c r="BY423">
        <f>Model!CG577</f>
        <v>0</v>
      </c>
      <c r="BZ423">
        <f>Model!CH577</f>
        <v>0</v>
      </c>
      <c r="CA423">
        <f>Model!CI577</f>
        <v>0</v>
      </c>
      <c r="CB423">
        <f>Model!CJ577</f>
        <v>0</v>
      </c>
      <c r="CC423">
        <f>Model!CK577</f>
        <v>0</v>
      </c>
      <c r="CD423">
        <f>Model!CL577</f>
        <v>0</v>
      </c>
      <c r="CE423">
        <f>Model!CM577</f>
        <v>0</v>
      </c>
      <c r="CF423">
        <f>Model!CN577</f>
        <v>0</v>
      </c>
      <c r="CG423">
        <f>Model!CO577</f>
        <v>0</v>
      </c>
      <c r="CH423">
        <f>Model!CP577</f>
        <v>0</v>
      </c>
      <c r="CI423">
        <f>Model!CQ577</f>
        <v>-316.59919999999994</v>
      </c>
      <c r="CJ423">
        <f>Model!CR577</f>
        <v>-559.56880000000035</v>
      </c>
      <c r="CK423">
        <f>Model!CS577</f>
        <v>-731.91720000000043</v>
      </c>
      <c r="CL423">
        <f>Model!CT577</f>
        <v>-964.96560000000011</v>
      </c>
      <c r="CM423">
        <f>Model!CU577</f>
        <v>-1229.3247999999996</v>
      </c>
      <c r="CN423">
        <f>Model!CV577</f>
        <v>-1303.5627999999995</v>
      </c>
      <c r="CO423">
        <f>Model!CW577</f>
        <v>-1162.5252</v>
      </c>
      <c r="CP423">
        <f>Model!CX577</f>
        <v>-1815.1967999999995</v>
      </c>
      <c r="CQ423">
        <f>Model!CY577</f>
        <v>-2198.7967542589658</v>
      </c>
      <c r="CR423">
        <f>Model!DG577</f>
        <v>0</v>
      </c>
      <c r="CS423">
        <f>Model!DH577</f>
        <v>0</v>
      </c>
      <c r="CT423">
        <f>Model!DI577</f>
        <v>0</v>
      </c>
      <c r="CU423">
        <f>Model!DJ577</f>
        <v>0</v>
      </c>
    </row>
    <row r="424" spans="1:99">
      <c r="A424">
        <f>Model!I578</f>
        <v>0</v>
      </c>
      <c r="B424">
        <f>Model!J578</f>
        <v>0</v>
      </c>
      <c r="C424">
        <f>Model!K578</f>
        <v>0</v>
      </c>
      <c r="D424">
        <f>Model!L578</f>
        <v>0</v>
      </c>
      <c r="E424">
        <f>Model!M578</f>
        <v>0</v>
      </c>
      <c r="F424">
        <f>Model!N578</f>
        <v>0</v>
      </c>
      <c r="G424">
        <f>Model!O578</f>
        <v>0</v>
      </c>
      <c r="H424">
        <f>Model!P578</f>
        <v>0</v>
      </c>
      <c r="I424">
        <f>Model!Q578</f>
        <v>0</v>
      </c>
      <c r="J424">
        <f>Model!R578</f>
        <v>0</v>
      </c>
      <c r="K424">
        <f>Model!S578</f>
        <v>0</v>
      </c>
      <c r="L424">
        <f>Model!T578</f>
        <v>0</v>
      </c>
      <c r="M424">
        <f>Model!U578</f>
        <v>0</v>
      </c>
      <c r="N424">
        <f>Model!V578</f>
        <v>0</v>
      </c>
      <c r="O424">
        <f>Model!W578</f>
        <v>0</v>
      </c>
      <c r="P424">
        <f>Model!X578</f>
        <v>0</v>
      </c>
      <c r="Q424">
        <f>Model!Y578</f>
        <v>0</v>
      </c>
      <c r="R424">
        <f>Model!Z578</f>
        <v>0</v>
      </c>
      <c r="S424">
        <f>Model!AA578</f>
        <v>0</v>
      </c>
      <c r="T424">
        <f>Model!AB578</f>
        <v>0</v>
      </c>
      <c r="U424">
        <f>Model!AC578</f>
        <v>0</v>
      </c>
      <c r="V424">
        <f>Model!AD578</f>
        <v>0</v>
      </c>
      <c r="W424">
        <f>Model!AE578</f>
        <v>0</v>
      </c>
      <c r="X424">
        <f>Model!AF578</f>
        <v>0</v>
      </c>
      <c r="Y424">
        <f>Model!AG578</f>
        <v>0</v>
      </c>
      <c r="Z424">
        <f>Model!AH578</f>
        <v>0</v>
      </c>
      <c r="AA424">
        <f>Model!AI578</f>
        <v>0</v>
      </c>
      <c r="AB424">
        <f>Model!AJ578</f>
        <v>0</v>
      </c>
      <c r="AC424">
        <f>Model!AK578</f>
        <v>0</v>
      </c>
      <c r="AD424">
        <f>Model!AL578</f>
        <v>0</v>
      </c>
      <c r="AE424">
        <f>Model!AM578</f>
        <v>0</v>
      </c>
      <c r="AF424">
        <f>Model!AN578</f>
        <v>0</v>
      </c>
      <c r="AG424">
        <f>Model!AO578</f>
        <v>0</v>
      </c>
      <c r="AH424">
        <f>Model!AP578</f>
        <v>0</v>
      </c>
      <c r="AI424">
        <f>Model!AQ578</f>
        <v>0</v>
      </c>
      <c r="AJ424">
        <f>Model!AR578</f>
        <v>0</v>
      </c>
      <c r="AK424">
        <f>Model!AS578</f>
        <v>0</v>
      </c>
      <c r="AL424">
        <f>Model!AT578</f>
        <v>0</v>
      </c>
      <c r="AM424">
        <f>Model!AU578</f>
        <v>0</v>
      </c>
      <c r="AN424">
        <f>Model!AV578</f>
        <v>0</v>
      </c>
      <c r="AO424">
        <f>Model!AW578</f>
        <v>0</v>
      </c>
      <c r="AP424">
        <f>Model!AX578</f>
        <v>0</v>
      </c>
      <c r="AQ424">
        <f>Model!AY578</f>
        <v>0</v>
      </c>
      <c r="AR424">
        <f>Model!AZ578</f>
        <v>0</v>
      </c>
      <c r="AS424">
        <f>Model!BA578</f>
        <v>0</v>
      </c>
      <c r="AT424">
        <f>Model!BB578</f>
        <v>0</v>
      </c>
      <c r="AU424">
        <f>Model!BC578</f>
        <v>0</v>
      </c>
      <c r="AV424">
        <f>Model!BD578</f>
        <v>0</v>
      </c>
      <c r="AW424">
        <f>Model!BE578</f>
        <v>0</v>
      </c>
      <c r="AX424">
        <f>Model!BF578</f>
        <v>0</v>
      </c>
      <c r="AY424">
        <f>Model!BG578</f>
        <v>0</v>
      </c>
      <c r="AZ424">
        <f>Model!BH578</f>
        <v>0</v>
      </c>
      <c r="BA424">
        <f>Model!BI578</f>
        <v>0</v>
      </c>
      <c r="BB424">
        <f>Model!BJ578</f>
        <v>0</v>
      </c>
      <c r="BC424">
        <f>Model!BK578</f>
        <v>0</v>
      </c>
      <c r="BD424">
        <f>Model!BL578</f>
        <v>0</v>
      </c>
      <c r="BE424">
        <f>Model!BM578</f>
        <v>0</v>
      </c>
      <c r="BF424">
        <f>Model!BN578</f>
        <v>0</v>
      </c>
      <c r="BG424">
        <f>Model!BO578</f>
        <v>0</v>
      </c>
      <c r="BH424">
        <f>Model!BP578</f>
        <v>0</v>
      </c>
      <c r="BI424">
        <f>Model!BQ578</f>
        <v>0</v>
      </c>
      <c r="BJ424">
        <f>Model!BR578</f>
        <v>0</v>
      </c>
      <c r="BK424">
        <f>Model!BS578</f>
        <v>0</v>
      </c>
      <c r="BL424">
        <f>Model!BT578</f>
        <v>0</v>
      </c>
      <c r="BM424">
        <f>Model!BU578</f>
        <v>0</v>
      </c>
      <c r="BN424">
        <f>Model!BV578</f>
        <v>0</v>
      </c>
      <c r="BO424">
        <f>Model!BW578</f>
        <v>0</v>
      </c>
      <c r="BP424">
        <f>Model!BX578</f>
        <v>0</v>
      </c>
      <c r="BQ424">
        <f>Model!BY578</f>
        <v>0</v>
      </c>
      <c r="BR424">
        <f>Model!BZ578</f>
        <v>0</v>
      </c>
      <c r="BS424">
        <f>Model!CA578</f>
        <v>0</v>
      </c>
      <c r="BT424">
        <f>Model!CB578</f>
        <v>0</v>
      </c>
      <c r="BU424">
        <f>Model!CC578</f>
        <v>0</v>
      </c>
      <c r="BV424">
        <f>Model!CD578</f>
        <v>0</v>
      </c>
      <c r="BW424">
        <f>Model!CE578</f>
        <v>0</v>
      </c>
      <c r="BX424">
        <f>Model!CF578</f>
        <v>0</v>
      </c>
      <c r="BY424">
        <f>Model!CG578</f>
        <v>0</v>
      </c>
      <c r="BZ424">
        <f>Model!CH578</f>
        <v>0</v>
      </c>
      <c r="CA424">
        <f>Model!CI578</f>
        <v>0</v>
      </c>
      <c r="CB424">
        <f>Model!CJ578</f>
        <v>0</v>
      </c>
      <c r="CC424">
        <f>Model!CK578</f>
        <v>0</v>
      </c>
      <c r="CD424">
        <f>Model!CL578</f>
        <v>0</v>
      </c>
      <c r="CE424">
        <f>Model!CM578</f>
        <v>0</v>
      </c>
      <c r="CF424">
        <f>Model!CN578</f>
        <v>0</v>
      </c>
      <c r="CG424">
        <f>Model!CO578</f>
        <v>0</v>
      </c>
      <c r="CH424">
        <f>Model!CP578</f>
        <v>0</v>
      </c>
      <c r="CI424">
        <f>Model!CQ578</f>
        <v>0</v>
      </c>
      <c r="CJ424">
        <f>Model!CR578</f>
        <v>0</v>
      </c>
      <c r="CK424">
        <f>Model!CS578</f>
        <v>0</v>
      </c>
      <c r="CL424">
        <f>Model!CT578</f>
        <v>0</v>
      </c>
      <c r="CM424">
        <f>Model!CU578</f>
        <v>0</v>
      </c>
      <c r="CN424">
        <f>Model!CV578</f>
        <v>0</v>
      </c>
      <c r="CO424">
        <f>Model!CW578</f>
        <v>0</v>
      </c>
      <c r="CP424">
        <f>Model!CX578</f>
        <v>0</v>
      </c>
      <c r="CQ424">
        <f>Model!CY578</f>
        <v>0</v>
      </c>
      <c r="CR424">
        <f>Model!DG578</f>
        <v>0</v>
      </c>
      <c r="CS424">
        <f>Model!DH578</f>
        <v>0</v>
      </c>
      <c r="CT424">
        <f>Model!DI578</f>
        <v>0</v>
      </c>
      <c r="CU424">
        <f>Model!DJ578</f>
        <v>0</v>
      </c>
    </row>
    <row r="425" spans="1:99">
      <c r="A425" t="str">
        <f>Model!I579</f>
        <v>NOPAT</v>
      </c>
      <c r="B425">
        <f>Model!J579</f>
        <v>0</v>
      </c>
      <c r="C425">
        <f>Model!K579</f>
        <v>0</v>
      </c>
      <c r="D425">
        <f>Model!L579</f>
        <v>0</v>
      </c>
      <c r="E425">
        <f>Model!M579</f>
        <v>0</v>
      </c>
      <c r="F425">
        <f>Model!N579</f>
        <v>0</v>
      </c>
      <c r="G425">
        <f>Model!O579</f>
        <v>0</v>
      </c>
      <c r="H425">
        <f>Model!P579</f>
        <v>0</v>
      </c>
      <c r="I425">
        <f>Model!Q579</f>
        <v>0</v>
      </c>
      <c r="J425">
        <f>Model!R579</f>
        <v>0</v>
      </c>
      <c r="K425">
        <f>Model!S579</f>
        <v>0</v>
      </c>
      <c r="L425">
        <f>Model!T579</f>
        <v>0</v>
      </c>
      <c r="M425">
        <f>Model!U579</f>
        <v>0</v>
      </c>
      <c r="N425">
        <f>Model!V579</f>
        <v>0</v>
      </c>
      <c r="O425">
        <f>Model!W579</f>
        <v>0</v>
      </c>
      <c r="P425">
        <f>Model!X579</f>
        <v>0</v>
      </c>
      <c r="Q425">
        <f>Model!Y579</f>
        <v>0</v>
      </c>
      <c r="R425">
        <f>Model!Z579</f>
        <v>0</v>
      </c>
      <c r="S425">
        <f>Model!AA579</f>
        <v>0</v>
      </c>
      <c r="T425">
        <f>Model!AB579</f>
        <v>0</v>
      </c>
      <c r="U425">
        <f>Model!AC579</f>
        <v>0</v>
      </c>
      <c r="V425">
        <f>Model!AD579</f>
        <v>0</v>
      </c>
      <c r="W425">
        <f>Model!AE579</f>
        <v>0</v>
      </c>
      <c r="X425">
        <f>Model!AF579</f>
        <v>0</v>
      </c>
      <c r="Y425">
        <f>Model!AG579</f>
        <v>0</v>
      </c>
      <c r="Z425">
        <f>Model!AH579</f>
        <v>0</v>
      </c>
      <c r="AA425">
        <f>Model!AI579</f>
        <v>0</v>
      </c>
      <c r="AB425">
        <f>Model!AJ579</f>
        <v>0</v>
      </c>
      <c r="AC425">
        <f>Model!AK579</f>
        <v>0</v>
      </c>
      <c r="AD425">
        <f>Model!AL579</f>
        <v>0</v>
      </c>
      <c r="AE425">
        <f>Model!AM579</f>
        <v>0</v>
      </c>
      <c r="AF425">
        <f>Model!AN579</f>
        <v>0</v>
      </c>
      <c r="AG425">
        <f>Model!AO579</f>
        <v>0</v>
      </c>
      <c r="AH425">
        <f>Model!AP579</f>
        <v>0</v>
      </c>
      <c r="AI425">
        <f>Model!AQ579</f>
        <v>0</v>
      </c>
      <c r="AJ425">
        <f>Model!AR579</f>
        <v>0</v>
      </c>
      <c r="AK425">
        <f>Model!AS579</f>
        <v>0</v>
      </c>
      <c r="AL425">
        <f>Model!AT579</f>
        <v>0</v>
      </c>
      <c r="AM425">
        <f>Model!AU579</f>
        <v>0</v>
      </c>
      <c r="AN425">
        <f>Model!AV579</f>
        <v>0</v>
      </c>
      <c r="AO425">
        <f>Model!AW579</f>
        <v>0</v>
      </c>
      <c r="AP425">
        <f>Model!AX579</f>
        <v>0</v>
      </c>
      <c r="AQ425">
        <f>Model!AY579</f>
        <v>0</v>
      </c>
      <c r="AR425">
        <f>Model!AZ579</f>
        <v>0</v>
      </c>
      <c r="AS425">
        <f>Model!BA579</f>
        <v>0</v>
      </c>
      <c r="AT425">
        <f>Model!BB579</f>
        <v>0</v>
      </c>
      <c r="AU425">
        <f>Model!BC579</f>
        <v>0</v>
      </c>
      <c r="AV425">
        <f>Model!BD579</f>
        <v>0</v>
      </c>
      <c r="AW425">
        <f>Model!BE579</f>
        <v>0</v>
      </c>
      <c r="AX425">
        <f>Model!BF579</f>
        <v>0</v>
      </c>
      <c r="AY425">
        <f>Model!BG579</f>
        <v>0</v>
      </c>
      <c r="AZ425">
        <f>Model!BH579</f>
        <v>0</v>
      </c>
      <c r="BA425">
        <f>Model!BI579</f>
        <v>185.90339999999998</v>
      </c>
      <c r="BB425">
        <f>Model!BJ579</f>
        <v>332.89859999999999</v>
      </c>
      <c r="BC425">
        <f>Model!BK579</f>
        <v>628.13819999999964</v>
      </c>
      <c r="BD425">
        <f>Model!BL579</f>
        <v>300.50819999999999</v>
      </c>
      <c r="BE425">
        <f>Model!BM579</f>
        <v>263.23560000000009</v>
      </c>
      <c r="BF425">
        <f>Model!BN579</f>
        <v>439.80840000000006</v>
      </c>
      <c r="BG425">
        <f>Model!BO579</f>
        <v>793.62300000000005</v>
      </c>
      <c r="BH425">
        <f>Model!BP579</f>
        <v>347.3202</v>
      </c>
      <c r="BI425">
        <f>Model!BQ579</f>
        <v>260.38139999999987</v>
      </c>
      <c r="BJ425">
        <f>Model!BR579</f>
        <v>406.99860000000007</v>
      </c>
      <c r="BK425">
        <f>Model!BS579</f>
        <v>893.22419999999988</v>
      </c>
      <c r="BL425">
        <f>Model!BT579</f>
        <v>394.73999999999978</v>
      </c>
      <c r="BM425">
        <f>Model!BU579</f>
        <v>330.19079999999974</v>
      </c>
      <c r="BN425">
        <f>Model!BV579</f>
        <v>439.44420000000008</v>
      </c>
      <c r="BO425">
        <f>Model!BW579</f>
        <v>499.93620000000016</v>
      </c>
      <c r="BP425">
        <f>Model!BX579</f>
        <v>474.21659999999974</v>
      </c>
      <c r="BQ425">
        <f>Model!BY579</f>
        <v>333.87719999999985</v>
      </c>
      <c r="BR425">
        <f>Model!BZ579</f>
        <v>535.95540000000028</v>
      </c>
      <c r="BS425">
        <f>Model!CA579</f>
        <v>1261.0806000000002</v>
      </c>
      <c r="BT425">
        <f>Model!CB579</f>
        <v>591.88199999999983</v>
      </c>
      <c r="BU425">
        <f>Model!CC579</f>
        <v>400.06325339805977</v>
      </c>
      <c r="BV425">
        <f>Model!CD579</f>
        <v>664.8433022017964</v>
      </c>
      <c r="BW425">
        <f>Model!CE579</f>
        <v>1467.9990481902187</v>
      </c>
      <c r="BX425">
        <f>Model!CF579</f>
        <v>765.28952759837193</v>
      </c>
      <c r="BY425">
        <f>Model!CG579</f>
        <v>0</v>
      </c>
      <c r="BZ425">
        <f>Model!CH579</f>
        <v>0</v>
      </c>
      <c r="CA425">
        <f>Model!CI579</f>
        <v>0</v>
      </c>
      <c r="CB425">
        <f>Model!CJ579</f>
        <v>0</v>
      </c>
      <c r="CC425">
        <f>Model!CK579</f>
        <v>0</v>
      </c>
      <c r="CD425">
        <f>Model!CL579</f>
        <v>0</v>
      </c>
      <c r="CE425">
        <f>Model!CM579</f>
        <v>0</v>
      </c>
      <c r="CF425">
        <f>Model!CN579</f>
        <v>0</v>
      </c>
      <c r="CG425">
        <f>Model!CO579</f>
        <v>0</v>
      </c>
      <c r="CH425">
        <f>Model!CP579</f>
        <v>0</v>
      </c>
      <c r="CI425">
        <f>Model!CQ579</f>
        <v>474.89879999999988</v>
      </c>
      <c r="CJ425">
        <f>Model!CR579</f>
        <v>839.35320000000036</v>
      </c>
      <c r="CK425">
        <f>Model!CS579</f>
        <v>1097.8758000000007</v>
      </c>
      <c r="CL425">
        <f>Model!CT579</f>
        <v>1447.4484000000002</v>
      </c>
      <c r="CM425">
        <f>Model!CU579</f>
        <v>1843.9871999999993</v>
      </c>
      <c r="CN425">
        <f>Model!CV579</f>
        <v>1955.3441999999989</v>
      </c>
      <c r="CO425">
        <f>Model!CW579</f>
        <v>1743.7878000000001</v>
      </c>
      <c r="CP425">
        <f>Model!CX579</f>
        <v>2722.7951999999987</v>
      </c>
      <c r="CQ425">
        <f>Model!CY579</f>
        <v>3298.1951313884483</v>
      </c>
      <c r="CR425">
        <f>Model!DG579</f>
        <v>0</v>
      </c>
      <c r="CS425">
        <f>Model!DH579</f>
        <v>0</v>
      </c>
      <c r="CT425">
        <f>Model!DI579</f>
        <v>0</v>
      </c>
      <c r="CU425">
        <f>Model!DJ579</f>
        <v>0</v>
      </c>
    </row>
    <row r="426" spans="1:99">
      <c r="A426" t="str">
        <f>Model!I580</f>
        <v>ROIC</v>
      </c>
      <c r="B426">
        <f>Model!J580</f>
        <v>0</v>
      </c>
      <c r="C426">
        <f>Model!K580</f>
        <v>0</v>
      </c>
      <c r="D426">
        <f>Model!L580</f>
        <v>0</v>
      </c>
      <c r="E426">
        <f>Model!M580</f>
        <v>0</v>
      </c>
      <c r="F426">
        <f>Model!N580</f>
        <v>0</v>
      </c>
      <c r="G426">
        <f>Model!O580</f>
        <v>0</v>
      </c>
      <c r="H426">
        <f>Model!P580</f>
        <v>0</v>
      </c>
      <c r="I426">
        <f>Model!Q580</f>
        <v>0</v>
      </c>
      <c r="J426">
        <f>Model!R580</f>
        <v>0</v>
      </c>
      <c r="K426">
        <f>Model!S580</f>
        <v>0</v>
      </c>
      <c r="L426">
        <f>Model!T580</f>
        <v>0</v>
      </c>
      <c r="M426">
        <f>Model!U580</f>
        <v>0</v>
      </c>
      <c r="N426">
        <f>Model!V580</f>
        <v>0</v>
      </c>
      <c r="O426">
        <f>Model!W580</f>
        <v>0</v>
      </c>
      <c r="P426">
        <f>Model!X580</f>
        <v>0</v>
      </c>
      <c r="Q426">
        <f>Model!Y580</f>
        <v>0</v>
      </c>
      <c r="R426">
        <f>Model!Z580</f>
        <v>0</v>
      </c>
      <c r="S426">
        <f>Model!AA580</f>
        <v>0</v>
      </c>
      <c r="T426">
        <f>Model!AB580</f>
        <v>0</v>
      </c>
      <c r="U426">
        <f>Model!AC580</f>
        <v>0</v>
      </c>
      <c r="V426">
        <f>Model!AD580</f>
        <v>0</v>
      </c>
      <c r="W426">
        <f>Model!AE580</f>
        <v>0</v>
      </c>
      <c r="X426">
        <f>Model!AF580</f>
        <v>0</v>
      </c>
      <c r="Y426">
        <f>Model!AG580</f>
        <v>0</v>
      </c>
      <c r="Z426">
        <f>Model!AH580</f>
        <v>0</v>
      </c>
      <c r="AA426">
        <f>Model!AI580</f>
        <v>0</v>
      </c>
      <c r="AB426">
        <f>Model!AJ580</f>
        <v>0</v>
      </c>
      <c r="AC426">
        <f>Model!AK580</f>
        <v>0</v>
      </c>
      <c r="AD426">
        <f>Model!AL580</f>
        <v>0</v>
      </c>
      <c r="AE426">
        <f>Model!AM580</f>
        <v>0</v>
      </c>
      <c r="AF426">
        <f>Model!AN580</f>
        <v>0</v>
      </c>
      <c r="AG426">
        <f>Model!AO580</f>
        <v>0</v>
      </c>
      <c r="AH426">
        <f>Model!AP580</f>
        <v>0</v>
      </c>
      <c r="AI426">
        <f>Model!AQ580</f>
        <v>0</v>
      </c>
      <c r="AJ426">
        <f>Model!AR580</f>
        <v>0</v>
      </c>
      <c r="AK426">
        <f>Model!AS580</f>
        <v>0</v>
      </c>
      <c r="AL426">
        <f>Model!AT580</f>
        <v>0</v>
      </c>
      <c r="AM426">
        <f>Model!AU580</f>
        <v>0</v>
      </c>
      <c r="AN426">
        <f>Model!AV580</f>
        <v>0</v>
      </c>
      <c r="AO426">
        <f>Model!AW580</f>
        <v>0</v>
      </c>
      <c r="AP426">
        <f>Model!AX580</f>
        <v>0</v>
      </c>
      <c r="AQ426">
        <f>Model!AY580</f>
        <v>0</v>
      </c>
      <c r="AR426">
        <f>Model!AZ580</f>
        <v>0</v>
      </c>
      <c r="AS426">
        <f>Model!BA580</f>
        <v>0</v>
      </c>
      <c r="AT426">
        <f>Model!BB580</f>
        <v>0</v>
      </c>
      <c r="AU426">
        <f>Model!BC580</f>
        <v>0</v>
      </c>
      <c r="AV426">
        <f>Model!BD580</f>
        <v>0</v>
      </c>
      <c r="AW426">
        <f>Model!BE580</f>
        <v>0</v>
      </c>
      <c r="AX426">
        <f>Model!BF580</f>
        <v>0</v>
      </c>
      <c r="AY426">
        <f>Model!BG580</f>
        <v>0</v>
      </c>
      <c r="AZ426">
        <f>Model!BH580</f>
        <v>0</v>
      </c>
      <c r="BA426">
        <f>Model!BI580</f>
        <v>0.18628864491768971</v>
      </c>
      <c r="BB426">
        <f>Model!BJ580</f>
        <v>0.1034260930621274</v>
      </c>
      <c r="BC426">
        <f>Model!BK580</f>
        <v>0.20902280709110244</v>
      </c>
      <c r="BD426">
        <f>Model!BL580</f>
        <v>0.10365715220007597</v>
      </c>
      <c r="BE426">
        <f>Model!BM580</f>
        <v>8.1199191819485789E-2</v>
      </c>
      <c r="BF426">
        <f>Model!BN580</f>
        <v>0.1242748371149122</v>
      </c>
      <c r="BG426">
        <f>Model!BO580</f>
        <v>0.10157996034963691</v>
      </c>
      <c r="BH426">
        <f>Model!BP580</f>
        <v>3.5558790322019203E-2</v>
      </c>
      <c r="BI426">
        <f>Model!BQ580</f>
        <v>2.3608899885401602E-2</v>
      </c>
      <c r="BJ426">
        <f>Model!BR580</f>
        <v>3.2382669308634794E-2</v>
      </c>
      <c r="BK426">
        <f>Model!BS580</f>
        <v>7.2077130446065618E-2</v>
      </c>
      <c r="BL426">
        <f>Model!BT580</f>
        <v>2.8671591017629373E-2</v>
      </c>
      <c r="BM426">
        <f>Model!BU580</f>
        <v>2.4459110442849628E-2</v>
      </c>
      <c r="BN426">
        <f>Model!BV580</f>
        <v>3.1694892406519043E-2</v>
      </c>
      <c r="BO426">
        <f>Model!BW580</f>
        <v>3.5012529081616228E-2</v>
      </c>
      <c r="BP426">
        <f>Model!BX580</f>
        <v>3.3249324817634665E-2</v>
      </c>
      <c r="BQ426">
        <f>Model!BY580</f>
        <v>2.1922599469015314E-2</v>
      </c>
      <c r="BR426">
        <f>Model!BZ580</f>
        <v>3.4733728907386879E-2</v>
      </c>
      <c r="BS426">
        <f>Model!CA580</f>
        <v>7.5792147101171742E-2</v>
      </c>
      <c r="BT426">
        <f>Model!CB580</f>
        <v>3.6438569715247823E-2</v>
      </c>
      <c r="BU426">
        <f>Model!CC580</f>
        <v>2.3912519336750204E-2</v>
      </c>
      <c r="BV426">
        <f>Model!CD580</f>
        <v>3.9646891449311439E-2</v>
      </c>
      <c r="BW426">
        <f>Model!CE580</f>
        <v>8.9428496887001399E-2</v>
      </c>
      <c r="BX426">
        <f>Model!CF580</f>
        <v>4.7245717762181227E-2</v>
      </c>
      <c r="BY426">
        <f>Model!CG580</f>
        <v>0</v>
      </c>
      <c r="BZ426">
        <f>Model!CH580</f>
        <v>0</v>
      </c>
      <c r="CA426">
        <f>Model!CI580</f>
        <v>0</v>
      </c>
      <c r="CB426">
        <f>Model!CJ580</f>
        <v>0</v>
      </c>
      <c r="CC426">
        <f>Model!CK580</f>
        <v>0</v>
      </c>
      <c r="CD426">
        <f>Model!CL580</f>
        <v>0</v>
      </c>
      <c r="CE426">
        <f>Model!CM580</f>
        <v>0</v>
      </c>
      <c r="CF426">
        <f>Model!CN580</f>
        <v>0</v>
      </c>
      <c r="CG426">
        <f>Model!CO580</f>
        <v>0</v>
      </c>
      <c r="CH426">
        <f>Model!CP580</f>
        <v>0</v>
      </c>
      <c r="CI426">
        <f>Model!CQ580</f>
        <v>0.52206359100188293</v>
      </c>
      <c r="CJ426">
        <f>Model!CR580</f>
        <v>0.88913874579319863</v>
      </c>
      <c r="CK426">
        <f>Model!CS580</f>
        <v>1.3487599955281948</v>
      </c>
      <c r="CL426">
        <f>Model!CT580</f>
        <v>0.49928214637922186</v>
      </c>
      <c r="CM426">
        <f>Model!CU580</f>
        <v>0.18878819660154308</v>
      </c>
      <c r="CN426">
        <f>Model!CV580</f>
        <v>0.14202469777852178</v>
      </c>
      <c r="CO426">
        <f>Model!CW580</f>
        <v>0.12226431334379394</v>
      </c>
      <c r="CP426">
        <f>Model!CX580</f>
        <v>0.16762591650961192</v>
      </c>
      <c r="CQ426">
        <f>Model!CY580</f>
        <v>0.20361652770970226</v>
      </c>
      <c r="CR426">
        <f>Model!DG580</f>
        <v>0</v>
      </c>
      <c r="CS426">
        <f>Model!DH580</f>
        <v>0</v>
      </c>
      <c r="CT426">
        <f>Model!DI580</f>
        <v>0</v>
      </c>
      <c r="CU426">
        <f>Model!DJ580</f>
        <v>0</v>
      </c>
    </row>
    <row r="427" spans="1:99">
      <c r="A427">
        <f>Model!I581</f>
        <v>0</v>
      </c>
      <c r="B427">
        <f>Model!J581</f>
        <v>0</v>
      </c>
      <c r="C427">
        <f>Model!K581</f>
        <v>0</v>
      </c>
      <c r="D427">
        <f>Model!L581</f>
        <v>0</v>
      </c>
      <c r="E427">
        <f>Model!M581</f>
        <v>0</v>
      </c>
      <c r="F427">
        <f>Model!N581</f>
        <v>0</v>
      </c>
      <c r="G427">
        <f>Model!O581</f>
        <v>0</v>
      </c>
      <c r="H427">
        <f>Model!P581</f>
        <v>0</v>
      </c>
      <c r="I427">
        <f>Model!Q581</f>
        <v>0</v>
      </c>
      <c r="J427">
        <f>Model!R581</f>
        <v>0</v>
      </c>
      <c r="K427">
        <f>Model!S581</f>
        <v>0</v>
      </c>
      <c r="L427">
        <f>Model!T581</f>
        <v>0</v>
      </c>
      <c r="M427">
        <f>Model!U581</f>
        <v>0</v>
      </c>
      <c r="N427">
        <f>Model!V581</f>
        <v>0</v>
      </c>
      <c r="O427">
        <f>Model!W581</f>
        <v>0</v>
      </c>
      <c r="P427">
        <f>Model!X581</f>
        <v>0</v>
      </c>
      <c r="Q427">
        <f>Model!Y581</f>
        <v>0</v>
      </c>
      <c r="R427">
        <f>Model!Z581</f>
        <v>0</v>
      </c>
      <c r="S427">
        <f>Model!AA581</f>
        <v>0</v>
      </c>
      <c r="T427">
        <f>Model!AB581</f>
        <v>0</v>
      </c>
      <c r="U427">
        <f>Model!AC581</f>
        <v>0</v>
      </c>
      <c r="V427">
        <f>Model!AD581</f>
        <v>0</v>
      </c>
      <c r="W427">
        <f>Model!AE581</f>
        <v>0</v>
      </c>
      <c r="X427">
        <f>Model!AF581</f>
        <v>0</v>
      </c>
      <c r="Y427">
        <f>Model!AG581</f>
        <v>0</v>
      </c>
      <c r="Z427">
        <f>Model!AH581</f>
        <v>0</v>
      </c>
      <c r="AA427">
        <f>Model!AI581</f>
        <v>0</v>
      </c>
      <c r="AB427">
        <f>Model!AJ581</f>
        <v>0</v>
      </c>
      <c r="AC427">
        <f>Model!AK581</f>
        <v>0</v>
      </c>
      <c r="AD427">
        <f>Model!AL581</f>
        <v>0</v>
      </c>
      <c r="AE427">
        <f>Model!AM581</f>
        <v>0</v>
      </c>
      <c r="AF427">
        <f>Model!AN581</f>
        <v>0</v>
      </c>
      <c r="AG427">
        <f>Model!AO581</f>
        <v>0</v>
      </c>
      <c r="AH427">
        <f>Model!AP581</f>
        <v>0</v>
      </c>
      <c r="AI427">
        <f>Model!AQ581</f>
        <v>0</v>
      </c>
      <c r="AJ427">
        <f>Model!AR581</f>
        <v>0</v>
      </c>
      <c r="AK427">
        <f>Model!AS581</f>
        <v>0</v>
      </c>
      <c r="AL427">
        <f>Model!AT581</f>
        <v>0</v>
      </c>
      <c r="AM427">
        <f>Model!AU581</f>
        <v>0</v>
      </c>
      <c r="AN427">
        <f>Model!AV581</f>
        <v>0</v>
      </c>
      <c r="AO427">
        <f>Model!AW581</f>
        <v>0</v>
      </c>
      <c r="AP427">
        <f>Model!AX581</f>
        <v>0</v>
      </c>
      <c r="AQ427">
        <f>Model!AY581</f>
        <v>0</v>
      </c>
      <c r="AR427">
        <f>Model!AZ581</f>
        <v>0</v>
      </c>
      <c r="AS427">
        <f>Model!BA581</f>
        <v>0</v>
      </c>
      <c r="AT427">
        <f>Model!BB581</f>
        <v>0</v>
      </c>
      <c r="AU427">
        <f>Model!BC581</f>
        <v>0</v>
      </c>
      <c r="AV427">
        <f>Model!BD581</f>
        <v>0</v>
      </c>
      <c r="AW427">
        <f>Model!BE581</f>
        <v>0</v>
      </c>
      <c r="AX427">
        <f>Model!BF581</f>
        <v>0</v>
      </c>
      <c r="AY427">
        <f>Model!BG581</f>
        <v>0</v>
      </c>
      <c r="AZ427">
        <f>Model!BH581</f>
        <v>0</v>
      </c>
      <c r="BA427">
        <f>Model!BI581</f>
        <v>0</v>
      </c>
      <c r="BB427">
        <f>Model!BJ581</f>
        <v>0</v>
      </c>
      <c r="BC427">
        <f>Model!BK581</f>
        <v>0</v>
      </c>
      <c r="BD427">
        <f>Model!BL581</f>
        <v>0</v>
      </c>
      <c r="BE427">
        <f>Model!BM581</f>
        <v>0</v>
      </c>
      <c r="BF427">
        <f>Model!BN581</f>
        <v>0</v>
      </c>
      <c r="BG427">
        <f>Model!BO581</f>
        <v>0</v>
      </c>
      <c r="BH427">
        <f>Model!BP581</f>
        <v>0</v>
      </c>
      <c r="BI427">
        <f>Model!BQ581</f>
        <v>0</v>
      </c>
      <c r="BJ427">
        <f>Model!BR581</f>
        <v>0</v>
      </c>
      <c r="BK427">
        <f>Model!BS581</f>
        <v>0</v>
      </c>
      <c r="BL427">
        <f>Model!BT581</f>
        <v>0</v>
      </c>
      <c r="BM427">
        <f>Model!BU581</f>
        <v>0</v>
      </c>
      <c r="BN427">
        <f>Model!BV581</f>
        <v>0</v>
      </c>
      <c r="BO427">
        <f>Model!BW581</f>
        <v>0</v>
      </c>
      <c r="BP427">
        <f>Model!BX581</f>
        <v>0</v>
      </c>
      <c r="BQ427">
        <f>Model!BY581</f>
        <v>0</v>
      </c>
      <c r="BR427">
        <f>Model!BZ581</f>
        <v>0</v>
      </c>
      <c r="BS427">
        <f>Model!CA581</f>
        <v>0</v>
      </c>
      <c r="BT427">
        <f>Model!CB581</f>
        <v>0</v>
      </c>
      <c r="BU427">
        <f>Model!CC581</f>
        <v>0</v>
      </c>
      <c r="BV427">
        <f>Model!CD581</f>
        <v>0</v>
      </c>
      <c r="BW427">
        <f>Model!CE581</f>
        <v>0</v>
      </c>
      <c r="BX427">
        <f>Model!CF581</f>
        <v>0</v>
      </c>
      <c r="BY427">
        <f>Model!CG581</f>
        <v>0</v>
      </c>
      <c r="BZ427">
        <f>Model!CH581</f>
        <v>0</v>
      </c>
      <c r="CA427">
        <f>Model!CI581</f>
        <v>0</v>
      </c>
      <c r="CB427">
        <f>Model!CJ581</f>
        <v>0</v>
      </c>
      <c r="CC427">
        <f>Model!CK581</f>
        <v>0</v>
      </c>
      <c r="CD427">
        <f>Model!CL581</f>
        <v>0</v>
      </c>
      <c r="CE427">
        <f>Model!CM581</f>
        <v>0</v>
      </c>
      <c r="CF427">
        <f>Model!CN581</f>
        <v>0</v>
      </c>
      <c r="CG427">
        <f>Model!CO581</f>
        <v>0</v>
      </c>
      <c r="CH427">
        <f>Model!CP581</f>
        <v>0</v>
      </c>
      <c r="CI427">
        <f>Model!CQ581</f>
        <v>0</v>
      </c>
      <c r="CJ427">
        <f>Model!CR581</f>
        <v>0</v>
      </c>
      <c r="CK427">
        <f>Model!CS581</f>
        <v>0</v>
      </c>
      <c r="CL427">
        <f>Model!CT581</f>
        <v>0</v>
      </c>
      <c r="CM427">
        <f>Model!CU581</f>
        <v>0</v>
      </c>
      <c r="CN427">
        <f>Model!CV581</f>
        <v>0</v>
      </c>
      <c r="CO427">
        <f>Model!CW581</f>
        <v>0</v>
      </c>
      <c r="CP427">
        <f>Model!CX581</f>
        <v>0</v>
      </c>
      <c r="CQ427">
        <f>Model!CY581</f>
        <v>0</v>
      </c>
      <c r="CR427">
        <f>Model!DG581</f>
        <v>0</v>
      </c>
      <c r="CS427">
        <f>Model!DH581</f>
        <v>0</v>
      </c>
      <c r="CT427">
        <f>Model!DI581</f>
        <v>0</v>
      </c>
      <c r="CU427">
        <f>Model!DJ581</f>
        <v>0</v>
      </c>
    </row>
    <row r="428" spans="1:99">
      <c r="A428">
        <f>Model!I582</f>
        <v>0</v>
      </c>
      <c r="B428">
        <f>Model!J582</f>
        <v>0</v>
      </c>
      <c r="C428">
        <f>Model!K582</f>
        <v>0</v>
      </c>
      <c r="D428">
        <f>Model!L582</f>
        <v>0</v>
      </c>
      <c r="E428">
        <f>Model!M582</f>
        <v>0</v>
      </c>
      <c r="F428">
        <f>Model!N582</f>
        <v>0</v>
      </c>
      <c r="G428">
        <f>Model!O582</f>
        <v>0</v>
      </c>
      <c r="H428">
        <f>Model!P582</f>
        <v>0</v>
      </c>
      <c r="I428">
        <f>Model!Q582</f>
        <v>0</v>
      </c>
      <c r="J428">
        <f>Model!R582</f>
        <v>0</v>
      </c>
      <c r="K428">
        <f>Model!S582</f>
        <v>0</v>
      </c>
      <c r="L428">
        <f>Model!T582</f>
        <v>0</v>
      </c>
      <c r="M428">
        <f>Model!U582</f>
        <v>0</v>
      </c>
      <c r="N428">
        <f>Model!V582</f>
        <v>0</v>
      </c>
      <c r="O428">
        <f>Model!W582</f>
        <v>0</v>
      </c>
      <c r="P428">
        <f>Model!X582</f>
        <v>0</v>
      </c>
      <c r="Q428">
        <f>Model!Y582</f>
        <v>0</v>
      </c>
      <c r="R428">
        <f>Model!Z582</f>
        <v>0</v>
      </c>
      <c r="S428">
        <f>Model!AA582</f>
        <v>0</v>
      </c>
      <c r="T428">
        <f>Model!AB582</f>
        <v>0</v>
      </c>
      <c r="U428">
        <f>Model!AC582</f>
        <v>0</v>
      </c>
      <c r="V428">
        <f>Model!AD582</f>
        <v>0</v>
      </c>
      <c r="W428">
        <f>Model!AE582</f>
        <v>0</v>
      </c>
      <c r="X428">
        <f>Model!AF582</f>
        <v>0</v>
      </c>
      <c r="Y428">
        <f>Model!AG582</f>
        <v>0</v>
      </c>
      <c r="Z428">
        <f>Model!AH582</f>
        <v>0</v>
      </c>
      <c r="AA428">
        <f>Model!AI582</f>
        <v>0</v>
      </c>
      <c r="AB428">
        <f>Model!AJ582</f>
        <v>0</v>
      </c>
      <c r="AC428">
        <f>Model!AK582</f>
        <v>0</v>
      </c>
      <c r="AD428">
        <f>Model!AL582</f>
        <v>0</v>
      </c>
      <c r="AE428">
        <f>Model!AM582</f>
        <v>0</v>
      </c>
      <c r="AF428">
        <f>Model!AN582</f>
        <v>0</v>
      </c>
      <c r="AG428">
        <f>Model!AO582</f>
        <v>0</v>
      </c>
      <c r="AH428">
        <f>Model!AP582</f>
        <v>0</v>
      </c>
      <c r="AI428">
        <f>Model!AQ582</f>
        <v>0</v>
      </c>
      <c r="AJ428">
        <f>Model!AR582</f>
        <v>0</v>
      </c>
      <c r="AK428">
        <f>Model!AS582</f>
        <v>0</v>
      </c>
      <c r="AL428">
        <f>Model!AT582</f>
        <v>0</v>
      </c>
      <c r="AM428">
        <f>Model!AU582</f>
        <v>0</v>
      </c>
      <c r="AN428">
        <f>Model!AV582</f>
        <v>0</v>
      </c>
      <c r="AO428">
        <f>Model!AW582</f>
        <v>0</v>
      </c>
      <c r="AP428">
        <f>Model!AX582</f>
        <v>0</v>
      </c>
      <c r="AQ428">
        <f>Model!AY582</f>
        <v>0</v>
      </c>
      <c r="AR428">
        <f>Model!AZ582</f>
        <v>0</v>
      </c>
      <c r="AS428">
        <f>Model!BA582</f>
        <v>0</v>
      </c>
      <c r="AT428">
        <f>Model!BB582</f>
        <v>0</v>
      </c>
      <c r="AU428">
        <f>Model!BC582</f>
        <v>0</v>
      </c>
      <c r="AV428">
        <f>Model!BD582</f>
        <v>0</v>
      </c>
      <c r="AW428">
        <f>Model!BE582</f>
        <v>0</v>
      </c>
      <c r="AX428">
        <f>Model!BF582</f>
        <v>0</v>
      </c>
      <c r="AY428">
        <f>Model!BG582</f>
        <v>0</v>
      </c>
      <c r="AZ428">
        <f>Model!BH582</f>
        <v>0</v>
      </c>
      <c r="BA428">
        <f>Model!BI582</f>
        <v>0</v>
      </c>
      <c r="BB428">
        <f>Model!BJ582</f>
        <v>0</v>
      </c>
      <c r="BC428">
        <f>Model!BK582</f>
        <v>0</v>
      </c>
      <c r="BD428">
        <f>Model!BL582</f>
        <v>0</v>
      </c>
      <c r="BE428">
        <f>Model!BM582</f>
        <v>0</v>
      </c>
      <c r="BF428">
        <f>Model!BN582</f>
        <v>0</v>
      </c>
      <c r="BG428">
        <f>Model!BO582</f>
        <v>0</v>
      </c>
      <c r="BH428">
        <f>Model!BP582</f>
        <v>0</v>
      </c>
      <c r="BI428">
        <f>Model!BQ582</f>
        <v>0</v>
      </c>
      <c r="BJ428">
        <f>Model!BR582</f>
        <v>0</v>
      </c>
      <c r="BK428">
        <f>Model!BS582</f>
        <v>0</v>
      </c>
      <c r="BL428">
        <f>Model!BT582</f>
        <v>0</v>
      </c>
      <c r="BM428">
        <f>Model!BU582</f>
        <v>0</v>
      </c>
      <c r="BN428">
        <f>Model!BV582</f>
        <v>0</v>
      </c>
      <c r="BO428">
        <f>Model!BW582</f>
        <v>0</v>
      </c>
      <c r="BP428">
        <f>Model!BX582</f>
        <v>0</v>
      </c>
      <c r="BQ428">
        <f>Model!BY582</f>
        <v>0</v>
      </c>
      <c r="BR428">
        <f>Model!BZ582</f>
        <v>0</v>
      </c>
      <c r="BS428">
        <f>Model!CA582</f>
        <v>0</v>
      </c>
      <c r="BT428">
        <f>Model!CB582</f>
        <v>0</v>
      </c>
      <c r="BU428">
        <f>Model!CC582</f>
        <v>0</v>
      </c>
      <c r="BV428">
        <f>Model!CD582</f>
        <v>0</v>
      </c>
      <c r="BW428">
        <f>Model!CE582</f>
        <v>0</v>
      </c>
      <c r="BX428">
        <f>Model!CF582</f>
        <v>0</v>
      </c>
      <c r="BY428">
        <f>Model!CG582</f>
        <v>0</v>
      </c>
      <c r="BZ428">
        <f>Model!CH582</f>
        <v>0</v>
      </c>
      <c r="CA428">
        <f>Model!CI582</f>
        <v>0</v>
      </c>
      <c r="CB428">
        <f>Model!CJ582</f>
        <v>0</v>
      </c>
      <c r="CC428">
        <f>Model!CK582</f>
        <v>0</v>
      </c>
      <c r="CD428">
        <f>Model!CL582</f>
        <v>0</v>
      </c>
      <c r="CE428">
        <f>Model!CM582</f>
        <v>0</v>
      </c>
      <c r="CF428">
        <f>Model!CN582</f>
        <v>0</v>
      </c>
      <c r="CG428">
        <f>Model!CO582</f>
        <v>0</v>
      </c>
      <c r="CH428">
        <f>Model!CP582</f>
        <v>0</v>
      </c>
      <c r="CI428">
        <f>Model!CQ582</f>
        <v>0</v>
      </c>
      <c r="CJ428">
        <f>Model!CR582</f>
        <v>0</v>
      </c>
      <c r="CK428">
        <f>Model!CS582</f>
        <v>0</v>
      </c>
      <c r="CL428">
        <f>Model!CT582</f>
        <v>0</v>
      </c>
      <c r="CM428">
        <f>Model!CU582</f>
        <v>0</v>
      </c>
      <c r="CN428">
        <f>Model!CV582</f>
        <v>0</v>
      </c>
      <c r="CO428">
        <f>Model!CW582</f>
        <v>0</v>
      </c>
      <c r="CP428">
        <f>Model!CX582</f>
        <v>0</v>
      </c>
      <c r="CQ428">
        <f>Model!CY582</f>
        <v>0</v>
      </c>
      <c r="CR428">
        <f>Model!DG582</f>
        <v>0</v>
      </c>
      <c r="CS428">
        <f>Model!DH582</f>
        <v>0</v>
      </c>
      <c r="CT428">
        <f>Model!DI582</f>
        <v>0</v>
      </c>
      <c r="CU428">
        <f>Model!DJ582</f>
        <v>0</v>
      </c>
    </row>
    <row r="429" spans="1:99">
      <c r="A429" t="str">
        <f>Model!I585</f>
        <v>Balance Sheet</v>
      </c>
      <c r="B429">
        <f>Model!J585</f>
        <v>0</v>
      </c>
      <c r="C429">
        <f>Model!K585</f>
        <v>0</v>
      </c>
      <c r="D429">
        <f>Model!L585</f>
        <v>0</v>
      </c>
      <c r="E429">
        <f>Model!M585</f>
        <v>0</v>
      </c>
      <c r="F429">
        <f>Model!N585</f>
        <v>0</v>
      </c>
      <c r="G429">
        <f>Model!O585</f>
        <v>0</v>
      </c>
      <c r="H429">
        <f>Model!P585</f>
        <v>0</v>
      </c>
      <c r="I429">
        <f>Model!Q585</f>
        <v>0</v>
      </c>
      <c r="J429">
        <f>Model!R585</f>
        <v>0</v>
      </c>
      <c r="K429">
        <f>Model!S585</f>
        <v>0</v>
      </c>
      <c r="L429">
        <f>Model!T585</f>
        <v>0</v>
      </c>
      <c r="M429">
        <f>Model!U585</f>
        <v>0</v>
      </c>
      <c r="N429">
        <f>Model!V585</f>
        <v>0</v>
      </c>
      <c r="O429">
        <f>Model!W585</f>
        <v>0</v>
      </c>
      <c r="P429">
        <f>Model!X585</f>
        <v>0</v>
      </c>
      <c r="Q429">
        <f>Model!Y585</f>
        <v>0</v>
      </c>
      <c r="R429">
        <f>Model!Z585</f>
        <v>0</v>
      </c>
      <c r="S429">
        <f>Model!AA585</f>
        <v>0</v>
      </c>
      <c r="T429">
        <f>Model!AB585</f>
        <v>0</v>
      </c>
      <c r="U429">
        <f>Model!AC585</f>
        <v>0</v>
      </c>
      <c r="V429">
        <f>Model!AD585</f>
        <v>0</v>
      </c>
      <c r="W429">
        <f>Model!AE585</f>
        <v>0</v>
      </c>
      <c r="X429">
        <f>Model!AF585</f>
        <v>0</v>
      </c>
      <c r="Y429">
        <f>Model!AG585</f>
        <v>0</v>
      </c>
      <c r="Z429">
        <f>Model!AH585</f>
        <v>0</v>
      </c>
      <c r="AA429">
        <f>Model!AI585</f>
        <v>0</v>
      </c>
      <c r="AB429">
        <f>Model!AJ585</f>
        <v>0</v>
      </c>
      <c r="AC429">
        <f>Model!AK585</f>
        <v>0</v>
      </c>
      <c r="AD429">
        <f>Model!AL585</f>
        <v>0</v>
      </c>
      <c r="AE429">
        <f>Model!AM585</f>
        <v>0</v>
      </c>
      <c r="AF429">
        <f>Model!AN585</f>
        <v>0</v>
      </c>
      <c r="AG429">
        <f>Model!AO585</f>
        <v>0</v>
      </c>
      <c r="AH429">
        <f>Model!AP585</f>
        <v>0</v>
      </c>
      <c r="AI429">
        <f>Model!AQ585</f>
        <v>0</v>
      </c>
      <c r="AJ429">
        <f>Model!AR585</f>
        <v>0</v>
      </c>
      <c r="AK429">
        <f>Model!AS585</f>
        <v>0</v>
      </c>
      <c r="AL429">
        <f>Model!AT585</f>
        <v>0</v>
      </c>
      <c r="AM429">
        <f>Model!AU585</f>
        <v>0</v>
      </c>
      <c r="AN429">
        <f>Model!AV585</f>
        <v>0</v>
      </c>
      <c r="AO429">
        <f>Model!AW585</f>
        <v>0</v>
      </c>
      <c r="AP429">
        <f>Model!AX585</f>
        <v>0</v>
      </c>
      <c r="AQ429">
        <f>Model!AY585</f>
        <v>0</v>
      </c>
      <c r="AR429">
        <f>Model!AZ585</f>
        <v>0</v>
      </c>
      <c r="AS429">
        <f>Model!BA585</f>
        <v>0</v>
      </c>
      <c r="AT429">
        <f>Model!BB585</f>
        <v>0</v>
      </c>
      <c r="AU429">
        <f>Model!BC585</f>
        <v>0</v>
      </c>
      <c r="AV429">
        <f>Model!BD585</f>
        <v>0</v>
      </c>
      <c r="AW429">
        <f>Model!BE585</f>
        <v>0</v>
      </c>
      <c r="AX429">
        <f>Model!BF585</f>
        <v>0</v>
      </c>
      <c r="AY429">
        <f>Model!BG585</f>
        <v>0</v>
      </c>
      <c r="AZ429">
        <f>Model!BH585</f>
        <v>0</v>
      </c>
      <c r="BA429">
        <f>Model!BI585</f>
        <v>0</v>
      </c>
      <c r="BB429">
        <f>Model!BJ585</f>
        <v>0</v>
      </c>
      <c r="BC429">
        <f>Model!BK585</f>
        <v>0</v>
      </c>
      <c r="BD429">
        <f>Model!BL585</f>
        <v>0</v>
      </c>
      <c r="BE429">
        <f>Model!BM585</f>
        <v>0</v>
      </c>
      <c r="BF429">
        <f>Model!BN585</f>
        <v>0</v>
      </c>
      <c r="BG429">
        <f>Model!BO585</f>
        <v>0</v>
      </c>
      <c r="BH429">
        <f>Model!BP585</f>
        <v>0</v>
      </c>
      <c r="BI429">
        <f>Model!BQ585</f>
        <v>0</v>
      </c>
      <c r="BJ429">
        <f>Model!BR585</f>
        <v>0</v>
      </c>
      <c r="BK429">
        <f>Model!BS585</f>
        <v>0</v>
      </c>
      <c r="BL429">
        <f>Model!BT585</f>
        <v>0</v>
      </c>
      <c r="BM429">
        <f>Model!BU585</f>
        <v>0</v>
      </c>
      <c r="BN429">
        <f>Model!BV585</f>
        <v>0</v>
      </c>
      <c r="BO429">
        <f>Model!BW585</f>
        <v>0</v>
      </c>
      <c r="BP429">
        <f>Model!BX585</f>
        <v>0</v>
      </c>
      <c r="BQ429">
        <f>Model!BY585</f>
        <v>0</v>
      </c>
      <c r="BR429">
        <f>Model!BZ585</f>
        <v>0</v>
      </c>
      <c r="BS429">
        <f>Model!CA585</f>
        <v>0</v>
      </c>
      <c r="BT429">
        <f>Model!CB585</f>
        <v>0</v>
      </c>
      <c r="BU429">
        <f>Model!CC585</f>
        <v>0</v>
      </c>
      <c r="BV429">
        <f>Model!CD585</f>
        <v>0</v>
      </c>
      <c r="BW429">
        <f>Model!CE585</f>
        <v>0</v>
      </c>
      <c r="BX429">
        <f>Model!CF585</f>
        <v>0</v>
      </c>
      <c r="BY429">
        <f>Model!CG585</f>
        <v>0</v>
      </c>
      <c r="BZ429">
        <f>Model!CH585</f>
        <v>0</v>
      </c>
      <c r="CA429">
        <f>Model!CI585</f>
        <v>0</v>
      </c>
      <c r="CB429">
        <f>Model!CJ585</f>
        <v>0</v>
      </c>
      <c r="CC429">
        <f>Model!CK585</f>
        <v>0</v>
      </c>
      <c r="CD429">
        <f>Model!CL585</f>
        <v>0</v>
      </c>
      <c r="CE429">
        <f>Model!CM585</f>
        <v>0</v>
      </c>
      <c r="CF429">
        <f>Model!CN585</f>
        <v>0</v>
      </c>
      <c r="CG429">
        <f>Model!CO585</f>
        <v>0</v>
      </c>
      <c r="CH429">
        <f>Model!CP585</f>
        <v>0</v>
      </c>
      <c r="CI429">
        <f>Model!CQ585</f>
        <v>0</v>
      </c>
      <c r="CJ429">
        <f>Model!CR585</f>
        <v>0</v>
      </c>
      <c r="CK429">
        <f>Model!CS585</f>
        <v>0</v>
      </c>
      <c r="CL429">
        <f>Model!CT585</f>
        <v>0</v>
      </c>
      <c r="CM429">
        <f>Model!CU585</f>
        <v>0</v>
      </c>
      <c r="CN429">
        <f>Model!CV585</f>
        <v>0</v>
      </c>
      <c r="CO429">
        <f>Model!CW585</f>
        <v>0</v>
      </c>
      <c r="CP429">
        <f>Model!CX585</f>
        <v>0</v>
      </c>
      <c r="CQ429">
        <f>Model!CY585</f>
        <v>0</v>
      </c>
      <c r="CR429">
        <f>Model!DG585</f>
        <v>0</v>
      </c>
      <c r="CS429">
        <f>Model!DH585</f>
        <v>0</v>
      </c>
      <c r="CT429">
        <f>Model!DI585</f>
        <v>0</v>
      </c>
      <c r="CU429">
        <f>Model!DJ585</f>
        <v>0</v>
      </c>
    </row>
    <row r="430" spans="1:99">
      <c r="A430" t="str">
        <f>Model!I586</f>
        <v>Current Assets</v>
      </c>
      <c r="B430">
        <f>Model!J586</f>
        <v>0</v>
      </c>
      <c r="C430">
        <f>Model!K586</f>
        <v>0</v>
      </c>
      <c r="D430">
        <f>Model!L586</f>
        <v>0</v>
      </c>
      <c r="E430">
        <f>Model!M586</f>
        <v>0</v>
      </c>
      <c r="F430">
        <f>Model!N586</f>
        <v>0</v>
      </c>
      <c r="G430">
        <f>Model!O586</f>
        <v>0</v>
      </c>
      <c r="H430">
        <f>Model!P586</f>
        <v>0</v>
      </c>
      <c r="I430">
        <f>Model!Q586</f>
        <v>0</v>
      </c>
      <c r="J430">
        <f>Model!R586</f>
        <v>0</v>
      </c>
      <c r="K430">
        <f>Model!S586</f>
        <v>0</v>
      </c>
      <c r="L430">
        <f>Model!T586</f>
        <v>0</v>
      </c>
      <c r="M430">
        <f>Model!U586</f>
        <v>0</v>
      </c>
      <c r="N430">
        <f>Model!V586</f>
        <v>0</v>
      </c>
      <c r="O430">
        <f>Model!W586</f>
        <v>0</v>
      </c>
      <c r="P430">
        <f>Model!X586</f>
        <v>0</v>
      </c>
      <c r="Q430">
        <f>Model!Y586</f>
        <v>0</v>
      </c>
      <c r="R430">
        <f>Model!Z586</f>
        <v>0</v>
      </c>
      <c r="S430">
        <f>Model!AA586</f>
        <v>0</v>
      </c>
      <c r="T430">
        <f>Model!AB586</f>
        <v>0</v>
      </c>
      <c r="U430">
        <f>Model!AC586</f>
        <v>0</v>
      </c>
      <c r="V430">
        <f>Model!AD586</f>
        <v>0</v>
      </c>
      <c r="W430">
        <f>Model!AE586</f>
        <v>0</v>
      </c>
      <c r="X430">
        <f>Model!AF586</f>
        <v>0</v>
      </c>
      <c r="Y430">
        <f>Model!AG586</f>
        <v>0</v>
      </c>
      <c r="Z430">
        <f>Model!AH586</f>
        <v>0</v>
      </c>
      <c r="AA430">
        <f>Model!AI586</f>
        <v>0</v>
      </c>
      <c r="AB430">
        <f>Model!AJ586</f>
        <v>0</v>
      </c>
      <c r="AC430">
        <f>Model!AK586</f>
        <v>0</v>
      </c>
      <c r="AD430">
        <f>Model!AL586</f>
        <v>0</v>
      </c>
      <c r="AE430">
        <f>Model!AM586</f>
        <v>0</v>
      </c>
      <c r="AF430">
        <f>Model!AN586</f>
        <v>0</v>
      </c>
      <c r="AG430">
        <f>Model!AO586</f>
        <v>0</v>
      </c>
      <c r="AH430">
        <f>Model!AP586</f>
        <v>0</v>
      </c>
      <c r="AI430">
        <f>Model!AQ586</f>
        <v>0</v>
      </c>
      <c r="AJ430">
        <f>Model!AR586</f>
        <v>0</v>
      </c>
      <c r="AK430">
        <f>Model!AS586</f>
        <v>0</v>
      </c>
      <c r="AL430">
        <f>Model!AT586</f>
        <v>0</v>
      </c>
      <c r="AM430">
        <f>Model!AU586</f>
        <v>0</v>
      </c>
      <c r="AN430">
        <f>Model!AV586</f>
        <v>0</v>
      </c>
      <c r="AO430">
        <f>Model!AW586</f>
        <v>0</v>
      </c>
      <c r="AP430">
        <f>Model!AX586</f>
        <v>0</v>
      </c>
      <c r="AQ430">
        <f>Model!AY586</f>
        <v>0</v>
      </c>
      <c r="AR430">
        <f>Model!AZ586</f>
        <v>0</v>
      </c>
      <c r="AS430">
        <f>Model!BA586</f>
        <v>0</v>
      </c>
      <c r="AT430">
        <f>Model!BB586</f>
        <v>0</v>
      </c>
      <c r="AU430">
        <f>Model!BC586</f>
        <v>0</v>
      </c>
      <c r="AV430">
        <f>Model!BD586</f>
        <v>0</v>
      </c>
      <c r="AW430">
        <f>Model!BE586</f>
        <v>0</v>
      </c>
      <c r="AX430">
        <f>Model!BF586</f>
        <v>0</v>
      </c>
      <c r="AY430">
        <f>Model!BG586</f>
        <v>0</v>
      </c>
      <c r="AZ430">
        <f>Model!BH586</f>
        <v>0</v>
      </c>
      <c r="BA430">
        <f>Model!BI586</f>
        <v>0</v>
      </c>
      <c r="BB430">
        <f>Model!BJ586</f>
        <v>0</v>
      </c>
      <c r="BC430">
        <f>Model!BK586</f>
        <v>0</v>
      </c>
      <c r="BD430">
        <f>Model!BL586</f>
        <v>0</v>
      </c>
      <c r="BE430">
        <f>Model!BM586</f>
        <v>0</v>
      </c>
      <c r="BF430">
        <f>Model!BN586</f>
        <v>0</v>
      </c>
      <c r="BG430">
        <f>Model!BO586</f>
        <v>0</v>
      </c>
      <c r="BH430">
        <f>Model!BP586</f>
        <v>0</v>
      </c>
      <c r="BI430">
        <f>Model!BQ586</f>
        <v>0</v>
      </c>
      <c r="BJ430">
        <f>Model!BR586</f>
        <v>0</v>
      </c>
      <c r="BK430">
        <f>Model!BS586</f>
        <v>0</v>
      </c>
      <c r="BL430">
        <f>Model!BT586</f>
        <v>0</v>
      </c>
      <c r="BM430">
        <f>Model!BU586</f>
        <v>0</v>
      </c>
      <c r="BN430">
        <f>Model!BV586</f>
        <v>0</v>
      </c>
      <c r="BO430">
        <f>Model!BW586</f>
        <v>0</v>
      </c>
      <c r="BP430">
        <f>Model!BX586</f>
        <v>0</v>
      </c>
      <c r="BQ430">
        <f>Model!BY586</f>
        <v>0</v>
      </c>
      <c r="BR430">
        <f>Model!BZ586</f>
        <v>0</v>
      </c>
      <c r="BS430">
        <f>Model!CA586</f>
        <v>0</v>
      </c>
      <c r="BT430">
        <f>Model!CB586</f>
        <v>0</v>
      </c>
      <c r="BU430">
        <f>Model!CC586</f>
        <v>0</v>
      </c>
      <c r="BV430">
        <f>Model!CD586</f>
        <v>0</v>
      </c>
      <c r="BW430">
        <f>Model!CE586</f>
        <v>0</v>
      </c>
      <c r="BX430">
        <f>Model!CF586</f>
        <v>0</v>
      </c>
      <c r="BY430">
        <f>Model!CG586</f>
        <v>0</v>
      </c>
      <c r="BZ430">
        <f>Model!CH586</f>
        <v>0</v>
      </c>
      <c r="CA430">
        <f>Model!CI586</f>
        <v>0</v>
      </c>
      <c r="CB430">
        <f>Model!CJ586</f>
        <v>0</v>
      </c>
      <c r="CC430">
        <f>Model!CK586</f>
        <v>0</v>
      </c>
      <c r="CD430">
        <f>Model!CL586</f>
        <v>0</v>
      </c>
      <c r="CE430">
        <f>Model!CM586</f>
        <v>0</v>
      </c>
      <c r="CF430">
        <f>Model!CN586</f>
        <v>0</v>
      </c>
      <c r="CG430">
        <f>Model!CO586</f>
        <v>0</v>
      </c>
      <c r="CH430">
        <f>Model!CP586</f>
        <v>0</v>
      </c>
      <c r="CI430">
        <f>Model!CQ586</f>
        <v>0</v>
      </c>
      <c r="CJ430">
        <f>Model!CR586</f>
        <v>0</v>
      </c>
      <c r="CK430">
        <f>Model!CS586</f>
        <v>0</v>
      </c>
      <c r="CL430">
        <f>Model!CT586</f>
        <v>0</v>
      </c>
      <c r="CM430">
        <f>Model!CU586</f>
        <v>0</v>
      </c>
      <c r="CN430">
        <f>Model!CV586</f>
        <v>0</v>
      </c>
      <c r="CO430">
        <f>Model!CW586</f>
        <v>0</v>
      </c>
      <c r="CP430">
        <f>Model!CX586</f>
        <v>0</v>
      </c>
      <c r="CQ430">
        <f>Model!CY586</f>
        <v>0</v>
      </c>
      <c r="CR430">
        <f>Model!DG586</f>
        <v>0</v>
      </c>
      <c r="CS430">
        <f>Model!DH586</f>
        <v>0</v>
      </c>
      <c r="CT430">
        <f>Model!DI586</f>
        <v>0</v>
      </c>
      <c r="CU430">
        <f>Model!DJ586</f>
        <v>0</v>
      </c>
    </row>
    <row r="431" spans="1:99">
      <c r="A431" t="str">
        <f>Model!I587</f>
        <v>Cash and Equivalents</v>
      </c>
      <c r="B431">
        <f>Model!J587</f>
        <v>0</v>
      </c>
      <c r="C431">
        <f>Model!K587</f>
        <v>0</v>
      </c>
      <c r="D431">
        <f>Model!L587</f>
        <v>0</v>
      </c>
      <c r="E431">
        <f>Model!M587</f>
        <v>0</v>
      </c>
      <c r="F431">
        <f>Model!N587</f>
        <v>0</v>
      </c>
      <c r="G431">
        <f>Model!O587</f>
        <v>0</v>
      </c>
      <c r="H431">
        <f>Model!P587</f>
        <v>0</v>
      </c>
      <c r="I431">
        <f>Model!Q587</f>
        <v>0</v>
      </c>
      <c r="J431">
        <f>Model!R587</f>
        <v>0</v>
      </c>
      <c r="K431">
        <f>Model!S587</f>
        <v>0</v>
      </c>
      <c r="L431">
        <f>Model!T587</f>
        <v>0</v>
      </c>
      <c r="M431">
        <f>Model!U587</f>
        <v>0</v>
      </c>
      <c r="N431">
        <f>Model!V587</f>
        <v>0</v>
      </c>
      <c r="O431">
        <f>Model!W587</f>
        <v>0</v>
      </c>
      <c r="P431">
        <f>Model!X587</f>
        <v>0</v>
      </c>
      <c r="Q431">
        <f>Model!Y587</f>
        <v>0</v>
      </c>
      <c r="R431">
        <f>Model!Z587</f>
        <v>0</v>
      </c>
      <c r="S431">
        <f>Model!AA587</f>
        <v>0</v>
      </c>
      <c r="T431">
        <f>Model!AB587</f>
        <v>0</v>
      </c>
      <c r="U431">
        <f>Model!AC587</f>
        <v>0</v>
      </c>
      <c r="V431">
        <f>Model!AD587</f>
        <v>0</v>
      </c>
      <c r="W431">
        <f>Model!AE587</f>
        <v>0</v>
      </c>
      <c r="X431">
        <f>Model!AF587</f>
        <v>0</v>
      </c>
      <c r="Y431">
        <f>Model!AG587</f>
        <v>0</v>
      </c>
      <c r="Z431">
        <f>Model!AH587</f>
        <v>0</v>
      </c>
      <c r="AA431">
        <f>Model!AI587</f>
        <v>0</v>
      </c>
      <c r="AB431">
        <f>Model!AJ587</f>
        <v>0</v>
      </c>
      <c r="AC431">
        <f>Model!AK587</f>
        <v>0</v>
      </c>
      <c r="AD431">
        <f>Model!AL587</f>
        <v>0</v>
      </c>
      <c r="AE431">
        <f>Model!AM587</f>
        <v>0</v>
      </c>
      <c r="AF431">
        <f>Model!AN587</f>
        <v>0</v>
      </c>
      <c r="AG431">
        <f>Model!AO587</f>
        <v>0</v>
      </c>
      <c r="AH431">
        <f>Model!AP587</f>
        <v>0</v>
      </c>
      <c r="AI431">
        <f>Model!AQ587</f>
        <v>0</v>
      </c>
      <c r="AJ431">
        <f>Model!AR587</f>
        <v>0</v>
      </c>
      <c r="AK431">
        <f>Model!AS587</f>
        <v>0</v>
      </c>
      <c r="AL431">
        <f>Model!AT587</f>
        <v>0</v>
      </c>
      <c r="AM431">
        <f>Model!AU587</f>
        <v>0</v>
      </c>
      <c r="AN431">
        <f>Model!AV587</f>
        <v>0</v>
      </c>
      <c r="AO431">
        <f>Model!AW587</f>
        <v>0</v>
      </c>
      <c r="AP431">
        <f>Model!AX587</f>
        <v>0</v>
      </c>
      <c r="AQ431">
        <f>Model!AY587</f>
        <v>0</v>
      </c>
      <c r="AR431">
        <f>Model!AZ587</f>
        <v>0</v>
      </c>
      <c r="AS431">
        <f>Model!BA587</f>
        <v>551.07399999999996</v>
      </c>
      <c r="AT431">
        <f>Model!BB587</f>
        <v>611.24900000000002</v>
      </c>
      <c r="AU431">
        <f>Model!BC587</f>
        <v>421.166</v>
      </c>
      <c r="AV431">
        <f>Model!BD587</f>
        <v>632.83600000000001</v>
      </c>
      <c r="AW431">
        <f>Model!BE587</f>
        <v>1192.075</v>
      </c>
      <c r="AX431">
        <f>Model!BF587</f>
        <v>812.78599999999994</v>
      </c>
      <c r="AY431">
        <f>Model!BG587</f>
        <v>898.47</v>
      </c>
      <c r="AZ431">
        <f>Model!BH587</f>
        <v>1536.3489999999999</v>
      </c>
      <c r="BA431">
        <f>Model!BI587</f>
        <v>1611.21</v>
      </c>
      <c r="BB431">
        <f>Model!BJ587</f>
        <v>1762.2139999999999</v>
      </c>
      <c r="BC431">
        <f>Model!BK587</f>
        <v>1096.0940000000001</v>
      </c>
      <c r="BD431">
        <f>Model!BL587</f>
        <v>1289.9939999999999</v>
      </c>
      <c r="BE431">
        <f>Model!BM587</f>
        <v>1288.1500000000001</v>
      </c>
      <c r="BF431">
        <f>Model!BN587</f>
        <v>3503.8989999999999</v>
      </c>
      <c r="BG431">
        <f>Model!BO587</f>
        <v>5043.7240000000002</v>
      </c>
      <c r="BH431">
        <f>Model!BP587</f>
        <v>3148.6509999999998</v>
      </c>
      <c r="BI431">
        <f>Model!BQ587</f>
        <v>3255.8139999999999</v>
      </c>
      <c r="BJ431">
        <f>Model!BR587</f>
        <v>1888.9490000000001</v>
      </c>
      <c r="BK431">
        <f>Model!BS587</f>
        <v>1841.6579999999999</v>
      </c>
      <c r="BL431">
        <f>Model!BT587</f>
        <v>1477.2650000000001</v>
      </c>
      <c r="BM431">
        <f>Model!BU587</f>
        <v>1857.165</v>
      </c>
      <c r="BN431">
        <f>Model!BV587</f>
        <v>2693.7179999999998</v>
      </c>
      <c r="BO431">
        <f>Model!BW587</f>
        <v>2422.2689999999998</v>
      </c>
      <c r="BP431">
        <f>Model!BX587</f>
        <v>2081.0749999999998</v>
      </c>
      <c r="BQ431">
        <f>Model!BY587</f>
        <v>2434.02</v>
      </c>
      <c r="BR431">
        <f>Model!BZ587</f>
        <v>2634.2640000000001</v>
      </c>
      <c r="BS431">
        <f>Model!CA587</f>
        <v>2846.3</v>
      </c>
      <c r="BT431">
        <f>Model!CB587</f>
        <v>2541.6039999999998</v>
      </c>
      <c r="BU431">
        <f>Model!CC587</f>
        <v>521.93635906201484</v>
      </c>
      <c r="BV431">
        <f>Model!CD587</f>
        <v>1086.9678265577709</v>
      </c>
      <c r="BW431">
        <f>Model!CE587</f>
        <v>2338.7494858849054</v>
      </c>
      <c r="BX431">
        <f>Model!CF587</f>
        <v>3184.8813886833345</v>
      </c>
      <c r="BY431">
        <f>Model!CG587</f>
        <v>0</v>
      </c>
      <c r="BZ431">
        <f>Model!CH587</f>
        <v>0</v>
      </c>
      <c r="CA431">
        <f>Model!CI587</f>
        <v>0</v>
      </c>
      <c r="CB431">
        <f>Model!CJ587</f>
        <v>0</v>
      </c>
      <c r="CC431">
        <f>Model!CK587</f>
        <v>0</v>
      </c>
      <c r="CD431">
        <f>Model!CL587</f>
        <v>0</v>
      </c>
      <c r="CE431">
        <f>Model!CM587</f>
        <v>0</v>
      </c>
      <c r="CF431">
        <f>Model!CN587</f>
        <v>0</v>
      </c>
      <c r="CG431">
        <f>Model!CO587</f>
        <v>0</v>
      </c>
      <c r="CH431">
        <f>Model!CP587</f>
        <v>0</v>
      </c>
      <c r="CI431">
        <f>Model!CQ587</f>
        <v>358.96699999999998</v>
      </c>
      <c r="CJ431">
        <f>Model!CR587</f>
        <v>632.83600000000001</v>
      </c>
      <c r="CK431">
        <f>Model!CS587</f>
        <v>1536.3489999999999</v>
      </c>
      <c r="CL431">
        <f>Model!CT587</f>
        <v>1289.9939999999999</v>
      </c>
      <c r="CM431">
        <f>Model!CU587</f>
        <v>3148.6509999999998</v>
      </c>
      <c r="CN431">
        <f>Model!CV587</f>
        <v>1477.2650000000001</v>
      </c>
      <c r="CO431">
        <f>Model!CW587</f>
        <v>2081.0749999999998</v>
      </c>
      <c r="CP431">
        <f>Model!CX587</f>
        <v>2541.6039999999998</v>
      </c>
      <c r="CQ431">
        <f>Model!CY587</f>
        <v>3184.8813886833345</v>
      </c>
      <c r="CR431">
        <f>Model!DG587</f>
        <v>0</v>
      </c>
      <c r="CS431">
        <f>Model!DH587</f>
        <v>0</v>
      </c>
      <c r="CT431">
        <f>Model!DI587</f>
        <v>0</v>
      </c>
      <c r="CU431">
        <f>Model!DJ587</f>
        <v>0</v>
      </c>
    </row>
    <row r="432" spans="1:99">
      <c r="A432" t="str">
        <f>Model!I588</f>
        <v>Restricted Cash</v>
      </c>
      <c r="B432">
        <f>Model!J588</f>
        <v>0</v>
      </c>
      <c r="C432">
        <f>Model!K588</f>
        <v>0</v>
      </c>
      <c r="D432">
        <f>Model!L588</f>
        <v>0</v>
      </c>
      <c r="E432">
        <f>Model!M588</f>
        <v>0</v>
      </c>
      <c r="F432">
        <f>Model!N588</f>
        <v>0</v>
      </c>
      <c r="G432">
        <f>Model!O588</f>
        <v>0</v>
      </c>
      <c r="H432">
        <f>Model!P588</f>
        <v>0</v>
      </c>
      <c r="I432">
        <f>Model!Q588</f>
        <v>0</v>
      </c>
      <c r="J432">
        <f>Model!R588</f>
        <v>0</v>
      </c>
      <c r="K432">
        <f>Model!S588</f>
        <v>0</v>
      </c>
      <c r="L432">
        <f>Model!T588</f>
        <v>0</v>
      </c>
      <c r="M432">
        <f>Model!U588</f>
        <v>0</v>
      </c>
      <c r="N432">
        <f>Model!V588</f>
        <v>0</v>
      </c>
      <c r="O432">
        <f>Model!W588</f>
        <v>0</v>
      </c>
      <c r="P432">
        <f>Model!X588</f>
        <v>0</v>
      </c>
      <c r="Q432">
        <f>Model!Y588</f>
        <v>0</v>
      </c>
      <c r="R432">
        <f>Model!Z588</f>
        <v>0</v>
      </c>
      <c r="S432">
        <f>Model!AA588</f>
        <v>0</v>
      </c>
      <c r="T432">
        <f>Model!AB588</f>
        <v>0</v>
      </c>
      <c r="U432">
        <f>Model!AC588</f>
        <v>0</v>
      </c>
      <c r="V432">
        <f>Model!AD588</f>
        <v>0</v>
      </c>
      <c r="W432">
        <f>Model!AE588</f>
        <v>0</v>
      </c>
      <c r="X432">
        <f>Model!AF588</f>
        <v>0</v>
      </c>
      <c r="Y432">
        <f>Model!AG588</f>
        <v>0</v>
      </c>
      <c r="Z432">
        <f>Model!AH588</f>
        <v>0</v>
      </c>
      <c r="AA432">
        <f>Model!AI588</f>
        <v>0</v>
      </c>
      <c r="AB432">
        <f>Model!AJ588</f>
        <v>0</v>
      </c>
      <c r="AC432">
        <f>Model!AK588</f>
        <v>0</v>
      </c>
      <c r="AD432">
        <f>Model!AL588</f>
        <v>0</v>
      </c>
      <c r="AE432">
        <f>Model!AM588</f>
        <v>0</v>
      </c>
      <c r="AF432">
        <f>Model!AN588</f>
        <v>0</v>
      </c>
      <c r="AG432">
        <f>Model!AO588</f>
        <v>0</v>
      </c>
      <c r="AH432">
        <f>Model!AP588</f>
        <v>0</v>
      </c>
      <c r="AI432">
        <f>Model!AQ588</f>
        <v>0</v>
      </c>
      <c r="AJ432">
        <f>Model!AR588</f>
        <v>0</v>
      </c>
      <c r="AK432">
        <f>Model!AS588</f>
        <v>0</v>
      </c>
      <c r="AL432">
        <f>Model!AT588</f>
        <v>0</v>
      </c>
      <c r="AM432">
        <f>Model!AU588</f>
        <v>0</v>
      </c>
      <c r="AN432">
        <f>Model!AV588</f>
        <v>0</v>
      </c>
      <c r="AO432">
        <f>Model!AW588</f>
        <v>0</v>
      </c>
      <c r="AP432">
        <f>Model!AX588</f>
        <v>0</v>
      </c>
      <c r="AQ432">
        <f>Model!AY588</f>
        <v>0</v>
      </c>
      <c r="AR432">
        <f>Model!AZ588</f>
        <v>0</v>
      </c>
      <c r="AS432">
        <f>Model!BA588</f>
        <v>1.0640000000000001</v>
      </c>
      <c r="AT432">
        <f>Model!BB588</f>
        <v>1.079</v>
      </c>
      <c r="AU432">
        <f>Model!BC588</f>
        <v>3.851</v>
      </c>
      <c r="AV432">
        <f>Model!BD588</f>
        <v>3.7709999999999999</v>
      </c>
      <c r="AW432">
        <f>Model!BE588</f>
        <v>4.4580000000000002</v>
      </c>
      <c r="AX432">
        <f>Model!BF588</f>
        <v>6.609</v>
      </c>
      <c r="AY432">
        <f>Model!BG588</f>
        <v>7.2140000000000004</v>
      </c>
      <c r="AZ432">
        <f>Model!BH588</f>
        <v>6.641</v>
      </c>
      <c r="BA432">
        <f>Model!BI588</f>
        <v>7.0220000000000002</v>
      </c>
      <c r="BB432">
        <f>Model!BJ588</f>
        <v>7.7329999999999997</v>
      </c>
      <c r="BC432">
        <f>Model!BK588</f>
        <v>9.0340000000000007</v>
      </c>
      <c r="BD432">
        <f>Model!BL588</f>
        <v>10.476000000000001</v>
      </c>
      <c r="BE432">
        <f>Model!BM588</f>
        <v>15.616</v>
      </c>
      <c r="BF432">
        <f>Model!BN588</f>
        <v>15.63</v>
      </c>
      <c r="BG432">
        <f>Model!BO588</f>
        <v>0.90300000000000002</v>
      </c>
      <c r="BH432">
        <f>Model!BP588</f>
        <v>0.84299999999999997</v>
      </c>
      <c r="BI432">
        <f>Model!BQ588</f>
        <v>0.86299999999999999</v>
      </c>
      <c r="BJ432">
        <f>Model!BR588</f>
        <v>1.052</v>
      </c>
      <c r="BK432">
        <f>Model!BS588</f>
        <v>0.82699999999999996</v>
      </c>
      <c r="BL432">
        <f>Model!BT588</f>
        <v>0.80600000000000005</v>
      </c>
      <c r="BM432">
        <f>Model!BU588</f>
        <v>0.83499999999999996</v>
      </c>
      <c r="BN432">
        <f>Model!BV588</f>
        <v>0.82299999999999995</v>
      </c>
      <c r="BO432">
        <f>Model!BW588</f>
        <v>0.85699999999999998</v>
      </c>
      <c r="BP432">
        <f>Model!BX588</f>
        <v>0</v>
      </c>
      <c r="BQ432">
        <f>Model!BY588</f>
        <v>0</v>
      </c>
      <c r="BR432">
        <f>Model!BZ588</f>
        <v>0</v>
      </c>
      <c r="BS432">
        <f>Model!CA588</f>
        <v>0</v>
      </c>
      <c r="BT432">
        <f>Model!CB588</f>
        <v>0</v>
      </c>
      <c r="BU432">
        <f>Model!CC588</f>
        <v>0</v>
      </c>
      <c r="BV432">
        <f>Model!CD588</f>
        <v>0</v>
      </c>
      <c r="BW432">
        <f>Model!CE588</f>
        <v>0</v>
      </c>
      <c r="BX432">
        <f>Model!CF588</f>
        <v>0</v>
      </c>
      <c r="BY432">
        <f>Model!CG588</f>
        <v>0</v>
      </c>
      <c r="BZ432">
        <f>Model!CH588</f>
        <v>0</v>
      </c>
      <c r="CA432">
        <f>Model!CI588</f>
        <v>0</v>
      </c>
      <c r="CB432">
        <f>Model!CJ588</f>
        <v>0</v>
      </c>
      <c r="CC432">
        <f>Model!CK588</f>
        <v>0</v>
      </c>
      <c r="CD432">
        <f>Model!CL588</f>
        <v>0</v>
      </c>
      <c r="CE432">
        <f>Model!CM588</f>
        <v>0</v>
      </c>
      <c r="CF432">
        <f>Model!CN588</f>
        <v>0</v>
      </c>
      <c r="CG432">
        <f>Model!CO588</f>
        <v>0</v>
      </c>
      <c r="CH432">
        <f>Model!CP588</f>
        <v>0</v>
      </c>
      <c r="CI432">
        <f>Model!CQ588</f>
        <v>1.05</v>
      </c>
      <c r="CJ432">
        <f>Model!CR588</f>
        <v>3.7709999999999999</v>
      </c>
      <c r="CK432">
        <f>Model!CS588</f>
        <v>6.641</v>
      </c>
      <c r="CL432">
        <f>Model!CT588</f>
        <v>10.476000000000001</v>
      </c>
      <c r="CM432">
        <f>Model!CU588</f>
        <v>0.84299999999999997</v>
      </c>
      <c r="CN432">
        <f>Model!CV588</f>
        <v>0.80600000000000005</v>
      </c>
      <c r="CO432">
        <f>Model!CW588</f>
        <v>0</v>
      </c>
      <c r="CP432">
        <f>Model!CX588</f>
        <v>0</v>
      </c>
      <c r="CQ432">
        <f>Model!CY588</f>
        <v>0</v>
      </c>
      <c r="CR432">
        <f>Model!DG588</f>
        <v>0</v>
      </c>
      <c r="CS432">
        <f>Model!DH588</f>
        <v>0</v>
      </c>
      <c r="CT432">
        <f>Model!DI588</f>
        <v>0</v>
      </c>
      <c r="CU432">
        <f>Model!DJ588</f>
        <v>0</v>
      </c>
    </row>
    <row r="433" spans="1:99">
      <c r="A433" t="str">
        <f>Model!I589</f>
        <v>Short term Investments</v>
      </c>
      <c r="B433">
        <f>Model!J589</f>
        <v>0</v>
      </c>
      <c r="C433">
        <f>Model!K589</f>
        <v>0</v>
      </c>
      <c r="D433">
        <f>Model!L589</f>
        <v>0</v>
      </c>
      <c r="E433">
        <f>Model!M589</f>
        <v>0</v>
      </c>
      <c r="F433">
        <f>Model!N589</f>
        <v>0</v>
      </c>
      <c r="G433">
        <f>Model!O589</f>
        <v>0</v>
      </c>
      <c r="H433">
        <f>Model!P589</f>
        <v>0</v>
      </c>
      <c r="I433">
        <f>Model!Q589</f>
        <v>0</v>
      </c>
      <c r="J433">
        <f>Model!R589</f>
        <v>0</v>
      </c>
      <c r="K433">
        <f>Model!S589</f>
        <v>0</v>
      </c>
      <c r="L433">
        <f>Model!T589</f>
        <v>0</v>
      </c>
      <c r="M433">
        <f>Model!U589</f>
        <v>0</v>
      </c>
      <c r="N433">
        <f>Model!V589</f>
        <v>0</v>
      </c>
      <c r="O433">
        <f>Model!W589</f>
        <v>0</v>
      </c>
      <c r="P433">
        <f>Model!X589</f>
        <v>0</v>
      </c>
      <c r="Q433">
        <f>Model!Y589</f>
        <v>0</v>
      </c>
      <c r="R433">
        <f>Model!Z589</f>
        <v>0</v>
      </c>
      <c r="S433">
        <f>Model!AA589</f>
        <v>0</v>
      </c>
      <c r="T433">
        <f>Model!AB589</f>
        <v>0</v>
      </c>
      <c r="U433">
        <f>Model!AC589</f>
        <v>0</v>
      </c>
      <c r="V433">
        <f>Model!AD589</f>
        <v>0</v>
      </c>
      <c r="W433">
        <f>Model!AE589</f>
        <v>0</v>
      </c>
      <c r="X433">
        <f>Model!AF589</f>
        <v>0</v>
      </c>
      <c r="Y433">
        <f>Model!AG589</f>
        <v>0</v>
      </c>
      <c r="Z433">
        <f>Model!AH589</f>
        <v>0</v>
      </c>
      <c r="AA433">
        <f>Model!AI589</f>
        <v>0</v>
      </c>
      <c r="AB433">
        <f>Model!AJ589</f>
        <v>0</v>
      </c>
      <c r="AC433">
        <f>Model!AK589</f>
        <v>0</v>
      </c>
      <c r="AD433">
        <f>Model!AL589</f>
        <v>0</v>
      </c>
      <c r="AE433">
        <f>Model!AM589</f>
        <v>0</v>
      </c>
      <c r="AF433">
        <f>Model!AN589</f>
        <v>0</v>
      </c>
      <c r="AG433">
        <f>Model!AO589</f>
        <v>0</v>
      </c>
      <c r="AH433">
        <f>Model!AP589</f>
        <v>0</v>
      </c>
      <c r="AI433">
        <f>Model!AQ589</f>
        <v>0</v>
      </c>
      <c r="AJ433">
        <f>Model!AR589</f>
        <v>0</v>
      </c>
      <c r="AK433">
        <f>Model!AS589</f>
        <v>0</v>
      </c>
      <c r="AL433">
        <f>Model!AT589</f>
        <v>0</v>
      </c>
      <c r="AM433">
        <f>Model!AU589</f>
        <v>0</v>
      </c>
      <c r="AN433">
        <f>Model!AV589</f>
        <v>0</v>
      </c>
      <c r="AO433">
        <f>Model!AW589</f>
        <v>0</v>
      </c>
      <c r="AP433">
        <f>Model!AX589</f>
        <v>0</v>
      </c>
      <c r="AQ433">
        <f>Model!AY589</f>
        <v>0</v>
      </c>
      <c r="AR433">
        <f>Model!AZ589</f>
        <v>0</v>
      </c>
      <c r="AS433">
        <f>Model!BA589</f>
        <v>1194.5119999999999</v>
      </c>
      <c r="AT433">
        <f>Model!BB589</f>
        <v>1338.1690000000001</v>
      </c>
      <c r="AU433">
        <f>Model!BC589</f>
        <v>1983.4670000000001</v>
      </c>
      <c r="AV433">
        <f>Model!BD589</f>
        <v>2024.827</v>
      </c>
      <c r="AW433">
        <f>Model!BE589</f>
        <v>2426.6280000000002</v>
      </c>
      <c r="AX433">
        <f>Model!BF589</f>
        <v>3129.556</v>
      </c>
      <c r="AY433">
        <f>Model!BG589</f>
        <v>3769.527</v>
      </c>
      <c r="AZ433">
        <f>Model!BH589</f>
        <v>3646.8449999999998</v>
      </c>
      <c r="BA433">
        <f>Model!BI589</f>
        <v>3570.4070000000002</v>
      </c>
      <c r="BB433">
        <f>Model!BJ589</f>
        <v>4182.8599999999997</v>
      </c>
      <c r="BC433">
        <f>Model!BK589</f>
        <v>5487.5259999999998</v>
      </c>
      <c r="BD433">
        <f>Model!BL589</f>
        <v>5462.72</v>
      </c>
      <c r="BE433">
        <f>Model!BM589</f>
        <v>5422.3580000000002</v>
      </c>
      <c r="BF433">
        <f>Model!BN589</f>
        <v>3660.8069999999998</v>
      </c>
      <c r="BG433">
        <f>Model!BO589</f>
        <v>1193.3530000000001</v>
      </c>
      <c r="BH433">
        <f>Model!BP589</f>
        <v>1142.182</v>
      </c>
      <c r="BI433">
        <f>Model!BQ589</f>
        <v>1379.6410000000001</v>
      </c>
      <c r="BJ433">
        <f>Model!BR589</f>
        <v>1299.127</v>
      </c>
      <c r="BK433">
        <f>Model!BS589</f>
        <v>1211.184</v>
      </c>
      <c r="BL433">
        <f>Model!BT589</f>
        <v>1171.2460000000001</v>
      </c>
      <c r="BM433">
        <f>Model!BU589</f>
        <v>1525.6369999999999</v>
      </c>
      <c r="BN433">
        <f>Model!BV589</f>
        <v>1677.242</v>
      </c>
      <c r="BO433">
        <f>Model!BW589</f>
        <v>1956.047</v>
      </c>
      <c r="BP433">
        <f>Model!BX589</f>
        <v>2218.88</v>
      </c>
      <c r="BQ433">
        <f>Model!BY589</f>
        <v>2936.1579999999999</v>
      </c>
      <c r="BR433">
        <f>Model!BZ589</f>
        <v>3721.8249999999998</v>
      </c>
      <c r="BS433">
        <f>Model!CA589</f>
        <v>4407.0280000000002</v>
      </c>
      <c r="BT433">
        <f>Model!CB589</f>
        <v>4859.8729999999996</v>
      </c>
      <c r="BU433">
        <f>Model!CC589</f>
        <v>4859.8729999999996</v>
      </c>
      <c r="BV433">
        <f>Model!CD589</f>
        <v>4859.8729999999996</v>
      </c>
      <c r="BW433">
        <f>Model!CE589</f>
        <v>4859.8729999999996</v>
      </c>
      <c r="BX433">
        <f>Model!CF589</f>
        <v>4859.8729999999996</v>
      </c>
      <c r="BY433">
        <f>Model!CG589</f>
        <v>0</v>
      </c>
      <c r="BZ433">
        <f>Model!CH589</f>
        <v>0</v>
      </c>
      <c r="CA433">
        <f>Model!CI589</f>
        <v>0</v>
      </c>
      <c r="CB433">
        <f>Model!CJ589</f>
        <v>0</v>
      </c>
      <c r="CC433">
        <f>Model!CK589</f>
        <v>0</v>
      </c>
      <c r="CD433">
        <f>Model!CL589</f>
        <v>0</v>
      </c>
      <c r="CE433">
        <f>Model!CM589</f>
        <v>0</v>
      </c>
      <c r="CF433">
        <f>Model!CN589</f>
        <v>0</v>
      </c>
      <c r="CG433">
        <f>Model!CO589</f>
        <v>0</v>
      </c>
      <c r="CH433">
        <f>Model!CP589</f>
        <v>0</v>
      </c>
      <c r="CI433">
        <f>Model!CQ589</f>
        <v>1303.251</v>
      </c>
      <c r="CJ433">
        <f>Model!CR589</f>
        <v>2024.827</v>
      </c>
      <c r="CK433">
        <f>Model!CS589</f>
        <v>3646.8449999999998</v>
      </c>
      <c r="CL433">
        <f>Model!CT589</f>
        <v>5462.72</v>
      </c>
      <c r="CM433">
        <f>Model!CU589</f>
        <v>1142.182</v>
      </c>
      <c r="CN433">
        <f>Model!CV589</f>
        <v>1171.2460000000001</v>
      </c>
      <c r="CO433">
        <f>Model!CW589</f>
        <v>2218.88</v>
      </c>
      <c r="CP433">
        <f>Model!CX589</f>
        <v>4859.8729999999996</v>
      </c>
      <c r="CQ433">
        <f>Model!CY589</f>
        <v>4859.8729999999996</v>
      </c>
      <c r="CR433">
        <f>Model!DG589</f>
        <v>0</v>
      </c>
      <c r="CS433">
        <f>Model!DH589</f>
        <v>0</v>
      </c>
      <c r="CT433">
        <f>Model!DI589</f>
        <v>0</v>
      </c>
      <c r="CU433">
        <f>Model!DJ589</f>
        <v>0</v>
      </c>
    </row>
    <row r="434" spans="1:99">
      <c r="A434" t="str">
        <f>Model!I590</f>
        <v>Accounts Receivable, net</v>
      </c>
      <c r="B434">
        <f>Model!J590</f>
        <v>0</v>
      </c>
      <c r="C434">
        <f>Model!K590</f>
        <v>0</v>
      </c>
      <c r="D434">
        <f>Model!L590</f>
        <v>0</v>
      </c>
      <c r="E434">
        <f>Model!M590</f>
        <v>0</v>
      </c>
      <c r="F434">
        <f>Model!N590</f>
        <v>0</v>
      </c>
      <c r="G434">
        <f>Model!O590</f>
        <v>0</v>
      </c>
      <c r="H434">
        <f>Model!P590</f>
        <v>0</v>
      </c>
      <c r="I434">
        <f>Model!Q590</f>
        <v>0</v>
      </c>
      <c r="J434">
        <f>Model!R590</f>
        <v>0</v>
      </c>
      <c r="K434">
        <f>Model!S590</f>
        <v>0</v>
      </c>
      <c r="L434">
        <f>Model!T590</f>
        <v>0</v>
      </c>
      <c r="M434">
        <f>Model!U590</f>
        <v>0</v>
      </c>
      <c r="N434">
        <f>Model!V590</f>
        <v>0</v>
      </c>
      <c r="O434">
        <f>Model!W590</f>
        <v>0</v>
      </c>
      <c r="P434">
        <f>Model!X590</f>
        <v>0</v>
      </c>
      <c r="Q434">
        <f>Model!Y590</f>
        <v>0</v>
      </c>
      <c r="R434">
        <f>Model!Z590</f>
        <v>0</v>
      </c>
      <c r="S434">
        <f>Model!AA590</f>
        <v>0</v>
      </c>
      <c r="T434">
        <f>Model!AB590</f>
        <v>0</v>
      </c>
      <c r="U434">
        <f>Model!AC590</f>
        <v>0</v>
      </c>
      <c r="V434">
        <f>Model!AD590</f>
        <v>0</v>
      </c>
      <c r="W434">
        <f>Model!AE590</f>
        <v>0</v>
      </c>
      <c r="X434">
        <f>Model!AF590</f>
        <v>0</v>
      </c>
      <c r="Y434">
        <f>Model!AG590</f>
        <v>0</v>
      </c>
      <c r="Z434">
        <f>Model!AH590</f>
        <v>0</v>
      </c>
      <c r="AA434">
        <f>Model!AI590</f>
        <v>0</v>
      </c>
      <c r="AB434">
        <f>Model!AJ590</f>
        <v>0</v>
      </c>
      <c r="AC434">
        <f>Model!AK590</f>
        <v>0</v>
      </c>
      <c r="AD434">
        <f>Model!AL590</f>
        <v>0</v>
      </c>
      <c r="AE434">
        <f>Model!AM590</f>
        <v>0</v>
      </c>
      <c r="AF434">
        <f>Model!AN590</f>
        <v>0</v>
      </c>
      <c r="AG434">
        <f>Model!AO590</f>
        <v>0</v>
      </c>
      <c r="AH434">
        <f>Model!AP590</f>
        <v>0</v>
      </c>
      <c r="AI434">
        <f>Model!AQ590</f>
        <v>0</v>
      </c>
      <c r="AJ434">
        <f>Model!AR590</f>
        <v>0</v>
      </c>
      <c r="AK434">
        <f>Model!AS590</f>
        <v>0</v>
      </c>
      <c r="AL434">
        <f>Model!AT590</f>
        <v>0</v>
      </c>
      <c r="AM434">
        <f>Model!AU590</f>
        <v>0</v>
      </c>
      <c r="AN434">
        <f>Model!AV590</f>
        <v>0</v>
      </c>
      <c r="AO434">
        <f>Model!AW590</f>
        <v>0</v>
      </c>
      <c r="AP434">
        <f>Model!AX590</f>
        <v>0</v>
      </c>
      <c r="AQ434">
        <f>Model!AY590</f>
        <v>0</v>
      </c>
      <c r="AR434">
        <f>Model!AZ590</f>
        <v>0</v>
      </c>
      <c r="AS434">
        <f>Model!BA590</f>
        <v>221.97800000000001</v>
      </c>
      <c r="AT434">
        <f>Model!BB590</f>
        <v>321.358</v>
      </c>
      <c r="AU434">
        <f>Model!BC590</f>
        <v>345.339</v>
      </c>
      <c r="AV434">
        <f>Model!BD590</f>
        <v>264.45299999999997</v>
      </c>
      <c r="AW434">
        <f>Model!BE590</f>
        <v>324.56200000000001</v>
      </c>
      <c r="AX434">
        <f>Model!BF590</f>
        <v>429.52</v>
      </c>
      <c r="AY434">
        <f>Model!BG590</f>
        <v>493.77699999999999</v>
      </c>
      <c r="AZ434">
        <f>Model!BH590</f>
        <v>367.512</v>
      </c>
      <c r="BA434">
        <f>Model!BI590</f>
        <v>471.80700000000002</v>
      </c>
      <c r="BB434">
        <f>Model!BJ590</f>
        <v>649.25</v>
      </c>
      <c r="BC434">
        <f>Model!BK590</f>
        <v>706.23400000000004</v>
      </c>
      <c r="BD434">
        <f>Model!BL590</f>
        <v>535.96199999999999</v>
      </c>
      <c r="BE434">
        <f>Model!BM590</f>
        <v>627.16</v>
      </c>
      <c r="BF434">
        <f>Model!BN590</f>
        <v>841.13300000000004</v>
      </c>
      <c r="BG434">
        <f>Model!BO590</f>
        <v>843.56</v>
      </c>
      <c r="BH434">
        <f>Model!BP590</f>
        <v>643.89400000000001</v>
      </c>
      <c r="BI434">
        <f>Model!BQ590</f>
        <v>706.77599999999995</v>
      </c>
      <c r="BJ434">
        <f>Model!BR590</f>
        <v>889.86800000000005</v>
      </c>
      <c r="BK434">
        <f>Model!BS590</f>
        <v>890.53200000000004</v>
      </c>
      <c r="BL434">
        <f>Model!BT590</f>
        <v>645.16899999999998</v>
      </c>
      <c r="BM434">
        <f>Model!BU590</f>
        <v>857.14</v>
      </c>
      <c r="BN434">
        <f>Model!BV590</f>
        <v>982.99300000000005</v>
      </c>
      <c r="BO434">
        <f>Model!BW590</f>
        <v>1105.086</v>
      </c>
      <c r="BP434">
        <f>Model!BX590</f>
        <v>860.11500000000001</v>
      </c>
      <c r="BQ434">
        <f>Model!BY590</f>
        <v>934.25400000000002</v>
      </c>
      <c r="BR434">
        <f>Model!BZ590</f>
        <v>1230.6020000000001</v>
      </c>
      <c r="BS434">
        <f>Model!CA590</f>
        <v>1437.7619999999999</v>
      </c>
      <c r="BT434">
        <f>Model!CB590</f>
        <v>1217.8009999999999</v>
      </c>
      <c r="BU434">
        <f>Model!CC590</f>
        <v>1129.2838587392032</v>
      </c>
      <c r="BV434">
        <f>Model!CD590</f>
        <v>1498.4202094724928</v>
      </c>
      <c r="BW434">
        <f>Model!CE590</f>
        <v>1670.9539289181707</v>
      </c>
      <c r="BX434">
        <f>Model!CF590</f>
        <v>1525.4593271918172</v>
      </c>
      <c r="BY434">
        <f>Model!CG590</f>
        <v>0</v>
      </c>
      <c r="BZ434">
        <f>Model!CH590</f>
        <v>0</v>
      </c>
      <c r="CA434">
        <f>Model!CI590</f>
        <v>0</v>
      </c>
      <c r="CB434">
        <f>Model!CJ590</f>
        <v>0</v>
      </c>
      <c r="CC434">
        <f>Model!CK590</f>
        <v>0</v>
      </c>
      <c r="CD434">
        <f>Model!CL590</f>
        <v>0</v>
      </c>
      <c r="CE434">
        <f>Model!CM590</f>
        <v>0</v>
      </c>
      <c r="CF434">
        <f>Model!CN590</f>
        <v>0</v>
      </c>
      <c r="CG434">
        <f>Model!CO590</f>
        <v>0</v>
      </c>
      <c r="CH434">
        <f>Model!CP590</f>
        <v>0</v>
      </c>
      <c r="CI434">
        <f>Model!CQ590</f>
        <v>162.42599999999999</v>
      </c>
      <c r="CJ434">
        <f>Model!CR590</f>
        <v>264.45299999999997</v>
      </c>
      <c r="CK434">
        <f>Model!CS590</f>
        <v>367.512</v>
      </c>
      <c r="CL434">
        <f>Model!CT590</f>
        <v>535.96199999999999</v>
      </c>
      <c r="CM434">
        <f>Model!CU590</f>
        <v>643.89400000000001</v>
      </c>
      <c r="CN434">
        <f>Model!CV590</f>
        <v>645.16899999999998</v>
      </c>
      <c r="CO434">
        <f>Model!CW590</f>
        <v>860.11500000000001</v>
      </c>
      <c r="CP434">
        <f>Model!CX590</f>
        <v>1217.8009999999999</v>
      </c>
      <c r="CQ434">
        <f>Model!CY590</f>
        <v>1525.4593271918172</v>
      </c>
      <c r="CR434">
        <f>Model!DG590</f>
        <v>0</v>
      </c>
      <c r="CS434">
        <f>Model!DH590</f>
        <v>0</v>
      </c>
      <c r="CT434">
        <f>Model!DI590</f>
        <v>0</v>
      </c>
      <c r="CU434">
        <f>Model!DJ590</f>
        <v>0</v>
      </c>
    </row>
    <row r="435" spans="1:99">
      <c r="A435" t="str">
        <f>Model!I591</f>
        <v>Prepaid Expenses and Other Current Assets</v>
      </c>
      <c r="B435">
        <f>Model!J591</f>
        <v>0</v>
      </c>
      <c r="C435">
        <f>Model!K591</f>
        <v>0</v>
      </c>
      <c r="D435">
        <f>Model!L591</f>
        <v>0</v>
      </c>
      <c r="E435">
        <f>Model!M591</f>
        <v>0</v>
      </c>
      <c r="F435">
        <f>Model!N591</f>
        <v>0</v>
      </c>
      <c r="G435">
        <f>Model!O591</f>
        <v>0</v>
      </c>
      <c r="H435">
        <f>Model!P591</f>
        <v>0</v>
      </c>
      <c r="I435">
        <f>Model!Q591</f>
        <v>0</v>
      </c>
      <c r="J435">
        <f>Model!R591</f>
        <v>0</v>
      </c>
      <c r="K435">
        <f>Model!S591</f>
        <v>0</v>
      </c>
      <c r="L435">
        <f>Model!T591</f>
        <v>0</v>
      </c>
      <c r="M435">
        <f>Model!U591</f>
        <v>0</v>
      </c>
      <c r="N435">
        <f>Model!V591</f>
        <v>0</v>
      </c>
      <c r="O435">
        <f>Model!W591</f>
        <v>0</v>
      </c>
      <c r="P435">
        <f>Model!X591</f>
        <v>0</v>
      </c>
      <c r="Q435">
        <f>Model!Y591</f>
        <v>0</v>
      </c>
      <c r="R435">
        <f>Model!Z591</f>
        <v>0</v>
      </c>
      <c r="S435">
        <f>Model!AA591</f>
        <v>0</v>
      </c>
      <c r="T435">
        <f>Model!AB591</f>
        <v>0</v>
      </c>
      <c r="U435">
        <f>Model!AC591</f>
        <v>0</v>
      </c>
      <c r="V435">
        <f>Model!AD591</f>
        <v>0</v>
      </c>
      <c r="W435">
        <f>Model!AE591</f>
        <v>0</v>
      </c>
      <c r="X435">
        <f>Model!AF591</f>
        <v>0</v>
      </c>
      <c r="Y435">
        <f>Model!AG591</f>
        <v>0</v>
      </c>
      <c r="Z435">
        <f>Model!AH591</f>
        <v>0</v>
      </c>
      <c r="AA435">
        <f>Model!AI591</f>
        <v>0</v>
      </c>
      <c r="AB435">
        <f>Model!AJ591</f>
        <v>0</v>
      </c>
      <c r="AC435">
        <f>Model!AK591</f>
        <v>0</v>
      </c>
      <c r="AD435">
        <f>Model!AL591</f>
        <v>0</v>
      </c>
      <c r="AE435">
        <f>Model!AM591</f>
        <v>0</v>
      </c>
      <c r="AF435">
        <f>Model!AN591</f>
        <v>0</v>
      </c>
      <c r="AG435">
        <f>Model!AO591</f>
        <v>0</v>
      </c>
      <c r="AH435">
        <f>Model!AP591</f>
        <v>0</v>
      </c>
      <c r="AI435">
        <f>Model!AQ591</f>
        <v>0</v>
      </c>
      <c r="AJ435">
        <f>Model!AR591</f>
        <v>0</v>
      </c>
      <c r="AK435">
        <f>Model!AS591</f>
        <v>0</v>
      </c>
      <c r="AL435">
        <f>Model!AT591</f>
        <v>0</v>
      </c>
      <c r="AM435">
        <f>Model!AU591</f>
        <v>0</v>
      </c>
      <c r="AN435">
        <f>Model!AV591</f>
        <v>0</v>
      </c>
      <c r="AO435">
        <f>Model!AW591</f>
        <v>0</v>
      </c>
      <c r="AP435">
        <f>Model!AX591</f>
        <v>0</v>
      </c>
      <c r="AQ435">
        <f>Model!AY591</f>
        <v>0</v>
      </c>
      <c r="AR435">
        <f>Model!AZ591</f>
        <v>0</v>
      </c>
      <c r="AS435">
        <f>Model!BA591</f>
        <v>56.682000000000002</v>
      </c>
      <c r="AT435">
        <f>Model!BB591</f>
        <v>52.720999999999997</v>
      </c>
      <c r="AU435">
        <f>Model!BC591</f>
        <v>95.906000000000006</v>
      </c>
      <c r="AV435">
        <f>Model!BD591</f>
        <v>104.202</v>
      </c>
      <c r="AW435">
        <f>Model!BE591</f>
        <v>201.74</v>
      </c>
      <c r="AX435">
        <f>Model!BF591</f>
        <v>164.745</v>
      </c>
      <c r="AY435">
        <f>Model!BG591</f>
        <v>152.72200000000001</v>
      </c>
      <c r="AZ435">
        <f>Model!BH591</f>
        <v>84.29</v>
      </c>
      <c r="BA435">
        <f>Model!BI591</f>
        <v>319.25099999999998</v>
      </c>
      <c r="BB435">
        <f>Model!BJ591</f>
        <v>249.851</v>
      </c>
      <c r="BC435">
        <f>Model!BK591</f>
        <v>107.688</v>
      </c>
      <c r="BD435">
        <f>Model!BL591</f>
        <v>107.102</v>
      </c>
      <c r="BE435">
        <f>Model!BM591</f>
        <v>428.12299999999999</v>
      </c>
      <c r="BF435">
        <f>Model!BN591</f>
        <v>380.28399999999999</v>
      </c>
      <c r="BG435">
        <f>Model!BO591</f>
        <v>166.30799999999999</v>
      </c>
      <c r="BH435">
        <f>Model!BP591</f>
        <v>178.05</v>
      </c>
      <c r="BI435">
        <f>Model!BQ591</f>
        <v>487.28500000000003</v>
      </c>
      <c r="BJ435">
        <f>Model!BR591</f>
        <v>508.41</v>
      </c>
      <c r="BK435">
        <f>Model!BS591</f>
        <v>264.25599999999997</v>
      </c>
      <c r="BL435">
        <f>Model!BT591</f>
        <v>258.75099999999998</v>
      </c>
      <c r="BM435">
        <f>Model!BU591</f>
        <v>623.98599999999999</v>
      </c>
      <c r="BN435">
        <f>Model!BV591</f>
        <v>559.69100000000003</v>
      </c>
      <c r="BO435">
        <f>Model!BW591</f>
        <v>349.32299999999998</v>
      </c>
      <c r="BP435">
        <f>Model!BX591</f>
        <v>241.44900000000001</v>
      </c>
      <c r="BQ435">
        <f>Model!BY591</f>
        <v>683.45</v>
      </c>
      <c r="BR435">
        <f>Model!BZ591</f>
        <v>685.87900000000002</v>
      </c>
      <c r="BS435">
        <f>Model!CA591</f>
        <v>433.505</v>
      </c>
      <c r="BT435">
        <f>Model!CB591</f>
        <v>415.52699999999999</v>
      </c>
      <c r="BU435">
        <f>Model!CC591</f>
        <v>826.12335965948068</v>
      </c>
      <c r="BV435">
        <f>Model!CD591</f>
        <v>835.14812656958452</v>
      </c>
      <c r="BW435">
        <f>Model!CE591</f>
        <v>503.81557097466174</v>
      </c>
      <c r="BX435">
        <f>Model!CF591</f>
        <v>520.50338097113922</v>
      </c>
      <c r="BY435">
        <f>Model!CG591</f>
        <v>0</v>
      </c>
      <c r="BZ435">
        <f>Model!CH591</f>
        <v>0</v>
      </c>
      <c r="CA435">
        <f>Model!CI591</f>
        <v>0</v>
      </c>
      <c r="CB435">
        <f>Model!CJ591</f>
        <v>0</v>
      </c>
      <c r="CC435">
        <f>Model!CK591</f>
        <v>0</v>
      </c>
      <c r="CD435">
        <f>Model!CL591</f>
        <v>0</v>
      </c>
      <c r="CE435">
        <f>Model!CM591</f>
        <v>0</v>
      </c>
      <c r="CF435">
        <f>Model!CN591</f>
        <v>0</v>
      </c>
      <c r="CG435">
        <f>Model!CO591</f>
        <v>0</v>
      </c>
      <c r="CH435">
        <f>Model!CP591</f>
        <v>0</v>
      </c>
      <c r="CI435">
        <f>Model!CQ591</f>
        <v>61.210999999999999</v>
      </c>
      <c r="CJ435">
        <f>Model!CR591</f>
        <v>104.202</v>
      </c>
      <c r="CK435">
        <f>Model!CS591</f>
        <v>84.29</v>
      </c>
      <c r="CL435">
        <f>Model!CT591</f>
        <v>107.102</v>
      </c>
      <c r="CM435">
        <f>Model!CU591</f>
        <v>178.05</v>
      </c>
      <c r="CN435">
        <f>Model!CV591</f>
        <v>258.75099999999998</v>
      </c>
      <c r="CO435">
        <f>Model!CW591</f>
        <v>241.44900000000001</v>
      </c>
      <c r="CP435">
        <f>Model!CX591</f>
        <v>415.52699999999999</v>
      </c>
      <c r="CQ435">
        <f>Model!CY591</f>
        <v>520.50338097113922</v>
      </c>
      <c r="CR435">
        <f>Model!DG591</f>
        <v>0</v>
      </c>
      <c r="CS435">
        <f>Model!DH591</f>
        <v>0</v>
      </c>
      <c r="CT435">
        <f>Model!DI591</f>
        <v>0</v>
      </c>
      <c r="CU435">
        <f>Model!DJ591</f>
        <v>0</v>
      </c>
    </row>
    <row r="436" spans="1:99">
      <c r="A436" t="str">
        <f>Model!I592</f>
        <v>Deferred Tax Assets</v>
      </c>
      <c r="B436">
        <f>Model!J592</f>
        <v>0</v>
      </c>
      <c r="C436">
        <f>Model!K592</f>
        <v>0</v>
      </c>
      <c r="D436">
        <f>Model!L592</f>
        <v>0</v>
      </c>
      <c r="E436">
        <f>Model!M592</f>
        <v>0</v>
      </c>
      <c r="F436">
        <f>Model!N592</f>
        <v>0</v>
      </c>
      <c r="G436">
        <f>Model!O592</f>
        <v>0</v>
      </c>
      <c r="H436">
        <f>Model!P592</f>
        <v>0</v>
      </c>
      <c r="I436">
        <f>Model!Q592</f>
        <v>0</v>
      </c>
      <c r="J436">
        <f>Model!R592</f>
        <v>0</v>
      </c>
      <c r="K436">
        <f>Model!S592</f>
        <v>0</v>
      </c>
      <c r="L436">
        <f>Model!T592</f>
        <v>0</v>
      </c>
      <c r="M436">
        <f>Model!U592</f>
        <v>0</v>
      </c>
      <c r="N436">
        <f>Model!V592</f>
        <v>0</v>
      </c>
      <c r="O436">
        <f>Model!W592</f>
        <v>0</v>
      </c>
      <c r="P436">
        <f>Model!X592</f>
        <v>0</v>
      </c>
      <c r="Q436">
        <f>Model!Y592</f>
        <v>0</v>
      </c>
      <c r="R436">
        <f>Model!Z592</f>
        <v>0</v>
      </c>
      <c r="S436">
        <f>Model!AA592</f>
        <v>0</v>
      </c>
      <c r="T436">
        <f>Model!AB592</f>
        <v>0</v>
      </c>
      <c r="U436">
        <f>Model!AC592</f>
        <v>0</v>
      </c>
      <c r="V436">
        <f>Model!AD592</f>
        <v>0</v>
      </c>
      <c r="W436">
        <f>Model!AE592</f>
        <v>0</v>
      </c>
      <c r="X436">
        <f>Model!AF592</f>
        <v>0</v>
      </c>
      <c r="Y436">
        <f>Model!AG592</f>
        <v>0</v>
      </c>
      <c r="Z436">
        <f>Model!AH592</f>
        <v>0</v>
      </c>
      <c r="AA436">
        <f>Model!AI592</f>
        <v>0</v>
      </c>
      <c r="AB436">
        <f>Model!AJ592</f>
        <v>0</v>
      </c>
      <c r="AC436">
        <f>Model!AK592</f>
        <v>0</v>
      </c>
      <c r="AD436">
        <f>Model!AL592</f>
        <v>0</v>
      </c>
      <c r="AE436">
        <f>Model!AM592</f>
        <v>0</v>
      </c>
      <c r="AF436">
        <f>Model!AN592</f>
        <v>0</v>
      </c>
      <c r="AG436">
        <f>Model!AO592</f>
        <v>0</v>
      </c>
      <c r="AH436">
        <f>Model!AP592</f>
        <v>0</v>
      </c>
      <c r="AI436">
        <f>Model!AQ592</f>
        <v>0</v>
      </c>
      <c r="AJ436">
        <f>Model!AR592</f>
        <v>0</v>
      </c>
      <c r="AK436">
        <f>Model!AS592</f>
        <v>0</v>
      </c>
      <c r="AL436">
        <f>Model!AT592</f>
        <v>0</v>
      </c>
      <c r="AM436">
        <f>Model!AU592</f>
        <v>0</v>
      </c>
      <c r="AN436">
        <f>Model!AV592</f>
        <v>0</v>
      </c>
      <c r="AO436">
        <f>Model!AW592</f>
        <v>0</v>
      </c>
      <c r="AP436">
        <f>Model!AX592</f>
        <v>0</v>
      </c>
      <c r="AQ436">
        <f>Model!AY592</f>
        <v>0</v>
      </c>
      <c r="AR436">
        <f>Model!AZ592</f>
        <v>0</v>
      </c>
      <c r="AS436">
        <f>Model!BA592</f>
        <v>80.36</v>
      </c>
      <c r="AT436">
        <f>Model!BB592</f>
        <v>51.859000000000002</v>
      </c>
      <c r="AU436">
        <f>Model!BC592</f>
        <v>32.247999999999998</v>
      </c>
      <c r="AV436">
        <f>Model!BD592</f>
        <v>36.755000000000003</v>
      </c>
      <c r="AW436">
        <f>Model!BE592</f>
        <v>53.598999999999997</v>
      </c>
      <c r="AX436">
        <f>Model!BF592</f>
        <v>35.082999999999998</v>
      </c>
      <c r="AY436">
        <f>Model!BG592</f>
        <v>44.018999999999998</v>
      </c>
      <c r="AZ436">
        <f>Model!BH592</f>
        <v>40.738</v>
      </c>
      <c r="BA436">
        <f>Model!BI592</f>
        <v>50.755000000000003</v>
      </c>
      <c r="BB436">
        <f>Model!BJ592</f>
        <v>74.242000000000004</v>
      </c>
      <c r="BC436">
        <f>Model!BK592</f>
        <v>82.471000000000004</v>
      </c>
      <c r="BD436">
        <f>Model!BL592</f>
        <v>74.686999999999998</v>
      </c>
      <c r="BE436">
        <f>Model!BM592</f>
        <v>74.533000000000001</v>
      </c>
      <c r="BF436">
        <f>Model!BN592</f>
        <v>107.006</v>
      </c>
      <c r="BG436">
        <f>Model!BO592</f>
        <v>56.017000000000003</v>
      </c>
      <c r="BH436">
        <f>Model!BP592</f>
        <v>153.75399999999999</v>
      </c>
      <c r="BI436">
        <f>Model!BQ592</f>
        <v>137.102</v>
      </c>
      <c r="BJ436">
        <f>Model!BR592</f>
        <v>106.065</v>
      </c>
      <c r="BK436">
        <f>Model!BS592</f>
        <v>90.5</v>
      </c>
      <c r="BL436">
        <f>Model!BT592</f>
        <v>0</v>
      </c>
      <c r="BM436">
        <f>Model!BU592</f>
        <v>0</v>
      </c>
      <c r="BN436">
        <f>Model!BV592</f>
        <v>0</v>
      </c>
      <c r="BO436">
        <f>Model!BW592</f>
        <v>0</v>
      </c>
      <c r="BP436">
        <f>Model!BX592</f>
        <v>0</v>
      </c>
      <c r="BQ436">
        <f>Model!BY592</f>
        <v>0</v>
      </c>
      <c r="BR436">
        <f>Model!BZ592</f>
        <v>0</v>
      </c>
      <c r="BS436">
        <f>Model!CA592</f>
        <v>0</v>
      </c>
      <c r="BT436">
        <f>Model!CB592</f>
        <v>0</v>
      </c>
      <c r="BU436">
        <f>Model!CC592</f>
        <v>0</v>
      </c>
      <c r="BV436">
        <f>Model!CD592</f>
        <v>0</v>
      </c>
      <c r="BW436">
        <f>Model!CE592</f>
        <v>0</v>
      </c>
      <c r="BX436">
        <f>Model!CF592</f>
        <v>0</v>
      </c>
      <c r="BY436">
        <f>Model!CG592</f>
        <v>0</v>
      </c>
      <c r="BZ436">
        <f>Model!CH592</f>
        <v>0</v>
      </c>
      <c r="CA436">
        <f>Model!CI592</f>
        <v>0</v>
      </c>
      <c r="CB436">
        <f>Model!CJ592</f>
        <v>0</v>
      </c>
      <c r="CC436">
        <f>Model!CK592</f>
        <v>0</v>
      </c>
      <c r="CD436">
        <f>Model!CL592</f>
        <v>0</v>
      </c>
      <c r="CE436">
        <f>Model!CM592</f>
        <v>0</v>
      </c>
      <c r="CF436">
        <f>Model!CN592</f>
        <v>0</v>
      </c>
      <c r="CG436">
        <f>Model!CO592</f>
        <v>0</v>
      </c>
      <c r="CH436">
        <f>Model!CP592</f>
        <v>0</v>
      </c>
      <c r="CI436">
        <f>Model!CQ592</f>
        <v>70.558999999999997</v>
      </c>
      <c r="CJ436">
        <f>Model!CR592</f>
        <v>36.755000000000003</v>
      </c>
      <c r="CK436">
        <f>Model!CS592</f>
        <v>40.738</v>
      </c>
      <c r="CL436">
        <f>Model!CT592</f>
        <v>74.686999999999998</v>
      </c>
      <c r="CM436">
        <f>Model!CU592</f>
        <v>153.75399999999999</v>
      </c>
      <c r="CN436">
        <f>Model!CV592</f>
        <v>0</v>
      </c>
      <c r="CO436">
        <f>Model!CW592</f>
        <v>0</v>
      </c>
      <c r="CP436">
        <f>Model!CX592</f>
        <v>0</v>
      </c>
      <c r="CQ436">
        <f>Model!CY592</f>
        <v>0</v>
      </c>
      <c r="CR436">
        <f>Model!DG592</f>
        <v>0</v>
      </c>
      <c r="CS436">
        <f>Model!DH592</f>
        <v>0</v>
      </c>
      <c r="CT436">
        <f>Model!DI592</f>
        <v>0</v>
      </c>
      <c r="CU436">
        <f>Model!DJ592</f>
        <v>0</v>
      </c>
    </row>
    <row r="437" spans="1:99">
      <c r="A437" t="str">
        <f>Model!I593</f>
        <v>Total Current Assets</v>
      </c>
      <c r="B437">
        <f>Model!J593</f>
        <v>0</v>
      </c>
      <c r="C437">
        <f>Model!K593</f>
        <v>0</v>
      </c>
      <c r="D437">
        <f>Model!L593</f>
        <v>0</v>
      </c>
      <c r="E437">
        <f>Model!M593</f>
        <v>0</v>
      </c>
      <c r="F437">
        <f>Model!N593</f>
        <v>0</v>
      </c>
      <c r="G437">
        <f>Model!O593</f>
        <v>0</v>
      </c>
      <c r="H437">
        <f>Model!P593</f>
        <v>0</v>
      </c>
      <c r="I437">
        <f>Model!Q593</f>
        <v>0</v>
      </c>
      <c r="J437">
        <f>Model!R593</f>
        <v>0</v>
      </c>
      <c r="K437">
        <f>Model!S593</f>
        <v>0</v>
      </c>
      <c r="L437">
        <f>Model!T593</f>
        <v>0</v>
      </c>
      <c r="M437">
        <f>Model!U593</f>
        <v>0</v>
      </c>
      <c r="N437">
        <f>Model!V593</f>
        <v>0</v>
      </c>
      <c r="O437">
        <f>Model!W593</f>
        <v>0</v>
      </c>
      <c r="P437">
        <f>Model!X593</f>
        <v>0</v>
      </c>
      <c r="Q437">
        <f>Model!Y593</f>
        <v>0</v>
      </c>
      <c r="R437">
        <f>Model!Z593</f>
        <v>0</v>
      </c>
      <c r="S437">
        <f>Model!AA593</f>
        <v>0</v>
      </c>
      <c r="T437">
        <f>Model!AB593</f>
        <v>0</v>
      </c>
      <c r="U437">
        <f>Model!AC593</f>
        <v>0</v>
      </c>
      <c r="V437">
        <f>Model!AD593</f>
        <v>0</v>
      </c>
      <c r="W437">
        <f>Model!AE593</f>
        <v>0</v>
      </c>
      <c r="X437">
        <f>Model!AF593</f>
        <v>0</v>
      </c>
      <c r="Y437">
        <f>Model!AG593</f>
        <v>0</v>
      </c>
      <c r="Z437">
        <f>Model!AH593</f>
        <v>0</v>
      </c>
      <c r="AA437">
        <f>Model!AI593</f>
        <v>0</v>
      </c>
      <c r="AB437">
        <f>Model!AJ593</f>
        <v>0</v>
      </c>
      <c r="AC437">
        <f>Model!AK593</f>
        <v>0</v>
      </c>
      <c r="AD437">
        <f>Model!AL593</f>
        <v>0</v>
      </c>
      <c r="AE437">
        <f>Model!AM593</f>
        <v>0</v>
      </c>
      <c r="AF437">
        <f>Model!AN593</f>
        <v>0</v>
      </c>
      <c r="AG437">
        <f>Model!AO593</f>
        <v>0</v>
      </c>
      <c r="AH437">
        <f>Model!AP593</f>
        <v>0</v>
      </c>
      <c r="AI437">
        <f>Model!AQ593</f>
        <v>0</v>
      </c>
      <c r="AJ437">
        <f>Model!AR593</f>
        <v>0</v>
      </c>
      <c r="AK437">
        <f>Model!AS593</f>
        <v>0</v>
      </c>
      <c r="AL437">
        <f>Model!AT593</f>
        <v>0</v>
      </c>
      <c r="AM437">
        <f>Model!AU593</f>
        <v>0</v>
      </c>
      <c r="AN437">
        <f>Model!AV593</f>
        <v>0</v>
      </c>
      <c r="AO437">
        <f>Model!AW593</f>
        <v>0</v>
      </c>
      <c r="AP437">
        <f>Model!AX593</f>
        <v>0</v>
      </c>
      <c r="AQ437">
        <f>Model!AY593</f>
        <v>0</v>
      </c>
      <c r="AR437">
        <f>Model!AZ593</f>
        <v>0</v>
      </c>
      <c r="AS437">
        <f>Model!BA593</f>
        <v>2105.67</v>
      </c>
      <c r="AT437">
        <f>Model!BB593</f>
        <v>2376.4349999999999</v>
      </c>
      <c r="AU437">
        <f>Model!BC593</f>
        <v>2881.9769999999999</v>
      </c>
      <c r="AV437">
        <f>Model!BD593</f>
        <v>3066.8440000000001</v>
      </c>
      <c r="AW437">
        <f>Model!BE593</f>
        <v>4203.0619999999999</v>
      </c>
      <c r="AX437">
        <f>Model!BF593</f>
        <v>4578.2989999999991</v>
      </c>
      <c r="AY437">
        <f>Model!BG593</f>
        <v>5365.7290000000003</v>
      </c>
      <c r="AZ437">
        <f>Model!BH593</f>
        <v>5682.375</v>
      </c>
      <c r="BA437">
        <f>Model!BI593</f>
        <v>6030.4520000000002</v>
      </c>
      <c r="BB437">
        <f>Model!BJ593</f>
        <v>6926.15</v>
      </c>
      <c r="BC437">
        <f>Model!BK593</f>
        <v>7489.0470000000005</v>
      </c>
      <c r="BD437">
        <f>Model!BL593</f>
        <v>7480.9409999999998</v>
      </c>
      <c r="BE437">
        <f>Model!BM593</f>
        <v>7855.9400000000005</v>
      </c>
      <c r="BF437">
        <f>Model!BN593</f>
        <v>8508.759</v>
      </c>
      <c r="BG437">
        <f>Model!BO593</f>
        <v>7303.8649999999998</v>
      </c>
      <c r="BH437">
        <f>Model!BP593</f>
        <v>5267.3739999999998</v>
      </c>
      <c r="BI437">
        <f>Model!BQ593</f>
        <v>5967.4809999999998</v>
      </c>
      <c r="BJ437">
        <f>Model!BR593</f>
        <v>4693.4710000000005</v>
      </c>
      <c r="BK437">
        <f>Model!BS593</f>
        <v>4298.9570000000003</v>
      </c>
      <c r="BL437">
        <f>Model!BT593</f>
        <v>3553.2370000000001</v>
      </c>
      <c r="BM437">
        <f>Model!BU593</f>
        <v>4864.7629999999999</v>
      </c>
      <c r="BN437">
        <f>Model!BV593</f>
        <v>5914.4670000000006</v>
      </c>
      <c r="BO437">
        <f>Model!BW593</f>
        <v>5833.5820000000003</v>
      </c>
      <c r="BP437">
        <f>Model!BX593</f>
        <v>5401.5190000000002</v>
      </c>
      <c r="BQ437">
        <f>Model!BY593</f>
        <v>6987.8819999999996</v>
      </c>
      <c r="BR437">
        <f>Model!BZ593</f>
        <v>8272.57</v>
      </c>
      <c r="BS437">
        <f>Model!CA593</f>
        <v>9124.5950000000012</v>
      </c>
      <c r="BT437">
        <f>Model!CB593</f>
        <v>9034.8049999999985</v>
      </c>
      <c r="BU437">
        <f>Model!CC593</f>
        <v>7337.2165774606983</v>
      </c>
      <c r="BV437">
        <f>Model!CD593</f>
        <v>8280.4091625998481</v>
      </c>
      <c r="BW437">
        <f>Model!CE593</f>
        <v>9373.3919857777382</v>
      </c>
      <c r="BX437">
        <f>Model!CF593</f>
        <v>10090.717096846291</v>
      </c>
      <c r="BY437">
        <f>Model!CG593</f>
        <v>0</v>
      </c>
      <c r="BZ437">
        <f>Model!CH593</f>
        <v>0</v>
      </c>
      <c r="CA437">
        <f>Model!CI593</f>
        <v>0</v>
      </c>
      <c r="CB437">
        <f>Model!CJ593</f>
        <v>0</v>
      </c>
      <c r="CC437">
        <f>Model!CK593</f>
        <v>0</v>
      </c>
      <c r="CD437">
        <f>Model!CL593</f>
        <v>0</v>
      </c>
      <c r="CE437">
        <f>Model!CM593</f>
        <v>0</v>
      </c>
      <c r="CF437">
        <f>Model!CN593</f>
        <v>0</v>
      </c>
      <c r="CG437">
        <f>Model!CO593</f>
        <v>0</v>
      </c>
      <c r="CH437">
        <f>Model!CP593</f>
        <v>0</v>
      </c>
      <c r="CI437">
        <f>Model!CQ593</f>
        <v>1957.4639999999999</v>
      </c>
      <c r="CJ437">
        <f>Model!CR593</f>
        <v>3066.8440000000001</v>
      </c>
      <c r="CK437">
        <f>Model!CS593</f>
        <v>5682.375</v>
      </c>
      <c r="CL437">
        <f>Model!CT593</f>
        <v>7480.9409999999998</v>
      </c>
      <c r="CM437">
        <f>Model!CU593</f>
        <v>5267.3739999999998</v>
      </c>
      <c r="CN437">
        <f>Model!CV593</f>
        <v>3553.2370000000001</v>
      </c>
      <c r="CO437">
        <f>Model!CW593</f>
        <v>5401.5189999999993</v>
      </c>
      <c r="CP437">
        <f>Model!CX593</f>
        <v>9034.8049999999985</v>
      </c>
      <c r="CQ437">
        <f>Model!CY593</f>
        <v>10090.717096846289</v>
      </c>
      <c r="CR437">
        <f>Model!DG593</f>
        <v>0</v>
      </c>
      <c r="CS437">
        <f>Model!DH593</f>
        <v>0</v>
      </c>
      <c r="CT437">
        <f>Model!DI593</f>
        <v>0</v>
      </c>
      <c r="CU437">
        <f>Model!DJ593</f>
        <v>0</v>
      </c>
    </row>
    <row r="438" spans="1:99">
      <c r="A438">
        <f>Model!I594</f>
        <v>0</v>
      </c>
      <c r="B438">
        <f>Model!J594</f>
        <v>0</v>
      </c>
      <c r="C438">
        <f>Model!K594</f>
        <v>0</v>
      </c>
      <c r="D438">
        <f>Model!L594</f>
        <v>0</v>
      </c>
      <c r="E438">
        <f>Model!M594</f>
        <v>0</v>
      </c>
      <c r="F438">
        <f>Model!N594</f>
        <v>0</v>
      </c>
      <c r="G438">
        <f>Model!O594</f>
        <v>0</v>
      </c>
      <c r="H438">
        <f>Model!P594</f>
        <v>0</v>
      </c>
      <c r="I438">
        <f>Model!Q594</f>
        <v>0</v>
      </c>
      <c r="J438">
        <f>Model!R594</f>
        <v>0</v>
      </c>
      <c r="K438">
        <f>Model!S594</f>
        <v>0</v>
      </c>
      <c r="L438">
        <f>Model!T594</f>
        <v>0</v>
      </c>
      <c r="M438">
        <f>Model!U594</f>
        <v>0</v>
      </c>
      <c r="N438">
        <f>Model!V594</f>
        <v>0</v>
      </c>
      <c r="O438">
        <f>Model!W594</f>
        <v>0</v>
      </c>
      <c r="P438">
        <f>Model!X594</f>
        <v>0</v>
      </c>
      <c r="Q438">
        <f>Model!Y594</f>
        <v>0</v>
      </c>
      <c r="R438">
        <f>Model!Z594</f>
        <v>0</v>
      </c>
      <c r="S438">
        <f>Model!AA594</f>
        <v>0</v>
      </c>
      <c r="T438">
        <f>Model!AB594</f>
        <v>0</v>
      </c>
      <c r="U438">
        <f>Model!AC594</f>
        <v>0</v>
      </c>
      <c r="V438">
        <f>Model!AD594</f>
        <v>0</v>
      </c>
      <c r="W438">
        <f>Model!AE594</f>
        <v>0</v>
      </c>
      <c r="X438">
        <f>Model!AF594</f>
        <v>0</v>
      </c>
      <c r="Y438">
        <f>Model!AG594</f>
        <v>0</v>
      </c>
      <c r="Z438">
        <f>Model!AH594</f>
        <v>0</v>
      </c>
      <c r="AA438">
        <f>Model!AI594</f>
        <v>0</v>
      </c>
      <c r="AB438">
        <f>Model!AJ594</f>
        <v>0</v>
      </c>
      <c r="AC438">
        <f>Model!AK594</f>
        <v>0</v>
      </c>
      <c r="AD438">
        <f>Model!AL594</f>
        <v>0</v>
      </c>
      <c r="AE438">
        <f>Model!AM594</f>
        <v>0</v>
      </c>
      <c r="AF438">
        <f>Model!AN594</f>
        <v>0</v>
      </c>
      <c r="AG438">
        <f>Model!AO594</f>
        <v>0</v>
      </c>
      <c r="AH438">
        <f>Model!AP594</f>
        <v>0</v>
      </c>
      <c r="AI438">
        <f>Model!AQ594</f>
        <v>0</v>
      </c>
      <c r="AJ438">
        <f>Model!AR594</f>
        <v>0</v>
      </c>
      <c r="AK438">
        <f>Model!AS594</f>
        <v>0</v>
      </c>
      <c r="AL438">
        <f>Model!AT594</f>
        <v>0</v>
      </c>
      <c r="AM438">
        <f>Model!AU594</f>
        <v>0</v>
      </c>
      <c r="AN438">
        <f>Model!AV594</f>
        <v>0</v>
      </c>
      <c r="AO438">
        <f>Model!AW594</f>
        <v>0</v>
      </c>
      <c r="AP438">
        <f>Model!AX594</f>
        <v>0</v>
      </c>
      <c r="AQ438">
        <f>Model!AY594</f>
        <v>0</v>
      </c>
      <c r="AR438">
        <f>Model!AZ594</f>
        <v>0</v>
      </c>
      <c r="AS438">
        <f>Model!BA594</f>
        <v>0</v>
      </c>
      <c r="AT438">
        <f>Model!BB594</f>
        <v>0</v>
      </c>
      <c r="AU438">
        <f>Model!BC594</f>
        <v>0</v>
      </c>
      <c r="AV438">
        <f>Model!BD594</f>
        <v>0</v>
      </c>
      <c r="AW438">
        <f>Model!BE594</f>
        <v>0</v>
      </c>
      <c r="AX438">
        <f>Model!BF594</f>
        <v>0</v>
      </c>
      <c r="AY438">
        <f>Model!BG594</f>
        <v>0</v>
      </c>
      <c r="AZ438">
        <f>Model!BH594</f>
        <v>0</v>
      </c>
      <c r="BA438">
        <f>Model!BI594</f>
        <v>0</v>
      </c>
      <c r="BB438">
        <f>Model!BJ594</f>
        <v>0</v>
      </c>
      <c r="BC438">
        <f>Model!BK594</f>
        <v>0</v>
      </c>
      <c r="BD438">
        <f>Model!BL594</f>
        <v>0</v>
      </c>
      <c r="BE438">
        <f>Model!BM594</f>
        <v>0</v>
      </c>
      <c r="BF438">
        <f>Model!BN594</f>
        <v>0</v>
      </c>
      <c r="BG438">
        <f>Model!BO594</f>
        <v>0</v>
      </c>
      <c r="BH438">
        <f>Model!BP594</f>
        <v>0</v>
      </c>
      <c r="BI438">
        <f>Model!BQ594</f>
        <v>0</v>
      </c>
      <c r="BJ438">
        <f>Model!BR594</f>
        <v>0</v>
      </c>
      <c r="BK438">
        <f>Model!BS594</f>
        <v>0</v>
      </c>
      <c r="BL438">
        <f>Model!BT594</f>
        <v>0</v>
      </c>
      <c r="BM438">
        <f>Model!BU594</f>
        <v>0</v>
      </c>
      <c r="BN438">
        <f>Model!BV594</f>
        <v>0</v>
      </c>
      <c r="BO438">
        <f>Model!BW594</f>
        <v>0</v>
      </c>
      <c r="BP438">
        <f>Model!BX594</f>
        <v>0</v>
      </c>
      <c r="BQ438">
        <f>Model!BY594</f>
        <v>0</v>
      </c>
      <c r="BR438">
        <f>Model!BZ594</f>
        <v>0</v>
      </c>
      <c r="BS438">
        <f>Model!CA594</f>
        <v>0</v>
      </c>
      <c r="BT438">
        <f>Model!CB594</f>
        <v>0</v>
      </c>
      <c r="BU438">
        <f>Model!CC594</f>
        <v>0</v>
      </c>
      <c r="BV438">
        <f>Model!CD594</f>
        <v>0</v>
      </c>
      <c r="BW438">
        <f>Model!CE594</f>
        <v>0</v>
      </c>
      <c r="BX438">
        <f>Model!CF594</f>
        <v>0</v>
      </c>
      <c r="BY438">
        <f>Model!CG594</f>
        <v>0</v>
      </c>
      <c r="BZ438">
        <f>Model!CH594</f>
        <v>0</v>
      </c>
      <c r="CA438">
        <f>Model!CI594</f>
        <v>0</v>
      </c>
      <c r="CB438">
        <f>Model!CJ594</f>
        <v>0</v>
      </c>
      <c r="CC438">
        <f>Model!CK594</f>
        <v>0</v>
      </c>
      <c r="CD438">
        <f>Model!CL594</f>
        <v>0</v>
      </c>
      <c r="CE438">
        <f>Model!CM594</f>
        <v>0</v>
      </c>
      <c r="CF438">
        <f>Model!CN594</f>
        <v>0</v>
      </c>
      <c r="CG438">
        <f>Model!CO594</f>
        <v>0</v>
      </c>
      <c r="CH438">
        <f>Model!CP594</f>
        <v>0</v>
      </c>
      <c r="CI438">
        <f>Model!CQ594</f>
        <v>0</v>
      </c>
      <c r="CJ438">
        <f>Model!CR594</f>
        <v>0</v>
      </c>
      <c r="CK438">
        <f>Model!CS594</f>
        <v>0</v>
      </c>
      <c r="CL438">
        <f>Model!CT594</f>
        <v>0</v>
      </c>
      <c r="CM438">
        <f>Model!CU594</f>
        <v>0</v>
      </c>
      <c r="CN438">
        <f>Model!CV594</f>
        <v>0</v>
      </c>
      <c r="CO438">
        <f>Model!CW594</f>
        <v>0</v>
      </c>
      <c r="CP438">
        <f>Model!CX594</f>
        <v>0</v>
      </c>
      <c r="CQ438">
        <f>Model!CY594</f>
        <v>0</v>
      </c>
      <c r="CR438">
        <f>Model!DG594</f>
        <v>0</v>
      </c>
      <c r="CS438">
        <f>Model!DH594</f>
        <v>0</v>
      </c>
      <c r="CT438">
        <f>Model!DI594</f>
        <v>0</v>
      </c>
      <c r="CU438">
        <f>Model!DJ594</f>
        <v>0</v>
      </c>
    </row>
    <row r="439" spans="1:99">
      <c r="A439" t="str">
        <f>Model!I595</f>
        <v>Property &amp; Equipment, Gross</v>
      </c>
      <c r="B439">
        <f>Model!J595</f>
        <v>0</v>
      </c>
      <c r="C439">
        <f>Model!K595</f>
        <v>0</v>
      </c>
      <c r="D439">
        <f>Model!L595</f>
        <v>0</v>
      </c>
      <c r="E439">
        <f>Model!M595</f>
        <v>0</v>
      </c>
      <c r="F439">
        <f>Model!N595</f>
        <v>0</v>
      </c>
      <c r="G439">
        <f>Model!O595</f>
        <v>0</v>
      </c>
      <c r="H439">
        <f>Model!P595</f>
        <v>0</v>
      </c>
      <c r="I439">
        <f>Model!Q595</f>
        <v>0</v>
      </c>
      <c r="J439">
        <f>Model!R595</f>
        <v>0</v>
      </c>
      <c r="K439">
        <f>Model!S595</f>
        <v>0</v>
      </c>
      <c r="L439">
        <f>Model!T595</f>
        <v>0</v>
      </c>
      <c r="M439">
        <f>Model!U595</f>
        <v>0</v>
      </c>
      <c r="N439">
        <f>Model!V595</f>
        <v>0</v>
      </c>
      <c r="O439">
        <f>Model!W595</f>
        <v>0</v>
      </c>
      <c r="P439">
        <f>Model!X595</f>
        <v>0</v>
      </c>
      <c r="Q439">
        <f>Model!Y595</f>
        <v>0</v>
      </c>
      <c r="R439">
        <f>Model!Z595</f>
        <v>0</v>
      </c>
      <c r="S439">
        <f>Model!AA595</f>
        <v>0</v>
      </c>
      <c r="T439">
        <f>Model!AB595</f>
        <v>0</v>
      </c>
      <c r="U439">
        <f>Model!AC595</f>
        <v>0</v>
      </c>
      <c r="V439">
        <f>Model!AD595</f>
        <v>0</v>
      </c>
      <c r="W439">
        <f>Model!AE595</f>
        <v>0</v>
      </c>
      <c r="X439">
        <f>Model!AF595</f>
        <v>0</v>
      </c>
      <c r="Y439">
        <f>Model!AG595</f>
        <v>0</v>
      </c>
      <c r="Z439">
        <f>Model!AH595</f>
        <v>0</v>
      </c>
      <c r="AA439">
        <f>Model!AI595</f>
        <v>0</v>
      </c>
      <c r="AB439">
        <f>Model!AJ595</f>
        <v>0</v>
      </c>
      <c r="AC439">
        <f>Model!AK595</f>
        <v>0</v>
      </c>
      <c r="AD439">
        <f>Model!AL595</f>
        <v>0</v>
      </c>
      <c r="AE439">
        <f>Model!AM595</f>
        <v>0</v>
      </c>
      <c r="AF439">
        <f>Model!AN595</f>
        <v>0</v>
      </c>
      <c r="AG439">
        <f>Model!AO595</f>
        <v>0</v>
      </c>
      <c r="AH439">
        <f>Model!AP595</f>
        <v>0</v>
      </c>
      <c r="AI439">
        <f>Model!AQ595</f>
        <v>0</v>
      </c>
      <c r="AJ439">
        <f>Model!AR595</f>
        <v>0</v>
      </c>
      <c r="AK439">
        <f>Model!AS595</f>
        <v>0</v>
      </c>
      <c r="AL439">
        <f>Model!AT595</f>
        <v>0</v>
      </c>
      <c r="AM439">
        <f>Model!AU595</f>
        <v>0</v>
      </c>
      <c r="AN439">
        <f>Model!AV595</f>
        <v>0</v>
      </c>
      <c r="AO439">
        <f>Model!AW595</f>
        <v>0</v>
      </c>
      <c r="AP439">
        <f>Model!AX595</f>
        <v>0</v>
      </c>
      <c r="AQ439">
        <f>Model!AY595</f>
        <v>0</v>
      </c>
      <c r="AR439">
        <f>Model!AZ595</f>
        <v>0</v>
      </c>
      <c r="AS439">
        <f>Model!BA595</f>
        <v>142.42499999999998</v>
      </c>
      <c r="AT439">
        <f>Model!BB595</f>
        <v>152.22299999999998</v>
      </c>
      <c r="AU439">
        <f>Model!BC595</f>
        <v>163.916</v>
      </c>
      <c r="AV439">
        <f>Model!BD595</f>
        <v>180.97899999999998</v>
      </c>
      <c r="AW439">
        <f>Model!BE595</f>
        <v>190.654</v>
      </c>
      <c r="AX439">
        <f>Model!BF595</f>
        <v>205.38</v>
      </c>
      <c r="AY439">
        <f>Model!BG595</f>
        <v>215.90700000000001</v>
      </c>
      <c r="AZ439">
        <f>Model!BH595</f>
        <v>232.11500000000001</v>
      </c>
      <c r="BA439">
        <f>Model!BI595</f>
        <v>247.166</v>
      </c>
      <c r="BB439">
        <f>Model!BJ595</f>
        <v>268.596</v>
      </c>
      <c r="BC439">
        <f>Model!BK595</f>
        <v>289.07299999999998</v>
      </c>
      <c r="BD439">
        <f>Model!BL595</f>
        <v>316.55999999999995</v>
      </c>
      <c r="BE439">
        <f>Model!BM595</f>
        <v>346.29099999999994</v>
      </c>
      <c r="BF439">
        <f>Model!BN595</f>
        <v>378.54599999999994</v>
      </c>
      <c r="BG439">
        <f>Model!BO595</f>
        <v>407.28499999999991</v>
      </c>
      <c r="BH439">
        <f>Model!BP595</f>
        <v>448.06399999999991</v>
      </c>
      <c r="BI439">
        <f>Model!BQ595</f>
        <v>479.32699999999988</v>
      </c>
      <c r="BJ439">
        <f>Model!BR595</f>
        <v>532.41499999999985</v>
      </c>
      <c r="BK439">
        <f>Model!BS595</f>
        <v>574.70099999999979</v>
      </c>
      <c r="BL439">
        <f>Model!BT595</f>
        <v>621.97899999999981</v>
      </c>
      <c r="BM439">
        <f>Model!BU595</f>
        <v>675.23499999999979</v>
      </c>
      <c r="BN439">
        <f>Model!BV595</f>
        <v>735.67799999999977</v>
      </c>
      <c r="BO439">
        <f>Model!BW595</f>
        <v>790.05499999999972</v>
      </c>
      <c r="BP439">
        <f>Model!BX595</f>
        <v>841.86799999999971</v>
      </c>
      <c r="BQ439">
        <f>Model!BY595</f>
        <v>912.42699999999968</v>
      </c>
      <c r="BR439">
        <f>Model!BZ595</f>
        <v>989.13699999999972</v>
      </c>
      <c r="BS439">
        <f>Model!CA595</f>
        <v>1065.5599999999997</v>
      </c>
      <c r="BT439">
        <f>Model!CB595</f>
        <v>1129.6729999999998</v>
      </c>
      <c r="BU439">
        <f>Model!CC595</f>
        <v>1228.2224164782408</v>
      </c>
      <c r="BV439">
        <f>Model!CD595</f>
        <v>1329.699889692929</v>
      </c>
      <c r="BW439">
        <f>Model!CE595</f>
        <v>1407.1176228240063</v>
      </c>
      <c r="BX439">
        <f>Model!CF595</f>
        <v>1493.7443160611078</v>
      </c>
      <c r="BY439">
        <f>Model!CG595</f>
        <v>0</v>
      </c>
      <c r="BZ439">
        <f>Model!CH595</f>
        <v>0</v>
      </c>
      <c r="CA439">
        <f>Model!CI595</f>
        <v>0</v>
      </c>
      <c r="CB439">
        <f>Model!CJ595</f>
        <v>0</v>
      </c>
      <c r="CC439">
        <f>Model!CK595</f>
        <v>0</v>
      </c>
      <c r="CD439">
        <f>Model!CL595</f>
        <v>0</v>
      </c>
      <c r="CE439">
        <f>Model!CM595</f>
        <v>0</v>
      </c>
      <c r="CF439">
        <f>Model!CN595</f>
        <v>0</v>
      </c>
      <c r="CG439">
        <f>Model!CO595</f>
        <v>0</v>
      </c>
      <c r="CH439">
        <f>Model!CP595</f>
        <v>0</v>
      </c>
      <c r="CI439">
        <f>Model!CQ595</f>
        <v>134.14599999999999</v>
      </c>
      <c r="CJ439">
        <f>Model!CR595</f>
        <v>176.95699999999999</v>
      </c>
      <c r="CK439">
        <f>Model!CS595</f>
        <v>232.11500000000001</v>
      </c>
      <c r="CL439">
        <f>Model!CT595</f>
        <v>316.55999999999995</v>
      </c>
      <c r="CM439">
        <f>Model!CU595</f>
        <v>448.06399999999991</v>
      </c>
      <c r="CN439">
        <f>Model!CV595</f>
        <v>621.97899999999981</v>
      </c>
      <c r="CO439">
        <f>Model!CW595</f>
        <v>841.86799999999971</v>
      </c>
      <c r="CP439">
        <f>Model!CX595</f>
        <v>1129.6729999999998</v>
      </c>
      <c r="CQ439">
        <f>Model!CY595</f>
        <v>1493.7443160611078</v>
      </c>
      <c r="CR439">
        <f>Model!DG595</f>
        <v>0</v>
      </c>
      <c r="CS439">
        <f>Model!DH595</f>
        <v>0</v>
      </c>
      <c r="CT439">
        <f>Model!DI595</f>
        <v>0</v>
      </c>
      <c r="CU439">
        <f>Model!DJ595</f>
        <v>0</v>
      </c>
    </row>
    <row r="440" spans="1:99">
      <c r="A440" t="str">
        <f>Model!I596</f>
        <v>Accumulated Amort</v>
      </c>
      <c r="B440">
        <f>Model!J596</f>
        <v>0</v>
      </c>
      <c r="C440">
        <f>Model!K596</f>
        <v>0</v>
      </c>
      <c r="D440">
        <f>Model!L596</f>
        <v>0</v>
      </c>
      <c r="E440">
        <f>Model!M596</f>
        <v>0</v>
      </c>
      <c r="F440">
        <f>Model!N596</f>
        <v>0</v>
      </c>
      <c r="G440">
        <f>Model!O596</f>
        <v>0</v>
      </c>
      <c r="H440">
        <f>Model!P596</f>
        <v>0</v>
      </c>
      <c r="I440">
        <f>Model!Q596</f>
        <v>0</v>
      </c>
      <c r="J440">
        <f>Model!R596</f>
        <v>0</v>
      </c>
      <c r="K440">
        <f>Model!S596</f>
        <v>0</v>
      </c>
      <c r="L440">
        <f>Model!T596</f>
        <v>0</v>
      </c>
      <c r="M440">
        <f>Model!U596</f>
        <v>0</v>
      </c>
      <c r="N440">
        <f>Model!V596</f>
        <v>0</v>
      </c>
      <c r="O440">
        <f>Model!W596</f>
        <v>0</v>
      </c>
      <c r="P440">
        <f>Model!X596</f>
        <v>0</v>
      </c>
      <c r="Q440">
        <f>Model!Y596</f>
        <v>0</v>
      </c>
      <c r="R440">
        <f>Model!Z596</f>
        <v>0</v>
      </c>
      <c r="S440">
        <f>Model!AA596</f>
        <v>0</v>
      </c>
      <c r="T440">
        <f>Model!AB596</f>
        <v>0</v>
      </c>
      <c r="U440">
        <f>Model!AC596</f>
        <v>0</v>
      </c>
      <c r="V440">
        <f>Model!AD596</f>
        <v>0</v>
      </c>
      <c r="W440">
        <f>Model!AE596</f>
        <v>0</v>
      </c>
      <c r="X440">
        <f>Model!AF596</f>
        <v>0</v>
      </c>
      <c r="Y440">
        <f>Model!AG596</f>
        <v>0</v>
      </c>
      <c r="Z440">
        <f>Model!AH596</f>
        <v>0</v>
      </c>
      <c r="AA440">
        <f>Model!AI596</f>
        <v>0</v>
      </c>
      <c r="AB440">
        <f>Model!AJ596</f>
        <v>0</v>
      </c>
      <c r="AC440">
        <f>Model!AK596</f>
        <v>0</v>
      </c>
      <c r="AD440">
        <f>Model!AL596</f>
        <v>0</v>
      </c>
      <c r="AE440">
        <f>Model!AM596</f>
        <v>0</v>
      </c>
      <c r="AF440">
        <f>Model!AN596</f>
        <v>0</v>
      </c>
      <c r="AG440">
        <f>Model!AO596</f>
        <v>0</v>
      </c>
      <c r="AH440">
        <f>Model!AP596</f>
        <v>0</v>
      </c>
      <c r="AI440">
        <f>Model!AQ596</f>
        <v>0</v>
      </c>
      <c r="AJ440">
        <f>Model!AR596</f>
        <v>0</v>
      </c>
      <c r="AK440">
        <f>Model!AS596</f>
        <v>0</v>
      </c>
      <c r="AL440">
        <f>Model!AT596</f>
        <v>0</v>
      </c>
      <c r="AM440">
        <f>Model!AU596</f>
        <v>0</v>
      </c>
      <c r="AN440">
        <f>Model!AV596</f>
        <v>0</v>
      </c>
      <c r="AO440">
        <f>Model!AW596</f>
        <v>0</v>
      </c>
      <c r="AP440">
        <f>Model!AX596</f>
        <v>0</v>
      </c>
      <c r="AQ440">
        <f>Model!AY596</f>
        <v>0</v>
      </c>
      <c r="AR440">
        <f>Model!AZ596</f>
        <v>0</v>
      </c>
      <c r="AS440">
        <f>Model!BA596</f>
        <v>98.038999999999987</v>
      </c>
      <c r="AT440">
        <f>Model!BB596</f>
        <v>102.87699999999998</v>
      </c>
      <c r="AU440">
        <f>Model!BC596</f>
        <v>110.07299999999999</v>
      </c>
      <c r="AV440">
        <f>Model!BD596</f>
        <v>116.65699999999998</v>
      </c>
      <c r="AW440">
        <f>Model!BE596</f>
        <v>117.134</v>
      </c>
      <c r="AX440">
        <f>Model!BF596</f>
        <v>126.764</v>
      </c>
      <c r="AY440">
        <f>Model!BG596</f>
        <v>133.976</v>
      </c>
      <c r="AZ440">
        <f>Model!BH596</f>
        <v>142.846</v>
      </c>
      <c r="BA440">
        <f>Model!BI596</f>
        <v>154.666</v>
      </c>
      <c r="BB440">
        <f>Model!BJ596</f>
        <v>159.45499999999998</v>
      </c>
      <c r="BC440">
        <f>Model!BK596</f>
        <v>169.30699999999996</v>
      </c>
      <c r="BD440">
        <f>Model!BL596</f>
        <v>181.50699999999995</v>
      </c>
      <c r="BE440">
        <f>Model!BM596</f>
        <v>196.91799999999995</v>
      </c>
      <c r="BF440">
        <f>Model!BN596</f>
        <v>209.86499999999992</v>
      </c>
      <c r="BG440">
        <f>Model!BO596</f>
        <v>203.49499999999992</v>
      </c>
      <c r="BH440">
        <f>Model!BP596</f>
        <v>249.1109999999999</v>
      </c>
      <c r="BI440">
        <f>Model!BQ596</f>
        <v>264.46399999999988</v>
      </c>
      <c r="BJ440">
        <f>Model!BR596</f>
        <v>286.31299999999987</v>
      </c>
      <c r="BK440">
        <f>Model!BS596</f>
        <v>317.5659999999998</v>
      </c>
      <c r="BL440">
        <f>Model!BT596</f>
        <v>347.19299999999981</v>
      </c>
      <c r="BM440">
        <f>Model!BU596</f>
        <v>375.38999999999976</v>
      </c>
      <c r="BN440">
        <f>Model!BV596</f>
        <v>415.22799999999978</v>
      </c>
      <c r="BO440">
        <f>Model!BW596</f>
        <v>450.24999999999972</v>
      </c>
      <c r="BP440">
        <f>Model!BX596</f>
        <v>494.85099999999971</v>
      </c>
      <c r="BQ440">
        <f>Model!BY596</f>
        <v>531.22999999999968</v>
      </c>
      <c r="BR440">
        <f>Model!BZ596</f>
        <v>564.03699999999969</v>
      </c>
      <c r="BS440">
        <f>Model!CA596</f>
        <v>608.01199999999972</v>
      </c>
      <c r="BT440">
        <f>Model!CB596</f>
        <v>649.59199999999976</v>
      </c>
      <c r="BU440">
        <f>Model!CC596</f>
        <v>704.45742255855612</v>
      </c>
      <c r="BV440">
        <f>Model!CD596</f>
        <v>765.22767980624894</v>
      </c>
      <c r="BW440">
        <f>Model!CE596</f>
        <v>830.53147286731519</v>
      </c>
      <c r="BX440">
        <f>Model!CF596</f>
        <v>900.72642326803532</v>
      </c>
      <c r="BY440">
        <f>Model!CG596</f>
        <v>0</v>
      </c>
      <c r="BZ440">
        <f>Model!CH596</f>
        <v>0</v>
      </c>
      <c r="CA440">
        <f>Model!CI596</f>
        <v>0</v>
      </c>
      <c r="CB440">
        <f>Model!CJ596</f>
        <v>0</v>
      </c>
      <c r="CC440">
        <f>Model!CK596</f>
        <v>0</v>
      </c>
      <c r="CD440">
        <f>Model!CL596</f>
        <v>0</v>
      </c>
      <c r="CE440">
        <f>Model!CM596</f>
        <v>0</v>
      </c>
      <c r="CF440">
        <f>Model!CN596</f>
        <v>0</v>
      </c>
      <c r="CG440">
        <f>Model!CO596</f>
        <v>0</v>
      </c>
      <c r="CH440">
        <f>Model!CP596</f>
        <v>0</v>
      </c>
      <c r="CI440">
        <f>Model!CQ596</f>
        <v>94.406999999999996</v>
      </c>
      <c r="CJ440">
        <f>Model!CR596</f>
        <v>112.63500000000001</v>
      </c>
      <c r="CK440">
        <f>Model!CS596</f>
        <v>142.846</v>
      </c>
      <c r="CL440">
        <f>Model!CT596</f>
        <v>181.50699999999995</v>
      </c>
      <c r="CM440">
        <f>Model!CU596</f>
        <v>249.1109999999999</v>
      </c>
      <c r="CN440">
        <f>Model!CV596</f>
        <v>347.19299999999981</v>
      </c>
      <c r="CO440">
        <f>Model!CW596</f>
        <v>494.85099999999971</v>
      </c>
      <c r="CP440">
        <f>Model!CX596</f>
        <v>649.59199999999976</v>
      </c>
      <c r="CQ440">
        <f>Model!CY596</f>
        <v>900.72642326803532</v>
      </c>
      <c r="CR440">
        <f>Model!DG596</f>
        <v>0</v>
      </c>
      <c r="CS440">
        <f>Model!DH596</f>
        <v>0</v>
      </c>
      <c r="CT440">
        <f>Model!DI596</f>
        <v>0</v>
      </c>
      <c r="CU440">
        <f>Model!DJ596</f>
        <v>0</v>
      </c>
    </row>
    <row r="441" spans="1:99">
      <c r="A441" t="str">
        <f>Model!I597</f>
        <v>Net PP&amp;E</v>
      </c>
      <c r="B441">
        <f>Model!J597</f>
        <v>0</v>
      </c>
      <c r="C441">
        <f>Model!K597</f>
        <v>0</v>
      </c>
      <c r="D441">
        <f>Model!L597</f>
        <v>0</v>
      </c>
      <c r="E441">
        <f>Model!M597</f>
        <v>0</v>
      </c>
      <c r="F441">
        <f>Model!N597</f>
        <v>0</v>
      </c>
      <c r="G441">
        <f>Model!O597</f>
        <v>0</v>
      </c>
      <c r="H441">
        <f>Model!P597</f>
        <v>0</v>
      </c>
      <c r="I441">
        <f>Model!Q597</f>
        <v>0</v>
      </c>
      <c r="J441">
        <f>Model!R597</f>
        <v>0</v>
      </c>
      <c r="K441">
        <f>Model!S597</f>
        <v>0</v>
      </c>
      <c r="L441">
        <f>Model!T597</f>
        <v>0</v>
      </c>
      <c r="M441">
        <f>Model!U597</f>
        <v>0</v>
      </c>
      <c r="N441">
        <f>Model!V597</f>
        <v>0</v>
      </c>
      <c r="O441">
        <f>Model!W597</f>
        <v>0</v>
      </c>
      <c r="P441">
        <f>Model!X597</f>
        <v>0</v>
      </c>
      <c r="Q441">
        <f>Model!Y597</f>
        <v>0</v>
      </c>
      <c r="R441">
        <f>Model!Z597</f>
        <v>0</v>
      </c>
      <c r="S441">
        <f>Model!AA597</f>
        <v>0</v>
      </c>
      <c r="T441">
        <f>Model!AB597</f>
        <v>0</v>
      </c>
      <c r="U441">
        <f>Model!AC597</f>
        <v>0</v>
      </c>
      <c r="V441">
        <f>Model!AD597</f>
        <v>0</v>
      </c>
      <c r="W441">
        <f>Model!AE597</f>
        <v>0</v>
      </c>
      <c r="X441">
        <f>Model!AF597</f>
        <v>0</v>
      </c>
      <c r="Y441">
        <f>Model!AG597</f>
        <v>0</v>
      </c>
      <c r="Z441">
        <f>Model!AH597</f>
        <v>0</v>
      </c>
      <c r="AA441">
        <f>Model!AI597</f>
        <v>0</v>
      </c>
      <c r="AB441">
        <f>Model!AJ597</f>
        <v>0</v>
      </c>
      <c r="AC441">
        <f>Model!AK597</f>
        <v>0</v>
      </c>
      <c r="AD441">
        <f>Model!AL597</f>
        <v>0</v>
      </c>
      <c r="AE441">
        <f>Model!AM597</f>
        <v>0</v>
      </c>
      <c r="AF441">
        <f>Model!AN597</f>
        <v>0</v>
      </c>
      <c r="AG441">
        <f>Model!AO597</f>
        <v>0</v>
      </c>
      <c r="AH441">
        <f>Model!AP597</f>
        <v>0</v>
      </c>
      <c r="AI441">
        <f>Model!AQ597</f>
        <v>0</v>
      </c>
      <c r="AJ441">
        <f>Model!AR597</f>
        <v>0</v>
      </c>
      <c r="AK441">
        <f>Model!AS597</f>
        <v>0</v>
      </c>
      <c r="AL441">
        <f>Model!AT597</f>
        <v>0</v>
      </c>
      <c r="AM441">
        <f>Model!AU597</f>
        <v>0</v>
      </c>
      <c r="AN441">
        <f>Model!AV597</f>
        <v>0</v>
      </c>
      <c r="AO441">
        <f>Model!AW597</f>
        <v>0</v>
      </c>
      <c r="AP441">
        <f>Model!AX597</f>
        <v>0</v>
      </c>
      <c r="AQ441">
        <f>Model!AY597</f>
        <v>0</v>
      </c>
      <c r="AR441">
        <f>Model!AZ597</f>
        <v>0</v>
      </c>
      <c r="AS441">
        <f>Model!BA597</f>
        <v>44.386000000000003</v>
      </c>
      <c r="AT441">
        <f>Model!BB597</f>
        <v>49.345999999999997</v>
      </c>
      <c r="AU441">
        <f>Model!BC597</f>
        <v>53.843000000000004</v>
      </c>
      <c r="AV441">
        <f>Model!BD597</f>
        <v>64.322000000000003</v>
      </c>
      <c r="AW441">
        <f>Model!BE597</f>
        <v>73.52</v>
      </c>
      <c r="AX441">
        <f>Model!BF597</f>
        <v>78.616</v>
      </c>
      <c r="AY441">
        <f>Model!BG597</f>
        <v>81.930999999999997</v>
      </c>
      <c r="AZ441">
        <f>Model!BH597</f>
        <v>89.269000000000005</v>
      </c>
      <c r="BA441">
        <f>Model!BI597</f>
        <v>92.5</v>
      </c>
      <c r="BB441">
        <f>Model!BJ597</f>
        <v>109.14100000000001</v>
      </c>
      <c r="BC441">
        <f>Model!BK597</f>
        <v>119.76600000000001</v>
      </c>
      <c r="BD441">
        <f>Model!BL597</f>
        <v>135.053</v>
      </c>
      <c r="BE441">
        <f>Model!BM597</f>
        <v>149.37299999999999</v>
      </c>
      <c r="BF441">
        <f>Model!BN597</f>
        <v>168.68100000000001</v>
      </c>
      <c r="BG441">
        <f>Model!BO597</f>
        <v>203.79</v>
      </c>
      <c r="BH441">
        <f>Model!BP597</f>
        <v>198.953</v>
      </c>
      <c r="BI441">
        <f>Model!BQ597</f>
        <v>214.863</v>
      </c>
      <c r="BJ441">
        <f>Model!BR597</f>
        <v>246.102</v>
      </c>
      <c r="BK441">
        <f>Model!BS597</f>
        <v>257.13499999999999</v>
      </c>
      <c r="BL441">
        <f>Model!BT597</f>
        <v>274.786</v>
      </c>
      <c r="BM441">
        <f>Model!BU597</f>
        <v>299.84500000000003</v>
      </c>
      <c r="BN441">
        <f>Model!BV597</f>
        <v>320.45</v>
      </c>
      <c r="BO441">
        <f>Model!BW597</f>
        <v>339.80500000000001</v>
      </c>
      <c r="BP441">
        <f>Model!BX597</f>
        <v>347.017</v>
      </c>
      <c r="BQ441">
        <f>Model!BY597</f>
        <v>381.197</v>
      </c>
      <c r="BR441">
        <f>Model!BZ597</f>
        <v>425.1</v>
      </c>
      <c r="BS441">
        <f>Model!CA597</f>
        <v>457.548</v>
      </c>
      <c r="BT441">
        <f>Model!CB597</f>
        <v>480.08100000000002</v>
      </c>
      <c r="BU441">
        <f>Model!CC597</f>
        <v>523.76499391968468</v>
      </c>
      <c r="BV441">
        <f>Model!CD597</f>
        <v>564.47220988668005</v>
      </c>
      <c r="BW441">
        <f>Model!CE597</f>
        <v>576.58614995669109</v>
      </c>
      <c r="BX441">
        <f>Model!CF597</f>
        <v>593.01789279307252</v>
      </c>
      <c r="BY441">
        <f>Model!CG597</f>
        <v>0</v>
      </c>
      <c r="BZ441">
        <f>Model!CH597</f>
        <v>0</v>
      </c>
      <c r="CA441">
        <f>Model!CI597</f>
        <v>0</v>
      </c>
      <c r="CB441">
        <f>Model!CJ597</f>
        <v>0</v>
      </c>
      <c r="CC441">
        <f>Model!CK597</f>
        <v>0</v>
      </c>
      <c r="CD441">
        <f>Model!CL597</f>
        <v>0</v>
      </c>
      <c r="CE441">
        <f>Model!CM597</f>
        <v>0</v>
      </c>
      <c r="CF441">
        <f>Model!CN597</f>
        <v>0</v>
      </c>
      <c r="CG441">
        <f>Model!CO597</f>
        <v>0</v>
      </c>
      <c r="CH441">
        <f>Model!CP597</f>
        <v>0</v>
      </c>
      <c r="CI441">
        <f>Model!CQ597</f>
        <v>39.73899999999999</v>
      </c>
      <c r="CJ441">
        <f>Model!CR597</f>
        <v>64.321999999999989</v>
      </c>
      <c r="CK441">
        <f>Model!CS597</f>
        <v>89.269000000000005</v>
      </c>
      <c r="CL441">
        <f>Model!CT597</f>
        <v>135.053</v>
      </c>
      <c r="CM441">
        <f>Model!CU597</f>
        <v>198.953</v>
      </c>
      <c r="CN441">
        <f>Model!CV597</f>
        <v>274.786</v>
      </c>
      <c r="CO441">
        <f>Model!CW597</f>
        <v>347.017</v>
      </c>
      <c r="CP441">
        <f>Model!CX597</f>
        <v>480.08100000000002</v>
      </c>
      <c r="CQ441">
        <f>Model!CY597</f>
        <v>593.01789279307252</v>
      </c>
      <c r="CR441">
        <f>Model!DG597</f>
        <v>0</v>
      </c>
      <c r="CS441">
        <f>Model!DH597</f>
        <v>0</v>
      </c>
      <c r="CT441">
        <f>Model!DI597</f>
        <v>0</v>
      </c>
      <c r="CU441">
        <f>Model!DJ597</f>
        <v>0</v>
      </c>
    </row>
    <row r="442" spans="1:99">
      <c r="A442">
        <f>Model!I598</f>
        <v>0</v>
      </c>
      <c r="B442">
        <f>Model!J598</f>
        <v>0</v>
      </c>
      <c r="C442">
        <f>Model!K598</f>
        <v>0</v>
      </c>
      <c r="D442">
        <f>Model!L598</f>
        <v>0</v>
      </c>
      <c r="E442">
        <f>Model!M598</f>
        <v>0</v>
      </c>
      <c r="F442">
        <f>Model!N598</f>
        <v>0</v>
      </c>
      <c r="G442">
        <f>Model!O598</f>
        <v>0</v>
      </c>
      <c r="H442">
        <f>Model!P598</f>
        <v>0</v>
      </c>
      <c r="I442">
        <f>Model!Q598</f>
        <v>0</v>
      </c>
      <c r="J442">
        <f>Model!R598</f>
        <v>0</v>
      </c>
      <c r="K442">
        <f>Model!S598</f>
        <v>0</v>
      </c>
      <c r="L442">
        <f>Model!T598</f>
        <v>0</v>
      </c>
      <c r="M442">
        <f>Model!U598</f>
        <v>0</v>
      </c>
      <c r="N442">
        <f>Model!V598</f>
        <v>0</v>
      </c>
      <c r="O442">
        <f>Model!W598</f>
        <v>0</v>
      </c>
      <c r="P442">
        <f>Model!X598</f>
        <v>0</v>
      </c>
      <c r="Q442">
        <f>Model!Y598</f>
        <v>0</v>
      </c>
      <c r="R442">
        <f>Model!Z598</f>
        <v>0</v>
      </c>
      <c r="S442">
        <f>Model!AA598</f>
        <v>0</v>
      </c>
      <c r="T442">
        <f>Model!AB598</f>
        <v>0</v>
      </c>
      <c r="U442">
        <f>Model!AC598</f>
        <v>0</v>
      </c>
      <c r="V442">
        <f>Model!AD598</f>
        <v>0</v>
      </c>
      <c r="W442">
        <f>Model!AE598</f>
        <v>0</v>
      </c>
      <c r="X442">
        <f>Model!AF598</f>
        <v>0</v>
      </c>
      <c r="Y442">
        <f>Model!AG598</f>
        <v>0</v>
      </c>
      <c r="Z442">
        <f>Model!AH598</f>
        <v>0</v>
      </c>
      <c r="AA442">
        <f>Model!AI598</f>
        <v>0</v>
      </c>
      <c r="AB442">
        <f>Model!AJ598</f>
        <v>0</v>
      </c>
      <c r="AC442">
        <f>Model!AK598</f>
        <v>0</v>
      </c>
      <c r="AD442">
        <f>Model!AL598</f>
        <v>0</v>
      </c>
      <c r="AE442">
        <f>Model!AM598</f>
        <v>0</v>
      </c>
      <c r="AF442">
        <f>Model!AN598</f>
        <v>0</v>
      </c>
      <c r="AG442">
        <f>Model!AO598</f>
        <v>0</v>
      </c>
      <c r="AH442">
        <f>Model!AP598</f>
        <v>0</v>
      </c>
      <c r="AI442">
        <f>Model!AQ598</f>
        <v>0</v>
      </c>
      <c r="AJ442">
        <f>Model!AR598</f>
        <v>0</v>
      </c>
      <c r="AK442">
        <f>Model!AS598</f>
        <v>0</v>
      </c>
      <c r="AL442">
        <f>Model!AT598</f>
        <v>0</v>
      </c>
      <c r="AM442">
        <f>Model!AU598</f>
        <v>0</v>
      </c>
      <c r="AN442">
        <f>Model!AV598</f>
        <v>0</v>
      </c>
      <c r="AO442">
        <f>Model!AW598</f>
        <v>0</v>
      </c>
      <c r="AP442">
        <f>Model!AX598</f>
        <v>0</v>
      </c>
      <c r="AQ442">
        <f>Model!AY598</f>
        <v>0</v>
      </c>
      <c r="AR442">
        <f>Model!AZ598</f>
        <v>0</v>
      </c>
      <c r="AS442">
        <f>Model!BA598</f>
        <v>0</v>
      </c>
      <c r="AT442">
        <f>Model!BB598</f>
        <v>0</v>
      </c>
      <c r="AU442">
        <f>Model!BC598</f>
        <v>0</v>
      </c>
      <c r="AV442">
        <f>Model!BD598</f>
        <v>0</v>
      </c>
      <c r="AW442">
        <f>Model!BE598</f>
        <v>0</v>
      </c>
      <c r="AX442">
        <f>Model!BF598</f>
        <v>0</v>
      </c>
      <c r="AY442">
        <f>Model!BG598</f>
        <v>0</v>
      </c>
      <c r="AZ442">
        <f>Model!BH598</f>
        <v>0</v>
      </c>
      <c r="BA442">
        <f>Model!BI598</f>
        <v>0</v>
      </c>
      <c r="BB442">
        <f>Model!BJ598</f>
        <v>0</v>
      </c>
      <c r="BC442">
        <f>Model!BK598</f>
        <v>0</v>
      </c>
      <c r="BD442">
        <f>Model!BL598</f>
        <v>0</v>
      </c>
      <c r="BE442">
        <f>Model!BM598</f>
        <v>0</v>
      </c>
      <c r="BF442">
        <f>Model!BN598</f>
        <v>0</v>
      </c>
      <c r="BG442">
        <f>Model!BO598</f>
        <v>0</v>
      </c>
      <c r="BH442">
        <f>Model!BP598</f>
        <v>0</v>
      </c>
      <c r="BI442">
        <f>Model!BQ598</f>
        <v>0</v>
      </c>
      <c r="BJ442">
        <f>Model!BR598</f>
        <v>0</v>
      </c>
      <c r="BK442">
        <f>Model!BS598</f>
        <v>0</v>
      </c>
      <c r="BL442">
        <f>Model!BT598</f>
        <v>0</v>
      </c>
      <c r="BM442">
        <f>Model!BU598</f>
        <v>0</v>
      </c>
      <c r="BN442">
        <f>Model!BV598</f>
        <v>0</v>
      </c>
      <c r="BO442">
        <f>Model!BW598</f>
        <v>0</v>
      </c>
      <c r="BP442">
        <f>Model!BX598</f>
        <v>0</v>
      </c>
      <c r="BQ442">
        <f>Model!BY598</f>
        <v>0</v>
      </c>
      <c r="BR442">
        <f>Model!BZ598</f>
        <v>0</v>
      </c>
      <c r="BS442">
        <f>Model!CA598</f>
        <v>0</v>
      </c>
      <c r="BT442">
        <f>Model!CB598</f>
        <v>0</v>
      </c>
      <c r="BU442">
        <f>Model!CC598</f>
        <v>0</v>
      </c>
      <c r="BV442">
        <f>Model!CD598</f>
        <v>0</v>
      </c>
      <c r="BW442">
        <f>Model!CE598</f>
        <v>0</v>
      </c>
      <c r="BX442">
        <f>Model!CF598</f>
        <v>0</v>
      </c>
      <c r="BY442">
        <f>Model!CG598</f>
        <v>0</v>
      </c>
      <c r="BZ442">
        <f>Model!CH598</f>
        <v>0</v>
      </c>
      <c r="CA442">
        <f>Model!CI598</f>
        <v>0</v>
      </c>
      <c r="CB442">
        <f>Model!CJ598</f>
        <v>0</v>
      </c>
      <c r="CC442">
        <f>Model!CK598</f>
        <v>0</v>
      </c>
      <c r="CD442">
        <f>Model!CL598</f>
        <v>0</v>
      </c>
      <c r="CE442">
        <f>Model!CM598</f>
        <v>0</v>
      </c>
      <c r="CF442">
        <f>Model!CN598</f>
        <v>0</v>
      </c>
      <c r="CG442">
        <f>Model!CO598</f>
        <v>0</v>
      </c>
      <c r="CH442">
        <f>Model!CP598</f>
        <v>0</v>
      </c>
      <c r="CI442">
        <f>Model!CQ598</f>
        <v>0</v>
      </c>
      <c r="CJ442">
        <f>Model!CR598</f>
        <v>0</v>
      </c>
      <c r="CK442">
        <f>Model!CS598</f>
        <v>0</v>
      </c>
      <c r="CL442">
        <f>Model!CT598</f>
        <v>0</v>
      </c>
      <c r="CM442">
        <f>Model!CU598</f>
        <v>0</v>
      </c>
      <c r="CN442">
        <f>Model!CV598</f>
        <v>0</v>
      </c>
      <c r="CO442">
        <f>Model!CW598</f>
        <v>0</v>
      </c>
      <c r="CP442">
        <f>Model!CX598</f>
        <v>0</v>
      </c>
      <c r="CQ442">
        <f>Model!CY598</f>
        <v>0</v>
      </c>
      <c r="CR442">
        <f>Model!DG598</f>
        <v>0</v>
      </c>
      <c r="CS442">
        <f>Model!DH598</f>
        <v>0</v>
      </c>
      <c r="CT442">
        <f>Model!DI598</f>
        <v>0</v>
      </c>
      <c r="CU442">
        <f>Model!DJ598</f>
        <v>0</v>
      </c>
    </row>
    <row r="443" spans="1:99">
      <c r="A443" t="str">
        <f>Model!I599</f>
        <v>Intangible Assets, Net</v>
      </c>
      <c r="B443">
        <f>Model!J599</f>
        <v>0</v>
      </c>
      <c r="C443">
        <f>Model!K599</f>
        <v>0</v>
      </c>
      <c r="D443">
        <f>Model!L599</f>
        <v>0</v>
      </c>
      <c r="E443">
        <f>Model!M599</f>
        <v>0</v>
      </c>
      <c r="F443">
        <f>Model!N599</f>
        <v>0</v>
      </c>
      <c r="G443">
        <f>Model!O599</f>
        <v>0</v>
      </c>
      <c r="H443">
        <f>Model!P599</f>
        <v>0</v>
      </c>
      <c r="I443">
        <f>Model!Q599</f>
        <v>0</v>
      </c>
      <c r="J443">
        <f>Model!R599</f>
        <v>0</v>
      </c>
      <c r="K443">
        <f>Model!S599</f>
        <v>0</v>
      </c>
      <c r="L443">
        <f>Model!T599</f>
        <v>0</v>
      </c>
      <c r="M443">
        <f>Model!U599</f>
        <v>0</v>
      </c>
      <c r="N443">
        <f>Model!V599</f>
        <v>0</v>
      </c>
      <c r="O443">
        <f>Model!W599</f>
        <v>0</v>
      </c>
      <c r="P443">
        <f>Model!X599</f>
        <v>0</v>
      </c>
      <c r="Q443">
        <f>Model!Y599</f>
        <v>0</v>
      </c>
      <c r="R443">
        <f>Model!Z599</f>
        <v>0</v>
      </c>
      <c r="S443">
        <f>Model!AA599</f>
        <v>0</v>
      </c>
      <c r="T443">
        <f>Model!AB599</f>
        <v>0</v>
      </c>
      <c r="U443">
        <f>Model!AC599</f>
        <v>0</v>
      </c>
      <c r="V443">
        <f>Model!AD599</f>
        <v>0</v>
      </c>
      <c r="W443">
        <f>Model!AE599</f>
        <v>0</v>
      </c>
      <c r="X443">
        <f>Model!AF599</f>
        <v>0</v>
      </c>
      <c r="Y443">
        <f>Model!AG599</f>
        <v>0</v>
      </c>
      <c r="Z443">
        <f>Model!AH599</f>
        <v>0</v>
      </c>
      <c r="AA443">
        <f>Model!AI599</f>
        <v>0</v>
      </c>
      <c r="AB443">
        <f>Model!AJ599</f>
        <v>0</v>
      </c>
      <c r="AC443">
        <f>Model!AK599</f>
        <v>0</v>
      </c>
      <c r="AD443">
        <f>Model!AL599</f>
        <v>0</v>
      </c>
      <c r="AE443">
        <f>Model!AM599</f>
        <v>0</v>
      </c>
      <c r="AF443">
        <f>Model!AN599</f>
        <v>0</v>
      </c>
      <c r="AG443">
        <f>Model!AO599</f>
        <v>0</v>
      </c>
      <c r="AH443">
        <f>Model!AP599</f>
        <v>0</v>
      </c>
      <c r="AI443">
        <f>Model!AQ599</f>
        <v>0</v>
      </c>
      <c r="AJ443">
        <f>Model!AR599</f>
        <v>0</v>
      </c>
      <c r="AK443">
        <f>Model!AS599</f>
        <v>0</v>
      </c>
      <c r="AL443">
        <f>Model!AT599</f>
        <v>0</v>
      </c>
      <c r="AM443">
        <f>Model!AU599</f>
        <v>0</v>
      </c>
      <c r="AN443">
        <f>Model!AV599</f>
        <v>0</v>
      </c>
      <c r="AO443">
        <f>Model!AW599</f>
        <v>0</v>
      </c>
      <c r="AP443">
        <f>Model!AX599</f>
        <v>0</v>
      </c>
      <c r="AQ443">
        <f>Model!AY599</f>
        <v>0</v>
      </c>
      <c r="AR443">
        <f>Model!AZ599</f>
        <v>0</v>
      </c>
      <c r="AS443">
        <f>Model!BA599</f>
        <v>234.06299999999999</v>
      </c>
      <c r="AT443">
        <f>Model!BB599</f>
        <v>228.88499999999999</v>
      </c>
      <c r="AU443">
        <f>Model!BC599</f>
        <v>210.69300000000001</v>
      </c>
      <c r="AV443">
        <f>Model!BD599</f>
        <v>200.15100000000001</v>
      </c>
      <c r="AW443">
        <f>Model!BE599</f>
        <v>210.91800000000001</v>
      </c>
      <c r="AX443">
        <f>Model!BF599</f>
        <v>196.03700000000001</v>
      </c>
      <c r="AY443">
        <f>Model!BG599</f>
        <v>192.488</v>
      </c>
      <c r="AZ443">
        <f>Model!BH599</f>
        <v>208.113</v>
      </c>
      <c r="BA443">
        <f>Model!BI599</f>
        <v>191.13499999999999</v>
      </c>
      <c r="BB443">
        <f>Model!BJ599</f>
        <v>1052.087</v>
      </c>
      <c r="BC443">
        <f>Model!BK599</f>
        <v>1038.8630000000001</v>
      </c>
      <c r="BD443">
        <f>Model!BL599</f>
        <v>1019.985</v>
      </c>
      <c r="BE443">
        <f>Model!BM599</f>
        <v>998.30700000000002</v>
      </c>
      <c r="BF443">
        <f>Model!BN599</f>
        <v>976.94600000000003</v>
      </c>
      <c r="BG443">
        <f>Model!BO599</f>
        <v>2175.2139999999999</v>
      </c>
      <c r="BH443">
        <f>Model!BP599</f>
        <v>2334.761</v>
      </c>
      <c r="BI443">
        <f>Model!BQ599</f>
        <v>2282.3470000000002</v>
      </c>
      <c r="BJ443">
        <f>Model!BR599</f>
        <v>2246.6289999999999</v>
      </c>
      <c r="BK443">
        <f>Model!BS599</f>
        <v>2203.27</v>
      </c>
      <c r="BL443">
        <f>Model!BT599</f>
        <v>2167.5329999999999</v>
      </c>
      <c r="BM443">
        <f>Model!BU599</f>
        <v>2128.5390000000002</v>
      </c>
      <c r="BN443">
        <f>Model!BV599</f>
        <v>2082.12</v>
      </c>
      <c r="BO443">
        <f>Model!BW599</f>
        <v>2040.213</v>
      </c>
      <c r="BP443">
        <f>Model!BX599</f>
        <v>1993.885</v>
      </c>
      <c r="BQ443">
        <f>Model!BY599</f>
        <v>1951.999</v>
      </c>
      <c r="BR443">
        <f>Model!BZ599</f>
        <v>1914.7670000000001</v>
      </c>
      <c r="BS443">
        <f>Model!CA599</f>
        <v>2218.152</v>
      </c>
      <c r="BT443">
        <f>Model!CB599</f>
        <v>2176.8229999999999</v>
      </c>
      <c r="BU443">
        <f>Model!CC599</f>
        <v>2133.8049999999998</v>
      </c>
      <c r="BV443">
        <f>Model!CD599</f>
        <v>2092.6439999999998</v>
      </c>
      <c r="BW443">
        <f>Model!CE599</f>
        <v>2047.3469999999998</v>
      </c>
      <c r="BX443">
        <f>Model!CF599</f>
        <v>2001.2799999999997</v>
      </c>
      <c r="BY443">
        <f>Model!CG599</f>
        <v>0</v>
      </c>
      <c r="BZ443">
        <f>Model!CH599</f>
        <v>0</v>
      </c>
      <c r="CA443">
        <f>Model!CI599</f>
        <v>0</v>
      </c>
      <c r="CB443">
        <f>Model!CJ599</f>
        <v>0</v>
      </c>
      <c r="CC443">
        <f>Model!CK599</f>
        <v>0</v>
      </c>
      <c r="CD443">
        <f>Model!CL599</f>
        <v>0</v>
      </c>
      <c r="CE443">
        <f>Model!CM599</f>
        <v>0</v>
      </c>
      <c r="CF443">
        <f>Model!CN599</f>
        <v>0</v>
      </c>
      <c r="CG443">
        <f>Model!CO599</f>
        <v>0</v>
      </c>
      <c r="CH443">
        <f>Model!CP599</f>
        <v>0</v>
      </c>
      <c r="CI443">
        <f>Model!CQ599</f>
        <v>232.03</v>
      </c>
      <c r="CJ443">
        <f>Model!CR599</f>
        <v>200.15100000000001</v>
      </c>
      <c r="CK443">
        <f>Model!CS599</f>
        <v>208.113</v>
      </c>
      <c r="CL443">
        <f>Model!CT599</f>
        <v>1019.985</v>
      </c>
      <c r="CM443">
        <f>Model!CU599</f>
        <v>2334.761</v>
      </c>
      <c r="CN443">
        <f>Model!CV599</f>
        <v>2167.5329999999999</v>
      </c>
      <c r="CO443">
        <f>Model!CW599</f>
        <v>1993.885</v>
      </c>
      <c r="CP443">
        <f>Model!CX599</f>
        <v>2176.8229999999999</v>
      </c>
      <c r="CQ443">
        <f>Model!CY599</f>
        <v>2001.2799999999997</v>
      </c>
      <c r="CR443">
        <f>Model!DG599</f>
        <v>0</v>
      </c>
      <c r="CS443">
        <f>Model!DH599</f>
        <v>0</v>
      </c>
      <c r="CT443">
        <f>Model!DI599</f>
        <v>0</v>
      </c>
      <c r="CU443">
        <f>Model!DJ599</f>
        <v>0</v>
      </c>
    </row>
    <row r="444" spans="1:99">
      <c r="A444" t="str">
        <f>Model!I600</f>
        <v>Goodwill</v>
      </c>
      <c r="B444">
        <f>Model!J600</f>
        <v>0</v>
      </c>
      <c r="C444">
        <f>Model!K600</f>
        <v>0</v>
      </c>
      <c r="D444">
        <f>Model!L600</f>
        <v>0</v>
      </c>
      <c r="E444">
        <f>Model!M600</f>
        <v>0</v>
      </c>
      <c r="F444">
        <f>Model!N600</f>
        <v>0</v>
      </c>
      <c r="G444">
        <f>Model!O600</f>
        <v>0</v>
      </c>
      <c r="H444">
        <f>Model!P600</f>
        <v>0</v>
      </c>
      <c r="I444">
        <f>Model!Q600</f>
        <v>0</v>
      </c>
      <c r="J444">
        <f>Model!R600</f>
        <v>0</v>
      </c>
      <c r="K444">
        <f>Model!S600</f>
        <v>0</v>
      </c>
      <c r="L444">
        <f>Model!T600</f>
        <v>0</v>
      </c>
      <c r="M444">
        <f>Model!U600</f>
        <v>0</v>
      </c>
      <c r="N444">
        <f>Model!V600</f>
        <v>0</v>
      </c>
      <c r="O444">
        <f>Model!W600</f>
        <v>0</v>
      </c>
      <c r="P444">
        <f>Model!X600</f>
        <v>0</v>
      </c>
      <c r="Q444">
        <f>Model!Y600</f>
        <v>0</v>
      </c>
      <c r="R444">
        <f>Model!Z600</f>
        <v>0</v>
      </c>
      <c r="S444">
        <f>Model!AA600</f>
        <v>0</v>
      </c>
      <c r="T444">
        <f>Model!AB600</f>
        <v>0</v>
      </c>
      <c r="U444">
        <f>Model!AC600</f>
        <v>0</v>
      </c>
      <c r="V444">
        <f>Model!AD600</f>
        <v>0</v>
      </c>
      <c r="W444">
        <f>Model!AE600</f>
        <v>0</v>
      </c>
      <c r="X444">
        <f>Model!AF600</f>
        <v>0</v>
      </c>
      <c r="Y444">
        <f>Model!AG600</f>
        <v>0</v>
      </c>
      <c r="Z444">
        <f>Model!AH600</f>
        <v>0</v>
      </c>
      <c r="AA444">
        <f>Model!AI600</f>
        <v>0</v>
      </c>
      <c r="AB444">
        <f>Model!AJ600</f>
        <v>0</v>
      </c>
      <c r="AC444">
        <f>Model!AK600</f>
        <v>0</v>
      </c>
      <c r="AD444">
        <f>Model!AL600</f>
        <v>0</v>
      </c>
      <c r="AE444">
        <f>Model!AM600</f>
        <v>0</v>
      </c>
      <c r="AF444">
        <f>Model!AN600</f>
        <v>0</v>
      </c>
      <c r="AG444">
        <f>Model!AO600</f>
        <v>0</v>
      </c>
      <c r="AH444">
        <f>Model!AP600</f>
        <v>0</v>
      </c>
      <c r="AI444">
        <f>Model!AQ600</f>
        <v>0</v>
      </c>
      <c r="AJ444">
        <f>Model!AR600</f>
        <v>0</v>
      </c>
      <c r="AK444">
        <f>Model!AS600</f>
        <v>0</v>
      </c>
      <c r="AL444">
        <f>Model!AT600</f>
        <v>0</v>
      </c>
      <c r="AM444">
        <f>Model!AU600</f>
        <v>0</v>
      </c>
      <c r="AN444">
        <f>Model!AV600</f>
        <v>0</v>
      </c>
      <c r="AO444">
        <f>Model!AW600</f>
        <v>0</v>
      </c>
      <c r="AP444">
        <f>Model!AX600</f>
        <v>0</v>
      </c>
      <c r="AQ444">
        <f>Model!AY600</f>
        <v>0</v>
      </c>
      <c r="AR444">
        <f>Model!AZ600</f>
        <v>0</v>
      </c>
      <c r="AS444">
        <f>Model!BA600</f>
        <v>525.80100000000004</v>
      </c>
      <c r="AT444">
        <f>Model!BB600</f>
        <v>529.59400000000005</v>
      </c>
      <c r="AU444">
        <f>Model!BC600</f>
        <v>510.154</v>
      </c>
      <c r="AV444">
        <f>Model!BD600</f>
        <v>504.78399999999999</v>
      </c>
      <c r="AW444">
        <f>Model!BE600</f>
        <v>520.76900000000001</v>
      </c>
      <c r="AX444">
        <f>Model!BF600</f>
        <v>508.33100000000002</v>
      </c>
      <c r="AY444">
        <f>Model!BG600</f>
        <v>517.721</v>
      </c>
      <c r="AZ444">
        <f>Model!BH600</f>
        <v>522.67200000000003</v>
      </c>
      <c r="BA444">
        <f>Model!BI600</f>
        <v>502.29500000000002</v>
      </c>
      <c r="BB444">
        <f>Model!BJ600</f>
        <v>1738.346</v>
      </c>
      <c r="BC444">
        <f>Model!BK600</f>
        <v>1761.194</v>
      </c>
      <c r="BD444">
        <f>Model!BL600</f>
        <v>1767.912</v>
      </c>
      <c r="BE444">
        <f>Model!BM600</f>
        <v>1771.548</v>
      </c>
      <c r="BF444">
        <f>Model!BN600</f>
        <v>1905.5509999999999</v>
      </c>
      <c r="BG444">
        <f>Model!BO600</f>
        <v>3483.1439999999998</v>
      </c>
      <c r="BH444">
        <f>Model!BP600</f>
        <v>3326.4740000000002</v>
      </c>
      <c r="BI444">
        <f>Model!BQ600</f>
        <v>3327.7840000000001</v>
      </c>
      <c r="BJ444">
        <f>Model!BR600</f>
        <v>3366.3960000000002</v>
      </c>
      <c r="BK444">
        <f>Model!BS600</f>
        <v>3386.5189999999998</v>
      </c>
      <c r="BL444">
        <f>Model!BT600</f>
        <v>3375</v>
      </c>
      <c r="BM444">
        <f>Model!BU600</f>
        <v>3378.3270000000002</v>
      </c>
      <c r="BN444">
        <f>Model!BV600</f>
        <v>3360.585</v>
      </c>
      <c r="BO444">
        <f>Model!BW600</f>
        <v>2416.3380000000002</v>
      </c>
      <c r="BP444">
        <f>Model!BX600</f>
        <v>2396.9059999999999</v>
      </c>
      <c r="BQ444">
        <f>Model!BY600</f>
        <v>2402.306</v>
      </c>
      <c r="BR444">
        <f>Model!BZ600</f>
        <v>2418.63</v>
      </c>
      <c r="BS444">
        <f>Model!CA600</f>
        <v>2727.8969999999999</v>
      </c>
      <c r="BT444">
        <f>Model!CB600</f>
        <v>2737.6709999999998</v>
      </c>
      <c r="BU444">
        <f>Model!CC600</f>
        <v>2737.6709999999998</v>
      </c>
      <c r="BV444">
        <f>Model!CD600</f>
        <v>2737.6709999999998</v>
      </c>
      <c r="BW444">
        <f>Model!CE600</f>
        <v>2737.6709999999998</v>
      </c>
      <c r="BX444">
        <f>Model!CF600</f>
        <v>2737.6709999999998</v>
      </c>
      <c r="BY444">
        <f>Model!CG600</f>
        <v>0</v>
      </c>
      <c r="BZ444">
        <f>Model!CH600</f>
        <v>0</v>
      </c>
      <c r="CA444">
        <f>Model!CI600</f>
        <v>0</v>
      </c>
      <c r="CB444">
        <f>Model!CJ600</f>
        <v>0</v>
      </c>
      <c r="CC444">
        <f>Model!CK600</f>
        <v>0</v>
      </c>
      <c r="CD444">
        <f>Model!CL600</f>
        <v>0</v>
      </c>
      <c r="CE444">
        <f>Model!CM600</f>
        <v>0</v>
      </c>
      <c r="CF444">
        <f>Model!CN600</f>
        <v>0</v>
      </c>
      <c r="CG444">
        <f>Model!CO600</f>
        <v>0</v>
      </c>
      <c r="CH444">
        <f>Model!CP600</f>
        <v>0</v>
      </c>
      <c r="CI444">
        <f>Model!CQ600</f>
        <v>510.89400000000001</v>
      </c>
      <c r="CJ444">
        <f>Model!CR600</f>
        <v>504.78399999999999</v>
      </c>
      <c r="CK444">
        <f>Model!CS600</f>
        <v>522.67200000000003</v>
      </c>
      <c r="CL444">
        <f>Model!CT600</f>
        <v>1767.912</v>
      </c>
      <c r="CM444">
        <f>Model!CU600</f>
        <v>3326.4740000000002</v>
      </c>
      <c r="CN444">
        <f>Model!CV600</f>
        <v>3375</v>
      </c>
      <c r="CO444">
        <f>Model!CW600</f>
        <v>2396.9059999999999</v>
      </c>
      <c r="CP444">
        <f>Model!CX600</f>
        <v>2737.6709999999998</v>
      </c>
      <c r="CQ444">
        <f>Model!CY600</f>
        <v>2737.6709999999998</v>
      </c>
      <c r="CR444">
        <f>Model!DG600</f>
        <v>0</v>
      </c>
      <c r="CS444">
        <f>Model!DH600</f>
        <v>0</v>
      </c>
      <c r="CT444">
        <f>Model!DI600</f>
        <v>0</v>
      </c>
      <c r="CU444">
        <f>Model!DJ600</f>
        <v>0</v>
      </c>
    </row>
    <row r="445" spans="1:99">
      <c r="A445" t="str">
        <f>Model!I601</f>
        <v>Deferred Tax Assets</v>
      </c>
      <c r="B445">
        <f>Model!J601</f>
        <v>0</v>
      </c>
      <c r="C445">
        <f>Model!K601</f>
        <v>0</v>
      </c>
      <c r="D445">
        <f>Model!L601</f>
        <v>0</v>
      </c>
      <c r="E445">
        <f>Model!M601</f>
        <v>0</v>
      </c>
      <c r="F445">
        <f>Model!N601</f>
        <v>0</v>
      </c>
      <c r="G445">
        <f>Model!O601</f>
        <v>0</v>
      </c>
      <c r="H445">
        <f>Model!P601</f>
        <v>0</v>
      </c>
      <c r="I445">
        <f>Model!Q601</f>
        <v>0</v>
      </c>
      <c r="J445">
        <f>Model!R601</f>
        <v>0</v>
      </c>
      <c r="K445">
        <f>Model!S601</f>
        <v>0</v>
      </c>
      <c r="L445">
        <f>Model!T601</f>
        <v>0</v>
      </c>
      <c r="M445">
        <f>Model!U601</f>
        <v>0</v>
      </c>
      <c r="N445">
        <f>Model!V601</f>
        <v>0</v>
      </c>
      <c r="O445">
        <f>Model!W601</f>
        <v>0</v>
      </c>
      <c r="P445">
        <f>Model!X601</f>
        <v>0</v>
      </c>
      <c r="Q445">
        <f>Model!Y601</f>
        <v>0</v>
      </c>
      <c r="R445">
        <f>Model!Z601</f>
        <v>0</v>
      </c>
      <c r="S445">
        <f>Model!AA601</f>
        <v>0</v>
      </c>
      <c r="T445">
        <f>Model!AB601</f>
        <v>0</v>
      </c>
      <c r="U445">
        <f>Model!AC601</f>
        <v>0</v>
      </c>
      <c r="V445">
        <f>Model!AD601</f>
        <v>0</v>
      </c>
      <c r="W445">
        <f>Model!AE601</f>
        <v>0</v>
      </c>
      <c r="X445">
        <f>Model!AF601</f>
        <v>0</v>
      </c>
      <c r="Y445">
        <f>Model!AG601</f>
        <v>0</v>
      </c>
      <c r="Z445">
        <f>Model!AH601</f>
        <v>0</v>
      </c>
      <c r="AA445">
        <f>Model!AI601</f>
        <v>0</v>
      </c>
      <c r="AB445">
        <f>Model!AJ601</f>
        <v>0</v>
      </c>
      <c r="AC445">
        <f>Model!AK601</f>
        <v>0</v>
      </c>
      <c r="AD445">
        <f>Model!AL601</f>
        <v>0</v>
      </c>
      <c r="AE445">
        <f>Model!AM601</f>
        <v>0</v>
      </c>
      <c r="AF445">
        <f>Model!AN601</f>
        <v>0</v>
      </c>
      <c r="AG445">
        <f>Model!AO601</f>
        <v>0</v>
      </c>
      <c r="AH445">
        <f>Model!AP601</f>
        <v>0</v>
      </c>
      <c r="AI445">
        <f>Model!AQ601</f>
        <v>0</v>
      </c>
      <c r="AJ445">
        <f>Model!AR601</f>
        <v>0</v>
      </c>
      <c r="AK445">
        <f>Model!AS601</f>
        <v>0</v>
      </c>
      <c r="AL445">
        <f>Model!AT601</f>
        <v>0</v>
      </c>
      <c r="AM445">
        <f>Model!AU601</f>
        <v>0</v>
      </c>
      <c r="AN445">
        <f>Model!AV601</f>
        <v>0</v>
      </c>
      <c r="AO445">
        <f>Model!AW601</f>
        <v>0</v>
      </c>
      <c r="AP445">
        <f>Model!AX601</f>
        <v>0</v>
      </c>
      <c r="AQ445">
        <f>Model!AY601</f>
        <v>0</v>
      </c>
      <c r="AR445">
        <f>Model!AZ601</f>
        <v>0</v>
      </c>
      <c r="AS445">
        <f>Model!BA601</f>
        <v>137.96899999999999</v>
      </c>
      <c r="AT445">
        <f>Model!BB601</f>
        <v>158.65799999999999</v>
      </c>
      <c r="AU445">
        <f>Model!BC601</f>
        <v>137.46199999999999</v>
      </c>
      <c r="AV445">
        <f>Model!BD601</f>
        <v>111.08</v>
      </c>
      <c r="AW445">
        <f>Model!BE601</f>
        <v>43.244999999999997</v>
      </c>
      <c r="AX445">
        <f>Model!BF601</f>
        <v>29.04</v>
      </c>
      <c r="AY445">
        <f>Model!BG601</f>
        <v>23.23</v>
      </c>
      <c r="AZ445">
        <f>Model!BH601</f>
        <v>31.484999999999999</v>
      </c>
      <c r="BA445">
        <f>Model!BI601</f>
        <v>3.6429999999999998</v>
      </c>
      <c r="BB445">
        <f>Model!BJ601</f>
        <v>4.3449999999999998</v>
      </c>
      <c r="BC445">
        <f>Model!BK601</f>
        <v>0.82699999999999996</v>
      </c>
      <c r="BD445">
        <f>Model!BL601</f>
        <v>7.0549999999999997</v>
      </c>
      <c r="BE445">
        <f>Model!BM601</f>
        <v>5.093</v>
      </c>
      <c r="BF445">
        <f>Model!BN601</f>
        <v>6.72</v>
      </c>
      <c r="BG445">
        <f>Model!BO601</f>
        <v>4.7140000000000004</v>
      </c>
      <c r="BH445">
        <f>Model!BP601</f>
        <v>0</v>
      </c>
      <c r="BI445">
        <f>Model!BQ601</f>
        <v>0</v>
      </c>
      <c r="BJ445">
        <f>Model!BR601</f>
        <v>0</v>
      </c>
      <c r="BK445">
        <f>Model!BS601</f>
        <v>0</v>
      </c>
      <c r="BL445">
        <f>Model!BT601</f>
        <v>0</v>
      </c>
      <c r="BM445">
        <f>Model!BU601</f>
        <v>0</v>
      </c>
      <c r="BN445">
        <f>Model!BV601</f>
        <v>0</v>
      </c>
      <c r="BO445">
        <f>Model!BW601</f>
        <v>0</v>
      </c>
      <c r="BP445">
        <f>Model!BX601</f>
        <v>0</v>
      </c>
      <c r="BQ445">
        <f>Model!BY601</f>
        <v>0</v>
      </c>
      <c r="BR445">
        <f>Model!BZ601</f>
        <v>0</v>
      </c>
      <c r="BS445">
        <f>Model!CA601</f>
        <v>0</v>
      </c>
      <c r="BT445">
        <f>Model!CB601</f>
        <v>0</v>
      </c>
      <c r="BU445">
        <f>Model!CC601</f>
        <v>0</v>
      </c>
      <c r="BV445">
        <f>Model!CD601</f>
        <v>0</v>
      </c>
      <c r="BW445">
        <f>Model!CE601</f>
        <v>0</v>
      </c>
      <c r="BX445">
        <f>Model!CF601</f>
        <v>0</v>
      </c>
      <c r="BY445">
        <f>Model!CG601</f>
        <v>0</v>
      </c>
      <c r="BZ445">
        <f>Model!CH601</f>
        <v>0</v>
      </c>
      <c r="CA445">
        <f>Model!CI601</f>
        <v>0</v>
      </c>
      <c r="CB445">
        <f>Model!CJ601</f>
        <v>0</v>
      </c>
      <c r="CC445">
        <f>Model!CK601</f>
        <v>0</v>
      </c>
      <c r="CD445">
        <f>Model!CL601</f>
        <v>0</v>
      </c>
      <c r="CE445">
        <f>Model!CM601</f>
        <v>0</v>
      </c>
      <c r="CF445">
        <f>Model!CN601</f>
        <v>0</v>
      </c>
      <c r="CG445">
        <f>Model!CO601</f>
        <v>0</v>
      </c>
      <c r="CH445">
        <f>Model!CP601</f>
        <v>0</v>
      </c>
      <c r="CI445">
        <f>Model!CQ601</f>
        <v>151.40799999999999</v>
      </c>
      <c r="CJ445">
        <f>Model!CR601</f>
        <v>111.08</v>
      </c>
      <c r="CK445">
        <f>Model!CS601</f>
        <v>31.484999999999999</v>
      </c>
      <c r="CL445">
        <f>Model!CT601</f>
        <v>7.0549999999999997</v>
      </c>
      <c r="CM445">
        <f>Model!CU601</f>
        <v>0</v>
      </c>
      <c r="CN445">
        <f>Model!CV601</f>
        <v>0</v>
      </c>
      <c r="CO445">
        <f>Model!CW601</f>
        <v>0</v>
      </c>
      <c r="CP445">
        <f>Model!CX601</f>
        <v>0</v>
      </c>
      <c r="CQ445">
        <f>Model!CY601</f>
        <v>0</v>
      </c>
      <c r="CR445">
        <f>Model!DG601</f>
        <v>0</v>
      </c>
      <c r="CS445">
        <f>Model!DH601</f>
        <v>0</v>
      </c>
      <c r="CT445">
        <f>Model!DI601</f>
        <v>0</v>
      </c>
      <c r="CU445">
        <f>Model!DJ601</f>
        <v>0</v>
      </c>
    </row>
    <row r="446" spans="1:99">
      <c r="A446" t="str">
        <f>Model!I603</f>
        <v>Other Assets</v>
      </c>
      <c r="B446">
        <f>Model!J603</f>
        <v>0</v>
      </c>
      <c r="C446">
        <f>Model!K603</f>
        <v>0</v>
      </c>
      <c r="D446">
        <f>Model!L603</f>
        <v>0</v>
      </c>
      <c r="E446">
        <f>Model!M603</f>
        <v>0</v>
      </c>
      <c r="F446">
        <f>Model!N603</f>
        <v>0</v>
      </c>
      <c r="G446">
        <f>Model!O603</f>
        <v>0</v>
      </c>
      <c r="H446">
        <f>Model!P603</f>
        <v>0</v>
      </c>
      <c r="I446">
        <f>Model!Q603</f>
        <v>0</v>
      </c>
      <c r="J446">
        <f>Model!R603</f>
        <v>0</v>
      </c>
      <c r="K446">
        <f>Model!S603</f>
        <v>0</v>
      </c>
      <c r="L446">
        <f>Model!T603</f>
        <v>0</v>
      </c>
      <c r="M446">
        <f>Model!U603</f>
        <v>0</v>
      </c>
      <c r="N446">
        <f>Model!V603</f>
        <v>0</v>
      </c>
      <c r="O446">
        <f>Model!W603</f>
        <v>0</v>
      </c>
      <c r="P446">
        <f>Model!X603</f>
        <v>0</v>
      </c>
      <c r="Q446">
        <f>Model!Y603</f>
        <v>0</v>
      </c>
      <c r="R446">
        <f>Model!Z603</f>
        <v>0</v>
      </c>
      <c r="S446">
        <f>Model!AA603</f>
        <v>0</v>
      </c>
      <c r="T446">
        <f>Model!AB603</f>
        <v>0</v>
      </c>
      <c r="U446">
        <f>Model!AC603</f>
        <v>0</v>
      </c>
      <c r="V446">
        <f>Model!AD603</f>
        <v>0</v>
      </c>
      <c r="W446">
        <f>Model!AE603</f>
        <v>0</v>
      </c>
      <c r="X446">
        <f>Model!AF603</f>
        <v>0</v>
      </c>
      <c r="Y446">
        <f>Model!AG603</f>
        <v>0</v>
      </c>
      <c r="Z446">
        <f>Model!AH603</f>
        <v>0</v>
      </c>
      <c r="AA446">
        <f>Model!AI603</f>
        <v>0</v>
      </c>
      <c r="AB446">
        <f>Model!AJ603</f>
        <v>0</v>
      </c>
      <c r="AC446">
        <f>Model!AK603</f>
        <v>0</v>
      </c>
      <c r="AD446">
        <f>Model!AL603</f>
        <v>0</v>
      </c>
      <c r="AE446">
        <f>Model!AM603</f>
        <v>0</v>
      </c>
      <c r="AF446">
        <f>Model!AN603</f>
        <v>0</v>
      </c>
      <c r="AG446">
        <f>Model!AO603</f>
        <v>0</v>
      </c>
      <c r="AH446">
        <f>Model!AP603</f>
        <v>0</v>
      </c>
      <c r="AI446">
        <f>Model!AQ603</f>
        <v>0</v>
      </c>
      <c r="AJ446">
        <f>Model!AR603</f>
        <v>0</v>
      </c>
      <c r="AK446">
        <f>Model!AS603</f>
        <v>0</v>
      </c>
      <c r="AL446">
        <f>Model!AT603</f>
        <v>0</v>
      </c>
      <c r="AM446">
        <f>Model!AU603</f>
        <v>0</v>
      </c>
      <c r="AN446">
        <f>Model!AV603</f>
        <v>0</v>
      </c>
      <c r="AO446">
        <f>Model!AW603</f>
        <v>0</v>
      </c>
      <c r="AP446">
        <f>Model!AX603</f>
        <v>0</v>
      </c>
      <c r="AQ446">
        <f>Model!AY603</f>
        <v>0</v>
      </c>
      <c r="AR446">
        <f>Model!AZ603</f>
        <v>0</v>
      </c>
      <c r="AS446">
        <f>Model!BA603</f>
        <v>17.462</v>
      </c>
      <c r="AT446">
        <f>Model!BB603</f>
        <v>17.157</v>
      </c>
      <c r="AU446">
        <f>Model!BC603</f>
        <v>21.443999999999999</v>
      </c>
      <c r="AV446">
        <f>Model!BD603</f>
        <v>23.49</v>
      </c>
      <c r="AW446">
        <f>Model!BE603</f>
        <v>41.313000000000002</v>
      </c>
      <c r="AX446">
        <f>Model!BF603</f>
        <v>38.482999999999997</v>
      </c>
      <c r="AY446">
        <f>Model!BG603</f>
        <v>36.71</v>
      </c>
      <c r="AZ446">
        <f>Model!BH603</f>
        <v>35.828000000000003</v>
      </c>
      <c r="BA446">
        <f>Model!BI603</f>
        <v>35.101999999999997</v>
      </c>
      <c r="BB446">
        <f>Model!BJ603</f>
        <v>37.302</v>
      </c>
      <c r="BC446">
        <f>Model!BK603</f>
        <v>35.957999999999998</v>
      </c>
      <c r="BD446">
        <f>Model!BL603</f>
        <v>33.514000000000003</v>
      </c>
      <c r="BE446">
        <f>Model!BM603</f>
        <v>33.423000000000002</v>
      </c>
      <c r="BF446">
        <f>Model!BN603</f>
        <v>33.665999999999997</v>
      </c>
      <c r="BG446">
        <f>Model!BO603</f>
        <v>48.470999999999997</v>
      </c>
      <c r="BH446">
        <f>Model!BP603</f>
        <v>57.347999999999999</v>
      </c>
      <c r="BI446">
        <f>Model!BQ603</f>
        <v>76.373000000000005</v>
      </c>
      <c r="BJ446">
        <f>Model!BR603</f>
        <v>79.28</v>
      </c>
      <c r="BK446">
        <f>Model!BS603</f>
        <v>141.25899999999999</v>
      </c>
      <c r="BL446">
        <f>Model!BT603</f>
        <v>118.65600000000001</v>
      </c>
      <c r="BM446">
        <f>Model!BU603</f>
        <v>68.733999999999995</v>
      </c>
      <c r="BN446">
        <f>Model!BV603</f>
        <v>55.134</v>
      </c>
      <c r="BO446">
        <f>Model!BW603</f>
        <v>107.429</v>
      </c>
      <c r="BP446">
        <f>Model!BX603</f>
        <v>108.57899999999999</v>
      </c>
      <c r="BQ446">
        <f>Model!BY603</f>
        <v>130.238</v>
      </c>
      <c r="BR446">
        <f>Model!BZ603</f>
        <v>163.59700000000001</v>
      </c>
      <c r="BS446">
        <f>Model!CA603</f>
        <v>146.60499999999999</v>
      </c>
      <c r="BT446">
        <f>Model!CB603</f>
        <v>600.28300000000002</v>
      </c>
      <c r="BU446">
        <f>Model!CC603</f>
        <v>600.28300000000002</v>
      </c>
      <c r="BV446">
        <f>Model!CD603</f>
        <v>600.28300000000002</v>
      </c>
      <c r="BW446">
        <f>Model!CE603</f>
        <v>600.28300000000002</v>
      </c>
      <c r="BX446">
        <f>Model!CF603</f>
        <v>600.28300000000002</v>
      </c>
      <c r="BY446">
        <f>Model!CG603</f>
        <v>0</v>
      </c>
      <c r="BZ446">
        <f>Model!CH603</f>
        <v>0</v>
      </c>
      <c r="CA446">
        <f>Model!CI603</f>
        <v>0</v>
      </c>
      <c r="CB446">
        <f>Model!CJ603</f>
        <v>0</v>
      </c>
      <c r="CC446">
        <f>Model!CK603</f>
        <v>0</v>
      </c>
      <c r="CD446">
        <f>Model!CL603</f>
        <v>0</v>
      </c>
      <c r="CE446">
        <f>Model!CM603</f>
        <v>0</v>
      </c>
      <c r="CF446">
        <f>Model!CN603</f>
        <v>0</v>
      </c>
      <c r="CG446">
        <f>Model!CO603</f>
        <v>0</v>
      </c>
      <c r="CH446">
        <f>Model!CP603</f>
        <v>0</v>
      </c>
      <c r="CI446">
        <f>Model!CQ603</f>
        <v>14.417999999999999</v>
      </c>
      <c r="CJ446">
        <f>Model!CR603</f>
        <v>23.49</v>
      </c>
      <c r="CK446">
        <f>Model!CS603</f>
        <v>35.828000000000003</v>
      </c>
      <c r="CL446">
        <f>Model!CT603</f>
        <v>33.514000000000003</v>
      </c>
      <c r="CM446">
        <f>Model!CU603</f>
        <v>57.347999999999999</v>
      </c>
      <c r="CN446">
        <f>Model!CV603</f>
        <v>118.65600000000001</v>
      </c>
      <c r="CO446">
        <f>Model!CW603</f>
        <v>108.57899999999999</v>
      </c>
      <c r="CP446">
        <f>Model!CX603</f>
        <v>600.28300000000002</v>
      </c>
      <c r="CQ446">
        <f>Model!CY603</f>
        <v>600.28300000000002</v>
      </c>
      <c r="CR446">
        <f>Model!DG603</f>
        <v>0</v>
      </c>
      <c r="CS446">
        <f>Model!DH603</f>
        <v>0</v>
      </c>
      <c r="CT446">
        <f>Model!DI603</f>
        <v>0</v>
      </c>
      <c r="CU446">
        <f>Model!DJ603</f>
        <v>0</v>
      </c>
    </row>
    <row r="447" spans="1:99">
      <c r="A447" t="str">
        <f>Model!I604</f>
        <v>Total Assets</v>
      </c>
      <c r="B447">
        <f>Model!J604</f>
        <v>0</v>
      </c>
      <c r="C447">
        <f>Model!K604</f>
        <v>0</v>
      </c>
      <c r="D447">
        <f>Model!L604</f>
        <v>0</v>
      </c>
      <c r="E447">
        <f>Model!M604</f>
        <v>0</v>
      </c>
      <c r="F447">
        <f>Model!N604</f>
        <v>0</v>
      </c>
      <c r="G447">
        <f>Model!O604</f>
        <v>0</v>
      </c>
      <c r="H447">
        <f>Model!P604</f>
        <v>0</v>
      </c>
      <c r="I447">
        <f>Model!Q604</f>
        <v>0</v>
      </c>
      <c r="J447">
        <f>Model!R604</f>
        <v>0</v>
      </c>
      <c r="K447">
        <f>Model!S604</f>
        <v>0</v>
      </c>
      <c r="L447">
        <f>Model!T604</f>
        <v>0</v>
      </c>
      <c r="M447">
        <f>Model!U604</f>
        <v>0</v>
      </c>
      <c r="N447">
        <f>Model!V604</f>
        <v>0</v>
      </c>
      <c r="O447">
        <f>Model!W604</f>
        <v>0</v>
      </c>
      <c r="P447">
        <f>Model!X604</f>
        <v>0</v>
      </c>
      <c r="Q447">
        <f>Model!Y604</f>
        <v>0</v>
      </c>
      <c r="R447">
        <f>Model!Z604</f>
        <v>0</v>
      </c>
      <c r="S447">
        <f>Model!AA604</f>
        <v>0</v>
      </c>
      <c r="T447">
        <f>Model!AB604</f>
        <v>0</v>
      </c>
      <c r="U447">
        <f>Model!AC604</f>
        <v>0</v>
      </c>
      <c r="V447">
        <f>Model!AD604</f>
        <v>0</v>
      </c>
      <c r="W447">
        <f>Model!AE604</f>
        <v>0</v>
      </c>
      <c r="X447">
        <f>Model!AF604</f>
        <v>0</v>
      </c>
      <c r="Y447">
        <f>Model!AG604</f>
        <v>0</v>
      </c>
      <c r="Z447">
        <f>Model!AH604</f>
        <v>0</v>
      </c>
      <c r="AA447">
        <f>Model!AI604</f>
        <v>0</v>
      </c>
      <c r="AB447">
        <f>Model!AJ604</f>
        <v>0</v>
      </c>
      <c r="AC447">
        <f>Model!AK604</f>
        <v>0</v>
      </c>
      <c r="AD447">
        <f>Model!AL604</f>
        <v>0</v>
      </c>
      <c r="AE447">
        <f>Model!AM604</f>
        <v>0</v>
      </c>
      <c r="AF447">
        <f>Model!AN604</f>
        <v>0</v>
      </c>
      <c r="AG447">
        <f>Model!AO604</f>
        <v>0</v>
      </c>
      <c r="AH447">
        <f>Model!AP604</f>
        <v>0</v>
      </c>
      <c r="AI447">
        <f>Model!AQ604</f>
        <v>0</v>
      </c>
      <c r="AJ447">
        <f>Model!AR604</f>
        <v>0</v>
      </c>
      <c r="AK447">
        <f>Model!AS604</f>
        <v>0</v>
      </c>
      <c r="AL447">
        <f>Model!AT604</f>
        <v>0</v>
      </c>
      <c r="AM447">
        <f>Model!AU604</f>
        <v>0</v>
      </c>
      <c r="AN447">
        <f>Model!AV604</f>
        <v>0</v>
      </c>
      <c r="AO447">
        <f>Model!AW604</f>
        <v>0</v>
      </c>
      <c r="AP447">
        <f>Model!AX604</f>
        <v>0</v>
      </c>
      <c r="AQ447">
        <f>Model!AY604</f>
        <v>0</v>
      </c>
      <c r="AR447">
        <f>Model!AZ604</f>
        <v>0</v>
      </c>
      <c r="AS447">
        <f>Model!BA604</f>
        <v>3065.3510000000001</v>
      </c>
      <c r="AT447">
        <f>Model!BB604</f>
        <v>3360.0749999999998</v>
      </c>
      <c r="AU447">
        <f>Model!BC604</f>
        <v>3815.5729999999999</v>
      </c>
      <c r="AV447">
        <f>Model!BD604</f>
        <v>3970.6710000000003</v>
      </c>
      <c r="AW447">
        <f>Model!BE604</f>
        <v>5092.8270000000002</v>
      </c>
      <c r="AX447">
        <f>Model!BF604</f>
        <v>5428.8059999999987</v>
      </c>
      <c r="AY447">
        <f>Model!BG604</f>
        <v>6217.8090000000002</v>
      </c>
      <c r="AZ447">
        <f>Model!BH604</f>
        <v>6569.7420000000002</v>
      </c>
      <c r="BA447">
        <f>Model!BI604</f>
        <v>6855.1270000000004</v>
      </c>
      <c r="BB447">
        <f>Model!BJ604</f>
        <v>9867.3709999999992</v>
      </c>
      <c r="BC447">
        <f>Model!BK604</f>
        <v>10445.655000000001</v>
      </c>
      <c r="BD447">
        <f>Model!BL604</f>
        <v>10444.459999999999</v>
      </c>
      <c r="BE447">
        <f>Model!BM604</f>
        <v>10813.684000000001</v>
      </c>
      <c r="BF447">
        <f>Model!BN604</f>
        <v>11600.323</v>
      </c>
      <c r="BG447">
        <f>Model!BO604</f>
        <v>15184.38</v>
      </c>
      <c r="BH447">
        <f>Model!BP604</f>
        <v>14940.563</v>
      </c>
      <c r="BI447">
        <f>Model!BQ604</f>
        <v>16842.491999999998</v>
      </c>
      <c r="BJ447">
        <f>Model!BR604</f>
        <v>17027.346000000001</v>
      </c>
      <c r="BK447">
        <f>Model!BS604</f>
        <v>16614.77</v>
      </c>
      <c r="BL447">
        <f>Model!BT604</f>
        <v>17420.575000000001</v>
      </c>
      <c r="BM447">
        <f>Model!BU604</f>
        <v>18334.545999999998</v>
      </c>
      <c r="BN447">
        <f>Model!BV604</f>
        <v>19687.169999999998</v>
      </c>
      <c r="BO447">
        <f>Model!BW604</f>
        <v>20033.784</v>
      </c>
      <c r="BP447">
        <f>Model!BX604</f>
        <v>19838.972999999998</v>
      </c>
      <c r="BQ447">
        <f>Model!BY604</f>
        <v>21994.252</v>
      </c>
      <c r="BR447">
        <f>Model!BZ604</f>
        <v>23458.323</v>
      </c>
      <c r="BS447">
        <f>Model!CA604</f>
        <v>25789.111000000001</v>
      </c>
      <c r="BT447">
        <f>Model!CB604</f>
        <v>25451.262999999999</v>
      </c>
      <c r="BU447">
        <f>Model!CC604</f>
        <v>23754.340571380384</v>
      </c>
      <c r="BV447">
        <f>Model!CD604</f>
        <v>24697.079372486529</v>
      </c>
      <c r="BW447">
        <f>Model!CE604</f>
        <v>25756.879135734431</v>
      </c>
      <c r="BX447">
        <f>Model!CF604</f>
        <v>26444.56898963936</v>
      </c>
      <c r="BY447">
        <f>Model!CG604</f>
        <v>0</v>
      </c>
      <c r="BZ447">
        <f>Model!CH604</f>
        <v>0</v>
      </c>
      <c r="CA447">
        <f>Model!CI604</f>
        <v>0</v>
      </c>
      <c r="CB447">
        <f>Model!CJ604</f>
        <v>0</v>
      </c>
      <c r="CC447">
        <f>Model!CK604</f>
        <v>0</v>
      </c>
      <c r="CD447">
        <f>Model!CL604</f>
        <v>0</v>
      </c>
      <c r="CE447">
        <f>Model!CM604</f>
        <v>0</v>
      </c>
      <c r="CF447">
        <f>Model!CN604</f>
        <v>0</v>
      </c>
      <c r="CG447">
        <f>Model!CO604</f>
        <v>0</v>
      </c>
      <c r="CH447">
        <f>Model!CP604</f>
        <v>0</v>
      </c>
      <c r="CI447">
        <f>Model!CQ604</f>
        <v>2905.953</v>
      </c>
      <c r="CJ447">
        <f>Model!CR604</f>
        <v>3970.6710000000003</v>
      </c>
      <c r="CK447">
        <f>Model!CS604</f>
        <v>6569.7420000000002</v>
      </c>
      <c r="CL447">
        <f>Model!CT604</f>
        <v>10444.459999999999</v>
      </c>
      <c r="CM447">
        <f>Model!CU604</f>
        <v>14940.563</v>
      </c>
      <c r="CN447">
        <f>Model!CV604</f>
        <v>17420.575000000001</v>
      </c>
      <c r="CO447">
        <f>Model!CW604</f>
        <v>19838.972999999998</v>
      </c>
      <c r="CP447">
        <f>Model!CX604</f>
        <v>25451.262999999999</v>
      </c>
      <c r="CQ447">
        <f>Model!CY604</f>
        <v>26444.56898963936</v>
      </c>
      <c r="CR447">
        <f>Model!DG604</f>
        <v>0</v>
      </c>
      <c r="CS447">
        <f>Model!DH604</f>
        <v>0</v>
      </c>
      <c r="CT447">
        <f>Model!DI604</f>
        <v>0</v>
      </c>
      <c r="CU447">
        <f>Model!DJ604</f>
        <v>0</v>
      </c>
    </row>
    <row r="448" spans="1:99">
      <c r="A448">
        <f>Model!I605</f>
        <v>0</v>
      </c>
      <c r="B448">
        <f>Model!J605</f>
        <v>0</v>
      </c>
      <c r="C448">
        <f>Model!K605</f>
        <v>0</v>
      </c>
      <c r="D448">
        <f>Model!L605</f>
        <v>0</v>
      </c>
      <c r="E448">
        <f>Model!M605</f>
        <v>0</v>
      </c>
      <c r="F448">
        <f>Model!N605</f>
        <v>0</v>
      </c>
      <c r="G448">
        <f>Model!O605</f>
        <v>0</v>
      </c>
      <c r="H448">
        <f>Model!P605</f>
        <v>0</v>
      </c>
      <c r="I448">
        <f>Model!Q605</f>
        <v>0</v>
      </c>
      <c r="J448">
        <f>Model!R605</f>
        <v>0</v>
      </c>
      <c r="K448">
        <f>Model!S605</f>
        <v>0</v>
      </c>
      <c r="L448">
        <f>Model!T605</f>
        <v>0</v>
      </c>
      <c r="M448">
        <f>Model!U605</f>
        <v>0</v>
      </c>
      <c r="N448">
        <f>Model!V605</f>
        <v>0</v>
      </c>
      <c r="O448">
        <f>Model!W605</f>
        <v>0</v>
      </c>
      <c r="P448">
        <f>Model!X605</f>
        <v>0</v>
      </c>
      <c r="Q448">
        <f>Model!Y605</f>
        <v>0</v>
      </c>
      <c r="R448">
        <f>Model!Z605</f>
        <v>0</v>
      </c>
      <c r="S448">
        <f>Model!AA605</f>
        <v>0</v>
      </c>
      <c r="T448">
        <f>Model!AB605</f>
        <v>0</v>
      </c>
      <c r="U448">
        <f>Model!AC605</f>
        <v>0</v>
      </c>
      <c r="V448">
        <f>Model!AD605</f>
        <v>0</v>
      </c>
      <c r="W448">
        <f>Model!AE605</f>
        <v>0</v>
      </c>
      <c r="X448">
        <f>Model!AF605</f>
        <v>0</v>
      </c>
      <c r="Y448">
        <f>Model!AG605</f>
        <v>0</v>
      </c>
      <c r="Z448">
        <f>Model!AH605</f>
        <v>0</v>
      </c>
      <c r="AA448">
        <f>Model!AI605</f>
        <v>0</v>
      </c>
      <c r="AB448">
        <f>Model!AJ605</f>
        <v>0</v>
      </c>
      <c r="AC448">
        <f>Model!AK605</f>
        <v>0</v>
      </c>
      <c r="AD448">
        <f>Model!AL605</f>
        <v>0</v>
      </c>
      <c r="AE448">
        <f>Model!AM605</f>
        <v>0</v>
      </c>
      <c r="AF448">
        <f>Model!AN605</f>
        <v>0</v>
      </c>
      <c r="AG448">
        <f>Model!AO605</f>
        <v>0</v>
      </c>
      <c r="AH448">
        <f>Model!AP605</f>
        <v>0</v>
      </c>
      <c r="AI448">
        <f>Model!AQ605</f>
        <v>0</v>
      </c>
      <c r="AJ448">
        <f>Model!AR605</f>
        <v>0</v>
      </c>
      <c r="AK448">
        <f>Model!AS605</f>
        <v>0</v>
      </c>
      <c r="AL448">
        <f>Model!AT605</f>
        <v>0</v>
      </c>
      <c r="AM448">
        <f>Model!AU605</f>
        <v>0</v>
      </c>
      <c r="AN448">
        <f>Model!AV605</f>
        <v>0</v>
      </c>
      <c r="AO448">
        <f>Model!AW605</f>
        <v>0</v>
      </c>
      <c r="AP448">
        <f>Model!AX605</f>
        <v>0</v>
      </c>
      <c r="AQ448">
        <f>Model!AY605</f>
        <v>0</v>
      </c>
      <c r="AR448">
        <f>Model!AZ605</f>
        <v>0</v>
      </c>
      <c r="AS448">
        <f>Model!BA605</f>
        <v>0</v>
      </c>
      <c r="AT448">
        <f>Model!BB605</f>
        <v>0</v>
      </c>
      <c r="AU448">
        <f>Model!BC605</f>
        <v>0</v>
      </c>
      <c r="AV448">
        <f>Model!BD605</f>
        <v>0</v>
      </c>
      <c r="AW448">
        <f>Model!BE605</f>
        <v>0</v>
      </c>
      <c r="AX448">
        <f>Model!BF605</f>
        <v>0</v>
      </c>
      <c r="AY448">
        <f>Model!BG605</f>
        <v>0</v>
      </c>
      <c r="AZ448">
        <f>Model!BH605</f>
        <v>0</v>
      </c>
      <c r="BA448">
        <f>Model!BI605</f>
        <v>0</v>
      </c>
      <c r="BB448">
        <f>Model!BJ605</f>
        <v>0</v>
      </c>
      <c r="BC448">
        <f>Model!BK605</f>
        <v>0</v>
      </c>
      <c r="BD448">
        <f>Model!BL605</f>
        <v>0</v>
      </c>
      <c r="BE448">
        <f>Model!BM605</f>
        <v>0</v>
      </c>
      <c r="BF448">
        <f>Model!BN605</f>
        <v>0</v>
      </c>
      <c r="BG448">
        <f>Model!BO605</f>
        <v>0</v>
      </c>
      <c r="BH448">
        <f>Model!BP605</f>
        <v>0</v>
      </c>
      <c r="BI448">
        <f>Model!BQ605</f>
        <v>0</v>
      </c>
      <c r="BJ448">
        <f>Model!BR605</f>
        <v>0</v>
      </c>
      <c r="BK448">
        <f>Model!BS605</f>
        <v>0</v>
      </c>
      <c r="BL448">
        <f>Model!BT605</f>
        <v>0</v>
      </c>
      <c r="BM448">
        <f>Model!BU605</f>
        <v>0</v>
      </c>
      <c r="BN448">
        <f>Model!BV605</f>
        <v>0</v>
      </c>
      <c r="BO448">
        <f>Model!BW605</f>
        <v>0</v>
      </c>
      <c r="BP448">
        <f>Model!BX605</f>
        <v>0</v>
      </c>
      <c r="BQ448">
        <f>Model!BY605</f>
        <v>0</v>
      </c>
      <c r="BR448">
        <f>Model!BZ605</f>
        <v>0</v>
      </c>
      <c r="BS448">
        <f>Model!CA605</f>
        <v>0</v>
      </c>
      <c r="BT448">
        <f>Model!CB605</f>
        <v>0</v>
      </c>
      <c r="BU448">
        <f>Model!CC605</f>
        <v>0</v>
      </c>
      <c r="BV448">
        <f>Model!CD605</f>
        <v>0</v>
      </c>
      <c r="BW448">
        <f>Model!CE605</f>
        <v>0</v>
      </c>
      <c r="BX448">
        <f>Model!CF605</f>
        <v>0</v>
      </c>
      <c r="BY448">
        <f>Model!CG605</f>
        <v>0</v>
      </c>
      <c r="BZ448">
        <f>Model!CH605</f>
        <v>0</v>
      </c>
      <c r="CA448">
        <f>Model!CI605</f>
        <v>0</v>
      </c>
      <c r="CB448">
        <f>Model!CJ605</f>
        <v>0</v>
      </c>
      <c r="CC448">
        <f>Model!CK605</f>
        <v>0</v>
      </c>
      <c r="CD448">
        <f>Model!CL605</f>
        <v>0</v>
      </c>
      <c r="CE448">
        <f>Model!CM605</f>
        <v>0</v>
      </c>
      <c r="CF448">
        <f>Model!CN605</f>
        <v>0</v>
      </c>
      <c r="CG448">
        <f>Model!CO605</f>
        <v>0</v>
      </c>
      <c r="CH448">
        <f>Model!CP605</f>
        <v>0</v>
      </c>
      <c r="CI448">
        <f>Model!CQ605</f>
        <v>0</v>
      </c>
      <c r="CJ448">
        <f>Model!CR605</f>
        <v>0</v>
      </c>
      <c r="CK448">
        <f>Model!CS605</f>
        <v>0</v>
      </c>
      <c r="CL448">
        <f>Model!CT605</f>
        <v>0</v>
      </c>
      <c r="CM448">
        <f>Model!CU605</f>
        <v>0</v>
      </c>
      <c r="CN448">
        <f>Model!CV605</f>
        <v>0</v>
      </c>
      <c r="CO448">
        <f>Model!CW605</f>
        <v>0</v>
      </c>
      <c r="CP448">
        <f>Model!CX605</f>
        <v>0</v>
      </c>
      <c r="CQ448">
        <f>Model!CY605</f>
        <v>0</v>
      </c>
      <c r="CR448">
        <f>Model!DG605</f>
        <v>0</v>
      </c>
      <c r="CS448">
        <f>Model!DH605</f>
        <v>0</v>
      </c>
      <c r="CT448">
        <f>Model!DI605</f>
        <v>0</v>
      </c>
      <c r="CU448">
        <f>Model!DJ605</f>
        <v>0</v>
      </c>
    </row>
    <row r="449" spans="1:99">
      <c r="A449" t="str">
        <f>Model!I606</f>
        <v>LIABILITIES AND STOCKHOLDERS' EQUITY</v>
      </c>
      <c r="B449">
        <f>Model!J606</f>
        <v>0</v>
      </c>
      <c r="C449">
        <f>Model!K606</f>
        <v>0</v>
      </c>
      <c r="D449">
        <f>Model!L606</f>
        <v>0</v>
      </c>
      <c r="E449">
        <f>Model!M606</f>
        <v>0</v>
      </c>
      <c r="F449">
        <f>Model!N606</f>
        <v>0</v>
      </c>
      <c r="G449">
        <f>Model!O606</f>
        <v>0</v>
      </c>
      <c r="H449">
        <f>Model!P606</f>
        <v>0</v>
      </c>
      <c r="I449">
        <f>Model!Q606</f>
        <v>0</v>
      </c>
      <c r="J449">
        <f>Model!R606</f>
        <v>0</v>
      </c>
      <c r="K449">
        <f>Model!S606</f>
        <v>0</v>
      </c>
      <c r="L449">
        <f>Model!T606</f>
        <v>0</v>
      </c>
      <c r="M449">
        <f>Model!U606</f>
        <v>0</v>
      </c>
      <c r="N449">
        <f>Model!V606</f>
        <v>0</v>
      </c>
      <c r="O449">
        <f>Model!W606</f>
        <v>0</v>
      </c>
      <c r="P449">
        <f>Model!X606</f>
        <v>0</v>
      </c>
      <c r="Q449">
        <f>Model!Y606</f>
        <v>0</v>
      </c>
      <c r="R449">
        <f>Model!Z606</f>
        <v>0</v>
      </c>
      <c r="S449">
        <f>Model!AA606</f>
        <v>0</v>
      </c>
      <c r="T449">
        <f>Model!AB606</f>
        <v>0</v>
      </c>
      <c r="U449">
        <f>Model!AC606</f>
        <v>0</v>
      </c>
      <c r="V449">
        <f>Model!AD606</f>
        <v>0</v>
      </c>
      <c r="W449">
        <f>Model!AE606</f>
        <v>0</v>
      </c>
      <c r="X449">
        <f>Model!AF606</f>
        <v>0</v>
      </c>
      <c r="Y449">
        <f>Model!AG606</f>
        <v>0</v>
      </c>
      <c r="Z449">
        <f>Model!AH606</f>
        <v>0</v>
      </c>
      <c r="AA449">
        <f>Model!AI606</f>
        <v>0</v>
      </c>
      <c r="AB449">
        <f>Model!AJ606</f>
        <v>0</v>
      </c>
      <c r="AC449">
        <f>Model!AK606</f>
        <v>0</v>
      </c>
      <c r="AD449">
        <f>Model!AL606</f>
        <v>0</v>
      </c>
      <c r="AE449">
        <f>Model!AM606</f>
        <v>0</v>
      </c>
      <c r="AF449">
        <f>Model!AN606</f>
        <v>0</v>
      </c>
      <c r="AG449">
        <f>Model!AO606</f>
        <v>0</v>
      </c>
      <c r="AH449">
        <f>Model!AP606</f>
        <v>0</v>
      </c>
      <c r="AI449">
        <f>Model!AQ606</f>
        <v>0</v>
      </c>
      <c r="AJ449">
        <f>Model!AR606</f>
        <v>0</v>
      </c>
      <c r="AK449">
        <f>Model!AS606</f>
        <v>0</v>
      </c>
      <c r="AL449">
        <f>Model!AT606</f>
        <v>0</v>
      </c>
      <c r="AM449">
        <f>Model!AU606</f>
        <v>0</v>
      </c>
      <c r="AN449">
        <f>Model!AV606</f>
        <v>0</v>
      </c>
      <c r="AO449">
        <f>Model!AW606</f>
        <v>0</v>
      </c>
      <c r="AP449">
        <f>Model!AX606</f>
        <v>0</v>
      </c>
      <c r="AQ449">
        <f>Model!AY606</f>
        <v>0</v>
      </c>
      <c r="AR449">
        <f>Model!AZ606</f>
        <v>0</v>
      </c>
      <c r="AS449">
        <f>Model!BA606</f>
        <v>0</v>
      </c>
      <c r="AT449">
        <f>Model!BB606</f>
        <v>0</v>
      </c>
      <c r="AU449">
        <f>Model!BC606</f>
        <v>0</v>
      </c>
      <c r="AV449">
        <f>Model!BD606</f>
        <v>0</v>
      </c>
      <c r="AW449">
        <f>Model!BE606</f>
        <v>0</v>
      </c>
      <c r="AX449">
        <f>Model!BF606</f>
        <v>0</v>
      </c>
      <c r="AY449">
        <f>Model!BG606</f>
        <v>0</v>
      </c>
      <c r="AZ449">
        <f>Model!BH606</f>
        <v>0</v>
      </c>
      <c r="BA449">
        <f>Model!BI606</f>
        <v>0</v>
      </c>
      <c r="BB449">
        <f>Model!BJ606</f>
        <v>0</v>
      </c>
      <c r="BC449">
        <f>Model!BK606</f>
        <v>0</v>
      </c>
      <c r="BD449">
        <f>Model!BL606</f>
        <v>0</v>
      </c>
      <c r="BE449">
        <f>Model!BM606</f>
        <v>0</v>
      </c>
      <c r="BF449">
        <f>Model!BN606</f>
        <v>0</v>
      </c>
      <c r="BG449">
        <f>Model!BO606</f>
        <v>0</v>
      </c>
      <c r="BH449">
        <f>Model!BP606</f>
        <v>0</v>
      </c>
      <c r="BI449">
        <f>Model!BQ606</f>
        <v>0</v>
      </c>
      <c r="BJ449">
        <f>Model!BR606</f>
        <v>0</v>
      </c>
      <c r="BK449">
        <f>Model!BS606</f>
        <v>0</v>
      </c>
      <c r="BL449">
        <f>Model!BT606</f>
        <v>0</v>
      </c>
      <c r="BM449">
        <f>Model!BU606</f>
        <v>0</v>
      </c>
      <c r="BN449">
        <f>Model!BV606</f>
        <v>0</v>
      </c>
      <c r="BO449">
        <f>Model!BW606</f>
        <v>0</v>
      </c>
      <c r="BP449">
        <f>Model!BX606</f>
        <v>0</v>
      </c>
      <c r="BQ449">
        <f>Model!BY606</f>
        <v>0</v>
      </c>
      <c r="BR449">
        <f>Model!BZ606</f>
        <v>0</v>
      </c>
      <c r="BS449">
        <f>Model!CA606</f>
        <v>0</v>
      </c>
      <c r="BT449">
        <f>Model!CB606</f>
        <v>0</v>
      </c>
      <c r="BU449">
        <f>Model!CC606</f>
        <v>0</v>
      </c>
      <c r="BV449">
        <f>Model!CD606</f>
        <v>0</v>
      </c>
      <c r="BW449">
        <f>Model!CE606</f>
        <v>0</v>
      </c>
      <c r="BX449">
        <f>Model!CF606</f>
        <v>0</v>
      </c>
      <c r="BY449">
        <f>Model!CG606</f>
        <v>0</v>
      </c>
      <c r="BZ449">
        <f>Model!CH606</f>
        <v>0</v>
      </c>
      <c r="CA449">
        <f>Model!CI606</f>
        <v>0</v>
      </c>
      <c r="CB449">
        <f>Model!CJ606</f>
        <v>0</v>
      </c>
      <c r="CC449">
        <f>Model!CK606</f>
        <v>0</v>
      </c>
      <c r="CD449">
        <f>Model!CL606</f>
        <v>0</v>
      </c>
      <c r="CE449">
        <f>Model!CM606</f>
        <v>0</v>
      </c>
      <c r="CF449">
        <f>Model!CN606</f>
        <v>0</v>
      </c>
      <c r="CG449">
        <f>Model!CO606</f>
        <v>0</v>
      </c>
      <c r="CH449">
        <f>Model!CP606</f>
        <v>0</v>
      </c>
      <c r="CI449">
        <f>Model!CQ606</f>
        <v>0</v>
      </c>
      <c r="CJ449">
        <f>Model!CR606</f>
        <v>0</v>
      </c>
      <c r="CK449">
        <f>Model!CS606</f>
        <v>0</v>
      </c>
      <c r="CL449">
        <f>Model!CT606</f>
        <v>0</v>
      </c>
      <c r="CM449">
        <f>Model!CU606</f>
        <v>0</v>
      </c>
      <c r="CN449">
        <f>Model!CV606</f>
        <v>0</v>
      </c>
      <c r="CO449">
        <f>Model!CW606</f>
        <v>0</v>
      </c>
      <c r="CP449">
        <f>Model!CX606</f>
        <v>0</v>
      </c>
      <c r="CQ449">
        <f>Model!CY606</f>
        <v>0</v>
      </c>
      <c r="CR449">
        <f>Model!DG606</f>
        <v>0</v>
      </c>
      <c r="CS449">
        <f>Model!DH606</f>
        <v>0</v>
      </c>
      <c r="CT449">
        <f>Model!DI606</f>
        <v>0</v>
      </c>
      <c r="CU449">
        <f>Model!DJ606</f>
        <v>0</v>
      </c>
    </row>
    <row r="450" spans="1:99">
      <c r="A450" t="str">
        <f>Model!I607</f>
        <v>Accounts Payable</v>
      </c>
      <c r="B450">
        <f>Model!J607</f>
        <v>0</v>
      </c>
      <c r="C450">
        <f>Model!K607</f>
        <v>0</v>
      </c>
      <c r="D450">
        <f>Model!L607</f>
        <v>0</v>
      </c>
      <c r="E450">
        <f>Model!M607</f>
        <v>0</v>
      </c>
      <c r="F450">
        <f>Model!N607</f>
        <v>0</v>
      </c>
      <c r="G450">
        <f>Model!O607</f>
        <v>0</v>
      </c>
      <c r="H450">
        <f>Model!P607</f>
        <v>0</v>
      </c>
      <c r="I450">
        <f>Model!Q607</f>
        <v>0</v>
      </c>
      <c r="J450">
        <f>Model!R607</f>
        <v>0</v>
      </c>
      <c r="K450">
        <f>Model!S607</f>
        <v>0</v>
      </c>
      <c r="L450">
        <f>Model!T607</f>
        <v>0</v>
      </c>
      <c r="M450">
        <f>Model!U607</f>
        <v>0</v>
      </c>
      <c r="N450">
        <f>Model!V607</f>
        <v>0</v>
      </c>
      <c r="O450">
        <f>Model!W607</f>
        <v>0</v>
      </c>
      <c r="P450">
        <f>Model!X607</f>
        <v>0</v>
      </c>
      <c r="Q450">
        <f>Model!Y607</f>
        <v>0</v>
      </c>
      <c r="R450">
        <f>Model!Z607</f>
        <v>0</v>
      </c>
      <c r="S450">
        <f>Model!AA607</f>
        <v>0</v>
      </c>
      <c r="T450">
        <f>Model!AB607</f>
        <v>0</v>
      </c>
      <c r="U450">
        <f>Model!AC607</f>
        <v>0</v>
      </c>
      <c r="V450">
        <f>Model!AD607</f>
        <v>0</v>
      </c>
      <c r="W450">
        <f>Model!AE607</f>
        <v>0</v>
      </c>
      <c r="X450">
        <f>Model!AF607</f>
        <v>0</v>
      </c>
      <c r="Y450">
        <f>Model!AG607</f>
        <v>0</v>
      </c>
      <c r="Z450">
        <f>Model!AH607</f>
        <v>0</v>
      </c>
      <c r="AA450">
        <f>Model!AI607</f>
        <v>0</v>
      </c>
      <c r="AB450">
        <f>Model!AJ607</f>
        <v>0</v>
      </c>
      <c r="AC450">
        <f>Model!AK607</f>
        <v>0</v>
      </c>
      <c r="AD450">
        <f>Model!AL607</f>
        <v>0</v>
      </c>
      <c r="AE450">
        <f>Model!AM607</f>
        <v>0</v>
      </c>
      <c r="AF450">
        <f>Model!AN607</f>
        <v>0</v>
      </c>
      <c r="AG450">
        <f>Model!AO607</f>
        <v>0</v>
      </c>
      <c r="AH450">
        <f>Model!AP607</f>
        <v>0</v>
      </c>
      <c r="AI450">
        <f>Model!AQ607</f>
        <v>0</v>
      </c>
      <c r="AJ450">
        <f>Model!AR607</f>
        <v>0</v>
      </c>
      <c r="AK450">
        <f>Model!AS607</f>
        <v>0</v>
      </c>
      <c r="AL450">
        <f>Model!AT607</f>
        <v>0</v>
      </c>
      <c r="AM450">
        <f>Model!AU607</f>
        <v>0</v>
      </c>
      <c r="AN450">
        <f>Model!AV607</f>
        <v>0</v>
      </c>
      <c r="AO450">
        <f>Model!AW607</f>
        <v>0</v>
      </c>
      <c r="AP450">
        <f>Model!AX607</f>
        <v>0</v>
      </c>
      <c r="AQ450">
        <f>Model!AY607</f>
        <v>0</v>
      </c>
      <c r="AR450">
        <f>Model!AZ607</f>
        <v>0</v>
      </c>
      <c r="AS450">
        <f>Model!BA607</f>
        <v>115.512</v>
      </c>
      <c r="AT450">
        <f>Model!BB607</f>
        <v>127.794</v>
      </c>
      <c r="AU450">
        <f>Model!BC607</f>
        <v>169.54499999999999</v>
      </c>
      <c r="AV450">
        <f>Model!BD607</f>
        <v>146.86699999999999</v>
      </c>
      <c r="AW450">
        <f>Model!BE607</f>
        <v>173.98400000000001</v>
      </c>
      <c r="AX450">
        <f>Model!BF607</f>
        <v>201.203</v>
      </c>
      <c r="AY450">
        <f>Model!BG607</f>
        <v>240.17599999999999</v>
      </c>
      <c r="AZ450">
        <f>Model!BH607</f>
        <v>184.648</v>
      </c>
      <c r="BA450">
        <f>Model!BI607</f>
        <v>250.54599999999999</v>
      </c>
      <c r="BB450">
        <f>Model!BJ607</f>
        <v>316.25099999999998</v>
      </c>
      <c r="BC450">
        <f>Model!BK607</f>
        <v>312.89600000000002</v>
      </c>
      <c r="BD450">
        <f>Model!BL607</f>
        <v>247.345</v>
      </c>
      <c r="BE450">
        <f>Model!BM607</f>
        <v>299.411</v>
      </c>
      <c r="BF450">
        <f>Model!BN607</f>
        <v>340.90300000000002</v>
      </c>
      <c r="BG450">
        <f>Model!BO607</f>
        <v>525.44100000000003</v>
      </c>
      <c r="BH450">
        <f>Model!BP607</f>
        <v>281.48</v>
      </c>
      <c r="BI450">
        <f>Model!BQ607</f>
        <v>567.322</v>
      </c>
      <c r="BJ450">
        <f>Model!BR607</f>
        <v>367.221</v>
      </c>
      <c r="BK450">
        <f>Model!BS607</f>
        <v>388.52800000000002</v>
      </c>
      <c r="BL450">
        <f>Model!BT607</f>
        <v>322.84199999999998</v>
      </c>
      <c r="BM450">
        <f>Model!BU607</f>
        <v>334.78300000000002</v>
      </c>
      <c r="BN450">
        <f>Model!BV607</f>
        <v>431.87</v>
      </c>
      <c r="BO450">
        <f>Model!BW607</f>
        <v>494.60700000000003</v>
      </c>
      <c r="BP450">
        <f>Model!BX607</f>
        <v>419.108</v>
      </c>
      <c r="BQ450">
        <f>Model!BY607</f>
        <v>407.57499999999999</v>
      </c>
      <c r="BR450">
        <f>Model!BZ607</f>
        <v>598.20000000000005</v>
      </c>
      <c r="BS450">
        <f>Model!CA607</f>
        <v>805.74</v>
      </c>
      <c r="BT450">
        <f>Model!CB607</f>
        <v>667.52300000000002</v>
      </c>
      <c r="BU450">
        <f>Model!CC607</f>
        <v>473.4445042197637</v>
      </c>
      <c r="BV450">
        <f>Model!CD607</f>
        <v>699.98027429135811</v>
      </c>
      <c r="BW450">
        <f>Model!CE607</f>
        <v>899.903180330091</v>
      </c>
      <c r="BX450">
        <f>Model!CF607</f>
        <v>803.55189246266514</v>
      </c>
      <c r="BY450">
        <f>Model!CG607</f>
        <v>0</v>
      </c>
      <c r="BZ450">
        <f>Model!CH607</f>
        <v>0</v>
      </c>
      <c r="CA450">
        <f>Model!CI607</f>
        <v>0</v>
      </c>
      <c r="CB450">
        <f>Model!CJ607</f>
        <v>0</v>
      </c>
      <c r="CC450">
        <f>Model!CK607</f>
        <v>0</v>
      </c>
      <c r="CD450">
        <f>Model!CL607</f>
        <v>0</v>
      </c>
      <c r="CE450">
        <f>Model!CM607</f>
        <v>0</v>
      </c>
      <c r="CF450">
        <f>Model!CN607</f>
        <v>0</v>
      </c>
      <c r="CG450">
        <f>Model!CO607</f>
        <v>0</v>
      </c>
      <c r="CH450">
        <f>Model!CP607</f>
        <v>0</v>
      </c>
      <c r="CI450">
        <f>Model!CQ607</f>
        <v>90.311000000000007</v>
      </c>
      <c r="CJ450">
        <f>Model!CR607</f>
        <v>146.86699999999999</v>
      </c>
      <c r="CK450">
        <f>Model!CS607</f>
        <v>184.648</v>
      </c>
      <c r="CL450">
        <f>Model!CT607</f>
        <v>247.345</v>
      </c>
      <c r="CM450">
        <f>Model!CU607</f>
        <v>281.48</v>
      </c>
      <c r="CN450">
        <f>Model!CV607</f>
        <v>322.84199999999998</v>
      </c>
      <c r="CO450">
        <f>Model!CW607</f>
        <v>419.108</v>
      </c>
      <c r="CP450">
        <f>Model!CX607</f>
        <v>667.52300000000002</v>
      </c>
      <c r="CQ450">
        <f>Model!CY607</f>
        <v>803.55189246266514</v>
      </c>
      <c r="CR450">
        <f>Model!DG607</f>
        <v>0</v>
      </c>
      <c r="CS450">
        <f>Model!DH607</f>
        <v>0</v>
      </c>
      <c r="CT450">
        <f>Model!DI607</f>
        <v>0</v>
      </c>
      <c r="CU450">
        <f>Model!DJ607</f>
        <v>0</v>
      </c>
    </row>
    <row r="451" spans="1:99">
      <c r="A451" t="str">
        <f>Model!I608</f>
        <v>Accrued Expenses &amp; Other</v>
      </c>
      <c r="B451">
        <f>Model!J608</f>
        <v>0</v>
      </c>
      <c r="C451">
        <f>Model!K608</f>
        <v>0</v>
      </c>
      <c r="D451">
        <f>Model!L608</f>
        <v>0</v>
      </c>
      <c r="E451">
        <f>Model!M608</f>
        <v>0</v>
      </c>
      <c r="F451">
        <f>Model!N608</f>
        <v>0</v>
      </c>
      <c r="G451">
        <f>Model!O608</f>
        <v>0</v>
      </c>
      <c r="H451">
        <f>Model!P608</f>
        <v>0</v>
      </c>
      <c r="I451">
        <f>Model!Q608</f>
        <v>0</v>
      </c>
      <c r="J451">
        <f>Model!R608</f>
        <v>0</v>
      </c>
      <c r="K451">
        <f>Model!S608</f>
        <v>0</v>
      </c>
      <c r="L451">
        <f>Model!T608</f>
        <v>0</v>
      </c>
      <c r="M451">
        <f>Model!U608</f>
        <v>0</v>
      </c>
      <c r="N451">
        <f>Model!V608</f>
        <v>0</v>
      </c>
      <c r="O451">
        <f>Model!W608</f>
        <v>0</v>
      </c>
      <c r="P451">
        <f>Model!X608</f>
        <v>0</v>
      </c>
      <c r="Q451">
        <f>Model!Y608</f>
        <v>0</v>
      </c>
      <c r="R451">
        <f>Model!Z608</f>
        <v>0</v>
      </c>
      <c r="S451">
        <f>Model!AA608</f>
        <v>0</v>
      </c>
      <c r="T451">
        <f>Model!AB608</f>
        <v>0</v>
      </c>
      <c r="U451">
        <f>Model!AC608</f>
        <v>0</v>
      </c>
      <c r="V451">
        <f>Model!AD608</f>
        <v>0</v>
      </c>
      <c r="W451">
        <f>Model!AE608</f>
        <v>0</v>
      </c>
      <c r="X451">
        <f>Model!AF608</f>
        <v>0</v>
      </c>
      <c r="Y451">
        <f>Model!AG608</f>
        <v>0</v>
      </c>
      <c r="Z451">
        <f>Model!AH608</f>
        <v>0</v>
      </c>
      <c r="AA451">
        <f>Model!AI608</f>
        <v>0</v>
      </c>
      <c r="AB451">
        <f>Model!AJ608</f>
        <v>0</v>
      </c>
      <c r="AC451">
        <f>Model!AK608</f>
        <v>0</v>
      </c>
      <c r="AD451">
        <f>Model!AL608</f>
        <v>0</v>
      </c>
      <c r="AE451">
        <f>Model!AM608</f>
        <v>0</v>
      </c>
      <c r="AF451">
        <f>Model!AN608</f>
        <v>0</v>
      </c>
      <c r="AG451">
        <f>Model!AO608</f>
        <v>0</v>
      </c>
      <c r="AH451">
        <f>Model!AP608</f>
        <v>0</v>
      </c>
      <c r="AI451">
        <f>Model!AQ608</f>
        <v>0</v>
      </c>
      <c r="AJ451">
        <f>Model!AR608</f>
        <v>0</v>
      </c>
      <c r="AK451">
        <f>Model!AS608</f>
        <v>0</v>
      </c>
      <c r="AL451">
        <f>Model!AT608</f>
        <v>0</v>
      </c>
      <c r="AM451">
        <f>Model!AU608</f>
        <v>0</v>
      </c>
      <c r="AN451">
        <f>Model!AV608</f>
        <v>0</v>
      </c>
      <c r="AO451">
        <f>Model!AW608</f>
        <v>0</v>
      </c>
      <c r="AP451">
        <f>Model!AX608</f>
        <v>0</v>
      </c>
      <c r="AQ451">
        <f>Model!AY608</f>
        <v>0</v>
      </c>
      <c r="AR451">
        <f>Model!AZ608</f>
        <v>0</v>
      </c>
      <c r="AS451">
        <f>Model!BA608</f>
        <v>322.73500000000001</v>
      </c>
      <c r="AT451">
        <f>Model!BB608</f>
        <v>267.88799999999998</v>
      </c>
      <c r="AU451">
        <f>Model!BC608</f>
        <v>305.745</v>
      </c>
      <c r="AV451">
        <f>Model!BD608</f>
        <v>222.13399999999999</v>
      </c>
      <c r="AW451">
        <f>Model!BE608</f>
        <v>298.21699999999998</v>
      </c>
      <c r="AX451">
        <f>Model!BF608</f>
        <v>272.08699999999999</v>
      </c>
      <c r="AY451">
        <f>Model!BG608</f>
        <v>377.32600000000002</v>
      </c>
      <c r="AZ451">
        <f>Model!BH608</f>
        <v>387.911</v>
      </c>
      <c r="BA451">
        <f>Model!BI608</f>
        <v>425.03199999999998</v>
      </c>
      <c r="BB451">
        <f>Model!BJ608</f>
        <v>387.33600000000001</v>
      </c>
      <c r="BC451">
        <f>Model!BK608</f>
        <v>544.02099999999996</v>
      </c>
      <c r="BD451">
        <f>Model!BL608</f>
        <v>545.34199999999998</v>
      </c>
      <c r="BE451">
        <f>Model!BM608</f>
        <v>561.91499999999996</v>
      </c>
      <c r="BF451">
        <f>Model!BN608</f>
        <v>555.71600000000001</v>
      </c>
      <c r="BG451">
        <f>Model!BO608</f>
        <v>609.07100000000003</v>
      </c>
      <c r="BH451">
        <f>Model!BP608</f>
        <v>600.75800000000004</v>
      </c>
      <c r="BI451">
        <f>Model!BQ608</f>
        <v>610.76400000000001</v>
      </c>
      <c r="BJ451">
        <f>Model!BR608</f>
        <v>903.64099999999996</v>
      </c>
      <c r="BK451">
        <f>Model!BS608</f>
        <v>780.78399999999999</v>
      </c>
      <c r="BL451">
        <f>Model!BT608</f>
        <v>681.58699999999999</v>
      </c>
      <c r="BM451">
        <f>Model!BU608</f>
        <v>1117.2550000000001</v>
      </c>
      <c r="BN451">
        <f>Model!BV608</f>
        <v>1019.513</v>
      </c>
      <c r="BO451">
        <f>Model!BW608</f>
        <v>882.08100000000002</v>
      </c>
      <c r="BP451">
        <f>Model!BX608</f>
        <v>857.46699999999998</v>
      </c>
      <c r="BQ451">
        <f>Model!BY608</f>
        <v>986.68100000000004</v>
      </c>
      <c r="BR451">
        <f>Model!BZ608</f>
        <v>1073.6320000000001</v>
      </c>
      <c r="BS451">
        <f>Model!CA608</f>
        <v>1091.3720000000001</v>
      </c>
      <c r="BT451">
        <f>Model!CB608</f>
        <v>1138.98</v>
      </c>
      <c r="BU451">
        <f>Model!CC608</f>
        <v>1168.8021335570013</v>
      </c>
      <c r="BV451">
        <f>Model!CD608</f>
        <v>1281.1427647684986</v>
      </c>
      <c r="BW451">
        <f>Model!CE608</f>
        <v>1243.0149667921785</v>
      </c>
      <c r="BX451">
        <f>Model!CF608</f>
        <v>1398.1909287274664</v>
      </c>
      <c r="BY451">
        <f>Model!CG608</f>
        <v>0</v>
      </c>
      <c r="BZ451">
        <f>Model!CH608</f>
        <v>0</v>
      </c>
      <c r="CA451">
        <f>Model!CI608</f>
        <v>0</v>
      </c>
      <c r="CB451">
        <f>Model!CJ608</f>
        <v>0</v>
      </c>
      <c r="CC451">
        <f>Model!CK608</f>
        <v>0</v>
      </c>
      <c r="CD451">
        <f>Model!CL608</f>
        <v>0</v>
      </c>
      <c r="CE451">
        <f>Model!CM608</f>
        <v>0</v>
      </c>
      <c r="CF451">
        <f>Model!CN608</f>
        <v>0</v>
      </c>
      <c r="CG451">
        <f>Model!CO608</f>
        <v>0</v>
      </c>
      <c r="CH451">
        <f>Model!CP608</f>
        <v>0</v>
      </c>
      <c r="CI451">
        <f>Model!CQ608</f>
        <v>243.767</v>
      </c>
      <c r="CJ451">
        <f>Model!CR608</f>
        <v>222.13399999999999</v>
      </c>
      <c r="CK451">
        <f>Model!CS608</f>
        <v>387.911</v>
      </c>
      <c r="CL451">
        <f>Model!CT608</f>
        <v>545.34199999999998</v>
      </c>
      <c r="CM451">
        <f>Model!CU608</f>
        <v>600.75800000000004</v>
      </c>
      <c r="CN451">
        <f>Model!CV608</f>
        <v>681.58699999999999</v>
      </c>
      <c r="CO451">
        <f>Model!CW608</f>
        <v>857.46699999999998</v>
      </c>
      <c r="CP451">
        <f>Model!CX608</f>
        <v>1138.98</v>
      </c>
      <c r="CQ451">
        <f>Model!CY608</f>
        <v>1398.1909287274664</v>
      </c>
      <c r="CR451">
        <f>Model!DG608</f>
        <v>0</v>
      </c>
      <c r="CS451">
        <f>Model!DH608</f>
        <v>0</v>
      </c>
      <c r="CT451">
        <f>Model!DI608</f>
        <v>0</v>
      </c>
      <c r="CU451">
        <f>Model!DJ608</f>
        <v>0</v>
      </c>
    </row>
    <row r="452" spans="1:99">
      <c r="A452" t="str">
        <f>Model!I609</f>
        <v>Deferred Merchant Bookings</v>
      </c>
      <c r="B452">
        <f>Model!J609</f>
        <v>0</v>
      </c>
      <c r="C452">
        <f>Model!K609</f>
        <v>0</v>
      </c>
      <c r="D452">
        <f>Model!L609</f>
        <v>0</v>
      </c>
      <c r="E452">
        <f>Model!M609</f>
        <v>0</v>
      </c>
      <c r="F452">
        <f>Model!N609</f>
        <v>0</v>
      </c>
      <c r="G452">
        <f>Model!O609</f>
        <v>0</v>
      </c>
      <c r="H452">
        <f>Model!P609</f>
        <v>0</v>
      </c>
      <c r="I452">
        <f>Model!Q609</f>
        <v>0</v>
      </c>
      <c r="J452">
        <f>Model!R609</f>
        <v>0</v>
      </c>
      <c r="K452">
        <f>Model!S609</f>
        <v>0</v>
      </c>
      <c r="L452">
        <f>Model!T609</f>
        <v>0</v>
      </c>
      <c r="M452">
        <f>Model!U609</f>
        <v>0</v>
      </c>
      <c r="N452">
        <f>Model!V609</f>
        <v>0</v>
      </c>
      <c r="O452">
        <f>Model!W609</f>
        <v>0</v>
      </c>
      <c r="P452">
        <f>Model!X609</f>
        <v>0</v>
      </c>
      <c r="Q452">
        <f>Model!Y609</f>
        <v>0</v>
      </c>
      <c r="R452">
        <f>Model!Z609</f>
        <v>0</v>
      </c>
      <c r="S452">
        <f>Model!AA609</f>
        <v>0</v>
      </c>
      <c r="T452">
        <f>Model!AB609</f>
        <v>0</v>
      </c>
      <c r="U452">
        <f>Model!AC609</f>
        <v>0</v>
      </c>
      <c r="V452">
        <f>Model!AD609</f>
        <v>0</v>
      </c>
      <c r="W452">
        <f>Model!AE609</f>
        <v>0</v>
      </c>
      <c r="X452">
        <f>Model!AF609</f>
        <v>0</v>
      </c>
      <c r="Y452">
        <f>Model!AG609</f>
        <v>0</v>
      </c>
      <c r="Z452">
        <f>Model!AH609</f>
        <v>0</v>
      </c>
      <c r="AA452">
        <f>Model!AI609</f>
        <v>0</v>
      </c>
      <c r="AB452">
        <f>Model!AJ609</f>
        <v>0</v>
      </c>
      <c r="AC452">
        <f>Model!AK609</f>
        <v>0</v>
      </c>
      <c r="AD452">
        <f>Model!AL609</f>
        <v>0</v>
      </c>
      <c r="AE452">
        <f>Model!AM609</f>
        <v>0</v>
      </c>
      <c r="AF452">
        <f>Model!AN609</f>
        <v>0</v>
      </c>
      <c r="AG452">
        <f>Model!AO609</f>
        <v>0</v>
      </c>
      <c r="AH452">
        <f>Model!AP609</f>
        <v>0</v>
      </c>
      <c r="AI452">
        <f>Model!AQ609</f>
        <v>0</v>
      </c>
      <c r="AJ452">
        <f>Model!AR609</f>
        <v>0</v>
      </c>
      <c r="AK452">
        <f>Model!AS609</f>
        <v>0</v>
      </c>
      <c r="AL452">
        <f>Model!AT609</f>
        <v>0</v>
      </c>
      <c r="AM452">
        <f>Model!AU609</f>
        <v>0</v>
      </c>
      <c r="AN452">
        <f>Model!AV609</f>
        <v>0</v>
      </c>
      <c r="AO452">
        <f>Model!AW609</f>
        <v>0</v>
      </c>
      <c r="AP452">
        <f>Model!AX609</f>
        <v>0</v>
      </c>
      <c r="AQ452">
        <f>Model!AY609</f>
        <v>0</v>
      </c>
      <c r="AR452">
        <f>Model!AZ609</f>
        <v>0</v>
      </c>
      <c r="AS452">
        <f>Model!BA609</f>
        <v>166.80500000000001</v>
      </c>
      <c r="AT452">
        <f>Model!BB609</f>
        <v>243.733</v>
      </c>
      <c r="AU452">
        <f>Model!BC609</f>
        <v>213.80199999999999</v>
      </c>
      <c r="AV452">
        <f>Model!BD609</f>
        <v>239.15700000000001</v>
      </c>
      <c r="AW452">
        <f>Model!BE609</f>
        <v>314.83600000000001</v>
      </c>
      <c r="AX452">
        <f>Model!BF609</f>
        <v>384.51900000000001</v>
      </c>
      <c r="AY452">
        <f>Model!BG609</f>
        <v>343.29599999999999</v>
      </c>
      <c r="AZ452">
        <f>Model!BH609</f>
        <v>368.82299999999998</v>
      </c>
      <c r="BA452">
        <f>Model!BI609</f>
        <v>403.53</v>
      </c>
      <c r="BB452">
        <f>Model!BJ609</f>
        <v>535.64400000000001</v>
      </c>
      <c r="BC452">
        <f>Model!BK609</f>
        <v>430.661</v>
      </c>
      <c r="BD452">
        <f>Model!BL609</f>
        <v>437.12700000000001</v>
      </c>
      <c r="BE452">
        <f>Model!BM609</f>
        <v>471.95600000000002</v>
      </c>
      <c r="BF452">
        <f>Model!BN609</f>
        <v>569.30999999999995</v>
      </c>
      <c r="BG452">
        <f>Model!BO609</f>
        <v>416.85199999999998</v>
      </c>
      <c r="BH452">
        <f>Model!BP609</f>
        <v>460.55799999999999</v>
      </c>
      <c r="BI452">
        <f>Model!BQ609</f>
        <v>525.14800000000002</v>
      </c>
      <c r="BJ452">
        <f>Model!BR609</f>
        <v>660.27200000000005</v>
      </c>
      <c r="BK452">
        <f>Model!BS609</f>
        <v>413.495</v>
      </c>
      <c r="BL452">
        <f>Model!BT609</f>
        <v>434.88099999999997</v>
      </c>
      <c r="BM452">
        <f>Model!BU609</f>
        <v>535.53599999999994</v>
      </c>
      <c r="BN452">
        <f>Model!BV609</f>
        <v>758.26800000000003</v>
      </c>
      <c r="BO452">
        <f>Model!BW609</f>
        <v>568.30399999999997</v>
      </c>
      <c r="BP452">
        <f>Model!BX609</f>
        <v>614.36099999999999</v>
      </c>
      <c r="BQ452">
        <f>Model!BY609</f>
        <v>879.40499999999997</v>
      </c>
      <c r="BR452">
        <f>Model!BZ609</f>
        <v>1185.6389999999999</v>
      </c>
      <c r="BS452">
        <f>Model!CA609</f>
        <v>827.36099999999999</v>
      </c>
      <c r="BT452">
        <f>Model!CB609</f>
        <v>980.45500000000004</v>
      </c>
      <c r="BU452">
        <f>Model!CC609</f>
        <v>967.31623662627032</v>
      </c>
      <c r="BV452">
        <f>Model!CD609</f>
        <v>1313.7413633752169</v>
      </c>
      <c r="BW452">
        <f>Model!CE609</f>
        <v>875.0118054039101</v>
      </c>
      <c r="BX452">
        <f>Model!CF609</f>
        <v>1117.6179395681941</v>
      </c>
      <c r="BY452">
        <f>Model!CG609</f>
        <v>0</v>
      </c>
      <c r="BZ452">
        <f>Model!CH609</f>
        <v>0</v>
      </c>
      <c r="CA452">
        <f>Model!CI609</f>
        <v>0</v>
      </c>
      <c r="CB452">
        <f>Model!CJ609</f>
        <v>0</v>
      </c>
      <c r="CC452">
        <f>Model!CK609</f>
        <v>0</v>
      </c>
      <c r="CD452">
        <f>Model!CL609</f>
        <v>0</v>
      </c>
      <c r="CE452">
        <f>Model!CM609</f>
        <v>0</v>
      </c>
      <c r="CF452">
        <f>Model!CN609</f>
        <v>0</v>
      </c>
      <c r="CG452">
        <f>Model!CO609</f>
        <v>0</v>
      </c>
      <c r="CH452">
        <f>Model!CP609</f>
        <v>0</v>
      </c>
      <c r="CI452">
        <f>Model!CQ609</f>
        <v>136.91499999999999</v>
      </c>
      <c r="CJ452">
        <f>Model!CR609</f>
        <v>239.15700000000001</v>
      </c>
      <c r="CK452">
        <f>Model!CS609</f>
        <v>368.82299999999998</v>
      </c>
      <c r="CL452">
        <f>Model!CT609</f>
        <v>437.12700000000001</v>
      </c>
      <c r="CM452">
        <f>Model!CU609</f>
        <v>460.55799999999999</v>
      </c>
      <c r="CN452">
        <f>Model!CV609</f>
        <v>434.88099999999997</v>
      </c>
      <c r="CO452">
        <f>Model!CW609</f>
        <v>614.36099999999999</v>
      </c>
      <c r="CP452">
        <f>Model!CX609</f>
        <v>980.45500000000004</v>
      </c>
      <c r="CQ452">
        <f>Model!CY609</f>
        <v>1117.6179395681941</v>
      </c>
      <c r="CR452">
        <f>Model!DG609</f>
        <v>0</v>
      </c>
      <c r="CS452">
        <f>Model!DH609</f>
        <v>0</v>
      </c>
      <c r="CT452">
        <f>Model!DI609</f>
        <v>0</v>
      </c>
      <c r="CU452">
        <f>Model!DJ609</f>
        <v>0</v>
      </c>
    </row>
    <row r="453" spans="1:99">
      <c r="A453" t="str">
        <f>Model!I610</f>
        <v>Income Taxes Payable</v>
      </c>
      <c r="B453">
        <f>Model!J610</f>
        <v>0</v>
      </c>
      <c r="C453">
        <f>Model!K610</f>
        <v>0</v>
      </c>
      <c r="D453">
        <f>Model!L610</f>
        <v>0</v>
      </c>
      <c r="E453">
        <f>Model!M610</f>
        <v>0</v>
      </c>
      <c r="F453">
        <f>Model!N610</f>
        <v>0</v>
      </c>
      <c r="G453">
        <f>Model!O610</f>
        <v>0</v>
      </c>
      <c r="H453">
        <f>Model!P610</f>
        <v>0</v>
      </c>
      <c r="I453">
        <f>Model!Q610</f>
        <v>0</v>
      </c>
      <c r="J453">
        <f>Model!R610</f>
        <v>0</v>
      </c>
      <c r="K453">
        <f>Model!S610</f>
        <v>0</v>
      </c>
      <c r="L453">
        <f>Model!T610</f>
        <v>0</v>
      </c>
      <c r="M453">
        <f>Model!U610</f>
        <v>0</v>
      </c>
      <c r="N453">
        <f>Model!V610</f>
        <v>0</v>
      </c>
      <c r="O453">
        <f>Model!W610</f>
        <v>0</v>
      </c>
      <c r="P453">
        <f>Model!X610</f>
        <v>0</v>
      </c>
      <c r="Q453">
        <f>Model!Y610</f>
        <v>0</v>
      </c>
      <c r="R453">
        <f>Model!Z610</f>
        <v>0</v>
      </c>
      <c r="S453">
        <f>Model!AA610</f>
        <v>0</v>
      </c>
      <c r="T453">
        <f>Model!AB610</f>
        <v>0</v>
      </c>
      <c r="U453">
        <f>Model!AC610</f>
        <v>0</v>
      </c>
      <c r="V453">
        <f>Model!AD610</f>
        <v>0</v>
      </c>
      <c r="W453">
        <f>Model!AE610</f>
        <v>0</v>
      </c>
      <c r="X453">
        <f>Model!AF610</f>
        <v>0</v>
      </c>
      <c r="Y453">
        <f>Model!AG610</f>
        <v>0</v>
      </c>
      <c r="Z453">
        <f>Model!AH610</f>
        <v>0</v>
      </c>
      <c r="AA453">
        <f>Model!AI610</f>
        <v>0</v>
      </c>
      <c r="AB453">
        <f>Model!AJ610</f>
        <v>0</v>
      </c>
      <c r="AC453">
        <f>Model!AK610</f>
        <v>0</v>
      </c>
      <c r="AD453">
        <f>Model!AL610</f>
        <v>0</v>
      </c>
      <c r="AE453">
        <f>Model!AM610</f>
        <v>0</v>
      </c>
      <c r="AF453">
        <f>Model!AN610</f>
        <v>0</v>
      </c>
      <c r="AG453">
        <f>Model!AO610</f>
        <v>0</v>
      </c>
      <c r="AH453">
        <f>Model!AP610</f>
        <v>0</v>
      </c>
      <c r="AI453">
        <f>Model!AQ610</f>
        <v>0</v>
      </c>
      <c r="AJ453">
        <f>Model!AR610</f>
        <v>0</v>
      </c>
      <c r="AK453">
        <f>Model!AS610</f>
        <v>0</v>
      </c>
      <c r="AL453">
        <f>Model!AT610</f>
        <v>0</v>
      </c>
      <c r="AM453">
        <f>Model!AU610</f>
        <v>0</v>
      </c>
      <c r="AN453">
        <f>Model!AV610</f>
        <v>0</v>
      </c>
      <c r="AO453">
        <f>Model!AW610</f>
        <v>0</v>
      </c>
      <c r="AP453">
        <f>Model!AX610</f>
        <v>0</v>
      </c>
      <c r="AQ453">
        <f>Model!AY610</f>
        <v>0</v>
      </c>
      <c r="AR453">
        <f>Model!AZ610</f>
        <v>0</v>
      </c>
      <c r="AS453">
        <f>Model!BA610</f>
        <v>0</v>
      </c>
      <c r="AT453">
        <f>Model!BB610</f>
        <v>0</v>
      </c>
      <c r="AU453">
        <f>Model!BC610</f>
        <v>0</v>
      </c>
      <c r="AV453">
        <f>Model!BD610</f>
        <v>0</v>
      </c>
      <c r="AW453">
        <f>Model!BE610</f>
        <v>0</v>
      </c>
      <c r="AX453">
        <f>Model!BF610</f>
        <v>0</v>
      </c>
      <c r="AY453">
        <f>Model!BG610</f>
        <v>0</v>
      </c>
      <c r="AZ453">
        <f>Model!BH610</f>
        <v>0</v>
      </c>
      <c r="BA453">
        <f>Model!BI610</f>
        <v>0</v>
      </c>
      <c r="BB453">
        <f>Model!BJ610</f>
        <v>0</v>
      </c>
      <c r="BC453">
        <f>Model!BK610</f>
        <v>0</v>
      </c>
      <c r="BD453">
        <f>Model!BL610</f>
        <v>0</v>
      </c>
      <c r="BE453">
        <f>Model!BM610</f>
        <v>0</v>
      </c>
      <c r="BF453">
        <f>Model!BN610</f>
        <v>0</v>
      </c>
      <c r="BG453">
        <f>Model!BO610</f>
        <v>0</v>
      </c>
      <c r="BH453">
        <f>Model!BP610</f>
        <v>0</v>
      </c>
      <c r="BI453">
        <f>Model!BQ610</f>
        <v>0</v>
      </c>
      <c r="BJ453">
        <f>Model!BR610</f>
        <v>0</v>
      </c>
      <c r="BK453">
        <f>Model!BS610</f>
        <v>0</v>
      </c>
      <c r="BL453">
        <f>Model!BT610</f>
        <v>0</v>
      </c>
      <c r="BM453">
        <f>Model!BU610</f>
        <v>0</v>
      </c>
      <c r="BN453">
        <f>Model!BV610</f>
        <v>0</v>
      </c>
      <c r="BO453">
        <f>Model!BW610</f>
        <v>0</v>
      </c>
      <c r="BP453">
        <f>Model!BX610</f>
        <v>0</v>
      </c>
      <c r="BQ453">
        <f>Model!BY610</f>
        <v>0</v>
      </c>
      <c r="BR453">
        <f>Model!BZ610</f>
        <v>0</v>
      </c>
      <c r="BS453">
        <f>Model!CA610</f>
        <v>0</v>
      </c>
      <c r="BT453">
        <f>Model!CB610</f>
        <v>0</v>
      </c>
      <c r="BU453">
        <f>Model!CC610</f>
        <v>0</v>
      </c>
      <c r="BV453">
        <f>Model!CD610</f>
        <v>0</v>
      </c>
      <c r="BW453">
        <f>Model!CE610</f>
        <v>0</v>
      </c>
      <c r="BX453">
        <f>Model!CF610</f>
        <v>0</v>
      </c>
      <c r="BY453">
        <f>Model!CG610</f>
        <v>0</v>
      </c>
      <c r="BZ453">
        <f>Model!CH610</f>
        <v>0</v>
      </c>
      <c r="CA453">
        <f>Model!CI610</f>
        <v>0</v>
      </c>
      <c r="CB453">
        <f>Model!CJ610</f>
        <v>0</v>
      </c>
      <c r="CC453">
        <f>Model!CK610</f>
        <v>0</v>
      </c>
      <c r="CD453">
        <f>Model!CL610</f>
        <v>0</v>
      </c>
      <c r="CE453">
        <f>Model!CM610</f>
        <v>0</v>
      </c>
      <c r="CF453">
        <f>Model!CN610</f>
        <v>0</v>
      </c>
      <c r="CG453">
        <f>Model!CO610</f>
        <v>0</v>
      </c>
      <c r="CH453">
        <f>Model!CP610</f>
        <v>0</v>
      </c>
      <c r="CI453">
        <f>Model!CQ610</f>
        <v>0</v>
      </c>
      <c r="CJ453">
        <f>Model!CR610</f>
        <v>0</v>
      </c>
      <c r="CK453">
        <f>Model!CS610</f>
        <v>0</v>
      </c>
      <c r="CL453">
        <f>Model!CT610</f>
        <v>0</v>
      </c>
      <c r="CM453">
        <f>Model!CU610</f>
        <v>0</v>
      </c>
      <c r="CN453">
        <f>Model!CV610</f>
        <v>0</v>
      </c>
      <c r="CO453">
        <f>Model!CW610</f>
        <v>0</v>
      </c>
      <c r="CP453">
        <f>Model!CX610</f>
        <v>0</v>
      </c>
      <c r="CQ453">
        <f>Model!CY610</f>
        <v>0</v>
      </c>
      <c r="CR453">
        <f>Model!DG610</f>
        <v>0</v>
      </c>
      <c r="CS453">
        <f>Model!DH610</f>
        <v>0</v>
      </c>
      <c r="CT453">
        <f>Model!DI610</f>
        <v>0</v>
      </c>
      <c r="CU453">
        <f>Model!DJ610</f>
        <v>0</v>
      </c>
    </row>
    <row r="454" spans="1:99">
      <c r="A454" t="str">
        <f>Model!I611</f>
        <v>Other Current Liabilities &amp; Convertible Debt</v>
      </c>
      <c r="B454">
        <f>Model!J611</f>
        <v>0</v>
      </c>
      <c r="C454">
        <f>Model!K611</f>
        <v>0</v>
      </c>
      <c r="D454">
        <f>Model!L611</f>
        <v>0</v>
      </c>
      <c r="E454">
        <f>Model!M611</f>
        <v>0</v>
      </c>
      <c r="F454">
        <f>Model!N611</f>
        <v>0</v>
      </c>
      <c r="G454">
        <f>Model!O611</f>
        <v>0</v>
      </c>
      <c r="H454">
        <f>Model!P611</f>
        <v>0</v>
      </c>
      <c r="I454">
        <f>Model!Q611</f>
        <v>0</v>
      </c>
      <c r="J454">
        <f>Model!R611</f>
        <v>0</v>
      </c>
      <c r="K454">
        <f>Model!S611</f>
        <v>0</v>
      </c>
      <c r="L454">
        <f>Model!T611</f>
        <v>0</v>
      </c>
      <c r="M454">
        <f>Model!U611</f>
        <v>0</v>
      </c>
      <c r="N454">
        <f>Model!V611</f>
        <v>0</v>
      </c>
      <c r="O454">
        <f>Model!W611</f>
        <v>0</v>
      </c>
      <c r="P454">
        <f>Model!X611</f>
        <v>0</v>
      </c>
      <c r="Q454">
        <f>Model!Y611</f>
        <v>0</v>
      </c>
      <c r="R454">
        <f>Model!Z611</f>
        <v>0</v>
      </c>
      <c r="S454">
        <f>Model!AA611</f>
        <v>0</v>
      </c>
      <c r="T454">
        <f>Model!AB611</f>
        <v>0</v>
      </c>
      <c r="U454">
        <f>Model!AC611</f>
        <v>0</v>
      </c>
      <c r="V454">
        <f>Model!AD611</f>
        <v>0</v>
      </c>
      <c r="W454">
        <f>Model!AE611</f>
        <v>0</v>
      </c>
      <c r="X454">
        <f>Model!AF611</f>
        <v>0</v>
      </c>
      <c r="Y454">
        <f>Model!AG611</f>
        <v>0</v>
      </c>
      <c r="Z454">
        <f>Model!AH611</f>
        <v>0</v>
      </c>
      <c r="AA454">
        <f>Model!AI611</f>
        <v>0</v>
      </c>
      <c r="AB454">
        <f>Model!AJ611</f>
        <v>0</v>
      </c>
      <c r="AC454">
        <f>Model!AK611</f>
        <v>0</v>
      </c>
      <c r="AD454">
        <f>Model!AL611</f>
        <v>0</v>
      </c>
      <c r="AE454">
        <f>Model!AM611</f>
        <v>0</v>
      </c>
      <c r="AF454">
        <f>Model!AN611</f>
        <v>0</v>
      </c>
      <c r="AG454">
        <f>Model!AO611</f>
        <v>0</v>
      </c>
      <c r="AH454">
        <f>Model!AP611</f>
        <v>0</v>
      </c>
      <c r="AI454">
        <f>Model!AQ611</f>
        <v>0</v>
      </c>
      <c r="AJ454">
        <f>Model!AR611</f>
        <v>0</v>
      </c>
      <c r="AK454">
        <f>Model!AS611</f>
        <v>0</v>
      </c>
      <c r="AL454">
        <f>Model!AT611</f>
        <v>0</v>
      </c>
      <c r="AM454">
        <f>Model!AU611</f>
        <v>0</v>
      </c>
      <c r="AN454">
        <f>Model!AV611</f>
        <v>0</v>
      </c>
      <c r="AO454">
        <f>Model!AW611</f>
        <v>0</v>
      </c>
      <c r="AP454">
        <f>Model!AX611</f>
        <v>0</v>
      </c>
      <c r="AQ454">
        <f>Model!AY611</f>
        <v>0</v>
      </c>
      <c r="AR454">
        <f>Model!AZ611</f>
        <v>0</v>
      </c>
      <c r="AS454">
        <f>Model!BA611</f>
        <v>481.64400000000001</v>
      </c>
      <c r="AT454">
        <f>Model!BB611</f>
        <v>486.77800000000002</v>
      </c>
      <c r="AU454">
        <f>Model!BC611</f>
        <v>492.16899999999998</v>
      </c>
      <c r="AV454">
        <f>Model!BD611</f>
        <v>497.64</v>
      </c>
      <c r="AW454">
        <f>Model!BE611</f>
        <v>503.19200000000001</v>
      </c>
      <c r="AX454">
        <f>Model!BF611</f>
        <v>508.82600000000002</v>
      </c>
      <c r="AY454">
        <f>Model!BG611</f>
        <v>514.54200000000003</v>
      </c>
      <c r="AZ454">
        <f>Model!BH611</f>
        <v>520.34400000000005</v>
      </c>
      <c r="BA454">
        <f>Model!BI611</f>
        <v>526.23099999999999</v>
      </c>
      <c r="BB454">
        <f>Model!BJ611</f>
        <v>532.20600000000002</v>
      </c>
      <c r="BC454">
        <f>Model!BK611</f>
        <v>538.26599999999996</v>
      </c>
      <c r="BD454">
        <f>Model!BL611</f>
        <v>151.93100000000001</v>
      </c>
      <c r="BE454">
        <f>Model!BM611</f>
        <v>97.706999999999994</v>
      </c>
      <c r="BF454">
        <f>Model!BN611</f>
        <v>41.316000000000003</v>
      </c>
      <c r="BG454">
        <f>Model!BO611</f>
        <v>37.780999999999999</v>
      </c>
      <c r="BH454">
        <f>Model!BP611</f>
        <v>37.195</v>
      </c>
      <c r="BI454">
        <f>Model!BQ611</f>
        <v>0</v>
      </c>
      <c r="BJ454">
        <f>Model!BR611</f>
        <v>0</v>
      </c>
      <c r="BK454">
        <f>Model!BS611</f>
        <v>0</v>
      </c>
      <c r="BL454">
        <f>Model!BT611</f>
        <v>0</v>
      </c>
      <c r="BM454">
        <f>Model!BU611</f>
        <v>0</v>
      </c>
      <c r="BN454">
        <f>Model!BV611</f>
        <v>0</v>
      </c>
      <c r="BO454">
        <f>Model!BW611</f>
        <v>960.98400000000004</v>
      </c>
      <c r="BP454">
        <f>Model!BX611</f>
        <v>967.73400000000004</v>
      </c>
      <c r="BQ454">
        <f>Model!BY611</f>
        <v>974.53800000000001</v>
      </c>
      <c r="BR454">
        <f>Model!BZ611</f>
        <v>899.48400000000004</v>
      </c>
      <c r="BS454">
        <f>Model!CA611</f>
        <v>899.80200000000002</v>
      </c>
      <c r="BT454">
        <f>Model!CB611</f>
        <v>710.91</v>
      </c>
      <c r="BU454">
        <f>Model!CC611</f>
        <v>710.91</v>
      </c>
      <c r="BV454">
        <f>Model!CD611</f>
        <v>710.91</v>
      </c>
      <c r="BW454">
        <f>Model!CE611</f>
        <v>710.91</v>
      </c>
      <c r="BX454">
        <f>Model!CF611</f>
        <v>710.91</v>
      </c>
      <c r="BY454">
        <f>Model!CG611</f>
        <v>0</v>
      </c>
      <c r="BZ454">
        <f>Model!CH611</f>
        <v>0</v>
      </c>
      <c r="CA454">
        <f>Model!CI611</f>
        <v>0</v>
      </c>
      <c r="CB454">
        <f>Model!CJ611</f>
        <v>0</v>
      </c>
      <c r="CC454">
        <f>Model!CK611</f>
        <v>0</v>
      </c>
      <c r="CD454">
        <f>Model!CL611</f>
        <v>0</v>
      </c>
      <c r="CE454">
        <f>Model!CM611</f>
        <v>0</v>
      </c>
      <c r="CF454">
        <f>Model!CN611</f>
        <v>0</v>
      </c>
      <c r="CG454">
        <f>Model!CO611</f>
        <v>0</v>
      </c>
      <c r="CH454">
        <f>Model!CP611</f>
        <v>0</v>
      </c>
      <c r="CI454">
        <f>Model!CQ611</f>
        <v>0.17499999999999999</v>
      </c>
      <c r="CJ454">
        <f>Model!CR611</f>
        <v>497.64</v>
      </c>
      <c r="CK454">
        <f>Model!CS611</f>
        <v>520.34400000000005</v>
      </c>
      <c r="CL454">
        <f>Model!CT611</f>
        <v>151.93100000000001</v>
      </c>
      <c r="CM454">
        <f>Model!CU611</f>
        <v>37.195</v>
      </c>
      <c r="CN454">
        <f>Model!CV611</f>
        <v>0</v>
      </c>
      <c r="CO454">
        <f>Model!CW611</f>
        <v>967.73400000000004</v>
      </c>
      <c r="CP454">
        <f>Model!CX611</f>
        <v>710.91</v>
      </c>
      <c r="CQ454">
        <f>Model!CY611</f>
        <v>710.91</v>
      </c>
      <c r="CR454">
        <f>Model!DG611</f>
        <v>0</v>
      </c>
      <c r="CS454">
        <f>Model!DH611</f>
        <v>0</v>
      </c>
      <c r="CT454">
        <f>Model!DI611</f>
        <v>0</v>
      </c>
      <c r="CU454">
        <f>Model!DJ611</f>
        <v>0</v>
      </c>
    </row>
    <row r="455" spans="1:99">
      <c r="A455" t="str">
        <f>Model!I612</f>
        <v>Total Current Liabilities</v>
      </c>
      <c r="B455">
        <f>Model!J612</f>
        <v>0</v>
      </c>
      <c r="C455">
        <f>Model!K612</f>
        <v>0</v>
      </c>
      <c r="D455">
        <f>Model!L612</f>
        <v>0</v>
      </c>
      <c r="E455">
        <f>Model!M612</f>
        <v>0</v>
      </c>
      <c r="F455">
        <f>Model!N612</f>
        <v>0</v>
      </c>
      <c r="G455">
        <f>Model!O612</f>
        <v>0</v>
      </c>
      <c r="H455">
        <f>Model!P612</f>
        <v>0</v>
      </c>
      <c r="I455">
        <f>Model!Q612</f>
        <v>0</v>
      </c>
      <c r="J455">
        <f>Model!R612</f>
        <v>0</v>
      </c>
      <c r="K455">
        <f>Model!S612</f>
        <v>0</v>
      </c>
      <c r="L455">
        <f>Model!T612</f>
        <v>0</v>
      </c>
      <c r="M455">
        <f>Model!U612</f>
        <v>0</v>
      </c>
      <c r="N455">
        <f>Model!V612</f>
        <v>0</v>
      </c>
      <c r="O455">
        <f>Model!W612</f>
        <v>0</v>
      </c>
      <c r="P455">
        <f>Model!X612</f>
        <v>0</v>
      </c>
      <c r="Q455">
        <f>Model!Y612</f>
        <v>0</v>
      </c>
      <c r="R455">
        <f>Model!Z612</f>
        <v>0</v>
      </c>
      <c r="S455">
        <f>Model!AA612</f>
        <v>0</v>
      </c>
      <c r="T455">
        <f>Model!AB612</f>
        <v>0</v>
      </c>
      <c r="U455">
        <f>Model!AC612</f>
        <v>0</v>
      </c>
      <c r="V455">
        <f>Model!AD612</f>
        <v>0</v>
      </c>
      <c r="W455">
        <f>Model!AE612</f>
        <v>0</v>
      </c>
      <c r="X455">
        <f>Model!AF612</f>
        <v>0</v>
      </c>
      <c r="Y455">
        <f>Model!AG612</f>
        <v>0</v>
      </c>
      <c r="Z455">
        <f>Model!AH612</f>
        <v>0</v>
      </c>
      <c r="AA455">
        <f>Model!AI612</f>
        <v>0</v>
      </c>
      <c r="AB455">
        <f>Model!AJ612</f>
        <v>0</v>
      </c>
      <c r="AC455">
        <f>Model!AK612</f>
        <v>0</v>
      </c>
      <c r="AD455">
        <f>Model!AL612</f>
        <v>0</v>
      </c>
      <c r="AE455">
        <f>Model!AM612</f>
        <v>0</v>
      </c>
      <c r="AF455">
        <f>Model!AN612</f>
        <v>0</v>
      </c>
      <c r="AG455">
        <f>Model!AO612</f>
        <v>0</v>
      </c>
      <c r="AH455">
        <f>Model!AP612</f>
        <v>0</v>
      </c>
      <c r="AI455">
        <f>Model!AQ612</f>
        <v>0</v>
      </c>
      <c r="AJ455">
        <f>Model!AR612</f>
        <v>0</v>
      </c>
      <c r="AK455">
        <f>Model!AS612</f>
        <v>0</v>
      </c>
      <c r="AL455">
        <f>Model!AT612</f>
        <v>0</v>
      </c>
      <c r="AM455">
        <f>Model!AU612</f>
        <v>0</v>
      </c>
      <c r="AN455">
        <f>Model!AV612</f>
        <v>0</v>
      </c>
      <c r="AO455">
        <f>Model!AW612</f>
        <v>0</v>
      </c>
      <c r="AP455">
        <f>Model!AX612</f>
        <v>0</v>
      </c>
      <c r="AQ455">
        <f>Model!AY612</f>
        <v>0</v>
      </c>
      <c r="AR455">
        <f>Model!AZ612</f>
        <v>0</v>
      </c>
      <c r="AS455">
        <f>Model!BA612</f>
        <v>1086.6959999999999</v>
      </c>
      <c r="AT455">
        <f>Model!BB612</f>
        <v>1126.193</v>
      </c>
      <c r="AU455">
        <f>Model!BC612</f>
        <v>1181.261</v>
      </c>
      <c r="AV455">
        <f>Model!BD612</f>
        <v>1105.798</v>
      </c>
      <c r="AW455">
        <f>Model!BE612</f>
        <v>1290.229</v>
      </c>
      <c r="AX455">
        <f>Model!BF612</f>
        <v>1366.635</v>
      </c>
      <c r="AY455">
        <f>Model!BG612</f>
        <v>1475.3400000000001</v>
      </c>
      <c r="AZ455">
        <f>Model!BH612</f>
        <v>1461.7260000000001</v>
      </c>
      <c r="BA455">
        <f>Model!BI612</f>
        <v>1605.3389999999999</v>
      </c>
      <c r="BB455">
        <f>Model!BJ612</f>
        <v>1771.4369999999999</v>
      </c>
      <c r="BC455">
        <f>Model!BK612</f>
        <v>1825.8440000000001</v>
      </c>
      <c r="BD455">
        <f>Model!BL612</f>
        <v>1381.7450000000001</v>
      </c>
      <c r="BE455">
        <f>Model!BM612</f>
        <v>1430.989</v>
      </c>
      <c r="BF455">
        <f>Model!BN612</f>
        <v>1507.2450000000001</v>
      </c>
      <c r="BG455">
        <f>Model!BO612</f>
        <v>1589.145</v>
      </c>
      <c r="BH455">
        <f>Model!BP612</f>
        <v>1379.991</v>
      </c>
      <c r="BI455">
        <f>Model!BQ612</f>
        <v>1703.2339999999999</v>
      </c>
      <c r="BJ455">
        <f>Model!BR612</f>
        <v>1931.134</v>
      </c>
      <c r="BK455">
        <f>Model!BS612</f>
        <v>1582.807</v>
      </c>
      <c r="BL455">
        <f>Model!BT612</f>
        <v>1439.31</v>
      </c>
      <c r="BM455">
        <f>Model!BU612</f>
        <v>1987.5740000000001</v>
      </c>
      <c r="BN455">
        <f>Model!BV612</f>
        <v>2209.6509999999998</v>
      </c>
      <c r="BO455">
        <f>Model!BW612</f>
        <v>2905.9760000000001</v>
      </c>
      <c r="BP455">
        <f>Model!BX612</f>
        <v>2858.67</v>
      </c>
      <c r="BQ455">
        <f>Model!BY612</f>
        <v>3248.1989999999996</v>
      </c>
      <c r="BR455">
        <f>Model!BZ612</f>
        <v>3756.9549999999999</v>
      </c>
      <c r="BS455">
        <f>Model!CA612</f>
        <v>3624.2749999999996</v>
      </c>
      <c r="BT455">
        <f>Model!CB612</f>
        <v>3497.8680000000004</v>
      </c>
      <c r="BU455">
        <f>Model!CC612</f>
        <v>3320.4728744030349</v>
      </c>
      <c r="BV455">
        <f>Model!CD612</f>
        <v>4005.7744024350736</v>
      </c>
      <c r="BW455">
        <f>Model!CE612</f>
        <v>3728.8399525261798</v>
      </c>
      <c r="BX455">
        <f>Model!CF612</f>
        <v>4030.2707607583252</v>
      </c>
      <c r="BY455">
        <f>Model!CG612</f>
        <v>0</v>
      </c>
      <c r="BZ455">
        <f>Model!CH612</f>
        <v>0</v>
      </c>
      <c r="CA455">
        <f>Model!CI612</f>
        <v>0</v>
      </c>
      <c r="CB455">
        <f>Model!CJ612</f>
        <v>0</v>
      </c>
      <c r="CC455">
        <f>Model!CK612</f>
        <v>0</v>
      </c>
      <c r="CD455">
        <f>Model!CL612</f>
        <v>0</v>
      </c>
      <c r="CE455">
        <f>Model!CM612</f>
        <v>0</v>
      </c>
      <c r="CF455">
        <f>Model!CN612</f>
        <v>0</v>
      </c>
      <c r="CG455">
        <f>Model!CO612</f>
        <v>0</v>
      </c>
      <c r="CH455">
        <f>Model!CP612</f>
        <v>0</v>
      </c>
      <c r="CI455">
        <f>Model!CQ612</f>
        <v>471.16800000000001</v>
      </c>
      <c r="CJ455">
        <f>Model!CR612</f>
        <v>1105.798</v>
      </c>
      <c r="CK455">
        <f>Model!CS612</f>
        <v>1461.7259999999999</v>
      </c>
      <c r="CL455">
        <f>Model!CT612</f>
        <v>1381.7450000000001</v>
      </c>
      <c r="CM455">
        <f>Model!CU612</f>
        <v>1379.991</v>
      </c>
      <c r="CN455">
        <f>Model!CV612</f>
        <v>1439.31</v>
      </c>
      <c r="CO455">
        <f>Model!CW612</f>
        <v>2858.67</v>
      </c>
      <c r="CP455">
        <f>Model!CX612</f>
        <v>3497.8680000000004</v>
      </c>
      <c r="CQ455">
        <f>Model!CY612</f>
        <v>4030.2707607583252</v>
      </c>
      <c r="CR455">
        <f>Model!DG612</f>
        <v>0</v>
      </c>
      <c r="CS455">
        <f>Model!DH612</f>
        <v>0</v>
      </c>
      <c r="CT455">
        <f>Model!DI612</f>
        <v>0</v>
      </c>
      <c r="CU455">
        <f>Model!DJ612</f>
        <v>0</v>
      </c>
    </row>
    <row r="456" spans="1:99">
      <c r="A456">
        <f>Model!I613</f>
        <v>0</v>
      </c>
      <c r="B456">
        <f>Model!J613</f>
        <v>0</v>
      </c>
      <c r="C456">
        <f>Model!K613</f>
        <v>0</v>
      </c>
      <c r="D456">
        <f>Model!L613</f>
        <v>0</v>
      </c>
      <c r="E456">
        <f>Model!M613</f>
        <v>0</v>
      </c>
      <c r="F456">
        <f>Model!N613</f>
        <v>0</v>
      </c>
      <c r="G456">
        <f>Model!O613</f>
        <v>0</v>
      </c>
      <c r="H456">
        <f>Model!P613</f>
        <v>0</v>
      </c>
      <c r="I456">
        <f>Model!Q613</f>
        <v>0</v>
      </c>
      <c r="J456">
        <f>Model!R613</f>
        <v>0</v>
      </c>
      <c r="K456">
        <f>Model!S613</f>
        <v>0</v>
      </c>
      <c r="L456">
        <f>Model!T613</f>
        <v>0</v>
      </c>
      <c r="M456">
        <f>Model!U613</f>
        <v>0</v>
      </c>
      <c r="N456">
        <f>Model!V613</f>
        <v>0</v>
      </c>
      <c r="O456">
        <f>Model!W613</f>
        <v>0</v>
      </c>
      <c r="P456">
        <f>Model!X613</f>
        <v>0</v>
      </c>
      <c r="Q456">
        <f>Model!Y613</f>
        <v>0</v>
      </c>
      <c r="R456">
        <f>Model!Z613</f>
        <v>0</v>
      </c>
      <c r="S456">
        <f>Model!AA613</f>
        <v>0</v>
      </c>
      <c r="T456">
        <f>Model!AB613</f>
        <v>0</v>
      </c>
      <c r="U456">
        <f>Model!AC613</f>
        <v>0</v>
      </c>
      <c r="V456">
        <f>Model!AD613</f>
        <v>0</v>
      </c>
      <c r="W456">
        <f>Model!AE613</f>
        <v>0</v>
      </c>
      <c r="X456">
        <f>Model!AF613</f>
        <v>0</v>
      </c>
      <c r="Y456">
        <f>Model!AG613</f>
        <v>0</v>
      </c>
      <c r="Z456">
        <f>Model!AH613</f>
        <v>0</v>
      </c>
      <c r="AA456">
        <f>Model!AI613</f>
        <v>0</v>
      </c>
      <c r="AB456">
        <f>Model!AJ613</f>
        <v>0</v>
      </c>
      <c r="AC456">
        <f>Model!AK613</f>
        <v>0</v>
      </c>
      <c r="AD456">
        <f>Model!AL613</f>
        <v>0</v>
      </c>
      <c r="AE456">
        <f>Model!AM613</f>
        <v>0</v>
      </c>
      <c r="AF456">
        <f>Model!AN613</f>
        <v>0</v>
      </c>
      <c r="AG456">
        <f>Model!AO613</f>
        <v>0</v>
      </c>
      <c r="AH456">
        <f>Model!AP613</f>
        <v>0</v>
      </c>
      <c r="AI456">
        <f>Model!AQ613</f>
        <v>0</v>
      </c>
      <c r="AJ456">
        <f>Model!AR613</f>
        <v>0</v>
      </c>
      <c r="AK456">
        <f>Model!AS613</f>
        <v>0</v>
      </c>
      <c r="AL456">
        <f>Model!AT613</f>
        <v>0</v>
      </c>
      <c r="AM456">
        <f>Model!AU613</f>
        <v>0</v>
      </c>
      <c r="AN456">
        <f>Model!AV613</f>
        <v>0</v>
      </c>
      <c r="AO456">
        <f>Model!AW613</f>
        <v>0</v>
      </c>
      <c r="AP456">
        <f>Model!AX613</f>
        <v>0</v>
      </c>
      <c r="AQ456">
        <f>Model!AY613</f>
        <v>0</v>
      </c>
      <c r="AR456">
        <f>Model!AZ613</f>
        <v>0</v>
      </c>
      <c r="AS456">
        <f>Model!BA613</f>
        <v>0</v>
      </c>
      <c r="AT456">
        <f>Model!BB613</f>
        <v>0</v>
      </c>
      <c r="AU456">
        <f>Model!BC613</f>
        <v>0</v>
      </c>
      <c r="AV456">
        <f>Model!BD613</f>
        <v>0</v>
      </c>
      <c r="AW456">
        <f>Model!BE613</f>
        <v>0</v>
      </c>
      <c r="AX456">
        <f>Model!BF613</f>
        <v>0</v>
      </c>
      <c r="AY456">
        <f>Model!BG613</f>
        <v>0</v>
      </c>
      <c r="AZ456">
        <f>Model!BH613</f>
        <v>0</v>
      </c>
      <c r="BA456">
        <f>Model!BI613</f>
        <v>0</v>
      </c>
      <c r="BB456">
        <f>Model!BJ613</f>
        <v>0</v>
      </c>
      <c r="BC456">
        <f>Model!BK613</f>
        <v>0</v>
      </c>
      <c r="BD456">
        <f>Model!BL613</f>
        <v>0</v>
      </c>
      <c r="BE456">
        <f>Model!BM613</f>
        <v>0</v>
      </c>
      <c r="BF456">
        <f>Model!BN613</f>
        <v>0</v>
      </c>
      <c r="BG456">
        <f>Model!BO613</f>
        <v>0</v>
      </c>
      <c r="BH456">
        <f>Model!BP613</f>
        <v>0</v>
      </c>
      <c r="BI456">
        <f>Model!BQ613</f>
        <v>0</v>
      </c>
      <c r="BJ456">
        <f>Model!BR613</f>
        <v>0</v>
      </c>
      <c r="BK456">
        <f>Model!BS613</f>
        <v>0</v>
      </c>
      <c r="BL456">
        <f>Model!BT613</f>
        <v>0</v>
      </c>
      <c r="BM456">
        <f>Model!BU613</f>
        <v>0</v>
      </c>
      <c r="BN456">
        <f>Model!BV613</f>
        <v>0</v>
      </c>
      <c r="BO456">
        <f>Model!BW613</f>
        <v>0</v>
      </c>
      <c r="BP456">
        <f>Model!BX613</f>
        <v>0</v>
      </c>
      <c r="BQ456">
        <f>Model!BY613</f>
        <v>0</v>
      </c>
      <c r="BR456">
        <f>Model!BZ613</f>
        <v>0</v>
      </c>
      <c r="BS456">
        <f>Model!CA613</f>
        <v>0</v>
      </c>
      <c r="BT456">
        <f>Model!CB613</f>
        <v>0</v>
      </c>
      <c r="BU456">
        <f>Model!CC613</f>
        <v>0</v>
      </c>
      <c r="BV456">
        <f>Model!CD613</f>
        <v>0</v>
      </c>
      <c r="BW456">
        <f>Model!CE613</f>
        <v>0</v>
      </c>
      <c r="BX456">
        <f>Model!CF613</f>
        <v>0</v>
      </c>
      <c r="BY456">
        <f>Model!CG613</f>
        <v>0</v>
      </c>
      <c r="BZ456">
        <f>Model!CH613</f>
        <v>0</v>
      </c>
      <c r="CA456">
        <f>Model!CI613</f>
        <v>0</v>
      </c>
      <c r="CB456">
        <f>Model!CJ613</f>
        <v>0</v>
      </c>
      <c r="CC456">
        <f>Model!CK613</f>
        <v>0</v>
      </c>
      <c r="CD456">
        <f>Model!CL613</f>
        <v>0</v>
      </c>
      <c r="CE456">
        <f>Model!CM613</f>
        <v>0</v>
      </c>
      <c r="CF456">
        <f>Model!CN613</f>
        <v>0</v>
      </c>
      <c r="CG456">
        <f>Model!CO613</f>
        <v>0</v>
      </c>
      <c r="CH456">
        <f>Model!CP613</f>
        <v>0</v>
      </c>
      <c r="CI456">
        <f>Model!CQ613</f>
        <v>0</v>
      </c>
      <c r="CJ456">
        <f>Model!CR613</f>
        <v>0</v>
      </c>
      <c r="CK456">
        <f>Model!CS613</f>
        <v>0</v>
      </c>
      <c r="CL456">
        <f>Model!CT613</f>
        <v>0</v>
      </c>
      <c r="CM456">
        <f>Model!CU613</f>
        <v>0</v>
      </c>
      <c r="CN456">
        <f>Model!CV613</f>
        <v>0</v>
      </c>
      <c r="CO456">
        <f>Model!CW613</f>
        <v>0</v>
      </c>
      <c r="CP456">
        <f>Model!CX613</f>
        <v>0</v>
      </c>
      <c r="CQ456">
        <f>Model!CY613</f>
        <v>0</v>
      </c>
      <c r="CR456">
        <f>Model!DG613</f>
        <v>0</v>
      </c>
      <c r="CS456">
        <f>Model!DH613</f>
        <v>0</v>
      </c>
      <c r="CT456">
        <f>Model!DI613</f>
        <v>0</v>
      </c>
      <c r="CU456">
        <f>Model!DJ613</f>
        <v>0</v>
      </c>
    </row>
    <row r="457" spans="1:99">
      <c r="A457" t="str">
        <f>Model!I614</f>
        <v>Deferred Income Taxes</v>
      </c>
      <c r="B457">
        <f>Model!J614</f>
        <v>0</v>
      </c>
      <c r="C457">
        <f>Model!K614</f>
        <v>0</v>
      </c>
      <c r="D457">
        <f>Model!L614</f>
        <v>0</v>
      </c>
      <c r="E457">
        <f>Model!M614</f>
        <v>0</v>
      </c>
      <c r="F457">
        <f>Model!N614</f>
        <v>0</v>
      </c>
      <c r="G457">
        <f>Model!O614</f>
        <v>0</v>
      </c>
      <c r="H457">
        <f>Model!P614</f>
        <v>0</v>
      </c>
      <c r="I457">
        <f>Model!Q614</f>
        <v>0</v>
      </c>
      <c r="J457">
        <f>Model!R614</f>
        <v>0</v>
      </c>
      <c r="K457">
        <f>Model!S614</f>
        <v>0</v>
      </c>
      <c r="L457">
        <f>Model!T614</f>
        <v>0</v>
      </c>
      <c r="M457">
        <f>Model!U614</f>
        <v>0</v>
      </c>
      <c r="N457">
        <f>Model!V614</f>
        <v>0</v>
      </c>
      <c r="O457">
        <f>Model!W614</f>
        <v>0</v>
      </c>
      <c r="P457">
        <f>Model!X614</f>
        <v>0</v>
      </c>
      <c r="Q457">
        <f>Model!Y614</f>
        <v>0</v>
      </c>
      <c r="R457">
        <f>Model!Z614</f>
        <v>0</v>
      </c>
      <c r="S457">
        <f>Model!AA614</f>
        <v>0</v>
      </c>
      <c r="T457">
        <f>Model!AB614</f>
        <v>0</v>
      </c>
      <c r="U457">
        <f>Model!AC614</f>
        <v>0</v>
      </c>
      <c r="V457">
        <f>Model!AD614</f>
        <v>0</v>
      </c>
      <c r="W457">
        <f>Model!AE614</f>
        <v>0</v>
      </c>
      <c r="X457">
        <f>Model!AF614</f>
        <v>0</v>
      </c>
      <c r="Y457">
        <f>Model!AG614</f>
        <v>0</v>
      </c>
      <c r="Z457">
        <f>Model!AH614</f>
        <v>0</v>
      </c>
      <c r="AA457">
        <f>Model!AI614</f>
        <v>0</v>
      </c>
      <c r="AB457">
        <f>Model!AJ614</f>
        <v>0</v>
      </c>
      <c r="AC457">
        <f>Model!AK614</f>
        <v>0</v>
      </c>
      <c r="AD457">
        <f>Model!AL614</f>
        <v>0</v>
      </c>
      <c r="AE457">
        <f>Model!AM614</f>
        <v>0</v>
      </c>
      <c r="AF457">
        <f>Model!AN614</f>
        <v>0</v>
      </c>
      <c r="AG457">
        <f>Model!AO614</f>
        <v>0</v>
      </c>
      <c r="AH457">
        <f>Model!AP614</f>
        <v>0</v>
      </c>
      <c r="AI457">
        <f>Model!AQ614</f>
        <v>0</v>
      </c>
      <c r="AJ457">
        <f>Model!AR614</f>
        <v>0</v>
      </c>
      <c r="AK457">
        <f>Model!AS614</f>
        <v>0</v>
      </c>
      <c r="AL457">
        <f>Model!AT614</f>
        <v>0</v>
      </c>
      <c r="AM457">
        <f>Model!AU614</f>
        <v>0</v>
      </c>
      <c r="AN457">
        <f>Model!AV614</f>
        <v>0</v>
      </c>
      <c r="AO457">
        <f>Model!AW614</f>
        <v>0</v>
      </c>
      <c r="AP457">
        <f>Model!AX614</f>
        <v>0</v>
      </c>
      <c r="AQ457">
        <f>Model!AY614</f>
        <v>0</v>
      </c>
      <c r="AR457">
        <f>Model!AZ614</f>
        <v>0</v>
      </c>
      <c r="AS457">
        <f>Model!BA614</f>
        <v>55.938000000000002</v>
      </c>
      <c r="AT457">
        <f>Model!BB614</f>
        <v>54.679000000000002</v>
      </c>
      <c r="AU457">
        <f>Model!BC614</f>
        <v>47.448</v>
      </c>
      <c r="AV457">
        <f>Model!BD614</f>
        <v>46.99</v>
      </c>
      <c r="AW457">
        <f>Model!BE614</f>
        <v>45.72</v>
      </c>
      <c r="AX457">
        <f>Model!BF614</f>
        <v>45.237000000000002</v>
      </c>
      <c r="AY457">
        <f>Model!BG614</f>
        <v>46.305</v>
      </c>
      <c r="AZ457">
        <f>Model!BH614</f>
        <v>45.158999999999999</v>
      </c>
      <c r="BA457">
        <f>Model!BI614</f>
        <v>41.473999999999997</v>
      </c>
      <c r="BB457">
        <f>Model!BJ614</f>
        <v>387.29599999999999</v>
      </c>
      <c r="BC457">
        <f>Model!BK614</f>
        <v>371.49799999999999</v>
      </c>
      <c r="BD457">
        <f>Model!BL614</f>
        <v>326.42500000000001</v>
      </c>
      <c r="BE457">
        <f>Model!BM614</f>
        <v>334.63099999999997</v>
      </c>
      <c r="BF457">
        <f>Model!BN614</f>
        <v>396.48899999999998</v>
      </c>
      <c r="BG457">
        <f>Model!BO614</f>
        <v>866.16700000000003</v>
      </c>
      <c r="BH457">
        <f>Model!BP614</f>
        <v>1040.26</v>
      </c>
      <c r="BI457">
        <f>Model!BQ614</f>
        <v>1072.038</v>
      </c>
      <c r="BJ457">
        <f>Model!BR614</f>
        <v>991.88199999999995</v>
      </c>
      <c r="BK457">
        <f>Model!BS614</f>
        <v>952.38800000000003</v>
      </c>
      <c r="BL457">
        <f>Model!BT614</f>
        <v>892.57600000000002</v>
      </c>
      <c r="BM457">
        <f>Model!BU614</f>
        <v>830.16099999999994</v>
      </c>
      <c r="BN457">
        <f>Model!BV614</f>
        <v>803.93499999999995</v>
      </c>
      <c r="BO457">
        <f>Model!BW614</f>
        <v>802.43299999999999</v>
      </c>
      <c r="BP457">
        <f>Model!BX614</f>
        <v>822.33399999999995</v>
      </c>
      <c r="BQ457">
        <f>Model!BY614</f>
        <v>497.84699999999998</v>
      </c>
      <c r="BR457">
        <f>Model!BZ614</f>
        <v>397.44900000000001</v>
      </c>
      <c r="BS457">
        <f>Model!CA614</f>
        <v>407.935</v>
      </c>
      <c r="BT457">
        <f>Model!CB614</f>
        <v>481.13900000000001</v>
      </c>
      <c r="BU457">
        <f>Model!CC614</f>
        <v>481.13900000000001</v>
      </c>
      <c r="BV457">
        <f>Model!CD614</f>
        <v>481.13900000000001</v>
      </c>
      <c r="BW457">
        <f>Model!CE614</f>
        <v>481.13900000000001</v>
      </c>
      <c r="BX457">
        <f>Model!CF614</f>
        <v>481.13900000000001</v>
      </c>
      <c r="BY457">
        <f>Model!CG614</f>
        <v>0</v>
      </c>
      <c r="BZ457">
        <f>Model!CH614</f>
        <v>0</v>
      </c>
      <c r="CA457">
        <f>Model!CI614</f>
        <v>0</v>
      </c>
      <c r="CB457">
        <f>Model!CJ614</f>
        <v>0</v>
      </c>
      <c r="CC457">
        <f>Model!CK614</f>
        <v>0</v>
      </c>
      <c r="CD457">
        <f>Model!CL614</f>
        <v>0</v>
      </c>
      <c r="CE457">
        <f>Model!CM614</f>
        <v>0</v>
      </c>
      <c r="CF457">
        <f>Model!CN614</f>
        <v>0</v>
      </c>
      <c r="CG457">
        <f>Model!CO614</f>
        <v>0</v>
      </c>
      <c r="CH457">
        <f>Model!CP614</f>
        <v>0</v>
      </c>
      <c r="CI457">
        <f>Model!CQ614</f>
        <v>56.44</v>
      </c>
      <c r="CJ457">
        <f>Model!CR614</f>
        <v>46.99</v>
      </c>
      <c r="CK457">
        <f>Model!CS614</f>
        <v>45.158999999999999</v>
      </c>
      <c r="CL457">
        <f>Model!CT614</f>
        <v>326.42500000000001</v>
      </c>
      <c r="CM457">
        <f>Model!CU614</f>
        <v>1040.26</v>
      </c>
      <c r="CN457">
        <f>Model!CV614</f>
        <v>892.57600000000002</v>
      </c>
      <c r="CO457">
        <f>Model!CW614</f>
        <v>822.33399999999995</v>
      </c>
      <c r="CP457">
        <f>Model!CX614</f>
        <v>481.13900000000001</v>
      </c>
      <c r="CQ457">
        <f>Model!CY614</f>
        <v>481.13900000000001</v>
      </c>
      <c r="CR457">
        <f>Model!DG614</f>
        <v>0</v>
      </c>
      <c r="CS457">
        <f>Model!DH614</f>
        <v>0</v>
      </c>
      <c r="CT457">
        <f>Model!DI614</f>
        <v>0</v>
      </c>
      <c r="CU457">
        <f>Model!DJ614</f>
        <v>0</v>
      </c>
    </row>
    <row r="458" spans="1:99">
      <c r="A458" t="str">
        <f>Model!I615</f>
        <v>Other Long-term Liabilities</v>
      </c>
      <c r="B458">
        <f>Model!J615</f>
        <v>0</v>
      </c>
      <c r="C458">
        <f>Model!K615</f>
        <v>0</v>
      </c>
      <c r="D458">
        <f>Model!L615</f>
        <v>0</v>
      </c>
      <c r="E458">
        <f>Model!M615</f>
        <v>0</v>
      </c>
      <c r="F458">
        <f>Model!N615</f>
        <v>0</v>
      </c>
      <c r="G458">
        <f>Model!O615</f>
        <v>0</v>
      </c>
      <c r="H458">
        <f>Model!P615</f>
        <v>0</v>
      </c>
      <c r="I458">
        <f>Model!Q615</f>
        <v>0</v>
      </c>
      <c r="J458">
        <f>Model!R615</f>
        <v>0</v>
      </c>
      <c r="K458">
        <f>Model!S615</f>
        <v>0</v>
      </c>
      <c r="L458">
        <f>Model!T615</f>
        <v>0</v>
      </c>
      <c r="M458">
        <f>Model!U615</f>
        <v>0</v>
      </c>
      <c r="N458">
        <f>Model!V615</f>
        <v>0</v>
      </c>
      <c r="O458">
        <f>Model!W615</f>
        <v>0</v>
      </c>
      <c r="P458">
        <f>Model!X615</f>
        <v>0</v>
      </c>
      <c r="Q458">
        <f>Model!Y615</f>
        <v>0</v>
      </c>
      <c r="R458">
        <f>Model!Z615</f>
        <v>0</v>
      </c>
      <c r="S458">
        <f>Model!AA615</f>
        <v>0</v>
      </c>
      <c r="T458">
        <f>Model!AB615</f>
        <v>0</v>
      </c>
      <c r="U458">
        <f>Model!AC615</f>
        <v>0</v>
      </c>
      <c r="V458">
        <f>Model!AD615</f>
        <v>0</v>
      </c>
      <c r="W458">
        <f>Model!AE615</f>
        <v>0</v>
      </c>
      <c r="X458">
        <f>Model!AF615</f>
        <v>0</v>
      </c>
      <c r="Y458">
        <f>Model!AG615</f>
        <v>0</v>
      </c>
      <c r="Z458">
        <f>Model!AH615</f>
        <v>0</v>
      </c>
      <c r="AA458">
        <f>Model!AI615</f>
        <v>0</v>
      </c>
      <c r="AB458">
        <f>Model!AJ615</f>
        <v>0</v>
      </c>
      <c r="AC458">
        <f>Model!AK615</f>
        <v>0</v>
      </c>
      <c r="AD458">
        <f>Model!AL615</f>
        <v>0</v>
      </c>
      <c r="AE458">
        <f>Model!AM615</f>
        <v>0</v>
      </c>
      <c r="AF458">
        <f>Model!AN615</f>
        <v>0</v>
      </c>
      <c r="AG458">
        <f>Model!AO615</f>
        <v>0</v>
      </c>
      <c r="AH458">
        <f>Model!AP615</f>
        <v>0</v>
      </c>
      <c r="AI458">
        <f>Model!AQ615</f>
        <v>0</v>
      </c>
      <c r="AJ458">
        <f>Model!AR615</f>
        <v>0</v>
      </c>
      <c r="AK458">
        <f>Model!AS615</f>
        <v>0</v>
      </c>
      <c r="AL458">
        <f>Model!AT615</f>
        <v>0</v>
      </c>
      <c r="AM458">
        <f>Model!AU615</f>
        <v>0</v>
      </c>
      <c r="AN458">
        <f>Model!AV615</f>
        <v>0</v>
      </c>
      <c r="AO458">
        <f>Model!AW615</f>
        <v>0</v>
      </c>
      <c r="AP458">
        <f>Model!AX615</f>
        <v>0</v>
      </c>
      <c r="AQ458">
        <f>Model!AY615</f>
        <v>0</v>
      </c>
      <c r="AR458">
        <f>Model!AZ615</f>
        <v>0</v>
      </c>
      <c r="AS458">
        <f>Model!BA615</f>
        <v>47.209000000000003</v>
      </c>
      <c r="AT458">
        <f>Model!BB615</f>
        <v>33.857999999999997</v>
      </c>
      <c r="AU458">
        <f>Model!BC615</f>
        <v>37.119</v>
      </c>
      <c r="AV458">
        <f>Model!BD615</f>
        <v>39.183</v>
      </c>
      <c r="AW458">
        <f>Model!BE615</f>
        <v>43.526000000000003</v>
      </c>
      <c r="AX458">
        <f>Model!BF615</f>
        <v>41.122</v>
      </c>
      <c r="AY458">
        <f>Model!BG615</f>
        <v>47.813000000000002</v>
      </c>
      <c r="AZ458">
        <f>Model!BH615</f>
        <v>68.944000000000003</v>
      </c>
      <c r="BA458">
        <f>Model!BI615</f>
        <v>90.588999999999999</v>
      </c>
      <c r="BB458">
        <f>Model!BJ615</f>
        <v>88.087999999999994</v>
      </c>
      <c r="BC458">
        <f>Model!BK615</f>
        <v>83.933999999999997</v>
      </c>
      <c r="BD458">
        <f>Model!BL615</f>
        <v>75.980999999999995</v>
      </c>
      <c r="BE458">
        <f>Model!BM615</f>
        <v>81.177000000000007</v>
      </c>
      <c r="BF458">
        <f>Model!BN615</f>
        <v>106.858</v>
      </c>
      <c r="BG458">
        <f>Model!BO615</f>
        <v>107.938</v>
      </c>
      <c r="BH458">
        <f>Model!BP615</f>
        <v>103.533</v>
      </c>
      <c r="BI458">
        <f>Model!BQ615</f>
        <v>132.98699999999999</v>
      </c>
      <c r="BJ458">
        <f>Model!BR615</f>
        <v>146.399</v>
      </c>
      <c r="BK458">
        <f>Model!BS615</f>
        <v>131.47399999999999</v>
      </c>
      <c r="BL458">
        <f>Model!BT615</f>
        <v>134.77699999999999</v>
      </c>
      <c r="BM458">
        <f>Model!BU615</f>
        <v>143.24199999999999</v>
      </c>
      <c r="BN458">
        <f>Model!BV615</f>
        <v>143.67400000000001</v>
      </c>
      <c r="BO458">
        <f>Model!BW615</f>
        <v>141.096</v>
      </c>
      <c r="BP458">
        <f>Model!BX615</f>
        <v>138.767</v>
      </c>
      <c r="BQ458">
        <f>Model!BY615</f>
        <v>128.56399999999999</v>
      </c>
      <c r="BR458">
        <f>Model!BZ615</f>
        <v>134.53700000000001</v>
      </c>
      <c r="BS458">
        <f>Model!CA615</f>
        <v>143.827</v>
      </c>
      <c r="BT458">
        <f>Model!CB615</f>
        <v>1398.9069999999999</v>
      </c>
      <c r="BU458">
        <f>Model!CC615</f>
        <v>1398.9069999999999</v>
      </c>
      <c r="BV458">
        <f>Model!CD615</f>
        <v>1398.9069999999999</v>
      </c>
      <c r="BW458">
        <f>Model!CE615</f>
        <v>1398.9069999999999</v>
      </c>
      <c r="BX458">
        <f>Model!CF615</f>
        <v>1398.9069999999999</v>
      </c>
      <c r="BY458">
        <f>Model!CG615</f>
        <v>0</v>
      </c>
      <c r="BZ458">
        <f>Model!CH615</f>
        <v>0</v>
      </c>
      <c r="CA458">
        <f>Model!CI615</f>
        <v>0</v>
      </c>
      <c r="CB458">
        <f>Model!CJ615</f>
        <v>0</v>
      </c>
      <c r="CC458">
        <f>Model!CK615</f>
        <v>0</v>
      </c>
      <c r="CD458">
        <f>Model!CL615</f>
        <v>0</v>
      </c>
      <c r="CE458">
        <f>Model!CM615</f>
        <v>0</v>
      </c>
      <c r="CF458">
        <f>Model!CN615</f>
        <v>0</v>
      </c>
      <c r="CG458">
        <f>Model!CO615</f>
        <v>0</v>
      </c>
      <c r="CH458">
        <f>Model!CP615</f>
        <v>0</v>
      </c>
      <c r="CI458">
        <f>Model!CQ615</f>
        <v>42.99</v>
      </c>
      <c r="CJ458">
        <f>Model!CR615</f>
        <v>39.183</v>
      </c>
      <c r="CK458">
        <f>Model!CS615</f>
        <v>68.944000000000003</v>
      </c>
      <c r="CL458">
        <f>Model!CT615</f>
        <v>75.980999999999995</v>
      </c>
      <c r="CM458">
        <f>Model!CU615</f>
        <v>103.533</v>
      </c>
      <c r="CN458">
        <f>Model!CV615</f>
        <v>134.77699999999999</v>
      </c>
      <c r="CO458">
        <f>Model!CW615</f>
        <v>138.767</v>
      </c>
      <c r="CP458">
        <f>Model!CX615</f>
        <v>1398.9069999999999</v>
      </c>
      <c r="CQ458">
        <f>Model!CY615</f>
        <v>1398.9069999999999</v>
      </c>
      <c r="CR458">
        <f>Model!DG615</f>
        <v>0</v>
      </c>
      <c r="CS458">
        <f>Model!DH615</f>
        <v>0</v>
      </c>
      <c r="CT458">
        <f>Model!DI615</f>
        <v>0</v>
      </c>
      <c r="CU458">
        <f>Model!DJ615</f>
        <v>0</v>
      </c>
    </row>
    <row r="459" spans="1:99">
      <c r="A459" t="str">
        <f>Model!I616</f>
        <v>Long-term Debt</v>
      </c>
      <c r="B459">
        <f>Model!J616</f>
        <v>0</v>
      </c>
      <c r="C459">
        <f>Model!K616</f>
        <v>0</v>
      </c>
      <c r="D459">
        <f>Model!L616</f>
        <v>0</v>
      </c>
      <c r="E459">
        <f>Model!M616</f>
        <v>0</v>
      </c>
      <c r="F459">
        <f>Model!N616</f>
        <v>0</v>
      </c>
      <c r="G459">
        <f>Model!O616</f>
        <v>0</v>
      </c>
      <c r="H459">
        <f>Model!P616</f>
        <v>0</v>
      </c>
      <c r="I459">
        <f>Model!Q616</f>
        <v>0</v>
      </c>
      <c r="J459">
        <f>Model!R616</f>
        <v>0</v>
      </c>
      <c r="K459">
        <f>Model!S616</f>
        <v>0</v>
      </c>
      <c r="L459">
        <f>Model!T616</f>
        <v>0</v>
      </c>
      <c r="M459">
        <f>Model!U616</f>
        <v>0</v>
      </c>
      <c r="N459">
        <f>Model!V616</f>
        <v>0</v>
      </c>
      <c r="O459">
        <f>Model!W616</f>
        <v>0</v>
      </c>
      <c r="P459">
        <f>Model!X616</f>
        <v>0</v>
      </c>
      <c r="Q459">
        <f>Model!Y616</f>
        <v>0</v>
      </c>
      <c r="R459">
        <f>Model!Z616</f>
        <v>0</v>
      </c>
      <c r="S459">
        <f>Model!AA616</f>
        <v>0</v>
      </c>
      <c r="T459">
        <f>Model!AB616</f>
        <v>0</v>
      </c>
      <c r="U459">
        <f>Model!AC616</f>
        <v>0</v>
      </c>
      <c r="V459">
        <f>Model!AD616</f>
        <v>0</v>
      </c>
      <c r="W459">
        <f>Model!AE616</f>
        <v>0</v>
      </c>
      <c r="X459">
        <f>Model!AF616</f>
        <v>0</v>
      </c>
      <c r="Y459">
        <f>Model!AG616</f>
        <v>0</v>
      </c>
      <c r="Z459">
        <f>Model!AH616</f>
        <v>0</v>
      </c>
      <c r="AA459">
        <f>Model!AI616</f>
        <v>0</v>
      </c>
      <c r="AB459">
        <f>Model!AJ616</f>
        <v>0</v>
      </c>
      <c r="AC459">
        <f>Model!AK616</f>
        <v>0</v>
      </c>
      <c r="AD459">
        <f>Model!AL616</f>
        <v>0</v>
      </c>
      <c r="AE459">
        <f>Model!AM616</f>
        <v>0</v>
      </c>
      <c r="AF459">
        <f>Model!AN616</f>
        <v>0</v>
      </c>
      <c r="AG459">
        <f>Model!AO616</f>
        <v>0</v>
      </c>
      <c r="AH459">
        <f>Model!AP616</f>
        <v>0</v>
      </c>
      <c r="AI459">
        <f>Model!AQ616</f>
        <v>0</v>
      </c>
      <c r="AJ459">
        <f>Model!AR616</f>
        <v>0</v>
      </c>
      <c r="AK459">
        <f>Model!AS616</f>
        <v>0</v>
      </c>
      <c r="AL459">
        <f>Model!AT616</f>
        <v>0</v>
      </c>
      <c r="AM459">
        <f>Model!AU616</f>
        <v>0</v>
      </c>
      <c r="AN459">
        <f>Model!AV616</f>
        <v>0</v>
      </c>
      <c r="AO459">
        <f>Model!AW616</f>
        <v>0</v>
      </c>
      <c r="AP459">
        <f>Model!AX616</f>
        <v>0</v>
      </c>
      <c r="AQ459">
        <f>Model!AY616</f>
        <v>0</v>
      </c>
      <c r="AR459">
        <f>Model!AZ616</f>
        <v>0</v>
      </c>
      <c r="AS459">
        <f>Model!BA616</f>
        <v>0</v>
      </c>
      <c r="AT459">
        <f>Model!BB616</f>
        <v>0</v>
      </c>
      <c r="AU459">
        <f>Model!BC616</f>
        <v>0</v>
      </c>
      <c r="AV459">
        <f>Model!BD616</f>
        <v>0</v>
      </c>
      <c r="AW459">
        <f>Model!BE616</f>
        <v>866.56899999999996</v>
      </c>
      <c r="AX459">
        <f>Model!BF616</f>
        <v>871.66700000000003</v>
      </c>
      <c r="AY459">
        <f>Model!BG616</f>
        <v>876.80899999999997</v>
      </c>
      <c r="AZ459">
        <f>Model!BH616</f>
        <v>881.99599999999998</v>
      </c>
      <c r="BA459">
        <f>Model!BI616</f>
        <v>887.22900000000004</v>
      </c>
      <c r="BB459">
        <f>Model!BJ616</f>
        <v>1720.097</v>
      </c>
      <c r="BC459">
        <f>Model!BK616</f>
        <v>1731.027</v>
      </c>
      <c r="BD459">
        <f>Model!BL616</f>
        <v>1742.047</v>
      </c>
      <c r="BE459">
        <f>Model!BM616</f>
        <v>1753.16</v>
      </c>
      <c r="BF459">
        <f>Model!BN616</f>
        <v>1764.364</v>
      </c>
      <c r="BG459">
        <f>Model!BO616</f>
        <v>3887.2429999999999</v>
      </c>
      <c r="BH459">
        <f>Model!BP616</f>
        <v>3849.7559999999999</v>
      </c>
      <c r="BI459">
        <f>Model!BQ616</f>
        <v>5304.1080000000002</v>
      </c>
      <c r="BJ459">
        <f>Model!BR616</f>
        <v>5399.9660000000003</v>
      </c>
      <c r="BK459">
        <f>Model!BS616</f>
        <v>5421.3280000000004</v>
      </c>
      <c r="BL459">
        <f>Model!BT616</f>
        <v>6158.4430000000002</v>
      </c>
      <c r="BM459">
        <f>Model!BU616</f>
        <v>6321.2020000000002</v>
      </c>
      <c r="BN459">
        <f>Model!BV616</f>
        <v>7255.2049999999999</v>
      </c>
      <c r="BO459">
        <f>Model!BW616</f>
        <v>6347.2049999999999</v>
      </c>
      <c r="BP459">
        <f>Model!BX616</f>
        <v>6170.5219999999999</v>
      </c>
      <c r="BQ459">
        <f>Model!BY616</f>
        <v>7286.1019999999999</v>
      </c>
      <c r="BR459">
        <f>Model!BZ616</f>
        <v>7564.6360000000004</v>
      </c>
      <c r="BS459">
        <f>Model!CA616</f>
        <v>8726.6790000000001</v>
      </c>
      <c r="BT459">
        <f>Model!CB616</f>
        <v>8809.7880000000005</v>
      </c>
      <c r="BU459">
        <f>Model!CC616</f>
        <v>7395.7880000000005</v>
      </c>
      <c r="BV459">
        <f>Model!CD616</f>
        <v>7395.7880000000005</v>
      </c>
      <c r="BW459">
        <f>Model!CE616</f>
        <v>7395.7880000000005</v>
      </c>
      <c r="BX459">
        <f>Model!CF616</f>
        <v>7395.7880000000005</v>
      </c>
      <c r="BY459">
        <f>Model!CG616</f>
        <v>0</v>
      </c>
      <c r="BZ459">
        <f>Model!CH616</f>
        <v>0</v>
      </c>
      <c r="CA459">
        <f>Model!CI616</f>
        <v>0</v>
      </c>
      <c r="CB459">
        <f>Model!CJ616</f>
        <v>0</v>
      </c>
      <c r="CC459">
        <f>Model!CK616</f>
        <v>0</v>
      </c>
      <c r="CD459">
        <f>Model!CL616</f>
        <v>0</v>
      </c>
      <c r="CE459">
        <f>Model!CM616</f>
        <v>0</v>
      </c>
      <c r="CF459">
        <f>Model!CN616</f>
        <v>0</v>
      </c>
      <c r="CG459">
        <f>Model!CO616</f>
        <v>0</v>
      </c>
      <c r="CH459">
        <f>Model!CP616</f>
        <v>0</v>
      </c>
      <c r="CI459">
        <f>Model!CQ616</f>
        <v>476.23</v>
      </c>
      <c r="CJ459">
        <f>Model!CR616</f>
        <v>0</v>
      </c>
      <c r="CK459">
        <f>Model!CS616</f>
        <v>881.99599999999998</v>
      </c>
      <c r="CL459">
        <f>Model!CT616</f>
        <v>1742.047</v>
      </c>
      <c r="CM459">
        <f>Model!CU616</f>
        <v>3849.7559999999999</v>
      </c>
      <c r="CN459">
        <f>Model!CV616</f>
        <v>6158.4430000000002</v>
      </c>
      <c r="CO459">
        <f>Model!CW616</f>
        <v>6170.5219999999999</v>
      </c>
      <c r="CP459">
        <f>Model!CX616</f>
        <v>8809.7880000000005</v>
      </c>
      <c r="CQ459">
        <f>Model!CY616</f>
        <v>7395.7880000000005</v>
      </c>
      <c r="CR459">
        <f>Model!DG616</f>
        <v>0</v>
      </c>
      <c r="CS459">
        <f>Model!DH616</f>
        <v>0</v>
      </c>
      <c r="CT459">
        <f>Model!DI616</f>
        <v>0</v>
      </c>
      <c r="CU459">
        <f>Model!DJ616</f>
        <v>0</v>
      </c>
    </row>
    <row r="460" spans="1:99">
      <c r="A460" t="str">
        <f>Model!I617</f>
        <v>Total Liabilities</v>
      </c>
      <c r="B460">
        <f>Model!J617</f>
        <v>0</v>
      </c>
      <c r="C460">
        <f>Model!K617</f>
        <v>0</v>
      </c>
      <c r="D460">
        <f>Model!L617</f>
        <v>0</v>
      </c>
      <c r="E460">
        <f>Model!M617</f>
        <v>0</v>
      </c>
      <c r="F460">
        <f>Model!N617</f>
        <v>0</v>
      </c>
      <c r="G460">
        <f>Model!O617</f>
        <v>0</v>
      </c>
      <c r="H460">
        <f>Model!P617</f>
        <v>0</v>
      </c>
      <c r="I460">
        <f>Model!Q617</f>
        <v>0</v>
      </c>
      <c r="J460">
        <f>Model!R617</f>
        <v>0</v>
      </c>
      <c r="K460">
        <f>Model!S617</f>
        <v>0</v>
      </c>
      <c r="L460">
        <f>Model!T617</f>
        <v>0</v>
      </c>
      <c r="M460">
        <f>Model!U617</f>
        <v>0</v>
      </c>
      <c r="N460">
        <f>Model!V617</f>
        <v>0</v>
      </c>
      <c r="O460">
        <f>Model!W617</f>
        <v>0</v>
      </c>
      <c r="P460">
        <f>Model!X617</f>
        <v>0</v>
      </c>
      <c r="Q460">
        <f>Model!Y617</f>
        <v>0</v>
      </c>
      <c r="R460">
        <f>Model!Z617</f>
        <v>0</v>
      </c>
      <c r="S460">
        <f>Model!AA617</f>
        <v>0</v>
      </c>
      <c r="T460">
        <f>Model!AB617</f>
        <v>0</v>
      </c>
      <c r="U460">
        <f>Model!AC617</f>
        <v>0</v>
      </c>
      <c r="V460">
        <f>Model!AD617</f>
        <v>0</v>
      </c>
      <c r="W460">
        <f>Model!AE617</f>
        <v>0</v>
      </c>
      <c r="X460">
        <f>Model!AF617</f>
        <v>0</v>
      </c>
      <c r="Y460">
        <f>Model!AG617</f>
        <v>0</v>
      </c>
      <c r="Z460">
        <f>Model!AH617</f>
        <v>0</v>
      </c>
      <c r="AA460">
        <f>Model!AI617</f>
        <v>0</v>
      </c>
      <c r="AB460">
        <f>Model!AJ617</f>
        <v>0</v>
      </c>
      <c r="AC460">
        <f>Model!AK617</f>
        <v>0</v>
      </c>
      <c r="AD460">
        <f>Model!AL617</f>
        <v>0</v>
      </c>
      <c r="AE460">
        <f>Model!AM617</f>
        <v>0</v>
      </c>
      <c r="AF460">
        <f>Model!AN617</f>
        <v>0</v>
      </c>
      <c r="AG460">
        <f>Model!AO617</f>
        <v>0</v>
      </c>
      <c r="AH460">
        <f>Model!AP617</f>
        <v>0</v>
      </c>
      <c r="AI460">
        <f>Model!AQ617</f>
        <v>0</v>
      </c>
      <c r="AJ460">
        <f>Model!AR617</f>
        <v>0</v>
      </c>
      <c r="AK460">
        <f>Model!AS617</f>
        <v>0</v>
      </c>
      <c r="AL460">
        <f>Model!AT617</f>
        <v>0</v>
      </c>
      <c r="AM460">
        <f>Model!AU617</f>
        <v>0</v>
      </c>
      <c r="AN460">
        <f>Model!AV617</f>
        <v>0</v>
      </c>
      <c r="AO460">
        <f>Model!AW617</f>
        <v>0</v>
      </c>
      <c r="AP460">
        <f>Model!AX617</f>
        <v>0</v>
      </c>
      <c r="AQ460">
        <f>Model!AY617</f>
        <v>0</v>
      </c>
      <c r="AR460">
        <f>Model!AZ617</f>
        <v>0</v>
      </c>
      <c r="AS460">
        <f>Model!BA617</f>
        <v>1189.8429999999998</v>
      </c>
      <c r="AT460">
        <f>Model!BB617</f>
        <v>1214.73</v>
      </c>
      <c r="AU460">
        <f>Model!BC617</f>
        <v>1265.828</v>
      </c>
      <c r="AV460">
        <f>Model!BD617</f>
        <v>1191.971</v>
      </c>
      <c r="AW460">
        <f>Model!BE617</f>
        <v>2246.0439999999999</v>
      </c>
      <c r="AX460">
        <f>Model!BF617</f>
        <v>2324.6610000000001</v>
      </c>
      <c r="AY460">
        <f>Model!BG617</f>
        <v>2446.2669999999998</v>
      </c>
      <c r="AZ460">
        <f>Model!BH617</f>
        <v>2457.8249999999998</v>
      </c>
      <c r="BA460">
        <f>Model!BI617</f>
        <v>2624.6309999999999</v>
      </c>
      <c r="BB460">
        <f>Model!BJ617</f>
        <v>3966.9179999999997</v>
      </c>
      <c r="BC460">
        <f>Model!BK617</f>
        <v>4012.3029999999999</v>
      </c>
      <c r="BD460">
        <f>Model!BL617</f>
        <v>3526.1980000000003</v>
      </c>
      <c r="BE460">
        <f>Model!BM617</f>
        <v>3599.9569999999999</v>
      </c>
      <c r="BF460">
        <f>Model!BN617</f>
        <v>3774.9560000000001</v>
      </c>
      <c r="BG460">
        <f>Model!BO617</f>
        <v>6450.4930000000004</v>
      </c>
      <c r="BH460">
        <f>Model!BP617</f>
        <v>6373.54</v>
      </c>
      <c r="BI460">
        <f>Model!BQ617</f>
        <v>8212.3670000000002</v>
      </c>
      <c r="BJ460">
        <f>Model!BR617</f>
        <v>8469.3810000000012</v>
      </c>
      <c r="BK460">
        <f>Model!BS617</f>
        <v>8087.9970000000003</v>
      </c>
      <c r="BL460">
        <f>Model!BT617</f>
        <v>8625.1059999999998</v>
      </c>
      <c r="BM460">
        <f>Model!BU617</f>
        <v>9282.1790000000001</v>
      </c>
      <c r="BN460">
        <f>Model!BV617</f>
        <v>10412.465</v>
      </c>
      <c r="BO460">
        <f>Model!BW617</f>
        <v>10196.710000000001</v>
      </c>
      <c r="BP460">
        <f>Model!BX617</f>
        <v>9990.2929999999997</v>
      </c>
      <c r="BQ460">
        <f>Model!BY617</f>
        <v>11160.712</v>
      </c>
      <c r="BR460">
        <f>Model!BZ617</f>
        <v>11853.577000000001</v>
      </c>
      <c r="BS460">
        <f>Model!CA617</f>
        <v>12902.716</v>
      </c>
      <c r="BT460">
        <f>Model!CB617</f>
        <v>14187.702000000001</v>
      </c>
      <c r="BU460">
        <f>Model!CC617</f>
        <v>12596.306874403035</v>
      </c>
      <c r="BV460">
        <f>Model!CD617</f>
        <v>13281.608402435075</v>
      </c>
      <c r="BW460">
        <f>Model!CE617</f>
        <v>13004.67395252618</v>
      </c>
      <c r="BX460">
        <f>Model!CF617</f>
        <v>13306.104760758326</v>
      </c>
      <c r="BY460">
        <f>Model!CG617</f>
        <v>0</v>
      </c>
      <c r="BZ460">
        <f>Model!CH617</f>
        <v>0</v>
      </c>
      <c r="CA460">
        <f>Model!CI617</f>
        <v>0</v>
      </c>
      <c r="CB460">
        <f>Model!CJ617</f>
        <v>0</v>
      </c>
      <c r="CC460">
        <f>Model!CK617</f>
        <v>0</v>
      </c>
      <c r="CD460">
        <f>Model!CL617</f>
        <v>0</v>
      </c>
      <c r="CE460">
        <f>Model!CM617</f>
        <v>0</v>
      </c>
      <c r="CF460">
        <f>Model!CN617</f>
        <v>0</v>
      </c>
      <c r="CG460">
        <f>Model!CO617</f>
        <v>0</v>
      </c>
      <c r="CH460">
        <f>Model!CP617</f>
        <v>0</v>
      </c>
      <c r="CI460">
        <f>Model!CQ617</f>
        <v>1046.828</v>
      </c>
      <c r="CJ460">
        <f>Model!CR617</f>
        <v>1191.971</v>
      </c>
      <c r="CK460">
        <f>Model!CS617</f>
        <v>2457.8249999999998</v>
      </c>
      <c r="CL460">
        <f>Model!CT617</f>
        <v>3526.1980000000003</v>
      </c>
      <c r="CM460">
        <f>Model!CU617</f>
        <v>6373.54</v>
      </c>
      <c r="CN460">
        <f>Model!CV617</f>
        <v>8625.1059999999998</v>
      </c>
      <c r="CO460">
        <f>Model!CW617</f>
        <v>9990.2929999999997</v>
      </c>
      <c r="CP460">
        <f>Model!CX617</f>
        <v>14187.702000000001</v>
      </c>
      <c r="CQ460">
        <f>Model!CY617</f>
        <v>13306.104760758326</v>
      </c>
      <c r="CR460">
        <f>Model!DG617</f>
        <v>0</v>
      </c>
      <c r="CS460">
        <f>Model!DH617</f>
        <v>0</v>
      </c>
      <c r="CT460">
        <f>Model!DI617</f>
        <v>0</v>
      </c>
      <c r="CU460">
        <f>Model!DJ617</f>
        <v>0</v>
      </c>
    </row>
    <row r="461" spans="1:99">
      <c r="A461">
        <f>Model!I618</f>
        <v>0</v>
      </c>
      <c r="B461">
        <f>Model!J618</f>
        <v>0</v>
      </c>
      <c r="C461">
        <f>Model!K618</f>
        <v>0</v>
      </c>
      <c r="D461">
        <f>Model!L618</f>
        <v>0</v>
      </c>
      <c r="E461">
        <f>Model!M618</f>
        <v>0</v>
      </c>
      <c r="F461">
        <f>Model!N618</f>
        <v>0</v>
      </c>
      <c r="G461">
        <f>Model!O618</f>
        <v>0</v>
      </c>
      <c r="H461">
        <f>Model!P618</f>
        <v>0</v>
      </c>
      <c r="I461">
        <f>Model!Q618</f>
        <v>0</v>
      </c>
      <c r="J461">
        <f>Model!R618</f>
        <v>0</v>
      </c>
      <c r="K461">
        <f>Model!S618</f>
        <v>0</v>
      </c>
      <c r="L461">
        <f>Model!T618</f>
        <v>0</v>
      </c>
      <c r="M461">
        <f>Model!U618</f>
        <v>0</v>
      </c>
      <c r="N461">
        <f>Model!V618</f>
        <v>0</v>
      </c>
      <c r="O461">
        <f>Model!W618</f>
        <v>0</v>
      </c>
      <c r="P461">
        <f>Model!X618</f>
        <v>0</v>
      </c>
      <c r="Q461">
        <f>Model!Y618</f>
        <v>0</v>
      </c>
      <c r="R461">
        <f>Model!Z618</f>
        <v>0</v>
      </c>
      <c r="S461">
        <f>Model!AA618</f>
        <v>0</v>
      </c>
      <c r="T461">
        <f>Model!AB618</f>
        <v>0</v>
      </c>
      <c r="U461">
        <f>Model!AC618</f>
        <v>0</v>
      </c>
      <c r="V461">
        <f>Model!AD618</f>
        <v>0</v>
      </c>
      <c r="W461">
        <f>Model!AE618</f>
        <v>0</v>
      </c>
      <c r="X461">
        <f>Model!AF618</f>
        <v>0</v>
      </c>
      <c r="Y461">
        <f>Model!AG618</f>
        <v>0</v>
      </c>
      <c r="Z461">
        <f>Model!AH618</f>
        <v>0</v>
      </c>
      <c r="AA461">
        <f>Model!AI618</f>
        <v>0</v>
      </c>
      <c r="AB461">
        <f>Model!AJ618</f>
        <v>0</v>
      </c>
      <c r="AC461">
        <f>Model!AK618</f>
        <v>0</v>
      </c>
      <c r="AD461">
        <f>Model!AL618</f>
        <v>0</v>
      </c>
      <c r="AE461">
        <f>Model!AM618</f>
        <v>0</v>
      </c>
      <c r="AF461">
        <f>Model!AN618</f>
        <v>0</v>
      </c>
      <c r="AG461">
        <f>Model!AO618</f>
        <v>0</v>
      </c>
      <c r="AH461">
        <f>Model!AP618</f>
        <v>0</v>
      </c>
      <c r="AI461">
        <f>Model!AQ618</f>
        <v>0</v>
      </c>
      <c r="AJ461">
        <f>Model!AR618</f>
        <v>0</v>
      </c>
      <c r="AK461">
        <f>Model!AS618</f>
        <v>0</v>
      </c>
      <c r="AL461">
        <f>Model!AT618</f>
        <v>0</v>
      </c>
      <c r="AM461">
        <f>Model!AU618</f>
        <v>0</v>
      </c>
      <c r="AN461">
        <f>Model!AV618</f>
        <v>0</v>
      </c>
      <c r="AO461">
        <f>Model!AW618</f>
        <v>0</v>
      </c>
      <c r="AP461">
        <f>Model!AX618</f>
        <v>0</v>
      </c>
      <c r="AQ461">
        <f>Model!AY618</f>
        <v>0</v>
      </c>
      <c r="AR461">
        <f>Model!AZ618</f>
        <v>0</v>
      </c>
      <c r="AS461">
        <f>Model!BA618</f>
        <v>0</v>
      </c>
      <c r="AT461">
        <f>Model!BB618</f>
        <v>0</v>
      </c>
      <c r="AU461">
        <f>Model!BC618</f>
        <v>0</v>
      </c>
      <c r="AV461">
        <f>Model!BD618</f>
        <v>0</v>
      </c>
      <c r="AW461">
        <f>Model!BE618</f>
        <v>0</v>
      </c>
      <c r="AX461">
        <f>Model!BF618</f>
        <v>0</v>
      </c>
      <c r="AY461">
        <f>Model!BG618</f>
        <v>0</v>
      </c>
      <c r="AZ461">
        <f>Model!BH618</f>
        <v>0</v>
      </c>
      <c r="BA461">
        <f>Model!BI618</f>
        <v>0</v>
      </c>
      <c r="BB461">
        <f>Model!BJ618</f>
        <v>0</v>
      </c>
      <c r="BC461">
        <f>Model!BK618</f>
        <v>0</v>
      </c>
      <c r="BD461">
        <f>Model!BL618</f>
        <v>0</v>
      </c>
      <c r="BE461">
        <f>Model!BM618</f>
        <v>0</v>
      </c>
      <c r="BF461">
        <f>Model!BN618</f>
        <v>0</v>
      </c>
      <c r="BG461">
        <f>Model!BO618</f>
        <v>0</v>
      </c>
      <c r="BH461">
        <f>Model!BP618</f>
        <v>0</v>
      </c>
      <c r="BI461">
        <f>Model!BQ618</f>
        <v>0</v>
      </c>
      <c r="BJ461">
        <f>Model!BR618</f>
        <v>0</v>
      </c>
      <c r="BK461">
        <f>Model!BS618</f>
        <v>0</v>
      </c>
      <c r="BL461">
        <f>Model!BT618</f>
        <v>0</v>
      </c>
      <c r="BM461">
        <f>Model!BU618</f>
        <v>0</v>
      </c>
      <c r="BN461">
        <f>Model!BV618</f>
        <v>0</v>
      </c>
      <c r="BO461">
        <f>Model!BW618</f>
        <v>0</v>
      </c>
      <c r="BP461">
        <f>Model!BX618</f>
        <v>0</v>
      </c>
      <c r="BQ461">
        <f>Model!BY618</f>
        <v>0</v>
      </c>
      <c r="BR461">
        <f>Model!BZ618</f>
        <v>0</v>
      </c>
      <c r="BS461">
        <f>Model!CA618</f>
        <v>0</v>
      </c>
      <c r="BT461">
        <f>Model!CB618</f>
        <v>0</v>
      </c>
      <c r="BU461">
        <f>Model!CC618</f>
        <v>0</v>
      </c>
      <c r="BV461">
        <f>Model!CD618</f>
        <v>0</v>
      </c>
      <c r="BW461">
        <f>Model!CE618</f>
        <v>0</v>
      </c>
      <c r="BX461">
        <f>Model!CF618</f>
        <v>0</v>
      </c>
      <c r="BY461">
        <f>Model!CG618</f>
        <v>0</v>
      </c>
      <c r="BZ461">
        <f>Model!CH618</f>
        <v>0</v>
      </c>
      <c r="CA461">
        <f>Model!CI618</f>
        <v>0</v>
      </c>
      <c r="CB461">
        <f>Model!CJ618</f>
        <v>0</v>
      </c>
      <c r="CC461">
        <f>Model!CK618</f>
        <v>0</v>
      </c>
      <c r="CD461">
        <f>Model!CL618</f>
        <v>0</v>
      </c>
      <c r="CE461">
        <f>Model!CM618</f>
        <v>0</v>
      </c>
      <c r="CF461">
        <f>Model!CN618</f>
        <v>0</v>
      </c>
      <c r="CG461">
        <f>Model!CO618</f>
        <v>0</v>
      </c>
      <c r="CH461">
        <f>Model!CP618</f>
        <v>0</v>
      </c>
      <c r="CI461">
        <f>Model!CQ618</f>
        <v>0</v>
      </c>
      <c r="CJ461">
        <f>Model!CR618</f>
        <v>0</v>
      </c>
      <c r="CK461">
        <f>Model!CS618</f>
        <v>0</v>
      </c>
      <c r="CL461">
        <f>Model!CT618</f>
        <v>0</v>
      </c>
      <c r="CM461">
        <f>Model!CU618</f>
        <v>0</v>
      </c>
      <c r="CN461">
        <f>Model!CV618</f>
        <v>0</v>
      </c>
      <c r="CO461">
        <f>Model!CW618</f>
        <v>0</v>
      </c>
      <c r="CP461">
        <f>Model!CX618</f>
        <v>0</v>
      </c>
      <c r="CQ461">
        <f>Model!CY618</f>
        <v>0</v>
      </c>
      <c r="CR461">
        <f>Model!DG618</f>
        <v>0</v>
      </c>
      <c r="CS461">
        <f>Model!DH618</f>
        <v>0</v>
      </c>
      <c r="CT461">
        <f>Model!DI618</f>
        <v>0</v>
      </c>
      <c r="CU461">
        <f>Model!DJ618</f>
        <v>0</v>
      </c>
    </row>
    <row r="462" spans="1:99">
      <c r="A462" t="str">
        <f>Model!I619</f>
        <v>Convertible Debt</v>
      </c>
      <c r="B462">
        <f>Model!J619</f>
        <v>0</v>
      </c>
      <c r="C462">
        <f>Model!K619</f>
        <v>0</v>
      </c>
      <c r="D462">
        <f>Model!L619</f>
        <v>0</v>
      </c>
      <c r="E462">
        <f>Model!M619</f>
        <v>0</v>
      </c>
      <c r="F462">
        <f>Model!N619</f>
        <v>0</v>
      </c>
      <c r="G462">
        <f>Model!O619</f>
        <v>0</v>
      </c>
      <c r="H462">
        <f>Model!P619</f>
        <v>0</v>
      </c>
      <c r="I462">
        <f>Model!Q619</f>
        <v>0</v>
      </c>
      <c r="J462">
        <f>Model!R619</f>
        <v>0</v>
      </c>
      <c r="K462">
        <f>Model!S619</f>
        <v>0</v>
      </c>
      <c r="L462">
        <f>Model!T619</f>
        <v>0</v>
      </c>
      <c r="M462">
        <f>Model!U619</f>
        <v>0</v>
      </c>
      <c r="N462">
        <f>Model!V619</f>
        <v>0</v>
      </c>
      <c r="O462">
        <f>Model!W619</f>
        <v>0</v>
      </c>
      <c r="P462">
        <f>Model!X619</f>
        <v>0</v>
      </c>
      <c r="Q462">
        <f>Model!Y619</f>
        <v>0</v>
      </c>
      <c r="R462">
        <f>Model!Z619</f>
        <v>0</v>
      </c>
      <c r="S462">
        <f>Model!AA619</f>
        <v>0</v>
      </c>
      <c r="T462">
        <f>Model!AB619</f>
        <v>0</v>
      </c>
      <c r="U462">
        <f>Model!AC619</f>
        <v>0</v>
      </c>
      <c r="V462">
        <f>Model!AD619</f>
        <v>0</v>
      </c>
      <c r="W462">
        <f>Model!AE619</f>
        <v>0</v>
      </c>
      <c r="X462">
        <f>Model!AF619</f>
        <v>0</v>
      </c>
      <c r="Y462">
        <f>Model!AG619</f>
        <v>0</v>
      </c>
      <c r="Z462">
        <f>Model!AH619</f>
        <v>0</v>
      </c>
      <c r="AA462">
        <f>Model!AI619</f>
        <v>0</v>
      </c>
      <c r="AB462">
        <f>Model!AJ619</f>
        <v>0</v>
      </c>
      <c r="AC462">
        <f>Model!AK619</f>
        <v>0</v>
      </c>
      <c r="AD462">
        <f>Model!AL619</f>
        <v>0</v>
      </c>
      <c r="AE462">
        <f>Model!AM619</f>
        <v>0</v>
      </c>
      <c r="AF462">
        <f>Model!AN619</f>
        <v>0</v>
      </c>
      <c r="AG462">
        <f>Model!AO619</f>
        <v>0</v>
      </c>
      <c r="AH462">
        <f>Model!AP619</f>
        <v>0</v>
      </c>
      <c r="AI462">
        <f>Model!AQ619</f>
        <v>0</v>
      </c>
      <c r="AJ462">
        <f>Model!AR619</f>
        <v>0</v>
      </c>
      <c r="AK462">
        <f>Model!AS619</f>
        <v>0</v>
      </c>
      <c r="AL462">
        <f>Model!AT619</f>
        <v>0</v>
      </c>
      <c r="AM462">
        <f>Model!AU619</f>
        <v>0</v>
      </c>
      <c r="AN462">
        <f>Model!AV619</f>
        <v>0</v>
      </c>
      <c r="AO462">
        <f>Model!AW619</f>
        <v>0</v>
      </c>
      <c r="AP462">
        <f>Model!AX619</f>
        <v>0</v>
      </c>
      <c r="AQ462">
        <f>Model!AY619</f>
        <v>0</v>
      </c>
      <c r="AR462">
        <f>Model!AZ619</f>
        <v>0</v>
      </c>
      <c r="AS462">
        <f>Model!BA619</f>
        <v>93.569000000000003</v>
      </c>
      <c r="AT462">
        <f>Model!BB619</f>
        <v>88.221999999999994</v>
      </c>
      <c r="AU462">
        <f>Model!BC619</f>
        <v>82.831000000000003</v>
      </c>
      <c r="AV462">
        <f>Model!BD619</f>
        <v>77.36</v>
      </c>
      <c r="AW462">
        <f>Model!BE619</f>
        <v>71.808000000000007</v>
      </c>
      <c r="AX462">
        <f>Model!BF619</f>
        <v>66.174000000000007</v>
      </c>
      <c r="AY462">
        <f>Model!BG619</f>
        <v>60.457000000000001</v>
      </c>
      <c r="AZ462">
        <f>Model!BH619</f>
        <v>54.655000000000001</v>
      </c>
      <c r="BA462">
        <f>Model!BI619</f>
        <v>48.768000000000001</v>
      </c>
      <c r="BB462">
        <f>Model!BJ619</f>
        <v>42.792999999999999</v>
      </c>
      <c r="BC462">
        <f>Model!BK619</f>
        <v>36.729999999999997</v>
      </c>
      <c r="BD462">
        <f>Model!BL619</f>
        <v>8.5329999999999995</v>
      </c>
      <c r="BE462">
        <f>Model!BM619</f>
        <v>4.3179999999999996</v>
      </c>
      <c r="BF462">
        <f>Model!BN619</f>
        <v>1.335</v>
      </c>
      <c r="BG462">
        <f>Model!BO619</f>
        <v>0.77600000000000002</v>
      </c>
      <c r="BH462">
        <f>Model!BP619</f>
        <v>0.32900000000000001</v>
      </c>
      <c r="BI462">
        <f>Model!BQ619</f>
        <v>0</v>
      </c>
      <c r="BJ462">
        <f>Model!BR619</f>
        <v>0</v>
      </c>
      <c r="BK462">
        <f>Model!BS619</f>
        <v>0</v>
      </c>
      <c r="BL462">
        <f>Model!BT619</f>
        <v>0</v>
      </c>
      <c r="BM462">
        <f>Model!BU619</f>
        <v>0</v>
      </c>
      <c r="BN462">
        <f>Model!BV619</f>
        <v>0</v>
      </c>
      <c r="BO462">
        <f>Model!BW619</f>
        <v>34.503999999999998</v>
      </c>
      <c r="BP462">
        <f>Model!BX619</f>
        <v>28.538</v>
      </c>
      <c r="BQ462">
        <f>Model!BY619</f>
        <v>22.521000000000001</v>
      </c>
      <c r="BR462">
        <f>Model!BZ619</f>
        <v>15.077</v>
      </c>
      <c r="BS462">
        <f>Model!CA619</f>
        <v>9.4009999999999998</v>
      </c>
      <c r="BT462">
        <f>Model!CB619</f>
        <v>2.9630000000000001</v>
      </c>
      <c r="BU462">
        <f>Model!CC619</f>
        <v>2.9630000000000001</v>
      </c>
      <c r="BV462">
        <f>Model!CD619</f>
        <v>2.9630000000000001</v>
      </c>
      <c r="BW462">
        <f>Model!CE619</f>
        <v>2.9630000000000001</v>
      </c>
      <c r="BX462">
        <f>Model!CF619</f>
        <v>2.9630000000000001</v>
      </c>
      <c r="BY462">
        <f>Model!CG619</f>
        <v>0</v>
      </c>
      <c r="BZ462">
        <f>Model!CH619</f>
        <v>0</v>
      </c>
      <c r="CA462">
        <f>Model!CI619</f>
        <v>0</v>
      </c>
      <c r="CB462">
        <f>Model!CJ619</f>
        <v>0</v>
      </c>
      <c r="CC462">
        <f>Model!CK619</f>
        <v>0</v>
      </c>
      <c r="CD462">
        <f>Model!CL619</f>
        <v>0</v>
      </c>
      <c r="CE462">
        <f>Model!CM619</f>
        <v>0</v>
      </c>
      <c r="CF462">
        <f>Model!CN619</f>
        <v>0</v>
      </c>
      <c r="CG462">
        <f>Model!CO619</f>
        <v>0</v>
      </c>
      <c r="CH462">
        <f>Model!CP619</f>
        <v>0</v>
      </c>
      <c r="CI462">
        <f>Model!CQ619</f>
        <v>3.7999999999999999E-2</v>
      </c>
      <c r="CJ462">
        <f>Model!CR619</f>
        <v>77.36</v>
      </c>
      <c r="CK462">
        <f>Model!CS619</f>
        <v>54.655000000000001</v>
      </c>
      <c r="CL462">
        <f>Model!CT619</f>
        <v>8.5329999999999995</v>
      </c>
      <c r="CM462">
        <f>Model!CU619</f>
        <v>0.32900000000000001</v>
      </c>
      <c r="CN462">
        <f>Model!CV619</f>
        <v>0</v>
      </c>
      <c r="CO462">
        <f>Model!CW619</f>
        <v>28.538</v>
      </c>
      <c r="CP462">
        <f>Model!CX619</f>
        <v>2.9630000000000001</v>
      </c>
      <c r="CQ462">
        <f>Model!CY619</f>
        <v>2.9630000000000001</v>
      </c>
      <c r="CR462">
        <f>Model!DG619</f>
        <v>0</v>
      </c>
      <c r="CS462">
        <f>Model!DH619</f>
        <v>0</v>
      </c>
      <c r="CT462">
        <f>Model!DI619</f>
        <v>0</v>
      </c>
      <c r="CU462">
        <f>Model!DJ619</f>
        <v>0</v>
      </c>
    </row>
    <row r="463" spans="1:99">
      <c r="A463" t="str">
        <f>Model!I620</f>
        <v>Redeemable Noncontrolling Interests</v>
      </c>
      <c r="B463">
        <f>Model!J620</f>
        <v>0</v>
      </c>
      <c r="C463">
        <f>Model!K620</f>
        <v>0</v>
      </c>
      <c r="D463">
        <f>Model!L620</f>
        <v>0</v>
      </c>
      <c r="E463">
        <f>Model!M620</f>
        <v>0</v>
      </c>
      <c r="F463">
        <f>Model!N620</f>
        <v>0</v>
      </c>
      <c r="G463">
        <f>Model!O620</f>
        <v>0</v>
      </c>
      <c r="H463">
        <f>Model!P620</f>
        <v>0</v>
      </c>
      <c r="I463">
        <f>Model!Q620</f>
        <v>0</v>
      </c>
      <c r="J463">
        <f>Model!R620</f>
        <v>0</v>
      </c>
      <c r="K463">
        <f>Model!S620</f>
        <v>0</v>
      </c>
      <c r="L463">
        <f>Model!T620</f>
        <v>0</v>
      </c>
      <c r="M463">
        <f>Model!U620</f>
        <v>0</v>
      </c>
      <c r="N463">
        <f>Model!V620</f>
        <v>0</v>
      </c>
      <c r="O463">
        <f>Model!W620</f>
        <v>0</v>
      </c>
      <c r="P463">
        <f>Model!X620</f>
        <v>0</v>
      </c>
      <c r="Q463">
        <f>Model!Y620</f>
        <v>0</v>
      </c>
      <c r="R463">
        <f>Model!Z620</f>
        <v>0</v>
      </c>
      <c r="S463">
        <f>Model!AA620</f>
        <v>0</v>
      </c>
      <c r="T463">
        <f>Model!AB620</f>
        <v>0</v>
      </c>
      <c r="U463">
        <f>Model!AC620</f>
        <v>0</v>
      </c>
      <c r="V463">
        <f>Model!AD620</f>
        <v>0</v>
      </c>
      <c r="W463">
        <f>Model!AE620</f>
        <v>0</v>
      </c>
      <c r="X463">
        <f>Model!AF620</f>
        <v>0</v>
      </c>
      <c r="Y463">
        <f>Model!AG620</f>
        <v>0</v>
      </c>
      <c r="Z463">
        <f>Model!AH620</f>
        <v>0</v>
      </c>
      <c r="AA463">
        <f>Model!AI620</f>
        <v>0</v>
      </c>
      <c r="AB463">
        <f>Model!AJ620</f>
        <v>0</v>
      </c>
      <c r="AC463">
        <f>Model!AK620</f>
        <v>0</v>
      </c>
      <c r="AD463">
        <f>Model!AL620</f>
        <v>0</v>
      </c>
      <c r="AE463">
        <f>Model!AM620</f>
        <v>0</v>
      </c>
      <c r="AF463">
        <f>Model!AN620</f>
        <v>0</v>
      </c>
      <c r="AG463">
        <f>Model!AO620</f>
        <v>0</v>
      </c>
      <c r="AH463">
        <f>Model!AP620</f>
        <v>0</v>
      </c>
      <c r="AI463">
        <f>Model!AQ620</f>
        <v>0</v>
      </c>
      <c r="AJ463">
        <f>Model!AR620</f>
        <v>0</v>
      </c>
      <c r="AK463">
        <f>Model!AS620</f>
        <v>0</v>
      </c>
      <c r="AL463">
        <f>Model!AT620</f>
        <v>0</v>
      </c>
      <c r="AM463">
        <f>Model!AU620</f>
        <v>0</v>
      </c>
      <c r="AN463">
        <f>Model!AV620</f>
        <v>0</v>
      </c>
      <c r="AO463">
        <f>Model!AW620</f>
        <v>0</v>
      </c>
      <c r="AP463">
        <f>Model!AX620</f>
        <v>0</v>
      </c>
      <c r="AQ463">
        <f>Model!AY620</f>
        <v>0</v>
      </c>
      <c r="AR463">
        <f>Model!AZ620</f>
        <v>0</v>
      </c>
      <c r="AS463">
        <f>Model!BA620</f>
        <v>57.537999999999997</v>
      </c>
      <c r="AT463">
        <f>Model!BB620</f>
        <v>67.495999999999995</v>
      </c>
      <c r="AU463">
        <f>Model!BC620</f>
        <v>76.614999999999995</v>
      </c>
      <c r="AV463">
        <f>Model!BD620</f>
        <v>127.045</v>
      </c>
      <c r="AW463">
        <f>Model!BE620</f>
        <v>183.316</v>
      </c>
      <c r="AX463">
        <f>Model!BF620</f>
        <v>110.184</v>
      </c>
      <c r="AY463">
        <f>Model!BG620</f>
        <v>133.221</v>
      </c>
      <c r="AZ463">
        <f>Model!BH620</f>
        <v>160.28700000000001</v>
      </c>
      <c r="BA463">
        <f>Model!BI620</f>
        <v>190.893</v>
      </c>
      <c r="BB463">
        <f>Model!BJ620</f>
        <v>0</v>
      </c>
      <c r="BC463">
        <f>Model!BK620</f>
        <v>0</v>
      </c>
      <c r="BD463">
        <f>Model!BL620</f>
        <v>0</v>
      </c>
      <c r="BE463">
        <f>Model!BM620</f>
        <v>0</v>
      </c>
      <c r="BF463">
        <f>Model!BN620</f>
        <v>0</v>
      </c>
      <c r="BG463">
        <f>Model!BO620</f>
        <v>0</v>
      </c>
      <c r="BH463">
        <f>Model!BP620</f>
        <v>0</v>
      </c>
      <c r="BI463">
        <f>Model!BQ620</f>
        <v>0</v>
      </c>
      <c r="BJ463">
        <f>Model!BR620</f>
        <v>0</v>
      </c>
      <c r="BK463">
        <f>Model!BS620</f>
        <v>0</v>
      </c>
      <c r="BL463">
        <f>Model!BT620</f>
        <v>0</v>
      </c>
      <c r="BM463">
        <f>Model!BU620</f>
        <v>0</v>
      </c>
      <c r="BN463">
        <f>Model!BV620</f>
        <v>0</v>
      </c>
      <c r="BO463">
        <f>Model!BW620</f>
        <v>0</v>
      </c>
      <c r="BP463">
        <f>Model!BX620</f>
        <v>0</v>
      </c>
      <c r="BQ463">
        <f>Model!BY620</f>
        <v>0</v>
      </c>
      <c r="BR463">
        <f>Model!BZ620</f>
        <v>0</v>
      </c>
      <c r="BS463">
        <f>Model!CA620</f>
        <v>0</v>
      </c>
      <c r="BT463">
        <f>Model!CB620</f>
        <v>0</v>
      </c>
      <c r="BU463">
        <f>Model!CC620</f>
        <v>0</v>
      </c>
      <c r="BV463">
        <f>Model!CD620</f>
        <v>0</v>
      </c>
      <c r="BW463">
        <f>Model!CE620</f>
        <v>0</v>
      </c>
      <c r="BX463">
        <f>Model!CF620</f>
        <v>0</v>
      </c>
      <c r="BY463">
        <f>Model!CG620</f>
        <v>0</v>
      </c>
      <c r="BZ463">
        <f>Model!CH620</f>
        <v>0</v>
      </c>
      <c r="CA463">
        <f>Model!CI620</f>
        <v>0</v>
      </c>
      <c r="CB463">
        <f>Model!CJ620</f>
        <v>0</v>
      </c>
      <c r="CC463">
        <f>Model!CK620</f>
        <v>0</v>
      </c>
      <c r="CD463">
        <f>Model!CL620</f>
        <v>0</v>
      </c>
      <c r="CE463">
        <f>Model!CM620</f>
        <v>0</v>
      </c>
      <c r="CF463">
        <f>Model!CN620</f>
        <v>0</v>
      </c>
      <c r="CG463">
        <f>Model!CO620</f>
        <v>0</v>
      </c>
      <c r="CH463">
        <f>Model!CP620</f>
        <v>0</v>
      </c>
      <c r="CI463">
        <f>Model!CQ620</f>
        <v>45.750999999999998</v>
      </c>
      <c r="CJ463">
        <f>Model!CR620</f>
        <v>127.045</v>
      </c>
      <c r="CK463">
        <f>Model!CS620</f>
        <v>160.28700000000001</v>
      </c>
      <c r="CL463">
        <f>Model!CT620</f>
        <v>0</v>
      </c>
      <c r="CM463">
        <f>Model!CU620</f>
        <v>0</v>
      </c>
      <c r="CN463">
        <f>Model!CV620</f>
        <v>0</v>
      </c>
      <c r="CO463">
        <f>Model!CW620</f>
        <v>0</v>
      </c>
      <c r="CP463">
        <f>Model!CX620</f>
        <v>0</v>
      </c>
      <c r="CQ463">
        <f>Model!CY620</f>
        <v>0</v>
      </c>
      <c r="CR463">
        <f>Model!DG620</f>
        <v>0</v>
      </c>
      <c r="CS463">
        <f>Model!DH620</f>
        <v>0</v>
      </c>
      <c r="CT463">
        <f>Model!DI620</f>
        <v>0</v>
      </c>
      <c r="CU463">
        <f>Model!DJ620</f>
        <v>0</v>
      </c>
    </row>
    <row r="464" spans="1:99">
      <c r="A464" t="str">
        <f>Model!I621</f>
        <v>Minority Interests</v>
      </c>
      <c r="B464">
        <f>Model!J621</f>
        <v>0</v>
      </c>
      <c r="C464">
        <f>Model!K621</f>
        <v>0</v>
      </c>
      <c r="D464">
        <f>Model!L621</f>
        <v>0</v>
      </c>
      <c r="E464">
        <f>Model!M621</f>
        <v>0</v>
      </c>
      <c r="F464">
        <f>Model!N621</f>
        <v>0</v>
      </c>
      <c r="G464">
        <f>Model!O621</f>
        <v>0</v>
      </c>
      <c r="H464">
        <f>Model!P621</f>
        <v>0</v>
      </c>
      <c r="I464">
        <f>Model!Q621</f>
        <v>0</v>
      </c>
      <c r="J464">
        <f>Model!R621</f>
        <v>0</v>
      </c>
      <c r="K464">
        <f>Model!S621</f>
        <v>0</v>
      </c>
      <c r="L464">
        <f>Model!T621</f>
        <v>0</v>
      </c>
      <c r="M464">
        <f>Model!U621</f>
        <v>0</v>
      </c>
      <c r="N464">
        <f>Model!V621</f>
        <v>0</v>
      </c>
      <c r="O464">
        <f>Model!W621</f>
        <v>0</v>
      </c>
      <c r="P464">
        <f>Model!X621</f>
        <v>0</v>
      </c>
      <c r="Q464">
        <f>Model!Y621</f>
        <v>0</v>
      </c>
      <c r="R464">
        <f>Model!Z621</f>
        <v>0</v>
      </c>
      <c r="S464">
        <f>Model!AA621</f>
        <v>0</v>
      </c>
      <c r="T464">
        <f>Model!AB621</f>
        <v>0</v>
      </c>
      <c r="U464">
        <f>Model!AC621</f>
        <v>0</v>
      </c>
      <c r="V464">
        <f>Model!AD621</f>
        <v>0</v>
      </c>
      <c r="W464">
        <f>Model!AE621</f>
        <v>0</v>
      </c>
      <c r="X464">
        <f>Model!AF621</f>
        <v>0</v>
      </c>
      <c r="Y464">
        <f>Model!AG621</f>
        <v>0</v>
      </c>
      <c r="Z464">
        <f>Model!AH621</f>
        <v>0</v>
      </c>
      <c r="AA464">
        <f>Model!AI621</f>
        <v>0</v>
      </c>
      <c r="AB464">
        <f>Model!AJ621</f>
        <v>0</v>
      </c>
      <c r="AC464">
        <f>Model!AK621</f>
        <v>0</v>
      </c>
      <c r="AD464">
        <f>Model!AL621</f>
        <v>0</v>
      </c>
      <c r="AE464">
        <f>Model!AM621</f>
        <v>0</v>
      </c>
      <c r="AF464">
        <f>Model!AN621</f>
        <v>0</v>
      </c>
      <c r="AG464">
        <f>Model!AO621</f>
        <v>0</v>
      </c>
      <c r="AH464">
        <f>Model!AP621</f>
        <v>0</v>
      </c>
      <c r="AI464">
        <f>Model!AQ621</f>
        <v>0</v>
      </c>
      <c r="AJ464">
        <f>Model!AR621</f>
        <v>0</v>
      </c>
      <c r="AK464">
        <f>Model!AS621</f>
        <v>0</v>
      </c>
      <c r="AL464">
        <f>Model!AT621</f>
        <v>0</v>
      </c>
      <c r="AM464">
        <f>Model!AU621</f>
        <v>0</v>
      </c>
      <c r="AN464">
        <f>Model!AV621</f>
        <v>0</v>
      </c>
      <c r="AO464">
        <f>Model!AW621</f>
        <v>0</v>
      </c>
      <c r="AP464">
        <f>Model!AX621</f>
        <v>0</v>
      </c>
      <c r="AQ464">
        <f>Model!AY621</f>
        <v>0</v>
      </c>
      <c r="AR464">
        <f>Model!AZ621</f>
        <v>0</v>
      </c>
      <c r="AS464">
        <f>Model!BA621</f>
        <v>0</v>
      </c>
      <c r="AT464">
        <f>Model!BB621</f>
        <v>0</v>
      </c>
      <c r="AU464">
        <f>Model!BC621</f>
        <v>0</v>
      </c>
      <c r="AV464">
        <f>Model!BD621</f>
        <v>0</v>
      </c>
      <c r="AW464">
        <f>Model!BE621</f>
        <v>0</v>
      </c>
      <c r="AX464">
        <f>Model!BF621</f>
        <v>0</v>
      </c>
      <c r="AY464">
        <f>Model!BG621</f>
        <v>0</v>
      </c>
      <c r="AZ464">
        <f>Model!BH621</f>
        <v>0</v>
      </c>
      <c r="BA464">
        <f>Model!BI621</f>
        <v>0</v>
      </c>
      <c r="BB464">
        <f>Model!BJ621</f>
        <v>0</v>
      </c>
      <c r="BC464">
        <f>Model!BK621</f>
        <v>0</v>
      </c>
      <c r="BD464">
        <f>Model!BL621</f>
        <v>0</v>
      </c>
      <c r="BE464">
        <f>Model!BM621</f>
        <v>0</v>
      </c>
      <c r="BF464">
        <f>Model!BN621</f>
        <v>0</v>
      </c>
      <c r="BG464">
        <f>Model!BO621</f>
        <v>0</v>
      </c>
      <c r="BH464">
        <f>Model!BP621</f>
        <v>0</v>
      </c>
      <c r="BI464">
        <f>Model!BQ621</f>
        <v>0</v>
      </c>
      <c r="BJ464">
        <f>Model!BR621</f>
        <v>0</v>
      </c>
      <c r="BK464">
        <f>Model!BS621</f>
        <v>0</v>
      </c>
      <c r="BL464">
        <f>Model!BT621</f>
        <v>0</v>
      </c>
      <c r="BM464">
        <f>Model!BU621</f>
        <v>0</v>
      </c>
      <c r="BN464">
        <f>Model!BV621</f>
        <v>0</v>
      </c>
      <c r="BO464">
        <f>Model!BW621</f>
        <v>0</v>
      </c>
      <c r="BP464">
        <f>Model!BX621</f>
        <v>0</v>
      </c>
      <c r="BQ464">
        <f>Model!BY621</f>
        <v>0</v>
      </c>
      <c r="BR464">
        <f>Model!BZ621</f>
        <v>0</v>
      </c>
      <c r="BS464">
        <f>Model!CA621</f>
        <v>0</v>
      </c>
      <c r="BT464">
        <f>Model!CB621</f>
        <v>0</v>
      </c>
      <c r="BU464">
        <f>Model!CC621</f>
        <v>0</v>
      </c>
      <c r="BV464">
        <f>Model!CD621</f>
        <v>0</v>
      </c>
      <c r="BW464">
        <f>Model!CE621</f>
        <v>0</v>
      </c>
      <c r="BX464">
        <f>Model!CF621</f>
        <v>0</v>
      </c>
      <c r="BY464">
        <f>Model!CG621</f>
        <v>0</v>
      </c>
      <c r="BZ464">
        <f>Model!CH621</f>
        <v>0</v>
      </c>
      <c r="CA464">
        <f>Model!CI621</f>
        <v>0</v>
      </c>
      <c r="CB464">
        <f>Model!CJ621</f>
        <v>0</v>
      </c>
      <c r="CC464">
        <f>Model!CK621</f>
        <v>0</v>
      </c>
      <c r="CD464">
        <f>Model!CL621</f>
        <v>0</v>
      </c>
      <c r="CE464">
        <f>Model!CM621</f>
        <v>0</v>
      </c>
      <c r="CF464">
        <f>Model!CN621</f>
        <v>0</v>
      </c>
      <c r="CG464">
        <f>Model!CO621</f>
        <v>0</v>
      </c>
      <c r="CH464">
        <f>Model!CP621</f>
        <v>0</v>
      </c>
      <c r="CI464">
        <f>Model!CQ621</f>
        <v>0</v>
      </c>
      <c r="CJ464">
        <f>Model!CR621</f>
        <v>0</v>
      </c>
      <c r="CK464">
        <f>Model!CS621</f>
        <v>0</v>
      </c>
      <c r="CL464">
        <f>Model!CT621</f>
        <v>0</v>
      </c>
      <c r="CM464">
        <f>Model!CU621</f>
        <v>0</v>
      </c>
      <c r="CN464">
        <f>Model!CV621</f>
        <v>0</v>
      </c>
      <c r="CO464">
        <f>Model!CW621</f>
        <v>0</v>
      </c>
      <c r="CP464">
        <f>Model!CX621</f>
        <v>0</v>
      </c>
      <c r="CQ464">
        <f>Model!CY621</f>
        <v>0</v>
      </c>
      <c r="CR464">
        <f>Model!DG621</f>
        <v>0</v>
      </c>
      <c r="CS464">
        <f>Model!DH621</f>
        <v>0</v>
      </c>
      <c r="CT464">
        <f>Model!DI621</f>
        <v>0</v>
      </c>
      <c r="CU464">
        <f>Model!DJ621</f>
        <v>0</v>
      </c>
    </row>
    <row r="465" spans="1:99">
      <c r="A465" t="str">
        <f>Model!I622</f>
        <v>Mandatory redeemable preferred stock</v>
      </c>
      <c r="B465">
        <f>Model!J622</f>
        <v>0</v>
      </c>
      <c r="C465">
        <f>Model!K622</f>
        <v>0</v>
      </c>
      <c r="D465">
        <f>Model!L622</f>
        <v>0</v>
      </c>
      <c r="E465">
        <f>Model!M622</f>
        <v>0</v>
      </c>
      <c r="F465">
        <f>Model!N622</f>
        <v>0</v>
      </c>
      <c r="G465">
        <f>Model!O622</f>
        <v>0</v>
      </c>
      <c r="H465">
        <f>Model!P622</f>
        <v>0</v>
      </c>
      <c r="I465">
        <f>Model!Q622</f>
        <v>0</v>
      </c>
      <c r="J465">
        <f>Model!R622</f>
        <v>0</v>
      </c>
      <c r="K465">
        <f>Model!S622</f>
        <v>0</v>
      </c>
      <c r="L465">
        <f>Model!T622</f>
        <v>0</v>
      </c>
      <c r="M465">
        <f>Model!U622</f>
        <v>0</v>
      </c>
      <c r="N465">
        <f>Model!V622</f>
        <v>0</v>
      </c>
      <c r="O465">
        <f>Model!W622</f>
        <v>0</v>
      </c>
      <c r="P465">
        <f>Model!X622</f>
        <v>0</v>
      </c>
      <c r="Q465">
        <f>Model!Y622</f>
        <v>0</v>
      </c>
      <c r="R465">
        <f>Model!Z622</f>
        <v>0</v>
      </c>
      <c r="S465">
        <f>Model!AA622</f>
        <v>0</v>
      </c>
      <c r="T465">
        <f>Model!AB622</f>
        <v>0</v>
      </c>
      <c r="U465">
        <f>Model!AC622</f>
        <v>0</v>
      </c>
      <c r="V465">
        <f>Model!AD622</f>
        <v>0</v>
      </c>
      <c r="W465">
        <f>Model!AE622</f>
        <v>0</v>
      </c>
      <c r="X465">
        <f>Model!AF622</f>
        <v>0</v>
      </c>
      <c r="Y465">
        <f>Model!AG622</f>
        <v>0</v>
      </c>
      <c r="Z465">
        <f>Model!AH622</f>
        <v>0</v>
      </c>
      <c r="AA465">
        <f>Model!AI622</f>
        <v>0</v>
      </c>
      <c r="AB465">
        <f>Model!AJ622</f>
        <v>0</v>
      </c>
      <c r="AC465">
        <f>Model!AK622</f>
        <v>0</v>
      </c>
      <c r="AD465">
        <f>Model!AL622</f>
        <v>0</v>
      </c>
      <c r="AE465">
        <f>Model!AM622</f>
        <v>0</v>
      </c>
      <c r="AF465">
        <f>Model!AN622</f>
        <v>0</v>
      </c>
      <c r="AG465">
        <f>Model!AO622</f>
        <v>0</v>
      </c>
      <c r="AH465">
        <f>Model!AP622</f>
        <v>0</v>
      </c>
      <c r="AI465">
        <f>Model!AQ622</f>
        <v>0</v>
      </c>
      <c r="AJ465">
        <f>Model!AR622</f>
        <v>0</v>
      </c>
      <c r="AK465">
        <f>Model!AS622</f>
        <v>0</v>
      </c>
      <c r="AL465">
        <f>Model!AT622</f>
        <v>0</v>
      </c>
      <c r="AM465">
        <f>Model!AU622</f>
        <v>0</v>
      </c>
      <c r="AN465">
        <f>Model!AV622</f>
        <v>0</v>
      </c>
      <c r="AO465">
        <f>Model!AW622</f>
        <v>0</v>
      </c>
      <c r="AP465">
        <f>Model!AX622</f>
        <v>0</v>
      </c>
      <c r="AQ465">
        <f>Model!AY622</f>
        <v>0</v>
      </c>
      <c r="AR465">
        <f>Model!AZ622</f>
        <v>0</v>
      </c>
      <c r="AS465">
        <f>Model!BA622</f>
        <v>0</v>
      </c>
      <c r="AT465">
        <f>Model!BB622</f>
        <v>0</v>
      </c>
      <c r="AU465">
        <f>Model!BC622</f>
        <v>0</v>
      </c>
      <c r="AV465">
        <f>Model!BD622</f>
        <v>0</v>
      </c>
      <c r="AW465">
        <f>Model!BE622</f>
        <v>0</v>
      </c>
      <c r="AX465">
        <f>Model!BF622</f>
        <v>0</v>
      </c>
      <c r="AY465">
        <f>Model!BG622</f>
        <v>0</v>
      </c>
      <c r="AZ465">
        <f>Model!BH622</f>
        <v>0</v>
      </c>
      <c r="BA465">
        <f>Model!BI622</f>
        <v>0</v>
      </c>
      <c r="BB465">
        <f>Model!BJ622</f>
        <v>0</v>
      </c>
      <c r="BC465">
        <f>Model!BK622</f>
        <v>0</v>
      </c>
      <c r="BD465">
        <f>Model!BL622</f>
        <v>0</v>
      </c>
      <c r="BE465">
        <f>Model!BM622</f>
        <v>0</v>
      </c>
      <c r="BF465">
        <f>Model!BN622</f>
        <v>0</v>
      </c>
      <c r="BG465">
        <f>Model!BO622</f>
        <v>0</v>
      </c>
      <c r="BH465">
        <f>Model!BP622</f>
        <v>0</v>
      </c>
      <c r="BI465">
        <f>Model!BQ622</f>
        <v>0</v>
      </c>
      <c r="BJ465">
        <f>Model!BR622</f>
        <v>0</v>
      </c>
      <c r="BK465">
        <f>Model!BS622</f>
        <v>0</v>
      </c>
      <c r="BL465">
        <f>Model!BT622</f>
        <v>0</v>
      </c>
      <c r="BM465">
        <f>Model!BU622</f>
        <v>0</v>
      </c>
      <c r="BN465">
        <f>Model!BV622</f>
        <v>0</v>
      </c>
      <c r="BO465">
        <f>Model!BW622</f>
        <v>0</v>
      </c>
      <c r="BP465">
        <f>Model!BX622</f>
        <v>0</v>
      </c>
      <c r="BQ465">
        <f>Model!BY622</f>
        <v>0</v>
      </c>
      <c r="BR465">
        <f>Model!BZ622</f>
        <v>0</v>
      </c>
      <c r="BS465">
        <f>Model!CA622</f>
        <v>0</v>
      </c>
      <c r="BT465">
        <f>Model!CB622</f>
        <v>0</v>
      </c>
      <c r="BU465">
        <f>Model!CC622</f>
        <v>0</v>
      </c>
      <c r="BV465">
        <f>Model!CD622</f>
        <v>0</v>
      </c>
      <c r="BW465">
        <f>Model!CE622</f>
        <v>0</v>
      </c>
      <c r="BX465">
        <f>Model!CF622</f>
        <v>0</v>
      </c>
      <c r="BY465">
        <f>Model!CG622</f>
        <v>0</v>
      </c>
      <c r="BZ465">
        <f>Model!CH622</f>
        <v>0</v>
      </c>
      <c r="CA465">
        <f>Model!CI622</f>
        <v>0</v>
      </c>
      <c r="CB465">
        <f>Model!CJ622</f>
        <v>0</v>
      </c>
      <c r="CC465">
        <f>Model!CK622</f>
        <v>0</v>
      </c>
      <c r="CD465">
        <f>Model!CL622</f>
        <v>0</v>
      </c>
      <c r="CE465">
        <f>Model!CM622</f>
        <v>0</v>
      </c>
      <c r="CF465">
        <f>Model!CN622</f>
        <v>0</v>
      </c>
      <c r="CG465">
        <f>Model!CO622</f>
        <v>0</v>
      </c>
      <c r="CH465">
        <f>Model!CP622</f>
        <v>0</v>
      </c>
      <c r="CI465">
        <f>Model!CQ622</f>
        <v>0</v>
      </c>
      <c r="CJ465">
        <f>Model!CR622</f>
        <v>0</v>
      </c>
      <c r="CK465">
        <f>Model!CS622</f>
        <v>0</v>
      </c>
      <c r="CL465">
        <f>Model!CT622</f>
        <v>0</v>
      </c>
      <c r="CM465">
        <f>Model!CU622</f>
        <v>0</v>
      </c>
      <c r="CN465">
        <f>Model!CV622</f>
        <v>0</v>
      </c>
      <c r="CO465">
        <f>Model!CW622</f>
        <v>0</v>
      </c>
      <c r="CP465">
        <f>Model!CX622</f>
        <v>0</v>
      </c>
      <c r="CQ465">
        <f>Model!CY622</f>
        <v>0</v>
      </c>
      <c r="CR465">
        <f>Model!DG622</f>
        <v>0</v>
      </c>
      <c r="CS465">
        <f>Model!DH622</f>
        <v>0</v>
      </c>
      <c r="CT465">
        <f>Model!DI622</f>
        <v>0</v>
      </c>
      <c r="CU465">
        <f>Model!DJ622</f>
        <v>0</v>
      </c>
    </row>
    <row r="466" spans="1:99">
      <c r="A466" t="str">
        <f>Model!I623</f>
        <v>STOCKHOLDERS' EQUITY</v>
      </c>
      <c r="B466">
        <f>Model!J623</f>
        <v>0</v>
      </c>
      <c r="C466">
        <f>Model!K623</f>
        <v>0</v>
      </c>
      <c r="D466">
        <f>Model!L623</f>
        <v>0</v>
      </c>
      <c r="E466">
        <f>Model!M623</f>
        <v>0</v>
      </c>
      <c r="F466">
        <f>Model!N623</f>
        <v>0</v>
      </c>
      <c r="G466">
        <f>Model!O623</f>
        <v>0</v>
      </c>
      <c r="H466">
        <f>Model!P623</f>
        <v>0</v>
      </c>
      <c r="I466">
        <f>Model!Q623</f>
        <v>0</v>
      </c>
      <c r="J466">
        <f>Model!R623</f>
        <v>0</v>
      </c>
      <c r="K466">
        <f>Model!S623</f>
        <v>0</v>
      </c>
      <c r="L466">
        <f>Model!T623</f>
        <v>0</v>
      </c>
      <c r="M466">
        <f>Model!U623</f>
        <v>0</v>
      </c>
      <c r="N466">
        <f>Model!V623</f>
        <v>0</v>
      </c>
      <c r="O466">
        <f>Model!W623</f>
        <v>0</v>
      </c>
      <c r="P466">
        <f>Model!X623</f>
        <v>0</v>
      </c>
      <c r="Q466">
        <f>Model!Y623</f>
        <v>0</v>
      </c>
      <c r="R466">
        <f>Model!Z623</f>
        <v>0</v>
      </c>
      <c r="S466">
        <f>Model!AA623</f>
        <v>0</v>
      </c>
      <c r="T466">
        <f>Model!AB623</f>
        <v>0</v>
      </c>
      <c r="U466">
        <f>Model!AC623</f>
        <v>0</v>
      </c>
      <c r="V466">
        <f>Model!AD623</f>
        <v>0</v>
      </c>
      <c r="W466">
        <f>Model!AE623</f>
        <v>0</v>
      </c>
      <c r="X466">
        <f>Model!AF623</f>
        <v>0</v>
      </c>
      <c r="Y466">
        <f>Model!AG623</f>
        <v>0</v>
      </c>
      <c r="Z466">
        <f>Model!AH623</f>
        <v>0</v>
      </c>
      <c r="AA466">
        <f>Model!AI623</f>
        <v>0</v>
      </c>
      <c r="AB466">
        <f>Model!AJ623</f>
        <v>0</v>
      </c>
      <c r="AC466">
        <f>Model!AK623</f>
        <v>0</v>
      </c>
      <c r="AD466">
        <f>Model!AL623</f>
        <v>0</v>
      </c>
      <c r="AE466">
        <f>Model!AM623</f>
        <v>0</v>
      </c>
      <c r="AF466">
        <f>Model!AN623</f>
        <v>0</v>
      </c>
      <c r="AG466">
        <f>Model!AO623</f>
        <v>0</v>
      </c>
      <c r="AH466">
        <f>Model!AP623</f>
        <v>0</v>
      </c>
      <c r="AI466">
        <f>Model!AQ623</f>
        <v>0</v>
      </c>
      <c r="AJ466">
        <f>Model!AR623</f>
        <v>0</v>
      </c>
      <c r="AK466">
        <f>Model!AS623</f>
        <v>0</v>
      </c>
      <c r="AL466">
        <f>Model!AT623</f>
        <v>0</v>
      </c>
      <c r="AM466">
        <f>Model!AU623</f>
        <v>0</v>
      </c>
      <c r="AN466">
        <f>Model!AV623</f>
        <v>0</v>
      </c>
      <c r="AO466">
        <f>Model!AW623</f>
        <v>0</v>
      </c>
      <c r="AP466">
        <f>Model!AX623</f>
        <v>0</v>
      </c>
      <c r="AQ466">
        <f>Model!AY623</f>
        <v>0</v>
      </c>
      <c r="AR466">
        <f>Model!AZ623</f>
        <v>0</v>
      </c>
      <c r="AS466">
        <f>Model!BA623</f>
        <v>0</v>
      </c>
      <c r="AT466">
        <f>Model!BB623</f>
        <v>0</v>
      </c>
      <c r="AU466">
        <f>Model!BC623</f>
        <v>0</v>
      </c>
      <c r="AV466">
        <f>Model!BD623</f>
        <v>0</v>
      </c>
      <c r="AW466">
        <f>Model!BE623</f>
        <v>0</v>
      </c>
      <c r="AX466">
        <f>Model!BF623</f>
        <v>0</v>
      </c>
      <c r="AY466">
        <f>Model!BG623</f>
        <v>0</v>
      </c>
      <c r="AZ466">
        <f>Model!BH623</f>
        <v>0</v>
      </c>
      <c r="BA466">
        <f>Model!BI623</f>
        <v>0</v>
      </c>
      <c r="BB466">
        <f>Model!BJ623</f>
        <v>0</v>
      </c>
      <c r="BC466">
        <f>Model!BK623</f>
        <v>0</v>
      </c>
      <c r="BD466">
        <f>Model!BL623</f>
        <v>0</v>
      </c>
      <c r="BE466">
        <f>Model!BM623</f>
        <v>0</v>
      </c>
      <c r="BF466">
        <f>Model!BN623</f>
        <v>0</v>
      </c>
      <c r="BG466">
        <f>Model!BO623</f>
        <v>0</v>
      </c>
      <c r="BH466">
        <f>Model!BP623</f>
        <v>0</v>
      </c>
      <c r="BI466">
        <f>Model!BQ623</f>
        <v>0</v>
      </c>
      <c r="BJ466">
        <f>Model!BR623</f>
        <v>0</v>
      </c>
      <c r="BK466">
        <f>Model!BS623</f>
        <v>0</v>
      </c>
      <c r="BL466">
        <f>Model!BT623</f>
        <v>0</v>
      </c>
      <c r="BM466">
        <f>Model!BU623</f>
        <v>0</v>
      </c>
      <c r="BN466">
        <f>Model!BV623</f>
        <v>0</v>
      </c>
      <c r="BO466">
        <f>Model!BW623</f>
        <v>0</v>
      </c>
      <c r="BP466">
        <f>Model!BX623</f>
        <v>0</v>
      </c>
      <c r="BQ466">
        <f>Model!BY623</f>
        <v>0</v>
      </c>
      <c r="BR466">
        <f>Model!BZ623</f>
        <v>0</v>
      </c>
      <c r="BS466">
        <f>Model!CA623</f>
        <v>0</v>
      </c>
      <c r="BT466">
        <f>Model!CB623</f>
        <v>0</v>
      </c>
      <c r="BU466">
        <f>Model!CC623</f>
        <v>0</v>
      </c>
      <c r="BV466">
        <f>Model!CD623</f>
        <v>0</v>
      </c>
      <c r="BW466">
        <f>Model!CE623</f>
        <v>0</v>
      </c>
      <c r="BX466">
        <f>Model!CF623</f>
        <v>0</v>
      </c>
      <c r="BY466">
        <f>Model!CG623</f>
        <v>0</v>
      </c>
      <c r="BZ466">
        <f>Model!CH623</f>
        <v>0</v>
      </c>
      <c r="CA466">
        <f>Model!CI623</f>
        <v>0</v>
      </c>
      <c r="CB466">
        <f>Model!CJ623</f>
        <v>0</v>
      </c>
      <c r="CC466">
        <f>Model!CK623</f>
        <v>0</v>
      </c>
      <c r="CD466">
        <f>Model!CL623</f>
        <v>0</v>
      </c>
      <c r="CE466">
        <f>Model!CM623</f>
        <v>0</v>
      </c>
      <c r="CF466">
        <f>Model!CN623</f>
        <v>0</v>
      </c>
      <c r="CG466">
        <f>Model!CO623</f>
        <v>0</v>
      </c>
      <c r="CH466">
        <f>Model!CP623</f>
        <v>0</v>
      </c>
      <c r="CI466">
        <f>Model!CQ623</f>
        <v>0</v>
      </c>
      <c r="CJ466">
        <f>Model!CR623</f>
        <v>0</v>
      </c>
      <c r="CK466">
        <f>Model!CS623</f>
        <v>0</v>
      </c>
      <c r="CL466">
        <f>Model!CT623</f>
        <v>0</v>
      </c>
      <c r="CM466">
        <f>Model!CU623</f>
        <v>0</v>
      </c>
      <c r="CN466">
        <f>Model!CV623</f>
        <v>0</v>
      </c>
      <c r="CO466">
        <f>Model!CW623</f>
        <v>0</v>
      </c>
      <c r="CP466">
        <f>Model!CX623</f>
        <v>0</v>
      </c>
      <c r="CQ466">
        <f>Model!CY623</f>
        <v>0</v>
      </c>
      <c r="CR466">
        <f>Model!DG623</f>
        <v>0</v>
      </c>
      <c r="CS466">
        <f>Model!DH623</f>
        <v>0</v>
      </c>
      <c r="CT466">
        <f>Model!DI623</f>
        <v>0</v>
      </c>
      <c r="CU466">
        <f>Model!DJ623</f>
        <v>0</v>
      </c>
    </row>
    <row r="467" spans="1:99">
      <c r="A467" t="str">
        <f>Model!I624</f>
        <v>Common stock</v>
      </c>
      <c r="B467">
        <f>Model!J624</f>
        <v>0</v>
      </c>
      <c r="C467">
        <f>Model!K624</f>
        <v>0</v>
      </c>
      <c r="D467">
        <f>Model!L624</f>
        <v>0</v>
      </c>
      <c r="E467">
        <f>Model!M624</f>
        <v>0</v>
      </c>
      <c r="F467">
        <f>Model!N624</f>
        <v>0</v>
      </c>
      <c r="G467">
        <f>Model!O624</f>
        <v>0</v>
      </c>
      <c r="H467">
        <f>Model!P624</f>
        <v>0</v>
      </c>
      <c r="I467">
        <f>Model!Q624</f>
        <v>0</v>
      </c>
      <c r="J467">
        <f>Model!R624</f>
        <v>0</v>
      </c>
      <c r="K467">
        <f>Model!S624</f>
        <v>0</v>
      </c>
      <c r="L467">
        <f>Model!T624</f>
        <v>0</v>
      </c>
      <c r="M467">
        <f>Model!U624</f>
        <v>0</v>
      </c>
      <c r="N467">
        <f>Model!V624</f>
        <v>0</v>
      </c>
      <c r="O467">
        <f>Model!W624</f>
        <v>0</v>
      </c>
      <c r="P467">
        <f>Model!X624</f>
        <v>0</v>
      </c>
      <c r="Q467">
        <f>Model!Y624</f>
        <v>0</v>
      </c>
      <c r="R467">
        <f>Model!Z624</f>
        <v>0</v>
      </c>
      <c r="S467">
        <f>Model!AA624</f>
        <v>0</v>
      </c>
      <c r="T467">
        <f>Model!AB624</f>
        <v>0</v>
      </c>
      <c r="U467">
        <f>Model!AC624</f>
        <v>0</v>
      </c>
      <c r="V467">
        <f>Model!AD624</f>
        <v>0</v>
      </c>
      <c r="W467">
        <f>Model!AE624</f>
        <v>0</v>
      </c>
      <c r="X467">
        <f>Model!AF624</f>
        <v>0</v>
      </c>
      <c r="Y467">
        <f>Model!AG624</f>
        <v>0</v>
      </c>
      <c r="Z467">
        <f>Model!AH624</f>
        <v>0</v>
      </c>
      <c r="AA467">
        <f>Model!AI624</f>
        <v>0</v>
      </c>
      <c r="AB467">
        <f>Model!AJ624</f>
        <v>0</v>
      </c>
      <c r="AC467">
        <f>Model!AK624</f>
        <v>0</v>
      </c>
      <c r="AD467">
        <f>Model!AL624</f>
        <v>0</v>
      </c>
      <c r="AE467">
        <f>Model!AM624</f>
        <v>0</v>
      </c>
      <c r="AF467">
        <f>Model!AN624</f>
        <v>0</v>
      </c>
      <c r="AG467">
        <f>Model!AO624</f>
        <v>0</v>
      </c>
      <c r="AH467">
        <f>Model!AP624</f>
        <v>0</v>
      </c>
      <c r="AI467">
        <f>Model!AQ624</f>
        <v>0</v>
      </c>
      <c r="AJ467">
        <f>Model!AR624</f>
        <v>0</v>
      </c>
      <c r="AK467">
        <f>Model!AS624</f>
        <v>0</v>
      </c>
      <c r="AL467">
        <f>Model!AT624</f>
        <v>0</v>
      </c>
      <c r="AM467">
        <f>Model!AU624</f>
        <v>0</v>
      </c>
      <c r="AN467">
        <f>Model!AV624</f>
        <v>0</v>
      </c>
      <c r="AO467">
        <f>Model!AW624</f>
        <v>0</v>
      </c>
      <c r="AP467">
        <f>Model!AX624</f>
        <v>0</v>
      </c>
      <c r="AQ467">
        <f>Model!AY624</f>
        <v>0</v>
      </c>
      <c r="AR467">
        <f>Model!AZ624</f>
        <v>0</v>
      </c>
      <c r="AS467">
        <f>Model!BA624</f>
        <v>0.44500000000000001</v>
      </c>
      <c r="AT467">
        <f>Model!BB624</f>
        <v>0.44600000000000001</v>
      </c>
      <c r="AU467">
        <f>Model!BC624</f>
        <v>0.44600000000000001</v>
      </c>
      <c r="AV467">
        <f>Model!BD624</f>
        <v>0.44600000000000001</v>
      </c>
      <c r="AW467">
        <f>Model!BE624</f>
        <v>0.44900000000000001</v>
      </c>
      <c r="AX467">
        <f>Model!BF624</f>
        <v>0.45</v>
      </c>
      <c r="AY467">
        <f>Model!BG624</f>
        <v>0.45</v>
      </c>
      <c r="AZ467">
        <f>Model!BH624</f>
        <v>0.45</v>
      </c>
      <c r="BA467">
        <f>Model!BI624</f>
        <v>0.45200000000000001</v>
      </c>
      <c r="BB467">
        <f>Model!BJ624</f>
        <v>0.46700000000000003</v>
      </c>
      <c r="BC467">
        <f>Model!BK624</f>
        <v>0.46800000000000003</v>
      </c>
      <c r="BD467">
        <f>Model!BL624</f>
        <v>0.47599999999999998</v>
      </c>
      <c r="BE467">
        <f>Model!BM624</f>
        <v>0.47799999999999998</v>
      </c>
      <c r="BF467">
        <f>Model!BN624</f>
        <v>0.48</v>
      </c>
      <c r="BG467">
        <f>Model!BO624</f>
        <v>0.48</v>
      </c>
      <c r="BH467">
        <f>Model!BP624</f>
        <v>0.48</v>
      </c>
      <c r="BI467">
        <f>Model!BQ624</f>
        <v>0.48099999999999998</v>
      </c>
      <c r="BJ467">
        <f>Model!BR624</f>
        <v>0.48199999999999998</v>
      </c>
      <c r="BK467">
        <f>Model!BS624</f>
        <v>0.48199999999999998</v>
      </c>
      <c r="BL467">
        <f>Model!BT624</f>
        <v>0.48199999999999998</v>
      </c>
      <c r="BM467">
        <f>Model!BU624</f>
        <v>0.48399999999999999</v>
      </c>
      <c r="BN467">
        <f>Model!BV624</f>
        <v>0.48399999999999999</v>
      </c>
      <c r="BO467">
        <f>Model!BW624</f>
        <v>0.48399999999999999</v>
      </c>
      <c r="BP467">
        <f>Model!BX624</f>
        <v>0.48499999999999999</v>
      </c>
      <c r="BQ467">
        <f>Model!BY624</f>
        <v>0.48599999999999999</v>
      </c>
      <c r="BR467">
        <f>Model!BZ624</f>
        <v>0.48599999999999999</v>
      </c>
      <c r="BS467">
        <f>Model!CA624</f>
        <v>0.48599999999999999</v>
      </c>
      <c r="BT467">
        <f>Model!CB624</f>
        <v>0.48699999999999999</v>
      </c>
      <c r="BU467">
        <f>Model!CC624</f>
        <v>0.48699999999999999</v>
      </c>
      <c r="BV467">
        <f>Model!CD624</f>
        <v>0.48699999999999999</v>
      </c>
      <c r="BW467">
        <f>Model!CE624</f>
        <v>0.48699999999999999</v>
      </c>
      <c r="BX467">
        <f>Model!CF624</f>
        <v>0.48699999999999999</v>
      </c>
      <c r="BY467">
        <f>Model!CG624</f>
        <v>0</v>
      </c>
      <c r="BZ467">
        <f>Model!CH624</f>
        <v>0</v>
      </c>
      <c r="CA467">
        <f>Model!CI624</f>
        <v>0</v>
      </c>
      <c r="CB467">
        <f>Model!CJ624</f>
        <v>0</v>
      </c>
      <c r="CC467">
        <f>Model!CK624</f>
        <v>0</v>
      </c>
      <c r="CD467">
        <f>Model!CL624</f>
        <v>0</v>
      </c>
      <c r="CE467">
        <f>Model!CM624</f>
        <v>0</v>
      </c>
      <c r="CF467">
        <f>Model!CN624</f>
        <v>0</v>
      </c>
      <c r="CG467">
        <f>Model!CO624</f>
        <v>0</v>
      </c>
      <c r="CH467">
        <f>Model!CP624</f>
        <v>0</v>
      </c>
      <c r="CI467">
        <f>Model!CQ624</f>
        <v>0.438</v>
      </c>
      <c r="CJ467">
        <f>Model!CR624</f>
        <v>0.44600000000000001</v>
      </c>
      <c r="CK467">
        <f>Model!CS624</f>
        <v>0.45</v>
      </c>
      <c r="CL467">
        <f>Model!CT624</f>
        <v>0.47599999999999998</v>
      </c>
      <c r="CM467">
        <f>Model!CU624</f>
        <v>0.48</v>
      </c>
      <c r="CN467">
        <f>Model!CV624</f>
        <v>0.48199999999999998</v>
      </c>
      <c r="CO467">
        <f>Model!CW624</f>
        <v>0.48499999999999999</v>
      </c>
      <c r="CP467">
        <f>Model!CX624</f>
        <v>0.48699999999999999</v>
      </c>
      <c r="CQ467">
        <f>Model!CY624</f>
        <v>0.48699999999999999</v>
      </c>
      <c r="CR467">
        <f>Model!DG624</f>
        <v>0</v>
      </c>
      <c r="CS467">
        <f>Model!DH624</f>
        <v>0</v>
      </c>
      <c r="CT467">
        <f>Model!DI624</f>
        <v>0</v>
      </c>
      <c r="CU467">
        <f>Model!DJ624</f>
        <v>0</v>
      </c>
    </row>
    <row r="468" spans="1:99">
      <c r="A468" t="str">
        <f>Model!I625</f>
        <v>Treasury Stock</v>
      </c>
      <c r="B468">
        <f>Model!J625</f>
        <v>0</v>
      </c>
      <c r="C468">
        <f>Model!K625</f>
        <v>0</v>
      </c>
      <c r="D468">
        <f>Model!L625</f>
        <v>0</v>
      </c>
      <c r="E468">
        <f>Model!M625</f>
        <v>0</v>
      </c>
      <c r="F468">
        <f>Model!N625</f>
        <v>0</v>
      </c>
      <c r="G468">
        <f>Model!O625</f>
        <v>0</v>
      </c>
      <c r="H468">
        <f>Model!P625</f>
        <v>0</v>
      </c>
      <c r="I468">
        <f>Model!Q625</f>
        <v>0</v>
      </c>
      <c r="J468">
        <f>Model!R625</f>
        <v>0</v>
      </c>
      <c r="K468">
        <f>Model!S625</f>
        <v>0</v>
      </c>
      <c r="L468">
        <f>Model!T625</f>
        <v>0</v>
      </c>
      <c r="M468">
        <f>Model!U625</f>
        <v>0</v>
      </c>
      <c r="N468">
        <f>Model!V625</f>
        <v>0</v>
      </c>
      <c r="O468">
        <f>Model!W625</f>
        <v>0</v>
      </c>
      <c r="P468">
        <f>Model!X625</f>
        <v>0</v>
      </c>
      <c r="Q468">
        <f>Model!Y625</f>
        <v>0</v>
      </c>
      <c r="R468">
        <f>Model!Z625</f>
        <v>0</v>
      </c>
      <c r="S468">
        <f>Model!AA625</f>
        <v>0</v>
      </c>
      <c r="T468">
        <f>Model!AB625</f>
        <v>0</v>
      </c>
      <c r="U468">
        <f>Model!AC625</f>
        <v>0</v>
      </c>
      <c r="V468">
        <f>Model!AD625</f>
        <v>0</v>
      </c>
      <c r="W468">
        <f>Model!AE625</f>
        <v>0</v>
      </c>
      <c r="X468">
        <f>Model!AF625</f>
        <v>0</v>
      </c>
      <c r="Y468">
        <f>Model!AG625</f>
        <v>0</v>
      </c>
      <c r="Z468">
        <f>Model!AH625</f>
        <v>0</v>
      </c>
      <c r="AA468">
        <f>Model!AI625</f>
        <v>0</v>
      </c>
      <c r="AB468">
        <f>Model!AJ625</f>
        <v>0</v>
      </c>
      <c r="AC468">
        <f>Model!AK625</f>
        <v>0</v>
      </c>
      <c r="AD468">
        <f>Model!AL625</f>
        <v>0</v>
      </c>
      <c r="AE468">
        <f>Model!AM625</f>
        <v>0</v>
      </c>
      <c r="AF468">
        <f>Model!AN625</f>
        <v>0</v>
      </c>
      <c r="AG468">
        <f>Model!AO625</f>
        <v>0</v>
      </c>
      <c r="AH468">
        <f>Model!AP625</f>
        <v>0</v>
      </c>
      <c r="AI468">
        <f>Model!AQ625</f>
        <v>0</v>
      </c>
      <c r="AJ468">
        <f>Model!AR625</f>
        <v>0</v>
      </c>
      <c r="AK468">
        <f>Model!AS625</f>
        <v>0</v>
      </c>
      <c r="AL468">
        <f>Model!AT625</f>
        <v>0</v>
      </c>
      <c r="AM468">
        <f>Model!AU625</f>
        <v>0</v>
      </c>
      <c r="AN468">
        <f>Model!AV625</f>
        <v>0</v>
      </c>
      <c r="AO468">
        <f>Model!AW625</f>
        <v>0</v>
      </c>
      <c r="AP468">
        <f>Model!AX625</f>
        <v>0</v>
      </c>
      <c r="AQ468">
        <f>Model!AY625</f>
        <v>0</v>
      </c>
      <c r="AR468">
        <f>Model!AZ625</f>
        <v>0</v>
      </c>
      <c r="AS468">
        <f>Model!BA625</f>
        <v>-797.67700000000002</v>
      </c>
      <c r="AT468">
        <f>Model!BB625</f>
        <v>-799.10599999999999</v>
      </c>
      <c r="AU468">
        <f>Model!BC625</f>
        <v>-802.78399999999999</v>
      </c>
      <c r="AV468">
        <f>Model!BD625</f>
        <v>-803.58600000000001</v>
      </c>
      <c r="AW468">
        <f>Model!BE625</f>
        <v>-1057.8109999999999</v>
      </c>
      <c r="AX468">
        <f>Model!BF625</f>
        <v>-1058.7539999999999</v>
      </c>
      <c r="AY468">
        <f>Model!BG625</f>
        <v>-1058.9829999999999</v>
      </c>
      <c r="AZ468">
        <f>Model!BH625</f>
        <v>-1060.607</v>
      </c>
      <c r="BA468">
        <f>Model!BI625</f>
        <v>-1136.9870000000001</v>
      </c>
      <c r="BB468">
        <f>Model!BJ625</f>
        <v>-1483.8920000000001</v>
      </c>
      <c r="BC468">
        <f>Model!BK625</f>
        <v>-1943.615</v>
      </c>
      <c r="BD468">
        <f>Model!BL625</f>
        <v>-1987.2070000000001</v>
      </c>
      <c r="BE468">
        <f>Model!BM625</f>
        <v>-2083.8670000000002</v>
      </c>
      <c r="BF468">
        <f>Model!BN625</f>
        <v>-2084.5329999999999</v>
      </c>
      <c r="BG468">
        <f>Model!BO625</f>
        <v>-2232.663</v>
      </c>
      <c r="BH468">
        <f>Model!BP625</f>
        <v>-2737.585</v>
      </c>
      <c r="BI468">
        <f>Model!BQ625</f>
        <v>-3046.203</v>
      </c>
      <c r="BJ468">
        <f>Model!BR625</f>
        <v>-3900.011</v>
      </c>
      <c r="BK468">
        <f>Model!BS625</f>
        <v>-5073.3999999999996</v>
      </c>
      <c r="BL468">
        <f>Model!BT625</f>
        <v>-5826.64</v>
      </c>
      <c r="BM468">
        <f>Model!BU625</f>
        <v>-6086.0010000000002</v>
      </c>
      <c r="BN468">
        <f>Model!BV625</f>
        <v>-6385.308</v>
      </c>
      <c r="BO468">
        <f>Model!BW625</f>
        <v>-6584.1170000000002</v>
      </c>
      <c r="BP468">
        <f>Model!BX625</f>
        <v>-6855.1639999999998</v>
      </c>
      <c r="BQ468">
        <f>Model!BY625</f>
        <v>-7067.5079999999998</v>
      </c>
      <c r="BR468">
        <f>Model!BZ625</f>
        <v>-7411.3919999999998</v>
      </c>
      <c r="BS468">
        <f>Model!CA625</f>
        <v>-7997.8810000000003</v>
      </c>
      <c r="BT468">
        <f>Model!CB625</f>
        <v>-8698.8289999999997</v>
      </c>
      <c r="BU468">
        <f>Model!CC625</f>
        <v>-9323.8289999999997</v>
      </c>
      <c r="BV468">
        <f>Model!CD625</f>
        <v>-9948.8289999999997</v>
      </c>
      <c r="BW468">
        <f>Model!CE625</f>
        <v>-10573.829</v>
      </c>
      <c r="BX468">
        <f>Model!CF625</f>
        <v>-11198.829</v>
      </c>
      <c r="BY468">
        <f>Model!CG625</f>
        <v>0</v>
      </c>
      <c r="BZ468">
        <f>Model!CH625</f>
        <v>0</v>
      </c>
      <c r="CA468">
        <f>Model!CI625</f>
        <v>0</v>
      </c>
      <c r="CB468">
        <f>Model!CJ625</f>
        <v>0</v>
      </c>
      <c r="CC468">
        <f>Model!CK625</f>
        <v>0</v>
      </c>
      <c r="CD468">
        <f>Model!CL625</f>
        <v>0</v>
      </c>
      <c r="CE468">
        <f>Model!CM625</f>
        <v>0</v>
      </c>
      <c r="CF468">
        <f>Model!CN625</f>
        <v>0</v>
      </c>
      <c r="CG468">
        <f>Model!CO625</f>
        <v>0</v>
      </c>
      <c r="CH468">
        <f>Model!CP625</f>
        <v>0</v>
      </c>
      <c r="CI468">
        <f>Model!CQ625</f>
        <v>-640.41499999999996</v>
      </c>
      <c r="CJ468">
        <f>Model!CR625</f>
        <v>-803.58600000000001</v>
      </c>
      <c r="CK468">
        <f>Model!CS625</f>
        <v>-1060.607</v>
      </c>
      <c r="CL468">
        <f>Model!CT625</f>
        <v>-1987.2070000000001</v>
      </c>
      <c r="CM468">
        <f>Model!CU625</f>
        <v>-2737.585</v>
      </c>
      <c r="CN468">
        <f>Model!CV625</f>
        <v>-5826.64</v>
      </c>
      <c r="CO468">
        <f>Model!CW625</f>
        <v>-6855.1639999999998</v>
      </c>
      <c r="CP468">
        <f>Model!CX625</f>
        <v>-8698.8289999999997</v>
      </c>
      <c r="CQ468">
        <f>Model!CY625</f>
        <v>-11198.829</v>
      </c>
      <c r="CR468">
        <f>Model!DG625</f>
        <v>0</v>
      </c>
      <c r="CS468">
        <f>Model!DH625</f>
        <v>0</v>
      </c>
      <c r="CT468">
        <f>Model!DI625</f>
        <v>0</v>
      </c>
      <c r="CU468">
        <f>Model!DJ625</f>
        <v>0</v>
      </c>
    </row>
    <row r="469" spans="1:99">
      <c r="A469" t="str">
        <f>Model!I626</f>
        <v>Additional paid-in capital</v>
      </c>
      <c r="B469">
        <f>Model!J626</f>
        <v>0</v>
      </c>
      <c r="C469">
        <f>Model!K626</f>
        <v>0</v>
      </c>
      <c r="D469">
        <f>Model!L626</f>
        <v>0</v>
      </c>
      <c r="E469">
        <f>Model!M626</f>
        <v>0</v>
      </c>
      <c r="F469">
        <f>Model!N626</f>
        <v>0</v>
      </c>
      <c r="G469">
        <f>Model!O626</f>
        <v>0</v>
      </c>
      <c r="H469">
        <f>Model!P626</f>
        <v>0</v>
      </c>
      <c r="I469">
        <f>Model!Q626</f>
        <v>0</v>
      </c>
      <c r="J469">
        <f>Model!R626</f>
        <v>0</v>
      </c>
      <c r="K469">
        <f>Model!S626</f>
        <v>0</v>
      </c>
      <c r="L469">
        <f>Model!T626</f>
        <v>0</v>
      </c>
      <c r="M469">
        <f>Model!U626</f>
        <v>0</v>
      </c>
      <c r="N469">
        <f>Model!V626</f>
        <v>0</v>
      </c>
      <c r="O469">
        <f>Model!W626</f>
        <v>0</v>
      </c>
      <c r="P469">
        <f>Model!X626</f>
        <v>0</v>
      </c>
      <c r="Q469">
        <f>Model!Y626</f>
        <v>0</v>
      </c>
      <c r="R469">
        <f>Model!Z626</f>
        <v>0</v>
      </c>
      <c r="S469">
        <f>Model!AA626</f>
        <v>0</v>
      </c>
      <c r="T469">
        <f>Model!AB626</f>
        <v>0</v>
      </c>
      <c r="U469">
        <f>Model!AC626</f>
        <v>0</v>
      </c>
      <c r="V469">
        <f>Model!AD626</f>
        <v>0</v>
      </c>
      <c r="W469">
        <f>Model!AE626</f>
        <v>0</v>
      </c>
      <c r="X469">
        <f>Model!AF626</f>
        <v>0</v>
      </c>
      <c r="Y469">
        <f>Model!AG626</f>
        <v>0</v>
      </c>
      <c r="Z469">
        <f>Model!AH626</f>
        <v>0</v>
      </c>
      <c r="AA469">
        <f>Model!AI626</f>
        <v>0</v>
      </c>
      <c r="AB469">
        <f>Model!AJ626</f>
        <v>0</v>
      </c>
      <c r="AC469">
        <f>Model!AK626</f>
        <v>0</v>
      </c>
      <c r="AD469">
        <f>Model!AL626</f>
        <v>0</v>
      </c>
      <c r="AE469">
        <f>Model!AM626</f>
        <v>0</v>
      </c>
      <c r="AF469">
        <f>Model!AN626</f>
        <v>0</v>
      </c>
      <c r="AG469">
        <f>Model!AO626</f>
        <v>0</v>
      </c>
      <c r="AH469">
        <f>Model!AP626</f>
        <v>0</v>
      </c>
      <c r="AI469">
        <f>Model!AQ626</f>
        <v>0</v>
      </c>
      <c r="AJ469">
        <f>Model!AR626</f>
        <v>0</v>
      </c>
      <c r="AK469">
        <f>Model!AS626</f>
        <v>0</v>
      </c>
      <c r="AL469">
        <f>Model!AT626</f>
        <v>0</v>
      </c>
      <c r="AM469">
        <f>Model!AU626</f>
        <v>0</v>
      </c>
      <c r="AN469">
        <f>Model!AV626</f>
        <v>0</v>
      </c>
      <c r="AO469">
        <f>Model!AW626</f>
        <v>0</v>
      </c>
      <c r="AP469">
        <f>Model!AX626</f>
        <v>0</v>
      </c>
      <c r="AQ469">
        <f>Model!AY626</f>
        <v>0</v>
      </c>
      <c r="AR469">
        <f>Model!AZ626</f>
        <v>0</v>
      </c>
      <c r="AS469">
        <f>Model!BA626</f>
        <v>2347.7280000000001</v>
      </c>
      <c r="AT469">
        <f>Model!BB626</f>
        <v>2372.2829999999999</v>
      </c>
      <c r="AU469">
        <f>Model!BC626</f>
        <v>2394.0340000000001</v>
      </c>
      <c r="AV469">
        <f>Model!BD626</f>
        <v>2431.279</v>
      </c>
      <c r="AW469">
        <f>Model!BE626</f>
        <v>2536.6390000000001</v>
      </c>
      <c r="AX469">
        <f>Model!BF626</f>
        <v>2569.123</v>
      </c>
      <c r="AY469">
        <f>Model!BG626</f>
        <v>2593.8829999999998</v>
      </c>
      <c r="AZ469">
        <f>Model!BH626</f>
        <v>2612.1970000000001</v>
      </c>
      <c r="BA469">
        <f>Model!BI626</f>
        <v>2645.3159999999998</v>
      </c>
      <c r="BB469">
        <f>Model!BJ626</f>
        <v>4408.9809999999998</v>
      </c>
      <c r="BC469">
        <f>Model!BK626</f>
        <v>4459.3329999999996</v>
      </c>
      <c r="BD469">
        <f>Model!BL626</f>
        <v>4592.9790000000003</v>
      </c>
      <c r="BE469">
        <f>Model!BM626</f>
        <v>4650.0770000000002</v>
      </c>
      <c r="BF469">
        <f>Model!BN626</f>
        <v>4703.3289999999997</v>
      </c>
      <c r="BG469">
        <f>Model!BO626</f>
        <v>4848.8239999999996</v>
      </c>
      <c r="BH469">
        <f>Model!BP626</f>
        <v>4923.1959999999999</v>
      </c>
      <c r="BI469">
        <f>Model!BQ626</f>
        <v>4926.5600000000004</v>
      </c>
      <c r="BJ469">
        <f>Model!BR626</f>
        <v>5009.7529999999997</v>
      </c>
      <c r="BK469">
        <f>Model!BS626</f>
        <v>5097.5600000000004</v>
      </c>
      <c r="BL469">
        <f>Model!BT626</f>
        <v>5184.91</v>
      </c>
      <c r="BM469">
        <f>Model!BU626</f>
        <v>5273.83</v>
      </c>
      <c r="BN469">
        <f>Model!BV626</f>
        <v>5377.16</v>
      </c>
      <c r="BO469">
        <f>Model!BW626</f>
        <v>5410.9129999999996</v>
      </c>
      <c r="BP469">
        <f>Model!BX626</f>
        <v>5482.6530000000002</v>
      </c>
      <c r="BQ469">
        <f>Model!BY626</f>
        <v>5558.1940000000004</v>
      </c>
      <c r="BR469">
        <f>Model!BZ626</f>
        <v>5633.6589999999997</v>
      </c>
      <c r="BS469">
        <f>Model!CA626</f>
        <v>5707.3310000000001</v>
      </c>
      <c r="BT469">
        <f>Model!CB626</f>
        <v>5783.0889999999999</v>
      </c>
      <c r="BU469">
        <f>Model!CC626</f>
        <v>5783.0889999999999</v>
      </c>
      <c r="BV469">
        <f>Model!CD626</f>
        <v>5783.0889999999999</v>
      </c>
      <c r="BW469">
        <f>Model!CE626</f>
        <v>5783.0889999999999</v>
      </c>
      <c r="BX469">
        <f>Model!CF626</f>
        <v>5783.0889999999999</v>
      </c>
      <c r="BY469">
        <f>Model!CG626</f>
        <v>0</v>
      </c>
      <c r="BZ469">
        <f>Model!CH626</f>
        <v>0</v>
      </c>
      <c r="CA469">
        <f>Model!CI626</f>
        <v>0</v>
      </c>
      <c r="CB469">
        <f>Model!CJ626</f>
        <v>0</v>
      </c>
      <c r="CC469">
        <f>Model!CK626</f>
        <v>0</v>
      </c>
      <c r="CD469">
        <f>Model!CL626</f>
        <v>0</v>
      </c>
      <c r="CE469">
        <f>Model!CM626</f>
        <v>0</v>
      </c>
      <c r="CF469">
        <f>Model!CN626</f>
        <v>0</v>
      </c>
      <c r="CG469">
        <f>Model!CO626</f>
        <v>0</v>
      </c>
      <c r="CH469">
        <f>Model!CP626</f>
        <v>0</v>
      </c>
      <c r="CI469">
        <f>Model!CQ626</f>
        <v>2417.0920000000001</v>
      </c>
      <c r="CJ469">
        <f>Model!CR626</f>
        <v>2431.279</v>
      </c>
      <c r="CK469">
        <f>Model!CS626</f>
        <v>2612.1970000000001</v>
      </c>
      <c r="CL469">
        <f>Model!CT626</f>
        <v>4592.9790000000003</v>
      </c>
      <c r="CM469">
        <f>Model!CU626</f>
        <v>4923.1959999999999</v>
      </c>
      <c r="CN469">
        <f>Model!CV626</f>
        <v>5184.91</v>
      </c>
      <c r="CO469">
        <f>Model!CW626</f>
        <v>5482.6530000000002</v>
      </c>
      <c r="CP469">
        <f>Model!CX626</f>
        <v>5783.0889999999999</v>
      </c>
      <c r="CQ469">
        <f>Model!CY626</f>
        <v>5783.0889999999999</v>
      </c>
      <c r="CR469">
        <f>Model!DG626</f>
        <v>0</v>
      </c>
      <c r="CS469">
        <f>Model!DH626</f>
        <v>0</v>
      </c>
      <c r="CT469">
        <f>Model!DI626</f>
        <v>0</v>
      </c>
      <c r="CU469">
        <f>Model!DJ626</f>
        <v>0</v>
      </c>
    </row>
    <row r="470" spans="1:99">
      <c r="A470" t="str">
        <f>Model!I627</f>
        <v>Accumulated Earnings/(Deficit)</v>
      </c>
      <c r="B470">
        <f>Model!J627</f>
        <v>0</v>
      </c>
      <c r="C470">
        <f>Model!K627</f>
        <v>0</v>
      </c>
      <c r="D470">
        <f>Model!L627</f>
        <v>0</v>
      </c>
      <c r="E470">
        <f>Model!M627</f>
        <v>0</v>
      </c>
      <c r="F470">
        <f>Model!N627</f>
        <v>0</v>
      </c>
      <c r="G470">
        <f>Model!O627</f>
        <v>0</v>
      </c>
      <c r="H470">
        <f>Model!P627</f>
        <v>0</v>
      </c>
      <c r="I470">
        <f>Model!Q627</f>
        <v>0</v>
      </c>
      <c r="J470">
        <f>Model!R627</f>
        <v>0</v>
      </c>
      <c r="K470">
        <f>Model!S627</f>
        <v>0</v>
      </c>
      <c r="L470">
        <f>Model!T627</f>
        <v>0</v>
      </c>
      <c r="M470">
        <f>Model!U627</f>
        <v>0</v>
      </c>
      <c r="N470">
        <f>Model!V627</f>
        <v>0</v>
      </c>
      <c r="O470">
        <f>Model!W627</f>
        <v>0</v>
      </c>
      <c r="P470">
        <f>Model!X627</f>
        <v>0</v>
      </c>
      <c r="Q470">
        <f>Model!Y627</f>
        <v>0</v>
      </c>
      <c r="R470">
        <f>Model!Z627</f>
        <v>0</v>
      </c>
      <c r="S470">
        <f>Model!AA627</f>
        <v>0</v>
      </c>
      <c r="T470">
        <f>Model!AB627</f>
        <v>0</v>
      </c>
      <c r="U470">
        <f>Model!AC627</f>
        <v>0</v>
      </c>
      <c r="V470">
        <f>Model!AD627</f>
        <v>0</v>
      </c>
      <c r="W470">
        <f>Model!AE627</f>
        <v>0</v>
      </c>
      <c r="X470">
        <f>Model!AF627</f>
        <v>0</v>
      </c>
      <c r="Y470">
        <f>Model!AG627</f>
        <v>0</v>
      </c>
      <c r="Z470">
        <f>Model!AH627</f>
        <v>0</v>
      </c>
      <c r="AA470">
        <f>Model!AI627</f>
        <v>0</v>
      </c>
      <c r="AB470">
        <f>Model!AJ627</f>
        <v>0</v>
      </c>
      <c r="AC470">
        <f>Model!AK627</f>
        <v>0</v>
      </c>
      <c r="AD470">
        <f>Model!AL627</f>
        <v>0</v>
      </c>
      <c r="AE470">
        <f>Model!AM627</f>
        <v>0</v>
      </c>
      <c r="AF470">
        <f>Model!AN627</f>
        <v>0</v>
      </c>
      <c r="AG470">
        <f>Model!AO627</f>
        <v>0</v>
      </c>
      <c r="AH470">
        <f>Model!AP627</f>
        <v>0</v>
      </c>
      <c r="AI470">
        <f>Model!AQ627</f>
        <v>0</v>
      </c>
      <c r="AJ470">
        <f>Model!AR627</f>
        <v>0</v>
      </c>
      <c r="AK470">
        <f>Model!AS627</f>
        <v>0</v>
      </c>
      <c r="AL470">
        <f>Model!AT627</f>
        <v>0</v>
      </c>
      <c r="AM470">
        <f>Model!AU627</f>
        <v>0</v>
      </c>
      <c r="AN470">
        <f>Model!AV627</f>
        <v>0</v>
      </c>
      <c r="AO470">
        <f>Model!AW627</f>
        <v>0</v>
      </c>
      <c r="AP470">
        <f>Model!AX627</f>
        <v>0</v>
      </c>
      <c r="AQ470">
        <f>Model!AY627</f>
        <v>0</v>
      </c>
      <c r="AR470">
        <f>Model!AZ627</f>
        <v>0</v>
      </c>
      <c r="AS470">
        <f>Model!BA627</f>
        <v>163.54499999999999</v>
      </c>
      <c r="AT470">
        <f>Model!BB627</f>
        <v>396.52800000000002</v>
      </c>
      <c r="AU470">
        <f>Model!BC627</f>
        <v>858.43799999999999</v>
      </c>
      <c r="AV470">
        <f>Model!BD627</f>
        <v>1033.7380000000001</v>
      </c>
      <c r="AW470">
        <f>Model!BE627</f>
        <v>1163.4939999999999</v>
      </c>
      <c r="AX470">
        <f>Model!BF627</f>
        <v>1524.615</v>
      </c>
      <c r="AY470">
        <f>Model!BG627</f>
        <v>2105.386</v>
      </c>
      <c r="AZ470">
        <f>Model!BH627</f>
        <v>2368.6109999999999</v>
      </c>
      <c r="BA470">
        <f>Model!BI627</f>
        <v>2570.114</v>
      </c>
      <c r="BB470">
        <f>Model!BJ627</f>
        <v>3007.6860000000001</v>
      </c>
      <c r="BC470">
        <f>Model!BK627</f>
        <v>3840.6750000000002</v>
      </c>
      <c r="BD470">
        <f>Model!BL627</f>
        <v>4218.7520000000004</v>
      </c>
      <c r="BE470">
        <f>Model!BM627</f>
        <v>4549.97</v>
      </c>
      <c r="BF470">
        <f>Model!BN627</f>
        <v>5126.4210000000003</v>
      </c>
      <c r="BG470">
        <f>Model!BO627</f>
        <v>6188.674</v>
      </c>
      <c r="BH470">
        <f>Model!BP627</f>
        <v>6640.5050000000001</v>
      </c>
      <c r="BI470">
        <f>Model!BQ627</f>
        <v>6973.8320000000003</v>
      </c>
      <c r="BJ470">
        <f>Model!BR627</f>
        <v>7490.8639999999996</v>
      </c>
      <c r="BK470">
        <f>Model!BS627</f>
        <v>8687.5959999999995</v>
      </c>
      <c r="BL470">
        <f>Model!BT627</f>
        <v>9191.8649999999998</v>
      </c>
      <c r="BM470">
        <f>Model!BU627</f>
        <v>9566.2890000000007</v>
      </c>
      <c r="BN470">
        <f>Model!BV627</f>
        <v>10146.927</v>
      </c>
      <c r="BO470">
        <f>Model!BW627</f>
        <v>10652.944</v>
      </c>
      <c r="BP470">
        <f>Model!BX627</f>
        <v>11326.852000000001</v>
      </c>
      <c r="BQ470">
        <f>Model!BY627</f>
        <v>12072.791999999999</v>
      </c>
      <c r="BR470">
        <f>Model!BZ627</f>
        <v>12793.001</v>
      </c>
      <c r="BS470">
        <f>Model!CA627</f>
        <v>14513.392</v>
      </c>
      <c r="BT470">
        <f>Model!CB627</f>
        <v>13938.869000000001</v>
      </c>
      <c r="BU470">
        <f>Model!CC627</f>
        <v>14458.34169697735</v>
      </c>
      <c r="BV470">
        <f>Model!CD627</f>
        <v>15340.778970051457</v>
      </c>
      <c r="BW470">
        <f>Model!CE627</f>
        <v>17302.513183208252</v>
      </c>
      <c r="BX470">
        <f>Model!CF627</f>
        <v>18313.77222888104</v>
      </c>
      <c r="BY470">
        <f>Model!CG627</f>
        <v>0</v>
      </c>
      <c r="BZ470">
        <f>Model!CH627</f>
        <v>0</v>
      </c>
      <c r="CA470">
        <f>Model!CI627</f>
        <v>0</v>
      </c>
      <c r="CB470">
        <f>Model!CJ627</f>
        <v>0</v>
      </c>
      <c r="CC470">
        <f>Model!CK627</f>
        <v>0</v>
      </c>
      <c r="CD470">
        <f>Model!CL627</f>
        <v>0</v>
      </c>
      <c r="CE470">
        <f>Model!CM627</f>
        <v>0</v>
      </c>
      <c r="CF470">
        <f>Model!CN627</f>
        <v>0</v>
      </c>
      <c r="CG470">
        <f>Model!CO627</f>
        <v>0</v>
      </c>
      <c r="CH470">
        <f>Model!CP627</f>
        <v>0</v>
      </c>
      <c r="CI470">
        <f>Model!CQ627</f>
        <v>69.11</v>
      </c>
      <c r="CJ470">
        <f>Model!CR627</f>
        <v>1033.7380000000001</v>
      </c>
      <c r="CK470">
        <f>Model!CS627</f>
        <v>2368.6109999999999</v>
      </c>
      <c r="CL470">
        <f>Model!CT627</f>
        <v>4218.7520000000004</v>
      </c>
      <c r="CM470">
        <f>Model!CU627</f>
        <v>6640.5050000000001</v>
      </c>
      <c r="CN470">
        <f>Model!CV627</f>
        <v>9191.8649999999998</v>
      </c>
      <c r="CO470">
        <f>Model!CW627</f>
        <v>11326.852000000001</v>
      </c>
      <c r="CP470">
        <f>Model!CX627</f>
        <v>13938.869000000001</v>
      </c>
      <c r="CQ470">
        <f>Model!CY627</f>
        <v>18313.77222888104</v>
      </c>
      <c r="CR470">
        <f>Model!DG627</f>
        <v>0</v>
      </c>
      <c r="CS470">
        <f>Model!DH627</f>
        <v>0</v>
      </c>
      <c r="CT470">
        <f>Model!DI627</f>
        <v>0</v>
      </c>
      <c r="CU470">
        <f>Model!DJ627</f>
        <v>0</v>
      </c>
    </row>
    <row r="471" spans="1:99">
      <c r="A471" t="str">
        <f>Model!I628</f>
        <v>Accum Other Comprehensive Inc</v>
      </c>
      <c r="B471">
        <f>Model!J628</f>
        <v>0</v>
      </c>
      <c r="C471">
        <f>Model!K628</f>
        <v>0</v>
      </c>
      <c r="D471">
        <f>Model!L628</f>
        <v>0</v>
      </c>
      <c r="E471">
        <f>Model!M628</f>
        <v>0</v>
      </c>
      <c r="F471">
        <f>Model!N628</f>
        <v>0</v>
      </c>
      <c r="G471">
        <f>Model!O628</f>
        <v>0</v>
      </c>
      <c r="H471">
        <f>Model!P628</f>
        <v>0</v>
      </c>
      <c r="I471">
        <f>Model!Q628</f>
        <v>0</v>
      </c>
      <c r="J471">
        <f>Model!R628</f>
        <v>0</v>
      </c>
      <c r="K471">
        <f>Model!S628</f>
        <v>0</v>
      </c>
      <c r="L471">
        <f>Model!T628</f>
        <v>0</v>
      </c>
      <c r="M471">
        <f>Model!U628</f>
        <v>0</v>
      </c>
      <c r="N471">
        <f>Model!V628</f>
        <v>0</v>
      </c>
      <c r="O471">
        <f>Model!W628</f>
        <v>0</v>
      </c>
      <c r="P471">
        <f>Model!X628</f>
        <v>0</v>
      </c>
      <c r="Q471">
        <f>Model!Y628</f>
        <v>0</v>
      </c>
      <c r="R471">
        <f>Model!Z628</f>
        <v>0</v>
      </c>
      <c r="S471">
        <f>Model!AA628</f>
        <v>0</v>
      </c>
      <c r="T471">
        <f>Model!AB628</f>
        <v>0</v>
      </c>
      <c r="U471">
        <f>Model!AC628</f>
        <v>0</v>
      </c>
      <c r="V471">
        <f>Model!AD628</f>
        <v>0</v>
      </c>
      <c r="W471">
        <f>Model!AE628</f>
        <v>0</v>
      </c>
      <c r="X471">
        <f>Model!AF628</f>
        <v>0</v>
      </c>
      <c r="Y471">
        <f>Model!AG628</f>
        <v>0</v>
      </c>
      <c r="Z471">
        <f>Model!AH628</f>
        <v>0</v>
      </c>
      <c r="AA471">
        <f>Model!AI628</f>
        <v>0</v>
      </c>
      <c r="AB471">
        <f>Model!AJ628</f>
        <v>0</v>
      </c>
      <c r="AC471">
        <f>Model!AK628</f>
        <v>0</v>
      </c>
      <c r="AD471">
        <f>Model!AL628</f>
        <v>0</v>
      </c>
      <c r="AE471">
        <f>Model!AM628</f>
        <v>0</v>
      </c>
      <c r="AF471">
        <f>Model!AN628</f>
        <v>0</v>
      </c>
      <c r="AG471">
        <f>Model!AO628</f>
        <v>0</v>
      </c>
      <c r="AH471">
        <f>Model!AP628</f>
        <v>0</v>
      </c>
      <c r="AI471">
        <f>Model!AQ628</f>
        <v>0</v>
      </c>
      <c r="AJ471">
        <f>Model!AR628</f>
        <v>0</v>
      </c>
      <c r="AK471">
        <f>Model!AS628</f>
        <v>0</v>
      </c>
      <c r="AL471">
        <f>Model!AT628</f>
        <v>0</v>
      </c>
      <c r="AM471">
        <f>Model!AU628</f>
        <v>0</v>
      </c>
      <c r="AN471">
        <f>Model!AV628</f>
        <v>0</v>
      </c>
      <c r="AO471">
        <f>Model!AW628</f>
        <v>0</v>
      </c>
      <c r="AP471">
        <f>Model!AX628</f>
        <v>0</v>
      </c>
      <c r="AQ471">
        <f>Model!AY628</f>
        <v>0</v>
      </c>
      <c r="AR471">
        <f>Model!AZ628</f>
        <v>0</v>
      </c>
      <c r="AS471">
        <f>Model!BA628</f>
        <v>10.36</v>
      </c>
      <c r="AT471">
        <f>Model!BB628</f>
        <v>19.475999999999999</v>
      </c>
      <c r="AU471">
        <f>Model!BC628</f>
        <v>-59.835000000000001</v>
      </c>
      <c r="AV471">
        <f>Model!BD628</f>
        <v>-87.581999999999994</v>
      </c>
      <c r="AW471">
        <f>Model!BE628</f>
        <v>-51.112000000000002</v>
      </c>
      <c r="AX471">
        <f>Model!BF628</f>
        <v>-107.64700000000001</v>
      </c>
      <c r="AY471">
        <f>Model!BG628</f>
        <v>-62.872</v>
      </c>
      <c r="AZ471">
        <f>Model!BH628</f>
        <v>-23.675999999999998</v>
      </c>
      <c r="BA471">
        <f>Model!BI628</f>
        <v>-88.06</v>
      </c>
      <c r="BB471">
        <f>Model!BJ628</f>
        <v>-75.581999999999994</v>
      </c>
      <c r="BC471">
        <f>Model!BK628</f>
        <v>39.761000000000003</v>
      </c>
      <c r="BD471">
        <f>Model!BL628</f>
        <v>84.728999999999999</v>
      </c>
      <c r="BE471">
        <f>Model!BM628</f>
        <v>92.751000000000005</v>
      </c>
      <c r="BF471">
        <f>Model!BN628</f>
        <v>78.334999999999994</v>
      </c>
      <c r="BG471">
        <f>Model!BO628</f>
        <v>-72.203999999999994</v>
      </c>
      <c r="BH471">
        <f>Model!BP628</f>
        <v>-259.90199999999999</v>
      </c>
      <c r="BI471">
        <f>Model!BQ628</f>
        <v>-224.54499999999999</v>
      </c>
      <c r="BJ471">
        <f>Model!BR628</f>
        <v>-43.122999999999998</v>
      </c>
      <c r="BK471">
        <f>Model!BS628</f>
        <v>-185.465</v>
      </c>
      <c r="BL471">
        <f>Model!BT628</f>
        <v>244.852</v>
      </c>
      <c r="BM471">
        <f>Model!BU628</f>
        <v>297.76499999999999</v>
      </c>
      <c r="BN471">
        <f>Model!BV628</f>
        <v>135.44200000000001</v>
      </c>
      <c r="BO471">
        <f>Model!BW628</f>
        <v>322.346</v>
      </c>
      <c r="BP471">
        <f>Model!BX628</f>
        <v>-134.684</v>
      </c>
      <c r="BQ471">
        <f>Model!BY628</f>
        <v>247.05500000000001</v>
      </c>
      <c r="BR471">
        <f>Model!BZ628</f>
        <v>573.91499999999996</v>
      </c>
      <c r="BS471">
        <f>Model!CA628</f>
        <v>653.66600000000005</v>
      </c>
      <c r="BT471">
        <f>Model!CB628</f>
        <v>236.982</v>
      </c>
      <c r="BU471">
        <f>Model!CC628</f>
        <v>236.982</v>
      </c>
      <c r="BV471">
        <f>Model!CD628</f>
        <v>236.982</v>
      </c>
      <c r="BW471">
        <f>Model!CE628</f>
        <v>236.982</v>
      </c>
      <c r="BX471">
        <f>Model!CF628</f>
        <v>236.982</v>
      </c>
      <c r="BY471">
        <f>Model!CG628</f>
        <v>0</v>
      </c>
      <c r="BZ471">
        <f>Model!CH628</f>
        <v>0</v>
      </c>
      <c r="CA471">
        <f>Model!CI628</f>
        <v>0</v>
      </c>
      <c r="CB471">
        <f>Model!CJ628</f>
        <v>0</v>
      </c>
      <c r="CC471">
        <f>Model!CK628</f>
        <v>0</v>
      </c>
      <c r="CD471">
        <f>Model!CL628</f>
        <v>0</v>
      </c>
      <c r="CE471">
        <f>Model!CM628</f>
        <v>0</v>
      </c>
      <c r="CF471">
        <f>Model!CN628</f>
        <v>0</v>
      </c>
      <c r="CG471">
        <f>Model!CO628</f>
        <v>0</v>
      </c>
      <c r="CH471">
        <f>Model!CP628</f>
        <v>0</v>
      </c>
      <c r="CI471">
        <f>Model!CQ628</f>
        <v>-32.889000000000003</v>
      </c>
      <c r="CJ471">
        <f>Model!CR628</f>
        <v>-87.581999999999994</v>
      </c>
      <c r="CK471">
        <f>Model!CS628</f>
        <v>-23.675999999999998</v>
      </c>
      <c r="CL471">
        <f>Model!CT628</f>
        <v>84.728999999999999</v>
      </c>
      <c r="CM471">
        <f>Model!CU628</f>
        <v>-259.90199999999999</v>
      </c>
      <c r="CN471">
        <f>Model!CV628</f>
        <v>244.852</v>
      </c>
      <c r="CO471">
        <f>Model!CW628</f>
        <v>-134.684</v>
      </c>
      <c r="CP471">
        <f>Model!CX628</f>
        <v>236.982</v>
      </c>
      <c r="CQ471">
        <f>Model!CY628</f>
        <v>236.982</v>
      </c>
      <c r="CR471">
        <f>Model!DG628</f>
        <v>0</v>
      </c>
      <c r="CS471">
        <f>Model!DH628</f>
        <v>0</v>
      </c>
      <c r="CT471">
        <f>Model!DI628</f>
        <v>0</v>
      </c>
      <c r="CU471">
        <f>Model!DJ628</f>
        <v>0</v>
      </c>
    </row>
    <row r="472" spans="1:99">
      <c r="A472" t="str">
        <f>Model!I629</f>
        <v>Total Shareholders' Equity</v>
      </c>
      <c r="B472">
        <f>Model!J629</f>
        <v>0</v>
      </c>
      <c r="C472">
        <f>Model!K629</f>
        <v>0</v>
      </c>
      <c r="D472">
        <f>Model!L629</f>
        <v>0</v>
      </c>
      <c r="E472">
        <f>Model!M629</f>
        <v>0</v>
      </c>
      <c r="F472">
        <f>Model!N629</f>
        <v>0</v>
      </c>
      <c r="G472">
        <f>Model!O629</f>
        <v>0</v>
      </c>
      <c r="H472">
        <f>Model!P629</f>
        <v>0</v>
      </c>
      <c r="I472">
        <f>Model!Q629</f>
        <v>0</v>
      </c>
      <c r="J472">
        <f>Model!R629</f>
        <v>0</v>
      </c>
      <c r="K472">
        <f>Model!S629</f>
        <v>0</v>
      </c>
      <c r="L472">
        <f>Model!T629</f>
        <v>0</v>
      </c>
      <c r="M472">
        <f>Model!U629</f>
        <v>0</v>
      </c>
      <c r="N472">
        <f>Model!V629</f>
        <v>0</v>
      </c>
      <c r="O472">
        <f>Model!W629</f>
        <v>0</v>
      </c>
      <c r="P472">
        <f>Model!X629</f>
        <v>0</v>
      </c>
      <c r="Q472">
        <f>Model!Y629</f>
        <v>0</v>
      </c>
      <c r="R472">
        <f>Model!Z629</f>
        <v>0</v>
      </c>
      <c r="S472">
        <f>Model!AA629</f>
        <v>0</v>
      </c>
      <c r="T472">
        <f>Model!AB629</f>
        <v>0</v>
      </c>
      <c r="U472">
        <f>Model!AC629</f>
        <v>0</v>
      </c>
      <c r="V472">
        <f>Model!AD629</f>
        <v>0</v>
      </c>
      <c r="W472">
        <f>Model!AE629</f>
        <v>0</v>
      </c>
      <c r="X472">
        <f>Model!AF629</f>
        <v>0</v>
      </c>
      <c r="Y472">
        <f>Model!AG629</f>
        <v>0</v>
      </c>
      <c r="Z472">
        <f>Model!AH629</f>
        <v>0</v>
      </c>
      <c r="AA472">
        <f>Model!AI629</f>
        <v>0</v>
      </c>
      <c r="AB472">
        <f>Model!AJ629</f>
        <v>0</v>
      </c>
      <c r="AC472">
        <f>Model!AK629</f>
        <v>0</v>
      </c>
      <c r="AD472">
        <f>Model!AL629</f>
        <v>0</v>
      </c>
      <c r="AE472">
        <f>Model!AM629</f>
        <v>0</v>
      </c>
      <c r="AF472">
        <f>Model!AN629</f>
        <v>0</v>
      </c>
      <c r="AG472">
        <f>Model!AO629</f>
        <v>0</v>
      </c>
      <c r="AH472">
        <f>Model!AP629</f>
        <v>0</v>
      </c>
      <c r="AI472">
        <f>Model!AQ629</f>
        <v>0</v>
      </c>
      <c r="AJ472">
        <f>Model!AR629</f>
        <v>0</v>
      </c>
      <c r="AK472">
        <f>Model!AS629</f>
        <v>0</v>
      </c>
      <c r="AL472">
        <f>Model!AT629</f>
        <v>0</v>
      </c>
      <c r="AM472">
        <f>Model!AU629</f>
        <v>0</v>
      </c>
      <c r="AN472">
        <f>Model!AV629</f>
        <v>0</v>
      </c>
      <c r="AO472">
        <f>Model!AW629</f>
        <v>0</v>
      </c>
      <c r="AP472">
        <f>Model!AX629</f>
        <v>0</v>
      </c>
      <c r="AQ472">
        <f>Model!AY629</f>
        <v>0</v>
      </c>
      <c r="AR472">
        <f>Model!AZ629</f>
        <v>0</v>
      </c>
      <c r="AS472">
        <f>Model!BA629</f>
        <v>1724.4010000000001</v>
      </c>
      <c r="AT472">
        <f>Model!BB629</f>
        <v>1989.627</v>
      </c>
      <c r="AU472">
        <f>Model!BC629</f>
        <v>2390.299</v>
      </c>
      <c r="AV472">
        <f>Model!BD629</f>
        <v>2574.2950000000005</v>
      </c>
      <c r="AW472">
        <f>Model!BE629</f>
        <v>2591.6590000000001</v>
      </c>
      <c r="AX472">
        <f>Model!BF629</f>
        <v>2927.7870000000003</v>
      </c>
      <c r="AY472">
        <f>Model!BG629</f>
        <v>3577.864</v>
      </c>
      <c r="AZ472">
        <f>Model!BH629</f>
        <v>3896.9749999999999</v>
      </c>
      <c r="BA472">
        <f>Model!BI629</f>
        <v>3990.8349999999996</v>
      </c>
      <c r="BB472">
        <f>Model!BJ629</f>
        <v>5857.66</v>
      </c>
      <c r="BC472">
        <f>Model!BK629</f>
        <v>6396.6220000000003</v>
      </c>
      <c r="BD472">
        <f>Model!BL629</f>
        <v>6909.7290000000012</v>
      </c>
      <c r="BE472">
        <f>Model!BM629</f>
        <v>7209.4090000000006</v>
      </c>
      <c r="BF472">
        <f>Model!BN629</f>
        <v>7824.0320000000002</v>
      </c>
      <c r="BG472">
        <f>Model!BO629</f>
        <v>8733.110999999999</v>
      </c>
      <c r="BH472">
        <f>Model!BP629</f>
        <v>8566.6939999999995</v>
      </c>
      <c r="BI472">
        <f>Model!BQ629</f>
        <v>8630.1250000000018</v>
      </c>
      <c r="BJ472">
        <f>Model!BR629</f>
        <v>8557.9650000000001</v>
      </c>
      <c r="BK472">
        <f>Model!BS629</f>
        <v>8526.773000000001</v>
      </c>
      <c r="BL472">
        <f>Model!BT629</f>
        <v>8795.4689999999991</v>
      </c>
      <c r="BM472">
        <f>Model!BU629</f>
        <v>9052.3670000000002</v>
      </c>
      <c r="BN472">
        <f>Model!BV629</f>
        <v>9274.7049999999981</v>
      </c>
      <c r="BO472">
        <f>Model!BW629</f>
        <v>9802.5699999999979</v>
      </c>
      <c r="BP472">
        <f>Model!BX629</f>
        <v>9820.1420000000016</v>
      </c>
      <c r="BQ472">
        <f>Model!BY629</f>
        <v>10811.019</v>
      </c>
      <c r="BR472">
        <f>Model!BZ629</f>
        <v>11589.669000000002</v>
      </c>
      <c r="BS472">
        <f>Model!CA629</f>
        <v>12876.993999999999</v>
      </c>
      <c r="BT472">
        <f>Model!CB629</f>
        <v>11260.598</v>
      </c>
      <c r="BU472">
        <f>Model!CC629</f>
        <v>11155.070696977349</v>
      </c>
      <c r="BV472">
        <f>Model!CD629</f>
        <v>11412.507970051456</v>
      </c>
      <c r="BW472">
        <f>Model!CE629</f>
        <v>12749.242183208251</v>
      </c>
      <c r="BX472">
        <f>Model!CF629</f>
        <v>13135.501228881039</v>
      </c>
      <c r="BY472">
        <f>Model!CG629</f>
        <v>0</v>
      </c>
      <c r="BZ472">
        <f>Model!CH629</f>
        <v>0</v>
      </c>
      <c r="CA472">
        <f>Model!CI629</f>
        <v>0</v>
      </c>
      <c r="CB472">
        <f>Model!CJ629</f>
        <v>0</v>
      </c>
      <c r="CC472">
        <f>Model!CK629</f>
        <v>0</v>
      </c>
      <c r="CD472">
        <f>Model!CL629</f>
        <v>0</v>
      </c>
      <c r="CE472">
        <f>Model!CM629</f>
        <v>0</v>
      </c>
      <c r="CF472">
        <f>Model!CN629</f>
        <v>0</v>
      </c>
      <c r="CG472">
        <f>Model!CO629</f>
        <v>0</v>
      </c>
      <c r="CH472">
        <f>Model!CP629</f>
        <v>0</v>
      </c>
      <c r="CI472">
        <f>Model!CQ629</f>
        <v>1813.3360000000002</v>
      </c>
      <c r="CJ472">
        <f>Model!CR629</f>
        <v>2574.2950000000005</v>
      </c>
      <c r="CK472">
        <f>Model!CS629</f>
        <v>3896.9749999999999</v>
      </c>
      <c r="CL472">
        <f>Model!CT629</f>
        <v>6909.7290000000012</v>
      </c>
      <c r="CM472">
        <f>Model!CU629</f>
        <v>8566.6939999999995</v>
      </c>
      <c r="CN472">
        <f>Model!CV629</f>
        <v>8795.4689999999991</v>
      </c>
      <c r="CO472">
        <f>Model!CW629</f>
        <v>9820.1420000000016</v>
      </c>
      <c r="CP472">
        <f>Model!CX629</f>
        <v>11260.598</v>
      </c>
      <c r="CQ472">
        <f>Model!CY629</f>
        <v>13135.501228881039</v>
      </c>
      <c r="CR472">
        <f>Model!DG629</f>
        <v>0</v>
      </c>
      <c r="CS472">
        <f>Model!DH629</f>
        <v>0</v>
      </c>
      <c r="CT472">
        <f>Model!DI629</f>
        <v>0</v>
      </c>
      <c r="CU472">
        <f>Model!DJ629</f>
        <v>0</v>
      </c>
    </row>
    <row r="473" spans="1:99">
      <c r="A473" t="str">
        <f>Model!I630</f>
        <v>Total Liabilities + Stockholders' equity</v>
      </c>
      <c r="B473">
        <f>Model!J630</f>
        <v>0</v>
      </c>
      <c r="C473">
        <f>Model!K630</f>
        <v>0</v>
      </c>
      <c r="D473">
        <f>Model!L630</f>
        <v>0</v>
      </c>
      <c r="E473">
        <f>Model!M630</f>
        <v>0</v>
      </c>
      <c r="F473">
        <f>Model!N630</f>
        <v>0</v>
      </c>
      <c r="G473">
        <f>Model!O630</f>
        <v>0</v>
      </c>
      <c r="H473">
        <f>Model!P630</f>
        <v>0</v>
      </c>
      <c r="I473">
        <f>Model!Q630</f>
        <v>0</v>
      </c>
      <c r="J473">
        <f>Model!R630</f>
        <v>0</v>
      </c>
      <c r="K473">
        <f>Model!S630</f>
        <v>0</v>
      </c>
      <c r="L473">
        <f>Model!T630</f>
        <v>0</v>
      </c>
      <c r="M473">
        <f>Model!U630</f>
        <v>0</v>
      </c>
      <c r="N473">
        <f>Model!V630</f>
        <v>0</v>
      </c>
      <c r="O473">
        <f>Model!W630</f>
        <v>0</v>
      </c>
      <c r="P473">
        <f>Model!X630</f>
        <v>0</v>
      </c>
      <c r="Q473">
        <f>Model!Y630</f>
        <v>0</v>
      </c>
      <c r="R473">
        <f>Model!Z630</f>
        <v>0</v>
      </c>
      <c r="S473">
        <f>Model!AA630</f>
        <v>0</v>
      </c>
      <c r="T473">
        <f>Model!AB630</f>
        <v>0</v>
      </c>
      <c r="U473">
        <f>Model!AC630</f>
        <v>0</v>
      </c>
      <c r="V473">
        <f>Model!AD630</f>
        <v>0</v>
      </c>
      <c r="W473">
        <f>Model!AE630</f>
        <v>0</v>
      </c>
      <c r="X473">
        <f>Model!AF630</f>
        <v>0</v>
      </c>
      <c r="Y473">
        <f>Model!AG630</f>
        <v>0</v>
      </c>
      <c r="Z473">
        <f>Model!AH630</f>
        <v>0</v>
      </c>
      <c r="AA473">
        <f>Model!AI630</f>
        <v>0</v>
      </c>
      <c r="AB473">
        <f>Model!AJ630</f>
        <v>0</v>
      </c>
      <c r="AC473">
        <f>Model!AK630</f>
        <v>0</v>
      </c>
      <c r="AD473">
        <f>Model!AL630</f>
        <v>0</v>
      </c>
      <c r="AE473">
        <f>Model!AM630</f>
        <v>0</v>
      </c>
      <c r="AF473">
        <f>Model!AN630</f>
        <v>0</v>
      </c>
      <c r="AG473">
        <f>Model!AO630</f>
        <v>0</v>
      </c>
      <c r="AH473">
        <f>Model!AP630</f>
        <v>0</v>
      </c>
      <c r="AI473">
        <f>Model!AQ630</f>
        <v>0</v>
      </c>
      <c r="AJ473">
        <f>Model!AR630</f>
        <v>0</v>
      </c>
      <c r="AK473">
        <f>Model!AS630</f>
        <v>0</v>
      </c>
      <c r="AL473">
        <f>Model!AT630</f>
        <v>0</v>
      </c>
      <c r="AM473">
        <f>Model!AU630</f>
        <v>0</v>
      </c>
      <c r="AN473">
        <f>Model!AV630</f>
        <v>0</v>
      </c>
      <c r="AO473">
        <f>Model!AW630</f>
        <v>0</v>
      </c>
      <c r="AP473">
        <f>Model!AX630</f>
        <v>0</v>
      </c>
      <c r="AQ473">
        <f>Model!AY630</f>
        <v>0</v>
      </c>
      <c r="AR473">
        <f>Model!AZ630</f>
        <v>0</v>
      </c>
      <c r="AS473">
        <f>Model!BA630</f>
        <v>3065.3509999999997</v>
      </c>
      <c r="AT473">
        <f>Model!BB630</f>
        <v>3360.0749999999998</v>
      </c>
      <c r="AU473">
        <f>Model!BC630</f>
        <v>3815.5729999999999</v>
      </c>
      <c r="AV473">
        <f>Model!BD630</f>
        <v>3970.6710000000003</v>
      </c>
      <c r="AW473">
        <f>Model!BE630</f>
        <v>5092.8269999999993</v>
      </c>
      <c r="AX473">
        <f>Model!BF630</f>
        <v>5428.8060000000005</v>
      </c>
      <c r="AY473">
        <f>Model!BG630</f>
        <v>6217.8089999999993</v>
      </c>
      <c r="AZ473">
        <f>Model!BH630</f>
        <v>6569.7420000000002</v>
      </c>
      <c r="BA473">
        <f>Model!BI630</f>
        <v>6855.1269999999995</v>
      </c>
      <c r="BB473">
        <f>Model!BJ630</f>
        <v>9867.3709999999992</v>
      </c>
      <c r="BC473">
        <f>Model!BK630</f>
        <v>10445.654999999999</v>
      </c>
      <c r="BD473">
        <f>Model!BL630</f>
        <v>10444.460000000001</v>
      </c>
      <c r="BE473">
        <f>Model!BM630</f>
        <v>10813.683999999999</v>
      </c>
      <c r="BF473">
        <f>Model!BN630</f>
        <v>11600.323</v>
      </c>
      <c r="BG473">
        <f>Model!BO630</f>
        <v>15184.38</v>
      </c>
      <c r="BH473">
        <f>Model!BP630</f>
        <v>14940.563</v>
      </c>
      <c r="BI473">
        <f>Model!BQ630</f>
        <v>16842.492000000002</v>
      </c>
      <c r="BJ473">
        <f>Model!BR630</f>
        <v>17027.346000000001</v>
      </c>
      <c r="BK473">
        <f>Model!BS630</f>
        <v>16614.77</v>
      </c>
      <c r="BL473">
        <f>Model!BT630</f>
        <v>17420.574999999997</v>
      </c>
      <c r="BM473">
        <f>Model!BU630</f>
        <v>18334.546000000002</v>
      </c>
      <c r="BN473">
        <f>Model!BV630</f>
        <v>19687.169999999998</v>
      </c>
      <c r="BO473">
        <f>Model!BW630</f>
        <v>20033.784</v>
      </c>
      <c r="BP473">
        <f>Model!BX630</f>
        <v>19838.973000000002</v>
      </c>
      <c r="BQ473">
        <f>Model!BY630</f>
        <v>21994.252</v>
      </c>
      <c r="BR473">
        <f>Model!BZ630</f>
        <v>23458.323000000004</v>
      </c>
      <c r="BS473">
        <f>Model!CA630</f>
        <v>25789.111000000001</v>
      </c>
      <c r="BT473">
        <f>Model!CB630</f>
        <v>25451.263000000003</v>
      </c>
      <c r="BU473">
        <f>Model!CC630</f>
        <v>23754.340571380384</v>
      </c>
      <c r="BV473">
        <f>Model!CD630</f>
        <v>24697.079372486533</v>
      </c>
      <c r="BW473">
        <f>Model!CE630</f>
        <v>25756.879135734431</v>
      </c>
      <c r="BX473">
        <f>Model!CF630</f>
        <v>26444.568989639363</v>
      </c>
      <c r="BY473">
        <f>Model!CG630</f>
        <v>0</v>
      </c>
      <c r="BZ473">
        <f>Model!CH630</f>
        <v>0</v>
      </c>
      <c r="CA473">
        <f>Model!CI630</f>
        <v>0</v>
      </c>
      <c r="CB473">
        <f>Model!CJ630</f>
        <v>0</v>
      </c>
      <c r="CC473">
        <f>Model!CK630</f>
        <v>0</v>
      </c>
      <c r="CD473">
        <f>Model!CL630</f>
        <v>0</v>
      </c>
      <c r="CE473">
        <f>Model!CM630</f>
        <v>0</v>
      </c>
      <c r="CF473">
        <f>Model!CN630</f>
        <v>0</v>
      </c>
      <c r="CG473">
        <f>Model!CO630</f>
        <v>0</v>
      </c>
      <c r="CH473">
        <f>Model!CP630</f>
        <v>0</v>
      </c>
      <c r="CI473">
        <f>Model!CQ630</f>
        <v>2905.9530000000004</v>
      </c>
      <c r="CJ473">
        <f>Model!CR630</f>
        <v>3970.6710000000007</v>
      </c>
      <c r="CK473">
        <f>Model!CS630</f>
        <v>6569.7419999999993</v>
      </c>
      <c r="CL473">
        <f>Model!CT630</f>
        <v>10444.460000000001</v>
      </c>
      <c r="CM473">
        <f>Model!CU630</f>
        <v>14940.563</v>
      </c>
      <c r="CN473">
        <f>Model!CV630</f>
        <v>17420.574999999997</v>
      </c>
      <c r="CO473">
        <f>Model!CW630</f>
        <v>19838.973000000002</v>
      </c>
      <c r="CP473">
        <f>Model!CX630</f>
        <v>25451.263000000003</v>
      </c>
      <c r="CQ473">
        <f>Model!CY630</f>
        <v>26444.568989639363</v>
      </c>
      <c r="CR473">
        <f>Model!DG630</f>
        <v>0</v>
      </c>
      <c r="CS473">
        <f>Model!DH630</f>
        <v>0</v>
      </c>
      <c r="CT473">
        <f>Model!DI630</f>
        <v>0</v>
      </c>
      <c r="CU473">
        <f>Model!DJ630</f>
        <v>0</v>
      </c>
    </row>
    <row r="474" spans="1:99">
      <c r="A474" t="str">
        <f>Model!I631</f>
        <v>Check</v>
      </c>
      <c r="B474">
        <f>Model!J631</f>
        <v>0</v>
      </c>
      <c r="C474">
        <f>Model!K631</f>
        <v>0</v>
      </c>
      <c r="D474">
        <f>Model!L631</f>
        <v>0</v>
      </c>
      <c r="E474">
        <f>Model!M631</f>
        <v>0</v>
      </c>
      <c r="F474">
        <f>Model!N631</f>
        <v>0</v>
      </c>
      <c r="G474">
        <f>Model!O631</f>
        <v>0</v>
      </c>
      <c r="H474">
        <f>Model!P631</f>
        <v>0</v>
      </c>
      <c r="I474">
        <f>Model!Q631</f>
        <v>0</v>
      </c>
      <c r="J474">
        <f>Model!R631</f>
        <v>0</v>
      </c>
      <c r="K474">
        <f>Model!S631</f>
        <v>0</v>
      </c>
      <c r="L474">
        <f>Model!T631</f>
        <v>0</v>
      </c>
      <c r="M474">
        <f>Model!U631</f>
        <v>0</v>
      </c>
      <c r="N474">
        <f>Model!V631</f>
        <v>0</v>
      </c>
      <c r="O474">
        <f>Model!W631</f>
        <v>0</v>
      </c>
      <c r="P474">
        <f>Model!X631</f>
        <v>0</v>
      </c>
      <c r="Q474">
        <f>Model!Y631</f>
        <v>0</v>
      </c>
      <c r="R474">
        <f>Model!Z631</f>
        <v>0</v>
      </c>
      <c r="S474">
        <f>Model!AA631</f>
        <v>0</v>
      </c>
      <c r="T474">
        <f>Model!AB631</f>
        <v>0</v>
      </c>
      <c r="U474">
        <f>Model!AC631</f>
        <v>0</v>
      </c>
      <c r="V474">
        <f>Model!AD631</f>
        <v>0</v>
      </c>
      <c r="W474">
        <f>Model!AE631</f>
        <v>0</v>
      </c>
      <c r="X474">
        <f>Model!AF631</f>
        <v>0</v>
      </c>
      <c r="Y474">
        <f>Model!AG631</f>
        <v>0</v>
      </c>
      <c r="Z474">
        <f>Model!AH631</f>
        <v>0</v>
      </c>
      <c r="AA474">
        <f>Model!AI631</f>
        <v>0</v>
      </c>
      <c r="AB474">
        <f>Model!AJ631</f>
        <v>0</v>
      </c>
      <c r="AC474">
        <f>Model!AK631</f>
        <v>0</v>
      </c>
      <c r="AD474">
        <f>Model!AL631</f>
        <v>0</v>
      </c>
      <c r="AE474">
        <f>Model!AM631</f>
        <v>0</v>
      </c>
      <c r="AF474">
        <f>Model!AN631</f>
        <v>0</v>
      </c>
      <c r="AG474">
        <f>Model!AO631</f>
        <v>0</v>
      </c>
      <c r="AH474">
        <f>Model!AP631</f>
        <v>0</v>
      </c>
      <c r="AI474">
        <f>Model!AQ631</f>
        <v>0</v>
      </c>
      <c r="AJ474">
        <f>Model!AR631</f>
        <v>0</v>
      </c>
      <c r="AK474">
        <f>Model!AS631</f>
        <v>0</v>
      </c>
      <c r="AL474">
        <f>Model!AT631</f>
        <v>0</v>
      </c>
      <c r="AM474">
        <f>Model!AU631</f>
        <v>0</v>
      </c>
      <c r="AN474">
        <f>Model!AV631</f>
        <v>0</v>
      </c>
      <c r="AO474">
        <f>Model!AW631</f>
        <v>0</v>
      </c>
      <c r="AP474">
        <f>Model!AX631</f>
        <v>0</v>
      </c>
      <c r="AQ474">
        <f>Model!AY631</f>
        <v>0</v>
      </c>
      <c r="AR474">
        <f>Model!AZ631</f>
        <v>0</v>
      </c>
      <c r="AS474">
        <f>Model!BA631</f>
        <v>0</v>
      </c>
      <c r="AT474">
        <f>Model!BB631</f>
        <v>0</v>
      </c>
      <c r="AU474">
        <f>Model!BC631</f>
        <v>0</v>
      </c>
      <c r="AV474">
        <f>Model!BD631</f>
        <v>0</v>
      </c>
      <c r="AW474">
        <f>Model!BE631</f>
        <v>0</v>
      </c>
      <c r="AX474">
        <f>Model!BF631</f>
        <v>0</v>
      </c>
      <c r="AY474">
        <f>Model!BG631</f>
        <v>0</v>
      </c>
      <c r="AZ474">
        <f>Model!BH631</f>
        <v>0</v>
      </c>
      <c r="BA474">
        <f>Model!BI631</f>
        <v>0</v>
      </c>
      <c r="BB474">
        <f>Model!BJ631</f>
        <v>0</v>
      </c>
      <c r="BC474">
        <f>Model!BK631</f>
        <v>0</v>
      </c>
      <c r="BD474">
        <f>Model!BL631</f>
        <v>0</v>
      </c>
      <c r="BE474">
        <f>Model!BM631</f>
        <v>0</v>
      </c>
      <c r="BF474">
        <f>Model!BN631</f>
        <v>0</v>
      </c>
      <c r="BG474">
        <f>Model!BO631</f>
        <v>0</v>
      </c>
      <c r="BH474">
        <f>Model!BP631</f>
        <v>0</v>
      </c>
      <c r="BI474">
        <f>Model!BQ631</f>
        <v>0</v>
      </c>
      <c r="BJ474">
        <f>Model!BR631</f>
        <v>0</v>
      </c>
      <c r="BK474">
        <f>Model!BS631</f>
        <v>0</v>
      </c>
      <c r="BL474">
        <f>Model!BT631</f>
        <v>0</v>
      </c>
      <c r="BM474">
        <f>Model!BU631</f>
        <v>0</v>
      </c>
      <c r="BN474">
        <f>Model!BV631</f>
        <v>0</v>
      </c>
      <c r="BO474">
        <f>Model!BW631</f>
        <v>0</v>
      </c>
      <c r="BP474">
        <f>Model!BX631</f>
        <v>0</v>
      </c>
      <c r="BQ474">
        <f>Model!BY631</f>
        <v>0</v>
      </c>
      <c r="BR474">
        <f>Model!BZ631</f>
        <v>0</v>
      </c>
      <c r="BS474">
        <f>Model!CA631</f>
        <v>0</v>
      </c>
      <c r="BT474">
        <f>Model!CB631</f>
        <v>0</v>
      </c>
      <c r="BU474">
        <f>Model!CC631</f>
        <v>0</v>
      </c>
      <c r="BV474">
        <f>Model!CD631</f>
        <v>0</v>
      </c>
      <c r="BW474">
        <f>Model!CE631</f>
        <v>0</v>
      </c>
      <c r="BX474">
        <f>Model!CF631</f>
        <v>0</v>
      </c>
      <c r="BY474">
        <f>Model!CG631</f>
        <v>0</v>
      </c>
      <c r="BZ474">
        <f>Model!CH631</f>
        <v>0</v>
      </c>
      <c r="CA474">
        <f>Model!CI631</f>
        <v>0</v>
      </c>
      <c r="CB474">
        <f>Model!CJ631</f>
        <v>0</v>
      </c>
      <c r="CC474">
        <f>Model!CK631</f>
        <v>0</v>
      </c>
      <c r="CD474">
        <f>Model!CL631</f>
        <v>0</v>
      </c>
      <c r="CE474">
        <f>Model!CM631</f>
        <v>0</v>
      </c>
      <c r="CF474">
        <f>Model!CN631</f>
        <v>0</v>
      </c>
      <c r="CG474">
        <f>Model!CO631</f>
        <v>0</v>
      </c>
      <c r="CH474">
        <f>Model!CP631</f>
        <v>0</v>
      </c>
      <c r="CI474">
        <f>Model!CQ631</f>
        <v>0</v>
      </c>
      <c r="CJ474">
        <f>Model!CR631</f>
        <v>0</v>
      </c>
      <c r="CK474">
        <f>Model!CS631</f>
        <v>0</v>
      </c>
      <c r="CL474">
        <f>Model!CT631</f>
        <v>0</v>
      </c>
      <c r="CM474">
        <f>Model!CU631</f>
        <v>0</v>
      </c>
      <c r="CN474">
        <f>Model!CV631</f>
        <v>0</v>
      </c>
      <c r="CO474">
        <f>Model!CW631</f>
        <v>0</v>
      </c>
      <c r="CP474">
        <f>Model!CX631</f>
        <v>0</v>
      </c>
      <c r="CQ474">
        <f>Model!CY631</f>
        <v>0</v>
      </c>
      <c r="CR474">
        <f>Model!DG631</f>
        <v>0</v>
      </c>
      <c r="CS474">
        <f>Model!DH631</f>
        <v>0</v>
      </c>
      <c r="CT474">
        <f>Model!DI631</f>
        <v>0</v>
      </c>
      <c r="CU474">
        <f>Model!DJ631</f>
        <v>0</v>
      </c>
    </row>
    <row r="475" spans="1:99">
      <c r="A475">
        <f>Model!I632</f>
        <v>0</v>
      </c>
      <c r="B475">
        <f>Model!J632</f>
        <v>0</v>
      </c>
      <c r="C475">
        <f>Model!K632</f>
        <v>0</v>
      </c>
      <c r="D475">
        <f>Model!L632</f>
        <v>0</v>
      </c>
      <c r="E475">
        <f>Model!M632</f>
        <v>0</v>
      </c>
      <c r="F475">
        <f>Model!N632</f>
        <v>0</v>
      </c>
      <c r="G475">
        <f>Model!O632</f>
        <v>0</v>
      </c>
      <c r="H475">
        <f>Model!P632</f>
        <v>0</v>
      </c>
      <c r="I475">
        <f>Model!Q632</f>
        <v>0</v>
      </c>
      <c r="J475">
        <f>Model!R632</f>
        <v>0</v>
      </c>
      <c r="K475">
        <f>Model!S632</f>
        <v>0</v>
      </c>
      <c r="L475">
        <f>Model!T632</f>
        <v>0</v>
      </c>
      <c r="M475">
        <f>Model!U632</f>
        <v>0</v>
      </c>
      <c r="N475">
        <f>Model!V632</f>
        <v>0</v>
      </c>
      <c r="O475">
        <f>Model!W632</f>
        <v>0</v>
      </c>
      <c r="P475">
        <f>Model!X632</f>
        <v>0</v>
      </c>
      <c r="Q475">
        <f>Model!Y632</f>
        <v>0</v>
      </c>
      <c r="R475">
        <f>Model!Z632</f>
        <v>0</v>
      </c>
      <c r="S475">
        <f>Model!AA632</f>
        <v>0</v>
      </c>
      <c r="T475">
        <f>Model!AB632</f>
        <v>0</v>
      </c>
      <c r="U475">
        <f>Model!AC632</f>
        <v>0</v>
      </c>
      <c r="V475">
        <f>Model!AD632</f>
        <v>0</v>
      </c>
      <c r="W475">
        <f>Model!AE632</f>
        <v>0</v>
      </c>
      <c r="X475">
        <f>Model!AF632</f>
        <v>0</v>
      </c>
      <c r="Y475">
        <f>Model!AG632</f>
        <v>0</v>
      </c>
      <c r="Z475">
        <f>Model!AH632</f>
        <v>0</v>
      </c>
      <c r="AA475">
        <f>Model!AI632</f>
        <v>0</v>
      </c>
      <c r="AB475">
        <f>Model!AJ632</f>
        <v>0</v>
      </c>
      <c r="AC475">
        <f>Model!AK632</f>
        <v>0</v>
      </c>
      <c r="AD475">
        <f>Model!AL632</f>
        <v>0</v>
      </c>
      <c r="AE475">
        <f>Model!AM632</f>
        <v>0</v>
      </c>
      <c r="AF475">
        <f>Model!AN632</f>
        <v>0</v>
      </c>
      <c r="AG475">
        <f>Model!AO632</f>
        <v>0</v>
      </c>
      <c r="AH475">
        <f>Model!AP632</f>
        <v>0</v>
      </c>
      <c r="AI475">
        <f>Model!AQ632</f>
        <v>0</v>
      </c>
      <c r="AJ475">
        <f>Model!AR632</f>
        <v>0</v>
      </c>
      <c r="AK475">
        <f>Model!AS632</f>
        <v>0</v>
      </c>
      <c r="AL475">
        <f>Model!AT632</f>
        <v>0</v>
      </c>
      <c r="AM475">
        <f>Model!AU632</f>
        <v>0</v>
      </c>
      <c r="AN475">
        <f>Model!AV632</f>
        <v>0</v>
      </c>
      <c r="AO475">
        <f>Model!AW632</f>
        <v>0</v>
      </c>
      <c r="AP475">
        <f>Model!AX632</f>
        <v>0</v>
      </c>
      <c r="AQ475">
        <f>Model!AY632</f>
        <v>0</v>
      </c>
      <c r="AR475">
        <f>Model!AZ632</f>
        <v>0</v>
      </c>
      <c r="AS475">
        <f>Model!BA632</f>
        <v>0</v>
      </c>
      <c r="AT475">
        <f>Model!BB632</f>
        <v>0</v>
      </c>
      <c r="AU475">
        <f>Model!BC632</f>
        <v>0</v>
      </c>
      <c r="AV475">
        <f>Model!BD632</f>
        <v>0</v>
      </c>
      <c r="AW475">
        <f>Model!BE632</f>
        <v>0</v>
      </c>
      <c r="AX475">
        <f>Model!BF632</f>
        <v>0</v>
      </c>
      <c r="AY475">
        <f>Model!BG632</f>
        <v>0</v>
      </c>
      <c r="AZ475">
        <f>Model!BH632</f>
        <v>0</v>
      </c>
      <c r="BA475">
        <f>Model!BI632</f>
        <v>0</v>
      </c>
      <c r="BB475">
        <f>Model!BJ632</f>
        <v>0</v>
      </c>
      <c r="BC475">
        <f>Model!BK632</f>
        <v>0</v>
      </c>
      <c r="BD475">
        <f>Model!BL632</f>
        <v>0</v>
      </c>
      <c r="BE475">
        <f>Model!BM632</f>
        <v>0</v>
      </c>
      <c r="BF475">
        <f>Model!BN632</f>
        <v>0</v>
      </c>
      <c r="BG475">
        <f>Model!BO632</f>
        <v>0</v>
      </c>
      <c r="BH475">
        <f>Model!BP632</f>
        <v>0</v>
      </c>
      <c r="BI475">
        <f>Model!BQ632</f>
        <v>0</v>
      </c>
      <c r="BJ475">
        <f>Model!BR632</f>
        <v>0</v>
      </c>
      <c r="BK475">
        <f>Model!BS632</f>
        <v>0</v>
      </c>
      <c r="BL475">
        <f>Model!BT632</f>
        <v>0</v>
      </c>
      <c r="BM475">
        <f>Model!BU632</f>
        <v>0</v>
      </c>
      <c r="BN475">
        <f>Model!BV632</f>
        <v>0</v>
      </c>
      <c r="BO475">
        <f>Model!BW632</f>
        <v>0</v>
      </c>
      <c r="BP475">
        <f>Model!BX632</f>
        <v>0</v>
      </c>
      <c r="BQ475">
        <f>Model!BY632</f>
        <v>0</v>
      </c>
      <c r="BR475">
        <f>Model!BZ632</f>
        <v>0</v>
      </c>
      <c r="BS475">
        <f>Model!CA632</f>
        <v>0</v>
      </c>
      <c r="BT475">
        <f>Model!CB632</f>
        <v>0</v>
      </c>
      <c r="BU475">
        <f>Model!CC632</f>
        <v>0</v>
      </c>
      <c r="BV475">
        <f>Model!CD632</f>
        <v>0</v>
      </c>
      <c r="BW475">
        <f>Model!CE632</f>
        <v>0</v>
      </c>
      <c r="BX475">
        <f>Model!CF632</f>
        <v>0</v>
      </c>
      <c r="BY475">
        <f>Model!CG632</f>
        <v>0</v>
      </c>
      <c r="BZ475">
        <f>Model!CH632</f>
        <v>0</v>
      </c>
      <c r="CA475">
        <f>Model!CI632</f>
        <v>0</v>
      </c>
      <c r="CB475">
        <f>Model!CJ632</f>
        <v>0</v>
      </c>
      <c r="CC475">
        <f>Model!CK632</f>
        <v>0</v>
      </c>
      <c r="CD475">
        <f>Model!CL632</f>
        <v>0</v>
      </c>
      <c r="CE475">
        <f>Model!CM632</f>
        <v>0</v>
      </c>
      <c r="CF475">
        <f>Model!CN632</f>
        <v>0</v>
      </c>
      <c r="CG475">
        <f>Model!CO632</f>
        <v>0</v>
      </c>
      <c r="CH475">
        <f>Model!CP632</f>
        <v>0</v>
      </c>
      <c r="CI475">
        <f>Model!CQ632</f>
        <v>0</v>
      </c>
      <c r="CJ475">
        <f>Model!CR632</f>
        <v>0</v>
      </c>
      <c r="CK475">
        <f>Model!CS632</f>
        <v>0</v>
      </c>
      <c r="CL475">
        <f>Model!CT632</f>
        <v>0</v>
      </c>
      <c r="CM475">
        <f>Model!CU632</f>
        <v>0</v>
      </c>
      <c r="CN475">
        <f>Model!CV632</f>
        <v>0</v>
      </c>
      <c r="CO475">
        <f>Model!CW632</f>
        <v>0</v>
      </c>
      <c r="CP475">
        <f>Model!CX632</f>
        <v>0</v>
      </c>
      <c r="CQ475">
        <f>Model!CY632</f>
        <v>0</v>
      </c>
      <c r="CR475">
        <f>Model!DG632</f>
        <v>0</v>
      </c>
      <c r="CS475">
        <f>Model!DH632</f>
        <v>0</v>
      </c>
      <c r="CT475">
        <f>Model!DI632</f>
        <v>0</v>
      </c>
      <c r="CU475">
        <f>Model!DJ632</f>
        <v>0</v>
      </c>
    </row>
    <row r="476" spans="1:99">
      <c r="A476">
        <f>Model!I633</f>
        <v>0</v>
      </c>
      <c r="B476">
        <f>Model!J633</f>
        <v>0</v>
      </c>
      <c r="C476">
        <f>Model!K633</f>
        <v>0</v>
      </c>
      <c r="D476">
        <f>Model!L633</f>
        <v>0</v>
      </c>
      <c r="E476">
        <f>Model!M633</f>
        <v>0</v>
      </c>
      <c r="F476">
        <f>Model!N633</f>
        <v>0</v>
      </c>
      <c r="G476">
        <f>Model!O633</f>
        <v>0</v>
      </c>
      <c r="H476">
        <f>Model!P633</f>
        <v>0</v>
      </c>
      <c r="I476">
        <f>Model!Q633</f>
        <v>0</v>
      </c>
      <c r="J476">
        <f>Model!R633</f>
        <v>0</v>
      </c>
      <c r="K476">
        <f>Model!S633</f>
        <v>0</v>
      </c>
      <c r="L476">
        <f>Model!T633</f>
        <v>0</v>
      </c>
      <c r="M476">
        <f>Model!U633</f>
        <v>0</v>
      </c>
      <c r="N476">
        <f>Model!V633</f>
        <v>0</v>
      </c>
      <c r="O476">
        <f>Model!W633</f>
        <v>0</v>
      </c>
      <c r="P476">
        <f>Model!X633</f>
        <v>0</v>
      </c>
      <c r="Q476">
        <f>Model!Y633</f>
        <v>0</v>
      </c>
      <c r="R476">
        <f>Model!Z633</f>
        <v>0</v>
      </c>
      <c r="S476">
        <f>Model!AA633</f>
        <v>0</v>
      </c>
      <c r="T476">
        <f>Model!AB633</f>
        <v>0</v>
      </c>
      <c r="U476">
        <f>Model!AC633</f>
        <v>0</v>
      </c>
      <c r="V476">
        <f>Model!AD633</f>
        <v>0</v>
      </c>
      <c r="W476">
        <f>Model!AE633</f>
        <v>0</v>
      </c>
      <c r="X476">
        <f>Model!AF633</f>
        <v>0</v>
      </c>
      <c r="Y476">
        <f>Model!AG633</f>
        <v>0</v>
      </c>
      <c r="Z476">
        <f>Model!AH633</f>
        <v>0</v>
      </c>
      <c r="AA476">
        <f>Model!AI633</f>
        <v>0</v>
      </c>
      <c r="AB476">
        <f>Model!AJ633</f>
        <v>0</v>
      </c>
      <c r="AC476">
        <f>Model!AK633</f>
        <v>0</v>
      </c>
      <c r="AD476">
        <f>Model!AL633</f>
        <v>0</v>
      </c>
      <c r="AE476">
        <f>Model!AM633</f>
        <v>0</v>
      </c>
      <c r="AF476">
        <f>Model!AN633</f>
        <v>0</v>
      </c>
      <c r="AG476">
        <f>Model!AO633</f>
        <v>0</v>
      </c>
      <c r="AH476">
        <f>Model!AP633</f>
        <v>0</v>
      </c>
      <c r="AI476">
        <f>Model!AQ633</f>
        <v>0</v>
      </c>
      <c r="AJ476">
        <f>Model!AR633</f>
        <v>0</v>
      </c>
      <c r="AK476">
        <f>Model!AS633</f>
        <v>0</v>
      </c>
      <c r="AL476">
        <f>Model!AT633</f>
        <v>0</v>
      </c>
      <c r="AM476">
        <f>Model!AU633</f>
        <v>0</v>
      </c>
      <c r="AN476">
        <f>Model!AV633</f>
        <v>0</v>
      </c>
      <c r="AO476">
        <f>Model!AW633</f>
        <v>0</v>
      </c>
      <c r="AP476">
        <f>Model!AX633</f>
        <v>0</v>
      </c>
      <c r="AQ476">
        <f>Model!AY633</f>
        <v>0</v>
      </c>
      <c r="AR476">
        <f>Model!AZ633</f>
        <v>0</v>
      </c>
      <c r="AS476">
        <f>Model!BA633</f>
        <v>0</v>
      </c>
      <c r="AT476">
        <f>Model!BB633</f>
        <v>0</v>
      </c>
      <c r="AU476">
        <f>Model!BC633</f>
        <v>0</v>
      </c>
      <c r="AV476">
        <f>Model!BD633</f>
        <v>0</v>
      </c>
      <c r="AW476">
        <f>Model!BE633</f>
        <v>0</v>
      </c>
      <c r="AX476">
        <f>Model!BF633</f>
        <v>0</v>
      </c>
      <c r="AY476">
        <f>Model!BG633</f>
        <v>0</v>
      </c>
      <c r="AZ476">
        <f>Model!BH633</f>
        <v>0</v>
      </c>
      <c r="BA476">
        <f>Model!BI633</f>
        <v>0</v>
      </c>
      <c r="BB476">
        <f>Model!BJ633</f>
        <v>0</v>
      </c>
      <c r="BC476">
        <f>Model!BK633</f>
        <v>0</v>
      </c>
      <c r="BD476">
        <f>Model!BL633</f>
        <v>0</v>
      </c>
      <c r="BE476">
        <f>Model!BM633</f>
        <v>0</v>
      </c>
      <c r="BF476">
        <f>Model!BN633</f>
        <v>0</v>
      </c>
      <c r="BG476">
        <f>Model!BO633</f>
        <v>0</v>
      </c>
      <c r="BH476">
        <f>Model!BP633</f>
        <v>0</v>
      </c>
      <c r="BI476">
        <f>Model!BQ633</f>
        <v>0</v>
      </c>
      <c r="BJ476">
        <f>Model!BR633</f>
        <v>0</v>
      </c>
      <c r="BK476">
        <f>Model!BS633</f>
        <v>0</v>
      </c>
      <c r="BL476">
        <f>Model!BT633</f>
        <v>0</v>
      </c>
      <c r="BM476">
        <f>Model!BU633</f>
        <v>0</v>
      </c>
      <c r="BN476">
        <f>Model!BV633</f>
        <v>0</v>
      </c>
      <c r="BO476">
        <f>Model!BW633</f>
        <v>0</v>
      </c>
      <c r="BP476">
        <f>Model!BX633</f>
        <v>0</v>
      </c>
      <c r="BQ476">
        <f>Model!BY633</f>
        <v>0</v>
      </c>
      <c r="BR476">
        <f>Model!BZ633</f>
        <v>0</v>
      </c>
      <c r="BS476">
        <f>Model!CA633</f>
        <v>0</v>
      </c>
      <c r="BT476">
        <f>Model!CB633</f>
        <v>0</v>
      </c>
      <c r="BU476">
        <f>Model!CC633</f>
        <v>0</v>
      </c>
      <c r="BV476">
        <f>Model!CD633</f>
        <v>0</v>
      </c>
      <c r="BW476">
        <f>Model!CE633</f>
        <v>0</v>
      </c>
      <c r="BX476">
        <f>Model!CF633</f>
        <v>0</v>
      </c>
      <c r="BY476">
        <f>Model!CG633</f>
        <v>0</v>
      </c>
      <c r="BZ476">
        <f>Model!CH633</f>
        <v>0</v>
      </c>
      <c r="CA476">
        <f>Model!CI633</f>
        <v>0</v>
      </c>
      <c r="CB476">
        <f>Model!CJ633</f>
        <v>0</v>
      </c>
      <c r="CC476">
        <f>Model!CK633</f>
        <v>0</v>
      </c>
      <c r="CD476">
        <f>Model!CL633</f>
        <v>0</v>
      </c>
      <c r="CE476">
        <f>Model!CM633</f>
        <v>0</v>
      </c>
      <c r="CF476">
        <f>Model!CN633</f>
        <v>0</v>
      </c>
      <c r="CG476">
        <f>Model!CO633</f>
        <v>0</v>
      </c>
      <c r="CH476">
        <f>Model!CP633</f>
        <v>0</v>
      </c>
      <c r="CI476">
        <f>Model!CQ633</f>
        <v>0</v>
      </c>
      <c r="CJ476">
        <f>Model!CR633</f>
        <v>0</v>
      </c>
      <c r="CK476">
        <f>Model!CS633</f>
        <v>0</v>
      </c>
      <c r="CL476">
        <f>Model!CT633</f>
        <v>0</v>
      </c>
      <c r="CM476">
        <f>Model!CU633</f>
        <v>0</v>
      </c>
      <c r="CN476">
        <f>Model!CV633</f>
        <v>0</v>
      </c>
      <c r="CO476">
        <f>Model!CW633</f>
        <v>0</v>
      </c>
      <c r="CP476">
        <f>Model!CX633</f>
        <v>0</v>
      </c>
      <c r="CQ476">
        <f>Model!CY633</f>
        <v>0</v>
      </c>
      <c r="CR476">
        <f>Model!DG633</f>
        <v>0</v>
      </c>
      <c r="CS476">
        <f>Model!DH633</f>
        <v>0</v>
      </c>
      <c r="CT476">
        <f>Model!DI633</f>
        <v>0</v>
      </c>
      <c r="CU476">
        <f>Model!DJ633</f>
        <v>0</v>
      </c>
    </row>
    <row r="477" spans="1:99">
      <c r="A477" t="str">
        <f>Model!I634</f>
        <v>Working capital drivers</v>
      </c>
      <c r="B477">
        <f>Model!J634</f>
        <v>0</v>
      </c>
      <c r="C477">
        <f>Model!K634</f>
        <v>0</v>
      </c>
      <c r="D477">
        <f>Model!L634</f>
        <v>0</v>
      </c>
      <c r="E477">
        <f>Model!M634</f>
        <v>0</v>
      </c>
      <c r="F477">
        <f>Model!N634</f>
        <v>0</v>
      </c>
      <c r="G477">
        <f>Model!O634</f>
        <v>0</v>
      </c>
      <c r="H477">
        <f>Model!P634</f>
        <v>0</v>
      </c>
      <c r="I477">
        <f>Model!Q634</f>
        <v>0</v>
      </c>
      <c r="J477">
        <f>Model!R634</f>
        <v>0</v>
      </c>
      <c r="K477">
        <f>Model!S634</f>
        <v>0</v>
      </c>
      <c r="L477">
        <f>Model!T634</f>
        <v>0</v>
      </c>
      <c r="M477">
        <f>Model!U634</f>
        <v>0</v>
      </c>
      <c r="N477">
        <f>Model!V634</f>
        <v>0</v>
      </c>
      <c r="O477">
        <f>Model!W634</f>
        <v>0</v>
      </c>
      <c r="P477">
        <f>Model!X634</f>
        <v>0</v>
      </c>
      <c r="Q477">
        <f>Model!Y634</f>
        <v>0</v>
      </c>
      <c r="R477">
        <f>Model!Z634</f>
        <v>0</v>
      </c>
      <c r="S477">
        <f>Model!AA634</f>
        <v>0</v>
      </c>
      <c r="T477">
        <f>Model!AB634</f>
        <v>0</v>
      </c>
      <c r="U477">
        <f>Model!AC634</f>
        <v>0</v>
      </c>
      <c r="V477">
        <f>Model!AD634</f>
        <v>0</v>
      </c>
      <c r="W477">
        <f>Model!AE634</f>
        <v>0</v>
      </c>
      <c r="X477">
        <f>Model!AF634</f>
        <v>0</v>
      </c>
      <c r="Y477">
        <f>Model!AG634</f>
        <v>0</v>
      </c>
      <c r="Z477">
        <f>Model!AH634</f>
        <v>0</v>
      </c>
      <c r="AA477">
        <f>Model!AI634</f>
        <v>0</v>
      </c>
      <c r="AB477">
        <f>Model!AJ634</f>
        <v>0</v>
      </c>
      <c r="AC477">
        <f>Model!AK634</f>
        <v>0</v>
      </c>
      <c r="AD477">
        <f>Model!AL634</f>
        <v>0</v>
      </c>
      <c r="AE477">
        <f>Model!AM634</f>
        <v>0</v>
      </c>
      <c r="AF477">
        <f>Model!AN634</f>
        <v>0</v>
      </c>
      <c r="AG477">
        <f>Model!AO634</f>
        <v>0</v>
      </c>
      <c r="AH477">
        <f>Model!AP634</f>
        <v>0</v>
      </c>
      <c r="AI477">
        <f>Model!AQ634</f>
        <v>0</v>
      </c>
      <c r="AJ477">
        <f>Model!AR634</f>
        <v>0</v>
      </c>
      <c r="AK477">
        <f>Model!AS634</f>
        <v>0</v>
      </c>
      <c r="AL477">
        <f>Model!AT634</f>
        <v>0</v>
      </c>
      <c r="AM477">
        <f>Model!AU634</f>
        <v>0</v>
      </c>
      <c r="AN477">
        <f>Model!AV634</f>
        <v>0</v>
      </c>
      <c r="AO477">
        <f>Model!AW634</f>
        <v>0</v>
      </c>
      <c r="AP477">
        <f>Model!AX634</f>
        <v>0</v>
      </c>
      <c r="AQ477">
        <f>Model!AY634</f>
        <v>0</v>
      </c>
      <c r="AR477">
        <f>Model!AZ634</f>
        <v>0</v>
      </c>
      <c r="AS477">
        <f>Model!BA634</f>
        <v>0</v>
      </c>
      <c r="AT477">
        <f>Model!BB634</f>
        <v>0</v>
      </c>
      <c r="AU477">
        <f>Model!BC634</f>
        <v>0</v>
      </c>
      <c r="AV477">
        <f>Model!BD634</f>
        <v>0</v>
      </c>
      <c r="AW477">
        <f>Model!BE634</f>
        <v>0</v>
      </c>
      <c r="AX477">
        <f>Model!BF634</f>
        <v>0</v>
      </c>
      <c r="AY477">
        <f>Model!BG634</f>
        <v>0</v>
      </c>
      <c r="AZ477">
        <f>Model!BH634</f>
        <v>0</v>
      </c>
      <c r="BA477">
        <f>Model!BI634</f>
        <v>0</v>
      </c>
      <c r="BB477">
        <f>Model!BJ634</f>
        <v>0</v>
      </c>
      <c r="BC477">
        <f>Model!BK634</f>
        <v>0</v>
      </c>
      <c r="BD477">
        <f>Model!BL634</f>
        <v>0</v>
      </c>
      <c r="BE477">
        <f>Model!BM634</f>
        <v>0</v>
      </c>
      <c r="BF477">
        <f>Model!BN634</f>
        <v>0</v>
      </c>
      <c r="BG477">
        <f>Model!BO634</f>
        <v>0</v>
      </c>
      <c r="BH477">
        <f>Model!BP634</f>
        <v>0</v>
      </c>
      <c r="BI477">
        <f>Model!BQ634</f>
        <v>0</v>
      </c>
      <c r="BJ477">
        <f>Model!BR634</f>
        <v>0</v>
      </c>
      <c r="BK477">
        <f>Model!BS634</f>
        <v>0</v>
      </c>
      <c r="BL477">
        <f>Model!BT634</f>
        <v>0</v>
      </c>
      <c r="BM477">
        <f>Model!BU634</f>
        <v>0</v>
      </c>
      <c r="BN477">
        <f>Model!BV634</f>
        <v>0</v>
      </c>
      <c r="BO477">
        <f>Model!BW634</f>
        <v>0</v>
      </c>
      <c r="BP477">
        <f>Model!BX634</f>
        <v>0</v>
      </c>
      <c r="BQ477">
        <f>Model!BY634</f>
        <v>0</v>
      </c>
      <c r="BR477">
        <f>Model!BZ634</f>
        <v>0</v>
      </c>
      <c r="BS477">
        <f>Model!CA634</f>
        <v>0</v>
      </c>
      <c r="BT477">
        <f>Model!CB634</f>
        <v>0</v>
      </c>
      <c r="BU477">
        <f>Model!CC634</f>
        <v>0</v>
      </c>
      <c r="BV477">
        <f>Model!CD634</f>
        <v>0</v>
      </c>
      <c r="BW477">
        <f>Model!CE634</f>
        <v>0</v>
      </c>
      <c r="BX477">
        <f>Model!CF634</f>
        <v>0</v>
      </c>
      <c r="BY477">
        <f>Model!CG634</f>
        <v>0</v>
      </c>
      <c r="BZ477">
        <f>Model!CH634</f>
        <v>0</v>
      </c>
      <c r="CA477">
        <f>Model!CI634</f>
        <v>0</v>
      </c>
      <c r="CB477">
        <f>Model!CJ634</f>
        <v>0</v>
      </c>
      <c r="CC477">
        <f>Model!CK634</f>
        <v>0</v>
      </c>
      <c r="CD477">
        <f>Model!CL634</f>
        <v>0</v>
      </c>
      <c r="CE477">
        <f>Model!CM634</f>
        <v>0</v>
      </c>
      <c r="CF477">
        <f>Model!CN634</f>
        <v>0</v>
      </c>
      <c r="CG477">
        <f>Model!CO634</f>
        <v>0</v>
      </c>
      <c r="CH477">
        <f>Model!CP634</f>
        <v>0</v>
      </c>
      <c r="CI477">
        <f>Model!CQ634</f>
        <v>0</v>
      </c>
      <c r="CJ477">
        <f>Model!CR634</f>
        <v>0</v>
      </c>
      <c r="CK477">
        <f>Model!CS634</f>
        <v>0</v>
      </c>
      <c r="CL477">
        <f>Model!CT634</f>
        <v>0</v>
      </c>
      <c r="CM477">
        <f>Model!CU634</f>
        <v>0</v>
      </c>
      <c r="CN477">
        <f>Model!CV634</f>
        <v>0</v>
      </c>
      <c r="CO477">
        <f>Model!CW634</f>
        <v>0</v>
      </c>
      <c r="CP477">
        <f>Model!CX634</f>
        <v>0</v>
      </c>
      <c r="CQ477">
        <f>Model!CY634</f>
        <v>0</v>
      </c>
      <c r="CR477">
        <f>Model!DG634</f>
        <v>0</v>
      </c>
      <c r="CS477">
        <f>Model!DH634</f>
        <v>0</v>
      </c>
      <c r="CT477">
        <f>Model!DI634</f>
        <v>0</v>
      </c>
      <c r="CU477">
        <f>Model!DJ634</f>
        <v>0</v>
      </c>
    </row>
    <row r="478" spans="1:99">
      <c r="A478" t="str">
        <f>Model!I635</f>
        <v>Accounts Receivable, net, % of Revenue</v>
      </c>
      <c r="B478">
        <f>Model!J635</f>
        <v>0</v>
      </c>
      <c r="C478">
        <f>Model!K635</f>
        <v>0</v>
      </c>
      <c r="D478">
        <f>Model!L635</f>
        <v>0</v>
      </c>
      <c r="E478">
        <f>Model!M635</f>
        <v>0</v>
      </c>
      <c r="F478">
        <f>Model!N635</f>
        <v>0</v>
      </c>
      <c r="G478">
        <f>Model!O635</f>
        <v>0</v>
      </c>
      <c r="H478">
        <f>Model!P635</f>
        <v>0</v>
      </c>
      <c r="I478">
        <f>Model!Q635</f>
        <v>0</v>
      </c>
      <c r="J478">
        <f>Model!R635</f>
        <v>0</v>
      </c>
      <c r="K478">
        <f>Model!S635</f>
        <v>0</v>
      </c>
      <c r="L478">
        <f>Model!T635</f>
        <v>0</v>
      </c>
      <c r="M478">
        <f>Model!U635</f>
        <v>0</v>
      </c>
      <c r="N478">
        <f>Model!V635</f>
        <v>0</v>
      </c>
      <c r="O478">
        <f>Model!W635</f>
        <v>0</v>
      </c>
      <c r="P478">
        <f>Model!X635</f>
        <v>0</v>
      </c>
      <c r="Q478">
        <f>Model!Y635</f>
        <v>0</v>
      </c>
      <c r="R478">
        <f>Model!Z635</f>
        <v>0</v>
      </c>
      <c r="S478">
        <f>Model!AA635</f>
        <v>0</v>
      </c>
      <c r="T478">
        <f>Model!AB635</f>
        <v>0</v>
      </c>
      <c r="U478">
        <f>Model!AC635</f>
        <v>0</v>
      </c>
      <c r="V478">
        <f>Model!AD635</f>
        <v>0</v>
      </c>
      <c r="W478">
        <f>Model!AE635</f>
        <v>0</v>
      </c>
      <c r="X478">
        <f>Model!AF635</f>
        <v>0</v>
      </c>
      <c r="Y478">
        <f>Model!AG635</f>
        <v>0</v>
      </c>
      <c r="Z478">
        <f>Model!AH635</f>
        <v>0</v>
      </c>
      <c r="AA478">
        <f>Model!AI635</f>
        <v>0</v>
      </c>
      <c r="AB478">
        <f>Model!AJ635</f>
        <v>0</v>
      </c>
      <c r="AC478">
        <f>Model!AK635</f>
        <v>0</v>
      </c>
      <c r="AD478">
        <f>Model!AL635</f>
        <v>0</v>
      </c>
      <c r="AE478">
        <f>Model!AM635</f>
        <v>0</v>
      </c>
      <c r="AF478">
        <f>Model!AN635</f>
        <v>0</v>
      </c>
      <c r="AG478">
        <f>Model!AO635</f>
        <v>0</v>
      </c>
      <c r="AH478">
        <f>Model!AP635</f>
        <v>0</v>
      </c>
      <c r="AI478">
        <f>Model!AQ635</f>
        <v>0</v>
      </c>
      <c r="AJ478">
        <f>Model!AR635</f>
        <v>0</v>
      </c>
      <c r="AK478">
        <f>Model!AS635</f>
        <v>0</v>
      </c>
      <c r="AL478">
        <f>Model!AT635</f>
        <v>0</v>
      </c>
      <c r="AM478">
        <f>Model!AU635</f>
        <v>0</v>
      </c>
      <c r="AN478">
        <f>Model!AV635</f>
        <v>0</v>
      </c>
      <c r="AO478">
        <f>Model!AW635</f>
        <v>0</v>
      </c>
      <c r="AP478">
        <f>Model!AX635</f>
        <v>0</v>
      </c>
      <c r="AQ478">
        <f>Model!AY635</f>
        <v>0</v>
      </c>
      <c r="AR478">
        <f>Model!AZ635</f>
        <v>0</v>
      </c>
      <c r="AS478">
        <f>Model!BA635</f>
        <v>0.27427717095833537</v>
      </c>
      <c r="AT478">
        <f>Model!BB635</f>
        <v>0.29142408380761681</v>
      </c>
      <c r="AU478">
        <f>Model!BC635</f>
        <v>0.23770515499681993</v>
      </c>
      <c r="AV478">
        <f>Model!BD635</f>
        <v>0.26691664059267034</v>
      </c>
      <c r="AW478">
        <f>Model!BE635</f>
        <v>0.312907147477891</v>
      </c>
      <c r="AX478">
        <f>Model!BF635</f>
        <v>0.32373626257670007</v>
      </c>
      <c r="AY478">
        <f>Model!BG635</f>
        <v>0.28938293744981863</v>
      </c>
      <c r="AZ478">
        <f>Model!BH635</f>
        <v>0.30866760733723037</v>
      </c>
      <c r="BA478">
        <f>Model!BI635</f>
        <v>0.36236762794812954</v>
      </c>
      <c r="BB478">
        <f>Model!BJ635</f>
        <v>0.38640359282434988</v>
      </c>
      <c r="BC478">
        <f>Model!BK635</f>
        <v>0.31112959452452377</v>
      </c>
      <c r="BD478">
        <f>Model!BL635</f>
        <v>0.3477668991981977</v>
      </c>
      <c r="BE478">
        <f>Model!BM635</f>
        <v>0.38199490559762989</v>
      </c>
      <c r="BF478">
        <f>Model!BN635</f>
        <v>0.39609290936274921</v>
      </c>
      <c r="BG478">
        <f>Model!BO635</f>
        <v>0.29739499107525935</v>
      </c>
      <c r="BH478">
        <f>Model!BP635</f>
        <v>0.34992394422685325</v>
      </c>
      <c r="BI478">
        <f>Model!BQ635</f>
        <v>0.38397256686880055</v>
      </c>
      <c r="BJ478">
        <f>Model!BR635</f>
        <v>0.39022503537761194</v>
      </c>
      <c r="BK478">
        <f>Model!BS635</f>
        <v>0.28699981082219511</v>
      </c>
      <c r="BL478">
        <f>Model!BT635</f>
        <v>0.32258530646326616</v>
      </c>
      <c r="BM478">
        <f>Model!BU635</f>
        <v>0.39901886254904878</v>
      </c>
      <c r="BN478">
        <f>Model!BV635</f>
        <v>0.38459729676646448</v>
      </c>
      <c r="BO478">
        <f>Model!BW635</f>
        <v>0.29943650705910657</v>
      </c>
      <c r="BP478">
        <f>Model!BX635</f>
        <v>0.36625060199716153</v>
      </c>
      <c r="BQ478">
        <f>Model!BY635</f>
        <v>0.38615047342238007</v>
      </c>
      <c r="BR478">
        <f>Model!BZ635</f>
        <v>0.40687029765691229</v>
      </c>
      <c r="BS478">
        <f>Model!CA635</f>
        <v>0.32425633661845699</v>
      </c>
      <c r="BT478">
        <f>Model!CB635</f>
        <v>0.43444901756738002</v>
      </c>
      <c r="BU478">
        <f>Model!CC635</f>
        <v>0.38615047342238007</v>
      </c>
      <c r="BV478">
        <f>Model!CD635</f>
        <v>0.40687029765691229</v>
      </c>
      <c r="BW478">
        <f>Model!CE635</f>
        <v>0.32425633661845699</v>
      </c>
      <c r="BX478">
        <f>Model!CF635</f>
        <v>0.43444901756738002</v>
      </c>
      <c r="BY478">
        <f>Model!CG635</f>
        <v>0</v>
      </c>
      <c r="BZ478">
        <f>Model!CH635</f>
        <v>0</v>
      </c>
      <c r="CA478">
        <f>Model!CI635</f>
        <v>0</v>
      </c>
      <c r="CB478">
        <f>Model!CJ635</f>
        <v>0</v>
      </c>
      <c r="CC478">
        <f>Model!CK635</f>
        <v>0</v>
      </c>
      <c r="CD478">
        <f>Model!CL635</f>
        <v>0</v>
      </c>
      <c r="CE478">
        <f>Model!CM635</f>
        <v>0</v>
      </c>
      <c r="CF478">
        <f>Model!CN635</f>
        <v>0</v>
      </c>
      <c r="CG478">
        <f>Model!CO635</f>
        <v>0</v>
      </c>
      <c r="CH478">
        <f>Model!CP635</f>
        <v>0</v>
      </c>
      <c r="CI478">
        <f>Model!CQ635</f>
        <v>5.2571717836049102E-2</v>
      </c>
      <c r="CJ478">
        <f>Model!CR635</f>
        <v>6.071549105636178E-2</v>
      </c>
      <c r="CK478">
        <f>Model!CS635</f>
        <v>6.9856505167501859E-2</v>
      </c>
      <c r="CL478">
        <f>Model!CT635</f>
        <v>7.8895606940126053E-2</v>
      </c>
      <c r="CM478">
        <f>Model!CU635</f>
        <v>7.6272946211258019E-2</v>
      </c>
      <c r="CN478">
        <f>Model!CV635</f>
        <v>6.9944699618505524E-2</v>
      </c>
      <c r="CO478">
        <f>Model!CW635</f>
        <v>8.006278689595818E-2</v>
      </c>
      <c r="CP478">
        <f>Model!CX635</f>
        <v>9.6032893723106583E-2</v>
      </c>
      <c r="CQ478">
        <f>Model!CY635</f>
        <v>9.9887982312549362E-2</v>
      </c>
      <c r="CR478">
        <f>Model!DG635</f>
        <v>0</v>
      </c>
      <c r="CS478">
        <f>Model!DH635</f>
        <v>0</v>
      </c>
      <c r="CT478">
        <f>Model!DI635</f>
        <v>0</v>
      </c>
      <c r="CU478">
        <f>Model!DJ635</f>
        <v>0</v>
      </c>
    </row>
    <row r="479" spans="1:99">
      <c r="A479" t="str">
        <f>Model!I636</f>
        <v>Prepaid Expenses and Other Current Assets, % of Revenue</v>
      </c>
      <c r="B479">
        <f>Model!J636</f>
        <v>0</v>
      </c>
      <c r="C479">
        <f>Model!K636</f>
        <v>0</v>
      </c>
      <c r="D479">
        <f>Model!L636</f>
        <v>0</v>
      </c>
      <c r="E479">
        <f>Model!M636</f>
        <v>0</v>
      </c>
      <c r="F479">
        <f>Model!N636</f>
        <v>0</v>
      </c>
      <c r="G479">
        <f>Model!O636</f>
        <v>0</v>
      </c>
      <c r="H479">
        <f>Model!P636</f>
        <v>0</v>
      </c>
      <c r="I479">
        <f>Model!Q636</f>
        <v>0</v>
      </c>
      <c r="J479">
        <f>Model!R636</f>
        <v>0</v>
      </c>
      <c r="K479">
        <f>Model!S636</f>
        <v>0</v>
      </c>
      <c r="L479">
        <f>Model!T636</f>
        <v>0</v>
      </c>
      <c r="M479">
        <f>Model!U636</f>
        <v>0</v>
      </c>
      <c r="N479">
        <f>Model!V636</f>
        <v>0</v>
      </c>
      <c r="O479">
        <f>Model!W636</f>
        <v>0</v>
      </c>
      <c r="P479">
        <f>Model!X636</f>
        <v>0</v>
      </c>
      <c r="Q479">
        <f>Model!Y636</f>
        <v>0</v>
      </c>
      <c r="R479">
        <f>Model!Z636</f>
        <v>0</v>
      </c>
      <c r="S479">
        <f>Model!AA636</f>
        <v>0</v>
      </c>
      <c r="T479">
        <f>Model!AB636</f>
        <v>0</v>
      </c>
      <c r="U479">
        <f>Model!AC636</f>
        <v>0</v>
      </c>
      <c r="V479">
        <f>Model!AD636</f>
        <v>0</v>
      </c>
      <c r="W479">
        <f>Model!AE636</f>
        <v>0</v>
      </c>
      <c r="X479">
        <f>Model!AF636</f>
        <v>0</v>
      </c>
      <c r="Y479">
        <f>Model!AG636</f>
        <v>0</v>
      </c>
      <c r="Z479">
        <f>Model!AH636</f>
        <v>0</v>
      </c>
      <c r="AA479">
        <f>Model!AI636</f>
        <v>0</v>
      </c>
      <c r="AB479">
        <f>Model!AJ636</f>
        <v>0</v>
      </c>
      <c r="AC479">
        <f>Model!AK636</f>
        <v>0</v>
      </c>
      <c r="AD479">
        <f>Model!AL636</f>
        <v>0</v>
      </c>
      <c r="AE479">
        <f>Model!AM636</f>
        <v>0</v>
      </c>
      <c r="AF479">
        <f>Model!AN636</f>
        <v>0</v>
      </c>
      <c r="AG479">
        <f>Model!AO636</f>
        <v>0</v>
      </c>
      <c r="AH479">
        <f>Model!AP636</f>
        <v>0</v>
      </c>
      <c r="AI479">
        <f>Model!AQ636</f>
        <v>0</v>
      </c>
      <c r="AJ479">
        <f>Model!AR636</f>
        <v>0</v>
      </c>
      <c r="AK479">
        <f>Model!AS636</f>
        <v>0</v>
      </c>
      <c r="AL479">
        <f>Model!AT636</f>
        <v>0</v>
      </c>
      <c r="AM479">
        <f>Model!AU636</f>
        <v>0</v>
      </c>
      <c r="AN479">
        <f>Model!AV636</f>
        <v>0</v>
      </c>
      <c r="AO479">
        <f>Model!AW636</f>
        <v>0</v>
      </c>
      <c r="AP479">
        <f>Model!AX636</f>
        <v>0</v>
      </c>
      <c r="AQ479">
        <f>Model!AY636</f>
        <v>0</v>
      </c>
      <c r="AR479">
        <f>Model!AZ636</f>
        <v>0</v>
      </c>
      <c r="AS479">
        <f>Model!BA636</f>
        <v>7.0036573913903027E-2</v>
      </c>
      <c r="AT479">
        <f>Model!BB636</f>
        <v>4.7810134250341876E-2</v>
      </c>
      <c r="AU479">
        <f>Model!BC636</f>
        <v>6.6014410753274355E-2</v>
      </c>
      <c r="AV479">
        <f>Model!BD636</f>
        <v>0.10517274443109904</v>
      </c>
      <c r="AW479">
        <f>Model!BE636</f>
        <v>0.19449562158290165</v>
      </c>
      <c r="AX479">
        <f>Model!BF636</f>
        <v>0.12417100618876525</v>
      </c>
      <c r="AY479">
        <f>Model!BG636</f>
        <v>8.9504251865135886E-2</v>
      </c>
      <c r="AZ479">
        <f>Model!BH636</f>
        <v>7.0793858765033926E-2</v>
      </c>
      <c r="BA479">
        <f>Model!BI636</f>
        <v>0.24519820093824019</v>
      </c>
      <c r="BB479">
        <f>Model!BJ636</f>
        <v>0.14869976753293282</v>
      </c>
      <c r="BC479">
        <f>Model!BK636</f>
        <v>4.74416748204659E-2</v>
      </c>
      <c r="BD479">
        <f>Model!BL636</f>
        <v>6.9494722457796212E-2</v>
      </c>
      <c r="BE479">
        <f>Model!BM636</f>
        <v>0.26076408726509043</v>
      </c>
      <c r="BF479">
        <f>Model!BN636</f>
        <v>0.17907726357675147</v>
      </c>
      <c r="BG479">
        <f>Model!BO636</f>
        <v>5.8631473962426191E-2</v>
      </c>
      <c r="BH479">
        <f>Model!BP636</f>
        <v>9.6761203349606029E-2</v>
      </c>
      <c r="BI479">
        <f>Model!BQ636</f>
        <v>0.26472895549178738</v>
      </c>
      <c r="BJ479">
        <f>Model!BR636</f>
        <v>0.22294802176989359</v>
      </c>
      <c r="BK479">
        <f>Model!BS636</f>
        <v>8.5164173784468139E-2</v>
      </c>
      <c r="BL479">
        <f>Model!BT636</f>
        <v>0.12937582343955858</v>
      </c>
      <c r="BM479">
        <f>Model!BU636</f>
        <v>0.29048018289489552</v>
      </c>
      <c r="BN479">
        <f>Model!BV636</f>
        <v>0.21897983569010079</v>
      </c>
      <c r="BO479">
        <f>Model!BW636</f>
        <v>9.4653320153733095E-2</v>
      </c>
      <c r="BP479">
        <f>Model!BX636</f>
        <v>0.10281281177704453</v>
      </c>
      <c r="BQ479">
        <f>Model!BY636</f>
        <v>0.28248692653231955</v>
      </c>
      <c r="BR479">
        <f>Model!BZ636</f>
        <v>0.22677014411371454</v>
      </c>
      <c r="BS479">
        <f>Model!CA636</f>
        <v>9.7767741257443294E-2</v>
      </c>
      <c r="BT479">
        <f>Model!CB636</f>
        <v>0.1482387491246277</v>
      </c>
      <c r="BU479">
        <f>Model!CC636</f>
        <v>0.28248692653231955</v>
      </c>
      <c r="BV479">
        <f>Model!CD636</f>
        <v>0.22677014411371454</v>
      </c>
      <c r="BW479">
        <f>Model!CE636</f>
        <v>9.7767741257443294E-2</v>
      </c>
      <c r="BX479">
        <f>Model!CF636</f>
        <v>0.1482387491246277</v>
      </c>
      <c r="BY479">
        <f>Model!CG636</f>
        <v>0</v>
      </c>
      <c r="BZ479">
        <f>Model!CH636</f>
        <v>0</v>
      </c>
      <c r="CA479">
        <f>Model!CI636</f>
        <v>0</v>
      </c>
      <c r="CB479">
        <f>Model!CJ636</f>
        <v>0</v>
      </c>
      <c r="CC479">
        <f>Model!CK636</f>
        <v>0</v>
      </c>
      <c r="CD479">
        <f>Model!CL636</f>
        <v>0</v>
      </c>
      <c r="CE479">
        <f>Model!CM636</f>
        <v>0</v>
      </c>
      <c r="CF479">
        <f>Model!CN636</f>
        <v>0</v>
      </c>
      <c r="CG479">
        <f>Model!CO636</f>
        <v>0</v>
      </c>
      <c r="CH479">
        <f>Model!CP636</f>
        <v>0</v>
      </c>
      <c r="CI479">
        <f>Model!CQ636</f>
        <v>1.9811898467378387E-2</v>
      </c>
      <c r="CJ479">
        <f>Model!CR636</f>
        <v>2.3923629526059493E-2</v>
      </c>
      <c r="CK479">
        <f>Model!CS636</f>
        <v>1.6021802881453481E-2</v>
      </c>
      <c r="CL479">
        <f>Model!CT636</f>
        <v>1.5765814170596762E-2</v>
      </c>
      <c r="CM479">
        <f>Model!CU636</f>
        <v>2.1091046154979688E-2</v>
      </c>
      <c r="CN479">
        <f>Model!CV636</f>
        <v>2.8051969283998335E-2</v>
      </c>
      <c r="CO479">
        <f>Model!CW636</f>
        <v>2.2474994428933581E-2</v>
      </c>
      <c r="CP479">
        <f>Model!CX636</f>
        <v>3.2767472050097932E-2</v>
      </c>
      <c r="CQ479">
        <f>Model!CY636</f>
        <v>3.4082870375690862E-2</v>
      </c>
      <c r="CR479">
        <f>Model!DG636</f>
        <v>0</v>
      </c>
      <c r="CS479">
        <f>Model!DH636</f>
        <v>0</v>
      </c>
      <c r="CT479">
        <f>Model!DI636</f>
        <v>0</v>
      </c>
      <c r="CU479">
        <f>Model!DJ636</f>
        <v>0</v>
      </c>
    </row>
    <row r="480" spans="1:99">
      <c r="A480" t="str">
        <f>Model!I637</f>
        <v>Accounts Payable, % of Revenue</v>
      </c>
      <c r="B480">
        <f>Model!J637</f>
        <v>0</v>
      </c>
      <c r="C480">
        <f>Model!K637</f>
        <v>0</v>
      </c>
      <c r="D480">
        <f>Model!L637</f>
        <v>0</v>
      </c>
      <c r="E480">
        <f>Model!M637</f>
        <v>0</v>
      </c>
      <c r="F480">
        <f>Model!N637</f>
        <v>0</v>
      </c>
      <c r="G480">
        <f>Model!O637</f>
        <v>0</v>
      </c>
      <c r="H480">
        <f>Model!P637</f>
        <v>0</v>
      </c>
      <c r="I480">
        <f>Model!Q637</f>
        <v>0</v>
      </c>
      <c r="J480">
        <f>Model!R637</f>
        <v>0</v>
      </c>
      <c r="K480">
        <f>Model!S637</f>
        <v>0</v>
      </c>
      <c r="L480">
        <f>Model!T637</f>
        <v>0</v>
      </c>
      <c r="M480">
        <f>Model!U637</f>
        <v>0</v>
      </c>
      <c r="N480">
        <f>Model!V637</f>
        <v>0</v>
      </c>
      <c r="O480">
        <f>Model!W637</f>
        <v>0</v>
      </c>
      <c r="P480">
        <f>Model!X637</f>
        <v>0</v>
      </c>
      <c r="Q480">
        <f>Model!Y637</f>
        <v>0</v>
      </c>
      <c r="R480">
        <f>Model!Z637</f>
        <v>0</v>
      </c>
      <c r="S480">
        <f>Model!AA637</f>
        <v>0</v>
      </c>
      <c r="T480">
        <f>Model!AB637</f>
        <v>0</v>
      </c>
      <c r="U480">
        <f>Model!AC637</f>
        <v>0</v>
      </c>
      <c r="V480">
        <f>Model!AD637</f>
        <v>0</v>
      </c>
      <c r="W480">
        <f>Model!AE637</f>
        <v>0</v>
      </c>
      <c r="X480">
        <f>Model!AF637</f>
        <v>0</v>
      </c>
      <c r="Y480">
        <f>Model!AG637</f>
        <v>0</v>
      </c>
      <c r="Z480">
        <f>Model!AH637</f>
        <v>0</v>
      </c>
      <c r="AA480">
        <f>Model!AI637</f>
        <v>0</v>
      </c>
      <c r="AB480">
        <f>Model!AJ637</f>
        <v>0</v>
      </c>
      <c r="AC480">
        <f>Model!AK637</f>
        <v>0</v>
      </c>
      <c r="AD480">
        <f>Model!AL637</f>
        <v>0</v>
      </c>
      <c r="AE480">
        <f>Model!AM637</f>
        <v>0</v>
      </c>
      <c r="AF480">
        <f>Model!AN637</f>
        <v>0</v>
      </c>
      <c r="AG480">
        <f>Model!AO637</f>
        <v>0</v>
      </c>
      <c r="AH480">
        <f>Model!AP637</f>
        <v>0</v>
      </c>
      <c r="AI480">
        <f>Model!AQ637</f>
        <v>0</v>
      </c>
      <c r="AJ480">
        <f>Model!AR637</f>
        <v>0</v>
      </c>
      <c r="AK480">
        <f>Model!AS637</f>
        <v>0</v>
      </c>
      <c r="AL480">
        <f>Model!AT637</f>
        <v>0</v>
      </c>
      <c r="AM480">
        <f>Model!AU637</f>
        <v>0</v>
      </c>
      <c r="AN480">
        <f>Model!AV637</f>
        <v>0</v>
      </c>
      <c r="AO480">
        <f>Model!AW637</f>
        <v>0</v>
      </c>
      <c r="AP480">
        <f>Model!AX637</f>
        <v>0</v>
      </c>
      <c r="AQ480">
        <f>Model!AY637</f>
        <v>0</v>
      </c>
      <c r="AR480">
        <f>Model!AZ637</f>
        <v>0</v>
      </c>
      <c r="AS480">
        <f>Model!BA637</f>
        <v>0.14272722779617456</v>
      </c>
      <c r="AT480">
        <f>Model!BB637</f>
        <v>0.11589022014734526</v>
      </c>
      <c r="AU480">
        <f>Model!BC637</f>
        <v>0.11670190886038308</v>
      </c>
      <c r="AV480">
        <f>Model!BD637</f>
        <v>0.14823521099750697</v>
      </c>
      <c r="AW480">
        <f>Model!BE637</f>
        <v>0.16773632509903619</v>
      </c>
      <c r="AX480">
        <f>Model!BF637</f>
        <v>0.15164999822876649</v>
      </c>
      <c r="AY480">
        <f>Model!BG637</f>
        <v>0.14075754112675892</v>
      </c>
      <c r="AZ480">
        <f>Model!BH637</f>
        <v>0.15508298058187192</v>
      </c>
      <c r="BA480">
        <f>Model!BI637</f>
        <v>0.19242987007800236</v>
      </c>
      <c r="BB480">
        <f>Model!BJ637</f>
        <v>0.18821797864350168</v>
      </c>
      <c r="BC480">
        <f>Model!BK637</f>
        <v>0.13784553789302892</v>
      </c>
      <c r="BD480">
        <f>Model!BL637</f>
        <v>0.16049347469070235</v>
      </c>
      <c r="BE480">
        <f>Model!BM637</f>
        <v>0.18236730129455317</v>
      </c>
      <c r="BF480">
        <f>Model!BN637</f>
        <v>0.16053259244434506</v>
      </c>
      <c r="BG480">
        <f>Model!BO637</f>
        <v>0.18524292463556283</v>
      </c>
      <c r="BH480">
        <f>Model!BP637</f>
        <v>0.15297019667984896</v>
      </c>
      <c r="BI480">
        <f>Model!BQ637</f>
        <v>0.30821092479249673</v>
      </c>
      <c r="BJ480">
        <f>Model!BR637</f>
        <v>0.16103380244755627</v>
      </c>
      <c r="BK480">
        <f>Model!BS637</f>
        <v>0.1252144364257835</v>
      </c>
      <c r="BL480">
        <f>Model!BT637</f>
        <v>0.1614214035535089</v>
      </c>
      <c r="BM480">
        <f>Model!BU637</f>
        <v>0.15584937333546237</v>
      </c>
      <c r="BN480">
        <f>Model!BV637</f>
        <v>0.16896970228122987</v>
      </c>
      <c r="BO480">
        <f>Model!BW637</f>
        <v>0.13401978890962654</v>
      </c>
      <c r="BP480">
        <f>Model!BX637</f>
        <v>0.1784628303213249</v>
      </c>
      <c r="BQ480">
        <f>Model!BY637</f>
        <v>0.1684609102076379</v>
      </c>
      <c r="BR480">
        <f>Model!BZ637</f>
        <v>0.19778109580381387</v>
      </c>
      <c r="BS480">
        <f>Model!CA637</f>
        <v>0.18171735006694817</v>
      </c>
      <c r="BT480">
        <f>Model!CB637</f>
        <v>0.23813801397242262</v>
      </c>
      <c r="BU480">
        <f>Model!CC637</f>
        <v>0.16189093470954002</v>
      </c>
      <c r="BV480">
        <f>Model!CD637</f>
        <v>0.19006763306746513</v>
      </c>
      <c r="BW480">
        <f>Model!CE637</f>
        <v>0.17463037341433718</v>
      </c>
      <c r="BX480">
        <f>Model!CF637</f>
        <v>0.22885063142749815</v>
      </c>
      <c r="BY480">
        <f>Model!CG637</f>
        <v>0</v>
      </c>
      <c r="BZ480">
        <f>Model!CH637</f>
        <v>0</v>
      </c>
      <c r="CA480">
        <f>Model!CI637</f>
        <v>0</v>
      </c>
      <c r="CB480">
        <f>Model!CJ637</f>
        <v>0</v>
      </c>
      <c r="CC480">
        <f>Model!CK637</f>
        <v>0</v>
      </c>
      <c r="CD480">
        <f>Model!CL637</f>
        <v>0</v>
      </c>
      <c r="CE480">
        <f>Model!CM637</f>
        <v>0</v>
      </c>
      <c r="CF480">
        <f>Model!CN637</f>
        <v>0</v>
      </c>
      <c r="CG480">
        <f>Model!CO637</f>
        <v>0</v>
      </c>
      <c r="CH480">
        <f>Model!CP637</f>
        <v>0</v>
      </c>
      <c r="CI480">
        <f>Model!CQ637</f>
        <v>2.9230569056009698E-2</v>
      </c>
      <c r="CJ480">
        <f>Model!CR637</f>
        <v>3.3719042797679309E-2</v>
      </c>
      <c r="CK480">
        <f>Model!CS637</f>
        <v>3.5097803517079397E-2</v>
      </c>
      <c r="CL480">
        <f>Model!CT637</f>
        <v>3.641010724380736E-2</v>
      </c>
      <c r="CM480">
        <f>Model!CU637</f>
        <v>3.3342924300498074E-2</v>
      </c>
      <c r="CN480">
        <f>Model!CV637</f>
        <v>3.5000266153887676E-2</v>
      </c>
      <c r="CO480">
        <f>Model!CW637</f>
        <v>3.901217219835864E-2</v>
      </c>
      <c r="CP480">
        <f>Model!CX637</f>
        <v>5.2639277941740302E-2</v>
      </c>
      <c r="CQ480">
        <f>Model!CY637</f>
        <v>5.2617054936026759E-2</v>
      </c>
      <c r="CR480">
        <f>Model!DG637</f>
        <v>0</v>
      </c>
      <c r="CS480">
        <f>Model!DH637</f>
        <v>0</v>
      </c>
      <c r="CT480">
        <f>Model!DI637</f>
        <v>0</v>
      </c>
      <c r="CU480">
        <f>Model!DJ637</f>
        <v>0</v>
      </c>
    </row>
    <row r="481" spans="1:99">
      <c r="A481" t="str">
        <f>Model!I638</f>
        <v>Accrued Expenses &amp; Other, % of Revenue</v>
      </c>
      <c r="B481">
        <f>Model!J638</f>
        <v>0</v>
      </c>
      <c r="C481">
        <f>Model!K638</f>
        <v>0</v>
      </c>
      <c r="D481">
        <f>Model!L638</f>
        <v>0</v>
      </c>
      <c r="E481">
        <f>Model!M638</f>
        <v>0</v>
      </c>
      <c r="F481">
        <f>Model!N638</f>
        <v>0</v>
      </c>
      <c r="G481">
        <f>Model!O638</f>
        <v>0</v>
      </c>
      <c r="H481">
        <f>Model!P638</f>
        <v>0</v>
      </c>
      <c r="I481">
        <f>Model!Q638</f>
        <v>0</v>
      </c>
      <c r="J481">
        <f>Model!R638</f>
        <v>0</v>
      </c>
      <c r="K481">
        <f>Model!S638</f>
        <v>0</v>
      </c>
      <c r="L481">
        <f>Model!T638</f>
        <v>0</v>
      </c>
      <c r="M481">
        <f>Model!U638</f>
        <v>0</v>
      </c>
      <c r="N481">
        <f>Model!V638</f>
        <v>0</v>
      </c>
      <c r="O481">
        <f>Model!W638</f>
        <v>0</v>
      </c>
      <c r="P481">
        <f>Model!X638</f>
        <v>0</v>
      </c>
      <c r="Q481">
        <f>Model!Y638</f>
        <v>0</v>
      </c>
      <c r="R481">
        <f>Model!Z638</f>
        <v>0</v>
      </c>
      <c r="S481">
        <f>Model!AA638</f>
        <v>0</v>
      </c>
      <c r="T481">
        <f>Model!AB638</f>
        <v>0</v>
      </c>
      <c r="U481">
        <f>Model!AC638</f>
        <v>0</v>
      </c>
      <c r="V481">
        <f>Model!AD638</f>
        <v>0</v>
      </c>
      <c r="W481">
        <f>Model!AE638</f>
        <v>0</v>
      </c>
      <c r="X481">
        <f>Model!AF638</f>
        <v>0</v>
      </c>
      <c r="Y481">
        <f>Model!AG638</f>
        <v>0</v>
      </c>
      <c r="Z481">
        <f>Model!AH638</f>
        <v>0</v>
      </c>
      <c r="AA481">
        <f>Model!AI638</f>
        <v>0</v>
      </c>
      <c r="AB481">
        <f>Model!AJ638</f>
        <v>0</v>
      </c>
      <c r="AC481">
        <f>Model!AK638</f>
        <v>0</v>
      </c>
      <c r="AD481">
        <f>Model!AL638</f>
        <v>0</v>
      </c>
      <c r="AE481">
        <f>Model!AM638</f>
        <v>0</v>
      </c>
      <c r="AF481">
        <f>Model!AN638</f>
        <v>0</v>
      </c>
      <c r="AG481">
        <f>Model!AO638</f>
        <v>0</v>
      </c>
      <c r="AH481">
        <f>Model!AP638</f>
        <v>0</v>
      </c>
      <c r="AI481">
        <f>Model!AQ638</f>
        <v>0</v>
      </c>
      <c r="AJ481">
        <f>Model!AR638</f>
        <v>0</v>
      </c>
      <c r="AK481">
        <f>Model!AS638</f>
        <v>0</v>
      </c>
      <c r="AL481">
        <f>Model!AT638</f>
        <v>0</v>
      </c>
      <c r="AM481">
        <f>Model!AU638</f>
        <v>0</v>
      </c>
      <c r="AN481">
        <f>Model!AV638</f>
        <v>0</v>
      </c>
      <c r="AO481">
        <f>Model!AW638</f>
        <v>0</v>
      </c>
      <c r="AP481">
        <f>Model!AX638</f>
        <v>0</v>
      </c>
      <c r="AQ481">
        <f>Model!AY638</f>
        <v>0</v>
      </c>
      <c r="AR481">
        <f>Model!AZ638</f>
        <v>0</v>
      </c>
      <c r="AS481">
        <f>Model!BA638</f>
        <v>0.39877304403696928</v>
      </c>
      <c r="AT481">
        <f>Model!BB638</f>
        <v>0.24293471755193535</v>
      </c>
      <c r="AU481">
        <f>Model!BC638</f>
        <v>0.21045165073884708</v>
      </c>
      <c r="AV481">
        <f>Model!BD638</f>
        <v>0.22420339735761075</v>
      </c>
      <c r="AW481">
        <f>Model!BE638</f>
        <v>0.28750818271829176</v>
      </c>
      <c r="AX481">
        <f>Model!BF638</f>
        <v>0.2050764306102314</v>
      </c>
      <c r="AY481">
        <f>Model!BG638</f>
        <v>0.22113566702416326</v>
      </c>
      <c r="AZ481">
        <f>Model!BH638</f>
        <v>0.32580040986360276</v>
      </c>
      <c r="BA481">
        <f>Model!BI638</f>
        <v>0.326442459823719</v>
      </c>
      <c r="BB481">
        <f>Model!BJ638</f>
        <v>0.23052448522173644</v>
      </c>
      <c r="BC481">
        <f>Model!BK638</f>
        <v>0.23966706947389382</v>
      </c>
      <c r="BD481">
        <f>Model!BL638</f>
        <v>0.35385325142928703</v>
      </c>
      <c r="BE481">
        <f>Model!BM638</f>
        <v>0.34225503440731581</v>
      </c>
      <c r="BF481">
        <f>Model!BN638</f>
        <v>0.26168889726051592</v>
      </c>
      <c r="BG481">
        <f>Model!BO638</f>
        <v>0.21472647423917601</v>
      </c>
      <c r="BH481">
        <f>Model!BP638</f>
        <v>0.32648170177985186</v>
      </c>
      <c r="BI481">
        <f>Model!BQ638</f>
        <v>0.33181180576456493</v>
      </c>
      <c r="BJ481">
        <f>Model!BR638</f>
        <v>0.39626477319519365</v>
      </c>
      <c r="BK481">
        <f>Model!BS638</f>
        <v>0.25163032916615774</v>
      </c>
      <c r="BL481">
        <f>Model!BT638</f>
        <v>0.34079435198587998</v>
      </c>
      <c r="BM481">
        <f>Model!BU638</f>
        <v>0.52010852285185327</v>
      </c>
      <c r="BN481">
        <f>Model!BV638</f>
        <v>0.39888579452576822</v>
      </c>
      <c r="BO481">
        <f>Model!BW638</f>
        <v>0.23901058703413472</v>
      </c>
      <c r="BP481">
        <f>Model!BX638</f>
        <v>0.36512304161966724</v>
      </c>
      <c r="BQ481">
        <f>Model!BY638</f>
        <v>0.40781985976711621</v>
      </c>
      <c r="BR481">
        <f>Model!BZ638</f>
        <v>0.35497177106325689</v>
      </c>
      <c r="BS481">
        <f>Model!CA638</f>
        <v>0.24613551241996842</v>
      </c>
      <c r="BT481">
        <f>Model!CB638</f>
        <v>0.40632972220329472</v>
      </c>
      <c r="BU481">
        <f>Model!CC638</f>
        <v>0.39966346257177388</v>
      </c>
      <c r="BV481">
        <f>Model!CD638</f>
        <v>0.34787233564199177</v>
      </c>
      <c r="BW481">
        <f>Model!CE638</f>
        <v>0.24121280217156904</v>
      </c>
      <c r="BX481">
        <f>Model!CF638</f>
        <v>0.39820312775922884</v>
      </c>
      <c r="BY481">
        <f>Model!CG638</f>
        <v>0</v>
      </c>
      <c r="BZ481">
        <f>Model!CH638</f>
        <v>0</v>
      </c>
      <c r="CA481">
        <f>Model!CI638</f>
        <v>0</v>
      </c>
      <c r="CB481">
        <f>Model!CJ638</f>
        <v>0</v>
      </c>
      <c r="CC481">
        <f>Model!CK638</f>
        <v>0</v>
      </c>
      <c r="CD481">
        <f>Model!CL638</f>
        <v>0</v>
      </c>
      <c r="CE481">
        <f>Model!CM638</f>
        <v>0</v>
      </c>
      <c r="CF481">
        <f>Model!CN638</f>
        <v>0</v>
      </c>
      <c r="CG481">
        <f>Model!CO638</f>
        <v>0</v>
      </c>
      <c r="CH481">
        <f>Model!CP638</f>
        <v>0</v>
      </c>
      <c r="CI481">
        <f>Model!CQ638</f>
        <v>7.8899005958037408E-2</v>
      </c>
      <c r="CJ481">
        <f>Model!CR638</f>
        <v>5.0999515567279892E-2</v>
      </c>
      <c r="CK481">
        <f>Model!CS638</f>
        <v>7.3733937330021371E-2</v>
      </c>
      <c r="CL481">
        <f>Model!CT638</f>
        <v>8.027637795206044E-2</v>
      </c>
      <c r="CM481">
        <f>Model!CU638</f>
        <v>7.116323901136358E-2</v>
      </c>
      <c r="CN481">
        <f>Model!CV638</f>
        <v>7.3892883847299431E-2</v>
      </c>
      <c r="CO481">
        <f>Model!CW638</f>
        <v>7.9816300949659719E-2</v>
      </c>
      <c r="CP481">
        <f>Model!CX638</f>
        <v>8.98172569186131E-2</v>
      </c>
      <c r="CQ481">
        <f>Model!CY638</f>
        <v>9.1554372029962638E-2</v>
      </c>
      <c r="CR481">
        <f>Model!DG638</f>
        <v>0</v>
      </c>
      <c r="CS481">
        <f>Model!DH638</f>
        <v>0</v>
      </c>
      <c r="CT481">
        <f>Model!DI638</f>
        <v>0</v>
      </c>
      <c r="CU481">
        <f>Model!DJ638</f>
        <v>0</v>
      </c>
    </row>
    <row r="482" spans="1:99">
      <c r="A482" t="str">
        <f>Model!I639</f>
        <v>Deferred Merchant Bookings, % of Revenue</v>
      </c>
      <c r="B482">
        <f>Model!J639</f>
        <v>0</v>
      </c>
      <c r="C482">
        <f>Model!K639</f>
        <v>0</v>
      </c>
      <c r="D482">
        <f>Model!L639</f>
        <v>0</v>
      </c>
      <c r="E482">
        <f>Model!M639</f>
        <v>0</v>
      </c>
      <c r="F482">
        <f>Model!N639</f>
        <v>0</v>
      </c>
      <c r="G482">
        <f>Model!O639</f>
        <v>0</v>
      </c>
      <c r="H482">
        <f>Model!P639</f>
        <v>0</v>
      </c>
      <c r="I482">
        <f>Model!Q639</f>
        <v>0</v>
      </c>
      <c r="J482">
        <f>Model!R639</f>
        <v>0</v>
      </c>
      <c r="K482">
        <f>Model!S639</f>
        <v>0</v>
      </c>
      <c r="L482">
        <f>Model!T639</f>
        <v>0</v>
      </c>
      <c r="M482">
        <f>Model!U639</f>
        <v>0</v>
      </c>
      <c r="N482">
        <f>Model!V639</f>
        <v>0</v>
      </c>
      <c r="O482">
        <f>Model!W639</f>
        <v>0</v>
      </c>
      <c r="P482">
        <f>Model!X639</f>
        <v>0</v>
      </c>
      <c r="Q482">
        <f>Model!Y639</f>
        <v>0</v>
      </c>
      <c r="R482">
        <f>Model!Z639</f>
        <v>0</v>
      </c>
      <c r="S482">
        <f>Model!AA639</f>
        <v>0</v>
      </c>
      <c r="T482">
        <f>Model!AB639</f>
        <v>0</v>
      </c>
      <c r="U482">
        <f>Model!AC639</f>
        <v>0</v>
      </c>
      <c r="V482">
        <f>Model!AD639</f>
        <v>0</v>
      </c>
      <c r="W482">
        <f>Model!AE639</f>
        <v>0</v>
      </c>
      <c r="X482">
        <f>Model!AF639</f>
        <v>0</v>
      </c>
      <c r="Y482">
        <f>Model!AG639</f>
        <v>0</v>
      </c>
      <c r="Z482">
        <f>Model!AH639</f>
        <v>0</v>
      </c>
      <c r="AA482">
        <f>Model!AI639</f>
        <v>0</v>
      </c>
      <c r="AB482">
        <f>Model!AJ639</f>
        <v>0</v>
      </c>
      <c r="AC482">
        <f>Model!AK639</f>
        <v>0</v>
      </c>
      <c r="AD482">
        <f>Model!AL639</f>
        <v>0</v>
      </c>
      <c r="AE482">
        <f>Model!AM639</f>
        <v>0</v>
      </c>
      <c r="AF482">
        <f>Model!AN639</f>
        <v>0</v>
      </c>
      <c r="AG482">
        <f>Model!AO639</f>
        <v>0</v>
      </c>
      <c r="AH482">
        <f>Model!AP639</f>
        <v>0</v>
      </c>
      <c r="AI482">
        <f>Model!AQ639</f>
        <v>0</v>
      </c>
      <c r="AJ482">
        <f>Model!AR639</f>
        <v>0</v>
      </c>
      <c r="AK482">
        <f>Model!AS639</f>
        <v>0</v>
      </c>
      <c r="AL482">
        <f>Model!AT639</f>
        <v>0</v>
      </c>
      <c r="AM482">
        <f>Model!AU639</f>
        <v>0</v>
      </c>
      <c r="AN482">
        <f>Model!AV639</f>
        <v>0</v>
      </c>
      <c r="AO482">
        <f>Model!AW639</f>
        <v>0</v>
      </c>
      <c r="AP482">
        <f>Model!AX639</f>
        <v>0</v>
      </c>
      <c r="AQ482">
        <f>Model!AY639</f>
        <v>0</v>
      </c>
      <c r="AR482">
        <f>Model!AZ639</f>
        <v>0</v>
      </c>
      <c r="AS482">
        <f>Model!BA639</f>
        <v>0.20610512529036723</v>
      </c>
      <c r="AT482">
        <f>Model!BB639</f>
        <v>0.22102971209268749</v>
      </c>
      <c r="AU482">
        <f>Model!BC639</f>
        <v>0.14716506837811569</v>
      </c>
      <c r="AV482">
        <f>Model!BD639</f>
        <v>0.24138498339675205</v>
      </c>
      <c r="AW482">
        <f>Model!BE639</f>
        <v>0.30353040307660567</v>
      </c>
      <c r="AX482">
        <f>Model!BF639</f>
        <v>0.28981827144191219</v>
      </c>
      <c r="AY482">
        <f>Model!BG639</f>
        <v>0.20119204599398702</v>
      </c>
      <c r="AZ482">
        <f>Model!BH639</f>
        <v>0.30976869582745409</v>
      </c>
      <c r="BA482">
        <f>Model!BI639</f>
        <v>0.30992801909659817</v>
      </c>
      <c r="BB482">
        <f>Model!BJ639</f>
        <v>0.31879055229080644</v>
      </c>
      <c r="BC482">
        <f>Model!BK639</f>
        <v>0.18972660946304756</v>
      </c>
      <c r="BD482">
        <f>Model!BL639</f>
        <v>0.28363634240078694</v>
      </c>
      <c r="BE482">
        <f>Model!BM639</f>
        <v>0.28746219093410774</v>
      </c>
      <c r="BF482">
        <f>Model!BN639</f>
        <v>0.268090366481052</v>
      </c>
      <c r="BG482">
        <f>Model!BO639</f>
        <v>0.14696014132925225</v>
      </c>
      <c r="BH482">
        <f>Model!BP639</f>
        <v>0.25029006623020417</v>
      </c>
      <c r="BI482">
        <f>Model!BQ639</f>
        <v>0.28529891443118738</v>
      </c>
      <c r="BJ482">
        <f>Model!BR639</f>
        <v>0.28954256649171178</v>
      </c>
      <c r="BK482">
        <f>Model!BS639</f>
        <v>0.13326077757556559</v>
      </c>
      <c r="BL482">
        <f>Model!BT639</f>
        <v>0.21744104360260899</v>
      </c>
      <c r="BM482">
        <f>Model!BU639</f>
        <v>0.24930462418515922</v>
      </c>
      <c r="BN482">
        <f>Model!BV639</f>
        <v>0.29667334663066114</v>
      </c>
      <c r="BO482">
        <f>Model!BW639</f>
        <v>0.15398888838309283</v>
      </c>
      <c r="BP482">
        <f>Model!BX639</f>
        <v>0.26160465297498375</v>
      </c>
      <c r="BQ482">
        <f>Model!BY639</f>
        <v>0.36348001408611375</v>
      </c>
      <c r="BR482">
        <f>Model!BZ639</f>
        <v>0.39200431402162828</v>
      </c>
      <c r="BS482">
        <f>Model!CA639</f>
        <v>0.18659350220758594</v>
      </c>
      <c r="BT482">
        <f>Model!CB639</f>
        <v>0.3497761223048968</v>
      </c>
      <c r="BU482">
        <f>Model!CC639</f>
        <v>0.33076681281836351</v>
      </c>
      <c r="BV482">
        <f>Model!CD639</f>
        <v>0.35672392575968176</v>
      </c>
      <c r="BW482">
        <f>Model!CE639</f>
        <v>0.1698000870089032</v>
      </c>
      <c r="BX482">
        <f>Model!CF639</f>
        <v>0.31829627129745608</v>
      </c>
      <c r="BY482">
        <f>Model!CG639</f>
        <v>0</v>
      </c>
      <c r="BZ482">
        <f>Model!CH639</f>
        <v>0</v>
      </c>
      <c r="CA482">
        <f>Model!CI639</f>
        <v>0</v>
      </c>
      <c r="CB482">
        <f>Model!CJ639</f>
        <v>0</v>
      </c>
      <c r="CC482">
        <f>Model!CK639</f>
        <v>0</v>
      </c>
      <c r="CD482">
        <f>Model!CL639</f>
        <v>0</v>
      </c>
      <c r="CE482">
        <f>Model!CM639</f>
        <v>0</v>
      </c>
      <c r="CF482">
        <f>Model!CN639</f>
        <v>0</v>
      </c>
      <c r="CG482">
        <f>Model!CO639</f>
        <v>0</v>
      </c>
      <c r="CH482">
        <f>Model!CP639</f>
        <v>0</v>
      </c>
      <c r="CI482">
        <f>Model!CQ639</f>
        <v>4.4314683286682324E-2</v>
      </c>
      <c r="CJ482">
        <f>Model!CR639</f>
        <v>5.4907808550352301E-2</v>
      </c>
      <c r="CK482">
        <f>Model!CS639</f>
        <v>7.0105699420409506E-2</v>
      </c>
      <c r="CL482">
        <f>Model!CT639</f>
        <v>6.4346726027062526E-2</v>
      </c>
      <c r="CM482">
        <f>Model!CU639</f>
        <v>5.4555742965712632E-2</v>
      </c>
      <c r="CN482">
        <f>Model!CV639</f>
        <v>4.7146749014281994E-2</v>
      </c>
      <c r="CO482">
        <f>Model!CW639</f>
        <v>5.7187066636656445E-2</v>
      </c>
      <c r="CP482">
        <f>Model!CX639</f>
        <v>7.7316352027374316E-2</v>
      </c>
      <c r="CQ482">
        <f>Model!CY639</f>
        <v>7.3182286141502614E-2</v>
      </c>
      <c r="CR482">
        <f>Model!DG639</f>
        <v>0</v>
      </c>
      <c r="CS482">
        <f>Model!DH639</f>
        <v>0</v>
      </c>
      <c r="CT482">
        <f>Model!DI639</f>
        <v>0</v>
      </c>
      <c r="CU482">
        <f>Model!DJ639</f>
        <v>0</v>
      </c>
    </row>
    <row r="483" spans="1:99">
      <c r="A483">
        <f>Model!I640</f>
        <v>0</v>
      </c>
      <c r="B483">
        <f>Model!J640</f>
        <v>0</v>
      </c>
      <c r="C483">
        <f>Model!K640</f>
        <v>0</v>
      </c>
      <c r="D483">
        <f>Model!L640</f>
        <v>0</v>
      </c>
      <c r="E483">
        <f>Model!M640</f>
        <v>0</v>
      </c>
      <c r="F483">
        <f>Model!N640</f>
        <v>0</v>
      </c>
      <c r="G483">
        <f>Model!O640</f>
        <v>0</v>
      </c>
      <c r="H483">
        <f>Model!P640</f>
        <v>0</v>
      </c>
      <c r="I483">
        <f>Model!Q640</f>
        <v>0</v>
      </c>
      <c r="J483">
        <f>Model!R640</f>
        <v>0</v>
      </c>
      <c r="K483">
        <f>Model!S640</f>
        <v>0</v>
      </c>
      <c r="L483">
        <f>Model!T640</f>
        <v>0</v>
      </c>
      <c r="M483">
        <f>Model!U640</f>
        <v>0</v>
      </c>
      <c r="N483">
        <f>Model!V640</f>
        <v>0</v>
      </c>
      <c r="O483">
        <f>Model!W640</f>
        <v>0</v>
      </c>
      <c r="P483">
        <f>Model!X640</f>
        <v>0</v>
      </c>
      <c r="Q483">
        <f>Model!Y640</f>
        <v>0</v>
      </c>
      <c r="R483">
        <f>Model!Z640</f>
        <v>0</v>
      </c>
      <c r="S483">
        <f>Model!AA640</f>
        <v>0</v>
      </c>
      <c r="T483">
        <f>Model!AB640</f>
        <v>0</v>
      </c>
      <c r="U483">
        <f>Model!AC640</f>
        <v>0</v>
      </c>
      <c r="V483">
        <f>Model!AD640</f>
        <v>0</v>
      </c>
      <c r="W483">
        <f>Model!AE640</f>
        <v>0</v>
      </c>
      <c r="X483">
        <f>Model!AF640</f>
        <v>0</v>
      </c>
      <c r="Y483">
        <f>Model!AG640</f>
        <v>0</v>
      </c>
      <c r="Z483">
        <f>Model!AH640</f>
        <v>0</v>
      </c>
      <c r="AA483">
        <f>Model!AI640</f>
        <v>0</v>
      </c>
      <c r="AB483">
        <f>Model!AJ640</f>
        <v>0</v>
      </c>
      <c r="AC483">
        <f>Model!AK640</f>
        <v>0</v>
      </c>
      <c r="AD483">
        <f>Model!AL640</f>
        <v>0</v>
      </c>
      <c r="AE483">
        <f>Model!AM640</f>
        <v>0</v>
      </c>
      <c r="AF483">
        <f>Model!AN640</f>
        <v>0</v>
      </c>
      <c r="AG483">
        <f>Model!AO640</f>
        <v>0</v>
      </c>
      <c r="AH483">
        <f>Model!AP640</f>
        <v>0</v>
      </c>
      <c r="AI483">
        <f>Model!AQ640</f>
        <v>0</v>
      </c>
      <c r="AJ483">
        <f>Model!AR640</f>
        <v>0</v>
      </c>
      <c r="AK483">
        <f>Model!AS640</f>
        <v>0</v>
      </c>
      <c r="AL483">
        <f>Model!AT640</f>
        <v>0</v>
      </c>
      <c r="AM483">
        <f>Model!AU640</f>
        <v>0</v>
      </c>
      <c r="AN483">
        <f>Model!AV640</f>
        <v>0</v>
      </c>
      <c r="AO483">
        <f>Model!AW640</f>
        <v>0</v>
      </c>
      <c r="AP483">
        <f>Model!AX640</f>
        <v>0</v>
      </c>
      <c r="AQ483">
        <f>Model!AY640</f>
        <v>0</v>
      </c>
      <c r="AR483">
        <f>Model!AZ640</f>
        <v>0</v>
      </c>
      <c r="AS483">
        <f>Model!BA640</f>
        <v>0</v>
      </c>
      <c r="AT483">
        <f>Model!BB640</f>
        <v>0</v>
      </c>
      <c r="AU483">
        <f>Model!BC640</f>
        <v>0</v>
      </c>
      <c r="AV483">
        <f>Model!BD640</f>
        <v>0</v>
      </c>
      <c r="AW483">
        <f>Model!BE640</f>
        <v>0</v>
      </c>
      <c r="AX483">
        <f>Model!BF640</f>
        <v>0</v>
      </c>
      <c r="AY483">
        <f>Model!BG640</f>
        <v>0</v>
      </c>
      <c r="AZ483">
        <f>Model!BH640</f>
        <v>0</v>
      </c>
      <c r="BA483">
        <f>Model!BI640</f>
        <v>0</v>
      </c>
      <c r="BB483">
        <f>Model!BJ640</f>
        <v>0</v>
      </c>
      <c r="BC483">
        <f>Model!BK640</f>
        <v>0</v>
      </c>
      <c r="BD483">
        <f>Model!BL640</f>
        <v>0</v>
      </c>
      <c r="BE483">
        <f>Model!BM640</f>
        <v>0</v>
      </c>
      <c r="BF483">
        <f>Model!BN640</f>
        <v>0</v>
      </c>
      <c r="BG483">
        <f>Model!BO640</f>
        <v>0</v>
      </c>
      <c r="BH483">
        <f>Model!BP640</f>
        <v>0</v>
      </c>
      <c r="BI483">
        <f>Model!BQ640</f>
        <v>0</v>
      </c>
      <c r="BJ483">
        <f>Model!BR640</f>
        <v>0</v>
      </c>
      <c r="BK483">
        <f>Model!BS640</f>
        <v>0</v>
      </c>
      <c r="BL483">
        <f>Model!BT640</f>
        <v>0</v>
      </c>
      <c r="BM483">
        <f>Model!BU640</f>
        <v>0</v>
      </c>
      <c r="BN483">
        <f>Model!BV640</f>
        <v>0</v>
      </c>
      <c r="BO483">
        <f>Model!BW640</f>
        <v>0</v>
      </c>
      <c r="BP483">
        <f>Model!BX640</f>
        <v>0</v>
      </c>
      <c r="BQ483">
        <f>Model!BY640</f>
        <v>0</v>
      </c>
      <c r="BR483">
        <f>Model!BZ640</f>
        <v>0</v>
      </c>
      <c r="BS483">
        <f>Model!CA640</f>
        <v>0</v>
      </c>
      <c r="BT483">
        <f>Model!CB640</f>
        <v>0</v>
      </c>
      <c r="BU483">
        <f>Model!CC640</f>
        <v>0</v>
      </c>
      <c r="BV483">
        <f>Model!CD640</f>
        <v>0</v>
      </c>
      <c r="BW483">
        <f>Model!CE640</f>
        <v>0</v>
      </c>
      <c r="BX483">
        <f>Model!CF640</f>
        <v>0</v>
      </c>
      <c r="BY483">
        <f>Model!CG640</f>
        <v>0</v>
      </c>
      <c r="BZ483">
        <f>Model!CH640</f>
        <v>0</v>
      </c>
      <c r="CA483">
        <f>Model!CI640</f>
        <v>0</v>
      </c>
      <c r="CB483">
        <f>Model!CJ640</f>
        <v>0</v>
      </c>
      <c r="CC483">
        <f>Model!CK640</f>
        <v>0</v>
      </c>
      <c r="CD483">
        <f>Model!CL640</f>
        <v>0</v>
      </c>
      <c r="CE483">
        <f>Model!CM640</f>
        <v>0</v>
      </c>
      <c r="CF483">
        <f>Model!CN640</f>
        <v>0</v>
      </c>
      <c r="CG483">
        <f>Model!CO640</f>
        <v>0</v>
      </c>
      <c r="CH483">
        <f>Model!CP640</f>
        <v>0</v>
      </c>
      <c r="CI483">
        <f>Model!CQ640</f>
        <v>0</v>
      </c>
      <c r="CJ483">
        <f>Model!CR640</f>
        <v>0</v>
      </c>
      <c r="CK483">
        <f>Model!CS640</f>
        <v>0</v>
      </c>
      <c r="CL483">
        <f>Model!CT640</f>
        <v>0</v>
      </c>
      <c r="CM483">
        <f>Model!CU640</f>
        <v>0</v>
      </c>
      <c r="CN483">
        <f>Model!CV640</f>
        <v>0</v>
      </c>
      <c r="CO483">
        <f>Model!CW640</f>
        <v>0</v>
      </c>
      <c r="CP483">
        <f>Model!CX640</f>
        <v>0</v>
      </c>
      <c r="CQ483">
        <f>Model!CY640</f>
        <v>0</v>
      </c>
      <c r="CR483">
        <f>Model!DG640</f>
        <v>0</v>
      </c>
      <c r="CS483">
        <f>Model!DH640</f>
        <v>0</v>
      </c>
      <c r="CT483">
        <f>Model!DI640</f>
        <v>0</v>
      </c>
      <c r="CU483">
        <f>Model!DJ640</f>
        <v>0</v>
      </c>
    </row>
    <row r="484" spans="1:99">
      <c r="A484" t="str">
        <f>Model!I643</f>
        <v>Cash Flow Statement</v>
      </c>
      <c r="B484">
        <f>Model!J643</f>
        <v>0</v>
      </c>
      <c r="C484">
        <f>Model!K643</f>
        <v>0</v>
      </c>
      <c r="D484">
        <f>Model!L643</f>
        <v>0</v>
      </c>
      <c r="E484">
        <f>Model!M643</f>
        <v>0</v>
      </c>
      <c r="F484">
        <f>Model!N643</f>
        <v>0</v>
      </c>
      <c r="G484">
        <f>Model!O643</f>
        <v>0</v>
      </c>
      <c r="H484">
        <f>Model!P643</f>
        <v>0</v>
      </c>
      <c r="I484">
        <f>Model!Q643</f>
        <v>0</v>
      </c>
      <c r="J484">
        <f>Model!R643</f>
        <v>0</v>
      </c>
      <c r="K484">
        <f>Model!S643</f>
        <v>0</v>
      </c>
      <c r="L484">
        <f>Model!T643</f>
        <v>0</v>
      </c>
      <c r="M484">
        <f>Model!U643</f>
        <v>0</v>
      </c>
      <c r="N484">
        <f>Model!V643</f>
        <v>0</v>
      </c>
      <c r="O484">
        <f>Model!W643</f>
        <v>0</v>
      </c>
      <c r="P484">
        <f>Model!X643</f>
        <v>0</v>
      </c>
      <c r="Q484">
        <f>Model!Y643</f>
        <v>0</v>
      </c>
      <c r="R484">
        <f>Model!Z643</f>
        <v>0</v>
      </c>
      <c r="S484">
        <f>Model!AA643</f>
        <v>0</v>
      </c>
      <c r="T484">
        <f>Model!AB643</f>
        <v>0</v>
      </c>
      <c r="U484">
        <f>Model!AC643</f>
        <v>0</v>
      </c>
      <c r="V484">
        <f>Model!AD643</f>
        <v>0</v>
      </c>
      <c r="W484">
        <f>Model!AE643</f>
        <v>0</v>
      </c>
      <c r="X484">
        <f>Model!AF643</f>
        <v>0</v>
      </c>
      <c r="Y484">
        <f>Model!AG643</f>
        <v>0</v>
      </c>
      <c r="Z484">
        <f>Model!AH643</f>
        <v>0</v>
      </c>
      <c r="AA484">
        <f>Model!AI643</f>
        <v>0</v>
      </c>
      <c r="AB484">
        <f>Model!AJ643</f>
        <v>0</v>
      </c>
      <c r="AC484">
        <f>Model!AK643</f>
        <v>0</v>
      </c>
      <c r="AD484">
        <f>Model!AL643</f>
        <v>0</v>
      </c>
      <c r="AE484">
        <f>Model!AM643</f>
        <v>0</v>
      </c>
      <c r="AF484">
        <f>Model!AN643</f>
        <v>0</v>
      </c>
      <c r="AG484">
        <f>Model!AO643</f>
        <v>0</v>
      </c>
      <c r="AH484">
        <f>Model!AP643</f>
        <v>0</v>
      </c>
      <c r="AI484">
        <f>Model!AQ643</f>
        <v>0</v>
      </c>
      <c r="AJ484">
        <f>Model!AR643</f>
        <v>0</v>
      </c>
      <c r="AK484">
        <f>Model!AS643</f>
        <v>0</v>
      </c>
      <c r="AL484">
        <f>Model!AT643</f>
        <v>0</v>
      </c>
      <c r="AM484">
        <f>Model!AU643</f>
        <v>0</v>
      </c>
      <c r="AN484">
        <f>Model!AV643</f>
        <v>0</v>
      </c>
      <c r="AO484">
        <f>Model!AW643</f>
        <v>0</v>
      </c>
      <c r="AP484">
        <f>Model!AX643</f>
        <v>0</v>
      </c>
      <c r="AQ484">
        <f>Model!AY643</f>
        <v>0</v>
      </c>
      <c r="AR484">
        <f>Model!AZ643</f>
        <v>0</v>
      </c>
      <c r="AS484">
        <f>Model!BA643</f>
        <v>0</v>
      </c>
      <c r="AT484">
        <f>Model!BB643</f>
        <v>0</v>
      </c>
      <c r="AU484">
        <f>Model!BC643</f>
        <v>0</v>
      </c>
      <c r="AV484">
        <f>Model!BD643</f>
        <v>0</v>
      </c>
      <c r="AW484">
        <f>Model!BE643</f>
        <v>0</v>
      </c>
      <c r="AX484">
        <f>Model!BF643</f>
        <v>0</v>
      </c>
      <c r="AY484">
        <f>Model!BG643</f>
        <v>0</v>
      </c>
      <c r="AZ484">
        <f>Model!BH643</f>
        <v>0</v>
      </c>
      <c r="BA484">
        <f>Model!BI643</f>
        <v>0</v>
      </c>
      <c r="BB484">
        <f>Model!BJ643</f>
        <v>0</v>
      </c>
      <c r="BC484">
        <f>Model!BK643</f>
        <v>0</v>
      </c>
      <c r="BD484">
        <f>Model!BL643</f>
        <v>0</v>
      </c>
      <c r="BE484">
        <f>Model!BM643</f>
        <v>0</v>
      </c>
      <c r="BF484">
        <f>Model!BN643</f>
        <v>0</v>
      </c>
      <c r="BG484">
        <f>Model!BO643</f>
        <v>0</v>
      </c>
      <c r="BH484">
        <f>Model!BP643</f>
        <v>0</v>
      </c>
      <c r="BI484">
        <f>Model!BQ643</f>
        <v>0</v>
      </c>
      <c r="BJ484">
        <f>Model!BR643</f>
        <v>0</v>
      </c>
      <c r="BK484">
        <f>Model!BS643</f>
        <v>0</v>
      </c>
      <c r="BL484">
        <f>Model!BT643</f>
        <v>0</v>
      </c>
      <c r="BM484">
        <f>Model!BU643</f>
        <v>0</v>
      </c>
      <c r="BN484">
        <f>Model!BV643</f>
        <v>0</v>
      </c>
      <c r="BO484">
        <f>Model!BW643</f>
        <v>0</v>
      </c>
      <c r="BP484">
        <f>Model!BX643</f>
        <v>0</v>
      </c>
      <c r="BQ484">
        <f>Model!BY643</f>
        <v>0</v>
      </c>
      <c r="BR484">
        <f>Model!BZ643</f>
        <v>0</v>
      </c>
      <c r="BS484">
        <f>Model!CA643</f>
        <v>0</v>
      </c>
      <c r="BT484">
        <f>Model!CB643</f>
        <v>0</v>
      </c>
      <c r="BU484">
        <f>Model!CC643</f>
        <v>0</v>
      </c>
      <c r="BV484">
        <f>Model!CD643</f>
        <v>0</v>
      </c>
      <c r="BW484">
        <f>Model!CE643</f>
        <v>0</v>
      </c>
      <c r="BX484">
        <f>Model!CF643</f>
        <v>0</v>
      </c>
      <c r="BY484">
        <f>Model!CG643</f>
        <v>0</v>
      </c>
      <c r="BZ484">
        <f>Model!CH643</f>
        <v>0</v>
      </c>
      <c r="CA484">
        <f>Model!CI643</f>
        <v>0</v>
      </c>
      <c r="CB484">
        <f>Model!CJ643</f>
        <v>0</v>
      </c>
      <c r="CC484">
        <f>Model!CK643</f>
        <v>0</v>
      </c>
      <c r="CD484">
        <f>Model!CL643</f>
        <v>0</v>
      </c>
      <c r="CE484">
        <f>Model!CM643</f>
        <v>0</v>
      </c>
      <c r="CF484">
        <f>Model!CN643</f>
        <v>0</v>
      </c>
      <c r="CG484">
        <f>Model!CO643</f>
        <v>0</v>
      </c>
      <c r="CH484">
        <f>Model!CP643</f>
        <v>0</v>
      </c>
      <c r="CI484">
        <f>Model!CQ643</f>
        <v>0</v>
      </c>
      <c r="CJ484">
        <f>Model!CR643</f>
        <v>0</v>
      </c>
      <c r="CK484">
        <f>Model!CS643</f>
        <v>0</v>
      </c>
      <c r="CL484">
        <f>Model!CT643</f>
        <v>0</v>
      </c>
      <c r="CM484">
        <f>Model!CU643</f>
        <v>0</v>
      </c>
      <c r="CN484">
        <f>Model!CV643</f>
        <v>0</v>
      </c>
      <c r="CO484">
        <f>Model!CW643</f>
        <v>0</v>
      </c>
      <c r="CP484">
        <f>Model!CX643</f>
        <v>0</v>
      </c>
      <c r="CQ484">
        <f>Model!CY643</f>
        <v>0</v>
      </c>
      <c r="CR484">
        <f>Model!DG643</f>
        <v>0</v>
      </c>
      <c r="CS484">
        <f>Model!DH643</f>
        <v>0</v>
      </c>
      <c r="CT484">
        <f>Model!DI643</f>
        <v>0</v>
      </c>
      <c r="CU484">
        <f>Model!DJ643</f>
        <v>0</v>
      </c>
    </row>
    <row r="485" spans="1:99">
      <c r="A485" t="str">
        <f>Model!I644</f>
        <v>Operating Cash Flow</v>
      </c>
      <c r="B485">
        <f>Model!J644</f>
        <v>0</v>
      </c>
      <c r="C485">
        <f>Model!K644</f>
        <v>0</v>
      </c>
      <c r="D485">
        <f>Model!L644</f>
        <v>0</v>
      </c>
      <c r="E485">
        <f>Model!M644</f>
        <v>0</v>
      </c>
      <c r="F485">
        <f>Model!N644</f>
        <v>0</v>
      </c>
      <c r="G485">
        <f>Model!O644</f>
        <v>0</v>
      </c>
      <c r="H485">
        <f>Model!P644</f>
        <v>0</v>
      </c>
      <c r="I485">
        <f>Model!Q644</f>
        <v>0</v>
      </c>
      <c r="J485">
        <f>Model!R644</f>
        <v>0</v>
      </c>
      <c r="K485">
        <f>Model!S644</f>
        <v>0</v>
      </c>
      <c r="L485">
        <f>Model!T644</f>
        <v>0</v>
      </c>
      <c r="M485">
        <f>Model!U644</f>
        <v>0</v>
      </c>
      <c r="N485">
        <f>Model!V644</f>
        <v>0</v>
      </c>
      <c r="O485">
        <f>Model!W644</f>
        <v>0</v>
      </c>
      <c r="P485">
        <f>Model!X644</f>
        <v>0</v>
      </c>
      <c r="Q485">
        <f>Model!Y644</f>
        <v>0</v>
      </c>
      <c r="R485">
        <f>Model!Z644</f>
        <v>0</v>
      </c>
      <c r="S485">
        <f>Model!AA644</f>
        <v>0</v>
      </c>
      <c r="T485">
        <f>Model!AB644</f>
        <v>0</v>
      </c>
      <c r="U485">
        <f>Model!AC644</f>
        <v>0</v>
      </c>
      <c r="V485">
        <f>Model!AD644</f>
        <v>0</v>
      </c>
      <c r="W485">
        <f>Model!AE644</f>
        <v>0</v>
      </c>
      <c r="X485">
        <f>Model!AF644</f>
        <v>0</v>
      </c>
      <c r="Y485">
        <f>Model!AG644</f>
        <v>0</v>
      </c>
      <c r="Z485">
        <f>Model!AH644</f>
        <v>0</v>
      </c>
      <c r="AA485">
        <f>Model!AI644</f>
        <v>0</v>
      </c>
      <c r="AB485">
        <f>Model!AJ644</f>
        <v>0</v>
      </c>
      <c r="AC485">
        <f>Model!AK644</f>
        <v>0</v>
      </c>
      <c r="AD485">
        <f>Model!AL644</f>
        <v>0</v>
      </c>
      <c r="AE485">
        <f>Model!AM644</f>
        <v>0</v>
      </c>
      <c r="AF485">
        <f>Model!AN644</f>
        <v>0</v>
      </c>
      <c r="AG485">
        <f>Model!AO644</f>
        <v>0</v>
      </c>
      <c r="AH485">
        <f>Model!AP644</f>
        <v>0</v>
      </c>
      <c r="AI485">
        <f>Model!AQ644</f>
        <v>0</v>
      </c>
      <c r="AJ485">
        <f>Model!AR644</f>
        <v>0</v>
      </c>
      <c r="AK485">
        <f>Model!AS644</f>
        <v>0</v>
      </c>
      <c r="AL485">
        <f>Model!AT644</f>
        <v>0</v>
      </c>
      <c r="AM485">
        <f>Model!AU644</f>
        <v>0</v>
      </c>
      <c r="AN485">
        <f>Model!AV644</f>
        <v>0</v>
      </c>
      <c r="AO485">
        <f>Model!AW644</f>
        <v>0</v>
      </c>
      <c r="AP485">
        <f>Model!AX644</f>
        <v>0</v>
      </c>
      <c r="AQ485">
        <f>Model!AY644</f>
        <v>0</v>
      </c>
      <c r="AR485">
        <f>Model!AZ644</f>
        <v>0</v>
      </c>
      <c r="AS485">
        <f>Model!BA644</f>
        <v>0</v>
      </c>
      <c r="AT485">
        <f>Model!BB644</f>
        <v>0</v>
      </c>
      <c r="AU485">
        <f>Model!BC644</f>
        <v>0</v>
      </c>
      <c r="AV485">
        <f>Model!BD644</f>
        <v>0</v>
      </c>
      <c r="AW485">
        <f>Model!BE644</f>
        <v>0</v>
      </c>
      <c r="AX485">
        <f>Model!BF644</f>
        <v>0</v>
      </c>
      <c r="AY485">
        <f>Model!BG644</f>
        <v>0</v>
      </c>
      <c r="AZ485">
        <f>Model!BH644</f>
        <v>0</v>
      </c>
      <c r="BA485">
        <f>Model!BI644</f>
        <v>0</v>
      </c>
      <c r="BB485">
        <f>Model!BJ644</f>
        <v>0</v>
      </c>
      <c r="BC485">
        <f>Model!BK644</f>
        <v>0</v>
      </c>
      <c r="BD485">
        <f>Model!BL644</f>
        <v>0</v>
      </c>
      <c r="BE485">
        <f>Model!BM644</f>
        <v>0</v>
      </c>
      <c r="BF485">
        <f>Model!BN644</f>
        <v>0</v>
      </c>
      <c r="BG485">
        <f>Model!BO644</f>
        <v>0</v>
      </c>
      <c r="BH485">
        <f>Model!BP644</f>
        <v>0</v>
      </c>
      <c r="BI485">
        <f>Model!BQ644</f>
        <v>0</v>
      </c>
      <c r="BJ485">
        <f>Model!BR644</f>
        <v>0</v>
      </c>
      <c r="BK485">
        <f>Model!BS644</f>
        <v>0</v>
      </c>
      <c r="BL485">
        <f>Model!BT644</f>
        <v>0</v>
      </c>
      <c r="BM485">
        <f>Model!BU644</f>
        <v>0</v>
      </c>
      <c r="BN485">
        <f>Model!BV644</f>
        <v>0</v>
      </c>
      <c r="BO485">
        <f>Model!BW644</f>
        <v>0</v>
      </c>
      <c r="BP485">
        <f>Model!BX644</f>
        <v>0</v>
      </c>
      <c r="BQ485">
        <f>Model!BY644</f>
        <v>0</v>
      </c>
      <c r="BR485">
        <f>Model!BZ644</f>
        <v>0</v>
      </c>
      <c r="BS485">
        <f>Model!CA644</f>
        <v>0</v>
      </c>
      <c r="BT485">
        <f>Model!CB644</f>
        <v>0</v>
      </c>
      <c r="BU485">
        <f>Model!CC644</f>
        <v>0</v>
      </c>
      <c r="BV485">
        <f>Model!CD644</f>
        <v>0</v>
      </c>
      <c r="BW485">
        <f>Model!CE644</f>
        <v>0</v>
      </c>
      <c r="BX485">
        <f>Model!CF644</f>
        <v>0</v>
      </c>
      <c r="BY485">
        <f>Model!CG644</f>
        <v>0</v>
      </c>
      <c r="BZ485">
        <f>Model!CH644</f>
        <v>0</v>
      </c>
      <c r="CA485">
        <f>Model!CI644</f>
        <v>0</v>
      </c>
      <c r="CB485">
        <f>Model!CJ644</f>
        <v>0</v>
      </c>
      <c r="CC485">
        <f>Model!CK644</f>
        <v>0</v>
      </c>
      <c r="CD485">
        <f>Model!CL644</f>
        <v>0</v>
      </c>
      <c r="CE485">
        <f>Model!CM644</f>
        <v>0</v>
      </c>
      <c r="CF485">
        <f>Model!CN644</f>
        <v>0</v>
      </c>
      <c r="CG485">
        <f>Model!CO644</f>
        <v>0</v>
      </c>
      <c r="CH485">
        <f>Model!CP644</f>
        <v>0</v>
      </c>
      <c r="CI485">
        <f>Model!CQ644</f>
        <v>0</v>
      </c>
      <c r="CJ485">
        <f>Model!CR644</f>
        <v>0</v>
      </c>
      <c r="CK485">
        <f>Model!CS644</f>
        <v>0</v>
      </c>
      <c r="CL485">
        <f>Model!CT644</f>
        <v>0</v>
      </c>
      <c r="CM485">
        <f>Model!CU644</f>
        <v>0</v>
      </c>
      <c r="CN485">
        <f>Model!CV644</f>
        <v>0</v>
      </c>
      <c r="CO485">
        <f>Model!CW644</f>
        <v>0</v>
      </c>
      <c r="CP485">
        <f>Model!CX644</f>
        <v>0</v>
      </c>
      <c r="CQ485">
        <f>Model!CY644</f>
        <v>0</v>
      </c>
      <c r="CR485">
        <f>Model!DG644</f>
        <v>0</v>
      </c>
      <c r="CS485">
        <f>Model!DH644</f>
        <v>0</v>
      </c>
      <c r="CT485">
        <f>Model!DI644</f>
        <v>0</v>
      </c>
      <c r="CU485">
        <f>Model!DJ644</f>
        <v>0</v>
      </c>
    </row>
    <row r="486" spans="1:99">
      <c r="A486" t="str">
        <f>Model!I645</f>
        <v>Net Income</v>
      </c>
      <c r="B486">
        <f>Model!J645</f>
        <v>0</v>
      </c>
      <c r="C486">
        <f>Model!K645</f>
        <v>0</v>
      </c>
      <c r="D486">
        <f>Model!L645</f>
        <v>0</v>
      </c>
      <c r="E486">
        <f>Model!M645</f>
        <v>0</v>
      </c>
      <c r="F486">
        <f>Model!N645</f>
        <v>0</v>
      </c>
      <c r="G486">
        <f>Model!O645</f>
        <v>0</v>
      </c>
      <c r="H486">
        <f>Model!P645</f>
        <v>0</v>
      </c>
      <c r="I486">
        <f>Model!Q645</f>
        <v>0</v>
      </c>
      <c r="J486">
        <f>Model!R645</f>
        <v>0</v>
      </c>
      <c r="K486">
        <f>Model!S645</f>
        <v>0</v>
      </c>
      <c r="L486">
        <f>Model!T645</f>
        <v>0</v>
      </c>
      <c r="M486">
        <f>Model!U645</f>
        <v>0</v>
      </c>
      <c r="N486">
        <f>Model!V645</f>
        <v>0</v>
      </c>
      <c r="O486">
        <f>Model!W645</f>
        <v>0</v>
      </c>
      <c r="P486">
        <f>Model!X645</f>
        <v>0</v>
      </c>
      <c r="Q486">
        <f>Model!Y645</f>
        <v>0</v>
      </c>
      <c r="R486">
        <f>Model!Z645</f>
        <v>0</v>
      </c>
      <c r="S486">
        <f>Model!AA645</f>
        <v>0</v>
      </c>
      <c r="T486">
        <f>Model!AB645</f>
        <v>0</v>
      </c>
      <c r="U486">
        <f>Model!AC645</f>
        <v>0</v>
      </c>
      <c r="V486">
        <f>Model!AD645</f>
        <v>0</v>
      </c>
      <c r="W486">
        <f>Model!AE645</f>
        <v>0</v>
      </c>
      <c r="X486">
        <f>Model!AF645</f>
        <v>0</v>
      </c>
      <c r="Y486">
        <f>Model!AG645</f>
        <v>0</v>
      </c>
      <c r="Z486">
        <f>Model!AH645</f>
        <v>0</v>
      </c>
      <c r="AA486">
        <f>Model!AI645</f>
        <v>0</v>
      </c>
      <c r="AB486">
        <f>Model!AJ645</f>
        <v>0</v>
      </c>
      <c r="AC486">
        <f>Model!AK645</f>
        <v>0</v>
      </c>
      <c r="AD486">
        <f>Model!AL645</f>
        <v>0</v>
      </c>
      <c r="AE486">
        <f>Model!AM645</f>
        <v>0</v>
      </c>
      <c r="AF486">
        <f>Model!AN645</f>
        <v>0</v>
      </c>
      <c r="AG486">
        <f>Model!AO645</f>
        <v>0</v>
      </c>
      <c r="AH486">
        <f>Model!AP645</f>
        <v>0</v>
      </c>
      <c r="AI486">
        <f>Model!AQ645</f>
        <v>0</v>
      </c>
      <c r="AJ486">
        <f>Model!AR645</f>
        <v>0</v>
      </c>
      <c r="AK486">
        <f>Model!AS645</f>
        <v>0</v>
      </c>
      <c r="AL486">
        <f>Model!AT645</f>
        <v>0</v>
      </c>
      <c r="AM486">
        <f>Model!AU645</f>
        <v>0</v>
      </c>
      <c r="AN486">
        <f>Model!AV645</f>
        <v>0</v>
      </c>
      <c r="AO486">
        <f>Model!AW645</f>
        <v>0</v>
      </c>
      <c r="AP486">
        <f>Model!AX645</f>
        <v>0</v>
      </c>
      <c r="AQ486">
        <f>Model!AY645</f>
        <v>0</v>
      </c>
      <c r="AR486">
        <f>Model!AZ645</f>
        <v>0</v>
      </c>
      <c r="AS486">
        <f>Model!BA645</f>
        <v>104.01300000000001</v>
      </c>
      <c r="AT486">
        <f>Model!BB645</f>
        <v>256.27800000000002</v>
      </c>
      <c r="AU486">
        <f>Model!BC645</f>
        <v>472.8839999999999</v>
      </c>
      <c r="AV486">
        <f>Model!BD645</f>
        <v>225.95600000000016</v>
      </c>
      <c r="AW486">
        <f>Model!BE645</f>
        <v>181.816</v>
      </c>
      <c r="AX486">
        <f>Model!BF645</f>
        <v>352.654</v>
      </c>
      <c r="AY486">
        <f>Model!BG645</f>
        <v>599.97199999999998</v>
      </c>
      <c r="AZ486">
        <f>Model!BH645</f>
        <v>289.59500000000003</v>
      </c>
      <c r="BA486">
        <f>Model!BI645</f>
        <v>244.292</v>
      </c>
      <c r="BB486">
        <f>Model!BJ645</f>
        <v>437.43999999999994</v>
      </c>
      <c r="BC486">
        <f>Model!BK645</f>
        <v>832.98899999999992</v>
      </c>
      <c r="BD486">
        <f>Model!BL645</f>
        <v>378.07700000000023</v>
      </c>
      <c r="BE486">
        <f>Model!BM645</f>
        <v>331.21800000000002</v>
      </c>
      <c r="BF486">
        <f>Model!BN645</f>
        <v>576.45100000000002</v>
      </c>
      <c r="BG486">
        <f>Model!BO645</f>
        <v>1062.2529999999999</v>
      </c>
      <c r="BH486">
        <f>Model!BP645</f>
        <v>451.83100000000019</v>
      </c>
      <c r="BI486">
        <f>Model!BQ645</f>
        <v>333.327</v>
      </c>
      <c r="BJ486">
        <f>Model!BR645</f>
        <v>517.03200000000004</v>
      </c>
      <c r="BK486">
        <f>Model!BS645</f>
        <v>1196.7319999999997</v>
      </c>
      <c r="BL486">
        <f>Model!BT645</f>
        <v>504.26900000000035</v>
      </c>
      <c r="BM486">
        <f>Model!BU645</f>
        <v>374.42399999999998</v>
      </c>
      <c r="BN486">
        <f>Model!BV645</f>
        <v>580.63800000000003</v>
      </c>
      <c r="BO486">
        <f>Model!BW645</f>
        <v>506.01699999999994</v>
      </c>
      <c r="BP486">
        <f>Model!BX645</f>
        <v>673.90800000000036</v>
      </c>
      <c r="BQ486">
        <f>Model!BY645</f>
        <v>455.62299999999999</v>
      </c>
      <c r="BR486">
        <f>Model!BZ645</f>
        <v>720.20900000000006</v>
      </c>
      <c r="BS486">
        <f>Model!CA645</f>
        <v>1720.3910000000001</v>
      </c>
      <c r="BT486">
        <f>Model!CB645</f>
        <v>-555.45800000000031</v>
      </c>
      <c r="BU486">
        <f>Model!CC645</f>
        <v>519.47269697734828</v>
      </c>
      <c r="BV486">
        <f>Model!CD645</f>
        <v>882.43727307410677</v>
      </c>
      <c r="BW486">
        <f>Model!CE645</f>
        <v>1961.734213156795</v>
      </c>
      <c r="BX486">
        <f>Model!CF645</f>
        <v>1011.2590456727887</v>
      </c>
      <c r="BY486">
        <f>Model!CG645</f>
        <v>0</v>
      </c>
      <c r="BZ486">
        <f>Model!CH645</f>
        <v>0</v>
      </c>
      <c r="CA486">
        <f>Model!CI645</f>
        <v>0</v>
      </c>
      <c r="CB486">
        <f>Model!CJ645</f>
        <v>0</v>
      </c>
      <c r="CC486">
        <f>Model!CK645</f>
        <v>0</v>
      </c>
      <c r="CD486">
        <f>Model!CL645</f>
        <v>0</v>
      </c>
      <c r="CE486">
        <f>Model!CM645</f>
        <v>0</v>
      </c>
      <c r="CF486">
        <f>Model!CN645</f>
        <v>0</v>
      </c>
      <c r="CG486">
        <f>Model!CO645</f>
        <v>0</v>
      </c>
      <c r="CH486">
        <f>Model!CP645</f>
        <v>0</v>
      </c>
      <c r="CI486">
        <f>Model!CQ645</f>
        <v>528.14200000000005</v>
      </c>
      <c r="CJ486">
        <f>Model!CR645</f>
        <v>1059.1310000000001</v>
      </c>
      <c r="CK486">
        <f>Model!CS645</f>
        <v>1424.037</v>
      </c>
      <c r="CL486">
        <f>Model!CT645</f>
        <v>1892.7980000000002</v>
      </c>
      <c r="CM486">
        <f>Model!CU645</f>
        <v>2421.7530000000002</v>
      </c>
      <c r="CN486">
        <f>Model!CV645</f>
        <v>2551.36</v>
      </c>
      <c r="CO486">
        <f>Model!CW645</f>
        <v>2134.9870000000001</v>
      </c>
      <c r="CP486">
        <f>Model!CX645</f>
        <v>2340.7649999999999</v>
      </c>
      <c r="CQ486">
        <f>Model!CY645</f>
        <v>4374.9032288810386</v>
      </c>
      <c r="CR486">
        <f>Model!DG645</f>
        <v>0</v>
      </c>
      <c r="CS486">
        <f>Model!DH645</f>
        <v>0</v>
      </c>
      <c r="CT486">
        <f>Model!DI645</f>
        <v>0</v>
      </c>
      <c r="CU486">
        <f>Model!DJ645</f>
        <v>0</v>
      </c>
    </row>
    <row r="487" spans="1:99">
      <c r="A487" t="str">
        <f>Model!I646</f>
        <v>Adjustments:</v>
      </c>
      <c r="B487">
        <f>Model!J646</f>
        <v>0</v>
      </c>
      <c r="C487">
        <f>Model!K646</f>
        <v>0</v>
      </c>
      <c r="D487">
        <f>Model!L646</f>
        <v>0</v>
      </c>
      <c r="E487">
        <f>Model!M646</f>
        <v>0</v>
      </c>
      <c r="F487">
        <f>Model!N646</f>
        <v>0</v>
      </c>
      <c r="G487">
        <f>Model!O646</f>
        <v>0</v>
      </c>
      <c r="H487">
        <f>Model!P646</f>
        <v>0</v>
      </c>
      <c r="I487">
        <f>Model!Q646</f>
        <v>0</v>
      </c>
      <c r="J487">
        <f>Model!R646</f>
        <v>0</v>
      </c>
      <c r="K487">
        <f>Model!S646</f>
        <v>0</v>
      </c>
      <c r="L487">
        <f>Model!T646</f>
        <v>0</v>
      </c>
      <c r="M487">
        <f>Model!U646</f>
        <v>0</v>
      </c>
      <c r="N487">
        <f>Model!V646</f>
        <v>0</v>
      </c>
      <c r="O487">
        <f>Model!W646</f>
        <v>0</v>
      </c>
      <c r="P487">
        <f>Model!X646</f>
        <v>0</v>
      </c>
      <c r="Q487">
        <f>Model!Y646</f>
        <v>0</v>
      </c>
      <c r="R487">
        <f>Model!Z646</f>
        <v>0</v>
      </c>
      <c r="S487">
        <f>Model!AA646</f>
        <v>0</v>
      </c>
      <c r="T487">
        <f>Model!AB646</f>
        <v>0</v>
      </c>
      <c r="U487">
        <f>Model!AC646</f>
        <v>0</v>
      </c>
      <c r="V487">
        <f>Model!AD646</f>
        <v>0</v>
      </c>
      <c r="W487">
        <f>Model!AE646</f>
        <v>0</v>
      </c>
      <c r="X487">
        <f>Model!AF646</f>
        <v>0</v>
      </c>
      <c r="Y487">
        <f>Model!AG646</f>
        <v>0</v>
      </c>
      <c r="Z487">
        <f>Model!AH646</f>
        <v>0</v>
      </c>
      <c r="AA487">
        <f>Model!AI646</f>
        <v>0</v>
      </c>
      <c r="AB487">
        <f>Model!AJ646</f>
        <v>0</v>
      </c>
      <c r="AC487">
        <f>Model!AK646</f>
        <v>0</v>
      </c>
      <c r="AD487">
        <f>Model!AL646</f>
        <v>0</v>
      </c>
      <c r="AE487">
        <f>Model!AM646</f>
        <v>0</v>
      </c>
      <c r="AF487">
        <f>Model!AN646</f>
        <v>0</v>
      </c>
      <c r="AG487">
        <f>Model!AO646</f>
        <v>0</v>
      </c>
      <c r="AH487">
        <f>Model!AP646</f>
        <v>0</v>
      </c>
      <c r="AI487">
        <f>Model!AQ646</f>
        <v>0</v>
      </c>
      <c r="AJ487">
        <f>Model!AR646</f>
        <v>0</v>
      </c>
      <c r="AK487">
        <f>Model!AS646</f>
        <v>0</v>
      </c>
      <c r="AL487">
        <f>Model!AT646</f>
        <v>0</v>
      </c>
      <c r="AM487">
        <f>Model!AU646</f>
        <v>0</v>
      </c>
      <c r="AN487">
        <f>Model!AV646</f>
        <v>0</v>
      </c>
      <c r="AO487">
        <f>Model!AW646</f>
        <v>0</v>
      </c>
      <c r="AP487">
        <f>Model!AX646</f>
        <v>0</v>
      </c>
      <c r="AQ487">
        <f>Model!AY646</f>
        <v>0</v>
      </c>
      <c r="AR487">
        <f>Model!AZ646</f>
        <v>0</v>
      </c>
      <c r="AS487">
        <f>Model!BA646</f>
        <v>0</v>
      </c>
      <c r="AT487">
        <f>Model!BB646</f>
        <v>0</v>
      </c>
      <c r="AU487">
        <f>Model!BC646</f>
        <v>0</v>
      </c>
      <c r="AV487">
        <f>Model!BD646</f>
        <v>0</v>
      </c>
      <c r="AW487">
        <f>Model!BE646</f>
        <v>0</v>
      </c>
      <c r="AX487">
        <f>Model!BF646</f>
        <v>0</v>
      </c>
      <c r="AY487">
        <f>Model!BG646</f>
        <v>0</v>
      </c>
      <c r="AZ487">
        <f>Model!BH646</f>
        <v>0</v>
      </c>
      <c r="BA487">
        <f>Model!BI646</f>
        <v>0</v>
      </c>
      <c r="BB487">
        <f>Model!BJ646</f>
        <v>0</v>
      </c>
      <c r="BC487">
        <f>Model!BK646</f>
        <v>0</v>
      </c>
      <c r="BD487">
        <f>Model!BL646</f>
        <v>0</v>
      </c>
      <c r="BE487">
        <f>Model!BM646</f>
        <v>0</v>
      </c>
      <c r="BF487">
        <f>Model!BN646</f>
        <v>0</v>
      </c>
      <c r="BG487">
        <f>Model!BO646</f>
        <v>0</v>
      </c>
      <c r="BH487">
        <f>Model!BP646</f>
        <v>0</v>
      </c>
      <c r="BI487">
        <f>Model!BQ646</f>
        <v>0</v>
      </c>
      <c r="BJ487">
        <f>Model!BR646</f>
        <v>0</v>
      </c>
      <c r="BK487">
        <f>Model!BS646</f>
        <v>0</v>
      </c>
      <c r="BL487">
        <f>Model!BT646</f>
        <v>0</v>
      </c>
      <c r="BM487">
        <f>Model!BU646</f>
        <v>0</v>
      </c>
      <c r="BN487">
        <f>Model!BV646</f>
        <v>0</v>
      </c>
      <c r="BO487">
        <f>Model!BW646</f>
        <v>0</v>
      </c>
      <c r="BP487">
        <f>Model!BX646</f>
        <v>0</v>
      </c>
      <c r="BQ487">
        <f>Model!BY646</f>
        <v>0</v>
      </c>
      <c r="BR487">
        <f>Model!BZ646</f>
        <v>0</v>
      </c>
      <c r="BS487">
        <f>Model!CA646</f>
        <v>0</v>
      </c>
      <c r="BT487">
        <f>Model!CB646</f>
        <v>0</v>
      </c>
      <c r="BU487">
        <f>Model!CC646</f>
        <v>0</v>
      </c>
      <c r="BV487">
        <f>Model!CD646</f>
        <v>0</v>
      </c>
      <c r="BW487">
        <f>Model!CE646</f>
        <v>0</v>
      </c>
      <c r="BX487">
        <f>Model!CF646</f>
        <v>0</v>
      </c>
      <c r="BY487">
        <f>Model!CG646</f>
        <v>0</v>
      </c>
      <c r="BZ487">
        <f>Model!CH646</f>
        <v>0</v>
      </c>
      <c r="CA487">
        <f>Model!CI646</f>
        <v>0</v>
      </c>
      <c r="CB487">
        <f>Model!CJ646</f>
        <v>0</v>
      </c>
      <c r="CC487">
        <f>Model!CK646</f>
        <v>0</v>
      </c>
      <c r="CD487">
        <f>Model!CL646</f>
        <v>0</v>
      </c>
      <c r="CE487">
        <f>Model!CM646</f>
        <v>0</v>
      </c>
      <c r="CF487">
        <f>Model!CN646</f>
        <v>0</v>
      </c>
      <c r="CG487">
        <f>Model!CO646</f>
        <v>0</v>
      </c>
      <c r="CH487">
        <f>Model!CP646</f>
        <v>0</v>
      </c>
      <c r="CI487">
        <f>Model!CQ646</f>
        <v>0</v>
      </c>
      <c r="CJ487">
        <f>Model!CR646</f>
        <v>0</v>
      </c>
      <c r="CK487">
        <f>Model!CS646</f>
        <v>0</v>
      </c>
      <c r="CL487">
        <f>Model!CT646</f>
        <v>0</v>
      </c>
      <c r="CM487">
        <f>Model!CU646</f>
        <v>0</v>
      </c>
      <c r="CN487">
        <f>Model!CV646</f>
        <v>0</v>
      </c>
      <c r="CO487">
        <f>Model!CW646</f>
        <v>0</v>
      </c>
      <c r="CP487">
        <f>Model!CX646</f>
        <v>0</v>
      </c>
      <c r="CQ487">
        <f>Model!CY646</f>
        <v>0</v>
      </c>
      <c r="CR487">
        <f>Model!DG646</f>
        <v>0</v>
      </c>
      <c r="CS487">
        <f>Model!DH646</f>
        <v>0</v>
      </c>
      <c r="CT487">
        <f>Model!DI646</f>
        <v>0</v>
      </c>
      <c r="CU487">
        <f>Model!DJ646</f>
        <v>0</v>
      </c>
    </row>
    <row r="488" spans="1:99">
      <c r="A488" t="str">
        <f>Model!I647</f>
        <v>Depreciation</v>
      </c>
      <c r="B488">
        <f>Model!J647</f>
        <v>0</v>
      </c>
      <c r="C488">
        <f>Model!K647</f>
        <v>0</v>
      </c>
      <c r="D488">
        <f>Model!L647</f>
        <v>0</v>
      </c>
      <c r="E488">
        <f>Model!M647</f>
        <v>0</v>
      </c>
      <c r="F488">
        <f>Model!N647</f>
        <v>0</v>
      </c>
      <c r="G488">
        <f>Model!O647</f>
        <v>0</v>
      </c>
      <c r="H488">
        <f>Model!P647</f>
        <v>0</v>
      </c>
      <c r="I488">
        <f>Model!Q647</f>
        <v>0</v>
      </c>
      <c r="J488">
        <f>Model!R647</f>
        <v>0</v>
      </c>
      <c r="K488">
        <f>Model!S647</f>
        <v>0</v>
      </c>
      <c r="L488">
        <f>Model!T647</f>
        <v>0</v>
      </c>
      <c r="M488">
        <f>Model!U647</f>
        <v>0</v>
      </c>
      <c r="N488">
        <f>Model!V647</f>
        <v>0</v>
      </c>
      <c r="O488">
        <f>Model!W647</f>
        <v>0</v>
      </c>
      <c r="P488">
        <f>Model!X647</f>
        <v>0</v>
      </c>
      <c r="Q488">
        <f>Model!Y647</f>
        <v>0</v>
      </c>
      <c r="R488">
        <f>Model!Z647</f>
        <v>0</v>
      </c>
      <c r="S488">
        <f>Model!AA647</f>
        <v>0</v>
      </c>
      <c r="T488">
        <f>Model!AB647</f>
        <v>0</v>
      </c>
      <c r="U488">
        <f>Model!AC647</f>
        <v>0</v>
      </c>
      <c r="V488">
        <f>Model!AD647</f>
        <v>0</v>
      </c>
      <c r="W488">
        <f>Model!AE647</f>
        <v>0</v>
      </c>
      <c r="X488">
        <f>Model!AF647</f>
        <v>0</v>
      </c>
      <c r="Y488">
        <f>Model!AG647</f>
        <v>0</v>
      </c>
      <c r="Z488">
        <f>Model!AH647</f>
        <v>0</v>
      </c>
      <c r="AA488">
        <f>Model!AI647</f>
        <v>0</v>
      </c>
      <c r="AB488">
        <f>Model!AJ647</f>
        <v>0</v>
      </c>
      <c r="AC488">
        <f>Model!AK647</f>
        <v>0</v>
      </c>
      <c r="AD488">
        <f>Model!AL647</f>
        <v>0</v>
      </c>
      <c r="AE488">
        <f>Model!AM647</f>
        <v>0</v>
      </c>
      <c r="AF488">
        <f>Model!AN647</f>
        <v>0</v>
      </c>
      <c r="AG488">
        <f>Model!AO647</f>
        <v>0</v>
      </c>
      <c r="AH488">
        <f>Model!AP647</f>
        <v>0</v>
      </c>
      <c r="AI488">
        <f>Model!AQ647</f>
        <v>0</v>
      </c>
      <c r="AJ488">
        <f>Model!AR647</f>
        <v>0</v>
      </c>
      <c r="AK488">
        <f>Model!AS647</f>
        <v>0</v>
      </c>
      <c r="AL488">
        <f>Model!AT647</f>
        <v>0</v>
      </c>
      <c r="AM488">
        <f>Model!AU647</f>
        <v>0</v>
      </c>
      <c r="AN488">
        <f>Model!AV647</f>
        <v>0</v>
      </c>
      <c r="AO488">
        <f>Model!AW647</f>
        <v>0</v>
      </c>
      <c r="AP488">
        <f>Model!AX647</f>
        <v>0</v>
      </c>
      <c r="AQ488">
        <f>Model!AY647</f>
        <v>0</v>
      </c>
      <c r="AR488">
        <f>Model!AZ647</f>
        <v>0</v>
      </c>
      <c r="AS488">
        <f>Model!BA647</f>
        <v>4.1660000000000004</v>
      </c>
      <c r="AT488">
        <f>Model!BB647</f>
        <v>5.0589999999999993</v>
      </c>
      <c r="AU488">
        <f>Model!BC647</f>
        <v>5.5760000000000005</v>
      </c>
      <c r="AV488">
        <f>Model!BD647</f>
        <v>5.8469999999999995</v>
      </c>
      <c r="AW488">
        <f>Model!BE647</f>
        <v>7.6849999999999996</v>
      </c>
      <c r="AX488">
        <f>Model!BF647</f>
        <v>7.4650000000000007</v>
      </c>
      <c r="AY488">
        <f>Model!BG647</f>
        <v>8.1710000000000029</v>
      </c>
      <c r="AZ488">
        <f>Model!BH647</f>
        <v>9.4969999999999963</v>
      </c>
      <c r="BA488">
        <f>Model!BI647</f>
        <v>9.8019999999999996</v>
      </c>
      <c r="BB488">
        <f>Model!BJ647</f>
        <v>11.266000000000002</v>
      </c>
      <c r="BC488">
        <f>Model!BK647</f>
        <v>12.897000000000002</v>
      </c>
      <c r="BD488">
        <f>Model!BL647</f>
        <v>14.400000000000002</v>
      </c>
      <c r="BE488">
        <f>Model!BM647</f>
        <v>15.552</v>
      </c>
      <c r="BF488">
        <f>Model!BN647</f>
        <v>17.337000000000003</v>
      </c>
      <c r="BG488">
        <f>Model!BO647</f>
        <v>21.814999999999998</v>
      </c>
      <c r="BH488">
        <f>Model!BP647</f>
        <v>23.536999999999999</v>
      </c>
      <c r="BI488">
        <f>Model!BQ647</f>
        <v>21.673999999999999</v>
      </c>
      <c r="BJ488">
        <f>Model!BR647</f>
        <v>25.021000000000001</v>
      </c>
      <c r="BK488">
        <f>Model!BS647</f>
        <v>26.824999999999996</v>
      </c>
      <c r="BL488">
        <f>Model!BT647</f>
        <v>27.997000000000007</v>
      </c>
      <c r="BM488">
        <f>Model!BU647</f>
        <v>30.486000000000001</v>
      </c>
      <c r="BN488">
        <f>Model!BV647</f>
        <v>34.670999999999992</v>
      </c>
      <c r="BO488">
        <f>Model!BW647</f>
        <v>36.796000000000006</v>
      </c>
      <c r="BP488">
        <f>Model!BX647</f>
        <v>38.105999999999995</v>
      </c>
      <c r="BQ488">
        <f>Model!BY647</f>
        <v>40.411999999999999</v>
      </c>
      <c r="BR488">
        <f>Model!BZ647</f>
        <v>44.711000000000006</v>
      </c>
      <c r="BS488">
        <f>Model!CA647</f>
        <v>50.612999999999978</v>
      </c>
      <c r="BT488">
        <f>Model!CB647</f>
        <v>51.495000000000012</v>
      </c>
      <c r="BU488">
        <f>Model!CC647</f>
        <v>54.865422558556318</v>
      </c>
      <c r="BV488">
        <f>Model!CD647</f>
        <v>60.770257247692818</v>
      </c>
      <c r="BW488">
        <f>Model!CE647</f>
        <v>65.303793061066244</v>
      </c>
      <c r="BX488">
        <f>Model!CF647</f>
        <v>70.194950400720117</v>
      </c>
      <c r="BY488">
        <f>Model!CG647</f>
        <v>0</v>
      </c>
      <c r="BZ488">
        <f>Model!CH647</f>
        <v>0</v>
      </c>
      <c r="CA488">
        <f>Model!CI647</f>
        <v>0</v>
      </c>
      <c r="CB488">
        <f>Model!CJ647</f>
        <v>0</v>
      </c>
      <c r="CC488">
        <f>Model!CK647</f>
        <v>0</v>
      </c>
      <c r="CD488">
        <f>Model!CL647</f>
        <v>0</v>
      </c>
      <c r="CE488">
        <f>Model!CM647</f>
        <v>0</v>
      </c>
      <c r="CF488">
        <f>Model!CN647</f>
        <v>0</v>
      </c>
      <c r="CG488">
        <f>Model!CO647</f>
        <v>0</v>
      </c>
      <c r="CH488">
        <f>Model!CP647</f>
        <v>0</v>
      </c>
      <c r="CI488">
        <f>Model!CQ647</f>
        <v>16.2029</v>
      </c>
      <c r="CJ488">
        <f>Model!CR647</f>
        <v>20.648</v>
      </c>
      <c r="CK488">
        <f>Model!CS647</f>
        <v>32.817999999999998</v>
      </c>
      <c r="CL488">
        <f>Model!CT647</f>
        <v>48.365000000000009</v>
      </c>
      <c r="CM488">
        <f>Model!CU647</f>
        <v>78.241</v>
      </c>
      <c r="CN488">
        <f>Model!CV647</f>
        <v>101.517</v>
      </c>
      <c r="CO488">
        <f>Model!CW647</f>
        <v>140.059</v>
      </c>
      <c r="CP488">
        <f>Model!CX647</f>
        <v>187.23099999999999</v>
      </c>
      <c r="CQ488">
        <f>Model!CY647</f>
        <v>251.1344232680355</v>
      </c>
      <c r="CR488">
        <f>Model!DG647</f>
        <v>0</v>
      </c>
      <c r="CS488">
        <f>Model!DH647</f>
        <v>0</v>
      </c>
      <c r="CT488">
        <f>Model!DI647</f>
        <v>0</v>
      </c>
      <c r="CU488">
        <f>Model!DJ647</f>
        <v>0</v>
      </c>
    </row>
    <row r="489" spans="1:99">
      <c r="A489" t="str">
        <f>Model!I648</f>
        <v>Amortization</v>
      </c>
      <c r="B489">
        <f>Model!J648</f>
        <v>0</v>
      </c>
      <c r="C489">
        <f>Model!K648</f>
        <v>0</v>
      </c>
      <c r="D489">
        <f>Model!L648</f>
        <v>0</v>
      </c>
      <c r="E489">
        <f>Model!M648</f>
        <v>0</v>
      </c>
      <c r="F489">
        <f>Model!N648</f>
        <v>0</v>
      </c>
      <c r="G489">
        <f>Model!O648</f>
        <v>0</v>
      </c>
      <c r="H489">
        <f>Model!P648</f>
        <v>0</v>
      </c>
      <c r="I489">
        <f>Model!Q648</f>
        <v>0</v>
      </c>
      <c r="J489">
        <f>Model!R648</f>
        <v>0</v>
      </c>
      <c r="K489">
        <f>Model!S648</f>
        <v>0</v>
      </c>
      <c r="L489">
        <f>Model!T648</f>
        <v>0</v>
      </c>
      <c r="M489">
        <f>Model!U648</f>
        <v>0</v>
      </c>
      <c r="N489">
        <f>Model!V648</f>
        <v>0</v>
      </c>
      <c r="O489">
        <f>Model!W648</f>
        <v>0</v>
      </c>
      <c r="P489">
        <f>Model!X648</f>
        <v>0</v>
      </c>
      <c r="Q489">
        <f>Model!Y648</f>
        <v>0</v>
      </c>
      <c r="R489">
        <f>Model!Z648</f>
        <v>0</v>
      </c>
      <c r="S489">
        <f>Model!AA648</f>
        <v>0</v>
      </c>
      <c r="T489">
        <f>Model!AB648</f>
        <v>0</v>
      </c>
      <c r="U489">
        <f>Model!AC648</f>
        <v>0</v>
      </c>
      <c r="V489">
        <f>Model!AD648</f>
        <v>0</v>
      </c>
      <c r="W489">
        <f>Model!AE648</f>
        <v>0</v>
      </c>
      <c r="X489">
        <f>Model!AF648</f>
        <v>0</v>
      </c>
      <c r="Y489">
        <f>Model!AG648</f>
        <v>0</v>
      </c>
      <c r="Z489">
        <f>Model!AH648</f>
        <v>0</v>
      </c>
      <c r="AA489">
        <f>Model!AI648</f>
        <v>0</v>
      </c>
      <c r="AB489">
        <f>Model!AJ648</f>
        <v>0</v>
      </c>
      <c r="AC489">
        <f>Model!AK648</f>
        <v>0</v>
      </c>
      <c r="AD489">
        <f>Model!AL648</f>
        <v>0</v>
      </c>
      <c r="AE489">
        <f>Model!AM648</f>
        <v>0</v>
      </c>
      <c r="AF489">
        <f>Model!AN648</f>
        <v>0</v>
      </c>
      <c r="AG489">
        <f>Model!AO648</f>
        <v>0</v>
      </c>
      <c r="AH489">
        <f>Model!AP648</f>
        <v>0</v>
      </c>
      <c r="AI489">
        <f>Model!AQ648</f>
        <v>0</v>
      </c>
      <c r="AJ489">
        <f>Model!AR648</f>
        <v>0</v>
      </c>
      <c r="AK489">
        <f>Model!AS648</f>
        <v>0</v>
      </c>
      <c r="AL489">
        <f>Model!AT648</f>
        <v>0</v>
      </c>
      <c r="AM489">
        <f>Model!AU648</f>
        <v>0</v>
      </c>
      <c r="AN489">
        <f>Model!AV648</f>
        <v>0</v>
      </c>
      <c r="AO489">
        <f>Model!AW648</f>
        <v>0</v>
      </c>
      <c r="AP489">
        <f>Model!AX648</f>
        <v>0</v>
      </c>
      <c r="AQ489">
        <f>Model!AY648</f>
        <v>0</v>
      </c>
      <c r="AR489">
        <f>Model!AZ648</f>
        <v>0</v>
      </c>
      <c r="AS489">
        <f>Model!BA648</f>
        <v>8.3130000000000006</v>
      </c>
      <c r="AT489">
        <f>Model!BB648</f>
        <v>8.5920000000000005</v>
      </c>
      <c r="AU489">
        <f>Model!BC648</f>
        <v>8.381000000000002</v>
      </c>
      <c r="AV489">
        <f>Model!BD648</f>
        <v>7.8900000000000023</v>
      </c>
      <c r="AW489">
        <f>Model!BE648</f>
        <v>8.157</v>
      </c>
      <c r="AX489">
        <f>Model!BF648</f>
        <v>8.1980000000000004</v>
      </c>
      <c r="AY489">
        <f>Model!BG648</f>
        <v>7.8369999999999997</v>
      </c>
      <c r="AZ489">
        <f>Model!BH648</f>
        <v>8.1310000000000002</v>
      </c>
      <c r="BA489">
        <f>Model!BI648</f>
        <v>9.2780000000000005</v>
      </c>
      <c r="BB489">
        <f>Model!BJ648</f>
        <v>14.761000000000001</v>
      </c>
      <c r="BC489">
        <f>Model!BK648</f>
        <v>22.85</v>
      </c>
      <c r="BD489">
        <f>Model!BL648</f>
        <v>22.720999999999997</v>
      </c>
      <c r="BE489">
        <f>Model!BM648</f>
        <v>22.824000000000002</v>
      </c>
      <c r="BF489">
        <f>Model!BN648</f>
        <v>22.95</v>
      </c>
      <c r="BG489">
        <f>Model!BO648</f>
        <v>35.784000000000006</v>
      </c>
      <c r="BH489">
        <f>Model!BP648</f>
        <v>48.021000000000001</v>
      </c>
      <c r="BI489">
        <f>Model!BQ648</f>
        <v>43.328000000000003</v>
      </c>
      <c r="BJ489">
        <f>Model!BR648</f>
        <v>42.652999999999992</v>
      </c>
      <c r="BK489">
        <f>Model!BS648</f>
        <v>42.229000000000013</v>
      </c>
      <c r="BL489">
        <f>Model!BT648</f>
        <v>42.766999999999996</v>
      </c>
      <c r="BM489">
        <f>Model!BU648</f>
        <v>42.384999999999998</v>
      </c>
      <c r="BN489">
        <f>Model!BV648</f>
        <v>43.041000000000004</v>
      </c>
      <c r="BO489">
        <f>Model!BW648</f>
        <v>41.949000000000005</v>
      </c>
      <c r="BP489">
        <f>Model!BX648</f>
        <v>41.700999999999986</v>
      </c>
      <c r="BQ489">
        <f>Model!BY648</f>
        <v>43.018000000000001</v>
      </c>
      <c r="BR489">
        <f>Model!BZ648</f>
        <v>41.161000000000001</v>
      </c>
      <c r="BS489">
        <f>Model!CA648</f>
        <v>45.296999999999997</v>
      </c>
      <c r="BT489">
        <f>Model!CB648</f>
        <v>46.067000000000007</v>
      </c>
      <c r="BU489">
        <f>Model!CC648</f>
        <v>43.018000000000001</v>
      </c>
      <c r="BV489">
        <f>Model!CD648</f>
        <v>41.161000000000001</v>
      </c>
      <c r="BW489">
        <f>Model!CE648</f>
        <v>45.296999999999997</v>
      </c>
      <c r="BX489">
        <f>Model!CF648</f>
        <v>46.067</v>
      </c>
      <c r="BY489">
        <f>Model!CG648</f>
        <v>0</v>
      </c>
      <c r="BZ489">
        <f>Model!CH648</f>
        <v>0</v>
      </c>
      <c r="CA489">
        <f>Model!CI648</f>
        <v>0</v>
      </c>
      <c r="CB489">
        <f>Model!CJ648</f>
        <v>0</v>
      </c>
      <c r="CC489">
        <f>Model!CK648</f>
        <v>0</v>
      </c>
      <c r="CD489">
        <f>Model!CL648</f>
        <v>0</v>
      </c>
      <c r="CE489">
        <f>Model!CM648</f>
        <v>0</v>
      </c>
      <c r="CF489">
        <f>Model!CN648</f>
        <v>0</v>
      </c>
      <c r="CG489">
        <f>Model!CO648</f>
        <v>0</v>
      </c>
      <c r="CH489">
        <f>Model!CP648</f>
        <v>0</v>
      </c>
      <c r="CI489">
        <f>Model!CQ648</f>
        <v>34.255000000000003</v>
      </c>
      <c r="CJ489">
        <f>Model!CR648</f>
        <v>33.176000000000002</v>
      </c>
      <c r="CK489">
        <f>Model!CS648</f>
        <v>32.323</v>
      </c>
      <c r="CL489">
        <f>Model!CT648</f>
        <v>69.61</v>
      </c>
      <c r="CM489">
        <f>Model!CU648</f>
        <v>129.57900000000001</v>
      </c>
      <c r="CN489">
        <f>Model!CV648</f>
        <v>170.977</v>
      </c>
      <c r="CO489">
        <f>Model!CW648</f>
        <v>169.07599999999999</v>
      </c>
      <c r="CP489">
        <f>Model!CX648</f>
        <v>175.54300000000001</v>
      </c>
      <c r="CQ489">
        <f>Model!CY648</f>
        <v>175.54300000000001</v>
      </c>
      <c r="CR489">
        <f>Model!DG648</f>
        <v>0</v>
      </c>
      <c r="CS489">
        <f>Model!DH648</f>
        <v>0</v>
      </c>
      <c r="CT489">
        <f>Model!DI648</f>
        <v>0</v>
      </c>
      <c r="CU489">
        <f>Model!DJ648</f>
        <v>0</v>
      </c>
    </row>
    <row r="490" spans="1:99">
      <c r="A490" t="str">
        <f>Model!I649</f>
        <v>Provision for Uncollectible Accounts</v>
      </c>
      <c r="B490">
        <f>Model!J649</f>
        <v>0</v>
      </c>
      <c r="C490">
        <f>Model!K649</f>
        <v>0</v>
      </c>
      <c r="D490">
        <f>Model!L649</f>
        <v>0</v>
      </c>
      <c r="E490">
        <f>Model!M649</f>
        <v>0</v>
      </c>
      <c r="F490">
        <f>Model!N649</f>
        <v>0</v>
      </c>
      <c r="G490">
        <f>Model!O649</f>
        <v>0</v>
      </c>
      <c r="H490">
        <f>Model!P649</f>
        <v>0</v>
      </c>
      <c r="I490">
        <f>Model!Q649</f>
        <v>0</v>
      </c>
      <c r="J490">
        <f>Model!R649</f>
        <v>0</v>
      </c>
      <c r="K490">
        <f>Model!S649</f>
        <v>0</v>
      </c>
      <c r="L490">
        <f>Model!T649</f>
        <v>0</v>
      </c>
      <c r="M490">
        <f>Model!U649</f>
        <v>0</v>
      </c>
      <c r="N490">
        <f>Model!V649</f>
        <v>0</v>
      </c>
      <c r="O490">
        <f>Model!W649</f>
        <v>0</v>
      </c>
      <c r="P490">
        <f>Model!X649</f>
        <v>0</v>
      </c>
      <c r="Q490">
        <f>Model!Y649</f>
        <v>0</v>
      </c>
      <c r="R490">
        <f>Model!Z649</f>
        <v>0</v>
      </c>
      <c r="S490">
        <f>Model!AA649</f>
        <v>0</v>
      </c>
      <c r="T490">
        <f>Model!AB649</f>
        <v>0</v>
      </c>
      <c r="U490">
        <f>Model!AC649</f>
        <v>0</v>
      </c>
      <c r="V490">
        <f>Model!AD649</f>
        <v>0</v>
      </c>
      <c r="W490">
        <f>Model!AE649</f>
        <v>0</v>
      </c>
      <c r="X490">
        <f>Model!AF649</f>
        <v>0</v>
      </c>
      <c r="Y490">
        <f>Model!AG649</f>
        <v>0</v>
      </c>
      <c r="Z490">
        <f>Model!AH649</f>
        <v>0</v>
      </c>
      <c r="AA490">
        <f>Model!AI649</f>
        <v>0</v>
      </c>
      <c r="AB490">
        <f>Model!AJ649</f>
        <v>0</v>
      </c>
      <c r="AC490">
        <f>Model!AK649</f>
        <v>0</v>
      </c>
      <c r="AD490">
        <f>Model!AL649</f>
        <v>0</v>
      </c>
      <c r="AE490">
        <f>Model!AM649</f>
        <v>0</v>
      </c>
      <c r="AF490">
        <f>Model!AN649</f>
        <v>0</v>
      </c>
      <c r="AG490">
        <f>Model!AO649</f>
        <v>0</v>
      </c>
      <c r="AH490">
        <f>Model!AP649</f>
        <v>0</v>
      </c>
      <c r="AI490">
        <f>Model!AQ649</f>
        <v>0</v>
      </c>
      <c r="AJ490">
        <f>Model!AR649</f>
        <v>0</v>
      </c>
      <c r="AK490">
        <f>Model!AS649</f>
        <v>0</v>
      </c>
      <c r="AL490">
        <f>Model!AT649</f>
        <v>0</v>
      </c>
      <c r="AM490">
        <f>Model!AU649</f>
        <v>0</v>
      </c>
      <c r="AN490">
        <f>Model!AV649</f>
        <v>0</v>
      </c>
      <c r="AO490">
        <f>Model!AW649</f>
        <v>0</v>
      </c>
      <c r="AP490">
        <f>Model!AX649</f>
        <v>0</v>
      </c>
      <c r="AQ490">
        <f>Model!AY649</f>
        <v>0</v>
      </c>
      <c r="AR490">
        <f>Model!AZ649</f>
        <v>0</v>
      </c>
      <c r="AS490">
        <f>Model!BA649</f>
        <v>2.8119999999999998</v>
      </c>
      <c r="AT490">
        <f>Model!BB649</f>
        <v>2.0400000000000005</v>
      </c>
      <c r="AU490">
        <f>Model!BC649</f>
        <v>2.7889999999999993</v>
      </c>
      <c r="AV490">
        <f>Model!BD649</f>
        <v>1.6899999999999991</v>
      </c>
      <c r="AW490">
        <f>Model!BE649</f>
        <v>3.9980000000000002</v>
      </c>
      <c r="AX490">
        <f>Model!BF649</f>
        <v>2.8449999999999998</v>
      </c>
      <c r="AY490">
        <f>Model!BG649</f>
        <v>4.444</v>
      </c>
      <c r="AZ490">
        <f>Model!BH649</f>
        <v>4.807000000000003</v>
      </c>
      <c r="BA490">
        <f>Model!BI649</f>
        <v>4.2160000000000002</v>
      </c>
      <c r="BB490">
        <f>Model!BJ649</f>
        <v>3.964999999999999</v>
      </c>
      <c r="BC490">
        <f>Model!BK649</f>
        <v>4.4970000000000008</v>
      </c>
      <c r="BD490">
        <f>Model!BL649</f>
        <v>3.7730000000000015</v>
      </c>
      <c r="BE490">
        <f>Model!BM649</f>
        <v>3.6709999999999998</v>
      </c>
      <c r="BF490">
        <f>Model!BN649</f>
        <v>4.4510000000000005</v>
      </c>
      <c r="BG490">
        <f>Model!BO649</f>
        <v>6.0280000000000005</v>
      </c>
      <c r="BH490">
        <f>Model!BP649</f>
        <v>8.8399999999999963</v>
      </c>
      <c r="BI490">
        <f>Model!BQ649</f>
        <v>9.0210000000000008</v>
      </c>
      <c r="BJ490">
        <f>Model!BR649</f>
        <v>4.2119999999999997</v>
      </c>
      <c r="BK490">
        <f>Model!BS649</f>
        <v>4.0090000000000003</v>
      </c>
      <c r="BL490">
        <f>Model!BT649</f>
        <v>7.0820000000000007</v>
      </c>
      <c r="BM490">
        <f>Model!BU649</f>
        <v>6.8120000000000003</v>
      </c>
      <c r="BN490">
        <f>Model!BV649</f>
        <v>9.3049999999999997</v>
      </c>
      <c r="BO490">
        <f>Model!BW649</f>
        <v>16.284000000000002</v>
      </c>
      <c r="BP490">
        <f>Model!BX649</f>
        <v>13.839999999999996</v>
      </c>
      <c r="BQ490">
        <f>Model!BY649</f>
        <v>13.53</v>
      </c>
      <c r="BR490">
        <f>Model!BZ649</f>
        <v>12.597</v>
      </c>
      <c r="BS490">
        <f>Model!CA649</f>
        <v>16.448</v>
      </c>
      <c r="BT490">
        <f>Model!CB649</f>
        <v>19.741</v>
      </c>
      <c r="BU490">
        <f>Model!CC649</f>
        <v>0</v>
      </c>
      <c r="BV490">
        <f>Model!CD649</f>
        <v>0</v>
      </c>
      <c r="BW490">
        <f>Model!CE649</f>
        <v>0</v>
      </c>
      <c r="BX490">
        <f>Model!CF649</f>
        <v>0</v>
      </c>
      <c r="BY490">
        <f>Model!CG649</f>
        <v>0</v>
      </c>
      <c r="BZ490">
        <f>Model!CH649</f>
        <v>0</v>
      </c>
      <c r="CA490">
        <f>Model!CI649</f>
        <v>0</v>
      </c>
      <c r="CB490">
        <f>Model!CJ649</f>
        <v>0</v>
      </c>
      <c r="CC490">
        <f>Model!CK649</f>
        <v>0</v>
      </c>
      <c r="CD490">
        <f>Model!CL649</f>
        <v>0</v>
      </c>
      <c r="CE490">
        <f>Model!CM649</f>
        <v>0</v>
      </c>
      <c r="CF490">
        <f>Model!CN649</f>
        <v>0</v>
      </c>
      <c r="CG490">
        <f>Model!CO649</f>
        <v>0</v>
      </c>
      <c r="CH490">
        <f>Model!CP649</f>
        <v>0</v>
      </c>
      <c r="CI490">
        <f>Model!CQ649</f>
        <v>7.1020000000000003</v>
      </c>
      <c r="CJ490">
        <f>Model!CR649</f>
        <v>9.3309999999999995</v>
      </c>
      <c r="CK490">
        <f>Model!CS649</f>
        <v>16.094000000000001</v>
      </c>
      <c r="CL490">
        <f>Model!CT649</f>
        <v>16.451000000000001</v>
      </c>
      <c r="CM490">
        <f>Model!CU649</f>
        <v>22.99</v>
      </c>
      <c r="CN490">
        <f>Model!CV649</f>
        <v>24.324000000000002</v>
      </c>
      <c r="CO490">
        <f>Model!CW649</f>
        <v>46.241</v>
      </c>
      <c r="CP490">
        <f>Model!CX649</f>
        <v>62.316000000000003</v>
      </c>
      <c r="CQ490">
        <f>Model!CY649</f>
        <v>0</v>
      </c>
      <c r="CR490">
        <f>Model!DG649</f>
        <v>0</v>
      </c>
      <c r="CS490">
        <f>Model!DH649</f>
        <v>0</v>
      </c>
      <c r="CT490">
        <f>Model!DI649</f>
        <v>0</v>
      </c>
      <c r="CU490">
        <f>Model!DJ649</f>
        <v>0</v>
      </c>
    </row>
    <row r="491" spans="1:99">
      <c r="A491" t="str">
        <f>Model!I650</f>
        <v>Reversal of Val Allowance</v>
      </c>
      <c r="B491">
        <f>Model!J650</f>
        <v>0</v>
      </c>
      <c r="C491">
        <f>Model!K650</f>
        <v>0</v>
      </c>
      <c r="D491">
        <f>Model!L650</f>
        <v>0</v>
      </c>
      <c r="E491">
        <f>Model!M650</f>
        <v>0</v>
      </c>
      <c r="F491">
        <f>Model!N650</f>
        <v>0</v>
      </c>
      <c r="G491">
        <f>Model!O650</f>
        <v>0</v>
      </c>
      <c r="H491">
        <f>Model!P650</f>
        <v>0</v>
      </c>
      <c r="I491">
        <f>Model!Q650</f>
        <v>0</v>
      </c>
      <c r="J491">
        <f>Model!R650</f>
        <v>0</v>
      </c>
      <c r="K491">
        <f>Model!S650</f>
        <v>0</v>
      </c>
      <c r="L491">
        <f>Model!T650</f>
        <v>0</v>
      </c>
      <c r="M491">
        <f>Model!U650</f>
        <v>0</v>
      </c>
      <c r="N491">
        <f>Model!V650</f>
        <v>0</v>
      </c>
      <c r="O491">
        <f>Model!W650</f>
        <v>0</v>
      </c>
      <c r="P491">
        <f>Model!X650</f>
        <v>0</v>
      </c>
      <c r="Q491">
        <f>Model!Y650</f>
        <v>0</v>
      </c>
      <c r="R491">
        <f>Model!Z650</f>
        <v>0</v>
      </c>
      <c r="S491">
        <f>Model!AA650</f>
        <v>0</v>
      </c>
      <c r="T491">
        <f>Model!AB650</f>
        <v>0</v>
      </c>
      <c r="U491">
        <f>Model!AC650</f>
        <v>0</v>
      </c>
      <c r="V491">
        <f>Model!AD650</f>
        <v>0</v>
      </c>
      <c r="W491">
        <f>Model!AE650</f>
        <v>0</v>
      </c>
      <c r="X491">
        <f>Model!AF650</f>
        <v>0</v>
      </c>
      <c r="Y491">
        <f>Model!AG650</f>
        <v>0</v>
      </c>
      <c r="Z491">
        <f>Model!AH650</f>
        <v>0</v>
      </c>
      <c r="AA491">
        <f>Model!AI650</f>
        <v>0</v>
      </c>
      <c r="AB491">
        <f>Model!AJ650</f>
        <v>0</v>
      </c>
      <c r="AC491">
        <f>Model!AK650</f>
        <v>0</v>
      </c>
      <c r="AD491">
        <f>Model!AL650</f>
        <v>0</v>
      </c>
      <c r="AE491">
        <f>Model!AM650</f>
        <v>0</v>
      </c>
      <c r="AF491">
        <f>Model!AN650</f>
        <v>0</v>
      </c>
      <c r="AG491">
        <f>Model!AO650</f>
        <v>0</v>
      </c>
      <c r="AH491">
        <f>Model!AP650</f>
        <v>0</v>
      </c>
      <c r="AI491">
        <f>Model!AQ650</f>
        <v>0</v>
      </c>
      <c r="AJ491">
        <f>Model!AR650</f>
        <v>0</v>
      </c>
      <c r="AK491">
        <f>Model!AS650</f>
        <v>0</v>
      </c>
      <c r="AL491">
        <f>Model!AT650</f>
        <v>0</v>
      </c>
      <c r="AM491">
        <f>Model!AU650</f>
        <v>0</v>
      </c>
      <c r="AN491">
        <f>Model!AV650</f>
        <v>0</v>
      </c>
      <c r="AO491">
        <f>Model!AW650</f>
        <v>0</v>
      </c>
      <c r="AP491">
        <f>Model!AX650</f>
        <v>0</v>
      </c>
      <c r="AQ491">
        <f>Model!AY650</f>
        <v>0</v>
      </c>
      <c r="AR491">
        <f>Model!AZ650</f>
        <v>0</v>
      </c>
      <c r="AS491">
        <f>Model!BA650</f>
        <v>0</v>
      </c>
      <c r="AT491">
        <f>Model!BB650</f>
        <v>0</v>
      </c>
      <c r="AU491">
        <f>Model!BC650</f>
        <v>0</v>
      </c>
      <c r="AV491">
        <f>Model!BD650</f>
        <v>0</v>
      </c>
      <c r="AW491">
        <f>Model!BE650</f>
        <v>0</v>
      </c>
      <c r="AX491">
        <f>Model!BF650</f>
        <v>0</v>
      </c>
      <c r="AY491">
        <f>Model!BG650</f>
        <v>0</v>
      </c>
      <c r="AZ491">
        <f>Model!BH650</f>
        <v>0</v>
      </c>
      <c r="BA491">
        <f>Model!BI650</f>
        <v>0</v>
      </c>
      <c r="BB491">
        <f>Model!BJ650</f>
        <v>0</v>
      </c>
      <c r="BC491">
        <f>Model!BK650</f>
        <v>0</v>
      </c>
      <c r="BD491">
        <f>Model!BL650</f>
        <v>0</v>
      </c>
      <c r="BE491">
        <f>Model!BM650</f>
        <v>0</v>
      </c>
      <c r="BF491">
        <f>Model!BN650</f>
        <v>0</v>
      </c>
      <c r="BG491">
        <f>Model!BO650</f>
        <v>0</v>
      </c>
      <c r="BH491">
        <f>Model!BP650</f>
        <v>0</v>
      </c>
      <c r="BI491">
        <f>Model!BQ650</f>
        <v>0</v>
      </c>
      <c r="BJ491">
        <f>Model!BR650</f>
        <v>0</v>
      </c>
      <c r="BK491">
        <f>Model!BS650</f>
        <v>0</v>
      </c>
      <c r="BL491">
        <f>Model!BT650</f>
        <v>0</v>
      </c>
      <c r="BM491">
        <f>Model!BU650</f>
        <v>0</v>
      </c>
      <c r="BN491">
        <f>Model!BV650</f>
        <v>0</v>
      </c>
      <c r="BO491">
        <f>Model!BW650</f>
        <v>0</v>
      </c>
      <c r="BP491">
        <f>Model!BX650</f>
        <v>0</v>
      </c>
      <c r="BQ491">
        <f>Model!BY650</f>
        <v>0</v>
      </c>
      <c r="BR491">
        <f>Model!BZ650</f>
        <v>0</v>
      </c>
      <c r="BS491">
        <f>Model!CA650</f>
        <v>0</v>
      </c>
      <c r="BT491">
        <f>Model!CB650</f>
        <v>0</v>
      </c>
      <c r="BU491">
        <f>Model!CC650</f>
        <v>0</v>
      </c>
      <c r="BV491">
        <f>Model!CD650</f>
        <v>0</v>
      </c>
      <c r="BW491">
        <f>Model!CE650</f>
        <v>0</v>
      </c>
      <c r="BX491">
        <f>Model!CF650</f>
        <v>0</v>
      </c>
      <c r="BY491">
        <f>Model!CG650</f>
        <v>0</v>
      </c>
      <c r="BZ491">
        <f>Model!CH650</f>
        <v>0</v>
      </c>
      <c r="CA491">
        <f>Model!CI650</f>
        <v>0</v>
      </c>
      <c r="CB491">
        <f>Model!CJ650</f>
        <v>0</v>
      </c>
      <c r="CC491">
        <f>Model!CK650</f>
        <v>0</v>
      </c>
      <c r="CD491">
        <f>Model!CL650</f>
        <v>0</v>
      </c>
      <c r="CE491">
        <f>Model!CM650</f>
        <v>0</v>
      </c>
      <c r="CF491">
        <f>Model!CN650</f>
        <v>0</v>
      </c>
      <c r="CG491">
        <f>Model!CO650</f>
        <v>0</v>
      </c>
      <c r="CH491">
        <f>Model!CP650</f>
        <v>0</v>
      </c>
      <c r="CI491">
        <f>Model!CQ650</f>
        <v>0</v>
      </c>
      <c r="CJ491">
        <f>Model!CR650</f>
        <v>0</v>
      </c>
      <c r="CK491">
        <f>Model!CS650</f>
        <v>0</v>
      </c>
      <c r="CL491">
        <f>Model!CT650</f>
        <v>0</v>
      </c>
      <c r="CM491">
        <f>Model!CU650</f>
        <v>0</v>
      </c>
      <c r="CN491">
        <f>Model!CV650</f>
        <v>0</v>
      </c>
      <c r="CO491">
        <f>Model!CW650</f>
        <v>0</v>
      </c>
      <c r="CP491">
        <f>Model!CX650</f>
        <v>0</v>
      </c>
      <c r="CQ491">
        <f>Model!CY650</f>
        <v>0</v>
      </c>
      <c r="CR491">
        <f>Model!DG650</f>
        <v>0</v>
      </c>
      <c r="CS491">
        <f>Model!DH650</f>
        <v>0</v>
      </c>
      <c r="CT491">
        <f>Model!DI650</f>
        <v>0</v>
      </c>
      <c r="CU491">
        <f>Model!DJ650</f>
        <v>0</v>
      </c>
    </row>
    <row r="492" spans="1:99">
      <c r="A492" t="str">
        <f>Model!I651</f>
        <v>Deferred Income Taxes</v>
      </c>
      <c r="B492">
        <f>Model!J651</f>
        <v>0</v>
      </c>
      <c r="C492">
        <f>Model!K651</f>
        <v>0</v>
      </c>
      <c r="D492">
        <f>Model!L651</f>
        <v>0</v>
      </c>
      <c r="E492">
        <f>Model!M651</f>
        <v>0</v>
      </c>
      <c r="F492">
        <f>Model!N651</f>
        <v>0</v>
      </c>
      <c r="G492">
        <f>Model!O651</f>
        <v>0</v>
      </c>
      <c r="H492">
        <f>Model!P651</f>
        <v>0</v>
      </c>
      <c r="I492">
        <f>Model!Q651</f>
        <v>0</v>
      </c>
      <c r="J492">
        <f>Model!R651</f>
        <v>0</v>
      </c>
      <c r="K492">
        <f>Model!S651</f>
        <v>0</v>
      </c>
      <c r="L492">
        <f>Model!T651</f>
        <v>0</v>
      </c>
      <c r="M492">
        <f>Model!U651</f>
        <v>0</v>
      </c>
      <c r="N492">
        <f>Model!V651</f>
        <v>0</v>
      </c>
      <c r="O492">
        <f>Model!W651</f>
        <v>0</v>
      </c>
      <c r="P492">
        <f>Model!X651</f>
        <v>0</v>
      </c>
      <c r="Q492">
        <f>Model!Y651</f>
        <v>0</v>
      </c>
      <c r="R492">
        <f>Model!Z651</f>
        <v>0</v>
      </c>
      <c r="S492">
        <f>Model!AA651</f>
        <v>0</v>
      </c>
      <c r="T492">
        <f>Model!AB651</f>
        <v>0</v>
      </c>
      <c r="U492">
        <f>Model!AC651</f>
        <v>0</v>
      </c>
      <c r="V492">
        <f>Model!AD651</f>
        <v>0</v>
      </c>
      <c r="W492">
        <f>Model!AE651</f>
        <v>0</v>
      </c>
      <c r="X492">
        <f>Model!AF651</f>
        <v>0</v>
      </c>
      <c r="Y492">
        <f>Model!AG651</f>
        <v>0</v>
      </c>
      <c r="Z492">
        <f>Model!AH651</f>
        <v>0</v>
      </c>
      <c r="AA492">
        <f>Model!AI651</f>
        <v>0</v>
      </c>
      <c r="AB492">
        <f>Model!AJ651</f>
        <v>0</v>
      </c>
      <c r="AC492">
        <f>Model!AK651</f>
        <v>0</v>
      </c>
      <c r="AD492">
        <f>Model!AL651</f>
        <v>0</v>
      </c>
      <c r="AE492">
        <f>Model!AM651</f>
        <v>0</v>
      </c>
      <c r="AF492">
        <f>Model!AN651</f>
        <v>0</v>
      </c>
      <c r="AG492">
        <f>Model!AO651</f>
        <v>0</v>
      </c>
      <c r="AH492">
        <f>Model!AP651</f>
        <v>0</v>
      </c>
      <c r="AI492">
        <f>Model!AQ651</f>
        <v>0</v>
      </c>
      <c r="AJ492">
        <f>Model!AR651</f>
        <v>0</v>
      </c>
      <c r="AK492">
        <f>Model!AS651</f>
        <v>0</v>
      </c>
      <c r="AL492">
        <f>Model!AT651</f>
        <v>0</v>
      </c>
      <c r="AM492">
        <f>Model!AU651</f>
        <v>0</v>
      </c>
      <c r="AN492">
        <f>Model!AV651</f>
        <v>0</v>
      </c>
      <c r="AO492">
        <f>Model!AW651</f>
        <v>0</v>
      </c>
      <c r="AP492">
        <f>Model!AX651</f>
        <v>0</v>
      </c>
      <c r="AQ492">
        <f>Model!AY651</f>
        <v>0</v>
      </c>
      <c r="AR492">
        <f>Model!AZ651</f>
        <v>0</v>
      </c>
      <c r="AS492">
        <f>Model!BA651</f>
        <v>8.26</v>
      </c>
      <c r="AT492">
        <f>Model!BB651</f>
        <v>11.610000000000001</v>
      </c>
      <c r="AU492">
        <f>Model!BC651</f>
        <v>14.300000000000002</v>
      </c>
      <c r="AV492">
        <f>Model!BD651</f>
        <v>10.576999999999996</v>
      </c>
      <c r="AW492">
        <f>Model!BE651</f>
        <v>4.8040000000000003</v>
      </c>
      <c r="AX492">
        <f>Model!BF651</f>
        <v>8.8609999999999989</v>
      </c>
      <c r="AY492">
        <f>Model!BG651</f>
        <v>2.7810000000000024</v>
      </c>
      <c r="AZ492">
        <f>Model!BH651</f>
        <v>3.1499999999999986</v>
      </c>
      <c r="BA492">
        <f>Model!BI651</f>
        <v>-7.2290000000000001</v>
      </c>
      <c r="BB492">
        <f>Model!BJ651</f>
        <v>3.9170000000000003</v>
      </c>
      <c r="BC492">
        <f>Model!BK651</f>
        <v>14.762</v>
      </c>
      <c r="BD492">
        <f>Model!BL651</f>
        <v>-22.554000000000002</v>
      </c>
      <c r="BE492">
        <f>Model!BM651</f>
        <v>8.8279999999999994</v>
      </c>
      <c r="BF492">
        <f>Model!BN651</f>
        <v>17.242000000000001</v>
      </c>
      <c r="BG492">
        <f>Model!BO651</f>
        <v>20.381</v>
      </c>
      <c r="BH492">
        <f>Model!BP651</f>
        <v>-14.744</v>
      </c>
      <c r="BI492">
        <f>Model!BQ651</f>
        <v>-35.171999999999997</v>
      </c>
      <c r="BJ492">
        <f>Model!BR651</f>
        <v>-6.4050000000000011</v>
      </c>
      <c r="BK492">
        <f>Model!BS651</f>
        <v>-22.097999999999999</v>
      </c>
      <c r="BL492">
        <f>Model!BT651</f>
        <v>2.3399999999999963</v>
      </c>
      <c r="BM492">
        <f>Model!BU651</f>
        <v>-25.681000000000001</v>
      </c>
      <c r="BN492">
        <f>Model!BV651</f>
        <v>-54.182000000000002</v>
      </c>
      <c r="BO492">
        <f>Model!BW651</f>
        <v>7.8910000000000089</v>
      </c>
      <c r="BP492">
        <f>Model!BX651</f>
        <v>-39.933000000000007</v>
      </c>
      <c r="BQ492">
        <f>Model!BY651</f>
        <v>-24.440999999999999</v>
      </c>
      <c r="BR492">
        <f>Model!BZ651</f>
        <v>-16.498000000000001</v>
      </c>
      <c r="BS492">
        <f>Model!CA651</f>
        <v>15.283999999999999</v>
      </c>
      <c r="BT492">
        <f>Model!CB651</f>
        <v>-6.8100000000000023</v>
      </c>
      <c r="BU492">
        <f>Model!CC651</f>
        <v>0</v>
      </c>
      <c r="BV492">
        <f>Model!CD651</f>
        <v>0</v>
      </c>
      <c r="BW492">
        <f>Model!CE651</f>
        <v>0</v>
      </c>
      <c r="BX492">
        <f>Model!CF651</f>
        <v>0</v>
      </c>
      <c r="BY492">
        <f>Model!CG651</f>
        <v>0</v>
      </c>
      <c r="BZ492">
        <f>Model!CH651</f>
        <v>0</v>
      </c>
      <c r="CA492">
        <f>Model!CI651</f>
        <v>0</v>
      </c>
      <c r="CB492">
        <f>Model!CJ651</f>
        <v>0</v>
      </c>
      <c r="CC492">
        <f>Model!CK651</f>
        <v>0</v>
      </c>
      <c r="CD492">
        <f>Model!CL651</f>
        <v>0</v>
      </c>
      <c r="CE492">
        <f>Model!CM651</f>
        <v>0</v>
      </c>
      <c r="CF492">
        <f>Model!CN651</f>
        <v>0</v>
      </c>
      <c r="CG492">
        <f>Model!CO651</f>
        <v>0</v>
      </c>
      <c r="CH492">
        <f>Model!CP651</f>
        <v>0</v>
      </c>
      <c r="CI492">
        <f>Model!CQ651</f>
        <v>37.54</v>
      </c>
      <c r="CJ492">
        <f>Model!CR651</f>
        <v>44.747</v>
      </c>
      <c r="CK492">
        <f>Model!CS651</f>
        <v>19.596</v>
      </c>
      <c r="CL492">
        <f>Model!CT651</f>
        <v>-11.104000000000001</v>
      </c>
      <c r="CM492">
        <f>Model!CU651</f>
        <v>31.707000000000001</v>
      </c>
      <c r="CN492">
        <f>Model!CV651</f>
        <v>-61.335000000000001</v>
      </c>
      <c r="CO492">
        <f>Model!CW651</f>
        <v>-111.905</v>
      </c>
      <c r="CP492">
        <f>Model!CX651</f>
        <v>-32.465000000000003</v>
      </c>
      <c r="CQ492">
        <f>Model!CY651</f>
        <v>0</v>
      </c>
      <c r="CR492">
        <f>Model!DG651</f>
        <v>0</v>
      </c>
      <c r="CS492">
        <f>Model!DH651</f>
        <v>0</v>
      </c>
      <c r="CT492">
        <f>Model!DI651</f>
        <v>0</v>
      </c>
      <c r="CU492">
        <f>Model!DJ651</f>
        <v>0</v>
      </c>
    </row>
    <row r="493" spans="1:99">
      <c r="A493" t="str">
        <f>Model!I652</f>
        <v>Stock-based Comp and Other SBC</v>
      </c>
      <c r="B493">
        <f>Model!J652</f>
        <v>0</v>
      </c>
      <c r="C493">
        <f>Model!K652</f>
        <v>0</v>
      </c>
      <c r="D493">
        <f>Model!L652</f>
        <v>0</v>
      </c>
      <c r="E493">
        <f>Model!M652</f>
        <v>0</v>
      </c>
      <c r="F493">
        <f>Model!N652</f>
        <v>0</v>
      </c>
      <c r="G493">
        <f>Model!O652</f>
        <v>0</v>
      </c>
      <c r="H493">
        <f>Model!P652</f>
        <v>0</v>
      </c>
      <c r="I493">
        <f>Model!Q652</f>
        <v>0</v>
      </c>
      <c r="J493">
        <f>Model!R652</f>
        <v>0</v>
      </c>
      <c r="K493">
        <f>Model!S652</f>
        <v>0</v>
      </c>
      <c r="L493">
        <f>Model!T652</f>
        <v>0</v>
      </c>
      <c r="M493">
        <f>Model!U652</f>
        <v>0</v>
      </c>
      <c r="N493">
        <f>Model!V652</f>
        <v>0</v>
      </c>
      <c r="O493">
        <f>Model!W652</f>
        <v>0</v>
      </c>
      <c r="P493">
        <f>Model!X652</f>
        <v>0</v>
      </c>
      <c r="Q493">
        <f>Model!Y652</f>
        <v>0</v>
      </c>
      <c r="R493">
        <f>Model!Z652</f>
        <v>0</v>
      </c>
      <c r="S493">
        <f>Model!AA652</f>
        <v>0</v>
      </c>
      <c r="T493">
        <f>Model!AB652</f>
        <v>0</v>
      </c>
      <c r="U493">
        <f>Model!AC652</f>
        <v>0</v>
      </c>
      <c r="V493">
        <f>Model!AD652</f>
        <v>0</v>
      </c>
      <c r="W493">
        <f>Model!AE652</f>
        <v>0</v>
      </c>
      <c r="X493">
        <f>Model!AF652</f>
        <v>0</v>
      </c>
      <c r="Y493">
        <f>Model!AG652</f>
        <v>0</v>
      </c>
      <c r="Z493">
        <f>Model!AH652</f>
        <v>0</v>
      </c>
      <c r="AA493">
        <f>Model!AI652</f>
        <v>0</v>
      </c>
      <c r="AB493">
        <f>Model!AJ652</f>
        <v>0</v>
      </c>
      <c r="AC493">
        <f>Model!AK652</f>
        <v>0</v>
      </c>
      <c r="AD493">
        <f>Model!AL652</f>
        <v>0</v>
      </c>
      <c r="AE493">
        <f>Model!AM652</f>
        <v>0</v>
      </c>
      <c r="AF493">
        <f>Model!AN652</f>
        <v>0</v>
      </c>
      <c r="AG493">
        <f>Model!AO652</f>
        <v>0</v>
      </c>
      <c r="AH493">
        <f>Model!AP652</f>
        <v>0</v>
      </c>
      <c r="AI493">
        <f>Model!AQ652</f>
        <v>0</v>
      </c>
      <c r="AJ493">
        <f>Model!AR652</f>
        <v>0</v>
      </c>
      <c r="AK493">
        <f>Model!AS652</f>
        <v>0</v>
      </c>
      <c r="AL493">
        <f>Model!AT652</f>
        <v>0</v>
      </c>
      <c r="AM493">
        <f>Model!AU652</f>
        <v>0</v>
      </c>
      <c r="AN493">
        <f>Model!AV652</f>
        <v>0</v>
      </c>
      <c r="AO493">
        <f>Model!AW652</f>
        <v>0</v>
      </c>
      <c r="AP493">
        <f>Model!AX652</f>
        <v>0</v>
      </c>
      <c r="AQ493">
        <f>Model!AY652</f>
        <v>0</v>
      </c>
      <c r="AR493">
        <f>Model!AZ652</f>
        <v>0</v>
      </c>
      <c r="AS493">
        <f>Model!BA652</f>
        <v>14.11</v>
      </c>
      <c r="AT493">
        <f>Model!BB652</f>
        <v>13.231000000000002</v>
      </c>
      <c r="AU493">
        <f>Model!BC652</f>
        <v>13.414999999999999</v>
      </c>
      <c r="AV493">
        <f>Model!BD652</f>
        <v>25.438000000000002</v>
      </c>
      <c r="AW493">
        <f>Model!BE652</f>
        <v>16.64</v>
      </c>
      <c r="AX493">
        <f>Model!BF652</f>
        <v>17.729999999999997</v>
      </c>
      <c r="AY493">
        <f>Model!BG652</f>
        <v>17.672000000000004</v>
      </c>
      <c r="AZ493">
        <f>Model!BH652</f>
        <v>19.992999999999995</v>
      </c>
      <c r="BA493">
        <f>Model!BI652</f>
        <v>21.826000000000001</v>
      </c>
      <c r="BB493">
        <f>Model!BJ652</f>
        <v>34.978000000000002</v>
      </c>
      <c r="BC493">
        <f>Model!BK652</f>
        <v>35.006</v>
      </c>
      <c r="BD493">
        <f>Model!BL652</f>
        <v>50.288000000000004</v>
      </c>
      <c r="BE493">
        <f>Model!BM652</f>
        <v>39.411999999999999</v>
      </c>
      <c r="BF493">
        <f>Model!BN652</f>
        <v>35.738999999999997</v>
      </c>
      <c r="BG493">
        <f>Model!BO652</f>
        <v>46.969000000000001</v>
      </c>
      <c r="BH493">
        <f>Model!BP652</f>
        <v>67.171999999999997</v>
      </c>
      <c r="BI493">
        <f>Model!BQ652</f>
        <v>54.533000000000001</v>
      </c>
      <c r="BJ493">
        <f>Model!BR652</f>
        <v>60.736000000000004</v>
      </c>
      <c r="BK493">
        <f>Model!BS652</f>
        <v>58.799000000000007</v>
      </c>
      <c r="BL493">
        <f>Model!BT652</f>
        <v>75.065000000000012</v>
      </c>
      <c r="BM493">
        <f>Model!BU652</f>
        <v>66.034000000000006</v>
      </c>
      <c r="BN493">
        <f>Model!BV652</f>
        <v>54.981999999999999</v>
      </c>
      <c r="BO493">
        <f>Model!BW652</f>
        <v>54.114999999999995</v>
      </c>
      <c r="BP493">
        <f>Model!BX652</f>
        <v>74.594999999999985</v>
      </c>
      <c r="BQ493">
        <f>Model!BY652</f>
        <v>59.058999999999997</v>
      </c>
      <c r="BR493">
        <f>Model!BZ652</f>
        <v>66.988</v>
      </c>
      <c r="BS493">
        <f>Model!CA652</f>
        <v>66.501000000000005</v>
      </c>
      <c r="BT493">
        <f>Model!CB652</f>
        <v>68.725999999999999</v>
      </c>
      <c r="BU493">
        <f>Model!CC652</f>
        <v>0</v>
      </c>
      <c r="BV493">
        <f>Model!CD652</f>
        <v>0</v>
      </c>
      <c r="BW493">
        <f>Model!CE652</f>
        <v>0</v>
      </c>
      <c r="BX493">
        <f>Model!CF652</f>
        <v>0</v>
      </c>
      <c r="BY493">
        <f>Model!CG652</f>
        <v>0</v>
      </c>
      <c r="BZ493">
        <f>Model!CH652</f>
        <v>0</v>
      </c>
      <c r="CA493">
        <f>Model!CI652</f>
        <v>0</v>
      </c>
      <c r="CB493">
        <f>Model!CJ652</f>
        <v>0</v>
      </c>
      <c r="CC493">
        <f>Model!CK652</f>
        <v>0</v>
      </c>
      <c r="CD493">
        <f>Model!CL652</f>
        <v>0</v>
      </c>
      <c r="CE493">
        <f>Model!CM652</f>
        <v>0</v>
      </c>
      <c r="CF493">
        <f>Model!CN652</f>
        <v>0</v>
      </c>
      <c r="CG493">
        <f>Model!CO652</f>
        <v>0</v>
      </c>
      <c r="CH493">
        <f>Model!CP652</f>
        <v>0</v>
      </c>
      <c r="CI493">
        <f>Model!CQ652</f>
        <v>68.396000000000001</v>
      </c>
      <c r="CJ493">
        <f>Model!CR652</f>
        <v>66.194000000000003</v>
      </c>
      <c r="CK493">
        <f>Model!CS652</f>
        <v>72.034999999999997</v>
      </c>
      <c r="CL493">
        <f>Model!CT652</f>
        <v>142.09800000000001</v>
      </c>
      <c r="CM493">
        <f>Model!CU652</f>
        <v>189.292</v>
      </c>
      <c r="CN493">
        <f>Model!CV652</f>
        <v>249.13300000000001</v>
      </c>
      <c r="CO493">
        <f>Model!CW652</f>
        <v>249.726</v>
      </c>
      <c r="CP493">
        <f>Model!CX652</f>
        <v>261.274</v>
      </c>
      <c r="CQ493">
        <f>Model!CY652</f>
        <v>0</v>
      </c>
      <c r="CR493">
        <f>Model!DG652</f>
        <v>0</v>
      </c>
      <c r="CS493">
        <f>Model!DH652</f>
        <v>0</v>
      </c>
      <c r="CT493">
        <f>Model!DI652</f>
        <v>0</v>
      </c>
      <c r="CU493">
        <f>Model!DJ652</f>
        <v>0</v>
      </c>
    </row>
    <row r="494" spans="1:99">
      <c r="A494" t="str">
        <f>Model!I653</f>
        <v>Amortization of Debt Issuance Costs</v>
      </c>
      <c r="B494">
        <f>Model!J653</f>
        <v>0</v>
      </c>
      <c r="C494">
        <f>Model!K653</f>
        <v>0</v>
      </c>
      <c r="D494">
        <f>Model!L653</f>
        <v>0</v>
      </c>
      <c r="E494">
        <f>Model!M653</f>
        <v>0</v>
      </c>
      <c r="F494">
        <f>Model!N653</f>
        <v>0</v>
      </c>
      <c r="G494">
        <f>Model!O653</f>
        <v>0</v>
      </c>
      <c r="H494">
        <f>Model!P653</f>
        <v>0</v>
      </c>
      <c r="I494">
        <f>Model!Q653</f>
        <v>0</v>
      </c>
      <c r="J494">
        <f>Model!R653</f>
        <v>0</v>
      </c>
      <c r="K494">
        <f>Model!S653</f>
        <v>0</v>
      </c>
      <c r="L494">
        <f>Model!T653</f>
        <v>0</v>
      </c>
      <c r="M494">
        <f>Model!U653</f>
        <v>0</v>
      </c>
      <c r="N494">
        <f>Model!V653</f>
        <v>0</v>
      </c>
      <c r="O494">
        <f>Model!W653</f>
        <v>0</v>
      </c>
      <c r="P494">
        <f>Model!X653</f>
        <v>0</v>
      </c>
      <c r="Q494">
        <f>Model!Y653</f>
        <v>0</v>
      </c>
      <c r="R494">
        <f>Model!Z653</f>
        <v>0</v>
      </c>
      <c r="S494">
        <f>Model!AA653</f>
        <v>0</v>
      </c>
      <c r="T494">
        <f>Model!AB653</f>
        <v>0</v>
      </c>
      <c r="U494">
        <f>Model!AC653</f>
        <v>0</v>
      </c>
      <c r="V494">
        <f>Model!AD653</f>
        <v>0</v>
      </c>
      <c r="W494">
        <f>Model!AE653</f>
        <v>0</v>
      </c>
      <c r="X494">
        <f>Model!AF653</f>
        <v>0</v>
      </c>
      <c r="Y494">
        <f>Model!AG653</f>
        <v>0</v>
      </c>
      <c r="Z494">
        <f>Model!AH653</f>
        <v>0</v>
      </c>
      <c r="AA494">
        <f>Model!AI653</f>
        <v>0</v>
      </c>
      <c r="AB494">
        <f>Model!AJ653</f>
        <v>0</v>
      </c>
      <c r="AC494">
        <f>Model!AK653</f>
        <v>0</v>
      </c>
      <c r="AD494">
        <f>Model!AL653</f>
        <v>0</v>
      </c>
      <c r="AE494">
        <f>Model!AM653</f>
        <v>0</v>
      </c>
      <c r="AF494">
        <f>Model!AN653</f>
        <v>0</v>
      </c>
      <c r="AG494">
        <f>Model!AO653</f>
        <v>0</v>
      </c>
      <c r="AH494">
        <f>Model!AP653</f>
        <v>0</v>
      </c>
      <c r="AI494">
        <f>Model!AQ653</f>
        <v>0</v>
      </c>
      <c r="AJ494">
        <f>Model!AR653</f>
        <v>0</v>
      </c>
      <c r="AK494">
        <f>Model!AS653</f>
        <v>0</v>
      </c>
      <c r="AL494">
        <f>Model!AT653</f>
        <v>0</v>
      </c>
      <c r="AM494">
        <f>Model!AU653</f>
        <v>0</v>
      </c>
      <c r="AN494">
        <f>Model!AV653</f>
        <v>0</v>
      </c>
      <c r="AO494">
        <f>Model!AW653</f>
        <v>0</v>
      </c>
      <c r="AP494">
        <f>Model!AX653</f>
        <v>0</v>
      </c>
      <c r="AQ494">
        <f>Model!AY653</f>
        <v>0</v>
      </c>
      <c r="AR494">
        <f>Model!AZ653</f>
        <v>0</v>
      </c>
      <c r="AS494">
        <f>Model!BA653</f>
        <v>0.55300000000000005</v>
      </c>
      <c r="AT494">
        <f>Model!BB653</f>
        <v>0.55999999999999994</v>
      </c>
      <c r="AU494">
        <f>Model!BC653</f>
        <v>0.56300000000000006</v>
      </c>
      <c r="AV494">
        <f>Model!BD653</f>
        <v>0.68399999999999961</v>
      </c>
      <c r="AW494">
        <f>Model!BE653</f>
        <v>0.89500000000000002</v>
      </c>
      <c r="AX494">
        <f>Model!BF653</f>
        <v>1.4420000000000002</v>
      </c>
      <c r="AY494">
        <f>Model!BG653</f>
        <v>1.4529999999999998</v>
      </c>
      <c r="AZ494">
        <f>Model!BH653</f>
        <v>1.4219999999999997</v>
      </c>
      <c r="BA494">
        <f>Model!BI653</f>
        <v>1.4319999999999999</v>
      </c>
      <c r="BB494">
        <f>Model!BJ653</f>
        <v>1.4470000000000001</v>
      </c>
      <c r="BC494">
        <f>Model!BK653</f>
        <v>1.4730000000000003</v>
      </c>
      <c r="BD494">
        <f>Model!BL653</f>
        <v>3.5459999999999989</v>
      </c>
      <c r="BE494">
        <f>Model!BM653</f>
        <v>1.3460000000000001</v>
      </c>
      <c r="BF494">
        <f>Model!BN653</f>
        <v>1.2389999999999999</v>
      </c>
      <c r="BG494">
        <f>Model!BO653</f>
        <v>1.2330000000000001</v>
      </c>
      <c r="BH494">
        <f>Model!BP653</f>
        <v>1.411</v>
      </c>
      <c r="BI494">
        <f>Model!BQ653</f>
        <v>1.5429999999999999</v>
      </c>
      <c r="BJ494">
        <f>Model!BR653</f>
        <v>2.6749999999999998</v>
      </c>
      <c r="BK494">
        <f>Model!BS653</f>
        <v>1.6950000000000005</v>
      </c>
      <c r="BL494">
        <f>Model!BT653</f>
        <v>1.6650000000000003</v>
      </c>
      <c r="BM494">
        <f>Model!BU653</f>
        <v>1.837</v>
      </c>
      <c r="BN494">
        <f>Model!BV653</f>
        <v>1.9070000000000003</v>
      </c>
      <c r="BO494">
        <f>Model!BW653</f>
        <v>2.0030000000000001</v>
      </c>
      <c r="BP494">
        <f>Model!BX653</f>
        <v>2.0110000000000001</v>
      </c>
      <c r="BQ494">
        <f>Model!BY653</f>
        <v>2.0670000000000002</v>
      </c>
      <c r="BR494">
        <f>Model!BZ653</f>
        <v>2.4420000000000002</v>
      </c>
      <c r="BS494">
        <f>Model!CA653</f>
        <v>2.3179999999999996</v>
      </c>
      <c r="BT494">
        <f>Model!CB653</f>
        <v>2.4809999999999999</v>
      </c>
      <c r="BU494">
        <f>Model!CC653</f>
        <v>0</v>
      </c>
      <c r="BV494">
        <f>Model!CD653</f>
        <v>0</v>
      </c>
      <c r="BW494">
        <f>Model!CE653</f>
        <v>0</v>
      </c>
      <c r="BX494">
        <f>Model!CF653</f>
        <v>0</v>
      </c>
      <c r="BY494">
        <f>Model!CG653</f>
        <v>0</v>
      </c>
      <c r="BZ494">
        <f>Model!CH653</f>
        <v>0</v>
      </c>
      <c r="CA494">
        <f>Model!CI653</f>
        <v>0</v>
      </c>
      <c r="CB494">
        <f>Model!CJ653</f>
        <v>0</v>
      </c>
      <c r="CC494">
        <f>Model!CK653</f>
        <v>0</v>
      </c>
      <c r="CD494">
        <f>Model!CL653</f>
        <v>0</v>
      </c>
      <c r="CE494">
        <f>Model!CM653</f>
        <v>0</v>
      </c>
      <c r="CF494">
        <f>Model!CN653</f>
        <v>0</v>
      </c>
      <c r="CG494">
        <f>Model!CO653</f>
        <v>0</v>
      </c>
      <c r="CH494">
        <f>Model!CP653</f>
        <v>0</v>
      </c>
      <c r="CI494">
        <f>Model!CQ653</f>
        <v>3.3319999999999999</v>
      </c>
      <c r="CJ494">
        <f>Model!CR653</f>
        <v>2.36</v>
      </c>
      <c r="CK494">
        <f>Model!CS653</f>
        <v>5.2119999999999997</v>
      </c>
      <c r="CL494">
        <f>Model!CT653</f>
        <v>7.8979999999999997</v>
      </c>
      <c r="CM494">
        <f>Model!CU653</f>
        <v>5.2290000000000001</v>
      </c>
      <c r="CN494">
        <f>Model!CV653</f>
        <v>7.5780000000000003</v>
      </c>
      <c r="CO494">
        <f>Model!CW653</f>
        <v>7.758</v>
      </c>
      <c r="CP494">
        <f>Model!CX653</f>
        <v>9.3079999999999998</v>
      </c>
      <c r="CQ494">
        <f>Model!CY653</f>
        <v>0</v>
      </c>
      <c r="CR494">
        <f>Model!DG653</f>
        <v>0</v>
      </c>
      <c r="CS494">
        <f>Model!DH653</f>
        <v>0</v>
      </c>
      <c r="CT494">
        <f>Model!DI653</f>
        <v>0</v>
      </c>
      <c r="CU494">
        <f>Model!DJ653</f>
        <v>0</v>
      </c>
    </row>
    <row r="495" spans="1:99">
      <c r="A495" t="str">
        <f>Model!I654</f>
        <v>Amortization of Debt Discount</v>
      </c>
      <c r="B495">
        <f>Model!J654</f>
        <v>0</v>
      </c>
      <c r="C495">
        <f>Model!K654</f>
        <v>0</v>
      </c>
      <c r="D495">
        <f>Model!L654</f>
        <v>0</v>
      </c>
      <c r="E495">
        <f>Model!M654</f>
        <v>0</v>
      </c>
      <c r="F495">
        <f>Model!N654</f>
        <v>0</v>
      </c>
      <c r="G495">
        <f>Model!O654</f>
        <v>0</v>
      </c>
      <c r="H495">
        <f>Model!P654</f>
        <v>0</v>
      </c>
      <c r="I495">
        <f>Model!Q654</f>
        <v>0</v>
      </c>
      <c r="J495">
        <f>Model!R654</f>
        <v>0</v>
      </c>
      <c r="K495">
        <f>Model!S654</f>
        <v>0</v>
      </c>
      <c r="L495">
        <f>Model!T654</f>
        <v>0</v>
      </c>
      <c r="M495">
        <f>Model!U654</f>
        <v>0</v>
      </c>
      <c r="N495">
        <f>Model!V654</f>
        <v>0</v>
      </c>
      <c r="O495">
        <f>Model!W654</f>
        <v>0</v>
      </c>
      <c r="P495">
        <f>Model!X654</f>
        <v>0</v>
      </c>
      <c r="Q495">
        <f>Model!Y654</f>
        <v>0</v>
      </c>
      <c r="R495">
        <f>Model!Z654</f>
        <v>0</v>
      </c>
      <c r="S495">
        <f>Model!AA654</f>
        <v>0</v>
      </c>
      <c r="T495">
        <f>Model!AB654</f>
        <v>0</v>
      </c>
      <c r="U495">
        <f>Model!AC654</f>
        <v>0</v>
      </c>
      <c r="V495">
        <f>Model!AD654</f>
        <v>0</v>
      </c>
      <c r="W495">
        <f>Model!AE654</f>
        <v>0</v>
      </c>
      <c r="X495">
        <f>Model!AF654</f>
        <v>0</v>
      </c>
      <c r="Y495">
        <f>Model!AG654</f>
        <v>0</v>
      </c>
      <c r="Z495">
        <f>Model!AH654</f>
        <v>0</v>
      </c>
      <c r="AA495">
        <f>Model!AI654</f>
        <v>0</v>
      </c>
      <c r="AB495">
        <f>Model!AJ654</f>
        <v>0</v>
      </c>
      <c r="AC495">
        <f>Model!AK654</f>
        <v>0</v>
      </c>
      <c r="AD495">
        <f>Model!AL654</f>
        <v>0</v>
      </c>
      <c r="AE495">
        <f>Model!AM654</f>
        <v>0</v>
      </c>
      <c r="AF495">
        <f>Model!AN654</f>
        <v>0</v>
      </c>
      <c r="AG495">
        <f>Model!AO654</f>
        <v>0</v>
      </c>
      <c r="AH495">
        <f>Model!AP654</f>
        <v>0</v>
      </c>
      <c r="AI495">
        <f>Model!AQ654</f>
        <v>0</v>
      </c>
      <c r="AJ495">
        <f>Model!AR654</f>
        <v>0</v>
      </c>
      <c r="AK495">
        <f>Model!AS654</f>
        <v>0</v>
      </c>
      <c r="AL495">
        <f>Model!AT654</f>
        <v>0</v>
      </c>
      <c r="AM495">
        <f>Model!AU654</f>
        <v>0</v>
      </c>
      <c r="AN495">
        <f>Model!AV654</f>
        <v>0</v>
      </c>
      <c r="AO495">
        <f>Model!AW654</f>
        <v>0</v>
      </c>
      <c r="AP495">
        <f>Model!AX654</f>
        <v>0</v>
      </c>
      <c r="AQ495">
        <f>Model!AY654</f>
        <v>0</v>
      </c>
      <c r="AR495">
        <f>Model!AZ654</f>
        <v>0</v>
      </c>
      <c r="AS495">
        <f>Model!BA654</f>
        <v>5.2389999999999999</v>
      </c>
      <c r="AT495">
        <f>Model!BB654</f>
        <v>5.3140000000000009</v>
      </c>
      <c r="AU495">
        <f>Model!BC654</f>
        <v>5.3909999999999991</v>
      </c>
      <c r="AV495">
        <f>Model!BD654</f>
        <v>5.4700000000000033</v>
      </c>
      <c r="AW495">
        <f>Model!BE654</f>
        <v>7.2409999999999997</v>
      </c>
      <c r="AX495">
        <f>Model!BF654</f>
        <v>10.731000000000002</v>
      </c>
      <c r="AY495">
        <f>Model!BG654</f>
        <v>10.858999999999998</v>
      </c>
      <c r="AZ495">
        <f>Model!BH654</f>
        <v>10.989000000000001</v>
      </c>
      <c r="BA495">
        <f>Model!BI654</f>
        <v>11.12</v>
      </c>
      <c r="BB495">
        <f>Model!BJ654</f>
        <v>13.112</v>
      </c>
      <c r="BC495">
        <f>Model!BK654</f>
        <v>16.993000000000002</v>
      </c>
      <c r="BD495">
        <f>Model!BL654</f>
        <v>14.493</v>
      </c>
      <c r="BE495">
        <f>Model!BM654</f>
        <v>12.412000000000001</v>
      </c>
      <c r="BF495">
        <f>Model!BN654</f>
        <v>11.847</v>
      </c>
      <c r="BG495">
        <f>Model!BO654</f>
        <v>14.819999999999999</v>
      </c>
      <c r="BH495">
        <f>Model!BP654</f>
        <v>15.651999999999999</v>
      </c>
      <c r="BI495">
        <f>Model!BQ654</f>
        <v>16.690999999999999</v>
      </c>
      <c r="BJ495">
        <f>Model!BR654</f>
        <v>16.52</v>
      </c>
      <c r="BK495">
        <f>Model!BS654</f>
        <v>16.657</v>
      </c>
      <c r="BL495">
        <f>Model!BT654</f>
        <v>16.819000000000006</v>
      </c>
      <c r="BM495">
        <f>Model!BU654</f>
        <v>17.009</v>
      </c>
      <c r="BN495">
        <f>Model!BV654</f>
        <v>17.170999999999999</v>
      </c>
      <c r="BO495">
        <f>Model!BW654</f>
        <v>17.332000000000001</v>
      </c>
      <c r="BP495">
        <f>Model!BX654</f>
        <v>17.462000000000003</v>
      </c>
      <c r="BQ495">
        <f>Model!BY654</f>
        <v>17.625</v>
      </c>
      <c r="BR495">
        <f>Model!BZ654</f>
        <v>17.761000000000003</v>
      </c>
      <c r="BS495">
        <f>Model!CA654</f>
        <v>17.522999999999996</v>
      </c>
      <c r="BT495">
        <f>Model!CB654</f>
        <v>16.824999999999996</v>
      </c>
      <c r="BU495">
        <f>Model!CC654</f>
        <v>0</v>
      </c>
      <c r="BV495">
        <f>Model!CD654</f>
        <v>0</v>
      </c>
      <c r="BW495">
        <f>Model!CE654</f>
        <v>0</v>
      </c>
      <c r="BX495">
        <f>Model!CF654</f>
        <v>0</v>
      </c>
      <c r="BY495">
        <f>Model!CG654</f>
        <v>0</v>
      </c>
      <c r="BZ495">
        <f>Model!CH654</f>
        <v>0</v>
      </c>
      <c r="CA495">
        <f>Model!CI654</f>
        <v>0</v>
      </c>
      <c r="CB495">
        <f>Model!CJ654</f>
        <v>0</v>
      </c>
      <c r="CC495">
        <f>Model!CK654</f>
        <v>0</v>
      </c>
      <c r="CD495">
        <f>Model!CL654</f>
        <v>0</v>
      </c>
      <c r="CE495">
        <f>Model!CM654</f>
        <v>0</v>
      </c>
      <c r="CF495">
        <f>Model!CN654</f>
        <v>0</v>
      </c>
      <c r="CG495">
        <f>Model!CO654</f>
        <v>0</v>
      </c>
      <c r="CH495">
        <f>Model!CP654</f>
        <v>0</v>
      </c>
      <c r="CI495">
        <f>Model!CQ654</f>
        <v>20.11</v>
      </c>
      <c r="CJ495">
        <f>Model!CR654</f>
        <v>21.414000000000001</v>
      </c>
      <c r="CK495">
        <f>Model!CS654</f>
        <v>39.82</v>
      </c>
      <c r="CL495">
        <f>Model!CT654</f>
        <v>55.718000000000004</v>
      </c>
      <c r="CM495">
        <f>Model!CU654</f>
        <v>54.731000000000002</v>
      </c>
      <c r="CN495">
        <f>Model!CV654</f>
        <v>66.686999999999998</v>
      </c>
      <c r="CO495">
        <f>Model!CW654</f>
        <v>68.974000000000004</v>
      </c>
      <c r="CP495">
        <f>Model!CX654</f>
        <v>69.733999999999995</v>
      </c>
      <c r="CQ495">
        <f>Model!CY654</f>
        <v>0</v>
      </c>
      <c r="CR495">
        <f>Model!DG654</f>
        <v>0</v>
      </c>
      <c r="CS495">
        <f>Model!DH654</f>
        <v>0</v>
      </c>
      <c r="CT495">
        <f>Model!DI654</f>
        <v>0</v>
      </c>
      <c r="CU495">
        <f>Model!DJ654</f>
        <v>0</v>
      </c>
    </row>
    <row r="496" spans="1:99">
      <c r="A496" t="str">
        <f>Model!I655</f>
        <v>Loss (Gain) on Early Exting. of Debt</v>
      </c>
      <c r="B496">
        <f>Model!J655</f>
        <v>0</v>
      </c>
      <c r="C496">
        <f>Model!K655</f>
        <v>0</v>
      </c>
      <c r="D496">
        <f>Model!L655</f>
        <v>0</v>
      </c>
      <c r="E496">
        <f>Model!M655</f>
        <v>0</v>
      </c>
      <c r="F496">
        <f>Model!N655</f>
        <v>0</v>
      </c>
      <c r="G496">
        <f>Model!O655</f>
        <v>0</v>
      </c>
      <c r="H496">
        <f>Model!P655</f>
        <v>0</v>
      </c>
      <c r="I496">
        <f>Model!Q655</f>
        <v>0</v>
      </c>
      <c r="J496">
        <f>Model!R655</f>
        <v>0</v>
      </c>
      <c r="K496">
        <f>Model!S655</f>
        <v>0</v>
      </c>
      <c r="L496">
        <f>Model!T655</f>
        <v>0</v>
      </c>
      <c r="M496">
        <f>Model!U655</f>
        <v>0</v>
      </c>
      <c r="N496">
        <f>Model!V655</f>
        <v>0</v>
      </c>
      <c r="O496">
        <f>Model!W655</f>
        <v>0</v>
      </c>
      <c r="P496">
        <f>Model!X655</f>
        <v>0</v>
      </c>
      <c r="Q496">
        <f>Model!Y655</f>
        <v>0</v>
      </c>
      <c r="R496">
        <f>Model!Z655</f>
        <v>0</v>
      </c>
      <c r="S496">
        <f>Model!AA655</f>
        <v>0</v>
      </c>
      <c r="T496">
        <f>Model!AB655</f>
        <v>0</v>
      </c>
      <c r="U496">
        <f>Model!AC655</f>
        <v>0</v>
      </c>
      <c r="V496">
        <f>Model!AD655</f>
        <v>0</v>
      </c>
      <c r="W496">
        <f>Model!AE655</f>
        <v>0</v>
      </c>
      <c r="X496">
        <f>Model!AF655</f>
        <v>0</v>
      </c>
      <c r="Y496">
        <f>Model!AG655</f>
        <v>0</v>
      </c>
      <c r="Z496">
        <f>Model!AH655</f>
        <v>0</v>
      </c>
      <c r="AA496">
        <f>Model!AI655</f>
        <v>0</v>
      </c>
      <c r="AB496">
        <f>Model!AJ655</f>
        <v>0</v>
      </c>
      <c r="AC496">
        <f>Model!AK655</f>
        <v>0</v>
      </c>
      <c r="AD496">
        <f>Model!AL655</f>
        <v>0</v>
      </c>
      <c r="AE496">
        <f>Model!AM655</f>
        <v>0</v>
      </c>
      <c r="AF496">
        <f>Model!AN655</f>
        <v>0</v>
      </c>
      <c r="AG496">
        <f>Model!AO655</f>
        <v>0</v>
      </c>
      <c r="AH496">
        <f>Model!AP655</f>
        <v>0</v>
      </c>
      <c r="AI496">
        <f>Model!AQ655</f>
        <v>0</v>
      </c>
      <c r="AJ496">
        <f>Model!AR655</f>
        <v>0</v>
      </c>
      <c r="AK496">
        <f>Model!AS655</f>
        <v>0</v>
      </c>
      <c r="AL496">
        <f>Model!AT655</f>
        <v>0</v>
      </c>
      <c r="AM496">
        <f>Model!AU655</f>
        <v>0</v>
      </c>
      <c r="AN496">
        <f>Model!AV655</f>
        <v>0</v>
      </c>
      <c r="AO496">
        <f>Model!AW655</f>
        <v>0</v>
      </c>
      <c r="AP496">
        <f>Model!AX655</f>
        <v>0</v>
      </c>
      <c r="AQ496">
        <f>Model!AY655</f>
        <v>0</v>
      </c>
      <c r="AR496">
        <f>Model!AZ655</f>
        <v>0</v>
      </c>
      <c r="AS496">
        <f>Model!BA655</f>
        <v>0</v>
      </c>
      <c r="AT496">
        <f>Model!BB655</f>
        <v>3.2000000000000001E-2</v>
      </c>
      <c r="AU496">
        <f>Model!BC655</f>
        <v>0</v>
      </c>
      <c r="AV496">
        <f>Model!BD655</f>
        <v>0</v>
      </c>
      <c r="AW496">
        <f>Model!BE655</f>
        <v>0</v>
      </c>
      <c r="AX496">
        <f>Model!BF655</f>
        <v>0</v>
      </c>
      <c r="AY496">
        <f>Model!BG655</f>
        <v>0</v>
      </c>
      <c r="AZ496">
        <f>Model!BH655</f>
        <v>0</v>
      </c>
      <c r="BA496">
        <f>Model!BI655</f>
        <v>0</v>
      </c>
      <c r="BB496">
        <f>Model!BJ655</f>
        <v>0</v>
      </c>
      <c r="BC496">
        <f>Model!BK655</f>
        <v>0</v>
      </c>
      <c r="BD496">
        <f>Model!BL655</f>
        <v>26.661000000000001</v>
      </c>
      <c r="BE496">
        <f>Model!BM655</f>
        <v>3.3959999999999999</v>
      </c>
      <c r="BF496">
        <f>Model!BN655</f>
        <v>2.7329999999999997</v>
      </c>
      <c r="BG496">
        <f>Model!BO655</f>
        <v>0.125</v>
      </c>
      <c r="BH496">
        <f>Model!BP655</f>
        <v>1.6000000000000014E-2</v>
      </c>
      <c r="BI496">
        <f>Model!BQ655</f>
        <v>3.0000000000000001E-3</v>
      </c>
      <c r="BJ496">
        <f>Model!BR655</f>
        <v>0</v>
      </c>
      <c r="BK496">
        <f>Model!BS655</f>
        <v>0</v>
      </c>
      <c r="BL496">
        <f>Model!BT655</f>
        <v>0</v>
      </c>
      <c r="BM496">
        <f>Model!BU655</f>
        <v>0</v>
      </c>
      <c r="BN496">
        <f>Model!BV655</f>
        <v>0</v>
      </c>
      <c r="BO496">
        <f>Model!BW655</f>
        <v>0</v>
      </c>
      <c r="BP496">
        <f>Model!BX655</f>
        <v>0</v>
      </c>
      <c r="BQ496">
        <f>Model!BY655</f>
        <v>0</v>
      </c>
      <c r="BR496">
        <f>Model!BZ655</f>
        <v>1.0269999999999999</v>
      </c>
      <c r="BS496">
        <f>Model!CA655</f>
        <v>6.6000000000000059E-2</v>
      </c>
      <c r="BT496">
        <f>Model!CB655</f>
        <v>1.2729999999999999</v>
      </c>
      <c r="BU496">
        <f>Model!CC655</f>
        <v>0</v>
      </c>
      <c r="BV496">
        <f>Model!CD655</f>
        <v>0</v>
      </c>
      <c r="BW496">
        <f>Model!CE655</f>
        <v>0</v>
      </c>
      <c r="BX496">
        <f>Model!CF655</f>
        <v>0</v>
      </c>
      <c r="BY496">
        <f>Model!CG655</f>
        <v>0</v>
      </c>
      <c r="BZ496">
        <f>Model!CH655</f>
        <v>0</v>
      </c>
      <c r="CA496">
        <f>Model!CI655</f>
        <v>0</v>
      </c>
      <c r="CB496">
        <f>Model!CJ655</f>
        <v>0</v>
      </c>
      <c r="CC496">
        <f>Model!CK655</f>
        <v>0</v>
      </c>
      <c r="CD496">
        <f>Model!CL655</f>
        <v>0</v>
      </c>
      <c r="CE496">
        <f>Model!CM655</f>
        <v>0</v>
      </c>
      <c r="CF496">
        <f>Model!CN655</f>
        <v>0</v>
      </c>
      <c r="CG496">
        <f>Model!CO655</f>
        <v>0</v>
      </c>
      <c r="CH496">
        <f>Model!CP655</f>
        <v>0</v>
      </c>
      <c r="CI496">
        <f>Model!CQ655</f>
        <v>11.334</v>
      </c>
      <c r="CJ496">
        <f>Model!CR655</f>
        <v>3.2000000000000001E-2</v>
      </c>
      <c r="CK496">
        <f>Model!CS655</f>
        <v>0</v>
      </c>
      <c r="CL496">
        <f>Model!CT655</f>
        <v>26.661000000000001</v>
      </c>
      <c r="CM496">
        <f>Model!CU655</f>
        <v>6.27</v>
      </c>
      <c r="CN496">
        <f>Model!CV655</f>
        <v>3.0000000000000001E-3</v>
      </c>
      <c r="CO496">
        <f>Model!CW655</f>
        <v>0</v>
      </c>
      <c r="CP496">
        <f>Model!CX655</f>
        <v>2.3660000000000001</v>
      </c>
      <c r="CQ496">
        <f>Model!CY655</f>
        <v>0</v>
      </c>
      <c r="CR496">
        <f>Model!DG655</f>
        <v>0</v>
      </c>
      <c r="CS496">
        <f>Model!DH655</f>
        <v>0</v>
      </c>
      <c r="CT496">
        <f>Model!DI655</f>
        <v>0</v>
      </c>
      <c r="CU496">
        <f>Model!DJ655</f>
        <v>0</v>
      </c>
    </row>
    <row r="497" spans="1:99">
      <c r="A497" t="str">
        <f>Model!I656</f>
        <v>Equity in Income of Investees</v>
      </c>
      <c r="B497">
        <f>Model!J656</f>
        <v>0</v>
      </c>
      <c r="C497">
        <f>Model!K656</f>
        <v>0</v>
      </c>
      <c r="D497">
        <f>Model!L656</f>
        <v>0</v>
      </c>
      <c r="E497">
        <f>Model!M656</f>
        <v>0</v>
      </c>
      <c r="F497">
        <f>Model!N656</f>
        <v>0</v>
      </c>
      <c r="G497">
        <f>Model!O656</f>
        <v>0</v>
      </c>
      <c r="H497">
        <f>Model!P656</f>
        <v>0</v>
      </c>
      <c r="I497">
        <f>Model!Q656</f>
        <v>0</v>
      </c>
      <c r="J497">
        <f>Model!R656</f>
        <v>0</v>
      </c>
      <c r="K497">
        <f>Model!S656</f>
        <v>0</v>
      </c>
      <c r="L497">
        <f>Model!T656</f>
        <v>0</v>
      </c>
      <c r="M497">
        <f>Model!U656</f>
        <v>0</v>
      </c>
      <c r="N497">
        <f>Model!V656</f>
        <v>0</v>
      </c>
      <c r="O497">
        <f>Model!W656</f>
        <v>0</v>
      </c>
      <c r="P497">
        <f>Model!X656</f>
        <v>0</v>
      </c>
      <c r="Q497">
        <f>Model!Y656</f>
        <v>0</v>
      </c>
      <c r="R497">
        <f>Model!Z656</f>
        <v>0</v>
      </c>
      <c r="S497">
        <f>Model!AA656</f>
        <v>0</v>
      </c>
      <c r="T497">
        <f>Model!AB656</f>
        <v>0</v>
      </c>
      <c r="U497">
        <f>Model!AC656</f>
        <v>0</v>
      </c>
      <c r="V497">
        <f>Model!AD656</f>
        <v>0</v>
      </c>
      <c r="W497">
        <f>Model!AE656</f>
        <v>0</v>
      </c>
      <c r="X497">
        <f>Model!AF656</f>
        <v>0</v>
      </c>
      <c r="Y497">
        <f>Model!AG656</f>
        <v>0</v>
      </c>
      <c r="Z497">
        <f>Model!AH656</f>
        <v>0</v>
      </c>
      <c r="AA497">
        <f>Model!AI656</f>
        <v>0</v>
      </c>
      <c r="AB497">
        <f>Model!AJ656</f>
        <v>0</v>
      </c>
      <c r="AC497">
        <f>Model!AK656</f>
        <v>0</v>
      </c>
      <c r="AD497">
        <f>Model!AL656</f>
        <v>0</v>
      </c>
      <c r="AE497">
        <f>Model!AM656</f>
        <v>0</v>
      </c>
      <c r="AF497">
        <f>Model!AN656</f>
        <v>0</v>
      </c>
      <c r="AG497">
        <f>Model!AO656</f>
        <v>0</v>
      </c>
      <c r="AH497">
        <f>Model!AP656</f>
        <v>0</v>
      </c>
      <c r="AI497">
        <f>Model!AQ656</f>
        <v>0</v>
      </c>
      <c r="AJ497">
        <f>Model!AR656</f>
        <v>0</v>
      </c>
      <c r="AK497">
        <f>Model!AS656</f>
        <v>0</v>
      </c>
      <c r="AL497">
        <f>Model!AT656</f>
        <v>0</v>
      </c>
      <c r="AM497">
        <f>Model!AU656</f>
        <v>0</v>
      </c>
      <c r="AN497">
        <f>Model!AV656</f>
        <v>0</v>
      </c>
      <c r="AO497">
        <f>Model!AW656</f>
        <v>0</v>
      </c>
      <c r="AP497">
        <f>Model!AX656</f>
        <v>0</v>
      </c>
      <c r="AQ497">
        <f>Model!AY656</f>
        <v>0</v>
      </c>
      <c r="AR497">
        <f>Model!AZ656</f>
        <v>0</v>
      </c>
      <c r="AS497">
        <f>Model!BA656</f>
        <v>0</v>
      </c>
      <c r="AT497">
        <f>Model!BB656</f>
        <v>0</v>
      </c>
      <c r="AU497">
        <f>Model!BC656</f>
        <v>0</v>
      </c>
      <c r="AV497">
        <f>Model!BD656</f>
        <v>0</v>
      </c>
      <c r="AW497">
        <f>Model!BE656</f>
        <v>0</v>
      </c>
      <c r="AX497">
        <f>Model!BF656</f>
        <v>0</v>
      </c>
      <c r="AY497">
        <f>Model!BG656</f>
        <v>0</v>
      </c>
      <c r="AZ497">
        <f>Model!BH656</f>
        <v>0</v>
      </c>
      <c r="BA497">
        <f>Model!BI656</f>
        <v>0</v>
      </c>
      <c r="BB497">
        <f>Model!BJ656</f>
        <v>0</v>
      </c>
      <c r="BC497">
        <f>Model!BK656</f>
        <v>0</v>
      </c>
      <c r="BD497">
        <f>Model!BL656</f>
        <v>0</v>
      </c>
      <c r="BE497">
        <f>Model!BM656</f>
        <v>0</v>
      </c>
      <c r="BF497">
        <f>Model!BN656</f>
        <v>0</v>
      </c>
      <c r="BG497">
        <f>Model!BO656</f>
        <v>0</v>
      </c>
      <c r="BH497">
        <f>Model!BP656</f>
        <v>0</v>
      </c>
      <c r="BI497">
        <f>Model!BQ656</f>
        <v>0</v>
      </c>
      <c r="BJ497">
        <f>Model!BR656</f>
        <v>0</v>
      </c>
      <c r="BK497">
        <f>Model!BS656</f>
        <v>0</v>
      </c>
      <c r="BL497">
        <f>Model!BT656</f>
        <v>0</v>
      </c>
      <c r="BM497">
        <f>Model!BU656</f>
        <v>0</v>
      </c>
      <c r="BN497">
        <f>Model!BV656</f>
        <v>0</v>
      </c>
      <c r="BO497">
        <f>Model!BW656</f>
        <v>0</v>
      </c>
      <c r="BP497">
        <f>Model!BX656</f>
        <v>0</v>
      </c>
      <c r="BQ497">
        <f>Model!BY656</f>
        <v>0</v>
      </c>
      <c r="BR497">
        <f>Model!BZ656</f>
        <v>0</v>
      </c>
      <c r="BS497">
        <f>Model!CA656</f>
        <v>0</v>
      </c>
      <c r="BT497">
        <f>Model!CB656</f>
        <v>0</v>
      </c>
      <c r="BU497">
        <f>Model!CC656</f>
        <v>0</v>
      </c>
      <c r="BV497">
        <f>Model!CD656</f>
        <v>0</v>
      </c>
      <c r="BW497">
        <f>Model!CE656</f>
        <v>0</v>
      </c>
      <c r="BX497">
        <f>Model!CF656</f>
        <v>0</v>
      </c>
      <c r="BY497">
        <f>Model!CG656</f>
        <v>0</v>
      </c>
      <c r="BZ497">
        <f>Model!CH656</f>
        <v>0</v>
      </c>
      <c r="CA497">
        <f>Model!CI656</f>
        <v>0</v>
      </c>
      <c r="CB497">
        <f>Model!CJ656</f>
        <v>0</v>
      </c>
      <c r="CC497">
        <f>Model!CK656</f>
        <v>0</v>
      </c>
      <c r="CD497">
        <f>Model!CL656</f>
        <v>0</v>
      </c>
      <c r="CE497">
        <f>Model!CM656</f>
        <v>0</v>
      </c>
      <c r="CF497">
        <f>Model!CN656</f>
        <v>0</v>
      </c>
      <c r="CG497">
        <f>Model!CO656</f>
        <v>0</v>
      </c>
      <c r="CH497">
        <f>Model!CP656</f>
        <v>0</v>
      </c>
      <c r="CI497">
        <f>Model!CQ656</f>
        <v>0</v>
      </c>
      <c r="CJ497">
        <f>Model!CR656</f>
        <v>0</v>
      </c>
      <c r="CK497">
        <f>Model!CS656</f>
        <v>0</v>
      </c>
      <c r="CL497">
        <f>Model!CT656</f>
        <v>0</v>
      </c>
      <c r="CM497">
        <f>Model!CU656</f>
        <v>0</v>
      </c>
      <c r="CN497">
        <f>Model!CV656</f>
        <v>0</v>
      </c>
      <c r="CO497">
        <f>Model!CW656</f>
        <v>0</v>
      </c>
      <c r="CP497">
        <f>Model!CX656</f>
        <v>0</v>
      </c>
      <c r="CQ497">
        <f>Model!CY656</f>
        <v>0</v>
      </c>
      <c r="CR497">
        <f>Model!DG656</f>
        <v>0</v>
      </c>
      <c r="CS497">
        <f>Model!DH656</f>
        <v>0</v>
      </c>
      <c r="CT497">
        <f>Model!DI656</f>
        <v>0</v>
      </c>
      <c r="CU497">
        <f>Model!DJ656</f>
        <v>0</v>
      </c>
    </row>
    <row r="498" spans="1:99">
      <c r="A498" t="str">
        <f>Model!I657</f>
        <v>Loss on Impairment</v>
      </c>
      <c r="B498">
        <f>Model!J657</f>
        <v>0</v>
      </c>
      <c r="C498">
        <f>Model!K657</f>
        <v>0</v>
      </c>
      <c r="D498">
        <f>Model!L657</f>
        <v>0</v>
      </c>
      <c r="E498">
        <f>Model!M657</f>
        <v>0</v>
      </c>
      <c r="F498">
        <f>Model!N657</f>
        <v>0</v>
      </c>
      <c r="G498">
        <f>Model!O657</f>
        <v>0</v>
      </c>
      <c r="H498">
        <f>Model!P657</f>
        <v>0</v>
      </c>
      <c r="I498">
        <f>Model!Q657</f>
        <v>0</v>
      </c>
      <c r="J498">
        <f>Model!R657</f>
        <v>0</v>
      </c>
      <c r="K498">
        <f>Model!S657</f>
        <v>0</v>
      </c>
      <c r="L498">
        <f>Model!T657</f>
        <v>0</v>
      </c>
      <c r="M498">
        <f>Model!U657</f>
        <v>0</v>
      </c>
      <c r="N498">
        <f>Model!V657</f>
        <v>0</v>
      </c>
      <c r="O498">
        <f>Model!W657</f>
        <v>0</v>
      </c>
      <c r="P498">
        <f>Model!X657</f>
        <v>0</v>
      </c>
      <c r="Q498">
        <f>Model!Y657</f>
        <v>0</v>
      </c>
      <c r="R498">
        <f>Model!Z657</f>
        <v>0</v>
      </c>
      <c r="S498">
        <f>Model!AA657</f>
        <v>0</v>
      </c>
      <c r="T498">
        <f>Model!AB657</f>
        <v>0</v>
      </c>
      <c r="U498">
        <f>Model!AC657</f>
        <v>0</v>
      </c>
      <c r="V498">
        <f>Model!AD657</f>
        <v>0</v>
      </c>
      <c r="W498">
        <f>Model!AE657</f>
        <v>0</v>
      </c>
      <c r="X498">
        <f>Model!AF657</f>
        <v>0</v>
      </c>
      <c r="Y498">
        <f>Model!AG657</f>
        <v>0</v>
      </c>
      <c r="Z498">
        <f>Model!AH657</f>
        <v>0</v>
      </c>
      <c r="AA498">
        <f>Model!AI657</f>
        <v>0</v>
      </c>
      <c r="AB498">
        <f>Model!AJ657</f>
        <v>0</v>
      </c>
      <c r="AC498">
        <f>Model!AK657</f>
        <v>0</v>
      </c>
      <c r="AD498">
        <f>Model!AL657</f>
        <v>0</v>
      </c>
      <c r="AE498">
        <f>Model!AM657</f>
        <v>0</v>
      </c>
      <c r="AF498">
        <f>Model!AN657</f>
        <v>0</v>
      </c>
      <c r="AG498">
        <f>Model!AO657</f>
        <v>0</v>
      </c>
      <c r="AH498">
        <f>Model!AP657</f>
        <v>0</v>
      </c>
      <c r="AI498">
        <f>Model!AQ657</f>
        <v>0</v>
      </c>
      <c r="AJ498">
        <f>Model!AR657</f>
        <v>0</v>
      </c>
      <c r="AK498">
        <f>Model!AS657</f>
        <v>0</v>
      </c>
      <c r="AL498">
        <f>Model!AT657</f>
        <v>0</v>
      </c>
      <c r="AM498">
        <f>Model!AU657</f>
        <v>0</v>
      </c>
      <c r="AN498">
        <f>Model!AV657</f>
        <v>0</v>
      </c>
      <c r="AO498">
        <f>Model!AW657</f>
        <v>0</v>
      </c>
      <c r="AP498">
        <f>Model!AX657</f>
        <v>0</v>
      </c>
      <c r="AQ498">
        <f>Model!AY657</f>
        <v>0</v>
      </c>
      <c r="AR498">
        <f>Model!AZ657</f>
        <v>0</v>
      </c>
      <c r="AS498">
        <f>Model!BA657</f>
        <v>0</v>
      </c>
      <c r="AT498">
        <f>Model!BB657</f>
        <v>0</v>
      </c>
      <c r="AU498">
        <f>Model!BC657</f>
        <v>0</v>
      </c>
      <c r="AV498">
        <f>Model!BD657</f>
        <v>0</v>
      </c>
      <c r="AW498">
        <f>Model!BE657</f>
        <v>0</v>
      </c>
      <c r="AX498">
        <f>Model!BF657</f>
        <v>0</v>
      </c>
      <c r="AY498">
        <f>Model!BG657</f>
        <v>0</v>
      </c>
      <c r="AZ498">
        <f>Model!BH657</f>
        <v>0</v>
      </c>
      <c r="BA498">
        <f>Model!BI657</f>
        <v>0</v>
      </c>
      <c r="BB498">
        <f>Model!BJ657</f>
        <v>0</v>
      </c>
      <c r="BC498">
        <f>Model!BK657</f>
        <v>0</v>
      </c>
      <c r="BD498">
        <f>Model!BL657</f>
        <v>0</v>
      </c>
      <c r="BE498">
        <f>Model!BM657</f>
        <v>0</v>
      </c>
      <c r="BF498">
        <f>Model!BN657</f>
        <v>0</v>
      </c>
      <c r="BG498">
        <f>Model!BO657</f>
        <v>0</v>
      </c>
      <c r="BH498">
        <f>Model!BP657</f>
        <v>0</v>
      </c>
      <c r="BI498">
        <f>Model!BQ657</f>
        <v>0</v>
      </c>
      <c r="BJ498">
        <f>Model!BR657</f>
        <v>0</v>
      </c>
      <c r="BK498">
        <f>Model!BS657</f>
        <v>0</v>
      </c>
      <c r="BL498">
        <f>Model!BT657</f>
        <v>0</v>
      </c>
      <c r="BM498">
        <f>Model!BU657</f>
        <v>50.35</v>
      </c>
      <c r="BN498">
        <f>Model!BV657</f>
        <v>12.857999999999997</v>
      </c>
      <c r="BO498">
        <f>Model!BW657</f>
        <v>940.7</v>
      </c>
      <c r="BP498">
        <f>Model!BX657</f>
        <v>0</v>
      </c>
      <c r="BQ498">
        <f>Model!BY657</f>
        <v>0</v>
      </c>
      <c r="BR498">
        <f>Model!BZ657</f>
        <v>0</v>
      </c>
      <c r="BS498">
        <f>Model!CA657</f>
        <v>0</v>
      </c>
      <c r="BT498">
        <f>Model!CB657</f>
        <v>7.5970000000000004</v>
      </c>
      <c r="BU498">
        <f>Model!CC657</f>
        <v>0</v>
      </c>
      <c r="BV498">
        <f>Model!CD657</f>
        <v>0</v>
      </c>
      <c r="BW498">
        <f>Model!CE657</f>
        <v>0</v>
      </c>
      <c r="BX498">
        <f>Model!CF657</f>
        <v>0</v>
      </c>
      <c r="BY498">
        <f>Model!CG657</f>
        <v>0</v>
      </c>
      <c r="BZ498">
        <f>Model!CH657</f>
        <v>0</v>
      </c>
      <c r="CA498">
        <f>Model!CI657</f>
        <v>0</v>
      </c>
      <c r="CB498">
        <f>Model!CJ657</f>
        <v>0</v>
      </c>
      <c r="CC498">
        <f>Model!CK657</f>
        <v>0</v>
      </c>
      <c r="CD498">
        <f>Model!CL657</f>
        <v>0</v>
      </c>
      <c r="CE498">
        <f>Model!CM657</f>
        <v>0</v>
      </c>
      <c r="CF498">
        <f>Model!CN657</f>
        <v>0</v>
      </c>
      <c r="CG498">
        <f>Model!CO657</f>
        <v>0</v>
      </c>
      <c r="CH498">
        <f>Model!CP657</f>
        <v>0</v>
      </c>
      <c r="CI498">
        <f>Model!CQ657</f>
        <v>0</v>
      </c>
      <c r="CJ498">
        <f>Model!CR657</f>
        <v>0</v>
      </c>
      <c r="CK498">
        <f>Model!CS657</f>
        <v>0</v>
      </c>
      <c r="CL498">
        <f>Model!CT657</f>
        <v>0</v>
      </c>
      <c r="CM498">
        <f>Model!CU657</f>
        <v>0</v>
      </c>
      <c r="CN498">
        <f>Model!CV657</f>
        <v>0</v>
      </c>
      <c r="CO498">
        <f>Model!CW657</f>
        <v>1003.908</v>
      </c>
      <c r="CP498">
        <f>Model!CX657</f>
        <v>7.5970000000000004</v>
      </c>
      <c r="CQ498">
        <f>Model!CY657</f>
        <v>0</v>
      </c>
      <c r="CR498">
        <f>Model!DG657</f>
        <v>0</v>
      </c>
      <c r="CS498">
        <f>Model!DH657</f>
        <v>0</v>
      </c>
      <c r="CT498">
        <f>Model!DI657</f>
        <v>0</v>
      </c>
      <c r="CU498">
        <f>Model!DJ657</f>
        <v>0</v>
      </c>
    </row>
    <row r="499" spans="1:99">
      <c r="A499">
        <f>Model!I658</f>
        <v>0</v>
      </c>
      <c r="B499">
        <f>Model!J658</f>
        <v>0</v>
      </c>
      <c r="C499">
        <f>Model!K658</f>
        <v>0</v>
      </c>
      <c r="D499">
        <f>Model!L658</f>
        <v>0</v>
      </c>
      <c r="E499">
        <f>Model!M658</f>
        <v>0</v>
      </c>
      <c r="F499">
        <f>Model!N658</f>
        <v>0</v>
      </c>
      <c r="G499">
        <f>Model!O658</f>
        <v>0</v>
      </c>
      <c r="H499">
        <f>Model!P658</f>
        <v>0</v>
      </c>
      <c r="I499">
        <f>Model!Q658</f>
        <v>0</v>
      </c>
      <c r="J499">
        <f>Model!R658</f>
        <v>0</v>
      </c>
      <c r="K499">
        <f>Model!S658</f>
        <v>0</v>
      </c>
      <c r="L499">
        <f>Model!T658</f>
        <v>0</v>
      </c>
      <c r="M499">
        <f>Model!U658</f>
        <v>0</v>
      </c>
      <c r="N499">
        <f>Model!V658</f>
        <v>0</v>
      </c>
      <c r="O499">
        <f>Model!W658</f>
        <v>0</v>
      </c>
      <c r="P499">
        <f>Model!X658</f>
        <v>0</v>
      </c>
      <c r="Q499">
        <f>Model!Y658</f>
        <v>0</v>
      </c>
      <c r="R499">
        <f>Model!Z658</f>
        <v>0</v>
      </c>
      <c r="S499">
        <f>Model!AA658</f>
        <v>0</v>
      </c>
      <c r="T499">
        <f>Model!AB658</f>
        <v>0</v>
      </c>
      <c r="U499">
        <f>Model!AC658</f>
        <v>0</v>
      </c>
      <c r="V499">
        <f>Model!AD658</f>
        <v>0</v>
      </c>
      <c r="W499">
        <f>Model!AE658</f>
        <v>0</v>
      </c>
      <c r="X499">
        <f>Model!AF658</f>
        <v>0</v>
      </c>
      <c r="Y499">
        <f>Model!AG658</f>
        <v>0</v>
      </c>
      <c r="Z499">
        <f>Model!AH658</f>
        <v>0</v>
      </c>
      <c r="AA499">
        <f>Model!AI658</f>
        <v>0</v>
      </c>
      <c r="AB499">
        <f>Model!AJ658</f>
        <v>0</v>
      </c>
      <c r="AC499">
        <f>Model!AK658</f>
        <v>0</v>
      </c>
      <c r="AD499">
        <f>Model!AL658</f>
        <v>0</v>
      </c>
      <c r="AE499">
        <f>Model!AM658</f>
        <v>0</v>
      </c>
      <c r="AF499">
        <f>Model!AN658</f>
        <v>0</v>
      </c>
      <c r="AG499">
        <f>Model!AO658</f>
        <v>0</v>
      </c>
      <c r="AH499">
        <f>Model!AP658</f>
        <v>0</v>
      </c>
      <c r="AI499">
        <f>Model!AQ658</f>
        <v>0</v>
      </c>
      <c r="AJ499">
        <f>Model!AR658</f>
        <v>0</v>
      </c>
      <c r="AK499">
        <f>Model!AS658</f>
        <v>0</v>
      </c>
      <c r="AL499">
        <f>Model!AT658</f>
        <v>0</v>
      </c>
      <c r="AM499">
        <f>Model!AU658</f>
        <v>0</v>
      </c>
      <c r="AN499">
        <f>Model!AV658</f>
        <v>0</v>
      </c>
      <c r="AO499">
        <f>Model!AW658</f>
        <v>0</v>
      </c>
      <c r="AP499">
        <f>Model!AX658</f>
        <v>0</v>
      </c>
      <c r="AQ499">
        <f>Model!AY658</f>
        <v>0</v>
      </c>
      <c r="AR499">
        <f>Model!AZ658</f>
        <v>0</v>
      </c>
      <c r="AS499">
        <f>Model!BA658</f>
        <v>0</v>
      </c>
      <c r="AT499">
        <f>Model!BB658</f>
        <v>0</v>
      </c>
      <c r="AU499">
        <f>Model!BC658</f>
        <v>0</v>
      </c>
      <c r="AV499">
        <f>Model!BD658</f>
        <v>0</v>
      </c>
      <c r="AW499">
        <f>Model!BE658</f>
        <v>0</v>
      </c>
      <c r="AX499">
        <f>Model!BF658</f>
        <v>0</v>
      </c>
      <c r="AY499">
        <f>Model!BG658</f>
        <v>0</v>
      </c>
      <c r="AZ499">
        <f>Model!BH658</f>
        <v>0</v>
      </c>
      <c r="BA499">
        <f>Model!BI658</f>
        <v>0</v>
      </c>
      <c r="BB499">
        <f>Model!BJ658</f>
        <v>0</v>
      </c>
      <c r="BC499">
        <f>Model!BK658</f>
        <v>0</v>
      </c>
      <c r="BD499">
        <f>Model!BL658</f>
        <v>0</v>
      </c>
      <c r="BE499">
        <f>Model!BM658</f>
        <v>0</v>
      </c>
      <c r="BF499">
        <f>Model!BN658</f>
        <v>0</v>
      </c>
      <c r="BG499">
        <f>Model!BO658</f>
        <v>0</v>
      </c>
      <c r="BH499">
        <f>Model!BP658</f>
        <v>0</v>
      </c>
      <c r="BI499">
        <f>Model!BQ658</f>
        <v>0</v>
      </c>
      <c r="BJ499">
        <f>Model!BR658</f>
        <v>0</v>
      </c>
      <c r="BK499">
        <f>Model!BS658</f>
        <v>0</v>
      </c>
      <c r="BL499">
        <f>Model!BT658</f>
        <v>0</v>
      </c>
      <c r="BM499">
        <f>Model!BU658</f>
        <v>0</v>
      </c>
      <c r="BN499">
        <f>Model!BV658</f>
        <v>0</v>
      </c>
      <c r="BO499">
        <f>Model!BW658</f>
        <v>0</v>
      </c>
      <c r="BP499">
        <f>Model!BX658</f>
        <v>0</v>
      </c>
      <c r="BQ499">
        <f>Model!BY658</f>
        <v>0</v>
      </c>
      <c r="BR499">
        <f>Model!BZ658</f>
        <v>0</v>
      </c>
      <c r="BS499">
        <f>Model!CA658</f>
        <v>0</v>
      </c>
      <c r="BT499">
        <f>Model!CB658</f>
        <v>0</v>
      </c>
      <c r="BU499">
        <f>Model!CC658</f>
        <v>0</v>
      </c>
      <c r="BV499">
        <f>Model!CD658</f>
        <v>0</v>
      </c>
      <c r="BW499">
        <f>Model!CE658</f>
        <v>0</v>
      </c>
      <c r="BX499">
        <f>Model!CF658</f>
        <v>0</v>
      </c>
      <c r="BY499">
        <f>Model!CG658</f>
        <v>0</v>
      </c>
      <c r="BZ499">
        <f>Model!CH658</f>
        <v>0</v>
      </c>
      <c r="CA499">
        <f>Model!CI658</f>
        <v>0</v>
      </c>
      <c r="CB499">
        <f>Model!CJ658</f>
        <v>0</v>
      </c>
      <c r="CC499">
        <f>Model!CK658</f>
        <v>0</v>
      </c>
      <c r="CD499">
        <f>Model!CL658</f>
        <v>0</v>
      </c>
      <c r="CE499">
        <f>Model!CM658</f>
        <v>0</v>
      </c>
      <c r="CF499">
        <f>Model!CN658</f>
        <v>0</v>
      </c>
      <c r="CG499">
        <f>Model!CO658</f>
        <v>0</v>
      </c>
      <c r="CH499">
        <f>Model!CP658</f>
        <v>0</v>
      </c>
      <c r="CI499">
        <f>Model!CQ658</f>
        <v>0</v>
      </c>
      <c r="CJ499">
        <f>Model!CR658</f>
        <v>0</v>
      </c>
      <c r="CK499">
        <f>Model!CS658</f>
        <v>0</v>
      </c>
      <c r="CL499">
        <f>Model!CT658</f>
        <v>0</v>
      </c>
      <c r="CM499">
        <f>Model!CU658</f>
        <v>0</v>
      </c>
      <c r="CN499">
        <f>Model!CV658</f>
        <v>0</v>
      </c>
      <c r="CO499">
        <f>Model!CW658</f>
        <v>0</v>
      </c>
      <c r="CP499">
        <f>Model!CX658</f>
        <v>0</v>
      </c>
      <c r="CQ499">
        <f>Model!CY658</f>
        <v>0</v>
      </c>
      <c r="CR499">
        <f>Model!DG658</f>
        <v>0</v>
      </c>
      <c r="CS499">
        <f>Model!DH658</f>
        <v>0</v>
      </c>
      <c r="CT499">
        <f>Model!DI658</f>
        <v>0</v>
      </c>
      <c r="CU499">
        <f>Model!DJ658</f>
        <v>0</v>
      </c>
    </row>
    <row r="500" spans="1:99">
      <c r="A500" t="str">
        <f>Model!I659</f>
        <v>Changes in Working Capital</v>
      </c>
      <c r="B500">
        <f>Model!J659</f>
        <v>0</v>
      </c>
      <c r="C500">
        <f>Model!K659</f>
        <v>0</v>
      </c>
      <c r="D500">
        <f>Model!L659</f>
        <v>0</v>
      </c>
      <c r="E500">
        <f>Model!M659</f>
        <v>0</v>
      </c>
      <c r="F500">
        <f>Model!N659</f>
        <v>0</v>
      </c>
      <c r="G500">
        <f>Model!O659</f>
        <v>0</v>
      </c>
      <c r="H500">
        <f>Model!P659</f>
        <v>0</v>
      </c>
      <c r="I500">
        <f>Model!Q659</f>
        <v>0</v>
      </c>
      <c r="J500">
        <f>Model!R659</f>
        <v>0</v>
      </c>
      <c r="K500">
        <f>Model!S659</f>
        <v>0</v>
      </c>
      <c r="L500">
        <f>Model!T659</f>
        <v>0</v>
      </c>
      <c r="M500">
        <f>Model!U659</f>
        <v>0</v>
      </c>
      <c r="N500">
        <f>Model!V659</f>
        <v>0</v>
      </c>
      <c r="O500">
        <f>Model!W659</f>
        <v>0</v>
      </c>
      <c r="P500">
        <f>Model!X659</f>
        <v>0</v>
      </c>
      <c r="Q500">
        <f>Model!Y659</f>
        <v>0</v>
      </c>
      <c r="R500">
        <f>Model!Z659</f>
        <v>0</v>
      </c>
      <c r="S500">
        <f>Model!AA659</f>
        <v>0</v>
      </c>
      <c r="T500">
        <f>Model!AB659</f>
        <v>0</v>
      </c>
      <c r="U500">
        <f>Model!AC659</f>
        <v>0</v>
      </c>
      <c r="V500">
        <f>Model!AD659</f>
        <v>0</v>
      </c>
      <c r="W500">
        <f>Model!AE659</f>
        <v>0</v>
      </c>
      <c r="X500">
        <f>Model!AF659</f>
        <v>0</v>
      </c>
      <c r="Y500">
        <f>Model!AG659</f>
        <v>0</v>
      </c>
      <c r="Z500">
        <f>Model!AH659</f>
        <v>0</v>
      </c>
      <c r="AA500">
        <f>Model!AI659</f>
        <v>0</v>
      </c>
      <c r="AB500">
        <f>Model!AJ659</f>
        <v>0</v>
      </c>
      <c r="AC500">
        <f>Model!AK659</f>
        <v>0</v>
      </c>
      <c r="AD500">
        <f>Model!AL659</f>
        <v>0</v>
      </c>
      <c r="AE500">
        <f>Model!AM659</f>
        <v>0</v>
      </c>
      <c r="AF500">
        <f>Model!AN659</f>
        <v>0</v>
      </c>
      <c r="AG500">
        <f>Model!AO659</f>
        <v>0</v>
      </c>
      <c r="AH500">
        <f>Model!AP659</f>
        <v>0</v>
      </c>
      <c r="AI500">
        <f>Model!AQ659</f>
        <v>0</v>
      </c>
      <c r="AJ500">
        <f>Model!AR659</f>
        <v>0</v>
      </c>
      <c r="AK500">
        <f>Model!AS659</f>
        <v>0</v>
      </c>
      <c r="AL500">
        <f>Model!AT659</f>
        <v>0</v>
      </c>
      <c r="AM500">
        <f>Model!AU659</f>
        <v>0</v>
      </c>
      <c r="AN500">
        <f>Model!AV659</f>
        <v>0</v>
      </c>
      <c r="AO500">
        <f>Model!AW659</f>
        <v>0</v>
      </c>
      <c r="AP500">
        <f>Model!AX659</f>
        <v>0</v>
      </c>
      <c r="AQ500">
        <f>Model!AY659</f>
        <v>0</v>
      </c>
      <c r="AR500">
        <f>Model!AZ659</f>
        <v>0</v>
      </c>
      <c r="AS500">
        <f>Model!BA659</f>
        <v>0</v>
      </c>
      <c r="AT500">
        <f>Model!BB659</f>
        <v>0</v>
      </c>
      <c r="AU500">
        <f>Model!BC659</f>
        <v>0</v>
      </c>
      <c r="AV500">
        <f>Model!BD659</f>
        <v>0</v>
      </c>
      <c r="AW500">
        <f>Model!BE659</f>
        <v>0</v>
      </c>
      <c r="AX500">
        <f>Model!BF659</f>
        <v>0</v>
      </c>
      <c r="AY500">
        <f>Model!BG659</f>
        <v>0</v>
      </c>
      <c r="AZ500">
        <f>Model!BH659</f>
        <v>0</v>
      </c>
      <c r="BA500">
        <f>Model!BI659</f>
        <v>0</v>
      </c>
      <c r="BB500">
        <f>Model!BJ659</f>
        <v>0</v>
      </c>
      <c r="BC500">
        <f>Model!BK659</f>
        <v>0</v>
      </c>
      <c r="BD500">
        <f>Model!BL659</f>
        <v>0</v>
      </c>
      <c r="BE500">
        <f>Model!BM659</f>
        <v>0</v>
      </c>
      <c r="BF500">
        <f>Model!BN659</f>
        <v>0</v>
      </c>
      <c r="BG500">
        <f>Model!BO659</f>
        <v>0</v>
      </c>
      <c r="BH500">
        <f>Model!BP659</f>
        <v>0</v>
      </c>
      <c r="BI500">
        <f>Model!BQ659</f>
        <v>0</v>
      </c>
      <c r="BJ500">
        <f>Model!BR659</f>
        <v>0</v>
      </c>
      <c r="BK500">
        <f>Model!BS659</f>
        <v>0</v>
      </c>
      <c r="BL500">
        <f>Model!BT659</f>
        <v>0</v>
      </c>
      <c r="BM500">
        <f>Model!BU659</f>
        <v>0</v>
      </c>
      <c r="BN500">
        <f>Model!BV659</f>
        <v>0</v>
      </c>
      <c r="BO500">
        <f>Model!BW659</f>
        <v>0</v>
      </c>
      <c r="BP500">
        <f>Model!BX659</f>
        <v>0</v>
      </c>
      <c r="BQ500">
        <f>Model!BY659</f>
        <v>0</v>
      </c>
      <c r="BR500">
        <f>Model!BZ659</f>
        <v>0</v>
      </c>
      <c r="BS500">
        <f>Model!CA659</f>
        <v>0</v>
      </c>
      <c r="BT500">
        <f>Model!CB659</f>
        <v>0</v>
      </c>
      <c r="BU500">
        <f>Model!CC659</f>
        <v>0</v>
      </c>
      <c r="BV500">
        <f>Model!CD659</f>
        <v>0</v>
      </c>
      <c r="BW500">
        <f>Model!CE659</f>
        <v>0</v>
      </c>
      <c r="BX500">
        <f>Model!CF659</f>
        <v>0</v>
      </c>
      <c r="BY500">
        <f>Model!CG659</f>
        <v>0</v>
      </c>
      <c r="BZ500">
        <f>Model!CH659</f>
        <v>0</v>
      </c>
      <c r="CA500">
        <f>Model!CI659</f>
        <v>0</v>
      </c>
      <c r="CB500">
        <f>Model!CJ659</f>
        <v>0</v>
      </c>
      <c r="CC500">
        <f>Model!CK659</f>
        <v>0</v>
      </c>
      <c r="CD500">
        <f>Model!CL659</f>
        <v>0</v>
      </c>
      <c r="CE500">
        <f>Model!CM659</f>
        <v>0</v>
      </c>
      <c r="CF500">
        <f>Model!CN659</f>
        <v>0</v>
      </c>
      <c r="CG500">
        <f>Model!CO659</f>
        <v>0</v>
      </c>
      <c r="CH500">
        <f>Model!CP659</f>
        <v>0</v>
      </c>
      <c r="CI500">
        <f>Model!CQ659</f>
        <v>0</v>
      </c>
      <c r="CJ500">
        <f>Model!CR659</f>
        <v>0</v>
      </c>
      <c r="CK500">
        <f>Model!CS659</f>
        <v>0</v>
      </c>
      <c r="CL500">
        <f>Model!CT659</f>
        <v>0</v>
      </c>
      <c r="CM500">
        <f>Model!CU659</f>
        <v>0</v>
      </c>
      <c r="CN500">
        <f>Model!CV659</f>
        <v>0</v>
      </c>
      <c r="CO500">
        <f>Model!CW659</f>
        <v>0</v>
      </c>
      <c r="CP500">
        <f>Model!CX659</f>
        <v>0</v>
      </c>
      <c r="CQ500">
        <f>Model!CY659</f>
        <v>0</v>
      </c>
      <c r="CR500">
        <f>Model!DG659</f>
        <v>0</v>
      </c>
      <c r="CS500">
        <f>Model!DH659</f>
        <v>0</v>
      </c>
      <c r="CT500">
        <f>Model!DI659</f>
        <v>0</v>
      </c>
      <c r="CU500">
        <f>Model!DJ659</f>
        <v>0</v>
      </c>
    </row>
    <row r="501" spans="1:99">
      <c r="A501" t="str">
        <f>Model!I660</f>
        <v>Accounts Receivable</v>
      </c>
      <c r="B501">
        <f>Model!J660</f>
        <v>0</v>
      </c>
      <c r="C501">
        <f>Model!K660</f>
        <v>0</v>
      </c>
      <c r="D501">
        <f>Model!L660</f>
        <v>0</v>
      </c>
      <c r="E501">
        <f>Model!M660</f>
        <v>0</v>
      </c>
      <c r="F501">
        <f>Model!N660</f>
        <v>0</v>
      </c>
      <c r="G501">
        <f>Model!O660</f>
        <v>0</v>
      </c>
      <c r="H501">
        <f>Model!P660</f>
        <v>0</v>
      </c>
      <c r="I501">
        <f>Model!Q660</f>
        <v>0</v>
      </c>
      <c r="J501">
        <f>Model!R660</f>
        <v>0</v>
      </c>
      <c r="K501">
        <f>Model!S660</f>
        <v>0</v>
      </c>
      <c r="L501">
        <f>Model!T660</f>
        <v>0</v>
      </c>
      <c r="M501">
        <f>Model!U660</f>
        <v>0</v>
      </c>
      <c r="N501">
        <f>Model!V660</f>
        <v>0</v>
      </c>
      <c r="O501">
        <f>Model!W660</f>
        <v>0</v>
      </c>
      <c r="P501">
        <f>Model!X660</f>
        <v>0</v>
      </c>
      <c r="Q501">
        <f>Model!Y660</f>
        <v>0</v>
      </c>
      <c r="R501">
        <f>Model!Z660</f>
        <v>0</v>
      </c>
      <c r="S501">
        <f>Model!AA660</f>
        <v>0</v>
      </c>
      <c r="T501">
        <f>Model!AB660</f>
        <v>0</v>
      </c>
      <c r="U501">
        <f>Model!AC660</f>
        <v>0</v>
      </c>
      <c r="V501">
        <f>Model!AD660</f>
        <v>0</v>
      </c>
      <c r="W501">
        <f>Model!AE660</f>
        <v>0</v>
      </c>
      <c r="X501">
        <f>Model!AF660</f>
        <v>0</v>
      </c>
      <c r="Y501">
        <f>Model!AG660</f>
        <v>0</v>
      </c>
      <c r="Z501">
        <f>Model!AH660</f>
        <v>0</v>
      </c>
      <c r="AA501">
        <f>Model!AI660</f>
        <v>0</v>
      </c>
      <c r="AB501">
        <f>Model!AJ660</f>
        <v>0</v>
      </c>
      <c r="AC501">
        <f>Model!AK660</f>
        <v>0</v>
      </c>
      <c r="AD501">
        <f>Model!AL660</f>
        <v>0</v>
      </c>
      <c r="AE501">
        <f>Model!AM660</f>
        <v>0</v>
      </c>
      <c r="AF501">
        <f>Model!AN660</f>
        <v>0</v>
      </c>
      <c r="AG501">
        <f>Model!AO660</f>
        <v>0</v>
      </c>
      <c r="AH501">
        <f>Model!AP660</f>
        <v>0</v>
      </c>
      <c r="AI501">
        <f>Model!AQ660</f>
        <v>0</v>
      </c>
      <c r="AJ501">
        <f>Model!AR660</f>
        <v>0</v>
      </c>
      <c r="AK501">
        <f>Model!AS660</f>
        <v>0</v>
      </c>
      <c r="AL501">
        <f>Model!AT660</f>
        <v>0</v>
      </c>
      <c r="AM501">
        <f>Model!AU660</f>
        <v>0</v>
      </c>
      <c r="AN501">
        <f>Model!AV660</f>
        <v>0</v>
      </c>
      <c r="AO501">
        <f>Model!AW660</f>
        <v>0</v>
      </c>
      <c r="AP501">
        <f>Model!AX660</f>
        <v>0</v>
      </c>
      <c r="AQ501">
        <f>Model!AY660</f>
        <v>0</v>
      </c>
      <c r="AR501">
        <f>Model!AZ660</f>
        <v>0</v>
      </c>
      <c r="AS501">
        <f>Model!BA660</f>
        <v>-56.487000000000002</v>
      </c>
      <c r="AT501">
        <f>Model!BB660</f>
        <v>-97.729000000000013</v>
      </c>
      <c r="AU501">
        <f>Model!BC660</f>
        <v>-47.870999999999974</v>
      </c>
      <c r="AV501">
        <f>Model!BD660</f>
        <v>76.293999999999983</v>
      </c>
      <c r="AW501">
        <f>Model!BE660</f>
        <v>-58.234999999999999</v>
      </c>
      <c r="AX501">
        <f>Model!BF660</f>
        <v>-118.486</v>
      </c>
      <c r="AY501">
        <f>Model!BG660</f>
        <v>-55.938999999999993</v>
      </c>
      <c r="AZ501">
        <f>Model!BH660</f>
        <v>127.383</v>
      </c>
      <c r="BA501">
        <f>Model!BI660</f>
        <v>-115.16200000000001</v>
      </c>
      <c r="BB501">
        <f>Model!BJ660</f>
        <v>-127.821</v>
      </c>
      <c r="BC501">
        <f>Model!BK660</f>
        <v>-40.978000000000009</v>
      </c>
      <c r="BD501">
        <f>Model!BL660</f>
        <v>172.38900000000001</v>
      </c>
      <c r="BE501">
        <f>Model!BM660</f>
        <v>-94.156000000000006</v>
      </c>
      <c r="BF501">
        <f>Model!BN660</f>
        <v>-218.803</v>
      </c>
      <c r="BG501">
        <f>Model!BO660</f>
        <v>-40.398000000000025</v>
      </c>
      <c r="BH501">
        <f>Model!BP660</f>
        <v>171.14800000000002</v>
      </c>
      <c r="BI501">
        <f>Model!BQ660</f>
        <v>-120.593</v>
      </c>
      <c r="BJ501">
        <f>Model!BR660</f>
        <v>-167.34699999999998</v>
      </c>
      <c r="BK501">
        <f>Model!BS660</f>
        <v>-1.6640000000000015</v>
      </c>
      <c r="BL501">
        <f>Model!BT660</f>
        <v>220.90999999999997</v>
      </c>
      <c r="BM501">
        <f>Model!BU660</f>
        <v>-191.70400000000001</v>
      </c>
      <c r="BN501">
        <f>Model!BV660</f>
        <v>-152.44299999999998</v>
      </c>
      <c r="BO501">
        <f>Model!BW660</f>
        <v>-126.14800000000002</v>
      </c>
      <c r="BP501">
        <f>Model!BX660</f>
        <v>186.07400000000001</v>
      </c>
      <c r="BQ501">
        <f>Model!BY660</f>
        <v>-78.427999999999997</v>
      </c>
      <c r="BR501">
        <f>Model!BZ660</f>
        <v>-255.11700000000002</v>
      </c>
      <c r="BS501">
        <f>Model!CA660</f>
        <v>-145.63900000000001</v>
      </c>
      <c r="BT501">
        <f>Model!CB660</f>
        <v>209.452</v>
      </c>
      <c r="BU501">
        <f>Model!CC660</f>
        <v>88.517141260796734</v>
      </c>
      <c r="BV501">
        <f>Model!CD660</f>
        <v>-369.13635073328965</v>
      </c>
      <c r="BW501">
        <f>Model!CE660</f>
        <v>-172.53371944567789</v>
      </c>
      <c r="BX501">
        <f>Model!CF660</f>
        <v>145.49460172635349</v>
      </c>
      <c r="BY501">
        <f>Model!CG660</f>
        <v>0</v>
      </c>
      <c r="BZ501">
        <f>Model!CH660</f>
        <v>0</v>
      </c>
      <c r="CA501">
        <f>Model!CI660</f>
        <v>0</v>
      </c>
      <c r="CB501">
        <f>Model!CJ660</f>
        <v>0</v>
      </c>
      <c r="CC501">
        <f>Model!CK660</f>
        <v>0</v>
      </c>
      <c r="CD501">
        <f>Model!CL660</f>
        <v>0</v>
      </c>
      <c r="CE501">
        <f>Model!CM660</f>
        <v>0</v>
      </c>
      <c r="CF501">
        <f>Model!CN660</f>
        <v>0</v>
      </c>
      <c r="CG501">
        <f>Model!CO660</f>
        <v>0</v>
      </c>
      <c r="CH501">
        <f>Model!CP660</f>
        <v>0</v>
      </c>
      <c r="CI501">
        <f>Model!CQ660</f>
        <v>-29.274999999999999</v>
      </c>
      <c r="CJ501">
        <f>Model!CR660</f>
        <v>-125.79300000000001</v>
      </c>
      <c r="CK501">
        <f>Model!CS660</f>
        <v>-105.277</v>
      </c>
      <c r="CL501">
        <f>Model!CT660</f>
        <v>-111.572</v>
      </c>
      <c r="CM501">
        <f>Model!CU660</f>
        <v>-182.209</v>
      </c>
      <c r="CN501">
        <f>Model!CV660</f>
        <v>-68.694000000000003</v>
      </c>
      <c r="CO501">
        <f>Model!CW660</f>
        <v>-284.221</v>
      </c>
      <c r="CP501">
        <f>Model!CX660</f>
        <v>-269.73200000000003</v>
      </c>
      <c r="CQ501">
        <f>Model!CY660</f>
        <v>-307.65832719181731</v>
      </c>
      <c r="CR501">
        <f>Model!DG660</f>
        <v>0</v>
      </c>
      <c r="CS501">
        <f>Model!DH660</f>
        <v>0</v>
      </c>
      <c r="CT501">
        <f>Model!DI660</f>
        <v>0</v>
      </c>
      <c r="CU501">
        <f>Model!DJ660</f>
        <v>0</v>
      </c>
    </row>
    <row r="502" spans="1:99">
      <c r="A502" t="str">
        <f>Model!I661</f>
        <v>Prepaid Expenses and Other Current Assets</v>
      </c>
      <c r="B502">
        <f>Model!J661</f>
        <v>0</v>
      </c>
      <c r="C502">
        <f>Model!K661</f>
        <v>0</v>
      </c>
      <c r="D502">
        <f>Model!L661</f>
        <v>0</v>
      </c>
      <c r="E502">
        <f>Model!M661</f>
        <v>0</v>
      </c>
      <c r="F502">
        <f>Model!N661</f>
        <v>0</v>
      </c>
      <c r="G502">
        <f>Model!O661</f>
        <v>0</v>
      </c>
      <c r="H502">
        <f>Model!P661</f>
        <v>0</v>
      </c>
      <c r="I502">
        <f>Model!Q661</f>
        <v>0</v>
      </c>
      <c r="J502">
        <f>Model!R661</f>
        <v>0</v>
      </c>
      <c r="K502">
        <f>Model!S661</f>
        <v>0</v>
      </c>
      <c r="L502">
        <f>Model!T661</f>
        <v>0</v>
      </c>
      <c r="M502">
        <f>Model!U661</f>
        <v>0</v>
      </c>
      <c r="N502">
        <f>Model!V661</f>
        <v>0</v>
      </c>
      <c r="O502">
        <f>Model!W661</f>
        <v>0</v>
      </c>
      <c r="P502">
        <f>Model!X661</f>
        <v>0</v>
      </c>
      <c r="Q502">
        <f>Model!Y661</f>
        <v>0</v>
      </c>
      <c r="R502">
        <f>Model!Z661</f>
        <v>0</v>
      </c>
      <c r="S502">
        <f>Model!AA661</f>
        <v>0</v>
      </c>
      <c r="T502">
        <f>Model!AB661</f>
        <v>0</v>
      </c>
      <c r="U502">
        <f>Model!AC661</f>
        <v>0</v>
      </c>
      <c r="V502">
        <f>Model!AD661</f>
        <v>0</v>
      </c>
      <c r="W502">
        <f>Model!AE661</f>
        <v>0</v>
      </c>
      <c r="X502">
        <f>Model!AF661</f>
        <v>0</v>
      </c>
      <c r="Y502">
        <f>Model!AG661</f>
        <v>0</v>
      </c>
      <c r="Z502">
        <f>Model!AH661</f>
        <v>0</v>
      </c>
      <c r="AA502">
        <f>Model!AI661</f>
        <v>0</v>
      </c>
      <c r="AB502">
        <f>Model!AJ661</f>
        <v>0</v>
      </c>
      <c r="AC502">
        <f>Model!AK661</f>
        <v>0</v>
      </c>
      <c r="AD502">
        <f>Model!AL661</f>
        <v>0</v>
      </c>
      <c r="AE502">
        <f>Model!AM661</f>
        <v>0</v>
      </c>
      <c r="AF502">
        <f>Model!AN661</f>
        <v>0</v>
      </c>
      <c r="AG502">
        <f>Model!AO661</f>
        <v>0</v>
      </c>
      <c r="AH502">
        <f>Model!AP661</f>
        <v>0</v>
      </c>
      <c r="AI502">
        <f>Model!AQ661</f>
        <v>0</v>
      </c>
      <c r="AJ502">
        <f>Model!AR661</f>
        <v>0</v>
      </c>
      <c r="AK502">
        <f>Model!AS661</f>
        <v>0</v>
      </c>
      <c r="AL502">
        <f>Model!AT661</f>
        <v>0</v>
      </c>
      <c r="AM502">
        <f>Model!AU661</f>
        <v>0</v>
      </c>
      <c r="AN502">
        <f>Model!AV661</f>
        <v>0</v>
      </c>
      <c r="AO502">
        <f>Model!AW661</f>
        <v>0</v>
      </c>
      <c r="AP502">
        <f>Model!AX661</f>
        <v>0</v>
      </c>
      <c r="AQ502">
        <f>Model!AY661</f>
        <v>0</v>
      </c>
      <c r="AR502">
        <f>Model!AZ661</f>
        <v>0</v>
      </c>
      <c r="AS502">
        <f>Model!BA661</f>
        <v>3.3069999999999999</v>
      </c>
      <c r="AT502">
        <f>Model!BB661</f>
        <v>5.782</v>
      </c>
      <c r="AU502">
        <f>Model!BC661</f>
        <v>-3.1080000000000001</v>
      </c>
      <c r="AV502">
        <f>Model!BD661</f>
        <v>6.2319999999999993</v>
      </c>
      <c r="AW502">
        <f>Model!BE661</f>
        <v>-145.345</v>
      </c>
      <c r="AX502">
        <f>Model!BF661</f>
        <v>49.953000000000003</v>
      </c>
      <c r="AY502">
        <f>Model!BG661</f>
        <v>-1.664999999999992</v>
      </c>
      <c r="AZ502">
        <f>Model!BH661</f>
        <v>56.263999999999982</v>
      </c>
      <c r="BA502">
        <f>Model!BI661</f>
        <v>-207.99299999999999</v>
      </c>
      <c r="BB502">
        <f>Model!BJ661</f>
        <v>74.935000000000002</v>
      </c>
      <c r="BC502">
        <f>Model!BK661</f>
        <v>124.544</v>
      </c>
      <c r="BD502">
        <f>Model!BL661</f>
        <v>1.6049999999999898</v>
      </c>
      <c r="BE502">
        <f>Model!BM661</f>
        <v>-317.81200000000001</v>
      </c>
      <c r="BF502">
        <f>Model!BN661</f>
        <v>53.84899999999999</v>
      </c>
      <c r="BG502">
        <f>Model!BO661</f>
        <v>228.62200000000001</v>
      </c>
      <c r="BH502">
        <f>Model!BP661</f>
        <v>-13.591000000000008</v>
      </c>
      <c r="BI502">
        <f>Model!BQ661</f>
        <v>-292.66800000000001</v>
      </c>
      <c r="BJ502">
        <f>Model!BR661</f>
        <v>-7.8140000000000214</v>
      </c>
      <c r="BK502">
        <f>Model!BS661</f>
        <v>213.67400000000004</v>
      </c>
      <c r="BL502">
        <f>Model!BT661</f>
        <v>5.1970000000000027</v>
      </c>
      <c r="BM502">
        <f>Model!BU661</f>
        <v>-340.48500000000001</v>
      </c>
      <c r="BN502">
        <f>Model!BV661</f>
        <v>53.509000000000015</v>
      </c>
      <c r="BO502">
        <f>Model!BW661</f>
        <v>182.87900000000002</v>
      </c>
      <c r="BP502">
        <f>Model!BX661</f>
        <v>109.59199999999998</v>
      </c>
      <c r="BQ502">
        <f>Model!BY661</f>
        <v>-443.64299999999997</v>
      </c>
      <c r="BR502">
        <f>Model!BZ661</f>
        <v>5.0019999999999527</v>
      </c>
      <c r="BS502">
        <f>Model!CA661</f>
        <v>302.33699999999999</v>
      </c>
      <c r="BT502">
        <f>Model!CB661</f>
        <v>12.035000000000025</v>
      </c>
      <c r="BU502">
        <f>Model!CC661</f>
        <v>-410.5963596594807</v>
      </c>
      <c r="BV502">
        <f>Model!CD661</f>
        <v>-9.0247669101038355</v>
      </c>
      <c r="BW502">
        <f>Model!CE661</f>
        <v>331.33255559492278</v>
      </c>
      <c r="BX502">
        <f>Model!CF661</f>
        <v>-16.687809996477483</v>
      </c>
      <c r="BY502">
        <f>Model!CG661</f>
        <v>0</v>
      </c>
      <c r="BZ502">
        <f>Model!CH661</f>
        <v>0</v>
      </c>
      <c r="CA502">
        <f>Model!CI661</f>
        <v>0</v>
      </c>
      <c r="CB502">
        <f>Model!CJ661</f>
        <v>0</v>
      </c>
      <c r="CC502">
        <f>Model!CK661</f>
        <v>0</v>
      </c>
      <c r="CD502">
        <f>Model!CL661</f>
        <v>0</v>
      </c>
      <c r="CE502">
        <f>Model!CM661</f>
        <v>0</v>
      </c>
      <c r="CF502">
        <f>Model!CN661</f>
        <v>0</v>
      </c>
      <c r="CG502">
        <f>Model!CO661</f>
        <v>0</v>
      </c>
      <c r="CH502">
        <f>Model!CP661</f>
        <v>0</v>
      </c>
      <c r="CI502">
        <f>Model!CQ661</f>
        <v>-22.373000000000001</v>
      </c>
      <c r="CJ502">
        <f>Model!CR661</f>
        <v>12.212999999999999</v>
      </c>
      <c r="CK502">
        <f>Model!CS661</f>
        <v>-40.793000000000006</v>
      </c>
      <c r="CL502">
        <f>Model!CT661</f>
        <v>-6.909000000000006</v>
      </c>
      <c r="CM502">
        <f>Model!CU661</f>
        <v>-48.932000000000002</v>
      </c>
      <c r="CN502">
        <f>Model!CV661</f>
        <v>-81.611000000000004</v>
      </c>
      <c r="CO502">
        <f>Model!CW661</f>
        <v>5.4950000000000001</v>
      </c>
      <c r="CP502">
        <f>Model!CX661</f>
        <v>-124.26900000000001</v>
      </c>
      <c r="CQ502">
        <f>Model!CY661</f>
        <v>-104.97638097113924</v>
      </c>
      <c r="CR502">
        <f>Model!DG661</f>
        <v>0</v>
      </c>
      <c r="CS502">
        <f>Model!DH661</f>
        <v>0</v>
      </c>
      <c r="CT502">
        <f>Model!DI661</f>
        <v>0</v>
      </c>
      <c r="CU502">
        <f>Model!DJ661</f>
        <v>0</v>
      </c>
    </row>
    <row r="503" spans="1:99">
      <c r="A503" t="str">
        <f>Model!I662</f>
        <v>Accounts Payable, Accrued Expenses and Other Current Liabilities</v>
      </c>
      <c r="B503">
        <f>Model!J662</f>
        <v>0</v>
      </c>
      <c r="C503">
        <f>Model!K662</f>
        <v>0</v>
      </c>
      <c r="D503">
        <f>Model!L662</f>
        <v>0</v>
      </c>
      <c r="E503">
        <f>Model!M662</f>
        <v>0</v>
      </c>
      <c r="F503">
        <f>Model!N662</f>
        <v>0</v>
      </c>
      <c r="G503">
        <f>Model!O662</f>
        <v>0</v>
      </c>
      <c r="H503">
        <f>Model!P662</f>
        <v>0</v>
      </c>
      <c r="I503">
        <f>Model!Q662</f>
        <v>0</v>
      </c>
      <c r="J503">
        <f>Model!R662</f>
        <v>0</v>
      </c>
      <c r="K503">
        <f>Model!S662</f>
        <v>0</v>
      </c>
      <c r="L503">
        <f>Model!T662</f>
        <v>0</v>
      </c>
      <c r="M503">
        <f>Model!U662</f>
        <v>0</v>
      </c>
      <c r="N503">
        <f>Model!V662</f>
        <v>0</v>
      </c>
      <c r="O503">
        <f>Model!W662</f>
        <v>0</v>
      </c>
      <c r="P503">
        <f>Model!X662</f>
        <v>0</v>
      </c>
      <c r="Q503">
        <f>Model!Y662</f>
        <v>0</v>
      </c>
      <c r="R503">
        <f>Model!Z662</f>
        <v>0</v>
      </c>
      <c r="S503">
        <f>Model!AA662</f>
        <v>0</v>
      </c>
      <c r="T503">
        <f>Model!AB662</f>
        <v>0</v>
      </c>
      <c r="U503">
        <f>Model!AC662</f>
        <v>0</v>
      </c>
      <c r="V503">
        <f>Model!AD662</f>
        <v>0</v>
      </c>
      <c r="W503">
        <f>Model!AE662</f>
        <v>0</v>
      </c>
      <c r="X503">
        <f>Model!AF662</f>
        <v>0</v>
      </c>
      <c r="Y503">
        <f>Model!AG662</f>
        <v>0</v>
      </c>
      <c r="Z503">
        <f>Model!AH662</f>
        <v>0</v>
      </c>
      <c r="AA503">
        <f>Model!AI662</f>
        <v>0</v>
      </c>
      <c r="AB503">
        <f>Model!AJ662</f>
        <v>0</v>
      </c>
      <c r="AC503">
        <f>Model!AK662</f>
        <v>0</v>
      </c>
      <c r="AD503">
        <f>Model!AL662</f>
        <v>0</v>
      </c>
      <c r="AE503">
        <f>Model!AM662</f>
        <v>0</v>
      </c>
      <c r="AF503">
        <f>Model!AN662</f>
        <v>0</v>
      </c>
      <c r="AG503">
        <f>Model!AO662</f>
        <v>0</v>
      </c>
      <c r="AH503">
        <f>Model!AP662</f>
        <v>0</v>
      </c>
      <c r="AI503">
        <f>Model!AQ662</f>
        <v>0</v>
      </c>
      <c r="AJ503">
        <f>Model!AR662</f>
        <v>0</v>
      </c>
      <c r="AK503">
        <f>Model!AS662</f>
        <v>0</v>
      </c>
      <c r="AL503">
        <f>Model!AT662</f>
        <v>0</v>
      </c>
      <c r="AM503">
        <f>Model!AU662</f>
        <v>0</v>
      </c>
      <c r="AN503">
        <f>Model!AV662</f>
        <v>0</v>
      </c>
      <c r="AO503">
        <f>Model!AW662</f>
        <v>0</v>
      </c>
      <c r="AP503">
        <f>Model!AX662</f>
        <v>0</v>
      </c>
      <c r="AQ503">
        <f>Model!AY662</f>
        <v>0</v>
      </c>
      <c r="AR503">
        <f>Model!AZ662</f>
        <v>0</v>
      </c>
      <c r="AS503">
        <f>Model!BA662</f>
        <v>177.76300000000001</v>
      </c>
      <c r="AT503">
        <f>Model!BB662</f>
        <v>26.543999999999983</v>
      </c>
      <c r="AU503">
        <f>Model!BC662</f>
        <v>87.853000000000037</v>
      </c>
      <c r="AV503">
        <f>Model!BD662</f>
        <v>-81.835000000000036</v>
      </c>
      <c r="AW503">
        <f>Model!BE662</f>
        <v>153.239</v>
      </c>
      <c r="AX503">
        <f>Model!BF662</f>
        <v>91.444999999999993</v>
      </c>
      <c r="AY503">
        <f>Model!BG662</f>
        <v>73.369999999999976</v>
      </c>
      <c r="AZ503">
        <f>Model!BH662</f>
        <v>-62.032999999999959</v>
      </c>
      <c r="BA503">
        <f>Model!BI662</f>
        <v>188.11199999999999</v>
      </c>
      <c r="BB503">
        <f>Model!BJ662</f>
        <v>139.898</v>
      </c>
      <c r="BC503">
        <f>Model!BK662</f>
        <v>-47.064999999999998</v>
      </c>
      <c r="BD503">
        <f>Model!BL662</f>
        <v>-98.781999999999982</v>
      </c>
      <c r="BE503">
        <f>Model!BM662</f>
        <v>147.608</v>
      </c>
      <c r="BF503">
        <f>Model!BN662</f>
        <v>165.31700000000001</v>
      </c>
      <c r="BG503">
        <f>Model!BO662</f>
        <v>-103.36800000000002</v>
      </c>
      <c r="BH503">
        <f>Model!BP662</f>
        <v>-5.686999999999955</v>
      </c>
      <c r="BI503">
        <f>Model!BQ662</f>
        <v>201.215</v>
      </c>
      <c r="BJ503">
        <f>Model!BR662</f>
        <v>204.60299999999998</v>
      </c>
      <c r="BK503">
        <f>Model!BS662</f>
        <v>-213.93699999999998</v>
      </c>
      <c r="BL503">
        <f>Model!BT662</f>
        <v>-25.680000000000007</v>
      </c>
      <c r="BM503">
        <f>Model!BU662</f>
        <v>311.99099999999999</v>
      </c>
      <c r="BN503">
        <f>Model!BV662</f>
        <v>375.98199999999997</v>
      </c>
      <c r="BO503">
        <f>Model!BW662</f>
        <v>-161.55899999999997</v>
      </c>
      <c r="BP503">
        <f>Model!BX662</f>
        <v>-10.057999999999993</v>
      </c>
      <c r="BQ503">
        <f>Model!BY662</f>
        <v>305.75799999999998</v>
      </c>
      <c r="BR503">
        <f>Model!BZ662</f>
        <v>567.94700000000012</v>
      </c>
      <c r="BS503">
        <f>Model!CA662</f>
        <v>-232.74500000000006</v>
      </c>
      <c r="BT503">
        <f>Model!CB662</f>
        <v>46.485999999999933</v>
      </c>
      <c r="BU503">
        <f>Model!CC662</f>
        <v>-177.39512559696476</v>
      </c>
      <c r="BV503">
        <f>Model!CD662</f>
        <v>685.30152803203828</v>
      </c>
      <c r="BW503">
        <f>Model!CE662</f>
        <v>-276.93444990889407</v>
      </c>
      <c r="BX503">
        <f>Model!CF662</f>
        <v>301.43080823214598</v>
      </c>
      <c r="BY503">
        <f>Model!CG662</f>
        <v>0</v>
      </c>
      <c r="BZ503">
        <f>Model!CH662</f>
        <v>0</v>
      </c>
      <c r="CA503">
        <f>Model!CI662</f>
        <v>0</v>
      </c>
      <c r="CB503">
        <f>Model!CJ662</f>
        <v>0</v>
      </c>
      <c r="CC503">
        <f>Model!CK662</f>
        <v>0</v>
      </c>
      <c r="CD503">
        <f>Model!CL662</f>
        <v>0</v>
      </c>
      <c r="CE503">
        <f>Model!CM662</f>
        <v>0</v>
      </c>
      <c r="CF503">
        <f>Model!CN662</f>
        <v>0</v>
      </c>
      <c r="CG503">
        <f>Model!CO662</f>
        <v>0</v>
      </c>
      <c r="CH503">
        <f>Model!CP662</f>
        <v>0</v>
      </c>
      <c r="CI503">
        <f>Model!CQ662</f>
        <v>84.75</v>
      </c>
      <c r="CJ503">
        <f>Model!CR662</f>
        <v>210.32499999999999</v>
      </c>
      <c r="CK503">
        <f>Model!CS662</f>
        <v>256.02100000000002</v>
      </c>
      <c r="CL503">
        <f>Model!CT662</f>
        <v>182.16300000000001</v>
      </c>
      <c r="CM503">
        <f>Model!CU662</f>
        <v>203.87</v>
      </c>
      <c r="CN503">
        <f>Model!CV662</f>
        <v>166.20099999999999</v>
      </c>
      <c r="CO503">
        <f>Model!CW662</f>
        <v>516.35599999999999</v>
      </c>
      <c r="CP503">
        <f>Model!CX662</f>
        <v>687.44600000000003</v>
      </c>
      <c r="CQ503">
        <f>Model!CY662</f>
        <v>532.40276075832548</v>
      </c>
      <c r="CR503">
        <f>Model!DG662</f>
        <v>0</v>
      </c>
      <c r="CS503">
        <f>Model!DH662</f>
        <v>0</v>
      </c>
      <c r="CT503">
        <f>Model!DI662</f>
        <v>0</v>
      </c>
      <c r="CU503">
        <f>Model!DJ662</f>
        <v>0</v>
      </c>
    </row>
    <row r="504" spans="1:99">
      <c r="A504" t="str">
        <f>Model!I663</f>
        <v>Other</v>
      </c>
      <c r="B504">
        <f>Model!J663</f>
        <v>0</v>
      </c>
      <c r="C504">
        <f>Model!K663</f>
        <v>0</v>
      </c>
      <c r="D504">
        <f>Model!L663</f>
        <v>0</v>
      </c>
      <c r="E504">
        <f>Model!M663</f>
        <v>0</v>
      </c>
      <c r="F504">
        <f>Model!N663</f>
        <v>0</v>
      </c>
      <c r="G504">
        <f>Model!O663</f>
        <v>0</v>
      </c>
      <c r="H504">
        <f>Model!P663</f>
        <v>0</v>
      </c>
      <c r="I504">
        <f>Model!Q663</f>
        <v>0</v>
      </c>
      <c r="J504">
        <f>Model!R663</f>
        <v>0</v>
      </c>
      <c r="K504">
        <f>Model!S663</f>
        <v>0</v>
      </c>
      <c r="L504">
        <f>Model!T663</f>
        <v>0</v>
      </c>
      <c r="M504">
        <f>Model!U663</f>
        <v>0</v>
      </c>
      <c r="N504">
        <f>Model!V663</f>
        <v>0</v>
      </c>
      <c r="O504">
        <f>Model!W663</f>
        <v>0</v>
      </c>
      <c r="P504">
        <f>Model!X663</f>
        <v>0</v>
      </c>
      <c r="Q504">
        <f>Model!Y663</f>
        <v>0</v>
      </c>
      <c r="R504">
        <f>Model!Z663</f>
        <v>0</v>
      </c>
      <c r="S504">
        <f>Model!AA663</f>
        <v>0</v>
      </c>
      <c r="T504">
        <f>Model!AB663</f>
        <v>0</v>
      </c>
      <c r="U504">
        <f>Model!AC663</f>
        <v>0</v>
      </c>
      <c r="V504">
        <f>Model!AD663</f>
        <v>0</v>
      </c>
      <c r="W504">
        <f>Model!AE663</f>
        <v>0</v>
      </c>
      <c r="X504">
        <f>Model!AF663</f>
        <v>0</v>
      </c>
      <c r="Y504">
        <f>Model!AG663</f>
        <v>0</v>
      </c>
      <c r="Z504">
        <f>Model!AH663</f>
        <v>0</v>
      </c>
      <c r="AA504">
        <f>Model!AI663</f>
        <v>0</v>
      </c>
      <c r="AB504">
        <f>Model!AJ663</f>
        <v>0</v>
      </c>
      <c r="AC504">
        <f>Model!AK663</f>
        <v>0</v>
      </c>
      <c r="AD504">
        <f>Model!AL663</f>
        <v>0</v>
      </c>
      <c r="AE504">
        <f>Model!AM663</f>
        <v>0</v>
      </c>
      <c r="AF504">
        <f>Model!AN663</f>
        <v>0</v>
      </c>
      <c r="AG504">
        <f>Model!AO663</f>
        <v>0</v>
      </c>
      <c r="AH504">
        <f>Model!AP663</f>
        <v>0</v>
      </c>
      <c r="AI504">
        <f>Model!AQ663</f>
        <v>0</v>
      </c>
      <c r="AJ504">
        <f>Model!AR663</f>
        <v>0</v>
      </c>
      <c r="AK504">
        <f>Model!AS663</f>
        <v>0</v>
      </c>
      <c r="AL504">
        <f>Model!AT663</f>
        <v>0</v>
      </c>
      <c r="AM504">
        <f>Model!AU663</f>
        <v>0</v>
      </c>
      <c r="AN504">
        <f>Model!AV663</f>
        <v>0</v>
      </c>
      <c r="AO504">
        <f>Model!AW663</f>
        <v>0</v>
      </c>
      <c r="AP504">
        <f>Model!AX663</f>
        <v>0</v>
      </c>
      <c r="AQ504">
        <f>Model!AY663</f>
        <v>0</v>
      </c>
      <c r="AR504">
        <f>Model!AZ663</f>
        <v>0</v>
      </c>
      <c r="AS504">
        <f>Model!BA663</f>
        <v>4.17</v>
      </c>
      <c r="AT504">
        <f>Model!BB663</f>
        <v>-14.03</v>
      </c>
      <c r="AU504">
        <f>Model!BC663</f>
        <v>0.29599999999999937</v>
      </c>
      <c r="AV504">
        <f>Model!BD663</f>
        <v>-2.4019999999999992</v>
      </c>
      <c r="AW504">
        <f>Model!BE663</f>
        <v>1.4850000000000001</v>
      </c>
      <c r="AX504">
        <f>Model!BF663</f>
        <v>-1.2320000000000002</v>
      </c>
      <c r="AY504">
        <f>Model!BG663</f>
        <v>5.99</v>
      </c>
      <c r="AZ504">
        <f>Model!BH663</f>
        <v>27.620999999999995</v>
      </c>
      <c r="BA504">
        <f>Model!BI663</f>
        <v>23.422999999999998</v>
      </c>
      <c r="BB504">
        <f>Model!BJ663</f>
        <v>-14.515999999999998</v>
      </c>
      <c r="BC504">
        <f>Model!BK663</f>
        <v>-7.5039999999999996</v>
      </c>
      <c r="BD504">
        <f>Model!BL663</f>
        <v>-12.144</v>
      </c>
      <c r="BE504">
        <f>Model!BM663</f>
        <v>2.7050000000000001</v>
      </c>
      <c r="BF504">
        <f>Model!BN663</f>
        <v>-0.371</v>
      </c>
      <c r="BG504">
        <f>Model!BO663</f>
        <v>-2.1320000000000001</v>
      </c>
      <c r="BH504">
        <f>Model!BP663</f>
        <v>1.6739999999999995</v>
      </c>
      <c r="BI504">
        <f>Model!BQ663</f>
        <v>-23.919</v>
      </c>
      <c r="BJ504">
        <f>Model!BR663</f>
        <v>10.49</v>
      </c>
      <c r="BK504">
        <f>Model!BS663</f>
        <v>-13.120999999999999</v>
      </c>
      <c r="BL504">
        <f>Model!BT663</f>
        <v>2.6410000000000018</v>
      </c>
      <c r="BM504">
        <f>Model!BU663</f>
        <v>0.86899999999999999</v>
      </c>
      <c r="BN504">
        <f>Model!BV663</f>
        <v>-11.432</v>
      </c>
      <c r="BO504">
        <f>Model!BW663</f>
        <v>-10.404999999999999</v>
      </c>
      <c r="BP504">
        <f>Model!BX663</f>
        <v>-0.7890000000000017</v>
      </c>
      <c r="BQ504">
        <f>Model!BY663</f>
        <v>-9.9619999999999997</v>
      </c>
      <c r="BR504">
        <f>Model!BZ663</f>
        <v>12.986000000000001</v>
      </c>
      <c r="BS504">
        <f>Model!CA663</f>
        <v>28.196999999999999</v>
      </c>
      <c r="BT504">
        <f>Model!CB663</f>
        <v>1253.701</v>
      </c>
      <c r="BU504">
        <f>Model!CC663</f>
        <v>0</v>
      </c>
      <c r="BV504">
        <f>Model!CD663</f>
        <v>0</v>
      </c>
      <c r="BW504">
        <f>Model!CE663</f>
        <v>0</v>
      </c>
      <c r="BX504">
        <f>Model!CF663</f>
        <v>0</v>
      </c>
      <c r="BY504">
        <f>Model!CG663</f>
        <v>0</v>
      </c>
      <c r="BZ504">
        <f>Model!CH663</f>
        <v>0</v>
      </c>
      <c r="CA504">
        <f>Model!CI663</f>
        <v>0</v>
      </c>
      <c r="CB504">
        <f>Model!CJ663</f>
        <v>0</v>
      </c>
      <c r="CC504">
        <f>Model!CK663</f>
        <v>0</v>
      </c>
      <c r="CD504">
        <f>Model!CL663</f>
        <v>0</v>
      </c>
      <c r="CE504">
        <f>Model!CM663</f>
        <v>0</v>
      </c>
      <c r="CF504">
        <f>Model!CN663</f>
        <v>0</v>
      </c>
      <c r="CG504">
        <f>Model!CO663</f>
        <v>0</v>
      </c>
      <c r="CH504">
        <f>Model!CP663</f>
        <v>0</v>
      </c>
      <c r="CI504">
        <f>Model!CQ663</f>
        <v>17.774999999999999</v>
      </c>
      <c r="CJ504">
        <f>Model!CR663</f>
        <v>-11.965999999999999</v>
      </c>
      <c r="CK504">
        <f>Model!CS663</f>
        <v>33.863999999999997</v>
      </c>
      <c r="CL504">
        <f>Model!CT663</f>
        <v>-10.741</v>
      </c>
      <c r="CM504">
        <f>Model!CU663</f>
        <v>1.8759999999999999</v>
      </c>
      <c r="CN504">
        <f>Model!CV663</f>
        <v>-23.908999999999999</v>
      </c>
      <c r="CO504">
        <f>Model!CW663</f>
        <v>-21.757000000000001</v>
      </c>
      <c r="CP504">
        <f>Model!CX663</f>
        <v>1284.922</v>
      </c>
      <c r="CQ504">
        <f>Model!CY663</f>
        <v>0</v>
      </c>
      <c r="CR504">
        <f>Model!DG663</f>
        <v>0</v>
      </c>
      <c r="CS504">
        <f>Model!DH663</f>
        <v>0</v>
      </c>
      <c r="CT504">
        <f>Model!DI663</f>
        <v>0</v>
      </c>
      <c r="CU504">
        <f>Model!DJ663</f>
        <v>0</v>
      </c>
    </row>
    <row r="505" spans="1:99">
      <c r="A505" t="str">
        <f>Model!I664</f>
        <v>Total Changes in Working Capital</v>
      </c>
      <c r="B505">
        <f>Model!J664</f>
        <v>0</v>
      </c>
      <c r="C505">
        <f>Model!K664</f>
        <v>0</v>
      </c>
      <c r="D505">
        <f>Model!L664</f>
        <v>0</v>
      </c>
      <c r="E505">
        <f>Model!M664</f>
        <v>0</v>
      </c>
      <c r="F505">
        <f>Model!N664</f>
        <v>0</v>
      </c>
      <c r="G505">
        <f>Model!O664</f>
        <v>0</v>
      </c>
      <c r="H505">
        <f>Model!P664</f>
        <v>0</v>
      </c>
      <c r="I505">
        <f>Model!Q664</f>
        <v>0</v>
      </c>
      <c r="J505">
        <f>Model!R664</f>
        <v>0</v>
      </c>
      <c r="K505">
        <f>Model!S664</f>
        <v>0</v>
      </c>
      <c r="L505">
        <f>Model!T664</f>
        <v>0</v>
      </c>
      <c r="M505">
        <f>Model!U664</f>
        <v>0</v>
      </c>
      <c r="N505">
        <f>Model!V664</f>
        <v>0</v>
      </c>
      <c r="O505">
        <f>Model!W664</f>
        <v>0</v>
      </c>
      <c r="P505">
        <f>Model!X664</f>
        <v>0</v>
      </c>
      <c r="Q505">
        <f>Model!Y664</f>
        <v>0</v>
      </c>
      <c r="R505">
        <f>Model!Z664</f>
        <v>0</v>
      </c>
      <c r="S505">
        <f>Model!AA664</f>
        <v>0</v>
      </c>
      <c r="T505">
        <f>Model!AB664</f>
        <v>0</v>
      </c>
      <c r="U505">
        <f>Model!AC664</f>
        <v>0</v>
      </c>
      <c r="V505">
        <f>Model!AD664</f>
        <v>0</v>
      </c>
      <c r="W505">
        <f>Model!AE664</f>
        <v>0</v>
      </c>
      <c r="X505">
        <f>Model!AF664</f>
        <v>0</v>
      </c>
      <c r="Y505">
        <f>Model!AG664</f>
        <v>0</v>
      </c>
      <c r="Z505">
        <f>Model!AH664</f>
        <v>0</v>
      </c>
      <c r="AA505">
        <f>Model!AI664</f>
        <v>0</v>
      </c>
      <c r="AB505">
        <f>Model!AJ664</f>
        <v>0</v>
      </c>
      <c r="AC505">
        <f>Model!AK664</f>
        <v>0</v>
      </c>
      <c r="AD505">
        <f>Model!AL664</f>
        <v>0</v>
      </c>
      <c r="AE505">
        <f>Model!AM664</f>
        <v>0</v>
      </c>
      <c r="AF505">
        <f>Model!AN664</f>
        <v>0</v>
      </c>
      <c r="AG505">
        <f>Model!AO664</f>
        <v>0</v>
      </c>
      <c r="AH505">
        <f>Model!AP664</f>
        <v>0</v>
      </c>
      <c r="AI505">
        <f>Model!AQ664</f>
        <v>0</v>
      </c>
      <c r="AJ505">
        <f>Model!AR664</f>
        <v>0</v>
      </c>
      <c r="AK505">
        <f>Model!AS664</f>
        <v>0</v>
      </c>
      <c r="AL505">
        <f>Model!AT664</f>
        <v>0</v>
      </c>
      <c r="AM505">
        <f>Model!AU664</f>
        <v>0</v>
      </c>
      <c r="AN505">
        <f>Model!AV664</f>
        <v>0</v>
      </c>
      <c r="AO505">
        <f>Model!AW664</f>
        <v>0</v>
      </c>
      <c r="AP505">
        <f>Model!AX664</f>
        <v>0</v>
      </c>
      <c r="AQ505">
        <f>Model!AY664</f>
        <v>0</v>
      </c>
      <c r="AR505">
        <f>Model!AZ664</f>
        <v>0</v>
      </c>
      <c r="AS505">
        <f>Model!BA664</f>
        <v>128.75299999999999</v>
      </c>
      <c r="AT505">
        <f>Model!BB664</f>
        <v>-79.433000000000035</v>
      </c>
      <c r="AU505">
        <f>Model!BC664</f>
        <v>37.170000000000066</v>
      </c>
      <c r="AV505">
        <f>Model!BD664</f>
        <v>-1.7110000000000536</v>
      </c>
      <c r="AW505">
        <f>Model!BE664</f>
        <v>-48.85599999999998</v>
      </c>
      <c r="AX505">
        <f>Model!BF664</f>
        <v>21.679999999999993</v>
      </c>
      <c r="AY505">
        <f>Model!BG664</f>
        <v>21.755999999999993</v>
      </c>
      <c r="AZ505">
        <f>Model!BH664</f>
        <v>149.23500000000001</v>
      </c>
      <c r="BA505">
        <f>Model!BI664</f>
        <v>-111.61999999999998</v>
      </c>
      <c r="BB505">
        <f>Model!BJ664</f>
        <v>72.496000000000009</v>
      </c>
      <c r="BC505">
        <f>Model!BK664</f>
        <v>28.996999999999993</v>
      </c>
      <c r="BD505">
        <f>Model!BL664</f>
        <v>63.068000000000019</v>
      </c>
      <c r="BE505">
        <f>Model!BM664</f>
        <v>-261.65500000000003</v>
      </c>
      <c r="BF505">
        <f>Model!BN664</f>
        <v>-8.0000000000004512E-3</v>
      </c>
      <c r="BG505">
        <f>Model!BO664</f>
        <v>82.723999999999961</v>
      </c>
      <c r="BH505">
        <f>Model!BP664</f>
        <v>153.54400000000007</v>
      </c>
      <c r="BI505">
        <f>Model!BQ664</f>
        <v>-235.96500000000003</v>
      </c>
      <c r="BJ505">
        <f>Model!BR664</f>
        <v>39.931999999999981</v>
      </c>
      <c r="BK505">
        <f>Model!BS664</f>
        <v>-15.047999999999934</v>
      </c>
      <c r="BL505">
        <f>Model!BT664</f>
        <v>203.06799999999996</v>
      </c>
      <c r="BM505">
        <f>Model!BU664</f>
        <v>-219.32900000000009</v>
      </c>
      <c r="BN505">
        <f>Model!BV664</f>
        <v>265.61599999999999</v>
      </c>
      <c r="BO505">
        <f>Model!BW664</f>
        <v>-115.23299999999998</v>
      </c>
      <c r="BP505">
        <f>Model!BX664</f>
        <v>284.81900000000002</v>
      </c>
      <c r="BQ505">
        <f>Model!BY664</f>
        <v>-226.27499999999992</v>
      </c>
      <c r="BR505">
        <f>Model!BZ664</f>
        <v>330.81800000000004</v>
      </c>
      <c r="BS505">
        <f>Model!CA664</f>
        <v>-47.85000000000008</v>
      </c>
      <c r="BT505">
        <f>Model!CB664</f>
        <v>1521.674</v>
      </c>
      <c r="BU505">
        <f>Model!CC664</f>
        <v>-499.47434399564872</v>
      </c>
      <c r="BV505">
        <f>Model!CD664</f>
        <v>307.1404103886448</v>
      </c>
      <c r="BW505">
        <f>Model!CE664</f>
        <v>-118.13561375964917</v>
      </c>
      <c r="BX505">
        <f>Model!CF664</f>
        <v>430.23759996202199</v>
      </c>
      <c r="BY505">
        <f>Model!CG664</f>
        <v>0</v>
      </c>
      <c r="BZ505">
        <f>Model!CH664</f>
        <v>0</v>
      </c>
      <c r="CA505">
        <f>Model!CI664</f>
        <v>0</v>
      </c>
      <c r="CB505">
        <f>Model!CJ664</f>
        <v>0</v>
      </c>
      <c r="CC505">
        <f>Model!CK664</f>
        <v>0</v>
      </c>
      <c r="CD505">
        <f>Model!CL664</f>
        <v>0</v>
      </c>
      <c r="CE505">
        <f>Model!CM664</f>
        <v>0</v>
      </c>
      <c r="CF505">
        <f>Model!CN664</f>
        <v>0</v>
      </c>
      <c r="CG505">
        <f>Model!CO664</f>
        <v>0</v>
      </c>
      <c r="CH505">
        <f>Model!CP664</f>
        <v>0</v>
      </c>
      <c r="CI505">
        <f>Model!CQ664</f>
        <v>50.877000000000002</v>
      </c>
      <c r="CJ505">
        <f>Model!CR664</f>
        <v>84.778999999999982</v>
      </c>
      <c r="CK505">
        <f>Model!CS664</f>
        <v>143.81500000000003</v>
      </c>
      <c r="CL505">
        <f>Model!CT664</f>
        <v>52.941000000000003</v>
      </c>
      <c r="CM505">
        <f>Model!CU664</f>
        <v>-25.395000000000014</v>
      </c>
      <c r="CN505">
        <f>Model!CV664</f>
        <v>-8.0130000000000123</v>
      </c>
      <c r="CO505">
        <f>Model!CW664</f>
        <v>215.87299999999999</v>
      </c>
      <c r="CP505">
        <f>Model!CX664</f>
        <v>1578.367</v>
      </c>
      <c r="CQ505">
        <f>Model!CY664</f>
        <v>119.76805259536894</v>
      </c>
      <c r="CR505">
        <f>Model!DG664</f>
        <v>0</v>
      </c>
      <c r="CS505">
        <f>Model!DH664</f>
        <v>0</v>
      </c>
      <c r="CT505">
        <f>Model!DI664</f>
        <v>0</v>
      </c>
      <c r="CU505">
        <f>Model!DJ664</f>
        <v>0</v>
      </c>
    </row>
    <row r="506" spans="1:99">
      <c r="A506">
        <f>Model!I665</f>
        <v>0</v>
      </c>
      <c r="B506">
        <f>Model!J665</f>
        <v>0</v>
      </c>
      <c r="C506">
        <f>Model!K665</f>
        <v>0</v>
      </c>
      <c r="D506">
        <f>Model!L665</f>
        <v>0</v>
      </c>
      <c r="E506">
        <f>Model!M665</f>
        <v>0</v>
      </c>
      <c r="F506">
        <f>Model!N665</f>
        <v>0</v>
      </c>
      <c r="G506">
        <f>Model!O665</f>
        <v>0</v>
      </c>
      <c r="H506">
        <f>Model!P665</f>
        <v>0</v>
      </c>
      <c r="I506">
        <f>Model!Q665</f>
        <v>0</v>
      </c>
      <c r="J506">
        <f>Model!R665</f>
        <v>0</v>
      </c>
      <c r="K506">
        <f>Model!S665</f>
        <v>0</v>
      </c>
      <c r="L506">
        <f>Model!T665</f>
        <v>0</v>
      </c>
      <c r="M506">
        <f>Model!U665</f>
        <v>0</v>
      </c>
      <c r="N506">
        <f>Model!V665</f>
        <v>0</v>
      </c>
      <c r="O506">
        <f>Model!W665</f>
        <v>0</v>
      </c>
      <c r="P506">
        <f>Model!X665</f>
        <v>0</v>
      </c>
      <c r="Q506">
        <f>Model!Y665</f>
        <v>0</v>
      </c>
      <c r="R506">
        <f>Model!Z665</f>
        <v>0</v>
      </c>
      <c r="S506">
        <f>Model!AA665</f>
        <v>0</v>
      </c>
      <c r="T506">
        <f>Model!AB665</f>
        <v>0</v>
      </c>
      <c r="U506">
        <f>Model!AC665</f>
        <v>0</v>
      </c>
      <c r="V506">
        <f>Model!AD665</f>
        <v>0</v>
      </c>
      <c r="W506">
        <f>Model!AE665</f>
        <v>0</v>
      </c>
      <c r="X506">
        <f>Model!AF665</f>
        <v>0</v>
      </c>
      <c r="Y506">
        <f>Model!AG665</f>
        <v>0</v>
      </c>
      <c r="Z506">
        <f>Model!AH665</f>
        <v>0</v>
      </c>
      <c r="AA506">
        <f>Model!AI665</f>
        <v>0</v>
      </c>
      <c r="AB506">
        <f>Model!AJ665</f>
        <v>0</v>
      </c>
      <c r="AC506">
        <f>Model!AK665</f>
        <v>0</v>
      </c>
      <c r="AD506">
        <f>Model!AL665</f>
        <v>0</v>
      </c>
      <c r="AE506">
        <f>Model!AM665</f>
        <v>0</v>
      </c>
      <c r="AF506">
        <f>Model!AN665</f>
        <v>0</v>
      </c>
      <c r="AG506">
        <f>Model!AO665</f>
        <v>0</v>
      </c>
      <c r="AH506">
        <f>Model!AP665</f>
        <v>0</v>
      </c>
      <c r="AI506">
        <f>Model!AQ665</f>
        <v>0</v>
      </c>
      <c r="AJ506">
        <f>Model!AR665</f>
        <v>0</v>
      </c>
      <c r="AK506">
        <f>Model!AS665</f>
        <v>0</v>
      </c>
      <c r="AL506">
        <f>Model!AT665</f>
        <v>0</v>
      </c>
      <c r="AM506">
        <f>Model!AU665</f>
        <v>0</v>
      </c>
      <c r="AN506">
        <f>Model!AV665</f>
        <v>0</v>
      </c>
      <c r="AO506">
        <f>Model!AW665</f>
        <v>0</v>
      </c>
      <c r="AP506">
        <f>Model!AX665</f>
        <v>0</v>
      </c>
      <c r="AQ506">
        <f>Model!AY665</f>
        <v>0</v>
      </c>
      <c r="AR506">
        <f>Model!AZ665</f>
        <v>0</v>
      </c>
      <c r="AS506">
        <f>Model!BA665</f>
        <v>0</v>
      </c>
      <c r="AT506">
        <f>Model!BB665</f>
        <v>0</v>
      </c>
      <c r="AU506">
        <f>Model!BC665</f>
        <v>0</v>
      </c>
      <c r="AV506">
        <f>Model!BD665</f>
        <v>0</v>
      </c>
      <c r="AW506">
        <f>Model!BE665</f>
        <v>0</v>
      </c>
      <c r="AX506">
        <f>Model!BF665</f>
        <v>0</v>
      </c>
      <c r="AY506">
        <f>Model!BG665</f>
        <v>0</v>
      </c>
      <c r="AZ506">
        <f>Model!BH665</f>
        <v>0</v>
      </c>
      <c r="BA506">
        <f>Model!BI665</f>
        <v>0</v>
      </c>
      <c r="BB506">
        <f>Model!BJ665</f>
        <v>0</v>
      </c>
      <c r="BC506">
        <f>Model!BK665</f>
        <v>0</v>
      </c>
      <c r="BD506">
        <f>Model!BL665</f>
        <v>0</v>
      </c>
      <c r="BE506">
        <f>Model!BM665</f>
        <v>0</v>
      </c>
      <c r="BF506">
        <f>Model!BN665</f>
        <v>0</v>
      </c>
      <c r="BG506">
        <f>Model!BO665</f>
        <v>0</v>
      </c>
      <c r="BH506">
        <f>Model!BP665</f>
        <v>0</v>
      </c>
      <c r="BI506">
        <f>Model!BQ665</f>
        <v>0</v>
      </c>
      <c r="BJ506">
        <f>Model!BR665</f>
        <v>0</v>
      </c>
      <c r="BK506">
        <f>Model!BS665</f>
        <v>0</v>
      </c>
      <c r="BL506">
        <f>Model!BT665</f>
        <v>0</v>
      </c>
      <c r="BM506">
        <f>Model!BU665</f>
        <v>0</v>
      </c>
      <c r="BN506">
        <f>Model!BV665</f>
        <v>0</v>
      </c>
      <c r="BO506">
        <f>Model!BW665</f>
        <v>0</v>
      </c>
      <c r="BP506">
        <f>Model!BX665</f>
        <v>0</v>
      </c>
      <c r="BQ506">
        <f>Model!BY665</f>
        <v>0</v>
      </c>
      <c r="BR506">
        <f>Model!BZ665</f>
        <v>0</v>
      </c>
      <c r="BS506">
        <f>Model!CA665</f>
        <v>0</v>
      </c>
      <c r="BT506">
        <f>Model!CB665</f>
        <v>0</v>
      </c>
      <c r="BU506">
        <f>Model!CC665</f>
        <v>0</v>
      </c>
      <c r="BV506">
        <f>Model!CD665</f>
        <v>0</v>
      </c>
      <c r="BW506">
        <f>Model!CE665</f>
        <v>0</v>
      </c>
      <c r="BX506">
        <f>Model!CF665</f>
        <v>0</v>
      </c>
      <c r="BY506">
        <f>Model!CG665</f>
        <v>0</v>
      </c>
      <c r="BZ506">
        <f>Model!CH665</f>
        <v>0</v>
      </c>
      <c r="CA506">
        <f>Model!CI665</f>
        <v>0</v>
      </c>
      <c r="CB506">
        <f>Model!CJ665</f>
        <v>0</v>
      </c>
      <c r="CC506">
        <f>Model!CK665</f>
        <v>0</v>
      </c>
      <c r="CD506">
        <f>Model!CL665</f>
        <v>0</v>
      </c>
      <c r="CE506">
        <f>Model!CM665</f>
        <v>0</v>
      </c>
      <c r="CF506">
        <f>Model!CN665</f>
        <v>0</v>
      </c>
      <c r="CG506">
        <f>Model!CO665</f>
        <v>0</v>
      </c>
      <c r="CH506">
        <f>Model!CP665</f>
        <v>0</v>
      </c>
      <c r="CI506">
        <f>Model!CQ665</f>
        <v>0</v>
      </c>
      <c r="CJ506">
        <f>Model!CR665</f>
        <v>0</v>
      </c>
      <c r="CK506">
        <f>Model!CS665</f>
        <v>0</v>
      </c>
      <c r="CL506">
        <f>Model!CT665</f>
        <v>0</v>
      </c>
      <c r="CM506">
        <f>Model!CU665</f>
        <v>0</v>
      </c>
      <c r="CN506">
        <f>Model!CV665</f>
        <v>0</v>
      </c>
      <c r="CO506">
        <f>Model!CW665</f>
        <v>0</v>
      </c>
      <c r="CP506">
        <f>Model!CX665</f>
        <v>0</v>
      </c>
      <c r="CQ506">
        <f>Model!CY665</f>
        <v>0</v>
      </c>
      <c r="CR506">
        <f>Model!DG665</f>
        <v>0</v>
      </c>
      <c r="CS506">
        <f>Model!DH665</f>
        <v>0</v>
      </c>
      <c r="CT506">
        <f>Model!DI665</f>
        <v>0</v>
      </c>
      <c r="CU506">
        <f>Model!DJ665</f>
        <v>0</v>
      </c>
    </row>
    <row r="507" spans="1:99">
      <c r="A507" t="str">
        <f>Model!I666</f>
        <v>Total Cash Flow from Operations</v>
      </c>
      <c r="B507">
        <f>Model!J666</f>
        <v>0</v>
      </c>
      <c r="C507">
        <f>Model!K666</f>
        <v>0</v>
      </c>
      <c r="D507">
        <f>Model!L666</f>
        <v>0</v>
      </c>
      <c r="E507">
        <f>Model!M666</f>
        <v>0</v>
      </c>
      <c r="F507">
        <f>Model!N666</f>
        <v>0</v>
      </c>
      <c r="G507">
        <f>Model!O666</f>
        <v>0</v>
      </c>
      <c r="H507">
        <f>Model!P666</f>
        <v>0</v>
      </c>
      <c r="I507">
        <f>Model!Q666</f>
        <v>0</v>
      </c>
      <c r="J507">
        <f>Model!R666</f>
        <v>0</v>
      </c>
      <c r="K507">
        <f>Model!S666</f>
        <v>0</v>
      </c>
      <c r="L507">
        <f>Model!T666</f>
        <v>0</v>
      </c>
      <c r="M507">
        <f>Model!U666</f>
        <v>0</v>
      </c>
      <c r="N507">
        <f>Model!V666</f>
        <v>0</v>
      </c>
      <c r="O507">
        <f>Model!W666</f>
        <v>0</v>
      </c>
      <c r="P507">
        <f>Model!X666</f>
        <v>0</v>
      </c>
      <c r="Q507">
        <f>Model!Y666</f>
        <v>0</v>
      </c>
      <c r="R507">
        <f>Model!Z666</f>
        <v>0</v>
      </c>
      <c r="S507">
        <f>Model!AA666</f>
        <v>0</v>
      </c>
      <c r="T507">
        <f>Model!AB666</f>
        <v>0</v>
      </c>
      <c r="U507">
        <f>Model!AC666</f>
        <v>0</v>
      </c>
      <c r="V507">
        <f>Model!AD666</f>
        <v>0</v>
      </c>
      <c r="W507">
        <f>Model!AE666</f>
        <v>0</v>
      </c>
      <c r="X507">
        <f>Model!AF666</f>
        <v>0</v>
      </c>
      <c r="Y507">
        <f>Model!AG666</f>
        <v>0</v>
      </c>
      <c r="Z507">
        <f>Model!AH666</f>
        <v>0</v>
      </c>
      <c r="AA507">
        <f>Model!AI666</f>
        <v>0</v>
      </c>
      <c r="AB507">
        <f>Model!AJ666</f>
        <v>0</v>
      </c>
      <c r="AC507">
        <f>Model!AK666</f>
        <v>0</v>
      </c>
      <c r="AD507">
        <f>Model!AL666</f>
        <v>0</v>
      </c>
      <c r="AE507">
        <f>Model!AM666</f>
        <v>0</v>
      </c>
      <c r="AF507">
        <f>Model!AN666</f>
        <v>0</v>
      </c>
      <c r="AG507">
        <f>Model!AO666</f>
        <v>0</v>
      </c>
      <c r="AH507">
        <f>Model!AP666</f>
        <v>0</v>
      </c>
      <c r="AI507">
        <f>Model!AQ666</f>
        <v>0</v>
      </c>
      <c r="AJ507">
        <f>Model!AR666</f>
        <v>0</v>
      </c>
      <c r="AK507">
        <f>Model!AS666</f>
        <v>0</v>
      </c>
      <c r="AL507">
        <f>Model!AT666</f>
        <v>0</v>
      </c>
      <c r="AM507">
        <f>Model!AU666</f>
        <v>0</v>
      </c>
      <c r="AN507">
        <f>Model!AV666</f>
        <v>0</v>
      </c>
      <c r="AO507">
        <f>Model!AW666</f>
        <v>0</v>
      </c>
      <c r="AP507">
        <f>Model!AX666</f>
        <v>0</v>
      </c>
      <c r="AQ507">
        <f>Model!AY666</f>
        <v>0</v>
      </c>
      <c r="AR507">
        <f>Model!AZ666</f>
        <v>0</v>
      </c>
      <c r="AS507">
        <f>Model!BA666</f>
        <v>276.21899999999999</v>
      </c>
      <c r="AT507">
        <f>Model!BB666</f>
        <v>223.28299999999996</v>
      </c>
      <c r="AU507">
        <f>Model!BC666</f>
        <v>560.46899999999994</v>
      </c>
      <c r="AV507">
        <f>Model!BD666</f>
        <v>281.84100000000007</v>
      </c>
      <c r="AW507">
        <f>Model!BE666</f>
        <v>182.38</v>
      </c>
      <c r="AX507">
        <f>Model!BF666</f>
        <v>431.60599999999999</v>
      </c>
      <c r="AY507">
        <f>Model!BG666</f>
        <v>674.94499999999994</v>
      </c>
      <c r="AZ507">
        <f>Model!BH666</f>
        <v>496.81900000000002</v>
      </c>
      <c r="BA507">
        <f>Model!BI666</f>
        <v>183.11700000000005</v>
      </c>
      <c r="BB507">
        <f>Model!BJ666</f>
        <v>593.38199999999995</v>
      </c>
      <c r="BC507">
        <f>Model!BK666</f>
        <v>970.46399999999983</v>
      </c>
      <c r="BD507">
        <f>Model!BL666</f>
        <v>554.47300000000018</v>
      </c>
      <c r="BE507">
        <f>Model!BM666</f>
        <v>177.00400000000002</v>
      </c>
      <c r="BF507">
        <f>Model!BN666</f>
        <v>689.98099999999999</v>
      </c>
      <c r="BG507">
        <f>Model!BO666</f>
        <v>1292.1319999999998</v>
      </c>
      <c r="BH507">
        <f>Model!BP666</f>
        <v>755.2800000000002</v>
      </c>
      <c r="BI507">
        <f>Model!BQ666</f>
        <v>208.983</v>
      </c>
      <c r="BJ507">
        <f>Model!BR666</f>
        <v>702.37600000000009</v>
      </c>
      <c r="BK507">
        <f>Model!BS666</f>
        <v>1309.7999999999997</v>
      </c>
      <c r="BL507">
        <f>Model!BT666</f>
        <v>881.07200000000034</v>
      </c>
      <c r="BM507">
        <f>Model!BU666</f>
        <v>344.32699999999988</v>
      </c>
      <c r="BN507">
        <f>Model!BV666</f>
        <v>966.00700000000006</v>
      </c>
      <c r="BO507">
        <f>Model!BW666</f>
        <v>1507.854</v>
      </c>
      <c r="BP507">
        <f>Model!BX666</f>
        <v>1106.5090000000002</v>
      </c>
      <c r="BQ507">
        <f>Model!BY666</f>
        <v>380.61800000000011</v>
      </c>
      <c r="BR507">
        <f>Model!BZ666</f>
        <v>1221.2160000000001</v>
      </c>
      <c r="BS507">
        <f>Model!CA666</f>
        <v>1886.5909999999999</v>
      </c>
      <c r="BT507">
        <f>Model!CB666</f>
        <v>1173.6109999999996</v>
      </c>
      <c r="BU507">
        <f>Model!CC666</f>
        <v>117.88177554025583</v>
      </c>
      <c r="BV507">
        <f>Model!CD666</f>
        <v>1291.5089407104444</v>
      </c>
      <c r="BW507">
        <f>Model!CE666</f>
        <v>1954.1993924582118</v>
      </c>
      <c r="BX507">
        <f>Model!CF666</f>
        <v>1557.7585960355307</v>
      </c>
      <c r="BY507">
        <f>Model!CG666</f>
        <v>0</v>
      </c>
      <c r="BZ507">
        <f>Model!CH666</f>
        <v>0</v>
      </c>
      <c r="CA507">
        <f>Model!CI666</f>
        <v>0</v>
      </c>
      <c r="CB507">
        <f>Model!CJ666</f>
        <v>0</v>
      </c>
      <c r="CC507">
        <f>Model!CK666</f>
        <v>0</v>
      </c>
      <c r="CD507">
        <f>Model!CL666</f>
        <v>0</v>
      </c>
      <c r="CE507">
        <f>Model!CM666</f>
        <v>0</v>
      </c>
      <c r="CF507">
        <f>Model!CN666</f>
        <v>0</v>
      </c>
      <c r="CG507">
        <f>Model!CO666</f>
        <v>0</v>
      </c>
      <c r="CH507">
        <f>Model!CP666</f>
        <v>0</v>
      </c>
      <c r="CI507">
        <f>Model!CQ666</f>
        <v>777.29089999999997</v>
      </c>
      <c r="CJ507">
        <f>Model!CR666</f>
        <v>1341.8120000000001</v>
      </c>
      <c r="CK507">
        <f>Model!CS666</f>
        <v>1785.75</v>
      </c>
      <c r="CL507">
        <f>Model!CT666</f>
        <v>2301.4360000000001</v>
      </c>
      <c r="CM507">
        <f>Model!CU666</f>
        <v>2914.3970000000004</v>
      </c>
      <c r="CN507">
        <f>Model!CV666</f>
        <v>3102.2310000000002</v>
      </c>
      <c r="CO507">
        <f>Model!CW666</f>
        <v>3924.6970000000001</v>
      </c>
      <c r="CP507">
        <f>Model!CX666</f>
        <v>4662.0360000000001</v>
      </c>
      <c r="CQ507">
        <f>Model!CY666</f>
        <v>4921.3487047444432</v>
      </c>
      <c r="CR507">
        <f>Model!DG666</f>
        <v>0</v>
      </c>
      <c r="CS507">
        <f>Model!DH666</f>
        <v>0</v>
      </c>
      <c r="CT507">
        <f>Model!DI666</f>
        <v>0</v>
      </c>
      <c r="CU507">
        <f>Model!DJ666</f>
        <v>0</v>
      </c>
    </row>
    <row r="508" spans="1:99">
      <c r="A508">
        <f>Model!I667</f>
        <v>0</v>
      </c>
      <c r="B508">
        <f>Model!J667</f>
        <v>0</v>
      </c>
      <c r="C508">
        <f>Model!K667</f>
        <v>0</v>
      </c>
      <c r="D508">
        <f>Model!L667</f>
        <v>0</v>
      </c>
      <c r="E508">
        <f>Model!M667</f>
        <v>0</v>
      </c>
      <c r="F508">
        <f>Model!N667</f>
        <v>0</v>
      </c>
      <c r="G508">
        <f>Model!O667</f>
        <v>0</v>
      </c>
      <c r="H508">
        <f>Model!P667</f>
        <v>0</v>
      </c>
      <c r="I508">
        <f>Model!Q667</f>
        <v>0</v>
      </c>
      <c r="J508">
        <f>Model!R667</f>
        <v>0</v>
      </c>
      <c r="K508">
        <f>Model!S667</f>
        <v>0</v>
      </c>
      <c r="L508">
        <f>Model!T667</f>
        <v>0</v>
      </c>
      <c r="M508">
        <f>Model!U667</f>
        <v>0</v>
      </c>
      <c r="N508">
        <f>Model!V667</f>
        <v>0</v>
      </c>
      <c r="O508">
        <f>Model!W667</f>
        <v>0</v>
      </c>
      <c r="P508">
        <f>Model!X667</f>
        <v>0</v>
      </c>
      <c r="Q508">
        <f>Model!Y667</f>
        <v>0</v>
      </c>
      <c r="R508">
        <f>Model!Z667</f>
        <v>0</v>
      </c>
      <c r="S508">
        <f>Model!AA667</f>
        <v>0</v>
      </c>
      <c r="T508">
        <f>Model!AB667</f>
        <v>0</v>
      </c>
      <c r="U508">
        <f>Model!AC667</f>
        <v>0</v>
      </c>
      <c r="V508">
        <f>Model!AD667</f>
        <v>0</v>
      </c>
      <c r="W508">
        <f>Model!AE667</f>
        <v>0</v>
      </c>
      <c r="X508">
        <f>Model!AF667</f>
        <v>0</v>
      </c>
      <c r="Y508">
        <f>Model!AG667</f>
        <v>0</v>
      </c>
      <c r="Z508">
        <f>Model!AH667</f>
        <v>0</v>
      </c>
      <c r="AA508">
        <f>Model!AI667</f>
        <v>0</v>
      </c>
      <c r="AB508">
        <f>Model!AJ667</f>
        <v>0</v>
      </c>
      <c r="AC508">
        <f>Model!AK667</f>
        <v>0</v>
      </c>
      <c r="AD508">
        <f>Model!AL667</f>
        <v>0</v>
      </c>
      <c r="AE508">
        <f>Model!AM667</f>
        <v>0</v>
      </c>
      <c r="AF508">
        <f>Model!AN667</f>
        <v>0</v>
      </c>
      <c r="AG508">
        <f>Model!AO667</f>
        <v>0</v>
      </c>
      <c r="AH508">
        <f>Model!AP667</f>
        <v>0</v>
      </c>
      <c r="AI508">
        <f>Model!AQ667</f>
        <v>0</v>
      </c>
      <c r="AJ508">
        <f>Model!AR667</f>
        <v>0</v>
      </c>
      <c r="AK508">
        <f>Model!AS667</f>
        <v>0</v>
      </c>
      <c r="AL508">
        <f>Model!AT667</f>
        <v>0</v>
      </c>
      <c r="AM508">
        <f>Model!AU667</f>
        <v>0</v>
      </c>
      <c r="AN508">
        <f>Model!AV667</f>
        <v>0</v>
      </c>
      <c r="AO508">
        <f>Model!AW667</f>
        <v>0</v>
      </c>
      <c r="AP508">
        <f>Model!AX667</f>
        <v>0</v>
      </c>
      <c r="AQ508">
        <f>Model!AY667</f>
        <v>0</v>
      </c>
      <c r="AR508">
        <f>Model!AZ667</f>
        <v>0</v>
      </c>
      <c r="AS508">
        <f>Model!BA667</f>
        <v>0</v>
      </c>
      <c r="AT508">
        <f>Model!BB667</f>
        <v>0</v>
      </c>
      <c r="AU508">
        <f>Model!BC667</f>
        <v>0</v>
      </c>
      <c r="AV508">
        <f>Model!BD667</f>
        <v>0</v>
      </c>
      <c r="AW508">
        <f>Model!BE667</f>
        <v>0</v>
      </c>
      <c r="AX508">
        <f>Model!BF667</f>
        <v>0</v>
      </c>
      <c r="AY508">
        <f>Model!BG667</f>
        <v>0</v>
      </c>
      <c r="AZ508">
        <f>Model!BH667</f>
        <v>0</v>
      </c>
      <c r="BA508">
        <f>Model!BI667</f>
        <v>0</v>
      </c>
      <c r="BB508">
        <f>Model!BJ667</f>
        <v>0</v>
      </c>
      <c r="BC508">
        <f>Model!BK667</f>
        <v>0</v>
      </c>
      <c r="BD508">
        <f>Model!BL667</f>
        <v>0</v>
      </c>
      <c r="BE508">
        <f>Model!BM667</f>
        <v>0</v>
      </c>
      <c r="BF508">
        <f>Model!BN667</f>
        <v>0</v>
      </c>
      <c r="BG508">
        <f>Model!BO667</f>
        <v>0</v>
      </c>
      <c r="BH508">
        <f>Model!BP667</f>
        <v>0</v>
      </c>
      <c r="BI508">
        <f>Model!BQ667</f>
        <v>0</v>
      </c>
      <c r="BJ508">
        <f>Model!BR667</f>
        <v>0</v>
      </c>
      <c r="BK508">
        <f>Model!BS667</f>
        <v>0</v>
      </c>
      <c r="BL508">
        <f>Model!BT667</f>
        <v>0</v>
      </c>
      <c r="BM508">
        <f>Model!BU667</f>
        <v>0</v>
      </c>
      <c r="BN508">
        <f>Model!BV667</f>
        <v>0</v>
      </c>
      <c r="BO508">
        <f>Model!BW667</f>
        <v>0</v>
      </c>
      <c r="BP508">
        <f>Model!BX667</f>
        <v>0</v>
      </c>
      <c r="BQ508">
        <f>Model!BY667</f>
        <v>0</v>
      </c>
      <c r="BR508">
        <f>Model!BZ667</f>
        <v>0</v>
      </c>
      <c r="BS508">
        <f>Model!CA667</f>
        <v>0</v>
      </c>
      <c r="BT508">
        <f>Model!CB667</f>
        <v>0</v>
      </c>
      <c r="BU508">
        <f>Model!CC667</f>
        <v>0</v>
      </c>
      <c r="BV508">
        <f>Model!CD667</f>
        <v>0</v>
      </c>
      <c r="BW508">
        <f>Model!CE667</f>
        <v>0</v>
      </c>
      <c r="BX508">
        <f>Model!CF667</f>
        <v>0</v>
      </c>
      <c r="BY508">
        <f>Model!CG667</f>
        <v>0</v>
      </c>
      <c r="BZ508">
        <f>Model!CH667</f>
        <v>0</v>
      </c>
      <c r="CA508">
        <f>Model!CI667</f>
        <v>0</v>
      </c>
      <c r="CB508">
        <f>Model!CJ667</f>
        <v>0</v>
      </c>
      <c r="CC508">
        <f>Model!CK667</f>
        <v>0</v>
      </c>
      <c r="CD508">
        <f>Model!CL667</f>
        <v>0</v>
      </c>
      <c r="CE508">
        <f>Model!CM667</f>
        <v>0</v>
      </c>
      <c r="CF508">
        <f>Model!CN667</f>
        <v>0</v>
      </c>
      <c r="CG508">
        <f>Model!CO667</f>
        <v>0</v>
      </c>
      <c r="CH508">
        <f>Model!CP667</f>
        <v>0</v>
      </c>
      <c r="CI508">
        <f>Model!CQ667</f>
        <v>0</v>
      </c>
      <c r="CJ508">
        <f>Model!CR667</f>
        <v>0</v>
      </c>
      <c r="CK508">
        <f>Model!CS667</f>
        <v>0</v>
      </c>
      <c r="CL508">
        <f>Model!CT667</f>
        <v>0</v>
      </c>
      <c r="CM508">
        <f>Model!CU667</f>
        <v>0</v>
      </c>
      <c r="CN508">
        <f>Model!CV667</f>
        <v>0</v>
      </c>
      <c r="CO508">
        <f>Model!CW667</f>
        <v>0</v>
      </c>
      <c r="CP508">
        <f>Model!CX667</f>
        <v>0</v>
      </c>
      <c r="CQ508">
        <f>Model!CY667</f>
        <v>0</v>
      </c>
      <c r="CR508">
        <f>Model!DG667</f>
        <v>0</v>
      </c>
      <c r="CS508">
        <f>Model!DH667</f>
        <v>0</v>
      </c>
      <c r="CT508">
        <f>Model!DI667</f>
        <v>0</v>
      </c>
      <c r="CU508">
        <f>Model!DJ667</f>
        <v>0</v>
      </c>
    </row>
    <row r="509" spans="1:99">
      <c r="A509" t="str">
        <f>Model!I668</f>
        <v>Cash Flow from Investing</v>
      </c>
      <c r="B509">
        <f>Model!J668</f>
        <v>0</v>
      </c>
      <c r="C509">
        <f>Model!K668</f>
        <v>0</v>
      </c>
      <c r="D509">
        <f>Model!L668</f>
        <v>0</v>
      </c>
      <c r="E509">
        <f>Model!M668</f>
        <v>0</v>
      </c>
      <c r="F509">
        <f>Model!N668</f>
        <v>0</v>
      </c>
      <c r="G509">
        <f>Model!O668</f>
        <v>0</v>
      </c>
      <c r="H509">
        <f>Model!P668</f>
        <v>0</v>
      </c>
      <c r="I509">
        <f>Model!Q668</f>
        <v>0</v>
      </c>
      <c r="J509">
        <f>Model!R668</f>
        <v>0</v>
      </c>
      <c r="K509">
        <f>Model!S668</f>
        <v>0</v>
      </c>
      <c r="L509">
        <f>Model!T668</f>
        <v>0</v>
      </c>
      <c r="M509">
        <f>Model!U668</f>
        <v>0</v>
      </c>
      <c r="N509">
        <f>Model!V668</f>
        <v>0</v>
      </c>
      <c r="O509">
        <f>Model!W668</f>
        <v>0</v>
      </c>
      <c r="P509">
        <f>Model!X668</f>
        <v>0</v>
      </c>
      <c r="Q509">
        <f>Model!Y668</f>
        <v>0</v>
      </c>
      <c r="R509">
        <f>Model!Z668</f>
        <v>0</v>
      </c>
      <c r="S509">
        <f>Model!AA668</f>
        <v>0</v>
      </c>
      <c r="T509">
        <f>Model!AB668</f>
        <v>0</v>
      </c>
      <c r="U509">
        <f>Model!AC668</f>
        <v>0</v>
      </c>
      <c r="V509">
        <f>Model!AD668</f>
        <v>0</v>
      </c>
      <c r="W509">
        <f>Model!AE668</f>
        <v>0</v>
      </c>
      <c r="X509">
        <f>Model!AF668</f>
        <v>0</v>
      </c>
      <c r="Y509">
        <f>Model!AG668</f>
        <v>0</v>
      </c>
      <c r="Z509">
        <f>Model!AH668</f>
        <v>0</v>
      </c>
      <c r="AA509">
        <f>Model!AI668</f>
        <v>0</v>
      </c>
      <c r="AB509">
        <f>Model!AJ668</f>
        <v>0</v>
      </c>
      <c r="AC509">
        <f>Model!AK668</f>
        <v>0</v>
      </c>
      <c r="AD509">
        <f>Model!AL668</f>
        <v>0</v>
      </c>
      <c r="AE509">
        <f>Model!AM668</f>
        <v>0</v>
      </c>
      <c r="AF509">
        <f>Model!AN668</f>
        <v>0</v>
      </c>
      <c r="AG509">
        <f>Model!AO668</f>
        <v>0</v>
      </c>
      <c r="AH509">
        <f>Model!AP668</f>
        <v>0</v>
      </c>
      <c r="AI509">
        <f>Model!AQ668</f>
        <v>0</v>
      </c>
      <c r="AJ509">
        <f>Model!AR668</f>
        <v>0</v>
      </c>
      <c r="AK509">
        <f>Model!AS668</f>
        <v>0</v>
      </c>
      <c r="AL509">
        <f>Model!AT668</f>
        <v>0</v>
      </c>
      <c r="AM509">
        <f>Model!AU668</f>
        <v>0</v>
      </c>
      <c r="AN509">
        <f>Model!AV668</f>
        <v>0</v>
      </c>
      <c r="AO509">
        <f>Model!AW668</f>
        <v>0</v>
      </c>
      <c r="AP509">
        <f>Model!AX668</f>
        <v>0</v>
      </c>
      <c r="AQ509">
        <f>Model!AY668</f>
        <v>0</v>
      </c>
      <c r="AR509">
        <f>Model!AZ668</f>
        <v>0</v>
      </c>
      <c r="AS509">
        <f>Model!BA668</f>
        <v>0</v>
      </c>
      <c r="AT509">
        <f>Model!BB668</f>
        <v>0</v>
      </c>
      <c r="AU509">
        <f>Model!BC668</f>
        <v>0</v>
      </c>
      <c r="AV509">
        <f>Model!BD668</f>
        <v>0</v>
      </c>
      <c r="AW509">
        <f>Model!BE668</f>
        <v>0</v>
      </c>
      <c r="AX509">
        <f>Model!BF668</f>
        <v>0</v>
      </c>
      <c r="AY509">
        <f>Model!BG668</f>
        <v>0</v>
      </c>
      <c r="AZ509">
        <f>Model!BH668</f>
        <v>0</v>
      </c>
      <c r="BA509">
        <f>Model!BI668</f>
        <v>0</v>
      </c>
      <c r="BB509">
        <f>Model!BJ668</f>
        <v>0</v>
      </c>
      <c r="BC509">
        <f>Model!BK668</f>
        <v>0</v>
      </c>
      <c r="BD509">
        <f>Model!BL668</f>
        <v>0</v>
      </c>
      <c r="BE509">
        <f>Model!BM668</f>
        <v>0</v>
      </c>
      <c r="BF509">
        <f>Model!BN668</f>
        <v>0</v>
      </c>
      <c r="BG509">
        <f>Model!BO668</f>
        <v>0</v>
      </c>
      <c r="BH509">
        <f>Model!BP668</f>
        <v>0</v>
      </c>
      <c r="BI509">
        <f>Model!BQ668</f>
        <v>0</v>
      </c>
      <c r="BJ509">
        <f>Model!BR668</f>
        <v>0</v>
      </c>
      <c r="BK509">
        <f>Model!BS668</f>
        <v>0</v>
      </c>
      <c r="BL509">
        <f>Model!BT668</f>
        <v>0</v>
      </c>
      <c r="BM509">
        <f>Model!BU668</f>
        <v>0</v>
      </c>
      <c r="BN509">
        <f>Model!BV668</f>
        <v>0</v>
      </c>
      <c r="BO509">
        <f>Model!BW668</f>
        <v>0</v>
      </c>
      <c r="BP509">
        <f>Model!BX668</f>
        <v>0</v>
      </c>
      <c r="BQ509">
        <f>Model!BY668</f>
        <v>0</v>
      </c>
      <c r="BR509">
        <f>Model!BZ668</f>
        <v>0</v>
      </c>
      <c r="BS509">
        <f>Model!CA668</f>
        <v>0</v>
      </c>
      <c r="BT509">
        <f>Model!CB668</f>
        <v>0</v>
      </c>
      <c r="BU509">
        <f>Model!CC668</f>
        <v>0</v>
      </c>
      <c r="BV509">
        <f>Model!CD668</f>
        <v>0</v>
      </c>
      <c r="BW509">
        <f>Model!CE668</f>
        <v>0</v>
      </c>
      <c r="BX509">
        <f>Model!CF668</f>
        <v>0</v>
      </c>
      <c r="BY509">
        <f>Model!CG668</f>
        <v>0</v>
      </c>
      <c r="BZ509">
        <f>Model!CH668</f>
        <v>0</v>
      </c>
      <c r="CA509">
        <f>Model!CI668</f>
        <v>0</v>
      </c>
      <c r="CB509">
        <f>Model!CJ668</f>
        <v>0</v>
      </c>
      <c r="CC509">
        <f>Model!CK668</f>
        <v>0</v>
      </c>
      <c r="CD509">
        <f>Model!CL668</f>
        <v>0</v>
      </c>
      <c r="CE509">
        <f>Model!CM668</f>
        <v>0</v>
      </c>
      <c r="CF509">
        <f>Model!CN668</f>
        <v>0</v>
      </c>
      <c r="CG509">
        <f>Model!CO668</f>
        <v>0</v>
      </c>
      <c r="CH509">
        <f>Model!CP668</f>
        <v>0</v>
      </c>
      <c r="CI509">
        <f>Model!CQ668</f>
        <v>0</v>
      </c>
      <c r="CJ509">
        <f>Model!CR668</f>
        <v>0</v>
      </c>
      <c r="CK509">
        <f>Model!CS668</f>
        <v>0</v>
      </c>
      <c r="CL509">
        <f>Model!CT668</f>
        <v>0</v>
      </c>
      <c r="CM509">
        <f>Model!CU668</f>
        <v>0</v>
      </c>
      <c r="CN509">
        <f>Model!CV668</f>
        <v>0</v>
      </c>
      <c r="CO509">
        <f>Model!CW668</f>
        <v>0</v>
      </c>
      <c r="CP509">
        <f>Model!CX668</f>
        <v>0</v>
      </c>
      <c r="CQ509">
        <f>Model!CY668</f>
        <v>0</v>
      </c>
      <c r="CR509">
        <f>Model!DG668</f>
        <v>0</v>
      </c>
      <c r="CS509">
        <f>Model!DH668</f>
        <v>0</v>
      </c>
      <c r="CT509">
        <f>Model!DI668</f>
        <v>0</v>
      </c>
      <c r="CU509">
        <f>Model!DJ668</f>
        <v>0</v>
      </c>
    </row>
    <row r="510" spans="1:99">
      <c r="A510" t="str">
        <f>Model!I669</f>
        <v>Purchase of Investments</v>
      </c>
      <c r="B510">
        <f>Model!J669</f>
        <v>0</v>
      </c>
      <c r="C510">
        <f>Model!K669</f>
        <v>0</v>
      </c>
      <c r="D510">
        <f>Model!L669</f>
        <v>0</v>
      </c>
      <c r="E510">
        <f>Model!M669</f>
        <v>0</v>
      </c>
      <c r="F510">
        <f>Model!N669</f>
        <v>0</v>
      </c>
      <c r="G510">
        <f>Model!O669</f>
        <v>0</v>
      </c>
      <c r="H510">
        <f>Model!P669</f>
        <v>0</v>
      </c>
      <c r="I510">
        <f>Model!Q669</f>
        <v>0</v>
      </c>
      <c r="J510">
        <f>Model!R669</f>
        <v>0</v>
      </c>
      <c r="K510">
        <f>Model!S669</f>
        <v>0</v>
      </c>
      <c r="L510">
        <f>Model!T669</f>
        <v>0</v>
      </c>
      <c r="M510">
        <f>Model!U669</f>
        <v>0</v>
      </c>
      <c r="N510">
        <f>Model!V669</f>
        <v>0</v>
      </c>
      <c r="O510">
        <f>Model!W669</f>
        <v>0</v>
      </c>
      <c r="P510">
        <f>Model!X669</f>
        <v>0</v>
      </c>
      <c r="Q510">
        <f>Model!Y669</f>
        <v>0</v>
      </c>
      <c r="R510">
        <f>Model!Z669</f>
        <v>0</v>
      </c>
      <c r="S510">
        <f>Model!AA669</f>
        <v>0</v>
      </c>
      <c r="T510">
        <f>Model!AB669</f>
        <v>0</v>
      </c>
      <c r="U510">
        <f>Model!AC669</f>
        <v>0</v>
      </c>
      <c r="V510">
        <f>Model!AD669</f>
        <v>0</v>
      </c>
      <c r="W510">
        <f>Model!AE669</f>
        <v>0</v>
      </c>
      <c r="X510">
        <f>Model!AF669</f>
        <v>0</v>
      </c>
      <c r="Y510">
        <f>Model!AG669</f>
        <v>0</v>
      </c>
      <c r="Z510">
        <f>Model!AH669</f>
        <v>0</v>
      </c>
      <c r="AA510">
        <f>Model!AI669</f>
        <v>0</v>
      </c>
      <c r="AB510">
        <f>Model!AJ669</f>
        <v>0</v>
      </c>
      <c r="AC510">
        <f>Model!AK669</f>
        <v>0</v>
      </c>
      <c r="AD510">
        <f>Model!AL669</f>
        <v>0</v>
      </c>
      <c r="AE510">
        <f>Model!AM669</f>
        <v>0</v>
      </c>
      <c r="AF510">
        <f>Model!AN669</f>
        <v>0</v>
      </c>
      <c r="AG510">
        <f>Model!AO669</f>
        <v>0</v>
      </c>
      <c r="AH510">
        <f>Model!AP669</f>
        <v>0</v>
      </c>
      <c r="AI510">
        <f>Model!AQ669</f>
        <v>0</v>
      </c>
      <c r="AJ510">
        <f>Model!AR669</f>
        <v>0</v>
      </c>
      <c r="AK510">
        <f>Model!AS669</f>
        <v>0</v>
      </c>
      <c r="AL510">
        <f>Model!AT669</f>
        <v>0</v>
      </c>
      <c r="AM510">
        <f>Model!AU669</f>
        <v>0</v>
      </c>
      <c r="AN510">
        <f>Model!AV669</f>
        <v>0</v>
      </c>
      <c r="AO510">
        <f>Model!AW669</f>
        <v>0</v>
      </c>
      <c r="AP510">
        <f>Model!AX669</f>
        <v>0</v>
      </c>
      <c r="AQ510">
        <f>Model!AY669</f>
        <v>0</v>
      </c>
      <c r="AR510">
        <f>Model!AZ669</f>
        <v>0</v>
      </c>
      <c r="AS510">
        <f>Model!BA669</f>
        <v>-472.87200000000001</v>
      </c>
      <c r="AT510">
        <f>Model!BB669</f>
        <v>-533.82199999999989</v>
      </c>
      <c r="AU510">
        <f>Model!BC669</f>
        <v>-1223.9670000000001</v>
      </c>
      <c r="AV510">
        <f>Model!BD669</f>
        <v>-774.73599999999988</v>
      </c>
      <c r="AW510">
        <f>Model!BE669</f>
        <v>-1301.4570000000001</v>
      </c>
      <c r="AX510">
        <f>Model!BF669</f>
        <v>-1688.4939999999999</v>
      </c>
      <c r="AY510">
        <f>Model!BG669</f>
        <v>-1800.155</v>
      </c>
      <c r="AZ510">
        <f>Model!BH669</f>
        <v>-1562.3890000000004</v>
      </c>
      <c r="BA510">
        <f>Model!BI669</f>
        <v>-1504.6759999999999</v>
      </c>
      <c r="BB510">
        <f>Model!BJ669</f>
        <v>-2721.886</v>
      </c>
      <c r="BC510">
        <f>Model!BK669</f>
        <v>-2873.5189999999998</v>
      </c>
      <c r="BD510">
        <f>Model!BL669</f>
        <v>-2855.7189999999987</v>
      </c>
      <c r="BE510">
        <f>Model!BM669</f>
        <v>-2612.047</v>
      </c>
      <c r="BF510">
        <f>Model!BN669</f>
        <v>-1692.9860000000003</v>
      </c>
      <c r="BG510">
        <f>Model!BO669</f>
        <v>-3022.6019999999994</v>
      </c>
      <c r="BH510">
        <f>Model!BP669</f>
        <v>-3224.5790000000002</v>
      </c>
      <c r="BI510">
        <f>Model!BQ669</f>
        <v>-1969.2919999999999</v>
      </c>
      <c r="BJ510">
        <f>Model!BR669</f>
        <v>-2717.2149999999997</v>
      </c>
      <c r="BK510">
        <f>Model!BS669</f>
        <v>-911.39000000000033</v>
      </c>
      <c r="BL510">
        <f>Model!BT669</f>
        <v>-3071.793000000001</v>
      </c>
      <c r="BM510">
        <f>Model!BU669</f>
        <v>-1051.346</v>
      </c>
      <c r="BN510">
        <f>Model!BV669</f>
        <v>-1650.3159999999998</v>
      </c>
      <c r="BO510">
        <f>Model!BW669</f>
        <v>-2119.0750000000003</v>
      </c>
      <c r="BP510">
        <f>Model!BX669</f>
        <v>-1920.4650000000006</v>
      </c>
      <c r="BQ510">
        <f>Model!BY669</f>
        <v>-1498.723</v>
      </c>
      <c r="BR510">
        <f>Model!BZ669</f>
        <v>-1371.1799999999998</v>
      </c>
      <c r="BS510">
        <f>Model!CA669</f>
        <v>-2468.5410000000006</v>
      </c>
      <c r="BT510">
        <f>Model!CB669</f>
        <v>-1152.7119999999995</v>
      </c>
      <c r="BU510">
        <f>Model!CC669</f>
        <v>0</v>
      </c>
      <c r="BV510">
        <f>Model!CD669</f>
        <v>0</v>
      </c>
      <c r="BW510">
        <f>Model!CE669</f>
        <v>0</v>
      </c>
      <c r="BX510">
        <f>Model!CF669</f>
        <v>0</v>
      </c>
      <c r="BY510">
        <f>Model!CG669</f>
        <v>0</v>
      </c>
      <c r="BZ510">
        <f>Model!CH669</f>
        <v>0</v>
      </c>
      <c r="CA510">
        <f>Model!CI669</f>
        <v>0</v>
      </c>
      <c r="CB510">
        <f>Model!CJ669</f>
        <v>0</v>
      </c>
      <c r="CC510">
        <f>Model!CK669</f>
        <v>0</v>
      </c>
      <c r="CD510">
        <f>Model!CL669</f>
        <v>0</v>
      </c>
      <c r="CE510">
        <f>Model!CM669</f>
        <v>0</v>
      </c>
      <c r="CF510">
        <f>Model!CN669</f>
        <v>0</v>
      </c>
      <c r="CG510">
        <f>Model!CO669</f>
        <v>0</v>
      </c>
      <c r="CH510">
        <f>Model!CP669</f>
        <v>0</v>
      </c>
      <c r="CI510">
        <f>Model!CQ669</f>
        <v>-1813.0319999999999</v>
      </c>
      <c r="CJ510">
        <f>Model!CR669</f>
        <v>-3005.3969999999999</v>
      </c>
      <c r="CK510">
        <f>Model!CS669</f>
        <v>-6352.4949999999999</v>
      </c>
      <c r="CL510">
        <f>Model!CT669</f>
        <v>-9955.7999999999993</v>
      </c>
      <c r="CM510">
        <f>Model!CU669</f>
        <v>-10552.214</v>
      </c>
      <c r="CN510">
        <f>Model!CV669</f>
        <v>-8669.69</v>
      </c>
      <c r="CO510">
        <f>Model!CW669</f>
        <v>-6741.2020000000002</v>
      </c>
      <c r="CP510">
        <f>Model!CX669</f>
        <v>-6491.1559999999999</v>
      </c>
      <c r="CQ510">
        <f>Model!CY669</f>
        <v>0</v>
      </c>
      <c r="CR510">
        <f>Model!DG669</f>
        <v>0</v>
      </c>
      <c r="CS510">
        <f>Model!DH669</f>
        <v>0</v>
      </c>
      <c r="CT510">
        <f>Model!DI669</f>
        <v>0</v>
      </c>
      <c r="CU510">
        <f>Model!DJ669</f>
        <v>0</v>
      </c>
    </row>
    <row r="511" spans="1:99">
      <c r="A511" t="str">
        <f>Model!I670</f>
        <v>Maturity/Sale of Investments</v>
      </c>
      <c r="B511">
        <f>Model!J670</f>
        <v>0</v>
      </c>
      <c r="C511">
        <f>Model!K670</f>
        <v>0</v>
      </c>
      <c r="D511">
        <f>Model!L670</f>
        <v>0</v>
      </c>
      <c r="E511">
        <f>Model!M670</f>
        <v>0</v>
      </c>
      <c r="F511">
        <f>Model!N670</f>
        <v>0</v>
      </c>
      <c r="G511">
        <f>Model!O670</f>
        <v>0</v>
      </c>
      <c r="H511">
        <f>Model!P670</f>
        <v>0</v>
      </c>
      <c r="I511">
        <f>Model!Q670</f>
        <v>0</v>
      </c>
      <c r="J511">
        <f>Model!R670</f>
        <v>0</v>
      </c>
      <c r="K511">
        <f>Model!S670</f>
        <v>0</v>
      </c>
      <c r="L511">
        <f>Model!T670</f>
        <v>0</v>
      </c>
      <c r="M511">
        <f>Model!U670</f>
        <v>0</v>
      </c>
      <c r="N511">
        <f>Model!V670</f>
        <v>0</v>
      </c>
      <c r="O511">
        <f>Model!W670</f>
        <v>0</v>
      </c>
      <c r="P511">
        <f>Model!X670</f>
        <v>0</v>
      </c>
      <c r="Q511">
        <f>Model!Y670</f>
        <v>0</v>
      </c>
      <c r="R511">
        <f>Model!Z670</f>
        <v>0</v>
      </c>
      <c r="S511">
        <f>Model!AA670</f>
        <v>0</v>
      </c>
      <c r="T511">
        <f>Model!AB670</f>
        <v>0</v>
      </c>
      <c r="U511">
        <f>Model!AC670</f>
        <v>0</v>
      </c>
      <c r="V511">
        <f>Model!AD670</f>
        <v>0</v>
      </c>
      <c r="W511">
        <f>Model!AE670</f>
        <v>0</v>
      </c>
      <c r="X511">
        <f>Model!AF670</f>
        <v>0</v>
      </c>
      <c r="Y511">
        <f>Model!AG670</f>
        <v>0</v>
      </c>
      <c r="Z511">
        <f>Model!AH670</f>
        <v>0</v>
      </c>
      <c r="AA511">
        <f>Model!AI670</f>
        <v>0</v>
      </c>
      <c r="AB511">
        <f>Model!AJ670</f>
        <v>0</v>
      </c>
      <c r="AC511">
        <f>Model!AK670</f>
        <v>0</v>
      </c>
      <c r="AD511">
        <f>Model!AL670</f>
        <v>0</v>
      </c>
      <c r="AE511">
        <f>Model!AM670</f>
        <v>0</v>
      </c>
      <c r="AF511">
        <f>Model!AN670</f>
        <v>0</v>
      </c>
      <c r="AG511">
        <f>Model!AO670</f>
        <v>0</v>
      </c>
      <c r="AH511">
        <f>Model!AP670</f>
        <v>0</v>
      </c>
      <c r="AI511">
        <f>Model!AQ670</f>
        <v>0</v>
      </c>
      <c r="AJ511">
        <f>Model!AR670</f>
        <v>0</v>
      </c>
      <c r="AK511">
        <f>Model!AS670</f>
        <v>0</v>
      </c>
      <c r="AL511">
        <f>Model!AT670</f>
        <v>0</v>
      </c>
      <c r="AM511">
        <f>Model!AU670</f>
        <v>0</v>
      </c>
      <c r="AN511">
        <f>Model!AV670</f>
        <v>0</v>
      </c>
      <c r="AO511">
        <f>Model!AW670</f>
        <v>0</v>
      </c>
      <c r="AP511">
        <f>Model!AX670</f>
        <v>0</v>
      </c>
      <c r="AQ511">
        <f>Model!AY670</f>
        <v>0</v>
      </c>
      <c r="AR511">
        <f>Model!AZ670</f>
        <v>0</v>
      </c>
      <c r="AS511">
        <f>Model!BA670</f>
        <v>618.42700000000002</v>
      </c>
      <c r="AT511">
        <f>Model!BB670</f>
        <v>407.08699999999988</v>
      </c>
      <c r="AU511">
        <f>Model!BC670</f>
        <v>504.48400000000004</v>
      </c>
      <c r="AV511">
        <f>Model!BD670</f>
        <v>699.56500000000017</v>
      </c>
      <c r="AW511">
        <f>Model!BE670</f>
        <v>925.35599999999999</v>
      </c>
      <c r="AX511">
        <f>Model!BF670</f>
        <v>945.41399999999999</v>
      </c>
      <c r="AY511">
        <f>Model!BG670</f>
        <v>1198.4720000000004</v>
      </c>
      <c r="AZ511">
        <f>Model!BH670</f>
        <v>1730.1699999999998</v>
      </c>
      <c r="BA511">
        <f>Model!BI670</f>
        <v>1521.9469999999999</v>
      </c>
      <c r="BB511">
        <f>Model!BJ670</f>
        <v>2130.7060000000001</v>
      </c>
      <c r="BC511">
        <f>Model!BK670</f>
        <v>1688.8350000000003</v>
      </c>
      <c r="BD511">
        <f>Model!BL670</f>
        <v>2949.7949999999992</v>
      </c>
      <c r="BE511">
        <f>Model!BM670</f>
        <v>2652.0129999999999</v>
      </c>
      <c r="BF511">
        <f>Model!BN670</f>
        <v>3426.3980000000001</v>
      </c>
      <c r="BG511">
        <f>Model!BO670</f>
        <v>3624.6209999999992</v>
      </c>
      <c r="BH511">
        <f>Model!BP670</f>
        <v>1199.4680000000008</v>
      </c>
      <c r="BI511">
        <f>Model!BQ670</f>
        <v>880.774</v>
      </c>
      <c r="BJ511">
        <f>Model!BR670</f>
        <v>1351.152</v>
      </c>
      <c r="BK511">
        <f>Model!BS670</f>
        <v>949.05500000000018</v>
      </c>
      <c r="BL511">
        <f>Model!BT670</f>
        <v>1903.2570000000001</v>
      </c>
      <c r="BM511">
        <f>Model!BU670</f>
        <v>1252.604</v>
      </c>
      <c r="BN511">
        <f>Model!BV670</f>
        <v>924.2639999999999</v>
      </c>
      <c r="BO511">
        <f>Model!BW670</f>
        <v>658.70200000000023</v>
      </c>
      <c r="BP511">
        <f>Model!BX670</f>
        <v>848.53299999999967</v>
      </c>
      <c r="BQ511">
        <f>Model!BY670</f>
        <v>676.47400000000005</v>
      </c>
      <c r="BR511">
        <f>Model!BZ670</f>
        <v>803.76200000000006</v>
      </c>
      <c r="BS511">
        <f>Model!CA670</f>
        <v>991.64699999999959</v>
      </c>
      <c r="BT511">
        <f>Model!CB670</f>
        <v>1108.1180000000004</v>
      </c>
      <c r="BU511">
        <f>Model!CC670</f>
        <v>0</v>
      </c>
      <c r="BV511">
        <f>Model!CD670</f>
        <v>0</v>
      </c>
      <c r="BW511">
        <f>Model!CE670</f>
        <v>0</v>
      </c>
      <c r="BX511">
        <f>Model!CF670</f>
        <v>0</v>
      </c>
      <c r="BY511">
        <f>Model!CG670</f>
        <v>0</v>
      </c>
      <c r="BZ511">
        <f>Model!CH670</f>
        <v>0</v>
      </c>
      <c r="CA511">
        <f>Model!CI670</f>
        <v>0</v>
      </c>
      <c r="CB511">
        <f>Model!CJ670</f>
        <v>0</v>
      </c>
      <c r="CC511">
        <f>Model!CK670</f>
        <v>0</v>
      </c>
      <c r="CD511">
        <f>Model!CL670</f>
        <v>0</v>
      </c>
      <c r="CE511">
        <f>Model!CM670</f>
        <v>0</v>
      </c>
      <c r="CF511">
        <f>Model!CN670</f>
        <v>0</v>
      </c>
      <c r="CG511">
        <f>Model!CO670</f>
        <v>0</v>
      </c>
      <c r="CH511">
        <f>Model!CP670</f>
        <v>0</v>
      </c>
      <c r="CI511">
        <f>Model!CQ670</f>
        <v>1071.6690000000001</v>
      </c>
      <c r="CJ511">
        <f>Model!CR670</f>
        <v>2229.5630000000001</v>
      </c>
      <c r="CK511">
        <f>Model!CS670</f>
        <v>4799.4120000000003</v>
      </c>
      <c r="CL511">
        <f>Model!CT670</f>
        <v>8291.2829999999994</v>
      </c>
      <c r="CM511">
        <f>Model!CU670</f>
        <v>10902.5</v>
      </c>
      <c r="CN511">
        <f>Model!CV670</f>
        <v>5084.2380000000003</v>
      </c>
      <c r="CO511">
        <f>Model!CW670</f>
        <v>3684.1030000000001</v>
      </c>
      <c r="CP511">
        <f>Model!CX670</f>
        <v>3580.0010000000002</v>
      </c>
      <c r="CQ511">
        <f>Model!CY670</f>
        <v>0</v>
      </c>
      <c r="CR511">
        <f>Model!DG670</f>
        <v>0</v>
      </c>
      <c r="CS511">
        <f>Model!DH670</f>
        <v>0</v>
      </c>
      <c r="CT511">
        <f>Model!DI670</f>
        <v>0</v>
      </c>
      <c r="CU511">
        <f>Model!DJ670</f>
        <v>0</v>
      </c>
    </row>
    <row r="512" spans="1:99">
      <c r="A512" t="str">
        <f>Model!I671</f>
        <v>Purchase of shares held by Noncontrolling Int</v>
      </c>
      <c r="B512">
        <f>Model!J671</f>
        <v>0</v>
      </c>
      <c r="C512">
        <f>Model!K671</f>
        <v>0</v>
      </c>
      <c r="D512">
        <f>Model!L671</f>
        <v>0</v>
      </c>
      <c r="E512">
        <f>Model!M671</f>
        <v>0</v>
      </c>
      <c r="F512">
        <f>Model!N671</f>
        <v>0</v>
      </c>
      <c r="G512">
        <f>Model!O671</f>
        <v>0</v>
      </c>
      <c r="H512">
        <f>Model!P671</f>
        <v>0</v>
      </c>
      <c r="I512">
        <f>Model!Q671</f>
        <v>0</v>
      </c>
      <c r="J512">
        <f>Model!R671</f>
        <v>0</v>
      </c>
      <c r="K512">
        <f>Model!S671</f>
        <v>0</v>
      </c>
      <c r="L512">
        <f>Model!T671</f>
        <v>0</v>
      </c>
      <c r="M512">
        <f>Model!U671</f>
        <v>0</v>
      </c>
      <c r="N512">
        <f>Model!V671</f>
        <v>0</v>
      </c>
      <c r="O512">
        <f>Model!W671</f>
        <v>0</v>
      </c>
      <c r="P512">
        <f>Model!X671</f>
        <v>0</v>
      </c>
      <c r="Q512">
        <f>Model!Y671</f>
        <v>0</v>
      </c>
      <c r="R512">
        <f>Model!Z671</f>
        <v>0</v>
      </c>
      <c r="S512">
        <f>Model!AA671</f>
        <v>0</v>
      </c>
      <c r="T512">
        <f>Model!AB671</f>
        <v>0</v>
      </c>
      <c r="U512">
        <f>Model!AC671</f>
        <v>0</v>
      </c>
      <c r="V512">
        <f>Model!AD671</f>
        <v>0</v>
      </c>
      <c r="W512">
        <f>Model!AE671</f>
        <v>0</v>
      </c>
      <c r="X512">
        <f>Model!AF671</f>
        <v>0</v>
      </c>
      <c r="Y512">
        <f>Model!AG671</f>
        <v>0</v>
      </c>
      <c r="Z512">
        <f>Model!AH671</f>
        <v>0</v>
      </c>
      <c r="AA512">
        <f>Model!AI671</f>
        <v>0</v>
      </c>
      <c r="AB512">
        <f>Model!AJ671</f>
        <v>0</v>
      </c>
      <c r="AC512">
        <f>Model!AK671</f>
        <v>0</v>
      </c>
      <c r="AD512">
        <f>Model!AL671</f>
        <v>0</v>
      </c>
      <c r="AE512">
        <f>Model!AM671</f>
        <v>0</v>
      </c>
      <c r="AF512">
        <f>Model!AN671</f>
        <v>0</v>
      </c>
      <c r="AG512">
        <f>Model!AO671</f>
        <v>0</v>
      </c>
      <c r="AH512">
        <f>Model!AP671</f>
        <v>0</v>
      </c>
      <c r="AI512">
        <f>Model!AQ671</f>
        <v>0</v>
      </c>
      <c r="AJ512">
        <f>Model!AR671</f>
        <v>0</v>
      </c>
      <c r="AK512">
        <f>Model!AS671</f>
        <v>0</v>
      </c>
      <c r="AL512">
        <f>Model!AT671</f>
        <v>0</v>
      </c>
      <c r="AM512">
        <f>Model!AU671</f>
        <v>0</v>
      </c>
      <c r="AN512">
        <f>Model!AV671</f>
        <v>0</v>
      </c>
      <c r="AO512">
        <f>Model!AW671</f>
        <v>0</v>
      </c>
      <c r="AP512">
        <f>Model!AX671</f>
        <v>0</v>
      </c>
      <c r="AQ512">
        <f>Model!AY671</f>
        <v>0</v>
      </c>
      <c r="AR512">
        <f>Model!AZ671</f>
        <v>0</v>
      </c>
      <c r="AS512">
        <f>Model!BA671</f>
        <v>0</v>
      </c>
      <c r="AT512">
        <f>Model!BB671</f>
        <v>0</v>
      </c>
      <c r="AU512">
        <f>Model!BC671</f>
        <v>0</v>
      </c>
      <c r="AV512">
        <f>Model!BD671</f>
        <v>0</v>
      </c>
      <c r="AW512">
        <f>Model!BE671</f>
        <v>0</v>
      </c>
      <c r="AX512">
        <f>Model!BF671</f>
        <v>0</v>
      </c>
      <c r="AY512">
        <f>Model!BG671</f>
        <v>0</v>
      </c>
      <c r="AZ512">
        <f>Model!BH671</f>
        <v>0</v>
      </c>
      <c r="BA512">
        <f>Model!BI671</f>
        <v>0</v>
      </c>
      <c r="BB512">
        <f>Model!BJ671</f>
        <v>0</v>
      </c>
      <c r="BC512">
        <f>Model!BK671</f>
        <v>0</v>
      </c>
      <c r="BD512">
        <f>Model!BL671</f>
        <v>0</v>
      </c>
      <c r="BE512">
        <f>Model!BM671</f>
        <v>0</v>
      </c>
      <c r="BF512">
        <f>Model!BN671</f>
        <v>0</v>
      </c>
      <c r="BG512">
        <f>Model!BO671</f>
        <v>0</v>
      </c>
      <c r="BH512">
        <f>Model!BP671</f>
        <v>0</v>
      </c>
      <c r="BI512">
        <f>Model!BQ671</f>
        <v>0</v>
      </c>
      <c r="BJ512">
        <f>Model!BR671</f>
        <v>0</v>
      </c>
      <c r="BK512">
        <f>Model!BS671</f>
        <v>0</v>
      </c>
      <c r="BL512">
        <f>Model!BT671</f>
        <v>0</v>
      </c>
      <c r="BM512">
        <f>Model!BU671</f>
        <v>0</v>
      </c>
      <c r="BN512">
        <f>Model!BV671</f>
        <v>0</v>
      </c>
      <c r="BO512">
        <f>Model!BW671</f>
        <v>0</v>
      </c>
      <c r="BP512">
        <f>Model!BX671</f>
        <v>0</v>
      </c>
      <c r="BQ512">
        <f>Model!BY671</f>
        <v>0</v>
      </c>
      <c r="BR512">
        <f>Model!BZ671</f>
        <v>0</v>
      </c>
      <c r="BS512">
        <f>Model!CA671</f>
        <v>0</v>
      </c>
      <c r="BT512">
        <f>Model!CB671</f>
        <v>0</v>
      </c>
      <c r="BU512">
        <f>Model!CC671</f>
        <v>0</v>
      </c>
      <c r="BV512">
        <f>Model!CD671</f>
        <v>0</v>
      </c>
      <c r="BW512">
        <f>Model!CE671</f>
        <v>0</v>
      </c>
      <c r="BX512">
        <f>Model!CF671</f>
        <v>0</v>
      </c>
      <c r="BY512">
        <f>Model!CG671</f>
        <v>0</v>
      </c>
      <c r="BZ512">
        <f>Model!CH671</f>
        <v>0</v>
      </c>
      <c r="CA512">
        <f>Model!CI671</f>
        <v>0</v>
      </c>
      <c r="CB512">
        <f>Model!CJ671</f>
        <v>0</v>
      </c>
      <c r="CC512">
        <f>Model!CK671</f>
        <v>0</v>
      </c>
      <c r="CD512">
        <f>Model!CL671</f>
        <v>0</v>
      </c>
      <c r="CE512">
        <f>Model!CM671</f>
        <v>0</v>
      </c>
      <c r="CF512">
        <f>Model!CN671</f>
        <v>0</v>
      </c>
      <c r="CG512">
        <f>Model!CO671</f>
        <v>0</v>
      </c>
      <c r="CH512">
        <f>Model!CP671</f>
        <v>0</v>
      </c>
      <c r="CI512">
        <f>Model!CQ671</f>
        <v>0</v>
      </c>
      <c r="CJ512">
        <f>Model!CR671</f>
        <v>0</v>
      </c>
      <c r="CK512">
        <f>Model!CS671</f>
        <v>0</v>
      </c>
      <c r="CL512">
        <f>Model!CT671</f>
        <v>0</v>
      </c>
      <c r="CM512">
        <f>Model!CU671</f>
        <v>0</v>
      </c>
      <c r="CN512">
        <f>Model!CV671</f>
        <v>0</v>
      </c>
      <c r="CO512">
        <f>Model!CW671</f>
        <v>0</v>
      </c>
      <c r="CP512">
        <f>Model!CX671</f>
        <v>0</v>
      </c>
      <c r="CQ512">
        <f>Model!CY671</f>
        <v>0</v>
      </c>
      <c r="CR512">
        <f>Model!DG671</f>
        <v>0</v>
      </c>
      <c r="CS512">
        <f>Model!DH671</f>
        <v>0</v>
      </c>
      <c r="CT512">
        <f>Model!DI671</f>
        <v>0</v>
      </c>
      <c r="CU512">
        <f>Model!DJ671</f>
        <v>0</v>
      </c>
    </row>
    <row r="513" spans="1:99">
      <c r="A513" t="str">
        <f>Model!I672</f>
        <v>Additions to PP&amp;E</v>
      </c>
      <c r="B513">
        <f>Model!J672</f>
        <v>0</v>
      </c>
      <c r="C513">
        <f>Model!K672</f>
        <v>0</v>
      </c>
      <c r="D513">
        <f>Model!L672</f>
        <v>0</v>
      </c>
      <c r="E513">
        <f>Model!M672</f>
        <v>0</v>
      </c>
      <c r="F513">
        <f>Model!N672</f>
        <v>0</v>
      </c>
      <c r="G513">
        <f>Model!O672</f>
        <v>0</v>
      </c>
      <c r="H513">
        <f>Model!P672</f>
        <v>0</v>
      </c>
      <c r="I513">
        <f>Model!Q672</f>
        <v>0</v>
      </c>
      <c r="J513">
        <f>Model!R672</f>
        <v>0</v>
      </c>
      <c r="K513">
        <f>Model!S672</f>
        <v>0</v>
      </c>
      <c r="L513">
        <f>Model!T672</f>
        <v>0</v>
      </c>
      <c r="M513">
        <f>Model!U672</f>
        <v>0</v>
      </c>
      <c r="N513">
        <f>Model!V672</f>
        <v>0</v>
      </c>
      <c r="O513">
        <f>Model!W672</f>
        <v>0</v>
      </c>
      <c r="P513">
        <f>Model!X672</f>
        <v>0</v>
      </c>
      <c r="Q513">
        <f>Model!Y672</f>
        <v>0</v>
      </c>
      <c r="R513">
        <f>Model!Z672</f>
        <v>0</v>
      </c>
      <c r="S513">
        <f>Model!AA672</f>
        <v>0</v>
      </c>
      <c r="T513">
        <f>Model!AB672</f>
        <v>0</v>
      </c>
      <c r="U513">
        <f>Model!AC672</f>
        <v>0</v>
      </c>
      <c r="V513">
        <f>Model!AD672</f>
        <v>0</v>
      </c>
      <c r="W513">
        <f>Model!AE672</f>
        <v>0</v>
      </c>
      <c r="X513">
        <f>Model!AF672</f>
        <v>0</v>
      </c>
      <c r="Y513">
        <f>Model!AG672</f>
        <v>0</v>
      </c>
      <c r="Z513">
        <f>Model!AH672</f>
        <v>0</v>
      </c>
      <c r="AA513">
        <f>Model!AI672</f>
        <v>0</v>
      </c>
      <c r="AB513">
        <f>Model!AJ672</f>
        <v>0</v>
      </c>
      <c r="AC513">
        <f>Model!AK672</f>
        <v>0</v>
      </c>
      <c r="AD513">
        <f>Model!AL672</f>
        <v>0</v>
      </c>
      <c r="AE513">
        <f>Model!AM672</f>
        <v>0</v>
      </c>
      <c r="AF513">
        <f>Model!AN672</f>
        <v>0</v>
      </c>
      <c r="AG513">
        <f>Model!AO672</f>
        <v>0</v>
      </c>
      <c r="AH513">
        <f>Model!AP672</f>
        <v>0</v>
      </c>
      <c r="AI513">
        <f>Model!AQ672</f>
        <v>0</v>
      </c>
      <c r="AJ513">
        <f>Model!AR672</f>
        <v>0</v>
      </c>
      <c r="AK513">
        <f>Model!AS672</f>
        <v>0</v>
      </c>
      <c r="AL513">
        <f>Model!AT672</f>
        <v>0</v>
      </c>
      <c r="AM513">
        <f>Model!AU672</f>
        <v>0</v>
      </c>
      <c r="AN513">
        <f>Model!AV672</f>
        <v>0</v>
      </c>
      <c r="AO513">
        <f>Model!AW672</f>
        <v>0</v>
      </c>
      <c r="AP513">
        <f>Model!AX672</f>
        <v>0</v>
      </c>
      <c r="AQ513">
        <f>Model!AY672</f>
        <v>0</v>
      </c>
      <c r="AR513">
        <f>Model!AZ672</f>
        <v>0</v>
      </c>
      <c r="AS513">
        <f>Model!BA672</f>
        <v>-8.2789999999999999</v>
      </c>
      <c r="AT513">
        <f>Model!BB672</f>
        <v>-9.7980000000000018</v>
      </c>
      <c r="AU513">
        <f>Model!BC672</f>
        <v>-11.692999999999998</v>
      </c>
      <c r="AV513">
        <f>Model!BD672</f>
        <v>-17.062999999999999</v>
      </c>
      <c r="AW513">
        <f>Model!BE672</f>
        <v>-13.696999999999999</v>
      </c>
      <c r="AX513">
        <f>Model!BF672</f>
        <v>-14.725999999999999</v>
      </c>
      <c r="AY513">
        <f>Model!BG672</f>
        <v>-10.527000000000005</v>
      </c>
      <c r="AZ513">
        <f>Model!BH672</f>
        <v>-16.208000000000002</v>
      </c>
      <c r="BA513">
        <f>Model!BI672</f>
        <v>-15.051</v>
      </c>
      <c r="BB513">
        <f>Model!BJ672</f>
        <v>-21.43</v>
      </c>
      <c r="BC513">
        <f>Model!BK672</f>
        <v>-20.476999999999997</v>
      </c>
      <c r="BD513">
        <f>Model!BL672</f>
        <v>-27.486999999999995</v>
      </c>
      <c r="BE513">
        <f>Model!BM672</f>
        <v>-29.731000000000002</v>
      </c>
      <c r="BF513">
        <f>Model!BN672</f>
        <v>-32.254999999999995</v>
      </c>
      <c r="BG513">
        <f>Model!BO672</f>
        <v>-28.738999999999997</v>
      </c>
      <c r="BH513">
        <f>Model!BP672</f>
        <v>-40.778999999999989</v>
      </c>
      <c r="BI513">
        <f>Model!BQ672</f>
        <v>-31.263000000000002</v>
      </c>
      <c r="BJ513">
        <f>Model!BR672</f>
        <v>-53.087999999999994</v>
      </c>
      <c r="BK513">
        <f>Model!BS672</f>
        <v>-42.286000000000001</v>
      </c>
      <c r="BL513">
        <f>Model!BT672</f>
        <v>-47.277999999999992</v>
      </c>
      <c r="BM513">
        <f>Model!BU672</f>
        <v>-53.256</v>
      </c>
      <c r="BN513">
        <f>Model!BV672</f>
        <v>-60.442999999999998</v>
      </c>
      <c r="BO513">
        <f>Model!BW672</f>
        <v>-54.376999999999995</v>
      </c>
      <c r="BP513">
        <f>Model!BX672</f>
        <v>-51.813000000000002</v>
      </c>
      <c r="BQ513">
        <f>Model!BY672</f>
        <v>-70.558999999999997</v>
      </c>
      <c r="BR513">
        <f>Model!BZ672</f>
        <v>-76.710000000000008</v>
      </c>
      <c r="BS513">
        <f>Model!CA672</f>
        <v>-76.423000000000002</v>
      </c>
      <c r="BT513">
        <f>Model!CB672</f>
        <v>-64.113</v>
      </c>
      <c r="BU513">
        <f>Model!CC672</f>
        <v>-98.549416478241099</v>
      </c>
      <c r="BV513">
        <f>Model!CD672</f>
        <v>-101.47747321468827</v>
      </c>
      <c r="BW513">
        <f>Model!CE672</f>
        <v>-77.417733131077327</v>
      </c>
      <c r="BX513">
        <f>Model!CF672</f>
        <v>-86.62669323710152</v>
      </c>
      <c r="BY513">
        <f>Model!CG672</f>
        <v>0</v>
      </c>
      <c r="BZ513">
        <f>Model!CH672</f>
        <v>0</v>
      </c>
      <c r="CA513">
        <f>Model!CI672</f>
        <v>0</v>
      </c>
      <c r="CB513">
        <f>Model!CJ672</f>
        <v>0</v>
      </c>
      <c r="CC513">
        <f>Model!CK672</f>
        <v>0</v>
      </c>
      <c r="CD513">
        <f>Model!CL672</f>
        <v>0</v>
      </c>
      <c r="CE513">
        <f>Model!CM672</f>
        <v>0</v>
      </c>
      <c r="CF513">
        <f>Model!CN672</f>
        <v>0</v>
      </c>
      <c r="CG513">
        <f>Model!CO672</f>
        <v>0</v>
      </c>
      <c r="CH513">
        <f>Model!CP672</f>
        <v>0</v>
      </c>
      <c r="CI513">
        <f>Model!CQ672</f>
        <v>-22.593</v>
      </c>
      <c r="CJ513">
        <f>Model!CR672</f>
        <v>-46.832999999999998</v>
      </c>
      <c r="CK513">
        <f>Model!CS672</f>
        <v>-55.158000000000001</v>
      </c>
      <c r="CL513">
        <f>Model!CT672</f>
        <v>-84.444999999999993</v>
      </c>
      <c r="CM513">
        <f>Model!CU672</f>
        <v>-131.50399999999999</v>
      </c>
      <c r="CN513">
        <f>Model!CV672</f>
        <v>-173.91499999999999</v>
      </c>
      <c r="CO513">
        <f>Model!CW672</f>
        <v>-219.88900000000001</v>
      </c>
      <c r="CP513">
        <f>Model!CX672</f>
        <v>-287.80500000000001</v>
      </c>
      <c r="CQ513">
        <f>Model!CY672</f>
        <v>-364.07131606110823</v>
      </c>
      <c r="CR513">
        <f>Model!DG672</f>
        <v>0</v>
      </c>
      <c r="CS513">
        <f>Model!DH672</f>
        <v>0</v>
      </c>
      <c r="CT513">
        <f>Model!DI672</f>
        <v>0</v>
      </c>
      <c r="CU513">
        <f>Model!DJ672</f>
        <v>0</v>
      </c>
    </row>
    <row r="514" spans="1:99">
      <c r="A514" t="str">
        <f>Model!I673</f>
        <v>Acquisitions and other Equity Investments, Net of Cash Acquired</v>
      </c>
      <c r="B514">
        <f>Model!J673</f>
        <v>0</v>
      </c>
      <c r="C514">
        <f>Model!K673</f>
        <v>0</v>
      </c>
      <c r="D514">
        <f>Model!L673</f>
        <v>0</v>
      </c>
      <c r="E514">
        <f>Model!M673</f>
        <v>0</v>
      </c>
      <c r="F514">
        <f>Model!N673</f>
        <v>0</v>
      </c>
      <c r="G514">
        <f>Model!O673</f>
        <v>0</v>
      </c>
      <c r="H514">
        <f>Model!P673</f>
        <v>0</v>
      </c>
      <c r="I514">
        <f>Model!Q673</f>
        <v>0</v>
      </c>
      <c r="J514">
        <f>Model!R673</f>
        <v>0</v>
      </c>
      <c r="K514">
        <f>Model!S673</f>
        <v>0</v>
      </c>
      <c r="L514">
        <f>Model!T673</f>
        <v>0</v>
      </c>
      <c r="M514">
        <f>Model!U673</f>
        <v>0</v>
      </c>
      <c r="N514">
        <f>Model!V673</f>
        <v>0</v>
      </c>
      <c r="O514">
        <f>Model!W673</f>
        <v>0</v>
      </c>
      <c r="P514">
        <f>Model!X673</f>
        <v>0</v>
      </c>
      <c r="Q514">
        <f>Model!Y673</f>
        <v>0</v>
      </c>
      <c r="R514">
        <f>Model!Z673</f>
        <v>0</v>
      </c>
      <c r="S514">
        <f>Model!AA673</f>
        <v>0</v>
      </c>
      <c r="T514">
        <f>Model!AB673</f>
        <v>0</v>
      </c>
      <c r="U514">
        <f>Model!AC673</f>
        <v>0</v>
      </c>
      <c r="V514">
        <f>Model!AD673</f>
        <v>0</v>
      </c>
      <c r="W514">
        <f>Model!AE673</f>
        <v>0</v>
      </c>
      <c r="X514">
        <f>Model!AF673</f>
        <v>0</v>
      </c>
      <c r="Y514">
        <f>Model!AG673</f>
        <v>0</v>
      </c>
      <c r="Z514">
        <f>Model!AH673</f>
        <v>0</v>
      </c>
      <c r="AA514">
        <f>Model!AI673</f>
        <v>0</v>
      </c>
      <c r="AB514">
        <f>Model!AJ673</f>
        <v>0</v>
      </c>
      <c r="AC514">
        <f>Model!AK673</f>
        <v>0</v>
      </c>
      <c r="AD514">
        <f>Model!AL673</f>
        <v>0</v>
      </c>
      <c r="AE514">
        <f>Model!AM673</f>
        <v>0</v>
      </c>
      <c r="AF514">
        <f>Model!AN673</f>
        <v>0</v>
      </c>
      <c r="AG514">
        <f>Model!AO673</f>
        <v>0</v>
      </c>
      <c r="AH514">
        <f>Model!AP673</f>
        <v>0</v>
      </c>
      <c r="AI514">
        <f>Model!AQ673</f>
        <v>0</v>
      </c>
      <c r="AJ514">
        <f>Model!AR673</f>
        <v>0</v>
      </c>
      <c r="AK514">
        <f>Model!AS673</f>
        <v>0</v>
      </c>
      <c r="AL514">
        <f>Model!AT673</f>
        <v>0</v>
      </c>
      <c r="AM514">
        <f>Model!AU673</f>
        <v>0</v>
      </c>
      <c r="AN514">
        <f>Model!AV673</f>
        <v>0</v>
      </c>
      <c r="AO514">
        <f>Model!AW673</f>
        <v>0</v>
      </c>
      <c r="AP514">
        <f>Model!AX673</f>
        <v>0</v>
      </c>
      <c r="AQ514">
        <f>Model!AY673</f>
        <v>0</v>
      </c>
      <c r="AR514">
        <f>Model!AZ673</f>
        <v>0</v>
      </c>
      <c r="AS514">
        <f>Model!BA673</f>
        <v>-66.203999999999994</v>
      </c>
      <c r="AT514">
        <f>Model!BB673</f>
        <v>-0.87000000000000455</v>
      </c>
      <c r="AU514">
        <f>Model!BC673</f>
        <v>-0.89900000000000091</v>
      </c>
      <c r="AV514">
        <f>Model!BD673</f>
        <v>-0.21899999999999409</v>
      </c>
      <c r="AW514">
        <f>Model!BE673</f>
        <v>-13.286</v>
      </c>
      <c r="AX514">
        <f>Model!BF673</f>
        <v>-0.14300000000000068</v>
      </c>
      <c r="AY514">
        <f>Model!BG673</f>
        <v>-0.44200000000000017</v>
      </c>
      <c r="AZ514">
        <f>Model!BH673</f>
        <v>-19.989999999999995</v>
      </c>
      <c r="BA514">
        <f>Model!BI673</f>
        <v>-0.10199999999999999</v>
      </c>
      <c r="BB514">
        <f>Model!BJ673</f>
        <v>-330.74200000000002</v>
      </c>
      <c r="BC514">
        <f>Model!BK673</f>
        <v>-0.71299999999999775</v>
      </c>
      <c r="BD514">
        <f>Model!BL673</f>
        <v>-0.36099999999996546</v>
      </c>
      <c r="BE514">
        <f>Model!BM673</f>
        <v>-2.633</v>
      </c>
      <c r="BF514">
        <f>Model!BN673</f>
        <v>-98.417000000000002</v>
      </c>
      <c r="BG514">
        <f>Model!BO673</f>
        <v>-2395.0340000000001</v>
      </c>
      <c r="BH514">
        <f>Model!BP673</f>
        <v>-0.28199999999987835</v>
      </c>
      <c r="BI514">
        <f>Model!BQ673</f>
        <v>-26.161999999999999</v>
      </c>
      <c r="BJ514">
        <f>Model!BR673</f>
        <v>-19.774999999999999</v>
      </c>
      <c r="BK514">
        <f>Model!BS673</f>
        <v>-89.726999999999975</v>
      </c>
      <c r="BL514">
        <f>Model!BT673</f>
        <v>-4.6740000000000208</v>
      </c>
      <c r="BM514">
        <f>Model!BU673</f>
        <v>-0.72299999999999998</v>
      </c>
      <c r="BN514">
        <f>Model!BV673</f>
        <v>-7.2000000000000064E-2</v>
      </c>
      <c r="BO514">
        <f>Model!BW673</f>
        <v>-48.51</v>
      </c>
      <c r="BP514">
        <f>Model!BX673</f>
        <v>-7.0020000000000042</v>
      </c>
      <c r="BQ514">
        <f>Model!BY673</f>
        <v>-6.0000000000000001E-3</v>
      </c>
      <c r="BR514">
        <f>Model!BZ673</f>
        <v>-0.48399999999999999</v>
      </c>
      <c r="BS514">
        <f>Model!CA673</f>
        <v>-552.31499999999994</v>
      </c>
      <c r="BT514">
        <f>Model!CB673</f>
        <v>-450.27000000000015</v>
      </c>
      <c r="BU514">
        <f>Model!CC673</f>
        <v>0</v>
      </c>
      <c r="BV514">
        <f>Model!CD673</f>
        <v>0</v>
      </c>
      <c r="BW514">
        <f>Model!CE673</f>
        <v>0</v>
      </c>
      <c r="BX514">
        <f>Model!CF673</f>
        <v>0</v>
      </c>
      <c r="BY514">
        <f>Model!CG673</f>
        <v>0</v>
      </c>
      <c r="BZ514">
        <f>Model!CH673</f>
        <v>0</v>
      </c>
      <c r="CA514">
        <f>Model!CI673</f>
        <v>0</v>
      </c>
      <c r="CB514">
        <f>Model!CJ673</f>
        <v>0</v>
      </c>
      <c r="CC514">
        <f>Model!CK673</f>
        <v>0</v>
      </c>
      <c r="CD514">
        <f>Model!CL673</f>
        <v>0</v>
      </c>
      <c r="CE514">
        <f>Model!CM673</f>
        <v>0</v>
      </c>
      <c r="CF514">
        <f>Model!CN673</f>
        <v>0</v>
      </c>
      <c r="CG514">
        <f>Model!CO673</f>
        <v>0</v>
      </c>
      <c r="CH514">
        <f>Model!CP673</f>
        <v>0</v>
      </c>
      <c r="CI514">
        <f>Model!CQ673</f>
        <v>-112.405</v>
      </c>
      <c r="CJ514">
        <f>Model!CR673</f>
        <v>-68.191999999999993</v>
      </c>
      <c r="CK514">
        <f>Model!CS673</f>
        <v>-33.860999999999997</v>
      </c>
      <c r="CL514">
        <f>Model!CT673</f>
        <v>-331.91800000000001</v>
      </c>
      <c r="CM514">
        <f>Model!CU673</f>
        <v>-2496.366</v>
      </c>
      <c r="CN514">
        <f>Model!CV673</f>
        <v>-140.33799999999999</v>
      </c>
      <c r="CO514">
        <f>Model!CW673</f>
        <v>-56.307000000000002</v>
      </c>
      <c r="CP514">
        <f>Model!CX673</f>
        <v>-1003.075</v>
      </c>
      <c r="CQ514">
        <f>Model!CY673</f>
        <v>0</v>
      </c>
      <c r="CR514">
        <f>Model!DG673</f>
        <v>0</v>
      </c>
      <c r="CS514">
        <f>Model!DH673</f>
        <v>0</v>
      </c>
      <c r="CT514">
        <f>Model!DI673</f>
        <v>0</v>
      </c>
      <c r="CU514">
        <f>Model!DJ673</f>
        <v>0</v>
      </c>
    </row>
    <row r="515" spans="1:99">
      <c r="A515" t="str">
        <f>Model!I674</f>
        <v>Proceeds from Redemption of Equity Investment</v>
      </c>
      <c r="B515">
        <f>Model!J674</f>
        <v>0</v>
      </c>
      <c r="C515">
        <f>Model!K674</f>
        <v>0</v>
      </c>
      <c r="D515">
        <f>Model!L674</f>
        <v>0</v>
      </c>
      <c r="E515">
        <f>Model!M674</f>
        <v>0</v>
      </c>
      <c r="F515">
        <f>Model!N674</f>
        <v>0</v>
      </c>
      <c r="G515">
        <f>Model!O674</f>
        <v>0</v>
      </c>
      <c r="H515">
        <f>Model!P674</f>
        <v>0</v>
      </c>
      <c r="I515">
        <f>Model!Q674</f>
        <v>0</v>
      </c>
      <c r="J515">
        <f>Model!R674</f>
        <v>0</v>
      </c>
      <c r="K515">
        <f>Model!S674</f>
        <v>0</v>
      </c>
      <c r="L515">
        <f>Model!T674</f>
        <v>0</v>
      </c>
      <c r="M515">
        <f>Model!U674</f>
        <v>0</v>
      </c>
      <c r="N515">
        <f>Model!V674</f>
        <v>0</v>
      </c>
      <c r="O515">
        <f>Model!W674</f>
        <v>0</v>
      </c>
      <c r="P515">
        <f>Model!X674</f>
        <v>0</v>
      </c>
      <c r="Q515">
        <f>Model!Y674</f>
        <v>0</v>
      </c>
      <c r="R515">
        <f>Model!Z674</f>
        <v>0</v>
      </c>
      <c r="S515">
        <f>Model!AA674</f>
        <v>0</v>
      </c>
      <c r="T515">
        <f>Model!AB674</f>
        <v>0</v>
      </c>
      <c r="U515">
        <f>Model!AC674</f>
        <v>0</v>
      </c>
      <c r="V515">
        <f>Model!AD674</f>
        <v>0</v>
      </c>
      <c r="W515">
        <f>Model!AE674</f>
        <v>0</v>
      </c>
      <c r="X515">
        <f>Model!AF674</f>
        <v>0</v>
      </c>
      <c r="Y515">
        <f>Model!AG674</f>
        <v>0</v>
      </c>
      <c r="Z515">
        <f>Model!AH674</f>
        <v>0</v>
      </c>
      <c r="AA515">
        <f>Model!AI674</f>
        <v>0</v>
      </c>
      <c r="AB515">
        <f>Model!AJ674</f>
        <v>0</v>
      </c>
      <c r="AC515">
        <f>Model!AK674</f>
        <v>0</v>
      </c>
      <c r="AD515">
        <f>Model!AL674</f>
        <v>0</v>
      </c>
      <c r="AE515">
        <f>Model!AM674</f>
        <v>0</v>
      </c>
      <c r="AF515">
        <f>Model!AN674</f>
        <v>0</v>
      </c>
      <c r="AG515">
        <f>Model!AO674</f>
        <v>0</v>
      </c>
      <c r="AH515">
        <f>Model!AP674</f>
        <v>0</v>
      </c>
      <c r="AI515">
        <f>Model!AQ674</f>
        <v>0</v>
      </c>
      <c r="AJ515">
        <f>Model!AR674</f>
        <v>0</v>
      </c>
      <c r="AK515">
        <f>Model!AS674</f>
        <v>0</v>
      </c>
      <c r="AL515">
        <f>Model!AT674</f>
        <v>0</v>
      </c>
      <c r="AM515">
        <f>Model!AU674</f>
        <v>0</v>
      </c>
      <c r="AN515">
        <f>Model!AV674</f>
        <v>0</v>
      </c>
      <c r="AO515">
        <f>Model!AW674</f>
        <v>0</v>
      </c>
      <c r="AP515">
        <f>Model!AX674</f>
        <v>0</v>
      </c>
      <c r="AQ515">
        <f>Model!AY674</f>
        <v>0</v>
      </c>
      <c r="AR515">
        <f>Model!AZ674</f>
        <v>0</v>
      </c>
      <c r="AS515">
        <f>Model!BA674</f>
        <v>0</v>
      </c>
      <c r="AT515">
        <f>Model!BB674</f>
        <v>0</v>
      </c>
      <c r="AU515">
        <f>Model!BC674</f>
        <v>0</v>
      </c>
      <c r="AV515">
        <f>Model!BD674</f>
        <v>0</v>
      </c>
      <c r="AW515">
        <f>Model!BE674</f>
        <v>0</v>
      </c>
      <c r="AX515">
        <f>Model!BF674</f>
        <v>0</v>
      </c>
      <c r="AY515">
        <f>Model!BG674</f>
        <v>0</v>
      </c>
      <c r="AZ515">
        <f>Model!BH674</f>
        <v>0</v>
      </c>
      <c r="BA515">
        <f>Model!BI674</f>
        <v>0</v>
      </c>
      <c r="BB515">
        <f>Model!BJ674</f>
        <v>0</v>
      </c>
      <c r="BC515">
        <f>Model!BK674</f>
        <v>0</v>
      </c>
      <c r="BD515">
        <f>Model!BL674</f>
        <v>0</v>
      </c>
      <c r="BE515">
        <f>Model!BM674</f>
        <v>0</v>
      </c>
      <c r="BF515">
        <f>Model!BN674</f>
        <v>0</v>
      </c>
      <c r="BG515">
        <f>Model!BO674</f>
        <v>0</v>
      </c>
      <c r="BH515">
        <f>Model!BP674</f>
        <v>0</v>
      </c>
      <c r="BI515">
        <f>Model!BQ674</f>
        <v>0</v>
      </c>
      <c r="BJ515">
        <f>Model!BR674</f>
        <v>0</v>
      </c>
      <c r="BK515">
        <f>Model!BS674</f>
        <v>0</v>
      </c>
      <c r="BL515">
        <f>Model!BT674</f>
        <v>0</v>
      </c>
      <c r="BM515">
        <f>Model!BU674</f>
        <v>0</v>
      </c>
      <c r="BN515">
        <f>Model!BV674</f>
        <v>0</v>
      </c>
      <c r="BO515">
        <f>Model!BW674</f>
        <v>0</v>
      </c>
      <c r="BP515">
        <f>Model!BX674</f>
        <v>0</v>
      </c>
      <c r="BQ515">
        <f>Model!BY674</f>
        <v>0</v>
      </c>
      <c r="BR515">
        <f>Model!BZ674</f>
        <v>0</v>
      </c>
      <c r="BS515">
        <f>Model!CA674</f>
        <v>0</v>
      </c>
      <c r="BT515">
        <f>Model!CB674</f>
        <v>0</v>
      </c>
      <c r="BU515">
        <f>Model!CC674</f>
        <v>0</v>
      </c>
      <c r="BV515">
        <f>Model!CD674</f>
        <v>0</v>
      </c>
      <c r="BW515">
        <f>Model!CE674</f>
        <v>0</v>
      </c>
      <c r="BX515">
        <f>Model!CF674</f>
        <v>0</v>
      </c>
      <c r="BY515">
        <f>Model!CG674</f>
        <v>0</v>
      </c>
      <c r="BZ515">
        <f>Model!CH674</f>
        <v>0</v>
      </c>
      <c r="CA515">
        <f>Model!CI674</f>
        <v>0</v>
      </c>
      <c r="CB515">
        <f>Model!CJ674</f>
        <v>0</v>
      </c>
      <c r="CC515">
        <f>Model!CK674</f>
        <v>0</v>
      </c>
      <c r="CD515">
        <f>Model!CL674</f>
        <v>0</v>
      </c>
      <c r="CE515">
        <f>Model!CM674</f>
        <v>0</v>
      </c>
      <c r="CF515">
        <f>Model!CN674</f>
        <v>0</v>
      </c>
      <c r="CG515">
        <f>Model!CO674</f>
        <v>0</v>
      </c>
      <c r="CH515">
        <f>Model!CP674</f>
        <v>0</v>
      </c>
      <c r="CI515">
        <f>Model!CQ674</f>
        <v>0</v>
      </c>
      <c r="CJ515">
        <f>Model!CR674</f>
        <v>0</v>
      </c>
      <c r="CK515">
        <f>Model!CS674</f>
        <v>0</v>
      </c>
      <c r="CL515">
        <f>Model!CT674</f>
        <v>0</v>
      </c>
      <c r="CM515">
        <f>Model!CU674</f>
        <v>0</v>
      </c>
      <c r="CN515">
        <f>Model!CV674</f>
        <v>0</v>
      </c>
      <c r="CO515">
        <f>Model!CW674</f>
        <v>0</v>
      </c>
      <c r="CP515">
        <f>Model!CX674</f>
        <v>0</v>
      </c>
      <c r="CQ515">
        <f>Model!CY674</f>
        <v>0</v>
      </c>
      <c r="CR515">
        <f>Model!DG674</f>
        <v>0</v>
      </c>
      <c r="CS515">
        <f>Model!DH674</f>
        <v>0</v>
      </c>
      <c r="CT515">
        <f>Model!DI674</f>
        <v>0</v>
      </c>
      <c r="CU515">
        <f>Model!DJ674</f>
        <v>0</v>
      </c>
    </row>
    <row r="516" spans="1:99">
      <c r="A516" t="str">
        <f>Model!I675</f>
        <v>Realized Loss on Foreign Currency Forward Contracts</v>
      </c>
      <c r="B516">
        <f>Model!J675</f>
        <v>0</v>
      </c>
      <c r="C516">
        <f>Model!K675</f>
        <v>0</v>
      </c>
      <c r="D516">
        <f>Model!L675</f>
        <v>0</v>
      </c>
      <c r="E516">
        <f>Model!M675</f>
        <v>0</v>
      </c>
      <c r="F516">
        <f>Model!N675</f>
        <v>0</v>
      </c>
      <c r="G516">
        <f>Model!O675</f>
        <v>0</v>
      </c>
      <c r="H516">
        <f>Model!P675</f>
        <v>0</v>
      </c>
      <c r="I516">
        <f>Model!Q675</f>
        <v>0</v>
      </c>
      <c r="J516">
        <f>Model!R675</f>
        <v>0</v>
      </c>
      <c r="K516">
        <f>Model!S675</f>
        <v>0</v>
      </c>
      <c r="L516">
        <f>Model!T675</f>
        <v>0</v>
      </c>
      <c r="M516">
        <f>Model!U675</f>
        <v>0</v>
      </c>
      <c r="N516">
        <f>Model!V675</f>
        <v>0</v>
      </c>
      <c r="O516">
        <f>Model!W675</f>
        <v>0</v>
      </c>
      <c r="P516">
        <f>Model!X675</f>
        <v>0</v>
      </c>
      <c r="Q516">
        <f>Model!Y675</f>
        <v>0</v>
      </c>
      <c r="R516">
        <f>Model!Z675</f>
        <v>0</v>
      </c>
      <c r="S516">
        <f>Model!AA675</f>
        <v>0</v>
      </c>
      <c r="T516">
        <f>Model!AB675</f>
        <v>0</v>
      </c>
      <c r="U516">
        <f>Model!AC675</f>
        <v>0</v>
      </c>
      <c r="V516">
        <f>Model!AD675</f>
        <v>0</v>
      </c>
      <c r="W516">
        <f>Model!AE675</f>
        <v>0</v>
      </c>
      <c r="X516">
        <f>Model!AF675</f>
        <v>0</v>
      </c>
      <c r="Y516">
        <f>Model!AG675</f>
        <v>0</v>
      </c>
      <c r="Z516">
        <f>Model!AH675</f>
        <v>0</v>
      </c>
      <c r="AA516">
        <f>Model!AI675</f>
        <v>0</v>
      </c>
      <c r="AB516">
        <f>Model!AJ675</f>
        <v>0</v>
      </c>
      <c r="AC516">
        <f>Model!AK675</f>
        <v>0</v>
      </c>
      <c r="AD516">
        <f>Model!AL675</f>
        <v>0</v>
      </c>
      <c r="AE516">
        <f>Model!AM675</f>
        <v>0</v>
      </c>
      <c r="AF516">
        <f>Model!AN675</f>
        <v>0</v>
      </c>
      <c r="AG516">
        <f>Model!AO675</f>
        <v>0</v>
      </c>
      <c r="AH516">
        <f>Model!AP675</f>
        <v>0</v>
      </c>
      <c r="AI516">
        <f>Model!AQ675</f>
        <v>0</v>
      </c>
      <c r="AJ516">
        <f>Model!AR675</f>
        <v>0</v>
      </c>
      <c r="AK516">
        <f>Model!AS675</f>
        <v>0</v>
      </c>
      <c r="AL516">
        <f>Model!AT675</f>
        <v>0</v>
      </c>
      <c r="AM516">
        <f>Model!AU675</f>
        <v>0</v>
      </c>
      <c r="AN516">
        <f>Model!AV675</f>
        <v>0</v>
      </c>
      <c r="AO516">
        <f>Model!AW675</f>
        <v>0</v>
      </c>
      <c r="AP516">
        <f>Model!AX675</f>
        <v>0</v>
      </c>
      <c r="AQ516">
        <f>Model!AY675</f>
        <v>0</v>
      </c>
      <c r="AR516">
        <f>Model!AZ675</f>
        <v>0</v>
      </c>
      <c r="AS516">
        <f>Model!BA675</f>
        <v>-16.004999999999999</v>
      </c>
      <c r="AT516">
        <f>Model!BB675</f>
        <v>-17.759000000000004</v>
      </c>
      <c r="AU516">
        <f>Model!BC675</f>
        <v>-3.0629999999999953</v>
      </c>
      <c r="AV516">
        <f>Model!BD675</f>
        <v>25.840000000000003</v>
      </c>
      <c r="AW516">
        <f>Model!BE675</f>
        <v>32.183</v>
      </c>
      <c r="AX516">
        <f>Model!BF675</f>
        <v>29.563000000000002</v>
      </c>
      <c r="AY516">
        <f>Model!BG675</f>
        <v>14.860000000000007</v>
      </c>
      <c r="AZ516">
        <f>Model!BH675</f>
        <v>5.5389999999999944</v>
      </c>
      <c r="BA516">
        <f>Model!BI675</f>
        <v>-17.539000000000001</v>
      </c>
      <c r="BB516">
        <f>Model!BJ675</f>
        <v>-26.647999999999996</v>
      </c>
      <c r="BC516">
        <f>Model!BK675</f>
        <v>-8.5920000000000059</v>
      </c>
      <c r="BD516">
        <f>Model!BL675</f>
        <v>-25.825000000000003</v>
      </c>
      <c r="BE516">
        <f>Model!BM675</f>
        <v>-43.38</v>
      </c>
      <c r="BF516">
        <f>Model!BN675</f>
        <v>-26.457000000000001</v>
      </c>
      <c r="BG516">
        <f>Model!BO675</f>
        <v>-10.469999999999999</v>
      </c>
      <c r="BH516">
        <f>Model!BP675</f>
        <v>0</v>
      </c>
      <c r="BI516">
        <f>Model!BQ675</f>
        <v>5.1779999999999973</v>
      </c>
      <c r="BJ516">
        <f>Model!BR675</f>
        <v>0</v>
      </c>
      <c r="BK516">
        <f>Model!BS675</f>
        <v>0</v>
      </c>
      <c r="BL516">
        <f>Model!BT675</f>
        <v>0</v>
      </c>
      <c r="BM516">
        <f>Model!BU675</f>
        <v>0</v>
      </c>
      <c r="BN516">
        <f>Model!BV675</f>
        <v>0</v>
      </c>
      <c r="BO516">
        <f>Model!BW675</f>
        <v>0</v>
      </c>
      <c r="BP516">
        <f>Model!BX675</f>
        <v>0</v>
      </c>
      <c r="BQ516">
        <f>Model!BY675</f>
        <v>0</v>
      </c>
      <c r="BR516">
        <f>Model!BZ675</f>
        <v>0</v>
      </c>
      <c r="BS516">
        <f>Model!CA675</f>
        <v>0</v>
      </c>
      <c r="BT516">
        <f>Model!CB675</f>
        <v>0</v>
      </c>
      <c r="BU516">
        <f>Model!CC675</f>
        <v>0</v>
      </c>
      <c r="BV516">
        <f>Model!CD675</f>
        <v>0</v>
      </c>
      <c r="BW516">
        <f>Model!CE675</f>
        <v>0</v>
      </c>
      <c r="BX516">
        <f>Model!CF675</f>
        <v>0</v>
      </c>
      <c r="BY516">
        <f>Model!CG675</f>
        <v>0</v>
      </c>
      <c r="BZ516">
        <f>Model!CH675</f>
        <v>0</v>
      </c>
      <c r="CA516">
        <f>Model!CI675</f>
        <v>0</v>
      </c>
      <c r="CB516">
        <f>Model!CJ675</f>
        <v>0</v>
      </c>
      <c r="CC516">
        <f>Model!CK675</f>
        <v>0</v>
      </c>
      <c r="CD516">
        <f>Model!CL675</f>
        <v>0</v>
      </c>
      <c r="CE516">
        <f>Model!CM675</f>
        <v>0</v>
      </c>
      <c r="CF516">
        <f>Model!CN675</f>
        <v>0</v>
      </c>
      <c r="CG516">
        <f>Model!CO675</f>
        <v>0</v>
      </c>
      <c r="CH516">
        <f>Model!CP675</f>
        <v>0</v>
      </c>
      <c r="CI516">
        <f>Model!CQ675</f>
        <v>35.003</v>
      </c>
      <c r="CJ516">
        <f>Model!CR675</f>
        <v>-10.986999999999995</v>
      </c>
      <c r="CK516">
        <f>Model!CS675</f>
        <v>82.14500000000001</v>
      </c>
      <c r="CL516">
        <f>Model!CT675</f>
        <v>-78.604000000000013</v>
      </c>
      <c r="CM516">
        <f>Model!CU675</f>
        <v>-80.307000000000002</v>
      </c>
      <c r="CN516">
        <f>Model!CV675</f>
        <v>5.1779999999999973</v>
      </c>
      <c r="CO516">
        <f>Model!CW675</f>
        <v>0</v>
      </c>
      <c r="CP516">
        <f>Model!CX675</f>
        <v>0</v>
      </c>
      <c r="CQ516">
        <f>Model!CY675</f>
        <v>0</v>
      </c>
      <c r="CR516">
        <f>Model!DG675</f>
        <v>0</v>
      </c>
      <c r="CS516">
        <f>Model!DH675</f>
        <v>0</v>
      </c>
      <c r="CT516">
        <f>Model!DI675</f>
        <v>0</v>
      </c>
      <c r="CU516">
        <f>Model!DJ675</f>
        <v>0</v>
      </c>
    </row>
    <row r="517" spans="1:99">
      <c r="A517" t="str">
        <f>Model!I676</f>
        <v>Change in Restricted Cash</v>
      </c>
      <c r="B517">
        <f>Model!J676</f>
        <v>0</v>
      </c>
      <c r="C517">
        <f>Model!K676</f>
        <v>0</v>
      </c>
      <c r="D517">
        <f>Model!L676</f>
        <v>0</v>
      </c>
      <c r="E517">
        <f>Model!M676</f>
        <v>0</v>
      </c>
      <c r="F517">
        <f>Model!N676</f>
        <v>0</v>
      </c>
      <c r="G517">
        <f>Model!O676</f>
        <v>0</v>
      </c>
      <c r="H517">
        <f>Model!P676</f>
        <v>0</v>
      </c>
      <c r="I517">
        <f>Model!Q676</f>
        <v>0</v>
      </c>
      <c r="J517">
        <f>Model!R676</f>
        <v>0</v>
      </c>
      <c r="K517">
        <f>Model!S676</f>
        <v>0</v>
      </c>
      <c r="L517">
        <f>Model!T676</f>
        <v>0</v>
      </c>
      <c r="M517">
        <f>Model!U676</f>
        <v>0</v>
      </c>
      <c r="N517">
        <f>Model!V676</f>
        <v>0</v>
      </c>
      <c r="O517">
        <f>Model!W676</f>
        <v>0</v>
      </c>
      <c r="P517">
        <f>Model!X676</f>
        <v>0</v>
      </c>
      <c r="Q517">
        <f>Model!Y676</f>
        <v>0</v>
      </c>
      <c r="R517">
        <f>Model!Z676</f>
        <v>0</v>
      </c>
      <c r="S517">
        <f>Model!AA676</f>
        <v>0</v>
      </c>
      <c r="T517">
        <f>Model!AB676</f>
        <v>0</v>
      </c>
      <c r="U517">
        <f>Model!AC676</f>
        <v>0</v>
      </c>
      <c r="V517">
        <f>Model!AD676</f>
        <v>0</v>
      </c>
      <c r="W517">
        <f>Model!AE676</f>
        <v>0</v>
      </c>
      <c r="X517">
        <f>Model!AF676</f>
        <v>0</v>
      </c>
      <c r="Y517">
        <f>Model!AG676</f>
        <v>0</v>
      </c>
      <c r="Z517">
        <f>Model!AH676</f>
        <v>0</v>
      </c>
      <c r="AA517">
        <f>Model!AI676</f>
        <v>0</v>
      </c>
      <c r="AB517">
        <f>Model!AJ676</f>
        <v>0</v>
      </c>
      <c r="AC517">
        <f>Model!AK676</f>
        <v>0</v>
      </c>
      <c r="AD517">
        <f>Model!AL676</f>
        <v>0</v>
      </c>
      <c r="AE517">
        <f>Model!AM676</f>
        <v>0</v>
      </c>
      <c r="AF517">
        <f>Model!AN676</f>
        <v>0</v>
      </c>
      <c r="AG517">
        <f>Model!AO676</f>
        <v>0</v>
      </c>
      <c r="AH517">
        <f>Model!AP676</f>
        <v>0</v>
      </c>
      <c r="AI517">
        <f>Model!AQ676</f>
        <v>0</v>
      </c>
      <c r="AJ517">
        <f>Model!AR676</f>
        <v>0</v>
      </c>
      <c r="AK517">
        <f>Model!AS676</f>
        <v>0</v>
      </c>
      <c r="AL517">
        <f>Model!AT676</f>
        <v>0</v>
      </c>
      <c r="AM517">
        <f>Model!AU676</f>
        <v>0</v>
      </c>
      <c r="AN517">
        <f>Model!AV676</f>
        <v>0</v>
      </c>
      <c r="AO517">
        <f>Model!AW676</f>
        <v>0</v>
      </c>
      <c r="AP517">
        <f>Model!AX676</f>
        <v>0</v>
      </c>
      <c r="AQ517">
        <f>Model!AY676</f>
        <v>0</v>
      </c>
      <c r="AR517">
        <f>Model!AZ676</f>
        <v>0</v>
      </c>
      <c r="AS517">
        <f>Model!BA676</f>
        <v>-1.6E-2</v>
      </c>
      <c r="AT517">
        <f>Model!BB676</f>
        <v>-1.9000000000000003E-2</v>
      </c>
      <c r="AU517">
        <f>Model!BC676</f>
        <v>-2.8849999999999998</v>
      </c>
      <c r="AV517">
        <f>Model!BD676</f>
        <v>-2.0000000000003626E-3</v>
      </c>
      <c r="AW517">
        <f>Model!BE676</f>
        <v>-0.6</v>
      </c>
      <c r="AX517">
        <f>Model!BF676</f>
        <v>-2.387</v>
      </c>
      <c r="AY517">
        <f>Model!BG676</f>
        <v>-0.48700000000000021</v>
      </c>
      <c r="AZ517">
        <f>Model!BH676</f>
        <v>0.7180000000000003</v>
      </c>
      <c r="BA517">
        <f>Model!BI676</f>
        <v>-0.58099999999999996</v>
      </c>
      <c r="BB517">
        <f>Model!BJ676</f>
        <v>3.499999999999992E-2</v>
      </c>
      <c r="BC517">
        <f>Model!BK676</f>
        <v>-0.96</v>
      </c>
      <c r="BD517">
        <f>Model!BL676</f>
        <v>-1.2769999999999999</v>
      </c>
      <c r="BE517">
        <f>Model!BM676</f>
        <v>-5.077</v>
      </c>
      <c r="BF517">
        <f>Model!BN676</f>
        <v>-0.11699999999999999</v>
      </c>
      <c r="BG517">
        <f>Model!BO676</f>
        <v>14.502999999999998</v>
      </c>
      <c r="BH517">
        <f>Model!BP676</f>
        <v>3.8000000000001144E-2</v>
      </c>
      <c r="BI517">
        <f>Model!BQ676</f>
        <v>-5.5E-2</v>
      </c>
      <c r="BJ517">
        <f>Model!BR676</f>
        <v>-0.17</v>
      </c>
      <c r="BK517">
        <f>Model!BS676</f>
        <v>0.22500000000000001</v>
      </c>
      <c r="BL517">
        <f>Model!BT676</f>
        <v>9.0000000000000149E-3</v>
      </c>
      <c r="BM517">
        <f>Model!BU676</f>
        <v>-5.0000000000000001E-3</v>
      </c>
      <c r="BN517">
        <f>Model!BV676</f>
        <v>-1E-3</v>
      </c>
      <c r="BO517">
        <f>Model!BW676</f>
        <v>-2.1999999999999999E-2</v>
      </c>
      <c r="BP517">
        <f>Model!BX676</f>
        <v>2.8000000000000001E-2</v>
      </c>
      <c r="BQ517">
        <f>Model!BY676</f>
        <v>0</v>
      </c>
      <c r="BR517">
        <f>Model!BZ676</f>
        <v>0</v>
      </c>
      <c r="BS517">
        <f>Model!CA676</f>
        <v>0</v>
      </c>
      <c r="BT517">
        <f>Model!CB676</f>
        <v>0</v>
      </c>
      <c r="BU517">
        <f>Model!CC676</f>
        <v>0</v>
      </c>
      <c r="BV517">
        <f>Model!CD676</f>
        <v>0</v>
      </c>
      <c r="BW517">
        <f>Model!CE676</f>
        <v>0</v>
      </c>
      <c r="BX517">
        <f>Model!CF676</f>
        <v>0</v>
      </c>
      <c r="BY517">
        <f>Model!CG676</f>
        <v>0</v>
      </c>
      <c r="BZ517">
        <f>Model!CH676</f>
        <v>0</v>
      </c>
      <c r="CA517">
        <f>Model!CI676</f>
        <v>0</v>
      </c>
      <c r="CB517">
        <f>Model!CJ676</f>
        <v>0</v>
      </c>
      <c r="CC517">
        <f>Model!CK676</f>
        <v>0</v>
      </c>
      <c r="CD517">
        <f>Model!CL676</f>
        <v>0</v>
      </c>
      <c r="CE517">
        <f>Model!CM676</f>
        <v>0</v>
      </c>
      <c r="CF517">
        <f>Model!CN676</f>
        <v>0</v>
      </c>
      <c r="CG517">
        <f>Model!CO676</f>
        <v>0</v>
      </c>
      <c r="CH517">
        <f>Model!CP676</f>
        <v>0</v>
      </c>
      <c r="CI517">
        <f>Model!CQ676</f>
        <v>0.26</v>
      </c>
      <c r="CJ517">
        <f>Model!CR676</f>
        <v>-2.9220000000000002</v>
      </c>
      <c r="CK517">
        <f>Model!CS676</f>
        <v>-2.7559999999999998</v>
      </c>
      <c r="CL517">
        <f>Model!CT676</f>
        <v>-2.7829999999999999</v>
      </c>
      <c r="CM517">
        <f>Model!CU676</f>
        <v>9.3469999999999995</v>
      </c>
      <c r="CN517">
        <f>Model!CV676</f>
        <v>8.9999999999999993E-3</v>
      </c>
      <c r="CO517">
        <f>Model!CW676</f>
        <v>0</v>
      </c>
      <c r="CP517">
        <f>Model!CX676</f>
        <v>0</v>
      </c>
      <c r="CQ517">
        <f>Model!CY676</f>
        <v>0</v>
      </c>
      <c r="CR517">
        <f>Model!DG676</f>
        <v>0</v>
      </c>
      <c r="CS517">
        <f>Model!DH676</f>
        <v>0</v>
      </c>
      <c r="CT517">
        <f>Model!DI676</f>
        <v>0</v>
      </c>
      <c r="CU517">
        <f>Model!DJ676</f>
        <v>0</v>
      </c>
    </row>
    <row r="518" spans="1:99">
      <c r="A518" t="str">
        <f>Model!I677</f>
        <v>Total Cash Flow from Investing</v>
      </c>
      <c r="B518">
        <f>Model!J677</f>
        <v>0</v>
      </c>
      <c r="C518">
        <f>Model!K677</f>
        <v>0</v>
      </c>
      <c r="D518">
        <f>Model!L677</f>
        <v>0</v>
      </c>
      <c r="E518">
        <f>Model!M677</f>
        <v>0</v>
      </c>
      <c r="F518">
        <f>Model!N677</f>
        <v>0</v>
      </c>
      <c r="G518">
        <f>Model!O677</f>
        <v>0</v>
      </c>
      <c r="H518">
        <f>Model!P677</f>
        <v>0</v>
      </c>
      <c r="I518">
        <f>Model!Q677</f>
        <v>0</v>
      </c>
      <c r="J518">
        <f>Model!R677</f>
        <v>0</v>
      </c>
      <c r="K518">
        <f>Model!S677</f>
        <v>0</v>
      </c>
      <c r="L518">
        <f>Model!T677</f>
        <v>0</v>
      </c>
      <c r="M518">
        <f>Model!U677</f>
        <v>0</v>
      </c>
      <c r="N518">
        <f>Model!V677</f>
        <v>0</v>
      </c>
      <c r="O518">
        <f>Model!W677</f>
        <v>0</v>
      </c>
      <c r="P518">
        <f>Model!X677</f>
        <v>0</v>
      </c>
      <c r="Q518">
        <f>Model!Y677</f>
        <v>0</v>
      </c>
      <c r="R518">
        <f>Model!Z677</f>
        <v>0</v>
      </c>
      <c r="S518">
        <f>Model!AA677</f>
        <v>0</v>
      </c>
      <c r="T518">
        <f>Model!AB677</f>
        <v>0</v>
      </c>
      <c r="U518">
        <f>Model!AC677</f>
        <v>0</v>
      </c>
      <c r="V518">
        <f>Model!AD677</f>
        <v>0</v>
      </c>
      <c r="W518">
        <f>Model!AE677</f>
        <v>0</v>
      </c>
      <c r="X518">
        <f>Model!AF677</f>
        <v>0</v>
      </c>
      <c r="Y518">
        <f>Model!AG677</f>
        <v>0</v>
      </c>
      <c r="Z518">
        <f>Model!AH677</f>
        <v>0</v>
      </c>
      <c r="AA518">
        <f>Model!AI677</f>
        <v>0</v>
      </c>
      <c r="AB518">
        <f>Model!AJ677</f>
        <v>0</v>
      </c>
      <c r="AC518">
        <f>Model!AK677</f>
        <v>0</v>
      </c>
      <c r="AD518">
        <f>Model!AL677</f>
        <v>0</v>
      </c>
      <c r="AE518">
        <f>Model!AM677</f>
        <v>0</v>
      </c>
      <c r="AF518">
        <f>Model!AN677</f>
        <v>0</v>
      </c>
      <c r="AG518">
        <f>Model!AO677</f>
        <v>0</v>
      </c>
      <c r="AH518">
        <f>Model!AP677</f>
        <v>0</v>
      </c>
      <c r="AI518">
        <f>Model!AQ677</f>
        <v>0</v>
      </c>
      <c r="AJ518">
        <f>Model!AR677</f>
        <v>0</v>
      </c>
      <c r="AK518">
        <f>Model!AS677</f>
        <v>0</v>
      </c>
      <c r="AL518">
        <f>Model!AT677</f>
        <v>0</v>
      </c>
      <c r="AM518">
        <f>Model!AU677</f>
        <v>0</v>
      </c>
      <c r="AN518">
        <f>Model!AV677</f>
        <v>0</v>
      </c>
      <c r="AO518">
        <f>Model!AW677</f>
        <v>0</v>
      </c>
      <c r="AP518">
        <f>Model!AX677</f>
        <v>0</v>
      </c>
      <c r="AQ518">
        <f>Model!AY677</f>
        <v>0</v>
      </c>
      <c r="AR518">
        <f>Model!AZ677</f>
        <v>0</v>
      </c>
      <c r="AS518">
        <f>Model!BA677</f>
        <v>55.051000000000023</v>
      </c>
      <c r="AT518">
        <f>Model!BB677</f>
        <v>-155.18100000000004</v>
      </c>
      <c r="AU518">
        <f>Model!BC677</f>
        <v>-738.02300000000002</v>
      </c>
      <c r="AV518">
        <f>Model!BD677</f>
        <v>-66.614999999999696</v>
      </c>
      <c r="AW518">
        <f>Model!BE677</f>
        <v>-371.50100000000015</v>
      </c>
      <c r="AX518">
        <f>Model!BF677</f>
        <v>-730.77299999999991</v>
      </c>
      <c r="AY518">
        <f>Model!BG677</f>
        <v>-598.27899999999954</v>
      </c>
      <c r="AZ518">
        <f>Model!BH677</f>
        <v>137.83999999999949</v>
      </c>
      <c r="BA518">
        <f>Model!BI677</f>
        <v>-16.002000000000045</v>
      </c>
      <c r="BB518">
        <f>Model!BJ677</f>
        <v>-969.96499999999992</v>
      </c>
      <c r="BC518">
        <f>Model!BK677</f>
        <v>-1215.4259999999997</v>
      </c>
      <c r="BD518">
        <f>Model!BL677</f>
        <v>39.126000000000516</v>
      </c>
      <c r="BE518">
        <f>Model!BM677</f>
        <v>-40.855000000000111</v>
      </c>
      <c r="BF518">
        <f>Model!BN677</f>
        <v>1576.1659999999997</v>
      </c>
      <c r="BG518">
        <f>Model!BO677</f>
        <v>-1817.7210000000005</v>
      </c>
      <c r="BH518">
        <f>Model!BP677</f>
        <v>-2066.1339999999991</v>
      </c>
      <c r="BI518">
        <f>Model!BQ677</f>
        <v>-1140.82</v>
      </c>
      <c r="BJ518">
        <f>Model!BR677</f>
        <v>-1439.0959999999998</v>
      </c>
      <c r="BK518">
        <f>Model!BS677</f>
        <v>-94.123000000000133</v>
      </c>
      <c r="BL518">
        <f>Model!BT677</f>
        <v>-1220.479000000001</v>
      </c>
      <c r="BM518">
        <f>Model!BU677</f>
        <v>147.27400000000003</v>
      </c>
      <c r="BN518">
        <f>Model!BV677</f>
        <v>-786.56799999999987</v>
      </c>
      <c r="BO518">
        <f>Model!BW677</f>
        <v>-1563.2819999999999</v>
      </c>
      <c r="BP518">
        <f>Model!BX677</f>
        <v>-1130.719000000001</v>
      </c>
      <c r="BQ518">
        <f>Model!BY677</f>
        <v>-892.81399999999985</v>
      </c>
      <c r="BR518">
        <f>Model!BZ677</f>
        <v>-644.61199999999985</v>
      </c>
      <c r="BS518">
        <f>Model!CA677</f>
        <v>-2105.632000000001</v>
      </c>
      <c r="BT518">
        <f>Model!CB677</f>
        <v>-558.97699999999929</v>
      </c>
      <c r="BU518">
        <f>Model!CC677</f>
        <v>-98.549416478241099</v>
      </c>
      <c r="BV518">
        <f>Model!CD677</f>
        <v>-101.47747321468827</v>
      </c>
      <c r="BW518">
        <f>Model!CE677</f>
        <v>-77.417733131077327</v>
      </c>
      <c r="BX518">
        <f>Model!CF677</f>
        <v>-86.62669323710152</v>
      </c>
      <c r="BY518">
        <f>Model!CG677</f>
        <v>0</v>
      </c>
      <c r="BZ518">
        <f>Model!CH677</f>
        <v>0</v>
      </c>
      <c r="CA518">
        <f>Model!CI677</f>
        <v>0</v>
      </c>
      <c r="CB518">
        <f>Model!CJ677</f>
        <v>0</v>
      </c>
      <c r="CC518">
        <f>Model!CK677</f>
        <v>0</v>
      </c>
      <c r="CD518">
        <f>Model!CL677</f>
        <v>0</v>
      </c>
      <c r="CE518">
        <f>Model!CM677</f>
        <v>0</v>
      </c>
      <c r="CF518">
        <f>Model!CN677</f>
        <v>0</v>
      </c>
      <c r="CG518">
        <f>Model!CO677</f>
        <v>0</v>
      </c>
      <c r="CH518">
        <f>Model!CP677</f>
        <v>0</v>
      </c>
      <c r="CI518">
        <f>Model!CQ677</f>
        <v>-841.09799999999973</v>
      </c>
      <c r="CJ518">
        <f>Model!CR677</f>
        <v>-904.7679999999998</v>
      </c>
      <c r="CK518">
        <f>Model!CS677</f>
        <v>-1562.7129999999997</v>
      </c>
      <c r="CL518">
        <f>Model!CT677</f>
        <v>-2162.2669999999994</v>
      </c>
      <c r="CM518">
        <f>Model!CU677</f>
        <v>-2348.5439999999994</v>
      </c>
      <c r="CN518">
        <f>Model!CV677</f>
        <v>-3894.5180000000005</v>
      </c>
      <c r="CO518">
        <f>Model!CW677</f>
        <v>-3333.2950000000001</v>
      </c>
      <c r="CP518">
        <f>Model!CX677</f>
        <v>-4202.0349999999999</v>
      </c>
      <c r="CQ518">
        <f>Model!CY677</f>
        <v>-364.07131606110823</v>
      </c>
      <c r="CR518">
        <f>Model!DG677</f>
        <v>0</v>
      </c>
      <c r="CS518">
        <f>Model!DH677</f>
        <v>0</v>
      </c>
      <c r="CT518">
        <f>Model!DI677</f>
        <v>0</v>
      </c>
      <c r="CU518">
        <f>Model!DJ677</f>
        <v>0</v>
      </c>
    </row>
    <row r="519" spans="1:99">
      <c r="A519">
        <f>Model!I678</f>
        <v>0</v>
      </c>
      <c r="B519">
        <f>Model!J678</f>
        <v>0</v>
      </c>
      <c r="C519">
        <f>Model!K678</f>
        <v>0</v>
      </c>
      <c r="D519">
        <f>Model!L678</f>
        <v>0</v>
      </c>
      <c r="E519">
        <f>Model!M678</f>
        <v>0</v>
      </c>
      <c r="F519">
        <f>Model!N678</f>
        <v>0</v>
      </c>
      <c r="G519">
        <f>Model!O678</f>
        <v>0</v>
      </c>
      <c r="H519">
        <f>Model!P678</f>
        <v>0</v>
      </c>
      <c r="I519">
        <f>Model!Q678</f>
        <v>0</v>
      </c>
      <c r="J519">
        <f>Model!R678</f>
        <v>0</v>
      </c>
      <c r="K519">
        <f>Model!S678</f>
        <v>0</v>
      </c>
      <c r="L519">
        <f>Model!T678</f>
        <v>0</v>
      </c>
      <c r="M519">
        <f>Model!U678</f>
        <v>0</v>
      </c>
      <c r="N519">
        <f>Model!V678</f>
        <v>0</v>
      </c>
      <c r="O519">
        <f>Model!W678</f>
        <v>0</v>
      </c>
      <c r="P519">
        <f>Model!X678</f>
        <v>0</v>
      </c>
      <c r="Q519">
        <f>Model!Y678</f>
        <v>0</v>
      </c>
      <c r="R519">
        <f>Model!Z678</f>
        <v>0</v>
      </c>
      <c r="S519">
        <f>Model!AA678</f>
        <v>0</v>
      </c>
      <c r="T519">
        <f>Model!AB678</f>
        <v>0</v>
      </c>
      <c r="U519">
        <f>Model!AC678</f>
        <v>0</v>
      </c>
      <c r="V519">
        <f>Model!AD678</f>
        <v>0</v>
      </c>
      <c r="W519">
        <f>Model!AE678</f>
        <v>0</v>
      </c>
      <c r="X519">
        <f>Model!AF678</f>
        <v>0</v>
      </c>
      <c r="Y519">
        <f>Model!AG678</f>
        <v>0</v>
      </c>
      <c r="Z519">
        <f>Model!AH678</f>
        <v>0</v>
      </c>
      <c r="AA519">
        <f>Model!AI678</f>
        <v>0</v>
      </c>
      <c r="AB519">
        <f>Model!AJ678</f>
        <v>0</v>
      </c>
      <c r="AC519">
        <f>Model!AK678</f>
        <v>0</v>
      </c>
      <c r="AD519">
        <f>Model!AL678</f>
        <v>0</v>
      </c>
      <c r="AE519">
        <f>Model!AM678</f>
        <v>0</v>
      </c>
      <c r="AF519">
        <f>Model!AN678</f>
        <v>0</v>
      </c>
      <c r="AG519">
        <f>Model!AO678</f>
        <v>0</v>
      </c>
      <c r="AH519">
        <f>Model!AP678</f>
        <v>0</v>
      </c>
      <c r="AI519">
        <f>Model!AQ678</f>
        <v>0</v>
      </c>
      <c r="AJ519">
        <f>Model!AR678</f>
        <v>0</v>
      </c>
      <c r="AK519">
        <f>Model!AS678</f>
        <v>0</v>
      </c>
      <c r="AL519">
        <f>Model!AT678</f>
        <v>0</v>
      </c>
      <c r="AM519">
        <f>Model!AU678</f>
        <v>0</v>
      </c>
      <c r="AN519">
        <f>Model!AV678</f>
        <v>0</v>
      </c>
      <c r="AO519">
        <f>Model!AW678</f>
        <v>0</v>
      </c>
      <c r="AP519">
        <f>Model!AX678</f>
        <v>0</v>
      </c>
      <c r="AQ519">
        <f>Model!AY678</f>
        <v>0</v>
      </c>
      <c r="AR519">
        <f>Model!AZ678</f>
        <v>0</v>
      </c>
      <c r="AS519">
        <f>Model!BA678</f>
        <v>0</v>
      </c>
      <c r="AT519">
        <f>Model!BB678</f>
        <v>0</v>
      </c>
      <c r="AU519">
        <f>Model!BC678</f>
        <v>0</v>
      </c>
      <c r="AV519">
        <f>Model!BD678</f>
        <v>0</v>
      </c>
      <c r="AW519">
        <f>Model!BE678</f>
        <v>0</v>
      </c>
      <c r="AX519">
        <f>Model!BF678</f>
        <v>0</v>
      </c>
      <c r="AY519">
        <f>Model!BG678</f>
        <v>0</v>
      </c>
      <c r="AZ519">
        <f>Model!BH678</f>
        <v>0</v>
      </c>
      <c r="BA519">
        <f>Model!BI678</f>
        <v>0</v>
      </c>
      <c r="BB519">
        <f>Model!BJ678</f>
        <v>0</v>
      </c>
      <c r="BC519">
        <f>Model!BK678</f>
        <v>0</v>
      </c>
      <c r="BD519">
        <f>Model!BL678</f>
        <v>0</v>
      </c>
      <c r="BE519">
        <f>Model!BM678</f>
        <v>0</v>
      </c>
      <c r="BF519">
        <f>Model!BN678</f>
        <v>0</v>
      </c>
      <c r="BG519">
        <f>Model!BO678</f>
        <v>0</v>
      </c>
      <c r="BH519">
        <f>Model!BP678</f>
        <v>0</v>
      </c>
      <c r="BI519">
        <f>Model!BQ678</f>
        <v>0</v>
      </c>
      <c r="BJ519">
        <f>Model!BR678</f>
        <v>0</v>
      </c>
      <c r="BK519">
        <f>Model!BS678</f>
        <v>0</v>
      </c>
      <c r="BL519">
        <f>Model!BT678</f>
        <v>0</v>
      </c>
      <c r="BM519">
        <f>Model!BU678</f>
        <v>0</v>
      </c>
      <c r="BN519">
        <f>Model!BV678</f>
        <v>0</v>
      </c>
      <c r="BO519">
        <f>Model!BW678</f>
        <v>0</v>
      </c>
      <c r="BP519">
        <f>Model!BX678</f>
        <v>0</v>
      </c>
      <c r="BQ519">
        <f>Model!BY678</f>
        <v>0</v>
      </c>
      <c r="BR519">
        <f>Model!BZ678</f>
        <v>0</v>
      </c>
      <c r="BS519">
        <f>Model!CA678</f>
        <v>0</v>
      </c>
      <c r="BT519">
        <f>Model!CB678</f>
        <v>0</v>
      </c>
      <c r="BU519">
        <f>Model!CC678</f>
        <v>0</v>
      </c>
      <c r="BV519">
        <f>Model!CD678</f>
        <v>0</v>
      </c>
      <c r="BW519">
        <f>Model!CE678</f>
        <v>0</v>
      </c>
      <c r="BX519">
        <f>Model!CF678</f>
        <v>0</v>
      </c>
      <c r="BY519">
        <f>Model!CG678</f>
        <v>0</v>
      </c>
      <c r="BZ519">
        <f>Model!CH678</f>
        <v>0</v>
      </c>
      <c r="CA519">
        <f>Model!CI678</f>
        <v>0</v>
      </c>
      <c r="CB519">
        <f>Model!CJ678</f>
        <v>0</v>
      </c>
      <c r="CC519">
        <f>Model!CK678</f>
        <v>0</v>
      </c>
      <c r="CD519">
        <f>Model!CL678</f>
        <v>0</v>
      </c>
      <c r="CE519">
        <f>Model!CM678</f>
        <v>0</v>
      </c>
      <c r="CF519">
        <f>Model!CN678</f>
        <v>0</v>
      </c>
      <c r="CG519">
        <f>Model!CO678</f>
        <v>0</v>
      </c>
      <c r="CH519">
        <f>Model!CP678</f>
        <v>0</v>
      </c>
      <c r="CI519">
        <f>Model!CQ678</f>
        <v>0</v>
      </c>
      <c r="CJ519">
        <f>Model!CR678</f>
        <v>0</v>
      </c>
      <c r="CK519">
        <f>Model!CS678</f>
        <v>0</v>
      </c>
      <c r="CL519">
        <f>Model!CT678</f>
        <v>0</v>
      </c>
      <c r="CM519">
        <f>Model!CU678</f>
        <v>0</v>
      </c>
      <c r="CN519">
        <f>Model!CV678</f>
        <v>0</v>
      </c>
      <c r="CO519">
        <f>Model!CW678</f>
        <v>0</v>
      </c>
      <c r="CP519">
        <f>Model!CX678</f>
        <v>0</v>
      </c>
      <c r="CQ519">
        <f>Model!CY678</f>
        <v>0</v>
      </c>
      <c r="CR519">
        <f>Model!DG678</f>
        <v>0</v>
      </c>
      <c r="CS519">
        <f>Model!DH678</f>
        <v>0</v>
      </c>
      <c r="CT519">
        <f>Model!DI678</f>
        <v>0</v>
      </c>
      <c r="CU519">
        <f>Model!DJ678</f>
        <v>0</v>
      </c>
    </row>
    <row r="520" spans="1:99">
      <c r="A520" t="str">
        <f>Model!I679</f>
        <v>Cash Flow from Financing</v>
      </c>
      <c r="B520">
        <f>Model!J679</f>
        <v>0</v>
      </c>
      <c r="C520">
        <f>Model!K679</f>
        <v>0</v>
      </c>
      <c r="D520">
        <f>Model!L679</f>
        <v>0</v>
      </c>
      <c r="E520">
        <f>Model!M679</f>
        <v>0</v>
      </c>
      <c r="F520">
        <f>Model!N679</f>
        <v>0</v>
      </c>
      <c r="G520">
        <f>Model!O679</f>
        <v>0</v>
      </c>
      <c r="H520">
        <f>Model!P679</f>
        <v>0</v>
      </c>
      <c r="I520">
        <f>Model!Q679</f>
        <v>0</v>
      </c>
      <c r="J520">
        <f>Model!R679</f>
        <v>0</v>
      </c>
      <c r="K520">
        <f>Model!S679</f>
        <v>0</v>
      </c>
      <c r="L520">
        <f>Model!T679</f>
        <v>0</v>
      </c>
      <c r="M520">
        <f>Model!U679</f>
        <v>0</v>
      </c>
      <c r="N520">
        <f>Model!V679</f>
        <v>0</v>
      </c>
      <c r="O520">
        <f>Model!W679</f>
        <v>0</v>
      </c>
      <c r="P520">
        <f>Model!X679</f>
        <v>0</v>
      </c>
      <c r="Q520">
        <f>Model!Y679</f>
        <v>0</v>
      </c>
      <c r="R520">
        <f>Model!Z679</f>
        <v>0</v>
      </c>
      <c r="S520">
        <f>Model!AA679</f>
        <v>0</v>
      </c>
      <c r="T520">
        <f>Model!AB679</f>
        <v>0</v>
      </c>
      <c r="U520">
        <f>Model!AC679</f>
        <v>0</v>
      </c>
      <c r="V520">
        <f>Model!AD679</f>
        <v>0</v>
      </c>
      <c r="W520">
        <f>Model!AE679</f>
        <v>0</v>
      </c>
      <c r="X520">
        <f>Model!AF679</f>
        <v>0</v>
      </c>
      <c r="Y520">
        <f>Model!AG679</f>
        <v>0</v>
      </c>
      <c r="Z520">
        <f>Model!AH679</f>
        <v>0</v>
      </c>
      <c r="AA520">
        <f>Model!AI679</f>
        <v>0</v>
      </c>
      <c r="AB520">
        <f>Model!AJ679</f>
        <v>0</v>
      </c>
      <c r="AC520">
        <f>Model!AK679</f>
        <v>0</v>
      </c>
      <c r="AD520">
        <f>Model!AL679</f>
        <v>0</v>
      </c>
      <c r="AE520">
        <f>Model!AM679</f>
        <v>0</v>
      </c>
      <c r="AF520">
        <f>Model!AN679</f>
        <v>0</v>
      </c>
      <c r="AG520">
        <f>Model!AO679</f>
        <v>0</v>
      </c>
      <c r="AH520">
        <f>Model!AP679</f>
        <v>0</v>
      </c>
      <c r="AI520">
        <f>Model!AQ679</f>
        <v>0</v>
      </c>
      <c r="AJ520">
        <f>Model!AR679</f>
        <v>0</v>
      </c>
      <c r="AK520">
        <f>Model!AS679</f>
        <v>0</v>
      </c>
      <c r="AL520">
        <f>Model!AT679</f>
        <v>0</v>
      </c>
      <c r="AM520">
        <f>Model!AU679</f>
        <v>0</v>
      </c>
      <c r="AN520">
        <f>Model!AV679</f>
        <v>0</v>
      </c>
      <c r="AO520">
        <f>Model!AW679</f>
        <v>0</v>
      </c>
      <c r="AP520">
        <f>Model!AX679</f>
        <v>0</v>
      </c>
      <c r="AQ520">
        <f>Model!AY679</f>
        <v>0</v>
      </c>
      <c r="AR520">
        <f>Model!AZ679</f>
        <v>0</v>
      </c>
      <c r="AS520">
        <f>Model!BA679</f>
        <v>0</v>
      </c>
      <c r="AT520">
        <f>Model!BB679</f>
        <v>0</v>
      </c>
      <c r="AU520">
        <f>Model!BC679</f>
        <v>0</v>
      </c>
      <c r="AV520">
        <f>Model!BD679</f>
        <v>0</v>
      </c>
      <c r="AW520">
        <f>Model!BE679</f>
        <v>0</v>
      </c>
      <c r="AX520">
        <f>Model!BF679</f>
        <v>0</v>
      </c>
      <c r="AY520">
        <f>Model!BG679</f>
        <v>0</v>
      </c>
      <c r="AZ520">
        <f>Model!BH679</f>
        <v>0</v>
      </c>
      <c r="BA520">
        <f>Model!BI679</f>
        <v>0</v>
      </c>
      <c r="BB520">
        <f>Model!BJ679</f>
        <v>0</v>
      </c>
      <c r="BC520">
        <f>Model!BK679</f>
        <v>0</v>
      </c>
      <c r="BD520">
        <f>Model!BL679</f>
        <v>0</v>
      </c>
      <c r="BE520">
        <f>Model!BM679</f>
        <v>0</v>
      </c>
      <c r="BF520">
        <f>Model!BN679</f>
        <v>0</v>
      </c>
      <c r="BG520">
        <f>Model!BO679</f>
        <v>0</v>
      </c>
      <c r="BH520">
        <f>Model!BP679</f>
        <v>0</v>
      </c>
      <c r="BI520">
        <f>Model!BQ679</f>
        <v>0</v>
      </c>
      <c r="BJ520">
        <f>Model!BR679</f>
        <v>0</v>
      </c>
      <c r="BK520">
        <f>Model!BS679</f>
        <v>0</v>
      </c>
      <c r="BL520">
        <f>Model!BT679</f>
        <v>0</v>
      </c>
      <c r="BM520">
        <f>Model!BU679</f>
        <v>0</v>
      </c>
      <c r="BN520">
        <f>Model!BV679</f>
        <v>0</v>
      </c>
      <c r="BO520">
        <f>Model!BW679</f>
        <v>0</v>
      </c>
      <c r="BP520">
        <f>Model!BX679</f>
        <v>0</v>
      </c>
      <c r="BQ520">
        <f>Model!BY679</f>
        <v>0</v>
      </c>
      <c r="BR520">
        <f>Model!BZ679</f>
        <v>0</v>
      </c>
      <c r="BS520">
        <f>Model!CA679</f>
        <v>0</v>
      </c>
      <c r="BT520">
        <f>Model!CB679</f>
        <v>0</v>
      </c>
      <c r="BU520">
        <f>Model!CC679</f>
        <v>0</v>
      </c>
      <c r="BV520">
        <f>Model!CD679</f>
        <v>0</v>
      </c>
      <c r="BW520">
        <f>Model!CE679</f>
        <v>0</v>
      </c>
      <c r="BX520">
        <f>Model!CF679</f>
        <v>0</v>
      </c>
      <c r="BY520">
        <f>Model!CG679</f>
        <v>0</v>
      </c>
      <c r="BZ520">
        <f>Model!CH679</f>
        <v>0</v>
      </c>
      <c r="CA520">
        <f>Model!CI679</f>
        <v>0</v>
      </c>
      <c r="CB520">
        <f>Model!CJ679</f>
        <v>0</v>
      </c>
      <c r="CC520">
        <f>Model!CK679</f>
        <v>0</v>
      </c>
      <c r="CD520">
        <f>Model!CL679</f>
        <v>0</v>
      </c>
      <c r="CE520">
        <f>Model!CM679</f>
        <v>0</v>
      </c>
      <c r="CF520">
        <f>Model!CN679</f>
        <v>0</v>
      </c>
      <c r="CG520">
        <f>Model!CO679</f>
        <v>0</v>
      </c>
      <c r="CH520">
        <f>Model!CP679</f>
        <v>0</v>
      </c>
      <c r="CI520">
        <f>Model!CQ679</f>
        <v>0</v>
      </c>
      <c r="CJ520">
        <f>Model!CR679</f>
        <v>0</v>
      </c>
      <c r="CK520">
        <f>Model!CS679</f>
        <v>0</v>
      </c>
      <c r="CL520">
        <f>Model!CT679</f>
        <v>0</v>
      </c>
      <c r="CM520">
        <f>Model!CU679</f>
        <v>0</v>
      </c>
      <c r="CN520">
        <f>Model!CV679</f>
        <v>0</v>
      </c>
      <c r="CO520">
        <f>Model!CW679</f>
        <v>0</v>
      </c>
      <c r="CP520">
        <f>Model!CX679</f>
        <v>0</v>
      </c>
      <c r="CQ520">
        <f>Model!CY679</f>
        <v>0</v>
      </c>
      <c r="CR520">
        <f>Model!DG679</f>
        <v>0</v>
      </c>
      <c r="CS520">
        <f>Model!DH679</f>
        <v>0</v>
      </c>
      <c r="CT520">
        <f>Model!DI679</f>
        <v>0</v>
      </c>
      <c r="CU520">
        <f>Model!DJ679</f>
        <v>0</v>
      </c>
    </row>
    <row r="521" spans="1:99">
      <c r="A521" t="str">
        <f>Model!I682</f>
        <v>Proceeds from Issuance of Convertible Notes/Debt</v>
      </c>
      <c r="B521">
        <f>Model!J682</f>
        <v>0</v>
      </c>
      <c r="C521">
        <f>Model!K682</f>
        <v>0</v>
      </c>
      <c r="D521">
        <f>Model!L682</f>
        <v>0</v>
      </c>
      <c r="E521">
        <f>Model!M682</f>
        <v>0</v>
      </c>
      <c r="F521">
        <f>Model!N682</f>
        <v>0</v>
      </c>
      <c r="G521">
        <f>Model!O682</f>
        <v>0</v>
      </c>
      <c r="H521">
        <f>Model!P682</f>
        <v>0</v>
      </c>
      <c r="I521">
        <f>Model!Q682</f>
        <v>0</v>
      </c>
      <c r="J521">
        <f>Model!R682</f>
        <v>0</v>
      </c>
      <c r="K521">
        <f>Model!S682</f>
        <v>0</v>
      </c>
      <c r="L521">
        <f>Model!T682</f>
        <v>0</v>
      </c>
      <c r="M521">
        <f>Model!U682</f>
        <v>0</v>
      </c>
      <c r="N521">
        <f>Model!V682</f>
        <v>0</v>
      </c>
      <c r="O521">
        <f>Model!W682</f>
        <v>0</v>
      </c>
      <c r="P521">
        <f>Model!X682</f>
        <v>0</v>
      </c>
      <c r="Q521">
        <f>Model!Y682</f>
        <v>0</v>
      </c>
      <c r="R521">
        <f>Model!Z682</f>
        <v>0</v>
      </c>
      <c r="S521">
        <f>Model!AA682</f>
        <v>0</v>
      </c>
      <c r="T521">
        <f>Model!AB682</f>
        <v>0</v>
      </c>
      <c r="U521">
        <f>Model!AC682</f>
        <v>0</v>
      </c>
      <c r="V521">
        <f>Model!AD682</f>
        <v>0</v>
      </c>
      <c r="W521">
        <f>Model!AE682</f>
        <v>0</v>
      </c>
      <c r="X521">
        <f>Model!AF682</f>
        <v>0</v>
      </c>
      <c r="Y521">
        <f>Model!AG682</f>
        <v>0</v>
      </c>
      <c r="Z521">
        <f>Model!AH682</f>
        <v>0</v>
      </c>
      <c r="AA521">
        <f>Model!AI682</f>
        <v>0</v>
      </c>
      <c r="AB521">
        <f>Model!AJ682</f>
        <v>0</v>
      </c>
      <c r="AC521">
        <f>Model!AK682</f>
        <v>0</v>
      </c>
      <c r="AD521">
        <f>Model!AL682</f>
        <v>0</v>
      </c>
      <c r="AE521">
        <f>Model!AM682</f>
        <v>0</v>
      </c>
      <c r="AF521">
        <f>Model!AN682</f>
        <v>0</v>
      </c>
      <c r="AG521">
        <f>Model!AO682</f>
        <v>0</v>
      </c>
      <c r="AH521">
        <f>Model!AP682</f>
        <v>0</v>
      </c>
      <c r="AI521">
        <f>Model!AQ682</f>
        <v>0</v>
      </c>
      <c r="AJ521">
        <f>Model!AR682</f>
        <v>0</v>
      </c>
      <c r="AK521">
        <f>Model!AS682</f>
        <v>0</v>
      </c>
      <c r="AL521">
        <f>Model!AT682</f>
        <v>0</v>
      </c>
      <c r="AM521">
        <f>Model!AU682</f>
        <v>0</v>
      </c>
      <c r="AN521">
        <f>Model!AV682</f>
        <v>0</v>
      </c>
      <c r="AO521">
        <f>Model!AW682</f>
        <v>0</v>
      </c>
      <c r="AP521">
        <f>Model!AX682</f>
        <v>0</v>
      </c>
      <c r="AQ521">
        <f>Model!AY682</f>
        <v>0</v>
      </c>
      <c r="AR521">
        <f>Model!AZ682</f>
        <v>0</v>
      </c>
      <c r="AS521">
        <f>Model!BA682</f>
        <v>0</v>
      </c>
      <c r="AT521">
        <f>Model!BB682</f>
        <v>0</v>
      </c>
      <c r="AU521">
        <f>Model!BC682</f>
        <v>0</v>
      </c>
      <c r="AV521">
        <f>Model!BD682</f>
        <v>0</v>
      </c>
      <c r="AW521">
        <f>Model!BE682</f>
        <v>1000</v>
      </c>
      <c r="AX521">
        <f>Model!BF682</f>
        <v>0</v>
      </c>
      <c r="AY521">
        <f>Model!BG682</f>
        <v>0</v>
      </c>
      <c r="AZ521">
        <f>Model!BH682</f>
        <v>0</v>
      </c>
      <c r="BA521">
        <f>Model!BI682</f>
        <v>0</v>
      </c>
      <c r="BB521">
        <f>Model!BJ682</f>
        <v>980</v>
      </c>
      <c r="BC521">
        <f>Model!BK682</f>
        <v>0</v>
      </c>
      <c r="BD521">
        <f>Model!BL682</f>
        <v>0</v>
      </c>
      <c r="BE521">
        <f>Model!BM682</f>
        <v>0</v>
      </c>
      <c r="BF521">
        <f>Model!BN682</f>
        <v>0</v>
      </c>
      <c r="BG521">
        <f>Model!BO682</f>
        <v>2282.2170000000001</v>
      </c>
      <c r="BH521">
        <f>Model!BP682</f>
        <v>0</v>
      </c>
      <c r="BI521">
        <f>Model!BQ682</f>
        <v>1619.951</v>
      </c>
      <c r="BJ521">
        <f>Model!BR682</f>
        <v>0</v>
      </c>
      <c r="BK521">
        <f>Model!BS682</f>
        <v>0</v>
      </c>
      <c r="BL521">
        <f>Model!BT682</f>
        <v>779.08300000000008</v>
      </c>
      <c r="BM521">
        <f>Model!BU682</f>
        <v>2.5</v>
      </c>
      <c r="BN521">
        <f>Model!BV682</f>
        <v>992.20500000000004</v>
      </c>
      <c r="BO521">
        <f>Model!BW682</f>
        <v>0</v>
      </c>
      <c r="BP521">
        <f>Model!BX682</f>
        <v>0</v>
      </c>
      <c r="BQ521">
        <f>Model!BY682</f>
        <v>1051.722</v>
      </c>
      <c r="BR521">
        <f>Model!BZ682</f>
        <v>0</v>
      </c>
      <c r="BS521">
        <f>Model!CA682</f>
        <v>-1141.297</v>
      </c>
      <c r="BT521">
        <f>Model!CB682</f>
        <v>2134.527</v>
      </c>
      <c r="BU521">
        <f>Model!CC682</f>
        <v>-1414</v>
      </c>
      <c r="BV521">
        <f>Model!CD682</f>
        <v>0</v>
      </c>
      <c r="BW521">
        <f>Model!CE682</f>
        <v>0</v>
      </c>
      <c r="BX521">
        <f>Model!CF682</f>
        <v>0</v>
      </c>
      <c r="BY521">
        <f>Model!CG682</f>
        <v>0</v>
      </c>
      <c r="BZ521">
        <f>Model!CH682</f>
        <v>0</v>
      </c>
      <c r="CA521">
        <f>Model!CI682</f>
        <v>0</v>
      </c>
      <c r="CB521">
        <f>Model!CJ682</f>
        <v>0</v>
      </c>
      <c r="CC521">
        <f>Model!CK682</f>
        <v>0</v>
      </c>
      <c r="CD521">
        <f>Model!CL682</f>
        <v>0</v>
      </c>
      <c r="CE521">
        <f>Model!CM682</f>
        <v>0</v>
      </c>
      <c r="CF521">
        <f>Model!CN682</f>
        <v>0</v>
      </c>
      <c r="CG521">
        <f>Model!CO682</f>
        <v>0</v>
      </c>
      <c r="CH521">
        <f>Model!CP682</f>
        <v>0</v>
      </c>
      <c r="CI521">
        <f>Model!CQ682</f>
        <v>575</v>
      </c>
      <c r="CJ521">
        <f>Model!CR682</f>
        <v>0</v>
      </c>
      <c r="CK521">
        <f>Model!CS682</f>
        <v>1000</v>
      </c>
      <c r="CL521">
        <f>Model!CT682</f>
        <v>980</v>
      </c>
      <c r="CM521">
        <f>Model!CU682</f>
        <v>2282.2170000000001</v>
      </c>
      <c r="CN521">
        <f>Model!CV682</f>
        <v>2399.0340000000001</v>
      </c>
      <c r="CO521">
        <f>Model!CW682</f>
        <v>994.70500000000004</v>
      </c>
      <c r="CP521">
        <f>Model!CX682</f>
        <v>2044.952</v>
      </c>
      <c r="CQ521">
        <f>Model!CY682</f>
        <v>-1414</v>
      </c>
      <c r="CR521">
        <f>Model!DG682</f>
        <v>0</v>
      </c>
      <c r="CS521">
        <f>Model!DH682</f>
        <v>0</v>
      </c>
      <c r="CT521">
        <f>Model!DI682</f>
        <v>0</v>
      </c>
      <c r="CU521">
        <f>Model!DJ682</f>
        <v>0</v>
      </c>
    </row>
    <row r="522" spans="1:99">
      <c r="A522" t="str">
        <f>Model!I683</f>
        <v>Payments of Debt Issuance Costs</v>
      </c>
      <c r="B522">
        <f>Model!J683</f>
        <v>0</v>
      </c>
      <c r="C522">
        <f>Model!K683</f>
        <v>0</v>
      </c>
      <c r="D522">
        <f>Model!L683</f>
        <v>0</v>
      </c>
      <c r="E522">
        <f>Model!M683</f>
        <v>0</v>
      </c>
      <c r="F522">
        <f>Model!N683</f>
        <v>0</v>
      </c>
      <c r="G522">
        <f>Model!O683</f>
        <v>0</v>
      </c>
      <c r="H522">
        <f>Model!P683</f>
        <v>0</v>
      </c>
      <c r="I522">
        <f>Model!Q683</f>
        <v>0</v>
      </c>
      <c r="J522">
        <f>Model!R683</f>
        <v>0</v>
      </c>
      <c r="K522">
        <f>Model!S683</f>
        <v>0</v>
      </c>
      <c r="L522">
        <f>Model!T683</f>
        <v>0</v>
      </c>
      <c r="M522">
        <f>Model!U683</f>
        <v>0</v>
      </c>
      <c r="N522">
        <f>Model!V683</f>
        <v>0</v>
      </c>
      <c r="O522">
        <f>Model!W683</f>
        <v>0</v>
      </c>
      <c r="P522">
        <f>Model!X683</f>
        <v>0</v>
      </c>
      <c r="Q522">
        <f>Model!Y683</f>
        <v>0</v>
      </c>
      <c r="R522">
        <f>Model!Z683</f>
        <v>0</v>
      </c>
      <c r="S522">
        <f>Model!AA683</f>
        <v>0</v>
      </c>
      <c r="T522">
        <f>Model!AB683</f>
        <v>0</v>
      </c>
      <c r="U522">
        <f>Model!AC683</f>
        <v>0</v>
      </c>
      <c r="V522">
        <f>Model!AD683</f>
        <v>0</v>
      </c>
      <c r="W522">
        <f>Model!AE683</f>
        <v>0</v>
      </c>
      <c r="X522">
        <f>Model!AF683</f>
        <v>0</v>
      </c>
      <c r="Y522">
        <f>Model!AG683</f>
        <v>0</v>
      </c>
      <c r="Z522">
        <f>Model!AH683</f>
        <v>0</v>
      </c>
      <c r="AA522">
        <f>Model!AI683</f>
        <v>0</v>
      </c>
      <c r="AB522">
        <f>Model!AJ683</f>
        <v>0</v>
      </c>
      <c r="AC522">
        <f>Model!AK683</f>
        <v>0</v>
      </c>
      <c r="AD522">
        <f>Model!AL683</f>
        <v>0</v>
      </c>
      <c r="AE522">
        <f>Model!AM683</f>
        <v>0</v>
      </c>
      <c r="AF522">
        <f>Model!AN683</f>
        <v>0</v>
      </c>
      <c r="AG522">
        <f>Model!AO683</f>
        <v>0</v>
      </c>
      <c r="AH522">
        <f>Model!AP683</f>
        <v>0</v>
      </c>
      <c r="AI522">
        <f>Model!AQ683</f>
        <v>0</v>
      </c>
      <c r="AJ522">
        <f>Model!AR683</f>
        <v>0</v>
      </c>
      <c r="AK522">
        <f>Model!AS683</f>
        <v>0</v>
      </c>
      <c r="AL522">
        <f>Model!AT683</f>
        <v>0</v>
      </c>
      <c r="AM522">
        <f>Model!AU683</f>
        <v>0</v>
      </c>
      <c r="AN522">
        <f>Model!AV683</f>
        <v>0</v>
      </c>
      <c r="AO522">
        <f>Model!AW683</f>
        <v>0</v>
      </c>
      <c r="AP522">
        <f>Model!AX683</f>
        <v>0</v>
      </c>
      <c r="AQ522">
        <f>Model!AY683</f>
        <v>0</v>
      </c>
      <c r="AR522">
        <f>Model!AZ683</f>
        <v>0</v>
      </c>
      <c r="AS522">
        <f>Model!BA683</f>
        <v>0</v>
      </c>
      <c r="AT522">
        <f>Model!BB683</f>
        <v>0</v>
      </c>
      <c r="AU522">
        <f>Model!BC683</f>
        <v>0</v>
      </c>
      <c r="AV522">
        <f>Model!BD683</f>
        <v>0</v>
      </c>
      <c r="AW522">
        <f>Model!BE683</f>
        <v>-20.327000000000002</v>
      </c>
      <c r="AX522">
        <f>Model!BF683</f>
        <v>-9.3999999999997641E-2</v>
      </c>
      <c r="AY522">
        <f>Model!BG683</f>
        <v>-0.49500000000000099</v>
      </c>
      <c r="AZ522">
        <f>Model!BH683</f>
        <v>0</v>
      </c>
      <c r="BA522">
        <f>Model!BI683</f>
        <v>0</v>
      </c>
      <c r="BB522">
        <f>Model!BJ683</f>
        <v>-2.9000000000000001E-2</v>
      </c>
      <c r="BC522">
        <f>Model!BK683</f>
        <v>-0.88100000000000001</v>
      </c>
      <c r="BD522">
        <f>Model!BL683</f>
        <v>-0.10800000000000001</v>
      </c>
      <c r="BE522">
        <f>Model!BM683</f>
        <v>0</v>
      </c>
      <c r="BF522">
        <f>Model!BN683</f>
        <v>0</v>
      </c>
      <c r="BG522">
        <f>Model!BO683</f>
        <v>-16.241</v>
      </c>
      <c r="BH522">
        <f>Model!BP683</f>
        <v>-1.222999999999999</v>
      </c>
      <c r="BI522">
        <f>Model!BQ683</f>
        <v>-8.0640000000000001</v>
      </c>
      <c r="BJ522">
        <f>Model!BR683</f>
        <v>-5.2080000000000002</v>
      </c>
      <c r="BK522">
        <f>Model!BS683</f>
        <v>-0.23499999999999943</v>
      </c>
      <c r="BL522">
        <f>Model!BT683</f>
        <v>9.5019999999999989</v>
      </c>
      <c r="BM522">
        <f>Model!BU683</f>
        <v>0</v>
      </c>
      <c r="BN522">
        <f>Model!BV683</f>
        <v>0</v>
      </c>
      <c r="BO522">
        <f>Model!BW683</f>
        <v>0</v>
      </c>
      <c r="BP522">
        <f>Model!BX683</f>
        <v>0</v>
      </c>
      <c r="BQ522">
        <f>Model!BY683</f>
        <v>-4.0000000000000001E-3</v>
      </c>
      <c r="BR522">
        <f>Model!BZ683</f>
        <v>-83.468999999999994</v>
      </c>
      <c r="BS522">
        <f>Model!CA683</f>
        <v>68.355000000000004</v>
      </c>
      <c r="BT522">
        <f>Model!CB683</f>
        <v>15.11799999999999</v>
      </c>
      <c r="BU522">
        <f>Model!CC683</f>
        <v>0</v>
      </c>
      <c r="BV522">
        <f>Model!CD683</f>
        <v>0</v>
      </c>
      <c r="BW522">
        <f>Model!CE683</f>
        <v>0</v>
      </c>
      <c r="BX522">
        <f>Model!CF683</f>
        <v>0</v>
      </c>
      <c r="BY522">
        <f>Model!CG683</f>
        <v>0</v>
      </c>
      <c r="BZ522">
        <f>Model!CH683</f>
        <v>0</v>
      </c>
      <c r="CA522">
        <f>Model!CI683</f>
        <v>0</v>
      </c>
      <c r="CB522">
        <f>Model!CJ683</f>
        <v>0</v>
      </c>
      <c r="CC522">
        <f>Model!CK683</f>
        <v>0</v>
      </c>
      <c r="CD522">
        <f>Model!CL683</f>
        <v>0</v>
      </c>
      <c r="CE522">
        <f>Model!CM683</f>
        <v>0</v>
      </c>
      <c r="CF522">
        <f>Model!CN683</f>
        <v>0</v>
      </c>
      <c r="CG522">
        <f>Model!CO683</f>
        <v>0</v>
      </c>
      <c r="CH522">
        <f>Model!CP683</f>
        <v>0</v>
      </c>
      <c r="CI522">
        <f>Model!CQ683</f>
        <v>-13.334</v>
      </c>
      <c r="CJ522">
        <f>Model!CR683</f>
        <v>0</v>
      </c>
      <c r="CK522">
        <f>Model!CS683</f>
        <v>-20.916</v>
      </c>
      <c r="CL522">
        <f>Model!CT683</f>
        <v>-1.018</v>
      </c>
      <c r="CM522">
        <f>Model!CU683</f>
        <v>-17.463999999999999</v>
      </c>
      <c r="CN522">
        <f>Model!CV683</f>
        <v>-4.0049999999999999</v>
      </c>
      <c r="CO522">
        <f>Model!CW683</f>
        <v>0</v>
      </c>
      <c r="CP522">
        <f>Model!CX683</f>
        <v>0</v>
      </c>
      <c r="CQ522">
        <f>Model!CY683</f>
        <v>0</v>
      </c>
      <c r="CR522">
        <f>Model!DG683</f>
        <v>0</v>
      </c>
      <c r="CS522">
        <f>Model!DH683</f>
        <v>0</v>
      </c>
      <c r="CT522">
        <f>Model!DI683</f>
        <v>0</v>
      </c>
      <c r="CU522">
        <f>Model!DJ683</f>
        <v>0</v>
      </c>
    </row>
    <row r="523" spans="1:99">
      <c r="A523" t="str">
        <f>Model!I684</f>
        <v>Payments related to Conversion of Convertible Senior Notes</v>
      </c>
      <c r="B523">
        <f>Model!J684</f>
        <v>0</v>
      </c>
      <c r="C523">
        <f>Model!K684</f>
        <v>0</v>
      </c>
      <c r="D523">
        <f>Model!L684</f>
        <v>0</v>
      </c>
      <c r="E523">
        <f>Model!M684</f>
        <v>0</v>
      </c>
      <c r="F523">
        <f>Model!N684</f>
        <v>0</v>
      </c>
      <c r="G523">
        <f>Model!O684</f>
        <v>0</v>
      </c>
      <c r="H523">
        <f>Model!P684</f>
        <v>0</v>
      </c>
      <c r="I523">
        <f>Model!Q684</f>
        <v>0</v>
      </c>
      <c r="J523">
        <f>Model!R684</f>
        <v>0</v>
      </c>
      <c r="K523">
        <f>Model!S684</f>
        <v>0</v>
      </c>
      <c r="L523">
        <f>Model!T684</f>
        <v>0</v>
      </c>
      <c r="M523">
        <f>Model!U684</f>
        <v>0</v>
      </c>
      <c r="N523">
        <f>Model!V684</f>
        <v>0</v>
      </c>
      <c r="O523">
        <f>Model!W684</f>
        <v>0</v>
      </c>
      <c r="P523">
        <f>Model!X684</f>
        <v>0</v>
      </c>
      <c r="Q523">
        <f>Model!Y684</f>
        <v>0</v>
      </c>
      <c r="R523">
        <f>Model!Z684</f>
        <v>0</v>
      </c>
      <c r="S523">
        <f>Model!AA684</f>
        <v>0</v>
      </c>
      <c r="T523">
        <f>Model!AB684</f>
        <v>0</v>
      </c>
      <c r="U523">
        <f>Model!AC684</f>
        <v>0</v>
      </c>
      <c r="V523">
        <f>Model!AD684</f>
        <v>0</v>
      </c>
      <c r="W523">
        <f>Model!AE684</f>
        <v>0</v>
      </c>
      <c r="X523">
        <f>Model!AF684</f>
        <v>0</v>
      </c>
      <c r="Y523">
        <f>Model!AG684</f>
        <v>0</v>
      </c>
      <c r="Z523">
        <f>Model!AH684</f>
        <v>0</v>
      </c>
      <c r="AA523">
        <f>Model!AI684</f>
        <v>0</v>
      </c>
      <c r="AB523">
        <f>Model!AJ684</f>
        <v>0</v>
      </c>
      <c r="AC523">
        <f>Model!AK684</f>
        <v>0</v>
      </c>
      <c r="AD523">
        <f>Model!AL684</f>
        <v>0</v>
      </c>
      <c r="AE523">
        <f>Model!AM684</f>
        <v>0</v>
      </c>
      <c r="AF523">
        <f>Model!AN684</f>
        <v>0</v>
      </c>
      <c r="AG523">
        <f>Model!AO684</f>
        <v>0</v>
      </c>
      <c r="AH523">
        <f>Model!AP684</f>
        <v>0</v>
      </c>
      <c r="AI523">
        <f>Model!AQ684</f>
        <v>0</v>
      </c>
      <c r="AJ523">
        <f>Model!AR684</f>
        <v>0</v>
      </c>
      <c r="AK523">
        <f>Model!AS684</f>
        <v>0</v>
      </c>
      <c r="AL523">
        <f>Model!AT684</f>
        <v>0</v>
      </c>
      <c r="AM523">
        <f>Model!AU684</f>
        <v>0</v>
      </c>
      <c r="AN523">
        <f>Model!AV684</f>
        <v>0</v>
      </c>
      <c r="AO523">
        <f>Model!AW684</f>
        <v>0</v>
      </c>
      <c r="AP523">
        <f>Model!AX684</f>
        <v>0</v>
      </c>
      <c r="AQ523">
        <f>Model!AY684</f>
        <v>0</v>
      </c>
      <c r="AR523">
        <f>Model!AZ684</f>
        <v>0</v>
      </c>
      <c r="AS523">
        <f>Model!BA684</f>
        <v>0</v>
      </c>
      <c r="AT523">
        <f>Model!BB684</f>
        <v>-0.21299999999999999</v>
      </c>
      <c r="AU523">
        <f>Model!BC684</f>
        <v>0</v>
      </c>
      <c r="AV523">
        <f>Model!BD684</f>
        <v>0</v>
      </c>
      <c r="AW523">
        <f>Model!BE684</f>
        <v>0</v>
      </c>
      <c r="AX523">
        <f>Model!BF684</f>
        <v>0</v>
      </c>
      <c r="AY523">
        <f>Model!BG684</f>
        <v>-1E-3</v>
      </c>
      <c r="AZ523">
        <f>Model!BH684</f>
        <v>0</v>
      </c>
      <c r="BA523">
        <f>Model!BI684</f>
        <v>0</v>
      </c>
      <c r="BB523">
        <f>Model!BJ684</f>
        <v>0</v>
      </c>
      <c r="BC523">
        <f>Model!BK684</f>
        <v>-8.0000000000000002E-3</v>
      </c>
      <c r="BD523">
        <f>Model!BL684</f>
        <v>-414.56100000000004</v>
      </c>
      <c r="BE523">
        <f>Model!BM684</f>
        <v>-58.448999999999998</v>
      </c>
      <c r="BF523">
        <f>Model!BN684</f>
        <v>-59.381</v>
      </c>
      <c r="BG523">
        <f>Model!BO684</f>
        <v>-4.0949999999999989</v>
      </c>
      <c r="BH523">
        <f>Model!BP684</f>
        <v>-3.2109999999999985</v>
      </c>
      <c r="BI523">
        <f>Model!BQ684</f>
        <v>-147.62899999999999</v>
      </c>
      <c r="BJ523">
        <f>Model!BR684</f>
        <v>0</v>
      </c>
      <c r="BK523">
        <f>Model!BS684</f>
        <v>0</v>
      </c>
      <c r="BL523">
        <f>Model!BT684</f>
        <v>0</v>
      </c>
      <c r="BM523">
        <f>Model!BU684</f>
        <v>0</v>
      </c>
      <c r="BN523">
        <f>Model!BV684</f>
        <v>0</v>
      </c>
      <c r="BO523">
        <f>Model!BW684</f>
        <v>0</v>
      </c>
      <c r="BP523">
        <f>Model!BX684</f>
        <v>0</v>
      </c>
      <c r="BQ523">
        <f>Model!BY684</f>
        <v>0</v>
      </c>
      <c r="BR523">
        <f>Model!BZ684</f>
        <v>0</v>
      </c>
      <c r="BS523">
        <f>Model!CA684</f>
        <v>0</v>
      </c>
      <c r="BT523">
        <f>Model!CB684</f>
        <v>-285.71800000000002</v>
      </c>
      <c r="BU523">
        <f>Model!CC684</f>
        <v>0</v>
      </c>
      <c r="BV523">
        <f>Model!CD684</f>
        <v>0</v>
      </c>
      <c r="BW523">
        <f>Model!CE684</f>
        <v>0</v>
      </c>
      <c r="BX523">
        <f>Model!CF684</f>
        <v>0</v>
      </c>
      <c r="BY523">
        <f>Model!CG684</f>
        <v>0</v>
      </c>
      <c r="BZ523">
        <f>Model!CH684</f>
        <v>0</v>
      </c>
      <c r="CA523">
        <f>Model!CI684</f>
        <v>0</v>
      </c>
      <c r="CB523">
        <f>Model!CJ684</f>
        <v>0</v>
      </c>
      <c r="CC523">
        <f>Model!CK684</f>
        <v>0</v>
      </c>
      <c r="CD523">
        <f>Model!CL684</f>
        <v>0</v>
      </c>
      <c r="CE523">
        <f>Model!CM684</f>
        <v>0</v>
      </c>
      <c r="CF523">
        <f>Model!CN684</f>
        <v>0</v>
      </c>
      <c r="CG523">
        <f>Model!CO684</f>
        <v>0</v>
      </c>
      <c r="CH523">
        <f>Model!CP684</f>
        <v>0</v>
      </c>
      <c r="CI523">
        <f>Model!CQ684</f>
        <v>-295.40100000000001</v>
      </c>
      <c r="CJ523">
        <f>Model!CR684</f>
        <v>-0.21299999999999999</v>
      </c>
      <c r="CK523">
        <f>Model!CS684</f>
        <v>-1E-3</v>
      </c>
      <c r="CL523">
        <f>Model!CT684</f>
        <v>-414.56900000000002</v>
      </c>
      <c r="CM523">
        <f>Model!CU684</f>
        <v>-125.136</v>
      </c>
      <c r="CN523">
        <f>Model!CV684</f>
        <v>-147.62899999999999</v>
      </c>
      <c r="CO523">
        <f>Model!CW684</f>
        <v>0</v>
      </c>
      <c r="CP523">
        <f>Model!CX684</f>
        <v>-285.71800000000002</v>
      </c>
      <c r="CQ523">
        <f>Model!CY684</f>
        <v>0</v>
      </c>
      <c r="CR523">
        <f>Model!DG684</f>
        <v>0</v>
      </c>
      <c r="CS523">
        <f>Model!DH684</f>
        <v>0</v>
      </c>
      <c r="CT523">
        <f>Model!DI684</f>
        <v>0</v>
      </c>
      <c r="CU523">
        <f>Model!DJ684</f>
        <v>0</v>
      </c>
    </row>
    <row r="524" spans="1:99">
      <c r="A524" t="str">
        <f>Model!I685</f>
        <v>Repurchases of Common Stock</v>
      </c>
      <c r="B524">
        <f>Model!J685</f>
        <v>0</v>
      </c>
      <c r="C524">
        <f>Model!K685</f>
        <v>0</v>
      </c>
      <c r="D524">
        <f>Model!L685</f>
        <v>0</v>
      </c>
      <c r="E524">
        <f>Model!M685</f>
        <v>0</v>
      </c>
      <c r="F524">
        <f>Model!N685</f>
        <v>0</v>
      </c>
      <c r="G524">
        <f>Model!O685</f>
        <v>0</v>
      </c>
      <c r="H524">
        <f>Model!P685</f>
        <v>0</v>
      </c>
      <c r="I524">
        <f>Model!Q685</f>
        <v>0</v>
      </c>
      <c r="J524">
        <f>Model!R685</f>
        <v>0</v>
      </c>
      <c r="K524">
        <f>Model!S685</f>
        <v>0</v>
      </c>
      <c r="L524">
        <f>Model!T685</f>
        <v>0</v>
      </c>
      <c r="M524">
        <f>Model!U685</f>
        <v>0</v>
      </c>
      <c r="N524">
        <f>Model!V685</f>
        <v>0</v>
      </c>
      <c r="O524">
        <f>Model!W685</f>
        <v>0</v>
      </c>
      <c r="P524">
        <f>Model!X685</f>
        <v>0</v>
      </c>
      <c r="Q524">
        <f>Model!Y685</f>
        <v>0</v>
      </c>
      <c r="R524">
        <f>Model!Z685</f>
        <v>0</v>
      </c>
      <c r="S524">
        <f>Model!AA685</f>
        <v>0</v>
      </c>
      <c r="T524">
        <f>Model!AB685</f>
        <v>0</v>
      </c>
      <c r="U524">
        <f>Model!AC685</f>
        <v>0</v>
      </c>
      <c r="V524">
        <f>Model!AD685</f>
        <v>0</v>
      </c>
      <c r="W524">
        <f>Model!AE685</f>
        <v>0</v>
      </c>
      <c r="X524">
        <f>Model!AF685</f>
        <v>0</v>
      </c>
      <c r="Y524">
        <f>Model!AG685</f>
        <v>0</v>
      </c>
      <c r="Z524">
        <f>Model!AH685</f>
        <v>0</v>
      </c>
      <c r="AA524">
        <f>Model!AI685</f>
        <v>0</v>
      </c>
      <c r="AB524">
        <f>Model!AJ685</f>
        <v>0</v>
      </c>
      <c r="AC524">
        <f>Model!AK685</f>
        <v>0</v>
      </c>
      <c r="AD524">
        <f>Model!AL685</f>
        <v>0</v>
      </c>
      <c r="AE524">
        <f>Model!AM685</f>
        <v>0</v>
      </c>
      <c r="AF524">
        <f>Model!AN685</f>
        <v>0</v>
      </c>
      <c r="AG524">
        <f>Model!AO685</f>
        <v>0</v>
      </c>
      <c r="AH524">
        <f>Model!AP685</f>
        <v>0</v>
      </c>
      <c r="AI524">
        <f>Model!AQ685</f>
        <v>0</v>
      </c>
      <c r="AJ524">
        <f>Model!AR685</f>
        <v>0</v>
      </c>
      <c r="AK524">
        <f>Model!AS685</f>
        <v>0</v>
      </c>
      <c r="AL524">
        <f>Model!AT685</f>
        <v>0</v>
      </c>
      <c r="AM524">
        <f>Model!AU685</f>
        <v>0</v>
      </c>
      <c r="AN524">
        <f>Model!AV685</f>
        <v>0</v>
      </c>
      <c r="AO524">
        <f>Model!AW685</f>
        <v>0</v>
      </c>
      <c r="AP524">
        <f>Model!AX685</f>
        <v>0</v>
      </c>
      <c r="AQ524">
        <f>Model!AY685</f>
        <v>0</v>
      </c>
      <c r="AR524">
        <f>Model!AZ685</f>
        <v>0</v>
      </c>
      <c r="AS524">
        <f>Model!BA685</f>
        <v>-157.262</v>
      </c>
      <c r="AT524">
        <f>Model!BB685</f>
        <v>-1.429000000000002</v>
      </c>
      <c r="AU524">
        <f>Model!BC685</f>
        <v>-3.6779999999999973</v>
      </c>
      <c r="AV524">
        <f>Model!BD685</f>
        <v>-0.8019999999999925</v>
      </c>
      <c r="AW524">
        <f>Model!BE685</f>
        <v>-254.22499999999999</v>
      </c>
      <c r="AX524">
        <f>Model!BF685</f>
        <v>-0.94300000000001205</v>
      </c>
      <c r="AY524">
        <f>Model!BG685</f>
        <v>-0.22899999999998499</v>
      </c>
      <c r="AZ524">
        <f>Model!BH685</f>
        <v>-1.6240000000000236</v>
      </c>
      <c r="BA524">
        <f>Model!BI685</f>
        <v>-76.38</v>
      </c>
      <c r="BB524">
        <f>Model!BJ685</f>
        <v>-346.90500000000003</v>
      </c>
      <c r="BC524">
        <f>Model!BK685</f>
        <v>-459.72300000000007</v>
      </c>
      <c r="BD524">
        <f>Model!BL685</f>
        <v>-0.50699999999989132</v>
      </c>
      <c r="BE524">
        <f>Model!BM685</f>
        <v>-96.66</v>
      </c>
      <c r="BF524">
        <f>Model!BN685</f>
        <v>-0.66599999999999682</v>
      </c>
      <c r="BG524">
        <f>Model!BO685</f>
        <v>-148.13</v>
      </c>
      <c r="BH524">
        <f>Model!BP685</f>
        <v>-504.92200000000014</v>
      </c>
      <c r="BI524">
        <f>Model!BQ685</f>
        <v>-308.61799999999999</v>
      </c>
      <c r="BJ524">
        <f>Model!BR685</f>
        <v>-677.96299999999997</v>
      </c>
      <c r="BK524">
        <f>Model!BS685</f>
        <v>-1280.8030000000001</v>
      </c>
      <c r="BL524">
        <f>Model!BT685</f>
        <v>-821.67099999999982</v>
      </c>
      <c r="BM524">
        <f>Model!BU685</f>
        <v>-259.36099999999999</v>
      </c>
      <c r="BN524">
        <f>Model!BV685</f>
        <v>-265.78300000000002</v>
      </c>
      <c r="BO524">
        <f>Model!BW685</f>
        <v>-232.33299999999997</v>
      </c>
      <c r="BP524">
        <f>Model!BX685</f>
        <v>-256.04899999999998</v>
      </c>
      <c r="BQ524">
        <f>Model!BY685</f>
        <v>-209.797</v>
      </c>
      <c r="BR524">
        <f>Model!BZ685</f>
        <v>-345.45299999999997</v>
      </c>
      <c r="BS524">
        <f>Model!CA685</f>
        <v>-567.85200000000009</v>
      </c>
      <c r="BT524">
        <f>Model!CB685</f>
        <v>-704.81700000000001</v>
      </c>
      <c r="BU524">
        <f>Model!CC685</f>
        <v>-625</v>
      </c>
      <c r="BV524">
        <f>Model!CD685</f>
        <v>-625</v>
      </c>
      <c r="BW524">
        <f>Model!CE685</f>
        <v>-625</v>
      </c>
      <c r="BX524">
        <f>Model!CF685</f>
        <v>-625</v>
      </c>
      <c r="BY524">
        <f>Model!CG685</f>
        <v>0</v>
      </c>
      <c r="BZ524">
        <f>Model!CH685</f>
        <v>0</v>
      </c>
      <c r="CA524">
        <f>Model!CI685</f>
        <v>0</v>
      </c>
      <c r="CB524">
        <f>Model!CJ685</f>
        <v>0</v>
      </c>
      <c r="CC524">
        <f>Model!CK685</f>
        <v>0</v>
      </c>
      <c r="CD524">
        <f>Model!CL685</f>
        <v>0</v>
      </c>
      <c r="CE524">
        <f>Model!CM685</f>
        <v>0</v>
      </c>
      <c r="CF524">
        <f>Model!CN685</f>
        <v>0</v>
      </c>
      <c r="CG524">
        <f>Model!CO685</f>
        <v>0</v>
      </c>
      <c r="CH524">
        <f>Model!CP685</f>
        <v>0</v>
      </c>
      <c r="CI524">
        <f>Model!CQ685</f>
        <v>-129.44499999999999</v>
      </c>
      <c r="CJ524">
        <f>Model!CR685</f>
        <v>-163.17099999999999</v>
      </c>
      <c r="CK524">
        <f>Model!CS685</f>
        <v>-257.02100000000002</v>
      </c>
      <c r="CL524">
        <f>Model!CT685</f>
        <v>-883.51499999999987</v>
      </c>
      <c r="CM524">
        <f>Model!CU685</f>
        <v>-750.37800000000004</v>
      </c>
      <c r="CN524">
        <f>Model!CV685</f>
        <v>-3089.0549999999998</v>
      </c>
      <c r="CO524">
        <f>Model!CW685</f>
        <v>-1013.526</v>
      </c>
      <c r="CP524">
        <f>Model!CX685</f>
        <v>-1827.9190000000001</v>
      </c>
      <c r="CQ524">
        <f>Model!CY685</f>
        <v>-2500</v>
      </c>
      <c r="CR524">
        <f>Model!DG685</f>
        <v>0</v>
      </c>
      <c r="CS524">
        <f>Model!DH685</f>
        <v>0</v>
      </c>
      <c r="CT524">
        <f>Model!DI685</f>
        <v>0</v>
      </c>
      <c r="CU524">
        <f>Model!DJ685</f>
        <v>0</v>
      </c>
    </row>
    <row r="525" spans="1:99">
      <c r="A525" t="str">
        <f>Model!I686</f>
        <v>Proceeds from Exercise of Stock Options</v>
      </c>
      <c r="B525">
        <f>Model!J686</f>
        <v>0</v>
      </c>
      <c r="C525">
        <f>Model!K686</f>
        <v>0</v>
      </c>
      <c r="D525">
        <f>Model!L686</f>
        <v>0</v>
      </c>
      <c r="E525">
        <f>Model!M686</f>
        <v>0</v>
      </c>
      <c r="F525">
        <f>Model!N686</f>
        <v>0</v>
      </c>
      <c r="G525">
        <f>Model!O686</f>
        <v>0</v>
      </c>
      <c r="H525">
        <f>Model!P686</f>
        <v>0</v>
      </c>
      <c r="I525">
        <f>Model!Q686</f>
        <v>0</v>
      </c>
      <c r="J525">
        <f>Model!R686</f>
        <v>0</v>
      </c>
      <c r="K525">
        <f>Model!S686</f>
        <v>0</v>
      </c>
      <c r="L525">
        <f>Model!T686</f>
        <v>0</v>
      </c>
      <c r="M525">
        <f>Model!U686</f>
        <v>0</v>
      </c>
      <c r="N525">
        <f>Model!V686</f>
        <v>0</v>
      </c>
      <c r="O525">
        <f>Model!W686</f>
        <v>0</v>
      </c>
      <c r="P525">
        <f>Model!X686</f>
        <v>0</v>
      </c>
      <c r="Q525">
        <f>Model!Y686</f>
        <v>0</v>
      </c>
      <c r="R525">
        <f>Model!Z686</f>
        <v>0</v>
      </c>
      <c r="S525">
        <f>Model!AA686</f>
        <v>0</v>
      </c>
      <c r="T525">
        <f>Model!AB686</f>
        <v>0</v>
      </c>
      <c r="U525">
        <f>Model!AC686</f>
        <v>0</v>
      </c>
      <c r="V525">
        <f>Model!AD686</f>
        <v>0</v>
      </c>
      <c r="W525">
        <f>Model!AE686</f>
        <v>0</v>
      </c>
      <c r="X525">
        <f>Model!AF686</f>
        <v>0</v>
      </c>
      <c r="Y525">
        <f>Model!AG686</f>
        <v>0</v>
      </c>
      <c r="Z525">
        <f>Model!AH686</f>
        <v>0</v>
      </c>
      <c r="AA525">
        <f>Model!AI686</f>
        <v>0</v>
      </c>
      <c r="AB525">
        <f>Model!AJ686</f>
        <v>0</v>
      </c>
      <c r="AC525">
        <f>Model!AK686</f>
        <v>0</v>
      </c>
      <c r="AD525">
        <f>Model!AL686</f>
        <v>0</v>
      </c>
      <c r="AE525">
        <f>Model!AM686</f>
        <v>0</v>
      </c>
      <c r="AF525">
        <f>Model!AN686</f>
        <v>0</v>
      </c>
      <c r="AG525">
        <f>Model!AO686</f>
        <v>0</v>
      </c>
      <c r="AH525">
        <f>Model!AP686</f>
        <v>0</v>
      </c>
      <c r="AI525">
        <f>Model!AQ686</f>
        <v>0</v>
      </c>
      <c r="AJ525">
        <f>Model!AR686</f>
        <v>0</v>
      </c>
      <c r="AK525">
        <f>Model!AS686</f>
        <v>0</v>
      </c>
      <c r="AL525">
        <f>Model!AT686</f>
        <v>0</v>
      </c>
      <c r="AM525">
        <f>Model!AU686</f>
        <v>0</v>
      </c>
      <c r="AN525">
        <f>Model!AV686</f>
        <v>0</v>
      </c>
      <c r="AO525">
        <f>Model!AW686</f>
        <v>0</v>
      </c>
      <c r="AP525">
        <f>Model!AX686</f>
        <v>0</v>
      </c>
      <c r="AQ525">
        <f>Model!AY686</f>
        <v>0</v>
      </c>
      <c r="AR525">
        <f>Model!AZ686</f>
        <v>0</v>
      </c>
      <c r="AS525">
        <f>Model!BA686</f>
        <v>0.54400000000000004</v>
      </c>
      <c r="AT525">
        <f>Model!BB686</f>
        <v>3.3260000000000001</v>
      </c>
      <c r="AU525">
        <f>Model!BC686</f>
        <v>0.121</v>
      </c>
      <c r="AV525">
        <f>Model!BD686</f>
        <v>0.31099999999999905</v>
      </c>
      <c r="AW525">
        <f>Model!BE686</f>
        <v>1.0449999999999999</v>
      </c>
      <c r="AX525">
        <f>Model!BF686</f>
        <v>0.64800000000000013</v>
      </c>
      <c r="AY525">
        <f>Model!BG686</f>
        <v>0.96199999999999974</v>
      </c>
      <c r="AZ525">
        <f>Model!BH686</f>
        <v>2.8000000000000025E-2</v>
      </c>
      <c r="BA525">
        <f>Model!BI686</f>
        <v>0.96499999999999997</v>
      </c>
      <c r="BB525">
        <f>Model!BJ686</f>
        <v>71.844999999999999</v>
      </c>
      <c r="BC525">
        <f>Model!BK686</f>
        <v>13.500000000000004</v>
      </c>
      <c r="BD525">
        <f>Model!BL686</f>
        <v>5.2970000000000006</v>
      </c>
      <c r="BE525">
        <f>Model!BM686</f>
        <v>7.6929999999999996</v>
      </c>
      <c r="BF525">
        <f>Model!BN686</f>
        <v>1.9930000000000003</v>
      </c>
      <c r="BG525">
        <f>Model!BO686</f>
        <v>2.7479999999999993</v>
      </c>
      <c r="BH525">
        <f>Model!BP686</f>
        <v>3.9550000000000001</v>
      </c>
      <c r="BI525">
        <f>Model!BQ686</f>
        <v>9.07</v>
      </c>
      <c r="BJ525">
        <f>Model!BR686</f>
        <v>3.754999999999999</v>
      </c>
      <c r="BK525">
        <f>Model!BS686</f>
        <v>6.3140000000000001</v>
      </c>
      <c r="BL525">
        <f>Model!BT686</f>
        <v>1.7119999999999997</v>
      </c>
      <c r="BM525">
        <f>Model!BU686</f>
        <v>4.8150000000000004</v>
      </c>
      <c r="BN525">
        <f>Model!BV686</f>
        <v>4.9509999999999996</v>
      </c>
      <c r="BO525">
        <f>Model!BW686</f>
        <v>3.4959999999999996</v>
      </c>
      <c r="BP525">
        <f>Model!BX686</f>
        <v>2.3100000000000005</v>
      </c>
      <c r="BQ525">
        <f>Model!BY686</f>
        <v>1.4790000000000001</v>
      </c>
      <c r="BR525">
        <f>Model!BZ686</f>
        <v>1.3109999999999999</v>
      </c>
      <c r="BS525">
        <f>Model!CA686</f>
        <v>1.5129999999999999</v>
      </c>
      <c r="BT525">
        <f>Model!CB686</f>
        <v>0.83699999999999974</v>
      </c>
      <c r="BU525">
        <f>Model!CC686</f>
        <v>0</v>
      </c>
      <c r="BV525">
        <f>Model!CD686</f>
        <v>0</v>
      </c>
      <c r="BW525">
        <f>Model!CE686</f>
        <v>0</v>
      </c>
      <c r="BX525">
        <f>Model!CF686</f>
        <v>0</v>
      </c>
      <c r="BY525">
        <f>Model!CG686</f>
        <v>0</v>
      </c>
      <c r="BZ525">
        <f>Model!CH686</f>
        <v>0</v>
      </c>
      <c r="CA525">
        <f>Model!CI686</f>
        <v>0</v>
      </c>
      <c r="CB525">
        <f>Model!CJ686</f>
        <v>0</v>
      </c>
      <c r="CC525">
        <f>Model!CK686</f>
        <v>0</v>
      </c>
      <c r="CD525">
        <f>Model!CL686</f>
        <v>0</v>
      </c>
      <c r="CE525">
        <f>Model!CM686</f>
        <v>0</v>
      </c>
      <c r="CF525">
        <f>Model!CN686</f>
        <v>0</v>
      </c>
      <c r="CG525">
        <f>Model!CO686</f>
        <v>0</v>
      </c>
      <c r="CH525">
        <f>Model!CP686</f>
        <v>0</v>
      </c>
      <c r="CI525">
        <f>Model!CQ686</f>
        <v>25.751000000000001</v>
      </c>
      <c r="CJ525">
        <f>Model!CR686</f>
        <v>4.3019999999999996</v>
      </c>
      <c r="CK525">
        <f>Model!CS686</f>
        <v>2.6829999999999998</v>
      </c>
      <c r="CL525">
        <f>Model!CT686</f>
        <v>91.606999999999999</v>
      </c>
      <c r="CM525">
        <f>Model!CU686</f>
        <v>16.388999999999999</v>
      </c>
      <c r="CN525">
        <f>Model!CV686</f>
        <v>20.850999999999999</v>
      </c>
      <c r="CO525">
        <f>Model!CW686</f>
        <v>15.571999999999999</v>
      </c>
      <c r="CP525">
        <f>Model!CX686</f>
        <v>5.14</v>
      </c>
      <c r="CQ525">
        <f>Model!CY686</f>
        <v>0</v>
      </c>
      <c r="CR525">
        <f>Model!DG686</f>
        <v>0</v>
      </c>
      <c r="CS525">
        <f>Model!DH686</f>
        <v>0</v>
      </c>
      <c r="CT525">
        <f>Model!DI686</f>
        <v>0</v>
      </c>
      <c r="CU525">
        <f>Model!DJ686</f>
        <v>0</v>
      </c>
    </row>
    <row r="526" spans="1:99">
      <c r="A526" t="str">
        <f>Model!I687</f>
        <v>Payment of Stock Issuance Costs</v>
      </c>
      <c r="B526">
        <f>Model!J687</f>
        <v>0</v>
      </c>
      <c r="C526">
        <f>Model!K687</f>
        <v>0</v>
      </c>
      <c r="D526">
        <f>Model!L687</f>
        <v>0</v>
      </c>
      <c r="E526">
        <f>Model!M687</f>
        <v>0</v>
      </c>
      <c r="F526">
        <f>Model!N687</f>
        <v>0</v>
      </c>
      <c r="G526">
        <f>Model!O687</f>
        <v>0</v>
      </c>
      <c r="H526">
        <f>Model!P687</f>
        <v>0</v>
      </c>
      <c r="I526">
        <f>Model!Q687</f>
        <v>0</v>
      </c>
      <c r="J526">
        <f>Model!R687</f>
        <v>0</v>
      </c>
      <c r="K526">
        <f>Model!S687</f>
        <v>0</v>
      </c>
      <c r="L526">
        <f>Model!T687</f>
        <v>0</v>
      </c>
      <c r="M526">
        <f>Model!U687</f>
        <v>0</v>
      </c>
      <c r="N526">
        <f>Model!V687</f>
        <v>0</v>
      </c>
      <c r="O526">
        <f>Model!W687</f>
        <v>0</v>
      </c>
      <c r="P526">
        <f>Model!X687</f>
        <v>0</v>
      </c>
      <c r="Q526">
        <f>Model!Y687</f>
        <v>0</v>
      </c>
      <c r="R526">
        <f>Model!Z687</f>
        <v>0</v>
      </c>
      <c r="S526">
        <f>Model!AA687</f>
        <v>0</v>
      </c>
      <c r="T526">
        <f>Model!AB687</f>
        <v>0</v>
      </c>
      <c r="U526">
        <f>Model!AC687</f>
        <v>0</v>
      </c>
      <c r="V526">
        <f>Model!AD687</f>
        <v>0</v>
      </c>
      <c r="W526">
        <f>Model!AE687</f>
        <v>0</v>
      </c>
      <c r="X526">
        <f>Model!AF687</f>
        <v>0</v>
      </c>
      <c r="Y526">
        <f>Model!AG687</f>
        <v>0</v>
      </c>
      <c r="Z526">
        <f>Model!AH687</f>
        <v>0</v>
      </c>
      <c r="AA526">
        <f>Model!AI687</f>
        <v>0</v>
      </c>
      <c r="AB526">
        <f>Model!AJ687</f>
        <v>0</v>
      </c>
      <c r="AC526">
        <f>Model!AK687</f>
        <v>0</v>
      </c>
      <c r="AD526">
        <f>Model!AL687</f>
        <v>0</v>
      </c>
      <c r="AE526">
        <f>Model!AM687</f>
        <v>0</v>
      </c>
      <c r="AF526">
        <f>Model!AN687</f>
        <v>0</v>
      </c>
      <c r="AG526">
        <f>Model!AO687</f>
        <v>0</v>
      </c>
      <c r="AH526">
        <f>Model!AP687</f>
        <v>0</v>
      </c>
      <c r="AI526">
        <f>Model!AQ687</f>
        <v>0</v>
      </c>
      <c r="AJ526">
        <f>Model!AR687</f>
        <v>0</v>
      </c>
      <c r="AK526">
        <f>Model!AS687</f>
        <v>0</v>
      </c>
      <c r="AL526">
        <f>Model!AT687</f>
        <v>0</v>
      </c>
      <c r="AM526">
        <f>Model!AU687</f>
        <v>0</v>
      </c>
      <c r="AN526">
        <f>Model!AV687</f>
        <v>0</v>
      </c>
      <c r="AO526">
        <f>Model!AW687</f>
        <v>0</v>
      </c>
      <c r="AP526">
        <f>Model!AX687</f>
        <v>0</v>
      </c>
      <c r="AQ526">
        <f>Model!AY687</f>
        <v>0</v>
      </c>
      <c r="AR526">
        <f>Model!AZ687</f>
        <v>0</v>
      </c>
      <c r="AS526">
        <f>Model!BA687</f>
        <v>0</v>
      </c>
      <c r="AT526">
        <f>Model!BB687</f>
        <v>0</v>
      </c>
      <c r="AU526">
        <f>Model!BC687</f>
        <v>0</v>
      </c>
      <c r="AV526">
        <f>Model!BD687</f>
        <v>0</v>
      </c>
      <c r="AW526">
        <f>Model!BE687</f>
        <v>0</v>
      </c>
      <c r="AX526">
        <f>Model!BF687</f>
        <v>0</v>
      </c>
      <c r="AY526">
        <f>Model!BG687</f>
        <v>0</v>
      </c>
      <c r="AZ526">
        <f>Model!BH687</f>
        <v>0</v>
      </c>
      <c r="BA526">
        <f>Model!BI687</f>
        <v>0</v>
      </c>
      <c r="BB526">
        <f>Model!BJ687</f>
        <v>0</v>
      </c>
      <c r="BC526">
        <f>Model!BK687</f>
        <v>-1.1910000000000001</v>
      </c>
      <c r="BD526">
        <f>Model!BL687</f>
        <v>0</v>
      </c>
      <c r="BE526">
        <f>Model!BM687</f>
        <v>0</v>
      </c>
      <c r="BF526">
        <f>Model!BN687</f>
        <v>0</v>
      </c>
      <c r="BG526">
        <f>Model!BO687</f>
        <v>0</v>
      </c>
      <c r="BH526">
        <f>Model!BP687</f>
        <v>0</v>
      </c>
      <c r="BI526">
        <f>Model!BQ687</f>
        <v>0</v>
      </c>
      <c r="BJ526">
        <f>Model!BR687</f>
        <v>0</v>
      </c>
      <c r="BK526">
        <f>Model!BS687</f>
        <v>0</v>
      </c>
      <c r="BL526">
        <f>Model!BT687</f>
        <v>0</v>
      </c>
      <c r="BM526">
        <f>Model!BU687</f>
        <v>0</v>
      </c>
      <c r="BN526">
        <f>Model!BV687</f>
        <v>0</v>
      </c>
      <c r="BO526">
        <f>Model!BW687</f>
        <v>0</v>
      </c>
      <c r="BP526">
        <f>Model!BX687</f>
        <v>0</v>
      </c>
      <c r="BQ526">
        <f>Model!BY687</f>
        <v>0</v>
      </c>
      <c r="BR526">
        <f>Model!BZ687</f>
        <v>0</v>
      </c>
      <c r="BS526">
        <f>Model!CA687</f>
        <v>0</v>
      </c>
      <c r="BT526">
        <f>Model!CB687</f>
        <v>0</v>
      </c>
      <c r="BU526">
        <f>Model!CC687</f>
        <v>0</v>
      </c>
      <c r="BV526">
        <f>Model!CD687</f>
        <v>0</v>
      </c>
      <c r="BW526">
        <f>Model!CE687</f>
        <v>0</v>
      </c>
      <c r="BX526">
        <f>Model!CF687</f>
        <v>0</v>
      </c>
      <c r="BY526">
        <f>Model!CG687</f>
        <v>0</v>
      </c>
      <c r="BZ526">
        <f>Model!CH687</f>
        <v>0</v>
      </c>
      <c r="CA526">
        <f>Model!CI687</f>
        <v>0</v>
      </c>
      <c r="CB526">
        <f>Model!CJ687</f>
        <v>0</v>
      </c>
      <c r="CC526">
        <f>Model!CK687</f>
        <v>0</v>
      </c>
      <c r="CD526">
        <f>Model!CL687</f>
        <v>0</v>
      </c>
      <c r="CE526">
        <f>Model!CM687</f>
        <v>0</v>
      </c>
      <c r="CF526">
        <f>Model!CN687</f>
        <v>0</v>
      </c>
      <c r="CG526">
        <f>Model!CO687</f>
        <v>0</v>
      </c>
      <c r="CH526">
        <f>Model!CP687</f>
        <v>0</v>
      </c>
      <c r="CI526">
        <f>Model!CQ687</f>
        <v>0</v>
      </c>
      <c r="CJ526">
        <f>Model!CR687</f>
        <v>0</v>
      </c>
      <c r="CK526">
        <f>Model!CS687</f>
        <v>0</v>
      </c>
      <c r="CL526">
        <f>Model!CT687</f>
        <v>-1.1910000000000001</v>
      </c>
      <c r="CM526">
        <f>Model!CU687</f>
        <v>0</v>
      </c>
      <c r="CN526">
        <f>Model!CV687</f>
        <v>0</v>
      </c>
      <c r="CO526">
        <f>Model!CW687</f>
        <v>0</v>
      </c>
      <c r="CP526">
        <f>Model!CX687</f>
        <v>0</v>
      </c>
      <c r="CQ526">
        <f>Model!CY687</f>
        <v>0</v>
      </c>
      <c r="CR526">
        <f>Model!DG687</f>
        <v>0</v>
      </c>
      <c r="CS526">
        <f>Model!DH687</f>
        <v>0</v>
      </c>
      <c r="CT526">
        <f>Model!DI687</f>
        <v>0</v>
      </c>
      <c r="CU526">
        <f>Model!DJ687</f>
        <v>0</v>
      </c>
    </row>
    <row r="527" spans="1:99">
      <c r="A527" t="str">
        <f>Model!I688</f>
        <v>Excess Tax Benefit on Stock-based Comp</v>
      </c>
      <c r="B527">
        <f>Model!J688</f>
        <v>0</v>
      </c>
      <c r="C527">
        <f>Model!K688</f>
        <v>0</v>
      </c>
      <c r="D527">
        <f>Model!L688</f>
        <v>0</v>
      </c>
      <c r="E527">
        <f>Model!M688</f>
        <v>0</v>
      </c>
      <c r="F527">
        <f>Model!N688</f>
        <v>0</v>
      </c>
      <c r="G527">
        <f>Model!O688</f>
        <v>0</v>
      </c>
      <c r="H527">
        <f>Model!P688</f>
        <v>0</v>
      </c>
      <c r="I527">
        <f>Model!Q688</f>
        <v>0</v>
      </c>
      <c r="J527">
        <f>Model!R688</f>
        <v>0</v>
      </c>
      <c r="K527">
        <f>Model!S688</f>
        <v>0</v>
      </c>
      <c r="L527">
        <f>Model!T688</f>
        <v>0</v>
      </c>
      <c r="M527">
        <f>Model!U688</f>
        <v>0</v>
      </c>
      <c r="N527">
        <f>Model!V688</f>
        <v>0</v>
      </c>
      <c r="O527">
        <f>Model!W688</f>
        <v>0</v>
      </c>
      <c r="P527">
        <f>Model!X688</f>
        <v>0</v>
      </c>
      <c r="Q527">
        <f>Model!Y688</f>
        <v>0</v>
      </c>
      <c r="R527">
        <f>Model!Z688</f>
        <v>0</v>
      </c>
      <c r="S527">
        <f>Model!AA688</f>
        <v>0</v>
      </c>
      <c r="T527">
        <f>Model!AB688</f>
        <v>0</v>
      </c>
      <c r="U527">
        <f>Model!AC688</f>
        <v>0</v>
      </c>
      <c r="V527">
        <f>Model!AD688</f>
        <v>0</v>
      </c>
      <c r="W527">
        <f>Model!AE688</f>
        <v>0</v>
      </c>
      <c r="X527">
        <f>Model!AF688</f>
        <v>0</v>
      </c>
      <c r="Y527">
        <f>Model!AG688</f>
        <v>0</v>
      </c>
      <c r="Z527">
        <f>Model!AH688</f>
        <v>0</v>
      </c>
      <c r="AA527">
        <f>Model!AI688</f>
        <v>0</v>
      </c>
      <c r="AB527">
        <f>Model!AJ688</f>
        <v>0</v>
      </c>
      <c r="AC527">
        <f>Model!AK688</f>
        <v>0</v>
      </c>
      <c r="AD527">
        <f>Model!AL688</f>
        <v>0</v>
      </c>
      <c r="AE527">
        <f>Model!AM688</f>
        <v>0</v>
      </c>
      <c r="AF527">
        <f>Model!AN688</f>
        <v>0</v>
      </c>
      <c r="AG527">
        <f>Model!AO688</f>
        <v>0</v>
      </c>
      <c r="AH527">
        <f>Model!AP688</f>
        <v>0</v>
      </c>
      <c r="AI527">
        <f>Model!AQ688</f>
        <v>0</v>
      </c>
      <c r="AJ527">
        <f>Model!AR688</f>
        <v>0</v>
      </c>
      <c r="AK527">
        <f>Model!AS688</f>
        <v>0</v>
      </c>
      <c r="AL527">
        <f>Model!AT688</f>
        <v>0</v>
      </c>
      <c r="AM527">
        <f>Model!AU688</f>
        <v>0</v>
      </c>
      <c r="AN527">
        <f>Model!AV688</f>
        <v>0</v>
      </c>
      <c r="AO527">
        <f>Model!AW688</f>
        <v>0</v>
      </c>
      <c r="AP527">
        <f>Model!AX688</f>
        <v>0</v>
      </c>
      <c r="AQ527">
        <f>Model!AY688</f>
        <v>0</v>
      </c>
      <c r="AR527">
        <f>Model!AZ688</f>
        <v>0</v>
      </c>
      <c r="AS527">
        <f>Model!BA688</f>
        <v>9.52</v>
      </c>
      <c r="AT527">
        <f>Model!BB688</f>
        <v>2.6530000000000005</v>
      </c>
      <c r="AU527">
        <f>Model!BC688</f>
        <v>2.8230000000000004</v>
      </c>
      <c r="AV527">
        <f>Model!BD688</f>
        <v>6.0449999999999999</v>
      </c>
      <c r="AW527">
        <f>Model!BE688</f>
        <v>4.04</v>
      </c>
      <c r="AX527">
        <f>Model!BF688</f>
        <v>8.472999999999999</v>
      </c>
      <c r="AY527">
        <f>Model!BG688</f>
        <v>0.39800000000000058</v>
      </c>
      <c r="AZ527">
        <f>Model!BH688</f>
        <v>-7.7219999999999995</v>
      </c>
      <c r="BA527">
        <f>Model!BI688</f>
        <v>4.4429999999999996</v>
      </c>
      <c r="BB527">
        <f>Model!BJ688</f>
        <v>13.324</v>
      </c>
      <c r="BC527">
        <f>Model!BK688</f>
        <v>-4.4489999999999998</v>
      </c>
      <c r="BD527">
        <f>Model!BL688</f>
        <v>4.3679999999999986</v>
      </c>
      <c r="BE527">
        <f>Model!BM688</f>
        <v>5.4989999999999997</v>
      </c>
      <c r="BF527">
        <f>Model!BN688</f>
        <v>6.7229999999999999</v>
      </c>
      <c r="BG527">
        <f>Model!BO688</f>
        <v>1.9169999999999998</v>
      </c>
      <c r="BH527">
        <f>Model!BP688</f>
        <v>9.2270000000000003</v>
      </c>
      <c r="BI527">
        <f>Model!BQ688</f>
        <v>49.537999999999997</v>
      </c>
      <c r="BJ527">
        <f>Model!BR688</f>
        <v>18.703000000000003</v>
      </c>
      <c r="BK527">
        <f>Model!BS688</f>
        <v>22.694000000000003</v>
      </c>
      <c r="BL527">
        <f>Model!BT688</f>
        <v>10.572999999999993</v>
      </c>
      <c r="BM527">
        <f>Model!BU688</f>
        <v>18.073</v>
      </c>
      <c r="BN527">
        <f>Model!BV688</f>
        <v>43.396999999999998</v>
      </c>
      <c r="BO527">
        <f>Model!BW688</f>
        <v>10.646000000000001</v>
      </c>
      <c r="BP527">
        <f>Model!BX688</f>
        <v>-11.130000000000003</v>
      </c>
      <c r="BQ527">
        <f>Model!BY688</f>
        <v>0</v>
      </c>
      <c r="BR527">
        <f>Model!BZ688</f>
        <v>0</v>
      </c>
      <c r="BS527">
        <f>Model!CA688</f>
        <v>0</v>
      </c>
      <c r="BT527">
        <f>Model!CB688</f>
        <v>0</v>
      </c>
      <c r="BU527">
        <f>Model!CC688</f>
        <v>0</v>
      </c>
      <c r="BV527">
        <f>Model!CD688</f>
        <v>0</v>
      </c>
      <c r="BW527">
        <f>Model!CE688</f>
        <v>0</v>
      </c>
      <c r="BX527">
        <f>Model!CF688</f>
        <v>0</v>
      </c>
      <c r="BY527">
        <f>Model!CG688</f>
        <v>0</v>
      </c>
      <c r="BZ527">
        <f>Model!CH688</f>
        <v>0</v>
      </c>
      <c r="CA527">
        <f>Model!CI688</f>
        <v>0</v>
      </c>
      <c r="CB527">
        <f>Model!CJ688</f>
        <v>0</v>
      </c>
      <c r="CC527">
        <f>Model!CK688</f>
        <v>0</v>
      </c>
      <c r="CD527">
        <f>Model!CL688</f>
        <v>0</v>
      </c>
      <c r="CE527">
        <f>Model!CM688</f>
        <v>0</v>
      </c>
      <c r="CF527">
        <f>Model!CN688</f>
        <v>0</v>
      </c>
      <c r="CG527">
        <f>Model!CO688</f>
        <v>0</v>
      </c>
      <c r="CH527">
        <f>Model!CP688</f>
        <v>0</v>
      </c>
      <c r="CI527">
        <f>Model!CQ688</f>
        <v>3.0910000000000002</v>
      </c>
      <c r="CJ527">
        <f>Model!CR688</f>
        <v>21.041</v>
      </c>
      <c r="CK527">
        <f>Model!CS688</f>
        <v>5.1889999999999983</v>
      </c>
      <c r="CL527">
        <f>Model!CT688</f>
        <v>17.686</v>
      </c>
      <c r="CM527">
        <f>Model!CU688</f>
        <v>23.366</v>
      </c>
      <c r="CN527">
        <f>Model!CV688</f>
        <v>101.508</v>
      </c>
      <c r="CO527">
        <f>Model!CW688</f>
        <v>60.985999999999997</v>
      </c>
      <c r="CP527">
        <f>Model!CX688</f>
        <v>0</v>
      </c>
      <c r="CQ527">
        <f>Model!CY688</f>
        <v>0</v>
      </c>
      <c r="CR527">
        <f>Model!DG688</f>
        <v>0</v>
      </c>
      <c r="CS527">
        <f>Model!DH688</f>
        <v>0</v>
      </c>
      <c r="CT527">
        <f>Model!DI688</f>
        <v>0</v>
      </c>
      <c r="CU527">
        <f>Model!DJ688</f>
        <v>0</v>
      </c>
    </row>
    <row r="528" spans="1:99">
      <c r="A528" t="str">
        <f>Model!I689</f>
        <v>Other</v>
      </c>
      <c r="B528">
        <f>Model!J689</f>
        <v>0</v>
      </c>
      <c r="C528">
        <f>Model!K689</f>
        <v>0</v>
      </c>
      <c r="D528">
        <f>Model!L689</f>
        <v>0</v>
      </c>
      <c r="E528">
        <f>Model!M689</f>
        <v>0</v>
      </c>
      <c r="F528">
        <f>Model!N689</f>
        <v>0</v>
      </c>
      <c r="G528">
        <f>Model!O689</f>
        <v>0</v>
      </c>
      <c r="H528">
        <f>Model!P689</f>
        <v>0</v>
      </c>
      <c r="I528">
        <f>Model!Q689</f>
        <v>0</v>
      </c>
      <c r="J528">
        <f>Model!R689</f>
        <v>0</v>
      </c>
      <c r="K528">
        <f>Model!S689</f>
        <v>0</v>
      </c>
      <c r="L528">
        <f>Model!T689</f>
        <v>0</v>
      </c>
      <c r="M528">
        <f>Model!U689</f>
        <v>0</v>
      </c>
      <c r="N528">
        <f>Model!V689</f>
        <v>0</v>
      </c>
      <c r="O528">
        <f>Model!W689</f>
        <v>0</v>
      </c>
      <c r="P528">
        <f>Model!X689</f>
        <v>0</v>
      </c>
      <c r="Q528">
        <f>Model!Y689</f>
        <v>0</v>
      </c>
      <c r="R528">
        <f>Model!Z689</f>
        <v>0</v>
      </c>
      <c r="S528">
        <f>Model!AA689</f>
        <v>0</v>
      </c>
      <c r="T528">
        <f>Model!AB689</f>
        <v>0</v>
      </c>
      <c r="U528">
        <f>Model!AC689</f>
        <v>0</v>
      </c>
      <c r="V528">
        <f>Model!AD689</f>
        <v>0</v>
      </c>
      <c r="W528">
        <f>Model!AE689</f>
        <v>0</v>
      </c>
      <c r="X528">
        <f>Model!AF689</f>
        <v>0</v>
      </c>
      <c r="Y528">
        <f>Model!AG689</f>
        <v>0</v>
      </c>
      <c r="Z528">
        <f>Model!AH689</f>
        <v>0</v>
      </c>
      <c r="AA528">
        <f>Model!AI689</f>
        <v>0</v>
      </c>
      <c r="AB528">
        <f>Model!AJ689</f>
        <v>0</v>
      </c>
      <c r="AC528">
        <f>Model!AK689</f>
        <v>0</v>
      </c>
      <c r="AD528">
        <f>Model!AL689</f>
        <v>0</v>
      </c>
      <c r="AE528">
        <f>Model!AM689</f>
        <v>0</v>
      </c>
      <c r="AF528">
        <f>Model!AN689</f>
        <v>0</v>
      </c>
      <c r="AG528">
        <f>Model!AO689</f>
        <v>0</v>
      </c>
      <c r="AH528">
        <f>Model!AP689</f>
        <v>0</v>
      </c>
      <c r="AI528">
        <f>Model!AQ689</f>
        <v>0</v>
      </c>
      <c r="AJ528">
        <f>Model!AR689</f>
        <v>0</v>
      </c>
      <c r="AK528">
        <f>Model!AS689</f>
        <v>0</v>
      </c>
      <c r="AL528">
        <f>Model!AT689</f>
        <v>0</v>
      </c>
      <c r="AM528">
        <f>Model!AU689</f>
        <v>0</v>
      </c>
      <c r="AN528">
        <f>Model!AV689</f>
        <v>0</v>
      </c>
      <c r="AO528">
        <f>Model!AW689</f>
        <v>0</v>
      </c>
      <c r="AP528">
        <f>Model!AX689</f>
        <v>0</v>
      </c>
      <c r="AQ528">
        <f>Model!AY689</f>
        <v>0</v>
      </c>
      <c r="AR528">
        <f>Model!AZ689</f>
        <v>0</v>
      </c>
      <c r="AS528">
        <f>Model!BA689</f>
        <v>0</v>
      </c>
      <c r="AT528">
        <f>Model!BB689</f>
        <v>-12.986000000000001</v>
      </c>
      <c r="AU528">
        <f>Model!BC689</f>
        <v>0</v>
      </c>
      <c r="AV528">
        <f>Model!BD689</f>
        <v>0</v>
      </c>
      <c r="AW528">
        <f>Model!BE689</f>
        <v>0</v>
      </c>
      <c r="AX528">
        <f>Model!BF689</f>
        <v>-61.079000000000001</v>
      </c>
      <c r="AY528">
        <f>Model!BG689</f>
        <v>0</v>
      </c>
      <c r="AZ528">
        <f>Model!BH689</f>
        <v>0</v>
      </c>
      <c r="BA528">
        <f>Model!BI689</f>
        <v>0</v>
      </c>
      <c r="BB528">
        <f>Model!BJ689</f>
        <v>-193.721</v>
      </c>
      <c r="BC528">
        <f>Model!BK689</f>
        <v>1.1910000000000025</v>
      </c>
      <c r="BD528">
        <f>Model!BL689</f>
        <v>1.9000000000005457E-2</v>
      </c>
      <c r="BE528">
        <f>Model!BM689</f>
        <v>0</v>
      </c>
      <c r="BF528">
        <f>Model!BN689</f>
        <v>0</v>
      </c>
      <c r="BG528">
        <f>Model!BO689</f>
        <v>0</v>
      </c>
      <c r="BH528">
        <f>Model!BP689</f>
        <v>0</v>
      </c>
      <c r="BI528">
        <f>Model!BQ689</f>
        <v>0</v>
      </c>
      <c r="BJ528">
        <f>Model!BR689</f>
        <v>0</v>
      </c>
      <c r="BK528">
        <f>Model!BS689</f>
        <v>-10.7</v>
      </c>
      <c r="BL528">
        <f>Model!BT689</f>
        <v>0</v>
      </c>
      <c r="BM528">
        <f>Model!BU689</f>
        <v>0</v>
      </c>
      <c r="BN528">
        <f>Model!BV689</f>
        <v>0</v>
      </c>
      <c r="BO528">
        <f>Model!BW689</f>
        <v>0</v>
      </c>
      <c r="BP528">
        <f>Model!BX689</f>
        <v>0</v>
      </c>
      <c r="BQ528">
        <f>Model!BY689</f>
        <v>0</v>
      </c>
      <c r="BR528">
        <f>Model!BZ689</f>
        <v>0</v>
      </c>
      <c r="BS528">
        <f>Model!CA689</f>
        <v>0</v>
      </c>
      <c r="BT528">
        <f>Model!CB689</f>
        <v>-15.118</v>
      </c>
      <c r="BU528">
        <f>Model!CC689</f>
        <v>0</v>
      </c>
      <c r="BV528">
        <f>Model!CD689</f>
        <v>0</v>
      </c>
      <c r="BW528">
        <f>Model!CE689</f>
        <v>0</v>
      </c>
      <c r="BX528">
        <f>Model!CF689</f>
        <v>0</v>
      </c>
      <c r="BY528">
        <f>Model!CG689</f>
        <v>0</v>
      </c>
      <c r="BZ528">
        <f>Model!CH689</f>
        <v>0</v>
      </c>
      <c r="CA528">
        <f>Model!CI689</f>
        <v>0</v>
      </c>
      <c r="CB528">
        <f>Model!CJ689</f>
        <v>0</v>
      </c>
      <c r="CC528">
        <f>Model!CK689</f>
        <v>0</v>
      </c>
      <c r="CD528">
        <f>Model!CL689</f>
        <v>0</v>
      </c>
      <c r="CE528">
        <f>Model!CM689</f>
        <v>0</v>
      </c>
      <c r="CF528">
        <f>Model!CN689</f>
        <v>0</v>
      </c>
      <c r="CG528">
        <f>Model!CO689</f>
        <v>0</v>
      </c>
      <c r="CH528">
        <f>Model!CP689</f>
        <v>0</v>
      </c>
      <c r="CI528">
        <f>Model!CQ689</f>
        <v>47.295000000000002</v>
      </c>
      <c r="CJ528">
        <f>Model!CR689</f>
        <v>-12.986000000000001</v>
      </c>
      <c r="CK528">
        <f>Model!CS689</f>
        <v>-61.079000000000001</v>
      </c>
      <c r="CL528">
        <f>Model!CT689</f>
        <v>-192.511</v>
      </c>
      <c r="CM528">
        <f>Model!CU689</f>
        <v>0</v>
      </c>
      <c r="CN528">
        <f>Model!CV689</f>
        <v>-10.7</v>
      </c>
      <c r="CO528">
        <f>Model!CW689</f>
        <v>0</v>
      </c>
      <c r="CP528">
        <f>Model!CX689</f>
        <v>-15.118</v>
      </c>
      <c r="CQ528">
        <f>Model!CY689</f>
        <v>0</v>
      </c>
      <c r="CR528">
        <f>Model!DG689</f>
        <v>0</v>
      </c>
      <c r="CS528">
        <f>Model!DH689</f>
        <v>0</v>
      </c>
      <c r="CT528">
        <f>Model!DI689</f>
        <v>0</v>
      </c>
      <c r="CU528">
        <f>Model!DJ689</f>
        <v>0</v>
      </c>
    </row>
    <row r="529" spans="1:99">
      <c r="A529" t="str">
        <f>Model!I690</f>
        <v>Total Cash Flow from Financing</v>
      </c>
      <c r="B529">
        <f>Model!J690</f>
        <v>0</v>
      </c>
      <c r="C529">
        <f>Model!K690</f>
        <v>0</v>
      </c>
      <c r="D529">
        <f>Model!L690</f>
        <v>0</v>
      </c>
      <c r="E529">
        <f>Model!M690</f>
        <v>0</v>
      </c>
      <c r="F529">
        <f>Model!N690</f>
        <v>0</v>
      </c>
      <c r="G529">
        <f>Model!O690</f>
        <v>0</v>
      </c>
      <c r="H529">
        <f>Model!P690</f>
        <v>0</v>
      </c>
      <c r="I529">
        <f>Model!Q690</f>
        <v>0</v>
      </c>
      <c r="J529">
        <f>Model!R690</f>
        <v>0</v>
      </c>
      <c r="K529">
        <f>Model!S690</f>
        <v>0</v>
      </c>
      <c r="L529">
        <f>Model!T690</f>
        <v>0</v>
      </c>
      <c r="M529">
        <f>Model!U690</f>
        <v>0</v>
      </c>
      <c r="N529">
        <f>Model!V690</f>
        <v>0</v>
      </c>
      <c r="O529">
        <f>Model!W690</f>
        <v>0</v>
      </c>
      <c r="P529">
        <f>Model!X690</f>
        <v>0</v>
      </c>
      <c r="Q529">
        <f>Model!Y690</f>
        <v>0</v>
      </c>
      <c r="R529">
        <f>Model!Z690</f>
        <v>0</v>
      </c>
      <c r="S529">
        <f>Model!AA690</f>
        <v>0</v>
      </c>
      <c r="T529">
        <f>Model!AB690</f>
        <v>0</v>
      </c>
      <c r="U529">
        <f>Model!AC690</f>
        <v>0</v>
      </c>
      <c r="V529">
        <f>Model!AD690</f>
        <v>0</v>
      </c>
      <c r="W529">
        <f>Model!AE690</f>
        <v>0</v>
      </c>
      <c r="X529">
        <f>Model!AF690</f>
        <v>0</v>
      </c>
      <c r="Y529">
        <f>Model!AG690</f>
        <v>0</v>
      </c>
      <c r="Z529">
        <f>Model!AH690</f>
        <v>0</v>
      </c>
      <c r="AA529">
        <f>Model!AI690</f>
        <v>0</v>
      </c>
      <c r="AB529">
        <f>Model!AJ690</f>
        <v>0</v>
      </c>
      <c r="AC529">
        <f>Model!AK690</f>
        <v>0</v>
      </c>
      <c r="AD529">
        <f>Model!AL690</f>
        <v>0</v>
      </c>
      <c r="AE529">
        <f>Model!AM690</f>
        <v>0</v>
      </c>
      <c r="AF529">
        <f>Model!AN690</f>
        <v>0</v>
      </c>
      <c r="AG529">
        <f>Model!AO690</f>
        <v>0</v>
      </c>
      <c r="AH529">
        <f>Model!AP690</f>
        <v>0</v>
      </c>
      <c r="AI529">
        <f>Model!AQ690</f>
        <v>0</v>
      </c>
      <c r="AJ529">
        <f>Model!AR690</f>
        <v>0</v>
      </c>
      <c r="AK529">
        <f>Model!AS690</f>
        <v>0</v>
      </c>
      <c r="AL529">
        <f>Model!AT690</f>
        <v>0</v>
      </c>
      <c r="AM529">
        <f>Model!AU690</f>
        <v>0</v>
      </c>
      <c r="AN529">
        <f>Model!AV690</f>
        <v>0</v>
      </c>
      <c r="AO529">
        <f>Model!AW690</f>
        <v>0</v>
      </c>
      <c r="AP529">
        <f>Model!AX690</f>
        <v>0</v>
      </c>
      <c r="AQ529">
        <f>Model!AY690</f>
        <v>0</v>
      </c>
      <c r="AR529">
        <f>Model!AZ690</f>
        <v>0</v>
      </c>
      <c r="AS529">
        <f>Model!BA690</f>
        <v>-147.19799999999998</v>
      </c>
      <c r="AT529">
        <f>Model!BB690</f>
        <v>-8.6490000000000027</v>
      </c>
      <c r="AU529">
        <f>Model!BC690</f>
        <v>-0.73399999999999688</v>
      </c>
      <c r="AV529">
        <f>Model!BD690</f>
        <v>5.5540000000000065</v>
      </c>
      <c r="AW529">
        <f>Model!BE690</f>
        <v>730.5329999999999</v>
      </c>
      <c r="AX529">
        <f>Model!BF690</f>
        <v>-52.995000000000012</v>
      </c>
      <c r="AY529">
        <f>Model!BG690</f>
        <v>0.63500000000001433</v>
      </c>
      <c r="AZ529">
        <f>Model!BH690</f>
        <v>-9.3180000000000227</v>
      </c>
      <c r="BA529">
        <f>Model!BI690</f>
        <v>-70.971999999999994</v>
      </c>
      <c r="BB529">
        <f>Model!BJ690</f>
        <v>524.51400000000001</v>
      </c>
      <c r="BC529">
        <f>Model!BK690</f>
        <v>-451.56100000000004</v>
      </c>
      <c r="BD529">
        <f>Model!BL690</f>
        <v>-405.4919999999999</v>
      </c>
      <c r="BE529">
        <f>Model!BM690</f>
        <v>-141.91699999999997</v>
      </c>
      <c r="BF529">
        <f>Model!BN690</f>
        <v>-51.330999999999996</v>
      </c>
      <c r="BG529">
        <f>Model!BO690</f>
        <v>2118.4160000000002</v>
      </c>
      <c r="BH529">
        <f>Model!BP690</f>
        <v>-496.17400000000015</v>
      </c>
      <c r="BI529">
        <f>Model!BQ690</f>
        <v>1214.248</v>
      </c>
      <c r="BJ529">
        <f>Model!BR690</f>
        <v>-660.71299999999997</v>
      </c>
      <c r="BK529">
        <f>Model!BS690</f>
        <v>-1262.73</v>
      </c>
      <c r="BL529">
        <f>Model!BT690</f>
        <v>-20.800999999999792</v>
      </c>
      <c r="BM529">
        <f>Model!BU690</f>
        <v>-133.97299999999998</v>
      </c>
      <c r="BN529">
        <f>Model!BV690</f>
        <v>674.7700000000001</v>
      </c>
      <c r="BO529">
        <f>Model!BW690</f>
        <v>-218.19099999999997</v>
      </c>
      <c r="BP529">
        <f>Model!BX690</f>
        <v>-264.86899999999997</v>
      </c>
      <c r="BQ529">
        <f>Model!BY690</f>
        <v>843.40000000000009</v>
      </c>
      <c r="BR529">
        <f>Model!BZ690</f>
        <v>-423.012</v>
      </c>
      <c r="BS529">
        <f>Model!CA690</f>
        <v>401.07199999999995</v>
      </c>
      <c r="BT529">
        <f>Model!CB690</f>
        <v>-900.12300000000005</v>
      </c>
      <c r="BU529">
        <f>Model!CC690</f>
        <v>-2039</v>
      </c>
      <c r="BV529">
        <f>Model!CD690</f>
        <v>-625</v>
      </c>
      <c r="BW529">
        <f>Model!CE690</f>
        <v>-625</v>
      </c>
      <c r="BX529">
        <f>Model!CF690</f>
        <v>-625</v>
      </c>
      <c r="BY529">
        <f>Model!CG690</f>
        <v>0</v>
      </c>
      <c r="BZ529">
        <f>Model!CH690</f>
        <v>0</v>
      </c>
      <c r="CA529">
        <f>Model!CI690</f>
        <v>0</v>
      </c>
      <c r="CB529">
        <f>Model!CJ690</f>
        <v>0</v>
      </c>
      <c r="CC529">
        <f>Model!CK690</f>
        <v>0</v>
      </c>
      <c r="CD529">
        <f>Model!CL690</f>
        <v>0</v>
      </c>
      <c r="CE529">
        <f>Model!CM690</f>
        <v>0</v>
      </c>
      <c r="CF529">
        <f>Model!CN690</f>
        <v>0</v>
      </c>
      <c r="CG529">
        <f>Model!CO690</f>
        <v>0</v>
      </c>
      <c r="CH529">
        <f>Model!CP690</f>
        <v>0</v>
      </c>
      <c r="CI529">
        <f>Model!CQ690</f>
        <v>212.95700000000005</v>
      </c>
      <c r="CJ529">
        <f>Model!CR690</f>
        <v>-151.02699999999999</v>
      </c>
      <c r="CK529">
        <f>Model!CS690</f>
        <v>668.8549999999999</v>
      </c>
      <c r="CL529">
        <f>Model!CT690</f>
        <v>-403.51099999999985</v>
      </c>
      <c r="CM529">
        <f>Model!CU690</f>
        <v>1428.9939999999999</v>
      </c>
      <c r="CN529">
        <f>Model!CV690</f>
        <v>-729.99599999999975</v>
      </c>
      <c r="CO529">
        <f>Model!CW690</f>
        <v>57.73700000000008</v>
      </c>
      <c r="CP529">
        <f>Model!CX690</f>
        <v>-78.663000000000167</v>
      </c>
      <c r="CQ529">
        <f>Model!CY690</f>
        <v>-3914</v>
      </c>
      <c r="CR529">
        <f>Model!DG690</f>
        <v>0</v>
      </c>
      <c r="CS529">
        <f>Model!DH690</f>
        <v>0</v>
      </c>
      <c r="CT529">
        <f>Model!DI690</f>
        <v>0</v>
      </c>
      <c r="CU529">
        <f>Model!DJ690</f>
        <v>0</v>
      </c>
    </row>
    <row r="530" spans="1:99">
      <c r="A530">
        <f>Model!I691</f>
        <v>0</v>
      </c>
      <c r="B530">
        <f>Model!J691</f>
        <v>0</v>
      </c>
      <c r="C530">
        <f>Model!K691</f>
        <v>0</v>
      </c>
      <c r="D530">
        <f>Model!L691</f>
        <v>0</v>
      </c>
      <c r="E530">
        <f>Model!M691</f>
        <v>0</v>
      </c>
      <c r="F530">
        <f>Model!N691</f>
        <v>0</v>
      </c>
      <c r="G530">
        <f>Model!O691</f>
        <v>0</v>
      </c>
      <c r="H530">
        <f>Model!P691</f>
        <v>0</v>
      </c>
      <c r="I530">
        <f>Model!Q691</f>
        <v>0</v>
      </c>
      <c r="J530">
        <f>Model!R691</f>
        <v>0</v>
      </c>
      <c r="K530">
        <f>Model!S691</f>
        <v>0</v>
      </c>
      <c r="L530">
        <f>Model!T691</f>
        <v>0</v>
      </c>
      <c r="M530">
        <f>Model!U691</f>
        <v>0</v>
      </c>
      <c r="N530">
        <f>Model!V691</f>
        <v>0</v>
      </c>
      <c r="O530">
        <f>Model!W691</f>
        <v>0</v>
      </c>
      <c r="P530">
        <f>Model!X691</f>
        <v>0</v>
      </c>
      <c r="Q530">
        <f>Model!Y691</f>
        <v>0</v>
      </c>
      <c r="R530">
        <f>Model!Z691</f>
        <v>0</v>
      </c>
      <c r="S530">
        <f>Model!AA691</f>
        <v>0</v>
      </c>
      <c r="T530">
        <f>Model!AB691</f>
        <v>0</v>
      </c>
      <c r="U530">
        <f>Model!AC691</f>
        <v>0</v>
      </c>
      <c r="V530">
        <f>Model!AD691</f>
        <v>0</v>
      </c>
      <c r="W530">
        <f>Model!AE691</f>
        <v>0</v>
      </c>
      <c r="X530">
        <f>Model!AF691</f>
        <v>0</v>
      </c>
      <c r="Y530">
        <f>Model!AG691</f>
        <v>0</v>
      </c>
      <c r="Z530">
        <f>Model!AH691</f>
        <v>0</v>
      </c>
      <c r="AA530">
        <f>Model!AI691</f>
        <v>0</v>
      </c>
      <c r="AB530">
        <f>Model!AJ691</f>
        <v>0</v>
      </c>
      <c r="AC530">
        <f>Model!AK691</f>
        <v>0</v>
      </c>
      <c r="AD530">
        <f>Model!AL691</f>
        <v>0</v>
      </c>
      <c r="AE530">
        <f>Model!AM691</f>
        <v>0</v>
      </c>
      <c r="AF530">
        <f>Model!AN691</f>
        <v>0</v>
      </c>
      <c r="AG530">
        <f>Model!AO691</f>
        <v>0</v>
      </c>
      <c r="AH530">
        <f>Model!AP691</f>
        <v>0</v>
      </c>
      <c r="AI530">
        <f>Model!AQ691</f>
        <v>0</v>
      </c>
      <c r="AJ530">
        <f>Model!AR691</f>
        <v>0</v>
      </c>
      <c r="AK530">
        <f>Model!AS691</f>
        <v>0</v>
      </c>
      <c r="AL530">
        <f>Model!AT691</f>
        <v>0</v>
      </c>
      <c r="AM530">
        <f>Model!AU691</f>
        <v>0</v>
      </c>
      <c r="AN530">
        <f>Model!AV691</f>
        <v>0</v>
      </c>
      <c r="AO530">
        <f>Model!AW691</f>
        <v>0</v>
      </c>
      <c r="AP530">
        <f>Model!AX691</f>
        <v>0</v>
      </c>
      <c r="AQ530">
        <f>Model!AY691</f>
        <v>0</v>
      </c>
      <c r="AR530">
        <f>Model!AZ691</f>
        <v>0</v>
      </c>
      <c r="AS530">
        <f>Model!BA691</f>
        <v>0</v>
      </c>
      <c r="AT530">
        <f>Model!BB691</f>
        <v>0</v>
      </c>
      <c r="AU530">
        <f>Model!BC691</f>
        <v>0</v>
      </c>
      <c r="AV530">
        <f>Model!BD691</f>
        <v>0</v>
      </c>
      <c r="AW530">
        <f>Model!BE691</f>
        <v>0</v>
      </c>
      <c r="AX530">
        <f>Model!BF691</f>
        <v>0</v>
      </c>
      <c r="AY530">
        <f>Model!BG691</f>
        <v>0</v>
      </c>
      <c r="AZ530">
        <f>Model!BH691</f>
        <v>0</v>
      </c>
      <c r="BA530">
        <f>Model!BI691</f>
        <v>0</v>
      </c>
      <c r="BB530">
        <f>Model!BJ691</f>
        <v>0</v>
      </c>
      <c r="BC530">
        <f>Model!BK691</f>
        <v>0</v>
      </c>
      <c r="BD530">
        <f>Model!BL691</f>
        <v>0</v>
      </c>
      <c r="BE530">
        <f>Model!BM691</f>
        <v>0</v>
      </c>
      <c r="BF530">
        <f>Model!BN691</f>
        <v>0</v>
      </c>
      <c r="BG530">
        <f>Model!BO691</f>
        <v>0</v>
      </c>
      <c r="BH530">
        <f>Model!BP691</f>
        <v>0</v>
      </c>
      <c r="BI530">
        <f>Model!BQ691</f>
        <v>0</v>
      </c>
      <c r="BJ530">
        <f>Model!BR691</f>
        <v>0</v>
      </c>
      <c r="BK530">
        <f>Model!BS691</f>
        <v>0</v>
      </c>
      <c r="BL530">
        <f>Model!BT691</f>
        <v>0</v>
      </c>
      <c r="BM530">
        <f>Model!BU691</f>
        <v>0</v>
      </c>
      <c r="BN530">
        <f>Model!BV691</f>
        <v>0</v>
      </c>
      <c r="BO530">
        <f>Model!BW691</f>
        <v>0</v>
      </c>
      <c r="BP530">
        <f>Model!BX691</f>
        <v>0</v>
      </c>
      <c r="BQ530">
        <f>Model!BY691</f>
        <v>0</v>
      </c>
      <c r="BR530">
        <f>Model!BZ691</f>
        <v>0</v>
      </c>
      <c r="BS530">
        <f>Model!CA691</f>
        <v>0</v>
      </c>
      <c r="BT530">
        <f>Model!CB691</f>
        <v>0</v>
      </c>
      <c r="BU530">
        <f>Model!CC691</f>
        <v>0</v>
      </c>
      <c r="BV530">
        <f>Model!CD691</f>
        <v>0</v>
      </c>
      <c r="BW530">
        <f>Model!CE691</f>
        <v>0</v>
      </c>
      <c r="BX530">
        <f>Model!CF691</f>
        <v>0</v>
      </c>
      <c r="BY530">
        <f>Model!CG691</f>
        <v>0</v>
      </c>
      <c r="BZ530">
        <f>Model!CH691</f>
        <v>0</v>
      </c>
      <c r="CA530">
        <f>Model!CI691</f>
        <v>0</v>
      </c>
      <c r="CB530">
        <f>Model!CJ691</f>
        <v>0</v>
      </c>
      <c r="CC530">
        <f>Model!CK691</f>
        <v>0</v>
      </c>
      <c r="CD530">
        <f>Model!CL691</f>
        <v>0</v>
      </c>
      <c r="CE530">
        <f>Model!CM691</f>
        <v>0</v>
      </c>
      <c r="CF530">
        <f>Model!CN691</f>
        <v>0</v>
      </c>
      <c r="CG530">
        <f>Model!CO691</f>
        <v>0</v>
      </c>
      <c r="CH530">
        <f>Model!CP691</f>
        <v>0</v>
      </c>
      <c r="CI530">
        <f>Model!CQ691</f>
        <v>0</v>
      </c>
      <c r="CJ530">
        <f>Model!CR691</f>
        <v>0</v>
      </c>
      <c r="CK530">
        <f>Model!CS691</f>
        <v>0</v>
      </c>
      <c r="CL530">
        <f>Model!CT691</f>
        <v>0</v>
      </c>
      <c r="CM530">
        <f>Model!CU691</f>
        <v>0</v>
      </c>
      <c r="CN530">
        <f>Model!CV691</f>
        <v>0</v>
      </c>
      <c r="CO530">
        <f>Model!CW691</f>
        <v>0</v>
      </c>
      <c r="CP530">
        <f>Model!CX691</f>
        <v>0</v>
      </c>
      <c r="CQ530">
        <f>Model!CY691</f>
        <v>0</v>
      </c>
      <c r="CR530">
        <f>Model!DG691</f>
        <v>0</v>
      </c>
      <c r="CS530">
        <f>Model!DH691</f>
        <v>0</v>
      </c>
      <c r="CT530">
        <f>Model!DI691</f>
        <v>0</v>
      </c>
      <c r="CU530">
        <f>Model!DJ691</f>
        <v>0</v>
      </c>
    </row>
    <row r="531" spans="1:99">
      <c r="A531" t="str">
        <f>Model!I692</f>
        <v>FX Impact on Cash</v>
      </c>
      <c r="B531">
        <f>Model!J692</f>
        <v>0</v>
      </c>
      <c r="C531">
        <f>Model!K692</f>
        <v>0</v>
      </c>
      <c r="D531">
        <f>Model!L692</f>
        <v>0</v>
      </c>
      <c r="E531">
        <f>Model!M692</f>
        <v>0</v>
      </c>
      <c r="F531">
        <f>Model!N692</f>
        <v>0</v>
      </c>
      <c r="G531">
        <f>Model!O692</f>
        <v>0</v>
      </c>
      <c r="H531">
        <f>Model!P692</f>
        <v>0</v>
      </c>
      <c r="I531">
        <f>Model!Q692</f>
        <v>0</v>
      </c>
      <c r="J531">
        <f>Model!R692</f>
        <v>0</v>
      </c>
      <c r="K531">
        <f>Model!S692</f>
        <v>0</v>
      </c>
      <c r="L531">
        <f>Model!T692</f>
        <v>0</v>
      </c>
      <c r="M531">
        <f>Model!U692</f>
        <v>0</v>
      </c>
      <c r="N531">
        <f>Model!V692</f>
        <v>0</v>
      </c>
      <c r="O531">
        <f>Model!W692</f>
        <v>0</v>
      </c>
      <c r="P531">
        <f>Model!X692</f>
        <v>0</v>
      </c>
      <c r="Q531">
        <f>Model!Y692</f>
        <v>0</v>
      </c>
      <c r="R531">
        <f>Model!Z692</f>
        <v>0</v>
      </c>
      <c r="S531">
        <f>Model!AA692</f>
        <v>0</v>
      </c>
      <c r="T531">
        <f>Model!AB692</f>
        <v>0</v>
      </c>
      <c r="U531">
        <f>Model!AC692</f>
        <v>0</v>
      </c>
      <c r="V531">
        <f>Model!AD692</f>
        <v>0</v>
      </c>
      <c r="W531">
        <f>Model!AE692</f>
        <v>0</v>
      </c>
      <c r="X531">
        <f>Model!AF692</f>
        <v>0</v>
      </c>
      <c r="Y531">
        <f>Model!AG692</f>
        <v>0</v>
      </c>
      <c r="Z531">
        <f>Model!AH692</f>
        <v>0</v>
      </c>
      <c r="AA531">
        <f>Model!AI692</f>
        <v>0</v>
      </c>
      <c r="AB531">
        <f>Model!AJ692</f>
        <v>0</v>
      </c>
      <c r="AC531">
        <f>Model!AK692</f>
        <v>0</v>
      </c>
      <c r="AD531">
        <f>Model!AL692</f>
        <v>0</v>
      </c>
      <c r="AE531">
        <f>Model!AM692</f>
        <v>0</v>
      </c>
      <c r="AF531">
        <f>Model!AN692</f>
        <v>0</v>
      </c>
      <c r="AG531">
        <f>Model!AO692</f>
        <v>0</v>
      </c>
      <c r="AH531">
        <f>Model!AP692</f>
        <v>0</v>
      </c>
      <c r="AI531">
        <f>Model!AQ692</f>
        <v>0</v>
      </c>
      <c r="AJ531">
        <f>Model!AR692</f>
        <v>0</v>
      </c>
      <c r="AK531">
        <f>Model!AS692</f>
        <v>0</v>
      </c>
      <c r="AL531">
        <f>Model!AT692</f>
        <v>0</v>
      </c>
      <c r="AM531">
        <f>Model!AU692</f>
        <v>0</v>
      </c>
      <c r="AN531">
        <f>Model!AV692</f>
        <v>0</v>
      </c>
      <c r="AO531">
        <f>Model!AW692</f>
        <v>0</v>
      </c>
      <c r="AP531">
        <f>Model!AX692</f>
        <v>0</v>
      </c>
      <c r="AQ531">
        <f>Model!AY692</f>
        <v>0</v>
      </c>
      <c r="AR531">
        <f>Model!AZ692</f>
        <v>0</v>
      </c>
      <c r="AS531">
        <f>Model!BA692</f>
        <v>8.0350000000000001</v>
      </c>
      <c r="AT531">
        <f>Model!BB692</f>
        <v>0.72199999999999953</v>
      </c>
      <c r="AU531">
        <f>Model!BC692</f>
        <v>-11.795</v>
      </c>
      <c r="AV531">
        <f>Model!BD692</f>
        <v>-9.11</v>
      </c>
      <c r="AW531">
        <f>Model!BE692</f>
        <v>17.827000000000002</v>
      </c>
      <c r="AX531">
        <f>Model!BF692</f>
        <v>-27.127000000000002</v>
      </c>
      <c r="AY531">
        <f>Model!BG692</f>
        <v>8.3829999999999991</v>
      </c>
      <c r="AZ531">
        <f>Model!BH692</f>
        <v>12.538</v>
      </c>
      <c r="BA531">
        <f>Model!BI692</f>
        <v>-21.282</v>
      </c>
      <c r="BB531">
        <f>Model!BJ692</f>
        <v>3.0730000000000004</v>
      </c>
      <c r="BC531">
        <f>Model!BK692</f>
        <v>30.402999999999999</v>
      </c>
      <c r="BD531">
        <f>Model!BL692</f>
        <v>5.7929999999999993</v>
      </c>
      <c r="BE531">
        <f>Model!BM692</f>
        <v>3.9239999999999999</v>
      </c>
      <c r="BF531">
        <f>Model!BN692</f>
        <v>0.93300000000000027</v>
      </c>
      <c r="BG531">
        <f>Model!BO692</f>
        <v>-53.002000000000002</v>
      </c>
      <c r="BH531">
        <f>Model!BP692</f>
        <v>-88.045000000000002</v>
      </c>
      <c r="BI531">
        <f>Model!BQ692</f>
        <v>-175.24799999999999</v>
      </c>
      <c r="BJ531">
        <f>Model!BR692</f>
        <v>30.567999999999984</v>
      </c>
      <c r="BK531">
        <f>Model!BS692</f>
        <v>-0.23799999999999955</v>
      </c>
      <c r="BL531">
        <f>Model!BT692</f>
        <v>-4.1850000000000023</v>
      </c>
      <c r="BM531">
        <f>Model!BU692</f>
        <v>22.271999999999998</v>
      </c>
      <c r="BN531">
        <f>Model!BV692</f>
        <v>-17.655999999999999</v>
      </c>
      <c r="BO531">
        <f>Model!BW692</f>
        <v>2.1700000000000017</v>
      </c>
      <c r="BP531">
        <f>Model!BX692</f>
        <v>-51.989000000000004</v>
      </c>
      <c r="BQ531">
        <f>Model!BY692</f>
        <v>21.736999999999998</v>
      </c>
      <c r="BR531">
        <f>Model!BZ692</f>
        <v>46.832999999999998</v>
      </c>
      <c r="BS531">
        <f>Model!CA692</f>
        <v>30.467000000000009</v>
      </c>
      <c r="BT531">
        <f>Model!CB692</f>
        <v>0.95899999999998542</v>
      </c>
      <c r="BU531">
        <f>Model!CC692</f>
        <v>0</v>
      </c>
      <c r="BV531">
        <f>Model!CD692</f>
        <v>0</v>
      </c>
      <c r="BW531">
        <f>Model!CE692</f>
        <v>0</v>
      </c>
      <c r="BX531">
        <f>Model!CF692</f>
        <v>0</v>
      </c>
      <c r="BY531">
        <f>Model!CG692</f>
        <v>0</v>
      </c>
      <c r="BZ531">
        <f>Model!CH692</f>
        <v>0</v>
      </c>
      <c r="CA531">
        <f>Model!CI692</f>
        <v>0</v>
      </c>
      <c r="CB531">
        <f>Model!CJ692</f>
        <v>0</v>
      </c>
      <c r="CC531">
        <f>Model!CK692</f>
        <v>0</v>
      </c>
      <c r="CD531">
        <f>Model!CL692</f>
        <v>0</v>
      </c>
      <c r="CE531">
        <f>Model!CM692</f>
        <v>0</v>
      </c>
      <c r="CF531">
        <f>Model!CN692</f>
        <v>0</v>
      </c>
      <c r="CG531">
        <f>Model!CO692</f>
        <v>0</v>
      </c>
      <c r="CH531">
        <f>Model!CP692</f>
        <v>0</v>
      </c>
      <c r="CI531">
        <f>Model!CQ692</f>
        <v>7.67</v>
      </c>
      <c r="CJ531">
        <f>Model!CR692</f>
        <v>-12.148</v>
      </c>
      <c r="CK531">
        <f>Model!CS692</f>
        <v>11.620999999999999</v>
      </c>
      <c r="CL531">
        <f>Model!CT692</f>
        <v>17.986999999999998</v>
      </c>
      <c r="CM531">
        <f>Model!CU692</f>
        <v>-136.19</v>
      </c>
      <c r="CN531">
        <f>Model!CV692</f>
        <v>-149.10300000000001</v>
      </c>
      <c r="CO531">
        <f>Model!CW692</f>
        <v>-45.203000000000003</v>
      </c>
      <c r="CP531">
        <f>Model!CX692</f>
        <v>99.995999999999995</v>
      </c>
      <c r="CQ531">
        <f>Model!CY692</f>
        <v>0</v>
      </c>
      <c r="CR531">
        <f>Model!DG692</f>
        <v>0</v>
      </c>
      <c r="CS531">
        <f>Model!DH692</f>
        <v>0</v>
      </c>
      <c r="CT531">
        <f>Model!DI692</f>
        <v>0</v>
      </c>
      <c r="CU531">
        <f>Model!DJ692</f>
        <v>0</v>
      </c>
    </row>
    <row r="532" spans="1:99">
      <c r="A532">
        <f>Model!I695</f>
        <v>0</v>
      </c>
      <c r="B532">
        <f>Model!J695</f>
        <v>0</v>
      </c>
      <c r="C532">
        <f>Model!K695</f>
        <v>0</v>
      </c>
      <c r="D532">
        <f>Model!L695</f>
        <v>0</v>
      </c>
      <c r="E532">
        <f>Model!M695</f>
        <v>0</v>
      </c>
      <c r="F532">
        <f>Model!N695</f>
        <v>0</v>
      </c>
      <c r="G532">
        <f>Model!O695</f>
        <v>0</v>
      </c>
      <c r="H532">
        <f>Model!P695</f>
        <v>0</v>
      </c>
      <c r="I532">
        <f>Model!Q695</f>
        <v>0</v>
      </c>
      <c r="J532">
        <f>Model!R695</f>
        <v>0</v>
      </c>
      <c r="K532">
        <f>Model!S695</f>
        <v>0</v>
      </c>
      <c r="L532">
        <f>Model!T695</f>
        <v>0</v>
      </c>
      <c r="M532">
        <f>Model!U695</f>
        <v>0</v>
      </c>
      <c r="N532">
        <f>Model!V695</f>
        <v>0</v>
      </c>
      <c r="O532">
        <f>Model!W695</f>
        <v>0</v>
      </c>
      <c r="P532">
        <f>Model!X695</f>
        <v>0</v>
      </c>
      <c r="Q532">
        <f>Model!Y695</f>
        <v>0</v>
      </c>
      <c r="R532">
        <f>Model!Z695</f>
        <v>0</v>
      </c>
      <c r="S532">
        <f>Model!AA695</f>
        <v>0</v>
      </c>
      <c r="T532">
        <f>Model!AB695</f>
        <v>0</v>
      </c>
      <c r="U532">
        <f>Model!AC695</f>
        <v>0</v>
      </c>
      <c r="V532">
        <f>Model!AD695</f>
        <v>0</v>
      </c>
      <c r="W532">
        <f>Model!AE695</f>
        <v>0</v>
      </c>
      <c r="X532">
        <f>Model!AF695</f>
        <v>0</v>
      </c>
      <c r="Y532">
        <f>Model!AG695</f>
        <v>0</v>
      </c>
      <c r="Z532">
        <f>Model!AH695</f>
        <v>0</v>
      </c>
      <c r="AA532">
        <f>Model!AI695</f>
        <v>0</v>
      </c>
      <c r="AB532">
        <f>Model!AJ695</f>
        <v>0</v>
      </c>
      <c r="AC532">
        <f>Model!AK695</f>
        <v>0</v>
      </c>
      <c r="AD532">
        <f>Model!AL695</f>
        <v>0</v>
      </c>
      <c r="AE532">
        <f>Model!AM695</f>
        <v>0</v>
      </c>
      <c r="AF532">
        <f>Model!AN695</f>
        <v>0</v>
      </c>
      <c r="AG532">
        <f>Model!AO695</f>
        <v>0</v>
      </c>
      <c r="AH532">
        <f>Model!AP695</f>
        <v>0</v>
      </c>
      <c r="AI532">
        <f>Model!AQ695</f>
        <v>0</v>
      </c>
      <c r="AJ532">
        <f>Model!AR695</f>
        <v>0</v>
      </c>
      <c r="AK532">
        <f>Model!AS695</f>
        <v>0</v>
      </c>
      <c r="AL532">
        <f>Model!AT695</f>
        <v>0</v>
      </c>
      <c r="AM532">
        <f>Model!AU695</f>
        <v>0</v>
      </c>
      <c r="AN532">
        <f>Model!AV695</f>
        <v>0</v>
      </c>
      <c r="AO532">
        <f>Model!AW695</f>
        <v>0</v>
      </c>
      <c r="AP532">
        <f>Model!AX695</f>
        <v>0</v>
      </c>
      <c r="AQ532">
        <f>Model!AY695</f>
        <v>0</v>
      </c>
      <c r="AR532">
        <f>Model!AZ695</f>
        <v>0</v>
      </c>
      <c r="AS532">
        <f>Model!BA695</f>
        <v>0</v>
      </c>
      <c r="AT532">
        <f>Model!BB695</f>
        <v>0</v>
      </c>
      <c r="AU532">
        <f>Model!BC695</f>
        <v>0</v>
      </c>
      <c r="AV532">
        <f>Model!BD695</f>
        <v>0</v>
      </c>
      <c r="AW532">
        <f>Model!BE695</f>
        <v>0</v>
      </c>
      <c r="AX532">
        <f>Model!BF695</f>
        <v>0</v>
      </c>
      <c r="AY532">
        <f>Model!BG695</f>
        <v>0</v>
      </c>
      <c r="AZ532">
        <f>Model!BH695</f>
        <v>0</v>
      </c>
      <c r="BA532">
        <f>Model!BI695</f>
        <v>0</v>
      </c>
      <c r="BB532">
        <f>Model!BJ695</f>
        <v>0</v>
      </c>
      <c r="BC532">
        <f>Model!BK695</f>
        <v>0</v>
      </c>
      <c r="BD532">
        <f>Model!BL695</f>
        <v>0</v>
      </c>
      <c r="BE532">
        <f>Model!BM695</f>
        <v>0</v>
      </c>
      <c r="BF532">
        <f>Model!BN695</f>
        <v>0</v>
      </c>
      <c r="BG532">
        <f>Model!BO695</f>
        <v>0</v>
      </c>
      <c r="BH532">
        <f>Model!BP695</f>
        <v>0</v>
      </c>
      <c r="BI532">
        <f>Model!BQ695</f>
        <v>0</v>
      </c>
      <c r="BJ532">
        <f>Model!BR695</f>
        <v>0</v>
      </c>
      <c r="BK532">
        <f>Model!BS695</f>
        <v>0</v>
      </c>
      <c r="BL532">
        <f>Model!BT695</f>
        <v>0</v>
      </c>
      <c r="BM532">
        <f>Model!BU695</f>
        <v>0</v>
      </c>
      <c r="BN532">
        <f>Model!BV695</f>
        <v>0</v>
      </c>
      <c r="BO532">
        <f>Model!BW695</f>
        <v>0</v>
      </c>
      <c r="BP532">
        <f>Model!BX695</f>
        <v>0</v>
      </c>
      <c r="BQ532">
        <f>Model!BY695</f>
        <v>0</v>
      </c>
      <c r="BR532">
        <f>Model!BZ695</f>
        <v>0</v>
      </c>
      <c r="BS532">
        <f>Model!CA695</f>
        <v>0</v>
      </c>
      <c r="BT532">
        <f>Model!CB695</f>
        <v>0</v>
      </c>
      <c r="BU532">
        <f>Model!CC695</f>
        <v>0</v>
      </c>
      <c r="BV532">
        <f>Model!CD695</f>
        <v>0</v>
      </c>
      <c r="BW532">
        <f>Model!CE695</f>
        <v>0</v>
      </c>
      <c r="BX532">
        <f>Model!CF695</f>
        <v>0</v>
      </c>
      <c r="BY532">
        <f>Model!CG695</f>
        <v>0</v>
      </c>
      <c r="BZ532">
        <f>Model!CH695</f>
        <v>0</v>
      </c>
      <c r="CA532">
        <f>Model!CI695</f>
        <v>0</v>
      </c>
      <c r="CB532">
        <f>Model!CJ695</f>
        <v>0</v>
      </c>
      <c r="CC532">
        <f>Model!CK695</f>
        <v>0</v>
      </c>
      <c r="CD532">
        <f>Model!CL695</f>
        <v>0</v>
      </c>
      <c r="CE532">
        <f>Model!CM695</f>
        <v>0</v>
      </c>
      <c r="CF532">
        <f>Model!CN695</f>
        <v>0</v>
      </c>
      <c r="CG532">
        <f>Model!CO695</f>
        <v>0</v>
      </c>
      <c r="CH532">
        <f>Model!CP695</f>
        <v>0</v>
      </c>
      <c r="CI532">
        <f>Model!CQ695</f>
        <v>0</v>
      </c>
      <c r="CJ532">
        <f>Model!CR695</f>
        <v>0</v>
      </c>
      <c r="CK532">
        <f>Model!CS695</f>
        <v>0</v>
      </c>
      <c r="CL532">
        <f>Model!CT695</f>
        <v>0</v>
      </c>
      <c r="CM532">
        <f>Model!CU695</f>
        <v>0</v>
      </c>
      <c r="CN532">
        <f>Model!CV695</f>
        <v>0</v>
      </c>
      <c r="CO532">
        <f>Model!CW695</f>
        <v>0</v>
      </c>
      <c r="CP532">
        <f>Model!CX695</f>
        <v>0</v>
      </c>
      <c r="CQ532">
        <f>Model!CY695</f>
        <v>0</v>
      </c>
      <c r="CR532">
        <f>Model!DG695</f>
        <v>0</v>
      </c>
      <c r="CS532">
        <f>Model!DH695</f>
        <v>0</v>
      </c>
      <c r="CT532">
        <f>Model!DI695</f>
        <v>0</v>
      </c>
      <c r="CU532">
        <f>Model!DJ695</f>
        <v>0</v>
      </c>
    </row>
    <row r="533" spans="1:99">
      <c r="A533" t="str">
        <f>Model!I696</f>
        <v>Net Increase/(Decrease) in Cash Flow</v>
      </c>
      <c r="B533">
        <f>Model!J696</f>
        <v>0</v>
      </c>
      <c r="C533">
        <f>Model!K696</f>
        <v>0</v>
      </c>
      <c r="D533">
        <f>Model!L696</f>
        <v>0</v>
      </c>
      <c r="E533">
        <f>Model!M696</f>
        <v>0</v>
      </c>
      <c r="F533">
        <f>Model!N696</f>
        <v>0</v>
      </c>
      <c r="G533">
        <f>Model!O696</f>
        <v>0</v>
      </c>
      <c r="H533">
        <f>Model!P696</f>
        <v>0</v>
      </c>
      <c r="I533">
        <f>Model!Q696</f>
        <v>0</v>
      </c>
      <c r="J533">
        <f>Model!R696</f>
        <v>0</v>
      </c>
      <c r="K533">
        <f>Model!S696</f>
        <v>0</v>
      </c>
      <c r="L533">
        <f>Model!T696</f>
        <v>0</v>
      </c>
      <c r="M533">
        <f>Model!U696</f>
        <v>0</v>
      </c>
      <c r="N533">
        <f>Model!V696</f>
        <v>0</v>
      </c>
      <c r="O533">
        <f>Model!W696</f>
        <v>0</v>
      </c>
      <c r="P533">
        <f>Model!X696</f>
        <v>0</v>
      </c>
      <c r="Q533">
        <f>Model!Y696</f>
        <v>0</v>
      </c>
      <c r="R533">
        <f>Model!Z696</f>
        <v>0</v>
      </c>
      <c r="S533">
        <f>Model!AA696</f>
        <v>0</v>
      </c>
      <c r="T533">
        <f>Model!AB696</f>
        <v>0</v>
      </c>
      <c r="U533">
        <f>Model!AC696</f>
        <v>0</v>
      </c>
      <c r="V533">
        <f>Model!AD696</f>
        <v>0</v>
      </c>
      <c r="W533">
        <f>Model!AE696</f>
        <v>0</v>
      </c>
      <c r="X533">
        <f>Model!AF696</f>
        <v>0</v>
      </c>
      <c r="Y533">
        <f>Model!AG696</f>
        <v>0</v>
      </c>
      <c r="Z533">
        <f>Model!AH696</f>
        <v>0</v>
      </c>
      <c r="AA533">
        <f>Model!AI696</f>
        <v>0</v>
      </c>
      <c r="AB533">
        <f>Model!AJ696</f>
        <v>0</v>
      </c>
      <c r="AC533">
        <f>Model!AK696</f>
        <v>0</v>
      </c>
      <c r="AD533">
        <f>Model!AL696</f>
        <v>0</v>
      </c>
      <c r="AE533">
        <f>Model!AM696</f>
        <v>0</v>
      </c>
      <c r="AF533">
        <f>Model!AN696</f>
        <v>0</v>
      </c>
      <c r="AG533">
        <f>Model!AO696</f>
        <v>0</v>
      </c>
      <c r="AH533">
        <f>Model!AP696</f>
        <v>0</v>
      </c>
      <c r="AI533">
        <f>Model!AQ696</f>
        <v>0</v>
      </c>
      <c r="AJ533">
        <f>Model!AR696</f>
        <v>0</v>
      </c>
      <c r="AK533">
        <f>Model!AS696</f>
        <v>0</v>
      </c>
      <c r="AL533">
        <f>Model!AT696</f>
        <v>0</v>
      </c>
      <c r="AM533">
        <f>Model!AU696</f>
        <v>0</v>
      </c>
      <c r="AN533">
        <f>Model!AV696</f>
        <v>0</v>
      </c>
      <c r="AO533">
        <f>Model!AW696</f>
        <v>0</v>
      </c>
      <c r="AP533">
        <f>Model!AX696</f>
        <v>0</v>
      </c>
      <c r="AQ533">
        <f>Model!AY696</f>
        <v>0</v>
      </c>
      <c r="AR533">
        <f>Model!AZ696</f>
        <v>0</v>
      </c>
      <c r="AS533">
        <f>Model!BA696</f>
        <v>192.10700000000006</v>
      </c>
      <c r="AT533">
        <f>Model!BB696</f>
        <v>60.174999999999919</v>
      </c>
      <c r="AU533">
        <f>Model!BC696</f>
        <v>-190.08300000000008</v>
      </c>
      <c r="AV533">
        <f>Model!BD696</f>
        <v>211.67000000000036</v>
      </c>
      <c r="AW533">
        <f>Model!BE696</f>
        <v>559.23899999999981</v>
      </c>
      <c r="AX533">
        <f>Model!BF696</f>
        <v>-379.28899999999993</v>
      </c>
      <c r="AY533">
        <f>Model!BG696</f>
        <v>85.68400000000041</v>
      </c>
      <c r="AZ533">
        <f>Model!BH696</f>
        <v>637.87899999999956</v>
      </c>
      <c r="BA533">
        <f>Model!BI696</f>
        <v>74.861000000000018</v>
      </c>
      <c r="BB533">
        <f>Model!BJ696</f>
        <v>151.00400000000005</v>
      </c>
      <c r="BC533">
        <f>Model!BK696</f>
        <v>-666.11999999999989</v>
      </c>
      <c r="BD533">
        <f>Model!BL696</f>
        <v>193.90000000000083</v>
      </c>
      <c r="BE533">
        <f>Model!BM696</f>
        <v>-1.8440000000000509</v>
      </c>
      <c r="BF533">
        <f>Model!BN696</f>
        <v>2215.7489999999998</v>
      </c>
      <c r="BG533">
        <f>Model!BO696</f>
        <v>1539.8249999999996</v>
      </c>
      <c r="BH533">
        <f>Model!BP696</f>
        <v>-1895.0729999999992</v>
      </c>
      <c r="BI533">
        <f>Model!BQ696</f>
        <v>107.16300000000007</v>
      </c>
      <c r="BJ533">
        <f>Model!BR696</f>
        <v>-1366.8649999999998</v>
      </c>
      <c r="BK533">
        <f>Model!BS696</f>
        <v>-47.291000000000395</v>
      </c>
      <c r="BL533">
        <f>Model!BT696</f>
        <v>-364.39300000000043</v>
      </c>
      <c r="BM533">
        <f>Model!BU696</f>
        <v>379.89999999999992</v>
      </c>
      <c r="BN533">
        <f>Model!BV696</f>
        <v>836.55300000000034</v>
      </c>
      <c r="BO533">
        <f>Model!BW696</f>
        <v>-271.44899999999984</v>
      </c>
      <c r="BP533">
        <f>Model!BX696</f>
        <v>-341.06800000000067</v>
      </c>
      <c r="BQ533">
        <f>Model!BY696</f>
        <v>352.94499999999977</v>
      </c>
      <c r="BR533">
        <f>Model!BZ696</f>
        <v>200.24400000000026</v>
      </c>
      <c r="BS533">
        <f>Model!CA696</f>
        <v>212.03600000000029</v>
      </c>
      <c r="BT533">
        <f>Model!CB696</f>
        <v>-304.69600000000048</v>
      </c>
      <c r="BU533">
        <f>Model!CC696</f>
        <v>-2019.6676409379854</v>
      </c>
      <c r="BV533">
        <f>Model!CD696</f>
        <v>565.03146749575615</v>
      </c>
      <c r="BW533">
        <f>Model!CE696</f>
        <v>1251.7816593271345</v>
      </c>
      <c r="BX533">
        <f>Model!CF696</f>
        <v>846.13190279842911</v>
      </c>
      <c r="BY533">
        <f>Model!CG696</f>
        <v>0</v>
      </c>
      <c r="BZ533">
        <f>Model!CH696</f>
        <v>0</v>
      </c>
      <c r="CA533">
        <f>Model!CI696</f>
        <v>0</v>
      </c>
      <c r="CB533">
        <f>Model!CJ696</f>
        <v>0</v>
      </c>
      <c r="CC533">
        <f>Model!CK696</f>
        <v>0</v>
      </c>
      <c r="CD533">
        <f>Model!CL696</f>
        <v>0</v>
      </c>
      <c r="CE533">
        <f>Model!CM696</f>
        <v>0</v>
      </c>
      <c r="CF533">
        <f>Model!CN696</f>
        <v>0</v>
      </c>
      <c r="CG533">
        <f>Model!CO696</f>
        <v>0</v>
      </c>
      <c r="CH533">
        <f>Model!CP696</f>
        <v>0</v>
      </c>
      <c r="CI533">
        <f>Model!CQ696</f>
        <v>156.8199000000003</v>
      </c>
      <c r="CJ533">
        <f>Model!CR696</f>
        <v>273.86900000000037</v>
      </c>
      <c r="CK533">
        <f>Model!CS696</f>
        <v>903.51299999999992</v>
      </c>
      <c r="CL533">
        <f>Model!CT696</f>
        <v>-246.354999999999</v>
      </c>
      <c r="CM533">
        <f>Model!CU696</f>
        <v>1858.6570000000008</v>
      </c>
      <c r="CN533">
        <f>Model!CV696</f>
        <v>-1671.386</v>
      </c>
      <c r="CO533">
        <f>Model!CW696</f>
        <v>603.93600000000015</v>
      </c>
      <c r="CP533">
        <f>Model!CX696</f>
        <v>460.52899999999988</v>
      </c>
      <c r="CQ533">
        <f>Model!CY696</f>
        <v>643.27738868333472</v>
      </c>
      <c r="CR533">
        <f>Model!DG696</f>
        <v>0</v>
      </c>
      <c r="CS533">
        <f>Model!DH696</f>
        <v>0</v>
      </c>
      <c r="CT533">
        <f>Model!DI696</f>
        <v>0</v>
      </c>
      <c r="CU533">
        <f>Model!DJ696</f>
        <v>0</v>
      </c>
    </row>
    <row r="534" spans="1:99">
      <c r="A534" t="str">
        <f>Model!I697</f>
        <v>Cash at Beg of Period</v>
      </c>
      <c r="B534">
        <f>Model!J697</f>
        <v>0</v>
      </c>
      <c r="C534">
        <f>Model!K697</f>
        <v>0</v>
      </c>
      <c r="D534">
        <f>Model!L697</f>
        <v>0</v>
      </c>
      <c r="E534">
        <f>Model!M697</f>
        <v>0</v>
      </c>
      <c r="F534">
        <f>Model!N697</f>
        <v>0</v>
      </c>
      <c r="G534">
        <f>Model!O697</f>
        <v>0</v>
      </c>
      <c r="H534">
        <f>Model!P697</f>
        <v>0</v>
      </c>
      <c r="I534">
        <f>Model!Q697</f>
        <v>0</v>
      </c>
      <c r="J534">
        <f>Model!R697</f>
        <v>0</v>
      </c>
      <c r="K534">
        <f>Model!S697</f>
        <v>0</v>
      </c>
      <c r="L534">
        <f>Model!T697</f>
        <v>0</v>
      </c>
      <c r="M534">
        <f>Model!U697</f>
        <v>0</v>
      </c>
      <c r="N534">
        <f>Model!V697</f>
        <v>0</v>
      </c>
      <c r="O534">
        <f>Model!W697</f>
        <v>0</v>
      </c>
      <c r="P534">
        <f>Model!X697</f>
        <v>0</v>
      </c>
      <c r="Q534">
        <f>Model!Y697</f>
        <v>0</v>
      </c>
      <c r="R534">
        <f>Model!Z697</f>
        <v>0</v>
      </c>
      <c r="S534">
        <f>Model!AA697</f>
        <v>0</v>
      </c>
      <c r="T534">
        <f>Model!AB697</f>
        <v>0</v>
      </c>
      <c r="U534">
        <f>Model!AC697</f>
        <v>0</v>
      </c>
      <c r="V534">
        <f>Model!AD697</f>
        <v>0</v>
      </c>
      <c r="W534">
        <f>Model!AE697</f>
        <v>0</v>
      </c>
      <c r="X534">
        <f>Model!AF697</f>
        <v>0</v>
      </c>
      <c r="Y534">
        <f>Model!AG697</f>
        <v>0</v>
      </c>
      <c r="Z534">
        <f>Model!AH697</f>
        <v>0</v>
      </c>
      <c r="AA534">
        <f>Model!AI697</f>
        <v>0</v>
      </c>
      <c r="AB534">
        <f>Model!AJ697</f>
        <v>0</v>
      </c>
      <c r="AC534">
        <f>Model!AK697</f>
        <v>0</v>
      </c>
      <c r="AD534">
        <f>Model!AL697</f>
        <v>0</v>
      </c>
      <c r="AE534">
        <f>Model!AM697</f>
        <v>0</v>
      </c>
      <c r="AF534">
        <f>Model!AN697</f>
        <v>0</v>
      </c>
      <c r="AG534">
        <f>Model!AO697</f>
        <v>0</v>
      </c>
      <c r="AH534">
        <f>Model!AP697</f>
        <v>0</v>
      </c>
      <c r="AI534">
        <f>Model!AQ697</f>
        <v>0</v>
      </c>
      <c r="AJ534">
        <f>Model!AR697</f>
        <v>0</v>
      </c>
      <c r="AK534">
        <f>Model!AS697</f>
        <v>0</v>
      </c>
      <c r="AL534">
        <f>Model!AT697</f>
        <v>0</v>
      </c>
      <c r="AM534">
        <f>Model!AU697</f>
        <v>0</v>
      </c>
      <c r="AN534">
        <f>Model!AV697</f>
        <v>0</v>
      </c>
      <c r="AO534">
        <f>Model!AW697</f>
        <v>0</v>
      </c>
      <c r="AP534">
        <f>Model!AX697</f>
        <v>0</v>
      </c>
      <c r="AQ534">
        <f>Model!AY697</f>
        <v>0</v>
      </c>
      <c r="AR534">
        <f>Model!AZ697</f>
        <v>0</v>
      </c>
      <c r="AS534">
        <f>Model!BA697</f>
        <v>358.96699999999998</v>
      </c>
      <c r="AT534">
        <f>Model!BB697</f>
        <v>551.07399999999996</v>
      </c>
      <c r="AU534">
        <f>Model!BC697</f>
        <v>611.24900000000002</v>
      </c>
      <c r="AV534">
        <f>Model!BD697</f>
        <v>421.166</v>
      </c>
      <c r="AW534">
        <f>Model!BE697</f>
        <v>632.83600000000035</v>
      </c>
      <c r="AX534">
        <f>Model!BF697</f>
        <v>1192.075</v>
      </c>
      <c r="AY534">
        <f>Model!BG697</f>
        <v>812.78599999999994</v>
      </c>
      <c r="AZ534">
        <f>Model!BH697</f>
        <v>898.47</v>
      </c>
      <c r="BA534">
        <f>Model!BI697</f>
        <v>1536.3490000000002</v>
      </c>
      <c r="BB534">
        <f>Model!BJ697</f>
        <v>1611.21</v>
      </c>
      <c r="BC534">
        <f>Model!BK697</f>
        <v>1762.2139999999999</v>
      </c>
      <c r="BD534">
        <f>Model!BL697</f>
        <v>1096.0940000000001</v>
      </c>
      <c r="BE534">
        <f>Model!BM697</f>
        <v>1289.9940000000011</v>
      </c>
      <c r="BF534">
        <f>Model!BN697</f>
        <v>1288.150000000001</v>
      </c>
      <c r="BG534">
        <f>Model!BO697</f>
        <v>3503.8989999999999</v>
      </c>
      <c r="BH534">
        <f>Model!BP697</f>
        <v>5043.7240000000002</v>
      </c>
      <c r="BI534">
        <f>Model!BQ697</f>
        <v>3148.6509999999998</v>
      </c>
      <c r="BJ534">
        <f>Model!BR697</f>
        <v>3255.8139999999999</v>
      </c>
      <c r="BK534">
        <f>Model!BS697</f>
        <v>1888.9490000000001</v>
      </c>
      <c r="BL534">
        <f>Model!BT697</f>
        <v>1841.6579999999999</v>
      </c>
      <c r="BM534">
        <f>Model!BU697</f>
        <v>1477.2650000000001</v>
      </c>
      <c r="BN534">
        <f>Model!BV697</f>
        <v>1857.165</v>
      </c>
      <c r="BO534">
        <f>Model!BW697</f>
        <v>2693.7179999999998</v>
      </c>
      <c r="BP534">
        <f>Model!BX697</f>
        <v>2422.2689999999998</v>
      </c>
      <c r="BQ534">
        <f>Model!BY697</f>
        <v>2081.0750000000003</v>
      </c>
      <c r="BR534">
        <f>Model!BZ697</f>
        <v>2434.02</v>
      </c>
      <c r="BS534">
        <f>Model!CA697</f>
        <v>2634.2640000000001</v>
      </c>
      <c r="BT534">
        <f>Model!CB697</f>
        <v>2846.3</v>
      </c>
      <c r="BU534">
        <f>Model!CC697</f>
        <v>2541.6040000000003</v>
      </c>
      <c r="BV534">
        <f>Model!CD697</f>
        <v>521.93635906201484</v>
      </c>
      <c r="BW534">
        <f>Model!CE697</f>
        <v>1086.9678265577709</v>
      </c>
      <c r="BX534">
        <f>Model!CF697</f>
        <v>2338.7494858849054</v>
      </c>
      <c r="BY534">
        <f>Model!CG697</f>
        <v>0</v>
      </c>
      <c r="BZ534">
        <f>Model!CH697</f>
        <v>0</v>
      </c>
      <c r="CA534">
        <f>Model!CI697</f>
        <v>0</v>
      </c>
      <c r="CB534">
        <f>Model!CJ697</f>
        <v>0</v>
      </c>
      <c r="CC534">
        <f>Model!CK697</f>
        <v>0</v>
      </c>
      <c r="CD534">
        <f>Model!CL697</f>
        <v>0</v>
      </c>
      <c r="CE534">
        <f>Model!CM697</f>
        <v>0</v>
      </c>
      <c r="CF534">
        <f>Model!CN697</f>
        <v>0</v>
      </c>
      <c r="CG534">
        <f>Model!CO697</f>
        <v>0</v>
      </c>
      <c r="CH534">
        <f>Model!CP697</f>
        <v>0</v>
      </c>
      <c r="CI534">
        <f>Model!CQ697</f>
        <v>202.14709999999968</v>
      </c>
      <c r="CJ534">
        <f>Model!CR697</f>
        <v>358.96699999999998</v>
      </c>
      <c r="CK534">
        <f>Model!CS697</f>
        <v>632.83600000000035</v>
      </c>
      <c r="CL534">
        <f>Model!CT697</f>
        <v>1536.3490000000002</v>
      </c>
      <c r="CM534">
        <f>Model!CU697</f>
        <v>1289.9940000000011</v>
      </c>
      <c r="CN534">
        <f>Model!CV697</f>
        <v>3148.6510000000017</v>
      </c>
      <c r="CO534">
        <f>Model!CW697</f>
        <v>1477.2650000000001</v>
      </c>
      <c r="CP534">
        <f>Model!CX697</f>
        <v>2081.0750000000003</v>
      </c>
      <c r="CQ534">
        <f>Model!CY697</f>
        <v>2541.6040000000003</v>
      </c>
      <c r="CR534">
        <f>Model!DG697</f>
        <v>0</v>
      </c>
      <c r="CS534">
        <f>Model!DH697</f>
        <v>0</v>
      </c>
      <c r="CT534">
        <f>Model!DI697</f>
        <v>0</v>
      </c>
      <c r="CU534">
        <f>Model!DJ697</f>
        <v>0</v>
      </c>
    </row>
    <row r="535" spans="1:99">
      <c r="A535" t="str">
        <f>Model!I698</f>
        <v>Cash at End of Period</v>
      </c>
      <c r="B535">
        <f>Model!J698</f>
        <v>0</v>
      </c>
      <c r="C535">
        <f>Model!K698</f>
        <v>0</v>
      </c>
      <c r="D535">
        <f>Model!L698</f>
        <v>0</v>
      </c>
      <c r="E535">
        <f>Model!M698</f>
        <v>0</v>
      </c>
      <c r="F535">
        <f>Model!N698</f>
        <v>0</v>
      </c>
      <c r="G535">
        <f>Model!O698</f>
        <v>0</v>
      </c>
      <c r="H535">
        <f>Model!P698</f>
        <v>0</v>
      </c>
      <c r="I535">
        <f>Model!Q698</f>
        <v>0</v>
      </c>
      <c r="J535">
        <f>Model!R698</f>
        <v>0</v>
      </c>
      <c r="K535">
        <f>Model!S698</f>
        <v>0</v>
      </c>
      <c r="L535">
        <f>Model!T698</f>
        <v>0</v>
      </c>
      <c r="M535">
        <f>Model!U698</f>
        <v>0</v>
      </c>
      <c r="N535">
        <f>Model!V698</f>
        <v>0</v>
      </c>
      <c r="O535">
        <f>Model!W698</f>
        <v>0</v>
      </c>
      <c r="P535">
        <f>Model!X698</f>
        <v>0</v>
      </c>
      <c r="Q535">
        <f>Model!Y698</f>
        <v>0</v>
      </c>
      <c r="R535">
        <f>Model!Z698</f>
        <v>0</v>
      </c>
      <c r="S535">
        <f>Model!AA698</f>
        <v>0</v>
      </c>
      <c r="T535">
        <f>Model!AB698</f>
        <v>0</v>
      </c>
      <c r="U535">
        <f>Model!AC698</f>
        <v>0</v>
      </c>
      <c r="V535">
        <f>Model!AD698</f>
        <v>0</v>
      </c>
      <c r="W535">
        <f>Model!AE698</f>
        <v>0</v>
      </c>
      <c r="X535">
        <f>Model!AF698</f>
        <v>0</v>
      </c>
      <c r="Y535">
        <f>Model!AG698</f>
        <v>0</v>
      </c>
      <c r="Z535">
        <f>Model!AH698</f>
        <v>0</v>
      </c>
      <c r="AA535">
        <f>Model!AI698</f>
        <v>0</v>
      </c>
      <c r="AB535">
        <f>Model!AJ698</f>
        <v>0</v>
      </c>
      <c r="AC535">
        <f>Model!AK698</f>
        <v>0</v>
      </c>
      <c r="AD535">
        <f>Model!AL698</f>
        <v>0</v>
      </c>
      <c r="AE535">
        <f>Model!AM698</f>
        <v>0</v>
      </c>
      <c r="AF535">
        <f>Model!AN698</f>
        <v>0</v>
      </c>
      <c r="AG535">
        <f>Model!AO698</f>
        <v>0</v>
      </c>
      <c r="AH535">
        <f>Model!AP698</f>
        <v>0</v>
      </c>
      <c r="AI535">
        <f>Model!AQ698</f>
        <v>0</v>
      </c>
      <c r="AJ535">
        <f>Model!AR698</f>
        <v>0</v>
      </c>
      <c r="AK535">
        <f>Model!AS698</f>
        <v>0</v>
      </c>
      <c r="AL535">
        <f>Model!AT698</f>
        <v>0</v>
      </c>
      <c r="AM535">
        <f>Model!AU698</f>
        <v>0</v>
      </c>
      <c r="AN535">
        <f>Model!AV698</f>
        <v>0</v>
      </c>
      <c r="AO535">
        <f>Model!AW698</f>
        <v>0</v>
      </c>
      <c r="AP535">
        <f>Model!AX698</f>
        <v>0</v>
      </c>
      <c r="AQ535">
        <f>Model!AY698</f>
        <v>0</v>
      </c>
      <c r="AR535">
        <f>Model!AZ698</f>
        <v>0</v>
      </c>
      <c r="AS535">
        <f>Model!BA698</f>
        <v>551.07399999999996</v>
      </c>
      <c r="AT535">
        <f>Model!BB698</f>
        <v>611.24900000000002</v>
      </c>
      <c r="AU535">
        <f>Model!BC698</f>
        <v>421.166</v>
      </c>
      <c r="AV535">
        <f>Model!BD698</f>
        <v>632.83600000000001</v>
      </c>
      <c r="AW535">
        <f>Model!BE698</f>
        <v>1192.075</v>
      </c>
      <c r="AX535">
        <f>Model!BF698</f>
        <v>812.78599999999994</v>
      </c>
      <c r="AY535">
        <f>Model!BG698</f>
        <v>898.47</v>
      </c>
      <c r="AZ535">
        <f>Model!BH698</f>
        <v>1536.3489999999999</v>
      </c>
      <c r="BA535">
        <f>Model!BI698</f>
        <v>1611.21</v>
      </c>
      <c r="BB535">
        <f>Model!BJ698</f>
        <v>1762.2139999999999</v>
      </c>
      <c r="BC535">
        <f>Model!BK698</f>
        <v>1096.0940000000001</v>
      </c>
      <c r="BD535">
        <f>Model!BL698</f>
        <v>1289.9939999999999</v>
      </c>
      <c r="BE535">
        <f>Model!BM698</f>
        <v>1288.150000000001</v>
      </c>
      <c r="BF535">
        <f>Model!BN698</f>
        <v>3503.8989999999999</v>
      </c>
      <c r="BG535">
        <f>Model!BO698</f>
        <v>5043.7240000000002</v>
      </c>
      <c r="BH535">
        <f>Model!BP698</f>
        <v>3148.6509999999998</v>
      </c>
      <c r="BI535">
        <f>Model!BQ698</f>
        <v>3255.8139999999999</v>
      </c>
      <c r="BJ535">
        <f>Model!BR698</f>
        <v>1888.9490000000001</v>
      </c>
      <c r="BK535">
        <f>Model!BS698</f>
        <v>1841.6579999999999</v>
      </c>
      <c r="BL535">
        <f>Model!BT698</f>
        <v>1477.2650000000001</v>
      </c>
      <c r="BM535">
        <f>Model!BU698</f>
        <v>1857.165</v>
      </c>
      <c r="BN535">
        <f>Model!BV698</f>
        <v>2693.7179999999998</v>
      </c>
      <c r="BO535">
        <f>Model!BW698</f>
        <v>2422.2689999999998</v>
      </c>
      <c r="BP535">
        <f>Model!BX698</f>
        <v>2081.0750000000003</v>
      </c>
      <c r="BQ535">
        <f>Model!BY698</f>
        <v>2434.02</v>
      </c>
      <c r="BR535">
        <f>Model!BZ698</f>
        <v>2634.2640000000001</v>
      </c>
      <c r="BS535">
        <f>Model!CA698</f>
        <v>2846.3</v>
      </c>
      <c r="BT535">
        <f>Model!CB698</f>
        <v>2541.6039999999998</v>
      </c>
      <c r="BU535">
        <f>Model!CC698</f>
        <v>521.93635906201484</v>
      </c>
      <c r="BV535">
        <f>Model!CD698</f>
        <v>1086.9678265577709</v>
      </c>
      <c r="BW535">
        <f>Model!CE698</f>
        <v>2338.7494858849054</v>
      </c>
      <c r="BX535">
        <f>Model!CF698</f>
        <v>3184.8813886833345</v>
      </c>
      <c r="BY535">
        <f>Model!CG698</f>
        <v>0</v>
      </c>
      <c r="BZ535">
        <f>Model!CH698</f>
        <v>0</v>
      </c>
      <c r="CA535">
        <f>Model!CI698</f>
        <v>0</v>
      </c>
      <c r="CB535">
        <f>Model!CJ698</f>
        <v>0</v>
      </c>
      <c r="CC535">
        <f>Model!CK698</f>
        <v>0</v>
      </c>
      <c r="CD535">
        <f>Model!CL698</f>
        <v>0</v>
      </c>
      <c r="CE535">
        <f>Model!CM698</f>
        <v>0</v>
      </c>
      <c r="CF535">
        <f>Model!CN698</f>
        <v>0</v>
      </c>
      <c r="CG535">
        <f>Model!CO698</f>
        <v>0</v>
      </c>
      <c r="CH535">
        <f>Model!CP698</f>
        <v>0</v>
      </c>
      <c r="CI535">
        <f>Model!CQ698</f>
        <v>358.96699999999998</v>
      </c>
      <c r="CJ535">
        <f>Model!CR698</f>
        <v>632.83600000000035</v>
      </c>
      <c r="CK535">
        <f>Model!CS698</f>
        <v>1536.3490000000002</v>
      </c>
      <c r="CL535">
        <f>Model!CT698</f>
        <v>1289.9940000000011</v>
      </c>
      <c r="CM535">
        <f>Model!CU698</f>
        <v>3148.6510000000017</v>
      </c>
      <c r="CN535">
        <f>Model!CV698</f>
        <v>1477.2650000000017</v>
      </c>
      <c r="CO535">
        <f>Model!CW698</f>
        <v>2081.0750000000003</v>
      </c>
      <c r="CP535">
        <f>Model!CX698</f>
        <v>2541.6040000000003</v>
      </c>
      <c r="CQ535">
        <f>Model!CY698</f>
        <v>3184.881388683335</v>
      </c>
      <c r="CR535">
        <f>Model!DG698</f>
        <v>0</v>
      </c>
      <c r="CS535">
        <f>Model!DH698</f>
        <v>0</v>
      </c>
      <c r="CT535">
        <f>Model!DI698</f>
        <v>0</v>
      </c>
      <c r="CU535">
        <f>Model!DJ698</f>
        <v>0</v>
      </c>
    </row>
    <row r="536" spans="1:99">
      <c r="A536" t="str">
        <f>Model!I699</f>
        <v>Check</v>
      </c>
      <c r="B536">
        <f>Model!J699</f>
        <v>0</v>
      </c>
      <c r="C536">
        <f>Model!K699</f>
        <v>0</v>
      </c>
      <c r="D536">
        <f>Model!L699</f>
        <v>0</v>
      </c>
      <c r="E536">
        <f>Model!M699</f>
        <v>0</v>
      </c>
      <c r="F536">
        <f>Model!N699</f>
        <v>0</v>
      </c>
      <c r="G536">
        <f>Model!O699</f>
        <v>0</v>
      </c>
      <c r="H536">
        <f>Model!P699</f>
        <v>0</v>
      </c>
      <c r="I536">
        <f>Model!Q699</f>
        <v>0</v>
      </c>
      <c r="J536">
        <f>Model!R699</f>
        <v>0</v>
      </c>
      <c r="K536">
        <f>Model!S699</f>
        <v>0</v>
      </c>
      <c r="L536">
        <f>Model!T699</f>
        <v>0</v>
      </c>
      <c r="M536">
        <f>Model!U699</f>
        <v>0</v>
      </c>
      <c r="N536">
        <f>Model!V699</f>
        <v>0</v>
      </c>
      <c r="O536">
        <f>Model!W699</f>
        <v>0</v>
      </c>
      <c r="P536">
        <f>Model!X699</f>
        <v>0</v>
      </c>
      <c r="Q536">
        <f>Model!Y699</f>
        <v>0</v>
      </c>
      <c r="R536">
        <f>Model!Z699</f>
        <v>0</v>
      </c>
      <c r="S536">
        <f>Model!AA699</f>
        <v>0</v>
      </c>
      <c r="T536">
        <f>Model!AB699</f>
        <v>0</v>
      </c>
      <c r="U536">
        <f>Model!AC699</f>
        <v>0</v>
      </c>
      <c r="V536">
        <f>Model!AD699</f>
        <v>0</v>
      </c>
      <c r="W536">
        <f>Model!AE699</f>
        <v>0</v>
      </c>
      <c r="X536">
        <f>Model!AF699</f>
        <v>0</v>
      </c>
      <c r="Y536">
        <f>Model!AG699</f>
        <v>0</v>
      </c>
      <c r="Z536">
        <f>Model!AH699</f>
        <v>0</v>
      </c>
      <c r="AA536">
        <f>Model!AI699</f>
        <v>0</v>
      </c>
      <c r="AB536">
        <f>Model!AJ699</f>
        <v>0</v>
      </c>
      <c r="AC536">
        <f>Model!AK699</f>
        <v>0</v>
      </c>
      <c r="AD536">
        <f>Model!AL699</f>
        <v>0</v>
      </c>
      <c r="AE536">
        <f>Model!AM699</f>
        <v>0</v>
      </c>
      <c r="AF536">
        <f>Model!AN699</f>
        <v>0</v>
      </c>
      <c r="AG536">
        <f>Model!AO699</f>
        <v>0</v>
      </c>
      <c r="AH536">
        <f>Model!AP699</f>
        <v>0</v>
      </c>
      <c r="AI536">
        <f>Model!AQ699</f>
        <v>0</v>
      </c>
      <c r="AJ536">
        <f>Model!AR699</f>
        <v>0</v>
      </c>
      <c r="AK536">
        <f>Model!AS699</f>
        <v>0</v>
      </c>
      <c r="AL536">
        <f>Model!AT699</f>
        <v>0</v>
      </c>
      <c r="AM536">
        <f>Model!AU699</f>
        <v>0</v>
      </c>
      <c r="AN536">
        <f>Model!AV699</f>
        <v>0</v>
      </c>
      <c r="AO536">
        <f>Model!AW699</f>
        <v>0</v>
      </c>
      <c r="AP536">
        <f>Model!AX699</f>
        <v>0</v>
      </c>
      <c r="AQ536">
        <f>Model!AY699</f>
        <v>0</v>
      </c>
      <c r="AR536">
        <f>Model!AZ699</f>
        <v>0</v>
      </c>
      <c r="AS536">
        <f>Model!BA699</f>
        <v>0</v>
      </c>
      <c r="AT536">
        <f>Model!BB699</f>
        <v>0</v>
      </c>
      <c r="AU536">
        <f>Model!BC699</f>
        <v>0</v>
      </c>
      <c r="AV536">
        <f>Model!BD699</f>
        <v>0</v>
      </c>
      <c r="AW536">
        <f>Model!BE699</f>
        <v>0</v>
      </c>
      <c r="AX536">
        <f>Model!BF699</f>
        <v>0</v>
      </c>
      <c r="AY536">
        <f>Model!BG699</f>
        <v>0</v>
      </c>
      <c r="AZ536">
        <f>Model!BH699</f>
        <v>0</v>
      </c>
      <c r="BA536">
        <f>Model!BI699</f>
        <v>0</v>
      </c>
      <c r="BB536">
        <f>Model!BJ699</f>
        <v>0</v>
      </c>
      <c r="BC536">
        <f>Model!BK699</f>
        <v>0</v>
      </c>
      <c r="BD536">
        <f>Model!BL699</f>
        <v>0</v>
      </c>
      <c r="BE536">
        <f>Model!BM699</f>
        <v>0</v>
      </c>
      <c r="BF536">
        <f>Model!BN699</f>
        <v>0</v>
      </c>
      <c r="BG536">
        <f>Model!BO699</f>
        <v>0</v>
      </c>
      <c r="BH536">
        <f>Model!BP699</f>
        <v>0</v>
      </c>
      <c r="BI536">
        <f>Model!BQ699</f>
        <v>0</v>
      </c>
      <c r="BJ536">
        <f>Model!BR699</f>
        <v>0</v>
      </c>
      <c r="BK536">
        <f>Model!BS699</f>
        <v>0</v>
      </c>
      <c r="BL536">
        <f>Model!BT699</f>
        <v>0</v>
      </c>
      <c r="BM536">
        <f>Model!BU699</f>
        <v>0</v>
      </c>
      <c r="BN536">
        <f>Model!BV699</f>
        <v>0</v>
      </c>
      <c r="BO536">
        <f>Model!BW699</f>
        <v>0</v>
      </c>
      <c r="BP536">
        <f>Model!BX699</f>
        <v>0</v>
      </c>
      <c r="BQ536">
        <f>Model!BY699</f>
        <v>0</v>
      </c>
      <c r="BR536">
        <f>Model!BZ699</f>
        <v>0</v>
      </c>
      <c r="BS536">
        <f>Model!CA699</f>
        <v>0</v>
      </c>
      <c r="BT536">
        <f>Model!CB699</f>
        <v>0</v>
      </c>
      <c r="BU536">
        <f>Model!CC699</f>
        <v>0</v>
      </c>
      <c r="BV536">
        <f>Model!CD699</f>
        <v>0</v>
      </c>
      <c r="BW536">
        <f>Model!CE699</f>
        <v>0</v>
      </c>
      <c r="BX536">
        <f>Model!CF699</f>
        <v>0</v>
      </c>
      <c r="BY536">
        <f>Model!CG699</f>
        <v>0</v>
      </c>
      <c r="BZ536">
        <f>Model!CH699</f>
        <v>0</v>
      </c>
      <c r="CA536">
        <f>Model!CI699</f>
        <v>0</v>
      </c>
      <c r="CB536">
        <f>Model!CJ699</f>
        <v>0</v>
      </c>
      <c r="CC536">
        <f>Model!CK699</f>
        <v>0</v>
      </c>
      <c r="CD536">
        <f>Model!CL699</f>
        <v>0</v>
      </c>
      <c r="CE536">
        <f>Model!CM699</f>
        <v>0</v>
      </c>
      <c r="CF536">
        <f>Model!CN699</f>
        <v>0</v>
      </c>
      <c r="CG536">
        <f>Model!CO699</f>
        <v>0</v>
      </c>
      <c r="CH536">
        <f>Model!CP699</f>
        <v>0</v>
      </c>
      <c r="CI536">
        <f>Model!CQ699</f>
        <v>0</v>
      </c>
      <c r="CJ536">
        <f>Model!CR699</f>
        <v>0</v>
      </c>
      <c r="CK536">
        <f>Model!CS699</f>
        <v>0</v>
      </c>
      <c r="CL536">
        <f>Model!CT699</f>
        <v>0</v>
      </c>
      <c r="CM536">
        <f>Model!CU699</f>
        <v>0</v>
      </c>
      <c r="CN536">
        <f>Model!CV699</f>
        <v>0</v>
      </c>
      <c r="CO536">
        <f>Model!CW699</f>
        <v>0</v>
      </c>
      <c r="CP536">
        <f>Model!CX699</f>
        <v>0</v>
      </c>
      <c r="CQ536">
        <f>Model!CY699</f>
        <v>0</v>
      </c>
      <c r="CR536">
        <f>Model!DG699</f>
        <v>0</v>
      </c>
      <c r="CS536">
        <f>Model!DH699</f>
        <v>0</v>
      </c>
      <c r="CT536">
        <f>Model!DI699</f>
        <v>0</v>
      </c>
      <c r="CU536">
        <f>Model!DJ699</f>
        <v>0</v>
      </c>
    </row>
    <row r="537" spans="1:99">
      <c r="A537">
        <f>Model!I700</f>
        <v>0</v>
      </c>
      <c r="B537">
        <f>Model!J700</f>
        <v>0</v>
      </c>
      <c r="C537">
        <f>Model!K700</f>
        <v>0</v>
      </c>
      <c r="D537">
        <f>Model!L700</f>
        <v>0</v>
      </c>
      <c r="E537">
        <f>Model!M700</f>
        <v>0</v>
      </c>
      <c r="F537">
        <f>Model!N700</f>
        <v>0</v>
      </c>
      <c r="G537">
        <f>Model!O700</f>
        <v>0</v>
      </c>
      <c r="H537">
        <f>Model!P700</f>
        <v>0</v>
      </c>
      <c r="I537">
        <f>Model!Q700</f>
        <v>0</v>
      </c>
      <c r="J537">
        <f>Model!R700</f>
        <v>0</v>
      </c>
      <c r="K537">
        <f>Model!S700</f>
        <v>0</v>
      </c>
      <c r="L537">
        <f>Model!T700</f>
        <v>0</v>
      </c>
      <c r="M537">
        <f>Model!U700</f>
        <v>0</v>
      </c>
      <c r="N537">
        <f>Model!V700</f>
        <v>0</v>
      </c>
      <c r="O537">
        <f>Model!W700</f>
        <v>0</v>
      </c>
      <c r="P537">
        <f>Model!X700</f>
        <v>0</v>
      </c>
      <c r="Q537">
        <f>Model!Y700</f>
        <v>0</v>
      </c>
      <c r="R537">
        <f>Model!Z700</f>
        <v>0</v>
      </c>
      <c r="S537">
        <f>Model!AA700</f>
        <v>0</v>
      </c>
      <c r="T537">
        <f>Model!AB700</f>
        <v>0</v>
      </c>
      <c r="U537">
        <f>Model!AC700</f>
        <v>0</v>
      </c>
      <c r="V537">
        <f>Model!AD700</f>
        <v>0</v>
      </c>
      <c r="W537">
        <f>Model!AE700</f>
        <v>0</v>
      </c>
      <c r="X537">
        <f>Model!AF700</f>
        <v>0</v>
      </c>
      <c r="Y537">
        <f>Model!AG700</f>
        <v>0</v>
      </c>
      <c r="Z537">
        <f>Model!AH700</f>
        <v>0</v>
      </c>
      <c r="AA537">
        <f>Model!AI700</f>
        <v>0</v>
      </c>
      <c r="AB537">
        <f>Model!AJ700</f>
        <v>0</v>
      </c>
      <c r="AC537">
        <f>Model!AK700</f>
        <v>0</v>
      </c>
      <c r="AD537">
        <f>Model!AL700</f>
        <v>0</v>
      </c>
      <c r="AE537">
        <f>Model!AM700</f>
        <v>0</v>
      </c>
      <c r="AF537">
        <f>Model!AN700</f>
        <v>0</v>
      </c>
      <c r="AG537">
        <f>Model!AO700</f>
        <v>0</v>
      </c>
      <c r="AH537">
        <f>Model!AP700</f>
        <v>0</v>
      </c>
      <c r="AI537">
        <f>Model!AQ700</f>
        <v>0</v>
      </c>
      <c r="AJ537">
        <f>Model!AR700</f>
        <v>0</v>
      </c>
      <c r="AK537">
        <f>Model!AS700</f>
        <v>0</v>
      </c>
      <c r="AL537">
        <f>Model!AT700</f>
        <v>0</v>
      </c>
      <c r="AM537">
        <f>Model!AU700</f>
        <v>0</v>
      </c>
      <c r="AN537">
        <f>Model!AV700</f>
        <v>0</v>
      </c>
      <c r="AO537">
        <f>Model!AW700</f>
        <v>0</v>
      </c>
      <c r="AP537">
        <f>Model!AX700</f>
        <v>0</v>
      </c>
      <c r="AQ537">
        <f>Model!AY700</f>
        <v>0</v>
      </c>
      <c r="AR537">
        <f>Model!AZ700</f>
        <v>0</v>
      </c>
      <c r="AS537">
        <f>Model!BA700</f>
        <v>0</v>
      </c>
      <c r="AT537">
        <f>Model!BB700</f>
        <v>0</v>
      </c>
      <c r="AU537">
        <f>Model!BC700</f>
        <v>0</v>
      </c>
      <c r="AV537">
        <f>Model!BD700</f>
        <v>0</v>
      </c>
      <c r="AW537">
        <f>Model!BE700</f>
        <v>0</v>
      </c>
      <c r="AX537">
        <f>Model!BF700</f>
        <v>0</v>
      </c>
      <c r="AY537">
        <f>Model!BG700</f>
        <v>0</v>
      </c>
      <c r="AZ537">
        <f>Model!BH700</f>
        <v>0</v>
      </c>
      <c r="BA537">
        <f>Model!BI700</f>
        <v>0</v>
      </c>
      <c r="BB537">
        <f>Model!BJ700</f>
        <v>0</v>
      </c>
      <c r="BC537">
        <f>Model!BK700</f>
        <v>0</v>
      </c>
      <c r="BD537">
        <f>Model!BL700</f>
        <v>0</v>
      </c>
      <c r="BE537">
        <f>Model!BM700</f>
        <v>0</v>
      </c>
      <c r="BF537">
        <f>Model!BN700</f>
        <v>0</v>
      </c>
      <c r="BG537">
        <f>Model!BO700</f>
        <v>0</v>
      </c>
      <c r="BH537">
        <f>Model!BP700</f>
        <v>0</v>
      </c>
      <c r="BI537">
        <f>Model!BQ700</f>
        <v>0</v>
      </c>
      <c r="BJ537">
        <f>Model!BR700</f>
        <v>0</v>
      </c>
      <c r="BK537">
        <f>Model!BS700</f>
        <v>0</v>
      </c>
      <c r="BL537">
        <f>Model!BT700</f>
        <v>0</v>
      </c>
      <c r="BM537">
        <f>Model!BU700</f>
        <v>0</v>
      </c>
      <c r="BN537">
        <f>Model!BV700</f>
        <v>0</v>
      </c>
      <c r="BO537">
        <f>Model!BW700</f>
        <v>0</v>
      </c>
      <c r="BP537">
        <f>Model!BX700</f>
        <v>0</v>
      </c>
      <c r="BQ537">
        <f>Model!BY700</f>
        <v>0</v>
      </c>
      <c r="BR537">
        <f>Model!BZ700</f>
        <v>0</v>
      </c>
      <c r="BS537">
        <f>Model!CA700</f>
        <v>0</v>
      </c>
      <c r="BT537">
        <f>Model!CB700</f>
        <v>0</v>
      </c>
      <c r="BU537">
        <f>Model!CC700</f>
        <v>0</v>
      </c>
      <c r="BV537">
        <f>Model!CD700</f>
        <v>0</v>
      </c>
      <c r="BW537">
        <f>Model!CE700</f>
        <v>0</v>
      </c>
      <c r="BX537">
        <f>Model!CF700</f>
        <v>0</v>
      </c>
      <c r="BY537">
        <f>Model!CG700</f>
        <v>0</v>
      </c>
      <c r="BZ537">
        <f>Model!CH700</f>
        <v>0</v>
      </c>
      <c r="CA537">
        <f>Model!CI700</f>
        <v>0</v>
      </c>
      <c r="CB537">
        <f>Model!CJ700</f>
        <v>0</v>
      </c>
      <c r="CC537">
        <f>Model!CK700</f>
        <v>0</v>
      </c>
      <c r="CD537">
        <f>Model!CL700</f>
        <v>0</v>
      </c>
      <c r="CE537">
        <f>Model!CM700</f>
        <v>0</v>
      </c>
      <c r="CF537">
        <f>Model!CN700</f>
        <v>0</v>
      </c>
      <c r="CG537">
        <f>Model!CO700</f>
        <v>0</v>
      </c>
      <c r="CH537">
        <f>Model!CP700</f>
        <v>0</v>
      </c>
      <c r="CI537">
        <f>Model!CQ700</f>
        <v>0</v>
      </c>
      <c r="CJ537">
        <f>Model!CR700</f>
        <v>0</v>
      </c>
      <c r="CK537">
        <f>Model!CS700</f>
        <v>0</v>
      </c>
      <c r="CL537">
        <f>Model!CT700</f>
        <v>0</v>
      </c>
      <c r="CM537">
        <f>Model!CU700</f>
        <v>0</v>
      </c>
      <c r="CN537">
        <f>Model!CV700</f>
        <v>0</v>
      </c>
      <c r="CO537">
        <f>Model!CW700</f>
        <v>0</v>
      </c>
      <c r="CP537">
        <f>Model!CX700</f>
        <v>0</v>
      </c>
      <c r="CQ537">
        <f>Model!CY700</f>
        <v>0</v>
      </c>
      <c r="CR537">
        <f>Model!DG700</f>
        <v>0</v>
      </c>
      <c r="CS537">
        <f>Model!DH700</f>
        <v>0</v>
      </c>
      <c r="CT537">
        <f>Model!DI700</f>
        <v>0</v>
      </c>
      <c r="CU537">
        <f>Model!DJ700</f>
        <v>0</v>
      </c>
    </row>
    <row r="538" spans="1:99">
      <c r="A538">
        <f>Model!I701</f>
        <v>0</v>
      </c>
      <c r="B538">
        <f>Model!J701</f>
        <v>0</v>
      </c>
      <c r="C538">
        <f>Model!K701</f>
        <v>0</v>
      </c>
      <c r="D538">
        <f>Model!L701</f>
        <v>0</v>
      </c>
      <c r="E538">
        <f>Model!M701</f>
        <v>0</v>
      </c>
      <c r="F538">
        <f>Model!N701</f>
        <v>0</v>
      </c>
      <c r="G538">
        <f>Model!O701</f>
        <v>0</v>
      </c>
      <c r="H538">
        <f>Model!P701</f>
        <v>0</v>
      </c>
      <c r="I538">
        <f>Model!Q701</f>
        <v>0</v>
      </c>
      <c r="J538">
        <f>Model!R701</f>
        <v>0</v>
      </c>
      <c r="K538">
        <f>Model!S701</f>
        <v>0</v>
      </c>
      <c r="L538">
        <f>Model!T701</f>
        <v>0</v>
      </c>
      <c r="M538">
        <f>Model!U701</f>
        <v>0</v>
      </c>
      <c r="N538">
        <f>Model!V701</f>
        <v>0</v>
      </c>
      <c r="O538">
        <f>Model!W701</f>
        <v>0</v>
      </c>
      <c r="P538">
        <f>Model!X701</f>
        <v>0</v>
      </c>
      <c r="Q538">
        <f>Model!Y701</f>
        <v>0</v>
      </c>
      <c r="R538">
        <f>Model!Z701</f>
        <v>0</v>
      </c>
      <c r="S538">
        <f>Model!AA701</f>
        <v>0</v>
      </c>
      <c r="T538">
        <f>Model!AB701</f>
        <v>0</v>
      </c>
      <c r="U538">
        <f>Model!AC701</f>
        <v>0</v>
      </c>
      <c r="V538">
        <f>Model!AD701</f>
        <v>0</v>
      </c>
      <c r="W538">
        <f>Model!AE701</f>
        <v>0</v>
      </c>
      <c r="X538">
        <f>Model!AF701</f>
        <v>0</v>
      </c>
      <c r="Y538">
        <f>Model!AG701</f>
        <v>0</v>
      </c>
      <c r="Z538">
        <f>Model!AH701</f>
        <v>0</v>
      </c>
      <c r="AA538">
        <f>Model!AI701</f>
        <v>0</v>
      </c>
      <c r="AB538">
        <f>Model!AJ701</f>
        <v>0</v>
      </c>
      <c r="AC538">
        <f>Model!AK701</f>
        <v>0</v>
      </c>
      <c r="AD538">
        <f>Model!AL701</f>
        <v>0</v>
      </c>
      <c r="AE538">
        <f>Model!AM701</f>
        <v>0</v>
      </c>
      <c r="AF538">
        <f>Model!AN701</f>
        <v>0</v>
      </c>
      <c r="AG538">
        <f>Model!AO701</f>
        <v>0</v>
      </c>
      <c r="AH538">
        <f>Model!AP701</f>
        <v>0</v>
      </c>
      <c r="AI538">
        <f>Model!AQ701</f>
        <v>0</v>
      </c>
      <c r="AJ538">
        <f>Model!AR701</f>
        <v>0</v>
      </c>
      <c r="AK538">
        <f>Model!AS701</f>
        <v>0</v>
      </c>
      <c r="AL538">
        <f>Model!AT701</f>
        <v>0</v>
      </c>
      <c r="AM538">
        <f>Model!AU701</f>
        <v>0</v>
      </c>
      <c r="AN538">
        <f>Model!AV701</f>
        <v>0</v>
      </c>
      <c r="AO538">
        <f>Model!AW701</f>
        <v>0</v>
      </c>
      <c r="AP538">
        <f>Model!AX701</f>
        <v>0</v>
      </c>
      <c r="AQ538">
        <f>Model!AY701</f>
        <v>0</v>
      </c>
      <c r="AR538">
        <f>Model!AZ701</f>
        <v>0</v>
      </c>
      <c r="AS538">
        <f>Model!BA701</f>
        <v>0</v>
      </c>
      <c r="AT538">
        <f>Model!BB701</f>
        <v>0</v>
      </c>
      <c r="AU538">
        <f>Model!BC701</f>
        <v>0</v>
      </c>
      <c r="AV538">
        <f>Model!BD701</f>
        <v>0</v>
      </c>
      <c r="AW538">
        <f>Model!BE701</f>
        <v>0</v>
      </c>
      <c r="AX538">
        <f>Model!BF701</f>
        <v>0</v>
      </c>
      <c r="AY538">
        <f>Model!BG701</f>
        <v>0</v>
      </c>
      <c r="AZ538">
        <f>Model!BH701</f>
        <v>0</v>
      </c>
      <c r="BA538">
        <f>Model!BI701</f>
        <v>0</v>
      </c>
      <c r="BB538">
        <f>Model!BJ701</f>
        <v>0</v>
      </c>
      <c r="BC538">
        <f>Model!BK701</f>
        <v>0</v>
      </c>
      <c r="BD538">
        <f>Model!BL701</f>
        <v>0</v>
      </c>
      <c r="BE538">
        <f>Model!BM701</f>
        <v>0</v>
      </c>
      <c r="BF538">
        <f>Model!BN701</f>
        <v>0</v>
      </c>
      <c r="BG538">
        <f>Model!BO701</f>
        <v>0</v>
      </c>
      <c r="BH538">
        <f>Model!BP701</f>
        <v>0</v>
      </c>
      <c r="BI538">
        <f>Model!BQ701</f>
        <v>0</v>
      </c>
      <c r="BJ538">
        <f>Model!BR701</f>
        <v>0</v>
      </c>
      <c r="BK538">
        <f>Model!BS701</f>
        <v>0</v>
      </c>
      <c r="BL538">
        <f>Model!BT701</f>
        <v>0</v>
      </c>
      <c r="BM538">
        <f>Model!BU701</f>
        <v>0</v>
      </c>
      <c r="BN538">
        <f>Model!BV701</f>
        <v>0</v>
      </c>
      <c r="BO538">
        <f>Model!BW701</f>
        <v>0</v>
      </c>
      <c r="BP538">
        <f>Model!BX701</f>
        <v>0</v>
      </c>
      <c r="BQ538">
        <f>Model!BY701</f>
        <v>0</v>
      </c>
      <c r="BR538">
        <f>Model!BZ701</f>
        <v>0</v>
      </c>
      <c r="BS538">
        <f>Model!CA701</f>
        <v>0</v>
      </c>
      <c r="BT538">
        <f>Model!CB701</f>
        <v>0</v>
      </c>
      <c r="BU538">
        <f>Model!CC701</f>
        <v>0</v>
      </c>
      <c r="BV538">
        <f>Model!CD701</f>
        <v>0</v>
      </c>
      <c r="BW538">
        <f>Model!CE701</f>
        <v>0</v>
      </c>
      <c r="BX538">
        <f>Model!CF701</f>
        <v>0</v>
      </c>
      <c r="BY538">
        <f>Model!CG701</f>
        <v>0</v>
      </c>
      <c r="BZ538">
        <f>Model!CH701</f>
        <v>0</v>
      </c>
      <c r="CA538">
        <f>Model!CI701</f>
        <v>0</v>
      </c>
      <c r="CB538">
        <f>Model!CJ701</f>
        <v>0</v>
      </c>
      <c r="CC538">
        <f>Model!CK701</f>
        <v>0</v>
      </c>
      <c r="CD538">
        <f>Model!CL701</f>
        <v>0</v>
      </c>
      <c r="CE538">
        <f>Model!CM701</f>
        <v>0</v>
      </c>
      <c r="CF538">
        <f>Model!CN701</f>
        <v>0</v>
      </c>
      <c r="CG538">
        <f>Model!CO701</f>
        <v>0</v>
      </c>
      <c r="CH538">
        <f>Model!CP701</f>
        <v>0</v>
      </c>
      <c r="CI538">
        <f>Model!CQ701</f>
        <v>0</v>
      </c>
      <c r="CJ538">
        <f>Model!CR701</f>
        <v>0</v>
      </c>
      <c r="CK538">
        <f>Model!CS701</f>
        <v>0</v>
      </c>
      <c r="CL538">
        <f>Model!CT701</f>
        <v>0</v>
      </c>
      <c r="CM538">
        <f>Model!CU701</f>
        <v>0</v>
      </c>
      <c r="CN538">
        <f>Model!CV701</f>
        <v>0</v>
      </c>
      <c r="CO538">
        <f>Model!CW701</f>
        <v>0</v>
      </c>
      <c r="CP538">
        <f>Model!CX701</f>
        <v>0</v>
      </c>
      <c r="CQ538">
        <f>Model!CY701</f>
        <v>0</v>
      </c>
      <c r="CR538">
        <f>Model!DG701</f>
        <v>0</v>
      </c>
      <c r="CS538">
        <f>Model!DH701</f>
        <v>0</v>
      </c>
      <c r="CT538">
        <f>Model!DI701</f>
        <v>0</v>
      </c>
      <c r="CU538">
        <f>Model!DJ701</f>
        <v>0</v>
      </c>
    </row>
    <row r="539" spans="1:99">
      <c r="A539" t="str">
        <f>Model!I702</f>
        <v>Cash Paid for Taxes</v>
      </c>
      <c r="B539">
        <f>Model!J702</f>
        <v>0</v>
      </c>
      <c r="C539">
        <f>Model!K702</f>
        <v>0</v>
      </c>
      <c r="D539">
        <f>Model!L702</f>
        <v>0</v>
      </c>
      <c r="E539">
        <f>Model!M702</f>
        <v>0</v>
      </c>
      <c r="F539">
        <f>Model!N702</f>
        <v>0</v>
      </c>
      <c r="G539">
        <f>Model!O702</f>
        <v>0</v>
      </c>
      <c r="H539">
        <f>Model!P702</f>
        <v>0</v>
      </c>
      <c r="I539">
        <f>Model!Q702</f>
        <v>0</v>
      </c>
      <c r="J539">
        <f>Model!R702</f>
        <v>0</v>
      </c>
      <c r="K539">
        <f>Model!S702</f>
        <v>0</v>
      </c>
      <c r="L539">
        <f>Model!T702</f>
        <v>0</v>
      </c>
      <c r="M539">
        <f>Model!U702</f>
        <v>0</v>
      </c>
      <c r="N539">
        <f>Model!V702</f>
        <v>0</v>
      </c>
      <c r="O539">
        <f>Model!W702</f>
        <v>0</v>
      </c>
      <c r="P539">
        <f>Model!X702</f>
        <v>0</v>
      </c>
      <c r="Q539">
        <f>Model!Y702</f>
        <v>0</v>
      </c>
      <c r="R539">
        <f>Model!Z702</f>
        <v>0</v>
      </c>
      <c r="S539">
        <f>Model!AA702</f>
        <v>0</v>
      </c>
      <c r="T539">
        <f>Model!AB702</f>
        <v>0</v>
      </c>
      <c r="U539">
        <f>Model!AC702</f>
        <v>0</v>
      </c>
      <c r="V539">
        <f>Model!AD702</f>
        <v>0</v>
      </c>
      <c r="W539">
        <f>Model!AE702</f>
        <v>0</v>
      </c>
      <c r="X539">
        <f>Model!AF702</f>
        <v>0</v>
      </c>
      <c r="Y539">
        <f>Model!AG702</f>
        <v>0</v>
      </c>
      <c r="Z539">
        <f>Model!AH702</f>
        <v>0</v>
      </c>
      <c r="AA539">
        <f>Model!AI702</f>
        <v>0</v>
      </c>
      <c r="AB539">
        <f>Model!AJ702</f>
        <v>0</v>
      </c>
      <c r="AC539">
        <f>Model!AK702</f>
        <v>0</v>
      </c>
      <c r="AD539">
        <f>Model!AL702</f>
        <v>0</v>
      </c>
      <c r="AE539">
        <f>Model!AM702</f>
        <v>0</v>
      </c>
      <c r="AF539">
        <f>Model!AN702</f>
        <v>0</v>
      </c>
      <c r="AG539">
        <f>Model!AO702</f>
        <v>0</v>
      </c>
      <c r="AH539">
        <f>Model!AP702</f>
        <v>0</v>
      </c>
      <c r="AI539">
        <f>Model!AQ702</f>
        <v>0</v>
      </c>
      <c r="AJ539">
        <f>Model!AR702</f>
        <v>0</v>
      </c>
      <c r="AK539">
        <f>Model!AS702</f>
        <v>0</v>
      </c>
      <c r="AL539">
        <f>Model!AT702</f>
        <v>0</v>
      </c>
      <c r="AM539">
        <f>Model!AU702</f>
        <v>0</v>
      </c>
      <c r="AN539">
        <f>Model!AV702</f>
        <v>0</v>
      </c>
      <c r="AO539">
        <f>Model!AW702</f>
        <v>0</v>
      </c>
      <c r="AP539">
        <f>Model!AX702</f>
        <v>0</v>
      </c>
      <c r="AQ539">
        <f>Model!AY702</f>
        <v>0</v>
      </c>
      <c r="AR539">
        <f>Model!AZ702</f>
        <v>0</v>
      </c>
      <c r="AS539">
        <f>Model!BA702</f>
        <v>28.956</v>
      </c>
      <c r="AT539">
        <f>Model!BB702</f>
        <v>26.504999999999999</v>
      </c>
      <c r="AU539">
        <f>Model!BC702</f>
        <v>43.915000000000006</v>
      </c>
      <c r="AV539">
        <f>Model!BD702</f>
        <v>133.386</v>
      </c>
      <c r="AW539">
        <f>Model!BE702</f>
        <v>173.52799999999999</v>
      </c>
      <c r="AX539">
        <f>Model!BF702</f>
        <v>189.06100000000001</v>
      </c>
      <c r="AY539">
        <f>Model!BG702</f>
        <v>205.256</v>
      </c>
      <c r="AZ539">
        <f>Model!BH702</f>
        <v>-267.30600000000004</v>
      </c>
      <c r="BA539">
        <f>Model!BI702</f>
        <v>228.893</v>
      </c>
      <c r="BB539">
        <f>Model!BJ702</f>
        <v>18.144000000000005</v>
      </c>
      <c r="BC539">
        <f>Model!BK702</f>
        <v>18.265999999999991</v>
      </c>
      <c r="BD539">
        <f>Model!BL702</f>
        <v>125.86600000000001</v>
      </c>
      <c r="BE539">
        <f>Model!BM702</f>
        <v>367.16</v>
      </c>
      <c r="BF539">
        <f>Model!BN702</f>
        <v>18.345999999999947</v>
      </c>
      <c r="BG539">
        <f>Model!BO702</f>
        <v>26.67900000000003</v>
      </c>
      <c r="BH539">
        <f>Model!BP702</f>
        <v>79.34499999999997</v>
      </c>
      <c r="BI539">
        <f>Model!BQ702</f>
        <v>379.60300000000001</v>
      </c>
      <c r="BJ539">
        <f>Model!BR702</f>
        <v>92.747000000000014</v>
      </c>
      <c r="BK539">
        <f>Model!BS702</f>
        <v>27.07099999999997</v>
      </c>
      <c r="BL539">
        <f>Model!BT702</f>
        <v>34.684000000000026</v>
      </c>
      <c r="BM539">
        <f>Model!BU702</f>
        <v>449.31400000000002</v>
      </c>
      <c r="BN539">
        <f>Model!BV702</f>
        <v>47.088999999999999</v>
      </c>
      <c r="BO539">
        <f>Model!BW702</f>
        <v>116.20899999999989</v>
      </c>
      <c r="BP539">
        <f>Model!BX702</f>
        <v>23.938000000000102</v>
      </c>
      <c r="BQ539">
        <f>Model!BY702</f>
        <v>536.19200000000001</v>
      </c>
      <c r="BR539">
        <f>Model!BZ702</f>
        <v>577.24699999999996</v>
      </c>
      <c r="BS539">
        <f>Model!CA702</f>
        <v>601.24800000000005</v>
      </c>
      <c r="BT539">
        <f>Model!CB702</f>
        <v>-1012.266</v>
      </c>
      <c r="BU539">
        <f>Model!CC702</f>
        <v>0</v>
      </c>
      <c r="BV539">
        <f>Model!CD702</f>
        <v>0</v>
      </c>
      <c r="BW539">
        <f>Model!CE702</f>
        <v>0</v>
      </c>
      <c r="BX539">
        <f>Model!CF702</f>
        <v>0</v>
      </c>
      <c r="BY539">
        <f>Model!CG702</f>
        <v>0</v>
      </c>
      <c r="BZ539">
        <f>Model!CH702</f>
        <v>0</v>
      </c>
      <c r="CA539">
        <f>Model!CI702</f>
        <v>0</v>
      </c>
      <c r="CB539">
        <f>Model!CJ702</f>
        <v>0</v>
      </c>
      <c r="CC539">
        <f>Model!CK702</f>
        <v>0</v>
      </c>
      <c r="CD539">
        <f>Model!CL702</f>
        <v>0</v>
      </c>
      <c r="CE539">
        <f>Model!CM702</f>
        <v>0</v>
      </c>
      <c r="CF539">
        <f>Model!CN702</f>
        <v>0</v>
      </c>
      <c r="CG539">
        <f>Model!CO702</f>
        <v>0</v>
      </c>
      <c r="CH539">
        <f>Model!CP702</f>
        <v>95.512</v>
      </c>
      <c r="CI539">
        <f>Model!CQ702</f>
        <v>169.32</v>
      </c>
      <c r="CJ539">
        <f>Model!CR702</f>
        <v>232.762</v>
      </c>
      <c r="CK539">
        <f>Model!CS702</f>
        <v>300.53899999999999</v>
      </c>
      <c r="CL539">
        <f>Model!CT702</f>
        <v>391.16899999999998</v>
      </c>
      <c r="CM539">
        <f>Model!CU702</f>
        <v>491.53</v>
      </c>
      <c r="CN539">
        <f>Model!CV702</f>
        <v>534.10500000000002</v>
      </c>
      <c r="CO539">
        <f>Model!CW702</f>
        <v>636.54999999999995</v>
      </c>
      <c r="CP539">
        <f>Model!CX702</f>
        <v>702.42100000000005</v>
      </c>
      <c r="CQ539">
        <f>Model!CY702</f>
        <v>0</v>
      </c>
      <c r="CR539">
        <f>Model!DG702</f>
        <v>0</v>
      </c>
      <c r="CS539">
        <f>Model!DH702</f>
        <v>0</v>
      </c>
      <c r="CT539">
        <f>Model!DI702</f>
        <v>0</v>
      </c>
      <c r="CU539">
        <f>Model!DJ702</f>
        <v>0</v>
      </c>
    </row>
    <row r="540" spans="1:99">
      <c r="A540" t="str">
        <f>Model!I703</f>
        <v>Cash Paid for Interest</v>
      </c>
      <c r="B540">
        <f>Model!J703</f>
        <v>0</v>
      </c>
      <c r="C540">
        <f>Model!K703</f>
        <v>0</v>
      </c>
      <c r="D540">
        <f>Model!L703</f>
        <v>0</v>
      </c>
      <c r="E540">
        <f>Model!M703</f>
        <v>0</v>
      </c>
      <c r="F540">
        <f>Model!N703</f>
        <v>0</v>
      </c>
      <c r="G540">
        <f>Model!O703</f>
        <v>0</v>
      </c>
      <c r="H540">
        <f>Model!P703</f>
        <v>0</v>
      </c>
      <c r="I540">
        <f>Model!Q703</f>
        <v>0</v>
      </c>
      <c r="J540">
        <f>Model!R703</f>
        <v>0</v>
      </c>
      <c r="K540">
        <f>Model!S703</f>
        <v>0</v>
      </c>
      <c r="L540">
        <f>Model!T703</f>
        <v>0</v>
      </c>
      <c r="M540">
        <f>Model!U703</f>
        <v>0</v>
      </c>
      <c r="N540">
        <f>Model!V703</f>
        <v>0</v>
      </c>
      <c r="O540">
        <f>Model!W703</f>
        <v>0</v>
      </c>
      <c r="P540">
        <f>Model!X703</f>
        <v>0</v>
      </c>
      <c r="Q540">
        <f>Model!Y703</f>
        <v>0</v>
      </c>
      <c r="R540">
        <f>Model!Z703</f>
        <v>0</v>
      </c>
      <c r="S540">
        <f>Model!AA703</f>
        <v>0</v>
      </c>
      <c r="T540">
        <f>Model!AB703</f>
        <v>0</v>
      </c>
      <c r="U540">
        <f>Model!AC703</f>
        <v>0</v>
      </c>
      <c r="V540">
        <f>Model!AD703</f>
        <v>0</v>
      </c>
      <c r="W540">
        <f>Model!AE703</f>
        <v>0</v>
      </c>
      <c r="X540">
        <f>Model!AF703</f>
        <v>0</v>
      </c>
      <c r="Y540">
        <f>Model!AG703</f>
        <v>0</v>
      </c>
      <c r="Z540">
        <f>Model!AH703</f>
        <v>0</v>
      </c>
      <c r="AA540">
        <f>Model!AI703</f>
        <v>0</v>
      </c>
      <c r="AB540">
        <f>Model!AJ703</f>
        <v>0</v>
      </c>
      <c r="AC540">
        <f>Model!AK703</f>
        <v>0</v>
      </c>
      <c r="AD540">
        <f>Model!AL703</f>
        <v>0</v>
      </c>
      <c r="AE540">
        <f>Model!AM703</f>
        <v>0</v>
      </c>
      <c r="AF540">
        <f>Model!AN703</f>
        <v>0</v>
      </c>
      <c r="AG540">
        <f>Model!AO703</f>
        <v>0</v>
      </c>
      <c r="AH540">
        <f>Model!AP703</f>
        <v>0</v>
      </c>
      <c r="AI540">
        <f>Model!AQ703</f>
        <v>0</v>
      </c>
      <c r="AJ540">
        <f>Model!AR703</f>
        <v>0</v>
      </c>
      <c r="AK540">
        <f>Model!AS703</f>
        <v>0</v>
      </c>
      <c r="AL540">
        <f>Model!AT703</f>
        <v>0</v>
      </c>
      <c r="AM540">
        <f>Model!AU703</f>
        <v>0</v>
      </c>
      <c r="AN540">
        <f>Model!AV703</f>
        <v>0</v>
      </c>
      <c r="AO540">
        <f>Model!AW703</f>
        <v>0</v>
      </c>
      <c r="AP540">
        <f>Model!AX703</f>
        <v>0</v>
      </c>
      <c r="AQ540">
        <f>Model!AY703</f>
        <v>0</v>
      </c>
      <c r="AR540">
        <f>Model!AZ703</f>
        <v>0</v>
      </c>
      <c r="AS540">
        <f>Model!BA703</f>
        <v>3.601</v>
      </c>
      <c r="AT540">
        <f>Model!BB703</f>
        <v>0.1160000000000001</v>
      </c>
      <c r="AU540">
        <f>Model!BC703</f>
        <v>3.726</v>
      </c>
      <c r="AV540">
        <f>Model!BD703</f>
        <v>0.13000000000000034</v>
      </c>
      <c r="AW540">
        <f>Model!BE703</f>
        <v>3.9119999999999999</v>
      </c>
      <c r="AX540">
        <f>Model!BF703</f>
        <v>4.3490000000000002</v>
      </c>
      <c r="AY540">
        <f>Model!BG703</f>
        <v>13.462999999999999</v>
      </c>
      <c r="AZ540">
        <f>Model!BH703</f>
        <v>-7.7909999999999995</v>
      </c>
      <c r="BA540">
        <f>Model!BI703</f>
        <v>9.0719999999999992</v>
      </c>
      <c r="BB540">
        <f>Model!BJ703</f>
        <v>0.46799999999999997</v>
      </c>
      <c r="BC540">
        <f>Model!BK703</f>
        <v>9.0740000000000016</v>
      </c>
      <c r="BD540">
        <f>Model!BL703</f>
        <v>2.34</v>
      </c>
      <c r="BE540">
        <f>Model!BM703</f>
        <v>5.8209999999999997</v>
      </c>
      <c r="BF540">
        <f>Model!BN703</f>
        <v>2.2590000000000003</v>
      </c>
      <c r="BG540">
        <f>Model!BO703</f>
        <v>6.4510000000000005</v>
      </c>
      <c r="BH540">
        <f>Model!BP703</f>
        <v>2.4189999999999987</v>
      </c>
      <c r="BI540">
        <f>Model!BQ703</f>
        <v>10.840999999999999</v>
      </c>
      <c r="BJ540">
        <f>Model!BR703</f>
        <v>2.6960000000000015</v>
      </c>
      <c r="BK540">
        <f>Model!BS703</f>
        <v>36.862999999999992</v>
      </c>
      <c r="BL540">
        <f>Model!BT703</f>
        <v>3.8990000000000062</v>
      </c>
      <c r="BM540">
        <f>Model!BU703</f>
        <v>40.119</v>
      </c>
      <c r="BN540">
        <f>Model!BV703</f>
        <v>3.607999999999997</v>
      </c>
      <c r="BO540">
        <f>Model!BW703</f>
        <v>43.700000000000017</v>
      </c>
      <c r="BP540">
        <f>Model!BX703</f>
        <v>38.484999999999985</v>
      </c>
      <c r="BQ540">
        <f>Model!BY703</f>
        <v>38.496000000000002</v>
      </c>
      <c r="BR540">
        <f>Model!BZ703</f>
        <v>60.308</v>
      </c>
      <c r="BS540">
        <f>Model!CA703</f>
        <v>110.745</v>
      </c>
      <c r="BT540">
        <f>Model!CB703</f>
        <v>-54.695999999999998</v>
      </c>
      <c r="BU540">
        <f>Model!CC703</f>
        <v>0</v>
      </c>
      <c r="BV540">
        <f>Model!CD703</f>
        <v>0</v>
      </c>
      <c r="BW540">
        <f>Model!CE703</f>
        <v>0</v>
      </c>
      <c r="BX540">
        <f>Model!CF703</f>
        <v>0</v>
      </c>
      <c r="BY540">
        <f>Model!CG703</f>
        <v>0</v>
      </c>
      <c r="BZ540">
        <f>Model!CH703</f>
        <v>0</v>
      </c>
      <c r="CA540">
        <f>Model!CI703</f>
        <v>0</v>
      </c>
      <c r="CB540">
        <f>Model!CJ703</f>
        <v>0</v>
      </c>
      <c r="CC540">
        <f>Model!CK703</f>
        <v>0</v>
      </c>
      <c r="CD540">
        <f>Model!CL703</f>
        <v>0</v>
      </c>
      <c r="CE540">
        <f>Model!CM703</f>
        <v>0</v>
      </c>
      <c r="CF540">
        <f>Model!CN703</f>
        <v>0</v>
      </c>
      <c r="CG540">
        <f>Model!CO703</f>
        <v>0</v>
      </c>
      <c r="CH540">
        <f>Model!CP703</f>
        <v>4.4480000000000004</v>
      </c>
      <c r="CI540">
        <f>Model!CQ703</f>
        <v>4.9009999999999998</v>
      </c>
      <c r="CJ540">
        <f>Model!CR703</f>
        <v>7.5730000000000004</v>
      </c>
      <c r="CK540">
        <f>Model!CS703</f>
        <v>13.933</v>
      </c>
      <c r="CL540">
        <f>Model!CT703</f>
        <v>20.954000000000001</v>
      </c>
      <c r="CM540">
        <f>Model!CU703</f>
        <v>16.95</v>
      </c>
      <c r="CN540">
        <f>Model!CV703</f>
        <v>54.298999999999999</v>
      </c>
      <c r="CO540">
        <f>Model!CW703</f>
        <v>125.91200000000001</v>
      </c>
      <c r="CP540">
        <f>Model!CX703</f>
        <v>154.85300000000001</v>
      </c>
      <c r="CQ540">
        <f>Model!CY703</f>
        <v>0</v>
      </c>
      <c r="CR540">
        <f>Model!DG703</f>
        <v>0</v>
      </c>
      <c r="CS540">
        <f>Model!DH703</f>
        <v>0</v>
      </c>
      <c r="CT540">
        <f>Model!DI703</f>
        <v>0</v>
      </c>
      <c r="CU540">
        <f>Model!DJ703</f>
        <v>0</v>
      </c>
    </row>
    <row r="541" spans="1:99">
      <c r="A541" t="str">
        <f>Model!I704</f>
        <v xml:space="preserve">Non-cash fair value adjustment for redeemable noncontrolling interests 
</v>
      </c>
      <c r="B541">
        <f>Model!J704</f>
        <v>0</v>
      </c>
      <c r="C541">
        <f>Model!K704</f>
        <v>0</v>
      </c>
      <c r="D541">
        <f>Model!L704</f>
        <v>0</v>
      </c>
      <c r="E541">
        <f>Model!M704</f>
        <v>0</v>
      </c>
      <c r="F541">
        <f>Model!N704</f>
        <v>0</v>
      </c>
      <c r="G541">
        <f>Model!O704</f>
        <v>0</v>
      </c>
      <c r="H541">
        <f>Model!P704</f>
        <v>0</v>
      </c>
      <c r="I541">
        <f>Model!Q704</f>
        <v>0</v>
      </c>
      <c r="J541">
        <f>Model!R704</f>
        <v>0</v>
      </c>
      <c r="K541">
        <f>Model!S704</f>
        <v>0</v>
      </c>
      <c r="L541">
        <f>Model!T704</f>
        <v>0</v>
      </c>
      <c r="M541">
        <f>Model!U704</f>
        <v>0</v>
      </c>
      <c r="N541">
        <f>Model!V704</f>
        <v>0</v>
      </c>
      <c r="O541">
        <f>Model!W704</f>
        <v>0</v>
      </c>
      <c r="P541">
        <f>Model!X704</f>
        <v>0</v>
      </c>
      <c r="Q541">
        <f>Model!Y704</f>
        <v>0</v>
      </c>
      <c r="R541">
        <f>Model!Z704</f>
        <v>0</v>
      </c>
      <c r="S541">
        <f>Model!AA704</f>
        <v>0</v>
      </c>
      <c r="T541">
        <f>Model!AB704</f>
        <v>0</v>
      </c>
      <c r="U541">
        <f>Model!AC704</f>
        <v>0</v>
      </c>
      <c r="V541">
        <f>Model!AD704</f>
        <v>0</v>
      </c>
      <c r="W541">
        <f>Model!AE704</f>
        <v>0</v>
      </c>
      <c r="X541">
        <f>Model!AF704</f>
        <v>0</v>
      </c>
      <c r="Y541">
        <f>Model!AG704</f>
        <v>0</v>
      </c>
      <c r="Z541">
        <f>Model!AH704</f>
        <v>0</v>
      </c>
      <c r="AA541">
        <f>Model!AI704</f>
        <v>0</v>
      </c>
      <c r="AB541">
        <f>Model!AJ704</f>
        <v>0</v>
      </c>
      <c r="AC541">
        <f>Model!AK704</f>
        <v>0</v>
      </c>
      <c r="AD541">
        <f>Model!AL704</f>
        <v>0</v>
      </c>
      <c r="AE541">
        <f>Model!AM704</f>
        <v>0</v>
      </c>
      <c r="AF541">
        <f>Model!AN704</f>
        <v>0</v>
      </c>
      <c r="AG541">
        <f>Model!AO704</f>
        <v>0</v>
      </c>
      <c r="AH541">
        <f>Model!AP704</f>
        <v>0</v>
      </c>
      <c r="AI541">
        <f>Model!AQ704</f>
        <v>0</v>
      </c>
      <c r="AJ541">
        <f>Model!AR704</f>
        <v>0</v>
      </c>
      <c r="AK541">
        <f>Model!AS704</f>
        <v>0</v>
      </c>
      <c r="AL541">
        <f>Model!AT704</f>
        <v>0</v>
      </c>
      <c r="AM541">
        <f>Model!AU704</f>
        <v>0</v>
      </c>
      <c r="AN541">
        <f>Model!AV704</f>
        <v>0</v>
      </c>
      <c r="AO541">
        <f>Model!AW704</f>
        <v>0</v>
      </c>
      <c r="AP541">
        <f>Model!AX704</f>
        <v>0</v>
      </c>
      <c r="AQ541">
        <f>Model!AY704</f>
        <v>0</v>
      </c>
      <c r="AR541">
        <f>Model!AZ704</f>
        <v>0</v>
      </c>
      <c r="AS541">
        <f>Model!BA704</f>
        <v>10.355</v>
      </c>
      <c r="AT541">
        <f>Model!BB704</f>
        <v>23.385000000000002</v>
      </c>
      <c r="AU541">
        <f>Model!BC704</f>
        <v>7.5869999999999962</v>
      </c>
      <c r="AV541">
        <f>Model!BD704</f>
        <v>50.415999999999997</v>
      </c>
      <c r="AW541">
        <f>Model!BE704</f>
        <v>52.213999999999999</v>
      </c>
      <c r="AX541">
        <f>Model!BF704</f>
        <v>0</v>
      </c>
      <c r="AY541">
        <f>Model!BG704</f>
        <v>0</v>
      </c>
      <c r="AZ541">
        <f>Model!BH704</f>
        <v>32.478999999999999</v>
      </c>
      <c r="BA541">
        <f>Model!BI704</f>
        <v>42.768000000000001</v>
      </c>
      <c r="BB541">
        <f>Model!BJ704</f>
        <v>2.7539999999999978</v>
      </c>
      <c r="BC541">
        <f>Model!BK704</f>
        <v>-3</v>
      </c>
      <c r="BD541">
        <f>Model!BL704</f>
        <v>0</v>
      </c>
      <c r="BE541">
        <f>Model!BM704</f>
        <v>0</v>
      </c>
      <c r="BF541">
        <f>Model!BN704</f>
        <v>0</v>
      </c>
      <c r="BG541">
        <f>Model!BO704</f>
        <v>0</v>
      </c>
      <c r="BH541">
        <f>Model!BP704</f>
        <v>0</v>
      </c>
      <c r="BI541">
        <f>Model!BQ704</f>
        <v>0</v>
      </c>
      <c r="BJ541">
        <f>Model!BR704</f>
        <v>0</v>
      </c>
      <c r="BK541">
        <f>Model!BS704</f>
        <v>0</v>
      </c>
      <c r="BL541">
        <f>Model!BT704</f>
        <v>0</v>
      </c>
      <c r="BM541">
        <f>Model!BU704</f>
        <v>0</v>
      </c>
      <c r="BN541">
        <f>Model!BV704</f>
        <v>0</v>
      </c>
      <c r="BO541">
        <f>Model!BW704</f>
        <v>0</v>
      </c>
      <c r="BP541">
        <f>Model!BX704</f>
        <v>0</v>
      </c>
      <c r="BQ541">
        <f>Model!BY704</f>
        <v>1</v>
      </c>
      <c r="BR541">
        <f>Model!BZ704</f>
        <v>1</v>
      </c>
      <c r="BS541">
        <f>Model!CA704</f>
        <v>1</v>
      </c>
      <c r="BT541">
        <f>Model!CB704</f>
        <v>-3</v>
      </c>
      <c r="BU541">
        <f>Model!CC704</f>
        <v>0</v>
      </c>
      <c r="BV541">
        <f>Model!CD704</f>
        <v>0</v>
      </c>
      <c r="BW541">
        <f>Model!CE704</f>
        <v>0</v>
      </c>
      <c r="BX541">
        <f>Model!CF704</f>
        <v>0</v>
      </c>
      <c r="BY541">
        <f>Model!CG704</f>
        <v>0</v>
      </c>
      <c r="BZ541">
        <f>Model!CH704</f>
        <v>0</v>
      </c>
      <c r="CA541">
        <f>Model!CI704</f>
        <v>0</v>
      </c>
      <c r="CB541">
        <f>Model!CJ704</f>
        <v>0</v>
      </c>
      <c r="CC541">
        <f>Model!CK704</f>
        <v>0</v>
      </c>
      <c r="CD541">
        <f>Model!CL704</f>
        <v>0</v>
      </c>
      <c r="CE541">
        <f>Model!CM704</f>
        <v>0</v>
      </c>
      <c r="CF541">
        <f>Model!CN704</f>
        <v>0</v>
      </c>
      <c r="CG541">
        <f>Model!CO704</f>
        <v>0</v>
      </c>
      <c r="CH541">
        <f>Model!CP704</f>
        <v>0</v>
      </c>
      <c r="CI541">
        <f>Model!CQ704</f>
        <v>7.8760000000000003</v>
      </c>
      <c r="CJ541">
        <f>Model!CR704</f>
        <v>91.742999999999995</v>
      </c>
      <c r="CK541">
        <f>Model!CS704</f>
        <v>84.692999999999998</v>
      </c>
      <c r="CL541">
        <f>Model!CT704</f>
        <v>42.521999999999998</v>
      </c>
      <c r="CM541">
        <f>Model!CU704</f>
        <v>0</v>
      </c>
      <c r="CN541">
        <f>Model!CV704</f>
        <v>0</v>
      </c>
      <c r="CO541">
        <f>Model!CW704</f>
        <v>0</v>
      </c>
      <c r="CP541">
        <f>Model!CX704</f>
        <v>0</v>
      </c>
      <c r="CQ541">
        <f>Model!CY704</f>
        <v>0</v>
      </c>
      <c r="CR541">
        <f>Model!DG704</f>
        <v>0</v>
      </c>
      <c r="CS541">
        <f>Model!DH704</f>
        <v>0</v>
      </c>
      <c r="CT541">
        <f>Model!DI704</f>
        <v>0</v>
      </c>
      <c r="CU541">
        <f>Model!DJ704</f>
        <v>0</v>
      </c>
    </row>
    <row r="542" spans="1:99">
      <c r="A542" t="str">
        <f>Model!I705</f>
        <v xml:space="preserve">Non-cash investing activity for contingent consideration
</v>
      </c>
      <c r="B542">
        <f>Model!J705</f>
        <v>0</v>
      </c>
      <c r="C542">
        <f>Model!K705</f>
        <v>0</v>
      </c>
      <c r="D542">
        <f>Model!L705</f>
        <v>0</v>
      </c>
      <c r="E542">
        <f>Model!M705</f>
        <v>0</v>
      </c>
      <c r="F542">
        <f>Model!N705</f>
        <v>0</v>
      </c>
      <c r="G542">
        <f>Model!O705</f>
        <v>0</v>
      </c>
      <c r="H542">
        <f>Model!P705</f>
        <v>0</v>
      </c>
      <c r="I542">
        <f>Model!Q705</f>
        <v>0</v>
      </c>
      <c r="J542">
        <f>Model!R705</f>
        <v>0</v>
      </c>
      <c r="K542">
        <f>Model!S705</f>
        <v>0</v>
      </c>
      <c r="L542">
        <f>Model!T705</f>
        <v>0</v>
      </c>
      <c r="M542">
        <f>Model!U705</f>
        <v>0</v>
      </c>
      <c r="N542">
        <f>Model!V705</f>
        <v>0</v>
      </c>
      <c r="O542">
        <f>Model!W705</f>
        <v>0</v>
      </c>
      <c r="P542">
        <f>Model!X705</f>
        <v>0</v>
      </c>
      <c r="Q542">
        <f>Model!Y705</f>
        <v>0</v>
      </c>
      <c r="R542">
        <f>Model!Z705</f>
        <v>0</v>
      </c>
      <c r="S542">
        <f>Model!AA705</f>
        <v>0</v>
      </c>
      <c r="T542">
        <f>Model!AB705</f>
        <v>0</v>
      </c>
      <c r="U542">
        <f>Model!AC705</f>
        <v>0</v>
      </c>
      <c r="V542">
        <f>Model!AD705</f>
        <v>0</v>
      </c>
      <c r="W542">
        <f>Model!AE705</f>
        <v>0</v>
      </c>
      <c r="X542">
        <f>Model!AF705</f>
        <v>0</v>
      </c>
      <c r="Y542">
        <f>Model!AG705</f>
        <v>0</v>
      </c>
      <c r="Z542">
        <f>Model!AH705</f>
        <v>0</v>
      </c>
      <c r="AA542">
        <f>Model!AI705</f>
        <v>0</v>
      </c>
      <c r="AB542">
        <f>Model!AJ705</f>
        <v>0</v>
      </c>
      <c r="AC542">
        <f>Model!AK705</f>
        <v>0</v>
      </c>
      <c r="AD542">
        <f>Model!AL705</f>
        <v>0</v>
      </c>
      <c r="AE542">
        <f>Model!AM705</f>
        <v>0</v>
      </c>
      <c r="AF542">
        <f>Model!AN705</f>
        <v>0</v>
      </c>
      <c r="AG542">
        <f>Model!AO705</f>
        <v>0</v>
      </c>
      <c r="AH542">
        <f>Model!AP705</f>
        <v>0</v>
      </c>
      <c r="AI542">
        <f>Model!AQ705</f>
        <v>0</v>
      </c>
      <c r="AJ542">
        <f>Model!AR705</f>
        <v>0</v>
      </c>
      <c r="AK542">
        <f>Model!AS705</f>
        <v>0</v>
      </c>
      <c r="AL542">
        <f>Model!AT705</f>
        <v>0</v>
      </c>
      <c r="AM542">
        <f>Model!AU705</f>
        <v>0</v>
      </c>
      <c r="AN542">
        <f>Model!AV705</f>
        <v>0</v>
      </c>
      <c r="AO542">
        <f>Model!AW705</f>
        <v>0</v>
      </c>
      <c r="AP542">
        <f>Model!AX705</f>
        <v>0</v>
      </c>
      <c r="AQ542">
        <f>Model!AY705</f>
        <v>0</v>
      </c>
      <c r="AR542">
        <f>Model!AZ705</f>
        <v>0</v>
      </c>
      <c r="AS542">
        <f>Model!BA705</f>
        <v>0</v>
      </c>
      <c r="AT542">
        <f>Model!BB705</f>
        <v>0</v>
      </c>
      <c r="AU542">
        <f>Model!BC705</f>
        <v>0</v>
      </c>
      <c r="AV542">
        <f>Model!BD705</f>
        <v>0</v>
      </c>
      <c r="AW542">
        <f>Model!BE705</f>
        <v>0</v>
      </c>
      <c r="AX542">
        <f>Model!BF705</f>
        <v>0</v>
      </c>
      <c r="AY542">
        <f>Model!BG705</f>
        <v>0</v>
      </c>
      <c r="AZ542">
        <f>Model!BH705</f>
        <v>0</v>
      </c>
      <c r="BA542">
        <f>Model!BI705</f>
        <v>0</v>
      </c>
      <c r="BB542">
        <f>Model!BJ705</f>
        <v>0</v>
      </c>
      <c r="BC542">
        <f>Model!BK705</f>
        <v>0</v>
      </c>
      <c r="BD542">
        <f>Model!BL705</f>
        <v>0</v>
      </c>
      <c r="BE542">
        <f>Model!BM705</f>
        <v>0</v>
      </c>
      <c r="BF542">
        <f>Model!BN705</f>
        <v>24.376999999999999</v>
      </c>
      <c r="BG542">
        <f>Model!BO705</f>
        <v>-11.066999999999998</v>
      </c>
      <c r="BH542">
        <f>Model!BP705</f>
        <v>-2.610000000000003</v>
      </c>
      <c r="BI542">
        <f>Model!BQ705</f>
        <v>9.17</v>
      </c>
      <c r="BJ542">
        <f>Model!BR705</f>
        <v>0</v>
      </c>
      <c r="BK542">
        <f>Model!BS705</f>
        <v>0</v>
      </c>
      <c r="BL542">
        <f>Model!BT705</f>
        <v>0</v>
      </c>
      <c r="BM542">
        <f>Model!BU705</f>
        <v>0</v>
      </c>
      <c r="BN542">
        <f>Model!BV705</f>
        <v>0</v>
      </c>
      <c r="BO542">
        <f>Model!BW705</f>
        <v>0</v>
      </c>
      <c r="BP542">
        <f>Model!BX705</f>
        <v>0</v>
      </c>
      <c r="BQ542">
        <f>Model!BY705</f>
        <v>0</v>
      </c>
      <c r="BR542">
        <f>Model!BZ705</f>
        <v>0</v>
      </c>
      <c r="BS542">
        <f>Model!CA705</f>
        <v>0</v>
      </c>
      <c r="BT542">
        <f>Model!CB705</f>
        <v>0</v>
      </c>
      <c r="BU542">
        <f>Model!CC705</f>
        <v>0</v>
      </c>
      <c r="BV542">
        <f>Model!CD705</f>
        <v>0</v>
      </c>
      <c r="BW542">
        <f>Model!CE705</f>
        <v>0</v>
      </c>
      <c r="BX542">
        <f>Model!CF705</f>
        <v>0</v>
      </c>
      <c r="BY542">
        <f>Model!CG705</f>
        <v>0</v>
      </c>
      <c r="BZ542">
        <f>Model!CH705</f>
        <v>0</v>
      </c>
      <c r="CA542">
        <f>Model!CI705</f>
        <v>0</v>
      </c>
      <c r="CB542">
        <f>Model!CJ705</f>
        <v>0</v>
      </c>
      <c r="CC542">
        <f>Model!CK705</f>
        <v>0</v>
      </c>
      <c r="CD542">
        <f>Model!CL705</f>
        <v>0</v>
      </c>
      <c r="CE542">
        <f>Model!CM705</f>
        <v>0</v>
      </c>
      <c r="CF542">
        <f>Model!CN705</f>
        <v>0</v>
      </c>
      <c r="CG542">
        <f>Model!CO705</f>
        <v>0</v>
      </c>
      <c r="CH542">
        <f>Model!CP705</f>
        <v>0</v>
      </c>
      <c r="CI542">
        <f>Model!CQ705</f>
        <v>0</v>
      </c>
      <c r="CJ542">
        <f>Model!CR705</f>
        <v>0</v>
      </c>
      <c r="CK542">
        <f>Model!CS705</f>
        <v>0</v>
      </c>
      <c r="CL542">
        <f>Model!CT705</f>
        <v>0</v>
      </c>
      <c r="CM542">
        <f>Model!CU705</f>
        <v>10.7</v>
      </c>
      <c r="CN542">
        <f>Model!CV705</f>
        <v>9.17</v>
      </c>
      <c r="CO542">
        <f>Model!CW705</f>
        <v>0</v>
      </c>
      <c r="CP542">
        <f>Model!CX705</f>
        <v>0</v>
      </c>
      <c r="CQ542">
        <f>Model!CY705</f>
        <v>0</v>
      </c>
      <c r="CR542">
        <f>Model!DG705</f>
        <v>0</v>
      </c>
      <c r="CS542">
        <f>Model!DH705</f>
        <v>0</v>
      </c>
      <c r="CT542">
        <f>Model!DI705</f>
        <v>0</v>
      </c>
      <c r="CU542">
        <f>Model!DJ705</f>
        <v>0</v>
      </c>
    </row>
    <row r="543" spans="1:99">
      <c r="A543" t="str">
        <f>Model!I706</f>
        <v>Non-cash financing activity for acquisitions</v>
      </c>
      <c r="B543">
        <f>Model!J706</f>
        <v>0</v>
      </c>
      <c r="C543">
        <f>Model!K706</f>
        <v>0</v>
      </c>
      <c r="D543">
        <f>Model!L706</f>
        <v>0</v>
      </c>
      <c r="E543">
        <f>Model!M706</f>
        <v>0</v>
      </c>
      <c r="F543">
        <f>Model!N706</f>
        <v>0</v>
      </c>
      <c r="G543">
        <f>Model!O706</f>
        <v>0</v>
      </c>
      <c r="H543">
        <f>Model!P706</f>
        <v>0</v>
      </c>
      <c r="I543">
        <f>Model!Q706</f>
        <v>0</v>
      </c>
      <c r="J543">
        <f>Model!R706</f>
        <v>0</v>
      </c>
      <c r="K543">
        <f>Model!S706</f>
        <v>0</v>
      </c>
      <c r="L543">
        <f>Model!T706</f>
        <v>0</v>
      </c>
      <c r="M543">
        <f>Model!U706</f>
        <v>0</v>
      </c>
      <c r="N543">
        <f>Model!V706</f>
        <v>0</v>
      </c>
      <c r="O543">
        <f>Model!W706</f>
        <v>0</v>
      </c>
      <c r="P543">
        <f>Model!X706</f>
        <v>0</v>
      </c>
      <c r="Q543">
        <f>Model!Y706</f>
        <v>0</v>
      </c>
      <c r="R543">
        <f>Model!Z706</f>
        <v>0</v>
      </c>
      <c r="S543">
        <f>Model!AA706</f>
        <v>0</v>
      </c>
      <c r="T543">
        <f>Model!AB706</f>
        <v>0</v>
      </c>
      <c r="U543">
        <f>Model!AC706</f>
        <v>0</v>
      </c>
      <c r="V543">
        <f>Model!AD706</f>
        <v>0</v>
      </c>
      <c r="W543">
        <f>Model!AE706</f>
        <v>0</v>
      </c>
      <c r="X543">
        <f>Model!AF706</f>
        <v>0</v>
      </c>
      <c r="Y543">
        <f>Model!AG706</f>
        <v>0</v>
      </c>
      <c r="Z543">
        <f>Model!AH706</f>
        <v>0</v>
      </c>
      <c r="AA543">
        <f>Model!AI706</f>
        <v>0</v>
      </c>
      <c r="AB543">
        <f>Model!AJ706</f>
        <v>0</v>
      </c>
      <c r="AC543">
        <f>Model!AK706</f>
        <v>0</v>
      </c>
      <c r="AD543">
        <f>Model!AL706</f>
        <v>0</v>
      </c>
      <c r="AE543">
        <f>Model!AM706</f>
        <v>0</v>
      </c>
      <c r="AF543">
        <f>Model!AN706</f>
        <v>0</v>
      </c>
      <c r="AG543">
        <f>Model!AO706</f>
        <v>0</v>
      </c>
      <c r="AH543">
        <f>Model!AP706</f>
        <v>0</v>
      </c>
      <c r="AI543">
        <f>Model!AQ706</f>
        <v>0</v>
      </c>
      <c r="AJ543">
        <f>Model!AR706</f>
        <v>0</v>
      </c>
      <c r="AK543">
        <f>Model!AS706</f>
        <v>0</v>
      </c>
      <c r="AL543">
        <f>Model!AT706</f>
        <v>0</v>
      </c>
      <c r="AM543">
        <f>Model!AU706</f>
        <v>0</v>
      </c>
      <c r="AN543">
        <f>Model!AV706</f>
        <v>0</v>
      </c>
      <c r="AO543">
        <f>Model!AW706</f>
        <v>0</v>
      </c>
      <c r="AP543">
        <f>Model!AX706</f>
        <v>0</v>
      </c>
      <c r="AQ543">
        <f>Model!AY706</f>
        <v>0</v>
      </c>
      <c r="AR543">
        <f>Model!AZ706</f>
        <v>0</v>
      </c>
      <c r="AS543">
        <f>Model!BA706</f>
        <v>0</v>
      </c>
      <c r="AT543">
        <f>Model!BB706</f>
        <v>0</v>
      </c>
      <c r="AU543">
        <f>Model!BC706</f>
        <v>0</v>
      </c>
      <c r="AV543">
        <f>Model!BD706</f>
        <v>0</v>
      </c>
      <c r="AW543">
        <f>Model!BE706</f>
        <v>0</v>
      </c>
      <c r="AX543">
        <f>Model!BF706</f>
        <v>0</v>
      </c>
      <c r="AY543">
        <f>Model!BG706</f>
        <v>0</v>
      </c>
      <c r="AZ543">
        <f>Model!BH706</f>
        <v>0</v>
      </c>
      <c r="BA543">
        <f>Model!BI706</f>
        <v>0</v>
      </c>
      <c r="BB543">
        <f>Model!BJ706</f>
        <v>0</v>
      </c>
      <c r="BC543">
        <f>Model!BK706</f>
        <v>0</v>
      </c>
      <c r="BD543">
        <f>Model!BL706</f>
        <v>1546.748</v>
      </c>
      <c r="BE543">
        <f>Model!BM706</f>
        <v>0</v>
      </c>
      <c r="BF543">
        <f>Model!BN706</f>
        <v>5.5839999999999996</v>
      </c>
      <c r="BG543">
        <f>Model!BO706</f>
        <v>8.168000000000001</v>
      </c>
      <c r="BH543">
        <f>Model!BP706</f>
        <v>-1.0000000000012221E-3</v>
      </c>
      <c r="BI543">
        <f>Model!BQ706</f>
        <v>0</v>
      </c>
      <c r="BJ543">
        <f>Model!BR706</f>
        <v>0</v>
      </c>
      <c r="BK543">
        <f>Model!BS706</f>
        <v>0</v>
      </c>
      <c r="BL543">
        <f>Model!BT706</f>
        <v>0</v>
      </c>
      <c r="BM543">
        <f>Model!BU706</f>
        <v>0</v>
      </c>
      <c r="BN543">
        <f>Model!BV706</f>
        <v>0</v>
      </c>
      <c r="BO543">
        <f>Model!BW706</f>
        <v>0</v>
      </c>
      <c r="BP543">
        <f>Model!BX706</f>
        <v>0</v>
      </c>
      <c r="BQ543">
        <f>Model!BY706</f>
        <v>0</v>
      </c>
      <c r="BR543">
        <f>Model!BZ706</f>
        <v>0</v>
      </c>
      <c r="BS543">
        <f>Model!CA706</f>
        <v>0</v>
      </c>
      <c r="BT543">
        <f>Model!CB706</f>
        <v>1</v>
      </c>
      <c r="BU543">
        <f>Model!CC706</f>
        <v>0</v>
      </c>
      <c r="BV543">
        <f>Model!CD706</f>
        <v>0</v>
      </c>
      <c r="BW543">
        <f>Model!CE706</f>
        <v>0</v>
      </c>
      <c r="BX543">
        <f>Model!CF706</f>
        <v>0</v>
      </c>
      <c r="BY543">
        <f>Model!CG706</f>
        <v>0</v>
      </c>
      <c r="BZ543">
        <f>Model!CH706</f>
        <v>0</v>
      </c>
      <c r="CA543">
        <f>Model!CI706</f>
        <v>0</v>
      </c>
      <c r="CB543">
        <f>Model!CJ706</f>
        <v>0</v>
      </c>
      <c r="CC543">
        <f>Model!CK706</f>
        <v>0</v>
      </c>
      <c r="CD543">
        <f>Model!CL706</f>
        <v>0</v>
      </c>
      <c r="CE543">
        <f>Model!CM706</f>
        <v>0</v>
      </c>
      <c r="CF543">
        <f>Model!CN706</f>
        <v>0</v>
      </c>
      <c r="CG543">
        <f>Model!CO706</f>
        <v>0</v>
      </c>
      <c r="CH543">
        <f>Model!CP706</f>
        <v>0</v>
      </c>
      <c r="CI543">
        <f>Model!CQ706</f>
        <v>0</v>
      </c>
      <c r="CJ543">
        <f>Model!CR706</f>
        <v>0</v>
      </c>
      <c r="CK543">
        <f>Model!CS706</f>
        <v>0</v>
      </c>
      <c r="CL543">
        <f>Model!CT706</f>
        <v>1546.748</v>
      </c>
      <c r="CM543">
        <f>Model!CU706</f>
        <v>13.750999999999999</v>
      </c>
      <c r="CN543">
        <f>Model!CV706</f>
        <v>0</v>
      </c>
      <c r="CO543">
        <f>Model!CW706</f>
        <v>0</v>
      </c>
      <c r="CP543">
        <f>Model!CX706</f>
        <v>1</v>
      </c>
      <c r="CQ543">
        <f>Model!CY706</f>
        <v>0</v>
      </c>
      <c r="CR543">
        <f>Model!DG706</f>
        <v>0</v>
      </c>
      <c r="CS543">
        <f>Model!DH706</f>
        <v>0</v>
      </c>
      <c r="CT543">
        <f>Model!DI706</f>
        <v>0</v>
      </c>
      <c r="CU543">
        <f>Model!DJ706</f>
        <v>0</v>
      </c>
    </row>
    <row r="544" spans="1:99">
      <c r="A544">
        <f>Model!I707</f>
        <v>0</v>
      </c>
      <c r="B544">
        <f>Model!J707</f>
        <v>0</v>
      </c>
      <c r="C544">
        <f>Model!K707</f>
        <v>0</v>
      </c>
      <c r="D544">
        <f>Model!L707</f>
        <v>0</v>
      </c>
      <c r="E544">
        <f>Model!M707</f>
        <v>0</v>
      </c>
      <c r="F544">
        <f>Model!N707</f>
        <v>0</v>
      </c>
      <c r="G544">
        <f>Model!O707</f>
        <v>0</v>
      </c>
      <c r="H544">
        <f>Model!P707</f>
        <v>0</v>
      </c>
      <c r="I544">
        <f>Model!Q707</f>
        <v>0</v>
      </c>
      <c r="J544">
        <f>Model!R707</f>
        <v>0</v>
      </c>
      <c r="K544">
        <f>Model!S707</f>
        <v>0</v>
      </c>
      <c r="L544">
        <f>Model!T707</f>
        <v>0</v>
      </c>
      <c r="M544">
        <f>Model!U707</f>
        <v>0</v>
      </c>
      <c r="N544">
        <f>Model!V707</f>
        <v>0</v>
      </c>
      <c r="O544">
        <f>Model!W707</f>
        <v>0</v>
      </c>
      <c r="P544">
        <f>Model!X707</f>
        <v>0</v>
      </c>
      <c r="Q544">
        <f>Model!Y707</f>
        <v>0</v>
      </c>
      <c r="R544">
        <f>Model!Z707</f>
        <v>0</v>
      </c>
      <c r="S544">
        <f>Model!AA707</f>
        <v>0</v>
      </c>
      <c r="T544">
        <f>Model!AB707</f>
        <v>0</v>
      </c>
      <c r="U544">
        <f>Model!AC707</f>
        <v>0</v>
      </c>
      <c r="V544">
        <f>Model!AD707</f>
        <v>0</v>
      </c>
      <c r="W544">
        <f>Model!AE707</f>
        <v>0</v>
      </c>
      <c r="X544">
        <f>Model!AF707</f>
        <v>0</v>
      </c>
      <c r="Y544">
        <f>Model!AG707</f>
        <v>0</v>
      </c>
      <c r="Z544">
        <f>Model!AH707</f>
        <v>0</v>
      </c>
      <c r="AA544">
        <f>Model!AI707</f>
        <v>0</v>
      </c>
      <c r="AB544">
        <f>Model!AJ707</f>
        <v>0</v>
      </c>
      <c r="AC544">
        <f>Model!AK707</f>
        <v>0</v>
      </c>
      <c r="AD544">
        <f>Model!AL707</f>
        <v>0</v>
      </c>
      <c r="AE544">
        <f>Model!AM707</f>
        <v>0</v>
      </c>
      <c r="AF544">
        <f>Model!AN707</f>
        <v>0</v>
      </c>
      <c r="AG544">
        <f>Model!AO707</f>
        <v>0</v>
      </c>
      <c r="AH544">
        <f>Model!AP707</f>
        <v>0</v>
      </c>
      <c r="AI544">
        <f>Model!AQ707</f>
        <v>0</v>
      </c>
      <c r="AJ544">
        <f>Model!AR707</f>
        <v>0</v>
      </c>
      <c r="AK544">
        <f>Model!AS707</f>
        <v>0</v>
      </c>
      <c r="AL544">
        <f>Model!AT707</f>
        <v>0</v>
      </c>
      <c r="AM544">
        <f>Model!AU707</f>
        <v>0</v>
      </c>
      <c r="AN544">
        <f>Model!AV707</f>
        <v>0</v>
      </c>
      <c r="AO544">
        <f>Model!AW707</f>
        <v>0</v>
      </c>
      <c r="AP544">
        <f>Model!AX707</f>
        <v>0</v>
      </c>
      <c r="AQ544">
        <f>Model!AY707</f>
        <v>0</v>
      </c>
      <c r="AR544">
        <f>Model!AZ707</f>
        <v>0</v>
      </c>
      <c r="AS544">
        <f>Model!BA707</f>
        <v>0</v>
      </c>
      <c r="AT544">
        <f>Model!BB707</f>
        <v>0</v>
      </c>
      <c r="AU544">
        <f>Model!BC707</f>
        <v>0</v>
      </c>
      <c r="AV544">
        <f>Model!BD707</f>
        <v>0</v>
      </c>
      <c r="AW544">
        <f>Model!BE707</f>
        <v>0</v>
      </c>
      <c r="AX544">
        <f>Model!BF707</f>
        <v>0</v>
      </c>
      <c r="AY544">
        <f>Model!BG707</f>
        <v>0</v>
      </c>
      <c r="AZ544">
        <f>Model!BH707</f>
        <v>0</v>
      </c>
      <c r="BA544">
        <f>Model!BI707</f>
        <v>0</v>
      </c>
      <c r="BB544">
        <f>Model!BJ707</f>
        <v>0</v>
      </c>
      <c r="BC544">
        <f>Model!BK707</f>
        <v>0</v>
      </c>
      <c r="BD544">
        <f>Model!BL707</f>
        <v>0</v>
      </c>
      <c r="BE544">
        <f>Model!BM707</f>
        <v>0</v>
      </c>
      <c r="BF544">
        <f>Model!BN707</f>
        <v>0</v>
      </c>
      <c r="BG544">
        <f>Model!BO707</f>
        <v>0</v>
      </c>
      <c r="BH544">
        <f>Model!BP707</f>
        <v>0</v>
      </c>
      <c r="BI544">
        <f>Model!BQ707</f>
        <v>0</v>
      </c>
      <c r="BJ544">
        <f>Model!BR707</f>
        <v>0</v>
      </c>
      <c r="BK544">
        <f>Model!BS707</f>
        <v>0</v>
      </c>
      <c r="BL544">
        <f>Model!BT707</f>
        <v>0</v>
      </c>
      <c r="BM544">
        <f>Model!BU707</f>
        <v>0</v>
      </c>
      <c r="BN544">
        <f>Model!BV707</f>
        <v>0</v>
      </c>
      <c r="BO544">
        <f>Model!BW707</f>
        <v>0</v>
      </c>
      <c r="BP544">
        <f>Model!BX707</f>
        <v>0</v>
      </c>
      <c r="BQ544">
        <f>Model!BY707</f>
        <v>0</v>
      </c>
      <c r="BR544">
        <f>Model!BZ707</f>
        <v>0</v>
      </c>
      <c r="BS544">
        <f>Model!CA707</f>
        <v>0</v>
      </c>
      <c r="BT544">
        <f>Model!CB707</f>
        <v>0</v>
      </c>
      <c r="BU544">
        <f>Model!CC707</f>
        <v>0</v>
      </c>
      <c r="BV544">
        <f>Model!CD707</f>
        <v>0</v>
      </c>
      <c r="BW544">
        <f>Model!CE707</f>
        <v>0</v>
      </c>
      <c r="BX544">
        <f>Model!CF707</f>
        <v>0</v>
      </c>
      <c r="BY544">
        <f>Model!CG707</f>
        <v>0</v>
      </c>
      <c r="BZ544">
        <f>Model!CH707</f>
        <v>0</v>
      </c>
      <c r="CA544">
        <f>Model!CI707</f>
        <v>0</v>
      </c>
      <c r="CB544">
        <f>Model!CJ707</f>
        <v>0</v>
      </c>
      <c r="CC544">
        <f>Model!CK707</f>
        <v>0</v>
      </c>
      <c r="CD544">
        <f>Model!CL707</f>
        <v>0</v>
      </c>
      <c r="CE544">
        <f>Model!CM707</f>
        <v>0</v>
      </c>
      <c r="CF544">
        <f>Model!CN707</f>
        <v>0</v>
      </c>
      <c r="CG544">
        <f>Model!CO707</f>
        <v>0</v>
      </c>
      <c r="CH544">
        <f>Model!CP707</f>
        <v>0</v>
      </c>
      <c r="CI544">
        <f>Model!CQ707</f>
        <v>0</v>
      </c>
      <c r="CJ544">
        <f>Model!CR707</f>
        <v>0</v>
      </c>
      <c r="CK544">
        <f>Model!CS707</f>
        <v>0</v>
      </c>
      <c r="CL544">
        <f>Model!CT707</f>
        <v>0</v>
      </c>
      <c r="CM544">
        <f>Model!CU707</f>
        <v>0</v>
      </c>
      <c r="CN544">
        <f>Model!CV707</f>
        <v>0</v>
      </c>
      <c r="CO544">
        <f>Model!CW707</f>
        <v>0</v>
      </c>
      <c r="CP544">
        <f>Model!CX707</f>
        <v>0</v>
      </c>
      <c r="CQ544">
        <f>Model!CY707</f>
        <v>0</v>
      </c>
      <c r="CR544">
        <f>Model!DG707</f>
        <v>0</v>
      </c>
      <c r="CS544">
        <f>Model!DH707</f>
        <v>0</v>
      </c>
      <c r="CT544">
        <f>Model!DI707</f>
        <v>0</v>
      </c>
      <c r="CU544">
        <f>Model!DJ707</f>
        <v>0</v>
      </c>
    </row>
    <row r="545" spans="1:102">
      <c r="A545">
        <f>Model!I708</f>
        <v>0</v>
      </c>
      <c r="B545">
        <f>Model!J708</f>
        <v>0</v>
      </c>
      <c r="C545">
        <f>Model!K708</f>
        <v>0</v>
      </c>
      <c r="D545">
        <f>Model!L708</f>
        <v>0</v>
      </c>
      <c r="E545">
        <f>Model!M708</f>
        <v>0</v>
      </c>
      <c r="F545">
        <f>Model!N708</f>
        <v>0</v>
      </c>
      <c r="G545">
        <f>Model!O708</f>
        <v>0</v>
      </c>
      <c r="H545">
        <f>Model!P708</f>
        <v>0</v>
      </c>
      <c r="I545">
        <f>Model!Q708</f>
        <v>0</v>
      </c>
      <c r="J545">
        <f>Model!R708</f>
        <v>0</v>
      </c>
      <c r="K545">
        <f>Model!S708</f>
        <v>0</v>
      </c>
      <c r="L545">
        <f>Model!T708</f>
        <v>0</v>
      </c>
      <c r="M545">
        <f>Model!U708</f>
        <v>0</v>
      </c>
      <c r="N545">
        <f>Model!V708</f>
        <v>0</v>
      </c>
      <c r="O545">
        <f>Model!W708</f>
        <v>0</v>
      </c>
      <c r="P545">
        <f>Model!X708</f>
        <v>0</v>
      </c>
      <c r="Q545">
        <f>Model!Y708</f>
        <v>0</v>
      </c>
      <c r="R545">
        <f>Model!Z708</f>
        <v>0</v>
      </c>
      <c r="S545">
        <f>Model!AA708</f>
        <v>0</v>
      </c>
      <c r="T545">
        <f>Model!AB708</f>
        <v>0</v>
      </c>
      <c r="U545">
        <f>Model!AC708</f>
        <v>0</v>
      </c>
      <c r="V545">
        <f>Model!AD708</f>
        <v>0</v>
      </c>
      <c r="W545">
        <f>Model!AE708</f>
        <v>0</v>
      </c>
      <c r="X545">
        <f>Model!AF708</f>
        <v>0</v>
      </c>
      <c r="Y545">
        <f>Model!AG708</f>
        <v>0</v>
      </c>
      <c r="Z545">
        <f>Model!AH708</f>
        <v>0</v>
      </c>
      <c r="AA545">
        <f>Model!AI708</f>
        <v>0</v>
      </c>
      <c r="AB545">
        <f>Model!AJ708</f>
        <v>0</v>
      </c>
      <c r="AC545">
        <f>Model!AK708</f>
        <v>0</v>
      </c>
      <c r="AD545">
        <f>Model!AL708</f>
        <v>0</v>
      </c>
      <c r="AE545">
        <f>Model!AM708</f>
        <v>0</v>
      </c>
      <c r="AF545">
        <f>Model!AN708</f>
        <v>0</v>
      </c>
      <c r="AG545">
        <f>Model!AO708</f>
        <v>0</v>
      </c>
      <c r="AH545">
        <f>Model!AP708</f>
        <v>0</v>
      </c>
      <c r="AI545">
        <f>Model!AQ708</f>
        <v>0</v>
      </c>
      <c r="AJ545">
        <f>Model!AR708</f>
        <v>0</v>
      </c>
      <c r="AK545">
        <f>Model!AS708</f>
        <v>0</v>
      </c>
      <c r="AL545">
        <f>Model!AT708</f>
        <v>0</v>
      </c>
      <c r="AM545">
        <f>Model!AU708</f>
        <v>0</v>
      </c>
      <c r="AN545">
        <f>Model!AV708</f>
        <v>0</v>
      </c>
      <c r="AO545">
        <f>Model!AW708</f>
        <v>0</v>
      </c>
      <c r="AP545">
        <f>Model!AX708</f>
        <v>0</v>
      </c>
      <c r="AQ545">
        <f>Model!AY708</f>
        <v>0</v>
      </c>
      <c r="AR545">
        <f>Model!AZ708</f>
        <v>0</v>
      </c>
      <c r="AS545">
        <f>Model!BA708</f>
        <v>0</v>
      </c>
      <c r="AT545">
        <f>Model!BB708</f>
        <v>0</v>
      </c>
      <c r="AU545">
        <f>Model!BC708</f>
        <v>0</v>
      </c>
      <c r="AV545">
        <f>Model!BD708</f>
        <v>0</v>
      </c>
      <c r="AW545">
        <f>Model!BE708</f>
        <v>0</v>
      </c>
      <c r="AX545">
        <f>Model!BF708</f>
        <v>0</v>
      </c>
      <c r="AY545">
        <f>Model!BG708</f>
        <v>0</v>
      </c>
      <c r="AZ545">
        <f>Model!BH708</f>
        <v>0</v>
      </c>
      <c r="BA545">
        <f>Model!BI708</f>
        <v>0</v>
      </c>
      <c r="BB545">
        <f>Model!BJ708</f>
        <v>0</v>
      </c>
      <c r="BC545">
        <f>Model!BK708</f>
        <v>0</v>
      </c>
      <c r="BD545">
        <f>Model!BL708</f>
        <v>0</v>
      </c>
      <c r="BE545">
        <f>Model!BM708</f>
        <v>0</v>
      </c>
      <c r="BF545">
        <f>Model!BN708</f>
        <v>0</v>
      </c>
      <c r="BG545">
        <f>Model!BO708</f>
        <v>0</v>
      </c>
      <c r="BH545">
        <f>Model!BP708</f>
        <v>0</v>
      </c>
      <c r="BI545">
        <f>Model!BQ708</f>
        <v>0</v>
      </c>
      <c r="BJ545">
        <f>Model!BR708</f>
        <v>0</v>
      </c>
      <c r="BK545">
        <f>Model!BS708</f>
        <v>0</v>
      </c>
      <c r="BL545">
        <f>Model!BT708</f>
        <v>0</v>
      </c>
      <c r="BM545">
        <f>Model!BU708</f>
        <v>0</v>
      </c>
      <c r="BN545">
        <f>Model!BV708</f>
        <v>0</v>
      </c>
      <c r="BO545">
        <f>Model!BW708</f>
        <v>0</v>
      </c>
      <c r="BP545">
        <f>Model!BX708</f>
        <v>0</v>
      </c>
      <c r="BQ545">
        <f>Model!BY708</f>
        <v>0</v>
      </c>
      <c r="BR545">
        <f>Model!BZ708</f>
        <v>0</v>
      </c>
      <c r="BS545">
        <f>Model!CA708</f>
        <v>0</v>
      </c>
      <c r="BT545">
        <f>Model!CB708</f>
        <v>0</v>
      </c>
      <c r="BU545">
        <f>Model!CC708</f>
        <v>0</v>
      </c>
      <c r="BV545">
        <f>Model!CD708</f>
        <v>0</v>
      </c>
      <c r="BW545">
        <f>Model!CE708</f>
        <v>0</v>
      </c>
      <c r="BX545">
        <f>Model!CF708</f>
        <v>0</v>
      </c>
      <c r="BY545">
        <f>Model!CG708</f>
        <v>0</v>
      </c>
      <c r="BZ545">
        <f>Model!CH708</f>
        <v>0</v>
      </c>
      <c r="CA545">
        <f>Model!CI708</f>
        <v>0</v>
      </c>
      <c r="CB545">
        <f>Model!CJ708</f>
        <v>0</v>
      </c>
      <c r="CC545">
        <f>Model!CK708</f>
        <v>0</v>
      </c>
      <c r="CD545">
        <f>Model!CL708</f>
        <v>0</v>
      </c>
      <c r="CE545">
        <f>Model!CM708</f>
        <v>0</v>
      </c>
      <c r="CF545">
        <f>Model!CN708</f>
        <v>0</v>
      </c>
      <c r="CG545">
        <f>Model!CO708</f>
        <v>0</v>
      </c>
      <c r="CH545">
        <f>Model!CP708</f>
        <v>0</v>
      </c>
      <c r="CI545">
        <f>Model!CQ708</f>
        <v>0</v>
      </c>
      <c r="CJ545">
        <f>Model!CR708</f>
        <v>0</v>
      </c>
      <c r="CK545">
        <f>Model!CS708</f>
        <v>0</v>
      </c>
      <c r="CL545">
        <f>Model!CT708</f>
        <v>0</v>
      </c>
      <c r="CM545">
        <f>Model!CU708</f>
        <v>0</v>
      </c>
      <c r="CN545">
        <f>Model!CV708</f>
        <v>0</v>
      </c>
      <c r="CO545">
        <f>Model!CW708</f>
        <v>0</v>
      </c>
      <c r="CP545">
        <f>Model!CX708</f>
        <v>0</v>
      </c>
      <c r="CQ545">
        <f>Model!CY708</f>
        <v>0</v>
      </c>
      <c r="CR545">
        <f>Model!DG708</f>
        <v>0</v>
      </c>
      <c r="CS545">
        <f>Model!DH708</f>
        <v>0</v>
      </c>
      <c r="CT545">
        <f>Model!DI708</f>
        <v>0</v>
      </c>
      <c r="CU545">
        <f>Model!DJ708</f>
        <v>0</v>
      </c>
    </row>
    <row r="546" spans="1:102">
      <c r="A546" t="str">
        <f>Model!I709</f>
        <v>Cash, Cash Equivalents, and Short-Term Investments (10Q)</v>
      </c>
      <c r="B546">
        <f>Model!J709</f>
        <v>0</v>
      </c>
      <c r="C546">
        <f>Model!K709</f>
        <v>0</v>
      </c>
      <c r="D546">
        <f>Model!L709</f>
        <v>0</v>
      </c>
      <c r="E546">
        <f>Model!M709</f>
        <v>0</v>
      </c>
      <c r="F546">
        <f>Model!N709</f>
        <v>0</v>
      </c>
      <c r="G546">
        <f>Model!O709</f>
        <v>0</v>
      </c>
      <c r="H546">
        <f>Model!P709</f>
        <v>0</v>
      </c>
      <c r="I546">
        <f>Model!Q709</f>
        <v>0</v>
      </c>
      <c r="J546">
        <f>Model!R709</f>
        <v>0</v>
      </c>
      <c r="K546">
        <f>Model!S709</f>
        <v>0</v>
      </c>
      <c r="L546">
        <f>Model!T709</f>
        <v>0</v>
      </c>
      <c r="M546">
        <f>Model!U709</f>
        <v>0</v>
      </c>
      <c r="N546">
        <f>Model!V709</f>
        <v>0</v>
      </c>
      <c r="O546">
        <f>Model!W709</f>
        <v>0</v>
      </c>
      <c r="P546">
        <f>Model!X709</f>
        <v>0</v>
      </c>
      <c r="Q546">
        <f>Model!Y709</f>
        <v>0</v>
      </c>
      <c r="R546">
        <f>Model!Z709</f>
        <v>0</v>
      </c>
      <c r="S546">
        <f>Model!AA709</f>
        <v>0</v>
      </c>
      <c r="T546">
        <f>Model!AB709</f>
        <v>0</v>
      </c>
      <c r="U546">
        <f>Model!AC709</f>
        <v>0</v>
      </c>
      <c r="V546">
        <f>Model!AD709</f>
        <v>0</v>
      </c>
      <c r="W546">
        <f>Model!AE709</f>
        <v>0</v>
      </c>
      <c r="X546">
        <f>Model!AF709</f>
        <v>0</v>
      </c>
      <c r="Y546">
        <f>Model!AG709</f>
        <v>0</v>
      </c>
      <c r="Z546">
        <f>Model!AH709</f>
        <v>0</v>
      </c>
      <c r="AA546">
        <f>Model!AI709</f>
        <v>0</v>
      </c>
      <c r="AB546">
        <f>Model!AJ709</f>
        <v>0</v>
      </c>
      <c r="AC546">
        <f>Model!AK709</f>
        <v>0</v>
      </c>
      <c r="AD546">
        <f>Model!AL709</f>
        <v>0</v>
      </c>
      <c r="AE546">
        <f>Model!AM709</f>
        <v>0</v>
      </c>
      <c r="AF546">
        <f>Model!AN709</f>
        <v>0</v>
      </c>
      <c r="AG546">
        <f>Model!AO709</f>
        <v>0</v>
      </c>
      <c r="AH546">
        <f>Model!AP709</f>
        <v>0</v>
      </c>
      <c r="AI546">
        <f>Model!AQ709</f>
        <v>0</v>
      </c>
      <c r="AJ546">
        <f>Model!AR709</f>
        <v>0</v>
      </c>
      <c r="AK546">
        <f>Model!AS709</f>
        <v>0</v>
      </c>
      <c r="AL546">
        <f>Model!AT709</f>
        <v>0</v>
      </c>
      <c r="AM546">
        <f>Model!AU709</f>
        <v>0</v>
      </c>
      <c r="AN546">
        <f>Model!AV709</f>
        <v>0</v>
      </c>
      <c r="AO546">
        <f>Model!AW709</f>
        <v>0</v>
      </c>
      <c r="AP546">
        <f>Model!AX709</f>
        <v>0</v>
      </c>
      <c r="AQ546">
        <f>Model!AY709</f>
        <v>0</v>
      </c>
      <c r="AR546">
        <f>Model!AZ709</f>
        <v>0</v>
      </c>
      <c r="AS546">
        <f>Model!BA709</f>
        <v>0</v>
      </c>
      <c r="AT546">
        <f>Model!BB709</f>
        <v>0</v>
      </c>
      <c r="AU546">
        <f>Model!BC709</f>
        <v>0</v>
      </c>
      <c r="AV546">
        <f>Model!BD709</f>
        <v>0</v>
      </c>
      <c r="AW546">
        <f>Model!BE709</f>
        <v>0</v>
      </c>
      <c r="AX546">
        <f>Model!BF709</f>
        <v>0</v>
      </c>
      <c r="AY546">
        <f>Model!BG709</f>
        <v>0</v>
      </c>
      <c r="AZ546">
        <f>Model!BH709</f>
        <v>0</v>
      </c>
      <c r="BA546">
        <f>Model!BI709</f>
        <v>0</v>
      </c>
      <c r="BB546">
        <f>Model!BJ709</f>
        <v>0</v>
      </c>
      <c r="BC546">
        <f>Model!BK709</f>
        <v>0</v>
      </c>
      <c r="BD546">
        <f>Model!BL709</f>
        <v>0</v>
      </c>
      <c r="BE546">
        <f>Model!BM709</f>
        <v>0</v>
      </c>
      <c r="BF546">
        <f>Model!BN709</f>
        <v>0</v>
      </c>
      <c r="BG546">
        <f>Model!BO709</f>
        <v>0</v>
      </c>
      <c r="BH546">
        <f>Model!BP709</f>
        <v>0</v>
      </c>
      <c r="BI546">
        <f>Model!BQ709</f>
        <v>0</v>
      </c>
      <c r="BJ546">
        <f>Model!BR709</f>
        <v>0</v>
      </c>
      <c r="BK546">
        <f>Model!BS709</f>
        <v>0</v>
      </c>
      <c r="BL546">
        <f>Model!BT709</f>
        <v>0</v>
      </c>
      <c r="BM546">
        <f>Model!BU709</f>
        <v>0</v>
      </c>
      <c r="BN546">
        <f>Model!BV709</f>
        <v>0</v>
      </c>
      <c r="BO546">
        <f>Model!BW709</f>
        <v>0</v>
      </c>
      <c r="BP546">
        <f>Model!BX709</f>
        <v>0</v>
      </c>
      <c r="BQ546">
        <f>Model!BY709</f>
        <v>0</v>
      </c>
      <c r="BR546">
        <f>Model!BZ709</f>
        <v>0</v>
      </c>
      <c r="BS546">
        <f>Model!CA709</f>
        <v>0</v>
      </c>
      <c r="BT546">
        <f>Model!CB709</f>
        <v>0</v>
      </c>
      <c r="BU546">
        <f>Model!CC709</f>
        <v>0</v>
      </c>
      <c r="BV546">
        <f>Model!CD709</f>
        <v>0</v>
      </c>
      <c r="BW546">
        <f>Model!CE709</f>
        <v>0</v>
      </c>
      <c r="BX546">
        <f>Model!CF709</f>
        <v>0</v>
      </c>
      <c r="BY546">
        <f>Model!CG709</f>
        <v>0</v>
      </c>
      <c r="BZ546">
        <f>Model!CH709</f>
        <v>0</v>
      </c>
      <c r="CA546">
        <f>Model!CI709</f>
        <v>0</v>
      </c>
      <c r="CB546">
        <f>Model!CJ709</f>
        <v>0</v>
      </c>
      <c r="CC546">
        <f>Model!CK709</f>
        <v>0</v>
      </c>
      <c r="CD546">
        <f>Model!CL709</f>
        <v>0</v>
      </c>
      <c r="CE546">
        <f>Model!CM709</f>
        <v>0</v>
      </c>
      <c r="CF546">
        <f>Model!CN709</f>
        <v>0</v>
      </c>
      <c r="CG546">
        <f>Model!CO709</f>
        <v>0</v>
      </c>
      <c r="CH546">
        <f>Model!CP709</f>
        <v>0</v>
      </c>
      <c r="CI546">
        <f>Model!CQ709</f>
        <v>0</v>
      </c>
      <c r="CJ546">
        <f>Model!CR709</f>
        <v>0</v>
      </c>
      <c r="CK546">
        <f>Model!CS709</f>
        <v>0</v>
      </c>
      <c r="CL546">
        <f>Model!CT709</f>
        <v>0</v>
      </c>
      <c r="CM546">
        <f>Model!CU709</f>
        <v>0</v>
      </c>
      <c r="CN546">
        <f>Model!CV709</f>
        <v>0</v>
      </c>
      <c r="CO546">
        <f>Model!CW709</f>
        <v>0</v>
      </c>
      <c r="CP546">
        <f>Model!CX709</f>
        <v>0</v>
      </c>
      <c r="CQ546">
        <f>Model!CY709</f>
        <v>0</v>
      </c>
      <c r="CR546">
        <f>Model!DG709</f>
        <v>0</v>
      </c>
      <c r="CS546">
        <f>Model!DH709</f>
        <v>0</v>
      </c>
      <c r="CT546">
        <f>Model!DI709</f>
        <v>0</v>
      </c>
      <c r="CU546">
        <f>Model!DJ709</f>
        <v>0</v>
      </c>
    </row>
    <row r="547" spans="1:102">
      <c r="A547" t="str">
        <f>Model!I710</f>
        <v>U.S. balance</v>
      </c>
      <c r="B547">
        <f>Model!J710</f>
        <v>0</v>
      </c>
      <c r="C547">
        <f>Model!K710</f>
        <v>0</v>
      </c>
      <c r="D547">
        <f>Model!L710</f>
        <v>0</v>
      </c>
      <c r="E547">
        <f>Model!M710</f>
        <v>0</v>
      </c>
      <c r="F547">
        <f>Model!N710</f>
        <v>0</v>
      </c>
      <c r="G547">
        <f>Model!O710</f>
        <v>0</v>
      </c>
      <c r="H547">
        <f>Model!P710</f>
        <v>0</v>
      </c>
      <c r="I547">
        <f>Model!Q710</f>
        <v>0</v>
      </c>
      <c r="J547">
        <f>Model!R710</f>
        <v>0</v>
      </c>
      <c r="K547">
        <f>Model!S710</f>
        <v>0</v>
      </c>
      <c r="L547">
        <f>Model!T710</f>
        <v>0</v>
      </c>
      <c r="M547">
        <f>Model!U710</f>
        <v>0</v>
      </c>
      <c r="N547">
        <f>Model!V710</f>
        <v>0</v>
      </c>
      <c r="O547">
        <f>Model!W710</f>
        <v>0</v>
      </c>
      <c r="P547">
        <f>Model!X710</f>
        <v>0</v>
      </c>
      <c r="Q547">
        <f>Model!Y710</f>
        <v>0</v>
      </c>
      <c r="R547">
        <f>Model!Z710</f>
        <v>0</v>
      </c>
      <c r="S547">
        <f>Model!AA710</f>
        <v>0</v>
      </c>
      <c r="T547">
        <f>Model!AB710</f>
        <v>0</v>
      </c>
      <c r="U547">
        <f>Model!AC710</f>
        <v>0</v>
      </c>
      <c r="V547">
        <f>Model!AD710</f>
        <v>0</v>
      </c>
      <c r="W547">
        <f>Model!AE710</f>
        <v>0</v>
      </c>
      <c r="X547">
        <f>Model!AF710</f>
        <v>0</v>
      </c>
      <c r="Y547">
        <f>Model!AG710</f>
        <v>0</v>
      </c>
      <c r="Z547">
        <f>Model!AH710</f>
        <v>0</v>
      </c>
      <c r="AA547">
        <f>Model!AI710</f>
        <v>0</v>
      </c>
      <c r="AB547">
        <f>Model!AJ710</f>
        <v>0</v>
      </c>
      <c r="AC547">
        <f>Model!AK710</f>
        <v>0</v>
      </c>
      <c r="AD547">
        <f>Model!AL710</f>
        <v>0</v>
      </c>
      <c r="AE547">
        <f>Model!AM710</f>
        <v>0</v>
      </c>
      <c r="AF547">
        <f>Model!AN710</f>
        <v>0</v>
      </c>
      <c r="AG547">
        <f>Model!AO710</f>
        <v>0</v>
      </c>
      <c r="AH547">
        <f>Model!AP710</f>
        <v>0</v>
      </c>
      <c r="AI547">
        <f>Model!AQ710</f>
        <v>324.29999999999995</v>
      </c>
      <c r="AJ547">
        <f>Model!AR710</f>
        <v>281.79999999999995</v>
      </c>
      <c r="AK547">
        <f>Model!AS710</f>
        <v>289.70000000000005</v>
      </c>
      <c r="AL547">
        <f>Model!AT710</f>
        <v>325.40000000000003</v>
      </c>
      <c r="AM547">
        <f>Model!AU710</f>
        <v>291.79999999999995</v>
      </c>
      <c r="AN547">
        <f>Model!AV710</f>
        <v>265.60000000000002</v>
      </c>
      <c r="AO547">
        <f>Model!AW710</f>
        <v>652.20000000000005</v>
      </c>
      <c r="AP547">
        <f>Model!AX710</f>
        <v>700</v>
      </c>
      <c r="AQ547">
        <f>Model!AY710</f>
        <v>700</v>
      </c>
      <c r="AR547">
        <f>Model!AZ710</f>
        <v>751</v>
      </c>
      <c r="AS547">
        <f>Model!BA710</f>
        <v>845.58599999999979</v>
      </c>
      <c r="AT547">
        <f>Model!BB710</f>
        <v>949.41800000000012</v>
      </c>
      <c r="AU547">
        <f>Model!BC710</f>
        <v>1004.6330000000003</v>
      </c>
      <c r="AV547">
        <f>Model!BD710</f>
        <v>1057.663</v>
      </c>
      <c r="AW547">
        <f>Model!BE710</f>
        <v>1918.7030000000004</v>
      </c>
      <c r="AX547">
        <f>Model!BF710</f>
        <v>2042.3420000000001</v>
      </c>
      <c r="AY547">
        <f>Model!BG710</f>
        <v>2067.9970000000003</v>
      </c>
      <c r="AZ547">
        <f>Model!BH710</f>
        <v>2083.1939999999995</v>
      </c>
      <c r="BA547">
        <f>Model!BI710</f>
        <v>2181.6170000000002</v>
      </c>
      <c r="BB547">
        <f>Model!BJ710</f>
        <v>2645.0739999999996</v>
      </c>
      <c r="BC547">
        <f>Model!BK710</f>
        <v>2183.62</v>
      </c>
      <c r="BD547">
        <f>Model!BL710</f>
        <v>1852.7139999999999</v>
      </c>
      <c r="BE547">
        <f>Model!BM710</f>
        <v>1810.5079999999998</v>
      </c>
      <c r="BF547">
        <f>Model!BN710</f>
        <v>1764.7060000000001</v>
      </c>
      <c r="BG547">
        <f>Model!BO710</f>
        <v>1602.259</v>
      </c>
      <c r="BH547">
        <f>Model!BP710</f>
        <v>1146.485999999999</v>
      </c>
      <c r="BI547">
        <f>Model!BQ710</f>
        <v>2509.0990000000002</v>
      </c>
      <c r="BJ547">
        <f>Model!BR710</f>
        <v>1883.5439999999999</v>
      </c>
      <c r="BK547">
        <f>Model!BS710</f>
        <v>680.47199999999975</v>
      </c>
      <c r="BL547">
        <f>Model!BT710</f>
        <v>779.8739999999998</v>
      </c>
      <c r="BM547">
        <f>Model!BU710</f>
        <v>677.13999999999942</v>
      </c>
      <c r="BN547">
        <f>Model!BV710</f>
        <v>1625.3739999999998</v>
      </c>
      <c r="BO547">
        <f>Model!BW710</f>
        <v>1474.7330000000002</v>
      </c>
      <c r="BP547">
        <f>Model!BX710</f>
        <v>1291.021999999999</v>
      </c>
      <c r="BQ547">
        <f>Model!BY710</f>
        <v>2210.8079999999991</v>
      </c>
      <c r="BR547">
        <f>Model!BZ710</f>
        <v>1919.7479999999996</v>
      </c>
      <c r="BS547">
        <f>Model!CA710</f>
        <v>2467.6419999999998</v>
      </c>
      <c r="BT547">
        <f>Model!CB710</f>
        <v>1623.0769999999975</v>
      </c>
      <c r="BU547">
        <f>Model!CC710</f>
        <v>0</v>
      </c>
      <c r="BV547">
        <f>Model!CD710</f>
        <v>0</v>
      </c>
      <c r="BW547">
        <f>Model!CE710</f>
        <v>0</v>
      </c>
      <c r="BX547">
        <f>Model!CF710</f>
        <v>0</v>
      </c>
      <c r="BY547">
        <f>Model!CG710</f>
        <v>0</v>
      </c>
      <c r="BZ547">
        <f>Model!CH710</f>
        <v>0</v>
      </c>
      <c r="CA547">
        <f>Model!CI710</f>
        <v>0</v>
      </c>
      <c r="CB547">
        <f>Model!CJ710</f>
        <v>0</v>
      </c>
      <c r="CC547">
        <f>Model!CK710</f>
        <v>0</v>
      </c>
      <c r="CD547">
        <f>Model!CL710</f>
        <v>0</v>
      </c>
      <c r="CE547">
        <f>Model!CM710</f>
        <v>0</v>
      </c>
      <c r="CF547">
        <f>Model!CN710</f>
        <v>0</v>
      </c>
      <c r="CG547">
        <f>Model!CO710</f>
        <v>281.79999999999995</v>
      </c>
      <c r="CH547">
        <f>Model!CP710</f>
        <v>265.60000000000002</v>
      </c>
      <c r="CI547">
        <f>Model!CQ710</f>
        <v>751</v>
      </c>
      <c r="CJ547">
        <f>Model!CR710</f>
        <v>1057.663</v>
      </c>
      <c r="CK547">
        <f>Model!CS710</f>
        <v>2083.1939999999995</v>
      </c>
      <c r="CL547">
        <f>Model!CT710</f>
        <v>1852.7139999999999</v>
      </c>
      <c r="CM547">
        <f>Model!CU710</f>
        <v>1146.485999999999</v>
      </c>
      <c r="CN547">
        <f>Model!CV710</f>
        <v>779.8739999999998</v>
      </c>
      <c r="CO547">
        <f>Model!CW710</f>
        <v>1291.021999999999</v>
      </c>
      <c r="CP547">
        <f>Model!CX710</f>
        <v>1623.0769999999975</v>
      </c>
      <c r="CQ547">
        <f>Model!CY710</f>
        <v>0</v>
      </c>
      <c r="CR547">
        <f>Model!DG710</f>
        <v>0</v>
      </c>
      <c r="CS547">
        <f>Model!DH710</f>
        <v>0</v>
      </c>
      <c r="CT547">
        <f>Model!DI710</f>
        <v>0</v>
      </c>
      <c r="CU547">
        <f>Model!DJ710</f>
        <v>0</v>
      </c>
    </row>
    <row r="548" spans="1:102">
      <c r="A548" t="str">
        <f>Model!I711</f>
        <v>International balance</v>
      </c>
      <c r="B548">
        <f>Model!J711</f>
        <v>0</v>
      </c>
      <c r="C548">
        <f>Model!K711</f>
        <v>0</v>
      </c>
      <c r="D548">
        <f>Model!L711</f>
        <v>0</v>
      </c>
      <c r="E548">
        <f>Model!M711</f>
        <v>0</v>
      </c>
      <c r="F548">
        <f>Model!N711</f>
        <v>0</v>
      </c>
      <c r="G548">
        <f>Model!O711</f>
        <v>0</v>
      </c>
      <c r="H548">
        <f>Model!P711</f>
        <v>0</v>
      </c>
      <c r="I548">
        <f>Model!Q711</f>
        <v>0</v>
      </c>
      <c r="J548">
        <f>Model!R711</f>
        <v>0</v>
      </c>
      <c r="K548">
        <f>Model!S711</f>
        <v>0</v>
      </c>
      <c r="L548">
        <f>Model!T711</f>
        <v>0</v>
      </c>
      <c r="M548">
        <f>Model!U711</f>
        <v>0</v>
      </c>
      <c r="N548">
        <f>Model!V711</f>
        <v>0</v>
      </c>
      <c r="O548">
        <f>Model!W711</f>
        <v>0</v>
      </c>
      <c r="P548">
        <f>Model!X711</f>
        <v>0</v>
      </c>
      <c r="Q548">
        <f>Model!Y711</f>
        <v>0</v>
      </c>
      <c r="R548">
        <f>Model!Z711</f>
        <v>0</v>
      </c>
      <c r="S548">
        <f>Model!AA711</f>
        <v>0</v>
      </c>
      <c r="T548">
        <f>Model!AB711</f>
        <v>0</v>
      </c>
      <c r="U548">
        <f>Model!AC711</f>
        <v>0</v>
      </c>
      <c r="V548">
        <f>Model!AD711</f>
        <v>0</v>
      </c>
      <c r="W548">
        <f>Model!AE711</f>
        <v>0</v>
      </c>
      <c r="X548">
        <f>Model!AF711</f>
        <v>0</v>
      </c>
      <c r="Y548">
        <f>Model!AG711</f>
        <v>0</v>
      </c>
      <c r="Z548">
        <f>Model!AH711</f>
        <v>0</v>
      </c>
      <c r="AA548">
        <f>Model!AI711</f>
        <v>0</v>
      </c>
      <c r="AB548">
        <f>Model!AJ711</f>
        <v>0</v>
      </c>
      <c r="AC548">
        <f>Model!AK711</f>
        <v>0</v>
      </c>
      <c r="AD548">
        <f>Model!AL711</f>
        <v>0</v>
      </c>
      <c r="AE548">
        <f>Model!AM711</f>
        <v>0</v>
      </c>
      <c r="AF548">
        <f>Model!AN711</f>
        <v>0</v>
      </c>
      <c r="AG548">
        <f>Model!AO711</f>
        <v>0</v>
      </c>
      <c r="AH548">
        <f>Model!AP711</f>
        <v>0</v>
      </c>
      <c r="AI548">
        <f>Model!AQ711</f>
        <v>127.9</v>
      </c>
      <c r="AJ548">
        <f>Model!AR711</f>
        <v>181.6</v>
      </c>
      <c r="AK548">
        <f>Model!AS711</f>
        <v>207.4</v>
      </c>
      <c r="AL548">
        <f>Model!AT711</f>
        <v>264.2</v>
      </c>
      <c r="AM548">
        <f>Model!AU711</f>
        <v>427.5</v>
      </c>
      <c r="AN548">
        <f>Model!AV711</f>
        <v>534.6</v>
      </c>
      <c r="AO548">
        <f>Model!AW711</f>
        <v>547.79999999999995</v>
      </c>
      <c r="AP548">
        <f>Model!AX711</f>
        <v>500</v>
      </c>
      <c r="AQ548">
        <f>Model!AY711</f>
        <v>800</v>
      </c>
      <c r="AR548">
        <f>Model!AZ711</f>
        <v>949</v>
      </c>
      <c r="AS548">
        <f>Model!BA711</f>
        <v>900</v>
      </c>
      <c r="AT548">
        <f>Model!BB711</f>
        <v>1000</v>
      </c>
      <c r="AU548">
        <f>Model!BC711</f>
        <v>1400</v>
      </c>
      <c r="AV548">
        <f>Model!BD711</f>
        <v>1600</v>
      </c>
      <c r="AW548">
        <f>Model!BE711</f>
        <v>1700</v>
      </c>
      <c r="AX548">
        <f>Model!BF711</f>
        <v>1900</v>
      </c>
      <c r="AY548">
        <f>Model!BG711</f>
        <v>2600</v>
      </c>
      <c r="AZ548">
        <f>Model!BH711</f>
        <v>3100</v>
      </c>
      <c r="BA548">
        <f>Model!BI711</f>
        <v>3000</v>
      </c>
      <c r="BB548">
        <f>Model!BJ711</f>
        <v>3300</v>
      </c>
      <c r="BC548">
        <f>Model!BK711</f>
        <v>4400</v>
      </c>
      <c r="BD548">
        <f>Model!BL711</f>
        <v>4900</v>
      </c>
      <c r="BE548">
        <f>Model!BM711</f>
        <v>4900</v>
      </c>
      <c r="BF548">
        <f>Model!BN711</f>
        <v>5400</v>
      </c>
      <c r="BG548">
        <f>Model!BO711</f>
        <v>6600</v>
      </c>
      <c r="BH548">
        <f>Model!BP711</f>
        <v>6900</v>
      </c>
      <c r="BI548">
        <f>Model!BQ711</f>
        <v>7100</v>
      </c>
      <c r="BJ548">
        <f>Model!BR711</f>
        <v>7700</v>
      </c>
      <c r="BK548">
        <f>Model!BS711</f>
        <v>8700</v>
      </c>
      <c r="BL548">
        <f>Model!BT711</f>
        <v>9800</v>
      </c>
      <c r="BM548">
        <f>Model!BU711</f>
        <v>10300</v>
      </c>
      <c r="BN548">
        <f>Model!BV711</f>
        <v>10700</v>
      </c>
      <c r="BO548">
        <f>Model!BW711</f>
        <v>12200</v>
      </c>
      <c r="BP548">
        <f>Model!BX711</f>
        <v>12600</v>
      </c>
      <c r="BQ548">
        <f>Model!BY711</f>
        <v>13300</v>
      </c>
      <c r="BR548">
        <f>Model!BZ711</f>
        <v>14700</v>
      </c>
      <c r="BS548">
        <f>Model!CA711</f>
        <v>15900</v>
      </c>
      <c r="BT548">
        <f>Model!CB711</f>
        <v>16200</v>
      </c>
      <c r="BU548">
        <f>Model!CC711</f>
        <v>0</v>
      </c>
      <c r="BV548">
        <f>Model!CD711</f>
        <v>0</v>
      </c>
      <c r="BW548">
        <f>Model!CE711</f>
        <v>0</v>
      </c>
      <c r="BX548">
        <f>Model!CF711</f>
        <v>0</v>
      </c>
      <c r="BY548">
        <f>Model!CG711</f>
        <v>0</v>
      </c>
      <c r="BZ548">
        <f>Model!CH711</f>
        <v>0</v>
      </c>
      <c r="CA548">
        <f>Model!CI711</f>
        <v>0</v>
      </c>
      <c r="CB548">
        <f>Model!CJ711</f>
        <v>0</v>
      </c>
      <c r="CC548">
        <f>Model!CK711</f>
        <v>0</v>
      </c>
      <c r="CD548">
        <f>Model!CL711</f>
        <v>0</v>
      </c>
      <c r="CE548">
        <f>Model!CM711</f>
        <v>0</v>
      </c>
      <c r="CF548">
        <f>Model!CN711</f>
        <v>0</v>
      </c>
      <c r="CG548">
        <f>Model!CO711</f>
        <v>181.6</v>
      </c>
      <c r="CH548">
        <f>Model!CP711</f>
        <v>534.6</v>
      </c>
      <c r="CI548">
        <f>Model!CQ711</f>
        <v>949</v>
      </c>
      <c r="CJ548">
        <f>Model!CR711</f>
        <v>1600</v>
      </c>
      <c r="CK548">
        <f>Model!CS711</f>
        <v>3100</v>
      </c>
      <c r="CL548">
        <f>Model!CT711</f>
        <v>4900</v>
      </c>
      <c r="CM548">
        <f>Model!CU711</f>
        <v>6900</v>
      </c>
      <c r="CN548">
        <f>Model!CV711</f>
        <v>9800</v>
      </c>
      <c r="CO548">
        <f>Model!CW711</f>
        <v>12600</v>
      </c>
      <c r="CP548">
        <f>Model!CX711</f>
        <v>16200</v>
      </c>
      <c r="CQ548">
        <f>Model!CY711</f>
        <v>0</v>
      </c>
      <c r="CR548">
        <f>Model!DG711</f>
        <v>0</v>
      </c>
      <c r="CS548">
        <f>Model!DH711</f>
        <v>0</v>
      </c>
      <c r="CT548">
        <f>Model!DI711</f>
        <v>0</v>
      </c>
      <c r="CU548">
        <f>Model!DJ711</f>
        <v>0</v>
      </c>
    </row>
    <row r="549" spans="1:102">
      <c r="A549" t="str">
        <f>Model!I712</f>
        <v>Total</v>
      </c>
      <c r="B549">
        <f>Model!J712</f>
        <v>0</v>
      </c>
      <c r="C549">
        <f>Model!K712</f>
        <v>0</v>
      </c>
      <c r="D549">
        <f>Model!L712</f>
        <v>0</v>
      </c>
      <c r="E549">
        <f>Model!M712</f>
        <v>0</v>
      </c>
      <c r="F549">
        <f>Model!N712</f>
        <v>0</v>
      </c>
      <c r="G549">
        <f>Model!O712</f>
        <v>0</v>
      </c>
      <c r="H549">
        <f>Model!P712</f>
        <v>0</v>
      </c>
      <c r="I549">
        <f>Model!Q712</f>
        <v>0</v>
      </c>
      <c r="J549">
        <f>Model!R712</f>
        <v>0</v>
      </c>
      <c r="K549">
        <f>Model!S712</f>
        <v>0</v>
      </c>
      <c r="L549">
        <f>Model!T712</f>
        <v>0</v>
      </c>
      <c r="M549">
        <f>Model!U712</f>
        <v>0</v>
      </c>
      <c r="N549">
        <f>Model!V712</f>
        <v>0</v>
      </c>
      <c r="O549">
        <f>Model!W712</f>
        <v>0</v>
      </c>
      <c r="P549">
        <f>Model!X712</f>
        <v>0</v>
      </c>
      <c r="Q549">
        <f>Model!Y712</f>
        <v>0</v>
      </c>
      <c r="R549">
        <f>Model!Z712</f>
        <v>0</v>
      </c>
      <c r="S549">
        <f>Model!AA712</f>
        <v>0</v>
      </c>
      <c r="T549">
        <f>Model!AB712</f>
        <v>0</v>
      </c>
      <c r="U549">
        <f>Model!AC712</f>
        <v>0</v>
      </c>
      <c r="V549">
        <f>Model!AD712</f>
        <v>0</v>
      </c>
      <c r="W549">
        <f>Model!AE712</f>
        <v>0</v>
      </c>
      <c r="X549">
        <f>Model!AF712</f>
        <v>0</v>
      </c>
      <c r="Y549">
        <f>Model!AG712</f>
        <v>0</v>
      </c>
      <c r="Z549">
        <f>Model!AH712</f>
        <v>0</v>
      </c>
      <c r="AA549">
        <f>Model!AI712</f>
        <v>0</v>
      </c>
      <c r="AB549">
        <f>Model!AJ712</f>
        <v>0</v>
      </c>
      <c r="AC549">
        <f>Model!AK712</f>
        <v>0</v>
      </c>
      <c r="AD549">
        <f>Model!AL712</f>
        <v>0</v>
      </c>
      <c r="AE549">
        <f>Model!AM712</f>
        <v>0</v>
      </c>
      <c r="AF549">
        <f>Model!AN712</f>
        <v>0</v>
      </c>
      <c r="AG549">
        <f>Model!AO712</f>
        <v>549.70000000000005</v>
      </c>
      <c r="AH549">
        <f>Model!AP712</f>
        <v>551.20000000000005</v>
      </c>
      <c r="AI549">
        <f>Model!AQ712</f>
        <v>452.2</v>
      </c>
      <c r="AJ549">
        <f>Model!AR712</f>
        <v>463.4</v>
      </c>
      <c r="AK549">
        <f>Model!AS712</f>
        <v>497.1</v>
      </c>
      <c r="AL549">
        <f>Model!AT712</f>
        <v>589.6</v>
      </c>
      <c r="AM549">
        <f>Model!AU712</f>
        <v>719.3</v>
      </c>
      <c r="AN549">
        <f>Model!AV712</f>
        <v>800.2</v>
      </c>
      <c r="AO549">
        <f>Model!AW712</f>
        <v>1200</v>
      </c>
      <c r="AP549">
        <f>Model!AX712</f>
        <v>1200</v>
      </c>
      <c r="AQ549">
        <f>Model!AY712</f>
        <v>1500</v>
      </c>
      <c r="AR549">
        <f>Model!AZ712</f>
        <v>1700</v>
      </c>
      <c r="AS549">
        <f>Model!BA712</f>
        <v>1745.5859999999998</v>
      </c>
      <c r="AT549">
        <f>Model!BB712</f>
        <v>1949.4180000000001</v>
      </c>
      <c r="AU549">
        <f>Model!BC712</f>
        <v>2404.6330000000003</v>
      </c>
      <c r="AV549">
        <f>Model!BD712</f>
        <v>2657.663</v>
      </c>
      <c r="AW549">
        <f>Model!BE712</f>
        <v>3618.7030000000004</v>
      </c>
      <c r="AX549">
        <f>Model!BF712</f>
        <v>3942.3420000000001</v>
      </c>
      <c r="AY549">
        <f>Model!BG712</f>
        <v>4667.9970000000003</v>
      </c>
      <c r="AZ549">
        <f>Model!BH712</f>
        <v>5183.1939999999995</v>
      </c>
      <c r="BA549">
        <f>Model!BI712</f>
        <v>5181.6170000000002</v>
      </c>
      <c r="BB549">
        <f>Model!BJ712</f>
        <v>5945.0739999999996</v>
      </c>
      <c r="BC549">
        <f>Model!BK712</f>
        <v>6583.62</v>
      </c>
      <c r="BD549">
        <f>Model!BL712</f>
        <v>6752.7139999999999</v>
      </c>
      <c r="BE549">
        <f>Model!BM712</f>
        <v>6710.5079999999998</v>
      </c>
      <c r="BF549">
        <f>Model!BN712</f>
        <v>7164.7060000000001</v>
      </c>
      <c r="BG549">
        <f>Model!BO712</f>
        <v>8202.259</v>
      </c>
      <c r="BH549">
        <f>Model!BP712</f>
        <v>8046.485999999999</v>
      </c>
      <c r="BI549">
        <f>Model!BQ712</f>
        <v>9609.0990000000002</v>
      </c>
      <c r="BJ549">
        <f>Model!BR712</f>
        <v>9583.5439999999999</v>
      </c>
      <c r="BK549">
        <f>Model!BS712</f>
        <v>9380.4719999999998</v>
      </c>
      <c r="BL549">
        <f>Model!BT712</f>
        <v>10579.874</v>
      </c>
      <c r="BM549">
        <f>Model!BU712</f>
        <v>10977.14</v>
      </c>
      <c r="BN549">
        <f>Model!BV712</f>
        <v>12325.374</v>
      </c>
      <c r="BO549">
        <f>Model!BW712</f>
        <v>13674.733</v>
      </c>
      <c r="BP549">
        <f>Model!BX712</f>
        <v>13891.021999999999</v>
      </c>
      <c r="BQ549">
        <f>Model!BY712</f>
        <v>15510.807999999999</v>
      </c>
      <c r="BR549">
        <f>Model!BZ712</f>
        <v>16619.748</v>
      </c>
      <c r="BS549">
        <f>Model!CA712</f>
        <v>18367.642</v>
      </c>
      <c r="BT549">
        <f>Model!CB712</f>
        <v>17823.076999999997</v>
      </c>
      <c r="BU549">
        <f>Model!CC712</f>
        <v>0</v>
      </c>
      <c r="BV549">
        <f>Model!CD712</f>
        <v>0</v>
      </c>
      <c r="BW549">
        <f>Model!CE712</f>
        <v>0</v>
      </c>
      <c r="BX549">
        <f>Model!CF712</f>
        <v>0</v>
      </c>
      <c r="BY549">
        <f>Model!CG712</f>
        <v>0</v>
      </c>
      <c r="BZ549">
        <f>Model!CH712</f>
        <v>0</v>
      </c>
      <c r="CA549">
        <f>Model!CI712</f>
        <v>0</v>
      </c>
      <c r="CB549">
        <f>Model!CJ712</f>
        <v>0</v>
      </c>
      <c r="CC549">
        <f>Model!CK712</f>
        <v>0</v>
      </c>
      <c r="CD549">
        <f>Model!CL712</f>
        <v>0</v>
      </c>
      <c r="CE549">
        <f>Model!CM712</f>
        <v>0</v>
      </c>
      <c r="CF549">
        <f>Model!CN712</f>
        <v>0</v>
      </c>
      <c r="CG549">
        <f>Model!CO712</f>
        <v>463.4</v>
      </c>
      <c r="CH549">
        <f>Model!CP712</f>
        <v>800.2</v>
      </c>
      <c r="CI549">
        <f>Model!CQ712</f>
        <v>1700</v>
      </c>
      <c r="CJ549">
        <f>Model!CR712</f>
        <v>2657.663</v>
      </c>
      <c r="CK549">
        <f>Model!CS712</f>
        <v>5183.1939999999995</v>
      </c>
      <c r="CL549">
        <f>Model!CT712</f>
        <v>6752.7139999999999</v>
      </c>
      <c r="CM549">
        <f>Model!CU712</f>
        <v>8046.485999999999</v>
      </c>
      <c r="CN549">
        <f>Model!CV712</f>
        <v>10579.874</v>
      </c>
      <c r="CO549">
        <f>Model!CW712</f>
        <v>13891.021999999999</v>
      </c>
      <c r="CP549">
        <f>Model!CX712</f>
        <v>17823.076999999997</v>
      </c>
      <c r="CQ549">
        <f>Model!CY712</f>
        <v>0</v>
      </c>
      <c r="CR549">
        <f>Model!DG712</f>
        <v>0</v>
      </c>
      <c r="CS549">
        <f>Model!DH712</f>
        <v>0</v>
      </c>
      <c r="CT549">
        <f>Model!DI712</f>
        <v>0</v>
      </c>
      <c r="CU549">
        <f>Model!DJ712</f>
        <v>0</v>
      </c>
    </row>
    <row r="550" spans="1:102">
      <c r="A550" t="str">
        <f>Model!I713</f>
        <v>Check</v>
      </c>
      <c r="B550">
        <f>Model!J713</f>
        <v>0</v>
      </c>
      <c r="C550">
        <f>Model!K713</f>
        <v>0</v>
      </c>
      <c r="D550">
        <f>Model!L713</f>
        <v>0</v>
      </c>
      <c r="E550">
        <f>Model!M713</f>
        <v>0</v>
      </c>
      <c r="F550">
        <f>Model!N713</f>
        <v>0</v>
      </c>
      <c r="G550">
        <f>Model!O713</f>
        <v>0</v>
      </c>
      <c r="H550">
        <f>Model!P713</f>
        <v>0</v>
      </c>
      <c r="I550">
        <f>Model!Q713</f>
        <v>0</v>
      </c>
      <c r="J550">
        <f>Model!R713</f>
        <v>0</v>
      </c>
      <c r="K550">
        <f>Model!S713</f>
        <v>0</v>
      </c>
      <c r="L550">
        <f>Model!T713</f>
        <v>0</v>
      </c>
      <c r="M550">
        <f>Model!U713</f>
        <v>0</v>
      </c>
      <c r="N550">
        <f>Model!V713</f>
        <v>0</v>
      </c>
      <c r="O550">
        <f>Model!W713</f>
        <v>0</v>
      </c>
      <c r="P550">
        <f>Model!X713</f>
        <v>0</v>
      </c>
      <c r="Q550">
        <f>Model!Y713</f>
        <v>0</v>
      </c>
      <c r="R550">
        <f>Model!Z713</f>
        <v>0</v>
      </c>
      <c r="S550">
        <f>Model!AA713</f>
        <v>0</v>
      </c>
      <c r="T550">
        <f>Model!AB713</f>
        <v>0</v>
      </c>
      <c r="U550">
        <f>Model!AC713</f>
        <v>0</v>
      </c>
      <c r="V550">
        <f>Model!AD713</f>
        <v>0</v>
      </c>
      <c r="W550">
        <f>Model!AE713</f>
        <v>0</v>
      </c>
      <c r="X550">
        <f>Model!AF713</f>
        <v>0</v>
      </c>
      <c r="Y550">
        <f>Model!AG713</f>
        <v>0</v>
      </c>
      <c r="Z550">
        <f>Model!AH713</f>
        <v>0</v>
      </c>
      <c r="AA550">
        <f>Model!AI713</f>
        <v>0</v>
      </c>
      <c r="AB550">
        <f>Model!AJ713</f>
        <v>0</v>
      </c>
      <c r="AC550">
        <f>Model!AK713</f>
        <v>0</v>
      </c>
      <c r="AD550">
        <f>Model!AL713</f>
        <v>0</v>
      </c>
      <c r="AE550">
        <f>Model!AM713</f>
        <v>0</v>
      </c>
      <c r="AF550">
        <f>Model!AN713</f>
        <v>0</v>
      </c>
      <c r="AG550">
        <f>Model!AO713</f>
        <v>0</v>
      </c>
      <c r="AH550">
        <f>Model!AP713</f>
        <v>0</v>
      </c>
      <c r="AI550">
        <f>Model!AQ713</f>
        <v>0</v>
      </c>
      <c r="AJ550">
        <f>Model!AR713</f>
        <v>0</v>
      </c>
      <c r="AK550">
        <f>Model!AS713</f>
        <v>0</v>
      </c>
      <c r="AL550">
        <f>Model!AT713</f>
        <v>0</v>
      </c>
      <c r="AM550">
        <f>Model!AU713</f>
        <v>0</v>
      </c>
      <c r="AN550">
        <f>Model!AV713</f>
        <v>0</v>
      </c>
      <c r="AO550">
        <f>Model!AW713</f>
        <v>0</v>
      </c>
      <c r="AP550">
        <f>Model!AX713</f>
        <v>0</v>
      </c>
      <c r="AQ550">
        <f>Model!AY713</f>
        <v>0</v>
      </c>
      <c r="AR550">
        <f>Model!AZ713</f>
        <v>0</v>
      </c>
      <c r="AS550">
        <f>Model!BA713</f>
        <v>0</v>
      </c>
      <c r="AT550">
        <f>Model!BB713</f>
        <v>0</v>
      </c>
      <c r="AU550">
        <f>Model!BC713</f>
        <v>0</v>
      </c>
      <c r="AV550">
        <f>Model!BD713</f>
        <v>0</v>
      </c>
      <c r="AW550">
        <f>Model!BE713</f>
        <v>0</v>
      </c>
      <c r="AX550">
        <f>Model!BF713</f>
        <v>0</v>
      </c>
      <c r="AY550">
        <f>Model!BG713</f>
        <v>0</v>
      </c>
      <c r="AZ550">
        <f>Model!BH713</f>
        <v>0</v>
      </c>
      <c r="BA550">
        <f>Model!BI713</f>
        <v>0</v>
      </c>
      <c r="BB550">
        <f>Model!BJ713</f>
        <v>0</v>
      </c>
      <c r="BC550">
        <f>Model!BK713</f>
        <v>0</v>
      </c>
      <c r="BD550">
        <f>Model!BL713</f>
        <v>0</v>
      </c>
      <c r="BE550">
        <f>Model!BM713</f>
        <v>0</v>
      </c>
      <c r="BF550">
        <f>Model!BN713</f>
        <v>0</v>
      </c>
      <c r="BG550">
        <f>Model!BO713</f>
        <v>0</v>
      </c>
      <c r="BH550">
        <f>Model!BP713</f>
        <v>0</v>
      </c>
      <c r="BI550">
        <f>Model!BQ713</f>
        <v>0</v>
      </c>
      <c r="BJ550">
        <f>Model!BR713</f>
        <v>0</v>
      </c>
      <c r="BK550">
        <f>Model!BS713</f>
        <v>0</v>
      </c>
      <c r="BL550">
        <f>Model!BT713</f>
        <v>0</v>
      </c>
      <c r="BM550">
        <f>Model!BU713</f>
        <v>0</v>
      </c>
      <c r="BN550">
        <f>Model!BV713</f>
        <v>0</v>
      </c>
      <c r="BO550">
        <f>Model!BW713</f>
        <v>0</v>
      </c>
      <c r="BP550">
        <f>Model!BX713</f>
        <v>0</v>
      </c>
      <c r="BQ550">
        <f>Model!BY713</f>
        <v>0</v>
      </c>
      <c r="BR550">
        <f>Model!BZ713</f>
        <v>0</v>
      </c>
      <c r="BS550">
        <f>Model!CA713</f>
        <v>0</v>
      </c>
      <c r="BT550">
        <f>Model!CB713</f>
        <v>0</v>
      </c>
      <c r="BU550">
        <f>Model!CC713</f>
        <v>0</v>
      </c>
      <c r="BV550">
        <f>Model!CD713</f>
        <v>0</v>
      </c>
      <c r="BW550">
        <f>Model!CE713</f>
        <v>0</v>
      </c>
      <c r="BX550">
        <f>Model!CF713</f>
        <v>0</v>
      </c>
      <c r="BY550">
        <f>Model!CG713</f>
        <v>0</v>
      </c>
      <c r="BZ550">
        <f>Model!CH713</f>
        <v>0</v>
      </c>
      <c r="CA550">
        <f>Model!CI713</f>
        <v>0</v>
      </c>
      <c r="CB550">
        <f>Model!CJ713</f>
        <v>0</v>
      </c>
      <c r="CC550">
        <f>Model!CK713</f>
        <v>0</v>
      </c>
      <c r="CD550">
        <f>Model!CL713</f>
        <v>0</v>
      </c>
      <c r="CE550">
        <f>Model!CM713</f>
        <v>0</v>
      </c>
      <c r="CF550">
        <f>Model!CN713</f>
        <v>0</v>
      </c>
      <c r="CG550">
        <f>Model!CO713</f>
        <v>0</v>
      </c>
      <c r="CH550">
        <f>Model!CP713</f>
        <v>0</v>
      </c>
      <c r="CI550">
        <f>Model!CQ713</f>
        <v>0</v>
      </c>
      <c r="CJ550">
        <f>Model!CR713</f>
        <v>0</v>
      </c>
      <c r="CK550">
        <f>Model!CS713</f>
        <v>0</v>
      </c>
      <c r="CL550">
        <f>Model!CT713</f>
        <v>0</v>
      </c>
      <c r="CM550">
        <f>Model!CU713</f>
        <v>0</v>
      </c>
      <c r="CN550">
        <f>Model!CV713</f>
        <v>0</v>
      </c>
      <c r="CO550">
        <f>Model!CW713</f>
        <v>0</v>
      </c>
      <c r="CP550">
        <f>Model!CX713</f>
        <v>0</v>
      </c>
      <c r="CQ550">
        <f>Model!CY713</f>
        <v>0</v>
      </c>
      <c r="CR550">
        <f>Model!DG713</f>
        <v>0</v>
      </c>
      <c r="CS550">
        <f>Model!DH713</f>
        <v>0</v>
      </c>
      <c r="CT550">
        <f>Model!DI713</f>
        <v>0</v>
      </c>
      <c r="CU550">
        <f>Model!DJ713</f>
        <v>0</v>
      </c>
    </row>
    <row r="551" spans="1:102">
      <c r="A551">
        <f>Model!I714</f>
        <v>0</v>
      </c>
      <c r="B551">
        <f>Model!J714</f>
        <v>0</v>
      </c>
      <c r="C551">
        <f>Model!K714</f>
        <v>0</v>
      </c>
      <c r="D551">
        <f>Model!L714</f>
        <v>0</v>
      </c>
      <c r="E551">
        <f>Model!M714</f>
        <v>0</v>
      </c>
      <c r="F551">
        <f>Model!N714</f>
        <v>0</v>
      </c>
      <c r="G551">
        <f>Model!O714</f>
        <v>0</v>
      </c>
      <c r="H551">
        <f>Model!P714</f>
        <v>0</v>
      </c>
      <c r="I551">
        <f>Model!Q714</f>
        <v>0</v>
      </c>
      <c r="J551">
        <f>Model!R714</f>
        <v>0</v>
      </c>
      <c r="K551">
        <f>Model!S714</f>
        <v>0</v>
      </c>
      <c r="L551">
        <f>Model!T714</f>
        <v>0</v>
      </c>
      <c r="M551">
        <f>Model!U714</f>
        <v>0</v>
      </c>
      <c r="N551">
        <f>Model!V714</f>
        <v>0</v>
      </c>
      <c r="O551">
        <f>Model!W714</f>
        <v>0</v>
      </c>
      <c r="P551">
        <f>Model!X714</f>
        <v>0</v>
      </c>
      <c r="Q551">
        <f>Model!Y714</f>
        <v>0</v>
      </c>
      <c r="R551">
        <f>Model!Z714</f>
        <v>0</v>
      </c>
      <c r="S551">
        <f>Model!AA714</f>
        <v>0</v>
      </c>
      <c r="T551">
        <f>Model!AB714</f>
        <v>0</v>
      </c>
      <c r="U551">
        <f>Model!AC714</f>
        <v>0</v>
      </c>
      <c r="V551">
        <f>Model!AD714</f>
        <v>0</v>
      </c>
      <c r="W551">
        <f>Model!AE714</f>
        <v>0</v>
      </c>
      <c r="X551">
        <f>Model!AF714</f>
        <v>0</v>
      </c>
      <c r="Y551">
        <f>Model!AG714</f>
        <v>0</v>
      </c>
      <c r="Z551">
        <f>Model!AH714</f>
        <v>0</v>
      </c>
      <c r="AA551">
        <f>Model!AI714</f>
        <v>0</v>
      </c>
      <c r="AB551">
        <f>Model!AJ714</f>
        <v>0</v>
      </c>
      <c r="AC551">
        <f>Model!AK714</f>
        <v>0</v>
      </c>
      <c r="AD551">
        <f>Model!AL714</f>
        <v>0</v>
      </c>
      <c r="AE551">
        <f>Model!AM714</f>
        <v>0</v>
      </c>
      <c r="AF551">
        <f>Model!AN714</f>
        <v>0</v>
      </c>
      <c r="AG551">
        <f>Model!AO714</f>
        <v>0</v>
      </c>
      <c r="AH551">
        <f>Model!AP714</f>
        <v>0</v>
      </c>
      <c r="AI551">
        <f>Model!AQ714</f>
        <v>0</v>
      </c>
      <c r="AJ551">
        <f>Model!AR714</f>
        <v>0</v>
      </c>
      <c r="AK551">
        <f>Model!AS714</f>
        <v>0</v>
      </c>
      <c r="AL551">
        <f>Model!AT714</f>
        <v>0</v>
      </c>
      <c r="AM551">
        <f>Model!AU714</f>
        <v>0</v>
      </c>
      <c r="AN551">
        <f>Model!AV714</f>
        <v>0</v>
      </c>
      <c r="AO551">
        <f>Model!AW714</f>
        <v>0</v>
      </c>
      <c r="AP551">
        <f>Model!AX714</f>
        <v>0</v>
      </c>
      <c r="AQ551">
        <f>Model!AY714</f>
        <v>0</v>
      </c>
      <c r="AR551">
        <f>Model!AZ714</f>
        <v>0</v>
      </c>
      <c r="AS551">
        <f>Model!BA714</f>
        <v>0</v>
      </c>
      <c r="AT551">
        <f>Model!BB714</f>
        <v>0</v>
      </c>
      <c r="AU551">
        <f>Model!BC714</f>
        <v>0</v>
      </c>
      <c r="AV551">
        <f>Model!BD714</f>
        <v>0</v>
      </c>
      <c r="AW551">
        <f>Model!BE714</f>
        <v>0</v>
      </c>
      <c r="AX551">
        <f>Model!BF714</f>
        <v>0</v>
      </c>
      <c r="AY551">
        <f>Model!BG714</f>
        <v>0</v>
      </c>
      <c r="AZ551">
        <f>Model!BH714</f>
        <v>0</v>
      </c>
      <c r="BA551">
        <f>Model!BI714</f>
        <v>0</v>
      </c>
      <c r="BB551">
        <f>Model!BJ714</f>
        <v>0</v>
      </c>
      <c r="BC551">
        <f>Model!BK714</f>
        <v>0</v>
      </c>
      <c r="BD551">
        <f>Model!BL714</f>
        <v>0</v>
      </c>
      <c r="BE551">
        <f>Model!BM714</f>
        <v>0</v>
      </c>
      <c r="BF551">
        <f>Model!BN714</f>
        <v>0</v>
      </c>
      <c r="BG551">
        <f>Model!BO714</f>
        <v>0</v>
      </c>
      <c r="BH551">
        <f>Model!BP714</f>
        <v>0</v>
      </c>
      <c r="BI551">
        <f>Model!BQ714</f>
        <v>0</v>
      </c>
      <c r="BJ551">
        <f>Model!BR714</f>
        <v>0</v>
      </c>
      <c r="BK551">
        <f>Model!BS714</f>
        <v>0</v>
      </c>
      <c r="BL551">
        <f>Model!BT714</f>
        <v>0</v>
      </c>
      <c r="BM551">
        <f>Model!BU714</f>
        <v>0</v>
      </c>
      <c r="BN551">
        <f>Model!BV714</f>
        <v>0</v>
      </c>
      <c r="BO551">
        <f>Model!BW714</f>
        <v>0</v>
      </c>
      <c r="BP551">
        <f>Model!BX714</f>
        <v>0</v>
      </c>
      <c r="BQ551">
        <f>Model!BY714</f>
        <v>0</v>
      </c>
      <c r="BR551">
        <f>Model!BZ714</f>
        <v>0</v>
      </c>
      <c r="BS551">
        <f>Model!CA714</f>
        <v>0</v>
      </c>
      <c r="BT551">
        <f>Model!CB714</f>
        <v>0</v>
      </c>
      <c r="BU551">
        <f>Model!CC714</f>
        <v>0</v>
      </c>
      <c r="BV551">
        <f>Model!CD714</f>
        <v>0</v>
      </c>
      <c r="BW551">
        <f>Model!CE714</f>
        <v>0</v>
      </c>
      <c r="BX551">
        <f>Model!CF714</f>
        <v>0</v>
      </c>
      <c r="BY551">
        <f>Model!CG714</f>
        <v>0</v>
      </c>
      <c r="BZ551">
        <f>Model!CH714</f>
        <v>0</v>
      </c>
      <c r="CA551">
        <f>Model!CI714</f>
        <v>0</v>
      </c>
      <c r="CB551">
        <f>Model!CJ714</f>
        <v>0</v>
      </c>
      <c r="CC551">
        <f>Model!CK714</f>
        <v>0</v>
      </c>
      <c r="CD551">
        <f>Model!CL714</f>
        <v>0</v>
      </c>
      <c r="CE551">
        <f>Model!CM714</f>
        <v>0</v>
      </c>
      <c r="CF551">
        <f>Model!CN714</f>
        <v>0</v>
      </c>
      <c r="CG551">
        <f>Model!CO714</f>
        <v>0</v>
      </c>
      <c r="CH551">
        <f>Model!CP714</f>
        <v>0</v>
      </c>
      <c r="CI551">
        <f>Model!CQ714</f>
        <v>0</v>
      </c>
      <c r="CJ551">
        <f>Model!CR714</f>
        <v>0</v>
      </c>
      <c r="CK551">
        <f>Model!CS714</f>
        <v>0</v>
      </c>
      <c r="CL551">
        <f>Model!CT714</f>
        <v>0</v>
      </c>
      <c r="CM551">
        <f>Model!CU714</f>
        <v>0</v>
      </c>
      <c r="CN551">
        <f>Model!CV714</f>
        <v>0</v>
      </c>
      <c r="CO551">
        <f>Model!CW714</f>
        <v>0</v>
      </c>
      <c r="CP551">
        <f>Model!CX714</f>
        <v>0</v>
      </c>
      <c r="CQ551">
        <f>Model!CY714</f>
        <v>0</v>
      </c>
      <c r="CR551">
        <f>Model!DG714</f>
        <v>0</v>
      </c>
      <c r="CS551">
        <f>Model!DH714</f>
        <v>0</v>
      </c>
      <c r="CT551">
        <f>Model!DI714</f>
        <v>0</v>
      </c>
      <c r="CU551">
        <f>Model!DJ714</f>
        <v>0</v>
      </c>
    </row>
    <row r="552" spans="1:102">
      <c r="A552" t="str">
        <f>Model!I715</f>
        <v>% Mix of Cash, Cash Equivalents, and Short-Term Investments</v>
      </c>
      <c r="B552">
        <f>Model!J715</f>
        <v>0</v>
      </c>
      <c r="C552">
        <f>Model!K715</f>
        <v>0</v>
      </c>
      <c r="D552">
        <f>Model!L715</f>
        <v>0</v>
      </c>
      <c r="E552">
        <f>Model!M715</f>
        <v>0</v>
      </c>
      <c r="F552">
        <f>Model!N715</f>
        <v>0</v>
      </c>
      <c r="G552">
        <f>Model!O715</f>
        <v>0</v>
      </c>
      <c r="H552">
        <f>Model!P715</f>
        <v>0</v>
      </c>
      <c r="I552">
        <f>Model!Q715</f>
        <v>0</v>
      </c>
      <c r="J552">
        <f>Model!R715</f>
        <v>0</v>
      </c>
      <c r="K552">
        <f>Model!S715</f>
        <v>0</v>
      </c>
      <c r="L552">
        <f>Model!T715</f>
        <v>0</v>
      </c>
      <c r="M552">
        <f>Model!U715</f>
        <v>0</v>
      </c>
      <c r="N552">
        <f>Model!V715</f>
        <v>0</v>
      </c>
      <c r="O552">
        <f>Model!W715</f>
        <v>0</v>
      </c>
      <c r="P552">
        <f>Model!X715</f>
        <v>0</v>
      </c>
      <c r="Q552">
        <f>Model!Y715</f>
        <v>0</v>
      </c>
      <c r="R552">
        <f>Model!Z715</f>
        <v>0</v>
      </c>
      <c r="S552">
        <f>Model!AA715</f>
        <v>0</v>
      </c>
      <c r="T552">
        <f>Model!AB715</f>
        <v>0</v>
      </c>
      <c r="U552">
        <f>Model!AC715</f>
        <v>0</v>
      </c>
      <c r="V552">
        <f>Model!AD715</f>
        <v>0</v>
      </c>
      <c r="W552">
        <f>Model!AE715</f>
        <v>0</v>
      </c>
      <c r="X552">
        <f>Model!AF715</f>
        <v>0</v>
      </c>
      <c r="Y552">
        <f>Model!AG715</f>
        <v>0</v>
      </c>
      <c r="Z552">
        <f>Model!AH715</f>
        <v>0</v>
      </c>
      <c r="AA552">
        <f>Model!AI715</f>
        <v>0</v>
      </c>
      <c r="AB552">
        <f>Model!AJ715</f>
        <v>0</v>
      </c>
      <c r="AC552">
        <f>Model!AK715</f>
        <v>0</v>
      </c>
      <c r="AD552">
        <f>Model!AL715</f>
        <v>0</v>
      </c>
      <c r="AE552">
        <f>Model!AM715</f>
        <v>0</v>
      </c>
      <c r="AF552">
        <f>Model!AN715</f>
        <v>0</v>
      </c>
      <c r="AG552">
        <f>Model!AO715</f>
        <v>0</v>
      </c>
      <c r="AH552">
        <f>Model!AP715</f>
        <v>0</v>
      </c>
      <c r="AI552">
        <f>Model!AQ715</f>
        <v>0</v>
      </c>
      <c r="AJ552">
        <f>Model!AR715</f>
        <v>0</v>
      </c>
      <c r="AK552">
        <f>Model!AS715</f>
        <v>0</v>
      </c>
      <c r="AL552">
        <f>Model!AT715</f>
        <v>0</v>
      </c>
      <c r="AM552">
        <f>Model!AU715</f>
        <v>0</v>
      </c>
      <c r="AN552">
        <f>Model!AV715</f>
        <v>0</v>
      </c>
      <c r="AO552">
        <f>Model!AW715</f>
        <v>0</v>
      </c>
      <c r="AP552">
        <f>Model!AX715</f>
        <v>0</v>
      </c>
      <c r="AQ552">
        <f>Model!AY715</f>
        <v>0</v>
      </c>
      <c r="AR552">
        <f>Model!AZ715</f>
        <v>0</v>
      </c>
      <c r="AS552">
        <f>Model!BA715</f>
        <v>0</v>
      </c>
      <c r="AT552">
        <f>Model!BB715</f>
        <v>0</v>
      </c>
      <c r="AU552">
        <f>Model!BC715</f>
        <v>0</v>
      </c>
      <c r="AV552">
        <f>Model!BD715</f>
        <v>0</v>
      </c>
      <c r="AW552">
        <f>Model!BE715</f>
        <v>0</v>
      </c>
      <c r="AX552">
        <f>Model!BF715</f>
        <v>0</v>
      </c>
      <c r="AY552">
        <f>Model!BG715</f>
        <v>0</v>
      </c>
      <c r="AZ552">
        <f>Model!BH715</f>
        <v>0</v>
      </c>
      <c r="BA552">
        <f>Model!BI715</f>
        <v>0</v>
      </c>
      <c r="BB552">
        <f>Model!BJ715</f>
        <v>0</v>
      </c>
      <c r="BC552">
        <f>Model!BK715</f>
        <v>0</v>
      </c>
      <c r="BD552">
        <f>Model!BL715</f>
        <v>0</v>
      </c>
      <c r="BE552">
        <f>Model!BM715</f>
        <v>0</v>
      </c>
      <c r="BF552">
        <f>Model!BN715</f>
        <v>0</v>
      </c>
      <c r="BG552">
        <f>Model!BO715</f>
        <v>0</v>
      </c>
      <c r="BH552">
        <f>Model!BP715</f>
        <v>0</v>
      </c>
      <c r="BI552">
        <f>Model!BQ715</f>
        <v>0</v>
      </c>
      <c r="BJ552">
        <f>Model!BR715</f>
        <v>0</v>
      </c>
      <c r="BK552">
        <f>Model!BS715</f>
        <v>0</v>
      </c>
      <c r="BL552">
        <f>Model!BT715</f>
        <v>0</v>
      </c>
      <c r="BM552">
        <f>Model!BU715</f>
        <v>0</v>
      </c>
      <c r="BN552">
        <f>Model!BV715</f>
        <v>0</v>
      </c>
      <c r="BO552">
        <f>Model!BW715</f>
        <v>0</v>
      </c>
      <c r="BP552">
        <f>Model!BX715</f>
        <v>0</v>
      </c>
      <c r="BQ552">
        <f>Model!BY715</f>
        <v>0</v>
      </c>
      <c r="BR552">
        <f>Model!BZ715</f>
        <v>0</v>
      </c>
      <c r="BS552">
        <f>Model!CA715</f>
        <v>0</v>
      </c>
      <c r="BT552">
        <f>Model!CB715</f>
        <v>0</v>
      </c>
      <c r="BU552">
        <f>Model!CC715</f>
        <v>0</v>
      </c>
      <c r="BV552">
        <f>Model!CD715</f>
        <v>0</v>
      </c>
      <c r="BW552">
        <f>Model!CE715</f>
        <v>0</v>
      </c>
      <c r="BX552">
        <f>Model!CF715</f>
        <v>0</v>
      </c>
      <c r="BY552">
        <f>Model!CG715</f>
        <v>0</v>
      </c>
      <c r="BZ552">
        <f>Model!CH715</f>
        <v>0</v>
      </c>
      <c r="CA552">
        <f>Model!CI715</f>
        <v>0</v>
      </c>
      <c r="CB552">
        <f>Model!CJ715</f>
        <v>0</v>
      </c>
      <c r="CC552">
        <f>Model!CK715</f>
        <v>0</v>
      </c>
      <c r="CD552">
        <f>Model!CL715</f>
        <v>0</v>
      </c>
      <c r="CE552">
        <f>Model!CM715</f>
        <v>0</v>
      </c>
      <c r="CF552">
        <f>Model!CN715</f>
        <v>0</v>
      </c>
      <c r="CG552">
        <f>Model!CO715</f>
        <v>0</v>
      </c>
      <c r="CH552">
        <f>Model!CP715</f>
        <v>0</v>
      </c>
      <c r="CI552">
        <f>Model!CQ715</f>
        <v>0</v>
      </c>
      <c r="CJ552">
        <f>Model!CR715</f>
        <v>0</v>
      </c>
      <c r="CK552">
        <f>Model!CS715</f>
        <v>0</v>
      </c>
      <c r="CL552">
        <f>Model!CT715</f>
        <v>0</v>
      </c>
      <c r="CM552">
        <f>Model!CU715</f>
        <v>0</v>
      </c>
      <c r="CN552">
        <f>Model!CV715</f>
        <v>0</v>
      </c>
      <c r="CO552">
        <f>Model!CW715</f>
        <v>0</v>
      </c>
      <c r="CP552">
        <f>Model!CX715</f>
        <v>0</v>
      </c>
      <c r="CQ552">
        <f>Model!CY715</f>
        <v>0</v>
      </c>
      <c r="CR552">
        <f>Model!DG715</f>
        <v>0</v>
      </c>
      <c r="CS552">
        <f>Model!DH715</f>
        <v>0</v>
      </c>
      <c r="CT552">
        <f>Model!DI715</f>
        <v>0</v>
      </c>
      <c r="CU552">
        <f>Model!DJ715</f>
        <v>0</v>
      </c>
    </row>
    <row r="553" spans="1:102">
      <c r="A553" t="str">
        <f>Model!I716</f>
        <v>U.S. balance</v>
      </c>
      <c r="B553">
        <f>Model!J716</f>
        <v>0</v>
      </c>
      <c r="C553">
        <f>Model!K716</f>
        <v>0</v>
      </c>
      <c r="D553">
        <f>Model!L716</f>
        <v>0</v>
      </c>
      <c r="E553">
        <f>Model!M716</f>
        <v>0</v>
      </c>
      <c r="F553">
        <f>Model!N716</f>
        <v>0</v>
      </c>
      <c r="G553">
        <f>Model!O716</f>
        <v>0</v>
      </c>
      <c r="H553">
        <f>Model!P716</f>
        <v>0</v>
      </c>
      <c r="I553">
        <f>Model!Q716</f>
        <v>0</v>
      </c>
      <c r="J553">
        <f>Model!R716</f>
        <v>0</v>
      </c>
      <c r="K553">
        <f>Model!S716</f>
        <v>0</v>
      </c>
      <c r="L553">
        <f>Model!T716</f>
        <v>0</v>
      </c>
      <c r="M553">
        <f>Model!U716</f>
        <v>0</v>
      </c>
      <c r="N553">
        <f>Model!V716</f>
        <v>0</v>
      </c>
      <c r="O553">
        <f>Model!W716</f>
        <v>0</v>
      </c>
      <c r="P553">
        <f>Model!X716</f>
        <v>0</v>
      </c>
      <c r="Q553">
        <f>Model!Y716</f>
        <v>0</v>
      </c>
      <c r="R553">
        <f>Model!Z716</f>
        <v>0</v>
      </c>
      <c r="S553">
        <f>Model!AA716</f>
        <v>0</v>
      </c>
      <c r="T553">
        <f>Model!AB716</f>
        <v>0</v>
      </c>
      <c r="U553">
        <f>Model!AC716</f>
        <v>0</v>
      </c>
      <c r="V553">
        <f>Model!AD716</f>
        <v>0</v>
      </c>
      <c r="W553">
        <f>Model!AE716</f>
        <v>0</v>
      </c>
      <c r="X553">
        <f>Model!AF716</f>
        <v>0</v>
      </c>
      <c r="Y553">
        <f>Model!AG716</f>
        <v>0</v>
      </c>
      <c r="Z553">
        <f>Model!AH716</f>
        <v>0</v>
      </c>
      <c r="AA553">
        <f>Model!AI716</f>
        <v>0</v>
      </c>
      <c r="AB553">
        <f>Model!AJ716</f>
        <v>0</v>
      </c>
      <c r="AC553">
        <f>Model!AK716</f>
        <v>0</v>
      </c>
      <c r="AD553">
        <f>Model!AL716</f>
        <v>0</v>
      </c>
      <c r="AE553">
        <f>Model!AM716</f>
        <v>0</v>
      </c>
      <c r="AF553">
        <f>Model!AN716</f>
        <v>0</v>
      </c>
      <c r="AG553">
        <f>Model!AO716</f>
        <v>0</v>
      </c>
      <c r="AH553">
        <f>Model!AP716</f>
        <v>0</v>
      </c>
      <c r="AI553">
        <f>Model!AQ716</f>
        <v>0.71716054842989818</v>
      </c>
      <c r="AJ553">
        <f>Model!AR716</f>
        <v>0.60811394044022438</v>
      </c>
      <c r="AK553">
        <f>Model!AS716</f>
        <v>0.5827801247233958</v>
      </c>
      <c r="AL553">
        <f>Model!AT716</f>
        <v>0.55189959294436908</v>
      </c>
      <c r="AM553">
        <f>Model!AU716</f>
        <v>0.40567218128736265</v>
      </c>
      <c r="AN553">
        <f>Model!AV716</f>
        <v>0.33191702074481383</v>
      </c>
      <c r="AO553">
        <f>Model!AW716</f>
        <v>0.54349999999999998</v>
      </c>
      <c r="AP553">
        <f>Model!AX716</f>
        <v>0.58333333333333337</v>
      </c>
      <c r="AQ553">
        <f>Model!AY716</f>
        <v>0.46666666666666667</v>
      </c>
      <c r="AR553">
        <f>Model!AZ716</f>
        <v>0.44176470588235295</v>
      </c>
      <c r="AS553">
        <f>Model!BA716</f>
        <v>0.48441383008342176</v>
      </c>
      <c r="AT553">
        <f>Model!BB716</f>
        <v>0.48702638428495071</v>
      </c>
      <c r="AU553">
        <f>Model!BC716</f>
        <v>0.41779057344717474</v>
      </c>
      <c r="AV553">
        <f>Model!BD716</f>
        <v>0.39796731188265783</v>
      </c>
      <c r="AW553">
        <f>Model!BE716</f>
        <v>0.53021842356225424</v>
      </c>
      <c r="AX553">
        <f>Model!BF716</f>
        <v>0.5180529746024064</v>
      </c>
      <c r="AY553">
        <f>Model!BG716</f>
        <v>0.4430159231036353</v>
      </c>
      <c r="AZ553">
        <f>Model!BH716</f>
        <v>0.40191318326113196</v>
      </c>
      <c r="BA553">
        <f>Model!BI716</f>
        <v>0.42103015332858451</v>
      </c>
      <c r="BB553">
        <f>Model!BJ716</f>
        <v>0.44491859983576315</v>
      </c>
      <c r="BC553">
        <f>Model!BK716</f>
        <v>0.33167467138139806</v>
      </c>
      <c r="BD553">
        <f>Model!BL716</f>
        <v>0.27436583275998361</v>
      </c>
      <c r="BE553">
        <f>Model!BM716</f>
        <v>0.26980192855742069</v>
      </c>
      <c r="BF553">
        <f>Model!BN716</f>
        <v>0.24630543109514894</v>
      </c>
      <c r="BG553">
        <f>Model!BO716</f>
        <v>0.19534362423815196</v>
      </c>
      <c r="BH553">
        <f>Model!BP716</f>
        <v>0.14248281796550682</v>
      </c>
      <c r="BI553">
        <f>Model!BQ716</f>
        <v>0.26111698922032128</v>
      </c>
      <c r="BJ553">
        <f>Model!BR716</f>
        <v>0.19653940129037858</v>
      </c>
      <c r="BK553">
        <f>Model!BS716</f>
        <v>7.2541339071210895E-2</v>
      </c>
      <c r="BL553">
        <f>Model!BT716</f>
        <v>7.3712976165878713E-2</v>
      </c>
      <c r="BM553">
        <f>Model!BU716</f>
        <v>6.1686377325970106E-2</v>
      </c>
      <c r="BN553">
        <f>Model!BV716</f>
        <v>0.13187218497385961</v>
      </c>
      <c r="BO553">
        <f>Model!BW716</f>
        <v>0.10784364126158807</v>
      </c>
      <c r="BP553">
        <f>Model!BX716</f>
        <v>9.2939310009011511E-2</v>
      </c>
      <c r="BQ553">
        <f>Model!BY716</f>
        <v>0.14253338704211924</v>
      </c>
      <c r="BR553">
        <f>Model!BZ716</f>
        <v>0.11551005466508876</v>
      </c>
      <c r="BS553">
        <f>Model!CA716</f>
        <v>0.13434723956401154</v>
      </c>
      <c r="BT553">
        <f>Model!CB716</f>
        <v>9.1066037587112361E-2</v>
      </c>
      <c r="BU553">
        <f>Model!CC716</f>
        <v>0</v>
      </c>
      <c r="BV553">
        <f>Model!CD716</f>
        <v>0</v>
      </c>
      <c r="BW553">
        <f>Model!CE716</f>
        <v>0</v>
      </c>
      <c r="BX553">
        <f>Model!CF716</f>
        <v>0</v>
      </c>
      <c r="BY553">
        <f>Model!CG716</f>
        <v>0</v>
      </c>
      <c r="BZ553">
        <f>Model!CH716</f>
        <v>0</v>
      </c>
      <c r="CA553">
        <f>Model!CI716</f>
        <v>0</v>
      </c>
      <c r="CB553">
        <f>Model!CJ716</f>
        <v>0</v>
      </c>
      <c r="CC553">
        <f>Model!CK716</f>
        <v>0</v>
      </c>
      <c r="CD553">
        <f>Model!CL716</f>
        <v>0</v>
      </c>
      <c r="CE553">
        <f>Model!CM716</f>
        <v>0</v>
      </c>
      <c r="CF553">
        <f>Model!CN716</f>
        <v>0</v>
      </c>
      <c r="CG553">
        <f>Model!CO716</f>
        <v>0.60811394044022438</v>
      </c>
      <c r="CH553">
        <f>Model!CP716</f>
        <v>0.33191702074481383</v>
      </c>
      <c r="CI553">
        <f>Model!CQ716</f>
        <v>0.44176470588235295</v>
      </c>
      <c r="CJ553">
        <f>Model!CR716</f>
        <v>0.39796731188265783</v>
      </c>
      <c r="CK553">
        <f>Model!CS716</f>
        <v>0.40191318326113196</v>
      </c>
      <c r="CL553">
        <f>Model!CT716</f>
        <v>0.27436583275998361</v>
      </c>
      <c r="CM553">
        <f>Model!CU716</f>
        <v>0.14248281796550682</v>
      </c>
      <c r="CN553">
        <f>Model!CV716</f>
        <v>7.3712976165878713E-2</v>
      </c>
      <c r="CO553">
        <f>Model!CW716</f>
        <v>9.2939310009011511E-2</v>
      </c>
      <c r="CP553">
        <f>Model!CX716</f>
        <v>9.1066037587112361E-2</v>
      </c>
      <c r="CQ553">
        <f>Model!CY716</f>
        <v>0</v>
      </c>
      <c r="CR553">
        <f>Model!DG716</f>
        <v>0</v>
      </c>
      <c r="CS553">
        <f>Model!DH716</f>
        <v>0</v>
      </c>
      <c r="CT553">
        <f>Model!DI716</f>
        <v>0</v>
      </c>
      <c r="CU553">
        <f>Model!DJ716</f>
        <v>0</v>
      </c>
    </row>
    <row r="554" spans="1:102">
      <c r="A554" t="str">
        <f>Model!I717</f>
        <v>International balance</v>
      </c>
      <c r="B554">
        <f>Model!J717</f>
        <v>0</v>
      </c>
      <c r="C554">
        <f>Model!K717</f>
        <v>0</v>
      </c>
      <c r="D554">
        <f>Model!L717</f>
        <v>0</v>
      </c>
      <c r="E554">
        <f>Model!M717</f>
        <v>0</v>
      </c>
      <c r="F554">
        <f>Model!N717</f>
        <v>0</v>
      </c>
      <c r="G554">
        <f>Model!O717</f>
        <v>0</v>
      </c>
      <c r="H554">
        <f>Model!P717</f>
        <v>0</v>
      </c>
      <c r="I554">
        <f>Model!Q717</f>
        <v>0</v>
      </c>
      <c r="J554">
        <f>Model!R717</f>
        <v>0</v>
      </c>
      <c r="K554">
        <f>Model!S717</f>
        <v>0</v>
      </c>
      <c r="L554">
        <f>Model!T717</f>
        <v>0</v>
      </c>
      <c r="M554">
        <f>Model!U717</f>
        <v>0</v>
      </c>
      <c r="N554">
        <f>Model!V717</f>
        <v>0</v>
      </c>
      <c r="O554">
        <f>Model!W717</f>
        <v>0</v>
      </c>
      <c r="P554">
        <f>Model!X717</f>
        <v>0</v>
      </c>
      <c r="Q554">
        <f>Model!Y717</f>
        <v>0</v>
      </c>
      <c r="R554">
        <f>Model!Z717</f>
        <v>0</v>
      </c>
      <c r="S554">
        <f>Model!AA717</f>
        <v>0</v>
      </c>
      <c r="T554">
        <f>Model!AB717</f>
        <v>0</v>
      </c>
      <c r="U554">
        <f>Model!AC717</f>
        <v>0</v>
      </c>
      <c r="V554">
        <f>Model!AD717</f>
        <v>0</v>
      </c>
      <c r="W554">
        <f>Model!AE717</f>
        <v>0</v>
      </c>
      <c r="X554">
        <f>Model!AF717</f>
        <v>0</v>
      </c>
      <c r="Y554">
        <f>Model!AG717</f>
        <v>0</v>
      </c>
      <c r="Z554">
        <f>Model!AH717</f>
        <v>0</v>
      </c>
      <c r="AA554">
        <f>Model!AI717</f>
        <v>0</v>
      </c>
      <c r="AB554">
        <f>Model!AJ717</f>
        <v>0</v>
      </c>
      <c r="AC554">
        <f>Model!AK717</f>
        <v>0</v>
      </c>
      <c r="AD554">
        <f>Model!AL717</f>
        <v>0</v>
      </c>
      <c r="AE554">
        <f>Model!AM717</f>
        <v>0</v>
      </c>
      <c r="AF554">
        <f>Model!AN717</f>
        <v>0</v>
      </c>
      <c r="AG554">
        <f>Model!AO717</f>
        <v>0</v>
      </c>
      <c r="AH554">
        <f>Model!AP717</f>
        <v>0</v>
      </c>
      <c r="AI554">
        <f>Model!AQ717</f>
        <v>0.28283945157010176</v>
      </c>
      <c r="AJ554">
        <f>Model!AR717</f>
        <v>0.39188605955977557</v>
      </c>
      <c r="AK554">
        <f>Model!AS717</f>
        <v>0.41721987527660431</v>
      </c>
      <c r="AL554">
        <f>Model!AT717</f>
        <v>0.44810040705563092</v>
      </c>
      <c r="AM554">
        <f>Model!AU717</f>
        <v>0.59432781871263729</v>
      </c>
      <c r="AN554">
        <f>Model!AV717</f>
        <v>0.66808297925518623</v>
      </c>
      <c r="AO554">
        <f>Model!AW717</f>
        <v>0.45649999999999996</v>
      </c>
      <c r="AP554">
        <f>Model!AX717</f>
        <v>0.41666666666666669</v>
      </c>
      <c r="AQ554">
        <f>Model!AY717</f>
        <v>0.53333333333333333</v>
      </c>
      <c r="AR554">
        <f>Model!AZ717</f>
        <v>0.55823529411764705</v>
      </c>
      <c r="AS554">
        <f>Model!BA717</f>
        <v>0.51558616991657824</v>
      </c>
      <c r="AT554">
        <f>Model!BB717</f>
        <v>0.51297361571504929</v>
      </c>
      <c r="AU554">
        <f>Model!BC717</f>
        <v>0.58220942655282526</v>
      </c>
      <c r="AV554">
        <f>Model!BD717</f>
        <v>0.60203268811734223</v>
      </c>
      <c r="AW554">
        <f>Model!BE717</f>
        <v>0.46978157643774571</v>
      </c>
      <c r="AX554">
        <f>Model!BF717</f>
        <v>0.4819470253975936</v>
      </c>
      <c r="AY554">
        <f>Model!BG717</f>
        <v>0.55698407689636475</v>
      </c>
      <c r="AZ554">
        <f>Model!BH717</f>
        <v>0.59808681673886799</v>
      </c>
      <c r="BA554">
        <f>Model!BI717</f>
        <v>0.57896984667141549</v>
      </c>
      <c r="BB554">
        <f>Model!BJ717</f>
        <v>0.55508140016423679</v>
      </c>
      <c r="BC554">
        <f>Model!BK717</f>
        <v>0.66832532861860194</v>
      </c>
      <c r="BD554">
        <f>Model!BL717</f>
        <v>0.72563416724001639</v>
      </c>
      <c r="BE554">
        <f>Model!BM717</f>
        <v>0.73019807144257931</v>
      </c>
      <c r="BF554">
        <f>Model!BN717</f>
        <v>0.75369456890485109</v>
      </c>
      <c r="BG554">
        <f>Model!BO717</f>
        <v>0.80465637576184801</v>
      </c>
      <c r="BH554">
        <f>Model!BP717</f>
        <v>0.85751718203449323</v>
      </c>
      <c r="BI554">
        <f>Model!BQ717</f>
        <v>0.73888301077967866</v>
      </c>
      <c r="BJ554">
        <f>Model!BR717</f>
        <v>0.80346059870962139</v>
      </c>
      <c r="BK554">
        <f>Model!BS717</f>
        <v>0.92745866092878915</v>
      </c>
      <c r="BL554">
        <f>Model!BT717</f>
        <v>0.92628702383412131</v>
      </c>
      <c r="BM554">
        <f>Model!BU717</f>
        <v>0.93831362267402985</v>
      </c>
      <c r="BN554">
        <f>Model!BV717</f>
        <v>0.86812781502614045</v>
      </c>
      <c r="BO554">
        <f>Model!BW717</f>
        <v>0.89215635873841193</v>
      </c>
      <c r="BP554">
        <f>Model!BX717</f>
        <v>0.90706068999098843</v>
      </c>
      <c r="BQ554">
        <f>Model!BY717</f>
        <v>0.85746661295788074</v>
      </c>
      <c r="BR554">
        <f>Model!BZ717</f>
        <v>0.88448994533491121</v>
      </c>
      <c r="BS554">
        <f>Model!CA717</f>
        <v>0.86565276043598849</v>
      </c>
      <c r="BT554">
        <f>Model!CB717</f>
        <v>0.9089339624128876</v>
      </c>
      <c r="BU554">
        <f>Model!CC717</f>
        <v>0</v>
      </c>
      <c r="BV554">
        <f>Model!CD717</f>
        <v>0</v>
      </c>
      <c r="BW554">
        <f>Model!CE717</f>
        <v>0</v>
      </c>
      <c r="BX554">
        <f>Model!CF717</f>
        <v>0</v>
      </c>
      <c r="BY554">
        <f>Model!CG717</f>
        <v>0</v>
      </c>
      <c r="BZ554">
        <f>Model!CH717</f>
        <v>0</v>
      </c>
      <c r="CA554">
        <f>Model!CI717</f>
        <v>0</v>
      </c>
      <c r="CB554">
        <f>Model!CJ717</f>
        <v>0</v>
      </c>
      <c r="CC554">
        <f>Model!CK717</f>
        <v>0</v>
      </c>
      <c r="CD554">
        <f>Model!CL717</f>
        <v>0</v>
      </c>
      <c r="CE554">
        <f>Model!CM717</f>
        <v>0</v>
      </c>
      <c r="CF554">
        <f>Model!CN717</f>
        <v>0</v>
      </c>
      <c r="CG554">
        <f>Model!CO717</f>
        <v>0.39188605955977557</v>
      </c>
      <c r="CH554">
        <f>Model!CP717</f>
        <v>0.66808297925518623</v>
      </c>
      <c r="CI554">
        <f>Model!CQ717</f>
        <v>0.55823529411764705</v>
      </c>
      <c r="CJ554">
        <f>Model!CR717</f>
        <v>0.60203268811734223</v>
      </c>
      <c r="CK554">
        <f>Model!CS717</f>
        <v>0.59808681673886799</v>
      </c>
      <c r="CL554">
        <f>Model!CT717</f>
        <v>0.72563416724001639</v>
      </c>
      <c r="CM554">
        <f>Model!CU717</f>
        <v>0.85751718203449323</v>
      </c>
      <c r="CN554">
        <f>Model!CV717</f>
        <v>0.92628702383412131</v>
      </c>
      <c r="CO554">
        <f>Model!CW717</f>
        <v>0.90706068999098843</v>
      </c>
      <c r="CP554">
        <f>Model!CX717</f>
        <v>0.9089339624128876</v>
      </c>
      <c r="CQ554">
        <f>Model!CY717</f>
        <v>0</v>
      </c>
      <c r="CR554">
        <f>Model!DG717</f>
        <v>0</v>
      </c>
      <c r="CS554">
        <f>Model!DH717</f>
        <v>0</v>
      </c>
      <c r="CT554">
        <f>Model!DI717</f>
        <v>0</v>
      </c>
      <c r="CU554">
        <f>Model!DJ717</f>
        <v>0</v>
      </c>
    </row>
    <row r="555" spans="1:102">
      <c r="A555" t="str">
        <f>Model!I718</f>
        <v>Total</v>
      </c>
      <c r="B555">
        <f>Model!J718</f>
        <v>0</v>
      </c>
      <c r="C555">
        <f>Model!K718</f>
        <v>0</v>
      </c>
      <c r="D555">
        <f>Model!L718</f>
        <v>0</v>
      </c>
      <c r="E555">
        <f>Model!M718</f>
        <v>0</v>
      </c>
      <c r="F555">
        <f>Model!N718</f>
        <v>0</v>
      </c>
      <c r="G555">
        <f>Model!O718</f>
        <v>0</v>
      </c>
      <c r="H555">
        <f>Model!P718</f>
        <v>0</v>
      </c>
      <c r="I555">
        <f>Model!Q718</f>
        <v>0</v>
      </c>
      <c r="J555">
        <f>Model!R718</f>
        <v>0</v>
      </c>
      <c r="K555">
        <f>Model!S718</f>
        <v>0</v>
      </c>
      <c r="L555">
        <f>Model!T718</f>
        <v>0</v>
      </c>
      <c r="M555">
        <f>Model!U718</f>
        <v>0</v>
      </c>
      <c r="N555">
        <f>Model!V718</f>
        <v>0</v>
      </c>
      <c r="O555">
        <f>Model!W718</f>
        <v>0</v>
      </c>
      <c r="P555">
        <f>Model!X718</f>
        <v>0</v>
      </c>
      <c r="Q555">
        <f>Model!Y718</f>
        <v>0</v>
      </c>
      <c r="R555">
        <f>Model!Z718</f>
        <v>0</v>
      </c>
      <c r="S555">
        <f>Model!AA718</f>
        <v>0</v>
      </c>
      <c r="T555">
        <f>Model!AB718</f>
        <v>0</v>
      </c>
      <c r="U555">
        <f>Model!AC718</f>
        <v>0</v>
      </c>
      <c r="V555">
        <f>Model!AD718</f>
        <v>0</v>
      </c>
      <c r="W555">
        <f>Model!AE718</f>
        <v>0</v>
      </c>
      <c r="X555">
        <f>Model!AF718</f>
        <v>0</v>
      </c>
      <c r="Y555">
        <f>Model!AG718</f>
        <v>0</v>
      </c>
      <c r="Z555">
        <f>Model!AH718</f>
        <v>0</v>
      </c>
      <c r="AA555">
        <f>Model!AI718</f>
        <v>0</v>
      </c>
      <c r="AB555">
        <f>Model!AJ718</f>
        <v>0</v>
      </c>
      <c r="AC555">
        <f>Model!AK718</f>
        <v>0</v>
      </c>
      <c r="AD555">
        <f>Model!AL718</f>
        <v>0</v>
      </c>
      <c r="AE555">
        <f>Model!AM718</f>
        <v>0</v>
      </c>
      <c r="AF555">
        <f>Model!AN718</f>
        <v>0</v>
      </c>
      <c r="AG555">
        <f>Model!AO718</f>
        <v>0</v>
      </c>
      <c r="AH555">
        <f>Model!AP718</f>
        <v>0</v>
      </c>
      <c r="AI555">
        <f>Model!AQ718</f>
        <v>1</v>
      </c>
      <c r="AJ555">
        <f>Model!AR718</f>
        <v>1</v>
      </c>
      <c r="AK555">
        <f>Model!AS718</f>
        <v>1</v>
      </c>
      <c r="AL555">
        <f>Model!AT718</f>
        <v>1</v>
      </c>
      <c r="AM555">
        <f>Model!AU718</f>
        <v>1</v>
      </c>
      <c r="AN555">
        <f>Model!AV718</f>
        <v>1</v>
      </c>
      <c r="AO555">
        <f>Model!AW718</f>
        <v>1</v>
      </c>
      <c r="AP555">
        <f>Model!AX718</f>
        <v>1</v>
      </c>
      <c r="AQ555">
        <f>Model!AY718</f>
        <v>1</v>
      </c>
      <c r="AR555">
        <f>Model!AZ718</f>
        <v>1</v>
      </c>
      <c r="AS555">
        <f>Model!BA718</f>
        <v>1</v>
      </c>
      <c r="AT555">
        <f>Model!BB718</f>
        <v>1</v>
      </c>
      <c r="AU555">
        <f>Model!BC718</f>
        <v>1</v>
      </c>
      <c r="AV555">
        <f>Model!BD718</f>
        <v>1</v>
      </c>
      <c r="AW555">
        <f>Model!BE718</f>
        <v>1</v>
      </c>
      <c r="AX555">
        <f>Model!BF718</f>
        <v>1</v>
      </c>
      <c r="AY555">
        <f>Model!BG718</f>
        <v>1</v>
      </c>
      <c r="AZ555">
        <f>Model!BH718</f>
        <v>1</v>
      </c>
      <c r="BA555">
        <f>Model!BI718</f>
        <v>1</v>
      </c>
      <c r="BB555">
        <f>Model!BJ718</f>
        <v>1</v>
      </c>
      <c r="BC555">
        <f>Model!BK718</f>
        <v>1</v>
      </c>
      <c r="BD555">
        <f>Model!BL718</f>
        <v>1</v>
      </c>
      <c r="BE555">
        <f>Model!BM718</f>
        <v>1</v>
      </c>
      <c r="BF555">
        <f>Model!BN718</f>
        <v>1</v>
      </c>
      <c r="BG555">
        <f>Model!BO718</f>
        <v>1</v>
      </c>
      <c r="BH555">
        <f>Model!BP718</f>
        <v>1</v>
      </c>
      <c r="BI555">
        <f>Model!BQ718</f>
        <v>1</v>
      </c>
      <c r="BJ555">
        <f>Model!BR718</f>
        <v>1</v>
      </c>
      <c r="BK555">
        <f>Model!BS718</f>
        <v>1</v>
      </c>
      <c r="BL555">
        <f>Model!BT718</f>
        <v>1</v>
      </c>
      <c r="BM555">
        <f>Model!BU718</f>
        <v>1</v>
      </c>
      <c r="BN555">
        <f>Model!BV718</f>
        <v>1</v>
      </c>
      <c r="BO555">
        <f>Model!BW718</f>
        <v>1</v>
      </c>
      <c r="BP555">
        <f>Model!BX718</f>
        <v>1</v>
      </c>
      <c r="BQ555">
        <f>Model!BY718</f>
        <v>1</v>
      </c>
      <c r="BR555">
        <f>Model!BZ718</f>
        <v>1</v>
      </c>
      <c r="BS555">
        <f>Model!CA718</f>
        <v>1</v>
      </c>
      <c r="BT555">
        <f>Model!CB718</f>
        <v>1</v>
      </c>
      <c r="BU555">
        <f>Model!CC718</f>
        <v>0</v>
      </c>
      <c r="BV555">
        <f>Model!CD718</f>
        <v>0</v>
      </c>
      <c r="BW555">
        <f>Model!CE718</f>
        <v>0</v>
      </c>
      <c r="BX555">
        <f>Model!CF718</f>
        <v>0</v>
      </c>
      <c r="BY555">
        <f>Model!CG718</f>
        <v>0</v>
      </c>
      <c r="BZ555">
        <f>Model!CH718</f>
        <v>0</v>
      </c>
      <c r="CA555">
        <f>Model!CI718</f>
        <v>0</v>
      </c>
      <c r="CB555">
        <f>Model!CJ718</f>
        <v>0</v>
      </c>
      <c r="CC555">
        <f>Model!CK718</f>
        <v>0</v>
      </c>
      <c r="CD555">
        <f>Model!CL718</f>
        <v>0</v>
      </c>
      <c r="CE555">
        <f>Model!CM718</f>
        <v>0</v>
      </c>
      <c r="CF555">
        <f>Model!CN718</f>
        <v>0</v>
      </c>
      <c r="CG555">
        <f>Model!CO718</f>
        <v>1</v>
      </c>
      <c r="CH555">
        <f>Model!CP718</f>
        <v>1</v>
      </c>
      <c r="CI555">
        <f>Model!CQ718</f>
        <v>1</v>
      </c>
      <c r="CJ555">
        <f>Model!CR718</f>
        <v>1</v>
      </c>
      <c r="CK555">
        <f>Model!CS718</f>
        <v>1</v>
      </c>
      <c r="CL555">
        <f>Model!CT718</f>
        <v>1</v>
      </c>
      <c r="CM555">
        <f>Model!CU718</f>
        <v>1</v>
      </c>
      <c r="CN555">
        <f>Model!CV718</f>
        <v>1</v>
      </c>
      <c r="CO555">
        <f>Model!CW718</f>
        <v>1</v>
      </c>
      <c r="CP555">
        <f>Model!CX718</f>
        <v>1</v>
      </c>
      <c r="CQ555">
        <f>Model!CY718</f>
        <v>0</v>
      </c>
      <c r="CR555">
        <f>Model!DG718</f>
        <v>0</v>
      </c>
      <c r="CS555">
        <f>Model!DH718</f>
        <v>0</v>
      </c>
      <c r="CT555">
        <f>Model!DI718</f>
        <v>0</v>
      </c>
      <c r="CU555">
        <f>Model!DJ718</f>
        <v>0</v>
      </c>
    </row>
    <row r="556" spans="1:102">
      <c r="A556">
        <f>Model!I719</f>
        <v>0</v>
      </c>
      <c r="B556">
        <f>Model!J719</f>
        <v>0</v>
      </c>
      <c r="C556">
        <f>Model!K719</f>
        <v>0</v>
      </c>
      <c r="D556">
        <f>Model!L719</f>
        <v>0</v>
      </c>
      <c r="E556">
        <f>Model!M719</f>
        <v>0</v>
      </c>
      <c r="F556">
        <f>Model!N719</f>
        <v>0</v>
      </c>
      <c r="G556">
        <f>Model!O719</f>
        <v>0</v>
      </c>
      <c r="H556">
        <f>Model!P719</f>
        <v>0</v>
      </c>
      <c r="I556">
        <f>Model!Q719</f>
        <v>0</v>
      </c>
      <c r="J556">
        <f>Model!R719</f>
        <v>0</v>
      </c>
      <c r="K556">
        <f>Model!S719</f>
        <v>0</v>
      </c>
      <c r="L556">
        <f>Model!T719</f>
        <v>0</v>
      </c>
      <c r="M556">
        <f>Model!U719</f>
        <v>0</v>
      </c>
      <c r="N556">
        <f>Model!V719</f>
        <v>0</v>
      </c>
      <c r="O556">
        <f>Model!W719</f>
        <v>0</v>
      </c>
      <c r="P556">
        <f>Model!X719</f>
        <v>0</v>
      </c>
      <c r="Q556">
        <f>Model!Y719</f>
        <v>0</v>
      </c>
      <c r="R556">
        <f>Model!Z719</f>
        <v>0</v>
      </c>
      <c r="S556">
        <f>Model!AA719</f>
        <v>0</v>
      </c>
      <c r="T556">
        <f>Model!AB719</f>
        <v>0</v>
      </c>
      <c r="U556">
        <f>Model!AC719</f>
        <v>0</v>
      </c>
      <c r="V556">
        <f>Model!AD719</f>
        <v>0</v>
      </c>
      <c r="W556">
        <f>Model!AE719</f>
        <v>0</v>
      </c>
      <c r="X556">
        <f>Model!AF719</f>
        <v>0</v>
      </c>
      <c r="Y556">
        <f>Model!AG719</f>
        <v>0</v>
      </c>
      <c r="Z556">
        <f>Model!AH719</f>
        <v>0</v>
      </c>
      <c r="AA556">
        <f>Model!AI719</f>
        <v>0</v>
      </c>
      <c r="AB556">
        <f>Model!AJ719</f>
        <v>0</v>
      </c>
      <c r="AC556">
        <f>Model!AK719</f>
        <v>0</v>
      </c>
      <c r="AD556">
        <f>Model!AL719</f>
        <v>0</v>
      </c>
      <c r="AE556">
        <f>Model!AM719</f>
        <v>0</v>
      </c>
      <c r="AF556">
        <f>Model!AN719</f>
        <v>0</v>
      </c>
      <c r="AG556">
        <f>Model!AO719</f>
        <v>0</v>
      </c>
      <c r="AH556">
        <f>Model!AP719</f>
        <v>0</v>
      </c>
      <c r="AI556">
        <f>Model!AQ719</f>
        <v>0</v>
      </c>
      <c r="AJ556">
        <f>Model!AR719</f>
        <v>0</v>
      </c>
      <c r="AK556">
        <f>Model!AS719</f>
        <v>0</v>
      </c>
      <c r="AL556">
        <f>Model!AT719</f>
        <v>0</v>
      </c>
      <c r="AM556">
        <f>Model!AU719</f>
        <v>0</v>
      </c>
      <c r="AN556">
        <f>Model!AV719</f>
        <v>0</v>
      </c>
      <c r="AO556">
        <f>Model!AW719</f>
        <v>0</v>
      </c>
      <c r="AP556">
        <f>Model!AX719</f>
        <v>0</v>
      </c>
      <c r="AQ556">
        <f>Model!AY719</f>
        <v>0</v>
      </c>
      <c r="AR556">
        <f>Model!AZ719</f>
        <v>0</v>
      </c>
      <c r="AS556">
        <f>Model!BA719</f>
        <v>0</v>
      </c>
      <c r="AT556">
        <f>Model!BB719</f>
        <v>0</v>
      </c>
      <c r="AU556">
        <f>Model!BC719</f>
        <v>0</v>
      </c>
      <c r="AV556">
        <f>Model!BD719</f>
        <v>0</v>
      </c>
      <c r="AW556">
        <f>Model!BE719</f>
        <v>0</v>
      </c>
      <c r="AX556">
        <f>Model!BF719</f>
        <v>0</v>
      </c>
      <c r="AY556">
        <f>Model!BG719</f>
        <v>0</v>
      </c>
      <c r="AZ556">
        <f>Model!BH719</f>
        <v>0</v>
      </c>
      <c r="BA556">
        <f>Model!BI719</f>
        <v>0</v>
      </c>
      <c r="BB556">
        <f>Model!BJ719</f>
        <v>0</v>
      </c>
      <c r="BC556">
        <f>Model!BK719</f>
        <v>0</v>
      </c>
      <c r="BD556">
        <f>Model!BL719</f>
        <v>0</v>
      </c>
      <c r="BE556">
        <f>Model!BM719</f>
        <v>0</v>
      </c>
      <c r="BF556">
        <f>Model!BN719</f>
        <v>0</v>
      </c>
      <c r="BG556">
        <f>Model!BO719</f>
        <v>0</v>
      </c>
      <c r="BH556">
        <f>Model!BP719</f>
        <v>0</v>
      </c>
      <c r="BI556">
        <f>Model!BQ719</f>
        <v>0</v>
      </c>
      <c r="BJ556">
        <f>Model!BR719</f>
        <v>0</v>
      </c>
      <c r="BK556">
        <f>Model!BS719</f>
        <v>0</v>
      </c>
      <c r="BL556">
        <f>Model!BT719</f>
        <v>0</v>
      </c>
      <c r="BM556">
        <f>Model!BU719</f>
        <v>0</v>
      </c>
      <c r="BN556">
        <f>Model!BV719</f>
        <v>0</v>
      </c>
      <c r="BO556">
        <f>Model!BW719</f>
        <v>0</v>
      </c>
      <c r="BP556">
        <f>Model!BX719</f>
        <v>0</v>
      </c>
      <c r="BQ556">
        <f>Model!BY719</f>
        <v>0</v>
      </c>
      <c r="BR556">
        <f>Model!BZ719</f>
        <v>0</v>
      </c>
      <c r="BS556">
        <f>Model!CA719</f>
        <v>0</v>
      </c>
      <c r="BT556">
        <f>Model!CB719</f>
        <v>0</v>
      </c>
      <c r="BU556">
        <f>Model!CC719</f>
        <v>0</v>
      </c>
      <c r="BV556">
        <f>Model!CD719</f>
        <v>0</v>
      </c>
      <c r="BW556">
        <f>Model!CE719</f>
        <v>0</v>
      </c>
      <c r="BX556">
        <f>Model!CF719</f>
        <v>0</v>
      </c>
      <c r="BY556">
        <f>Model!CG719</f>
        <v>0</v>
      </c>
      <c r="BZ556">
        <f>Model!CH719</f>
        <v>0</v>
      </c>
      <c r="CA556">
        <f>Model!CI719</f>
        <v>0</v>
      </c>
      <c r="CB556">
        <f>Model!CJ719</f>
        <v>0</v>
      </c>
      <c r="CC556">
        <f>Model!CK719</f>
        <v>0</v>
      </c>
      <c r="CD556">
        <f>Model!CL719</f>
        <v>0</v>
      </c>
      <c r="CE556">
        <f>Model!CM719</f>
        <v>0</v>
      </c>
      <c r="CF556">
        <f>Model!CN719</f>
        <v>0</v>
      </c>
      <c r="CG556">
        <f>Model!CO719</f>
        <v>0</v>
      </c>
      <c r="CH556">
        <f>Model!CP719</f>
        <v>0</v>
      </c>
      <c r="CI556">
        <f>Model!CQ719</f>
        <v>0</v>
      </c>
      <c r="CJ556">
        <f>Model!CR719</f>
        <v>0</v>
      </c>
      <c r="CK556">
        <f>Model!CS719</f>
        <v>0</v>
      </c>
      <c r="CL556">
        <f>Model!CT719</f>
        <v>0</v>
      </c>
      <c r="CM556">
        <f>Model!CU719</f>
        <v>0</v>
      </c>
      <c r="CN556">
        <f>Model!CV719</f>
        <v>0</v>
      </c>
      <c r="CO556">
        <f>Model!CW719</f>
        <v>0</v>
      </c>
      <c r="CP556">
        <f>Model!CX719</f>
        <v>0</v>
      </c>
      <c r="CQ556">
        <f>Model!CY719</f>
        <v>0</v>
      </c>
      <c r="CR556">
        <f>Model!DG719</f>
        <v>0</v>
      </c>
      <c r="CS556">
        <f>Model!DH719</f>
        <v>0</v>
      </c>
      <c r="CT556">
        <f>Model!DI719</f>
        <v>0</v>
      </c>
      <c r="CU556">
        <f>Model!DJ719</f>
        <v>0</v>
      </c>
    </row>
    <row r="560" spans="1:102">
      <c r="A560" t="str">
        <f>Model!I521</f>
        <v>Capex</v>
      </c>
      <c r="B560">
        <f>Model!J521</f>
        <v>0</v>
      </c>
      <c r="C560">
        <f>Model!K521</f>
        <v>0</v>
      </c>
      <c r="D560">
        <f>Model!L521</f>
        <v>0</v>
      </c>
      <c r="E560">
        <f>Model!M521</f>
        <v>0</v>
      </c>
      <c r="F560">
        <f>Model!N521</f>
        <v>0</v>
      </c>
      <c r="G560">
        <f>Model!O521</f>
        <v>0</v>
      </c>
      <c r="H560">
        <f>Model!P521</f>
        <v>0</v>
      </c>
      <c r="I560">
        <f>Model!Q521</f>
        <v>0</v>
      </c>
      <c r="J560">
        <f>Model!R521</f>
        <v>0</v>
      </c>
      <c r="K560">
        <f>Model!S521</f>
        <v>0</v>
      </c>
      <c r="L560">
        <f>Model!T521</f>
        <v>0</v>
      </c>
      <c r="M560">
        <f>Model!U521</f>
        <v>0</v>
      </c>
      <c r="N560">
        <f>Model!V521</f>
        <v>0</v>
      </c>
      <c r="O560">
        <f>Model!W521</f>
        <v>0</v>
      </c>
      <c r="P560">
        <f>Model!X521</f>
        <v>0</v>
      </c>
      <c r="Q560">
        <f>Model!Y521</f>
        <v>0</v>
      </c>
      <c r="R560">
        <f>Model!Z521</f>
        <v>0</v>
      </c>
      <c r="S560">
        <f>Model!AA521</f>
        <v>0</v>
      </c>
      <c r="T560">
        <f>Model!AB521</f>
        <v>0</v>
      </c>
      <c r="U560">
        <f>Model!AC521</f>
        <v>0</v>
      </c>
      <c r="V560">
        <f>Model!AD521</f>
        <v>0</v>
      </c>
      <c r="W560">
        <f>Model!AE521</f>
        <v>0</v>
      </c>
      <c r="X560">
        <f>Model!AF521</f>
        <v>0</v>
      </c>
      <c r="Y560">
        <f>Model!AG521</f>
        <v>0</v>
      </c>
      <c r="Z560">
        <f>Model!AH521</f>
        <v>0</v>
      </c>
      <c r="AA560">
        <f>Model!AI521</f>
        <v>0</v>
      </c>
      <c r="AB560">
        <f>Model!AJ521</f>
        <v>0</v>
      </c>
      <c r="AC560">
        <f>Model!AK521</f>
        <v>0</v>
      </c>
      <c r="AD560">
        <f>Model!AL521</f>
        <v>0</v>
      </c>
      <c r="AE560">
        <f>Model!AM521</f>
        <v>0</v>
      </c>
      <c r="AF560">
        <f>Model!AN521</f>
        <v>0</v>
      </c>
      <c r="AG560">
        <f>Model!AO521</f>
        <v>0</v>
      </c>
      <c r="AH560">
        <f>Model!AP521</f>
        <v>0</v>
      </c>
      <c r="AI560">
        <f>Model!AQ521</f>
        <v>0</v>
      </c>
      <c r="AJ560">
        <f>Model!AR521</f>
        <v>0</v>
      </c>
      <c r="AK560">
        <f>Model!AS521</f>
        <v>0</v>
      </c>
      <c r="AL560">
        <f>Model!AT521</f>
        <v>0</v>
      </c>
      <c r="AM560">
        <f>Model!AU521</f>
        <v>0</v>
      </c>
      <c r="AN560">
        <f>Model!AV521</f>
        <v>0</v>
      </c>
      <c r="AO560">
        <f>Model!AW521</f>
        <v>0</v>
      </c>
      <c r="AP560">
        <f>Model!AX521</f>
        <v>0</v>
      </c>
      <c r="AQ560">
        <f>Model!AY521</f>
        <v>0</v>
      </c>
      <c r="AR560">
        <f>Model!AZ521</f>
        <v>0</v>
      </c>
      <c r="AS560">
        <f>Model!BA521</f>
        <v>8.2789999999999999</v>
      </c>
      <c r="AT560">
        <f>Model!BB521</f>
        <v>9.7980000000000018</v>
      </c>
      <c r="AU560">
        <f>Model!BC521</f>
        <v>11.692999999999998</v>
      </c>
      <c r="AV560">
        <f>Model!BD521</f>
        <v>17.062999999999999</v>
      </c>
      <c r="AW560">
        <f>Model!BE521</f>
        <v>13.696999999999999</v>
      </c>
      <c r="AX560">
        <f>Model!BF521</f>
        <v>14.725999999999999</v>
      </c>
      <c r="AY560">
        <f>Model!BG521</f>
        <v>10.527000000000005</v>
      </c>
      <c r="AZ560">
        <f>Model!BH521</f>
        <v>16.208000000000002</v>
      </c>
      <c r="BA560">
        <f>Model!BI521</f>
        <v>15.051</v>
      </c>
      <c r="BB560">
        <f>Model!BJ521</f>
        <v>21.43</v>
      </c>
      <c r="BC560">
        <f>Model!BK521</f>
        <v>20.476999999999997</v>
      </c>
      <c r="BD560">
        <f>Model!BL521</f>
        <v>27.486999999999995</v>
      </c>
      <c r="BE560">
        <f>Model!BM521</f>
        <v>29.731000000000002</v>
      </c>
      <c r="BF560">
        <f>Model!BN521</f>
        <v>32.254999999999995</v>
      </c>
      <c r="BG560">
        <f>Model!BO521</f>
        <v>28.738999999999997</v>
      </c>
      <c r="BH560">
        <f>Model!BP521</f>
        <v>40.778999999999989</v>
      </c>
      <c r="BI560">
        <f>Model!BQ521</f>
        <v>31.263000000000002</v>
      </c>
      <c r="BJ560">
        <f>Model!BR521</f>
        <v>53.087999999999994</v>
      </c>
      <c r="BK560">
        <f>Model!BS521</f>
        <v>42.286000000000001</v>
      </c>
      <c r="BL560">
        <f>Model!BT521</f>
        <v>47.277999999999992</v>
      </c>
      <c r="BM560">
        <f>Model!BU521</f>
        <v>53.256</v>
      </c>
      <c r="BN560">
        <f>Model!BV521</f>
        <v>60.442999999999998</v>
      </c>
      <c r="BO560">
        <f>Model!BW521</f>
        <v>54.376999999999995</v>
      </c>
      <c r="BP560">
        <f>Model!BX521</f>
        <v>51.813000000000002</v>
      </c>
      <c r="BQ560">
        <f>Model!BY521</f>
        <v>70.558999999999997</v>
      </c>
      <c r="BR560">
        <f>Model!BZ521</f>
        <v>76.710000000000008</v>
      </c>
      <c r="BS560">
        <f>Model!CA521</f>
        <v>76.423000000000002</v>
      </c>
      <c r="BT560">
        <f>Model!CB521</f>
        <v>64.113</v>
      </c>
      <c r="BU560">
        <f>Model!CC521</f>
        <v>98.549416478241099</v>
      </c>
      <c r="BV560">
        <f>Model!CD521</f>
        <v>101.47747321468827</v>
      </c>
      <c r="BW560">
        <f>Model!CE521</f>
        <v>77.417733131077327</v>
      </c>
      <c r="BX560">
        <f>Model!CF521</f>
        <v>86.62669323710152</v>
      </c>
      <c r="BY560">
        <f>Model!CG521</f>
        <v>0</v>
      </c>
      <c r="BZ560">
        <f>Model!CH521</f>
        <v>0</v>
      </c>
      <c r="CA560">
        <f>Model!CI521</f>
        <v>0</v>
      </c>
      <c r="CB560">
        <f>Model!CJ521</f>
        <v>0</v>
      </c>
      <c r="CC560">
        <f>Model!CK521</f>
        <v>0</v>
      </c>
      <c r="CD560">
        <f>Model!CL521</f>
        <v>0</v>
      </c>
      <c r="CE560">
        <f>Model!CM521</f>
        <v>0</v>
      </c>
      <c r="CF560">
        <f>Model!CN521</f>
        <v>0</v>
      </c>
      <c r="CG560">
        <f>Model!CO521</f>
        <v>0</v>
      </c>
      <c r="CH560">
        <f>Model!CP521</f>
        <v>0</v>
      </c>
      <c r="CI560">
        <f>Model!CQ521</f>
        <v>22.593</v>
      </c>
      <c r="CJ560">
        <f>Model!CR521</f>
        <v>46.832999999999998</v>
      </c>
      <c r="CK560">
        <f>Model!CS521</f>
        <v>55.158000000000001</v>
      </c>
      <c r="CL560">
        <f>Model!CT521</f>
        <v>84.444999999999993</v>
      </c>
      <c r="CM560">
        <f>Model!CU521</f>
        <v>131.50399999999999</v>
      </c>
      <c r="CN560">
        <f>Model!CV521</f>
        <v>173.91499999999999</v>
      </c>
      <c r="CO560">
        <f>Model!CW521</f>
        <v>219.88900000000001</v>
      </c>
      <c r="CP560">
        <f>Model!CX521</f>
        <v>287.80500000000001</v>
      </c>
      <c r="CQ560">
        <f>Model!CY521</f>
        <v>364.07131606110823</v>
      </c>
      <c r="CR560">
        <f>Model!CZ521</f>
        <v>427.95676383952571</v>
      </c>
      <c r="CS560">
        <f>Model!DA521</f>
        <v>489.1695631063231</v>
      </c>
      <c r="CT560">
        <f>Model!DB521</f>
        <v>550.37656261603331</v>
      </c>
      <c r="CU560">
        <f>Model!DC521</f>
        <v>612.24848722151444</v>
      </c>
      <c r="CV560">
        <f>Model!DD521</f>
        <v>675.2571801792518</v>
      </c>
      <c r="CW560">
        <f>Model!DE521</f>
        <v>738.89941506418631</v>
      </c>
      <c r="CX560">
        <f>Model!DF521</f>
        <v>808.4463270780476</v>
      </c>
    </row>
    <row r="561" spans="1:102">
      <c r="A561" t="str">
        <f>Model!I522</f>
        <v>DRIVER: % of Total Gross Profit</v>
      </c>
      <c r="B561">
        <f>Model!J522</f>
        <v>0</v>
      </c>
      <c r="C561">
        <f>Model!K522</f>
        <v>0</v>
      </c>
      <c r="D561">
        <f>Model!L522</f>
        <v>0</v>
      </c>
      <c r="E561">
        <f>Model!M522</f>
        <v>0</v>
      </c>
      <c r="F561">
        <f>Model!N522</f>
        <v>0</v>
      </c>
      <c r="G561">
        <f>Model!O522</f>
        <v>0</v>
      </c>
      <c r="H561">
        <f>Model!P522</f>
        <v>0</v>
      </c>
      <c r="I561">
        <f>Model!Q522</f>
        <v>0</v>
      </c>
      <c r="J561">
        <f>Model!R522</f>
        <v>0</v>
      </c>
      <c r="K561">
        <f>Model!S522</f>
        <v>0</v>
      </c>
      <c r="L561">
        <f>Model!T522</f>
        <v>0</v>
      </c>
      <c r="M561">
        <f>Model!U522</f>
        <v>0</v>
      </c>
      <c r="N561">
        <f>Model!V522</f>
        <v>0</v>
      </c>
      <c r="O561">
        <f>Model!W522</f>
        <v>0</v>
      </c>
      <c r="P561">
        <f>Model!X522</f>
        <v>0</v>
      </c>
      <c r="Q561">
        <f>Model!Y522</f>
        <v>0</v>
      </c>
      <c r="R561">
        <f>Model!Z522</f>
        <v>0</v>
      </c>
      <c r="S561">
        <f>Model!AA522</f>
        <v>0</v>
      </c>
      <c r="T561">
        <f>Model!AB522</f>
        <v>0</v>
      </c>
      <c r="U561">
        <f>Model!AC522</f>
        <v>0</v>
      </c>
      <c r="V561">
        <f>Model!AD522</f>
        <v>0</v>
      </c>
      <c r="W561">
        <f>Model!AE522</f>
        <v>0</v>
      </c>
      <c r="X561">
        <f>Model!AF522</f>
        <v>0</v>
      </c>
      <c r="Y561">
        <f>Model!AG522</f>
        <v>0</v>
      </c>
      <c r="Z561">
        <f>Model!AH522</f>
        <v>0</v>
      </c>
      <c r="AA561">
        <f>Model!AI522</f>
        <v>0</v>
      </c>
      <c r="AB561">
        <f>Model!AJ522</f>
        <v>0</v>
      </c>
      <c r="AC561">
        <f>Model!AK522</f>
        <v>0</v>
      </c>
      <c r="AD561">
        <f>Model!AL522</f>
        <v>0</v>
      </c>
      <c r="AE561">
        <f>Model!AM522</f>
        <v>0</v>
      </c>
      <c r="AF561">
        <f>Model!AN522</f>
        <v>0</v>
      </c>
      <c r="AG561">
        <f>Model!AO522</f>
        <v>0</v>
      </c>
      <c r="AH561">
        <f>Model!AP522</f>
        <v>0</v>
      </c>
      <c r="AI561">
        <f>Model!AQ522</f>
        <v>0</v>
      </c>
      <c r="AJ561">
        <f>Model!AR522</f>
        <v>0</v>
      </c>
      <c r="AK561">
        <f>Model!AS522</f>
        <v>0</v>
      </c>
      <c r="AL561">
        <f>Model!AT522</f>
        <v>0</v>
      </c>
      <c r="AM561">
        <f>Model!AU522</f>
        <v>0</v>
      </c>
      <c r="AN561">
        <f>Model!AV522</f>
        <v>0</v>
      </c>
      <c r="AO561">
        <f>Model!AW522</f>
        <v>0</v>
      </c>
      <c r="AP561">
        <f>Model!AX522</f>
        <v>0</v>
      </c>
      <c r="AQ561">
        <f>Model!AY522</f>
        <v>0</v>
      </c>
      <c r="AR561">
        <f>Model!AZ522</f>
        <v>0</v>
      </c>
      <c r="AS561">
        <f>Model!BA522</f>
        <v>1.6367870812640368E-2</v>
      </c>
      <c r="AT561">
        <f>Model!BB522</f>
        <v>1.3077478521195847E-2</v>
      </c>
      <c r="AU561">
        <f>Model!BC522</f>
        <v>1.0628569974221647E-2</v>
      </c>
      <c r="AV561">
        <f>Model!BD522</f>
        <v>2.3545012605268131E-2</v>
      </c>
      <c r="AW561">
        <f>Model!BE522</f>
        <v>1.8427581233653709E-2</v>
      </c>
      <c r="AX561">
        <f>Model!BF522</f>
        <v>1.4665256507545743E-2</v>
      </c>
      <c r="AY561">
        <f>Model!BG522</f>
        <v>7.5381256440203081E-3</v>
      </c>
      <c r="AZ561">
        <f>Model!BH522</f>
        <v>1.7247140196860869E-2</v>
      </c>
      <c r="BA561">
        <f>Model!BI522</f>
        <v>1.4906924573992364E-2</v>
      </c>
      <c r="BB561">
        <f>Model!BJ522</f>
        <v>1.548572646700702E-2</v>
      </c>
      <c r="BC561">
        <f>Model!BK522</f>
        <v>1.0294786746536689E-2</v>
      </c>
      <c r="BD561">
        <f>Model!BL522</f>
        <v>2.0615749931935847E-2</v>
      </c>
      <c r="BE561">
        <f>Model!BM522</f>
        <v>2.1138722376785584E-2</v>
      </c>
      <c r="BF561">
        <f>Model!BN522</f>
        <v>1.7129616844645448E-2</v>
      </c>
      <c r="BG561">
        <f>Model!BO522</f>
        <v>1.0969176077051028E-2</v>
      </c>
      <c r="BH561">
        <f>Model!BP522</f>
        <v>2.4350250942714594E-2</v>
      </c>
      <c r="BI561">
        <f>Model!BQ522</f>
        <v>1.8695327692981135E-2</v>
      </c>
      <c r="BJ561">
        <f>Model!BR522</f>
        <v>2.5365687708860309E-2</v>
      </c>
      <c r="BK561">
        <f>Model!BS522</f>
        <v>1.4347456402203794E-2</v>
      </c>
      <c r="BL561">
        <f>Model!BT522</f>
        <v>2.5156128367661085E-2</v>
      </c>
      <c r="BM561">
        <f>Model!BU522</f>
        <v>2.6371536804575508E-2</v>
      </c>
      <c r="BN561">
        <f>Model!BV522</f>
        <v>2.4875525656654116E-2</v>
      </c>
      <c r="BO561">
        <f>Model!BW522</f>
        <v>1.5150751045607166E-2</v>
      </c>
      <c r="BP561">
        <f>Model!BX522</f>
        <v>2.2761328277896172E-2</v>
      </c>
      <c r="BQ561">
        <f>Model!BY522</f>
        <v>3.0227890508025112E-2</v>
      </c>
      <c r="BR561">
        <f>Model!BZ522</f>
        <v>2.598740977581921E-2</v>
      </c>
      <c r="BS561">
        <f>Model!CA522</f>
        <v>1.7469899210273598E-2</v>
      </c>
      <c r="BT561">
        <f>Model!CB522</f>
        <v>2.3145963653403701E-2</v>
      </c>
      <c r="BU561">
        <f>Model!CC522</f>
        <v>3.5227890508025113E-2</v>
      </c>
      <c r="BV561">
        <f>Model!CD522</f>
        <v>2.8487409775819209E-2</v>
      </c>
      <c r="BW561">
        <f>Model!CE522</f>
        <v>1.5469899210273598E-2</v>
      </c>
      <c r="BX561">
        <f>Model!CF522</f>
        <v>2.56459636534037E-2</v>
      </c>
      <c r="BY561">
        <f>Model!CG522</f>
        <v>0</v>
      </c>
      <c r="BZ561">
        <f>Model!CH522</f>
        <v>0</v>
      </c>
      <c r="CA561">
        <f>Model!CI522</f>
        <v>0</v>
      </c>
      <c r="CB561">
        <f>Model!CJ522</f>
        <v>0</v>
      </c>
      <c r="CC561">
        <f>Model!CK522</f>
        <v>0</v>
      </c>
      <c r="CD561">
        <f>Model!CL522</f>
        <v>0</v>
      </c>
      <c r="CE561">
        <f>Model!CM522</f>
        <v>0</v>
      </c>
      <c r="CF561">
        <f>Model!CN522</f>
        <v>0</v>
      </c>
      <c r="CG561">
        <f>Model!CO522</f>
        <v>0</v>
      </c>
      <c r="CH561">
        <f>Model!CP522</f>
        <v>0</v>
      </c>
      <c r="CI561">
        <f>Model!CQ522</f>
        <v>7.3125781652559167E-3</v>
      </c>
      <c r="CJ561">
        <f>Model!CR522</f>
        <v>1.0752340085544848E-2</v>
      </c>
      <c r="CK561">
        <f>Model!CS522</f>
        <v>1.0484406256201343E-2</v>
      </c>
      <c r="CL561">
        <f>Model!CT522</f>
        <v>1.2430619200724947E-2</v>
      </c>
      <c r="CM561">
        <f>Model!CU522</f>
        <v>1.557740485012327E-2</v>
      </c>
      <c r="CN561">
        <f>Model!CV522</f>
        <v>1.8854644959928932E-2</v>
      </c>
      <c r="CO561">
        <f>Model!CW522</f>
        <v>2.046810734351261E-2</v>
      </c>
      <c r="CP561">
        <f>Model!CX522</f>
        <v>2.2695618559993538E-2</v>
      </c>
      <c r="CQ561">
        <f>Model!CY522</f>
        <v>2.3839605901629982E-2</v>
      </c>
      <c r="CR561">
        <f>Model!CZ522</f>
        <v>2.5489605901629981E-2</v>
      </c>
      <c r="CS561">
        <f>Model!DA522</f>
        <v>2.5989605901629981E-2</v>
      </c>
      <c r="CT561">
        <f>Model!DB522</f>
        <v>2.6489605901629982E-2</v>
      </c>
      <c r="CU561">
        <f>Model!DC522</f>
        <v>2.6989605901629982E-2</v>
      </c>
      <c r="CV561">
        <f>Model!DD522</f>
        <v>2.7489605901629983E-2</v>
      </c>
      <c r="CW561">
        <f>Model!DE522</f>
        <v>2.7989605901629983E-2</v>
      </c>
      <c r="CX561">
        <f>Model!DF522</f>
        <v>2.8489605901629984E-2</v>
      </c>
    </row>
    <row r="564" spans="1:102">
      <c r="A564" t="str">
        <f>'Bookings and Drivers'!I10</f>
        <v xml:space="preserve">Total Bookings </v>
      </c>
      <c r="B564">
        <f>'Bookings and Drivers'!J10</f>
        <v>0</v>
      </c>
      <c r="C564">
        <f>'Bookings and Drivers'!K10</f>
        <v>0</v>
      </c>
      <c r="D564">
        <f>'Bookings and Drivers'!L10</f>
        <v>0</v>
      </c>
      <c r="E564">
        <f>'Bookings and Drivers'!M10</f>
        <v>0</v>
      </c>
      <c r="F564">
        <f>'Bookings and Drivers'!N10</f>
        <v>0</v>
      </c>
      <c r="G564">
        <f>'Bookings and Drivers'!O10</f>
        <v>0</v>
      </c>
      <c r="H564">
        <f>'Bookings and Drivers'!P10</f>
        <v>0</v>
      </c>
      <c r="I564">
        <f>'Bookings and Drivers'!Q10</f>
        <v>0</v>
      </c>
      <c r="J564">
        <f>'Bookings and Drivers'!R10</f>
        <v>0</v>
      </c>
      <c r="K564">
        <f>'Bookings and Drivers'!S10</f>
        <v>0</v>
      </c>
      <c r="L564">
        <f>'Bookings and Drivers'!T10</f>
        <v>0</v>
      </c>
      <c r="M564">
        <f>'Bookings and Drivers'!U10</f>
        <v>0</v>
      </c>
      <c r="N564">
        <f>'Bookings and Drivers'!V10</f>
        <v>0</v>
      </c>
      <c r="O564">
        <f>'Bookings and Drivers'!W10</f>
        <v>0</v>
      </c>
      <c r="P564">
        <f>'Bookings and Drivers'!X10</f>
        <v>0</v>
      </c>
      <c r="Q564">
        <f>'Bookings and Drivers'!Y10</f>
        <v>0</v>
      </c>
      <c r="R564">
        <f>'Bookings and Drivers'!Z10</f>
        <v>0</v>
      </c>
      <c r="S564">
        <f>'Bookings and Drivers'!AA10</f>
        <v>0</v>
      </c>
      <c r="T564">
        <f>'Bookings and Drivers'!AB10</f>
        <v>0</v>
      </c>
      <c r="U564">
        <f>'Bookings and Drivers'!AC10</f>
        <v>0</v>
      </c>
      <c r="V564">
        <f>'Bookings and Drivers'!AD10</f>
        <v>0</v>
      </c>
      <c r="W564">
        <f>'Bookings and Drivers'!AE10</f>
        <v>0</v>
      </c>
      <c r="X564">
        <f>'Bookings and Drivers'!AF10</f>
        <v>0</v>
      </c>
      <c r="Y564">
        <f>'Bookings and Drivers'!AG10</f>
        <v>0</v>
      </c>
      <c r="Z564">
        <f>'Bookings and Drivers'!AH10</f>
        <v>0</v>
      </c>
      <c r="AA564">
        <f>'Bookings and Drivers'!AI10</f>
        <v>0</v>
      </c>
      <c r="AB564">
        <f>'Bookings and Drivers'!AJ10</f>
        <v>0</v>
      </c>
      <c r="AC564">
        <f>'Bookings and Drivers'!AK10</f>
        <v>0</v>
      </c>
      <c r="AD564">
        <f>'Bookings and Drivers'!AL10</f>
        <v>0</v>
      </c>
      <c r="AE564">
        <f>'Bookings and Drivers'!AM10</f>
        <v>0</v>
      </c>
      <c r="AF564">
        <f>'Bookings and Drivers'!AN10</f>
        <v>0</v>
      </c>
      <c r="AG564">
        <f>'Bookings and Drivers'!AO10</f>
        <v>0</v>
      </c>
      <c r="AH564">
        <f>'Bookings and Drivers'!AP10</f>
        <v>0</v>
      </c>
      <c r="AI564">
        <f>'Bookings and Drivers'!AQ10</f>
        <v>0</v>
      </c>
      <c r="AJ564">
        <f>'Bookings and Drivers'!AR10</f>
        <v>0</v>
      </c>
      <c r="AK564">
        <f>'Bookings and Drivers'!AS10</f>
        <v>0</v>
      </c>
      <c r="AL564">
        <f>'Bookings and Drivers'!AT10</f>
        <v>0</v>
      </c>
      <c r="AM564">
        <f>'Bookings and Drivers'!AU10</f>
        <v>0</v>
      </c>
      <c r="AN564">
        <f>'Bookings and Drivers'!AV10</f>
        <v>0</v>
      </c>
      <c r="AO564">
        <f>'Bookings and Drivers'!AW10</f>
        <v>0</v>
      </c>
      <c r="AP564">
        <f>'Bookings and Drivers'!AX10</f>
        <v>0</v>
      </c>
      <c r="AQ564">
        <f>'Bookings and Drivers'!AY10</f>
        <v>0</v>
      </c>
      <c r="AR564">
        <f>'Bookings and Drivers'!AZ10</f>
        <v>0</v>
      </c>
      <c r="AS564">
        <f>'Bookings and Drivers'!BA10</f>
        <v>0</v>
      </c>
      <c r="AT564">
        <f>'Bookings and Drivers'!BB10</f>
        <v>0</v>
      </c>
      <c r="AU564">
        <f>'Bookings and Drivers'!BC10</f>
        <v>0</v>
      </c>
      <c r="AV564">
        <f>'Bookings and Drivers'!BD10</f>
        <v>0</v>
      </c>
      <c r="AW564">
        <f>'Bookings and Drivers'!BE10</f>
        <v>0</v>
      </c>
      <c r="AX564">
        <f>'Bookings and Drivers'!BF10</f>
        <v>0</v>
      </c>
      <c r="AY564">
        <f>'Bookings and Drivers'!BG10</f>
        <v>0</v>
      </c>
      <c r="AZ564">
        <f>'Bookings and Drivers'!BH10</f>
        <v>0</v>
      </c>
      <c r="BA564">
        <f>'Bookings and Drivers'!BI10</f>
        <v>0</v>
      </c>
      <c r="BB564">
        <f>'Bookings and Drivers'!BJ10</f>
        <v>0</v>
      </c>
      <c r="BC564">
        <f>'Bookings and Drivers'!BK10</f>
        <v>0</v>
      </c>
      <c r="BD564">
        <f>'Bookings and Drivers'!BL10</f>
        <v>0</v>
      </c>
      <c r="BE564">
        <f>'Bookings and Drivers'!BM10</f>
        <v>0</v>
      </c>
      <c r="BF564">
        <f>'Bookings and Drivers'!BN10</f>
        <v>0</v>
      </c>
      <c r="BG564">
        <f>'Bookings and Drivers'!BO10</f>
        <v>0</v>
      </c>
      <c r="BH564">
        <f>'Bookings and Drivers'!BP10</f>
        <v>0</v>
      </c>
      <c r="BI564">
        <f>'Bookings and Drivers'!BQ10</f>
        <v>0</v>
      </c>
      <c r="BJ564">
        <f>'Bookings and Drivers'!BR10</f>
        <v>0</v>
      </c>
      <c r="BK564">
        <f>'Bookings and Drivers'!BS10</f>
        <v>0</v>
      </c>
      <c r="BL564">
        <f>'Bookings and Drivers'!BT10</f>
        <v>0</v>
      </c>
      <c r="BM564">
        <f>'Bookings and Drivers'!BU10</f>
        <v>0</v>
      </c>
      <c r="BN564">
        <f>'Bookings and Drivers'!BV10</f>
        <v>0</v>
      </c>
      <c r="BO564">
        <f>'Bookings and Drivers'!BW10</f>
        <v>0</v>
      </c>
      <c r="BP564">
        <f>'Bookings and Drivers'!BX10</f>
        <v>0</v>
      </c>
      <c r="BQ564">
        <f>'Bookings and Drivers'!BY10</f>
        <v>0</v>
      </c>
      <c r="BR564">
        <f>'Bookings and Drivers'!BZ10</f>
        <v>0</v>
      </c>
      <c r="BS564">
        <f>'Bookings and Drivers'!CA10</f>
        <v>0</v>
      </c>
      <c r="BT564">
        <f>'Bookings and Drivers'!CB10</f>
        <v>0</v>
      </c>
      <c r="BU564">
        <f>'Bookings and Drivers'!CC10</f>
        <v>0</v>
      </c>
      <c r="BV564">
        <f>'Bookings and Drivers'!CD10</f>
        <v>0</v>
      </c>
      <c r="BW564">
        <f>'Bookings and Drivers'!CE10</f>
        <v>0</v>
      </c>
      <c r="BX564">
        <f>'Bookings and Drivers'!CF10</f>
        <v>0</v>
      </c>
      <c r="BY564">
        <f>'Bookings and Drivers'!CG10</f>
        <v>0</v>
      </c>
      <c r="BZ564">
        <f>'Bookings and Drivers'!CH10</f>
        <v>0</v>
      </c>
      <c r="CA564">
        <f>'Bookings and Drivers'!CI10</f>
        <v>0</v>
      </c>
      <c r="CB564">
        <f>'Bookings and Drivers'!CJ10</f>
        <v>0</v>
      </c>
      <c r="CC564">
        <f>'Bookings and Drivers'!CK10</f>
        <v>0</v>
      </c>
      <c r="CD564">
        <f>'Bookings and Drivers'!CL10</f>
        <v>0</v>
      </c>
      <c r="CE564">
        <f>'Bookings and Drivers'!CM10</f>
        <v>0</v>
      </c>
      <c r="CF564">
        <f>'Bookings and Drivers'!CN10</f>
        <v>0</v>
      </c>
      <c r="CG564">
        <f>'Bookings and Drivers'!CO10</f>
        <v>0</v>
      </c>
      <c r="CH564">
        <f>'Bookings and Drivers'!CP10</f>
        <v>0</v>
      </c>
      <c r="CI564">
        <f>'Bookings and Drivers'!CQ10</f>
        <v>0</v>
      </c>
      <c r="CJ564">
        <f>'Bookings and Drivers'!CR10</f>
        <v>0</v>
      </c>
      <c r="CK564">
        <f>'Bookings and Drivers'!CS10</f>
        <v>0</v>
      </c>
      <c r="CL564">
        <f>'Bookings and Drivers'!CT10</f>
        <v>0</v>
      </c>
      <c r="CM564">
        <f>'Bookings and Drivers'!CU10</f>
        <v>0</v>
      </c>
      <c r="CN564">
        <f>'Bookings and Drivers'!CV10</f>
        <v>0</v>
      </c>
      <c r="CO564">
        <f>'Bookings and Drivers'!CW10</f>
        <v>0</v>
      </c>
      <c r="CP564">
        <f>'Bookings and Drivers'!CX10</f>
        <v>0</v>
      </c>
      <c r="CQ564">
        <f>'Bookings and Drivers'!CY10</f>
        <v>0</v>
      </c>
      <c r="CR564">
        <f>'Bookings and Drivers'!CZ10</f>
        <v>0</v>
      </c>
      <c r="CS564">
        <f>'Bookings and Drivers'!DA10</f>
        <v>0</v>
      </c>
      <c r="CT564">
        <f>'Bookings and Drivers'!DB10</f>
        <v>0</v>
      </c>
      <c r="CU564">
        <f>'Bookings and Drivers'!DC10</f>
        <v>0</v>
      </c>
      <c r="CV564">
        <f>'Bookings and Drivers'!DD10</f>
        <v>0</v>
      </c>
      <c r="CW564">
        <f>'Bookings and Drivers'!DE10</f>
        <v>0</v>
      </c>
      <c r="CX564">
        <f>'Bookings and Drivers'!DF10</f>
        <v>0</v>
      </c>
    </row>
    <row r="565" spans="1:102">
      <c r="A565" t="str">
        <f>'Bookings and Drivers'!I11</f>
        <v>Total Bookings</v>
      </c>
      <c r="B565">
        <f>'Bookings and Drivers'!J11</f>
        <v>0</v>
      </c>
      <c r="C565">
        <f>'Bookings and Drivers'!K11</f>
        <v>0</v>
      </c>
      <c r="D565">
        <f>'Bookings and Drivers'!L11</f>
        <v>0</v>
      </c>
      <c r="E565">
        <f>'Bookings and Drivers'!M11</f>
        <v>0</v>
      </c>
      <c r="F565">
        <f>'Bookings and Drivers'!N11</f>
        <v>0</v>
      </c>
      <c r="G565">
        <f>'Bookings and Drivers'!O11</f>
        <v>0</v>
      </c>
      <c r="H565">
        <f>'Bookings and Drivers'!P11</f>
        <v>0</v>
      </c>
      <c r="I565">
        <f>'Bookings and Drivers'!Q11</f>
        <v>0</v>
      </c>
      <c r="J565">
        <f>'Bookings and Drivers'!R11</f>
        <v>0</v>
      </c>
      <c r="K565">
        <f>'Bookings and Drivers'!S11</f>
        <v>0</v>
      </c>
      <c r="L565">
        <f>'Bookings and Drivers'!T11</f>
        <v>0</v>
      </c>
      <c r="M565">
        <f>'Bookings and Drivers'!U11</f>
        <v>0</v>
      </c>
      <c r="N565">
        <f>'Bookings and Drivers'!V11</f>
        <v>0</v>
      </c>
      <c r="O565">
        <f>'Bookings and Drivers'!W11</f>
        <v>0</v>
      </c>
      <c r="P565">
        <f>'Bookings and Drivers'!X11</f>
        <v>0</v>
      </c>
      <c r="Q565">
        <f>'Bookings and Drivers'!Y11</f>
        <v>0</v>
      </c>
      <c r="R565">
        <f>'Bookings and Drivers'!Z11</f>
        <v>0</v>
      </c>
      <c r="S565">
        <f>'Bookings and Drivers'!AA11</f>
        <v>0</v>
      </c>
      <c r="T565">
        <f>'Bookings and Drivers'!AB11</f>
        <v>0</v>
      </c>
      <c r="U565">
        <f>'Bookings and Drivers'!AC11</f>
        <v>0</v>
      </c>
      <c r="V565">
        <f>'Bookings and Drivers'!AD11</f>
        <v>0</v>
      </c>
      <c r="W565">
        <f>'Bookings and Drivers'!AE11</f>
        <v>611</v>
      </c>
      <c r="X565">
        <f>'Bookings and Drivers'!AF11</f>
        <v>0</v>
      </c>
      <c r="Y565">
        <f>'Bookings and Drivers'!AG11</f>
        <v>746.82099999999991</v>
      </c>
      <c r="Z565">
        <f>'Bookings and Drivers'!AH11</f>
        <v>927.34999999999991</v>
      </c>
      <c r="AA565">
        <f>'Bookings and Drivers'!AI11</f>
        <v>903.16799999999989</v>
      </c>
      <c r="AB565">
        <f>'Bookings and Drivers'!AJ11</f>
        <v>742.41</v>
      </c>
      <c r="AC565">
        <f>'Bookings and Drivers'!AK11</f>
        <v>998.49099999999999</v>
      </c>
      <c r="AD565">
        <f>'Bookings and Drivers'!AL11</f>
        <v>1234.9110000000001</v>
      </c>
      <c r="AE565">
        <f>'Bookings and Drivers'!AM11</f>
        <v>1390.683</v>
      </c>
      <c r="AF565">
        <f>'Bookings and Drivers'!AN11</f>
        <v>1205.3309999999999</v>
      </c>
      <c r="AG565">
        <f>'Bookings and Drivers'!AO11</f>
        <v>1758.6119999999999</v>
      </c>
      <c r="AH565">
        <f>'Bookings and Drivers'!AP11</f>
        <v>2109.9650000000001</v>
      </c>
      <c r="AI565">
        <f>'Bookings and Drivers'!AQ11</f>
        <v>2050.4270000000001</v>
      </c>
      <c r="AJ565">
        <f>'Bookings and Drivers'!AR11</f>
        <v>1481.1129999999998</v>
      </c>
      <c r="AK565">
        <f>'Bookings and Drivers'!AS11</f>
        <v>1943.5839999999998</v>
      </c>
      <c r="AL565">
        <f>'Bookings and Drivers'!AT11</f>
        <v>2379.1779999999999</v>
      </c>
      <c r="AM565">
        <f>'Bookings and Drivers'!AU11</f>
        <v>2722.846</v>
      </c>
      <c r="AN565">
        <f>'Bookings and Drivers'!AV11</f>
        <v>2264.4540000000002</v>
      </c>
      <c r="AO565">
        <f>'Bookings and Drivers'!AW11</f>
        <v>2964.6950000000002</v>
      </c>
      <c r="AP565">
        <f>'Bookings and Drivers'!AX11</f>
        <v>3410.1800000000003</v>
      </c>
      <c r="AQ565">
        <f>'Bookings and Drivers'!AY11</f>
        <v>4006</v>
      </c>
      <c r="AR565">
        <f>'Bookings and Drivers'!AZ11</f>
        <v>3265</v>
      </c>
      <c r="AS565">
        <f>'Bookings and Drivers'!BA11</f>
        <v>4665</v>
      </c>
      <c r="AT565">
        <f>'Bookings and Drivers'!BB11</f>
        <v>5780</v>
      </c>
      <c r="AU565">
        <f>'Bookings and Drivers'!BC11</f>
        <v>6257</v>
      </c>
      <c r="AV565">
        <f>'Bookings and Drivers'!BD11</f>
        <v>4956</v>
      </c>
      <c r="AW565">
        <f>'Bookings and Drivers'!BE11</f>
        <v>6711</v>
      </c>
      <c r="AX565">
        <f>'Bookings and Drivers'!BF11</f>
        <v>7329</v>
      </c>
      <c r="AY565">
        <f>'Bookings and Drivers'!BG11</f>
        <v>7832</v>
      </c>
      <c r="AZ565">
        <f>'Bookings and Drivers'!BH11</f>
        <v>6584</v>
      </c>
      <c r="BA565">
        <f>'Bookings and Drivers'!BI11</f>
        <v>9153</v>
      </c>
      <c r="BB565">
        <f>'Bookings and Drivers'!BJ11</f>
        <v>10117</v>
      </c>
      <c r="BC565">
        <f>'Bookings and Drivers'!BK11</f>
        <v>10765</v>
      </c>
      <c r="BD565">
        <f>'Bookings and Drivers'!BL11</f>
        <v>9138</v>
      </c>
      <c r="BE565">
        <f>'Bookings and Drivers'!BM11</f>
        <v>12280</v>
      </c>
      <c r="BF565">
        <f>'Bookings and Drivers'!BN11</f>
        <v>13538</v>
      </c>
      <c r="BG565">
        <f>'Bookings and Drivers'!BO11</f>
        <v>13823</v>
      </c>
      <c r="BH565">
        <f>'Bookings and Drivers'!BP11</f>
        <v>10659</v>
      </c>
      <c r="BI565">
        <f>'Bookings and Drivers'!BQ11</f>
        <v>13775</v>
      </c>
      <c r="BJ565">
        <f>'Bookings and Drivers'!BR11</f>
        <v>14960</v>
      </c>
      <c r="BK565">
        <f>'Bookings and Drivers'!BS11</f>
        <v>14778</v>
      </c>
      <c r="BL565">
        <f>'Bookings and Drivers'!BT11</f>
        <v>12015</v>
      </c>
      <c r="BM565">
        <f>'Bookings and Drivers'!BU11</f>
        <v>16653</v>
      </c>
      <c r="BN565">
        <f>'Bookings and Drivers'!BV11</f>
        <v>17862</v>
      </c>
      <c r="BO565">
        <f>'Bookings and Drivers'!BW11</f>
        <v>18460</v>
      </c>
      <c r="BP565">
        <f>'Bookings and Drivers'!BX11</f>
        <v>15112</v>
      </c>
      <c r="BQ565">
        <f>'Bookings and Drivers'!BY11</f>
        <v>20687</v>
      </c>
      <c r="BR565">
        <f>'Bookings and Drivers'!BZ11</f>
        <v>20797</v>
      </c>
      <c r="BS565">
        <f>'Bookings and Drivers'!CA11</f>
        <v>21762</v>
      </c>
      <c r="BT565">
        <f>'Bookings and Drivers'!CB11</f>
        <v>17980</v>
      </c>
      <c r="BU565">
        <f>'Bookings and Drivers'!CC11</f>
        <v>24881.474049815144</v>
      </c>
      <c r="BV565">
        <f>'Bookings and Drivers'!CD11</f>
        <v>25086.12790194053</v>
      </c>
      <c r="BW565">
        <f>'Bookings and Drivers'!CE11</f>
        <v>24813.585995275425</v>
      </c>
      <c r="BX565">
        <f>'Bookings and Drivers'!CF11</f>
        <v>22004.981225315398</v>
      </c>
      <c r="BY565">
        <f>'Bookings and Drivers'!CG11</f>
        <v>0</v>
      </c>
      <c r="BZ565">
        <f>'Bookings and Drivers'!CH11</f>
        <v>0</v>
      </c>
      <c r="CA565">
        <f>'Bookings and Drivers'!CI11</f>
        <v>0</v>
      </c>
      <c r="CB565">
        <f>'Bookings and Drivers'!CJ11</f>
        <v>1109.7114986570136</v>
      </c>
      <c r="CC565">
        <f>'Bookings and Drivers'!CK11</f>
        <v>1686.7614779586609</v>
      </c>
      <c r="CD565">
        <f>'Bookings and Drivers'!CL11</f>
        <v>2226.5251509054324</v>
      </c>
      <c r="CE565">
        <f>'Bookings and Drivers'!CM11</f>
        <v>3319.7489999999998</v>
      </c>
      <c r="CF565">
        <f>'Bookings and Drivers'!CN11</f>
        <v>4829.4160000000002</v>
      </c>
      <c r="CG565">
        <f>'Bookings and Drivers'!CO11</f>
        <v>7400.1170000000002</v>
      </c>
      <c r="CH565">
        <f>'Bookings and Drivers'!CP11</f>
        <v>9310.0619999999999</v>
      </c>
      <c r="CI565">
        <f>'Bookings and Drivers'!CQ11</f>
        <v>13645.875</v>
      </c>
      <c r="CJ565">
        <f>'Bookings and Drivers'!CR11</f>
        <v>21658</v>
      </c>
      <c r="CK565">
        <f>'Bookings and Drivers'!CS11</f>
        <v>28456</v>
      </c>
      <c r="CL565">
        <f>'Bookings and Drivers'!CT11</f>
        <v>39173</v>
      </c>
      <c r="CM565">
        <f>'Bookings and Drivers'!CU11</f>
        <v>50300</v>
      </c>
      <c r="CN565">
        <f>'Bookings and Drivers'!CV11</f>
        <v>55528</v>
      </c>
      <c r="CO565">
        <f>'Bookings and Drivers'!CW11</f>
        <v>68087</v>
      </c>
      <c r="CP565">
        <f>'Bookings and Drivers'!CX11</f>
        <v>81226</v>
      </c>
      <c r="CQ565">
        <f>'Bookings and Drivers'!CY11</f>
        <v>96786.16917234649</v>
      </c>
      <c r="CR565">
        <f>'Bookings and Drivers'!CZ11</f>
        <v>110922.85145653768</v>
      </c>
      <c r="CS565">
        <f>'Bookings and Drivers'!DA11</f>
        <v>124828.89016710233</v>
      </c>
      <c r="CT565">
        <f>'Bookings and Drivers'!DB11</f>
        <v>138263.57556092652</v>
      </c>
      <c r="CU565">
        <f>'Bookings and Drivers'!DC11</f>
        <v>151436.90782473588</v>
      </c>
      <c r="CV565">
        <f>'Bookings and Drivers'!DD11</f>
        <v>164480.34456989294</v>
      </c>
      <c r="CW565">
        <f>'Bookings and Drivers'!DE11</f>
        <v>177276.69132531929</v>
      </c>
      <c r="CX565">
        <f>'Bookings and Drivers'!DF11</f>
        <v>191119.5238413497</v>
      </c>
    </row>
    <row r="566" spans="1:102">
      <c r="A566" t="str">
        <f>'Bookings and Drivers'!I12</f>
        <v>% change Y/Y</v>
      </c>
      <c r="B566">
        <f>'Bookings and Drivers'!J12</f>
        <v>0</v>
      </c>
      <c r="C566">
        <f>'Bookings and Drivers'!K12</f>
        <v>0</v>
      </c>
      <c r="D566">
        <f>'Bookings and Drivers'!L12</f>
        <v>0</v>
      </c>
      <c r="E566">
        <f>'Bookings and Drivers'!M12</f>
        <v>0</v>
      </c>
      <c r="F566">
        <f>'Bookings and Drivers'!N12</f>
        <v>0</v>
      </c>
      <c r="G566">
        <f>'Bookings and Drivers'!O12</f>
        <v>0</v>
      </c>
      <c r="H566">
        <f>'Bookings and Drivers'!P12</f>
        <v>0</v>
      </c>
      <c r="I566">
        <f>'Bookings and Drivers'!Q12</f>
        <v>0</v>
      </c>
      <c r="J566">
        <f>'Bookings and Drivers'!R12</f>
        <v>0</v>
      </c>
      <c r="K566">
        <f>'Bookings and Drivers'!S12</f>
        <v>0</v>
      </c>
      <c r="L566">
        <f>'Bookings and Drivers'!T12</f>
        <v>0</v>
      </c>
      <c r="M566">
        <f>'Bookings and Drivers'!U12</f>
        <v>0</v>
      </c>
      <c r="N566">
        <f>'Bookings and Drivers'!V12</f>
        <v>0</v>
      </c>
      <c r="O566">
        <f>'Bookings and Drivers'!W12</f>
        <v>0</v>
      </c>
      <c r="P566">
        <f>'Bookings and Drivers'!X12</f>
        <v>0</v>
      </c>
      <c r="Q566">
        <f>'Bookings and Drivers'!Y12</f>
        <v>0</v>
      </c>
      <c r="R566">
        <f>'Bookings and Drivers'!Z12</f>
        <v>0</v>
      </c>
      <c r="S566">
        <f>'Bookings and Drivers'!AA12</f>
        <v>0</v>
      </c>
      <c r="T566">
        <f>'Bookings and Drivers'!AB12</f>
        <v>0</v>
      </c>
      <c r="U566">
        <f>'Bookings and Drivers'!AC12</f>
        <v>0</v>
      </c>
      <c r="V566">
        <f>'Bookings and Drivers'!AD12</f>
        <v>0</v>
      </c>
      <c r="W566">
        <f>'Bookings and Drivers'!AE12</f>
        <v>0</v>
      </c>
      <c r="X566">
        <f>'Bookings and Drivers'!AF12</f>
        <v>0</v>
      </c>
      <c r="Y566">
        <f>'Bookings and Drivers'!AG12</f>
        <v>0</v>
      </c>
      <c r="Z566">
        <f>'Bookings and Drivers'!AH12</f>
        <v>0</v>
      </c>
      <c r="AA566">
        <f>'Bookings and Drivers'!AI12</f>
        <v>0</v>
      </c>
      <c r="AB566">
        <f>'Bookings and Drivers'!AJ12</f>
        <v>0</v>
      </c>
      <c r="AC566">
        <f>'Bookings and Drivers'!AK12</f>
        <v>0.33698838141937637</v>
      </c>
      <c r="AD566">
        <f>'Bookings and Drivers'!AL12</f>
        <v>0.33165579338976681</v>
      </c>
      <c r="AE566">
        <f>'Bookings and Drivers'!AM12</f>
        <v>0.53978329613095255</v>
      </c>
      <c r="AF566">
        <f>'Bookings and Drivers'!AN12</f>
        <v>0.6235382066513111</v>
      </c>
      <c r="AG566">
        <f>'Bookings and Drivers'!AO12</f>
        <v>0.76126975606189728</v>
      </c>
      <c r="AH566">
        <f>'Bookings and Drivers'!AP12</f>
        <v>0.70859681385946027</v>
      </c>
      <c r="AI566">
        <f>'Bookings and Drivers'!AQ12</f>
        <v>0.47440286535464948</v>
      </c>
      <c r="AJ566">
        <f>'Bookings and Drivers'!AR12</f>
        <v>0.22880188097709264</v>
      </c>
      <c r="AK566">
        <f>'Bookings and Drivers'!AS12</f>
        <v>0.1051806765790293</v>
      </c>
      <c r="AL566">
        <f>'Bookings and Drivers'!AT12</f>
        <v>0.12759121596803724</v>
      </c>
      <c r="AM566">
        <f>'Bookings and Drivers'!AU12</f>
        <v>0.32794096059015998</v>
      </c>
      <c r="AN566">
        <f>'Bookings and Drivers'!AV12</f>
        <v>0.52888672235001688</v>
      </c>
      <c r="AO566">
        <f>'Bookings and Drivers'!AW12</f>
        <v>0.52537528606944717</v>
      </c>
      <c r="AP566">
        <f>'Bookings and Drivers'!AX12</f>
        <v>0.43334378512242488</v>
      </c>
      <c r="AQ566">
        <f>'Bookings and Drivers'!AY12</f>
        <v>0.47125470922703672</v>
      </c>
      <c r="AR566">
        <f>'Bookings and Drivers'!AZ12</f>
        <v>0.44184867522148807</v>
      </c>
      <c r="AS566">
        <f>'Bookings and Drivers'!BA12</f>
        <v>0.57351768057085128</v>
      </c>
      <c r="AT566">
        <f>'Bookings and Drivers'!BB12</f>
        <v>0.69492519456450963</v>
      </c>
      <c r="AU566">
        <f>'Bookings and Drivers'!BC12</f>
        <v>0.56190713929106351</v>
      </c>
      <c r="AV566">
        <f>'Bookings and Drivers'!BD12</f>
        <v>0.51791730474732001</v>
      </c>
      <c r="AW566">
        <f>'Bookings and Drivers'!BE12</f>
        <v>0.4385852090032154</v>
      </c>
      <c r="AX566">
        <f>'Bookings and Drivers'!BF12</f>
        <v>0.26799307958477514</v>
      </c>
      <c r="AY566">
        <f>'Bookings and Drivers'!BG12</f>
        <v>0.25171807575515426</v>
      </c>
      <c r="AZ566">
        <f>'Bookings and Drivers'!BH12</f>
        <v>0.32849071832122689</v>
      </c>
      <c r="BA566">
        <f>'Bookings and Drivers'!BI12</f>
        <v>0.36388019669199823</v>
      </c>
      <c r="BB566">
        <f>'Bookings and Drivers'!BJ12</f>
        <v>0.38040660390230596</v>
      </c>
      <c r="BC566">
        <f>'Bookings and Drivers'!BK12</f>
        <v>0.37448927477017357</v>
      </c>
      <c r="BD566">
        <f>'Bookings and Drivers'!BL12</f>
        <v>0.38791008505467794</v>
      </c>
      <c r="BE566">
        <f>'Bookings and Drivers'!BM12</f>
        <v>0.34163662187261012</v>
      </c>
      <c r="BF566">
        <f>'Bookings and Drivers'!BN12</f>
        <v>0.33814371849362468</v>
      </c>
      <c r="BG566">
        <f>'Bookings and Drivers'!BO12</f>
        <v>0.2840687412912215</v>
      </c>
      <c r="BH566">
        <f>'Bookings and Drivers'!BP12</f>
        <v>0.16644780039395934</v>
      </c>
      <c r="BI566">
        <f>'Bookings and Drivers'!BQ12</f>
        <v>0.12174267100977199</v>
      </c>
      <c r="BJ566">
        <f>'Bookings and Drivers'!BR12</f>
        <v>0.10503767173880929</v>
      </c>
      <c r="BK566">
        <f>'Bookings and Drivers'!BS12</f>
        <v>6.9087752296896454E-2</v>
      </c>
      <c r="BL566">
        <f>'Bookings and Drivers'!BT12</f>
        <v>0.12721643681396011</v>
      </c>
      <c r="BM566">
        <f>'Bookings and Drivers'!BU12</f>
        <v>0.20892921960072597</v>
      </c>
      <c r="BN566">
        <f>'Bookings and Drivers'!BV12</f>
        <v>0.19398395721925143</v>
      </c>
      <c r="BO566">
        <f>'Bookings and Drivers'!BW12</f>
        <v>0.24915414805792402</v>
      </c>
      <c r="BP566">
        <f>'Bookings and Drivers'!BX12</f>
        <v>0.25776113191843519</v>
      </c>
      <c r="BQ566">
        <f>'Bookings and Drivers'!BY12</f>
        <v>0.2422386356812587</v>
      </c>
      <c r="BR566">
        <f>'Bookings and Drivers'!BZ12</f>
        <v>0.16431530623670354</v>
      </c>
      <c r="BS566">
        <f>'Bookings and Drivers'!CA12</f>
        <v>0.1788732394366197</v>
      </c>
      <c r="BT566">
        <f>'Bookings and Drivers'!CB12</f>
        <v>0.18978295394388556</v>
      </c>
      <c r="BU566">
        <f>'Bookings and Drivers'!CC12</f>
        <v>0.20275893313748461</v>
      </c>
      <c r="BV566">
        <f>'Bookings and Drivers'!CD12</f>
        <v>0.20623781804782082</v>
      </c>
      <c r="BW566">
        <f>'Bookings and Drivers'!CE12</f>
        <v>0.14022543862124004</v>
      </c>
      <c r="BX566">
        <f>'Bookings and Drivers'!CF12</f>
        <v>0.22385880007315895</v>
      </c>
      <c r="BY566">
        <f>'Bookings and Drivers'!CG12</f>
        <v>0</v>
      </c>
      <c r="BZ566">
        <f>'Bookings and Drivers'!CH12</f>
        <v>0</v>
      </c>
      <c r="CA566">
        <f>'Bookings and Drivers'!CI12</f>
        <v>0</v>
      </c>
      <c r="CB566">
        <f>'Bookings and Drivers'!CJ12</f>
        <v>0</v>
      </c>
      <c r="CC566">
        <f>'Bookings and Drivers'!CK12</f>
        <v>0.52</v>
      </c>
      <c r="CD566">
        <f>'Bookings and Drivers'!CL12</f>
        <v>0.32</v>
      </c>
      <c r="CE566">
        <f>'Bookings and Drivers'!CM12</f>
        <v>0.49099999999999999</v>
      </c>
      <c r="CF566">
        <f>'Bookings and Drivers'!CN12</f>
        <v>0.45475335635314607</v>
      </c>
      <c r="CG566">
        <f>'Bookings and Drivers'!CO12</f>
        <v>0.53230059286671505</v>
      </c>
      <c r="CH566">
        <f>'Bookings and Drivers'!CP12</f>
        <v>0.25809659495924175</v>
      </c>
      <c r="CI566">
        <f>'Bookings and Drivers'!CQ12</f>
        <v>0.46571258064661647</v>
      </c>
      <c r="CJ566">
        <f>'Bookings and Drivers'!CR12</f>
        <v>0.58714629878992741</v>
      </c>
      <c r="CK566">
        <f>'Bookings and Drivers'!CS12</f>
        <v>0.31387939791301145</v>
      </c>
      <c r="CL566">
        <f>'Bookings and Drivers'!CT12</f>
        <v>0.37661653078436874</v>
      </c>
      <c r="CM566">
        <f>'Bookings and Drivers'!CU12</f>
        <v>0.28404768590610874</v>
      </c>
      <c r="CN566">
        <f>'Bookings and Drivers'!CV12</f>
        <v>0.10393638170974162</v>
      </c>
      <c r="CO566">
        <f>'Bookings and Drivers'!CW12</f>
        <v>0.22617418239446763</v>
      </c>
      <c r="CP566">
        <f>'Bookings and Drivers'!CX12</f>
        <v>0.19297369541909615</v>
      </c>
      <c r="CQ566">
        <f>'Bookings and Drivers'!CY12</f>
        <v>0.19156636018450368</v>
      </c>
      <c r="CR566">
        <f>'Bookings and Drivers'!CZ12</f>
        <v>0.14606097549969244</v>
      </c>
      <c r="CS566">
        <f>'Bookings and Drivers'!DA12</f>
        <v>0.12536676192473628</v>
      </c>
      <c r="CT566">
        <f>'Bookings and Drivers'!DB12</f>
        <v>0.10762480845451594</v>
      </c>
      <c r="CU566">
        <f>'Bookings and Drivers'!DC12</f>
        <v>9.5276953531441722E-2</v>
      </c>
      <c r="CV566">
        <f>'Bookings and Drivers'!DD12</f>
        <v>8.6131161369543907E-2</v>
      </c>
      <c r="CW566">
        <f>'Bookings and Drivers'!DE12</f>
        <v>7.7798637818324634E-2</v>
      </c>
      <c r="CX566">
        <f>'Bookings and Drivers'!DF12</f>
        <v>7.8086027060531693E-2</v>
      </c>
    </row>
    <row r="567" spans="1:102">
      <c r="A567" t="str">
        <f>'Bookings and Drivers'!I13</f>
        <v>2 Year Growth</v>
      </c>
      <c r="B567">
        <f>'Bookings and Drivers'!J13</f>
        <v>0</v>
      </c>
      <c r="C567">
        <f>'Bookings and Drivers'!K13</f>
        <v>0</v>
      </c>
      <c r="D567">
        <f>'Bookings and Drivers'!L13</f>
        <v>0</v>
      </c>
      <c r="E567">
        <f>'Bookings and Drivers'!M13</f>
        <v>0</v>
      </c>
      <c r="F567">
        <f>'Bookings and Drivers'!N13</f>
        <v>0</v>
      </c>
      <c r="G567">
        <f>'Bookings and Drivers'!O13</f>
        <v>0</v>
      </c>
      <c r="H567">
        <f>'Bookings and Drivers'!P13</f>
        <v>0</v>
      </c>
      <c r="I567">
        <f>'Bookings and Drivers'!Q13</f>
        <v>0</v>
      </c>
      <c r="J567">
        <f>'Bookings and Drivers'!R13</f>
        <v>0</v>
      </c>
      <c r="K567">
        <f>'Bookings and Drivers'!S13</f>
        <v>0</v>
      </c>
      <c r="L567">
        <f>'Bookings and Drivers'!T13</f>
        <v>0</v>
      </c>
      <c r="M567">
        <f>'Bookings and Drivers'!U13</f>
        <v>0</v>
      </c>
      <c r="N567">
        <f>'Bookings and Drivers'!V13</f>
        <v>0</v>
      </c>
      <c r="O567">
        <f>'Bookings and Drivers'!W13</f>
        <v>0</v>
      </c>
      <c r="P567">
        <f>'Bookings and Drivers'!X13</f>
        <v>0</v>
      </c>
      <c r="Q567">
        <f>'Bookings and Drivers'!Y13</f>
        <v>0</v>
      </c>
      <c r="R567">
        <f>'Bookings and Drivers'!Z13</f>
        <v>0</v>
      </c>
      <c r="S567">
        <f>'Bookings and Drivers'!AA13</f>
        <v>0</v>
      </c>
      <c r="T567">
        <f>'Bookings and Drivers'!AB13</f>
        <v>0</v>
      </c>
      <c r="U567">
        <f>'Bookings and Drivers'!AC13</f>
        <v>0</v>
      </c>
      <c r="V567">
        <f>'Bookings and Drivers'!AD13</f>
        <v>0</v>
      </c>
      <c r="W567">
        <f>'Bookings and Drivers'!AE13</f>
        <v>0</v>
      </c>
      <c r="X567">
        <f>'Bookings and Drivers'!AF13</f>
        <v>0</v>
      </c>
      <c r="Y567">
        <f>'Bookings and Drivers'!AG13</f>
        <v>0</v>
      </c>
      <c r="Z567">
        <f>'Bookings and Drivers'!AH13</f>
        <v>0</v>
      </c>
      <c r="AA567">
        <f>'Bookings and Drivers'!AI13</f>
        <v>0</v>
      </c>
      <c r="AB567">
        <f>'Bookings and Drivers'!AJ13</f>
        <v>0</v>
      </c>
      <c r="AC567">
        <f>'Bookings and Drivers'!AK13</f>
        <v>0</v>
      </c>
      <c r="AD567">
        <f>'Bookings and Drivers'!AL13</f>
        <v>0</v>
      </c>
      <c r="AE567">
        <f>'Bookings and Drivers'!AM13</f>
        <v>0</v>
      </c>
      <c r="AF567">
        <f>'Bookings and Drivers'!AN13</f>
        <v>0</v>
      </c>
      <c r="AG567">
        <f>'Bookings and Drivers'!AO13</f>
        <v>1.0982581374812737</v>
      </c>
      <c r="AH567">
        <f>'Bookings and Drivers'!AP13</f>
        <v>1.0402526072492271</v>
      </c>
      <c r="AI567">
        <f>'Bookings and Drivers'!AQ13</f>
        <v>1.014186161485602</v>
      </c>
      <c r="AJ567">
        <f>'Bookings and Drivers'!AR13</f>
        <v>0.85234008762840374</v>
      </c>
      <c r="AK567">
        <f>'Bookings and Drivers'!AS13</f>
        <v>0.86645043264092658</v>
      </c>
      <c r="AL567">
        <f>'Bookings and Drivers'!AT13</f>
        <v>0.83618802982749751</v>
      </c>
      <c r="AM567">
        <f>'Bookings and Drivers'!AU13</f>
        <v>0.80234382594480946</v>
      </c>
      <c r="AN567">
        <f>'Bookings and Drivers'!AV13</f>
        <v>0.75768860332710952</v>
      </c>
      <c r="AO567">
        <f>'Bookings and Drivers'!AW13</f>
        <v>0.63055596264847646</v>
      </c>
      <c r="AP567">
        <f>'Bookings and Drivers'!AX13</f>
        <v>0.56093500109046213</v>
      </c>
      <c r="AQ567">
        <f>'Bookings and Drivers'!AY13</f>
        <v>0.7991956698171967</v>
      </c>
      <c r="AR567">
        <f>'Bookings and Drivers'!AZ13</f>
        <v>0.97073539757150495</v>
      </c>
      <c r="AS567">
        <f>'Bookings and Drivers'!BA13</f>
        <v>1.0988929666402985</v>
      </c>
      <c r="AT567">
        <f>'Bookings and Drivers'!BB13</f>
        <v>1.1282689796869345</v>
      </c>
      <c r="AU567">
        <f>'Bookings and Drivers'!BC13</f>
        <v>1.0331618485181002</v>
      </c>
      <c r="AV567">
        <f>'Bookings and Drivers'!BD13</f>
        <v>0.95976597996880808</v>
      </c>
      <c r="AW567">
        <f>'Bookings and Drivers'!BE13</f>
        <v>1.0121028895740667</v>
      </c>
      <c r="AX567">
        <f>'Bookings and Drivers'!BF13</f>
        <v>0.96291827414928477</v>
      </c>
      <c r="AY567">
        <f>'Bookings and Drivers'!BG13</f>
        <v>0.81362521504621776</v>
      </c>
      <c r="AZ567">
        <f>'Bookings and Drivers'!BH13</f>
        <v>0.8464080230685469</v>
      </c>
      <c r="BA567">
        <f>'Bookings and Drivers'!BI13</f>
        <v>0.80246540569521363</v>
      </c>
      <c r="BB567">
        <f>'Bookings and Drivers'!BJ13</f>
        <v>0.6483996834870811</v>
      </c>
      <c r="BC567">
        <f>'Bookings and Drivers'!BK13</f>
        <v>0.62620735052532783</v>
      </c>
      <c r="BD567">
        <f>'Bookings and Drivers'!BL13</f>
        <v>0.71640080337590484</v>
      </c>
      <c r="BE567">
        <f>'Bookings and Drivers'!BM13</f>
        <v>0.70551681856460835</v>
      </c>
      <c r="BF567">
        <f>'Bookings and Drivers'!BN13</f>
        <v>0.71855032239593064</v>
      </c>
      <c r="BG567">
        <f>'Bookings and Drivers'!BO13</f>
        <v>0.65855801606139508</v>
      </c>
      <c r="BH567">
        <f>'Bookings and Drivers'!BP13</f>
        <v>0.55435788544863729</v>
      </c>
      <c r="BI567">
        <f>'Bookings and Drivers'!BQ13</f>
        <v>0.46337929288238211</v>
      </c>
      <c r="BJ567">
        <f>'Bookings and Drivers'!BR13</f>
        <v>0.44318139023243397</v>
      </c>
      <c r="BK567">
        <f>'Bookings and Drivers'!BS13</f>
        <v>0.35315649358811796</v>
      </c>
      <c r="BL567">
        <f>'Bookings and Drivers'!BT13</f>
        <v>0.29366423720791945</v>
      </c>
      <c r="BM567">
        <f>'Bookings and Drivers'!BU13</f>
        <v>0.33067189061049795</v>
      </c>
      <c r="BN567">
        <f>'Bookings and Drivers'!BV13</f>
        <v>0.29902162895806073</v>
      </c>
      <c r="BO567">
        <f>'Bookings and Drivers'!BW13</f>
        <v>0.31824190035482047</v>
      </c>
      <c r="BP567">
        <f>'Bookings and Drivers'!BX13</f>
        <v>0.3849775687323953</v>
      </c>
      <c r="BQ567">
        <f>'Bookings and Drivers'!BY13</f>
        <v>0.45116785528198466</v>
      </c>
      <c r="BR567">
        <f>'Bookings and Drivers'!BZ13</f>
        <v>0.35829926345595497</v>
      </c>
      <c r="BS567">
        <f>'Bookings and Drivers'!CA13</f>
        <v>0.42802738749454372</v>
      </c>
      <c r="BT567">
        <f>'Bookings and Drivers'!CB13</f>
        <v>0.44754408586232075</v>
      </c>
      <c r="BU567">
        <f>'Bookings and Drivers'!CC13</f>
        <v>0.44499756881874331</v>
      </c>
      <c r="BV567">
        <f>'Bookings and Drivers'!CD13</f>
        <v>0.37055312428452436</v>
      </c>
      <c r="BW567">
        <f>'Bookings and Drivers'!CE13</f>
        <v>0.31909867805785974</v>
      </c>
      <c r="BX567">
        <f>'Bookings and Drivers'!CF13</f>
        <v>0.41364175401704451</v>
      </c>
      <c r="BY567">
        <f>'Bookings and Drivers'!CG13</f>
        <v>0</v>
      </c>
      <c r="BZ567">
        <f>'Bookings and Drivers'!CH13</f>
        <v>0</v>
      </c>
      <c r="CA567">
        <f>'Bookings and Drivers'!CI13</f>
        <v>0</v>
      </c>
      <c r="CB567">
        <f>'Bookings and Drivers'!CJ13</f>
        <v>0</v>
      </c>
      <c r="CC567">
        <f>'Bookings and Drivers'!CK13</f>
        <v>0</v>
      </c>
      <c r="CD567">
        <f>'Bookings and Drivers'!CL13</f>
        <v>0</v>
      </c>
      <c r="CE567">
        <f>'Bookings and Drivers'!CM13</f>
        <v>0</v>
      </c>
      <c r="CF567">
        <f>'Bookings and Drivers'!CN13</f>
        <v>0</v>
      </c>
      <c r="CG567">
        <f>'Bookings and Drivers'!CO13</f>
        <v>0.98705394921986112</v>
      </c>
      <c r="CH567">
        <f>'Bookings and Drivers'!CP13</f>
        <v>0.7903971878259568</v>
      </c>
      <c r="CI567">
        <f>'Bookings and Drivers'!CQ13</f>
        <v>0.72380917560585822</v>
      </c>
      <c r="CJ567">
        <f>'Bookings and Drivers'!CR13</f>
        <v>1.0528588794365439</v>
      </c>
      <c r="CK567">
        <f>'Bookings and Drivers'!CS13</f>
        <v>0.90102569670293886</v>
      </c>
      <c r="CL567">
        <f>'Bookings and Drivers'!CT13</f>
        <v>0.69049592869738019</v>
      </c>
      <c r="CM567">
        <f>'Bookings and Drivers'!CU13</f>
        <v>0.66066421669047748</v>
      </c>
      <c r="CN567">
        <f>'Bookings and Drivers'!CV13</f>
        <v>0.38798406761585036</v>
      </c>
      <c r="CO567">
        <f>'Bookings and Drivers'!CW13</f>
        <v>0.33011056410420925</v>
      </c>
      <c r="CP567">
        <f>'Bookings and Drivers'!CX13</f>
        <v>0.41914787781356377</v>
      </c>
      <c r="CQ567">
        <f>'Bookings and Drivers'!CY13</f>
        <v>0.38454005560359983</v>
      </c>
      <c r="CR567">
        <f>'Bookings and Drivers'!CZ13</f>
        <v>0.33762733568419612</v>
      </c>
      <c r="CS567">
        <f>'Bookings and Drivers'!DA13</f>
        <v>0.27142773742442872</v>
      </c>
      <c r="CT567">
        <f>'Bookings and Drivers'!DB13</f>
        <v>0.23299157037925222</v>
      </c>
      <c r="CU567">
        <f>'Bookings and Drivers'!DC13</f>
        <v>0.20290176198595766</v>
      </c>
      <c r="CV567">
        <f>'Bookings and Drivers'!DD13</f>
        <v>0.18140811490098563</v>
      </c>
      <c r="CW567">
        <f>'Bookings and Drivers'!DE13</f>
        <v>0.16392979918786854</v>
      </c>
      <c r="CX567">
        <f>'Bookings and Drivers'!DF13</f>
        <v>0.15588466487885633</v>
      </c>
    </row>
    <row r="568" spans="1:102">
      <c r="A568" t="str">
        <f>'Bookings and Drivers'!I14</f>
        <v>Sequential Growth</v>
      </c>
      <c r="B568">
        <f>'Bookings and Drivers'!J14</f>
        <v>0</v>
      </c>
      <c r="C568">
        <f>'Bookings and Drivers'!K14</f>
        <v>0</v>
      </c>
      <c r="D568">
        <f>'Bookings and Drivers'!L14</f>
        <v>0</v>
      </c>
      <c r="E568">
        <f>'Bookings and Drivers'!M14</f>
        <v>0</v>
      </c>
      <c r="F568">
        <f>'Bookings and Drivers'!N14</f>
        <v>0</v>
      </c>
      <c r="G568">
        <f>'Bookings and Drivers'!O14</f>
        <v>0</v>
      </c>
      <c r="H568">
        <f>'Bookings and Drivers'!P14</f>
        <v>0</v>
      </c>
      <c r="I568">
        <f>'Bookings and Drivers'!Q14</f>
        <v>0</v>
      </c>
      <c r="J568">
        <f>'Bookings and Drivers'!R14</f>
        <v>0</v>
      </c>
      <c r="K568">
        <f>'Bookings and Drivers'!S14</f>
        <v>0</v>
      </c>
      <c r="L568">
        <f>'Bookings and Drivers'!T14</f>
        <v>0</v>
      </c>
      <c r="M568">
        <f>'Bookings and Drivers'!U14</f>
        <v>0</v>
      </c>
      <c r="N568">
        <f>'Bookings and Drivers'!V14</f>
        <v>0</v>
      </c>
      <c r="O568">
        <f>'Bookings and Drivers'!W14</f>
        <v>0</v>
      </c>
      <c r="P568">
        <f>'Bookings and Drivers'!X14</f>
        <v>0</v>
      </c>
      <c r="Q568">
        <f>'Bookings and Drivers'!Y14</f>
        <v>0</v>
      </c>
      <c r="R568">
        <f>'Bookings and Drivers'!Z14</f>
        <v>0</v>
      </c>
      <c r="S568">
        <f>'Bookings and Drivers'!AA14</f>
        <v>0</v>
      </c>
      <c r="T568">
        <f>'Bookings and Drivers'!AB14</f>
        <v>0</v>
      </c>
      <c r="U568">
        <f>'Bookings and Drivers'!AC14</f>
        <v>0</v>
      </c>
      <c r="V568">
        <f>'Bookings and Drivers'!AD14</f>
        <v>0</v>
      </c>
      <c r="W568">
        <f>'Bookings and Drivers'!AE14</f>
        <v>0</v>
      </c>
      <c r="X568">
        <f>'Bookings and Drivers'!AF14</f>
        <v>0</v>
      </c>
      <c r="Y568">
        <f>'Bookings and Drivers'!AG14</f>
        <v>0</v>
      </c>
      <c r="Z568">
        <f>'Bookings and Drivers'!AH14</f>
        <v>0</v>
      </c>
      <c r="AA568">
        <f>'Bookings and Drivers'!AI14</f>
        <v>0</v>
      </c>
      <c r="AB568">
        <f>'Bookings and Drivers'!AJ14</f>
        <v>0</v>
      </c>
      <c r="AC568">
        <f>'Bookings and Drivers'!AK14</f>
        <v>0</v>
      </c>
      <c r="AD568">
        <f>'Bookings and Drivers'!AL14</f>
        <v>0</v>
      </c>
      <c r="AE568">
        <f>'Bookings and Drivers'!AM14</f>
        <v>0</v>
      </c>
      <c r="AF568">
        <f>'Bookings and Drivers'!AN14</f>
        <v>0</v>
      </c>
      <c r="AG568">
        <f>'Bookings and Drivers'!AO14</f>
        <v>553.28099999999995</v>
      </c>
      <c r="AH568">
        <f>'Bookings and Drivers'!AP14</f>
        <v>351.35300000000029</v>
      </c>
      <c r="AI568">
        <f>'Bookings and Drivers'!AQ14</f>
        <v>-59.538000000000011</v>
      </c>
      <c r="AJ568">
        <f>'Bookings and Drivers'!AR14</f>
        <v>-569.31400000000031</v>
      </c>
      <c r="AK568">
        <f>'Bookings and Drivers'!AS14</f>
        <v>462.471</v>
      </c>
      <c r="AL568">
        <f>'Bookings and Drivers'!AT14</f>
        <v>435.59400000000005</v>
      </c>
      <c r="AM568">
        <f>'Bookings and Drivers'!AU14</f>
        <v>343.66800000000012</v>
      </c>
      <c r="AN568">
        <f>'Bookings and Drivers'!AV14</f>
        <v>-458.39199999999983</v>
      </c>
      <c r="AO568">
        <f>'Bookings and Drivers'!AW14</f>
        <v>700.24099999999999</v>
      </c>
      <c r="AP568">
        <f>'Bookings and Drivers'!AX14</f>
        <v>445.48500000000013</v>
      </c>
      <c r="AQ568">
        <f>'Bookings and Drivers'!AY14</f>
        <v>595.81999999999971</v>
      </c>
      <c r="AR568">
        <f>'Bookings and Drivers'!AZ14</f>
        <v>-741</v>
      </c>
      <c r="AS568">
        <f>'Bookings and Drivers'!BA14</f>
        <v>1400</v>
      </c>
      <c r="AT568">
        <f>'Bookings and Drivers'!BB14</f>
        <v>1115</v>
      </c>
      <c r="AU568">
        <f>'Bookings and Drivers'!BC14</f>
        <v>477</v>
      </c>
      <c r="AV568">
        <f>'Bookings and Drivers'!BD14</f>
        <v>-1301</v>
      </c>
      <c r="AW568">
        <f>'Bookings and Drivers'!BE14</f>
        <v>1755</v>
      </c>
      <c r="AX568">
        <f>'Bookings and Drivers'!BF14</f>
        <v>618</v>
      </c>
      <c r="AY568">
        <f>'Bookings and Drivers'!BG14</f>
        <v>503</v>
      </c>
      <c r="AZ568">
        <f>'Bookings and Drivers'!BH14</f>
        <v>-1248</v>
      </c>
      <c r="BA568">
        <f>'Bookings and Drivers'!BI14</f>
        <v>2569</v>
      </c>
      <c r="BB568">
        <f>'Bookings and Drivers'!BJ14</f>
        <v>964</v>
      </c>
      <c r="BC568">
        <f>'Bookings and Drivers'!BK14</f>
        <v>648</v>
      </c>
      <c r="BD568">
        <f>'Bookings and Drivers'!BL14</f>
        <v>-1627</v>
      </c>
      <c r="BE568">
        <f>'Bookings and Drivers'!BM14</f>
        <v>3142</v>
      </c>
      <c r="BF568">
        <f>'Bookings and Drivers'!BN14</f>
        <v>1258</v>
      </c>
      <c r="BG568">
        <f>'Bookings and Drivers'!BO14</f>
        <v>285</v>
      </c>
      <c r="BH568">
        <f>'Bookings and Drivers'!BP14</f>
        <v>-3164</v>
      </c>
      <c r="BI568">
        <f>'Bookings and Drivers'!BQ14</f>
        <v>3116</v>
      </c>
      <c r="BJ568">
        <f>'Bookings and Drivers'!BR14</f>
        <v>1185</v>
      </c>
      <c r="BK568">
        <f>'Bookings and Drivers'!BS14</f>
        <v>-182</v>
      </c>
      <c r="BL568">
        <f>'Bookings and Drivers'!BT14</f>
        <v>-2763</v>
      </c>
      <c r="BM568">
        <f>'Bookings and Drivers'!BU14</f>
        <v>4638</v>
      </c>
      <c r="BN568">
        <f>'Bookings and Drivers'!BV14</f>
        <v>1209</v>
      </c>
      <c r="BO568">
        <f>'Bookings and Drivers'!BW14</f>
        <v>598</v>
      </c>
      <c r="BP568">
        <f>'Bookings and Drivers'!BX14</f>
        <v>-3348</v>
      </c>
      <c r="BQ568">
        <f>'Bookings and Drivers'!BY14</f>
        <v>5575</v>
      </c>
      <c r="BR568">
        <f>'Bookings and Drivers'!BZ14</f>
        <v>110</v>
      </c>
      <c r="BS568">
        <f>'Bookings and Drivers'!CA14</f>
        <v>965</v>
      </c>
      <c r="BT568">
        <f>'Bookings and Drivers'!CB14</f>
        <v>-3782</v>
      </c>
      <c r="BU568">
        <f>'Bookings and Drivers'!CC14</f>
        <v>6901.4740498151441</v>
      </c>
      <c r="BV568">
        <f>'Bookings and Drivers'!CD14</f>
        <v>204.65385212538604</v>
      </c>
      <c r="BW568">
        <f>'Bookings and Drivers'!CE14</f>
        <v>-272.54190666510476</v>
      </c>
      <c r="BX568">
        <f>'Bookings and Drivers'!CF14</f>
        <v>-2808.6047699600276</v>
      </c>
      <c r="BY568">
        <f>'Bookings and Drivers'!CG14</f>
        <v>0</v>
      </c>
      <c r="BZ568">
        <f>'Bookings and Drivers'!CH14</f>
        <v>0</v>
      </c>
      <c r="CA568">
        <f>'Bookings and Drivers'!CI14</f>
        <v>0</v>
      </c>
      <c r="CB568">
        <f>'Bookings and Drivers'!CJ14</f>
        <v>0</v>
      </c>
      <c r="CC568">
        <f>'Bookings and Drivers'!CK14</f>
        <v>0</v>
      </c>
      <c r="CD568">
        <f>'Bookings and Drivers'!CL14</f>
        <v>0</v>
      </c>
      <c r="CE568">
        <f>'Bookings and Drivers'!CM14</f>
        <v>0</v>
      </c>
      <c r="CF568">
        <f>'Bookings and Drivers'!CN14</f>
        <v>0</v>
      </c>
      <c r="CG568">
        <f>'Bookings and Drivers'!CO14</f>
        <v>0</v>
      </c>
      <c r="CH568">
        <f>'Bookings and Drivers'!CP14</f>
        <v>0</v>
      </c>
      <c r="CI568">
        <f>'Bookings and Drivers'!CQ14</f>
        <v>0</v>
      </c>
      <c r="CJ568">
        <f>'Bookings and Drivers'!CR14</f>
        <v>0</v>
      </c>
      <c r="CK568">
        <f>'Bookings and Drivers'!CS14</f>
        <v>0</v>
      </c>
      <c r="CL568">
        <f>'Bookings and Drivers'!CT14</f>
        <v>0</v>
      </c>
      <c r="CM568">
        <f>'Bookings and Drivers'!CU14</f>
        <v>0</v>
      </c>
      <c r="CN568">
        <f>'Bookings and Drivers'!CV14</f>
        <v>0</v>
      </c>
      <c r="CO568">
        <f>'Bookings and Drivers'!CW14</f>
        <v>0</v>
      </c>
      <c r="CP568">
        <f>'Bookings and Drivers'!CX14</f>
        <v>0</v>
      </c>
      <c r="CQ568">
        <f>'Bookings and Drivers'!CY14</f>
        <v>0</v>
      </c>
      <c r="CR568">
        <f>'Bookings and Drivers'!CZ14</f>
        <v>0</v>
      </c>
      <c r="CS568">
        <f>'Bookings and Drivers'!DA14</f>
        <v>0</v>
      </c>
      <c r="CT568">
        <f>'Bookings and Drivers'!DB14</f>
        <v>0</v>
      </c>
      <c r="CU568">
        <f>'Bookings and Drivers'!DC14</f>
        <v>0</v>
      </c>
      <c r="CV568">
        <f>'Bookings and Drivers'!DD14</f>
        <v>0</v>
      </c>
      <c r="CW568">
        <f>'Bookings and Drivers'!DE14</f>
        <v>0</v>
      </c>
      <c r="CX568">
        <f>'Bookings and Drivers'!DF14</f>
        <v>0</v>
      </c>
    </row>
    <row r="569" spans="1:102">
      <c r="A569" t="str">
        <f>'Bookings and Drivers'!I18</f>
        <v>FX Impact</v>
      </c>
      <c r="B569">
        <f>'Bookings and Drivers'!J18</f>
        <v>0</v>
      </c>
      <c r="C569">
        <f>'Bookings and Drivers'!K18</f>
        <v>0</v>
      </c>
      <c r="D569">
        <f>'Bookings and Drivers'!L18</f>
        <v>0</v>
      </c>
      <c r="E569">
        <f>'Bookings and Drivers'!M18</f>
        <v>0</v>
      </c>
      <c r="F569">
        <f>'Bookings and Drivers'!N18</f>
        <v>0</v>
      </c>
      <c r="G569">
        <f>'Bookings and Drivers'!O18</f>
        <v>0</v>
      </c>
      <c r="H569">
        <f>'Bookings and Drivers'!P18</f>
        <v>0</v>
      </c>
      <c r="I569">
        <f>'Bookings and Drivers'!Q18</f>
        <v>0</v>
      </c>
      <c r="J569">
        <f>'Bookings and Drivers'!R18</f>
        <v>0</v>
      </c>
      <c r="K569">
        <f>'Bookings and Drivers'!S18</f>
        <v>0</v>
      </c>
      <c r="L569">
        <f>'Bookings and Drivers'!T18</f>
        <v>0</v>
      </c>
      <c r="M569">
        <f>'Bookings and Drivers'!U18</f>
        <v>0</v>
      </c>
      <c r="N569">
        <f>'Bookings and Drivers'!V18</f>
        <v>0</v>
      </c>
      <c r="O569">
        <f>'Bookings and Drivers'!W18</f>
        <v>0</v>
      </c>
      <c r="P569">
        <f>'Bookings and Drivers'!X18</f>
        <v>0</v>
      </c>
      <c r="Q569">
        <f>'Bookings and Drivers'!Y18</f>
        <v>0</v>
      </c>
      <c r="R569">
        <f>'Bookings and Drivers'!Z18</f>
        <v>0</v>
      </c>
      <c r="S569">
        <f>'Bookings and Drivers'!AA18</f>
        <v>0</v>
      </c>
      <c r="T569">
        <f>'Bookings and Drivers'!AB18</f>
        <v>0</v>
      </c>
      <c r="U569">
        <f>'Bookings and Drivers'!AC18</f>
        <v>0</v>
      </c>
      <c r="V569">
        <f>'Bookings and Drivers'!AD18</f>
        <v>0</v>
      </c>
      <c r="W569">
        <f>'Bookings and Drivers'!AE18</f>
        <v>0</v>
      </c>
      <c r="X569">
        <f>'Bookings and Drivers'!AF18</f>
        <v>0</v>
      </c>
      <c r="Y569">
        <f>'Bookings and Drivers'!AG18</f>
        <v>0</v>
      </c>
      <c r="Z569">
        <f>'Bookings and Drivers'!AH18</f>
        <v>0</v>
      </c>
      <c r="AA569">
        <f>'Bookings and Drivers'!AI18</f>
        <v>0</v>
      </c>
      <c r="AB569">
        <f>'Bookings and Drivers'!AJ18</f>
        <v>0</v>
      </c>
      <c r="AC569">
        <f>'Bookings and Drivers'!AK18</f>
        <v>0</v>
      </c>
      <c r="AD569">
        <f>'Bookings and Drivers'!AL18</f>
        <v>0</v>
      </c>
      <c r="AE569">
        <f>'Bookings and Drivers'!AM18</f>
        <v>0</v>
      </c>
      <c r="AF569">
        <f>'Bookings and Drivers'!AN18</f>
        <v>0</v>
      </c>
      <c r="AG569">
        <f>'Bookings and Drivers'!AO18</f>
        <v>0.12839950485282303</v>
      </c>
      <c r="AH569">
        <f>'Bookings and Drivers'!AP18</f>
        <v>0.13534725012571736</v>
      </c>
      <c r="AI569">
        <f>'Bookings and Drivers'!AQ18</f>
        <v>7.9041977215511983E-2</v>
      </c>
      <c r="AJ569">
        <f>'Bookings and Drivers'!AR18</f>
        <v>-6.2376027829699643E-2</v>
      </c>
      <c r="AK569">
        <f>'Bookings and Drivers'!AS18</f>
        <v>-0.10750713630977149</v>
      </c>
      <c r="AL569">
        <f>'Bookings and Drivers'!AT18</f>
        <v>-0.10615135511726503</v>
      </c>
      <c r="AM569">
        <f>'Bookings and Drivers'!AU18</f>
        <v>-6.505047485231108E-2</v>
      </c>
      <c r="AN569">
        <f>'Bookings and Drivers'!AV18</f>
        <v>6.1243774107714755E-2</v>
      </c>
      <c r="AO569">
        <f>'Bookings and Drivers'!AW18</f>
        <v>4.5087397303126719E-2</v>
      </c>
      <c r="AP569">
        <f>'Bookings and Drivers'!AX18</f>
        <v>-4.526189045123985E-2</v>
      </c>
      <c r="AQ569">
        <f>'Bookings and Drivers'!AY18</f>
        <v>-6.7559156852793123E-2</v>
      </c>
      <c r="AR569">
        <f>'Bookings and Drivers'!AZ18</f>
        <v>-3.8965423894678386E-2</v>
      </c>
      <c r="AS569">
        <f>'Bookings and Drivers'!BA18</f>
        <v>6.0412808062886292E-3</v>
      </c>
      <c r="AT569">
        <f>'Bookings and Drivers'!BB18</f>
        <v>0.1303458219214233</v>
      </c>
      <c r="AU569">
        <f>'Bookings and Drivers'!BC18</f>
        <v>8.302795806290586E-2</v>
      </c>
      <c r="AV569">
        <f>'Bookings and Drivers'!BD18</f>
        <v>-9.7540581929556058E-3</v>
      </c>
      <c r="AW569">
        <f>'Bookings and Drivers'!BE18</f>
        <v>-2.9127545551982825E-2</v>
      </c>
      <c r="AX569">
        <f>'Bookings and Drivers'!BF18</f>
        <v>-8.6694809688581342E-2</v>
      </c>
      <c r="AY569">
        <f>'Bookings and Drivers'!BG18</f>
        <v>-8.6548505673645471E-2</v>
      </c>
      <c r="AZ569">
        <f>'Bookings and Drivers'!BH18</f>
        <v>-1.705246166263108E-2</v>
      </c>
      <c r="BA569">
        <f>'Bookings and Drivers'!BI18</f>
        <v>-1.7776784383847222E-3</v>
      </c>
      <c r="BB569">
        <f>'Bookings and Drivers'!BJ18</f>
        <v>1.1079274116525539E-3</v>
      </c>
      <c r="BC569">
        <f>'Bookings and Drivers'!BK18</f>
        <v>6.6483656792644119E-3</v>
      </c>
      <c r="BD569">
        <f>'Bookings and Drivers'!BL18</f>
        <v>-6.452004860267202E-3</v>
      </c>
      <c r="BE569">
        <f>'Bookings and Drivers'!BM18</f>
        <v>-1.0656615317382157E-2</v>
      </c>
      <c r="BF569">
        <f>'Bookings and Drivers'!BN18</f>
        <v>9.9189483048334193E-3</v>
      </c>
      <c r="BG569">
        <f>'Bookings and Drivers'!BO18</f>
        <v>-3.3701811425919104E-3</v>
      </c>
      <c r="BH569">
        <f>'Bookings and Drivers'!BP18</f>
        <v>-6.7811337272926098E-2</v>
      </c>
      <c r="BI569">
        <f>'Bookings and Drivers'!BQ18</f>
        <v>-0.13244869706840401</v>
      </c>
      <c r="BJ569">
        <f>'Bookings and Drivers'!BR18</f>
        <v>-0.15472004727433886</v>
      </c>
      <c r="BK569">
        <f>'Bookings and Drivers'!BS18</f>
        <v>-0.14627794255950222</v>
      </c>
      <c r="BL569">
        <f>'Bookings and Drivers'!BT18</f>
        <v>-0.11376020264565145</v>
      </c>
      <c r="BM569">
        <f>'Bookings and Drivers'!BU18</f>
        <v>-5.1070780399274041E-2</v>
      </c>
      <c r="BN569">
        <f>'Bookings and Drivers'!BV18</f>
        <v>-1.6016042780748557E-2</v>
      </c>
      <c r="BO569">
        <f>'Bookings and Drivers'!BW18</f>
        <v>-1.084585194207599E-2</v>
      </c>
      <c r="BP569">
        <f>'Bookings and Drivers'!BX18</f>
        <v>-2.2238868081564833E-2</v>
      </c>
      <c r="BQ569">
        <f>'Bookings and Drivers'!BY18</f>
        <v>-2.7761364318741322E-2</v>
      </c>
      <c r="BR569">
        <f>'Bookings and Drivers'!BZ18</f>
        <v>-2.5684693763296462E-2</v>
      </c>
      <c r="BS569">
        <f>'Bookings and Drivers'!CA18</f>
        <v>1.8873239436619699E-2</v>
      </c>
      <c r="BT569">
        <f>'Bookings and Drivers'!CB18</f>
        <v>4.9782953943885544E-2</v>
      </c>
      <c r="BU569">
        <f>'Bookings and Drivers'!CC18</f>
        <v>6.0976598561426343E-2</v>
      </c>
      <c r="BV569">
        <f>'Bookings and Drivers'!CD18</f>
        <v>3.449573506449588E-2</v>
      </c>
      <c r="BW569">
        <f>'Bookings and Drivers'!CE18</f>
        <v>-4.5200685530795148E-3</v>
      </c>
      <c r="BX569">
        <f>'Bookings and Drivers'!CF18</f>
        <v>3.6335775824849037E-2</v>
      </c>
      <c r="BY569">
        <f>'Bookings and Drivers'!CG18</f>
        <v>0</v>
      </c>
      <c r="BZ569">
        <f>'Bookings and Drivers'!CH18</f>
        <v>0</v>
      </c>
      <c r="CA569">
        <f>'Bookings and Drivers'!CI18</f>
        <v>0</v>
      </c>
      <c r="CB569">
        <f>'Bookings and Drivers'!CJ18</f>
        <v>0</v>
      </c>
      <c r="CC569">
        <f>'Bookings and Drivers'!CK18</f>
        <v>0</v>
      </c>
      <c r="CD569">
        <f>'Bookings and Drivers'!CL18</f>
        <v>0</v>
      </c>
      <c r="CE569">
        <f>'Bookings and Drivers'!CM18</f>
        <v>0</v>
      </c>
      <c r="CF569">
        <f>'Bookings and Drivers'!CN18</f>
        <v>0</v>
      </c>
      <c r="CG569">
        <f>'Bookings and Drivers'!CO18</f>
        <v>3.1135866931129019E-3</v>
      </c>
      <c r="CH569">
        <f>'Bookings and Drivers'!CP18</f>
        <v>-5.6110876909429619E-2</v>
      </c>
      <c r="CI569">
        <f>'Bookings and Drivers'!CQ18</f>
        <v>-2.0423208357696954E-2</v>
      </c>
      <c r="CJ569">
        <f>'Bookings and Drivers'!CR18</f>
        <v>1.1025124100860761E-3</v>
      </c>
      <c r="CK569">
        <f>'Bookings and Drivers'!CS18</f>
        <v>-5.2143675144583623E-2</v>
      </c>
      <c r="CL569">
        <f>'Bookings and Drivers'!CT18</f>
        <v>-1.687750427399326E-4</v>
      </c>
      <c r="CM569">
        <f>'Bookings and Drivers'!CU18</f>
        <v>-1.9197235435306048E-2</v>
      </c>
      <c r="CN569">
        <f>'Bookings and Drivers'!CV18</f>
        <v>-0.13670482114414417</v>
      </c>
      <c r="CO569">
        <f>'Bookings and Drivers'!CW18</f>
        <v>-2.4930685525210272E-2</v>
      </c>
      <c r="CP569">
        <f>'Bookings and Drivers'!CX18</f>
        <v>2.3458456741705325E-2</v>
      </c>
      <c r="CQ569">
        <f>'Bookings and Drivers'!CY18</f>
        <v>3.0296442058887152E-2</v>
      </c>
      <c r="CR569">
        <f>'Bookings and Drivers'!CZ18</f>
        <v>1.7862118461842158E-4</v>
      </c>
      <c r="CS569">
        <f>'Bookings and Drivers'!DA18</f>
        <v>0</v>
      </c>
      <c r="CT569">
        <f>'Bookings and Drivers'!DB18</f>
        <v>0</v>
      </c>
      <c r="CU569">
        <f>'Bookings and Drivers'!DC18</f>
        <v>0</v>
      </c>
      <c r="CV569">
        <f>'Bookings and Drivers'!DD18</f>
        <v>0</v>
      </c>
      <c r="CW569">
        <f>'Bookings and Drivers'!DE18</f>
        <v>0</v>
      </c>
      <c r="CX569">
        <f>'Bookings and Drivers'!DF18</f>
        <v>0</v>
      </c>
    </row>
    <row r="570" spans="1:102">
      <c r="A570" t="str">
        <f>'Bookings and Drivers'!I24</f>
        <v>International Bookings</v>
      </c>
      <c r="B570">
        <f>'Bookings and Drivers'!J24</f>
        <v>0</v>
      </c>
      <c r="C570">
        <f>'Bookings and Drivers'!K24</f>
        <v>0</v>
      </c>
      <c r="D570">
        <f>'Bookings and Drivers'!L24</f>
        <v>0</v>
      </c>
      <c r="E570">
        <f>'Bookings and Drivers'!M24</f>
        <v>0</v>
      </c>
      <c r="F570">
        <f>'Bookings and Drivers'!N24</f>
        <v>0</v>
      </c>
      <c r="G570">
        <f>'Bookings and Drivers'!O24</f>
        <v>0</v>
      </c>
      <c r="H570">
        <f>'Bookings and Drivers'!P24</f>
        <v>0</v>
      </c>
      <c r="I570">
        <f>'Bookings and Drivers'!Q24</f>
        <v>0</v>
      </c>
      <c r="J570">
        <f>'Bookings and Drivers'!R24</f>
        <v>0</v>
      </c>
      <c r="K570">
        <f>'Bookings and Drivers'!S24</f>
        <v>0</v>
      </c>
      <c r="L570">
        <f>'Bookings and Drivers'!T24</f>
        <v>0</v>
      </c>
      <c r="M570">
        <f>'Bookings and Drivers'!U24</f>
        <v>0</v>
      </c>
      <c r="N570">
        <f>'Bookings and Drivers'!V24</f>
        <v>0</v>
      </c>
      <c r="O570">
        <f>'Bookings and Drivers'!W24</f>
        <v>0</v>
      </c>
      <c r="P570">
        <f>'Bookings and Drivers'!X24</f>
        <v>0</v>
      </c>
      <c r="Q570">
        <f>'Bookings and Drivers'!Y24</f>
        <v>0</v>
      </c>
      <c r="R570">
        <f>'Bookings and Drivers'!Z24</f>
        <v>0</v>
      </c>
      <c r="S570">
        <f>'Bookings and Drivers'!AA24</f>
        <v>0</v>
      </c>
      <c r="T570">
        <f>'Bookings and Drivers'!AB24</f>
        <v>0</v>
      </c>
      <c r="U570">
        <f>'Bookings and Drivers'!AC24</f>
        <v>0</v>
      </c>
      <c r="V570">
        <f>'Bookings and Drivers'!AD24</f>
        <v>0</v>
      </c>
      <c r="W570">
        <f>'Bookings and Drivers'!AE24</f>
        <v>0</v>
      </c>
      <c r="X570">
        <f>'Bookings and Drivers'!AF24</f>
        <v>0</v>
      </c>
      <c r="Y570">
        <f>'Bookings and Drivers'!AG24</f>
        <v>0</v>
      </c>
      <c r="Z570">
        <f>'Bookings and Drivers'!AH24</f>
        <v>0</v>
      </c>
      <c r="AA570">
        <f>'Bookings and Drivers'!AI24</f>
        <v>0</v>
      </c>
      <c r="AB570">
        <f>'Bookings and Drivers'!AJ24</f>
        <v>0</v>
      </c>
      <c r="AC570">
        <f>'Bookings and Drivers'!AK24</f>
        <v>0</v>
      </c>
      <c r="AD570">
        <f>'Bookings and Drivers'!AL24</f>
        <v>0</v>
      </c>
      <c r="AE570">
        <f>'Bookings and Drivers'!AM24</f>
        <v>0</v>
      </c>
      <c r="AF570">
        <f>'Bookings and Drivers'!AN24</f>
        <v>0</v>
      </c>
      <c r="AG570">
        <f>'Bookings and Drivers'!AO24</f>
        <v>0</v>
      </c>
      <c r="AH570">
        <f>'Bookings and Drivers'!AP24</f>
        <v>0</v>
      </c>
      <c r="AI570">
        <f>'Bookings and Drivers'!AQ24</f>
        <v>0</v>
      </c>
      <c r="AJ570">
        <f>'Bookings and Drivers'!AR24</f>
        <v>0</v>
      </c>
      <c r="AK570">
        <f>'Bookings and Drivers'!AS24</f>
        <v>0</v>
      </c>
      <c r="AL570">
        <f>'Bookings and Drivers'!AT24</f>
        <v>0</v>
      </c>
      <c r="AM570">
        <f>'Bookings and Drivers'!AU24</f>
        <v>0</v>
      </c>
      <c r="AN570">
        <f>'Bookings and Drivers'!AV24</f>
        <v>0</v>
      </c>
      <c r="AO570">
        <f>'Bookings and Drivers'!AW24</f>
        <v>0</v>
      </c>
      <c r="AP570">
        <f>'Bookings and Drivers'!AX24</f>
        <v>0</v>
      </c>
      <c r="AQ570">
        <f>'Bookings and Drivers'!AY24</f>
        <v>0</v>
      </c>
      <c r="AR570">
        <f>'Bookings and Drivers'!AZ24</f>
        <v>0</v>
      </c>
      <c r="AS570">
        <f>'Bookings and Drivers'!BA24</f>
        <v>0</v>
      </c>
      <c r="AT570">
        <f>'Bookings and Drivers'!BB24</f>
        <v>0</v>
      </c>
      <c r="AU570">
        <f>'Bookings and Drivers'!BC24</f>
        <v>0</v>
      </c>
      <c r="AV570">
        <f>'Bookings and Drivers'!BD24</f>
        <v>0</v>
      </c>
      <c r="AW570">
        <f>'Bookings and Drivers'!BE24</f>
        <v>0</v>
      </c>
      <c r="AX570">
        <f>'Bookings and Drivers'!BF24</f>
        <v>0</v>
      </c>
      <c r="AY570">
        <f>'Bookings and Drivers'!BG24</f>
        <v>0</v>
      </c>
      <c r="AZ570">
        <f>'Bookings and Drivers'!BH24</f>
        <v>0</v>
      </c>
      <c r="BA570">
        <f>'Bookings and Drivers'!BI24</f>
        <v>0</v>
      </c>
      <c r="BB570">
        <f>'Bookings and Drivers'!BJ24</f>
        <v>0</v>
      </c>
      <c r="BC570">
        <f>'Bookings and Drivers'!BK24</f>
        <v>0</v>
      </c>
      <c r="BD570">
        <f>'Bookings and Drivers'!BL24</f>
        <v>0</v>
      </c>
      <c r="BE570">
        <f>'Bookings and Drivers'!BM24</f>
        <v>0</v>
      </c>
      <c r="BF570">
        <f>'Bookings and Drivers'!BN24</f>
        <v>0</v>
      </c>
      <c r="BG570">
        <f>'Bookings and Drivers'!BO24</f>
        <v>0</v>
      </c>
      <c r="BH570">
        <f>'Bookings and Drivers'!BP24</f>
        <v>0</v>
      </c>
      <c r="BI570">
        <f>'Bookings and Drivers'!BQ24</f>
        <v>0</v>
      </c>
      <c r="BJ570">
        <f>'Bookings and Drivers'!BR24</f>
        <v>0</v>
      </c>
      <c r="BK570">
        <f>'Bookings and Drivers'!BS24</f>
        <v>0</v>
      </c>
      <c r="BL570">
        <f>'Bookings and Drivers'!BT24</f>
        <v>0</v>
      </c>
      <c r="BM570">
        <f>'Bookings and Drivers'!BU24</f>
        <v>0</v>
      </c>
      <c r="BN570">
        <f>'Bookings and Drivers'!BV24</f>
        <v>0</v>
      </c>
      <c r="BO570">
        <f>'Bookings and Drivers'!BW24</f>
        <v>0</v>
      </c>
      <c r="BP570">
        <f>'Bookings and Drivers'!BX24</f>
        <v>0</v>
      </c>
      <c r="BQ570">
        <f>'Bookings and Drivers'!BY24</f>
        <v>0</v>
      </c>
      <c r="BR570">
        <f>'Bookings and Drivers'!BZ24</f>
        <v>0</v>
      </c>
      <c r="BS570">
        <f>'Bookings and Drivers'!CA24</f>
        <v>0</v>
      </c>
      <c r="BT570">
        <f>'Bookings and Drivers'!CB24</f>
        <v>0</v>
      </c>
      <c r="BU570">
        <f>'Bookings and Drivers'!CC24</f>
        <v>0</v>
      </c>
      <c r="BV570">
        <f>'Bookings and Drivers'!CD24</f>
        <v>0</v>
      </c>
      <c r="BW570">
        <f>'Bookings and Drivers'!CE24</f>
        <v>0</v>
      </c>
      <c r="BX570">
        <f>'Bookings and Drivers'!CF24</f>
        <v>0</v>
      </c>
      <c r="BY570">
        <f>'Bookings and Drivers'!CG24</f>
        <v>0</v>
      </c>
      <c r="BZ570">
        <f>'Bookings and Drivers'!CH24</f>
        <v>0</v>
      </c>
      <c r="CA570">
        <f>'Bookings and Drivers'!CI24</f>
        <v>0</v>
      </c>
      <c r="CB570">
        <f>'Bookings and Drivers'!CJ24</f>
        <v>0</v>
      </c>
      <c r="CC570">
        <f>'Bookings and Drivers'!CK24</f>
        <v>0</v>
      </c>
      <c r="CD570">
        <f>'Bookings and Drivers'!CL24</f>
        <v>0</v>
      </c>
      <c r="CE570">
        <f>'Bookings and Drivers'!CM24</f>
        <v>0</v>
      </c>
      <c r="CF570">
        <f>'Bookings and Drivers'!CN24</f>
        <v>0</v>
      </c>
      <c r="CG570">
        <f>'Bookings and Drivers'!CO24</f>
        <v>0</v>
      </c>
      <c r="CH570">
        <f>'Bookings and Drivers'!CP24</f>
        <v>0</v>
      </c>
      <c r="CI570">
        <f>'Bookings and Drivers'!CQ24</f>
        <v>0</v>
      </c>
      <c r="CJ570">
        <f>'Bookings and Drivers'!CR24</f>
        <v>0</v>
      </c>
      <c r="CK570">
        <f>'Bookings and Drivers'!CS24</f>
        <v>0</v>
      </c>
      <c r="CL570">
        <f>'Bookings and Drivers'!CT24</f>
        <v>0</v>
      </c>
      <c r="CM570">
        <f>'Bookings and Drivers'!CU24</f>
        <v>0</v>
      </c>
      <c r="CN570">
        <f>'Bookings and Drivers'!CV24</f>
        <v>0</v>
      </c>
      <c r="CO570">
        <f>'Bookings and Drivers'!CW24</f>
        <v>0</v>
      </c>
      <c r="CP570">
        <f>'Bookings and Drivers'!CX24</f>
        <v>0</v>
      </c>
      <c r="CQ570">
        <f>'Bookings and Drivers'!CY24</f>
        <v>0</v>
      </c>
      <c r="CR570">
        <f>'Bookings and Drivers'!CZ24</f>
        <v>0</v>
      </c>
      <c r="CS570">
        <f>'Bookings and Drivers'!DA24</f>
        <v>0</v>
      </c>
      <c r="CT570">
        <f>'Bookings and Drivers'!DB24</f>
        <v>0</v>
      </c>
      <c r="CU570">
        <f>'Bookings and Drivers'!DC24</f>
        <v>0</v>
      </c>
      <c r="CV570">
        <f>'Bookings and Drivers'!DD24</f>
        <v>0</v>
      </c>
      <c r="CW570">
        <f>'Bookings and Drivers'!DE24</f>
        <v>0</v>
      </c>
      <c r="CX570">
        <f>'Bookings and Drivers'!DF24</f>
        <v>0</v>
      </c>
    </row>
    <row r="572" spans="1:102">
      <c r="A572" t="str">
        <f>'Bookings and Drivers'!I40</f>
        <v>Total International Bookings</v>
      </c>
      <c r="B572">
        <f>'Bookings and Drivers'!J40</f>
        <v>0</v>
      </c>
      <c r="C572">
        <f>'Bookings and Drivers'!K40</f>
        <v>0</v>
      </c>
      <c r="D572">
        <f>'Bookings and Drivers'!L40</f>
        <v>0</v>
      </c>
      <c r="E572">
        <f>'Bookings and Drivers'!M40</f>
        <v>0</v>
      </c>
      <c r="F572">
        <f>'Bookings and Drivers'!N40</f>
        <v>0</v>
      </c>
      <c r="G572">
        <f>'Bookings and Drivers'!O40</f>
        <v>0</v>
      </c>
      <c r="H572">
        <f>'Bookings and Drivers'!P40</f>
        <v>0</v>
      </c>
      <c r="I572">
        <f>'Bookings and Drivers'!Q40</f>
        <v>0</v>
      </c>
      <c r="J572">
        <f>'Bookings and Drivers'!R40</f>
        <v>0</v>
      </c>
      <c r="K572">
        <f>'Bookings and Drivers'!S40</f>
        <v>0</v>
      </c>
      <c r="L572">
        <f>'Bookings and Drivers'!T40</f>
        <v>0</v>
      </c>
      <c r="M572">
        <f>'Bookings and Drivers'!U40</f>
        <v>0</v>
      </c>
      <c r="N572">
        <f>'Bookings and Drivers'!V40</f>
        <v>0</v>
      </c>
      <c r="O572">
        <f>'Bookings and Drivers'!W40</f>
        <v>0</v>
      </c>
      <c r="P572">
        <f>'Bookings and Drivers'!X40</f>
        <v>0</v>
      </c>
      <c r="Q572">
        <f>'Bookings and Drivers'!Y40</f>
        <v>0</v>
      </c>
      <c r="R572">
        <f>'Bookings and Drivers'!Z40</f>
        <v>0</v>
      </c>
      <c r="S572">
        <f>'Bookings and Drivers'!AA40</f>
        <v>0</v>
      </c>
      <c r="T572">
        <f>'Bookings and Drivers'!AB40</f>
        <v>0</v>
      </c>
      <c r="U572">
        <f>'Bookings and Drivers'!AC40</f>
        <v>71.902000000000001</v>
      </c>
      <c r="V572">
        <f>'Bookings and Drivers'!AD40</f>
        <v>77.515000000000001</v>
      </c>
      <c r="W572">
        <f>'Bookings and Drivers'!AE40</f>
        <v>164.822</v>
      </c>
      <c r="X572">
        <f>'Bookings and Drivers'!AF40</f>
        <v>158.46</v>
      </c>
      <c r="Y572">
        <f>'Bookings and Drivers'!AG40</f>
        <v>272.81400000000002</v>
      </c>
      <c r="Z572">
        <f>'Bookings and Drivers'!AH40</f>
        <v>356.59300000000002</v>
      </c>
      <c r="AA572">
        <f>'Bookings and Drivers'!AI40</f>
        <v>398.416</v>
      </c>
      <c r="AB572">
        <f>'Bookings and Drivers'!AJ40</f>
        <v>319.13600000000002</v>
      </c>
      <c r="AC572">
        <f>'Bookings and Drivers'!AK40</f>
        <v>519.67899999999997</v>
      </c>
      <c r="AD572">
        <f>'Bookings and Drivers'!AL40</f>
        <v>687.12400000000002</v>
      </c>
      <c r="AE572">
        <f>'Bookings and Drivers'!AM40</f>
        <v>788.47799999999995</v>
      </c>
      <c r="AF572">
        <f>'Bookings and Drivers'!AN40</f>
        <v>679.76</v>
      </c>
      <c r="AG572">
        <f>'Bookings and Drivers'!AO40</f>
        <v>1037.644</v>
      </c>
      <c r="AH572">
        <f>'Bookings and Drivers'!AP40</f>
        <v>1237.681</v>
      </c>
      <c r="AI572">
        <f>'Bookings and Drivers'!AQ40</f>
        <v>1250.8499999999999</v>
      </c>
      <c r="AJ572">
        <f>'Bookings and Drivers'!AR40</f>
        <v>792.19</v>
      </c>
      <c r="AK572">
        <f>'Bookings and Drivers'!AS40</f>
        <v>1092.4269999999999</v>
      </c>
      <c r="AL572">
        <f>'Bookings and Drivers'!AT40</f>
        <v>1414.7139999999999</v>
      </c>
      <c r="AM572">
        <f>'Bookings and Drivers'!AU40</f>
        <v>1724.1310000000001</v>
      </c>
      <c r="AN572">
        <f>'Bookings and Drivers'!AV40</f>
        <v>1433.471</v>
      </c>
      <c r="AO572">
        <f>'Bookings and Drivers'!AW40</f>
        <v>1975.345</v>
      </c>
      <c r="AP572">
        <f>'Bookings and Drivers'!AX40</f>
        <v>2256.3009999999999</v>
      </c>
      <c r="AQ572">
        <f>'Bookings and Drivers'!AY40</f>
        <v>2885</v>
      </c>
      <c r="AR572">
        <f>'Bookings and Drivers'!AZ40</f>
        <v>2363</v>
      </c>
      <c r="AS572">
        <f>'Bookings and Drivers'!BA40</f>
        <v>3536</v>
      </c>
      <c r="AT572">
        <f>'Bookings and Drivers'!BB40</f>
        <v>4472</v>
      </c>
      <c r="AU572">
        <f>'Bookings and Drivers'!BC40</f>
        <v>4989</v>
      </c>
      <c r="AV572">
        <f>'Bookings and Drivers'!BD40</f>
        <v>3912</v>
      </c>
      <c r="AW572">
        <f>'Bookings and Drivers'!BE40</f>
        <v>5451</v>
      </c>
      <c r="AX572">
        <f>'Bookings and Drivers'!BF40</f>
        <v>5952</v>
      </c>
      <c r="AY572">
        <f>'Bookings and Drivers'!BG40</f>
        <v>6473</v>
      </c>
      <c r="AZ572">
        <f>'Bookings and Drivers'!BH40</f>
        <v>5494</v>
      </c>
      <c r="BA572">
        <f>'Bookings and Drivers'!BI40</f>
        <v>7783</v>
      </c>
      <c r="BB572">
        <f>'Bookings and Drivers'!BJ40</f>
        <v>8579</v>
      </c>
      <c r="BC572">
        <f>'Bookings and Drivers'!BK40</f>
        <v>9179</v>
      </c>
      <c r="BD572">
        <f>'Bookings and Drivers'!BL40</f>
        <v>7758</v>
      </c>
      <c r="BE572">
        <f>'Bookings and Drivers'!BM40</f>
        <v>10643</v>
      </c>
      <c r="BF572">
        <f>'Bookings and Drivers'!BN40</f>
        <v>11682</v>
      </c>
      <c r="BG572">
        <f>'Bookings and Drivers'!BO40</f>
        <v>12080</v>
      </c>
      <c r="BH572">
        <f>'Bookings and Drivers'!BP40</f>
        <v>9233</v>
      </c>
      <c r="BI572">
        <f>'Bookings and Drivers'!BQ40</f>
        <v>12104</v>
      </c>
      <c r="BJ572">
        <f>'Bookings and Drivers'!BR40</f>
        <v>13092</v>
      </c>
      <c r="BK572">
        <f>'Bookings and Drivers'!BS40</f>
        <v>13078</v>
      </c>
      <c r="BL572">
        <f>'Bookings and Drivers'!BT40</f>
        <v>10697</v>
      </c>
      <c r="BM572">
        <f>'Bookings and Drivers'!BU40</f>
        <v>15012.299882544639</v>
      </c>
      <c r="BN572">
        <f>'Bookings and Drivers'!BV40</f>
        <v>15967.515493362</v>
      </c>
      <c r="BO572">
        <f>'Bookings and Drivers'!BW40</f>
        <v>16579.293320345601</v>
      </c>
      <c r="BP572">
        <f>'Bookings and Drivers'!BX40</f>
        <v>13649.139067599999</v>
      </c>
      <c r="BQ572">
        <f>'Bookings and Drivers'!BY40</f>
        <v>19000.489839299713</v>
      </c>
      <c r="BR572">
        <f>'Bookings and Drivers'!BZ40</f>
        <v>18845.2157703376</v>
      </c>
      <c r="BS572">
        <f>'Bookings and Drivers'!CA40</f>
        <v>19811.093759973759</v>
      </c>
      <c r="BT572">
        <f>'Bookings and Drivers'!CB40</f>
        <v>16451.100477079999</v>
      </c>
      <c r="BU572">
        <f>'Bookings and Drivers'!CC40</f>
        <v>23128.750862393761</v>
      </c>
      <c r="BV572">
        <f>'Bookings and Drivers'!CD40</f>
        <v>23055.46671194876</v>
      </c>
      <c r="BW572">
        <f>'Bookings and Drivers'!CE40</f>
        <v>22777.052330053313</v>
      </c>
      <c r="BX572">
        <f>'Bookings and Drivers'!CF40</f>
        <v>20403.188954299396</v>
      </c>
      <c r="BY572">
        <f>'Bookings and Drivers'!CG40</f>
        <v>0</v>
      </c>
      <c r="BZ572">
        <f>'Bookings and Drivers'!CH40</f>
        <v>0</v>
      </c>
      <c r="CA572">
        <f>'Bookings and Drivers'!CI40</f>
        <v>0</v>
      </c>
      <c r="CB572">
        <f>'Bookings and Drivers'!CJ40</f>
        <v>9.2585026631322958</v>
      </c>
      <c r="CC572">
        <f>'Bookings and Drivers'!CK40</f>
        <v>65.170600245788222</v>
      </c>
      <c r="CD572">
        <f>'Bookings and Drivers'!CL40</f>
        <v>472.61719298245617</v>
      </c>
      <c r="CE572">
        <f>'Bookings and Drivers'!CM40</f>
        <v>1346.9590000000001</v>
      </c>
      <c r="CF572">
        <f>'Bookings and Drivers'!CN40</f>
        <v>2675.0410000000002</v>
      </c>
      <c r="CG572">
        <f>'Bookings and Drivers'!CO40</f>
        <v>4318.3649999999998</v>
      </c>
      <c r="CH572">
        <f>'Bookings and Drivers'!CP40</f>
        <v>5664.7430000000004</v>
      </c>
      <c r="CI572">
        <f>'Bookings and Drivers'!CQ40</f>
        <v>9479.6460000000006</v>
      </c>
      <c r="CJ572">
        <f>'Bookings and Drivers'!CR40</f>
        <v>16909</v>
      </c>
      <c r="CK572">
        <f>'Bookings and Drivers'!CS40</f>
        <v>23370</v>
      </c>
      <c r="CL572">
        <f>'Bookings and Drivers'!CT40</f>
        <v>33299</v>
      </c>
      <c r="CM572">
        <f>'Bookings and Drivers'!CU40</f>
        <v>43638</v>
      </c>
      <c r="CN572">
        <f>'Bookings and Drivers'!CV40</f>
        <v>48971</v>
      </c>
      <c r="CO572">
        <f>'Bookings and Drivers'!CW40</f>
        <v>61208.24776385224</v>
      </c>
      <c r="CP572">
        <f>'Bookings and Drivers'!CX40</f>
        <v>74107.899846691071</v>
      </c>
      <c r="CQ572">
        <f>'Bookings and Drivers'!CY40</f>
        <v>89364.45885869523</v>
      </c>
      <c r="CR572">
        <f>'Bookings and Drivers'!CZ40</f>
        <v>103244.43517308451</v>
      </c>
      <c r="CS572">
        <f>'Bookings and Drivers'!DA40</f>
        <v>116950.91260124942</v>
      </c>
      <c r="CT572">
        <f>'Bookings and Drivers'!DB40</f>
        <v>130240.89042543466</v>
      </c>
      <c r="CU572">
        <f>'Bookings and Drivers'!DC40</f>
        <v>143265.3357700445</v>
      </c>
      <c r="CV572">
        <f>'Bookings and Drivers'!DD40</f>
        <v>156155.75117926704</v>
      </c>
      <c r="CW572">
        <f>'Bookings and Drivers'!DE40</f>
        <v>168794.9751615242</v>
      </c>
      <c r="CX572">
        <f>'Bookings and Drivers'!DF40</f>
        <v>182476.60553945773</v>
      </c>
    </row>
    <row r="573" spans="1:102">
      <c r="A573" t="str">
        <f>'Bookings and Drivers'!I41</f>
        <v>% change Y/Y</v>
      </c>
      <c r="B573">
        <f>'Bookings and Drivers'!J41</f>
        <v>0</v>
      </c>
      <c r="C573">
        <f>'Bookings and Drivers'!K41</f>
        <v>0</v>
      </c>
      <c r="D573">
        <f>'Bookings and Drivers'!L41</f>
        <v>0</v>
      </c>
      <c r="E573">
        <f>'Bookings and Drivers'!M41</f>
        <v>0</v>
      </c>
      <c r="F573">
        <f>'Bookings and Drivers'!N41</f>
        <v>0</v>
      </c>
      <c r="G573">
        <f>'Bookings and Drivers'!O41</f>
        <v>0</v>
      </c>
      <c r="H573">
        <f>'Bookings and Drivers'!P41</f>
        <v>0</v>
      </c>
      <c r="I573">
        <f>'Bookings and Drivers'!Q41</f>
        <v>0</v>
      </c>
      <c r="J573">
        <f>'Bookings and Drivers'!R41</f>
        <v>0</v>
      </c>
      <c r="K573">
        <f>'Bookings and Drivers'!S41</f>
        <v>0</v>
      </c>
      <c r="L573">
        <f>'Bookings and Drivers'!T41</f>
        <v>0</v>
      </c>
      <c r="M573">
        <f>'Bookings and Drivers'!U41</f>
        <v>0</v>
      </c>
      <c r="N573">
        <f>'Bookings and Drivers'!V41</f>
        <v>0</v>
      </c>
      <c r="O573">
        <f>'Bookings and Drivers'!W41</f>
        <v>0</v>
      </c>
      <c r="P573">
        <f>'Bookings and Drivers'!X41</f>
        <v>0</v>
      </c>
      <c r="Q573">
        <f>'Bookings and Drivers'!Y41</f>
        <v>0</v>
      </c>
      <c r="R573">
        <f>'Bookings and Drivers'!Z41</f>
        <v>0</v>
      </c>
      <c r="S573">
        <f>'Bookings and Drivers'!AA41</f>
        <v>0</v>
      </c>
      <c r="T573">
        <f>'Bookings and Drivers'!AB41</f>
        <v>0</v>
      </c>
      <c r="U573">
        <f>'Bookings and Drivers'!AC41</f>
        <v>0</v>
      </c>
      <c r="V573">
        <f>'Bookings and Drivers'!AD41</f>
        <v>0</v>
      </c>
      <c r="W573">
        <f>'Bookings and Drivers'!AE41</f>
        <v>0</v>
      </c>
      <c r="X573">
        <f>'Bookings and Drivers'!AF41</f>
        <v>0</v>
      </c>
      <c r="Y573">
        <f>'Bookings and Drivers'!AG41</f>
        <v>0</v>
      </c>
      <c r="Z573">
        <f>'Bookings and Drivers'!AH41</f>
        <v>0</v>
      </c>
      <c r="AA573">
        <f>'Bookings and Drivers'!AI41</f>
        <v>0</v>
      </c>
      <c r="AB573">
        <f>'Bookings and Drivers'!AJ41</f>
        <v>0</v>
      </c>
      <c r="AC573">
        <f>'Bookings and Drivers'!AK41</f>
        <v>0.90488391358214737</v>
      </c>
      <c r="AD573">
        <f>'Bookings and Drivers'!AL41</f>
        <v>0.92691387660442004</v>
      </c>
      <c r="AE573">
        <f>'Bookings and Drivers'!AM41</f>
        <v>0.97903196658768721</v>
      </c>
      <c r="AF573">
        <f>'Bookings and Drivers'!AN41</f>
        <v>1.1300010027073095</v>
      </c>
      <c r="AG573">
        <f>'Bookings and Drivers'!AO41</f>
        <v>0.99670181015588488</v>
      </c>
      <c r="AH573">
        <f>'Bookings and Drivers'!AP41</f>
        <v>0.80124839184775953</v>
      </c>
      <c r="AI573">
        <f>'Bookings and Drivers'!AQ41</f>
        <v>0.58641078127734692</v>
      </c>
      <c r="AJ573">
        <f>'Bookings and Drivers'!AR41</f>
        <v>0.16539661056843591</v>
      </c>
      <c r="AK573">
        <f>'Bookings and Drivers'!AS41</f>
        <v>5.2795563796446565E-2</v>
      </c>
      <c r="AL573">
        <f>'Bookings and Drivers'!AT41</f>
        <v>0.14303604886881183</v>
      </c>
      <c r="AM573">
        <f>'Bookings and Drivers'!AU41</f>
        <v>0.37836751009313674</v>
      </c>
      <c r="AN573">
        <f>'Bookings and Drivers'!AV41</f>
        <v>0.80950403312336672</v>
      </c>
      <c r="AO573">
        <f>'Bookings and Drivers'!AW41</f>
        <v>0.80821693348846213</v>
      </c>
      <c r="AP573">
        <f>'Bookings and Drivers'!AX41</f>
        <v>0.59488136824828208</v>
      </c>
      <c r="AQ573">
        <f>'Bookings and Drivers'!AY41</f>
        <v>0.67330672669304126</v>
      </c>
      <c r="AR573">
        <f>'Bookings and Drivers'!AZ41</f>
        <v>0.64844632364379895</v>
      </c>
      <c r="AS573">
        <f>'Bookings and Drivers'!BA41</f>
        <v>0.7900670515783319</v>
      </c>
      <c r="AT573">
        <f>'Bookings and Drivers'!BB41</f>
        <v>0.98200506049503145</v>
      </c>
      <c r="AU573">
        <f>'Bookings and Drivers'!BC41</f>
        <v>0.72928942807625652</v>
      </c>
      <c r="AV573">
        <f>'Bookings and Drivers'!BD41</f>
        <v>0.65552264071096067</v>
      </c>
      <c r="AW573">
        <f>'Bookings and Drivers'!BE41</f>
        <v>0.54157239819004532</v>
      </c>
      <c r="AX573">
        <f>'Bookings and Drivers'!BF41</f>
        <v>0.33094812164579612</v>
      </c>
      <c r="AY573">
        <f>'Bookings and Drivers'!BG41</f>
        <v>0.29745439967929443</v>
      </c>
      <c r="AZ573">
        <f>'Bookings and Drivers'!BH41</f>
        <v>0.40439672801635984</v>
      </c>
      <c r="BA573">
        <f>'Bookings and Drivers'!BI41</f>
        <v>0.42781141075032103</v>
      </c>
      <c r="BB573">
        <f>'Bookings and Drivers'!BJ41</f>
        <v>0.441364247311828</v>
      </c>
      <c r="BC573">
        <f>'Bookings and Drivers'!BK41</f>
        <v>0.41804418353159267</v>
      </c>
      <c r="BD573">
        <f>'Bookings and Drivers'!BL41</f>
        <v>0.4120859119038951</v>
      </c>
      <c r="BE573">
        <f>'Bookings and Drivers'!BM41</f>
        <v>0.36746755749710913</v>
      </c>
      <c r="BF573">
        <f>'Bookings and Drivers'!BN41</f>
        <v>0.36169716750203995</v>
      </c>
      <c r="BG573">
        <f>'Bookings and Drivers'!BO41</f>
        <v>0.31604749972763924</v>
      </c>
      <c r="BH573">
        <f>'Bookings and Drivers'!BP41</f>
        <v>0.1901263212168085</v>
      </c>
      <c r="BI573">
        <f>'Bookings and Drivers'!BQ41</f>
        <v>0.1372733251902658</v>
      </c>
      <c r="BJ573">
        <f>'Bookings and Drivers'!BR41</f>
        <v>0.12069851052901903</v>
      </c>
      <c r="BK573">
        <f>'Bookings and Drivers'!BS41</f>
        <v>8.2615894039735016E-2</v>
      </c>
      <c r="BL573">
        <f>'Bookings and Drivers'!BT41</f>
        <v>0.15856168092710932</v>
      </c>
      <c r="BM573">
        <f>'Bookings and Drivers'!BU41</f>
        <v>0.24027593213356235</v>
      </c>
      <c r="BN573">
        <f>'Bookings and Drivers'!BV41</f>
        <v>0.21963913025985327</v>
      </c>
      <c r="BO573">
        <f>'Bookings and Drivers'!BW41</f>
        <v>0.26772391193956269</v>
      </c>
      <c r="BP573">
        <f>'Bookings and Drivers'!BX41</f>
        <v>0.27597822451154519</v>
      </c>
      <c r="BQ573">
        <f>'Bookings and Drivers'!BY41</f>
        <v>0.26566149010867357</v>
      </c>
      <c r="BR573">
        <f>'Bookings and Drivers'!BZ41</f>
        <v>0.18022216907645494</v>
      </c>
      <c r="BS573">
        <f>'Bookings and Drivers'!CA41</f>
        <v>0.19492992717983881</v>
      </c>
      <c r="BT573">
        <f>'Bookings and Drivers'!CB41</f>
        <v>0.20528484585018481</v>
      </c>
      <c r="BU573">
        <f>'Bookings and Drivers'!CC41</f>
        <v>0.21727129447764804</v>
      </c>
      <c r="BV573">
        <f>'Bookings and Drivers'!CD41</f>
        <v>0.2234121908138671</v>
      </c>
      <c r="BW573">
        <f>'Bookings and Drivers'!CE41</f>
        <v>0.14971200510251292</v>
      </c>
      <c r="BX573">
        <f>'Bookings and Drivers'!CF41</f>
        <v>0.24023246850419055</v>
      </c>
      <c r="BY573">
        <f>'Bookings and Drivers'!CG41</f>
        <v>0</v>
      </c>
      <c r="BZ573">
        <f>'Bookings and Drivers'!CH41</f>
        <v>0</v>
      </c>
      <c r="CA573">
        <f>'Bookings and Drivers'!CI41</f>
        <v>0</v>
      </c>
      <c r="CB573">
        <f>'Bookings and Drivers'!CJ41</f>
        <v>0</v>
      </c>
      <c r="CC573">
        <f>'Bookings and Drivers'!CK41</f>
        <v>6.0389999999999997</v>
      </c>
      <c r="CD573">
        <f>'Bookings and Drivers'!CL41</f>
        <v>6.2519999999999998</v>
      </c>
      <c r="CE573">
        <f>'Bookings and Drivers'!CM41</f>
        <v>1.85</v>
      </c>
      <c r="CF573">
        <f>'Bookings and Drivers'!CN41</f>
        <v>0.98598546800607889</v>
      </c>
      <c r="CG573">
        <f>'Bookings and Drivers'!CO41</f>
        <v>0.61431731326734784</v>
      </c>
      <c r="CH573">
        <f>'Bookings and Drivers'!CP41</f>
        <v>0.31177957398228284</v>
      </c>
      <c r="CI573">
        <f>'Bookings and Drivers'!CQ41</f>
        <v>0.67344679184916245</v>
      </c>
      <c r="CJ573">
        <f>'Bookings and Drivers'!CR41</f>
        <v>0.7837163961607847</v>
      </c>
      <c r="CK573">
        <f>'Bookings and Drivers'!CS41</f>
        <v>0.38210420486131635</v>
      </c>
      <c r="CL573">
        <f>'Bookings and Drivers'!CT41</f>
        <v>0.42486093281985449</v>
      </c>
      <c r="CM573">
        <f>'Bookings and Drivers'!CU41</f>
        <v>0.3104898044986335</v>
      </c>
      <c r="CN573">
        <f>'Bookings and Drivers'!CV41</f>
        <v>0.1222100004583162</v>
      </c>
      <c r="CO573">
        <f>'Bookings and Drivers'!CW41</f>
        <v>0.24988764296935417</v>
      </c>
      <c r="CP573">
        <f>'Bookings and Drivers'!CX41</f>
        <v>0.2107502265480139</v>
      </c>
      <c r="CQ573">
        <f>'Bookings and Drivers'!CY41</f>
        <v>0.20586953676417497</v>
      </c>
      <c r="CR573">
        <f>'Bookings and Drivers'!CZ41</f>
        <v>0.15531875302167442</v>
      </c>
      <c r="CS573">
        <f>'Bookings and Drivers'!DA41</f>
        <v>0.13275754189740718</v>
      </c>
      <c r="CT573">
        <f>'Bookings and Drivers'!DB41</f>
        <v>0.11363723060031306</v>
      </c>
      <c r="CU573">
        <f>'Bookings and Drivers'!DC41</f>
        <v>0.10000273571583573</v>
      </c>
      <c r="CV573">
        <f>'Bookings and Drivers'!DD41</f>
        <v>8.9975815433211093E-2</v>
      </c>
      <c r="CW573">
        <f>'Bookings and Drivers'!DE41</f>
        <v>8.0939855796584137E-2</v>
      </c>
      <c r="CX573">
        <f>'Bookings and Drivers'!DF41</f>
        <v>8.1054725502588187E-2</v>
      </c>
    </row>
    <row r="574" spans="1:102">
      <c r="A574" t="str">
        <f>'Bookings and Drivers'!I42</f>
        <v>FX Impact</v>
      </c>
      <c r="B574">
        <f>'Bookings and Drivers'!J42</f>
        <v>0</v>
      </c>
      <c r="C574">
        <f>'Bookings and Drivers'!K42</f>
        <v>0</v>
      </c>
      <c r="D574">
        <f>'Bookings and Drivers'!L42</f>
        <v>0</v>
      </c>
      <c r="E574">
        <f>'Bookings and Drivers'!M42</f>
        <v>0</v>
      </c>
      <c r="F574">
        <f>'Bookings and Drivers'!N42</f>
        <v>0</v>
      </c>
      <c r="G574">
        <f>'Bookings and Drivers'!O42</f>
        <v>0</v>
      </c>
      <c r="H574">
        <f>'Bookings and Drivers'!P42</f>
        <v>0</v>
      </c>
      <c r="I574">
        <f>'Bookings and Drivers'!Q42</f>
        <v>0</v>
      </c>
      <c r="J574">
        <f>'Bookings and Drivers'!R42</f>
        <v>0</v>
      </c>
      <c r="K574">
        <f>'Bookings and Drivers'!S42</f>
        <v>0</v>
      </c>
      <c r="L574">
        <f>'Bookings and Drivers'!T42</f>
        <v>0</v>
      </c>
      <c r="M574">
        <f>'Bookings and Drivers'!U42</f>
        <v>0</v>
      </c>
      <c r="N574">
        <f>'Bookings and Drivers'!V42</f>
        <v>0</v>
      </c>
      <c r="O574">
        <f>'Bookings and Drivers'!W42</f>
        <v>0</v>
      </c>
      <c r="P574">
        <f>'Bookings and Drivers'!X42</f>
        <v>0</v>
      </c>
      <c r="Q574">
        <f>'Bookings and Drivers'!Y42</f>
        <v>0</v>
      </c>
      <c r="R574">
        <f>'Bookings and Drivers'!Z42</f>
        <v>0</v>
      </c>
      <c r="S574">
        <f>'Bookings and Drivers'!AA42</f>
        <v>0</v>
      </c>
      <c r="T574">
        <f>'Bookings and Drivers'!AB42</f>
        <v>0</v>
      </c>
      <c r="U574">
        <f>'Bookings and Drivers'!AC42</f>
        <v>0</v>
      </c>
      <c r="V574">
        <f>'Bookings and Drivers'!AD42</f>
        <v>0</v>
      </c>
      <c r="W574">
        <f>'Bookings and Drivers'!AE42</f>
        <v>0</v>
      </c>
      <c r="X574">
        <f>'Bookings and Drivers'!AF42</f>
        <v>0</v>
      </c>
      <c r="Y574">
        <f>'Bookings and Drivers'!AG42</f>
        <v>0</v>
      </c>
      <c r="Z574">
        <f>'Bookings and Drivers'!AH42</f>
        <v>0</v>
      </c>
      <c r="AA574">
        <f>'Bookings and Drivers'!AI42</f>
        <v>0</v>
      </c>
      <c r="AB574">
        <f>'Bookings and Drivers'!AJ42</f>
        <v>0</v>
      </c>
      <c r="AC574">
        <f>'Bookings and Drivers'!AK42</f>
        <v>0.15988391358214737</v>
      </c>
      <c r="AD574">
        <f>'Bookings and Drivers'!AL42</f>
        <v>0.13091387660442</v>
      </c>
      <c r="AE574">
        <f>'Bookings and Drivers'!AM42</f>
        <v>0.11503196658768722</v>
      </c>
      <c r="AF574">
        <f>'Bookings and Drivers'!AN42</f>
        <v>0.2310010027073095</v>
      </c>
      <c r="AG574">
        <f>'Bookings and Drivers'!AO42</f>
        <v>0.24670181015588488</v>
      </c>
      <c r="AH574">
        <f>'Bookings and Drivers'!AP42</f>
        <v>0.24324839184775948</v>
      </c>
      <c r="AI574">
        <f>'Bookings and Drivers'!AQ42</f>
        <v>0.13941078127734691</v>
      </c>
      <c r="AJ574">
        <f>'Bookings and Drivers'!AR42</f>
        <v>-0.11060338943156411</v>
      </c>
      <c r="AK574">
        <f>'Bookings and Drivers'!AS42</f>
        <v>-0.18220443620355342</v>
      </c>
      <c r="AL574">
        <f>'Bookings and Drivers'!AT42</f>
        <v>-0.18096395113118818</v>
      </c>
      <c r="AM574">
        <f>'Bookings and Drivers'!AU42</f>
        <v>-0.10663248990686325</v>
      </c>
      <c r="AN574">
        <f>'Bookings and Drivers'!AV42</f>
        <v>0.11450403312336677</v>
      </c>
      <c r="AO574">
        <f>'Bookings and Drivers'!AW42</f>
        <v>8.021693348846215E-2</v>
      </c>
      <c r="AP574">
        <f>'Bookings and Drivers'!AX42</f>
        <v>-7.6118631751717958E-2</v>
      </c>
      <c r="AQ574">
        <f>'Bookings and Drivers'!AY42</f>
        <v>-0.10669327330695877</v>
      </c>
      <c r="AR574">
        <f>'Bookings and Drivers'!AZ42</f>
        <v>-6.1553676356201015E-2</v>
      </c>
      <c r="AS574">
        <f>'Bookings and Drivers'!BA42</f>
        <v>9.067051578331875E-3</v>
      </c>
      <c r="AT574">
        <f>'Bookings and Drivers'!BB42</f>
        <v>0.19700506049503141</v>
      </c>
      <c r="AU574">
        <f>'Bookings and Drivers'!BC42</f>
        <v>0.11528942807625653</v>
      </c>
      <c r="AV574">
        <f>'Bookings and Drivers'!BD42</f>
        <v>-1.347735928903937E-2</v>
      </c>
      <c r="AW574">
        <f>'Bookings and Drivers'!BE42</f>
        <v>-3.8427601809954637E-2</v>
      </c>
      <c r="AX574">
        <f>'Bookings and Drivers'!BF42</f>
        <v>-0.11205187835420388</v>
      </c>
      <c r="AY574">
        <f>'Bookings and Drivers'!BG42</f>
        <v>-0.10854560032070559</v>
      </c>
      <c r="AZ574">
        <f>'Bookings and Drivers'!BH42</f>
        <v>-2.1603271983640149E-2</v>
      </c>
      <c r="BA574">
        <f>'Bookings and Drivers'!BI42</f>
        <v>-2.1885892496789627E-3</v>
      </c>
      <c r="BB574">
        <f>'Bookings and Drivers'!BJ42</f>
        <v>1.364247311827993E-3</v>
      </c>
      <c r="BC574">
        <f>'Bookings and Drivers'!BK42</f>
        <v>8.0441835315926968E-3</v>
      </c>
      <c r="BD574">
        <f>'Bookings and Drivers'!BL42</f>
        <v>-7.9140880961048876E-3</v>
      </c>
      <c r="BE574">
        <f>'Bookings and Drivers'!BM42</f>
        <v>-1.2532442502890873E-2</v>
      </c>
      <c r="BF574">
        <f>'Bookings and Drivers'!BN42</f>
        <v>1.1697167502039973E-2</v>
      </c>
      <c r="BG574">
        <f>'Bookings and Drivers'!BO42</f>
        <v>-3.9525002723607705E-3</v>
      </c>
      <c r="BH574">
        <f>'Bookings and Drivers'!BP42</f>
        <v>-7.9873678783191515E-2</v>
      </c>
      <c r="BI574">
        <f>'Bookings and Drivers'!BQ42</f>
        <v>-0.15272667480973418</v>
      </c>
      <c r="BJ574">
        <f>'Bookings and Drivers'!BR42</f>
        <v>-0.17930148947098096</v>
      </c>
      <c r="BK574">
        <f>'Bookings and Drivers'!BS42</f>
        <v>-0.16738410596026498</v>
      </c>
      <c r="BL574">
        <f>'Bookings and Drivers'!BT42</f>
        <v>-0.13143831907289066</v>
      </c>
      <c r="BM574">
        <f>'Bookings and Drivers'!BU42</f>
        <v>-5.8889748581603472E-2</v>
      </c>
      <c r="BN574">
        <f>'Bookings and Drivers'!BV42</f>
        <v>-1.8560622082329566E-2</v>
      </c>
      <c r="BO574">
        <f>'Bookings and Drivers'!BW42</f>
        <v>-1.241077908901627E-2</v>
      </c>
      <c r="BP574">
        <f>'Bookings and Drivers'!BX42</f>
        <v>-2.5694745356858568E-2</v>
      </c>
      <c r="BQ574">
        <f>'Bookings and Drivers'!BY42</f>
        <v>-3.2011646429358519E-2</v>
      </c>
      <c r="BR574">
        <f>'Bookings and Drivers'!BZ42</f>
        <v>-2.976539840502547E-2</v>
      </c>
      <c r="BS574">
        <f>'Bookings and Drivers'!CA42</f>
        <v>2.1596422908310788E-2</v>
      </c>
      <c r="BT574">
        <f>'Bookings and Drivers'!CB42</f>
        <v>5.7519129121537067E-2</v>
      </c>
      <c r="BU574">
        <f>'Bookings and Drivers'!CC42</f>
        <v>6.638896707974129E-2</v>
      </c>
      <c r="BV574">
        <f>'Bookings and Drivers'!CD42</f>
        <v>3.8068431313242002E-2</v>
      </c>
      <c r="BW574">
        <f>'Bookings and Drivers'!CE42</f>
        <v>-4.9651843075346758E-3</v>
      </c>
      <c r="BX574">
        <f>'Bookings and Drivers'!CF42</f>
        <v>3.971267759509467E-2</v>
      </c>
      <c r="BY574">
        <f>'Bookings and Drivers'!CG42</f>
        <v>0</v>
      </c>
      <c r="BZ574">
        <f>'Bookings and Drivers'!CH42</f>
        <v>0</v>
      </c>
      <c r="CA574">
        <f>'Bookings and Drivers'!CI42</f>
        <v>0</v>
      </c>
      <c r="CB574">
        <f>'Bookings and Drivers'!CJ42</f>
        <v>0</v>
      </c>
      <c r="CC574">
        <f>'Bookings and Drivers'!CK42</f>
        <v>0</v>
      </c>
      <c r="CD574">
        <f>'Bookings and Drivers'!CL42</f>
        <v>0</v>
      </c>
      <c r="CE574">
        <f>'Bookings and Drivers'!CM42</f>
        <v>0</v>
      </c>
      <c r="CF574">
        <f>'Bookings and Drivers'!CN42</f>
        <v>0</v>
      </c>
      <c r="CG574">
        <f>'Bookings and Drivers'!CO42</f>
        <v>5.6211495050382254E-3</v>
      </c>
      <c r="CH574">
        <f>'Bookings and Drivers'!CP42</f>
        <v>-9.6153765163986105E-2</v>
      </c>
      <c r="CI574">
        <f>'Bookings and Drivers'!CQ42</f>
        <v>-3.3565748004645068E-2</v>
      </c>
      <c r="CJ574">
        <f>'Bookings and Drivers'!CR42</f>
        <v>1.5870578430861038E-3</v>
      </c>
      <c r="CK574">
        <f>'Bookings and Drivers'!CS42</f>
        <v>-6.6788557352971623E-2</v>
      </c>
      <c r="CL574">
        <f>'Bookings and Drivers'!CT42</f>
        <v>-2.4829536226811388E-4</v>
      </c>
      <c r="CM574">
        <f>'Bookings and Drivers'!CU42</f>
        <v>-2.2583660281306872E-2</v>
      </c>
      <c r="CN574">
        <f>'Bookings and Drivers'!CV42</f>
        <v>-0.15757487748179211</v>
      </c>
      <c r="CO574">
        <f>'Bookings and Drivers'!CW42</f>
        <v>-2.8268793895241506E-2</v>
      </c>
      <c r="CP574">
        <f>'Bookings and Drivers'!CX42</f>
        <v>2.6094783015758072E-2</v>
      </c>
      <c r="CQ574">
        <f>'Bookings and Drivers'!CY42</f>
        <v>3.3206430188495561E-2</v>
      </c>
      <c r="CR574">
        <f>'Bookings and Drivers'!CZ42</f>
        <v>1.9345565802142417E-4</v>
      </c>
      <c r="CS574">
        <f>'Bookings and Drivers'!DA42</f>
        <v>0</v>
      </c>
      <c r="CT574">
        <f>'Bookings and Drivers'!DB42</f>
        <v>0</v>
      </c>
      <c r="CU574">
        <f>'Bookings and Drivers'!DC42</f>
        <v>0</v>
      </c>
      <c r="CV574">
        <f>'Bookings and Drivers'!DD42</f>
        <v>0</v>
      </c>
      <c r="CW574">
        <f>'Bookings and Drivers'!DE42</f>
        <v>0</v>
      </c>
      <c r="CX574">
        <f>'Bookings and Drivers'!DF42</f>
        <v>0</v>
      </c>
    </row>
    <row r="575" spans="1:102">
      <c r="A575" t="str">
        <f>'Bookings and Drivers'!I43</f>
        <v>% change Y/Y Constant Currency</v>
      </c>
      <c r="B575">
        <f>'Bookings and Drivers'!J43</f>
        <v>0</v>
      </c>
      <c r="C575">
        <f>'Bookings and Drivers'!K43</f>
        <v>0</v>
      </c>
      <c r="D575">
        <f>'Bookings and Drivers'!L43</f>
        <v>0</v>
      </c>
      <c r="E575">
        <f>'Bookings and Drivers'!M43</f>
        <v>0</v>
      </c>
      <c r="F575">
        <f>'Bookings and Drivers'!N43</f>
        <v>0</v>
      </c>
      <c r="G575">
        <f>'Bookings and Drivers'!O43</f>
        <v>0</v>
      </c>
      <c r="H575">
        <f>'Bookings and Drivers'!P43</f>
        <v>0</v>
      </c>
      <c r="I575">
        <f>'Bookings and Drivers'!Q43</f>
        <v>0</v>
      </c>
      <c r="J575">
        <f>'Bookings and Drivers'!R43</f>
        <v>0</v>
      </c>
      <c r="K575">
        <f>'Bookings and Drivers'!S43</f>
        <v>0</v>
      </c>
      <c r="L575">
        <f>'Bookings and Drivers'!T43</f>
        <v>0</v>
      </c>
      <c r="M575">
        <f>'Bookings and Drivers'!U43</f>
        <v>0</v>
      </c>
      <c r="N575">
        <f>'Bookings and Drivers'!V43</f>
        <v>0</v>
      </c>
      <c r="O575">
        <f>'Bookings and Drivers'!W43</f>
        <v>0</v>
      </c>
      <c r="P575">
        <f>'Bookings and Drivers'!X43</f>
        <v>0</v>
      </c>
      <c r="Q575">
        <f>'Bookings and Drivers'!Y43</f>
        <v>0</v>
      </c>
      <c r="R575">
        <f>'Bookings and Drivers'!Z43</f>
        <v>0</v>
      </c>
      <c r="S575">
        <f>'Bookings and Drivers'!AA43</f>
        <v>0</v>
      </c>
      <c r="T575">
        <f>'Bookings and Drivers'!AB43</f>
        <v>0</v>
      </c>
      <c r="U575">
        <f>'Bookings and Drivers'!AC43</f>
        <v>0</v>
      </c>
      <c r="V575">
        <f>'Bookings and Drivers'!AD43</f>
        <v>0</v>
      </c>
      <c r="W575">
        <f>'Bookings and Drivers'!AE43</f>
        <v>0</v>
      </c>
      <c r="X575">
        <f>'Bookings and Drivers'!AF43</f>
        <v>0</v>
      </c>
      <c r="Y575">
        <f>'Bookings and Drivers'!AG43</f>
        <v>3.1379999999999999</v>
      </c>
      <c r="Z575">
        <f>'Bookings and Drivers'!AH43</f>
        <v>3.6150000000000002</v>
      </c>
      <c r="AA575">
        <f>'Bookings and Drivers'!AI43</f>
        <v>1.3180000000000001</v>
      </c>
      <c r="AB575">
        <f>'Bookings and Drivers'!AJ43</f>
        <v>0.86299999999999999</v>
      </c>
      <c r="AC575">
        <f>'Bookings and Drivers'!AK43</f>
        <v>0.745</v>
      </c>
      <c r="AD575">
        <f>'Bookings and Drivers'!AL43</f>
        <v>0.79600000000000004</v>
      </c>
      <c r="AE575">
        <f>'Bookings and Drivers'!AM43</f>
        <v>0.86399999999999999</v>
      </c>
      <c r="AF575">
        <f>'Bookings and Drivers'!AN43</f>
        <v>0.89900000000000002</v>
      </c>
      <c r="AG575">
        <f>'Bookings and Drivers'!AO43</f>
        <v>0.75</v>
      </c>
      <c r="AH575">
        <f>'Bookings and Drivers'!AP43</f>
        <v>0.55800000000000005</v>
      </c>
      <c r="AI575">
        <f>'Bookings and Drivers'!AQ43</f>
        <v>0.44700000000000001</v>
      </c>
      <c r="AJ575">
        <f>'Bookings and Drivers'!AR43</f>
        <v>0.27600000000000002</v>
      </c>
      <c r="AK575">
        <f>'Bookings and Drivers'!AS43</f>
        <v>0.23499999999999999</v>
      </c>
      <c r="AL575">
        <f>'Bookings and Drivers'!AT43</f>
        <v>0.32400000000000001</v>
      </c>
      <c r="AM575">
        <f>'Bookings and Drivers'!AU43</f>
        <v>0.48499999999999999</v>
      </c>
      <c r="AN575">
        <f>'Bookings and Drivers'!AV43</f>
        <v>0.69499999999999995</v>
      </c>
      <c r="AO575">
        <f>'Bookings and Drivers'!AW43</f>
        <v>0.72799999999999998</v>
      </c>
      <c r="AP575">
        <f>'Bookings and Drivers'!AX43</f>
        <v>0.67100000000000004</v>
      </c>
      <c r="AQ575">
        <f>'Bookings and Drivers'!AY43</f>
        <v>0.78</v>
      </c>
      <c r="AR575">
        <f>'Bookings and Drivers'!AZ43</f>
        <v>0.71</v>
      </c>
      <c r="AS575">
        <f>'Bookings and Drivers'!BA43</f>
        <v>0.78100000000000003</v>
      </c>
      <c r="AT575">
        <f>'Bookings and Drivers'!BB43</f>
        <v>0.78500000000000003</v>
      </c>
      <c r="AU575">
        <f>'Bookings and Drivers'!BC43</f>
        <v>0.61399999999999999</v>
      </c>
      <c r="AV575">
        <f>'Bookings and Drivers'!BD43</f>
        <v>0.66900000000000004</v>
      </c>
      <c r="AW575">
        <f>'Bookings and Drivers'!BE43</f>
        <v>0.57999999999999996</v>
      </c>
      <c r="AX575">
        <f>'Bookings and Drivers'!BF43</f>
        <v>0.443</v>
      </c>
      <c r="AY575">
        <f>'Bookings and Drivers'!BG43</f>
        <v>0.40600000000000003</v>
      </c>
      <c r="AZ575">
        <f>'Bookings and Drivers'!BH43</f>
        <v>0.42599999999999999</v>
      </c>
      <c r="BA575">
        <f>'Bookings and Drivers'!BI43</f>
        <v>0.43</v>
      </c>
      <c r="BB575">
        <f>'Bookings and Drivers'!BJ43</f>
        <v>0.44</v>
      </c>
      <c r="BC575">
        <f>'Bookings and Drivers'!BK43</f>
        <v>0.41</v>
      </c>
      <c r="BD575">
        <f>'Bookings and Drivers'!BL43</f>
        <v>0.42</v>
      </c>
      <c r="BE575">
        <f>'Bookings and Drivers'!BM43</f>
        <v>0.38</v>
      </c>
      <c r="BF575">
        <f>'Bookings and Drivers'!BN43</f>
        <v>0.35</v>
      </c>
      <c r="BG575">
        <f>'Bookings and Drivers'!BO43</f>
        <v>0.32</v>
      </c>
      <c r="BH575">
        <f>'Bookings and Drivers'!BP43</f>
        <v>0.27</v>
      </c>
      <c r="BI575">
        <f>'Bookings and Drivers'!BQ43</f>
        <v>0.28999999999999998</v>
      </c>
      <c r="BJ575">
        <f>'Bookings and Drivers'!BR43</f>
        <v>0.3</v>
      </c>
      <c r="BK575">
        <f>'Bookings and Drivers'!BS43</f>
        <v>0.25</v>
      </c>
      <c r="BL575">
        <f>'Bookings and Drivers'!BT43</f>
        <v>0.28999999999999998</v>
      </c>
      <c r="BM575">
        <f>'Bookings and Drivers'!BU43</f>
        <v>0.2991656807151658</v>
      </c>
      <c r="BN575">
        <f>'Bookings and Drivers'!BV43</f>
        <v>0.23819975234218282</v>
      </c>
      <c r="BO575">
        <f>'Bookings and Drivers'!BW43</f>
        <v>0.28013469102857896</v>
      </c>
      <c r="BP575">
        <f>'Bookings and Drivers'!BX43</f>
        <v>0.30167296986840375</v>
      </c>
      <c r="BQ575">
        <f>'Bookings and Drivers'!BY43</f>
        <v>0.29767313653803207</v>
      </c>
      <c r="BR575">
        <f>'Bookings and Drivers'!BZ43</f>
        <v>0.2099875674814804</v>
      </c>
      <c r="BS575">
        <f>'Bookings and Drivers'!CA43</f>
        <v>0.17333350427152802</v>
      </c>
      <c r="BT575">
        <f>'Bookings and Drivers'!CB43</f>
        <v>0.14776571672864774</v>
      </c>
      <c r="BU575">
        <f>'Bookings and Drivers'!CC43</f>
        <v>0.15088232739790675</v>
      </c>
      <c r="BV575">
        <f>'Bookings and Drivers'!CD43</f>
        <v>0.18534375950062509</v>
      </c>
      <c r="BW575">
        <f>'Bookings and Drivers'!CE43</f>
        <v>0.1546771894100476</v>
      </c>
      <c r="BX575">
        <f>'Bookings and Drivers'!CF43</f>
        <v>0.20051979090909589</v>
      </c>
      <c r="BY575">
        <f>'Bookings and Drivers'!CG43</f>
        <v>0</v>
      </c>
      <c r="BZ575">
        <f>'Bookings and Drivers'!CH43</f>
        <v>0</v>
      </c>
      <c r="CA575">
        <f>'Bookings and Drivers'!CI43</f>
        <v>0</v>
      </c>
      <c r="CB575">
        <f>'Bookings and Drivers'!CJ43</f>
        <v>0</v>
      </c>
      <c r="CC575">
        <f>'Bookings and Drivers'!CK43</f>
        <v>0</v>
      </c>
      <c r="CD575">
        <f>'Bookings and Drivers'!CL43</f>
        <v>0</v>
      </c>
      <c r="CE575">
        <f>'Bookings and Drivers'!CM43</f>
        <v>0</v>
      </c>
      <c r="CF575">
        <f>'Bookings and Drivers'!CN43</f>
        <v>0</v>
      </c>
      <c r="CG575">
        <f>'Bookings and Drivers'!CO43</f>
        <v>0.60869616376230962</v>
      </c>
      <c r="CH575">
        <f>'Bookings and Drivers'!CP43</f>
        <v>0.40793333914626895</v>
      </c>
      <c r="CI575">
        <f>'Bookings and Drivers'!CQ43</f>
        <v>0.70701253985380752</v>
      </c>
      <c r="CJ575">
        <f>'Bookings and Drivers'!CR43</f>
        <v>0.7821293383176986</v>
      </c>
      <c r="CK575">
        <f>'Bookings and Drivers'!CS43</f>
        <v>0.44889276221428798</v>
      </c>
      <c r="CL575">
        <f>'Bookings and Drivers'!CT43</f>
        <v>0.4251092281821226</v>
      </c>
      <c r="CM575">
        <f>'Bookings and Drivers'!CU43</f>
        <v>0.33307346477994038</v>
      </c>
      <c r="CN575">
        <f>'Bookings and Drivers'!CV43</f>
        <v>0.27978487794010831</v>
      </c>
      <c r="CO575">
        <f>'Bookings and Drivers'!CW43</f>
        <v>0.27815643686459568</v>
      </c>
      <c r="CP575">
        <f>'Bookings and Drivers'!CX43</f>
        <v>0.18465544353225583</v>
      </c>
      <c r="CQ575">
        <f>'Bookings and Drivers'!CY43</f>
        <v>0.1726631065756794</v>
      </c>
      <c r="CR575">
        <f>'Bookings and Drivers'!CZ43</f>
        <v>0.15512529736365299</v>
      </c>
      <c r="CS575">
        <f>'Bookings and Drivers'!DA43</f>
        <v>0.13275754189740718</v>
      </c>
      <c r="CT575">
        <f>'Bookings and Drivers'!DB43</f>
        <v>0.11363723060031306</v>
      </c>
      <c r="CU575">
        <f>'Bookings and Drivers'!DC43</f>
        <v>0.10000273571583573</v>
      </c>
      <c r="CV575">
        <f>'Bookings and Drivers'!DD43</f>
        <v>8.9975815433211093E-2</v>
      </c>
      <c r="CW575">
        <f>'Bookings and Drivers'!DE43</f>
        <v>8.0939855796584137E-2</v>
      </c>
      <c r="CX575">
        <f>'Bookings and Drivers'!DF43</f>
        <v>8.1054725502588187E-2</v>
      </c>
    </row>
    <row r="576" spans="1:102">
      <c r="A576" t="str">
        <f>'Bookings and Drivers'!I44</f>
        <v>2 Year Growth Constant Currency</v>
      </c>
      <c r="B576">
        <f>'Bookings and Drivers'!J44</f>
        <v>0</v>
      </c>
      <c r="C576">
        <f>'Bookings and Drivers'!K44</f>
        <v>0</v>
      </c>
      <c r="D576">
        <f>'Bookings and Drivers'!L44</f>
        <v>0</v>
      </c>
      <c r="E576">
        <f>'Bookings and Drivers'!M44</f>
        <v>0</v>
      </c>
      <c r="F576">
        <f>'Bookings and Drivers'!N44</f>
        <v>0</v>
      </c>
      <c r="G576">
        <f>'Bookings and Drivers'!O44</f>
        <v>0</v>
      </c>
      <c r="H576">
        <f>'Bookings and Drivers'!P44</f>
        <v>0</v>
      </c>
      <c r="I576">
        <f>'Bookings and Drivers'!Q44</f>
        <v>0</v>
      </c>
      <c r="J576">
        <f>'Bookings and Drivers'!R44</f>
        <v>0</v>
      </c>
      <c r="K576">
        <f>'Bookings and Drivers'!S44</f>
        <v>0</v>
      </c>
      <c r="L576">
        <f>'Bookings and Drivers'!T44</f>
        <v>0</v>
      </c>
      <c r="M576">
        <f>'Bookings and Drivers'!U44</f>
        <v>0</v>
      </c>
      <c r="N576">
        <f>'Bookings and Drivers'!V44</f>
        <v>0</v>
      </c>
      <c r="O576">
        <f>'Bookings and Drivers'!W44</f>
        <v>0</v>
      </c>
      <c r="P576">
        <f>'Bookings and Drivers'!X44</f>
        <v>0</v>
      </c>
      <c r="Q576">
        <f>'Bookings and Drivers'!Y44</f>
        <v>0</v>
      </c>
      <c r="R576">
        <f>'Bookings and Drivers'!Z44</f>
        <v>0</v>
      </c>
      <c r="S576">
        <f>'Bookings and Drivers'!AA44</f>
        <v>0</v>
      </c>
      <c r="T576">
        <f>'Bookings and Drivers'!AB44</f>
        <v>0</v>
      </c>
      <c r="U576">
        <f>'Bookings and Drivers'!AC44</f>
        <v>0</v>
      </c>
      <c r="V576">
        <f>'Bookings and Drivers'!AD44</f>
        <v>0</v>
      </c>
      <c r="W576">
        <f>'Bookings and Drivers'!AE44</f>
        <v>0</v>
      </c>
      <c r="X576">
        <f>'Bookings and Drivers'!AF44</f>
        <v>0</v>
      </c>
      <c r="Y576">
        <f>'Bookings and Drivers'!AG44</f>
        <v>0</v>
      </c>
      <c r="Z576">
        <f>'Bookings and Drivers'!AH44</f>
        <v>0</v>
      </c>
      <c r="AA576">
        <f>'Bookings and Drivers'!AI44</f>
        <v>0</v>
      </c>
      <c r="AB576">
        <f>'Bookings and Drivers'!AJ44</f>
        <v>0</v>
      </c>
      <c r="AC576">
        <f>'Bookings and Drivers'!AK44</f>
        <v>3.883</v>
      </c>
      <c r="AD576">
        <f>'Bookings and Drivers'!AL44</f>
        <v>4.4110000000000005</v>
      </c>
      <c r="AE576">
        <f>'Bookings and Drivers'!AM44</f>
        <v>2.1819999999999999</v>
      </c>
      <c r="AF576">
        <f>'Bookings and Drivers'!AN44</f>
        <v>1.762</v>
      </c>
      <c r="AG576">
        <f>'Bookings and Drivers'!AO44</f>
        <v>1.4950000000000001</v>
      </c>
      <c r="AH576">
        <f>'Bookings and Drivers'!AP44</f>
        <v>1.3540000000000001</v>
      </c>
      <c r="AI576">
        <f>'Bookings and Drivers'!AQ44</f>
        <v>1.3109999999999999</v>
      </c>
      <c r="AJ576">
        <f>'Bookings and Drivers'!AR44</f>
        <v>1.175</v>
      </c>
      <c r="AK576">
        <f>'Bookings and Drivers'!AS44</f>
        <v>0.98499999999999999</v>
      </c>
      <c r="AL576">
        <f>'Bookings and Drivers'!AT44</f>
        <v>0.88200000000000012</v>
      </c>
      <c r="AM576">
        <f>'Bookings and Drivers'!AU44</f>
        <v>0.93199999999999994</v>
      </c>
      <c r="AN576">
        <f>'Bookings and Drivers'!AV44</f>
        <v>0.97099999999999997</v>
      </c>
      <c r="AO576">
        <f>'Bookings and Drivers'!AW44</f>
        <v>0.96299999999999997</v>
      </c>
      <c r="AP576">
        <f>'Bookings and Drivers'!AX44</f>
        <v>0.99500000000000011</v>
      </c>
      <c r="AQ576">
        <f>'Bookings and Drivers'!AY44</f>
        <v>1.2650000000000001</v>
      </c>
      <c r="AR576">
        <f>'Bookings and Drivers'!AZ44</f>
        <v>1.4049999999999998</v>
      </c>
      <c r="AS576">
        <f>'Bookings and Drivers'!BA44</f>
        <v>1.5089999999999999</v>
      </c>
      <c r="AT576">
        <f>'Bookings and Drivers'!BB44</f>
        <v>1.456</v>
      </c>
      <c r="AU576">
        <f>'Bookings and Drivers'!BC44</f>
        <v>1.3940000000000001</v>
      </c>
      <c r="AV576">
        <f>'Bookings and Drivers'!BD44</f>
        <v>1.379</v>
      </c>
      <c r="AW576">
        <f>'Bookings and Drivers'!BE44</f>
        <v>1.361</v>
      </c>
      <c r="AX576">
        <f>'Bookings and Drivers'!BF44</f>
        <v>1.228</v>
      </c>
      <c r="AY576">
        <f>'Bookings and Drivers'!BG44</f>
        <v>1.02</v>
      </c>
      <c r="AZ576">
        <f>'Bookings and Drivers'!BH44</f>
        <v>1.095</v>
      </c>
      <c r="BA576">
        <f>'Bookings and Drivers'!BI44</f>
        <v>1.01</v>
      </c>
      <c r="BB576">
        <f>'Bookings and Drivers'!BJ44</f>
        <v>0.88300000000000001</v>
      </c>
      <c r="BC576">
        <f>'Bookings and Drivers'!BK44</f>
        <v>0.81600000000000006</v>
      </c>
      <c r="BD576">
        <f>'Bookings and Drivers'!BL44</f>
        <v>0.84599999999999997</v>
      </c>
      <c r="BE576">
        <f>'Bookings and Drivers'!BM44</f>
        <v>0.81</v>
      </c>
      <c r="BF576">
        <f>'Bookings and Drivers'!BN44</f>
        <v>0.79</v>
      </c>
      <c r="BG576">
        <f>'Bookings and Drivers'!BO44</f>
        <v>0.73</v>
      </c>
      <c r="BH576">
        <f>'Bookings and Drivers'!BP44</f>
        <v>0.69</v>
      </c>
      <c r="BI576">
        <f>'Bookings and Drivers'!BQ44</f>
        <v>0.66999999999999993</v>
      </c>
      <c r="BJ576">
        <f>'Bookings and Drivers'!BR44</f>
        <v>0.64999999999999991</v>
      </c>
      <c r="BK576">
        <f>'Bookings and Drivers'!BS44</f>
        <v>0.57000000000000006</v>
      </c>
      <c r="BL576">
        <f>'Bookings and Drivers'!BT44</f>
        <v>0.56000000000000005</v>
      </c>
      <c r="BM576">
        <f>'Bookings and Drivers'!BU44</f>
        <v>0.58916568071516573</v>
      </c>
      <c r="BN576">
        <f>'Bookings and Drivers'!BV44</f>
        <v>0.53819975234218287</v>
      </c>
      <c r="BO576">
        <f>'Bookings and Drivers'!BW44</f>
        <v>0.53013469102857891</v>
      </c>
      <c r="BP576">
        <f>'Bookings and Drivers'!BX44</f>
        <v>0.59167296986840379</v>
      </c>
      <c r="BQ576">
        <f>'Bookings and Drivers'!BY44</f>
        <v>0.59683881725319787</v>
      </c>
      <c r="BR576">
        <f>'Bookings and Drivers'!BZ44</f>
        <v>0.44818731982366322</v>
      </c>
      <c r="BS576">
        <f>'Bookings and Drivers'!CA44</f>
        <v>0.45346819530010696</v>
      </c>
      <c r="BT576">
        <f>'Bookings and Drivers'!CB44</f>
        <v>0.4494386865970515</v>
      </c>
      <c r="BU576">
        <f>'Bookings and Drivers'!CC44</f>
        <v>0.44855546393593881</v>
      </c>
      <c r="BV576">
        <f>'Bookings and Drivers'!CD44</f>
        <v>0.39533132698210549</v>
      </c>
      <c r="BW576">
        <f>'Bookings and Drivers'!CE44</f>
        <v>0.32801069368157565</v>
      </c>
      <c r="BX576">
        <f>'Bookings and Drivers'!CF44</f>
        <v>0.34828550763774363</v>
      </c>
      <c r="BY576">
        <f>'Bookings and Drivers'!CG44</f>
        <v>0</v>
      </c>
      <c r="BZ576">
        <f>'Bookings and Drivers'!CH44</f>
        <v>0</v>
      </c>
      <c r="CA576">
        <f>'Bookings and Drivers'!CI44</f>
        <v>0</v>
      </c>
      <c r="CB576">
        <f>'Bookings and Drivers'!CJ44</f>
        <v>0</v>
      </c>
      <c r="CC576">
        <f>'Bookings and Drivers'!CK44</f>
        <v>0</v>
      </c>
      <c r="CD576">
        <f>'Bookings and Drivers'!CL44</f>
        <v>0</v>
      </c>
      <c r="CE576">
        <f>'Bookings and Drivers'!CM44</f>
        <v>0</v>
      </c>
      <c r="CF576">
        <f>'Bookings and Drivers'!CN44</f>
        <v>0</v>
      </c>
      <c r="CG576">
        <f>'Bookings and Drivers'!CO44</f>
        <v>0</v>
      </c>
      <c r="CH576">
        <f>'Bookings and Drivers'!CP44</f>
        <v>1.0166295029085786</v>
      </c>
      <c r="CI576">
        <f>'Bookings and Drivers'!CQ44</f>
        <v>1.1149458790000764</v>
      </c>
      <c r="CJ576">
        <f>'Bookings and Drivers'!CR44</f>
        <v>1.4891418781715062</v>
      </c>
      <c r="CK576">
        <f>'Bookings and Drivers'!CS44</f>
        <v>1.2310221005319866</v>
      </c>
      <c r="CL576">
        <f>'Bookings and Drivers'!CT44</f>
        <v>0.87400199039641058</v>
      </c>
      <c r="CM576">
        <f>'Bookings and Drivers'!CU44</f>
        <v>0.75818269296206298</v>
      </c>
      <c r="CN576">
        <f>'Bookings and Drivers'!CV44</f>
        <v>0.61285834272004869</v>
      </c>
      <c r="CO576">
        <f>'Bookings and Drivers'!CW44</f>
        <v>0.55794131480470399</v>
      </c>
      <c r="CP576">
        <f>'Bookings and Drivers'!CX44</f>
        <v>0.4628118803968515</v>
      </c>
      <c r="CQ576">
        <f>'Bookings and Drivers'!CY44</f>
        <v>0.35731855010793523</v>
      </c>
      <c r="CR576">
        <f>'Bookings and Drivers'!CZ44</f>
        <v>0.3277884039393324</v>
      </c>
      <c r="CS576">
        <f>'Bookings and Drivers'!DA44</f>
        <v>0.28788283926106017</v>
      </c>
      <c r="CT576">
        <f>'Bookings and Drivers'!DB44</f>
        <v>0.24639477249772024</v>
      </c>
      <c r="CU576">
        <f>'Bookings and Drivers'!DC44</f>
        <v>0.21363996631614879</v>
      </c>
      <c r="CV576">
        <f>'Bookings and Drivers'!DD44</f>
        <v>0.18997855114904683</v>
      </c>
      <c r="CW576">
        <f>'Bookings and Drivers'!DE44</f>
        <v>0.17091567122979523</v>
      </c>
      <c r="CX576">
        <f>'Bookings and Drivers'!DF44</f>
        <v>0.16199458129917232</v>
      </c>
    </row>
    <row r="577" spans="1:102">
      <c r="A577" t="str">
        <f>'Bookings and Drivers'!I46</f>
        <v>% of total gross bookings</v>
      </c>
      <c r="B577">
        <f>'Bookings and Drivers'!J46</f>
        <v>0</v>
      </c>
      <c r="C577">
        <f>'Bookings and Drivers'!K46</f>
        <v>0</v>
      </c>
      <c r="D577">
        <f>'Bookings and Drivers'!L46</f>
        <v>0</v>
      </c>
      <c r="E577">
        <f>'Bookings and Drivers'!M46</f>
        <v>0</v>
      </c>
      <c r="F577">
        <f>'Bookings and Drivers'!N46</f>
        <v>0</v>
      </c>
      <c r="G577">
        <f>'Bookings and Drivers'!O46</f>
        <v>0</v>
      </c>
      <c r="H577">
        <f>'Bookings and Drivers'!P46</f>
        <v>0</v>
      </c>
      <c r="I577">
        <f>'Bookings and Drivers'!Q46</f>
        <v>0</v>
      </c>
      <c r="J577">
        <f>'Bookings and Drivers'!R46</f>
        <v>0</v>
      </c>
      <c r="K577">
        <f>'Bookings and Drivers'!S46</f>
        <v>0</v>
      </c>
      <c r="L577">
        <f>'Bookings and Drivers'!T46</f>
        <v>0</v>
      </c>
      <c r="M577">
        <f>'Bookings and Drivers'!U46</f>
        <v>0</v>
      </c>
      <c r="N577">
        <f>'Bookings and Drivers'!V46</f>
        <v>0</v>
      </c>
      <c r="O577">
        <f>'Bookings and Drivers'!W46</f>
        <v>0</v>
      </c>
      <c r="P577">
        <f>'Bookings and Drivers'!X46</f>
        <v>0</v>
      </c>
      <c r="Q577">
        <f>'Bookings and Drivers'!Y46</f>
        <v>0</v>
      </c>
      <c r="R577">
        <f>'Bookings and Drivers'!Z46</f>
        <v>0</v>
      </c>
      <c r="S577">
        <f>'Bookings and Drivers'!AA46</f>
        <v>0</v>
      </c>
      <c r="T577">
        <f>'Bookings and Drivers'!AB46</f>
        <v>0</v>
      </c>
      <c r="U577">
        <f>'Bookings and Drivers'!AC46</f>
        <v>0</v>
      </c>
      <c r="V577">
        <f>'Bookings and Drivers'!AD46</f>
        <v>0</v>
      </c>
      <c r="W577">
        <f>'Bookings and Drivers'!AE46</f>
        <v>0</v>
      </c>
      <c r="X577">
        <f>'Bookings and Drivers'!AF46</f>
        <v>0</v>
      </c>
      <c r="Y577">
        <f>'Bookings and Drivers'!AG46</f>
        <v>0.36530038657188274</v>
      </c>
      <c r="Z577">
        <f>'Bookings and Drivers'!AH46</f>
        <v>0.38452903434517716</v>
      </c>
      <c r="AA577">
        <f>'Bookings and Drivers'!AI46</f>
        <v>0.44113166099773249</v>
      </c>
      <c r="AB577">
        <f>'Bookings and Drivers'!AJ46</f>
        <v>0.42986489944909151</v>
      </c>
      <c r="AC577">
        <f>'Bookings and Drivers'!AK46</f>
        <v>0.52046438075055257</v>
      </c>
      <c r="AD577">
        <f>'Bookings and Drivers'!AL46</f>
        <v>0.5564158064832202</v>
      </c>
      <c r="AE577">
        <f>'Bookings and Drivers'!AM46</f>
        <v>0.56697176854826004</v>
      </c>
      <c r="AF577">
        <f>'Bookings and Drivers'!AN46</f>
        <v>0.56396126873033225</v>
      </c>
      <c r="AG577">
        <f>'Bookings and Drivers'!AO46</f>
        <v>0.59003577821600217</v>
      </c>
      <c r="AH577">
        <f>'Bookings and Drivers'!AP46</f>
        <v>0.58658840312517035</v>
      </c>
      <c r="AI577">
        <f>'Bookings and Drivers'!AQ46</f>
        <v>0.61004366407582411</v>
      </c>
      <c r="AJ577">
        <f>'Bookings and Drivers'!AR46</f>
        <v>0.534861283372707</v>
      </c>
      <c r="AK577">
        <f>'Bookings and Drivers'!AS46</f>
        <v>0.56206832326259115</v>
      </c>
      <c r="AL577">
        <f>'Bookings and Drivers'!AT46</f>
        <v>0.59462301685708263</v>
      </c>
      <c r="AM577">
        <f>'Bookings and Drivers'!AU46</f>
        <v>0.63320914954426366</v>
      </c>
      <c r="AN577">
        <f>'Bookings and Drivers'!AV46</f>
        <v>0.63303162705005267</v>
      </c>
      <c r="AO577">
        <f>'Bookings and Drivers'!AW46</f>
        <v>0.66628944967357517</v>
      </c>
      <c r="AP577">
        <f>'Bookings and Drivers'!AX46</f>
        <v>0.66163692239119332</v>
      </c>
      <c r="AQ577">
        <f>'Bookings and Drivers'!AY46</f>
        <v>0.72016974538192713</v>
      </c>
      <c r="AR577">
        <f>'Bookings and Drivers'!AZ46</f>
        <v>0.72373660030627873</v>
      </c>
      <c r="AS577">
        <f>'Bookings and Drivers'!BA46</f>
        <v>0.75798499464094315</v>
      </c>
      <c r="AT577">
        <f>'Bookings and Drivers'!BB46</f>
        <v>0.77370242214532869</v>
      </c>
      <c r="AU577">
        <f>'Bookings and Drivers'!BC46</f>
        <v>0.79734697139204092</v>
      </c>
      <c r="AV577">
        <f>'Bookings and Drivers'!BD46</f>
        <v>0.78934624697336564</v>
      </c>
      <c r="AW577">
        <f>'Bookings and Drivers'!BE46</f>
        <v>0.81224854716137684</v>
      </c>
      <c r="AX577">
        <f>'Bookings and Drivers'!BF46</f>
        <v>0.81211625051166603</v>
      </c>
      <c r="AY577">
        <f>'Bookings and Drivers'!BG46</f>
        <v>0.82648110316649648</v>
      </c>
      <c r="AZ577">
        <f>'Bookings and Drivers'!BH46</f>
        <v>0.83444714459295266</v>
      </c>
      <c r="BA577">
        <f>'Bookings and Drivers'!BI46</f>
        <v>0.85032229869987985</v>
      </c>
      <c r="BB577">
        <f>'Bookings and Drivers'!BJ46</f>
        <v>0.84797864979737081</v>
      </c>
      <c r="BC577">
        <f>'Bookings and Drivers'!BK46</f>
        <v>0.85267069205759405</v>
      </c>
      <c r="BD577">
        <f>'Bookings and Drivers'!BL46</f>
        <v>0.8490751887928204</v>
      </c>
      <c r="BE577">
        <f>'Bookings and Drivers'!BM46</f>
        <v>0.86669381107491861</v>
      </c>
      <c r="BF577">
        <f>'Bookings and Drivers'!BN46</f>
        <v>0.86290441719604083</v>
      </c>
      <c r="BG577">
        <f>'Bookings and Drivers'!BO46</f>
        <v>0.87390580915864868</v>
      </c>
      <c r="BH577">
        <f>'Bookings and Drivers'!BP46</f>
        <v>0.86621634299652872</v>
      </c>
      <c r="BI577">
        <f>'Bookings and Drivers'!BQ46</f>
        <v>0.87862950058072009</v>
      </c>
      <c r="BJ577">
        <f>'Bookings and Drivers'!BR46</f>
        <v>0.87513368983957218</v>
      </c>
      <c r="BK577">
        <f>'Bookings and Drivers'!BS46</f>
        <v>0.88496413587765599</v>
      </c>
      <c r="BL577">
        <f>'Bookings and Drivers'!BT46</f>
        <v>0.89037789245879806</v>
      </c>
      <c r="BM577">
        <f>'Bookings and Drivers'!BU46</f>
        <v>0.90147720426017175</v>
      </c>
      <c r="BN577">
        <f>'Bookings and Drivers'!BV46</f>
        <v>0.89393771656936516</v>
      </c>
      <c r="BO577">
        <f>'Bookings and Drivers'!BW46</f>
        <v>0.89811989817690152</v>
      </c>
      <c r="BP577">
        <f>'Bookings and Drivers'!BX46</f>
        <v>0.90319872072525142</v>
      </c>
      <c r="BQ577">
        <f>'Bookings and Drivers'!BY46</f>
        <v>0.91847487984239928</v>
      </c>
      <c r="BR577">
        <f>'Bookings and Drivers'!BZ46</f>
        <v>0.90615068376869734</v>
      </c>
      <c r="BS577">
        <f>'Bookings and Drivers'!CA46</f>
        <v>0.91035262200044842</v>
      </c>
      <c r="BT577">
        <f>'Bookings and Drivers'!CB46</f>
        <v>0.91496665612235817</v>
      </c>
      <c r="BU577">
        <f>'Bookings and Drivers'!CC46</f>
        <v>0.92955710003706937</v>
      </c>
      <c r="BV577">
        <f>'Bookings and Drivers'!CD46</f>
        <v>0.91905242618831229</v>
      </c>
      <c r="BW577">
        <f>'Bookings and Drivers'!CE46</f>
        <v>0.91792666865603889</v>
      </c>
      <c r="BX577">
        <f>'Bookings and Drivers'!CF46</f>
        <v>0.92720774198283629</v>
      </c>
      <c r="BY577">
        <f>'Bookings and Drivers'!CG46</f>
        <v>0</v>
      </c>
      <c r="BZ577">
        <f>'Bookings and Drivers'!CH46</f>
        <v>0</v>
      </c>
      <c r="CA577">
        <f>'Bookings and Drivers'!CI46</f>
        <v>0</v>
      </c>
      <c r="CB577">
        <f>'Bookings and Drivers'!CJ46</f>
        <v>0</v>
      </c>
      <c r="CC577">
        <f>'Bookings and Drivers'!CK46</f>
        <v>0</v>
      </c>
      <c r="CD577">
        <f>'Bookings and Drivers'!CL46</f>
        <v>0</v>
      </c>
      <c r="CE577">
        <f>'Bookings and Drivers'!CM46</f>
        <v>0.40574121718238343</v>
      </c>
      <c r="CF577">
        <f>'Bookings and Drivers'!CN46</f>
        <v>0.55390568963203834</v>
      </c>
      <c r="CG577">
        <f>'Bookings and Drivers'!CO46</f>
        <v>0.58355361138209028</v>
      </c>
      <c r="CH577">
        <f>'Bookings and Drivers'!CP46</f>
        <v>0.6084538427348819</v>
      </c>
      <c r="CI577">
        <f>'Bookings and Drivers'!CQ46</f>
        <v>0.69468949407788072</v>
      </c>
      <c r="CJ577">
        <f>'Bookings and Drivers'!CR46</f>
        <v>0.78072767568565893</v>
      </c>
      <c r="CK577">
        <f>'Bookings and Drivers'!CS46</f>
        <v>0.82126792240652235</v>
      </c>
      <c r="CL577">
        <f>'Bookings and Drivers'!CT46</f>
        <v>0.85007147962830598</v>
      </c>
      <c r="CM577">
        <f>'Bookings and Drivers'!CU46</f>
        <v>0.8675546719681908</v>
      </c>
      <c r="CN577">
        <f>'Bookings and Drivers'!CV46</f>
        <v>0.88191543005330642</v>
      </c>
      <c r="CO577">
        <f>'Bookings and Drivers'!CW46</f>
        <v>0.89897113639684878</v>
      </c>
      <c r="CP577">
        <f>'Bookings and Drivers'!CX46</f>
        <v>0.91236672797738494</v>
      </c>
      <c r="CQ577">
        <f>'Bookings and Drivers'!CY46</f>
        <v>0.92331848261877714</v>
      </c>
      <c r="CR577">
        <f>'Bookings and Drivers'!CZ46</f>
        <v>0.93077696630922102</v>
      </c>
      <c r="CS577">
        <f>'Bookings and Drivers'!DA46</f>
        <v>0.9368897892522553</v>
      </c>
      <c r="CT577">
        <f>'Bookings and Drivers'!DB46</f>
        <v>0.94197542553818425</v>
      </c>
      <c r="CU577">
        <f>'Bookings and Drivers'!DC46</f>
        <v>0.94603975891961112</v>
      </c>
      <c r="CV577">
        <f>'Bookings and Drivers'!DD46</f>
        <v>0.94938852169604671</v>
      </c>
      <c r="CW577">
        <f>'Bookings and Drivers'!DE46</f>
        <v>0.95215549150660561</v>
      </c>
      <c r="CX577">
        <f>'Bookings and Drivers'!DF46</f>
        <v>0.95477741819267747</v>
      </c>
    </row>
    <row r="578" spans="1:102">
      <c r="A578" t="str">
        <f>'Bookings and Drivers'!I48</f>
        <v>% change Q/Q</v>
      </c>
      <c r="B578">
        <f>'Bookings and Drivers'!J48</f>
        <v>0</v>
      </c>
      <c r="C578">
        <f>'Bookings and Drivers'!K48</f>
        <v>0</v>
      </c>
      <c r="D578">
        <f>'Bookings and Drivers'!L48</f>
        <v>0</v>
      </c>
      <c r="E578">
        <f>'Bookings and Drivers'!M48</f>
        <v>0</v>
      </c>
      <c r="F578">
        <f>'Bookings and Drivers'!N48</f>
        <v>0</v>
      </c>
      <c r="G578">
        <f>'Bookings and Drivers'!O48</f>
        <v>0</v>
      </c>
      <c r="H578">
        <f>'Bookings and Drivers'!P48</f>
        <v>0</v>
      </c>
      <c r="I578">
        <f>'Bookings and Drivers'!Q48</f>
        <v>0</v>
      </c>
      <c r="J578">
        <f>'Bookings and Drivers'!R48</f>
        <v>0</v>
      </c>
      <c r="K578">
        <f>'Bookings and Drivers'!S48</f>
        <v>0</v>
      </c>
      <c r="L578">
        <f>'Bookings and Drivers'!T48</f>
        <v>0</v>
      </c>
      <c r="M578">
        <f>'Bookings and Drivers'!U48</f>
        <v>0</v>
      </c>
      <c r="N578">
        <f>'Bookings and Drivers'!V48</f>
        <v>0</v>
      </c>
      <c r="O578">
        <f>'Bookings and Drivers'!W48</f>
        <v>0</v>
      </c>
      <c r="P578">
        <f>'Bookings and Drivers'!X48</f>
        <v>0</v>
      </c>
      <c r="Q578">
        <f>'Bookings and Drivers'!Y48</f>
        <v>0</v>
      </c>
      <c r="R578">
        <f>'Bookings and Drivers'!Z48</f>
        <v>0</v>
      </c>
      <c r="S578">
        <f>'Bookings and Drivers'!AA48</f>
        <v>0</v>
      </c>
      <c r="T578">
        <f>'Bookings and Drivers'!AB48</f>
        <v>0</v>
      </c>
      <c r="U578">
        <f>'Bookings and Drivers'!AC48</f>
        <v>0</v>
      </c>
      <c r="V578">
        <f>'Bookings and Drivers'!AD48</f>
        <v>0</v>
      </c>
      <c r="W578">
        <f>'Bookings and Drivers'!AE48</f>
        <v>0</v>
      </c>
      <c r="X578">
        <f>'Bookings and Drivers'!AF48</f>
        <v>0</v>
      </c>
      <c r="Y578">
        <f>'Bookings and Drivers'!AG48</f>
        <v>0</v>
      </c>
      <c r="Z578">
        <f>'Bookings and Drivers'!AH48</f>
        <v>0</v>
      </c>
      <c r="AA578">
        <f>'Bookings and Drivers'!AI48</f>
        <v>0</v>
      </c>
      <c r="AB578">
        <f>'Bookings and Drivers'!AJ48</f>
        <v>0</v>
      </c>
      <c r="AC578">
        <f>'Bookings and Drivers'!AK48</f>
        <v>0</v>
      </c>
      <c r="AD578">
        <f>'Bookings and Drivers'!AL48</f>
        <v>0</v>
      </c>
      <c r="AE578">
        <f>'Bookings and Drivers'!AM48</f>
        <v>0</v>
      </c>
      <c r="AF578">
        <f>'Bookings and Drivers'!AN48</f>
        <v>0</v>
      </c>
      <c r="AG578">
        <f>'Bookings and Drivers'!AO48</f>
        <v>0</v>
      </c>
      <c r="AH578">
        <f>'Bookings and Drivers'!AP48</f>
        <v>0</v>
      </c>
      <c r="AI578">
        <f>'Bookings and Drivers'!AQ48</f>
        <v>0</v>
      </c>
      <c r="AJ578">
        <f>'Bookings and Drivers'!AR48</f>
        <v>0</v>
      </c>
      <c r="AK578">
        <f>'Bookings and Drivers'!AS48</f>
        <v>0</v>
      </c>
      <c r="AL578">
        <f>'Bookings and Drivers'!AT48</f>
        <v>0</v>
      </c>
      <c r="AM578">
        <f>'Bookings and Drivers'!AU48</f>
        <v>0</v>
      </c>
      <c r="AN578">
        <f>'Bookings and Drivers'!AV48</f>
        <v>0</v>
      </c>
      <c r="AO578">
        <f>'Bookings and Drivers'!AW48</f>
        <v>0.44447371783584</v>
      </c>
      <c r="AP578">
        <f>'Bookings and Drivers'!AX48</f>
        <v>0.19362351689614754</v>
      </c>
      <c r="AQ578">
        <f>'Bookings and Drivers'!AY48</f>
        <v>0.41668629238531874</v>
      </c>
      <c r="AR578">
        <f>'Bookings and Drivers'!AZ48</f>
        <v>-0.24319778098841294</v>
      </c>
      <c r="AS578">
        <f>'Bookings and Drivers'!BA48</f>
        <v>0.51581685293947355</v>
      </c>
      <c r="AT578">
        <f>'Bookings and Drivers'!BB48</f>
        <v>0.14808145363310632</v>
      </c>
      <c r="AU578">
        <f>'Bookings and Drivers'!BC48</f>
        <v>1.0936958350726833E-4</v>
      </c>
      <c r="AV578">
        <f>'Bookings and Drivers'!BD48</f>
        <v>-0.10756693895754177</v>
      </c>
      <c r="AW578">
        <f>'Bookings and Drivers'!BE48</f>
        <v>0.2973298491251839</v>
      </c>
      <c r="AX578">
        <f>'Bookings and Drivers'!BF48</f>
        <v>-3.4026369168356885E-2</v>
      </c>
      <c r="AY578">
        <f>'Bookings and Drivers'!BG48</f>
        <v>2.2431017981965562E-2</v>
      </c>
      <c r="AZ578">
        <f>'Bookings and Drivers'!BH48</f>
        <v>-0.17724807384126862</v>
      </c>
      <c r="BA578">
        <f>'Bookings and Drivers'!BI48</f>
        <v>0.40648852213485398</v>
      </c>
      <c r="BB578">
        <f>'Bookings and Drivers'!BJ48</f>
        <v>0.11730299113028142</v>
      </c>
      <c r="BC578">
        <f>'Bookings and Drivers'!BK48</f>
        <v>1.3383583822091705E-2</v>
      </c>
      <c r="BD578">
        <f>'Bookings and Drivers'!BL48</f>
        <v>-0.13054225243318396</v>
      </c>
      <c r="BE578">
        <f>'Bookings and Drivers'!BM48</f>
        <v>0.28171858477646605</v>
      </c>
      <c r="BF578">
        <f>'Bookings and Drivers'!BN48</f>
        <v>1.5252540963097694E-2</v>
      </c>
      <c r="BG578">
        <f>'Bookings and Drivers'!BO48</f>
        <v>-2.1770769153913849E-2</v>
      </c>
      <c r="BH578">
        <f>'Bookings and Drivers'!BP48</f>
        <v>-0.28687084649743977</v>
      </c>
      <c r="BI578">
        <f>'Bookings and Drivers'!BQ48</f>
        <v>0.47349450507480895</v>
      </c>
      <c r="BJ578">
        <f>'Bookings and Drivers'!BR48</f>
        <v>0.13547191451723162</v>
      </c>
      <c r="BK578">
        <f>'Bookings and Drivers'!BS48</f>
        <v>-0.13827540946185013</v>
      </c>
      <c r="BL578">
        <f>'Bookings and Drivers'!BT48</f>
        <v>-0.11338741721854317</v>
      </c>
      <c r="BM578">
        <f>'Bookings and Drivers'!BU48</f>
        <v>0.35238346686598931</v>
      </c>
      <c r="BN578">
        <f>'Bookings and Drivers'!BV48</f>
        <v>-0.13879485446032147</v>
      </c>
      <c r="BO578">
        <f>'Bookings and Drivers'!BW48</f>
        <v>0.17479184907461964</v>
      </c>
      <c r="BP578">
        <f>'Bookings and Drivers'!BX48</f>
        <v>-0.11917391448495906</v>
      </c>
      <c r="BQ578">
        <f>'Bookings and Drivers'!BY48</f>
        <v>0.38480454480402848</v>
      </c>
      <c r="BR578">
        <f>'Bookings and Drivers'!BZ48</f>
        <v>-0.24968426517278253</v>
      </c>
      <c r="BS578">
        <f>'Bookings and Drivers'!CA48</f>
        <v>-0.14292741536720965</v>
      </c>
      <c r="BT578">
        <f>'Bookings and Drivers'!CB48</f>
        <v>-0.29817245208339516</v>
      </c>
      <c r="BU578">
        <f>'Bookings and Drivers'!CC48</f>
        <v>0.42142591320709877</v>
      </c>
      <c r="BV578">
        <f>'Bookings and Drivers'!CD48</f>
        <v>0.21836078031896866</v>
      </c>
      <c r="BW578">
        <f>'Bookings and Drivers'!CE48</f>
        <v>-0.12268482162860472</v>
      </c>
      <c r="BX578">
        <f>'Bookings and Drivers'!CF48</f>
        <v>7.6508522877015928E-2</v>
      </c>
      <c r="BY578">
        <f>'Bookings and Drivers'!CG48</f>
        <v>0</v>
      </c>
      <c r="BZ578">
        <f>'Bookings and Drivers'!CH48</f>
        <v>0</v>
      </c>
      <c r="CA578">
        <f>'Bookings and Drivers'!CI48</f>
        <v>0</v>
      </c>
      <c r="CB578">
        <f>'Bookings and Drivers'!CJ48</f>
        <v>0</v>
      </c>
      <c r="CC578">
        <f>'Bookings and Drivers'!CK48</f>
        <v>0</v>
      </c>
      <c r="CD578">
        <f>'Bookings and Drivers'!CL48</f>
        <v>0</v>
      </c>
      <c r="CE578">
        <f>'Bookings and Drivers'!CM48</f>
        <v>0</v>
      </c>
      <c r="CF578">
        <f>'Bookings and Drivers'!CN48</f>
        <v>0</v>
      </c>
      <c r="CG578">
        <f>'Bookings and Drivers'!CO48</f>
        <v>0</v>
      </c>
      <c r="CH578">
        <f>'Bookings and Drivers'!CP48</f>
        <v>0</v>
      </c>
      <c r="CI578">
        <f>'Bookings and Drivers'!CQ48</f>
        <v>0</v>
      </c>
      <c r="CJ578">
        <f>'Bookings and Drivers'!CR48</f>
        <v>0</v>
      </c>
      <c r="CK578">
        <f>'Bookings and Drivers'!CS48</f>
        <v>0</v>
      </c>
      <c r="CL578">
        <f>'Bookings and Drivers'!CT48</f>
        <v>0</v>
      </c>
      <c r="CM578">
        <f>'Bookings and Drivers'!CU48</f>
        <v>0</v>
      </c>
      <c r="CN578">
        <f>'Bookings and Drivers'!CV48</f>
        <v>0</v>
      </c>
      <c r="CO578">
        <f>'Bookings and Drivers'!CW48</f>
        <v>0</v>
      </c>
      <c r="CP578">
        <f>'Bookings and Drivers'!CX48</f>
        <v>0</v>
      </c>
      <c r="CQ578">
        <f>'Bookings and Drivers'!CY48</f>
        <v>0</v>
      </c>
      <c r="CR578">
        <f>'Bookings and Drivers'!CZ48</f>
        <v>0</v>
      </c>
      <c r="CS578">
        <f>'Bookings and Drivers'!DA48</f>
        <v>0</v>
      </c>
      <c r="CT578">
        <f>'Bookings and Drivers'!DB48</f>
        <v>0</v>
      </c>
      <c r="CU578">
        <f>'Bookings and Drivers'!DC48</f>
        <v>0</v>
      </c>
      <c r="CV578">
        <f>'Bookings and Drivers'!DD48</f>
        <v>0</v>
      </c>
      <c r="CW578">
        <f>'Bookings and Drivers'!DE48</f>
        <v>0</v>
      </c>
      <c r="CX578">
        <f>'Bookings and Drivers'!DF48</f>
        <v>0</v>
      </c>
    </row>
    <row r="579" spans="1:102">
      <c r="A579" t="str">
        <f>'Bookings and Drivers'!I25</f>
        <v>International Agency Bookings BOOKING.COM</v>
      </c>
      <c r="B579">
        <f>'Bookings and Drivers'!J25</f>
        <v>0</v>
      </c>
      <c r="C579">
        <f>'Bookings and Drivers'!K25</f>
        <v>0</v>
      </c>
      <c r="D579">
        <f>'Bookings and Drivers'!L25</f>
        <v>0</v>
      </c>
      <c r="E579">
        <f>'Bookings and Drivers'!M25</f>
        <v>0</v>
      </c>
      <c r="F579">
        <f>'Bookings and Drivers'!N25</f>
        <v>0</v>
      </c>
      <c r="G579">
        <f>'Bookings and Drivers'!O25</f>
        <v>0</v>
      </c>
      <c r="H579">
        <f>'Bookings and Drivers'!P25</f>
        <v>0</v>
      </c>
      <c r="I579">
        <f>'Bookings and Drivers'!Q25</f>
        <v>0</v>
      </c>
      <c r="J579">
        <f>'Bookings and Drivers'!R25</f>
        <v>0</v>
      </c>
      <c r="K579">
        <f>'Bookings and Drivers'!S25</f>
        <v>0</v>
      </c>
      <c r="L579">
        <f>'Bookings and Drivers'!T25</f>
        <v>0</v>
      </c>
      <c r="M579">
        <f>'Bookings and Drivers'!U25</f>
        <v>0</v>
      </c>
      <c r="N579">
        <f>'Bookings and Drivers'!V25</f>
        <v>0</v>
      </c>
      <c r="O579">
        <f>'Bookings and Drivers'!W25</f>
        <v>0</v>
      </c>
      <c r="P579">
        <f>'Bookings and Drivers'!X25</f>
        <v>0</v>
      </c>
      <c r="Q579">
        <f>'Bookings and Drivers'!Y25</f>
        <v>0</v>
      </c>
      <c r="R579">
        <f>'Bookings and Drivers'!Z25</f>
        <v>0</v>
      </c>
      <c r="S579">
        <f>'Bookings and Drivers'!AA25</f>
        <v>0</v>
      </c>
      <c r="T579">
        <f>'Bookings and Drivers'!AB25</f>
        <v>0</v>
      </c>
      <c r="U579">
        <f>'Bookings and Drivers'!AC25</f>
        <v>0</v>
      </c>
      <c r="V579">
        <f>'Bookings and Drivers'!AD25</f>
        <v>0</v>
      </c>
      <c r="W579">
        <f>'Bookings and Drivers'!AE25</f>
        <v>0</v>
      </c>
      <c r="X579">
        <f>'Bookings and Drivers'!AF25</f>
        <v>0</v>
      </c>
      <c r="Y579">
        <f>'Bookings and Drivers'!AG25</f>
        <v>272.81400000000002</v>
      </c>
      <c r="Z579">
        <f>'Bookings and Drivers'!AH25</f>
        <v>356.59300000000002</v>
      </c>
      <c r="AA579">
        <f>'Bookings and Drivers'!AI25</f>
        <v>398.416</v>
      </c>
      <c r="AB579">
        <f>'Bookings and Drivers'!AJ25</f>
        <v>319.13600000000002</v>
      </c>
      <c r="AC579">
        <f>'Bookings and Drivers'!AK25</f>
        <v>519.67899999999997</v>
      </c>
      <c r="AD579">
        <f>'Bookings and Drivers'!AL25</f>
        <v>687.12400000000002</v>
      </c>
      <c r="AE579">
        <f>'Bookings and Drivers'!AM25</f>
        <v>788.47799999999995</v>
      </c>
      <c r="AF579">
        <f>'Bookings and Drivers'!AN25</f>
        <v>666.36</v>
      </c>
      <c r="AG579">
        <f>'Bookings and Drivers'!AO25</f>
        <v>1013.044</v>
      </c>
      <c r="AH579">
        <f>'Bookings and Drivers'!AP25</f>
        <v>1213.481</v>
      </c>
      <c r="AI579">
        <f>'Bookings and Drivers'!AQ25</f>
        <v>1218.4499999999998</v>
      </c>
      <c r="AJ579">
        <f>'Bookings and Drivers'!AR25</f>
        <v>754.69</v>
      </c>
      <c r="AK579">
        <f>'Bookings and Drivers'!AS25</f>
        <v>1034.617</v>
      </c>
      <c r="AL579">
        <f>'Bookings and Drivers'!AT25</f>
        <v>1357.8440000000001</v>
      </c>
      <c r="AM579">
        <f>'Bookings and Drivers'!AU25</f>
        <v>1646.3710000000001</v>
      </c>
      <c r="AN579">
        <f>'Bookings and Drivers'!AV25</f>
        <v>1350.971</v>
      </c>
      <c r="AO579">
        <f>'Bookings and Drivers'!AW25</f>
        <v>1818.1017999999999</v>
      </c>
      <c r="AP579">
        <f>'Bookings and Drivers'!AX25</f>
        <v>2058.8519999999999</v>
      </c>
      <c r="AQ579">
        <f>'Bookings and Drivers'!AY25</f>
        <v>2593.136</v>
      </c>
      <c r="AR579">
        <f>'Bookings and Drivers'!AZ25</f>
        <v>2092.6750000000002</v>
      </c>
      <c r="AS579">
        <f>'Bookings and Drivers'!BA25</f>
        <v>3094.3649600000003</v>
      </c>
      <c r="AT579">
        <f>'Bookings and Drivers'!BB25</f>
        <v>3980.4500499999999</v>
      </c>
      <c r="AU579">
        <f>'Bookings and Drivers'!BC25</f>
        <v>4396.692</v>
      </c>
      <c r="AV579">
        <f>'Bookings and Drivers'!BD25</f>
        <v>3365.85</v>
      </c>
      <c r="AW579">
        <f>'Bookings and Drivers'!BE25</f>
        <v>4700.2204320000001</v>
      </c>
      <c r="AX579">
        <f>'Bookings and Drivers'!BF25</f>
        <v>5126.3650850000004</v>
      </c>
      <c r="AY579">
        <f>'Bookings and Drivers'!BG25</f>
        <v>5492.3369600000005</v>
      </c>
      <c r="AZ579">
        <f>'Bookings and Drivers'!BH25</f>
        <v>4631.71</v>
      </c>
      <c r="BA579">
        <f>'Bookings and Drivers'!BI25</f>
        <v>6708.3850220800005</v>
      </c>
      <c r="BB579">
        <f>'Bookings and Drivers'!BJ25</f>
        <v>7356.5476275000001</v>
      </c>
      <c r="BC579">
        <f>'Bookings and Drivers'!BK25</f>
        <v>7785.3004928000009</v>
      </c>
      <c r="BD579">
        <f>'Bookings and Drivers'!BL25</f>
        <v>6602.5709999999999</v>
      </c>
      <c r="BE579">
        <f>'Bookings and Drivers'!BM25</f>
        <v>9259.6664887039988</v>
      </c>
      <c r="BF579">
        <f>'Bookings and Drivers'!BN25</f>
        <v>10115.21191575</v>
      </c>
      <c r="BG579">
        <f>'Bookings and Drivers'!BO25</f>
        <v>10276.262704639999</v>
      </c>
      <c r="BH579">
        <f>'Bookings and Drivers'!BP25</f>
        <v>7753.4647999999997</v>
      </c>
      <c r="BI579">
        <f>'Bookings and Drivers'!BQ25</f>
        <v>10443.9997864448</v>
      </c>
      <c r="BJ579">
        <f>'Bookings and Drivers'!BR25</f>
        <v>11211.8542989</v>
      </c>
      <c r="BK579">
        <f>'Bookings and Drivers'!BS25</f>
        <v>11273.822200576</v>
      </c>
      <c r="BL579">
        <f>'Bookings and Drivers'!BT25</f>
        <v>9055.9977799999997</v>
      </c>
      <c r="BM579">
        <f>'Bookings and Drivers'!BU25</f>
        <v>12941.726138473983</v>
      </c>
      <c r="BN579">
        <f>'Bookings and Drivers'!BV25</f>
        <v>13659.266166986999</v>
      </c>
      <c r="BO579">
        <f>'Bookings and Drivers'!BW25</f>
        <v>14373.26815628288</v>
      </c>
      <c r="BP579">
        <f>'Bookings and Drivers'!BX25</f>
        <v>11598.385905999998</v>
      </c>
      <c r="BQ579">
        <f>'Bookings and Drivers'!BY25</f>
        <v>16469.210514955394</v>
      </c>
      <c r="BR579">
        <f>'Bookings and Drivers'!BZ25</f>
        <v>16014.094192368852</v>
      </c>
      <c r="BS579">
        <f>'Bookings and Drivers'!CA25</f>
        <v>17162.050845055357</v>
      </c>
      <c r="BT579">
        <f>'Bookings and Drivers'!CB25</f>
        <v>13939.875189079999</v>
      </c>
      <c r="BU579">
        <f>'Bookings and Drivers'!CC25</f>
        <v>20259.534066943394</v>
      </c>
      <c r="BV579">
        <f>'Bookings and Drivers'!CD25</f>
        <v>19839.416289284698</v>
      </c>
      <c r="BW579">
        <f>'Bookings and Drivers'!CE25</f>
        <v>19810.211240681154</v>
      </c>
      <c r="BX579">
        <f>'Bookings and Drivers'!CF25</f>
        <v>17553.571726699396</v>
      </c>
      <c r="BY579">
        <f>'Bookings and Drivers'!CG25</f>
        <v>0</v>
      </c>
      <c r="BZ579">
        <f>'Bookings and Drivers'!CH25</f>
        <v>0</v>
      </c>
      <c r="CA579">
        <f>'Bookings and Drivers'!CI25</f>
        <v>0</v>
      </c>
      <c r="CB579">
        <f>'Bookings and Drivers'!CJ25</f>
        <v>0</v>
      </c>
      <c r="CC579">
        <f>'Bookings and Drivers'!CK25</f>
        <v>0</v>
      </c>
      <c r="CD579">
        <f>'Bookings and Drivers'!CL25</f>
        <v>472.61719298245617</v>
      </c>
      <c r="CE579">
        <f>'Bookings and Drivers'!CM25</f>
        <v>1346.9590000000001</v>
      </c>
      <c r="CF579">
        <f>'Bookings and Drivers'!CN25</f>
        <v>2661.6410000000001</v>
      </c>
      <c r="CG579">
        <f>'Bookings and Drivers'!CO25</f>
        <v>4199.665</v>
      </c>
      <c r="CH579">
        <f>'Bookings and Drivers'!CP25</f>
        <v>5389.8030000000008</v>
      </c>
      <c r="CI579">
        <f>'Bookings and Drivers'!CQ25</f>
        <v>8562.7648000000008</v>
      </c>
      <c r="CJ579">
        <f>'Bookings and Drivers'!CR25</f>
        <v>14837.357010000002</v>
      </c>
      <c r="CK579">
        <f>'Bookings and Drivers'!CS25</f>
        <v>19950.632476999999</v>
      </c>
      <c r="CL579">
        <f>'Bookings and Drivers'!CT25</f>
        <v>28452.804142380002</v>
      </c>
      <c r="CM579">
        <f>'Bookings and Drivers'!CU25</f>
        <v>37404.605909094003</v>
      </c>
      <c r="CN579">
        <f>'Bookings and Drivers'!CV25</f>
        <v>41985.674065920794</v>
      </c>
      <c r="CO579">
        <f>'Bookings and Drivers'!CW25</f>
        <v>52572.646367743859</v>
      </c>
      <c r="CP579">
        <f>'Bookings and Drivers'!CX25</f>
        <v>63585.2307414596</v>
      </c>
      <c r="CQ579">
        <f>'Bookings and Drivers'!CY25</f>
        <v>77462.733323608642</v>
      </c>
      <c r="CR579">
        <f>'Bookings and Drivers'!CZ25</f>
        <v>90008.38687340969</v>
      </c>
      <c r="CS579">
        <f>'Bookings and Drivers'!DA25</f>
        <v>102451.01707138239</v>
      </c>
      <c r="CT579">
        <f>'Bookings and Drivers'!DB25</f>
        <v>114551.58423561105</v>
      </c>
      <c r="CU579">
        <f>'Bookings and Drivers'!DC25</f>
        <v>126502.75271608696</v>
      </c>
      <c r="CV579">
        <f>'Bookings and Drivers'!DD25</f>
        <v>138260.43544710946</v>
      </c>
      <c r="CW579">
        <f>'Bookings and Drivers'!DE25</f>
        <v>149701.24736258807</v>
      </c>
      <c r="CX579">
        <f>'Bookings and Drivers'!DF25</f>
        <v>162088.49879497199</v>
      </c>
    </row>
    <row r="580" spans="1:102">
      <c r="A580" t="str">
        <f>'Bookings and Drivers'!I26</f>
        <v>% change Y/Y</v>
      </c>
      <c r="B580">
        <f>'Bookings and Drivers'!J26</f>
        <v>0</v>
      </c>
      <c r="C580">
        <f>'Bookings and Drivers'!K26</f>
        <v>0</v>
      </c>
      <c r="D580">
        <f>'Bookings and Drivers'!L26</f>
        <v>0</v>
      </c>
      <c r="E580">
        <f>'Bookings and Drivers'!M26</f>
        <v>0</v>
      </c>
      <c r="F580">
        <f>'Bookings and Drivers'!N26</f>
        <v>0</v>
      </c>
      <c r="G580">
        <f>'Bookings and Drivers'!O26</f>
        <v>0</v>
      </c>
      <c r="H580">
        <f>'Bookings and Drivers'!P26</f>
        <v>0</v>
      </c>
      <c r="I580">
        <f>'Bookings and Drivers'!Q26</f>
        <v>0</v>
      </c>
      <c r="J580">
        <f>'Bookings and Drivers'!R26</f>
        <v>0</v>
      </c>
      <c r="K580">
        <f>'Bookings and Drivers'!S26</f>
        <v>0</v>
      </c>
      <c r="L580">
        <f>'Bookings and Drivers'!T26</f>
        <v>0</v>
      </c>
      <c r="M580">
        <f>'Bookings and Drivers'!U26</f>
        <v>0</v>
      </c>
      <c r="N580">
        <f>'Bookings and Drivers'!V26</f>
        <v>0</v>
      </c>
      <c r="O580">
        <f>'Bookings and Drivers'!W26</f>
        <v>0</v>
      </c>
      <c r="P580">
        <f>'Bookings and Drivers'!X26</f>
        <v>0</v>
      </c>
      <c r="Q580">
        <f>'Bookings and Drivers'!Y26</f>
        <v>0</v>
      </c>
      <c r="R580">
        <f>'Bookings and Drivers'!Z26</f>
        <v>0</v>
      </c>
      <c r="S580">
        <f>'Bookings and Drivers'!AA26</f>
        <v>0</v>
      </c>
      <c r="T580">
        <f>'Bookings and Drivers'!AB26</f>
        <v>0</v>
      </c>
      <c r="U580">
        <f>'Bookings and Drivers'!AC26</f>
        <v>0</v>
      </c>
      <c r="V580">
        <f>'Bookings and Drivers'!AD26</f>
        <v>0</v>
      </c>
      <c r="W580">
        <f>'Bookings and Drivers'!AE26</f>
        <v>0</v>
      </c>
      <c r="X580">
        <f>'Bookings and Drivers'!AF26</f>
        <v>0</v>
      </c>
      <c r="Y580">
        <f>'Bookings and Drivers'!AG26</f>
        <v>0</v>
      </c>
      <c r="Z580">
        <f>'Bookings and Drivers'!AH26</f>
        <v>0</v>
      </c>
      <c r="AA580">
        <f>'Bookings and Drivers'!AI26</f>
        <v>0</v>
      </c>
      <c r="AB580">
        <f>'Bookings and Drivers'!AJ26</f>
        <v>0</v>
      </c>
      <c r="AC580">
        <f>'Bookings and Drivers'!AK26</f>
        <v>0.90488391358214737</v>
      </c>
      <c r="AD580">
        <f>'Bookings and Drivers'!AL26</f>
        <v>0.92691387660442004</v>
      </c>
      <c r="AE580">
        <f>'Bookings and Drivers'!AM26</f>
        <v>0.97903196658768721</v>
      </c>
      <c r="AF580">
        <f>'Bookings and Drivers'!AN26</f>
        <v>1.0880126341121024</v>
      </c>
      <c r="AG580">
        <f>'Bookings and Drivers'!AO26</f>
        <v>0.94936489640720523</v>
      </c>
      <c r="AH580">
        <f>'Bookings and Drivers'!AP26</f>
        <v>0.76602913011334195</v>
      </c>
      <c r="AI580">
        <f>'Bookings and Drivers'!AQ26</f>
        <v>0.54531895626764459</v>
      </c>
      <c r="AJ580">
        <f>'Bookings and Drivers'!AR26</f>
        <v>0.13255597574884459</v>
      </c>
      <c r="AK580">
        <f>'Bookings and Drivers'!AS26</f>
        <v>2.1295225084004166E-2</v>
      </c>
      <c r="AL580">
        <f>'Bookings and Drivers'!AT26</f>
        <v>0.1189660159491579</v>
      </c>
      <c r="AM580">
        <f>'Bookings and Drivers'!AU26</f>
        <v>0.35120111617218619</v>
      </c>
      <c r="AN580">
        <f>'Bookings and Drivers'!AV26</f>
        <v>0.79010057109541654</v>
      </c>
      <c r="AO580">
        <f>'Bookings and Drivers'!AW26</f>
        <v>0.75727037154811883</v>
      </c>
      <c r="AP580">
        <f>'Bookings and Drivers'!AX26</f>
        <v>0.51626549147030132</v>
      </c>
      <c r="AQ580">
        <f>'Bookings and Drivers'!AY26</f>
        <v>0.57506175704018103</v>
      </c>
      <c r="AR580">
        <f>'Bookings and Drivers'!AZ26</f>
        <v>0.54901548589866112</v>
      </c>
      <c r="AS580">
        <f>'Bookings and Drivers'!BA26</f>
        <v>0.7019756319475623</v>
      </c>
      <c r="AT580">
        <f>'Bookings and Drivers'!BB26</f>
        <v>0.93333471759990538</v>
      </c>
      <c r="AU580">
        <f>'Bookings and Drivers'!BC26</f>
        <v>0.69551153506796415</v>
      </c>
      <c r="AV580">
        <f>'Bookings and Drivers'!BD26</f>
        <v>0.60839595254877121</v>
      </c>
      <c r="AW580">
        <f>'Bookings and Drivers'!BE26</f>
        <v>0.51896123849592701</v>
      </c>
      <c r="AX580">
        <f>'Bookings and Drivers'!BF26</f>
        <v>0.28788579698418792</v>
      </c>
      <c r="AY580">
        <f>'Bookings and Drivers'!BG26</f>
        <v>0.24919756944539229</v>
      </c>
      <c r="AZ580">
        <f>'Bookings and Drivers'!BH26</f>
        <v>0.37608924937237265</v>
      </c>
      <c r="BA580">
        <f>'Bookings and Drivers'!BI26</f>
        <v>0.4272490235581361</v>
      </c>
      <c r="BB580">
        <f>'Bookings and Drivers'!BJ26</f>
        <v>0.43504169241196355</v>
      </c>
      <c r="BC580">
        <f>'Bookings and Drivers'!BK26</f>
        <v>0.41748413280164076</v>
      </c>
      <c r="BD580">
        <f>'Bookings and Drivers'!BL26</f>
        <v>0.42551476668444255</v>
      </c>
      <c r="BE580">
        <f>'Bookings and Drivers'!BM26</f>
        <v>0.38031231931779441</v>
      </c>
      <c r="BF580">
        <f>'Bookings and Drivers'!BN26</f>
        <v>0.37499441693786539</v>
      </c>
      <c r="BG580">
        <f>'Bookings and Drivers'!BO26</f>
        <v>0.31995710559196655</v>
      </c>
      <c r="BH580">
        <f>'Bookings and Drivers'!BP26</f>
        <v>0.17430994683737588</v>
      </c>
      <c r="BI580">
        <f>'Bookings and Drivers'!BQ26</f>
        <v>0.12790237090996603</v>
      </c>
      <c r="BJ580">
        <f>'Bookings and Drivers'!BR26</f>
        <v>0.10841516641311899</v>
      </c>
      <c r="BK580">
        <f>'Bookings and Drivers'!BS26</f>
        <v>9.7074152793464208E-2</v>
      </c>
      <c r="BL580">
        <f>'Bookings and Drivers'!BT26</f>
        <v>0.16799366652183689</v>
      </c>
      <c r="BM580">
        <f>'Bookings and Drivers'!BU26</f>
        <v>0.23915419409247463</v>
      </c>
      <c r="BN580">
        <f>'Bookings and Drivers'!BV26</f>
        <v>0.21828787663848925</v>
      </c>
      <c r="BO580">
        <f>'Bookings and Drivers'!BW26</f>
        <v>0.27492414733563253</v>
      </c>
      <c r="BP580">
        <f>'Bookings and Drivers'!BX26</f>
        <v>0.28074080711623117</v>
      </c>
      <c r="BQ580">
        <f>'Bookings and Drivers'!BY26</f>
        <v>0.27256676109029088</v>
      </c>
      <c r="BR580">
        <f>'Bookings and Drivers'!BZ26</f>
        <v>0.17239784309007922</v>
      </c>
      <c r="BS580">
        <f>'Bookings and Drivers'!CA26</f>
        <v>0.19402564945213507</v>
      </c>
      <c r="BT580">
        <f>'Bookings and Drivers'!CB26</f>
        <v>0.20188061529050505</v>
      </c>
      <c r="BU580">
        <f>'Bookings and Drivers'!CC26</f>
        <v>0.23014603818113044</v>
      </c>
      <c r="BV580">
        <f>'Bookings and Drivers'!CD26</f>
        <v>0.23887221162585126</v>
      </c>
      <c r="BW580">
        <f>'Bookings and Drivers'!CE26</f>
        <v>0.15430326011350637</v>
      </c>
      <c r="BX580">
        <f>'Bookings and Drivers'!CF26</f>
        <v>0.25923449733970627</v>
      </c>
      <c r="BY580">
        <f>'Bookings and Drivers'!CG26</f>
        <v>0</v>
      </c>
      <c r="BZ580">
        <f>'Bookings and Drivers'!CH26</f>
        <v>0</v>
      </c>
      <c r="CA580">
        <f>'Bookings and Drivers'!CI26</f>
        <v>0</v>
      </c>
      <c r="CB580">
        <f>'Bookings and Drivers'!CJ26</f>
        <v>0</v>
      </c>
      <c r="CC580">
        <f>'Bookings and Drivers'!CK26</f>
        <v>0</v>
      </c>
      <c r="CD580">
        <f>'Bookings and Drivers'!CL26</f>
        <v>0</v>
      </c>
      <c r="CE580">
        <f>'Bookings and Drivers'!CM26</f>
        <v>1.85</v>
      </c>
      <c r="CF580">
        <f>'Bookings and Drivers'!CN26</f>
        <v>0.97603713253335855</v>
      </c>
      <c r="CG580">
        <f>'Bookings and Drivers'!CO26</f>
        <v>0.57784802683757874</v>
      </c>
      <c r="CH580">
        <f>'Bookings and Drivers'!CP26</f>
        <v>0.28338879410619677</v>
      </c>
      <c r="CI580">
        <f>'Bookings and Drivers'!CQ26</f>
        <v>0.58869717501734287</v>
      </c>
      <c r="CJ580">
        <f>'Bookings and Drivers'!CR26</f>
        <v>0.73277642870676529</v>
      </c>
      <c r="CK580">
        <f>'Bookings and Drivers'!CS26</f>
        <v>0.34462171824495291</v>
      </c>
      <c r="CL580">
        <f>'Bookings and Drivers'!CT26</f>
        <v>0.42616050770228431</v>
      </c>
      <c r="CM580">
        <f>'Bookings and Drivers'!CU26</f>
        <v>0.314619315618893</v>
      </c>
      <c r="CN580">
        <f>'Bookings and Drivers'!CV26</f>
        <v>0.12247337047101503</v>
      </c>
      <c r="CO580">
        <f>'Bookings and Drivers'!CW26</f>
        <v>0.25215677817154236</v>
      </c>
      <c r="CP580">
        <f>'Bookings and Drivers'!CX26</f>
        <v>0.20947365473449997</v>
      </c>
      <c r="CQ580">
        <f>'Bookings and Drivers'!CY26</f>
        <v>0.21825040847261512</v>
      </c>
      <c r="CR580">
        <f>'Bookings and Drivers'!CZ26</f>
        <v>0.16195727947515448</v>
      </c>
      <c r="CS580">
        <f>'Bookings and Drivers'!DA26</f>
        <v>0.13823856454035077</v>
      </c>
      <c r="CT580">
        <f>'Bookings and Drivers'!DB26</f>
        <v>0.11811075682926253</v>
      </c>
      <c r="CU580">
        <f>'Bookings and Drivers'!DC26</f>
        <v>0.10433001481581083</v>
      </c>
      <c r="CV580">
        <f>'Bookings and Drivers'!DD26</f>
        <v>9.2944086026416572E-2</v>
      </c>
      <c r="CW580">
        <f>'Bookings and Drivers'!DE26</f>
        <v>8.2748270526424195E-2</v>
      </c>
      <c r="CX580">
        <f>'Bookings and Drivers'!DF26</f>
        <v>8.2746481078952216E-2</v>
      </c>
    </row>
    <row r="581" spans="1:102">
      <c r="A581" t="str">
        <f>'Bookings and Drivers'!I27</f>
        <v>2 Year Growth</v>
      </c>
      <c r="B581">
        <f>'Bookings and Drivers'!J27</f>
        <v>0</v>
      </c>
      <c r="C581">
        <f>'Bookings and Drivers'!K27</f>
        <v>0</v>
      </c>
      <c r="D581">
        <f>'Bookings and Drivers'!L27</f>
        <v>0</v>
      </c>
      <c r="E581">
        <f>'Bookings and Drivers'!M27</f>
        <v>0</v>
      </c>
      <c r="F581">
        <f>'Bookings and Drivers'!N27</f>
        <v>0</v>
      </c>
      <c r="G581">
        <f>'Bookings and Drivers'!O27</f>
        <v>0</v>
      </c>
      <c r="H581">
        <f>'Bookings and Drivers'!P27</f>
        <v>0</v>
      </c>
      <c r="I581">
        <f>'Bookings and Drivers'!Q27</f>
        <v>0</v>
      </c>
      <c r="J581">
        <f>'Bookings and Drivers'!R27</f>
        <v>0</v>
      </c>
      <c r="K581">
        <f>'Bookings and Drivers'!S27</f>
        <v>0</v>
      </c>
      <c r="L581">
        <f>'Bookings and Drivers'!T27</f>
        <v>0</v>
      </c>
      <c r="M581">
        <f>'Bookings and Drivers'!U27</f>
        <v>0</v>
      </c>
      <c r="N581">
        <f>'Bookings and Drivers'!V27</f>
        <v>0</v>
      </c>
      <c r="O581">
        <f>'Bookings and Drivers'!W27</f>
        <v>0</v>
      </c>
      <c r="P581">
        <f>'Bookings and Drivers'!X27</f>
        <v>0</v>
      </c>
      <c r="Q581">
        <f>'Bookings and Drivers'!Y27</f>
        <v>0</v>
      </c>
      <c r="R581">
        <f>'Bookings and Drivers'!Z27</f>
        <v>0</v>
      </c>
      <c r="S581">
        <f>'Bookings and Drivers'!AA27</f>
        <v>0</v>
      </c>
      <c r="T581">
        <f>'Bookings and Drivers'!AB27</f>
        <v>0</v>
      </c>
      <c r="U581">
        <f>'Bookings and Drivers'!AC27</f>
        <v>0</v>
      </c>
      <c r="V581">
        <f>'Bookings and Drivers'!AD27</f>
        <v>0</v>
      </c>
      <c r="W581">
        <f>'Bookings and Drivers'!AE27</f>
        <v>0</v>
      </c>
      <c r="X581">
        <f>'Bookings and Drivers'!AF27</f>
        <v>0</v>
      </c>
      <c r="Y581">
        <f>'Bookings and Drivers'!AG27</f>
        <v>0</v>
      </c>
      <c r="Z581">
        <f>'Bookings and Drivers'!AH27</f>
        <v>0</v>
      </c>
      <c r="AA581">
        <f>'Bookings and Drivers'!AI27</f>
        <v>0</v>
      </c>
      <c r="AB581">
        <f>'Bookings and Drivers'!AJ27</f>
        <v>0</v>
      </c>
      <c r="AC581">
        <f>'Bookings and Drivers'!AK27</f>
        <v>0</v>
      </c>
      <c r="AD581">
        <f>'Bookings and Drivers'!AL27</f>
        <v>0</v>
      </c>
      <c r="AE581">
        <f>'Bookings and Drivers'!AM27</f>
        <v>0</v>
      </c>
      <c r="AF581">
        <f>'Bookings and Drivers'!AN27</f>
        <v>0</v>
      </c>
      <c r="AG581">
        <f>'Bookings and Drivers'!AO27</f>
        <v>1.8542488099893526</v>
      </c>
      <c r="AH581">
        <f>'Bookings and Drivers'!AP27</f>
        <v>1.692943006717762</v>
      </c>
      <c r="AI581">
        <f>'Bookings and Drivers'!AQ27</f>
        <v>1.5243509228553318</v>
      </c>
      <c r="AJ581">
        <f>'Bookings and Drivers'!AR27</f>
        <v>1.220568609860947</v>
      </c>
      <c r="AK581">
        <f>'Bookings and Drivers'!AS27</f>
        <v>0.97066012149120939</v>
      </c>
      <c r="AL581">
        <f>'Bookings and Drivers'!AT27</f>
        <v>0.88499514606249985</v>
      </c>
      <c r="AM581">
        <f>'Bookings and Drivers'!AU27</f>
        <v>0.89652007243983078</v>
      </c>
      <c r="AN581">
        <f>'Bookings and Drivers'!AV27</f>
        <v>0.92265654684426113</v>
      </c>
      <c r="AO581">
        <f>'Bookings and Drivers'!AW27</f>
        <v>0.77856559663212299</v>
      </c>
      <c r="AP581">
        <f>'Bookings and Drivers'!AX27</f>
        <v>0.63523150741945922</v>
      </c>
      <c r="AQ581">
        <f>'Bookings and Drivers'!AY27</f>
        <v>0.92626287321236722</v>
      </c>
      <c r="AR581">
        <f>'Bookings and Drivers'!AZ27</f>
        <v>1.3391160569940777</v>
      </c>
      <c r="AS581">
        <f>'Bookings and Drivers'!BA27</f>
        <v>1.4592460034956811</v>
      </c>
      <c r="AT581">
        <f>'Bookings and Drivers'!BB27</f>
        <v>1.4496002090702067</v>
      </c>
      <c r="AU581">
        <f>'Bookings and Drivers'!BC27</f>
        <v>1.2705732921081452</v>
      </c>
      <c r="AV581">
        <f>'Bookings and Drivers'!BD27</f>
        <v>1.1574114384474323</v>
      </c>
      <c r="AW581">
        <f>'Bookings and Drivers'!BE27</f>
        <v>1.2209368704434893</v>
      </c>
      <c r="AX581">
        <f>'Bookings and Drivers'!BF27</f>
        <v>1.2212205145840933</v>
      </c>
      <c r="AY581">
        <f>'Bookings and Drivers'!BG27</f>
        <v>0.94470910451335643</v>
      </c>
      <c r="AZ581">
        <f>'Bookings and Drivers'!BH27</f>
        <v>0.98448520192114386</v>
      </c>
      <c r="BA581">
        <f>'Bookings and Drivers'!BI27</f>
        <v>0.94621026205406311</v>
      </c>
      <c r="BB581">
        <f>'Bookings and Drivers'!BJ27</f>
        <v>0.72292748939615148</v>
      </c>
      <c r="BC581">
        <f>'Bookings and Drivers'!BK27</f>
        <v>0.66668170224703305</v>
      </c>
      <c r="BD581">
        <f>'Bookings and Drivers'!BL27</f>
        <v>0.80160401605681519</v>
      </c>
      <c r="BE581">
        <f>'Bookings and Drivers'!BM27</f>
        <v>0.80756134287593051</v>
      </c>
      <c r="BF581">
        <f>'Bookings and Drivers'!BN27</f>
        <v>0.81003610934982895</v>
      </c>
      <c r="BG581">
        <f>'Bookings and Drivers'!BO27</f>
        <v>0.73744123839360731</v>
      </c>
      <c r="BH581">
        <f>'Bookings and Drivers'!BP27</f>
        <v>0.59982471352181843</v>
      </c>
      <c r="BI581">
        <f>'Bookings and Drivers'!BQ27</f>
        <v>0.50821469022776045</v>
      </c>
      <c r="BJ581">
        <f>'Bookings and Drivers'!BR27</f>
        <v>0.48340958335098438</v>
      </c>
      <c r="BK581">
        <f>'Bookings and Drivers'!BS27</f>
        <v>0.41703125838543076</v>
      </c>
      <c r="BL581">
        <f>'Bookings and Drivers'!BT27</f>
        <v>0.34230361335921278</v>
      </c>
      <c r="BM581">
        <f>'Bookings and Drivers'!BU27</f>
        <v>0.36705656500244066</v>
      </c>
      <c r="BN581">
        <f>'Bookings and Drivers'!BV27</f>
        <v>0.32670304305160824</v>
      </c>
      <c r="BO581">
        <f>'Bookings and Drivers'!BW27</f>
        <v>0.37199830012909674</v>
      </c>
      <c r="BP581">
        <f>'Bookings and Drivers'!BX27</f>
        <v>0.44873447363806807</v>
      </c>
      <c r="BQ581">
        <f>'Bookings and Drivers'!BY27</f>
        <v>0.5117209551827655</v>
      </c>
      <c r="BR581">
        <f>'Bookings and Drivers'!BZ27</f>
        <v>0.39068571972856847</v>
      </c>
      <c r="BS581">
        <f>'Bookings and Drivers'!CA27</f>
        <v>0.4689497967877676</v>
      </c>
      <c r="BT581">
        <f>'Bookings and Drivers'!CB27</f>
        <v>0.48262142240673622</v>
      </c>
      <c r="BU581">
        <f>'Bookings and Drivers'!CC27</f>
        <v>0.50271279927142132</v>
      </c>
      <c r="BV581">
        <f>'Bookings and Drivers'!CD27</f>
        <v>0.41127005471593048</v>
      </c>
      <c r="BW581">
        <f>'Bookings and Drivers'!CE27</f>
        <v>0.34832890956564144</v>
      </c>
      <c r="BX581">
        <f>'Bookings and Drivers'!CF27</f>
        <v>0.46111511263021132</v>
      </c>
      <c r="BY581">
        <f>'Bookings and Drivers'!CG27</f>
        <v>0</v>
      </c>
      <c r="BZ581">
        <f>'Bookings and Drivers'!CH27</f>
        <v>0</v>
      </c>
      <c r="CA581">
        <f>'Bookings and Drivers'!CI27</f>
        <v>0</v>
      </c>
      <c r="CB581">
        <f>'Bookings and Drivers'!CJ27</f>
        <v>0</v>
      </c>
      <c r="CC581">
        <f>'Bookings and Drivers'!CK27</f>
        <v>0</v>
      </c>
      <c r="CD581">
        <f>'Bookings and Drivers'!CL27</f>
        <v>0</v>
      </c>
      <c r="CE581">
        <f>'Bookings and Drivers'!CM27</f>
        <v>0</v>
      </c>
      <c r="CF581">
        <f>'Bookings and Drivers'!CN27</f>
        <v>0</v>
      </c>
      <c r="CG581">
        <f>'Bookings and Drivers'!CO27</f>
        <v>1.5538851593709373</v>
      </c>
      <c r="CH581">
        <f>'Bookings and Drivers'!CP27</f>
        <v>0.86123682094377552</v>
      </c>
      <c r="CI581">
        <f>'Bookings and Drivers'!CQ27</f>
        <v>0.87208596912353964</v>
      </c>
      <c r="CJ581">
        <f>'Bookings and Drivers'!CR27</f>
        <v>1.3214736037241082</v>
      </c>
      <c r="CK581">
        <f>'Bookings and Drivers'!CS27</f>
        <v>1.0773981469517182</v>
      </c>
      <c r="CL581">
        <f>'Bookings and Drivers'!CT27</f>
        <v>0.77078222594723722</v>
      </c>
      <c r="CM581">
        <f>'Bookings and Drivers'!CU27</f>
        <v>0.74077982332117731</v>
      </c>
      <c r="CN581">
        <f>'Bookings and Drivers'!CV27</f>
        <v>0.43709268608990803</v>
      </c>
      <c r="CO581">
        <f>'Bookings and Drivers'!CW27</f>
        <v>0.37463014864255739</v>
      </c>
      <c r="CP581">
        <f>'Bookings and Drivers'!CX27</f>
        <v>0.46163043290604233</v>
      </c>
      <c r="CQ581">
        <f>'Bookings and Drivers'!CY27</f>
        <v>0.42772406320711509</v>
      </c>
      <c r="CR581">
        <f>'Bookings and Drivers'!CZ27</f>
        <v>0.3802076879477696</v>
      </c>
      <c r="CS581">
        <f>'Bookings and Drivers'!DA27</f>
        <v>0.30019584401550525</v>
      </c>
      <c r="CT581">
        <f>'Bookings and Drivers'!DB27</f>
        <v>0.2563493213696133</v>
      </c>
      <c r="CU581">
        <f>'Bookings and Drivers'!DC27</f>
        <v>0.22244077164507337</v>
      </c>
      <c r="CV581">
        <f>'Bookings and Drivers'!DD27</f>
        <v>0.19727410084222741</v>
      </c>
      <c r="CW581">
        <f>'Bookings and Drivers'!DE27</f>
        <v>0.17569235655284077</v>
      </c>
      <c r="CX581">
        <f>'Bookings and Drivers'!DF27</f>
        <v>0.16549475160537641</v>
      </c>
    </row>
    <row r="582" spans="1:102">
      <c r="A582">
        <f>'Bookings and Drivers'!I28</f>
        <v>0</v>
      </c>
      <c r="B582">
        <f>'Bookings and Drivers'!J28</f>
        <v>0</v>
      </c>
      <c r="C582">
        <f>'Bookings and Drivers'!K28</f>
        <v>0</v>
      </c>
      <c r="D582">
        <f>'Bookings and Drivers'!L28</f>
        <v>0</v>
      </c>
      <c r="E582">
        <f>'Bookings and Drivers'!M28</f>
        <v>0</v>
      </c>
      <c r="F582">
        <f>'Bookings and Drivers'!N28</f>
        <v>0</v>
      </c>
      <c r="G582">
        <f>'Bookings and Drivers'!O28</f>
        <v>0</v>
      </c>
      <c r="H582">
        <f>'Bookings and Drivers'!P28</f>
        <v>0</v>
      </c>
      <c r="I582">
        <f>'Bookings and Drivers'!Q28</f>
        <v>0</v>
      </c>
      <c r="J582">
        <f>'Bookings and Drivers'!R28</f>
        <v>0</v>
      </c>
      <c r="K582">
        <f>'Bookings and Drivers'!S28</f>
        <v>0</v>
      </c>
      <c r="L582">
        <f>'Bookings and Drivers'!T28</f>
        <v>0</v>
      </c>
      <c r="M582">
        <f>'Bookings and Drivers'!U28</f>
        <v>0</v>
      </c>
      <c r="N582">
        <f>'Bookings and Drivers'!V28</f>
        <v>0</v>
      </c>
      <c r="O582">
        <f>'Bookings and Drivers'!W28</f>
        <v>0</v>
      </c>
      <c r="P582">
        <f>'Bookings and Drivers'!X28</f>
        <v>0</v>
      </c>
      <c r="Q582">
        <f>'Bookings and Drivers'!Y28</f>
        <v>0</v>
      </c>
      <c r="R582">
        <f>'Bookings and Drivers'!Z28</f>
        <v>0</v>
      </c>
      <c r="S582">
        <f>'Bookings and Drivers'!AA28</f>
        <v>0</v>
      </c>
      <c r="T582">
        <f>'Bookings and Drivers'!AB28</f>
        <v>0</v>
      </c>
      <c r="U582">
        <f>'Bookings and Drivers'!AC28</f>
        <v>0</v>
      </c>
      <c r="V582">
        <f>'Bookings and Drivers'!AD28</f>
        <v>0</v>
      </c>
      <c r="W582">
        <f>'Bookings and Drivers'!AE28</f>
        <v>0</v>
      </c>
      <c r="X582">
        <f>'Bookings and Drivers'!AF28</f>
        <v>0</v>
      </c>
      <c r="Y582">
        <f>'Bookings and Drivers'!AG28</f>
        <v>0</v>
      </c>
      <c r="Z582">
        <f>'Bookings and Drivers'!AH28</f>
        <v>0</v>
      </c>
      <c r="AA582">
        <f>'Bookings and Drivers'!AI28</f>
        <v>0</v>
      </c>
      <c r="AB582">
        <f>'Bookings and Drivers'!AJ28</f>
        <v>0</v>
      </c>
      <c r="AC582">
        <f>'Bookings and Drivers'!AK28</f>
        <v>0</v>
      </c>
      <c r="AD582">
        <f>'Bookings and Drivers'!AL28</f>
        <v>0</v>
      </c>
      <c r="AE582">
        <f>'Bookings and Drivers'!AM28</f>
        <v>0</v>
      </c>
      <c r="AF582">
        <f>'Bookings and Drivers'!AN28</f>
        <v>0</v>
      </c>
      <c r="AG582">
        <f>'Bookings and Drivers'!AO28</f>
        <v>0</v>
      </c>
      <c r="AH582">
        <f>'Bookings and Drivers'!AP28</f>
        <v>0</v>
      </c>
      <c r="AI582">
        <f>'Bookings and Drivers'!AQ28</f>
        <v>0</v>
      </c>
      <c r="AJ582">
        <f>'Bookings and Drivers'!AR28</f>
        <v>0</v>
      </c>
      <c r="AK582">
        <f>'Bookings and Drivers'!AS28</f>
        <v>0</v>
      </c>
      <c r="AL582">
        <f>'Bookings and Drivers'!AT28</f>
        <v>0</v>
      </c>
      <c r="AM582">
        <f>'Bookings and Drivers'!AU28</f>
        <v>0</v>
      </c>
      <c r="AN582">
        <f>'Bookings and Drivers'!AV28</f>
        <v>0</v>
      </c>
      <c r="AO582">
        <f>'Bookings and Drivers'!AW28</f>
        <v>0</v>
      </c>
      <c r="AP582">
        <f>'Bookings and Drivers'!AX28</f>
        <v>0</v>
      </c>
      <c r="AQ582">
        <f>'Bookings and Drivers'!AY28</f>
        <v>0</v>
      </c>
      <c r="AR582">
        <f>'Bookings and Drivers'!AZ28</f>
        <v>0</v>
      </c>
      <c r="AS582">
        <f>'Bookings and Drivers'!BA28</f>
        <v>0</v>
      </c>
      <c r="AT582">
        <f>'Bookings and Drivers'!BB28</f>
        <v>0</v>
      </c>
      <c r="AU582">
        <f>'Bookings and Drivers'!BC28</f>
        <v>0</v>
      </c>
      <c r="AV582">
        <f>'Bookings and Drivers'!BD28</f>
        <v>0</v>
      </c>
      <c r="AW582">
        <f>'Bookings and Drivers'!BE28</f>
        <v>0</v>
      </c>
      <c r="AX582">
        <f>'Bookings and Drivers'!BF28</f>
        <v>0</v>
      </c>
      <c r="AY582">
        <f>'Bookings and Drivers'!BG28</f>
        <v>0</v>
      </c>
      <c r="AZ582">
        <f>'Bookings and Drivers'!BH28</f>
        <v>0</v>
      </c>
      <c r="BA582">
        <f>'Bookings and Drivers'!BI28</f>
        <v>0</v>
      </c>
      <c r="BB582">
        <f>'Bookings and Drivers'!BJ28</f>
        <v>0</v>
      </c>
      <c r="BC582">
        <f>'Bookings and Drivers'!BK28</f>
        <v>0</v>
      </c>
      <c r="BD582">
        <f>'Bookings and Drivers'!BL28</f>
        <v>0</v>
      </c>
      <c r="BE582">
        <f>'Bookings and Drivers'!BM28</f>
        <v>0</v>
      </c>
      <c r="BF582">
        <f>'Bookings and Drivers'!BN28</f>
        <v>0</v>
      </c>
      <c r="BG582">
        <f>'Bookings and Drivers'!BO28</f>
        <v>0</v>
      </c>
      <c r="BH582">
        <f>'Bookings and Drivers'!BP28</f>
        <v>0</v>
      </c>
      <c r="BI582">
        <f>'Bookings and Drivers'!BQ28</f>
        <v>0</v>
      </c>
      <c r="BJ582">
        <f>'Bookings and Drivers'!BR28</f>
        <v>0</v>
      </c>
      <c r="BK582">
        <f>'Bookings and Drivers'!BS28</f>
        <v>0</v>
      </c>
      <c r="BL582">
        <f>'Bookings and Drivers'!BT28</f>
        <v>0</v>
      </c>
      <c r="BM582">
        <f>'Bookings and Drivers'!BU28</f>
        <v>0</v>
      </c>
      <c r="BN582">
        <f>'Bookings and Drivers'!BV28</f>
        <v>0</v>
      </c>
      <c r="BO582">
        <f>'Bookings and Drivers'!BW28</f>
        <v>0</v>
      </c>
      <c r="BP582">
        <f>'Bookings and Drivers'!BX28</f>
        <v>0</v>
      </c>
      <c r="BQ582">
        <f>'Bookings and Drivers'!BY28</f>
        <v>0</v>
      </c>
      <c r="BR582">
        <f>'Bookings and Drivers'!BZ28</f>
        <v>0</v>
      </c>
      <c r="BS582">
        <f>'Bookings and Drivers'!CA28</f>
        <v>0</v>
      </c>
      <c r="BT582">
        <f>'Bookings and Drivers'!CB28</f>
        <v>0</v>
      </c>
      <c r="BU582">
        <f>'Bookings and Drivers'!CC28</f>
        <v>0</v>
      </c>
      <c r="BV582">
        <f>'Bookings and Drivers'!CD28</f>
        <v>0</v>
      </c>
      <c r="BW582">
        <f>'Bookings and Drivers'!CE28</f>
        <v>0</v>
      </c>
      <c r="BX582">
        <f>'Bookings and Drivers'!CF28</f>
        <v>0</v>
      </c>
      <c r="BY582">
        <f>'Bookings and Drivers'!CG28</f>
        <v>0</v>
      </c>
      <c r="BZ582">
        <f>'Bookings and Drivers'!CH28</f>
        <v>0</v>
      </c>
      <c r="CA582">
        <f>'Bookings and Drivers'!CI28</f>
        <v>0</v>
      </c>
      <c r="CB582">
        <f>'Bookings and Drivers'!CJ28</f>
        <v>0</v>
      </c>
      <c r="CC582">
        <f>'Bookings and Drivers'!CK28</f>
        <v>0</v>
      </c>
      <c r="CD582">
        <f>'Bookings and Drivers'!CL28</f>
        <v>0</v>
      </c>
      <c r="CE582">
        <f>'Bookings and Drivers'!CM28</f>
        <v>0</v>
      </c>
      <c r="CF582">
        <f>'Bookings and Drivers'!CN28</f>
        <v>0</v>
      </c>
      <c r="CG582">
        <f>'Bookings and Drivers'!CO28</f>
        <v>0</v>
      </c>
      <c r="CH582">
        <f>'Bookings and Drivers'!CP28</f>
        <v>0</v>
      </c>
      <c r="CI582">
        <f>'Bookings and Drivers'!CQ28</f>
        <v>0</v>
      </c>
      <c r="CJ582">
        <f>'Bookings and Drivers'!CR28</f>
        <v>0</v>
      </c>
      <c r="CK582">
        <f>'Bookings and Drivers'!CS28</f>
        <v>0</v>
      </c>
      <c r="CL582">
        <f>'Bookings and Drivers'!CT28</f>
        <v>0</v>
      </c>
      <c r="CM582">
        <f>'Bookings and Drivers'!CU28</f>
        <v>0</v>
      </c>
      <c r="CN582">
        <f>'Bookings and Drivers'!CV28</f>
        <v>0</v>
      </c>
      <c r="CO582">
        <f>'Bookings and Drivers'!CW28</f>
        <v>0</v>
      </c>
      <c r="CP582">
        <f>'Bookings and Drivers'!CX28</f>
        <v>0</v>
      </c>
      <c r="CQ582">
        <f>'Bookings and Drivers'!CY28</f>
        <v>0</v>
      </c>
      <c r="CR582">
        <f>'Bookings and Drivers'!CZ28</f>
        <v>0</v>
      </c>
      <c r="CS582">
        <f>'Bookings and Drivers'!DA28</f>
        <v>0</v>
      </c>
      <c r="CT582">
        <f>'Bookings and Drivers'!DB28</f>
        <v>0</v>
      </c>
      <c r="CU582">
        <f>'Bookings and Drivers'!DC28</f>
        <v>0</v>
      </c>
      <c r="CV582">
        <f>'Bookings and Drivers'!DD28</f>
        <v>0</v>
      </c>
      <c r="CW582">
        <f>'Bookings and Drivers'!DE28</f>
        <v>0</v>
      </c>
      <c r="CX582">
        <f>'Bookings and Drivers'!DF28</f>
        <v>0</v>
      </c>
    </row>
    <row r="583" spans="1:102">
      <c r="A583" t="str">
        <f>'Bookings and Drivers'!I29</f>
        <v>Agoda (Int'l Merchant)</v>
      </c>
      <c r="B583">
        <f>'Bookings and Drivers'!J29</f>
        <v>0</v>
      </c>
      <c r="C583">
        <f>'Bookings and Drivers'!K29</f>
        <v>0</v>
      </c>
      <c r="D583">
        <f>'Bookings and Drivers'!L29</f>
        <v>0</v>
      </c>
      <c r="E583">
        <f>'Bookings and Drivers'!M29</f>
        <v>0</v>
      </c>
      <c r="F583">
        <f>'Bookings and Drivers'!N29</f>
        <v>0</v>
      </c>
      <c r="G583">
        <f>'Bookings and Drivers'!O29</f>
        <v>0</v>
      </c>
      <c r="H583">
        <f>'Bookings and Drivers'!P29</f>
        <v>0</v>
      </c>
      <c r="I583">
        <f>'Bookings and Drivers'!Q29</f>
        <v>0</v>
      </c>
      <c r="J583">
        <f>'Bookings and Drivers'!R29</f>
        <v>0</v>
      </c>
      <c r="K583">
        <f>'Bookings and Drivers'!S29</f>
        <v>0</v>
      </c>
      <c r="L583">
        <f>'Bookings and Drivers'!T29</f>
        <v>0</v>
      </c>
      <c r="M583">
        <f>'Bookings and Drivers'!U29</f>
        <v>0</v>
      </c>
      <c r="N583">
        <f>'Bookings and Drivers'!V29</f>
        <v>0</v>
      </c>
      <c r="O583">
        <f>'Bookings and Drivers'!W29</f>
        <v>0</v>
      </c>
      <c r="P583">
        <f>'Bookings and Drivers'!X29</f>
        <v>0</v>
      </c>
      <c r="Q583">
        <f>'Bookings and Drivers'!Y29</f>
        <v>0</v>
      </c>
      <c r="R583">
        <f>'Bookings and Drivers'!Z29</f>
        <v>0</v>
      </c>
      <c r="S583">
        <f>'Bookings and Drivers'!AA29</f>
        <v>0</v>
      </c>
      <c r="T583">
        <f>'Bookings and Drivers'!AB29</f>
        <v>0</v>
      </c>
      <c r="U583">
        <f>'Bookings and Drivers'!AC29</f>
        <v>0</v>
      </c>
      <c r="V583">
        <f>'Bookings and Drivers'!AD29</f>
        <v>0</v>
      </c>
      <c r="W583">
        <f>'Bookings and Drivers'!AE29</f>
        <v>0</v>
      </c>
      <c r="X583">
        <f>'Bookings and Drivers'!AF29</f>
        <v>0</v>
      </c>
      <c r="Y583">
        <f>'Bookings and Drivers'!AG29</f>
        <v>0</v>
      </c>
      <c r="Z583">
        <f>'Bookings and Drivers'!AH29</f>
        <v>0</v>
      </c>
      <c r="AA583">
        <f>'Bookings and Drivers'!AI29</f>
        <v>0</v>
      </c>
      <c r="AB583">
        <f>'Bookings and Drivers'!AJ29</f>
        <v>0</v>
      </c>
      <c r="AC583">
        <f>'Bookings and Drivers'!AK29</f>
        <v>0</v>
      </c>
      <c r="AD583">
        <f>'Bookings and Drivers'!AL29</f>
        <v>0</v>
      </c>
      <c r="AE583">
        <f>'Bookings and Drivers'!AM29</f>
        <v>0</v>
      </c>
      <c r="AF583">
        <f>'Bookings and Drivers'!AN29</f>
        <v>13.4</v>
      </c>
      <c r="AG583">
        <f>'Bookings and Drivers'!AO29</f>
        <v>24.6</v>
      </c>
      <c r="AH583">
        <f>'Bookings and Drivers'!AP29</f>
        <v>24.2</v>
      </c>
      <c r="AI583">
        <f>'Bookings and Drivers'!AQ29</f>
        <v>32.4</v>
      </c>
      <c r="AJ583">
        <f>'Bookings and Drivers'!AR29</f>
        <v>37.5</v>
      </c>
      <c r="AK583">
        <f>'Bookings and Drivers'!AS29</f>
        <v>57.81</v>
      </c>
      <c r="AL583">
        <f>'Bookings and Drivers'!AT29</f>
        <v>56.87</v>
      </c>
      <c r="AM583">
        <f>'Bookings and Drivers'!AU29</f>
        <v>77.759999999999991</v>
      </c>
      <c r="AN583">
        <f>'Bookings and Drivers'!AV29</f>
        <v>82.5</v>
      </c>
      <c r="AO583">
        <f>'Bookings and Drivers'!AW29</f>
        <v>157.2432</v>
      </c>
      <c r="AP583">
        <f>'Bookings and Drivers'!AX29</f>
        <v>153.54900000000001</v>
      </c>
      <c r="AQ583">
        <f>'Bookings and Drivers'!AY29</f>
        <v>206.06399999999996</v>
      </c>
      <c r="AR583">
        <f>'Bookings and Drivers'!AZ29</f>
        <v>215.32500000000002</v>
      </c>
      <c r="AS583">
        <f>'Bookings and Drivers'!BA29</f>
        <v>345.93504000000001</v>
      </c>
      <c r="AT583">
        <f>'Bookings and Drivers'!BB29</f>
        <v>391.54994999999997</v>
      </c>
      <c r="AU583">
        <f>'Bookings and Drivers'!BC29</f>
        <v>412.12799999999993</v>
      </c>
      <c r="AV583">
        <f>'Bookings and Drivers'!BD29</f>
        <v>430.65000000000003</v>
      </c>
      <c r="AW583">
        <f>'Bookings and Drivers'!BE29</f>
        <v>588.08956799999999</v>
      </c>
      <c r="AX583">
        <f>'Bookings and Drivers'!BF29</f>
        <v>665.63491499999998</v>
      </c>
      <c r="AY583">
        <f>'Bookings and Drivers'!BG29</f>
        <v>692.3750399999999</v>
      </c>
      <c r="AZ583">
        <f>'Bookings and Drivers'!BH29</f>
        <v>689.04000000000008</v>
      </c>
      <c r="BA583">
        <f>'Bookings and Drivers'!BI29</f>
        <v>846.84897791999992</v>
      </c>
      <c r="BB583">
        <f>'Bookings and Drivers'!BJ29</f>
        <v>998.45237249999991</v>
      </c>
      <c r="BC583">
        <f>'Bookings and Drivers'!BK29</f>
        <v>990.09630719999984</v>
      </c>
      <c r="BD583">
        <f>'Bookings and Drivers'!BL29</f>
        <v>930.20400000000018</v>
      </c>
      <c r="BE583">
        <f>'Bookings and Drivers'!BM29</f>
        <v>1100.9036712959999</v>
      </c>
      <c r="BF583">
        <f>'Bookings and Drivers'!BN29</f>
        <v>1297.9880842499999</v>
      </c>
      <c r="BG583">
        <f>'Bookings and Drivers'!BO29</f>
        <v>1287.1251993599999</v>
      </c>
      <c r="BH583">
        <f>'Bookings and Drivers'!BP29</f>
        <v>1209.2652000000003</v>
      </c>
      <c r="BI583">
        <f>'Bookings and Drivers'!BQ29</f>
        <v>1321.0844055551997</v>
      </c>
      <c r="BJ583">
        <f>'Bookings and Drivers'!BR29</f>
        <v>1557.5857010999998</v>
      </c>
      <c r="BK583">
        <f>'Bookings and Drivers'!BS29</f>
        <v>1158.4126794239999</v>
      </c>
      <c r="BL583">
        <f>'Bookings and Drivers'!BT29</f>
        <v>1330.1917200000005</v>
      </c>
      <c r="BM583">
        <f>'Bookings and Drivers'!BU29</f>
        <v>1690.9880391106558</v>
      </c>
      <c r="BN583">
        <f>'Bookings and Drivers'!BV29</f>
        <v>1946.9821263749998</v>
      </c>
      <c r="BO583">
        <f>'Bookings and Drivers'!BW29</f>
        <v>1482.7682296627199</v>
      </c>
      <c r="BP583">
        <f>'Bookings and Drivers'!BX29</f>
        <v>1702.6454016000007</v>
      </c>
      <c r="BQ583">
        <f>'Bookings and Drivers'!BY29</f>
        <v>2113.7350488883199</v>
      </c>
      <c r="BR583">
        <f>'Bookings and Drivers'!BZ29</f>
        <v>2433.7276579687496</v>
      </c>
      <c r="BS583">
        <f>'Bookings and Drivers'!CA29</f>
        <v>1853.4602870783999</v>
      </c>
      <c r="BT583">
        <f>'Bookings and Drivers'!CB29</f>
        <v>2128.3067520000009</v>
      </c>
      <c r="BU583">
        <f>'Bookings and Drivers'!CC29</f>
        <v>2430.7953062215674</v>
      </c>
      <c r="BV583">
        <f>'Bookings and Drivers'!CD29</f>
        <v>2798.7868066640617</v>
      </c>
      <c r="BW583">
        <f>'Bookings and Drivers'!CE29</f>
        <v>2131.4793301401596</v>
      </c>
      <c r="BX583">
        <f>'Bookings and Drivers'!CF29</f>
        <v>2447.5527648000007</v>
      </c>
      <c r="BY583">
        <f>'Bookings and Drivers'!CG29</f>
        <v>0</v>
      </c>
      <c r="BZ583">
        <f>'Bookings and Drivers'!CH29</f>
        <v>0</v>
      </c>
      <c r="CA583">
        <f>'Bookings and Drivers'!CI29</f>
        <v>0</v>
      </c>
      <c r="CB583">
        <f>'Bookings and Drivers'!CJ29</f>
        <v>0</v>
      </c>
      <c r="CC583">
        <f>'Bookings and Drivers'!CK29</f>
        <v>0</v>
      </c>
      <c r="CD583">
        <f>'Bookings and Drivers'!CL29</f>
        <v>0</v>
      </c>
      <c r="CE583">
        <f>'Bookings and Drivers'!CM29</f>
        <v>0</v>
      </c>
      <c r="CF583">
        <f>'Bookings and Drivers'!CN29</f>
        <v>0</v>
      </c>
      <c r="CG583">
        <f>'Bookings and Drivers'!CO29</f>
        <v>118.69999999999999</v>
      </c>
      <c r="CH583">
        <f>'Bookings and Drivers'!CP29</f>
        <v>274.94</v>
      </c>
      <c r="CI583">
        <f>'Bookings and Drivers'!CQ29</f>
        <v>732.18119999999999</v>
      </c>
      <c r="CJ583">
        <f>'Bookings and Drivers'!CR29</f>
        <v>1580.2629899999999</v>
      </c>
      <c r="CK583">
        <f>'Bookings and Drivers'!CS29</f>
        <v>2635.1395229999998</v>
      </c>
      <c r="CL583">
        <f>'Bookings and Drivers'!CT29</f>
        <v>3765.60165762</v>
      </c>
      <c r="CM583">
        <f>'Bookings and Drivers'!CU29</f>
        <v>4895.282154906</v>
      </c>
      <c r="CN583">
        <f>'Bookings and Drivers'!CV29</f>
        <v>5367.2745060792004</v>
      </c>
      <c r="CO583">
        <f>'Bookings and Drivers'!CW29</f>
        <v>6823.383796748376</v>
      </c>
      <c r="CP583">
        <f>'Bookings and Drivers'!CX29</f>
        <v>8529.2297459354704</v>
      </c>
      <c r="CQ583">
        <f>'Bookings and Drivers'!CY29</f>
        <v>9808.6142078257908</v>
      </c>
      <c r="CR583">
        <f>'Bookings and Drivers'!CZ29</f>
        <v>11059.212519323579</v>
      </c>
      <c r="CS583">
        <f>'Bookings and Drivers'!DA29</f>
        <v>12257.754676105271</v>
      </c>
      <c r="CT583">
        <f>'Bookings and Drivers'!DB29</f>
        <v>13402.322518986601</v>
      </c>
      <c r="CU583">
        <f>'Bookings and Drivers'!DC29</f>
        <v>14452.729546412174</v>
      </c>
      <c r="CV583">
        <f>'Bookings and Drivers'!DD29</f>
        <v>15585.462224612227</v>
      </c>
      <c r="CW583">
        <f>'Bookings and Drivers'!DE29</f>
        <v>16806.972826466208</v>
      </c>
      <c r="CX583">
        <f>'Bookings and Drivers'!DF29</f>
        <v>18124.219321740497</v>
      </c>
    </row>
    <row r="584" spans="1:102">
      <c r="A584" t="str">
        <f>'Bookings and Drivers'!I30</f>
        <v>% change Y/Y</v>
      </c>
      <c r="B584">
        <f>'Bookings and Drivers'!J30</f>
        <v>0</v>
      </c>
      <c r="C584">
        <f>'Bookings and Drivers'!K30</f>
        <v>0</v>
      </c>
      <c r="D584">
        <f>'Bookings and Drivers'!L30</f>
        <v>0</v>
      </c>
      <c r="E584">
        <f>'Bookings and Drivers'!M30</f>
        <v>0</v>
      </c>
      <c r="F584">
        <f>'Bookings and Drivers'!N30</f>
        <v>0</v>
      </c>
      <c r="G584">
        <f>'Bookings and Drivers'!O30</f>
        <v>0</v>
      </c>
      <c r="H584">
        <f>'Bookings and Drivers'!P30</f>
        <v>0</v>
      </c>
      <c r="I584">
        <f>'Bookings and Drivers'!Q30</f>
        <v>0</v>
      </c>
      <c r="J584">
        <f>'Bookings and Drivers'!R30</f>
        <v>0</v>
      </c>
      <c r="K584">
        <f>'Bookings and Drivers'!S30</f>
        <v>0</v>
      </c>
      <c r="L584">
        <f>'Bookings and Drivers'!T30</f>
        <v>0</v>
      </c>
      <c r="M584">
        <f>'Bookings and Drivers'!U30</f>
        <v>0</v>
      </c>
      <c r="N584">
        <f>'Bookings and Drivers'!V30</f>
        <v>0</v>
      </c>
      <c r="O584">
        <f>'Bookings and Drivers'!W30</f>
        <v>0</v>
      </c>
      <c r="P584">
        <f>'Bookings and Drivers'!X30</f>
        <v>0</v>
      </c>
      <c r="Q584">
        <f>'Bookings and Drivers'!Y30</f>
        <v>0</v>
      </c>
      <c r="R584">
        <f>'Bookings and Drivers'!Z30</f>
        <v>0</v>
      </c>
      <c r="S584">
        <f>'Bookings and Drivers'!AA30</f>
        <v>0</v>
      </c>
      <c r="T584">
        <f>'Bookings and Drivers'!AB30</f>
        <v>0</v>
      </c>
      <c r="U584">
        <f>'Bookings and Drivers'!AC30</f>
        <v>0</v>
      </c>
      <c r="V584">
        <f>'Bookings and Drivers'!AD30</f>
        <v>0</v>
      </c>
      <c r="W584">
        <f>'Bookings and Drivers'!AE30</f>
        <v>0</v>
      </c>
      <c r="X584">
        <f>'Bookings and Drivers'!AF30</f>
        <v>0</v>
      </c>
      <c r="Y584">
        <f>'Bookings and Drivers'!AG30</f>
        <v>0</v>
      </c>
      <c r="Z584">
        <f>'Bookings and Drivers'!AH30</f>
        <v>0</v>
      </c>
      <c r="AA584">
        <f>'Bookings and Drivers'!AI30</f>
        <v>0</v>
      </c>
      <c r="AB584">
        <f>'Bookings and Drivers'!AJ30</f>
        <v>0</v>
      </c>
      <c r="AC584">
        <f>'Bookings and Drivers'!AK30</f>
        <v>0</v>
      </c>
      <c r="AD584">
        <f>'Bookings and Drivers'!AL30</f>
        <v>0</v>
      </c>
      <c r="AE584">
        <f>'Bookings and Drivers'!AM30</f>
        <v>0</v>
      </c>
      <c r="AF584">
        <f>'Bookings and Drivers'!AN30</f>
        <v>0</v>
      </c>
      <c r="AG584">
        <f>'Bookings and Drivers'!AO30</f>
        <v>0</v>
      </c>
      <c r="AH584">
        <f>'Bookings and Drivers'!AP30</f>
        <v>0</v>
      </c>
      <c r="AI584">
        <f>'Bookings and Drivers'!AQ30</f>
        <v>0</v>
      </c>
      <c r="AJ584">
        <f>'Bookings and Drivers'!AR30</f>
        <v>1.7985074626865671</v>
      </c>
      <c r="AK584">
        <f>'Bookings and Drivers'!AS30</f>
        <v>1.35</v>
      </c>
      <c r="AL584">
        <f>'Bookings and Drivers'!AT30</f>
        <v>1.35</v>
      </c>
      <c r="AM584">
        <f>'Bookings and Drivers'!AU30</f>
        <v>1.4</v>
      </c>
      <c r="AN584">
        <f>'Bookings and Drivers'!AV30</f>
        <v>1.2000000000000002</v>
      </c>
      <c r="AO584">
        <f>'Bookings and Drivers'!AW30</f>
        <v>1.7199999999999998</v>
      </c>
      <c r="AP584">
        <f>'Bookings and Drivers'!AX30</f>
        <v>1.7000000000000002</v>
      </c>
      <c r="AQ584">
        <f>'Bookings and Drivers'!AY30</f>
        <v>1.65</v>
      </c>
      <c r="AR584">
        <f>'Bookings and Drivers'!AZ30</f>
        <v>1.6100000000000003</v>
      </c>
      <c r="AS584">
        <f>'Bookings and Drivers'!BA30</f>
        <v>1.2000000000000002</v>
      </c>
      <c r="AT584">
        <f>'Bookings and Drivers'!BB30</f>
        <v>1.5499999999999998</v>
      </c>
      <c r="AU584">
        <f>'Bookings and Drivers'!BC30</f>
        <v>1</v>
      </c>
      <c r="AV584">
        <f>'Bookings and Drivers'!BD30</f>
        <v>1</v>
      </c>
      <c r="AW584">
        <f>'Bookings and Drivers'!BE30</f>
        <v>0.7</v>
      </c>
      <c r="AX584">
        <f>'Bookings and Drivers'!BF30</f>
        <v>0.70000000000000018</v>
      </c>
      <c r="AY584">
        <f>'Bookings and Drivers'!BG30</f>
        <v>0.67999999999999994</v>
      </c>
      <c r="AZ584">
        <f>'Bookings and Drivers'!BH30</f>
        <v>0.60000000000000009</v>
      </c>
      <c r="BA584">
        <f>'Bookings and Drivers'!BI30</f>
        <v>0.43999999999999995</v>
      </c>
      <c r="BB584">
        <f>'Bookings and Drivers'!BJ30</f>
        <v>0.5</v>
      </c>
      <c r="BC584">
        <f>'Bookings and Drivers'!BK30</f>
        <v>0.42999999999999994</v>
      </c>
      <c r="BD584">
        <f>'Bookings and Drivers'!BL30</f>
        <v>0.35000000000000009</v>
      </c>
      <c r="BE584">
        <f>'Bookings and Drivers'!BM30</f>
        <v>0.30000000000000004</v>
      </c>
      <c r="BF584">
        <f>'Bookings and Drivers'!BN30</f>
        <v>0.30000000000000004</v>
      </c>
      <c r="BG584">
        <f>'Bookings and Drivers'!BO30</f>
        <v>0.30000000000000004</v>
      </c>
      <c r="BH584">
        <f>'Bookings and Drivers'!BP30</f>
        <v>0.30000000000000004</v>
      </c>
      <c r="BI584">
        <f>'Bookings and Drivers'!BQ30</f>
        <v>0.19999999999999996</v>
      </c>
      <c r="BJ584">
        <f>'Bookings and Drivers'!BR30</f>
        <v>0.19999999999999996</v>
      </c>
      <c r="BK584">
        <f>'Bookings and Drivers'!BS30</f>
        <v>-0.10000000000000009</v>
      </c>
      <c r="BL584">
        <f>'Bookings and Drivers'!BT30</f>
        <v>0.10000000000000009</v>
      </c>
      <c r="BM584">
        <f>'Bookings and Drivers'!BU30</f>
        <v>0.28000000000000003</v>
      </c>
      <c r="BN584">
        <f>'Bookings and Drivers'!BV30</f>
        <v>0.25</v>
      </c>
      <c r="BO584">
        <f>'Bookings and Drivers'!BW30</f>
        <v>0.28000000000000003</v>
      </c>
      <c r="BP584">
        <f>'Bookings and Drivers'!BX30</f>
        <v>0.28000000000000003</v>
      </c>
      <c r="BQ584">
        <f>'Bookings and Drivers'!BY30</f>
        <v>0.25</v>
      </c>
      <c r="BR584">
        <f>'Bookings and Drivers'!BZ30</f>
        <v>0.25</v>
      </c>
      <c r="BS584">
        <f>'Bookings and Drivers'!CA30</f>
        <v>0.25</v>
      </c>
      <c r="BT584">
        <f>'Bookings and Drivers'!CB30</f>
        <v>0.25</v>
      </c>
      <c r="BU584">
        <f>'Bookings and Drivers'!CC30</f>
        <v>0.14999999999999991</v>
      </c>
      <c r="BV584">
        <f>'Bookings and Drivers'!CD30</f>
        <v>0.14999999999999991</v>
      </c>
      <c r="BW584">
        <f>'Bookings and Drivers'!CE30</f>
        <v>0.14999999999999991</v>
      </c>
      <c r="BX584">
        <f>'Bookings and Drivers'!CF30</f>
        <v>0.14999999999999991</v>
      </c>
      <c r="BY584">
        <f>'Bookings and Drivers'!CG30</f>
        <v>0</v>
      </c>
      <c r="BZ584">
        <f>'Bookings and Drivers'!CH30</f>
        <v>0</v>
      </c>
      <c r="CA584">
        <f>'Bookings and Drivers'!CI30</f>
        <v>0</v>
      </c>
      <c r="CB584">
        <f>'Bookings and Drivers'!CJ30</f>
        <v>0</v>
      </c>
      <c r="CC584">
        <f>'Bookings and Drivers'!CK30</f>
        <v>0</v>
      </c>
      <c r="CD584">
        <f>'Bookings and Drivers'!CL30</f>
        <v>0</v>
      </c>
      <c r="CE584">
        <f>'Bookings and Drivers'!CM30</f>
        <v>0</v>
      </c>
      <c r="CF584">
        <f>'Bookings and Drivers'!CN30</f>
        <v>0</v>
      </c>
      <c r="CG584">
        <f>'Bookings and Drivers'!CO30</f>
        <v>0</v>
      </c>
      <c r="CH584">
        <f>'Bookings and Drivers'!CP30</f>
        <v>1.3162594776748104</v>
      </c>
      <c r="CI584">
        <f>'Bookings and Drivers'!CQ30</f>
        <v>1.6630581217720231</v>
      </c>
      <c r="CJ584">
        <f>'Bookings and Drivers'!CR30</f>
        <v>1.1582949548554375</v>
      </c>
      <c r="CK584">
        <f>'Bookings and Drivers'!CS30</f>
        <v>0.66753226499343632</v>
      </c>
      <c r="CL584">
        <f>'Bookings and Drivers'!CT30</f>
        <v>0.4289951726476382</v>
      </c>
      <c r="CM584">
        <f>'Bookings and Drivers'!CU30</f>
        <v>0.30000000000000004</v>
      </c>
      <c r="CN584">
        <f>'Bookings and Drivers'!CV30</f>
        <v>9.6417803149543513E-2</v>
      </c>
      <c r="CO584">
        <f>'Bookings and Drivers'!CW30</f>
        <v>0.27129398524706061</v>
      </c>
      <c r="CP584">
        <f>'Bookings and Drivers'!CX30</f>
        <v>0.25</v>
      </c>
      <c r="CQ584">
        <f>'Bookings and Drivers'!CY30</f>
        <v>0.14999999999999991</v>
      </c>
      <c r="CR584">
        <f>'Bookings and Drivers'!CZ30</f>
        <v>0.12749999999999995</v>
      </c>
      <c r="CS584">
        <f>'Bookings and Drivers'!DA30</f>
        <v>0.10837499999999989</v>
      </c>
      <c r="CT584">
        <f>'Bookings and Drivers'!DB30</f>
        <v>9.3374999999999986E-2</v>
      </c>
      <c r="CU584">
        <f>'Bookings and Drivers'!DC30</f>
        <v>7.8374999999999861E-2</v>
      </c>
      <c r="CV584">
        <f>'Bookings and Drivers'!DD30</f>
        <v>7.8374999999999861E-2</v>
      </c>
      <c r="CW584">
        <f>'Bookings and Drivers'!DE30</f>
        <v>7.8374999999999861E-2</v>
      </c>
      <c r="CX584">
        <f>'Bookings and Drivers'!DF30</f>
        <v>7.8374999999999861E-2</v>
      </c>
    </row>
    <row r="585" spans="1:102">
      <c r="A585" t="str">
        <f>'Bookings and Drivers'!I31</f>
        <v>Period-to-period change Y/Y</v>
      </c>
      <c r="B585">
        <f>'Bookings and Drivers'!J31</f>
        <v>0</v>
      </c>
      <c r="C585">
        <f>'Bookings and Drivers'!K31</f>
        <v>0</v>
      </c>
      <c r="D585">
        <f>'Bookings and Drivers'!L31</f>
        <v>0</v>
      </c>
      <c r="E585">
        <f>'Bookings and Drivers'!M31</f>
        <v>0</v>
      </c>
      <c r="F585">
        <f>'Bookings and Drivers'!N31</f>
        <v>0</v>
      </c>
      <c r="G585">
        <f>'Bookings and Drivers'!O31</f>
        <v>0</v>
      </c>
      <c r="H585">
        <f>'Bookings and Drivers'!P31</f>
        <v>0</v>
      </c>
      <c r="I585">
        <f>'Bookings and Drivers'!Q31</f>
        <v>0</v>
      </c>
      <c r="J585">
        <f>'Bookings and Drivers'!R31</f>
        <v>0</v>
      </c>
      <c r="K585">
        <f>'Bookings and Drivers'!S31</f>
        <v>0</v>
      </c>
      <c r="L585">
        <f>'Bookings and Drivers'!T31</f>
        <v>0</v>
      </c>
      <c r="M585">
        <f>'Bookings and Drivers'!U31</f>
        <v>0</v>
      </c>
      <c r="N585">
        <f>'Bookings and Drivers'!V31</f>
        <v>0</v>
      </c>
      <c r="O585">
        <f>'Bookings and Drivers'!W31</f>
        <v>0</v>
      </c>
      <c r="P585">
        <f>'Bookings and Drivers'!X31</f>
        <v>0</v>
      </c>
      <c r="Q585">
        <f>'Bookings and Drivers'!Y31</f>
        <v>0</v>
      </c>
      <c r="R585">
        <f>'Bookings and Drivers'!Z31</f>
        <v>0</v>
      </c>
      <c r="S585">
        <f>'Bookings and Drivers'!AA31</f>
        <v>0</v>
      </c>
      <c r="T585">
        <f>'Bookings and Drivers'!AB31</f>
        <v>0</v>
      </c>
      <c r="U585">
        <f>'Bookings and Drivers'!AC31</f>
        <v>0</v>
      </c>
      <c r="V585">
        <f>'Bookings and Drivers'!AD31</f>
        <v>0</v>
      </c>
      <c r="W585">
        <f>'Bookings and Drivers'!AE31</f>
        <v>0</v>
      </c>
      <c r="X585">
        <f>'Bookings and Drivers'!AF31</f>
        <v>0</v>
      </c>
      <c r="Y585">
        <f>'Bookings and Drivers'!AG31</f>
        <v>0</v>
      </c>
      <c r="Z585">
        <f>'Bookings and Drivers'!AH31</f>
        <v>0</v>
      </c>
      <c r="AA585">
        <f>'Bookings and Drivers'!AI31</f>
        <v>0</v>
      </c>
      <c r="AB585">
        <f>'Bookings and Drivers'!AJ31</f>
        <v>0</v>
      </c>
      <c r="AC585">
        <f>'Bookings and Drivers'!AK31</f>
        <v>0</v>
      </c>
      <c r="AD585">
        <f>'Bookings and Drivers'!AL31</f>
        <v>0</v>
      </c>
      <c r="AE585">
        <f>'Bookings and Drivers'!AM31</f>
        <v>0</v>
      </c>
      <c r="AF585">
        <f>'Bookings and Drivers'!AN31</f>
        <v>0</v>
      </c>
      <c r="AG585">
        <f>'Bookings and Drivers'!AO31</f>
        <v>0</v>
      </c>
      <c r="AH585">
        <f>'Bookings and Drivers'!AP31</f>
        <v>0</v>
      </c>
      <c r="AI585">
        <f>'Bookings and Drivers'!AQ31</f>
        <v>0</v>
      </c>
      <c r="AJ585">
        <f>'Bookings and Drivers'!AR31</f>
        <v>0</v>
      </c>
      <c r="AK585">
        <f>'Bookings and Drivers'!AS31</f>
        <v>33.21</v>
      </c>
      <c r="AL585">
        <f>'Bookings and Drivers'!AT31</f>
        <v>32.67</v>
      </c>
      <c r="AM585">
        <f>'Bookings and Drivers'!AU31</f>
        <v>45.359999999999992</v>
      </c>
      <c r="AN585">
        <f>'Bookings and Drivers'!AV31</f>
        <v>45</v>
      </c>
      <c r="AO585">
        <f>'Bookings and Drivers'!AW31</f>
        <v>99.433199999999999</v>
      </c>
      <c r="AP585">
        <f>'Bookings and Drivers'!AX31</f>
        <v>96.679000000000002</v>
      </c>
      <c r="AQ585">
        <f>'Bookings and Drivers'!AY31</f>
        <v>128.30399999999997</v>
      </c>
      <c r="AR585">
        <f>'Bookings and Drivers'!AZ31</f>
        <v>132.82500000000002</v>
      </c>
      <c r="AS585">
        <f>'Bookings and Drivers'!BA31</f>
        <v>188.69184000000001</v>
      </c>
      <c r="AT585">
        <f>'Bookings and Drivers'!BB31</f>
        <v>238.00094999999996</v>
      </c>
      <c r="AU585">
        <f>'Bookings and Drivers'!BC31</f>
        <v>206.06399999999996</v>
      </c>
      <c r="AV585">
        <f>'Bookings and Drivers'!BD31</f>
        <v>215.32500000000002</v>
      </c>
      <c r="AW585">
        <f>'Bookings and Drivers'!BE31</f>
        <v>242.15452799999997</v>
      </c>
      <c r="AX585">
        <f>'Bookings and Drivers'!BF31</f>
        <v>274.08496500000001</v>
      </c>
      <c r="AY585">
        <f>'Bookings and Drivers'!BG31</f>
        <v>280.24703999999997</v>
      </c>
      <c r="AZ585">
        <f>'Bookings and Drivers'!BH31</f>
        <v>258.39000000000004</v>
      </c>
      <c r="BA585">
        <f>'Bookings and Drivers'!BI31</f>
        <v>258.75940991999994</v>
      </c>
      <c r="BB585">
        <f>'Bookings and Drivers'!BJ31</f>
        <v>332.81745749999993</v>
      </c>
      <c r="BC585">
        <f>'Bookings and Drivers'!BK31</f>
        <v>297.72126719999994</v>
      </c>
      <c r="BD585">
        <f>'Bookings and Drivers'!BL31</f>
        <v>241.1640000000001</v>
      </c>
      <c r="BE585">
        <f>'Bookings and Drivers'!BM31</f>
        <v>254.05469337599993</v>
      </c>
      <c r="BF585">
        <f>'Bookings and Drivers'!BN31</f>
        <v>299.53571175000002</v>
      </c>
      <c r="BG585">
        <f>'Bookings and Drivers'!BO31</f>
        <v>297.02889216000005</v>
      </c>
      <c r="BH585">
        <f>'Bookings and Drivers'!BP31</f>
        <v>279.0612000000001</v>
      </c>
      <c r="BI585">
        <f>'Bookings and Drivers'!BQ31</f>
        <v>220.18073425919988</v>
      </c>
      <c r="BJ585">
        <f>'Bookings and Drivers'!BR31</f>
        <v>259.59761684999989</v>
      </c>
      <c r="BK585">
        <f>'Bookings and Drivers'!BS31</f>
        <v>-128.71251993600004</v>
      </c>
      <c r="BL585">
        <f>'Bookings and Drivers'!BT31</f>
        <v>120.92652000000021</v>
      </c>
      <c r="BM585">
        <f>'Bookings and Drivers'!BU31</f>
        <v>369.90363355545605</v>
      </c>
      <c r="BN585">
        <f>'Bookings and Drivers'!BV31</f>
        <v>389.39642527499996</v>
      </c>
      <c r="BO585">
        <f>'Bookings and Drivers'!BW31</f>
        <v>324.35555023872007</v>
      </c>
      <c r="BP585">
        <f>'Bookings and Drivers'!BX31</f>
        <v>372.45368160000021</v>
      </c>
      <c r="BQ585">
        <f>'Bookings and Drivers'!BY31</f>
        <v>422.74700977766406</v>
      </c>
      <c r="BR585">
        <f>'Bookings and Drivers'!BZ31</f>
        <v>486.74553159374977</v>
      </c>
      <c r="BS585">
        <f>'Bookings and Drivers'!CA31</f>
        <v>370.69205741567998</v>
      </c>
      <c r="BT585">
        <f>'Bookings and Drivers'!CB31</f>
        <v>425.66135040000017</v>
      </c>
      <c r="BU585">
        <f>'Bookings and Drivers'!CC31</f>
        <v>317.06025733324759</v>
      </c>
      <c r="BV585">
        <f>'Bookings and Drivers'!CD31</f>
        <v>365.05914869531216</v>
      </c>
      <c r="BW585">
        <f>'Bookings and Drivers'!CE31</f>
        <v>278.0190430617597</v>
      </c>
      <c r="BX585">
        <f>'Bookings and Drivers'!CF31</f>
        <v>319.24601279999979</v>
      </c>
      <c r="BY585">
        <f>'Bookings and Drivers'!CG31</f>
        <v>0</v>
      </c>
      <c r="BZ585">
        <f>'Bookings and Drivers'!CH31</f>
        <v>0</v>
      </c>
      <c r="CA585">
        <f>'Bookings and Drivers'!CI31</f>
        <v>0</v>
      </c>
      <c r="CB585">
        <f>'Bookings and Drivers'!CJ31</f>
        <v>0</v>
      </c>
      <c r="CC585">
        <f>'Bookings and Drivers'!CK31</f>
        <v>0</v>
      </c>
      <c r="CD585">
        <f>'Bookings and Drivers'!CL31</f>
        <v>0</v>
      </c>
      <c r="CE585">
        <f>'Bookings and Drivers'!CM31</f>
        <v>0</v>
      </c>
      <c r="CF585">
        <f>'Bookings and Drivers'!CN31</f>
        <v>0</v>
      </c>
      <c r="CG585">
        <f>'Bookings and Drivers'!CO31</f>
        <v>0</v>
      </c>
      <c r="CH585">
        <f>'Bookings and Drivers'!CP31</f>
        <v>156.24</v>
      </c>
      <c r="CI585">
        <f>'Bookings and Drivers'!CQ31</f>
        <v>457.24119999999999</v>
      </c>
      <c r="CJ585">
        <f>'Bookings and Drivers'!CR31</f>
        <v>848.08178999999996</v>
      </c>
      <c r="CK585">
        <f>'Bookings and Drivers'!CS31</f>
        <v>1054.8765329999999</v>
      </c>
      <c r="CL585">
        <f>'Bookings and Drivers'!CT31</f>
        <v>1130.4621346200001</v>
      </c>
      <c r="CM585">
        <f>'Bookings and Drivers'!CU31</f>
        <v>1129.680497286</v>
      </c>
      <c r="CN585">
        <f>'Bookings and Drivers'!CV31</f>
        <v>471.9923511732004</v>
      </c>
      <c r="CO585">
        <f>'Bookings and Drivers'!CW31</f>
        <v>1456.1092906691756</v>
      </c>
      <c r="CP585">
        <f>'Bookings and Drivers'!CX31</f>
        <v>1705.8459491870944</v>
      </c>
      <c r="CQ585">
        <f>'Bookings and Drivers'!CY31</f>
        <v>1279.3844618903204</v>
      </c>
      <c r="CR585">
        <f>'Bookings and Drivers'!CZ31</f>
        <v>1250.598311497788</v>
      </c>
      <c r="CS585">
        <f>'Bookings and Drivers'!DA31</f>
        <v>1198.542156781692</v>
      </c>
      <c r="CT585">
        <f>'Bookings and Drivers'!DB31</f>
        <v>1144.5678428813299</v>
      </c>
      <c r="CU585">
        <f>'Bookings and Drivers'!DC31</f>
        <v>1050.4070274255737</v>
      </c>
      <c r="CV585">
        <f>'Bookings and Drivers'!DD31</f>
        <v>1132.7326782000528</v>
      </c>
      <c r="CW585">
        <f>'Bookings and Drivers'!DE31</f>
        <v>1221.5106018539809</v>
      </c>
      <c r="CX585">
        <f>'Bookings and Drivers'!DF31</f>
        <v>1317.2464952742885</v>
      </c>
    </row>
    <row r="587" spans="1:102">
      <c r="A587" t="str">
        <f>'Bookings and Drivers'!I32</f>
        <v>% of total gross bookings</v>
      </c>
      <c r="B587">
        <f>'Bookings and Drivers'!J32</f>
        <v>0</v>
      </c>
      <c r="C587">
        <f>'Bookings and Drivers'!K32</f>
        <v>0</v>
      </c>
      <c r="D587">
        <f>'Bookings and Drivers'!L32</f>
        <v>0</v>
      </c>
      <c r="E587">
        <f>'Bookings and Drivers'!M32</f>
        <v>0</v>
      </c>
      <c r="F587">
        <f>'Bookings and Drivers'!N32</f>
        <v>0</v>
      </c>
      <c r="G587">
        <f>'Bookings and Drivers'!O32</f>
        <v>0</v>
      </c>
      <c r="H587">
        <f>'Bookings and Drivers'!P32</f>
        <v>0</v>
      </c>
      <c r="I587">
        <f>'Bookings and Drivers'!Q32</f>
        <v>0</v>
      </c>
      <c r="J587">
        <f>'Bookings and Drivers'!R32</f>
        <v>0</v>
      </c>
      <c r="K587">
        <f>'Bookings and Drivers'!S32</f>
        <v>0</v>
      </c>
      <c r="L587">
        <f>'Bookings and Drivers'!T32</f>
        <v>0</v>
      </c>
      <c r="M587">
        <f>'Bookings and Drivers'!U32</f>
        <v>0</v>
      </c>
      <c r="N587">
        <f>'Bookings and Drivers'!V32</f>
        <v>0</v>
      </c>
      <c r="O587">
        <f>'Bookings and Drivers'!W32</f>
        <v>0</v>
      </c>
      <c r="P587">
        <f>'Bookings and Drivers'!X32</f>
        <v>0</v>
      </c>
      <c r="Q587">
        <f>'Bookings and Drivers'!Y32</f>
        <v>0</v>
      </c>
      <c r="R587">
        <f>'Bookings and Drivers'!Z32</f>
        <v>0</v>
      </c>
      <c r="S587">
        <f>'Bookings and Drivers'!AA32</f>
        <v>0</v>
      </c>
      <c r="T587">
        <f>'Bookings and Drivers'!AB32</f>
        <v>0</v>
      </c>
      <c r="U587">
        <f>'Bookings and Drivers'!AC32</f>
        <v>0</v>
      </c>
      <c r="V587">
        <f>'Bookings and Drivers'!AD32</f>
        <v>0</v>
      </c>
      <c r="W587">
        <f>'Bookings and Drivers'!AE32</f>
        <v>0</v>
      </c>
      <c r="X587">
        <f>'Bookings and Drivers'!AF32</f>
        <v>0</v>
      </c>
      <c r="Y587">
        <f>'Bookings and Drivers'!AG32</f>
        <v>0</v>
      </c>
      <c r="Z587">
        <f>'Bookings and Drivers'!AH32</f>
        <v>0</v>
      </c>
      <c r="AA587">
        <f>'Bookings and Drivers'!AI32</f>
        <v>0</v>
      </c>
      <c r="AB587">
        <f>'Bookings and Drivers'!AJ32</f>
        <v>0</v>
      </c>
      <c r="AC587">
        <f>'Bookings and Drivers'!AK32</f>
        <v>0</v>
      </c>
      <c r="AD587">
        <f>'Bookings and Drivers'!AL32</f>
        <v>0</v>
      </c>
      <c r="AE587">
        <f>'Bookings and Drivers'!AM32</f>
        <v>0</v>
      </c>
      <c r="AF587">
        <f>'Bookings and Drivers'!AN32</f>
        <v>1.1117278158447763E-2</v>
      </c>
      <c r="AG587">
        <f>'Bookings and Drivers'!AO32</f>
        <v>1.3988304412798276E-2</v>
      </c>
      <c r="AH587">
        <f>'Bookings and Drivers'!AP32</f>
        <v>1.1469384563251047E-2</v>
      </c>
      <c r="AI587">
        <f>'Bookings and Drivers'!AQ32</f>
        <v>1.5801586693893515E-2</v>
      </c>
      <c r="AJ587">
        <f>'Bookings and Drivers'!AR32</f>
        <v>2.5318797417887767E-2</v>
      </c>
      <c r="AK587">
        <f>'Bookings and Drivers'!AS32</f>
        <v>2.9744019296310327E-2</v>
      </c>
      <c r="AL587">
        <f>'Bookings and Drivers'!AT32</f>
        <v>2.3903213630926311E-2</v>
      </c>
      <c r="AM587">
        <f>'Bookings and Drivers'!AU32</f>
        <v>2.8558354016349066E-2</v>
      </c>
      <c r="AN587">
        <f>'Bookings and Drivers'!AV32</f>
        <v>3.643262349334541E-2</v>
      </c>
      <c r="AO587">
        <f>'Bookings and Drivers'!AW32</f>
        <v>5.3038575637628829E-2</v>
      </c>
      <c r="AP587">
        <f>'Bookings and Drivers'!AX32</f>
        <v>4.5026655484461227E-2</v>
      </c>
      <c r="AQ587">
        <f>'Bookings and Drivers'!AY32</f>
        <v>5.1438841737393902E-2</v>
      </c>
      <c r="AR587">
        <f>'Bookings and Drivers'!AZ32</f>
        <v>6.5949464012251158E-2</v>
      </c>
      <c r="AS587">
        <f>'Bookings and Drivers'!BA32</f>
        <v>7.4155421221864956E-2</v>
      </c>
      <c r="AT587">
        <f>'Bookings and Drivers'!BB32</f>
        <v>6.774220588235294E-2</v>
      </c>
      <c r="AU587">
        <f>'Bookings and Drivers'!BC32</f>
        <v>6.5866709285600122E-2</v>
      </c>
      <c r="AV587">
        <f>'Bookings and Drivers'!BD32</f>
        <v>8.6894673123486685E-2</v>
      </c>
      <c r="AW587">
        <f>'Bookings and Drivers'!BE32</f>
        <v>8.7630691104157346E-2</v>
      </c>
      <c r="AX587">
        <f>'Bookings and Drivers'!BF32</f>
        <v>9.0822065083913217E-2</v>
      </c>
      <c r="AY587">
        <f>'Bookings and Drivers'!BG32</f>
        <v>8.8403350357507654E-2</v>
      </c>
      <c r="AZ587">
        <f>'Bookings and Drivers'!BH32</f>
        <v>0.10465370595382747</v>
      </c>
      <c r="BA587">
        <f>'Bookings and Drivers'!BI32</f>
        <v>9.2521465958702059E-2</v>
      </c>
      <c r="BB587">
        <f>'Bookings and Drivers'!BJ32</f>
        <v>9.8690557724621916E-2</v>
      </c>
      <c r="BC587">
        <f>'Bookings and Drivers'!BK32</f>
        <v>9.1973646744078014E-2</v>
      </c>
      <c r="BD587">
        <f>'Bookings and Drivers'!BL32</f>
        <v>0.10180628214950205</v>
      </c>
      <c r="BE587">
        <f>'Bookings and Drivers'!BM32</f>
        <v>8.9650136099022795E-2</v>
      </c>
      <c r="BF587">
        <f>'Bookings and Drivers'!BN32</f>
        <v>9.5877388406707037E-2</v>
      </c>
      <c r="BG587">
        <f>'Bookings and Drivers'!BO32</f>
        <v>9.3114750731389709E-2</v>
      </c>
      <c r="BH587">
        <f>'Bookings and Drivers'!BP32</f>
        <v>0.11345015479876164</v>
      </c>
      <c r="BI587">
        <f>'Bookings and Drivers'!BQ32</f>
        <v>9.5897532342857125E-2</v>
      </c>
      <c r="BJ587">
        <f>'Bookings and Drivers'!BR32</f>
        <v>0.10411669124999999</v>
      </c>
      <c r="BK587">
        <f>'Bookings and Drivers'!BS32</f>
        <v>7.8387649169305712E-2</v>
      </c>
      <c r="BL587">
        <f>'Bookings and Drivers'!BT32</f>
        <v>0.11072013650740807</v>
      </c>
      <c r="BM587">
        <f>'Bookings and Drivers'!BU32</f>
        <v>0.10154254723537236</v>
      </c>
      <c r="BN587">
        <f>'Bookings and Drivers'!BV32</f>
        <v>0.10900135070960698</v>
      </c>
      <c r="BO587">
        <f>'Bookings and Drivers'!BW32</f>
        <v>8.0323306048901408E-2</v>
      </c>
      <c r="BP587">
        <f>'Bookings and Drivers'!BX32</f>
        <v>0.11266843578613027</v>
      </c>
      <c r="BQ587">
        <f>'Bookings and Drivers'!BY32</f>
        <v>0.10217697340785613</v>
      </c>
      <c r="BR587">
        <f>'Bookings and Drivers'!BZ32</f>
        <v>0.117023015721919</v>
      </c>
      <c r="BS587">
        <f>'Bookings and Drivers'!CA32</f>
        <v>8.5169574812903229E-2</v>
      </c>
      <c r="BT587">
        <f>'Bookings and Drivers'!CB32</f>
        <v>0.11837078709677425</v>
      </c>
      <c r="BU587">
        <f>'Bookings and Drivers'!CC32</f>
        <v>9.7694987899626745E-2</v>
      </c>
      <c r="BV587">
        <f>'Bookings and Drivers'!CD32</f>
        <v>0.11156711062003165</v>
      </c>
      <c r="BW587">
        <f>'Bookings and Drivers'!CE32</f>
        <v>8.5899689409906291E-2</v>
      </c>
      <c r="BX587">
        <f>'Bookings and Drivers'!CF32</f>
        <v>0.11122721440835584</v>
      </c>
      <c r="BY587">
        <f>'Bookings and Drivers'!CG32</f>
        <v>0</v>
      </c>
      <c r="BZ587">
        <f>'Bookings and Drivers'!CH32</f>
        <v>0</v>
      </c>
      <c r="CA587">
        <f>'Bookings and Drivers'!CI32</f>
        <v>0</v>
      </c>
      <c r="CB587">
        <f>'Bookings and Drivers'!CJ32</f>
        <v>0</v>
      </c>
      <c r="CC587">
        <f>'Bookings and Drivers'!CK32</f>
        <v>0</v>
      </c>
      <c r="CD587">
        <f>'Bookings and Drivers'!CL32</f>
        <v>0</v>
      </c>
      <c r="CE587">
        <f>'Bookings and Drivers'!CM32</f>
        <v>0</v>
      </c>
      <c r="CF587">
        <f>'Bookings and Drivers'!CN32</f>
        <v>0</v>
      </c>
      <c r="CG587">
        <f>'Bookings and Drivers'!CO32</f>
        <v>1.6040286930598526E-2</v>
      </c>
      <c r="CH587">
        <f>'Bookings and Drivers'!CP32</f>
        <v>2.9531489693623951E-2</v>
      </c>
      <c r="CI587">
        <f>'Bookings and Drivers'!CQ32</f>
        <v>5.3655863035532714E-2</v>
      </c>
      <c r="CJ587">
        <f>'Bookings and Drivers'!CR32</f>
        <v>7.2964400683350264E-2</v>
      </c>
      <c r="CK587">
        <f>'Bookings and Drivers'!CS32</f>
        <v>9.2604003479055383E-2</v>
      </c>
      <c r="CL587">
        <f>'Bookings and Drivers'!CT32</f>
        <v>9.6129931012457884E-2</v>
      </c>
      <c r="CM587">
        <f>'Bookings and Drivers'!CU32</f>
        <v>9.7321712821192841E-2</v>
      </c>
      <c r="CN587">
        <f>'Bookings and Drivers'!CV32</f>
        <v>9.6658883915847871E-2</v>
      </c>
      <c r="CO587">
        <f>'Bookings and Drivers'!CW32</f>
        <v>0.10021566226663498</v>
      </c>
      <c r="CP587">
        <f>'Bookings and Drivers'!CX32</f>
        <v>0.10500615253657043</v>
      </c>
      <c r="CQ587">
        <f>'Bookings and Drivers'!CY32</f>
        <v>0.10134313912517455</v>
      </c>
      <c r="CR587">
        <f>'Bookings and Drivers'!CZ32</f>
        <v>0</v>
      </c>
      <c r="CS587">
        <f>'Bookings and Drivers'!DA32</f>
        <v>0</v>
      </c>
      <c r="CT587">
        <f>'Bookings and Drivers'!DB32</f>
        <v>0</v>
      </c>
      <c r="CU587">
        <f>'Bookings and Drivers'!DC32</f>
        <v>0</v>
      </c>
      <c r="CV587">
        <f>'Bookings and Drivers'!DD32</f>
        <v>0</v>
      </c>
      <c r="CW587">
        <f>'Bookings and Drivers'!DE32</f>
        <v>0</v>
      </c>
      <c r="CX587">
        <f>'Bookings and Drivers'!DF32</f>
        <v>0</v>
      </c>
    </row>
    <row r="588" spans="1:102">
      <c r="A588" t="str">
        <f>'Bookings and Drivers'!I33</f>
        <v>% of Total year Agoda</v>
      </c>
      <c r="B588">
        <f>'Bookings and Drivers'!J33</f>
        <v>0</v>
      </c>
      <c r="C588">
        <f>'Bookings and Drivers'!K33</f>
        <v>0</v>
      </c>
      <c r="D588">
        <f>'Bookings and Drivers'!L33</f>
        <v>0</v>
      </c>
      <c r="E588">
        <f>'Bookings and Drivers'!M33</f>
        <v>0</v>
      </c>
      <c r="F588">
        <f>'Bookings and Drivers'!N33</f>
        <v>0</v>
      </c>
      <c r="G588">
        <f>'Bookings and Drivers'!O33</f>
        <v>0</v>
      </c>
      <c r="H588">
        <f>'Bookings and Drivers'!P33</f>
        <v>0</v>
      </c>
      <c r="I588">
        <f>'Bookings and Drivers'!Q33</f>
        <v>0</v>
      </c>
      <c r="J588">
        <f>'Bookings and Drivers'!R33</f>
        <v>0</v>
      </c>
      <c r="K588">
        <f>'Bookings and Drivers'!S33</f>
        <v>0</v>
      </c>
      <c r="L588">
        <f>'Bookings and Drivers'!T33</f>
        <v>0</v>
      </c>
      <c r="M588">
        <f>'Bookings and Drivers'!U33</f>
        <v>0</v>
      </c>
      <c r="N588">
        <f>'Bookings and Drivers'!V33</f>
        <v>0</v>
      </c>
      <c r="O588">
        <f>'Bookings and Drivers'!W33</f>
        <v>0</v>
      </c>
      <c r="P588">
        <f>'Bookings and Drivers'!X33</f>
        <v>0</v>
      </c>
      <c r="Q588">
        <f>'Bookings and Drivers'!Y33</f>
        <v>0</v>
      </c>
      <c r="R588">
        <f>'Bookings and Drivers'!Z33</f>
        <v>0</v>
      </c>
      <c r="S588">
        <f>'Bookings and Drivers'!AA33</f>
        <v>0</v>
      </c>
      <c r="T588">
        <f>'Bookings and Drivers'!AB33</f>
        <v>0</v>
      </c>
      <c r="U588">
        <f>'Bookings and Drivers'!AC33</f>
        <v>0</v>
      </c>
      <c r="V588">
        <f>'Bookings and Drivers'!AD33</f>
        <v>0</v>
      </c>
      <c r="W588">
        <f>'Bookings and Drivers'!AE33</f>
        <v>0</v>
      </c>
      <c r="X588">
        <f>'Bookings and Drivers'!AF33</f>
        <v>0</v>
      </c>
      <c r="Y588">
        <f>'Bookings and Drivers'!AG33</f>
        <v>0</v>
      </c>
      <c r="Z588">
        <f>'Bookings and Drivers'!AH33</f>
        <v>0</v>
      </c>
      <c r="AA588">
        <f>'Bookings and Drivers'!AI33</f>
        <v>0</v>
      </c>
      <c r="AB588">
        <f>'Bookings and Drivers'!AJ33</f>
        <v>0</v>
      </c>
      <c r="AC588">
        <f>'Bookings and Drivers'!AK33</f>
        <v>0</v>
      </c>
      <c r="AD588">
        <f>'Bookings and Drivers'!AL33</f>
        <v>0</v>
      </c>
      <c r="AE588">
        <f>'Bookings and Drivers'!AM33</f>
        <v>0</v>
      </c>
      <c r="AF588">
        <f>'Bookings and Drivers'!AN33</f>
        <v>0</v>
      </c>
      <c r="AG588">
        <f>'Bookings and Drivers'!AO33</f>
        <v>0.20724515585509692</v>
      </c>
      <c r="AH588">
        <f>'Bookings and Drivers'!AP33</f>
        <v>0.20387531592249369</v>
      </c>
      <c r="AI588">
        <f>'Bookings and Drivers'!AQ33</f>
        <v>0.27295703454085934</v>
      </c>
      <c r="AJ588">
        <f>'Bookings and Drivers'!AR33</f>
        <v>0.31592249368155018</v>
      </c>
      <c r="AK588">
        <f>'Bookings and Drivers'!AS33</f>
        <v>0.21026405761257003</v>
      </c>
      <c r="AL588">
        <f>'Bookings and Drivers'!AT33</f>
        <v>0.20684512984651196</v>
      </c>
      <c r="AM588">
        <f>'Bookings and Drivers'!AU33</f>
        <v>0.28282534371135515</v>
      </c>
      <c r="AN588">
        <f>'Bookings and Drivers'!AV33</f>
        <v>0.30006546882956281</v>
      </c>
      <c r="AO588">
        <f>'Bookings and Drivers'!AW33</f>
        <v>0.21475995286412708</v>
      </c>
      <c r="AP588">
        <f>'Bookings and Drivers'!AX33</f>
        <v>0.20971448051384003</v>
      </c>
      <c r="AQ588">
        <f>'Bookings and Drivers'!AY33</f>
        <v>0.28143852915098061</v>
      </c>
      <c r="AR588">
        <f>'Bookings and Drivers'!AZ33</f>
        <v>0.29408703747105225</v>
      </c>
      <c r="AS588">
        <f>'Bookings and Drivers'!BA33</f>
        <v>0.21890979045203104</v>
      </c>
      <c r="AT588">
        <f>'Bookings and Drivers'!BB33</f>
        <v>0.24777518202840401</v>
      </c>
      <c r="AU588">
        <f>'Bookings and Drivers'!BC33</f>
        <v>0.26079709681741009</v>
      </c>
      <c r="AV588">
        <f>'Bookings and Drivers'!BD33</f>
        <v>0.27251793070215485</v>
      </c>
      <c r="AW588">
        <f>'Bookings and Drivers'!BE33</f>
        <v>0.22317207983374018</v>
      </c>
      <c r="AX588">
        <f>'Bookings and Drivers'!BF33</f>
        <v>0.25259949584840258</v>
      </c>
      <c r="AY588">
        <f>'Bookings and Drivers'!BG33</f>
        <v>0.26274701356676511</v>
      </c>
      <c r="AZ588">
        <f>'Bookings and Drivers'!BH33</f>
        <v>0.26148141075109216</v>
      </c>
      <c r="BA588">
        <f>'Bookings and Drivers'!BI33</f>
        <v>0.22489074918647659</v>
      </c>
      <c r="BB588">
        <f>'Bookings and Drivers'!BJ33</f>
        <v>0.26515082137791995</v>
      </c>
      <c r="BC588">
        <f>'Bookings and Drivers'!BK33</f>
        <v>0.26293176953448055</v>
      </c>
      <c r="BD588">
        <f>'Bookings and Drivers'!BL33</f>
        <v>0.24702665990112285</v>
      </c>
      <c r="BE588">
        <f>'Bookings and Drivers'!BM33</f>
        <v>0.22489074918647659</v>
      </c>
      <c r="BF588">
        <f>'Bookings and Drivers'!BN33</f>
        <v>0.26515082137791995</v>
      </c>
      <c r="BG588">
        <f>'Bookings and Drivers'!BO33</f>
        <v>0.26293176953448061</v>
      </c>
      <c r="BH588">
        <f>'Bookings and Drivers'!BP33</f>
        <v>0.24702665990112285</v>
      </c>
      <c r="BI588">
        <f>'Bookings and Drivers'!BQ33</f>
        <v>0.24613691810599292</v>
      </c>
      <c r="BJ588">
        <f>'Bookings and Drivers'!BR33</f>
        <v>0.29020049176464013</v>
      </c>
      <c r="BK588">
        <f>'Bookings and Drivers'!BS33</f>
        <v>0.21582884909499842</v>
      </c>
      <c r="BL588">
        <f>'Bookings and Drivers'!BT33</f>
        <v>0.24783374103436848</v>
      </c>
      <c r="BM588">
        <f>'Bookings and Drivers'!BU33</f>
        <v>0.24782250119310031</v>
      </c>
      <c r="BN588">
        <f>'Bookings and Drivers'!BV33</f>
        <v>0.28533967667227178</v>
      </c>
      <c r="BO588">
        <f>'Bookings and Drivers'!BW33</f>
        <v>0.21730687791141401</v>
      </c>
      <c r="BP588">
        <f>'Bookings and Drivers'!BX33</f>
        <v>0.24953094422321392</v>
      </c>
      <c r="BQ588">
        <f>'Bookings and Drivers'!BY33</f>
        <v>0.24782250119310031</v>
      </c>
      <c r="BR588">
        <f>'Bookings and Drivers'!BZ33</f>
        <v>0.28533967667227172</v>
      </c>
      <c r="BS588">
        <f>'Bookings and Drivers'!CA33</f>
        <v>0.21730687791141401</v>
      </c>
      <c r="BT588">
        <f>'Bookings and Drivers'!CB33</f>
        <v>0.24953094422321392</v>
      </c>
      <c r="BU588">
        <f>'Bookings and Drivers'!CC33</f>
        <v>0.24782250119310029</v>
      </c>
      <c r="BV588">
        <f>'Bookings and Drivers'!CD33</f>
        <v>0.28533967667227172</v>
      </c>
      <c r="BW588">
        <f>'Bookings and Drivers'!CE33</f>
        <v>0.21730687791141398</v>
      </c>
      <c r="BX588">
        <f>'Bookings and Drivers'!CF33</f>
        <v>0.2495309442232139</v>
      </c>
      <c r="BY588">
        <f>'Bookings and Drivers'!CG33</f>
        <v>0</v>
      </c>
      <c r="BZ588">
        <f>'Bookings and Drivers'!CH33</f>
        <v>0</v>
      </c>
      <c r="CA588">
        <f>'Bookings and Drivers'!CI33</f>
        <v>0</v>
      </c>
      <c r="CB588">
        <f>'Bookings and Drivers'!CJ33</f>
        <v>0</v>
      </c>
      <c r="CC588">
        <f>'Bookings and Drivers'!CK33</f>
        <v>0</v>
      </c>
      <c r="CD588">
        <f>'Bookings and Drivers'!CL33</f>
        <v>0</v>
      </c>
      <c r="CE588">
        <f>'Bookings and Drivers'!CM33</f>
        <v>0</v>
      </c>
      <c r="CF588">
        <f>'Bookings and Drivers'!CN33</f>
        <v>0</v>
      </c>
      <c r="CG588">
        <f>'Bookings and Drivers'!CO33</f>
        <v>0</v>
      </c>
      <c r="CH588">
        <f>'Bookings and Drivers'!CP33</f>
        <v>0</v>
      </c>
      <c r="CI588">
        <f>'Bookings and Drivers'!CQ33</f>
        <v>0</v>
      </c>
      <c r="CJ588">
        <f>'Bookings and Drivers'!CR33</f>
        <v>0</v>
      </c>
      <c r="CK588">
        <f>'Bookings and Drivers'!CS33</f>
        <v>0</v>
      </c>
      <c r="CL588">
        <f>'Bookings and Drivers'!CT33</f>
        <v>0</v>
      </c>
      <c r="CM588">
        <f>'Bookings and Drivers'!CU33</f>
        <v>0</v>
      </c>
      <c r="CN588">
        <f>'Bookings and Drivers'!CV33</f>
        <v>0</v>
      </c>
      <c r="CO588">
        <f>'Bookings and Drivers'!CW33</f>
        <v>0</v>
      </c>
      <c r="CP588">
        <f>'Bookings and Drivers'!CX33</f>
        <v>0</v>
      </c>
      <c r="CQ588">
        <f>'Bookings and Drivers'!CY33</f>
        <v>0</v>
      </c>
      <c r="CR588">
        <f>'Bookings and Drivers'!CZ33</f>
        <v>0</v>
      </c>
      <c r="CS588">
        <f>'Bookings and Drivers'!DA33</f>
        <v>0</v>
      </c>
      <c r="CT588">
        <f>'Bookings and Drivers'!DB33</f>
        <v>0</v>
      </c>
      <c r="CU588">
        <f>'Bookings and Drivers'!DC33</f>
        <v>0</v>
      </c>
      <c r="CV588">
        <f>'Bookings and Drivers'!DD33</f>
        <v>0</v>
      </c>
      <c r="CW588">
        <f>'Bookings and Drivers'!DE33</f>
        <v>0</v>
      </c>
      <c r="CX588">
        <f>'Bookings and Drivers'!DF33</f>
        <v>0</v>
      </c>
    </row>
    <row r="589" spans="1:102">
      <c r="A589">
        <f>'Bookings and Drivers'!I34</f>
        <v>0</v>
      </c>
      <c r="B589">
        <f>'Bookings and Drivers'!J34</f>
        <v>0</v>
      </c>
      <c r="C589">
        <f>'Bookings and Drivers'!K34</f>
        <v>0</v>
      </c>
      <c r="D589">
        <f>'Bookings and Drivers'!L34</f>
        <v>0</v>
      </c>
      <c r="E589">
        <f>'Bookings and Drivers'!M34</f>
        <v>0</v>
      </c>
      <c r="F589">
        <f>'Bookings and Drivers'!N34</f>
        <v>0</v>
      </c>
      <c r="G589">
        <f>'Bookings and Drivers'!O34</f>
        <v>0</v>
      </c>
      <c r="H589">
        <f>'Bookings and Drivers'!P34</f>
        <v>0</v>
      </c>
      <c r="I589">
        <f>'Bookings and Drivers'!Q34</f>
        <v>0</v>
      </c>
      <c r="J589">
        <f>'Bookings and Drivers'!R34</f>
        <v>0</v>
      </c>
      <c r="K589">
        <f>'Bookings and Drivers'!S34</f>
        <v>0</v>
      </c>
      <c r="L589">
        <f>'Bookings and Drivers'!T34</f>
        <v>0</v>
      </c>
      <c r="M589">
        <f>'Bookings and Drivers'!U34</f>
        <v>0</v>
      </c>
      <c r="N589">
        <f>'Bookings and Drivers'!V34</f>
        <v>0</v>
      </c>
      <c r="O589">
        <f>'Bookings and Drivers'!W34</f>
        <v>0</v>
      </c>
      <c r="P589">
        <f>'Bookings and Drivers'!X34</f>
        <v>0</v>
      </c>
      <c r="Q589">
        <f>'Bookings and Drivers'!Y34</f>
        <v>0</v>
      </c>
      <c r="R589">
        <f>'Bookings and Drivers'!Z34</f>
        <v>0</v>
      </c>
      <c r="S589">
        <f>'Bookings and Drivers'!AA34</f>
        <v>0</v>
      </c>
      <c r="T589">
        <f>'Bookings and Drivers'!AB34</f>
        <v>0</v>
      </c>
      <c r="U589">
        <f>'Bookings and Drivers'!AC34</f>
        <v>0</v>
      </c>
      <c r="V589">
        <f>'Bookings and Drivers'!AD34</f>
        <v>0</v>
      </c>
      <c r="W589">
        <f>'Bookings and Drivers'!AE34</f>
        <v>0</v>
      </c>
      <c r="X589">
        <f>'Bookings and Drivers'!AF34</f>
        <v>0</v>
      </c>
      <c r="Y589">
        <f>'Bookings and Drivers'!AG34</f>
        <v>0</v>
      </c>
      <c r="Z589">
        <f>'Bookings and Drivers'!AH34</f>
        <v>0</v>
      </c>
      <c r="AA589">
        <f>'Bookings and Drivers'!AI34</f>
        <v>0</v>
      </c>
      <c r="AB589">
        <f>'Bookings and Drivers'!AJ34</f>
        <v>0</v>
      </c>
      <c r="AC589">
        <f>'Bookings and Drivers'!AK34</f>
        <v>0</v>
      </c>
      <c r="AD589">
        <f>'Bookings and Drivers'!AL34</f>
        <v>0</v>
      </c>
      <c r="AE589">
        <f>'Bookings and Drivers'!AM34</f>
        <v>0</v>
      </c>
      <c r="AF589">
        <f>'Bookings and Drivers'!AN34</f>
        <v>0</v>
      </c>
      <c r="AG589">
        <f>'Bookings and Drivers'!AO34</f>
        <v>0</v>
      </c>
      <c r="AH589">
        <f>'Bookings and Drivers'!AP34</f>
        <v>0</v>
      </c>
      <c r="AI589">
        <f>'Bookings and Drivers'!AQ34</f>
        <v>0</v>
      </c>
      <c r="AJ589">
        <f>'Bookings and Drivers'!AR34</f>
        <v>0</v>
      </c>
      <c r="AK589">
        <f>'Bookings and Drivers'!AS34</f>
        <v>0</v>
      </c>
      <c r="AL589">
        <f>'Bookings and Drivers'!AT34</f>
        <v>0</v>
      </c>
      <c r="AM589">
        <f>'Bookings and Drivers'!AU34</f>
        <v>0</v>
      </c>
      <c r="AN589">
        <f>'Bookings and Drivers'!AV34</f>
        <v>0</v>
      </c>
      <c r="AO589">
        <f>'Bookings and Drivers'!AW34</f>
        <v>0</v>
      </c>
      <c r="AP589">
        <f>'Bookings and Drivers'!AX34</f>
        <v>0</v>
      </c>
      <c r="AQ589">
        <f>'Bookings and Drivers'!AY34</f>
        <v>0</v>
      </c>
      <c r="AR589">
        <f>'Bookings and Drivers'!AZ34</f>
        <v>0</v>
      </c>
      <c r="AS589">
        <f>'Bookings and Drivers'!BA34</f>
        <v>0</v>
      </c>
      <c r="AT589">
        <f>'Bookings and Drivers'!BB34</f>
        <v>0</v>
      </c>
      <c r="AU589">
        <f>'Bookings and Drivers'!BC34</f>
        <v>0</v>
      </c>
      <c r="AV589">
        <f>'Bookings and Drivers'!BD34</f>
        <v>0</v>
      </c>
      <c r="AW589">
        <f>'Bookings and Drivers'!BE34</f>
        <v>0</v>
      </c>
      <c r="AX589">
        <f>'Bookings and Drivers'!BF34</f>
        <v>0</v>
      </c>
      <c r="AY589">
        <f>'Bookings and Drivers'!BG34</f>
        <v>0</v>
      </c>
      <c r="AZ589">
        <f>'Bookings and Drivers'!BH34</f>
        <v>0</v>
      </c>
      <c r="BA589">
        <f>'Bookings and Drivers'!BI34</f>
        <v>0</v>
      </c>
      <c r="BB589">
        <f>'Bookings and Drivers'!BJ34</f>
        <v>0</v>
      </c>
      <c r="BC589">
        <f>'Bookings and Drivers'!BK34</f>
        <v>0</v>
      </c>
      <c r="BD589">
        <f>'Bookings and Drivers'!BL34</f>
        <v>0</v>
      </c>
      <c r="BE589">
        <f>'Bookings and Drivers'!BM34</f>
        <v>0</v>
      </c>
      <c r="BF589">
        <f>'Bookings and Drivers'!BN34</f>
        <v>0</v>
      </c>
      <c r="BG589">
        <f>'Bookings and Drivers'!BO34</f>
        <v>0</v>
      </c>
      <c r="BH589">
        <f>'Bookings and Drivers'!BP34</f>
        <v>0</v>
      </c>
      <c r="BI589">
        <f>'Bookings and Drivers'!BQ34</f>
        <v>0</v>
      </c>
      <c r="BJ589">
        <f>'Bookings and Drivers'!BR34</f>
        <v>0</v>
      </c>
      <c r="BK589">
        <f>'Bookings and Drivers'!BS34</f>
        <v>0</v>
      </c>
      <c r="BL589">
        <f>'Bookings and Drivers'!BT34</f>
        <v>0</v>
      </c>
      <c r="BM589">
        <f>'Bookings and Drivers'!BU34</f>
        <v>0</v>
      </c>
      <c r="BN589">
        <f>'Bookings and Drivers'!BV34</f>
        <v>0</v>
      </c>
      <c r="BO589">
        <f>'Bookings and Drivers'!BW34</f>
        <v>0</v>
      </c>
      <c r="BP589">
        <f>'Bookings and Drivers'!BX34</f>
        <v>0</v>
      </c>
      <c r="BQ589">
        <f>'Bookings and Drivers'!BY34</f>
        <v>0</v>
      </c>
      <c r="BR589">
        <f>'Bookings and Drivers'!BZ34</f>
        <v>0</v>
      </c>
      <c r="BS589">
        <f>'Bookings and Drivers'!CA34</f>
        <v>0</v>
      </c>
      <c r="BT589">
        <f>'Bookings and Drivers'!CB34</f>
        <v>0</v>
      </c>
      <c r="BU589">
        <f>'Bookings and Drivers'!CC34</f>
        <v>0</v>
      </c>
      <c r="BV589">
        <f>'Bookings and Drivers'!CD34</f>
        <v>0</v>
      </c>
      <c r="BW589">
        <f>'Bookings and Drivers'!CE34</f>
        <v>0</v>
      </c>
      <c r="BX589">
        <f>'Bookings and Drivers'!CF34</f>
        <v>0</v>
      </c>
      <c r="BY589">
        <f>'Bookings and Drivers'!CG34</f>
        <v>0</v>
      </c>
      <c r="BZ589">
        <f>'Bookings and Drivers'!CH34</f>
        <v>0</v>
      </c>
      <c r="CA589">
        <f>'Bookings and Drivers'!CI34</f>
        <v>0</v>
      </c>
      <c r="CB589">
        <f>'Bookings and Drivers'!CJ34</f>
        <v>0</v>
      </c>
      <c r="CC589">
        <f>'Bookings and Drivers'!CK34</f>
        <v>0</v>
      </c>
      <c r="CD589">
        <f>'Bookings and Drivers'!CL34</f>
        <v>0</v>
      </c>
      <c r="CE589">
        <f>'Bookings and Drivers'!CM34</f>
        <v>0</v>
      </c>
      <c r="CF589">
        <f>'Bookings and Drivers'!CN34</f>
        <v>0</v>
      </c>
      <c r="CG589">
        <f>'Bookings and Drivers'!CO34</f>
        <v>0</v>
      </c>
      <c r="CH589">
        <f>'Bookings and Drivers'!CP34</f>
        <v>0</v>
      </c>
      <c r="CI589">
        <f>'Bookings and Drivers'!CQ34</f>
        <v>0</v>
      </c>
      <c r="CJ589">
        <f>'Bookings and Drivers'!CR34</f>
        <v>0</v>
      </c>
      <c r="CK589">
        <f>'Bookings and Drivers'!CS34</f>
        <v>0</v>
      </c>
      <c r="CL589">
        <f>'Bookings and Drivers'!CT34</f>
        <v>0</v>
      </c>
      <c r="CM589">
        <f>'Bookings and Drivers'!CU34</f>
        <v>0</v>
      </c>
      <c r="CN589">
        <f>'Bookings and Drivers'!CV34</f>
        <v>0</v>
      </c>
      <c r="CO589">
        <f>'Bookings and Drivers'!CW34</f>
        <v>0</v>
      </c>
      <c r="CP589">
        <f>'Bookings and Drivers'!CX34</f>
        <v>0</v>
      </c>
      <c r="CQ589">
        <f>'Bookings and Drivers'!CY34</f>
        <v>0</v>
      </c>
      <c r="CR589">
        <f>'Bookings and Drivers'!CZ34</f>
        <v>0</v>
      </c>
      <c r="CS589">
        <f>'Bookings and Drivers'!DA34</f>
        <v>0</v>
      </c>
      <c r="CT589">
        <f>'Bookings and Drivers'!DB34</f>
        <v>0</v>
      </c>
      <c r="CU589">
        <f>'Bookings and Drivers'!DC34</f>
        <v>0</v>
      </c>
      <c r="CV589">
        <f>'Bookings and Drivers'!DD34</f>
        <v>0</v>
      </c>
      <c r="CW589">
        <f>'Bookings and Drivers'!DE34</f>
        <v>0</v>
      </c>
      <c r="CX589">
        <f>'Bookings and Drivers'!DF34</f>
        <v>0</v>
      </c>
    </row>
    <row r="590" spans="1:102">
      <c r="A590" t="str">
        <f>'Bookings and Drivers'!I35</f>
        <v>Travel Jigsaw (Int'l Merchant)</v>
      </c>
      <c r="B590">
        <f>'Bookings and Drivers'!J35</f>
        <v>0</v>
      </c>
      <c r="C590">
        <f>'Bookings and Drivers'!K35</f>
        <v>0</v>
      </c>
      <c r="D590">
        <f>'Bookings and Drivers'!L35</f>
        <v>0</v>
      </c>
      <c r="E590">
        <f>'Bookings and Drivers'!M35</f>
        <v>0</v>
      </c>
      <c r="F590">
        <f>'Bookings and Drivers'!N35</f>
        <v>0</v>
      </c>
      <c r="G590">
        <f>'Bookings and Drivers'!O35</f>
        <v>0</v>
      </c>
      <c r="H590">
        <f>'Bookings and Drivers'!P35</f>
        <v>0</v>
      </c>
      <c r="I590">
        <f>'Bookings and Drivers'!Q35</f>
        <v>0</v>
      </c>
      <c r="J590">
        <f>'Bookings and Drivers'!R35</f>
        <v>0</v>
      </c>
      <c r="K590">
        <f>'Bookings and Drivers'!S35</f>
        <v>0</v>
      </c>
      <c r="L590">
        <f>'Bookings and Drivers'!T35</f>
        <v>0</v>
      </c>
      <c r="M590">
        <f>'Bookings and Drivers'!U35</f>
        <v>0</v>
      </c>
      <c r="N590">
        <f>'Bookings and Drivers'!V35</f>
        <v>0</v>
      </c>
      <c r="O590">
        <f>'Bookings and Drivers'!W35</f>
        <v>0</v>
      </c>
      <c r="P590">
        <f>'Bookings and Drivers'!X35</f>
        <v>0</v>
      </c>
      <c r="Q590">
        <f>'Bookings and Drivers'!Y35</f>
        <v>0</v>
      </c>
      <c r="R590">
        <f>'Bookings and Drivers'!Z35</f>
        <v>0</v>
      </c>
      <c r="S590">
        <f>'Bookings and Drivers'!AA35</f>
        <v>0</v>
      </c>
      <c r="T590">
        <f>'Bookings and Drivers'!AB35</f>
        <v>0</v>
      </c>
      <c r="U590">
        <f>'Bookings and Drivers'!AC35</f>
        <v>0</v>
      </c>
      <c r="V590">
        <f>'Bookings and Drivers'!AD35</f>
        <v>0</v>
      </c>
      <c r="W590">
        <f>'Bookings and Drivers'!AE35</f>
        <v>0</v>
      </c>
      <c r="X590">
        <f>'Bookings and Drivers'!AF35</f>
        <v>0</v>
      </c>
      <c r="Y590">
        <f>'Bookings and Drivers'!AG35</f>
        <v>0</v>
      </c>
      <c r="Z590">
        <f>'Bookings and Drivers'!AH35</f>
        <v>0</v>
      </c>
      <c r="AA590">
        <f>'Bookings and Drivers'!AI35</f>
        <v>0</v>
      </c>
      <c r="AB590">
        <f>'Bookings and Drivers'!AJ35</f>
        <v>0</v>
      </c>
      <c r="AC590">
        <f>'Bookings and Drivers'!AK35</f>
        <v>0</v>
      </c>
      <c r="AD590">
        <f>'Bookings and Drivers'!AL35</f>
        <v>0</v>
      </c>
      <c r="AE590">
        <f>'Bookings and Drivers'!AM35</f>
        <v>0</v>
      </c>
      <c r="AF590">
        <f>'Bookings and Drivers'!AN35</f>
        <v>0</v>
      </c>
      <c r="AG590">
        <f>'Bookings and Drivers'!AO35</f>
        <v>0</v>
      </c>
      <c r="AH590">
        <f>'Bookings and Drivers'!AP35</f>
        <v>0</v>
      </c>
      <c r="AI590">
        <f>'Bookings and Drivers'!AQ35</f>
        <v>0</v>
      </c>
      <c r="AJ590">
        <f>'Bookings and Drivers'!AR35</f>
        <v>0</v>
      </c>
      <c r="AK590">
        <f>'Bookings and Drivers'!AS35</f>
        <v>0</v>
      </c>
      <c r="AL590">
        <f>'Bookings and Drivers'!AT35</f>
        <v>0</v>
      </c>
      <c r="AM590">
        <f>'Bookings and Drivers'!AU35</f>
        <v>0</v>
      </c>
      <c r="AN590">
        <f>'Bookings and Drivers'!AV35</f>
        <v>0</v>
      </c>
      <c r="AO590">
        <f>'Bookings and Drivers'!AW35</f>
        <v>0</v>
      </c>
      <c r="AP590">
        <f>'Bookings and Drivers'!AX35</f>
        <v>43.9</v>
      </c>
      <c r="AQ590">
        <f>'Bookings and Drivers'!AY35</f>
        <v>85.8</v>
      </c>
      <c r="AR590">
        <f>'Bookings and Drivers'!AZ35</f>
        <v>55</v>
      </c>
      <c r="AS590">
        <f>'Bookings and Drivers'!BA35</f>
        <v>95.7</v>
      </c>
      <c r="AT590">
        <f>'Bookings and Drivers'!BB35</f>
        <v>100</v>
      </c>
      <c r="AU590">
        <f>'Bookings and Drivers'!BC35</f>
        <v>180.18</v>
      </c>
      <c r="AV590">
        <f>'Bookings and Drivers'!BD35</f>
        <v>115.5</v>
      </c>
      <c r="AW590">
        <f>'Bookings and Drivers'!BE35</f>
        <v>162.69</v>
      </c>
      <c r="AX590">
        <f>'Bookings and Drivers'!BF35</f>
        <v>160</v>
      </c>
      <c r="AY590">
        <f>'Bookings and Drivers'!BG35</f>
        <v>288.28800000000001</v>
      </c>
      <c r="AZ590">
        <f>'Bookings and Drivers'!BH35</f>
        <v>173.25</v>
      </c>
      <c r="BA590">
        <f>'Bookings and Drivers'!BI35</f>
        <v>227.76599999999999</v>
      </c>
      <c r="BB590">
        <f>'Bookings and Drivers'!BJ35</f>
        <v>224</v>
      </c>
      <c r="BC590">
        <f>'Bookings and Drivers'!BK35</f>
        <v>403.60320000000002</v>
      </c>
      <c r="BD590">
        <f>'Bookings and Drivers'!BL35</f>
        <v>225.22499999999999</v>
      </c>
      <c r="BE590">
        <f>'Bookings and Drivers'!BM35</f>
        <v>282.42984000000001</v>
      </c>
      <c r="BF590">
        <f>'Bookings and Drivers'!BN35</f>
        <v>268.8</v>
      </c>
      <c r="BG590">
        <f>'Bookings and Drivers'!BO35</f>
        <v>516.61209600000007</v>
      </c>
      <c r="BH590">
        <f>'Bookings and Drivers'!BP35</f>
        <v>270.27</v>
      </c>
      <c r="BI590">
        <f>'Bookings and Drivers'!BQ35</f>
        <v>338.91580800000003</v>
      </c>
      <c r="BJ590">
        <f>'Bookings and Drivers'!BR35</f>
        <v>322.56</v>
      </c>
      <c r="BK590">
        <f>'Bookings and Drivers'!BS35</f>
        <v>645.76512000000002</v>
      </c>
      <c r="BL590">
        <f>'Bookings and Drivers'!BT35</f>
        <v>310.81049999999993</v>
      </c>
      <c r="BM590">
        <f>'Bookings and Drivers'!BU35</f>
        <v>379.58570496000004</v>
      </c>
      <c r="BN590">
        <f>'Bookings and Drivers'!BV35</f>
        <v>361.26720000000006</v>
      </c>
      <c r="BO590">
        <f>'Bookings and Drivers'!BW35</f>
        <v>723.25693440000009</v>
      </c>
      <c r="BP590">
        <f>'Bookings and Drivers'!BX35</f>
        <v>348.10775999999998</v>
      </c>
      <c r="BQ590">
        <f>'Bookings and Drivers'!BY35</f>
        <v>417.54427545600009</v>
      </c>
      <c r="BR590">
        <f>'Bookings and Drivers'!BZ35</f>
        <v>397.39392000000009</v>
      </c>
      <c r="BS590">
        <f>'Bookings and Drivers'!CA35</f>
        <v>795.58262784000021</v>
      </c>
      <c r="BT590">
        <f>'Bookings and Drivers'!CB35</f>
        <v>382.91853600000002</v>
      </c>
      <c r="BU590">
        <f>'Bookings and Drivers'!CC35</f>
        <v>438.42148922880011</v>
      </c>
      <c r="BV590">
        <f>'Bookings and Drivers'!CD35</f>
        <v>417.26361600000013</v>
      </c>
      <c r="BW590">
        <f>'Bookings and Drivers'!CE35</f>
        <v>835.36175923200028</v>
      </c>
      <c r="BX590">
        <f>'Bookings and Drivers'!CF35</f>
        <v>402.06446280000006</v>
      </c>
      <c r="BY590">
        <f>'Bookings and Drivers'!CG35</f>
        <v>0</v>
      </c>
      <c r="BZ590">
        <f>'Bookings and Drivers'!CH35</f>
        <v>0</v>
      </c>
      <c r="CA590">
        <f>'Bookings and Drivers'!CI35</f>
        <v>0</v>
      </c>
      <c r="CB590">
        <f>'Bookings and Drivers'!CJ35</f>
        <v>0</v>
      </c>
      <c r="CC590">
        <f>'Bookings and Drivers'!CK35</f>
        <v>0</v>
      </c>
      <c r="CD590">
        <f>'Bookings and Drivers'!CL35</f>
        <v>0</v>
      </c>
      <c r="CE590">
        <f>'Bookings and Drivers'!CM35</f>
        <v>0</v>
      </c>
      <c r="CF590">
        <f>'Bookings and Drivers'!CN35</f>
        <v>0</v>
      </c>
      <c r="CG590">
        <f>'Bookings and Drivers'!CO35</f>
        <v>0</v>
      </c>
      <c r="CH590">
        <f>'Bookings and Drivers'!CP35</f>
        <v>0</v>
      </c>
      <c r="CI590">
        <f>'Bookings and Drivers'!CQ35</f>
        <v>184.7</v>
      </c>
      <c r="CJ590">
        <f>'Bookings and Drivers'!CR35</f>
        <v>491.38</v>
      </c>
      <c r="CK590">
        <f>'Bookings and Drivers'!CS35</f>
        <v>784.22800000000007</v>
      </c>
      <c r="CL590">
        <f>'Bookings and Drivers'!CT35</f>
        <v>1080.5942</v>
      </c>
      <c r="CM590">
        <f>'Bookings and Drivers'!CU35</f>
        <v>1338.111936</v>
      </c>
      <c r="CN590">
        <f>'Bookings and Drivers'!CV35</f>
        <v>1618.0514280000002</v>
      </c>
      <c r="CO590">
        <f>'Bookings and Drivers'!CW35</f>
        <v>1812.2175993600003</v>
      </c>
      <c r="CP590">
        <f>'Bookings and Drivers'!CX35</f>
        <v>1993.4393592960005</v>
      </c>
      <c r="CQ590">
        <f>'Bookings and Drivers'!CY35</f>
        <v>2093.1113272608004</v>
      </c>
      <c r="CR590">
        <f>'Bookings and Drivers'!CZ35</f>
        <v>2176.8357803512326</v>
      </c>
      <c r="CS590">
        <f>'Bookings and Drivers'!DA35</f>
        <v>2242.1408537617699</v>
      </c>
      <c r="CT590">
        <f>'Bookings and Drivers'!DB35</f>
        <v>2286.9836708370053</v>
      </c>
      <c r="CU590">
        <f>'Bookings and Drivers'!DC35</f>
        <v>2309.8535075453756</v>
      </c>
      <c r="CV590">
        <f>'Bookings and Drivers'!DD35</f>
        <v>2309.8535075453756</v>
      </c>
      <c r="CW590">
        <f>'Bookings and Drivers'!DE35</f>
        <v>2286.754972469922</v>
      </c>
      <c r="CX590">
        <f>'Bookings and Drivers'!DF35</f>
        <v>2263.8874227452229</v>
      </c>
    </row>
    <row r="591" spans="1:102">
      <c r="A591" t="str">
        <f>'Bookings and Drivers'!I36</f>
        <v>% change Y/Y</v>
      </c>
      <c r="B591">
        <f>'Bookings and Drivers'!J36</f>
        <v>0</v>
      </c>
      <c r="C591">
        <f>'Bookings and Drivers'!K36</f>
        <v>0</v>
      </c>
      <c r="D591">
        <f>'Bookings and Drivers'!L36</f>
        <v>0</v>
      </c>
      <c r="E591">
        <f>'Bookings and Drivers'!M36</f>
        <v>0</v>
      </c>
      <c r="F591">
        <f>'Bookings and Drivers'!N36</f>
        <v>0</v>
      </c>
      <c r="G591">
        <f>'Bookings and Drivers'!O36</f>
        <v>0</v>
      </c>
      <c r="H591">
        <f>'Bookings and Drivers'!P36</f>
        <v>0</v>
      </c>
      <c r="I591">
        <f>'Bookings and Drivers'!Q36</f>
        <v>0</v>
      </c>
      <c r="J591">
        <f>'Bookings and Drivers'!R36</f>
        <v>0</v>
      </c>
      <c r="K591">
        <f>'Bookings and Drivers'!S36</f>
        <v>0</v>
      </c>
      <c r="L591">
        <f>'Bookings and Drivers'!T36</f>
        <v>0</v>
      </c>
      <c r="M591">
        <f>'Bookings and Drivers'!U36</f>
        <v>0</v>
      </c>
      <c r="N591">
        <f>'Bookings and Drivers'!V36</f>
        <v>0</v>
      </c>
      <c r="O591">
        <f>'Bookings and Drivers'!W36</f>
        <v>0</v>
      </c>
      <c r="P591">
        <f>'Bookings and Drivers'!X36</f>
        <v>0</v>
      </c>
      <c r="Q591">
        <f>'Bookings and Drivers'!Y36</f>
        <v>0</v>
      </c>
      <c r="R591">
        <f>'Bookings and Drivers'!Z36</f>
        <v>0</v>
      </c>
      <c r="S591">
        <f>'Bookings and Drivers'!AA36</f>
        <v>0</v>
      </c>
      <c r="T591">
        <f>'Bookings and Drivers'!AB36</f>
        <v>0</v>
      </c>
      <c r="U591">
        <f>'Bookings and Drivers'!AC36</f>
        <v>0</v>
      </c>
      <c r="V591">
        <f>'Bookings and Drivers'!AD36</f>
        <v>0</v>
      </c>
      <c r="W591">
        <f>'Bookings and Drivers'!AE36</f>
        <v>0</v>
      </c>
      <c r="X591">
        <f>'Bookings and Drivers'!AF36</f>
        <v>0</v>
      </c>
      <c r="Y591">
        <f>'Bookings and Drivers'!AG36</f>
        <v>0</v>
      </c>
      <c r="Z591">
        <f>'Bookings and Drivers'!AH36</f>
        <v>0</v>
      </c>
      <c r="AA591">
        <f>'Bookings and Drivers'!AI36</f>
        <v>0</v>
      </c>
      <c r="AB591">
        <f>'Bookings and Drivers'!AJ36</f>
        <v>0</v>
      </c>
      <c r="AC591">
        <f>'Bookings and Drivers'!AK36</f>
        <v>0</v>
      </c>
      <c r="AD591">
        <f>'Bookings and Drivers'!AL36</f>
        <v>0</v>
      </c>
      <c r="AE591">
        <f>'Bookings and Drivers'!AM36</f>
        <v>0</v>
      </c>
      <c r="AF591">
        <f>'Bookings and Drivers'!AN36</f>
        <v>0</v>
      </c>
      <c r="AG591">
        <f>'Bookings and Drivers'!AO36</f>
        <v>0</v>
      </c>
      <c r="AH591">
        <f>'Bookings and Drivers'!AP36</f>
        <v>0</v>
      </c>
      <c r="AI591" t="str">
        <f>'Bookings and Drivers'!AQ36</f>
        <v>0 Latam in 06</v>
      </c>
      <c r="AJ591">
        <f>'Bookings and Drivers'!AR36</f>
        <v>0</v>
      </c>
      <c r="AK591">
        <f>'Bookings and Drivers'!AS36</f>
        <v>0</v>
      </c>
      <c r="AL591">
        <f>'Bookings and Drivers'!AT36</f>
        <v>0</v>
      </c>
      <c r="AM591">
        <f>'Bookings and Drivers'!AU36</f>
        <v>0</v>
      </c>
      <c r="AN591">
        <f>'Bookings and Drivers'!AV36</f>
        <v>0</v>
      </c>
      <c r="AO591">
        <f>'Bookings and Drivers'!AW36</f>
        <v>0</v>
      </c>
      <c r="AP591">
        <f>'Bookings and Drivers'!AX36</f>
        <v>0</v>
      </c>
      <c r="AQ591">
        <f>'Bookings and Drivers'!AY36</f>
        <v>0</v>
      </c>
      <c r="AR591">
        <f>'Bookings and Drivers'!AZ36</f>
        <v>0</v>
      </c>
      <c r="AS591">
        <f>'Bookings and Drivers'!BA36</f>
        <v>0</v>
      </c>
      <c r="AT591">
        <f>'Bookings and Drivers'!BB36</f>
        <v>1.2779043280182232</v>
      </c>
      <c r="AU591">
        <f>'Bookings and Drivers'!BC36</f>
        <v>1.1000000000000001</v>
      </c>
      <c r="AV591">
        <f>'Bookings and Drivers'!BD36</f>
        <v>1.1000000000000001</v>
      </c>
      <c r="AW591">
        <f>'Bookings and Drivers'!BE36</f>
        <v>0.7</v>
      </c>
      <c r="AX591">
        <f>'Bookings and Drivers'!BF36</f>
        <v>0.6</v>
      </c>
      <c r="AY591">
        <f>'Bookings and Drivers'!BG36</f>
        <v>0.6</v>
      </c>
      <c r="AZ591">
        <f>'Bookings and Drivers'!BH36</f>
        <v>0.5</v>
      </c>
      <c r="BA591">
        <f>'Bookings and Drivers'!BI36</f>
        <v>0.4</v>
      </c>
      <c r="BB591">
        <f>'Bookings and Drivers'!BJ36</f>
        <v>0.4</v>
      </c>
      <c r="BC591">
        <f>'Bookings and Drivers'!BK36</f>
        <v>0.4</v>
      </c>
      <c r="BD591">
        <f>'Bookings and Drivers'!BL36</f>
        <v>0.3</v>
      </c>
      <c r="BE591">
        <f>'Bookings and Drivers'!BM36</f>
        <v>0.24</v>
      </c>
      <c r="BF591">
        <f>'Bookings and Drivers'!BN36</f>
        <v>0.2</v>
      </c>
      <c r="BG591">
        <f>'Bookings and Drivers'!BO36</f>
        <v>0.28000000000000003</v>
      </c>
      <c r="BH591">
        <f>'Bookings and Drivers'!BP36</f>
        <v>0.2</v>
      </c>
      <c r="BI591">
        <f>'Bookings and Drivers'!BQ36</f>
        <v>0.2</v>
      </c>
      <c r="BJ591">
        <f>'Bookings and Drivers'!BR36</f>
        <v>0.2</v>
      </c>
      <c r="BK591">
        <f>'Bookings and Drivers'!BS36</f>
        <v>0.25</v>
      </c>
      <c r="BL591">
        <f>'Bookings and Drivers'!BT36</f>
        <v>0.15</v>
      </c>
      <c r="BM591">
        <f>'Bookings and Drivers'!BU36</f>
        <v>0.12</v>
      </c>
      <c r="BN591">
        <f>'Bookings and Drivers'!BV36</f>
        <v>0.12</v>
      </c>
      <c r="BO591">
        <f>'Bookings and Drivers'!BW36</f>
        <v>0.12</v>
      </c>
      <c r="BP591">
        <f>'Bookings and Drivers'!BX36</f>
        <v>0.12</v>
      </c>
      <c r="BQ591">
        <f>'Bookings and Drivers'!BY36</f>
        <v>0.1</v>
      </c>
      <c r="BR591">
        <f>'Bookings and Drivers'!BZ36</f>
        <v>0.1</v>
      </c>
      <c r="BS591">
        <f>'Bookings and Drivers'!CA36</f>
        <v>0.1</v>
      </c>
      <c r="BT591">
        <f>'Bookings and Drivers'!CB36</f>
        <v>0.1</v>
      </c>
      <c r="BU591">
        <f>'Bookings and Drivers'!CC36</f>
        <v>0.05</v>
      </c>
      <c r="BV591">
        <f>'Bookings and Drivers'!CD36</f>
        <v>0.05</v>
      </c>
      <c r="BW591">
        <f>'Bookings and Drivers'!CE36</f>
        <v>0.05</v>
      </c>
      <c r="BX591">
        <f>'Bookings and Drivers'!CF36</f>
        <v>0.05</v>
      </c>
      <c r="BY591">
        <f>'Bookings and Drivers'!CG36</f>
        <v>0</v>
      </c>
      <c r="BZ591">
        <f>'Bookings and Drivers'!CH36</f>
        <v>0</v>
      </c>
      <c r="CA591">
        <f>'Bookings and Drivers'!CI36</f>
        <v>0</v>
      </c>
      <c r="CB591">
        <f>'Bookings and Drivers'!CJ36</f>
        <v>0</v>
      </c>
      <c r="CC591">
        <f>'Bookings and Drivers'!CK36</f>
        <v>0</v>
      </c>
      <c r="CD591">
        <f>'Bookings and Drivers'!CL36</f>
        <v>0</v>
      </c>
      <c r="CE591">
        <f>'Bookings and Drivers'!CM36</f>
        <v>0</v>
      </c>
      <c r="CF591">
        <f>'Bookings and Drivers'!CN36</f>
        <v>0</v>
      </c>
      <c r="CG591" t="str">
        <f>'Bookings and Drivers'!CO36</f>
        <v>0 asia in 06</v>
      </c>
      <c r="CH591">
        <f>'Bookings and Drivers'!CP36</f>
        <v>0</v>
      </c>
      <c r="CI591">
        <f>'Bookings and Drivers'!CQ36</f>
        <v>0</v>
      </c>
      <c r="CJ591">
        <f>'Bookings and Drivers'!CR36</f>
        <v>1.6604223064428805</v>
      </c>
      <c r="CK591">
        <f>'Bookings and Drivers'!CS36</f>
        <v>0.59597053197118344</v>
      </c>
      <c r="CL591">
        <f>'Bookings and Drivers'!CT36</f>
        <v>0.37790821036739297</v>
      </c>
      <c r="CM591">
        <f>'Bookings and Drivers'!CU36</f>
        <v>0.23831123283837718</v>
      </c>
      <c r="CN591">
        <f>'Bookings and Drivers'!CV36</f>
        <v>0.20920483889921759</v>
      </c>
      <c r="CO591">
        <f>'Bookings and Drivers'!CW36</f>
        <v>0.12000000000000011</v>
      </c>
      <c r="CP591">
        <f>'Bookings and Drivers'!CX36</f>
        <v>0.10000000000000009</v>
      </c>
      <c r="CQ591">
        <f>'Bookings and Drivers'!CY36</f>
        <v>5.0000000000000044E-2</v>
      </c>
      <c r="CR591">
        <f>'Bookings and Drivers'!CZ36</f>
        <v>4.0000000000000042E-2</v>
      </c>
      <c r="CS591">
        <f>'Bookings and Drivers'!DA36</f>
        <v>3.0000000000000041E-2</v>
      </c>
      <c r="CT591">
        <f>'Bookings and Drivers'!DB36</f>
        <v>2.0000000000000039E-2</v>
      </c>
      <c r="CU591">
        <f>'Bookings and Drivers'!DC36</f>
        <v>1.0000000000000038E-2</v>
      </c>
      <c r="CV591">
        <f>'Bookings and Drivers'!DD36</f>
        <v>3.8163916471489756E-17</v>
      </c>
      <c r="CW591">
        <f>'Bookings and Drivers'!DE36</f>
        <v>-9.999999999999962E-3</v>
      </c>
      <c r="CX591">
        <f>'Bookings and Drivers'!DF36</f>
        <v>-9.999999999999962E-3</v>
      </c>
    </row>
    <row r="592" spans="1:102">
      <c r="A592" t="str">
        <f>'Bookings and Drivers'!I37</f>
        <v>Period-to-period change Y/Y</v>
      </c>
      <c r="B592">
        <f>'Bookings and Drivers'!J37</f>
        <v>0</v>
      </c>
      <c r="C592">
        <f>'Bookings and Drivers'!K37</f>
        <v>0</v>
      </c>
      <c r="D592">
        <f>'Bookings and Drivers'!L37</f>
        <v>0</v>
      </c>
      <c r="E592">
        <f>'Bookings and Drivers'!M37</f>
        <v>0</v>
      </c>
      <c r="F592">
        <f>'Bookings and Drivers'!N37</f>
        <v>0</v>
      </c>
      <c r="G592">
        <f>'Bookings and Drivers'!O37</f>
        <v>0</v>
      </c>
      <c r="H592">
        <f>'Bookings and Drivers'!P37</f>
        <v>0</v>
      </c>
      <c r="I592">
        <f>'Bookings and Drivers'!Q37</f>
        <v>0</v>
      </c>
      <c r="J592">
        <f>'Bookings and Drivers'!R37</f>
        <v>0</v>
      </c>
      <c r="K592">
        <f>'Bookings and Drivers'!S37</f>
        <v>0</v>
      </c>
      <c r="L592">
        <f>'Bookings and Drivers'!T37</f>
        <v>0</v>
      </c>
      <c r="M592">
        <f>'Bookings and Drivers'!U37</f>
        <v>0</v>
      </c>
      <c r="N592">
        <f>'Bookings and Drivers'!V37</f>
        <v>0</v>
      </c>
      <c r="O592">
        <f>'Bookings and Drivers'!W37</f>
        <v>0</v>
      </c>
      <c r="P592">
        <f>'Bookings and Drivers'!X37</f>
        <v>0</v>
      </c>
      <c r="Q592">
        <f>'Bookings and Drivers'!Y37</f>
        <v>0</v>
      </c>
      <c r="R592">
        <f>'Bookings and Drivers'!Z37</f>
        <v>0</v>
      </c>
      <c r="S592">
        <f>'Bookings and Drivers'!AA37</f>
        <v>0</v>
      </c>
      <c r="T592">
        <f>'Bookings and Drivers'!AB37</f>
        <v>0</v>
      </c>
      <c r="U592">
        <f>'Bookings and Drivers'!AC37</f>
        <v>0</v>
      </c>
      <c r="V592">
        <f>'Bookings and Drivers'!AD37</f>
        <v>0</v>
      </c>
      <c r="W592">
        <f>'Bookings and Drivers'!AE37</f>
        <v>0</v>
      </c>
      <c r="X592">
        <f>'Bookings and Drivers'!AF37</f>
        <v>0</v>
      </c>
      <c r="Y592">
        <f>'Bookings and Drivers'!AG37</f>
        <v>0</v>
      </c>
      <c r="Z592">
        <f>'Bookings and Drivers'!AH37</f>
        <v>0</v>
      </c>
      <c r="AA592">
        <f>'Bookings and Drivers'!AI37</f>
        <v>0</v>
      </c>
      <c r="AB592">
        <f>'Bookings and Drivers'!AJ37</f>
        <v>0</v>
      </c>
      <c r="AC592">
        <f>'Bookings and Drivers'!AK37</f>
        <v>0</v>
      </c>
      <c r="AD592">
        <f>'Bookings and Drivers'!AL37</f>
        <v>0</v>
      </c>
      <c r="AE592">
        <f>'Bookings and Drivers'!AM37</f>
        <v>0</v>
      </c>
      <c r="AF592">
        <f>'Bookings and Drivers'!AN37</f>
        <v>0</v>
      </c>
      <c r="AG592">
        <f>'Bookings and Drivers'!AO37</f>
        <v>0</v>
      </c>
      <c r="AH592">
        <f>'Bookings and Drivers'!AP37</f>
        <v>0</v>
      </c>
      <c r="AI592" t="str">
        <f>'Bookings and Drivers'!AQ37</f>
        <v>0 eastern europe</v>
      </c>
      <c r="AJ592">
        <f>'Bookings and Drivers'!AR37</f>
        <v>0</v>
      </c>
      <c r="AK592">
        <f>'Bookings and Drivers'!AS37</f>
        <v>0</v>
      </c>
      <c r="AL592">
        <f>'Bookings and Drivers'!AT37</f>
        <v>0</v>
      </c>
      <c r="AM592">
        <f>'Bookings and Drivers'!AU37</f>
        <v>0</v>
      </c>
      <c r="AN592">
        <f>'Bookings and Drivers'!AV37</f>
        <v>0</v>
      </c>
      <c r="AO592">
        <f>'Bookings and Drivers'!AW37</f>
        <v>0</v>
      </c>
      <c r="AP592">
        <f>'Bookings and Drivers'!AX37</f>
        <v>43.9</v>
      </c>
      <c r="AQ592">
        <f>'Bookings and Drivers'!AY37</f>
        <v>85.8</v>
      </c>
      <c r="AR592">
        <f>'Bookings and Drivers'!AZ37</f>
        <v>55</v>
      </c>
      <c r="AS592">
        <f>'Bookings and Drivers'!BA37</f>
        <v>95.7</v>
      </c>
      <c r="AT592">
        <f>'Bookings and Drivers'!BB37</f>
        <v>56.1</v>
      </c>
      <c r="AU592">
        <f>'Bookings and Drivers'!BC37</f>
        <v>94.38000000000001</v>
      </c>
      <c r="AV592">
        <f>'Bookings and Drivers'!BD37</f>
        <v>60.5</v>
      </c>
      <c r="AW592">
        <f>'Bookings and Drivers'!BE37</f>
        <v>66.989999999999995</v>
      </c>
      <c r="AX592">
        <f>'Bookings and Drivers'!BF37</f>
        <v>60</v>
      </c>
      <c r="AY592">
        <f>'Bookings and Drivers'!BG37</f>
        <v>108.108</v>
      </c>
      <c r="AZ592">
        <f>'Bookings and Drivers'!BH37</f>
        <v>57.75</v>
      </c>
      <c r="BA592">
        <f>'Bookings and Drivers'!BI37</f>
        <v>65.075999999999993</v>
      </c>
      <c r="BB592">
        <f>'Bookings and Drivers'!BJ37</f>
        <v>64</v>
      </c>
      <c r="BC592">
        <f>'Bookings and Drivers'!BK37</f>
        <v>115.3152</v>
      </c>
      <c r="BD592">
        <f>'Bookings and Drivers'!BL37</f>
        <v>51.974999999999994</v>
      </c>
      <c r="BE592">
        <f>'Bookings and Drivers'!BM37</f>
        <v>54.663840000000022</v>
      </c>
      <c r="BF592">
        <f>'Bookings and Drivers'!BN37</f>
        <v>44.800000000000011</v>
      </c>
      <c r="BG592">
        <f>'Bookings and Drivers'!BO37</f>
        <v>113.00889600000005</v>
      </c>
      <c r="BH592">
        <f>'Bookings and Drivers'!BP37</f>
        <v>45.044999999999987</v>
      </c>
      <c r="BI592">
        <f>'Bookings and Drivers'!BQ37</f>
        <v>56.485968000000014</v>
      </c>
      <c r="BJ592">
        <f>'Bookings and Drivers'!BR37</f>
        <v>53.759999999999991</v>
      </c>
      <c r="BK592">
        <f>'Bookings and Drivers'!BS37</f>
        <v>129.15302399999996</v>
      </c>
      <c r="BL592">
        <f>'Bookings and Drivers'!BT37</f>
        <v>40.540499999999952</v>
      </c>
      <c r="BM592">
        <f>'Bookings and Drivers'!BU37</f>
        <v>40.669896960000017</v>
      </c>
      <c r="BN592">
        <f>'Bookings and Drivers'!BV37</f>
        <v>38.707200000000057</v>
      </c>
      <c r="BO592">
        <f>'Bookings and Drivers'!BW37</f>
        <v>77.491814400000067</v>
      </c>
      <c r="BP592">
        <f>'Bookings and Drivers'!BX37</f>
        <v>37.297260000000051</v>
      </c>
      <c r="BQ592">
        <f>'Bookings and Drivers'!BY37</f>
        <v>37.95857049600005</v>
      </c>
      <c r="BR592">
        <f>'Bookings and Drivers'!BZ37</f>
        <v>36.126720000000034</v>
      </c>
      <c r="BS592">
        <f>'Bookings and Drivers'!CA37</f>
        <v>72.325693440000123</v>
      </c>
      <c r="BT592">
        <f>'Bookings and Drivers'!CB37</f>
        <v>34.810776000000033</v>
      </c>
      <c r="BU592">
        <f>'Bookings and Drivers'!CC37</f>
        <v>20.877213772800019</v>
      </c>
      <c r="BV592">
        <f>'Bookings and Drivers'!CD37</f>
        <v>19.869696000000033</v>
      </c>
      <c r="BW592">
        <f>'Bookings and Drivers'!CE37</f>
        <v>39.779131392000068</v>
      </c>
      <c r="BX592">
        <f>'Bookings and Drivers'!CF37</f>
        <v>19.145926800000041</v>
      </c>
      <c r="BY592">
        <f>'Bookings and Drivers'!CG37</f>
        <v>0</v>
      </c>
      <c r="BZ592">
        <f>'Bookings and Drivers'!CH37</f>
        <v>0</v>
      </c>
      <c r="CA592">
        <f>'Bookings and Drivers'!CI37</f>
        <v>0</v>
      </c>
      <c r="CB592">
        <f>'Bookings and Drivers'!CJ37</f>
        <v>0</v>
      </c>
      <c r="CC592">
        <f>'Bookings and Drivers'!CK37</f>
        <v>0</v>
      </c>
      <c r="CD592">
        <f>'Bookings and Drivers'!CL37</f>
        <v>0</v>
      </c>
      <c r="CE592">
        <f>'Bookings and Drivers'!CM37</f>
        <v>0</v>
      </c>
      <c r="CF592">
        <f>'Bookings and Drivers'!CN37</f>
        <v>0</v>
      </c>
      <c r="CG592" t="str">
        <f>'Bookings and Drivers'!CO37</f>
        <v>0 US until 08</v>
      </c>
      <c r="CH592">
        <f>'Bookings and Drivers'!CP37</f>
        <v>0</v>
      </c>
      <c r="CI592">
        <f>'Bookings and Drivers'!CQ37</f>
        <v>184.7</v>
      </c>
      <c r="CJ592">
        <f>'Bookings and Drivers'!CR37</f>
        <v>306.68</v>
      </c>
      <c r="CK592">
        <f>'Bookings and Drivers'!CS37</f>
        <v>292.84800000000007</v>
      </c>
      <c r="CL592">
        <f>'Bookings and Drivers'!CT37</f>
        <v>296.36619999999994</v>
      </c>
      <c r="CM592">
        <f>'Bookings and Drivers'!CU37</f>
        <v>257.51773600000001</v>
      </c>
      <c r="CN592">
        <f>'Bookings and Drivers'!CV37</f>
        <v>279.9394920000002</v>
      </c>
      <c r="CO592">
        <f>'Bookings and Drivers'!CW37</f>
        <v>194.16617136000013</v>
      </c>
      <c r="CP592">
        <f>'Bookings and Drivers'!CX37</f>
        <v>181.22175993600013</v>
      </c>
      <c r="CQ592">
        <f>'Bookings and Drivers'!CY37</f>
        <v>99.671967964799933</v>
      </c>
      <c r="CR592">
        <f>'Bookings and Drivers'!CZ37</f>
        <v>83.724453090432235</v>
      </c>
      <c r="CS592">
        <f>'Bookings and Drivers'!DA37</f>
        <v>65.305073410537261</v>
      </c>
      <c r="CT592">
        <f>'Bookings and Drivers'!DB37</f>
        <v>44.842817075235416</v>
      </c>
      <c r="CU592">
        <f>'Bookings and Drivers'!DC37</f>
        <v>22.869836708370258</v>
      </c>
      <c r="CV592">
        <f>'Bookings and Drivers'!DD37</f>
        <v>0</v>
      </c>
      <c r="CW592">
        <f>'Bookings and Drivers'!DE37</f>
        <v>-23.098535075453583</v>
      </c>
      <c r="CX592">
        <f>'Bookings and Drivers'!DF37</f>
        <v>-22.867549724699074</v>
      </c>
    </row>
    <row r="593" spans="1:102">
      <c r="A593" t="str">
        <f>'Bookings and Drivers'!I38</f>
        <v>% of total gross bookings</v>
      </c>
      <c r="B593">
        <f>'Bookings and Drivers'!J38</f>
        <v>0</v>
      </c>
      <c r="C593">
        <f>'Bookings and Drivers'!K38</f>
        <v>0</v>
      </c>
      <c r="D593">
        <f>'Bookings and Drivers'!L38</f>
        <v>0</v>
      </c>
      <c r="E593">
        <f>'Bookings and Drivers'!M38</f>
        <v>0</v>
      </c>
      <c r="F593">
        <f>'Bookings and Drivers'!N38</f>
        <v>0</v>
      </c>
      <c r="G593">
        <f>'Bookings and Drivers'!O38</f>
        <v>0</v>
      </c>
      <c r="H593">
        <f>'Bookings and Drivers'!P38</f>
        <v>0</v>
      </c>
      <c r="I593">
        <f>'Bookings and Drivers'!Q38</f>
        <v>0</v>
      </c>
      <c r="J593">
        <f>'Bookings and Drivers'!R38</f>
        <v>0</v>
      </c>
      <c r="K593">
        <f>'Bookings and Drivers'!S38</f>
        <v>0</v>
      </c>
      <c r="L593">
        <f>'Bookings and Drivers'!T38</f>
        <v>0</v>
      </c>
      <c r="M593">
        <f>'Bookings and Drivers'!U38</f>
        <v>0</v>
      </c>
      <c r="N593">
        <f>'Bookings and Drivers'!V38</f>
        <v>0</v>
      </c>
      <c r="O593">
        <f>'Bookings and Drivers'!W38</f>
        <v>0</v>
      </c>
      <c r="P593">
        <f>'Bookings and Drivers'!X38</f>
        <v>0</v>
      </c>
      <c r="Q593">
        <f>'Bookings and Drivers'!Y38</f>
        <v>0</v>
      </c>
      <c r="R593">
        <f>'Bookings and Drivers'!Z38</f>
        <v>0</v>
      </c>
      <c r="S593">
        <f>'Bookings and Drivers'!AA38</f>
        <v>0</v>
      </c>
      <c r="T593">
        <f>'Bookings and Drivers'!AB38</f>
        <v>0</v>
      </c>
      <c r="U593">
        <f>'Bookings and Drivers'!AC38</f>
        <v>0</v>
      </c>
      <c r="V593">
        <f>'Bookings and Drivers'!AD38</f>
        <v>0</v>
      </c>
      <c r="W593">
        <f>'Bookings and Drivers'!AE38</f>
        <v>0</v>
      </c>
      <c r="X593">
        <f>'Bookings and Drivers'!AF38</f>
        <v>0</v>
      </c>
      <c r="Y593">
        <f>'Bookings and Drivers'!AG38</f>
        <v>0</v>
      </c>
      <c r="Z593">
        <f>'Bookings and Drivers'!AH38</f>
        <v>0</v>
      </c>
      <c r="AA593">
        <f>'Bookings and Drivers'!AI38</f>
        <v>0</v>
      </c>
      <c r="AB593">
        <f>'Bookings and Drivers'!AJ38</f>
        <v>0</v>
      </c>
      <c r="AC593">
        <f>'Bookings and Drivers'!AK38</f>
        <v>0</v>
      </c>
      <c r="AD593">
        <f>'Bookings and Drivers'!AL38</f>
        <v>0</v>
      </c>
      <c r="AE593">
        <f>'Bookings and Drivers'!AM38</f>
        <v>0</v>
      </c>
      <c r="AF593">
        <f>'Bookings and Drivers'!AN38</f>
        <v>0</v>
      </c>
      <c r="AG593">
        <f>'Bookings and Drivers'!AO38</f>
        <v>0</v>
      </c>
      <c r="AH593">
        <f>'Bookings and Drivers'!AP38</f>
        <v>0</v>
      </c>
      <c r="AI593">
        <f>'Bookings and Drivers'!AQ38</f>
        <v>0</v>
      </c>
      <c r="AJ593">
        <f>'Bookings and Drivers'!AR38</f>
        <v>0</v>
      </c>
      <c r="AK593">
        <f>'Bookings and Drivers'!AS38</f>
        <v>0</v>
      </c>
      <c r="AL593">
        <f>'Bookings and Drivers'!AT38</f>
        <v>0</v>
      </c>
      <c r="AM593">
        <f>'Bookings and Drivers'!AU38</f>
        <v>0</v>
      </c>
      <c r="AN593">
        <f>'Bookings and Drivers'!AV38</f>
        <v>0</v>
      </c>
      <c r="AO593">
        <f>'Bookings and Drivers'!AW38</f>
        <v>0</v>
      </c>
      <c r="AP593">
        <f>'Bookings and Drivers'!AX38</f>
        <v>1.2873220768405186E-2</v>
      </c>
      <c r="AQ593">
        <f>'Bookings and Drivers'!AY38</f>
        <v>2.1417873190214678E-2</v>
      </c>
      <c r="AR593">
        <f>'Bookings and Drivers'!AZ38</f>
        <v>1.6845329249617153E-2</v>
      </c>
      <c r="AS593">
        <f>'Bookings and Drivers'!BA38</f>
        <v>2.0514469453376205E-2</v>
      </c>
      <c r="AT593">
        <f>'Bookings and Drivers'!BB38</f>
        <v>1.7301038062283738E-2</v>
      </c>
      <c r="AU593">
        <f>'Bookings and Drivers'!BC38</f>
        <v>2.8796547866389646E-2</v>
      </c>
      <c r="AV593">
        <f>'Bookings and Drivers'!BD38</f>
        <v>2.3305084745762712E-2</v>
      </c>
      <c r="AW593">
        <f>'Bookings and Drivers'!BE38</f>
        <v>2.4242288779615557E-2</v>
      </c>
      <c r="AX593">
        <f>'Bookings and Drivers'!BF38</f>
        <v>2.1831082003001774E-2</v>
      </c>
      <c r="AY593">
        <f>'Bookings and Drivers'!BG38</f>
        <v>3.6808988764044946E-2</v>
      </c>
      <c r="AZ593">
        <f>'Bookings and Drivers'!BH38</f>
        <v>2.6313791008505467E-2</v>
      </c>
      <c r="BA593">
        <f>'Bookings and Drivers'!BI38</f>
        <v>2.4884300229432971E-2</v>
      </c>
      <c r="BB593">
        <f>'Bookings and Drivers'!BJ38</f>
        <v>2.2140950874765246E-2</v>
      </c>
      <c r="BC593">
        <f>'Bookings and Drivers'!BK38</f>
        <v>3.7492169066418952E-2</v>
      </c>
      <c r="BD593">
        <f>'Bookings and Drivers'!BL38</f>
        <v>2.4649775637517784E-2</v>
      </c>
      <c r="BE593">
        <f>'Bookings and Drivers'!BM38</f>
        <v>2.2999172638436483E-2</v>
      </c>
      <c r="BF593">
        <f>'Bookings and Drivers'!BN38</f>
        <v>1.9855222337125129E-2</v>
      </c>
      <c r="BG593">
        <f>'Bookings and Drivers'!BO38</f>
        <v>3.7373370180134563E-2</v>
      </c>
      <c r="BH593">
        <f>'Bookings and Drivers'!BP38</f>
        <v>2.5356037151702784E-2</v>
      </c>
      <c r="BI593">
        <f>'Bookings and Drivers'!BQ38</f>
        <v>2.4601902439024392E-2</v>
      </c>
      <c r="BJ593">
        <f>'Bookings and Drivers'!BR38</f>
        <v>2.1561497326203209E-2</v>
      </c>
      <c r="BK593">
        <f>'Bookings and Drivers'!BS38</f>
        <v>4.3697734470158345E-2</v>
      </c>
      <c r="BL593">
        <f>'Bookings and Drivers'!BT38</f>
        <v>2.5870692525387044E-2</v>
      </c>
      <c r="BM593">
        <f>'Bookings and Drivers'!BU38</f>
        <v>2.2793833240857507E-2</v>
      </c>
      <c r="BN593">
        <f>'Bookings and Drivers'!BV38</f>
        <v>2.0225461874370174E-2</v>
      </c>
      <c r="BO593">
        <f>'Bookings and Drivers'!BW38</f>
        <v>3.9179682253521135E-2</v>
      </c>
      <c r="BP593">
        <f>'Bookings and Drivers'!BX38</f>
        <v>2.3035187930121756E-2</v>
      </c>
      <c r="BQ593">
        <f>'Bookings and Drivers'!BY38</f>
        <v>2.018389691381061E-2</v>
      </c>
      <c r="BR593">
        <f>'Bookings and Drivers'!BZ38</f>
        <v>1.9108232918209362E-2</v>
      </c>
      <c r="BS593">
        <f>'Bookings and Drivers'!CA38</f>
        <v>3.6558341505376353E-2</v>
      </c>
      <c r="BT593">
        <f>'Bookings and Drivers'!CB38</f>
        <v>2.1296915239154616E-2</v>
      </c>
      <c r="BU593">
        <f>'Bookings and Drivers'!CC38</f>
        <v>1.7620398548375285E-2</v>
      </c>
      <c r="BV593">
        <f>'Bookings and Drivers'!CD38</f>
        <v>1.663324119334187E-2</v>
      </c>
      <c r="BW593">
        <f>'Bookings and Drivers'!CE38</f>
        <v>3.3665499190284526E-2</v>
      </c>
      <c r="BX593">
        <f>'Bookings and Drivers'!CF38</f>
        <v>1.8271520374552704E-2</v>
      </c>
      <c r="BY593">
        <f>'Bookings and Drivers'!CG38</f>
        <v>0</v>
      </c>
      <c r="BZ593">
        <f>'Bookings and Drivers'!CH38</f>
        <v>0</v>
      </c>
      <c r="CA593">
        <f>'Bookings and Drivers'!CI38</f>
        <v>0</v>
      </c>
      <c r="CB593">
        <f>'Bookings and Drivers'!CJ38</f>
        <v>0</v>
      </c>
      <c r="CC593">
        <f>'Bookings and Drivers'!CK38</f>
        <v>0</v>
      </c>
      <c r="CD593">
        <f>'Bookings and Drivers'!CL38</f>
        <v>0</v>
      </c>
      <c r="CE593">
        <f>'Bookings and Drivers'!CM38</f>
        <v>0</v>
      </c>
      <c r="CF593">
        <f>'Bookings and Drivers'!CN38</f>
        <v>0</v>
      </c>
      <c r="CG593">
        <f>'Bookings and Drivers'!CO38</f>
        <v>0</v>
      </c>
      <c r="CH593">
        <f>'Bookings and Drivers'!CP38</f>
        <v>0</v>
      </c>
      <c r="CI593">
        <f>'Bookings and Drivers'!CQ38</f>
        <v>1.3535225846638636E-2</v>
      </c>
      <c r="CJ593">
        <f>'Bookings and Drivers'!CR38</f>
        <v>2.2688152183950504E-2</v>
      </c>
      <c r="CK593">
        <f>'Bookings and Drivers'!CS38</f>
        <v>2.7559319651391623E-2</v>
      </c>
      <c r="CL593">
        <f>'Bookings and Drivers'!CT38</f>
        <v>2.7585882773409579E-2</v>
      </c>
      <c r="CM593">
        <f>'Bookings and Drivers'!CU38</f>
        <v>2.6602622982107357E-2</v>
      </c>
      <c r="CN593">
        <f>'Bookings and Drivers'!CV38</f>
        <v>2.9139378835902612E-2</v>
      </c>
      <c r="CO593">
        <f>'Bookings and Drivers'!CW38</f>
        <v>2.6616205727378214E-2</v>
      </c>
      <c r="CP593">
        <f>'Bookings and Drivers'!CX38</f>
        <v>2.4541887564277453E-2</v>
      </c>
      <c r="CQ593">
        <f>'Bookings and Drivers'!CY38</f>
        <v>2.1626140854212453E-2</v>
      </c>
      <c r="CR593">
        <f>'Bookings and Drivers'!CZ38</f>
        <v>1.9624773000035713E-2</v>
      </c>
      <c r="CS593">
        <f>'Bookings and Drivers'!DA38</f>
        <v>1.796171423746799E-2</v>
      </c>
      <c r="CT593">
        <f>'Bookings and Drivers'!DB38</f>
        <v>1.6540753134430802E-2</v>
      </c>
      <c r="CU593">
        <f>'Bookings and Drivers'!DC38</f>
        <v>1.5252909879926124E-2</v>
      </c>
      <c r="CV593">
        <f>'Bookings and Drivers'!DD38</f>
        <v>1.4043340641007991E-2</v>
      </c>
      <c r="CW593">
        <f>'Bookings and Drivers'!DE38</f>
        <v>1.2899354987811189E-2</v>
      </c>
      <c r="CX593">
        <f>'Bookings and Drivers'!DF38</f>
        <v>1.1845401125133083E-2</v>
      </c>
    </row>
    <row r="595" spans="1:102">
      <c r="A595">
        <f>'Bookings and Drivers'!I39</f>
        <v>0</v>
      </c>
      <c r="B595">
        <f>'Bookings and Drivers'!J39</f>
        <v>0</v>
      </c>
      <c r="C595">
        <f>'Bookings and Drivers'!K39</f>
        <v>0</v>
      </c>
      <c r="D595">
        <f>'Bookings and Drivers'!L39</f>
        <v>0</v>
      </c>
      <c r="E595">
        <f>'Bookings and Drivers'!M39</f>
        <v>0</v>
      </c>
      <c r="F595">
        <f>'Bookings and Drivers'!N39</f>
        <v>0</v>
      </c>
      <c r="G595">
        <f>'Bookings and Drivers'!O39</f>
        <v>0</v>
      </c>
      <c r="H595">
        <f>'Bookings and Drivers'!P39</f>
        <v>0</v>
      </c>
      <c r="I595">
        <f>'Bookings and Drivers'!Q39</f>
        <v>0</v>
      </c>
      <c r="J595">
        <f>'Bookings and Drivers'!R39</f>
        <v>0</v>
      </c>
      <c r="K595">
        <f>'Bookings and Drivers'!S39</f>
        <v>0</v>
      </c>
      <c r="L595">
        <f>'Bookings and Drivers'!T39</f>
        <v>0</v>
      </c>
      <c r="M595">
        <f>'Bookings and Drivers'!U39</f>
        <v>0</v>
      </c>
      <c r="N595">
        <f>'Bookings and Drivers'!V39</f>
        <v>0</v>
      </c>
      <c r="O595">
        <f>'Bookings and Drivers'!W39</f>
        <v>0</v>
      </c>
      <c r="P595">
        <f>'Bookings and Drivers'!X39</f>
        <v>0</v>
      </c>
      <c r="Q595">
        <f>'Bookings and Drivers'!Y39</f>
        <v>0</v>
      </c>
      <c r="R595">
        <f>'Bookings and Drivers'!Z39</f>
        <v>0</v>
      </c>
      <c r="S595">
        <f>'Bookings and Drivers'!AA39</f>
        <v>0</v>
      </c>
      <c r="T595">
        <f>'Bookings and Drivers'!AB39</f>
        <v>0</v>
      </c>
      <c r="U595">
        <f>'Bookings and Drivers'!AC39</f>
        <v>0</v>
      </c>
      <c r="V595">
        <f>'Bookings and Drivers'!AD39</f>
        <v>0</v>
      </c>
      <c r="W595">
        <f>'Bookings and Drivers'!AE39</f>
        <v>0</v>
      </c>
      <c r="X595">
        <f>'Bookings and Drivers'!AF39</f>
        <v>0</v>
      </c>
      <c r="Y595">
        <f>'Bookings and Drivers'!AG39</f>
        <v>0</v>
      </c>
      <c r="Z595">
        <f>'Bookings and Drivers'!AH39</f>
        <v>0</v>
      </c>
      <c r="AA595">
        <f>'Bookings and Drivers'!AI39</f>
        <v>0</v>
      </c>
      <c r="AB595">
        <f>'Bookings and Drivers'!AJ39</f>
        <v>0</v>
      </c>
      <c r="AC595">
        <f>'Bookings and Drivers'!AK39</f>
        <v>0</v>
      </c>
      <c r="AD595">
        <f>'Bookings and Drivers'!AL39</f>
        <v>0</v>
      </c>
      <c r="AE595">
        <f>'Bookings and Drivers'!AM39</f>
        <v>0</v>
      </c>
      <c r="AF595">
        <f>'Bookings and Drivers'!AN39</f>
        <v>0</v>
      </c>
      <c r="AG595">
        <f>'Bookings and Drivers'!AO39</f>
        <v>0</v>
      </c>
      <c r="AH595">
        <f>'Bookings and Drivers'!AP39</f>
        <v>0</v>
      </c>
      <c r="AI595">
        <f>'Bookings and Drivers'!AQ39</f>
        <v>0</v>
      </c>
      <c r="AJ595">
        <f>'Bookings and Drivers'!AR39</f>
        <v>0</v>
      </c>
      <c r="AK595">
        <f>'Bookings and Drivers'!AS39</f>
        <v>0</v>
      </c>
      <c r="AL595">
        <f>'Bookings and Drivers'!AT39</f>
        <v>0</v>
      </c>
      <c r="AM595">
        <f>'Bookings and Drivers'!AU39</f>
        <v>0</v>
      </c>
      <c r="AN595">
        <f>'Bookings and Drivers'!AV39</f>
        <v>0</v>
      </c>
      <c r="AO595">
        <f>'Bookings and Drivers'!AW39</f>
        <v>0</v>
      </c>
      <c r="AP595">
        <f>'Bookings and Drivers'!AX39</f>
        <v>0</v>
      </c>
      <c r="AQ595">
        <f>'Bookings and Drivers'!AY39</f>
        <v>0</v>
      </c>
      <c r="AR595">
        <f>'Bookings and Drivers'!AZ39</f>
        <v>0</v>
      </c>
      <c r="AS595">
        <f>'Bookings and Drivers'!BA39</f>
        <v>0</v>
      </c>
      <c r="AT595">
        <f>'Bookings and Drivers'!BB39</f>
        <v>0</v>
      </c>
      <c r="AU595">
        <f>'Bookings and Drivers'!BC39</f>
        <v>0</v>
      </c>
      <c r="AV595">
        <f>'Bookings and Drivers'!BD39</f>
        <v>0</v>
      </c>
      <c r="AW595">
        <f>'Bookings and Drivers'!BE39</f>
        <v>0</v>
      </c>
      <c r="AX595">
        <f>'Bookings and Drivers'!BF39</f>
        <v>0</v>
      </c>
      <c r="AY595">
        <f>'Bookings and Drivers'!BG39</f>
        <v>0</v>
      </c>
      <c r="AZ595">
        <f>'Bookings and Drivers'!BH39</f>
        <v>0</v>
      </c>
      <c r="BA595">
        <f>'Bookings and Drivers'!BI39</f>
        <v>0</v>
      </c>
      <c r="BB595">
        <f>'Bookings and Drivers'!BJ39</f>
        <v>0</v>
      </c>
      <c r="BC595">
        <f>'Bookings and Drivers'!BK39</f>
        <v>0</v>
      </c>
      <c r="BD595">
        <f>'Bookings and Drivers'!BL39</f>
        <v>0</v>
      </c>
      <c r="BE595">
        <f>'Bookings and Drivers'!BM39</f>
        <v>0</v>
      </c>
      <c r="BF595">
        <f>'Bookings and Drivers'!BN39</f>
        <v>0</v>
      </c>
      <c r="BG595">
        <f>'Bookings and Drivers'!BO39</f>
        <v>0</v>
      </c>
      <c r="BH595">
        <f>'Bookings and Drivers'!BP39</f>
        <v>0</v>
      </c>
      <c r="BI595">
        <f>'Bookings and Drivers'!BQ39</f>
        <v>0</v>
      </c>
      <c r="BJ595">
        <f>'Bookings and Drivers'!BR39</f>
        <v>0</v>
      </c>
      <c r="BK595">
        <f>'Bookings and Drivers'!BS39</f>
        <v>0</v>
      </c>
      <c r="BL595">
        <f>'Bookings and Drivers'!BT39</f>
        <v>0</v>
      </c>
      <c r="BM595">
        <f>'Bookings and Drivers'!BU39</f>
        <v>0</v>
      </c>
      <c r="BN595">
        <f>'Bookings and Drivers'!BV39</f>
        <v>0</v>
      </c>
      <c r="BO595">
        <f>'Bookings and Drivers'!BW39</f>
        <v>0</v>
      </c>
      <c r="BP595">
        <f>'Bookings and Drivers'!BX39</f>
        <v>0</v>
      </c>
      <c r="BQ595">
        <f>'Bookings and Drivers'!BY39</f>
        <v>0</v>
      </c>
      <c r="BR595">
        <f>'Bookings and Drivers'!BZ39</f>
        <v>0</v>
      </c>
      <c r="BS595">
        <f>'Bookings and Drivers'!CA39</f>
        <v>0</v>
      </c>
      <c r="BT595">
        <f>'Bookings and Drivers'!CB39</f>
        <v>0</v>
      </c>
      <c r="BU595">
        <f>'Bookings and Drivers'!CC39</f>
        <v>0</v>
      </c>
      <c r="BV595">
        <f>'Bookings and Drivers'!CD39</f>
        <v>0</v>
      </c>
      <c r="BW595">
        <f>'Bookings and Drivers'!CE39</f>
        <v>0</v>
      </c>
      <c r="BX595">
        <f>'Bookings and Drivers'!CF39</f>
        <v>0</v>
      </c>
      <c r="BY595">
        <f>'Bookings and Drivers'!CG39</f>
        <v>0</v>
      </c>
      <c r="BZ595">
        <f>'Bookings and Drivers'!CH39</f>
        <v>0</v>
      </c>
      <c r="CA595">
        <f>'Bookings and Drivers'!CI39</f>
        <v>0</v>
      </c>
      <c r="CB595">
        <f>'Bookings and Drivers'!CJ39</f>
        <v>0</v>
      </c>
      <c r="CC595">
        <f>'Bookings and Drivers'!CK39</f>
        <v>0</v>
      </c>
      <c r="CD595">
        <f>'Bookings and Drivers'!CL39</f>
        <v>0</v>
      </c>
      <c r="CE595">
        <f>'Bookings and Drivers'!CM39</f>
        <v>0</v>
      </c>
      <c r="CF595">
        <f>'Bookings and Drivers'!CN39</f>
        <v>0</v>
      </c>
      <c r="CG595">
        <f>'Bookings and Drivers'!CO39</f>
        <v>0</v>
      </c>
      <c r="CH595">
        <f>'Bookings and Drivers'!CP39</f>
        <v>0</v>
      </c>
      <c r="CI595">
        <f>'Bookings and Drivers'!CQ39</f>
        <v>0</v>
      </c>
      <c r="CJ595">
        <f>'Bookings and Drivers'!CR39</f>
        <v>0</v>
      </c>
      <c r="CK595">
        <f>'Bookings and Drivers'!CS39</f>
        <v>0</v>
      </c>
      <c r="CL595">
        <f>'Bookings and Drivers'!CT39</f>
        <v>0</v>
      </c>
      <c r="CM595">
        <f>'Bookings and Drivers'!CU39</f>
        <v>0</v>
      </c>
      <c r="CN595">
        <f>'Bookings and Drivers'!CV39</f>
        <v>0</v>
      </c>
      <c r="CO595">
        <f>'Bookings and Drivers'!CW39</f>
        <v>0</v>
      </c>
      <c r="CP595">
        <f>'Bookings and Drivers'!CX39</f>
        <v>0</v>
      </c>
      <c r="CQ595">
        <f>'Bookings and Drivers'!CY39</f>
        <v>0</v>
      </c>
      <c r="CR595">
        <f>'Bookings and Drivers'!CZ39</f>
        <v>0</v>
      </c>
      <c r="CS595">
        <f>'Bookings and Drivers'!DA39</f>
        <v>0</v>
      </c>
      <c r="CT595">
        <f>'Bookings and Drivers'!DB39</f>
        <v>0</v>
      </c>
      <c r="CU595">
        <f>'Bookings and Drivers'!DC39</f>
        <v>0</v>
      </c>
      <c r="CV595">
        <f>'Bookings and Drivers'!DD39</f>
        <v>0</v>
      </c>
      <c r="CW595">
        <f>'Bookings and Drivers'!DE39</f>
        <v>0</v>
      </c>
      <c r="CX595">
        <f>'Bookings and Drivers'!DF39</f>
        <v>0</v>
      </c>
    </row>
    <row r="596" spans="1:102">
      <c r="A596" t="str">
        <f>'Bookings and Drivers'!I50</f>
        <v>Booking.com Mobile Bookings</v>
      </c>
      <c r="B596">
        <f>'Bookings and Drivers'!J50</f>
        <v>0</v>
      </c>
      <c r="C596">
        <f>'Bookings and Drivers'!K50</f>
        <v>0</v>
      </c>
      <c r="D596">
        <f>'Bookings and Drivers'!L50</f>
        <v>0</v>
      </c>
      <c r="E596">
        <f>'Bookings and Drivers'!M50</f>
        <v>0</v>
      </c>
      <c r="F596">
        <f>'Bookings and Drivers'!N50</f>
        <v>0</v>
      </c>
      <c r="G596">
        <f>'Bookings and Drivers'!O50</f>
        <v>0</v>
      </c>
      <c r="H596">
        <f>'Bookings and Drivers'!P50</f>
        <v>0</v>
      </c>
      <c r="I596">
        <f>'Bookings and Drivers'!Q50</f>
        <v>0</v>
      </c>
      <c r="J596">
        <f>'Bookings and Drivers'!R50</f>
        <v>0</v>
      </c>
      <c r="K596">
        <f>'Bookings and Drivers'!S50</f>
        <v>0</v>
      </c>
      <c r="L596">
        <f>'Bookings and Drivers'!T50</f>
        <v>0</v>
      </c>
      <c r="M596">
        <f>'Bookings and Drivers'!U50</f>
        <v>0</v>
      </c>
      <c r="N596">
        <f>'Bookings and Drivers'!V50</f>
        <v>0</v>
      </c>
      <c r="O596">
        <f>'Bookings and Drivers'!W50</f>
        <v>0</v>
      </c>
      <c r="P596">
        <f>'Bookings and Drivers'!X50</f>
        <v>0</v>
      </c>
      <c r="Q596">
        <f>'Bookings and Drivers'!Y50</f>
        <v>0</v>
      </c>
      <c r="R596">
        <f>'Bookings and Drivers'!Z50</f>
        <v>0</v>
      </c>
      <c r="S596">
        <f>'Bookings and Drivers'!AA50</f>
        <v>0</v>
      </c>
      <c r="T596">
        <f>'Bookings and Drivers'!AB50</f>
        <v>0</v>
      </c>
      <c r="U596">
        <f>'Bookings and Drivers'!AC50</f>
        <v>0</v>
      </c>
      <c r="V596">
        <f>'Bookings and Drivers'!AD50</f>
        <v>0</v>
      </c>
      <c r="W596">
        <f>'Bookings and Drivers'!AE50</f>
        <v>0</v>
      </c>
      <c r="X596">
        <f>'Bookings and Drivers'!AF50</f>
        <v>0</v>
      </c>
      <c r="Y596">
        <f>'Bookings and Drivers'!AG50</f>
        <v>0</v>
      </c>
      <c r="Z596">
        <f>'Bookings and Drivers'!AH50</f>
        <v>0</v>
      </c>
      <c r="AA596">
        <f>'Bookings and Drivers'!AI50</f>
        <v>0</v>
      </c>
      <c r="AB596">
        <f>'Bookings and Drivers'!AJ50</f>
        <v>0</v>
      </c>
      <c r="AC596">
        <f>'Bookings and Drivers'!AK50</f>
        <v>0</v>
      </c>
      <c r="AD596">
        <f>'Bookings and Drivers'!AL50</f>
        <v>0</v>
      </c>
      <c r="AE596">
        <f>'Bookings and Drivers'!AM50</f>
        <v>0</v>
      </c>
      <c r="AF596">
        <f>'Bookings and Drivers'!AN50</f>
        <v>0</v>
      </c>
      <c r="AG596">
        <f>'Bookings and Drivers'!AO50</f>
        <v>0</v>
      </c>
      <c r="AH596">
        <f>'Bookings and Drivers'!AP50</f>
        <v>0</v>
      </c>
      <c r="AI596">
        <f>'Bookings and Drivers'!AQ50</f>
        <v>0</v>
      </c>
      <c r="AJ596">
        <f>'Bookings and Drivers'!AR50</f>
        <v>0</v>
      </c>
      <c r="AK596">
        <f>'Bookings and Drivers'!AS50</f>
        <v>0</v>
      </c>
      <c r="AL596">
        <f>'Bookings and Drivers'!AT50</f>
        <v>0</v>
      </c>
      <c r="AM596">
        <f>'Bookings and Drivers'!AU50</f>
        <v>0</v>
      </c>
      <c r="AN596">
        <f>'Bookings and Drivers'!AV50</f>
        <v>0</v>
      </c>
      <c r="AO596">
        <f>'Bookings and Drivers'!AW50</f>
        <v>0</v>
      </c>
      <c r="AP596">
        <f>'Bookings and Drivers'!AX50</f>
        <v>0</v>
      </c>
      <c r="AQ596">
        <f>'Bookings and Drivers'!AY50</f>
        <v>0</v>
      </c>
      <c r="AR596">
        <f>'Bookings and Drivers'!AZ50</f>
        <v>0</v>
      </c>
      <c r="AS596">
        <f>'Bookings and Drivers'!BA50</f>
        <v>0</v>
      </c>
      <c r="AT596">
        <f>'Bookings and Drivers'!BB50</f>
        <v>0</v>
      </c>
      <c r="AU596">
        <f>'Bookings and Drivers'!BC50</f>
        <v>0</v>
      </c>
      <c r="AV596">
        <f>'Bookings and Drivers'!BD50</f>
        <v>0</v>
      </c>
      <c r="AW596">
        <f>'Bookings and Drivers'!BE50</f>
        <v>0</v>
      </c>
      <c r="AX596">
        <f>'Bookings and Drivers'!BF50</f>
        <v>0</v>
      </c>
      <c r="AY596">
        <f>'Bookings and Drivers'!BG50</f>
        <v>0</v>
      </c>
      <c r="AZ596">
        <f>'Bookings and Drivers'!BH50</f>
        <v>0</v>
      </c>
      <c r="BA596">
        <f>'Bookings and Drivers'!BI50</f>
        <v>0</v>
      </c>
      <c r="BB596">
        <f>'Bookings and Drivers'!BJ50</f>
        <v>0</v>
      </c>
      <c r="BC596">
        <f>'Bookings and Drivers'!BK50</f>
        <v>0</v>
      </c>
      <c r="BD596">
        <f>'Bookings and Drivers'!BL50</f>
        <v>0</v>
      </c>
      <c r="BE596">
        <f>'Bookings and Drivers'!BM50</f>
        <v>0</v>
      </c>
      <c r="BF596">
        <f>'Bookings and Drivers'!BN50</f>
        <v>0</v>
      </c>
      <c r="BG596">
        <f>'Bookings and Drivers'!BO50</f>
        <v>0</v>
      </c>
      <c r="BH596">
        <f>'Bookings and Drivers'!BP50</f>
        <v>0</v>
      </c>
      <c r="BI596">
        <f>'Bookings and Drivers'!BQ50</f>
        <v>0</v>
      </c>
      <c r="BJ596">
        <f>'Bookings and Drivers'!BR50</f>
        <v>0</v>
      </c>
      <c r="BK596">
        <f>'Bookings and Drivers'!BS50</f>
        <v>0</v>
      </c>
      <c r="BL596">
        <f>'Bookings and Drivers'!BT50</f>
        <v>0</v>
      </c>
      <c r="BM596">
        <f>'Bookings and Drivers'!BU50</f>
        <v>0</v>
      </c>
      <c r="BN596">
        <f>'Bookings and Drivers'!BV50</f>
        <v>0</v>
      </c>
      <c r="BO596">
        <f>'Bookings and Drivers'!BW50</f>
        <v>0</v>
      </c>
      <c r="BP596">
        <f>'Bookings and Drivers'!BX50</f>
        <v>0</v>
      </c>
      <c r="BQ596">
        <f>'Bookings and Drivers'!BY50</f>
        <v>0</v>
      </c>
      <c r="BR596">
        <f>'Bookings and Drivers'!BZ50</f>
        <v>0</v>
      </c>
      <c r="BS596">
        <f>'Bookings and Drivers'!CA50</f>
        <v>0</v>
      </c>
      <c r="BT596">
        <f>'Bookings and Drivers'!CB50</f>
        <v>0</v>
      </c>
      <c r="BU596">
        <f>'Bookings and Drivers'!CC50</f>
        <v>0</v>
      </c>
      <c r="BV596">
        <f>'Bookings and Drivers'!CD50</f>
        <v>0</v>
      </c>
      <c r="BW596">
        <f>'Bookings and Drivers'!CE50</f>
        <v>0</v>
      </c>
      <c r="BX596">
        <f>'Bookings and Drivers'!CF50</f>
        <v>0</v>
      </c>
      <c r="BY596">
        <f>'Bookings and Drivers'!CG50</f>
        <v>0</v>
      </c>
      <c r="BZ596">
        <f>'Bookings and Drivers'!CH50</f>
        <v>0</v>
      </c>
      <c r="CA596">
        <f>'Bookings and Drivers'!CI50</f>
        <v>0</v>
      </c>
      <c r="CB596">
        <f>'Bookings and Drivers'!CJ50</f>
        <v>0</v>
      </c>
      <c r="CC596">
        <f>'Bookings and Drivers'!CK50</f>
        <v>0</v>
      </c>
      <c r="CD596">
        <f>'Bookings and Drivers'!CL50</f>
        <v>0</v>
      </c>
      <c r="CE596">
        <f>'Bookings and Drivers'!CM50</f>
        <v>0</v>
      </c>
      <c r="CF596">
        <f>'Bookings and Drivers'!CN50</f>
        <v>0</v>
      </c>
      <c r="CG596">
        <f>'Bookings and Drivers'!CO50</f>
        <v>0</v>
      </c>
      <c r="CH596">
        <f>'Bookings and Drivers'!CP50</f>
        <v>0</v>
      </c>
      <c r="CI596">
        <f>'Bookings and Drivers'!CQ50</f>
        <v>0</v>
      </c>
      <c r="CJ596">
        <f>'Bookings and Drivers'!CR50</f>
        <v>1000</v>
      </c>
      <c r="CK596">
        <f>'Bookings and Drivers'!CS50</f>
        <v>3000</v>
      </c>
      <c r="CL596">
        <f>'Bookings and Drivers'!CT50</f>
        <v>8000</v>
      </c>
      <c r="CM596">
        <f>'Bookings and Drivers'!CU50</f>
        <v>0</v>
      </c>
      <c r="CN596">
        <f>'Bookings and Drivers'!CV50</f>
        <v>0</v>
      </c>
      <c r="CO596">
        <f>'Bookings and Drivers'!CW50</f>
        <v>0</v>
      </c>
      <c r="CP596">
        <f>'Bookings and Drivers'!CX50</f>
        <v>0</v>
      </c>
      <c r="CQ596">
        <f>'Bookings and Drivers'!CY50</f>
        <v>0</v>
      </c>
      <c r="CR596">
        <f>'Bookings and Drivers'!CZ50</f>
        <v>0</v>
      </c>
      <c r="CS596">
        <f>'Bookings and Drivers'!DA50</f>
        <v>0</v>
      </c>
      <c r="CT596">
        <f>'Bookings and Drivers'!DB50</f>
        <v>0</v>
      </c>
      <c r="CU596">
        <f>'Bookings and Drivers'!DC50</f>
        <v>0</v>
      </c>
      <c r="CV596">
        <f>'Bookings and Drivers'!DD50</f>
        <v>0</v>
      </c>
      <c r="CW596">
        <f>'Bookings and Drivers'!DE50</f>
        <v>0</v>
      </c>
      <c r="CX596">
        <f>'Bookings and Drivers'!DF50</f>
        <v>0</v>
      </c>
    </row>
    <row r="597" spans="1:102">
      <c r="A597" t="str">
        <f>'Bookings and Drivers'!I51</f>
        <v>% of Total</v>
      </c>
      <c r="B597">
        <f>'Bookings and Drivers'!J51</f>
        <v>0</v>
      </c>
      <c r="C597">
        <f>'Bookings and Drivers'!K51</f>
        <v>0</v>
      </c>
      <c r="D597">
        <f>'Bookings and Drivers'!L51</f>
        <v>0</v>
      </c>
      <c r="E597">
        <f>'Bookings and Drivers'!M51</f>
        <v>0</v>
      </c>
      <c r="F597">
        <f>'Bookings and Drivers'!N51</f>
        <v>0</v>
      </c>
      <c r="G597">
        <f>'Bookings and Drivers'!O51</f>
        <v>0</v>
      </c>
      <c r="H597">
        <f>'Bookings and Drivers'!P51</f>
        <v>0</v>
      </c>
      <c r="I597">
        <f>'Bookings and Drivers'!Q51</f>
        <v>0</v>
      </c>
      <c r="J597">
        <f>'Bookings and Drivers'!R51</f>
        <v>0</v>
      </c>
      <c r="K597">
        <f>'Bookings and Drivers'!S51</f>
        <v>0</v>
      </c>
      <c r="L597">
        <f>'Bookings and Drivers'!T51</f>
        <v>0</v>
      </c>
      <c r="M597">
        <f>'Bookings and Drivers'!U51</f>
        <v>0</v>
      </c>
      <c r="N597">
        <f>'Bookings and Drivers'!V51</f>
        <v>0</v>
      </c>
      <c r="O597">
        <f>'Bookings and Drivers'!W51</f>
        <v>0</v>
      </c>
      <c r="P597">
        <f>'Bookings and Drivers'!X51</f>
        <v>0</v>
      </c>
      <c r="Q597">
        <f>'Bookings and Drivers'!Y51</f>
        <v>0</v>
      </c>
      <c r="R597">
        <f>'Bookings and Drivers'!Z51</f>
        <v>0</v>
      </c>
      <c r="S597">
        <f>'Bookings and Drivers'!AA51</f>
        <v>0</v>
      </c>
      <c r="T597">
        <f>'Bookings and Drivers'!AB51</f>
        <v>0</v>
      </c>
      <c r="U597">
        <f>'Bookings and Drivers'!AC51</f>
        <v>0</v>
      </c>
      <c r="V597">
        <f>'Bookings and Drivers'!AD51</f>
        <v>0</v>
      </c>
      <c r="W597">
        <f>'Bookings and Drivers'!AE51</f>
        <v>0</v>
      </c>
      <c r="X597">
        <f>'Bookings and Drivers'!AF51</f>
        <v>0</v>
      </c>
      <c r="Y597">
        <f>'Bookings and Drivers'!AG51</f>
        <v>0</v>
      </c>
      <c r="Z597">
        <f>'Bookings and Drivers'!AH51</f>
        <v>0</v>
      </c>
      <c r="AA597">
        <f>'Bookings and Drivers'!AI51</f>
        <v>0</v>
      </c>
      <c r="AB597">
        <f>'Bookings and Drivers'!AJ51</f>
        <v>0</v>
      </c>
      <c r="AC597">
        <f>'Bookings and Drivers'!AK51</f>
        <v>0</v>
      </c>
      <c r="AD597">
        <f>'Bookings and Drivers'!AL51</f>
        <v>0</v>
      </c>
      <c r="AE597">
        <f>'Bookings and Drivers'!AM51</f>
        <v>0</v>
      </c>
      <c r="AF597">
        <f>'Bookings and Drivers'!AN51</f>
        <v>0</v>
      </c>
      <c r="AG597">
        <f>'Bookings and Drivers'!AO51</f>
        <v>0</v>
      </c>
      <c r="AH597">
        <f>'Bookings and Drivers'!AP51</f>
        <v>0</v>
      </c>
      <c r="AI597">
        <f>'Bookings and Drivers'!AQ51</f>
        <v>0</v>
      </c>
      <c r="AJ597">
        <f>'Bookings and Drivers'!AR51</f>
        <v>0</v>
      </c>
      <c r="AK597">
        <f>'Bookings and Drivers'!AS51</f>
        <v>0</v>
      </c>
      <c r="AL597">
        <f>'Bookings and Drivers'!AT51</f>
        <v>0</v>
      </c>
      <c r="AM597">
        <f>'Bookings and Drivers'!AU51</f>
        <v>0</v>
      </c>
      <c r="AN597">
        <f>'Bookings and Drivers'!AV51</f>
        <v>0</v>
      </c>
      <c r="AO597">
        <f>'Bookings and Drivers'!AW51</f>
        <v>0</v>
      </c>
      <c r="AP597">
        <f>'Bookings and Drivers'!AX51</f>
        <v>0</v>
      </c>
      <c r="AQ597">
        <f>'Bookings and Drivers'!AY51</f>
        <v>0</v>
      </c>
      <c r="AR597">
        <f>'Bookings and Drivers'!AZ51</f>
        <v>0</v>
      </c>
      <c r="AS597">
        <f>'Bookings and Drivers'!BA51</f>
        <v>0</v>
      </c>
      <c r="AT597">
        <f>'Bookings and Drivers'!BB51</f>
        <v>0</v>
      </c>
      <c r="AU597">
        <f>'Bookings and Drivers'!BC51</f>
        <v>0</v>
      </c>
      <c r="AV597">
        <f>'Bookings and Drivers'!BD51</f>
        <v>0</v>
      </c>
      <c r="AW597">
        <f>'Bookings and Drivers'!BE51</f>
        <v>0</v>
      </c>
      <c r="AX597">
        <f>'Bookings and Drivers'!BF51</f>
        <v>0</v>
      </c>
      <c r="AY597">
        <f>'Bookings and Drivers'!BG51</f>
        <v>0</v>
      </c>
      <c r="AZ597">
        <f>'Bookings and Drivers'!BH51</f>
        <v>0</v>
      </c>
      <c r="BA597">
        <f>'Bookings and Drivers'!BI51</f>
        <v>0</v>
      </c>
      <c r="BB597">
        <f>'Bookings and Drivers'!BJ51</f>
        <v>0</v>
      </c>
      <c r="BC597">
        <f>'Bookings and Drivers'!BO53</f>
        <v>0</v>
      </c>
      <c r="BD597">
        <f>'Bookings and Drivers'!BL51</f>
        <v>0</v>
      </c>
      <c r="BE597">
        <f>'Bookings and Drivers'!BM51</f>
        <v>0</v>
      </c>
      <c r="BF597">
        <f>'Bookings and Drivers'!BN51</f>
        <v>0</v>
      </c>
      <c r="BH597">
        <f>'Bookings and Drivers'!BP51</f>
        <v>0</v>
      </c>
      <c r="BJ597">
        <f>'Bookings and Drivers'!BR51</f>
        <v>0</v>
      </c>
      <c r="BK597">
        <f>'Bookings and Drivers'!BS111</f>
        <v>0</v>
      </c>
      <c r="BL597">
        <f>'Bookings and Drivers'!BT51</f>
        <v>0</v>
      </c>
      <c r="BM597">
        <f>'Bookings and Drivers'!BU51</f>
        <v>0</v>
      </c>
      <c r="BN597">
        <f>'Bookings and Drivers'!BV51</f>
        <v>0</v>
      </c>
      <c r="BO597">
        <f>'Bookings and Drivers'!BW51</f>
        <v>0</v>
      </c>
      <c r="BP597">
        <f>'Bookings and Drivers'!BX51</f>
        <v>0</v>
      </c>
      <c r="BQ597">
        <f>'Bookings and Drivers'!BY51</f>
        <v>0</v>
      </c>
      <c r="BR597">
        <f>'Bookings and Drivers'!BZ51</f>
        <v>0</v>
      </c>
      <c r="BS597">
        <f>'Bookings and Drivers'!CA51</f>
        <v>0</v>
      </c>
      <c r="BT597">
        <f>'Bookings and Drivers'!CB51</f>
        <v>0</v>
      </c>
      <c r="BU597">
        <f>'Bookings and Drivers'!CC51</f>
        <v>0</v>
      </c>
      <c r="BV597">
        <f>'Bookings and Drivers'!CD51</f>
        <v>0</v>
      </c>
      <c r="BW597">
        <f>'Bookings and Drivers'!CE51</f>
        <v>0</v>
      </c>
      <c r="BX597">
        <f>'Bookings and Drivers'!CF51</f>
        <v>0</v>
      </c>
      <c r="BY597">
        <f>'Bookings and Drivers'!CG51</f>
        <v>0</v>
      </c>
      <c r="BZ597">
        <f>'Bookings and Drivers'!CH51</f>
        <v>0</v>
      </c>
      <c r="CA597">
        <f>'Bookings and Drivers'!CI51</f>
        <v>0</v>
      </c>
      <c r="CB597">
        <f>'Bookings and Drivers'!CJ51</f>
        <v>0</v>
      </c>
      <c r="CC597">
        <f>'Bookings and Drivers'!CK51</f>
        <v>0</v>
      </c>
      <c r="CD597">
        <f>'Bookings and Drivers'!CL51</f>
        <v>0</v>
      </c>
      <c r="CE597">
        <f>'Bookings and Drivers'!CM51</f>
        <v>0</v>
      </c>
      <c r="CF597">
        <f>'Bookings and Drivers'!CN51</f>
        <v>0</v>
      </c>
      <c r="CG597">
        <f>'Bookings and Drivers'!CO51</f>
        <v>0</v>
      </c>
      <c r="CH597">
        <f>'Bookings and Drivers'!CP51</f>
        <v>0</v>
      </c>
      <c r="CI597">
        <f>'Bookings and Drivers'!CQ51</f>
        <v>0</v>
      </c>
      <c r="CJ597">
        <f>'Bookings and Drivers'!CR51</f>
        <v>6.7397448165871149E-2</v>
      </c>
      <c r="CK597">
        <f>'Bookings and Drivers'!CS51</f>
        <v>0.1503711726161332</v>
      </c>
      <c r="CL597">
        <f>'Bookings and Drivers'!CT51</f>
        <v>0.28116736613963916</v>
      </c>
      <c r="CM597">
        <f>'Bookings and Drivers'!CU51</f>
        <v>0</v>
      </c>
      <c r="CN597">
        <f>'Bookings and Drivers'!CV51</f>
        <v>0</v>
      </c>
      <c r="CO597">
        <f>'Bookings and Drivers'!CW51</f>
        <v>0</v>
      </c>
      <c r="CP597">
        <f>'Bookings and Drivers'!CX51</f>
        <v>0</v>
      </c>
      <c r="CQ597">
        <f>'Bookings and Drivers'!CY51</f>
        <v>0</v>
      </c>
      <c r="CR597">
        <f>'Bookings and Drivers'!CZ51</f>
        <v>0</v>
      </c>
      <c r="CS597">
        <f>'Bookings and Drivers'!DA51</f>
        <v>0</v>
      </c>
      <c r="CT597">
        <f>'Bookings and Drivers'!DB51</f>
        <v>0</v>
      </c>
      <c r="CU597">
        <f>'Bookings and Drivers'!DC51</f>
        <v>0</v>
      </c>
      <c r="CV597">
        <f>'Bookings and Drivers'!DD51</f>
        <v>0</v>
      </c>
      <c r="CW597">
        <f>'Bookings and Drivers'!DE51</f>
        <v>0</v>
      </c>
      <c r="CX597">
        <f>'Bookings and Drivers'!DF51</f>
        <v>0</v>
      </c>
    </row>
    <row r="598" spans="1:102">
      <c r="A598" t="str">
        <f>'Bookings and Drivers'!I52</f>
        <v>% change Y/Y</v>
      </c>
      <c r="B598">
        <f>'Bookings and Drivers'!J52</f>
        <v>0</v>
      </c>
      <c r="C598">
        <f>'Bookings and Drivers'!K52</f>
        <v>0</v>
      </c>
      <c r="D598">
        <f>'Bookings and Drivers'!L52</f>
        <v>0</v>
      </c>
      <c r="E598">
        <f>'Bookings and Drivers'!M52</f>
        <v>0</v>
      </c>
      <c r="F598">
        <f>'Bookings and Drivers'!N52</f>
        <v>0</v>
      </c>
      <c r="G598">
        <f>'Bookings and Drivers'!O52</f>
        <v>0</v>
      </c>
      <c r="H598">
        <f>'Bookings and Drivers'!P52</f>
        <v>0</v>
      </c>
      <c r="I598">
        <f>'Bookings and Drivers'!Q52</f>
        <v>0</v>
      </c>
      <c r="J598">
        <f>'Bookings and Drivers'!R52</f>
        <v>0</v>
      </c>
      <c r="K598">
        <f>'Bookings and Drivers'!S52</f>
        <v>0</v>
      </c>
      <c r="L598">
        <f>'Bookings and Drivers'!T52</f>
        <v>0</v>
      </c>
      <c r="M598">
        <f>'Bookings and Drivers'!U52</f>
        <v>0</v>
      </c>
      <c r="N598">
        <f>'Bookings and Drivers'!V52</f>
        <v>0</v>
      </c>
      <c r="O598">
        <f>'Bookings and Drivers'!W52</f>
        <v>0</v>
      </c>
      <c r="P598">
        <f>'Bookings and Drivers'!X52</f>
        <v>0</v>
      </c>
      <c r="Q598">
        <f>'Bookings and Drivers'!Y52</f>
        <v>0</v>
      </c>
      <c r="R598">
        <f>'Bookings and Drivers'!Z52</f>
        <v>0</v>
      </c>
      <c r="S598">
        <f>'Bookings and Drivers'!AA52</f>
        <v>0</v>
      </c>
      <c r="T598">
        <f>'Bookings and Drivers'!AB52</f>
        <v>0</v>
      </c>
      <c r="U598">
        <f>'Bookings and Drivers'!AC52</f>
        <v>0</v>
      </c>
      <c r="V598">
        <f>'Bookings and Drivers'!AD52</f>
        <v>0</v>
      </c>
      <c r="W598">
        <f>'Bookings and Drivers'!AE52</f>
        <v>0</v>
      </c>
      <c r="X598">
        <f>'Bookings and Drivers'!AF52</f>
        <v>0</v>
      </c>
      <c r="Y598">
        <f>'Bookings and Drivers'!AG52</f>
        <v>0</v>
      </c>
      <c r="Z598">
        <f>'Bookings and Drivers'!AH52</f>
        <v>0</v>
      </c>
      <c r="AA598">
        <f>'Bookings and Drivers'!AI52</f>
        <v>0</v>
      </c>
      <c r="AB598">
        <f>'Bookings and Drivers'!AJ52</f>
        <v>0</v>
      </c>
      <c r="AC598">
        <f>'Bookings and Drivers'!AK52</f>
        <v>0</v>
      </c>
      <c r="AD598">
        <f>'Bookings and Drivers'!AL52</f>
        <v>0</v>
      </c>
      <c r="AE598">
        <f>'Bookings and Drivers'!AM52</f>
        <v>0</v>
      </c>
      <c r="AF598">
        <f>'Bookings and Drivers'!AN52</f>
        <v>0</v>
      </c>
      <c r="AG598">
        <f>'Bookings and Drivers'!AO52</f>
        <v>0</v>
      </c>
      <c r="AH598">
        <f>'Bookings and Drivers'!AP52</f>
        <v>0</v>
      </c>
      <c r="AI598">
        <f>'Bookings and Drivers'!AQ52</f>
        <v>0</v>
      </c>
      <c r="AJ598">
        <f>'Bookings and Drivers'!AR52</f>
        <v>0</v>
      </c>
      <c r="AK598">
        <f>'Bookings and Drivers'!AS52</f>
        <v>0</v>
      </c>
      <c r="AL598">
        <f>'Bookings and Drivers'!AT52</f>
        <v>0</v>
      </c>
      <c r="AM598">
        <f>'Bookings and Drivers'!AU52</f>
        <v>0</v>
      </c>
      <c r="AN598">
        <f>'Bookings and Drivers'!AV52</f>
        <v>0</v>
      </c>
      <c r="AO598">
        <f>'Bookings and Drivers'!AW52</f>
        <v>0</v>
      </c>
      <c r="AP598">
        <f>'Bookings and Drivers'!AX52</f>
        <v>0</v>
      </c>
      <c r="AR598">
        <f>'Bookings and Drivers'!AZ52</f>
        <v>0</v>
      </c>
      <c r="AS598">
        <f>'Bookings and Drivers'!BA52</f>
        <v>0</v>
      </c>
      <c r="AT598">
        <f>'Bookings and Drivers'!BB52</f>
        <v>0</v>
      </c>
      <c r="AU598">
        <f>'Bookings and Drivers'!BC52</f>
        <v>0</v>
      </c>
      <c r="AV598">
        <f>'Bookings and Drivers'!BD52</f>
        <v>0</v>
      </c>
      <c r="AW598">
        <f>'Bookings and Drivers'!BE52</f>
        <v>0</v>
      </c>
      <c r="AX598">
        <f>'Bookings and Drivers'!BF52</f>
        <v>0</v>
      </c>
      <c r="AY598">
        <f>'Bookings and Drivers'!BG52</f>
        <v>0</v>
      </c>
      <c r="AZ598">
        <f>'Bookings and Drivers'!BH52</f>
        <v>0</v>
      </c>
      <c r="BA598">
        <f>'Bookings and Drivers'!BI52</f>
        <v>0</v>
      </c>
      <c r="BB598">
        <f>'Bookings and Drivers'!BJ52</f>
        <v>0</v>
      </c>
      <c r="BC598">
        <f>'Bookings and Drivers'!BK52</f>
        <v>0</v>
      </c>
      <c r="BD598">
        <f>'Bookings and Drivers'!BL52</f>
        <v>0</v>
      </c>
      <c r="BE598">
        <f>'Bookings and Drivers'!BM52</f>
        <v>0</v>
      </c>
      <c r="BF598">
        <f>'Bookings and Drivers'!BN52</f>
        <v>0</v>
      </c>
      <c r="BG598">
        <f>'Bookings and Drivers'!BO52</f>
        <v>0</v>
      </c>
      <c r="BH598">
        <f>'Bookings and Drivers'!BP52</f>
        <v>0</v>
      </c>
      <c r="BI598">
        <f>'Bookings and Drivers'!BQ52</f>
        <v>0</v>
      </c>
      <c r="BJ598">
        <f>'Bookings and Drivers'!BR52</f>
        <v>0</v>
      </c>
      <c r="BK598">
        <f>'Bookings and Drivers'!BS52</f>
        <v>0</v>
      </c>
      <c r="BL598">
        <f>'Bookings and Drivers'!BT52</f>
        <v>0</v>
      </c>
      <c r="BM598">
        <f>'Bookings and Drivers'!BU52</f>
        <v>0</v>
      </c>
      <c r="BN598">
        <f>'Bookings and Drivers'!BV52</f>
        <v>0</v>
      </c>
      <c r="BO598">
        <f>'Bookings and Drivers'!BW52</f>
        <v>0</v>
      </c>
      <c r="BP598">
        <f>'Bookings and Drivers'!BX52</f>
        <v>0</v>
      </c>
      <c r="BQ598">
        <f>'Bookings and Drivers'!BY52</f>
        <v>0</v>
      </c>
      <c r="BR598">
        <f>'Bookings and Drivers'!BZ52</f>
        <v>0</v>
      </c>
      <c r="BS598">
        <f>'Bookings and Drivers'!CA52</f>
        <v>0</v>
      </c>
      <c r="BT598">
        <f>'Bookings and Drivers'!CB52</f>
        <v>0</v>
      </c>
      <c r="BU598">
        <f>'Bookings and Drivers'!CC52</f>
        <v>0</v>
      </c>
      <c r="BV598">
        <f>'Bookings and Drivers'!CD52</f>
        <v>0</v>
      </c>
      <c r="BW598">
        <f>'Bookings and Drivers'!CE52</f>
        <v>0</v>
      </c>
      <c r="BX598">
        <f>'Bookings and Drivers'!CF52</f>
        <v>0</v>
      </c>
      <c r="BY598">
        <f>'Bookings and Drivers'!CG52</f>
        <v>0</v>
      </c>
      <c r="BZ598">
        <f>'Bookings and Drivers'!CH52</f>
        <v>0</v>
      </c>
      <c r="CA598">
        <f>'Bookings and Drivers'!CI52</f>
        <v>0</v>
      </c>
      <c r="CB598">
        <f>'Bookings and Drivers'!CJ52</f>
        <v>0</v>
      </c>
      <c r="CC598">
        <f>'Bookings and Drivers'!CK52</f>
        <v>0</v>
      </c>
      <c r="CD598">
        <f>'Bookings and Drivers'!CL52</f>
        <v>0</v>
      </c>
      <c r="CE598">
        <f>'Bookings and Drivers'!CM52</f>
        <v>0</v>
      </c>
      <c r="CF598">
        <f>'Bookings and Drivers'!CN52</f>
        <v>0</v>
      </c>
      <c r="CG598">
        <f>'Bookings and Drivers'!CO52</f>
        <v>0</v>
      </c>
      <c r="CH598">
        <f>'Bookings and Drivers'!CP52</f>
        <v>0</v>
      </c>
      <c r="CI598">
        <f>'Bookings and Drivers'!CQ52</f>
        <v>0</v>
      </c>
      <c r="CJ598">
        <f>'Bookings and Drivers'!CR52</f>
        <v>0</v>
      </c>
      <c r="CK598">
        <f>'Bookings and Drivers'!CS52</f>
        <v>2</v>
      </c>
      <c r="CL598">
        <f>'Bookings and Drivers'!CT52</f>
        <v>1.6666666666666665</v>
      </c>
      <c r="CM598">
        <f>'Bookings and Drivers'!CU52</f>
        <v>0</v>
      </c>
      <c r="CN598">
        <f>'Bookings and Drivers'!CV52</f>
        <v>0</v>
      </c>
      <c r="CO598">
        <f>'Bookings and Drivers'!CW52</f>
        <v>0</v>
      </c>
      <c r="CP598">
        <f>'Bookings and Drivers'!CX52</f>
        <v>0</v>
      </c>
      <c r="CQ598">
        <f>'Bookings and Drivers'!CY52</f>
        <v>0</v>
      </c>
      <c r="CR598">
        <f>'Bookings and Drivers'!CZ52</f>
        <v>0</v>
      </c>
      <c r="CS598">
        <f>'Bookings and Drivers'!DA52</f>
        <v>0</v>
      </c>
      <c r="CT598">
        <f>'Bookings and Drivers'!DB52</f>
        <v>0</v>
      </c>
      <c r="CU598">
        <f>'Bookings and Drivers'!DC52</f>
        <v>0</v>
      </c>
      <c r="CV598">
        <f>'Bookings and Drivers'!DD52</f>
        <v>0</v>
      </c>
      <c r="CW598">
        <f>'Bookings and Drivers'!DE52</f>
        <v>0</v>
      </c>
      <c r="CX598">
        <f>'Bookings and Drivers'!DF52</f>
        <v>0</v>
      </c>
    </row>
    <row r="599" spans="1:102">
      <c r="A599" t="str">
        <f>'Bookings and Drivers'!I53</f>
        <v>Period-to-period change Y/Y</v>
      </c>
      <c r="B599">
        <f>'Bookings and Drivers'!J53</f>
        <v>0</v>
      </c>
      <c r="C599">
        <f>'Bookings and Drivers'!K53</f>
        <v>0</v>
      </c>
      <c r="D599">
        <f>'Bookings and Drivers'!L53</f>
        <v>0</v>
      </c>
      <c r="E599">
        <f>'Bookings and Drivers'!M53</f>
        <v>0</v>
      </c>
      <c r="F599">
        <f>'Bookings and Drivers'!N53</f>
        <v>0</v>
      </c>
      <c r="G599">
        <f>'Bookings and Drivers'!O53</f>
        <v>0</v>
      </c>
      <c r="H599">
        <f>'Bookings and Drivers'!P53</f>
        <v>0</v>
      </c>
      <c r="I599">
        <f>'Bookings and Drivers'!Q53</f>
        <v>0</v>
      </c>
      <c r="J599">
        <f>'Bookings and Drivers'!R53</f>
        <v>0</v>
      </c>
      <c r="K599">
        <f>'Bookings and Drivers'!S53</f>
        <v>0</v>
      </c>
      <c r="L599">
        <f>'Bookings and Drivers'!T53</f>
        <v>0</v>
      </c>
      <c r="M599">
        <f>'Bookings and Drivers'!U53</f>
        <v>0</v>
      </c>
      <c r="N599">
        <f>'Bookings and Drivers'!V53</f>
        <v>0</v>
      </c>
      <c r="O599">
        <f>'Bookings and Drivers'!W53</f>
        <v>0</v>
      </c>
      <c r="P599">
        <f>'Bookings and Drivers'!X53</f>
        <v>0</v>
      </c>
      <c r="Q599">
        <f>'Bookings and Drivers'!Y53</f>
        <v>0</v>
      </c>
      <c r="R599">
        <f>'Bookings and Drivers'!Z53</f>
        <v>0</v>
      </c>
      <c r="S599">
        <f>'Bookings and Drivers'!AA53</f>
        <v>0</v>
      </c>
      <c r="T599">
        <f>'Bookings and Drivers'!AB53</f>
        <v>0</v>
      </c>
      <c r="U599">
        <f>'Bookings and Drivers'!AC53</f>
        <v>0</v>
      </c>
      <c r="V599">
        <f>'Bookings and Drivers'!AD53</f>
        <v>0</v>
      </c>
      <c r="W599">
        <f>'Bookings and Drivers'!AE53</f>
        <v>0</v>
      </c>
      <c r="X599">
        <f>'Bookings and Drivers'!AF53</f>
        <v>0</v>
      </c>
      <c r="Y599">
        <f>'Bookings and Drivers'!AG53</f>
        <v>0</v>
      </c>
      <c r="Z599">
        <f>'Bookings and Drivers'!AH53</f>
        <v>0</v>
      </c>
      <c r="AA599">
        <f>'Bookings and Drivers'!AI53</f>
        <v>0</v>
      </c>
      <c r="AB599">
        <f>'Bookings and Drivers'!AJ53</f>
        <v>0</v>
      </c>
      <c r="AC599">
        <f>'Bookings and Drivers'!AK53</f>
        <v>0</v>
      </c>
      <c r="AD599">
        <f>'Bookings and Drivers'!AL53</f>
        <v>0</v>
      </c>
      <c r="AE599">
        <f>'Bookings and Drivers'!AM53</f>
        <v>0</v>
      </c>
      <c r="AF599">
        <f>'Bookings and Drivers'!AN53</f>
        <v>0</v>
      </c>
      <c r="AG599">
        <f>'Bookings and Drivers'!AO53</f>
        <v>0</v>
      </c>
      <c r="AH599">
        <f>'Bookings and Drivers'!AP53</f>
        <v>0</v>
      </c>
      <c r="AI599">
        <f>'Bookings and Drivers'!AQ53</f>
        <v>0</v>
      </c>
      <c r="AJ599">
        <f>'Bookings and Drivers'!AR53</f>
        <v>0</v>
      </c>
      <c r="AK599">
        <f>'Bookings and Drivers'!AS53</f>
        <v>0</v>
      </c>
      <c r="AL599">
        <f>'Bookings and Drivers'!AT53</f>
        <v>0</v>
      </c>
      <c r="AM599">
        <f>'Bookings and Drivers'!AU53</f>
        <v>0</v>
      </c>
      <c r="AN599">
        <f>'Bookings and Drivers'!AV53</f>
        <v>0</v>
      </c>
      <c r="AO599">
        <f>'Bookings and Drivers'!AW53</f>
        <v>0</v>
      </c>
      <c r="AP599">
        <f>'Bookings and Drivers'!AX53</f>
        <v>0</v>
      </c>
      <c r="AQ599">
        <f>'Bookings and Drivers'!AY53</f>
        <v>0</v>
      </c>
      <c r="AR599">
        <f>'Bookings and Drivers'!AZ53</f>
        <v>0</v>
      </c>
      <c r="AS599">
        <f>'Bookings and Drivers'!BA53</f>
        <v>0</v>
      </c>
      <c r="AT599">
        <f>'Bookings and Drivers'!BB53</f>
        <v>0</v>
      </c>
      <c r="AU599">
        <f>'Bookings and Drivers'!BC53</f>
        <v>0</v>
      </c>
      <c r="AV599">
        <f>'Bookings and Drivers'!BD53</f>
        <v>0</v>
      </c>
      <c r="AW599">
        <f>'Bookings and Drivers'!BE53</f>
        <v>0</v>
      </c>
      <c r="AX599">
        <f>'Bookings and Drivers'!BF53</f>
        <v>0</v>
      </c>
      <c r="AY599">
        <f>'Bookings and Drivers'!BG53</f>
        <v>0</v>
      </c>
      <c r="AZ599">
        <f>'Bookings and Drivers'!BH53</f>
        <v>0</v>
      </c>
      <c r="BA599">
        <f>'Bookings and Drivers'!BI53</f>
        <v>0</v>
      </c>
      <c r="BB599">
        <f>'Bookings and Drivers'!BJ53</f>
        <v>0</v>
      </c>
      <c r="BC599">
        <f>'Bookings and Drivers'!BK53</f>
        <v>0</v>
      </c>
      <c r="BD599">
        <f>'Bookings and Drivers'!BL53</f>
        <v>0</v>
      </c>
      <c r="BE599">
        <f>'Bookings and Drivers'!BM53</f>
        <v>0</v>
      </c>
      <c r="BF599">
        <f>'Bookings and Drivers'!BN53</f>
        <v>0</v>
      </c>
      <c r="BH599">
        <f>'Bookings and Drivers'!BP53</f>
        <v>0</v>
      </c>
      <c r="BI599">
        <f>'Bookings and Drivers'!BQ53</f>
        <v>0</v>
      </c>
      <c r="BJ599">
        <f>'Bookings and Drivers'!BR53</f>
        <v>0</v>
      </c>
      <c r="BK599">
        <f>'Bookings and Drivers'!BS53</f>
        <v>0</v>
      </c>
      <c r="BL599">
        <f>'Bookings and Drivers'!BT53</f>
        <v>0</v>
      </c>
      <c r="BM599">
        <f>'Bookings and Drivers'!BU53</f>
        <v>0</v>
      </c>
      <c r="BN599">
        <f>'Bookings and Drivers'!BV53</f>
        <v>0</v>
      </c>
      <c r="BO599">
        <f>'Bookings and Drivers'!BW53</f>
        <v>0</v>
      </c>
      <c r="BP599">
        <f>'Bookings and Drivers'!BX53</f>
        <v>0</v>
      </c>
      <c r="BQ599">
        <f>'Bookings and Drivers'!BY53</f>
        <v>0</v>
      </c>
      <c r="BR599">
        <f>'Bookings and Drivers'!BZ53</f>
        <v>0</v>
      </c>
      <c r="BS599">
        <f>'Bookings and Drivers'!CA53</f>
        <v>0</v>
      </c>
      <c r="BT599">
        <f>'Bookings and Drivers'!CB53</f>
        <v>0</v>
      </c>
      <c r="BU599">
        <f>'Bookings and Drivers'!CC53</f>
        <v>0</v>
      </c>
      <c r="BV599">
        <f>'Bookings and Drivers'!CD53</f>
        <v>0</v>
      </c>
      <c r="BW599">
        <f>'Bookings and Drivers'!CE53</f>
        <v>0</v>
      </c>
      <c r="BX599">
        <f>'Bookings and Drivers'!CF53</f>
        <v>0</v>
      </c>
      <c r="BY599">
        <f>'Bookings and Drivers'!CG53</f>
        <v>0</v>
      </c>
      <c r="BZ599">
        <f>'Bookings and Drivers'!CH53</f>
        <v>0</v>
      </c>
      <c r="CA599">
        <f>'Bookings and Drivers'!CI53</f>
        <v>0</v>
      </c>
      <c r="CB599">
        <f>'Bookings and Drivers'!CJ53</f>
        <v>0</v>
      </c>
      <c r="CC599">
        <f>'Bookings and Drivers'!CK53</f>
        <v>0</v>
      </c>
      <c r="CD599">
        <f>'Bookings and Drivers'!CL53</f>
        <v>0</v>
      </c>
      <c r="CE599">
        <f>'Bookings and Drivers'!CM53</f>
        <v>0</v>
      </c>
      <c r="CF599">
        <f>'Bookings and Drivers'!CN53</f>
        <v>0</v>
      </c>
      <c r="CG599">
        <f>'Bookings and Drivers'!CO53</f>
        <v>0</v>
      </c>
      <c r="CH599">
        <f>'Bookings and Drivers'!CP53</f>
        <v>0</v>
      </c>
      <c r="CI599">
        <f>'Bookings and Drivers'!CQ53</f>
        <v>0</v>
      </c>
      <c r="CJ599">
        <f>'Bookings and Drivers'!CR53</f>
        <v>0</v>
      </c>
      <c r="CK599">
        <f>'Bookings and Drivers'!CS53</f>
        <v>2000</v>
      </c>
      <c r="CL599">
        <f>'Bookings and Drivers'!CT53</f>
        <v>5000</v>
      </c>
      <c r="CM599">
        <f>'Bookings and Drivers'!CU53</f>
        <v>0</v>
      </c>
      <c r="CN599">
        <f>'Bookings and Drivers'!CV53</f>
        <v>0</v>
      </c>
      <c r="CO599">
        <f>'Bookings and Drivers'!CW53</f>
        <v>0</v>
      </c>
      <c r="CP599">
        <f>'Bookings and Drivers'!CX53</f>
        <v>0</v>
      </c>
      <c r="CQ599">
        <f>'Bookings and Drivers'!CY53</f>
        <v>0</v>
      </c>
      <c r="CR599">
        <f>'Bookings and Drivers'!CZ53</f>
        <v>0</v>
      </c>
      <c r="CS599">
        <f>'Bookings and Drivers'!DA53</f>
        <v>0</v>
      </c>
      <c r="CT599">
        <f>'Bookings and Drivers'!DB53</f>
        <v>0</v>
      </c>
      <c r="CU599">
        <f>'Bookings and Drivers'!DC53</f>
        <v>0</v>
      </c>
      <c r="CV599">
        <f>'Bookings and Drivers'!DD53</f>
        <v>0</v>
      </c>
      <c r="CW599">
        <f>'Bookings and Drivers'!DE53</f>
        <v>0</v>
      </c>
      <c r="CX599">
        <f>'Bookings and Drivers'!DF53</f>
        <v>0</v>
      </c>
    </row>
    <row r="600" spans="1:102">
      <c r="A600">
        <f>'Bookings and Drivers'!I54</f>
        <v>0</v>
      </c>
      <c r="B600">
        <f>'Bookings and Drivers'!J54</f>
        <v>0</v>
      </c>
      <c r="C600">
        <f>'Bookings and Drivers'!K54</f>
        <v>0</v>
      </c>
      <c r="D600">
        <f>'Bookings and Drivers'!L54</f>
        <v>0</v>
      </c>
      <c r="E600">
        <f>'Bookings and Drivers'!M54</f>
        <v>0</v>
      </c>
      <c r="F600">
        <f>'Bookings and Drivers'!N54</f>
        <v>0</v>
      </c>
      <c r="G600">
        <f>'Bookings and Drivers'!O54</f>
        <v>0</v>
      </c>
      <c r="H600">
        <f>'Bookings and Drivers'!P54</f>
        <v>0</v>
      </c>
      <c r="I600">
        <f>'Bookings and Drivers'!Q54</f>
        <v>0</v>
      </c>
      <c r="J600">
        <f>'Bookings and Drivers'!R54</f>
        <v>0</v>
      </c>
      <c r="K600">
        <f>'Bookings and Drivers'!S54</f>
        <v>0</v>
      </c>
      <c r="L600">
        <f>'Bookings and Drivers'!T54</f>
        <v>0</v>
      </c>
      <c r="M600">
        <f>'Bookings and Drivers'!U54</f>
        <v>0</v>
      </c>
      <c r="N600">
        <f>'Bookings and Drivers'!V54</f>
        <v>0</v>
      </c>
      <c r="O600">
        <f>'Bookings and Drivers'!W54</f>
        <v>0</v>
      </c>
      <c r="P600">
        <f>'Bookings and Drivers'!X54</f>
        <v>0</v>
      </c>
      <c r="Q600">
        <f>'Bookings and Drivers'!Y54</f>
        <v>0</v>
      </c>
      <c r="R600">
        <f>'Bookings and Drivers'!Z54</f>
        <v>0</v>
      </c>
      <c r="S600">
        <f>'Bookings and Drivers'!AA54</f>
        <v>0</v>
      </c>
      <c r="T600">
        <f>'Bookings and Drivers'!AB54</f>
        <v>0</v>
      </c>
      <c r="U600">
        <f>'Bookings and Drivers'!AC54</f>
        <v>0</v>
      </c>
      <c r="V600">
        <f>'Bookings and Drivers'!AD54</f>
        <v>0</v>
      </c>
      <c r="W600">
        <f>'Bookings and Drivers'!AE54</f>
        <v>0</v>
      </c>
      <c r="X600">
        <f>'Bookings and Drivers'!AF54</f>
        <v>0</v>
      </c>
      <c r="Y600">
        <f>'Bookings and Drivers'!AG54</f>
        <v>0</v>
      </c>
      <c r="Z600">
        <f>'Bookings and Drivers'!AH54</f>
        <v>0</v>
      </c>
      <c r="AA600">
        <f>'Bookings and Drivers'!AI54</f>
        <v>0</v>
      </c>
      <c r="AB600">
        <f>'Bookings and Drivers'!AJ54</f>
        <v>0</v>
      </c>
      <c r="AC600">
        <f>'Bookings and Drivers'!AK54</f>
        <v>0</v>
      </c>
      <c r="AD600">
        <f>'Bookings and Drivers'!AL54</f>
        <v>0</v>
      </c>
      <c r="AE600">
        <f>'Bookings and Drivers'!AM54</f>
        <v>0</v>
      </c>
      <c r="AF600">
        <f>'Bookings and Drivers'!AN54</f>
        <v>0</v>
      </c>
      <c r="AG600">
        <f>'Bookings and Drivers'!AO54</f>
        <v>0</v>
      </c>
      <c r="AH600">
        <f>'Bookings and Drivers'!AP54</f>
        <v>0</v>
      </c>
      <c r="AI600">
        <f>'Bookings and Drivers'!AQ54</f>
        <v>0</v>
      </c>
      <c r="AJ600">
        <f>'Bookings and Drivers'!AR54</f>
        <v>0</v>
      </c>
      <c r="AK600">
        <f>'Bookings and Drivers'!AS54</f>
        <v>0</v>
      </c>
      <c r="AL600">
        <f>'Bookings and Drivers'!AT54</f>
        <v>0</v>
      </c>
      <c r="AM600">
        <f>'Bookings and Drivers'!AU54</f>
        <v>0</v>
      </c>
      <c r="AN600">
        <f>'Bookings and Drivers'!AV54</f>
        <v>0</v>
      </c>
      <c r="AO600">
        <f>'Bookings and Drivers'!AW54</f>
        <v>0</v>
      </c>
      <c r="AP600">
        <f>'Bookings and Drivers'!AX54</f>
        <v>0</v>
      </c>
      <c r="AQ600">
        <f>'Bookings and Drivers'!AY54</f>
        <v>0</v>
      </c>
      <c r="AR600">
        <f>'Bookings and Drivers'!AZ54</f>
        <v>0</v>
      </c>
      <c r="AS600">
        <f>'Bookings and Drivers'!BA54</f>
        <v>0</v>
      </c>
      <c r="AT600">
        <f>'Bookings and Drivers'!BB54</f>
        <v>0</v>
      </c>
      <c r="AU600">
        <f>'Bookings and Drivers'!BC54</f>
        <v>0</v>
      </c>
      <c r="AV600">
        <f>'Bookings and Drivers'!BD54</f>
        <v>0</v>
      </c>
      <c r="AW600">
        <f>'Bookings and Drivers'!BE54</f>
        <v>0</v>
      </c>
      <c r="AX600">
        <f>'Bookings and Drivers'!BF54</f>
        <v>0</v>
      </c>
      <c r="AY600">
        <f>'Bookings and Drivers'!BG54</f>
        <v>0</v>
      </c>
      <c r="AZ600">
        <f>'Bookings and Drivers'!BH54</f>
        <v>0</v>
      </c>
      <c r="BA600">
        <f>'Bookings and Drivers'!BI54</f>
        <v>0</v>
      </c>
      <c r="BB600">
        <f>'Bookings and Drivers'!BJ54</f>
        <v>0</v>
      </c>
      <c r="BC600">
        <f>'Bookings and Drivers'!BK54</f>
        <v>0</v>
      </c>
      <c r="BD600">
        <f>'Bookings and Drivers'!BL54</f>
        <v>0</v>
      </c>
      <c r="BE600">
        <f>'Bookings and Drivers'!BM54</f>
        <v>0</v>
      </c>
      <c r="BF600">
        <f>'Bookings and Drivers'!BN54</f>
        <v>0</v>
      </c>
      <c r="BG600">
        <f>'Bookings and Drivers'!BO54</f>
        <v>0</v>
      </c>
      <c r="BH600">
        <f>'Bookings and Drivers'!BP54</f>
        <v>0</v>
      </c>
      <c r="BI600">
        <f>'Bookings and Drivers'!BQ54</f>
        <v>0</v>
      </c>
      <c r="BJ600">
        <f>'Bookings and Drivers'!BR54</f>
        <v>0</v>
      </c>
      <c r="BK600">
        <f>'Bookings and Drivers'!BS54</f>
        <v>0</v>
      </c>
      <c r="BL600">
        <f>'Bookings and Drivers'!BT54</f>
        <v>0</v>
      </c>
      <c r="BM600">
        <f>'Bookings and Drivers'!BU54</f>
        <v>0</v>
      </c>
      <c r="BN600">
        <f>'Bookings and Drivers'!BV54</f>
        <v>0</v>
      </c>
      <c r="BO600">
        <f>'Bookings and Drivers'!BW54</f>
        <v>0</v>
      </c>
      <c r="BP600">
        <f>'Bookings and Drivers'!BX54</f>
        <v>0</v>
      </c>
      <c r="BQ600">
        <f>'Bookings and Drivers'!BY54</f>
        <v>0</v>
      </c>
      <c r="BR600">
        <f>'Bookings and Drivers'!BZ54</f>
        <v>0</v>
      </c>
      <c r="BS600">
        <f>'Bookings and Drivers'!CA54</f>
        <v>0</v>
      </c>
      <c r="BT600">
        <f>'Bookings and Drivers'!CB54</f>
        <v>0</v>
      </c>
      <c r="BU600">
        <f>'Bookings and Drivers'!CC54</f>
        <v>0</v>
      </c>
      <c r="BV600">
        <f>'Bookings and Drivers'!CD54</f>
        <v>0</v>
      </c>
      <c r="BW600">
        <f>'Bookings and Drivers'!CE54</f>
        <v>0</v>
      </c>
      <c r="BX600">
        <f>'Bookings and Drivers'!CF54</f>
        <v>0</v>
      </c>
      <c r="BY600">
        <f>'Bookings and Drivers'!CG54</f>
        <v>0</v>
      </c>
      <c r="BZ600">
        <f>'Bookings and Drivers'!CH54</f>
        <v>0</v>
      </c>
      <c r="CA600">
        <f>'Bookings and Drivers'!CI54</f>
        <v>0</v>
      </c>
      <c r="CB600">
        <f>'Bookings and Drivers'!CJ54</f>
        <v>0</v>
      </c>
      <c r="CC600">
        <f>'Bookings and Drivers'!CK54</f>
        <v>0</v>
      </c>
      <c r="CD600">
        <f>'Bookings and Drivers'!CL54</f>
        <v>0</v>
      </c>
      <c r="CE600">
        <f>'Bookings and Drivers'!CM54</f>
        <v>0</v>
      </c>
      <c r="CF600">
        <f>'Bookings and Drivers'!CN54</f>
        <v>0</v>
      </c>
      <c r="CG600">
        <f>'Bookings and Drivers'!CO54</f>
        <v>0</v>
      </c>
      <c r="CH600">
        <f>'Bookings and Drivers'!CP54</f>
        <v>0</v>
      </c>
      <c r="CI600">
        <f>'Bookings and Drivers'!CQ54</f>
        <v>0</v>
      </c>
      <c r="CJ600">
        <f>'Bookings and Drivers'!CR54</f>
        <v>0</v>
      </c>
      <c r="CK600">
        <f>'Bookings and Drivers'!CS54</f>
        <v>0</v>
      </c>
      <c r="CL600">
        <f>'Bookings and Drivers'!CT54</f>
        <v>0</v>
      </c>
      <c r="CM600">
        <f>'Bookings and Drivers'!CU54</f>
        <v>0</v>
      </c>
      <c r="CN600">
        <f>'Bookings and Drivers'!CV54</f>
        <v>0</v>
      </c>
      <c r="CO600">
        <f>'Bookings and Drivers'!CW54</f>
        <v>0</v>
      </c>
      <c r="CP600">
        <f>'Bookings and Drivers'!CX54</f>
        <v>0</v>
      </c>
      <c r="CQ600">
        <f>'Bookings and Drivers'!CY54</f>
        <v>0</v>
      </c>
      <c r="CR600">
        <f>'Bookings and Drivers'!CZ54</f>
        <v>0</v>
      </c>
      <c r="CS600">
        <f>'Bookings and Drivers'!DA54</f>
        <v>0</v>
      </c>
      <c r="CT600">
        <f>'Bookings and Drivers'!DB54</f>
        <v>0</v>
      </c>
      <c r="CU600">
        <f>'Bookings and Drivers'!DC54</f>
        <v>0</v>
      </c>
      <c r="CV600">
        <f>'Bookings and Drivers'!DD54</f>
        <v>0</v>
      </c>
      <c r="CW600">
        <f>'Bookings and Drivers'!DE54</f>
        <v>0</v>
      </c>
      <c r="CX600">
        <f>'Bookings and Drivers'!DF54</f>
        <v>0</v>
      </c>
    </row>
    <row r="603" spans="1:102">
      <c r="A603" t="str">
        <f>'Bookings and Drivers'!I364</f>
        <v>Domestic Hotel Bookings</v>
      </c>
      <c r="B603">
        <f>'Bookings and Drivers'!J364</f>
        <v>0</v>
      </c>
      <c r="C603">
        <f>'Bookings and Drivers'!K364</f>
        <v>0</v>
      </c>
      <c r="D603">
        <f>'Bookings and Drivers'!L364</f>
        <v>0</v>
      </c>
      <c r="E603">
        <f>'Bookings and Drivers'!M364</f>
        <v>0</v>
      </c>
      <c r="F603">
        <f>'Bookings and Drivers'!N364</f>
        <v>0</v>
      </c>
      <c r="G603">
        <f>'Bookings and Drivers'!O364</f>
        <v>0</v>
      </c>
      <c r="H603">
        <f>'Bookings and Drivers'!P364</f>
        <v>0</v>
      </c>
      <c r="I603">
        <f>'Bookings and Drivers'!Q364</f>
        <v>0</v>
      </c>
      <c r="J603">
        <f>'Bookings and Drivers'!R364</f>
        <v>0</v>
      </c>
      <c r="K603">
        <f>'Bookings and Drivers'!S364</f>
        <v>0</v>
      </c>
      <c r="L603">
        <f>'Bookings and Drivers'!T364</f>
        <v>0</v>
      </c>
      <c r="M603">
        <f>'Bookings and Drivers'!U364</f>
        <v>0</v>
      </c>
      <c r="N603">
        <f>'Bookings and Drivers'!V364</f>
        <v>0</v>
      </c>
      <c r="O603">
        <f>'Bookings and Drivers'!W364</f>
        <v>0</v>
      </c>
      <c r="P603">
        <f>'Bookings and Drivers'!X364</f>
        <v>0</v>
      </c>
      <c r="Q603">
        <f>'Bookings and Drivers'!Y364</f>
        <v>0</v>
      </c>
      <c r="R603">
        <f>'Bookings and Drivers'!Z364</f>
        <v>0</v>
      </c>
      <c r="S603">
        <f>'Bookings and Drivers'!AA364</f>
        <v>0</v>
      </c>
      <c r="T603">
        <f>'Bookings and Drivers'!AB364</f>
        <v>0</v>
      </c>
      <c r="U603">
        <f>'Bookings and Drivers'!AC364</f>
        <v>0</v>
      </c>
      <c r="V603">
        <f>'Bookings and Drivers'!AD364</f>
        <v>0</v>
      </c>
      <c r="W603">
        <f>'Bookings and Drivers'!AE364</f>
        <v>0</v>
      </c>
      <c r="X603">
        <f>'Bookings and Drivers'!AF364</f>
        <v>0</v>
      </c>
      <c r="Y603">
        <f>'Bookings and Drivers'!AG364</f>
        <v>98.218450000000018</v>
      </c>
      <c r="Z603">
        <f>'Bookings and Drivers'!AH364</f>
        <v>111.26362500000002</v>
      </c>
      <c r="AA603">
        <f>'Bookings and Drivers'!AI364</f>
        <v>112.35510000000001</v>
      </c>
      <c r="AB603">
        <f>'Bookings and Drivers'!AJ364</f>
        <v>91.484250000000017</v>
      </c>
      <c r="AC603">
        <f>'Bookings and Drivers'!AK364</f>
        <v>114.62836235573526</v>
      </c>
      <c r="AD603">
        <f>'Bookings and Drivers'!AL364</f>
        <v>132.33980508056598</v>
      </c>
      <c r="AE603">
        <f>'Bookings and Drivers'!AM364</f>
        <v>133.84172959257455</v>
      </c>
      <c r="AF603">
        <f>'Bookings and Drivers'!AN364</f>
        <v>115.674229014801</v>
      </c>
      <c r="AG603">
        <f>'Bookings and Drivers'!AO364</f>
        <v>151.38464066587349</v>
      </c>
      <c r="AH603">
        <f>'Bookings and Drivers'!AP364</f>
        <v>185.5599914913995</v>
      </c>
      <c r="AI603">
        <f>'Bookings and Drivers'!AQ364</f>
        <v>175.01236067323356</v>
      </c>
      <c r="AJ603">
        <f>'Bookings and Drivers'!AR364</f>
        <v>162.86052574558539</v>
      </c>
      <c r="AK603">
        <f>'Bookings and Drivers'!AS364</f>
        <v>192.74799251978985</v>
      </c>
      <c r="AL603">
        <f>'Bookings and Drivers'!AT364</f>
        <v>248.6705145186265</v>
      </c>
      <c r="AM603">
        <f>'Bookings and Drivers'!AU364</f>
        <v>246.80407511808167</v>
      </c>
      <c r="AN603">
        <f>'Bookings and Drivers'!AV364</f>
        <v>199.89453962657237</v>
      </c>
      <c r="AO603">
        <f>'Bookings and Drivers'!AW364</f>
        <v>227.51799523504917</v>
      </c>
      <c r="AP603">
        <f>'Bookings and Drivers'!AX364</f>
        <v>296.11187517243002</v>
      </c>
      <c r="AQ603">
        <f>'Bookings and Drivers'!AY364</f>
        <v>291.68388189331722</v>
      </c>
      <c r="AR603">
        <f>'Bookings and Drivers'!AZ364</f>
        <v>238.21049041190605</v>
      </c>
      <c r="AS603">
        <f>'Bookings and Drivers'!BA364</f>
        <v>257.68907505392076</v>
      </c>
      <c r="AT603">
        <f>'Bookings and Drivers'!BB364</f>
        <v>303.62415228036622</v>
      </c>
      <c r="AU603">
        <f>'Bookings and Drivers'!BC364</f>
        <v>321.60850872560411</v>
      </c>
      <c r="AV603">
        <f>'Bookings and Drivers'!BD364</f>
        <v>271.9445572357767</v>
      </c>
      <c r="AW603">
        <f>'Bookings and Drivers'!BE364</f>
        <v>273.27926409468301</v>
      </c>
      <c r="AX603">
        <f>'Bookings and Drivers'!BF364</f>
        <v>310.40104335926401</v>
      </c>
      <c r="AY603">
        <f>'Bookings and Drivers'!BG364</f>
        <v>332.62360014945614</v>
      </c>
      <c r="AZ603">
        <f>'Bookings and Drivers'!BH364</f>
        <v>270.54404276601247</v>
      </c>
      <c r="BA603">
        <f>'Bookings and Drivers'!BI364</f>
        <v>278.77217730298611</v>
      </c>
      <c r="BB603">
        <f>'Bookings and Drivers'!BJ364</f>
        <v>329.18030648249947</v>
      </c>
      <c r="BC603">
        <f>'Bookings and Drivers'!BK364</f>
        <v>365.69969094831805</v>
      </c>
      <c r="BD603">
        <f>'Bookings and Drivers'!BL364</f>
        <v>331.14590834559925</v>
      </c>
      <c r="BE603">
        <f>'Bookings and Drivers'!BM364</f>
        <v>304.36346317940024</v>
      </c>
      <c r="BF603">
        <f>'Bookings and Drivers'!BN364</f>
        <v>359.39905861759297</v>
      </c>
      <c r="BG603">
        <f>'Bookings and Drivers'!BO364</f>
        <v>399.27092257737365</v>
      </c>
      <c r="BH603">
        <f>'Bookings and Drivers'!BP364</f>
        <v>358.13429987576563</v>
      </c>
      <c r="BI603">
        <f>'Bookings and Drivers'!BQ364</f>
        <v>325.97326906513769</v>
      </c>
      <c r="BJ603">
        <f>'Bookings and Drivers'!BR364</f>
        <v>384.91639177944211</v>
      </c>
      <c r="BK603">
        <f>'Bookings and Drivers'!BS364</f>
        <v>426.5710719086016</v>
      </c>
      <c r="BL603">
        <f>'Bookings and Drivers'!BT364</f>
        <v>379.80142501824946</v>
      </c>
      <c r="BM603">
        <f>'Bookings and Drivers'!BU364</f>
        <v>340.5605728558026</v>
      </c>
      <c r="BN603">
        <f>'Bookings and Drivers'!BV364</f>
        <v>402.14140031157206</v>
      </c>
      <c r="BO603">
        <f>'Bookings and Drivers'!BW364</f>
        <v>445.66012737651158</v>
      </c>
      <c r="BP603">
        <f>'Bookings and Drivers'!BX364</f>
        <v>396.79753878781617</v>
      </c>
      <c r="BQ603">
        <f>'Bookings and Drivers'!BY364</f>
        <v>361.16448751357865</v>
      </c>
      <c r="BR603">
        <f>'Bookings and Drivers'!BZ364</f>
        <v>418.02598562387919</v>
      </c>
      <c r="BS603">
        <f>'Bookings and Drivers'!CA364</f>
        <v>463.26370240788384</v>
      </c>
      <c r="BT603">
        <f>'Bookings and Drivers'!CB364</f>
        <v>412.47104156993493</v>
      </c>
      <c r="BU603">
        <f>'Bookings and Drivers'!CC364</f>
        <v>375.43048477036501</v>
      </c>
      <c r="BV603">
        <f>'Bookings and Drivers'!CD364</f>
        <v>430.1487392069717</v>
      </c>
      <c r="BW603">
        <f>'Bookings and Drivers'!CE364</f>
        <v>481.56261865299518</v>
      </c>
      <c r="BX603">
        <f>'Bookings and Drivers'!CF364</f>
        <v>428.76364771194733</v>
      </c>
      <c r="BY603">
        <f>'Bookings and Drivers'!CG364</f>
        <v>0</v>
      </c>
      <c r="BZ603">
        <f>'Bookings and Drivers'!CH364</f>
        <v>0</v>
      </c>
      <c r="CA603">
        <f>'Bookings and Drivers'!CI364</f>
        <v>0</v>
      </c>
      <c r="CB603">
        <f>'Bookings and Drivers'!CJ364</f>
        <v>0</v>
      </c>
      <c r="CC603">
        <f>'Bookings and Drivers'!CK364</f>
        <v>0</v>
      </c>
      <c r="CD603">
        <f>'Bookings and Drivers'!CL364</f>
        <v>0</v>
      </c>
      <c r="CE603">
        <f>'Bookings and Drivers'!CM364</f>
        <v>413.32142500000009</v>
      </c>
      <c r="CF603">
        <f>'Bookings and Drivers'!CN364</f>
        <v>496.48412604367684</v>
      </c>
      <c r="CG603">
        <f>'Bookings and Drivers'!CO364</f>
        <v>674.81751857609197</v>
      </c>
      <c r="CH603">
        <f>'Bookings and Drivers'!CP364</f>
        <v>888.11712178307039</v>
      </c>
      <c r="CI603">
        <f>'Bookings and Drivers'!CQ364</f>
        <v>1053.5242427127025</v>
      </c>
      <c r="CJ603">
        <f>'Bookings and Drivers'!CR364</f>
        <v>1154.8662932956677</v>
      </c>
      <c r="CK603">
        <f>'Bookings and Drivers'!CS364</f>
        <v>1186.8479503694157</v>
      </c>
      <c r="CL603">
        <f>'Bookings and Drivers'!CT364</f>
        <v>1304.7980830794029</v>
      </c>
      <c r="CM603">
        <f>'Bookings and Drivers'!CU364</f>
        <v>1421.1677442501325</v>
      </c>
      <c r="CN603">
        <f>'Bookings and Drivers'!CV364</f>
        <v>1517.2621577714308</v>
      </c>
      <c r="CO603">
        <f>'Bookings and Drivers'!CW364</f>
        <v>1585.1596393317025</v>
      </c>
      <c r="CP603">
        <f>'Bookings and Drivers'!CX364</f>
        <v>1654.9252171152766</v>
      </c>
      <c r="CQ603">
        <f>'Bookings and Drivers'!CY364</f>
        <v>1715.9054903422793</v>
      </c>
      <c r="CR603">
        <f>'Bookings and Drivers'!CZ364</f>
        <v>1784.5417099559706</v>
      </c>
      <c r="CS603">
        <f>'Bookings and Drivers'!DA364</f>
        <v>1855.9233783542097</v>
      </c>
      <c r="CT603">
        <f>'Bookings and Drivers'!DB364</f>
        <v>1930.1603134883781</v>
      </c>
      <c r="CU603">
        <f>'Bookings and Drivers'!DC364</f>
        <v>2007.366726027913</v>
      </c>
      <c r="CV603">
        <f>'Bookings and Drivers'!DD364</f>
        <v>2087.6613950690298</v>
      </c>
      <c r="CW603">
        <f>'Bookings and Drivers'!DE364</f>
        <v>2171.167850871791</v>
      </c>
      <c r="CX603">
        <f>'Bookings and Drivers'!DF364</f>
        <v>2258.0145649066626</v>
      </c>
    </row>
    <row r="604" spans="1:102">
      <c r="A604" t="str">
        <f>'Bookings and Drivers'!I365</f>
        <v>% change Y/Y</v>
      </c>
      <c r="B604">
        <f>'Bookings and Drivers'!J365</f>
        <v>0</v>
      </c>
      <c r="C604">
        <f>'Bookings and Drivers'!K365</f>
        <v>0</v>
      </c>
      <c r="D604">
        <f>'Bookings and Drivers'!L365</f>
        <v>0</v>
      </c>
      <c r="E604">
        <f>'Bookings and Drivers'!M365</f>
        <v>0</v>
      </c>
      <c r="F604">
        <f>'Bookings and Drivers'!N365</f>
        <v>0</v>
      </c>
      <c r="G604">
        <f>'Bookings and Drivers'!O365</f>
        <v>0</v>
      </c>
      <c r="H604">
        <f>'Bookings and Drivers'!P365</f>
        <v>0</v>
      </c>
      <c r="I604">
        <f>'Bookings and Drivers'!Q365</f>
        <v>0</v>
      </c>
      <c r="J604">
        <f>'Bookings and Drivers'!R365</f>
        <v>0</v>
      </c>
      <c r="K604">
        <f>'Bookings and Drivers'!S365</f>
        <v>0</v>
      </c>
      <c r="L604">
        <f>'Bookings and Drivers'!T365</f>
        <v>0</v>
      </c>
      <c r="M604">
        <f>'Bookings and Drivers'!U365</f>
        <v>0</v>
      </c>
      <c r="N604">
        <f>'Bookings and Drivers'!V365</f>
        <v>0</v>
      </c>
      <c r="O604">
        <f>'Bookings and Drivers'!W365</f>
        <v>0</v>
      </c>
      <c r="P604">
        <f>'Bookings and Drivers'!X365</f>
        <v>0</v>
      </c>
      <c r="Q604">
        <f>'Bookings and Drivers'!Y365</f>
        <v>0</v>
      </c>
      <c r="R604">
        <f>'Bookings and Drivers'!Z365</f>
        <v>0</v>
      </c>
      <c r="S604">
        <f>'Bookings and Drivers'!AA365</f>
        <v>0</v>
      </c>
      <c r="T604">
        <f>'Bookings and Drivers'!AB365</f>
        <v>0</v>
      </c>
      <c r="U604">
        <f>'Bookings and Drivers'!AC365</f>
        <v>0</v>
      </c>
      <c r="V604">
        <f>'Bookings and Drivers'!AD365</f>
        <v>0</v>
      </c>
      <c r="W604">
        <f>'Bookings and Drivers'!AE365</f>
        <v>0</v>
      </c>
      <c r="X604">
        <f>'Bookings and Drivers'!AF365</f>
        <v>0</v>
      </c>
      <c r="Y604">
        <f>'Bookings and Drivers'!AG365</f>
        <v>0</v>
      </c>
      <c r="Z604">
        <f>'Bookings and Drivers'!AH365</f>
        <v>0</v>
      </c>
      <c r="AA604">
        <f>'Bookings and Drivers'!AI365</f>
        <v>0</v>
      </c>
      <c r="AB604">
        <f>'Bookings and Drivers'!AJ365</f>
        <v>0</v>
      </c>
      <c r="AC604">
        <f>'Bookings and Drivers'!AK365</f>
        <v>0.16707565997768481</v>
      </c>
      <c r="AD604">
        <f>'Bookings and Drivers'!AL365</f>
        <v>0.18942561039662298</v>
      </c>
      <c r="AE604">
        <f>'Bookings and Drivers'!AM365</f>
        <v>0.19123857833400115</v>
      </c>
      <c r="AF604">
        <f>'Bookings and Drivers'!AN365</f>
        <v>0.26441686973223244</v>
      </c>
      <c r="AG604">
        <f>'Bookings and Drivers'!AO365</f>
        <v>0.32065605365685634</v>
      </c>
      <c r="AH604">
        <f>'Bookings and Drivers'!AP365</f>
        <v>0.40214798849396871</v>
      </c>
      <c r="AI604">
        <f>'Bookings and Drivers'!AQ365</f>
        <v>0.30760683686609447</v>
      </c>
      <c r="AJ604">
        <f>'Bookings and Drivers'!AR365</f>
        <v>0.40792402190765165</v>
      </c>
      <c r="AK604">
        <f>'Bookings and Drivers'!AS365</f>
        <v>0.27323347779522034</v>
      </c>
      <c r="AL604">
        <f>'Bookings and Drivers'!AT365</f>
        <v>0.34010846044984921</v>
      </c>
      <c r="AM604">
        <f>'Bookings and Drivers'!AU365</f>
        <v>0.41020939417468227</v>
      </c>
      <c r="AN604">
        <f>'Bookings and Drivers'!AV365</f>
        <v>0.2273971160994539</v>
      </c>
      <c r="AO604">
        <f>'Bookings and Drivers'!AW365</f>
        <v>0.18039099790722557</v>
      </c>
      <c r="AP604">
        <f>'Bookings and Drivers'!AX365</f>
        <v>0.19077999957349157</v>
      </c>
      <c r="AQ604">
        <f>'Bookings and Drivers'!AY365</f>
        <v>0.18184386442469846</v>
      </c>
      <c r="AR604">
        <f>'Bookings and Drivers'!AZ365</f>
        <v>0.19168082758494864</v>
      </c>
      <c r="AS604">
        <f>'Bookings and Drivers'!BA365</f>
        <v>0.13260964165802269</v>
      </c>
      <c r="AT604">
        <f>'Bookings and Drivers'!BB365</f>
        <v>2.536972589688169E-2</v>
      </c>
      <c r="AU604">
        <f>'Bookings and Drivers'!BC365</f>
        <v>0.1025926651758966</v>
      </c>
      <c r="AV604">
        <f>'Bookings and Drivers'!BD365</f>
        <v>0.14161453076872799</v>
      </c>
      <c r="AW604">
        <f>'Bookings and Drivers'!BE365</f>
        <v>6.050000000000022E-2</v>
      </c>
      <c r="AX604">
        <f>'Bookings and Drivers'!BF365</f>
        <v>2.2320000000000118E-2</v>
      </c>
      <c r="AY604">
        <f>'Bookings and Drivers'!BG365</f>
        <v>3.4250000000000336E-2</v>
      </c>
      <c r="AZ604">
        <f>'Bookings and Drivers'!BH365</f>
        <v>-5.1499999999999879E-3</v>
      </c>
      <c r="BA604">
        <f>'Bookings and Drivers'!BI365</f>
        <v>2.0099999999999785E-2</v>
      </c>
      <c r="BB604">
        <f>'Bookings and Drivers'!BJ365</f>
        <v>6.0499999999999998E-2</v>
      </c>
      <c r="BC604">
        <f>'Bookings and Drivers'!BK365</f>
        <v>9.9439999999999973E-2</v>
      </c>
      <c r="BD604">
        <f>'Bookings and Drivers'!BL365</f>
        <v>0.22399999999999998</v>
      </c>
      <c r="BE604">
        <f>'Bookings and Drivers'!BM365</f>
        <v>9.1800000000000104E-2</v>
      </c>
      <c r="BF604">
        <f>'Bookings and Drivers'!BN365</f>
        <v>9.1800000000000104E-2</v>
      </c>
      <c r="BG604">
        <f>'Bookings and Drivers'!BO365</f>
        <v>9.1800000000000104E-2</v>
      </c>
      <c r="BH604">
        <f>'Bookings and Drivers'!BP365</f>
        <v>8.1500000000000128E-2</v>
      </c>
      <c r="BI604">
        <f>'Bookings and Drivers'!BQ365</f>
        <v>7.1000000000000174E-2</v>
      </c>
      <c r="BJ604">
        <f>'Bookings and Drivers'!BR365</f>
        <v>7.1000000000000174E-2</v>
      </c>
      <c r="BK604">
        <f>'Bookings and Drivers'!BS365</f>
        <v>6.8375000000000075E-2</v>
      </c>
      <c r="BL604">
        <f>'Bookings and Drivers'!BT365</f>
        <v>6.0499999999999998E-2</v>
      </c>
      <c r="BM604">
        <f>'Bookings and Drivers'!BU365</f>
        <v>4.4750000000000068E-2</v>
      </c>
      <c r="BN604">
        <f>'Bookings and Drivers'!BV365</f>
        <v>4.4749999999999845E-2</v>
      </c>
      <c r="BO604">
        <f>'Bookings and Drivers'!BW365</f>
        <v>4.4750000000000068E-2</v>
      </c>
      <c r="BP604">
        <f>'Bookings and Drivers'!BX365</f>
        <v>4.4750000000000068E-2</v>
      </c>
      <c r="BQ604">
        <f>'Bookings and Drivers'!BY365</f>
        <v>6.0499999999999998E-2</v>
      </c>
      <c r="BR604">
        <f>'Bookings and Drivers'!BZ365</f>
        <v>3.9500000000000091E-2</v>
      </c>
      <c r="BS604">
        <f>'Bookings and Drivers'!CA365</f>
        <v>3.9500000000000091E-2</v>
      </c>
      <c r="BT604">
        <f>'Bookings and Drivers'!CB365</f>
        <v>3.9500000000000091E-2</v>
      </c>
      <c r="BU604">
        <f>'Bookings and Drivers'!CC365</f>
        <v>3.9500000000000091E-2</v>
      </c>
      <c r="BV604">
        <f>'Bookings and Drivers'!CD365</f>
        <v>2.8999999999999915E-2</v>
      </c>
      <c r="BW604">
        <f>'Bookings and Drivers'!CE365</f>
        <v>3.9499999999999869E-2</v>
      </c>
      <c r="BX604">
        <f>'Bookings and Drivers'!CF365</f>
        <v>3.9499999999999869E-2</v>
      </c>
      <c r="BY604">
        <f>'Bookings and Drivers'!CG365</f>
        <v>0</v>
      </c>
      <c r="BZ604">
        <f>'Bookings and Drivers'!CH365</f>
        <v>0</v>
      </c>
      <c r="CA604">
        <f>'Bookings and Drivers'!CI365</f>
        <v>0</v>
      </c>
      <c r="CB604">
        <f>'Bookings and Drivers'!CJ365</f>
        <v>0</v>
      </c>
      <c r="CC604">
        <f>'Bookings and Drivers'!CK365</f>
        <v>0</v>
      </c>
      <c r="CD604">
        <f>'Bookings and Drivers'!CL365</f>
        <v>0</v>
      </c>
      <c r="CE604">
        <f>'Bookings and Drivers'!CM365</f>
        <v>0</v>
      </c>
      <c r="CF604">
        <f>'Bookings and Drivers'!CN365</f>
        <v>0.20120588000894646</v>
      </c>
      <c r="CG604">
        <f>'Bookings and Drivers'!CO365</f>
        <v>0.35919253643313209</v>
      </c>
      <c r="CH604">
        <f>'Bookings and Drivers'!CP365</f>
        <v>0.31608486344138509</v>
      </c>
      <c r="CI604">
        <f>'Bookings and Drivers'!CQ365</f>
        <v>0.18624471578427038</v>
      </c>
      <c r="CJ604">
        <f>'Bookings and Drivers'!CR365</f>
        <v>9.6193373132089643E-2</v>
      </c>
      <c r="CK604">
        <f>'Bookings and Drivers'!CS365</f>
        <v>2.7692952213958177E-2</v>
      </c>
      <c r="CL604">
        <f>'Bookings and Drivers'!CT365</f>
        <v>9.9380997096784274E-2</v>
      </c>
      <c r="CM604">
        <f>'Bookings and Drivers'!CU365</f>
        <v>8.9185953504844262E-2</v>
      </c>
      <c r="CN604">
        <f>'Bookings and Drivers'!CV365</f>
        <v>6.7616517409774035E-2</v>
      </c>
      <c r="CO604">
        <f>'Bookings and Drivers'!CW365</f>
        <v>4.4750000000000068E-2</v>
      </c>
      <c r="CP604">
        <f>'Bookings and Drivers'!CX365</f>
        <v>4.4011704595877221E-2</v>
      </c>
      <c r="CQ604">
        <f>'Bookings and Drivers'!CY365</f>
        <v>3.684775154571529E-2</v>
      </c>
      <c r="CR604">
        <f>'Bookings and Drivers'!CZ365</f>
        <v>0.17615911055023115</v>
      </c>
      <c r="CS604">
        <f>'Bookings and Drivers'!DA365</f>
        <v>0.17081165347905292</v>
      </c>
      <c r="CT604">
        <f>'Bookings and Drivers'!DB365</f>
        <v>0.16631270919471985</v>
      </c>
      <c r="CU604">
        <f>'Bookings and Drivers'!DC365</f>
        <v>0.16985856000000021</v>
      </c>
      <c r="CV604">
        <f>'Bookings and Drivers'!DD365</f>
        <v>0.16985856000000021</v>
      </c>
      <c r="CW604">
        <f>'Bookings and Drivers'!DE365</f>
        <v>0.16985855999999999</v>
      </c>
      <c r="CX604">
        <f>'Bookings and Drivers'!DF365</f>
        <v>0.16985855999999999</v>
      </c>
    </row>
    <row r="605" spans="1:102">
      <c r="A605" t="str">
        <f>'Bookings and Drivers'!I366</f>
        <v xml:space="preserve"> Domestic Air Bookings</v>
      </c>
      <c r="B605">
        <f>'Bookings and Drivers'!J366</f>
        <v>0</v>
      </c>
      <c r="C605">
        <f>'Bookings and Drivers'!K366</f>
        <v>0</v>
      </c>
      <c r="D605">
        <f>'Bookings and Drivers'!L366</f>
        <v>0</v>
      </c>
      <c r="E605">
        <f>'Bookings and Drivers'!M366</f>
        <v>0</v>
      </c>
      <c r="F605">
        <f>'Bookings and Drivers'!N366</f>
        <v>0</v>
      </c>
      <c r="G605">
        <f>'Bookings and Drivers'!O366</f>
        <v>0</v>
      </c>
      <c r="H605">
        <f>'Bookings and Drivers'!P366</f>
        <v>0</v>
      </c>
      <c r="I605">
        <f>'Bookings and Drivers'!Q366</f>
        <v>0</v>
      </c>
      <c r="J605">
        <f>'Bookings and Drivers'!R366</f>
        <v>0</v>
      </c>
      <c r="K605">
        <f>'Bookings and Drivers'!S366</f>
        <v>0</v>
      </c>
      <c r="L605">
        <f>'Bookings and Drivers'!T366</f>
        <v>0</v>
      </c>
      <c r="M605">
        <f>'Bookings and Drivers'!U366</f>
        <v>0</v>
      </c>
      <c r="N605">
        <f>'Bookings and Drivers'!V366</f>
        <v>0</v>
      </c>
      <c r="O605">
        <f>'Bookings and Drivers'!W366</f>
        <v>0</v>
      </c>
      <c r="P605">
        <f>'Bookings and Drivers'!X366</f>
        <v>0</v>
      </c>
      <c r="Q605">
        <f>'Bookings and Drivers'!Y366</f>
        <v>0</v>
      </c>
      <c r="R605">
        <f>'Bookings and Drivers'!Z366</f>
        <v>0</v>
      </c>
      <c r="S605">
        <f>'Bookings and Drivers'!AA366</f>
        <v>0</v>
      </c>
      <c r="T605">
        <f>'Bookings and Drivers'!AB366</f>
        <v>0</v>
      </c>
      <c r="U605">
        <f>'Bookings and Drivers'!AC366</f>
        <v>0</v>
      </c>
      <c r="V605">
        <f>'Bookings and Drivers'!AD366</f>
        <v>0</v>
      </c>
      <c r="W605">
        <f>'Bookings and Drivers'!AE366</f>
        <v>0</v>
      </c>
      <c r="X605">
        <f>'Bookings and Drivers'!AF366</f>
        <v>0</v>
      </c>
      <c r="Y605">
        <f>'Bookings and Drivers'!AG366</f>
        <v>200.2</v>
      </c>
      <c r="Z605">
        <f>'Bookings and Drivers'!AH366</f>
        <v>238.09</v>
      </c>
      <c r="AA605">
        <f>'Bookings and Drivers'!AI366</f>
        <v>189.81</v>
      </c>
      <c r="AB605">
        <f>'Bookings and Drivers'!AJ366</f>
        <v>152.88</v>
      </c>
      <c r="AC605">
        <f>'Bookings and Drivers'!AK366</f>
        <v>179.23949999999999</v>
      </c>
      <c r="AD605">
        <f>'Bookings and Drivers'!AL366</f>
        <v>219.15299999999999</v>
      </c>
      <c r="AE605">
        <f>'Bookings and Drivers'!AM366</f>
        <v>238.08329999999998</v>
      </c>
      <c r="AF605">
        <f>'Bookings and Drivers'!AN366</f>
        <v>217.72400000000002</v>
      </c>
      <c r="AG605">
        <f>'Bookings and Drivers'!AO366</f>
        <v>339.22124999999994</v>
      </c>
      <c r="AH605">
        <f>'Bookings and Drivers'!AP366</f>
        <v>421.12930000000006</v>
      </c>
      <c r="AI605">
        <f>'Bookings and Drivers'!AQ366</f>
        <v>365.98085000000015</v>
      </c>
      <c r="AJ605">
        <f>'Bookings and Drivers'!AR366</f>
        <v>335.66729999999984</v>
      </c>
      <c r="AK605">
        <f>'Bookings and Drivers'!AS366</f>
        <v>391.80509999999998</v>
      </c>
      <c r="AL605">
        <f>'Bookings and Drivers'!AT366</f>
        <v>420.09659999999991</v>
      </c>
      <c r="AM605">
        <f>'Bookings and Drivers'!AU366</f>
        <v>435.77999999999986</v>
      </c>
      <c r="AN605">
        <f>'Bookings and Drivers'!AV366</f>
        <v>373.79160000000007</v>
      </c>
      <c r="AO605">
        <f>'Bookings and Drivers'!AW366</f>
        <v>499.91688000000016</v>
      </c>
      <c r="AP605">
        <f>'Bookings and Drivers'!AX366</f>
        <v>561.7017000000003</v>
      </c>
      <c r="AQ605">
        <f>'Bookings and Drivers'!AY366</f>
        <v>517.37760000000003</v>
      </c>
      <c r="AR605">
        <f>'Bookings and Drivers'!AZ366</f>
        <v>417.89249999999987</v>
      </c>
      <c r="AS605">
        <f>'Bookings and Drivers'!BA366</f>
        <v>518.46279245283029</v>
      </c>
      <c r="AT605">
        <f>'Bookings and Drivers'!BB366</f>
        <v>589.94255214723933</v>
      </c>
      <c r="AU605">
        <f>'Bookings and Drivers'!BC366</f>
        <v>515.88614634146347</v>
      </c>
      <c r="AV605">
        <f>'Bookings and Drivers'!BD366</f>
        <v>440.22239418181817</v>
      </c>
      <c r="AW605">
        <f>'Bookings and Drivers'!BE366</f>
        <v>544.38593207547183</v>
      </c>
      <c r="AX605">
        <f>'Bookings and Drivers'!BF366</f>
        <v>631.2385307975461</v>
      </c>
      <c r="AY605">
        <f>'Bookings and Drivers'!BG366</f>
        <v>575.53548201219519</v>
      </c>
      <c r="AZ605">
        <f>'Bookings and Drivers'!BH366</f>
        <v>457.83128994909094</v>
      </c>
      <c r="BA605">
        <f>'Bookings and Drivers'!BI366</f>
        <v>595.76235441509448</v>
      </c>
      <c r="BB605">
        <f>'Bookings and Drivers'!BJ366</f>
        <v>675.42522795337436</v>
      </c>
      <c r="BC605">
        <f>'Bookings and Drivers'!BK366</f>
        <v>639.86003588414633</v>
      </c>
      <c r="BD605">
        <f>'Bookings and Drivers'!BL366</f>
        <v>612.18583913192731</v>
      </c>
      <c r="BE605">
        <f>'Bookings and Drivers'!BM366</f>
        <v>721.92379417358507</v>
      </c>
      <c r="BF605">
        <f>'Bookings and Drivers'!BN366</f>
        <v>892.75322777131305</v>
      </c>
      <c r="BG605">
        <f>'Bookings and Drivers'!BO366</f>
        <v>746.50337519817083</v>
      </c>
      <c r="BH605">
        <f>'Bookings and Drivers'!BP366</f>
        <v>601.30253532513757</v>
      </c>
      <c r="BI605">
        <f>'Bookings and Drivers'!BQ366</f>
        <v>743.58150799879263</v>
      </c>
      <c r="BJ605">
        <f>'Bookings and Drivers'!BR366</f>
        <v>955.24595371530506</v>
      </c>
      <c r="BK605">
        <f>'Bookings and Drivers'!BS366</f>
        <v>783.82854395807942</v>
      </c>
      <c r="BL605">
        <f>'Bookings and Drivers'!BT366</f>
        <v>625.35463673814309</v>
      </c>
      <c r="BM605">
        <f>'Bookings and Drivers'!BU366</f>
        <v>689.30005791488077</v>
      </c>
      <c r="BN605">
        <f>'Bookings and Drivers'!BV366</f>
        <v>973.44111473845385</v>
      </c>
      <c r="BO605">
        <f>'Bookings and Drivers'!BW366</f>
        <v>781.8689725981842</v>
      </c>
      <c r="BP605">
        <f>'Bookings and Drivers'!BX366</f>
        <v>612.11183266604121</v>
      </c>
      <c r="BQ605">
        <f>'Bookings and Drivers'!BY366</f>
        <v>709.97905965232735</v>
      </c>
      <c r="BR605">
        <f>'Bookings and Drivers'!BZ366</f>
        <v>937.42379349313114</v>
      </c>
      <c r="BS605">
        <f>'Bookings and Drivers'!CA366</f>
        <v>734.54532425671528</v>
      </c>
      <c r="BT605">
        <f>'Bookings and Drivers'!CB366</f>
        <v>636.5963059726829</v>
      </c>
      <c r="BU605">
        <f>'Bookings and Drivers'!CC366</f>
        <v>745.90400007073504</v>
      </c>
      <c r="BV605">
        <f>'Bookings and Drivers'!CD366</f>
        <v>1023.1043282184033</v>
      </c>
      <c r="BW605">
        <f>'Bookings and Drivers'!CE366</f>
        <v>786.69804227894213</v>
      </c>
      <c r="BX605">
        <f>'Bookings and Drivers'!CF366</f>
        <v>675.30136137582201</v>
      </c>
      <c r="BY605">
        <f>'Bookings and Drivers'!CG366</f>
        <v>0</v>
      </c>
      <c r="BZ605">
        <f>'Bookings and Drivers'!CH366</f>
        <v>0</v>
      </c>
      <c r="CA605">
        <f>'Bookings and Drivers'!CI366</f>
        <v>0</v>
      </c>
      <c r="CB605">
        <f>'Bookings and Drivers'!CJ366</f>
        <v>0</v>
      </c>
      <c r="CC605">
        <f>'Bookings and Drivers'!CK366</f>
        <v>0</v>
      </c>
      <c r="CD605">
        <f>'Bookings and Drivers'!CL366</f>
        <v>0</v>
      </c>
      <c r="CE605">
        <f>'Bookings and Drivers'!CM366</f>
        <v>780.9799999999999</v>
      </c>
      <c r="CF605">
        <f>'Bookings and Drivers'!CN366</f>
        <v>854.19979999999998</v>
      </c>
      <c r="CG605">
        <f>'Bookings and Drivers'!CO366</f>
        <v>1461.9986999999999</v>
      </c>
      <c r="CH605">
        <f>'Bookings and Drivers'!CP366</f>
        <v>1621.4732999999997</v>
      </c>
      <c r="CI605">
        <f>'Bookings and Drivers'!CQ366</f>
        <v>1996.8886800000005</v>
      </c>
      <c r="CJ605">
        <f>'Bookings and Drivers'!CR366</f>
        <v>2064.5138851233514</v>
      </c>
      <c r="CK605">
        <f>'Bookings and Drivers'!CS366</f>
        <v>2208.9912348343041</v>
      </c>
      <c r="CL605">
        <f>'Bookings and Drivers'!CT366</f>
        <v>2523.2334573845424</v>
      </c>
      <c r="CM605">
        <f>'Bookings and Drivers'!CU366</f>
        <v>2962.4829324682069</v>
      </c>
      <c r="CN605">
        <f>'Bookings and Drivers'!CV366</f>
        <v>3108.0106424103205</v>
      </c>
      <c r="CO605">
        <f>'Bookings and Drivers'!CW366</f>
        <v>3056.7219779175598</v>
      </c>
      <c r="CP605">
        <f>'Bookings and Drivers'!CX366</f>
        <v>3018.5444833748566</v>
      </c>
      <c r="CQ605">
        <f>'Bookings and Drivers'!CY366</f>
        <v>3231.0077319439024</v>
      </c>
      <c r="CR605">
        <f>'Bookings and Drivers'!CZ366</f>
        <v>3458.4254170770382</v>
      </c>
      <c r="CS605">
        <f>'Bookings and Drivers'!DA366</f>
        <v>3701.8501216301484</v>
      </c>
      <c r="CT605">
        <f>'Bookings and Drivers'!DB366</f>
        <v>3962.4085155478397</v>
      </c>
      <c r="CU605">
        <f>'Bookings and Drivers'!DC366</f>
        <v>4241.3065705566905</v>
      </c>
      <c r="CV605">
        <f>'Bookings and Drivers'!DD366</f>
        <v>4539.8351418998645</v>
      </c>
      <c r="CW605">
        <f>'Bookings and Drivers'!DE366</f>
        <v>4859.3759429476449</v>
      </c>
      <c r="CX605">
        <f>'Bookings and Drivers'!DF366</f>
        <v>5201.4079403368687</v>
      </c>
    </row>
    <row r="606" spans="1:102">
      <c r="A606" t="str">
        <f>'Bookings and Drivers'!I367</f>
        <v>% change Y/Y</v>
      </c>
      <c r="B606">
        <f>'Bookings and Drivers'!J367</f>
        <v>0</v>
      </c>
      <c r="C606">
        <f>'Bookings and Drivers'!K367</f>
        <v>0</v>
      </c>
      <c r="D606">
        <f>'Bookings and Drivers'!L367</f>
        <v>0</v>
      </c>
      <c r="E606">
        <f>'Bookings and Drivers'!M367</f>
        <v>0</v>
      </c>
      <c r="F606">
        <f>'Bookings and Drivers'!N367</f>
        <v>0</v>
      </c>
      <c r="G606">
        <f>'Bookings and Drivers'!O367</f>
        <v>0</v>
      </c>
      <c r="H606">
        <f>'Bookings and Drivers'!P367</f>
        <v>0</v>
      </c>
      <c r="I606">
        <f>'Bookings and Drivers'!Q367</f>
        <v>0</v>
      </c>
      <c r="J606">
        <f>'Bookings and Drivers'!R367</f>
        <v>0</v>
      </c>
      <c r="K606">
        <f>'Bookings and Drivers'!S367</f>
        <v>0</v>
      </c>
      <c r="L606">
        <f>'Bookings and Drivers'!T367</f>
        <v>0</v>
      </c>
      <c r="M606">
        <f>'Bookings and Drivers'!U367</f>
        <v>0</v>
      </c>
      <c r="N606">
        <f>'Bookings and Drivers'!V367</f>
        <v>0</v>
      </c>
      <c r="O606">
        <f>'Bookings and Drivers'!W367</f>
        <v>0</v>
      </c>
      <c r="P606">
        <f>'Bookings and Drivers'!X367</f>
        <v>0</v>
      </c>
      <c r="Q606">
        <f>'Bookings and Drivers'!Y367</f>
        <v>0</v>
      </c>
      <c r="R606">
        <f>'Bookings and Drivers'!Z367</f>
        <v>0</v>
      </c>
      <c r="S606">
        <f>'Bookings and Drivers'!AA367</f>
        <v>0</v>
      </c>
      <c r="T606">
        <f>'Bookings and Drivers'!AB367</f>
        <v>0</v>
      </c>
      <c r="U606">
        <f>'Bookings and Drivers'!AC367</f>
        <v>0</v>
      </c>
      <c r="V606">
        <f>'Bookings and Drivers'!AD367</f>
        <v>0</v>
      </c>
      <c r="W606">
        <f>'Bookings and Drivers'!AE367</f>
        <v>0</v>
      </c>
      <c r="X606">
        <f>'Bookings and Drivers'!AF367</f>
        <v>0</v>
      </c>
      <c r="Y606">
        <f>'Bookings and Drivers'!AG367</f>
        <v>0</v>
      </c>
      <c r="Z606">
        <f>'Bookings and Drivers'!AH367</f>
        <v>0</v>
      </c>
      <c r="AA606">
        <f>'Bookings and Drivers'!AI367</f>
        <v>0</v>
      </c>
      <c r="AB606">
        <f>'Bookings and Drivers'!AJ367</f>
        <v>0</v>
      </c>
      <c r="AC606">
        <f>'Bookings and Drivers'!AK367</f>
        <v>-0.10469780219780223</v>
      </c>
      <c r="AD606">
        <f>'Bookings and Drivers'!AL367</f>
        <v>-7.9537149817295982E-2</v>
      </c>
      <c r="AE606">
        <f>'Bookings and Drivers'!AM367</f>
        <v>0.25432432432432428</v>
      </c>
      <c r="AF606">
        <f>'Bookings and Drivers'!AN367</f>
        <v>0.42414965986394582</v>
      </c>
      <c r="AG606">
        <f>'Bookings and Drivers'!AO367</f>
        <v>0.89255855991564337</v>
      </c>
      <c r="AH606">
        <f>'Bookings and Drivers'!AP367</f>
        <v>0.92162233690618001</v>
      </c>
      <c r="AI606">
        <f>'Bookings and Drivers'!AQ367</f>
        <v>0.53719664503978293</v>
      </c>
      <c r="AJ606">
        <f>'Bookings and Drivers'!AR367</f>
        <v>0.54171014679134966</v>
      </c>
      <c r="AK606">
        <f>'Bookings and Drivers'!AS367</f>
        <v>0.15501343149935343</v>
      </c>
      <c r="AL606">
        <f>'Bookings and Drivers'!AT367</f>
        <v>-2.4522159821227518E-3</v>
      </c>
      <c r="AM606">
        <f>'Bookings and Drivers'!AU367</f>
        <v>0.19071803893564288</v>
      </c>
      <c r="AN606">
        <f>'Bookings and Drivers'!AV367</f>
        <v>0.11357764071746113</v>
      </c>
      <c r="AO606">
        <f>'Bookings and Drivers'!AW367</f>
        <v>0.27593254911689558</v>
      </c>
      <c r="AP606">
        <f>'Bookings and Drivers'!AX367</f>
        <v>0.33707747218139938</v>
      </c>
      <c r="AQ606">
        <f>'Bookings and Drivers'!AY367</f>
        <v>0.18724494010739412</v>
      </c>
      <c r="AR606">
        <f>'Bookings and Drivers'!AZ367</f>
        <v>0.11798258708863374</v>
      </c>
      <c r="AS606">
        <f>'Bookings and Drivers'!BA367</f>
        <v>3.7097992075862951E-2</v>
      </c>
      <c r="AT606">
        <f>'Bookings and Drivers'!BB367</f>
        <v>5.0277312935387286E-2</v>
      </c>
      <c r="AU606">
        <f>'Bookings and Drivers'!BC367</f>
        <v>-2.8827178805896914E-3</v>
      </c>
      <c r="AV606">
        <f>'Bookings and Drivers'!BD367</f>
        <v>5.3434541614932884E-2</v>
      </c>
      <c r="AW606">
        <f>'Bookings and Drivers'!BE367</f>
        <v>5.0000000000000044E-2</v>
      </c>
      <c r="AX606">
        <f>'Bookings and Drivers'!BF367</f>
        <v>7.0000000000000062E-2</v>
      </c>
      <c r="AY606">
        <f>'Bookings and Drivers'!BG367</f>
        <v>0.11562500000000009</v>
      </c>
      <c r="AZ606">
        <f>'Bookings and Drivers'!BH367</f>
        <v>4.0000000000000036E-2</v>
      </c>
      <c r="BA606">
        <f>'Bookings and Drivers'!BI367</f>
        <v>9.4375000000000098E-2</v>
      </c>
      <c r="BB606">
        <f>'Bookings and Drivers'!BJ367</f>
        <v>7.0000000000000062E-2</v>
      </c>
      <c r="BC606">
        <f>'Bookings and Drivers'!BK367</f>
        <v>0.11176470588235277</v>
      </c>
      <c r="BD606">
        <f>'Bookings and Drivers'!BL367</f>
        <v>0.33714285714285719</v>
      </c>
      <c r="BE606">
        <f>'Bookings and Drivers'!BM367</f>
        <v>0.21176470588235285</v>
      </c>
      <c r="BF606">
        <f>'Bookings and Drivers'!BN367</f>
        <v>0.32176470588235295</v>
      </c>
      <c r="BG606">
        <f>'Bookings and Drivers'!BO367</f>
        <v>0.16666666666666674</v>
      </c>
      <c r="BH606">
        <f>'Bookings and Drivers'!BP367</f>
        <v>-1.777777777777767E-2</v>
      </c>
      <c r="BI606">
        <f>'Bookings and Drivers'!BQ367</f>
        <v>3.0000000000000027E-2</v>
      </c>
      <c r="BJ606">
        <f>'Bookings and Drivers'!BR367</f>
        <v>7.0000000000000062E-2</v>
      </c>
      <c r="BK606">
        <f>'Bookings and Drivers'!BS367</f>
        <v>5.0000000000000044E-2</v>
      </c>
      <c r="BL606">
        <f>'Bookings and Drivers'!BT367</f>
        <v>4.0000000000000036E-2</v>
      </c>
      <c r="BM606">
        <f>'Bookings and Drivers'!BU367</f>
        <v>-7.2999999999999954E-2</v>
      </c>
      <c r="BN606">
        <f>'Bookings and Drivers'!BV367</f>
        <v>1.9047619047619202E-2</v>
      </c>
      <c r="BO606">
        <f>'Bookings and Drivers'!BW367</f>
        <v>-2.5000000000000577E-3</v>
      </c>
      <c r="BP606">
        <f>'Bookings and Drivers'!BX367</f>
        <v>-2.1176470588235352E-2</v>
      </c>
      <c r="BQ606">
        <f>'Bookings and Drivers'!BY367</f>
        <v>3.0000000000000249E-2</v>
      </c>
      <c r="BR606">
        <f>'Bookings and Drivers'!BZ367</f>
        <v>-3.6999999999999922E-2</v>
      </c>
      <c r="BS606">
        <f>'Bookings and Drivers'!CA367</f>
        <v>-6.0526315789473539E-2</v>
      </c>
      <c r="BT606">
        <f>'Bookings and Drivers'!CB367</f>
        <v>4.0000000000000036E-2</v>
      </c>
      <c r="BU606">
        <f>'Bookings and Drivers'!CC367</f>
        <v>5.0599999999999978E-2</v>
      </c>
      <c r="BV606">
        <f>'Bookings and Drivers'!CD367</f>
        <v>9.1399999999999926E-2</v>
      </c>
      <c r="BW606">
        <f>'Bookings and Drivers'!CE367</f>
        <v>7.1000000000000174E-2</v>
      </c>
      <c r="BX606">
        <f>'Bookings and Drivers'!CF367</f>
        <v>6.0799999999999965E-2</v>
      </c>
      <c r="BY606">
        <f>'Bookings and Drivers'!CG367</f>
        <v>0</v>
      </c>
      <c r="BZ606">
        <f>'Bookings and Drivers'!CH367</f>
        <v>0</v>
      </c>
      <c r="CA606">
        <f>'Bookings and Drivers'!CI367</f>
        <v>0</v>
      </c>
      <c r="CB606">
        <f>'Bookings and Drivers'!CJ367</f>
        <v>0</v>
      </c>
      <c r="CC606">
        <f>'Bookings and Drivers'!CK367</f>
        <v>0</v>
      </c>
      <c r="CD606">
        <f>'Bookings and Drivers'!CL367</f>
        <v>0</v>
      </c>
      <c r="CE606">
        <f>'Bookings and Drivers'!CM367</f>
        <v>0</v>
      </c>
      <c r="CF606">
        <f>'Bookings and Drivers'!CN367</f>
        <v>9.3753745294373747E-2</v>
      </c>
      <c r="CG606">
        <f>'Bookings and Drivers'!CO367</f>
        <v>0.71154184302080137</v>
      </c>
      <c r="CH606">
        <f>'Bookings and Drivers'!CP367</f>
        <v>0.10907985075499704</v>
      </c>
      <c r="CI606">
        <f>'Bookings and Drivers'!CQ367</f>
        <v>0.23152732764702377</v>
      </c>
      <c r="CJ606">
        <f>'Bookings and Drivers'!CR367</f>
        <v>3.3865285431609937E-2</v>
      </c>
      <c r="CK606">
        <f>'Bookings and Drivers'!CS367</f>
        <v>6.9981292328445743E-2</v>
      </c>
      <c r="CL606">
        <f>'Bookings and Drivers'!CT367</f>
        <v>0.14225598435831244</v>
      </c>
      <c r="CM606">
        <f>'Bookings and Drivers'!CU367</f>
        <v>0.17408197953231341</v>
      </c>
      <c r="CN606">
        <f>'Bookings and Drivers'!CV367</f>
        <v>4.9123560627863716E-2</v>
      </c>
      <c r="CO606">
        <f>'Bookings and Drivers'!CW367</f>
        <v>-1.6502087796258502E-2</v>
      </c>
      <c r="CP606">
        <f>'Bookings and Drivers'!CX367</f>
        <v>-1.2489684969227199E-2</v>
      </c>
      <c r="CQ606">
        <f>'Bookings and Drivers'!CY367</f>
        <v>7.0385992235404427E-2</v>
      </c>
      <c r="CR606">
        <f>'Bookings and Drivers'!CZ367</f>
        <v>0.11274568043144284</v>
      </c>
      <c r="CS606">
        <f>'Bookings and Drivers'!DA367</f>
        <v>0.21105228030980183</v>
      </c>
      <c r="CT606">
        <f>'Bookings and Drivers'!DB367</f>
        <v>0.31268846206225342</v>
      </c>
      <c r="CU606">
        <f>'Bookings and Drivers'!DC367</f>
        <v>0.31268846206225342</v>
      </c>
      <c r="CV606">
        <f>'Bookings and Drivers'!DD367</f>
        <v>0.31268846206225342</v>
      </c>
      <c r="CW606">
        <f>'Bookings and Drivers'!DE367</f>
        <v>0.31268846206225342</v>
      </c>
      <c r="CX606">
        <f>'Bookings and Drivers'!DF367</f>
        <v>0.31268846206225298</v>
      </c>
    </row>
    <row r="607" spans="1:102">
      <c r="A607" t="str">
        <f>'Bookings and Drivers'!I368</f>
        <v>Domestic Car Bookings</v>
      </c>
      <c r="B607">
        <f>'Bookings and Drivers'!J368</f>
        <v>0</v>
      </c>
      <c r="C607">
        <f>'Bookings and Drivers'!K368</f>
        <v>0</v>
      </c>
      <c r="D607">
        <f>'Bookings and Drivers'!L368</f>
        <v>0</v>
      </c>
      <c r="E607">
        <f>'Bookings and Drivers'!M368</f>
        <v>0</v>
      </c>
      <c r="F607">
        <f>'Bookings and Drivers'!N368</f>
        <v>0</v>
      </c>
      <c r="G607">
        <f>'Bookings and Drivers'!O368</f>
        <v>0</v>
      </c>
      <c r="H607">
        <f>'Bookings and Drivers'!P368</f>
        <v>0</v>
      </c>
      <c r="I607">
        <f>'Bookings and Drivers'!Q368</f>
        <v>0</v>
      </c>
      <c r="J607">
        <f>'Bookings and Drivers'!R368</f>
        <v>0</v>
      </c>
      <c r="K607">
        <f>'Bookings and Drivers'!S368</f>
        <v>0</v>
      </c>
      <c r="L607">
        <f>'Bookings and Drivers'!T368</f>
        <v>0</v>
      </c>
      <c r="M607">
        <f>'Bookings and Drivers'!U368</f>
        <v>0</v>
      </c>
      <c r="N607">
        <f>'Bookings and Drivers'!V368</f>
        <v>0</v>
      </c>
      <c r="O607">
        <f>'Bookings and Drivers'!W368</f>
        <v>0</v>
      </c>
      <c r="P607">
        <f>'Bookings and Drivers'!X368</f>
        <v>0</v>
      </c>
      <c r="Q607">
        <f>'Bookings and Drivers'!Y368</f>
        <v>0</v>
      </c>
      <c r="R607">
        <f>'Bookings and Drivers'!Z368</f>
        <v>0</v>
      </c>
      <c r="S607">
        <f>'Bookings and Drivers'!AA368</f>
        <v>0</v>
      </c>
      <c r="T607">
        <f>'Bookings and Drivers'!AB368</f>
        <v>0</v>
      </c>
      <c r="U607">
        <f>'Bookings and Drivers'!AC368</f>
        <v>0</v>
      </c>
      <c r="V607">
        <f>'Bookings and Drivers'!AD368</f>
        <v>0</v>
      </c>
      <c r="W607">
        <f>'Bookings and Drivers'!AE368</f>
        <v>0</v>
      </c>
      <c r="X607">
        <f>'Bookings and Drivers'!AF368</f>
        <v>0</v>
      </c>
      <c r="Y607">
        <f>'Bookings and Drivers'!AG368</f>
        <v>48.63</v>
      </c>
      <c r="Z607">
        <f>'Bookings and Drivers'!AH368</f>
        <v>60</v>
      </c>
      <c r="AA607">
        <f>'Bookings and Drivers'!AI368</f>
        <v>61.32</v>
      </c>
      <c r="AB607">
        <f>'Bookings and Drivers'!AJ368</f>
        <v>53.67</v>
      </c>
      <c r="AC607">
        <f>'Bookings and Drivers'!AK368</f>
        <v>60.09</v>
      </c>
      <c r="AD607">
        <f>'Bookings and Drivers'!AL368</f>
        <v>68.34</v>
      </c>
      <c r="AE607">
        <f>'Bookings and Drivers'!AM368</f>
        <v>70.14</v>
      </c>
      <c r="AF607">
        <f>'Bookings and Drivers'!AN368</f>
        <v>60.06</v>
      </c>
      <c r="AG607">
        <f>'Bookings and Drivers'!AO368</f>
        <v>39.18</v>
      </c>
      <c r="AH607">
        <f>'Bookings and Drivers'!AP368</f>
        <v>84.45</v>
      </c>
      <c r="AI607">
        <f>'Bookings and Drivers'!AQ368</f>
        <v>69.989999999999995</v>
      </c>
      <c r="AJ607">
        <f>'Bookings and Drivers'!AR368</f>
        <v>66.72</v>
      </c>
      <c r="AK607">
        <f>'Bookings and Drivers'!AS368</f>
        <v>45.21</v>
      </c>
      <c r="AL607">
        <f>'Bookings and Drivers'!AT368</f>
        <v>97.11</v>
      </c>
      <c r="AM607">
        <f>'Bookings and Drivers'!AU368</f>
        <v>80.724000000000004</v>
      </c>
      <c r="AN607">
        <f>'Bookings and Drivers'!AV368</f>
        <v>73.47</v>
      </c>
      <c r="AO607">
        <f>'Bookings and Drivers'!AW368</f>
        <v>92.566000000000003</v>
      </c>
      <c r="AP607">
        <f>'Bookings and Drivers'!AX368</f>
        <v>89.834000000000003</v>
      </c>
      <c r="AQ607">
        <f>'Bookings and Drivers'!AY368</f>
        <v>72.3</v>
      </c>
      <c r="AR607">
        <f>'Bookings and Drivers'!AZ368</f>
        <v>65.900000000000006</v>
      </c>
      <c r="AS607">
        <f>'Bookings and Drivers'!BA368</f>
        <v>56.2</v>
      </c>
      <c r="AT607">
        <f>'Bookings and Drivers'!BB368</f>
        <v>104.6</v>
      </c>
      <c r="AU607">
        <f>'Bookings and Drivers'!BC368</f>
        <v>36.819999999999993</v>
      </c>
      <c r="AV607">
        <f>'Bookings and Drivers'!BD368</f>
        <v>48.800000000000011</v>
      </c>
      <c r="AW607">
        <f>'Bookings and Drivers'!BE368</f>
        <v>51.210000000000008</v>
      </c>
      <c r="AX607">
        <f>'Bookings and Drivers'!BF368</f>
        <v>106.60000000000002</v>
      </c>
      <c r="AY607">
        <f>'Bookings and Drivers'!BG368</f>
        <v>3.1119999999999663</v>
      </c>
      <c r="AZ607">
        <f>'Bookings and Drivers'!BH368</f>
        <v>49.949999999999989</v>
      </c>
      <c r="BA607">
        <f>'Bookings and Drivers'!BI368</f>
        <v>79.133999999999986</v>
      </c>
      <c r="BB607">
        <f>'Bookings and Drivers'!BJ368</f>
        <v>163.5</v>
      </c>
      <c r="BC607">
        <f>'Bookings and Drivers'!BK368</f>
        <v>-31.603200000000015</v>
      </c>
      <c r="BD607">
        <f>'Bookings and Drivers'!BL368</f>
        <v>69.275000000000006</v>
      </c>
      <c r="BE607">
        <f>'Bookings and Drivers'!BM368</f>
        <v>98.870159999999998</v>
      </c>
      <c r="BF607">
        <f>'Bookings and Drivers'!BN368</f>
        <v>174.5</v>
      </c>
      <c r="BG607">
        <f>'Bookings and Drivers'!BO368</f>
        <v>-76.412096000000076</v>
      </c>
      <c r="BH607">
        <f>'Bookings and Drivers'!BP368</f>
        <v>70.730000000000018</v>
      </c>
      <c r="BI607">
        <f>'Bookings and Drivers'!BQ368</f>
        <v>113.684192</v>
      </c>
      <c r="BJ607">
        <f>'Bookings and Drivers'!BR368</f>
        <v>210.64000000000004</v>
      </c>
      <c r="BK607">
        <f>'Bookings and Drivers'!BS368</f>
        <v>-149.76512000000002</v>
      </c>
      <c r="BL607">
        <f>'Bookings and Drivers'!BT368</f>
        <v>67.389500000000055</v>
      </c>
      <c r="BM607">
        <f>'Bookings and Drivers'!BU368</f>
        <v>122.61429503999994</v>
      </c>
      <c r="BN607">
        <f>'Bookings and Drivers'!BV368</f>
        <v>212.23279999999994</v>
      </c>
      <c r="BO607">
        <f>'Bookings and Drivers'!BW368</f>
        <v>-165.25693440000009</v>
      </c>
      <c r="BP607">
        <f>'Bookings and Drivers'!BX368</f>
        <v>85.892240000000015</v>
      </c>
      <c r="BQ607">
        <f>'Bookings and Drivers'!BY368</f>
        <v>159.05572454399993</v>
      </c>
      <c r="BR607">
        <f>'Bookings and Drivers'!BZ368</f>
        <v>244.30607999999995</v>
      </c>
      <c r="BS607">
        <f>'Bookings and Drivers'!CA368</f>
        <v>-206.58262784000021</v>
      </c>
      <c r="BT607">
        <f>'Bookings and Drivers'!CB368</f>
        <v>72.781463999999971</v>
      </c>
      <c r="BU607">
        <f>'Bookings and Drivers'!CC368</f>
        <v>158.35951077119984</v>
      </c>
      <c r="BV607">
        <f>'Bookings and Drivers'!CD368</f>
        <v>253.31288399999988</v>
      </c>
      <c r="BW607">
        <f>'Bookings and Drivers'!CE368</f>
        <v>-205.13175923200026</v>
      </c>
      <c r="BX607">
        <f>'Bookings and Drivers'!CF368</f>
        <v>99.205537199999981</v>
      </c>
      <c r="BY607">
        <f>'Bookings and Drivers'!CG368</f>
        <v>0</v>
      </c>
      <c r="BZ607">
        <f>'Bookings and Drivers'!CH368</f>
        <v>0</v>
      </c>
      <c r="CA607">
        <f>'Bookings and Drivers'!CI368</f>
        <v>0</v>
      </c>
      <c r="CB607">
        <f>'Bookings and Drivers'!CJ368</f>
        <v>0</v>
      </c>
      <c r="CC607">
        <f>'Bookings and Drivers'!CK368</f>
        <v>0</v>
      </c>
      <c r="CD607">
        <f>'Bookings and Drivers'!CL368</f>
        <v>0</v>
      </c>
      <c r="CE607">
        <f>'Bookings and Drivers'!CM368</f>
        <v>223.62</v>
      </c>
      <c r="CF607">
        <f>'Bookings and Drivers'!CN368</f>
        <v>258.63</v>
      </c>
      <c r="CG607">
        <f>'Bookings and Drivers'!CO368</f>
        <v>260.34000000000003</v>
      </c>
      <c r="CH607">
        <f>'Bookings and Drivers'!CP368</f>
        <v>296.51400000000001</v>
      </c>
      <c r="CI607">
        <f>'Bookings and Drivers'!CQ368</f>
        <v>320.59999999999997</v>
      </c>
      <c r="CJ607">
        <f>'Bookings and Drivers'!CR368</f>
        <v>246.41999999999996</v>
      </c>
      <c r="CK607">
        <f>'Bookings and Drivers'!CS368</f>
        <v>210.87199999999984</v>
      </c>
      <c r="CL607">
        <f>'Bookings and Drivers'!CT368</f>
        <v>280.30580000000009</v>
      </c>
      <c r="CM607">
        <f>'Bookings and Drivers'!CU368</f>
        <v>267.68806399999994</v>
      </c>
      <c r="CN607">
        <f>'Bookings and Drivers'!CV368</f>
        <v>241.94857200000001</v>
      </c>
      <c r="CO607">
        <f>'Bookings and Drivers'!CW368</f>
        <v>255.48240063999947</v>
      </c>
      <c r="CP607">
        <f>'Bookings and Drivers'!CX368</f>
        <v>269.56064070399952</v>
      </c>
      <c r="CQ607">
        <f>'Bookings and Drivers'!CY368</f>
        <v>305.74617273919966</v>
      </c>
      <c r="CR607">
        <f>'Bookings and Drivers'!CZ368</f>
        <v>342.04674730287707</v>
      </c>
      <c r="CS607">
        <f>'Bookings and Drivers'!DA368</f>
        <v>377.58323809876629</v>
      </c>
      <c r="CT607">
        <f>'Bookings and Drivers'!DB368</f>
        <v>411.42186035783516</v>
      </c>
      <c r="CU607">
        <f>'Bookings and Drivers'!DC368</f>
        <v>469.59660073363875</v>
      </c>
      <c r="CV607">
        <f>'Bookings and Drivers'!DD368</f>
        <v>553.07529062955336</v>
      </c>
      <c r="CW607">
        <f>'Bookings and Drivers'!DE368</f>
        <v>662.15973515704218</v>
      </c>
      <c r="CX607">
        <f>'Bookings and Drivers'!DF368</f>
        <v>773.59571634026315</v>
      </c>
    </row>
    <row r="608" spans="1:102">
      <c r="A608" t="str">
        <f>'Bookings and Drivers'!I369</f>
        <v>% change Y/Y</v>
      </c>
      <c r="B608">
        <f>'Bookings and Drivers'!J369</f>
        <v>0</v>
      </c>
      <c r="C608">
        <f>'Bookings and Drivers'!K369</f>
        <v>0</v>
      </c>
      <c r="D608">
        <f>'Bookings and Drivers'!L369</f>
        <v>0</v>
      </c>
      <c r="E608">
        <f>'Bookings and Drivers'!M369</f>
        <v>0</v>
      </c>
      <c r="F608">
        <f>'Bookings and Drivers'!N369</f>
        <v>0</v>
      </c>
      <c r="G608">
        <f>'Bookings and Drivers'!O369</f>
        <v>0</v>
      </c>
      <c r="H608">
        <f>'Bookings and Drivers'!P369</f>
        <v>0</v>
      </c>
      <c r="I608">
        <f>'Bookings and Drivers'!Q369</f>
        <v>0</v>
      </c>
      <c r="J608">
        <f>'Bookings and Drivers'!R369</f>
        <v>0</v>
      </c>
      <c r="K608">
        <f>'Bookings and Drivers'!S369</f>
        <v>0</v>
      </c>
      <c r="L608">
        <f>'Bookings and Drivers'!T369</f>
        <v>0</v>
      </c>
      <c r="M608">
        <f>'Bookings and Drivers'!U369</f>
        <v>0</v>
      </c>
      <c r="N608">
        <f>'Bookings and Drivers'!V369</f>
        <v>0</v>
      </c>
      <c r="O608">
        <f>'Bookings and Drivers'!W369</f>
        <v>0</v>
      </c>
      <c r="P608">
        <f>'Bookings and Drivers'!X369</f>
        <v>0</v>
      </c>
      <c r="Q608">
        <f>'Bookings and Drivers'!Y369</f>
        <v>0</v>
      </c>
      <c r="R608">
        <f>'Bookings and Drivers'!Z369</f>
        <v>0</v>
      </c>
      <c r="S608">
        <f>'Bookings and Drivers'!AA369</f>
        <v>0</v>
      </c>
      <c r="T608">
        <f>'Bookings and Drivers'!AB369</f>
        <v>0</v>
      </c>
      <c r="U608">
        <f>'Bookings and Drivers'!AC369</f>
        <v>0</v>
      </c>
      <c r="V608">
        <f>'Bookings and Drivers'!AD369</f>
        <v>0</v>
      </c>
      <c r="W608">
        <f>'Bookings and Drivers'!AE369</f>
        <v>0</v>
      </c>
      <c r="X608">
        <f>'Bookings and Drivers'!AF369</f>
        <v>0</v>
      </c>
      <c r="Y608">
        <f>'Bookings and Drivers'!AG369</f>
        <v>0</v>
      </c>
      <c r="Z608">
        <f>'Bookings and Drivers'!AH369</f>
        <v>0</v>
      </c>
      <c r="AA608">
        <f>'Bookings and Drivers'!AI369</f>
        <v>0</v>
      </c>
      <c r="AB608">
        <f>'Bookings and Drivers'!AJ369</f>
        <v>0</v>
      </c>
      <c r="AC608">
        <f>'Bookings and Drivers'!AK369</f>
        <v>0.23565700185070937</v>
      </c>
      <c r="AD608">
        <f>'Bookings and Drivers'!AL369</f>
        <v>0.13900000000000001</v>
      </c>
      <c r="AE608">
        <f>'Bookings and Drivers'!AM369</f>
        <v>0.14383561643835607</v>
      </c>
      <c r="AF608">
        <f>'Bookings and Drivers'!AN369</f>
        <v>0.11906092789267753</v>
      </c>
      <c r="AG608">
        <f>'Bookings and Drivers'!AO369</f>
        <v>-0.34797803295057417</v>
      </c>
      <c r="AH608">
        <f>'Bookings and Drivers'!AP369</f>
        <v>0.23573309920983321</v>
      </c>
      <c r="AI608">
        <f>'Bookings and Drivers'!AQ369</f>
        <v>-2.1385799828914642E-3</v>
      </c>
      <c r="AJ608">
        <f>'Bookings and Drivers'!AR369</f>
        <v>0.1108891108891108</v>
      </c>
      <c r="AK608">
        <f>'Bookings and Drivers'!AS369</f>
        <v>0.15390505359877493</v>
      </c>
      <c r="AL608">
        <f>'Bookings and Drivers'!AT369</f>
        <v>0.1499111900532859</v>
      </c>
      <c r="AM608">
        <f>'Bookings and Drivers'!AU369</f>
        <v>0.15336476639519936</v>
      </c>
      <c r="AN608">
        <f>'Bookings and Drivers'!AV369</f>
        <v>0.10116906474820153</v>
      </c>
      <c r="AO608">
        <f>'Bookings and Drivers'!AW369</f>
        <v>1.0474673744746736</v>
      </c>
      <c r="AP608">
        <f>'Bookings and Drivers'!AX369</f>
        <v>-7.4925342395221861E-2</v>
      </c>
      <c r="AQ608">
        <f>'Bookings and Drivers'!AY369</f>
        <v>-0.10435558198305339</v>
      </c>
      <c r="AR608">
        <f>'Bookings and Drivers'!AZ369</f>
        <v>-0.10303525248400702</v>
      </c>
      <c r="AS608">
        <f>'Bookings and Drivers'!BA369</f>
        <v>-0.39286563100922589</v>
      </c>
      <c r="AT608">
        <f>'Bookings and Drivers'!BB369</f>
        <v>0.16436983770064773</v>
      </c>
      <c r="AU608">
        <f>'Bookings and Drivers'!BC369</f>
        <v>-0.49073305670816048</v>
      </c>
      <c r="AV608">
        <f>'Bookings and Drivers'!BD369</f>
        <v>-0.25948406676782998</v>
      </c>
      <c r="AW608">
        <f>'Bookings and Drivers'!BE369</f>
        <v>-8.8790035587188565E-2</v>
      </c>
      <c r="AX608">
        <f>'Bookings and Drivers'!BF369</f>
        <v>1.9120458891013659E-2</v>
      </c>
      <c r="AY608">
        <f>'Bookings and Drivers'!BG369</f>
        <v>-0.91548071700163047</v>
      </c>
      <c r="AZ608">
        <f>'Bookings and Drivers'!BH369</f>
        <v>2.3565573770491399E-2</v>
      </c>
      <c r="BA608">
        <f>'Bookings and Drivers'!BI369</f>
        <v>0.54528412419449279</v>
      </c>
      <c r="BB608">
        <f>'Bookings and Drivers'!BJ369</f>
        <v>0.53377110694183827</v>
      </c>
      <c r="BC608">
        <f>'Bookings and Drivers'!BK369</f>
        <v>-11.155269922879292</v>
      </c>
      <c r="BD608">
        <f>'Bookings and Drivers'!BL369</f>
        <v>0.38688688688688733</v>
      </c>
      <c r="BE608">
        <f>'Bookings and Drivers'!BM369</f>
        <v>0.24940177420577769</v>
      </c>
      <c r="BF608">
        <f>'Bookings and Drivers'!BN369</f>
        <v>6.7278287461773667E-2</v>
      </c>
      <c r="BG608">
        <f>'Bookings and Drivers'!BO369</f>
        <v>1.4178594572701511</v>
      </c>
      <c r="BH608">
        <f>'Bookings and Drivers'!BP369</f>
        <v>2.100324792493713E-2</v>
      </c>
      <c r="BI608">
        <f>'Bookings and Drivers'!BQ369</f>
        <v>0.14983319537462059</v>
      </c>
      <c r="BJ608">
        <f>'Bookings and Drivers'!BR369</f>
        <v>0.20710601719197741</v>
      </c>
      <c r="BK608">
        <f>'Bookings and Drivers'!BS369</f>
        <v>0.95996612892283273</v>
      </c>
      <c r="BL608">
        <f>'Bookings and Drivers'!BT369</f>
        <v>-4.7228898628587035E-2</v>
      </c>
      <c r="BM608">
        <f>'Bookings and Drivers'!BU369</f>
        <v>7.8551845097337258E-2</v>
      </c>
      <c r="BN608">
        <f>'Bookings and Drivers'!BV369</f>
        <v>7.5617166729959884E-3</v>
      </c>
      <c r="BO608">
        <f>'Bookings and Drivers'!BW369</f>
        <v>0.10344073706881862</v>
      </c>
      <c r="BP608">
        <f>'Bookings and Drivers'!BX369</f>
        <v>0.27456413833015447</v>
      </c>
      <c r="BQ608">
        <f>'Bookings and Drivers'!BY369</f>
        <v>0.29720375990508985</v>
      </c>
      <c r="BR608">
        <f>'Bookings and Drivers'!BZ369</f>
        <v>0.1511231063247529</v>
      </c>
      <c r="BS608">
        <f>'Bookings and Drivers'!CA369</f>
        <v>0.25006934559231486</v>
      </c>
      <c r="BT608">
        <f>'Bookings and Drivers'!CB369</f>
        <v>-0.15264214788204433</v>
      </c>
      <c r="BU608">
        <f>'Bookings and Drivers'!CC369</f>
        <v>-4.3771689123172086E-3</v>
      </c>
      <c r="BV608">
        <f>'Bookings and Drivers'!CD369</f>
        <v>3.6866884360798213E-2</v>
      </c>
      <c r="BW608">
        <f>'Bookings and Drivers'!CE369</f>
        <v>-7.0231878796878089E-3</v>
      </c>
      <c r="BX608">
        <f>'Bookings and Drivers'!CF369</f>
        <v>0.36306047924510043</v>
      </c>
      <c r="BY608">
        <f>'Bookings and Drivers'!CG369</f>
        <v>0</v>
      </c>
      <c r="BZ608">
        <f>'Bookings and Drivers'!CH369</f>
        <v>0</v>
      </c>
      <c r="CA608">
        <f>'Bookings and Drivers'!CI369</f>
        <v>0</v>
      </c>
      <c r="CB608">
        <f>'Bookings and Drivers'!CJ369</f>
        <v>0</v>
      </c>
      <c r="CC608">
        <f>'Bookings and Drivers'!CK369</f>
        <v>0</v>
      </c>
      <c r="CD608">
        <f>'Bookings and Drivers'!CL369</f>
        <v>0</v>
      </c>
      <c r="CE608">
        <f>'Bookings and Drivers'!CM369</f>
        <v>0</v>
      </c>
      <c r="CF608">
        <f>'Bookings and Drivers'!CN369</f>
        <v>0.15656023611483771</v>
      </c>
      <c r="CG608">
        <f>'Bookings and Drivers'!CO369</f>
        <v>6.6117619765688751E-3</v>
      </c>
      <c r="CH608">
        <f>'Bookings and Drivers'!CP369</f>
        <v>0.13894906660520845</v>
      </c>
      <c r="CI608">
        <f>'Bookings and Drivers'!CQ369</f>
        <v>8.1230565841747593E-2</v>
      </c>
      <c r="CJ608">
        <f>'Bookings and Drivers'!CR369</f>
        <v>-0.23137866500311921</v>
      </c>
      <c r="CK608">
        <f>'Bookings and Drivers'!CS369</f>
        <v>-0.14425777128479877</v>
      </c>
      <c r="CL608">
        <f>'Bookings and Drivers'!CT369</f>
        <v>0.32926988884252206</v>
      </c>
      <c r="CM608">
        <f>'Bookings and Drivers'!CU369</f>
        <v>-4.5014180940958548E-2</v>
      </c>
      <c r="CN608">
        <f>'Bookings and Drivers'!CV369</f>
        <v>-9.6154799042515116E-2</v>
      </c>
      <c r="CO608">
        <f>'Bookings and Drivers'!CW369</f>
        <v>5.593679899875359E-2</v>
      </c>
      <c r="CP608">
        <f>'Bookings and Drivers'!CX369</f>
        <v>5.5104539603249236E-2</v>
      </c>
      <c r="CQ608">
        <f>'Bookings and Drivers'!CY369</f>
        <v>0.134238930211384</v>
      </c>
      <c r="CR608">
        <f>'Bookings and Drivers'!CZ369</f>
        <v>0.4137167435023219</v>
      </c>
      <c r="CS608">
        <f>'Bookings and Drivers'!DA369</f>
        <v>0.47792269507761209</v>
      </c>
      <c r="CT608">
        <f>'Bookings and Drivers'!DB369</f>
        <v>0.52626829823279464</v>
      </c>
      <c r="CU608">
        <f>'Bookings and Drivers'!DC369</f>
        <v>0.53590344738085371</v>
      </c>
      <c r="CV608">
        <f>'Bookings and Drivers'!DD369</f>
        <v>0.61695819355304038</v>
      </c>
      <c r="CW608">
        <f>'Bookings and Drivers'!DE369</f>
        <v>0.75367884043580835</v>
      </c>
      <c r="CX608">
        <f>'Bookings and Drivers'!DF369</f>
        <v>0.88029803683116503</v>
      </c>
    </row>
    <row r="609" spans="1:102">
      <c r="A609" t="str">
        <f>'Bookings and Drivers'!I370</f>
        <v>Other Domestic Bookings (Packages, Cruises)</v>
      </c>
      <c r="B609">
        <f>'Bookings and Drivers'!J370</f>
        <v>0</v>
      </c>
      <c r="C609">
        <f>'Bookings and Drivers'!K370</f>
        <v>0</v>
      </c>
      <c r="D609">
        <f>'Bookings and Drivers'!L370</f>
        <v>0</v>
      </c>
      <c r="E609">
        <f>'Bookings and Drivers'!M370</f>
        <v>0</v>
      </c>
      <c r="F609">
        <f>'Bookings and Drivers'!N370</f>
        <v>0</v>
      </c>
      <c r="G609">
        <f>'Bookings and Drivers'!O370</f>
        <v>0</v>
      </c>
      <c r="H609">
        <f>'Bookings and Drivers'!P370</f>
        <v>0</v>
      </c>
      <c r="I609">
        <f>'Bookings and Drivers'!Q370</f>
        <v>0</v>
      </c>
      <c r="J609">
        <f>'Bookings and Drivers'!R370</f>
        <v>0</v>
      </c>
      <c r="K609">
        <f>'Bookings and Drivers'!S370</f>
        <v>0</v>
      </c>
      <c r="L609">
        <f>'Bookings and Drivers'!T370</f>
        <v>0</v>
      </c>
      <c r="M609">
        <f>'Bookings and Drivers'!U370</f>
        <v>0</v>
      </c>
      <c r="N609">
        <f>'Bookings and Drivers'!V370</f>
        <v>0</v>
      </c>
      <c r="O609">
        <f>'Bookings and Drivers'!W370</f>
        <v>0</v>
      </c>
      <c r="P609">
        <f>'Bookings and Drivers'!X370</f>
        <v>0</v>
      </c>
      <c r="Q609">
        <f>'Bookings and Drivers'!Y370</f>
        <v>0</v>
      </c>
      <c r="R609">
        <f>'Bookings and Drivers'!Z370</f>
        <v>0</v>
      </c>
      <c r="S609">
        <f>'Bookings and Drivers'!AA370</f>
        <v>0</v>
      </c>
      <c r="T609">
        <f>'Bookings and Drivers'!AB370</f>
        <v>0</v>
      </c>
      <c r="U609">
        <f>'Bookings and Drivers'!AC370</f>
        <v>0</v>
      </c>
      <c r="V609">
        <f>'Bookings and Drivers'!AD370</f>
        <v>0</v>
      </c>
      <c r="W609">
        <f>'Bookings and Drivers'!AE370</f>
        <v>0</v>
      </c>
      <c r="X609">
        <f>'Bookings and Drivers'!AF370</f>
        <v>0</v>
      </c>
      <c r="Y609">
        <f>'Bookings and Drivers'!AG370</f>
        <v>126.95854999999989</v>
      </c>
      <c r="Z609">
        <f>'Bookings and Drivers'!AH370</f>
        <v>161.40337499999978</v>
      </c>
      <c r="AA609">
        <f>'Bookings and Drivers'!AI370</f>
        <v>141.26689999999991</v>
      </c>
      <c r="AB609">
        <f>'Bookings and Drivers'!AJ370</f>
        <v>125.23974999999992</v>
      </c>
      <c r="AC609">
        <f>'Bookings and Drivers'!AK370</f>
        <v>124.85413764426477</v>
      </c>
      <c r="AD609">
        <f>'Bookings and Drivers'!AL370</f>
        <v>127.95419491943409</v>
      </c>
      <c r="AE609">
        <f>'Bookings and Drivers'!AM370</f>
        <v>160.13997040742549</v>
      </c>
      <c r="AF609">
        <f>'Bookings and Drivers'!AN370</f>
        <v>132.11277098519892</v>
      </c>
      <c r="AG609">
        <f>'Bookings and Drivers'!AO370</f>
        <v>191.18210933412644</v>
      </c>
      <c r="AH609">
        <f>'Bookings and Drivers'!AP370</f>
        <v>181.14470850860056</v>
      </c>
      <c r="AI609">
        <f>'Bookings and Drivers'!AQ370</f>
        <v>188.59378932676645</v>
      </c>
      <c r="AJ609">
        <f>'Bookings and Drivers'!AR370</f>
        <v>123.67517425441454</v>
      </c>
      <c r="AK609">
        <f>'Bookings and Drivers'!AS370</f>
        <v>221.39390748021012</v>
      </c>
      <c r="AL609">
        <f>'Bookings and Drivers'!AT370</f>
        <v>198.58688548137349</v>
      </c>
      <c r="AM609">
        <f>'Bookings and Drivers'!AU370</f>
        <v>235.40692488191843</v>
      </c>
      <c r="AN609">
        <f>'Bookings and Drivers'!AV370</f>
        <v>183.82686037342771</v>
      </c>
      <c r="AO609">
        <f>'Bookings and Drivers'!AW370</f>
        <v>169.3491247649508</v>
      </c>
      <c r="AP609">
        <f>'Bookings and Drivers'!AX370</f>
        <v>206.23142482757004</v>
      </c>
      <c r="AQ609">
        <f>'Bookings and Drivers'!AY370</f>
        <v>239.63851810668274</v>
      </c>
      <c r="AR609">
        <f>'Bookings and Drivers'!AZ370</f>
        <v>179.99700958809413</v>
      </c>
      <c r="AS609">
        <f>'Bookings and Drivers'!BA370</f>
        <v>296.64813249324897</v>
      </c>
      <c r="AT609">
        <f>'Bookings and Drivers'!BB370</f>
        <v>309.83329557239449</v>
      </c>
      <c r="AU609">
        <f>'Bookings and Drivers'!BC370</f>
        <v>393.68534493293242</v>
      </c>
      <c r="AV609">
        <f>'Bookings and Drivers'!BD370</f>
        <v>283.03304858240506</v>
      </c>
      <c r="AW609">
        <f>'Bookings and Drivers'!BE370</f>
        <v>391.12480382984518</v>
      </c>
      <c r="AX609">
        <f>'Bookings and Drivers'!BF370</f>
        <v>328.76042584318998</v>
      </c>
      <c r="AY609">
        <f>'Bookings and Drivers'!BG370</f>
        <v>447.72891783834859</v>
      </c>
      <c r="AZ609">
        <f>'Bookings and Drivers'!BH370</f>
        <v>311.6746672848966</v>
      </c>
      <c r="BA609">
        <f>'Bookings and Drivers'!BI370</f>
        <v>416.33146828191934</v>
      </c>
      <c r="BB609">
        <f>'Bookings and Drivers'!BJ370</f>
        <v>369.89446556412622</v>
      </c>
      <c r="BC609">
        <f>'Bookings and Drivers'!BK370</f>
        <v>612.04347316753569</v>
      </c>
      <c r="BD609">
        <f>'Bookings and Drivers'!BL370</f>
        <v>366.3932525224734</v>
      </c>
      <c r="BE609">
        <f>'Bookings and Drivers'!BM370</f>
        <v>511.84258264701469</v>
      </c>
      <c r="BF609">
        <f>'Bookings and Drivers'!BN370</f>
        <v>429.34771361109392</v>
      </c>
      <c r="BG609">
        <f>'Bookings and Drivers'!BO370</f>
        <v>673.63779822445554</v>
      </c>
      <c r="BH609">
        <f>'Bookings and Drivers'!BP370</f>
        <v>395.83316479909672</v>
      </c>
      <c r="BI609">
        <f>'Bookings and Drivers'!BQ370</f>
        <v>488.76103093606974</v>
      </c>
      <c r="BJ609">
        <f>'Bookings and Drivers'!BR370</f>
        <v>317.19765450525273</v>
      </c>
      <c r="BK609">
        <f>'Bookings and Drivers'!BS370</f>
        <v>639.36550413331895</v>
      </c>
      <c r="BL609">
        <f>'Bookings and Drivers'!BT370</f>
        <v>244.4544382436074</v>
      </c>
      <c r="BM609">
        <f>'Bookings and Drivers'!BU370</f>
        <v>488.22519164467718</v>
      </c>
      <c r="BN609">
        <f>'Bookings and Drivers'!BV370</f>
        <v>306.66919158797458</v>
      </c>
      <c r="BO609">
        <f>'Bookings and Drivers'!BW370</f>
        <v>818.43451407970429</v>
      </c>
      <c r="BP609">
        <f>'Bookings and Drivers'!BX370</f>
        <v>368.05932094614298</v>
      </c>
      <c r="BQ609">
        <f>'Bookings and Drivers'!BY370</f>
        <v>456.31088899038247</v>
      </c>
      <c r="BR609">
        <f>'Bookings and Drivers'!BZ370</f>
        <v>352.0283705453902</v>
      </c>
      <c r="BS609">
        <f>'Bookings and Drivers'!CA370</f>
        <v>959.67984120164124</v>
      </c>
      <c r="BT609">
        <f>'Bookings and Drivers'!CB370</f>
        <v>407.0507113773827</v>
      </c>
      <c r="BU609">
        <f>'Bookings and Drivers'!CC370</f>
        <v>473.02919180908299</v>
      </c>
      <c r="BV609">
        <f>'Bookings and Drivers'!CD370</f>
        <v>324.09523856639584</v>
      </c>
      <c r="BW609">
        <f>'Bookings and Drivers'!CE370</f>
        <v>973.40476352217502</v>
      </c>
      <c r="BX609">
        <f>'Bookings and Drivers'!CF370</f>
        <v>398.52172472823133</v>
      </c>
      <c r="BY609">
        <f>'Bookings and Drivers'!CG370</f>
        <v>0</v>
      </c>
      <c r="BZ609">
        <f>'Bookings and Drivers'!CH370</f>
        <v>0</v>
      </c>
      <c r="CA609">
        <f>'Bookings and Drivers'!CI370</f>
        <v>0</v>
      </c>
      <c r="CB609">
        <f>'Bookings and Drivers'!CJ370</f>
        <v>0</v>
      </c>
      <c r="CC609">
        <f>'Bookings and Drivers'!CK370</f>
        <v>0</v>
      </c>
      <c r="CD609">
        <f>'Bookings and Drivers'!CL370</f>
        <v>0</v>
      </c>
      <c r="CE609">
        <f>'Bookings and Drivers'!CM370</f>
        <v>554.86857499999951</v>
      </c>
      <c r="CF609">
        <f>'Bookings and Drivers'!CN370</f>
        <v>545.06107395632307</v>
      </c>
      <c r="CG609">
        <f>'Bookings and Drivers'!CO370</f>
        <v>684.59578142390808</v>
      </c>
      <c r="CH609">
        <f>'Bookings and Drivers'!CP370</f>
        <v>839.21457821693014</v>
      </c>
      <c r="CI609">
        <f>'Bookings and Drivers'!CQ370</f>
        <v>795.21607728729771</v>
      </c>
      <c r="CJ609">
        <f>'Bookings and Drivers'!CR370</f>
        <v>1283.1998215809808</v>
      </c>
      <c r="CK609">
        <f>'Bookings and Drivers'!CS370</f>
        <v>1479.2888147962803</v>
      </c>
      <c r="CL609">
        <f>'Bookings and Drivers'!CT370</f>
        <v>1764.6626595360547</v>
      </c>
      <c r="CM609">
        <f>'Bookings and Drivers'!CU370</f>
        <v>2010.6612592816609</v>
      </c>
      <c r="CN609">
        <f>'Bookings and Drivers'!CV370</f>
        <v>1689.7786278182489</v>
      </c>
      <c r="CO609">
        <f>'Bookings and Drivers'!CW370</f>
        <v>1981.3882182584989</v>
      </c>
      <c r="CP609">
        <f>'Bookings and Drivers'!CX370</f>
        <v>2175.0698121147966</v>
      </c>
      <c r="CQ609">
        <f>'Bookings and Drivers'!CY370</f>
        <v>2169.0509186258851</v>
      </c>
      <c r="CR609">
        <f>'Bookings and Drivers'!CZ370</f>
        <v>2093.4024091172828</v>
      </c>
      <c r="CS609">
        <f>'Bookings and Drivers'!DA370</f>
        <v>1942.6208277697929</v>
      </c>
      <c r="CT609">
        <f>'Bookings and Drivers'!DB370</f>
        <v>1718.6944460977952</v>
      </c>
      <c r="CU609">
        <f>'Bookings and Drivers'!DC370</f>
        <v>1453.3021573731289</v>
      </c>
      <c r="CV609">
        <f>'Bookings and Drivers'!DD370</f>
        <v>1144.0215630274665</v>
      </c>
      <c r="CW609">
        <f>'Bookings and Drivers'!DE370</f>
        <v>789.01263481859996</v>
      </c>
      <c r="CX609">
        <f>'Bookings and Drivers'!DF370</f>
        <v>409.90008030816489</v>
      </c>
    </row>
    <row r="610" spans="1:102">
      <c r="A610" t="str">
        <f>'Bookings and Drivers'!I371</f>
        <v>% change Y/Y</v>
      </c>
      <c r="B610">
        <f>'Bookings and Drivers'!J371</f>
        <v>0</v>
      </c>
      <c r="C610">
        <f>'Bookings and Drivers'!K371</f>
        <v>0</v>
      </c>
      <c r="D610">
        <f>'Bookings and Drivers'!L371</f>
        <v>0</v>
      </c>
      <c r="E610">
        <f>'Bookings and Drivers'!M371</f>
        <v>0</v>
      </c>
      <c r="F610">
        <f>'Bookings and Drivers'!N371</f>
        <v>0</v>
      </c>
      <c r="G610">
        <f>'Bookings and Drivers'!O371</f>
        <v>0</v>
      </c>
      <c r="H610">
        <f>'Bookings and Drivers'!P371</f>
        <v>0</v>
      </c>
      <c r="I610">
        <f>'Bookings and Drivers'!Q371</f>
        <v>0</v>
      </c>
      <c r="J610">
        <f>'Bookings and Drivers'!R371</f>
        <v>0</v>
      </c>
      <c r="K610">
        <f>'Bookings and Drivers'!S371</f>
        <v>0</v>
      </c>
      <c r="L610">
        <f>'Bookings and Drivers'!T371</f>
        <v>0</v>
      </c>
      <c r="M610">
        <f>'Bookings and Drivers'!U371</f>
        <v>0</v>
      </c>
      <c r="N610">
        <f>'Bookings and Drivers'!V371</f>
        <v>0</v>
      </c>
      <c r="O610">
        <f>'Bookings and Drivers'!W371</f>
        <v>0</v>
      </c>
      <c r="P610">
        <f>'Bookings and Drivers'!X371</f>
        <v>0</v>
      </c>
      <c r="Q610">
        <f>'Bookings and Drivers'!Y371</f>
        <v>0</v>
      </c>
      <c r="R610">
        <f>'Bookings and Drivers'!Z371</f>
        <v>0</v>
      </c>
      <c r="S610">
        <f>'Bookings and Drivers'!AA371</f>
        <v>0</v>
      </c>
      <c r="T610">
        <f>'Bookings and Drivers'!AB371</f>
        <v>0</v>
      </c>
      <c r="U610">
        <f>'Bookings and Drivers'!AC371</f>
        <v>0</v>
      </c>
      <c r="V610">
        <f>'Bookings and Drivers'!AD371</f>
        <v>0</v>
      </c>
      <c r="W610">
        <f>'Bookings and Drivers'!AE371</f>
        <v>0</v>
      </c>
      <c r="X610">
        <f>'Bookings and Drivers'!AF371</f>
        <v>0</v>
      </c>
      <c r="Y610">
        <f>'Bookings and Drivers'!AG371</f>
        <v>0</v>
      </c>
      <c r="Z610">
        <f>'Bookings and Drivers'!AH371</f>
        <v>0</v>
      </c>
      <c r="AA610">
        <f>'Bookings and Drivers'!AI371</f>
        <v>0</v>
      </c>
      <c r="AB610">
        <f>'Bookings and Drivers'!AJ371</f>
        <v>0</v>
      </c>
      <c r="AC610">
        <f>'Bookings and Drivers'!AK371</f>
        <v>-1.6575585935213688E-2</v>
      </c>
      <c r="AD610">
        <f>'Bookings and Drivers'!AL371</f>
        <v>-0.20723965704289482</v>
      </c>
      <c r="AE610">
        <f>'Bookings and Drivers'!AM371</f>
        <v>0.13359867320246699</v>
      </c>
      <c r="AF610">
        <f>'Bookings and Drivers'!AN371</f>
        <v>5.4878910131958891E-2</v>
      </c>
      <c r="AG610">
        <f>'Bookings and Drivers'!AO371</f>
        <v>0.53124368115731779</v>
      </c>
      <c r="AH610">
        <f>'Bookings and Drivers'!AP371</f>
        <v>0.41569964644502422</v>
      </c>
      <c r="AI610">
        <f>'Bookings and Drivers'!AQ371</f>
        <v>0.17768093029459919</v>
      </c>
      <c r="AJ610">
        <f>'Bookings and Drivers'!AR371</f>
        <v>-6.3866624459263499E-2</v>
      </c>
      <c r="AK610">
        <f>'Bookings and Drivers'!AS371</f>
        <v>0.15802628316691969</v>
      </c>
      <c r="AL610">
        <f>'Bookings and Drivers'!AT371</f>
        <v>9.628863639671148E-2</v>
      </c>
      <c r="AM610">
        <f>'Bookings and Drivers'!AU371</f>
        <v>0.24822204231784828</v>
      </c>
      <c r="AN610">
        <f>'Bookings and Drivers'!AV371</f>
        <v>0.48636831507731682</v>
      </c>
      <c r="AO610">
        <f>'Bookings and Drivers'!AW371</f>
        <v>-0.23507775488316673</v>
      </c>
      <c r="AP610">
        <f>'Bookings and Drivers'!AX371</f>
        <v>3.8494683713208078E-2</v>
      </c>
      <c r="AQ610">
        <f>'Bookings and Drivers'!AY371</f>
        <v>1.7975653124422397E-2</v>
      </c>
      <c r="AR610">
        <f>'Bookings and Drivers'!AZ371</f>
        <v>-2.0834010750951037E-2</v>
      </c>
      <c r="AS610">
        <f>'Bookings and Drivers'!BA371</f>
        <v>0.75169569317221829</v>
      </c>
      <c r="AT610">
        <f>'Bookings and Drivers'!BB371</f>
        <v>0.50235734360777418</v>
      </c>
      <c r="AU610">
        <f>'Bookings and Drivers'!BC371</f>
        <v>0.64282999262109786</v>
      </c>
      <c r="AV610">
        <f>'Bookings and Drivers'!BD371</f>
        <v>0.57243194889792348</v>
      </c>
      <c r="AW610">
        <f>'Bookings and Drivers'!BE371</f>
        <v>0.3184805868910916</v>
      </c>
      <c r="AX610">
        <f>'Bookings and Drivers'!BF371</f>
        <v>6.1088109448756978E-2</v>
      </c>
      <c r="AY610">
        <f>'Bookings and Drivers'!BG371</f>
        <v>0.13727605967812417</v>
      </c>
      <c r="AZ610">
        <f>'Bookings and Drivers'!BH371</f>
        <v>0.10119531569173823</v>
      </c>
      <c r="BA610">
        <f>'Bookings and Drivers'!BI371</f>
        <v>6.4446601711918294E-2</v>
      </c>
      <c r="BB610">
        <f>'Bookings and Drivers'!BJ371</f>
        <v>0.1251185863244868</v>
      </c>
      <c r="BC610">
        <f>'Bookings and Drivers'!BK371</f>
        <v>0.36699562789578954</v>
      </c>
      <c r="BD610">
        <f>'Bookings and Drivers'!BL371</f>
        <v>0.17556314638673998</v>
      </c>
      <c r="BE610">
        <f>'Bookings and Drivers'!BM371</f>
        <v>0.22941123033347055</v>
      </c>
      <c r="BF610">
        <f>'Bookings and Drivers'!BN371</f>
        <v>0.16073029899567581</v>
      </c>
      <c r="BG610">
        <f>'Bookings and Drivers'!BO371</f>
        <v>0.10063717326834309</v>
      </c>
      <c r="BH610">
        <f>'Bookings and Drivers'!BP371</f>
        <v>8.0350585263077701E-2</v>
      </c>
      <c r="BI610">
        <f>'Bookings and Drivers'!BQ371</f>
        <v>-4.5095020409552045E-2</v>
      </c>
      <c r="BJ610">
        <f>'Bookings and Drivers'!BR371</f>
        <v>-0.26121033267555138</v>
      </c>
      <c r="BK610">
        <f>'Bookings and Drivers'!BS371</f>
        <v>-5.0876441585478105E-2</v>
      </c>
      <c r="BL610">
        <f>'Bookings and Drivers'!BT371</f>
        <v>-0.38243062991531018</v>
      </c>
      <c r="BM610">
        <f>'Bookings and Drivers'!BU371</f>
        <v>-1.0963216326111969E-3</v>
      </c>
      <c r="BN610">
        <f>'Bookings and Drivers'!BV371</f>
        <v>-3.319212096224311E-2</v>
      </c>
      <c r="BO610">
        <f>'Bookings and Drivers'!BW371</f>
        <v>0.28007299234749805</v>
      </c>
      <c r="BP610">
        <f>'Bookings and Drivers'!BX371</f>
        <v>0.50563566605961552</v>
      </c>
      <c r="BQ610">
        <f>'Bookings and Drivers'!BY371</f>
        <v>-6.5367996573027054E-2</v>
      </c>
      <c r="BR610">
        <f>'Bookings and Drivers'!BZ371</f>
        <v>0.14790914836452806</v>
      </c>
      <c r="BS610">
        <f>'Bookings and Drivers'!CA371</f>
        <v>0.17257987620519821</v>
      </c>
      <c r="BT610">
        <f>'Bookings and Drivers'!CB371</f>
        <v>0.10593778831903355</v>
      </c>
      <c r="BU610">
        <f>'Bookings and Drivers'!CC371</f>
        <v>3.6637965961519914E-2</v>
      </c>
      <c r="BV610">
        <f>'Bookings and Drivers'!CD371</f>
        <v>-7.9349093187342068E-2</v>
      </c>
      <c r="BW610">
        <f>'Bookings and Drivers'!CE371</f>
        <v>1.4301563637461046E-2</v>
      </c>
      <c r="BX610">
        <f>'Bookings and Drivers'!CF371</f>
        <v>-2.0953130435003797E-2</v>
      </c>
      <c r="BY610">
        <f>'Bookings and Drivers'!CG371</f>
        <v>0</v>
      </c>
      <c r="BZ610">
        <f>'Bookings and Drivers'!CH371</f>
        <v>0</v>
      </c>
      <c r="CA610">
        <f>'Bookings and Drivers'!CI371</f>
        <v>0</v>
      </c>
      <c r="CB610">
        <f>'Bookings and Drivers'!CJ371</f>
        <v>0</v>
      </c>
      <c r="CC610">
        <f>'Bookings and Drivers'!CK371</f>
        <v>0</v>
      </c>
      <c r="CD610">
        <f>'Bookings and Drivers'!CL371</f>
        <v>0</v>
      </c>
      <c r="CE610">
        <f>'Bookings and Drivers'!CM371</f>
        <v>0</v>
      </c>
      <c r="CF610">
        <f>'Bookings and Drivers'!CN371</f>
        <v>-1.7675358608435277E-2</v>
      </c>
      <c r="CG610">
        <f>'Bookings and Drivers'!CO371</f>
        <v>0.25599829841961208</v>
      </c>
      <c r="CH610">
        <f>'Bookings and Drivers'!CP371</f>
        <v>0.22585414778838775</v>
      </c>
      <c r="CI610">
        <f>'Bookings and Drivers'!CQ371</f>
        <v>-5.2428189490124844E-2</v>
      </c>
      <c r="CJ610">
        <f>'Bookings and Drivers'!CR371</f>
        <v>0.61364924355947492</v>
      </c>
      <c r="CK610">
        <f>'Bookings and Drivers'!CS371</f>
        <v>0.15281251596006751</v>
      </c>
      <c r="CL610">
        <f>'Bookings and Drivers'!CT371</f>
        <v>0.19291286588892009</v>
      </c>
      <c r="CM610">
        <f>'Bookings and Drivers'!CU371</f>
        <v>0.13940262090108568</v>
      </c>
      <c r="CN610">
        <f>'Bookings and Drivers'!CV371</f>
        <v>-0.15959059736300496</v>
      </c>
      <c r="CO610">
        <f>'Bookings and Drivers'!CW371</f>
        <v>0.17257265871373972</v>
      </c>
      <c r="CP610">
        <f>'Bookings and Drivers'!CX371</f>
        <v>9.7750451966717611E-2</v>
      </c>
      <c r="CQ610">
        <f>'Bookings and Drivers'!CY371</f>
        <v>-2.767218530360438E-3</v>
      </c>
      <c r="CR610">
        <f>'Bookings and Drivers'!CZ371</f>
        <v>0.23886192821610663</v>
      </c>
      <c r="CS610">
        <f>'Bookings and Drivers'!DA371</f>
        <v>-1.9565772185109576E-2</v>
      </c>
      <c r="CT610">
        <f>'Bookings and Drivers'!DB371</f>
        <v>-0.20982101975534873</v>
      </c>
      <c r="CU610">
        <f>'Bookings and Drivers'!DC371</f>
        <v>-0.32998246150265109</v>
      </c>
      <c r="CV610">
        <f>'Bookings and Drivers'!DD371</f>
        <v>-0.45351091694316825</v>
      </c>
      <c r="CW610">
        <f>'Bookings and Drivers'!DE371</f>
        <v>-0.59384115338430798</v>
      </c>
      <c r="CX610">
        <f>'Bookings and Drivers'!DF371</f>
        <v>-0.76150497184719401</v>
      </c>
    </row>
    <row r="611" spans="1:102">
      <c r="A611" t="str">
        <f>'Bookings and Drivers'!I74</f>
        <v>Total Domestic Bookings</v>
      </c>
      <c r="B611">
        <f>'Bookings and Drivers'!J74</f>
        <v>0</v>
      </c>
      <c r="C611">
        <f>'Bookings and Drivers'!K74</f>
        <v>0</v>
      </c>
      <c r="D611">
        <f>'Bookings and Drivers'!L74</f>
        <v>0</v>
      </c>
      <c r="E611">
        <f>'Bookings and Drivers'!M74</f>
        <v>0</v>
      </c>
      <c r="F611">
        <f>'Bookings and Drivers'!N74</f>
        <v>0</v>
      </c>
      <c r="G611">
        <f>'Bookings and Drivers'!O74</f>
        <v>0</v>
      </c>
      <c r="H611">
        <f>'Bookings and Drivers'!P74</f>
        <v>0</v>
      </c>
      <c r="I611">
        <f>'Bookings and Drivers'!Q74</f>
        <v>0</v>
      </c>
      <c r="J611">
        <f>'Bookings and Drivers'!R74</f>
        <v>0</v>
      </c>
      <c r="K611">
        <f>'Bookings and Drivers'!S74</f>
        <v>0</v>
      </c>
      <c r="L611">
        <f>'Bookings and Drivers'!T74</f>
        <v>0</v>
      </c>
      <c r="M611">
        <f>'Bookings and Drivers'!U74</f>
        <v>0</v>
      </c>
      <c r="N611">
        <f>'Bookings and Drivers'!V74</f>
        <v>0</v>
      </c>
      <c r="O611">
        <f>'Bookings and Drivers'!W74</f>
        <v>0</v>
      </c>
      <c r="P611">
        <f>'Bookings and Drivers'!X74</f>
        <v>0</v>
      </c>
      <c r="Q611">
        <f>'Bookings and Drivers'!Y74</f>
        <v>0</v>
      </c>
      <c r="R611">
        <f>'Bookings and Drivers'!Z74</f>
        <v>0</v>
      </c>
      <c r="S611">
        <f>'Bookings and Drivers'!AA74</f>
        <v>0</v>
      </c>
      <c r="T611">
        <f>'Bookings and Drivers'!AB74</f>
        <v>0</v>
      </c>
      <c r="U611">
        <f>'Bookings and Drivers'!AC74</f>
        <v>0</v>
      </c>
      <c r="V611">
        <f>'Bookings and Drivers'!AD74</f>
        <v>0</v>
      </c>
      <c r="W611">
        <f>'Bookings and Drivers'!AE74</f>
        <v>0</v>
      </c>
      <c r="X611">
        <f>'Bookings and Drivers'!AF74</f>
        <v>0</v>
      </c>
      <c r="Y611">
        <f>'Bookings and Drivers'!AG74</f>
        <v>474.00699999999989</v>
      </c>
      <c r="Z611">
        <f>'Bookings and Drivers'!AH74</f>
        <v>570.75699999999983</v>
      </c>
      <c r="AA611">
        <f>'Bookings and Drivers'!AI74</f>
        <v>504.7519999999999</v>
      </c>
      <c r="AB611">
        <f>'Bookings and Drivers'!AJ74</f>
        <v>423.27399999999994</v>
      </c>
      <c r="AC611">
        <f>'Bookings and Drivers'!AK74</f>
        <v>478.81200000000001</v>
      </c>
      <c r="AD611">
        <f>'Bookings and Drivers'!AL74</f>
        <v>547.78700000000003</v>
      </c>
      <c r="AE611">
        <f>'Bookings and Drivers'!AM74</f>
        <v>602.20500000000004</v>
      </c>
      <c r="AF611">
        <f>'Bookings and Drivers'!AN74</f>
        <v>525.57099999999991</v>
      </c>
      <c r="AG611">
        <f>'Bookings and Drivers'!AO74</f>
        <v>720.96799999999985</v>
      </c>
      <c r="AH611">
        <f>'Bookings and Drivers'!AP74</f>
        <v>872.28400000000011</v>
      </c>
      <c r="AI611">
        <f>'Bookings and Drivers'!AQ74</f>
        <v>799.57700000000023</v>
      </c>
      <c r="AJ611">
        <f>'Bookings and Drivers'!AR74</f>
        <v>688.92299999999977</v>
      </c>
      <c r="AK611">
        <f>'Bookings and Drivers'!AS74</f>
        <v>851.15699999999993</v>
      </c>
      <c r="AL611">
        <f>'Bookings and Drivers'!AT74</f>
        <v>964.46399999999994</v>
      </c>
      <c r="AM611">
        <f>'Bookings and Drivers'!AU74</f>
        <v>998.71499999999992</v>
      </c>
      <c r="AN611">
        <f>'Bookings and Drivers'!AV74</f>
        <v>830.98300000000017</v>
      </c>
      <c r="AO611">
        <f>'Bookings and Drivers'!AW74</f>
        <v>989.35000000000014</v>
      </c>
      <c r="AP611">
        <f>'Bookings and Drivers'!AX74</f>
        <v>1153.8790000000004</v>
      </c>
      <c r="AQ611">
        <f>'Bookings and Drivers'!AY74</f>
        <v>1121</v>
      </c>
      <c r="AR611">
        <f>'Bookings and Drivers'!AZ74</f>
        <v>902</v>
      </c>
      <c r="AS611">
        <f>'Bookings and Drivers'!BA74</f>
        <v>1129</v>
      </c>
      <c r="AT611">
        <f>'Bookings and Drivers'!BB74</f>
        <v>1308</v>
      </c>
      <c r="AU611">
        <f>'Bookings and Drivers'!BC74</f>
        <v>1268</v>
      </c>
      <c r="AV611">
        <f>'Bookings and Drivers'!BD74</f>
        <v>1044</v>
      </c>
      <c r="AW611">
        <f>'Bookings and Drivers'!BE74</f>
        <v>1260</v>
      </c>
      <c r="AX611">
        <f>'Bookings and Drivers'!BF74</f>
        <v>1377</v>
      </c>
      <c r="AY611">
        <f>'Bookings and Drivers'!BG74</f>
        <v>1359</v>
      </c>
      <c r="AZ611">
        <f>'Bookings and Drivers'!BH74</f>
        <v>1090</v>
      </c>
      <c r="BA611">
        <f>'Bookings and Drivers'!BI74</f>
        <v>1370</v>
      </c>
      <c r="BB611">
        <f>'Bookings and Drivers'!BJ74</f>
        <v>1538</v>
      </c>
      <c r="BC611">
        <f>'Bookings and Drivers'!BK74</f>
        <v>1586</v>
      </c>
      <c r="BD611">
        <f>'Bookings and Drivers'!BL74</f>
        <v>1379</v>
      </c>
      <c r="BE611">
        <f>'Bookings and Drivers'!BM74</f>
        <v>1637</v>
      </c>
      <c r="BF611">
        <f>'Bookings and Drivers'!BN74</f>
        <v>1856</v>
      </c>
      <c r="BG611">
        <f>'Bookings and Drivers'!BO74</f>
        <v>1743</v>
      </c>
      <c r="BH611">
        <f>'Bookings and Drivers'!BP74</f>
        <v>1426</v>
      </c>
      <c r="BI611">
        <f>'Bookings and Drivers'!BQ74</f>
        <v>1672</v>
      </c>
      <c r="BJ611">
        <f>'Bookings and Drivers'!BR74</f>
        <v>1868</v>
      </c>
      <c r="BK611">
        <f>'Bookings and Drivers'!BS74</f>
        <v>1700</v>
      </c>
      <c r="BL611">
        <f>'Bookings and Drivers'!BT74</f>
        <v>1317</v>
      </c>
      <c r="BM611">
        <f>'Bookings and Drivers'!BU74</f>
        <v>1640.7001174553604</v>
      </c>
      <c r="BN611">
        <f>'Bookings and Drivers'!BV74</f>
        <v>1894.4845066380005</v>
      </c>
      <c r="BO611">
        <f>'Bookings and Drivers'!BW74</f>
        <v>1880.7066796544</v>
      </c>
      <c r="BP611">
        <f>'Bookings and Drivers'!BX74</f>
        <v>1462.8609324000004</v>
      </c>
      <c r="BQ611">
        <f>'Bookings and Drivers'!BY74</f>
        <v>1686.5101607002885</v>
      </c>
      <c r="BR611">
        <f>'Bookings and Drivers'!BZ74</f>
        <v>1951.7842296624005</v>
      </c>
      <c r="BS611">
        <f>'Bookings and Drivers'!CA74</f>
        <v>1950.9062400262401</v>
      </c>
      <c r="BT611">
        <f>'Bookings and Drivers'!CB74</f>
        <v>1528.8995229200004</v>
      </c>
      <c r="BU611">
        <f>'Bookings and Drivers'!CC74</f>
        <v>1752.7231874213828</v>
      </c>
      <c r="BV611">
        <f>'Bookings and Drivers'!CD74</f>
        <v>2030.6611899917707</v>
      </c>
      <c r="BW611">
        <f>'Bookings and Drivers'!CE74</f>
        <v>2036.5336652221122</v>
      </c>
      <c r="BX611">
        <f>'Bookings and Drivers'!CF74</f>
        <v>1601.7922710160008</v>
      </c>
      <c r="BY611">
        <f>'Bookings and Drivers'!CG74</f>
        <v>0</v>
      </c>
      <c r="BZ611">
        <f>'Bookings and Drivers'!CH74</f>
        <v>0</v>
      </c>
      <c r="CA611">
        <f>'Bookings and Drivers'!CI74</f>
        <v>0</v>
      </c>
      <c r="CB611">
        <f>'Bookings and Drivers'!CJ74</f>
        <v>1101.2854326449076</v>
      </c>
      <c r="CC611">
        <f>'Bookings and Drivers'!CK74</f>
        <v>1622.1934422859488</v>
      </c>
      <c r="CD611">
        <f>'Bookings and Drivers'!CL74</f>
        <v>1753.5911111111106</v>
      </c>
      <c r="CE611">
        <f>'Bookings and Drivers'!CM74</f>
        <v>1972.7899999999995</v>
      </c>
      <c r="CF611">
        <f>'Bookings and Drivers'!CN74</f>
        <v>2154.375</v>
      </c>
      <c r="CG611">
        <f>'Bookings and Drivers'!CO74</f>
        <v>3081.752</v>
      </c>
      <c r="CH611">
        <f>'Bookings and Drivers'!CP74</f>
        <v>3645.319</v>
      </c>
      <c r="CI611">
        <f>'Bookings and Drivers'!CQ74</f>
        <v>4166.2290000000003</v>
      </c>
      <c r="CJ611">
        <f>'Bookings and Drivers'!CR74</f>
        <v>4749</v>
      </c>
      <c r="CK611">
        <f>'Bookings and Drivers'!CS74</f>
        <v>5086</v>
      </c>
      <c r="CL611">
        <f>'Bookings and Drivers'!CT74</f>
        <v>5873</v>
      </c>
      <c r="CM611">
        <f>'Bookings and Drivers'!CU74</f>
        <v>6662</v>
      </c>
      <c r="CN611">
        <f>'Bookings and Drivers'!CV74</f>
        <v>6557</v>
      </c>
      <c r="CO611">
        <f>'Bookings and Drivers'!CW74</f>
        <v>6878.7522361477622</v>
      </c>
      <c r="CP611">
        <f>'Bookings and Drivers'!CX74</f>
        <v>7118.1001533089293</v>
      </c>
      <c r="CQ611">
        <f>'Bookings and Drivers'!CY74</f>
        <v>7421.7103136512669</v>
      </c>
      <c r="CR611">
        <f>'Bookings and Drivers'!CZ74</f>
        <v>7678.4162834531689</v>
      </c>
      <c r="CS611">
        <f>'Bookings and Drivers'!DA74</f>
        <v>7877.977565852917</v>
      </c>
      <c r="CT611">
        <f>'Bookings and Drivers'!DB74</f>
        <v>8022.6851354918481</v>
      </c>
      <c r="CU611">
        <f>'Bookings and Drivers'!DC74</f>
        <v>8171.5720546913708</v>
      </c>
      <c r="CV611">
        <f>'Bookings and Drivers'!DD74</f>
        <v>8324.5933906259143</v>
      </c>
      <c r="CW611">
        <f>'Bookings and Drivers'!DE74</f>
        <v>8481.7161637950776</v>
      </c>
      <c r="CX611">
        <f>'Bookings and Drivers'!DF74</f>
        <v>8642.9183018919593</v>
      </c>
    </row>
    <row r="612" spans="1:102">
      <c r="A612" t="str">
        <f>'Bookings and Drivers'!I75</f>
        <v>% change Y/Y</v>
      </c>
      <c r="B612">
        <f>'Bookings and Drivers'!J75</f>
        <v>0</v>
      </c>
      <c r="C612">
        <f>'Bookings and Drivers'!K75</f>
        <v>0</v>
      </c>
      <c r="D612">
        <f>'Bookings and Drivers'!L75</f>
        <v>0</v>
      </c>
      <c r="E612">
        <f>'Bookings and Drivers'!M75</f>
        <v>0</v>
      </c>
      <c r="F612">
        <f>'Bookings and Drivers'!N75</f>
        <v>0</v>
      </c>
      <c r="G612">
        <f>'Bookings and Drivers'!O75</f>
        <v>0</v>
      </c>
      <c r="H612">
        <f>'Bookings and Drivers'!P75</f>
        <v>0</v>
      </c>
      <c r="I612">
        <f>'Bookings and Drivers'!Q75</f>
        <v>0</v>
      </c>
      <c r="J612">
        <f>'Bookings and Drivers'!R75</f>
        <v>0</v>
      </c>
      <c r="K612">
        <f>'Bookings and Drivers'!S75</f>
        <v>0</v>
      </c>
      <c r="L612">
        <f>'Bookings and Drivers'!T75</f>
        <v>0</v>
      </c>
      <c r="M612">
        <f>'Bookings and Drivers'!U75</f>
        <v>0</v>
      </c>
      <c r="N612">
        <f>'Bookings and Drivers'!V75</f>
        <v>0</v>
      </c>
      <c r="O612">
        <f>'Bookings and Drivers'!W75</f>
        <v>0</v>
      </c>
      <c r="P612">
        <f>'Bookings and Drivers'!X75</f>
        <v>0</v>
      </c>
      <c r="Q612">
        <f>'Bookings and Drivers'!Y75</f>
        <v>0</v>
      </c>
      <c r="R612">
        <f>'Bookings and Drivers'!Z75</f>
        <v>0</v>
      </c>
      <c r="S612">
        <f>'Bookings and Drivers'!AA75</f>
        <v>0</v>
      </c>
      <c r="T612">
        <f>'Bookings and Drivers'!AB75</f>
        <v>0</v>
      </c>
      <c r="U612">
        <f>'Bookings and Drivers'!AC75</f>
        <v>0</v>
      </c>
      <c r="V612">
        <f>'Bookings and Drivers'!AD75</f>
        <v>0</v>
      </c>
      <c r="W612">
        <f>'Bookings and Drivers'!AE75</f>
        <v>0</v>
      </c>
      <c r="X612">
        <f>'Bookings and Drivers'!AF75</f>
        <v>0</v>
      </c>
      <c r="Y612">
        <f>'Bookings and Drivers'!AG75</f>
        <v>0</v>
      </c>
      <c r="Z612">
        <f>'Bookings and Drivers'!AH75</f>
        <v>0</v>
      </c>
      <c r="AA612">
        <f>'Bookings and Drivers'!AI75</f>
        <v>0</v>
      </c>
      <c r="AB612">
        <f>'Bookings and Drivers'!AJ75</f>
        <v>0</v>
      </c>
      <c r="AC612">
        <f>'Bookings and Drivers'!AK75</f>
        <v>1.0136981099435394E-2</v>
      </c>
      <c r="AD612">
        <f>'Bookings and Drivers'!AL75</f>
        <v>-4.0244797698494872E-2</v>
      </c>
      <c r="AE612">
        <f>'Bookings and Drivers'!AM75</f>
        <v>0.19307105271499703</v>
      </c>
      <c r="AF612">
        <f>'Bookings and Drivers'!AN75</f>
        <v>0.24168032999900779</v>
      </c>
      <c r="AG612">
        <f>'Bookings and Drivers'!AO75</f>
        <v>0.50574338153596776</v>
      </c>
      <c r="AH612">
        <f>'Bookings and Drivers'!AP75</f>
        <v>0.5923780593551875</v>
      </c>
      <c r="AI612">
        <f>'Bookings and Drivers'!AQ75</f>
        <v>0.32774885628648076</v>
      </c>
      <c r="AJ612">
        <f>'Bookings and Drivers'!AR75</f>
        <v>0.31080862528564146</v>
      </c>
      <c r="AK612">
        <f>'Bookings and Drivers'!AS75</f>
        <v>0.18057528212070451</v>
      </c>
      <c r="AL612">
        <f>'Bookings and Drivers'!AT75</f>
        <v>0.10567659156880072</v>
      </c>
      <c r="AM612">
        <f>'Bookings and Drivers'!AU75</f>
        <v>0.24905418740158813</v>
      </c>
      <c r="AN612">
        <f>'Bookings and Drivers'!AV75</f>
        <v>0.20620591851339043</v>
      </c>
      <c r="AO612">
        <f>'Bookings and Drivers'!AW75</f>
        <v>0.16235900074839327</v>
      </c>
      <c r="AP612">
        <f>'Bookings and Drivers'!AX75</f>
        <v>0.1963940592909641</v>
      </c>
      <c r="AQ612">
        <f>'Bookings and Drivers'!AY75</f>
        <v>0.1224423384048503</v>
      </c>
      <c r="AR612">
        <f>'Bookings and Drivers'!AZ75</f>
        <v>8.5461435432493627E-2</v>
      </c>
      <c r="AS612">
        <f>'Bookings and Drivers'!BA75</f>
        <v>0.14115328245817937</v>
      </c>
      <c r="AT612">
        <f>'Bookings and Drivers'!BB75</f>
        <v>0.13356773110525411</v>
      </c>
      <c r="AU612">
        <f>'Bookings and Drivers'!BC75</f>
        <v>0.13113291703835861</v>
      </c>
      <c r="AV612">
        <f>'Bookings and Drivers'!BD75</f>
        <v>0.15742793791574283</v>
      </c>
      <c r="AW612">
        <f>'Bookings and Drivers'!BE75</f>
        <v>0.11603188662533226</v>
      </c>
      <c r="AX612">
        <f>'Bookings and Drivers'!BF75</f>
        <v>5.2752293577981613E-2</v>
      </c>
      <c r="AY612">
        <f>'Bookings and Drivers'!BG75</f>
        <v>7.1766561514195581E-2</v>
      </c>
      <c r="AZ612">
        <f>'Bookings and Drivers'!BH75</f>
        <v>4.4061302681992265E-2</v>
      </c>
      <c r="BA612">
        <f>'Bookings and Drivers'!BI75</f>
        <v>8.7301587301587213E-2</v>
      </c>
      <c r="BB612">
        <f>'Bookings and Drivers'!BJ75</f>
        <v>0.11692084241103839</v>
      </c>
      <c r="BC612">
        <f>'Bookings and Drivers'!BK75</f>
        <v>0.16703458425312734</v>
      </c>
      <c r="BD612">
        <f>'Bookings and Drivers'!BL75</f>
        <v>0.26513761467889907</v>
      </c>
      <c r="BE612">
        <f>'Bookings and Drivers'!BM75</f>
        <v>0.19489051094890519</v>
      </c>
      <c r="BF612">
        <f>'Bookings and Drivers'!BN75</f>
        <v>0.2067620286085825</v>
      </c>
      <c r="BG612">
        <f>'Bookings and Drivers'!BO75</f>
        <v>9.8991172761664581E-2</v>
      </c>
      <c r="BH612">
        <f>'Bookings and Drivers'!BP75</f>
        <v>3.4082668600435184E-2</v>
      </c>
      <c r="BI612">
        <f>'Bookings and Drivers'!BQ75</f>
        <v>2.138057422113615E-2</v>
      </c>
      <c r="BJ612">
        <f>'Bookings and Drivers'!BR75</f>
        <v>6.4655172413792261E-3</v>
      </c>
      <c r="BK612">
        <f>'Bookings and Drivers'!BS75</f>
        <v>-2.4670109007458363E-2</v>
      </c>
      <c r="BL612">
        <f>'Bookings and Drivers'!BT75</f>
        <v>-7.6437587657783967E-2</v>
      </c>
      <c r="BM612">
        <f>'Bookings and Drivers'!BU75</f>
        <v>-1.8720025445358557E-2</v>
      </c>
      <c r="BN612">
        <f>'Bookings and Drivers'!BV75</f>
        <v>1.4178001412205932E-2</v>
      </c>
      <c r="BO612">
        <f>'Bookings and Drivers'!BW75</f>
        <v>0.10629804685552946</v>
      </c>
      <c r="BP612">
        <f>'Bookings and Drivers'!BX75</f>
        <v>0.11075241640091149</v>
      </c>
      <c r="BQ612">
        <f>'Bookings and Drivers'!BY75</f>
        <v>2.7921033684069618E-2</v>
      </c>
      <c r="BR612">
        <f>'Bookings and Drivers'!BZ75</f>
        <v>3.0245548498090136E-2</v>
      </c>
      <c r="BS612">
        <f>'Bookings and Drivers'!CA75</f>
        <v>3.7326161028332194E-2</v>
      </c>
      <c r="BT612">
        <f>'Bookings and Drivers'!CB75</f>
        <v>4.5143450793819317E-2</v>
      </c>
      <c r="BU612">
        <f>'Bookings and Drivers'!CC75</f>
        <v>3.9260378184499567E-2</v>
      </c>
      <c r="BV612">
        <f>'Bookings and Drivers'!CD75</f>
        <v>4.0412746004722777E-2</v>
      </c>
      <c r="BW612">
        <f>'Bookings and Drivers'!CE75</f>
        <v>4.3891102216537359E-2</v>
      </c>
      <c r="BX612">
        <f>'Bookings and Drivers'!CF75</f>
        <v>4.7676611185530682E-2</v>
      </c>
      <c r="BY612">
        <f>'Bookings and Drivers'!CG75</f>
        <v>0</v>
      </c>
      <c r="BZ612">
        <f>'Bookings and Drivers'!CH75</f>
        <v>0</v>
      </c>
      <c r="CA612">
        <f>'Bookings and Drivers'!CI75</f>
        <v>0</v>
      </c>
      <c r="CB612">
        <f>'Bookings and Drivers'!CJ75</f>
        <v>0</v>
      </c>
      <c r="CC612">
        <f>'Bookings and Drivers'!CK75</f>
        <v>0.47299999999999998</v>
      </c>
      <c r="CD612">
        <f>'Bookings and Drivers'!CL75</f>
        <v>8.1000000000000003E-2</v>
      </c>
      <c r="CE612">
        <f>'Bookings and Drivers'!CM75</f>
        <v>0.125</v>
      </c>
      <c r="CF612">
        <f>'Bookings and Drivers'!CN75</f>
        <v>9.2044769083379663E-2</v>
      </c>
      <c r="CG612">
        <f>'Bookings and Drivers'!CO75</f>
        <v>0.43046219901363503</v>
      </c>
      <c r="CH612">
        <f>'Bookings and Drivers'!CP75</f>
        <v>0.18287227525122063</v>
      </c>
      <c r="CI612">
        <f>'Bookings and Drivers'!CQ75</f>
        <v>0.14289833070850588</v>
      </c>
      <c r="CJ612">
        <f>'Bookings and Drivers'!CR75</f>
        <v>0.13987973296715084</v>
      </c>
      <c r="CK612">
        <f>'Bookings and Drivers'!CS75</f>
        <v>7.0962307854285145E-2</v>
      </c>
      <c r="CL612">
        <f>'Bookings and Drivers'!CT75</f>
        <v>0.15473849783720017</v>
      </c>
      <c r="CM612">
        <f>'Bookings and Drivers'!CU75</f>
        <v>0.13434360633407127</v>
      </c>
      <c r="CN612">
        <f>'Bookings and Drivers'!CV75</f>
        <v>-1.5761032722906076E-2</v>
      </c>
      <c r="CO612">
        <f>'Bookings and Drivers'!CW75</f>
        <v>4.9070037539692191E-2</v>
      </c>
      <c r="CP612">
        <f>'Bookings and Drivers'!CX75</f>
        <v>3.4795251950404005E-2</v>
      </c>
      <c r="CQ612">
        <f>'Bookings and Drivers'!CY75</f>
        <v>4.2653257723720195E-2</v>
      </c>
      <c r="CR612">
        <f>'Bookings and Drivers'!CZ75</f>
        <v>3.4588519216348868E-2</v>
      </c>
      <c r="CS612">
        <f>'Bookings and Drivers'!DA75</f>
        <v>2.5989901437070806E-2</v>
      </c>
      <c r="CT612">
        <f>'Bookings and Drivers'!DB75</f>
        <v>1.8368619157557164E-2</v>
      </c>
      <c r="CU612">
        <f>'Bookings and Drivers'!DC75</f>
        <v>1.8558240375264878E-2</v>
      </c>
      <c r="CV612">
        <f>'Bookings and Drivers'!DD75</f>
        <v>1.8726058451224548E-2</v>
      </c>
      <c r="CW612">
        <f>'Bookings and Drivers'!DE75</f>
        <v>1.8874528255769851E-2</v>
      </c>
      <c r="CX612">
        <f>'Bookings and Drivers'!DF75</f>
        <v>1.9005839736182972E-2</v>
      </c>
    </row>
    <row r="613" spans="1:102">
      <c r="A613" t="str">
        <f>'Bookings and Drivers'!I76</f>
        <v>2 Year Growth</v>
      </c>
      <c r="B613">
        <f>'Bookings and Drivers'!J76</f>
        <v>0</v>
      </c>
      <c r="C613">
        <f>'Bookings and Drivers'!K76</f>
        <v>0</v>
      </c>
      <c r="D613">
        <f>'Bookings and Drivers'!L76</f>
        <v>0</v>
      </c>
      <c r="E613">
        <f>'Bookings and Drivers'!M76</f>
        <v>0</v>
      </c>
      <c r="F613">
        <f>'Bookings and Drivers'!N76</f>
        <v>0</v>
      </c>
      <c r="G613">
        <f>'Bookings and Drivers'!O76</f>
        <v>0</v>
      </c>
      <c r="H613">
        <f>'Bookings and Drivers'!P76</f>
        <v>0</v>
      </c>
      <c r="I613">
        <f>'Bookings and Drivers'!Q76</f>
        <v>0</v>
      </c>
      <c r="J613">
        <f>'Bookings and Drivers'!R76</f>
        <v>0</v>
      </c>
      <c r="K613">
        <f>'Bookings and Drivers'!S76</f>
        <v>0</v>
      </c>
      <c r="L613">
        <f>'Bookings and Drivers'!T76</f>
        <v>0</v>
      </c>
      <c r="M613">
        <f>'Bookings and Drivers'!U76</f>
        <v>0</v>
      </c>
      <c r="N613">
        <f>'Bookings and Drivers'!V76</f>
        <v>0</v>
      </c>
      <c r="O613">
        <f>'Bookings and Drivers'!W76</f>
        <v>0</v>
      </c>
      <c r="P613">
        <f>'Bookings and Drivers'!X76</f>
        <v>0</v>
      </c>
      <c r="Q613">
        <f>'Bookings and Drivers'!Y76</f>
        <v>0</v>
      </c>
      <c r="R613">
        <f>'Bookings and Drivers'!Z76</f>
        <v>0</v>
      </c>
      <c r="S613">
        <f>'Bookings and Drivers'!AA76</f>
        <v>0</v>
      </c>
      <c r="T613">
        <f>'Bookings and Drivers'!AB76</f>
        <v>0</v>
      </c>
      <c r="U613">
        <f>'Bookings and Drivers'!AC76</f>
        <v>0</v>
      </c>
      <c r="V613">
        <f>'Bookings and Drivers'!AD76</f>
        <v>0</v>
      </c>
      <c r="W613">
        <f>'Bookings and Drivers'!AE76</f>
        <v>0</v>
      </c>
      <c r="X613">
        <f>'Bookings and Drivers'!AF76</f>
        <v>0</v>
      </c>
      <c r="Y613">
        <f>'Bookings and Drivers'!AG76</f>
        <v>0</v>
      </c>
      <c r="Z613">
        <f>'Bookings and Drivers'!AH76</f>
        <v>0</v>
      </c>
      <c r="AA613">
        <f>'Bookings and Drivers'!AI76</f>
        <v>0</v>
      </c>
      <c r="AB613">
        <f>'Bookings and Drivers'!AJ76</f>
        <v>0</v>
      </c>
      <c r="AC613">
        <f>'Bookings and Drivers'!AK76</f>
        <v>0</v>
      </c>
      <c r="AD613">
        <f>'Bookings and Drivers'!AL76</f>
        <v>0</v>
      </c>
      <c r="AE613">
        <f>'Bookings and Drivers'!AM76</f>
        <v>0</v>
      </c>
      <c r="AF613">
        <f>'Bookings and Drivers'!AN76</f>
        <v>0</v>
      </c>
      <c r="AG613">
        <f>'Bookings and Drivers'!AO76</f>
        <v>0.51588036263540316</v>
      </c>
      <c r="AH613">
        <f>'Bookings and Drivers'!AP76</f>
        <v>0.55213326165669263</v>
      </c>
      <c r="AI613">
        <f>'Bookings and Drivers'!AQ76</f>
        <v>0.52081990900147779</v>
      </c>
      <c r="AJ613">
        <f>'Bookings and Drivers'!AR76</f>
        <v>0.55248895528464925</v>
      </c>
      <c r="AK613">
        <f>'Bookings and Drivers'!AS76</f>
        <v>0.68631866365667227</v>
      </c>
      <c r="AL613">
        <f>'Bookings and Drivers'!AT76</f>
        <v>0.69805465092398822</v>
      </c>
      <c r="AM613">
        <f>'Bookings and Drivers'!AU76</f>
        <v>0.57680304368806889</v>
      </c>
      <c r="AN613">
        <f>'Bookings and Drivers'!AV76</f>
        <v>0.51701454379903189</v>
      </c>
      <c r="AO613">
        <f>'Bookings and Drivers'!AW76</f>
        <v>0.34293428286909777</v>
      </c>
      <c r="AP613">
        <f>'Bookings and Drivers'!AX76</f>
        <v>0.30207065085976481</v>
      </c>
      <c r="AQ613">
        <f>'Bookings and Drivers'!AY76</f>
        <v>0.37149652580643844</v>
      </c>
      <c r="AR613">
        <f>'Bookings and Drivers'!AZ76</f>
        <v>0.29166735394588406</v>
      </c>
      <c r="AS613">
        <f>'Bookings and Drivers'!BA76</f>
        <v>0.30351228320657264</v>
      </c>
      <c r="AT613">
        <f>'Bookings and Drivers'!BB76</f>
        <v>0.3299617903962182</v>
      </c>
      <c r="AU613">
        <f>'Bookings and Drivers'!BC76</f>
        <v>0.25357525544320891</v>
      </c>
      <c r="AV613">
        <f>'Bookings and Drivers'!BD76</f>
        <v>0.24288937334823646</v>
      </c>
      <c r="AW613">
        <f>'Bookings and Drivers'!BE76</f>
        <v>0.25718516908351163</v>
      </c>
      <c r="AX613">
        <f>'Bookings and Drivers'!BF76</f>
        <v>0.18632002468323572</v>
      </c>
      <c r="AY613">
        <f>'Bookings and Drivers'!BG76</f>
        <v>0.20289947855255419</v>
      </c>
      <c r="AZ613">
        <f>'Bookings and Drivers'!BH76</f>
        <v>0.2014892405977351</v>
      </c>
      <c r="BA613">
        <f>'Bookings and Drivers'!BI76</f>
        <v>0.20333347392691947</v>
      </c>
      <c r="BB613">
        <f>'Bookings and Drivers'!BJ76</f>
        <v>0.16967313598902001</v>
      </c>
      <c r="BC613">
        <f>'Bookings and Drivers'!BK76</f>
        <v>0.23880114576732292</v>
      </c>
      <c r="BD613">
        <f>'Bookings and Drivers'!BL76</f>
        <v>0.30919891736089133</v>
      </c>
      <c r="BE613">
        <f>'Bookings and Drivers'!BM76</f>
        <v>0.28219209825049241</v>
      </c>
      <c r="BF613">
        <f>'Bookings and Drivers'!BN76</f>
        <v>0.3236828710196209</v>
      </c>
      <c r="BG613">
        <f>'Bookings and Drivers'!BO76</f>
        <v>0.26602575701479192</v>
      </c>
      <c r="BH613">
        <f>'Bookings and Drivers'!BP76</f>
        <v>0.29922028327933425</v>
      </c>
      <c r="BI613">
        <f>'Bookings and Drivers'!BQ76</f>
        <v>0.21627108517004134</v>
      </c>
      <c r="BJ613">
        <f>'Bookings and Drivers'!BR76</f>
        <v>0.21322754584996173</v>
      </c>
      <c r="BK613">
        <f>'Bookings and Drivers'!BS76</f>
        <v>7.4321063754206218E-2</v>
      </c>
      <c r="BL613">
        <f>'Bookings and Drivers'!BT76</f>
        <v>-4.2354919057348783E-2</v>
      </c>
      <c r="BM613">
        <f>'Bookings and Drivers'!BU76</f>
        <v>2.6605487757775936E-3</v>
      </c>
      <c r="BN613">
        <f>'Bookings and Drivers'!BV76</f>
        <v>2.0643518653585158E-2</v>
      </c>
      <c r="BO613">
        <f>'Bookings and Drivers'!BW76</f>
        <v>8.1627937848071097E-2</v>
      </c>
      <c r="BP613">
        <f>'Bookings and Drivers'!BX76</f>
        <v>3.4314828743127523E-2</v>
      </c>
      <c r="BQ613">
        <f>'Bookings and Drivers'!BY76</f>
        <v>9.2010082387110614E-3</v>
      </c>
      <c r="BR613">
        <f>'Bookings and Drivers'!BZ76</f>
        <v>4.4423549910296067E-2</v>
      </c>
      <c r="BS613">
        <f>'Bookings and Drivers'!CA76</f>
        <v>0.14362420788386165</v>
      </c>
      <c r="BT613">
        <f>'Bookings and Drivers'!CB76</f>
        <v>0.15589586719473081</v>
      </c>
      <c r="BU613">
        <f>'Bookings and Drivers'!CC76</f>
        <v>6.7181411868569185E-2</v>
      </c>
      <c r="BV613">
        <f>'Bookings and Drivers'!CD76</f>
        <v>7.0658294502812913E-2</v>
      </c>
      <c r="BW613">
        <f>'Bookings and Drivers'!CE76</f>
        <v>8.1217263244869553E-2</v>
      </c>
      <c r="BX613">
        <f>'Bookings and Drivers'!CF76</f>
        <v>9.2820061979349999E-2</v>
      </c>
      <c r="BY613">
        <f>'Bookings and Drivers'!CG76</f>
        <v>0</v>
      </c>
      <c r="BZ613">
        <f>'Bookings and Drivers'!CH76</f>
        <v>0</v>
      </c>
      <c r="CA613">
        <f>'Bookings and Drivers'!CI76</f>
        <v>0</v>
      </c>
      <c r="CB613">
        <f>'Bookings and Drivers'!CJ76</f>
        <v>0</v>
      </c>
      <c r="CC613">
        <f>'Bookings and Drivers'!CK76</f>
        <v>0</v>
      </c>
      <c r="CD613">
        <f>'Bookings and Drivers'!CL76</f>
        <v>0</v>
      </c>
      <c r="CE613">
        <f>'Bookings and Drivers'!CM76</f>
        <v>0</v>
      </c>
      <c r="CF613">
        <f>'Bookings and Drivers'!CN76</f>
        <v>0</v>
      </c>
      <c r="CG613">
        <f>'Bookings and Drivers'!CO76</f>
        <v>0.52250696809701469</v>
      </c>
      <c r="CH613">
        <f>'Bookings and Drivers'!CP76</f>
        <v>0.61333447426485566</v>
      </c>
      <c r="CI613">
        <f>'Bookings and Drivers'!CQ76</f>
        <v>0.32577060595972651</v>
      </c>
      <c r="CJ613">
        <f>'Bookings and Drivers'!CR76</f>
        <v>0.28277806367565672</v>
      </c>
      <c r="CK613">
        <f>'Bookings and Drivers'!CS76</f>
        <v>0.21084204082143598</v>
      </c>
      <c r="CL613">
        <f>'Bookings and Drivers'!CT76</f>
        <v>0.22570080569148532</v>
      </c>
      <c r="CM613">
        <f>'Bookings and Drivers'!CU76</f>
        <v>0.28908210417127145</v>
      </c>
      <c r="CN613">
        <f>'Bookings and Drivers'!CV76</f>
        <v>0.1185825736111652</v>
      </c>
      <c r="CO613">
        <f>'Bookings and Drivers'!CW76</f>
        <v>3.3309004816786114E-2</v>
      </c>
      <c r="CP613">
        <f>'Bookings and Drivers'!CX76</f>
        <v>8.3865289490096195E-2</v>
      </c>
      <c r="CQ613">
        <f>'Bookings and Drivers'!CY76</f>
        <v>7.74485096741242E-2</v>
      </c>
      <c r="CR613">
        <f>'Bookings and Drivers'!CZ76</f>
        <v>7.7241776940069062E-2</v>
      </c>
      <c r="CS613">
        <f>'Bookings and Drivers'!DA76</f>
        <v>6.0578420653419673E-2</v>
      </c>
      <c r="CT613">
        <f>'Bookings and Drivers'!DB76</f>
        <v>4.435852059462797E-2</v>
      </c>
      <c r="CU613">
        <f>'Bookings and Drivers'!DC76</f>
        <v>3.6926859532822043E-2</v>
      </c>
      <c r="CV613">
        <f>'Bookings and Drivers'!DD76</f>
        <v>3.7284298826489426E-2</v>
      </c>
      <c r="CW613">
        <f>'Bookings and Drivers'!DE76</f>
        <v>3.7600586706994399E-2</v>
      </c>
      <c r="CX613">
        <f>'Bookings and Drivers'!DF76</f>
        <v>3.7880367991952824E-2</v>
      </c>
    </row>
    <row r="614" spans="1:102">
      <c r="A614" t="str">
        <f>'Bookings and Drivers'!I77</f>
        <v>% of total gross bookings</v>
      </c>
      <c r="B614">
        <f>'Bookings and Drivers'!J77</f>
        <v>0</v>
      </c>
      <c r="C614">
        <f>'Bookings and Drivers'!K77</f>
        <v>0</v>
      </c>
      <c r="D614">
        <f>'Bookings and Drivers'!L77</f>
        <v>0</v>
      </c>
      <c r="E614">
        <f>'Bookings and Drivers'!M77</f>
        <v>0</v>
      </c>
      <c r="F614">
        <f>'Bookings and Drivers'!N77</f>
        <v>0</v>
      </c>
      <c r="G614">
        <f>'Bookings and Drivers'!O77</f>
        <v>0</v>
      </c>
      <c r="H614">
        <f>'Bookings and Drivers'!P77</f>
        <v>0</v>
      </c>
      <c r="I614">
        <f>'Bookings and Drivers'!Q77</f>
        <v>0</v>
      </c>
      <c r="J614">
        <f>'Bookings and Drivers'!R77</f>
        <v>0</v>
      </c>
      <c r="K614">
        <f>'Bookings and Drivers'!S77</f>
        <v>0</v>
      </c>
      <c r="L614">
        <f>'Bookings and Drivers'!T77</f>
        <v>0</v>
      </c>
      <c r="M614">
        <f>'Bookings and Drivers'!U77</f>
        <v>0</v>
      </c>
      <c r="N614">
        <f>'Bookings and Drivers'!V77</f>
        <v>0</v>
      </c>
      <c r="O614">
        <f>'Bookings and Drivers'!W77</f>
        <v>0</v>
      </c>
      <c r="P614">
        <f>'Bookings and Drivers'!X77</f>
        <v>0</v>
      </c>
      <c r="Q614">
        <f>'Bookings and Drivers'!Y77</f>
        <v>0</v>
      </c>
      <c r="R614">
        <f>'Bookings and Drivers'!Z77</f>
        <v>0</v>
      </c>
      <c r="S614">
        <f>'Bookings and Drivers'!AA77</f>
        <v>0</v>
      </c>
      <c r="T614">
        <f>'Bookings and Drivers'!AB77</f>
        <v>0</v>
      </c>
      <c r="U614">
        <f>'Bookings and Drivers'!AC77</f>
        <v>0</v>
      </c>
      <c r="V614">
        <f>'Bookings and Drivers'!AD77</f>
        <v>0</v>
      </c>
      <c r="W614">
        <f>'Bookings and Drivers'!AE77</f>
        <v>0</v>
      </c>
      <c r="X614">
        <f>'Bookings and Drivers'!AF77</f>
        <v>0</v>
      </c>
      <c r="Y614">
        <f>'Bookings and Drivers'!AG77</f>
        <v>0.6346996134281172</v>
      </c>
      <c r="Z614">
        <f>'Bookings and Drivers'!AH77</f>
        <v>0.61547096565482273</v>
      </c>
      <c r="AA614">
        <f>'Bookings and Drivers'!AI77</f>
        <v>0.55886833900226751</v>
      </c>
      <c r="AB614">
        <f>'Bookings and Drivers'!AJ77</f>
        <v>0.57013510055090844</v>
      </c>
      <c r="AC614">
        <f>'Bookings and Drivers'!AK77</f>
        <v>0.47953561924944743</v>
      </c>
      <c r="AD614">
        <f>'Bookings and Drivers'!AL77</f>
        <v>0.44358419351677975</v>
      </c>
      <c r="AE614">
        <f>'Bookings and Drivers'!AM77</f>
        <v>0.43302823145173991</v>
      </c>
      <c r="AF614">
        <f>'Bookings and Drivers'!AN77</f>
        <v>0.4360387312696678</v>
      </c>
      <c r="AG614">
        <f>'Bookings and Drivers'!AO77</f>
        <v>0.40996422178399777</v>
      </c>
      <c r="AH614">
        <f>'Bookings and Drivers'!AP77</f>
        <v>0.4134115968748297</v>
      </c>
      <c r="AI614">
        <f>'Bookings and Drivers'!AQ77</f>
        <v>0.38995633592417589</v>
      </c>
      <c r="AJ614">
        <f>'Bookings and Drivers'!AR77</f>
        <v>0.465138716627293</v>
      </c>
      <c r="AK614">
        <f>'Bookings and Drivers'!AS77</f>
        <v>0.43793167673740885</v>
      </c>
      <c r="AL614">
        <f>'Bookings and Drivers'!AT77</f>
        <v>0.40537698314291742</v>
      </c>
      <c r="AM614">
        <f>'Bookings and Drivers'!AU77</f>
        <v>0.36679085045573634</v>
      </c>
      <c r="AN614">
        <f>'Bookings and Drivers'!AV77</f>
        <v>0.36696837294994739</v>
      </c>
      <c r="AO614">
        <f>'Bookings and Drivers'!AW77</f>
        <v>0.33371055032642483</v>
      </c>
      <c r="AP614">
        <f>'Bookings and Drivers'!AX77</f>
        <v>0.33836307760880663</v>
      </c>
      <c r="AQ614">
        <f>'Bookings and Drivers'!AY77</f>
        <v>0.27983025461807287</v>
      </c>
      <c r="AR614">
        <f>'Bookings and Drivers'!AZ77</f>
        <v>0.27626339969372127</v>
      </c>
      <c r="AS614">
        <f>'Bookings and Drivers'!BA77</f>
        <v>0.24201500535905682</v>
      </c>
      <c r="AT614">
        <f>'Bookings and Drivers'!BB77</f>
        <v>0.22629757785467128</v>
      </c>
      <c r="AU614">
        <f>'Bookings and Drivers'!BC77</f>
        <v>0.20265302860795908</v>
      </c>
      <c r="AV614">
        <f>'Bookings and Drivers'!BD77</f>
        <v>0.21065375302663439</v>
      </c>
      <c r="AW614">
        <f>'Bookings and Drivers'!BE77</f>
        <v>0.18775145283862316</v>
      </c>
      <c r="AX614">
        <f>'Bookings and Drivers'!BF77</f>
        <v>0.18788374948833403</v>
      </c>
      <c r="AY614">
        <f>'Bookings and Drivers'!BG77</f>
        <v>0.17351889683350358</v>
      </c>
      <c r="AZ614">
        <f>'Bookings and Drivers'!BH77</f>
        <v>0.16555285540704739</v>
      </c>
      <c r="BA614">
        <f>'Bookings and Drivers'!BI77</f>
        <v>0.14967770130012018</v>
      </c>
      <c r="BB614">
        <f>'Bookings and Drivers'!BJ77</f>
        <v>0.15202135020262925</v>
      </c>
      <c r="BC614">
        <f>'Bookings and Drivers'!BK77</f>
        <v>0.14732930794240595</v>
      </c>
      <c r="BD614">
        <f>'Bookings and Drivers'!BL77</f>
        <v>0.1509248112071796</v>
      </c>
      <c r="BE614">
        <f>'Bookings and Drivers'!BM77</f>
        <v>0.13330618892508142</v>
      </c>
      <c r="BF614">
        <f>'Bookings and Drivers'!BN77</f>
        <v>0.13709558280395923</v>
      </c>
      <c r="BG614">
        <f>'Bookings and Drivers'!BO77</f>
        <v>0.12609419084135137</v>
      </c>
      <c r="BH614">
        <f>'Bookings and Drivers'!BP77</f>
        <v>0.13378365700347125</v>
      </c>
      <c r="BI614">
        <f>'Bookings and Drivers'!BQ77</f>
        <v>0.12137049941927991</v>
      </c>
      <c r="BJ614">
        <f>'Bookings and Drivers'!BR77</f>
        <v>0.1248663101604278</v>
      </c>
      <c r="BK614">
        <f>'Bookings and Drivers'!BS77</f>
        <v>0.11503586412234403</v>
      </c>
      <c r="BL614">
        <f>'Bookings and Drivers'!BT77</f>
        <v>0.10962210754120193</v>
      </c>
      <c r="BM614">
        <f>'Bookings and Drivers'!BU77</f>
        <v>9.8522795739828292E-2</v>
      </c>
      <c r="BN614">
        <f>'Bookings and Drivers'!BV77</f>
        <v>0.1060622834306349</v>
      </c>
      <c r="BO614">
        <f>'Bookings and Drivers'!BW77</f>
        <v>0.10188010182309859</v>
      </c>
      <c r="BP614">
        <f>'Bookings and Drivers'!BX77</f>
        <v>9.6801279274748575E-2</v>
      </c>
      <c r="BQ614">
        <f>'Bookings and Drivers'!BY77</f>
        <v>8.1525120157600828E-2</v>
      </c>
      <c r="BR614">
        <f>'Bookings and Drivers'!BZ77</f>
        <v>9.3849316231302618E-2</v>
      </c>
      <c r="BS614">
        <f>'Bookings and Drivers'!CA77</f>
        <v>8.9647377999551511E-2</v>
      </c>
      <c r="BT614">
        <f>'Bookings and Drivers'!CB77</f>
        <v>8.5033343877641845E-2</v>
      </c>
      <c r="BU614">
        <f>'Bookings and Drivers'!CC77</f>
        <v>7.0442899962930641E-2</v>
      </c>
      <c r="BV614">
        <f>'Bookings and Drivers'!CD77</f>
        <v>8.0947573811687754E-2</v>
      </c>
      <c r="BW614">
        <f>'Bookings and Drivers'!CE77</f>
        <v>8.2073331343961081E-2</v>
      </c>
      <c r="BX614">
        <f>'Bookings and Drivers'!CF77</f>
        <v>7.2792258017163672E-2</v>
      </c>
      <c r="BY614">
        <f>'Bookings and Drivers'!CG77</f>
        <v>0</v>
      </c>
      <c r="BZ614">
        <f>'Bookings and Drivers'!CH77</f>
        <v>0</v>
      </c>
      <c r="CA614">
        <f>'Bookings and Drivers'!CI77</f>
        <v>0</v>
      </c>
      <c r="CB614">
        <f>'Bookings and Drivers'!CJ77</f>
        <v>0</v>
      </c>
      <c r="CC614">
        <f>'Bookings and Drivers'!CK77</f>
        <v>0</v>
      </c>
      <c r="CD614">
        <f>'Bookings and Drivers'!CL77</f>
        <v>0</v>
      </c>
      <c r="CE614">
        <f>'Bookings and Drivers'!CM77</f>
        <v>0.59425878281761657</v>
      </c>
      <c r="CF614">
        <f>'Bookings and Drivers'!CN77</f>
        <v>0.44609431036796166</v>
      </c>
      <c r="CG614">
        <f>'Bookings and Drivers'!CO77</f>
        <v>0.41644638861790967</v>
      </c>
      <c r="CH614">
        <f>'Bookings and Drivers'!CP77</f>
        <v>0.3915461572651181</v>
      </c>
      <c r="CI614">
        <f>'Bookings and Drivers'!CQ77</f>
        <v>0.30531050592211934</v>
      </c>
      <c r="CJ614">
        <f>'Bookings and Drivers'!CR77</f>
        <v>0.21927232431434113</v>
      </c>
      <c r="CK614">
        <f>'Bookings and Drivers'!CS77</f>
        <v>0.17873207759347765</v>
      </c>
      <c r="CL614">
        <f>'Bookings and Drivers'!CT77</f>
        <v>0.14992852037169407</v>
      </c>
      <c r="CM614">
        <f>'Bookings and Drivers'!CU77</f>
        <v>0.13244532803180914</v>
      </c>
      <c r="CN614">
        <f>'Bookings and Drivers'!CV77</f>
        <v>0.11808456994669356</v>
      </c>
      <c r="CO614">
        <f>'Bookings and Drivers'!CW77</f>
        <v>0.10102886360315129</v>
      </c>
      <c r="CP614">
        <f>'Bookings and Drivers'!CX77</f>
        <v>8.7633272022615047E-2</v>
      </c>
      <c r="CQ614">
        <f>'Bookings and Drivers'!CY77</f>
        <v>7.6681517381222891E-2</v>
      </c>
      <c r="CR614">
        <f>'Bookings and Drivers'!CZ77</f>
        <v>6.9223033690778882E-2</v>
      </c>
      <c r="CS614">
        <f>'Bookings and Drivers'!DA77</f>
        <v>6.3110210747744797E-2</v>
      </c>
      <c r="CT614">
        <f>'Bookings and Drivers'!DB77</f>
        <v>5.8024574461815595E-2</v>
      </c>
      <c r="CU614">
        <f>'Bookings and Drivers'!DC77</f>
        <v>5.3960241080388834E-2</v>
      </c>
      <c r="CV614">
        <f>'Bookings and Drivers'!DD77</f>
        <v>5.0611478303953392E-2</v>
      </c>
      <c r="CW614">
        <f>'Bookings and Drivers'!DE77</f>
        <v>4.7844508493394299E-2</v>
      </c>
      <c r="CX614">
        <f>'Bookings and Drivers'!DF77</f>
        <v>4.5222581807322498E-2</v>
      </c>
    </row>
    <row r="615" spans="1:102">
      <c r="A615">
        <f>'Bookings and Drivers'!I79</f>
        <v>0</v>
      </c>
      <c r="B615">
        <f>'Bookings and Drivers'!J79</f>
        <v>0</v>
      </c>
      <c r="C615">
        <f>'Bookings and Drivers'!K79</f>
        <v>0</v>
      </c>
      <c r="D615">
        <f>'Bookings and Drivers'!L79</f>
        <v>0</v>
      </c>
      <c r="E615">
        <f>'Bookings and Drivers'!M79</f>
        <v>0</v>
      </c>
      <c r="F615">
        <f>'Bookings and Drivers'!N79</f>
        <v>0</v>
      </c>
      <c r="G615">
        <f>'Bookings and Drivers'!O79</f>
        <v>0</v>
      </c>
      <c r="H615">
        <f>'Bookings and Drivers'!P79</f>
        <v>0</v>
      </c>
      <c r="I615">
        <f>'Bookings and Drivers'!Q79</f>
        <v>0</v>
      </c>
      <c r="J615">
        <f>'Bookings and Drivers'!R79</f>
        <v>0</v>
      </c>
      <c r="K615">
        <f>'Bookings and Drivers'!S79</f>
        <v>0</v>
      </c>
      <c r="L615">
        <f>'Bookings and Drivers'!T79</f>
        <v>0</v>
      </c>
      <c r="M615">
        <f>'Bookings and Drivers'!U79</f>
        <v>0</v>
      </c>
      <c r="N615">
        <f>'Bookings and Drivers'!V79</f>
        <v>0</v>
      </c>
      <c r="O615">
        <f>'Bookings and Drivers'!W79</f>
        <v>0</v>
      </c>
      <c r="P615">
        <f>'Bookings and Drivers'!X79</f>
        <v>0</v>
      </c>
      <c r="Q615">
        <f>'Bookings and Drivers'!Y79</f>
        <v>0</v>
      </c>
      <c r="R615">
        <f>'Bookings and Drivers'!Z79</f>
        <v>0</v>
      </c>
      <c r="S615">
        <f>'Bookings and Drivers'!AA79</f>
        <v>0</v>
      </c>
      <c r="T615">
        <f>'Bookings and Drivers'!AB79</f>
        <v>0</v>
      </c>
      <c r="U615">
        <f>'Bookings and Drivers'!AC79</f>
        <v>0</v>
      </c>
      <c r="V615">
        <f>'Bookings and Drivers'!AD79</f>
        <v>0</v>
      </c>
      <c r="W615">
        <f>'Bookings and Drivers'!AE79</f>
        <v>0</v>
      </c>
      <c r="X615">
        <f>'Bookings and Drivers'!AF79</f>
        <v>0</v>
      </c>
      <c r="Y615">
        <f>'Bookings and Drivers'!AG79</f>
        <v>0</v>
      </c>
      <c r="Z615">
        <f>'Bookings and Drivers'!AH79</f>
        <v>0</v>
      </c>
      <c r="AA615">
        <f>'Bookings and Drivers'!AI79</f>
        <v>0</v>
      </c>
      <c r="AB615">
        <f>'Bookings and Drivers'!AJ79</f>
        <v>0</v>
      </c>
      <c r="AC615">
        <f>'Bookings and Drivers'!AK79</f>
        <v>0</v>
      </c>
      <c r="AD615">
        <f>'Bookings and Drivers'!AL79</f>
        <v>0</v>
      </c>
      <c r="AE615">
        <f>'Bookings and Drivers'!AM79</f>
        <v>0</v>
      </c>
      <c r="AF615">
        <f>'Bookings and Drivers'!AN79</f>
        <v>0</v>
      </c>
      <c r="AG615">
        <f>'Bookings and Drivers'!AO79</f>
        <v>0</v>
      </c>
      <c r="AH615">
        <f>'Bookings and Drivers'!AP79</f>
        <v>0</v>
      </c>
      <c r="AI615">
        <f>'Bookings and Drivers'!AQ79</f>
        <v>0</v>
      </c>
      <c r="AJ615">
        <f>'Bookings and Drivers'!AR79</f>
        <v>0</v>
      </c>
      <c r="AK615">
        <f>'Bookings and Drivers'!AS79</f>
        <v>0</v>
      </c>
      <c r="AL615">
        <f>'Bookings and Drivers'!AT79</f>
        <v>0</v>
      </c>
      <c r="AM615">
        <f>'Bookings and Drivers'!AU79</f>
        <v>0</v>
      </c>
      <c r="AN615">
        <f>'Bookings and Drivers'!AV79</f>
        <v>0</v>
      </c>
      <c r="AO615">
        <f>'Bookings and Drivers'!AW79</f>
        <v>0</v>
      </c>
      <c r="AP615">
        <f>'Bookings and Drivers'!AX79</f>
        <v>0</v>
      </c>
      <c r="AQ615">
        <f>'Bookings and Drivers'!AY79</f>
        <v>0</v>
      </c>
      <c r="AR615">
        <f>'Bookings and Drivers'!AZ79</f>
        <v>0</v>
      </c>
      <c r="AS615">
        <f>'Bookings and Drivers'!BA79</f>
        <v>0</v>
      </c>
      <c r="AT615">
        <f>'Bookings and Drivers'!BB79</f>
        <v>0</v>
      </c>
      <c r="AU615">
        <f>'Bookings and Drivers'!BC79</f>
        <v>0</v>
      </c>
      <c r="AV615">
        <f>'Bookings and Drivers'!BD79</f>
        <v>0</v>
      </c>
      <c r="AW615">
        <f>'Bookings and Drivers'!BE79</f>
        <v>0</v>
      </c>
      <c r="AX615">
        <f>'Bookings and Drivers'!BF79</f>
        <v>0</v>
      </c>
      <c r="AY615">
        <f>'Bookings and Drivers'!BG79</f>
        <v>0</v>
      </c>
      <c r="AZ615">
        <f>'Bookings and Drivers'!BH79</f>
        <v>0</v>
      </c>
      <c r="BA615">
        <f>'Bookings and Drivers'!BI79</f>
        <v>0</v>
      </c>
      <c r="BB615">
        <f>'Bookings and Drivers'!BJ79</f>
        <v>0</v>
      </c>
      <c r="BC615">
        <f>'Bookings and Drivers'!BK79</f>
        <v>0</v>
      </c>
      <c r="BD615">
        <f>'Bookings and Drivers'!BL79</f>
        <v>0</v>
      </c>
      <c r="BE615">
        <f>'Bookings and Drivers'!BM79</f>
        <v>0</v>
      </c>
      <c r="BF615">
        <f>'Bookings and Drivers'!BN79</f>
        <v>0</v>
      </c>
      <c r="BG615">
        <f>'Bookings and Drivers'!BO79</f>
        <v>0</v>
      </c>
      <c r="BH615">
        <f>'Bookings and Drivers'!BP79</f>
        <v>0</v>
      </c>
      <c r="BI615">
        <f>'Bookings and Drivers'!BQ51</f>
        <v>0</v>
      </c>
      <c r="BJ615">
        <f>'Bookings and Drivers'!BR79</f>
        <v>0</v>
      </c>
      <c r="BK615">
        <f>'Bookings and Drivers'!BS79</f>
        <v>0</v>
      </c>
      <c r="BL615">
        <f>'Bookings and Drivers'!BT79</f>
        <v>0</v>
      </c>
      <c r="BM615">
        <f>'Bookings and Drivers'!BU79</f>
        <v>0</v>
      </c>
      <c r="BN615">
        <f>'Bookings and Drivers'!BV79</f>
        <v>0</v>
      </c>
      <c r="BO615">
        <f>'Bookings and Drivers'!BW79</f>
        <v>0</v>
      </c>
      <c r="BP615">
        <f>'Bookings and Drivers'!BX79</f>
        <v>0</v>
      </c>
      <c r="BQ615">
        <f>'Bookings and Drivers'!BY79</f>
        <v>0</v>
      </c>
      <c r="BR615">
        <f>'Bookings and Drivers'!BZ79</f>
        <v>0</v>
      </c>
      <c r="BS615">
        <f>'Bookings and Drivers'!CA79</f>
        <v>0</v>
      </c>
      <c r="BT615">
        <f>'Bookings and Drivers'!CB79</f>
        <v>0</v>
      </c>
      <c r="BU615">
        <f>'Bookings and Drivers'!CC79</f>
        <v>0</v>
      </c>
      <c r="BV615">
        <f>'Bookings and Drivers'!CD79</f>
        <v>0</v>
      </c>
      <c r="BW615">
        <f>'Bookings and Drivers'!CE79</f>
        <v>0</v>
      </c>
      <c r="BX615">
        <f>'Bookings and Drivers'!CF79</f>
        <v>0</v>
      </c>
      <c r="BY615">
        <f>'Bookings and Drivers'!CG79</f>
        <v>0</v>
      </c>
      <c r="BZ615">
        <f>'Bookings and Drivers'!CH79</f>
        <v>0</v>
      </c>
      <c r="CA615">
        <f>'Bookings and Drivers'!CI79</f>
        <v>0</v>
      </c>
      <c r="CB615">
        <f>'Bookings and Drivers'!CJ79</f>
        <v>0</v>
      </c>
      <c r="CC615">
        <f>'Bookings and Drivers'!CK79</f>
        <v>0</v>
      </c>
      <c r="CD615">
        <f>'Bookings and Drivers'!CL79</f>
        <v>0</v>
      </c>
      <c r="CE615">
        <f>'Bookings and Drivers'!CM79</f>
        <v>0</v>
      </c>
      <c r="CF615">
        <f>'Bookings and Drivers'!CN79</f>
        <v>0</v>
      </c>
      <c r="CG615">
        <f>'Bookings and Drivers'!CO79</f>
        <v>0</v>
      </c>
      <c r="CH615">
        <f>'Bookings and Drivers'!CP79</f>
        <v>0</v>
      </c>
      <c r="CI615">
        <f>'Bookings and Drivers'!CQ79</f>
        <v>0</v>
      </c>
      <c r="CJ615">
        <f>'Bookings and Drivers'!CR79</f>
        <v>0</v>
      </c>
      <c r="CK615">
        <f>'Bookings and Drivers'!CS79</f>
        <v>0</v>
      </c>
      <c r="CL615">
        <f>'Bookings and Drivers'!CT79</f>
        <v>0</v>
      </c>
      <c r="CM615">
        <f>'Bookings and Drivers'!CU79</f>
        <v>0</v>
      </c>
      <c r="CN615">
        <f>'Bookings and Drivers'!CV79</f>
        <v>0</v>
      </c>
      <c r="CO615">
        <f>'Bookings and Drivers'!CW79</f>
        <v>0</v>
      </c>
      <c r="CP615">
        <f>'Bookings and Drivers'!CX79</f>
        <v>0</v>
      </c>
      <c r="CQ615">
        <f>'Bookings and Drivers'!CY79</f>
        <v>0</v>
      </c>
      <c r="CR615">
        <f>'Bookings and Drivers'!CZ79</f>
        <v>0</v>
      </c>
      <c r="CS615">
        <f>'Bookings and Drivers'!DA79</f>
        <v>0</v>
      </c>
      <c r="CT615">
        <f>'Bookings and Drivers'!DB79</f>
        <v>0</v>
      </c>
      <c r="CU615">
        <f>'Bookings and Drivers'!DC79</f>
        <v>0</v>
      </c>
      <c r="CV615">
        <f>'Bookings and Drivers'!DD79</f>
        <v>0</v>
      </c>
      <c r="CW615">
        <f>'Bookings and Drivers'!DE79</f>
        <v>0</v>
      </c>
      <c r="CX615">
        <f>'Bookings and Drivers'!DF79</f>
        <v>0</v>
      </c>
    </row>
    <row r="617" spans="1:102">
      <c r="A617" t="str">
        <f>'Bookings and Drivers'!I55</f>
        <v>Domestic Bookings</v>
      </c>
      <c r="B617">
        <f>'Bookings and Drivers'!J55</f>
        <v>0</v>
      </c>
      <c r="C617">
        <f>'Bookings and Drivers'!K55</f>
        <v>0</v>
      </c>
      <c r="D617">
        <f>'Bookings and Drivers'!L55</f>
        <v>0</v>
      </c>
      <c r="E617">
        <f>'Bookings and Drivers'!M55</f>
        <v>0</v>
      </c>
      <c r="F617">
        <f>'Bookings and Drivers'!N55</f>
        <v>0</v>
      </c>
      <c r="G617">
        <f>'Bookings and Drivers'!O55</f>
        <v>0</v>
      </c>
      <c r="H617">
        <f>'Bookings and Drivers'!P55</f>
        <v>0</v>
      </c>
      <c r="I617">
        <f>'Bookings and Drivers'!Q55</f>
        <v>0</v>
      </c>
      <c r="J617">
        <f>'Bookings and Drivers'!R55</f>
        <v>0</v>
      </c>
      <c r="K617">
        <f>'Bookings and Drivers'!S55</f>
        <v>0</v>
      </c>
      <c r="L617">
        <f>'Bookings and Drivers'!T55</f>
        <v>0</v>
      </c>
      <c r="M617">
        <f>'Bookings and Drivers'!U55</f>
        <v>0</v>
      </c>
      <c r="N617">
        <f>'Bookings and Drivers'!V55</f>
        <v>0</v>
      </c>
      <c r="O617">
        <f>'Bookings and Drivers'!W55</f>
        <v>0</v>
      </c>
      <c r="P617">
        <f>'Bookings and Drivers'!X55</f>
        <v>0</v>
      </c>
      <c r="Q617">
        <f>'Bookings and Drivers'!Y55</f>
        <v>0</v>
      </c>
      <c r="R617">
        <f>'Bookings and Drivers'!Z55</f>
        <v>0</v>
      </c>
      <c r="S617">
        <f>'Bookings and Drivers'!AA55</f>
        <v>0</v>
      </c>
      <c r="T617">
        <f>'Bookings and Drivers'!AB55</f>
        <v>0</v>
      </c>
      <c r="U617">
        <f>'Bookings and Drivers'!AC55</f>
        <v>0</v>
      </c>
      <c r="V617">
        <f>'Bookings and Drivers'!AD55</f>
        <v>0</v>
      </c>
      <c r="W617">
        <f>'Bookings and Drivers'!AE55</f>
        <v>0</v>
      </c>
      <c r="X617">
        <f>'Bookings and Drivers'!AF55</f>
        <v>0</v>
      </c>
      <c r="Y617">
        <f>'Bookings and Drivers'!AG55</f>
        <v>0</v>
      </c>
      <c r="Z617">
        <f>'Bookings and Drivers'!AH55</f>
        <v>0</v>
      </c>
      <c r="AA617">
        <f>'Bookings and Drivers'!AI55</f>
        <v>0</v>
      </c>
      <c r="AB617">
        <f>'Bookings and Drivers'!AJ55</f>
        <v>0</v>
      </c>
      <c r="AC617">
        <f>'Bookings and Drivers'!AK55</f>
        <v>0</v>
      </c>
      <c r="AD617">
        <f>'Bookings and Drivers'!AL55</f>
        <v>0</v>
      </c>
      <c r="AE617">
        <f>'Bookings and Drivers'!AM55</f>
        <v>0</v>
      </c>
      <c r="AF617">
        <f>'Bookings and Drivers'!AN55</f>
        <v>0</v>
      </c>
      <c r="AG617">
        <f>'Bookings and Drivers'!AO55</f>
        <v>0</v>
      </c>
      <c r="AH617">
        <f>'Bookings and Drivers'!AP55</f>
        <v>0</v>
      </c>
      <c r="AI617">
        <f>'Bookings and Drivers'!AQ55</f>
        <v>0</v>
      </c>
      <c r="AJ617">
        <f>'Bookings and Drivers'!AR55</f>
        <v>0</v>
      </c>
      <c r="AK617">
        <f>'Bookings and Drivers'!AS55</f>
        <v>0</v>
      </c>
      <c r="AL617">
        <f>'Bookings and Drivers'!AT55</f>
        <v>0</v>
      </c>
      <c r="AM617">
        <f>'Bookings and Drivers'!AU55</f>
        <v>0</v>
      </c>
      <c r="AN617">
        <f>'Bookings and Drivers'!AV55</f>
        <v>0</v>
      </c>
      <c r="AO617">
        <f>'Bookings and Drivers'!AW55</f>
        <v>0</v>
      </c>
      <c r="AP617">
        <f>'Bookings and Drivers'!AX55</f>
        <v>0</v>
      </c>
      <c r="AQ617">
        <f>'Bookings and Drivers'!AY55</f>
        <v>0</v>
      </c>
      <c r="AR617">
        <f>'Bookings and Drivers'!AZ55</f>
        <v>0</v>
      </c>
      <c r="AS617">
        <f>'Bookings and Drivers'!BA55</f>
        <v>0</v>
      </c>
      <c r="AT617">
        <f>'Bookings and Drivers'!BB55</f>
        <v>0</v>
      </c>
      <c r="AU617">
        <f>'Bookings and Drivers'!BC55</f>
        <v>0</v>
      </c>
      <c r="AV617">
        <f>'Bookings and Drivers'!BD55</f>
        <v>0</v>
      </c>
      <c r="AW617">
        <f>'Bookings and Drivers'!BE55</f>
        <v>0</v>
      </c>
      <c r="AX617">
        <f>'Bookings and Drivers'!BF55</f>
        <v>0</v>
      </c>
      <c r="AY617">
        <f>'Bookings and Drivers'!BG55</f>
        <v>0</v>
      </c>
      <c r="AZ617">
        <f>'Bookings and Drivers'!BH55</f>
        <v>0</v>
      </c>
      <c r="BA617">
        <f>'Bookings and Drivers'!BI55</f>
        <v>0</v>
      </c>
      <c r="BB617">
        <f>'Bookings and Drivers'!BJ55</f>
        <v>0</v>
      </c>
      <c r="BC617">
        <f>'Bookings and Drivers'!BK55</f>
        <v>0</v>
      </c>
      <c r="BD617">
        <f>'Bookings and Drivers'!BL55</f>
        <v>0</v>
      </c>
      <c r="BE617">
        <f>'Bookings and Drivers'!BM55</f>
        <v>0</v>
      </c>
      <c r="BF617">
        <f>'Bookings and Drivers'!BN55</f>
        <v>0</v>
      </c>
      <c r="BG617">
        <f>'Bookings and Drivers'!BO55</f>
        <v>0</v>
      </c>
      <c r="BH617">
        <f>'Bookings and Drivers'!BP55</f>
        <v>0</v>
      </c>
      <c r="BI617">
        <f>'Bookings and Drivers'!BQ55</f>
        <v>0</v>
      </c>
      <c r="BJ617">
        <f>'Bookings and Drivers'!BR55</f>
        <v>0</v>
      </c>
      <c r="BK617">
        <f>'Bookings and Drivers'!BS55</f>
        <v>0</v>
      </c>
      <c r="BL617">
        <f>'Bookings and Drivers'!BT55</f>
        <v>0</v>
      </c>
      <c r="BM617">
        <f>'Bookings and Drivers'!BU55</f>
        <v>0</v>
      </c>
      <c r="BN617">
        <f>'Bookings and Drivers'!BV55</f>
        <v>0</v>
      </c>
      <c r="BO617">
        <f>'Bookings and Drivers'!BW55</f>
        <v>0</v>
      </c>
      <c r="BP617">
        <f>'Bookings and Drivers'!BX55</f>
        <v>0</v>
      </c>
      <c r="BQ617">
        <f>'Bookings and Drivers'!BY55</f>
        <v>0</v>
      </c>
      <c r="BR617">
        <f>'Bookings and Drivers'!BZ55</f>
        <v>0</v>
      </c>
      <c r="BS617">
        <f>'Bookings and Drivers'!CA55</f>
        <v>0</v>
      </c>
      <c r="BT617">
        <f>'Bookings and Drivers'!CB55</f>
        <v>0</v>
      </c>
      <c r="BU617">
        <f>'Bookings and Drivers'!CC55</f>
        <v>0</v>
      </c>
      <c r="BV617">
        <f>'Bookings and Drivers'!CD55</f>
        <v>0</v>
      </c>
      <c r="BW617">
        <f>'Bookings and Drivers'!CE55</f>
        <v>0</v>
      </c>
      <c r="BX617">
        <f>'Bookings and Drivers'!CF55</f>
        <v>0</v>
      </c>
      <c r="BY617">
        <f>'Bookings and Drivers'!CG55</f>
        <v>0</v>
      </c>
      <c r="BZ617">
        <f>'Bookings and Drivers'!CH55</f>
        <v>0</v>
      </c>
      <c r="CA617">
        <f>'Bookings and Drivers'!CI55</f>
        <v>0</v>
      </c>
      <c r="CB617">
        <f>'Bookings and Drivers'!CJ55</f>
        <v>0</v>
      </c>
      <c r="CC617">
        <f>'Bookings and Drivers'!CK55</f>
        <v>0</v>
      </c>
      <c r="CD617">
        <f>'Bookings and Drivers'!CL55</f>
        <v>0</v>
      </c>
      <c r="CE617">
        <f>'Bookings and Drivers'!CM55</f>
        <v>0</v>
      </c>
      <c r="CF617">
        <f>'Bookings and Drivers'!CN55</f>
        <v>0</v>
      </c>
      <c r="CG617">
        <f>'Bookings and Drivers'!CO55</f>
        <v>0</v>
      </c>
      <c r="CH617">
        <f>'Bookings and Drivers'!CP55</f>
        <v>0</v>
      </c>
      <c r="CI617">
        <f>'Bookings and Drivers'!CQ55</f>
        <v>0</v>
      </c>
      <c r="CJ617">
        <f>'Bookings and Drivers'!CR55</f>
        <v>0</v>
      </c>
      <c r="CK617">
        <f>'Bookings and Drivers'!CS55</f>
        <v>0</v>
      </c>
      <c r="CL617">
        <f>'Bookings and Drivers'!CT55</f>
        <v>0</v>
      </c>
      <c r="CM617">
        <f>'Bookings and Drivers'!CU55</f>
        <v>0</v>
      </c>
      <c r="CN617">
        <f>'Bookings and Drivers'!CV55</f>
        <v>0</v>
      </c>
      <c r="CO617">
        <f>'Bookings and Drivers'!CW55</f>
        <v>0</v>
      </c>
      <c r="CP617">
        <f>'Bookings and Drivers'!CX55</f>
        <v>0</v>
      </c>
      <c r="CQ617">
        <f>'Bookings and Drivers'!CY55</f>
        <v>0</v>
      </c>
      <c r="CR617">
        <f>'Bookings and Drivers'!CZ55</f>
        <v>0</v>
      </c>
      <c r="CS617">
        <f>'Bookings and Drivers'!DA55</f>
        <v>0</v>
      </c>
      <c r="CT617">
        <f>'Bookings and Drivers'!DB55</f>
        <v>0</v>
      </c>
      <c r="CU617">
        <f>'Bookings and Drivers'!DC55</f>
        <v>0</v>
      </c>
      <c r="CV617">
        <f>'Bookings and Drivers'!DD55</f>
        <v>0</v>
      </c>
      <c r="CW617">
        <f>'Bookings and Drivers'!DE55</f>
        <v>0</v>
      </c>
      <c r="CX617">
        <f>'Bookings and Drivers'!DF55</f>
        <v>0</v>
      </c>
    </row>
    <row r="618" spans="1:102">
      <c r="A618" t="str">
        <f>'Bookings and Drivers'!I56</f>
        <v>Domestic Merchant Bookings</v>
      </c>
      <c r="B618">
        <f>'Bookings and Drivers'!J56</f>
        <v>0</v>
      </c>
      <c r="C618">
        <f>'Bookings and Drivers'!K56</f>
        <v>0</v>
      </c>
      <c r="D618">
        <f>'Bookings and Drivers'!L56</f>
        <v>0</v>
      </c>
      <c r="E618">
        <f>'Bookings and Drivers'!M56</f>
        <v>0</v>
      </c>
      <c r="F618">
        <f>'Bookings and Drivers'!N56</f>
        <v>0</v>
      </c>
      <c r="G618">
        <f>'Bookings and Drivers'!O56</f>
        <v>0</v>
      </c>
      <c r="H618">
        <f>'Bookings and Drivers'!P56</f>
        <v>0</v>
      </c>
      <c r="I618">
        <f>'Bookings and Drivers'!Q56</f>
        <v>0</v>
      </c>
      <c r="J618">
        <f>'Bookings and Drivers'!R56</f>
        <v>0</v>
      </c>
      <c r="K618">
        <f>'Bookings and Drivers'!S56</f>
        <v>0</v>
      </c>
      <c r="L618">
        <f>'Bookings and Drivers'!T56</f>
        <v>0</v>
      </c>
      <c r="M618">
        <f>'Bookings and Drivers'!U56</f>
        <v>0</v>
      </c>
      <c r="N618">
        <f>'Bookings and Drivers'!V56</f>
        <v>0</v>
      </c>
      <c r="O618">
        <f>'Bookings and Drivers'!W56</f>
        <v>0</v>
      </c>
      <c r="P618">
        <f>'Bookings and Drivers'!X56</f>
        <v>0</v>
      </c>
      <c r="Q618">
        <f>'Bookings and Drivers'!Y56</f>
        <v>0</v>
      </c>
      <c r="R618">
        <f>'Bookings and Drivers'!Z56</f>
        <v>0</v>
      </c>
      <c r="S618">
        <f>'Bookings and Drivers'!AA56</f>
        <v>0</v>
      </c>
      <c r="T618">
        <f>'Bookings and Drivers'!AB56</f>
        <v>0</v>
      </c>
      <c r="U618">
        <f>'Bookings and Drivers'!AC56</f>
        <v>0</v>
      </c>
      <c r="V618">
        <f>'Bookings and Drivers'!AD56</f>
        <v>0</v>
      </c>
      <c r="W618">
        <f>'Bookings and Drivers'!AE56</f>
        <v>0</v>
      </c>
      <c r="X618">
        <f>'Bookings and Drivers'!AF56</f>
        <v>0</v>
      </c>
      <c r="Y618">
        <f>'Bookings and Drivers'!AG56</f>
        <v>266.315</v>
      </c>
      <c r="Z618">
        <f>'Bookings and Drivers'!AH56</f>
        <v>318.06599999999997</v>
      </c>
      <c r="AA618">
        <f>'Bookings and Drivers'!AI56</f>
        <v>302.762</v>
      </c>
      <c r="AB618">
        <f>'Bookings and Drivers'!AJ56</f>
        <v>251.34</v>
      </c>
      <c r="AC618">
        <f>'Bookings and Drivers'!AK56</f>
        <v>287.96300000000002</v>
      </c>
      <c r="AD618">
        <f>'Bookings and Drivers'!AL56</f>
        <v>315.65100000000001</v>
      </c>
      <c r="AE618">
        <f>'Bookings and Drivers'!AM56</f>
        <v>348.06400000000002</v>
      </c>
      <c r="AF618">
        <f>'Bookings and Drivers'!AN56</f>
        <v>279.233</v>
      </c>
      <c r="AG618">
        <f>'Bookings and Drivers'!AO56</f>
        <v>363.89299999999997</v>
      </c>
      <c r="AH618">
        <f>'Bookings and Drivers'!AP56</f>
        <v>428.99</v>
      </c>
      <c r="AI618">
        <f>'Bookings and Drivers'!AQ56</f>
        <v>414.334</v>
      </c>
      <c r="AJ618">
        <f>'Bookings and Drivers'!AR56</f>
        <v>335.589</v>
      </c>
      <c r="AK618">
        <f>'Bookings and Drivers'!AS56</f>
        <v>415.81799999999998</v>
      </c>
      <c r="AL618">
        <f>'Bookings and Drivers'!AT56</f>
        <v>497.68999999999994</v>
      </c>
      <c r="AM618">
        <f>'Bookings and Drivers'!AU56</f>
        <v>514.51499999999999</v>
      </c>
      <c r="AN618">
        <f>'Bookings and Drivers'!AV56</f>
        <v>415.65899999999999</v>
      </c>
      <c r="AO618">
        <f>'Bookings and Drivers'!AW56</f>
        <v>433.88679999999999</v>
      </c>
      <c r="AP618">
        <f>'Bookings and Drivers'!AX56</f>
        <v>529.76600000000008</v>
      </c>
      <c r="AQ618">
        <f>'Bookings and Drivers'!AY56</f>
        <v>546.13600000000008</v>
      </c>
      <c r="AR618">
        <f>'Bookings and Drivers'!AZ56</f>
        <v>437.67499999999995</v>
      </c>
      <c r="AS618">
        <f>'Bookings and Drivers'!BA56</f>
        <v>442.36495999999994</v>
      </c>
      <c r="AT618">
        <f>'Bookings and Drivers'!BB56</f>
        <v>563.45005000000003</v>
      </c>
      <c r="AU618">
        <f>'Bookings and Drivers'!BC56</f>
        <v>543.69200000000001</v>
      </c>
      <c r="AV618">
        <f>'Bookings and Drivers'!BD56</f>
        <v>426.84999999999991</v>
      </c>
      <c r="AW618">
        <f>'Bookings and Drivers'!BE56</f>
        <v>433.22043200000002</v>
      </c>
      <c r="AX618">
        <f>'Bookings and Drivers'!BF56</f>
        <v>472.36508500000002</v>
      </c>
      <c r="AY618">
        <f>'Bookings and Drivers'!BG56</f>
        <v>427.33696000000009</v>
      </c>
      <c r="AZ618">
        <f>'Bookings and Drivers'!BH56</f>
        <v>419.70999999999992</v>
      </c>
      <c r="BA618">
        <f>'Bookings and Drivers'!BI56</f>
        <v>430.38502208000011</v>
      </c>
      <c r="BB618">
        <f>'Bookings and Drivers'!BJ56</f>
        <v>469.54762750000009</v>
      </c>
      <c r="BC618">
        <f>'Bookings and Drivers'!BK56</f>
        <v>348.30049280000014</v>
      </c>
      <c r="BD618">
        <f>'Bookings and Drivers'!BL56</f>
        <v>406.5709999999998</v>
      </c>
      <c r="BE618">
        <f>'Bookings and Drivers'!BM56</f>
        <v>380.66648870400013</v>
      </c>
      <c r="BF618">
        <f>'Bookings and Drivers'!BN56</f>
        <v>390.21191575000006</v>
      </c>
      <c r="BG618">
        <f>'Bookings and Drivers'!BO56</f>
        <v>198.26270464000004</v>
      </c>
      <c r="BH618">
        <f>'Bookings and Drivers'!BP56</f>
        <v>205.46479999999974</v>
      </c>
      <c r="BI618">
        <f>'Bookings and Drivers'!BQ56</f>
        <v>206.99978644480024</v>
      </c>
      <c r="BJ618">
        <f>'Bookings and Drivers'!BR56</f>
        <v>213.85429890000017</v>
      </c>
      <c r="BK618">
        <f>'Bookings and Drivers'!BS56</f>
        <v>123.82220057600011</v>
      </c>
      <c r="BL618">
        <f>'Bookings and Drivers'!BT56</f>
        <v>28.99777999999958</v>
      </c>
      <c r="BM618">
        <f>'Bookings and Drivers'!BU56</f>
        <v>103.49989322240012</v>
      </c>
      <c r="BN618">
        <f>'Bookings and Drivers'!BV56</f>
        <v>106.92714945000009</v>
      </c>
      <c r="BO618">
        <f>'Bookings and Drivers'!BW56</f>
        <v>68.102210316800068</v>
      </c>
      <c r="BP618">
        <f>'Bookings and Drivers'!BX56</f>
        <v>20.298445999999704</v>
      </c>
      <c r="BQ618">
        <f>'Bookings and Drivers'!BY56</f>
        <v>72.449925255680071</v>
      </c>
      <c r="BR618">
        <f>'Bookings and Drivers'!BZ56</f>
        <v>74.849004615000055</v>
      </c>
      <c r="BS618">
        <f>'Bookings and Drivers'!CA56</f>
        <v>47.671547221760044</v>
      </c>
      <c r="BT618">
        <f>'Bookings and Drivers'!CB56</f>
        <v>14.208912199999791</v>
      </c>
      <c r="BU618">
        <f>'Bookings and Drivers'!CC56</f>
        <v>57.959940204544061</v>
      </c>
      <c r="BV618">
        <f>'Bookings and Drivers'!CD56</f>
        <v>59.879203692000047</v>
      </c>
      <c r="BW618">
        <f>'Bookings and Drivers'!CE56</f>
        <v>38.137237777408039</v>
      </c>
      <c r="BX618">
        <f>'Bookings and Drivers'!CF56</f>
        <v>11.367129759999834</v>
      </c>
      <c r="BY618">
        <f>'Bookings and Drivers'!CG56</f>
        <v>0</v>
      </c>
      <c r="BZ618">
        <f>'Bookings and Drivers'!CH56</f>
        <v>0</v>
      </c>
      <c r="CA618">
        <f>'Bookings and Drivers'!CI56</f>
        <v>0</v>
      </c>
      <c r="CB618">
        <f>'Bookings and Drivers'!CJ56</f>
        <v>0</v>
      </c>
      <c r="CC618">
        <f>'Bookings and Drivers'!CK56</f>
        <v>0</v>
      </c>
      <c r="CD618">
        <f>'Bookings and Drivers'!CL56</f>
        <v>0</v>
      </c>
      <c r="CE618">
        <f>'Bookings and Drivers'!CM56</f>
        <v>1138.4829999999999</v>
      </c>
      <c r="CF618">
        <f>'Bookings and Drivers'!CN56</f>
        <v>1244.3110000000001</v>
      </c>
      <c r="CG618">
        <f>'Bookings and Drivers'!CO56</f>
        <v>1542.8059999999998</v>
      </c>
      <c r="CH618">
        <f>'Bookings and Drivers'!CP56</f>
        <v>1843.6819999999998</v>
      </c>
      <c r="CI618">
        <f>'Bookings and Drivers'!CQ56</f>
        <v>1947.4638000000002</v>
      </c>
      <c r="CJ618">
        <f>'Bookings and Drivers'!CR56</f>
        <v>1976.3570099999999</v>
      </c>
      <c r="CK618">
        <f>'Bookings and Drivers'!CS56</f>
        <v>1752.6324770000001</v>
      </c>
      <c r="CL618">
        <f>'Bookings and Drivers'!CT56</f>
        <v>1654.80414238</v>
      </c>
      <c r="CM618">
        <f>'Bookings and Drivers'!CU56</f>
        <v>1174.605909094</v>
      </c>
      <c r="CN618">
        <f>'Bookings and Drivers'!CV56</f>
        <v>573.6740659208001</v>
      </c>
      <c r="CO618">
        <f>'Bookings and Drivers'!CW56</f>
        <v>298.82769898919997</v>
      </c>
      <c r="CP618">
        <f>'Bookings and Drivers'!CX56</f>
        <v>209.17938929243996</v>
      </c>
      <c r="CQ618">
        <f>'Bookings and Drivers'!CY56</f>
        <v>167.34351143395199</v>
      </c>
      <c r="CR618">
        <f>'Bookings and Drivers'!CZ56</f>
        <v>133.87480914716159</v>
      </c>
      <c r="CS618">
        <f>'Bookings and Drivers'!DA56</f>
        <v>107.09984731772927</v>
      </c>
      <c r="CT618">
        <f>'Bookings and Drivers'!DB56</f>
        <v>96.389862585956351</v>
      </c>
      <c r="CU618">
        <f>'Bookings and Drivers'!DC56</f>
        <v>86.750876327360714</v>
      </c>
      <c r="CV618">
        <f>'Bookings and Drivers'!DD56</f>
        <v>78.075788694624649</v>
      </c>
      <c r="CW618">
        <f>'Bookings and Drivers'!DE56</f>
        <v>70.268209825162188</v>
      </c>
      <c r="CX618">
        <f>'Bookings and Drivers'!DF56</f>
        <v>63.241388842645968</v>
      </c>
    </row>
    <row r="619" spans="1:102">
      <c r="A619" t="str">
        <f>'Bookings and Drivers'!I57</f>
        <v>% change Y/Y</v>
      </c>
      <c r="B619">
        <f>'Bookings and Drivers'!J57</f>
        <v>0</v>
      </c>
      <c r="C619">
        <f>'Bookings and Drivers'!K57</f>
        <v>0</v>
      </c>
      <c r="D619">
        <f>'Bookings and Drivers'!L57</f>
        <v>0</v>
      </c>
      <c r="E619">
        <f>'Bookings and Drivers'!M57</f>
        <v>0</v>
      </c>
      <c r="F619">
        <f>'Bookings and Drivers'!N57</f>
        <v>0</v>
      </c>
      <c r="G619">
        <f>'Bookings and Drivers'!O57</f>
        <v>0</v>
      </c>
      <c r="H619">
        <f>'Bookings and Drivers'!P57</f>
        <v>0</v>
      </c>
      <c r="I619">
        <f>'Bookings and Drivers'!Q57</f>
        <v>0</v>
      </c>
      <c r="J619">
        <f>'Bookings and Drivers'!R57</f>
        <v>0</v>
      </c>
      <c r="K619">
        <f>'Bookings and Drivers'!S57</f>
        <v>0</v>
      </c>
      <c r="L619">
        <f>'Bookings and Drivers'!T57</f>
        <v>0</v>
      </c>
      <c r="M619">
        <f>'Bookings and Drivers'!U57</f>
        <v>0</v>
      </c>
      <c r="N619">
        <f>'Bookings and Drivers'!V57</f>
        <v>0</v>
      </c>
      <c r="O619">
        <f>'Bookings and Drivers'!W57</f>
        <v>0</v>
      </c>
      <c r="P619">
        <f>'Bookings and Drivers'!X57</f>
        <v>0</v>
      </c>
      <c r="Q619">
        <f>'Bookings and Drivers'!Y57</f>
        <v>0</v>
      </c>
      <c r="R619">
        <f>'Bookings and Drivers'!Z57</f>
        <v>0</v>
      </c>
      <c r="S619">
        <f>'Bookings and Drivers'!AA57</f>
        <v>0</v>
      </c>
      <c r="T619">
        <f>'Bookings and Drivers'!AB57</f>
        <v>0</v>
      </c>
      <c r="U619">
        <f>'Bookings and Drivers'!AC57</f>
        <v>0</v>
      </c>
      <c r="V619">
        <f>'Bookings and Drivers'!AD57</f>
        <v>0</v>
      </c>
      <c r="W619">
        <f>'Bookings and Drivers'!AE57</f>
        <v>0</v>
      </c>
      <c r="X619">
        <f>'Bookings and Drivers'!AF57</f>
        <v>0</v>
      </c>
      <c r="Y619">
        <f>'Bookings and Drivers'!AG57</f>
        <v>0</v>
      </c>
      <c r="Z619">
        <f>'Bookings and Drivers'!AH57</f>
        <v>0</v>
      </c>
      <c r="AA619">
        <f>'Bookings and Drivers'!AI57</f>
        <v>0</v>
      </c>
      <c r="AB619">
        <f>'Bookings and Drivers'!AJ57</f>
        <v>0</v>
      </c>
      <c r="AC619">
        <f>'Bookings and Drivers'!AK57</f>
        <v>8.128719749169222E-2</v>
      </c>
      <c r="AD619">
        <f>'Bookings and Drivers'!AL57</f>
        <v>-7.5927637660107017E-3</v>
      </c>
      <c r="AE619">
        <f>'Bookings and Drivers'!AM57</f>
        <v>0.14962908158883881</v>
      </c>
      <c r="AF619">
        <f>'Bookings and Drivers'!AN57</f>
        <v>0.11097716240948508</v>
      </c>
      <c r="AG619">
        <f>'Bookings and Drivers'!AO57</f>
        <v>0.26367970885148417</v>
      </c>
      <c r="AH619">
        <f>'Bookings and Drivers'!AP57</f>
        <v>0.35906428302143811</v>
      </c>
      <c r="AI619">
        <f>'Bookings and Drivers'!AQ57</f>
        <v>0.19039601912291992</v>
      </c>
      <c r="AJ619">
        <f>'Bookings and Drivers'!AR57</f>
        <v>0.20182428294649979</v>
      </c>
      <c r="AK619">
        <f>'Bookings and Drivers'!AS57</f>
        <v>0.14269304438392605</v>
      </c>
      <c r="AL619">
        <f>'Bookings and Drivers'!AT57</f>
        <v>0.16014359309074777</v>
      </c>
      <c r="AM619">
        <f>'Bookings and Drivers'!AU57</f>
        <v>0.24178802608523564</v>
      </c>
      <c r="AN619">
        <f>'Bookings and Drivers'!AV57</f>
        <v>0.23859542476064477</v>
      </c>
      <c r="AO619">
        <f>'Bookings and Drivers'!AW57</f>
        <v>4.3453626346141805E-2</v>
      </c>
      <c r="AP619">
        <f>'Bookings and Drivers'!AX57</f>
        <v>6.4449757881412495E-2</v>
      </c>
      <c r="AQ619">
        <f>'Bookings and Drivers'!AY57</f>
        <v>6.1457877807255645E-2</v>
      </c>
      <c r="AR619">
        <f>'Bookings and Drivers'!AZ57</f>
        <v>5.296649416949939E-2</v>
      </c>
      <c r="AS619">
        <f>'Bookings and Drivers'!BA57</f>
        <v>1.9540027491041334E-2</v>
      </c>
      <c r="AT619">
        <f>'Bookings and Drivers'!BB57</f>
        <v>6.3582883763774856E-2</v>
      </c>
      <c r="AU619">
        <f>'Bookings and Drivers'!BC57</f>
        <v>-4.4750758052940487E-3</v>
      </c>
      <c r="AV619">
        <f>'Bookings and Drivers'!BD57</f>
        <v>-2.4732963957274312E-2</v>
      </c>
      <c r="AW619">
        <f>'Bookings and Drivers'!BE57</f>
        <v>-2.0671908552612139E-2</v>
      </c>
      <c r="AX619">
        <f>'Bookings and Drivers'!BF57</f>
        <v>-0.1616557936235874</v>
      </c>
      <c r="AY619">
        <f>'Bookings and Drivers'!BG57</f>
        <v>-0.21400910809796703</v>
      </c>
      <c r="AZ619">
        <f>'Bookings and Drivers'!BH57</f>
        <v>-1.6727187536605292E-2</v>
      </c>
      <c r="BA619">
        <f>'Bookings and Drivers'!BI57</f>
        <v>-6.5449588951980164E-3</v>
      </c>
      <c r="BB619">
        <f>'Bookings and Drivers'!BJ57</f>
        <v>-5.9645761074824666E-3</v>
      </c>
      <c r="BC619">
        <f>'Bookings and Drivers'!BK57</f>
        <v>-0.18495116172492998</v>
      </c>
      <c r="BD619">
        <f>'Bookings and Drivers'!BL57</f>
        <v>-3.1304948655023979E-2</v>
      </c>
      <c r="BE619">
        <f>'Bookings and Drivers'!BM57</f>
        <v>-0.11552105864585194</v>
      </c>
      <c r="BF619">
        <f>'Bookings and Drivers'!BN57</f>
        <v>-0.16896201173969305</v>
      </c>
      <c r="BG619">
        <f>'Bookings and Drivers'!BO57</f>
        <v>-0.43077110501291849</v>
      </c>
      <c r="BH619">
        <f>'Bookings and Drivers'!BP57</f>
        <v>-0.4946398046097733</v>
      </c>
      <c r="BI619">
        <f>'Bookings and Drivers'!BQ57</f>
        <v>-0.45621746965554466</v>
      </c>
      <c r="BJ619">
        <f>'Bookings and Drivers'!BR57</f>
        <v>-0.45195343794418674</v>
      </c>
      <c r="BK619">
        <f>'Bookings and Drivers'!BS57</f>
        <v>-0.37546397946687426</v>
      </c>
      <c r="BL619">
        <f>'Bookings and Drivers'!BT57</f>
        <v>-0.85886740697190167</v>
      </c>
      <c r="BM619">
        <f>'Bookings and Drivers'!BU57</f>
        <v>-0.5</v>
      </c>
      <c r="BN619">
        <f>'Bookings and Drivers'!BV57</f>
        <v>-0.5</v>
      </c>
      <c r="BO619">
        <f>'Bookings and Drivers'!BW57</f>
        <v>-0.45</v>
      </c>
      <c r="BP619">
        <f>'Bookings and Drivers'!BX57</f>
        <v>-0.3</v>
      </c>
      <c r="BQ619">
        <f>'Bookings and Drivers'!BY57</f>
        <v>-0.3</v>
      </c>
      <c r="BR619">
        <f>'Bookings and Drivers'!BZ57</f>
        <v>-0.3</v>
      </c>
      <c r="BS619">
        <f>'Bookings and Drivers'!CA57</f>
        <v>-0.3</v>
      </c>
      <c r="BT619">
        <f>'Bookings and Drivers'!CB57</f>
        <v>-0.3</v>
      </c>
      <c r="BU619">
        <f>'Bookings and Drivers'!CC57</f>
        <v>-0.2</v>
      </c>
      <c r="BV619">
        <f>'Bookings and Drivers'!CD57</f>
        <v>-0.2</v>
      </c>
      <c r="BW619">
        <f>'Bookings and Drivers'!CE57</f>
        <v>-0.2</v>
      </c>
      <c r="BX619">
        <f>'Bookings and Drivers'!CF57</f>
        <v>-0.2</v>
      </c>
      <c r="BY619">
        <f>'Bookings and Drivers'!CG57</f>
        <v>0</v>
      </c>
      <c r="BZ619">
        <f>'Bookings and Drivers'!CH57</f>
        <v>0</v>
      </c>
      <c r="CA619">
        <f>'Bookings and Drivers'!CI57</f>
        <v>0</v>
      </c>
      <c r="CB619">
        <f>'Bookings and Drivers'!CJ57</f>
        <v>0</v>
      </c>
      <c r="CC619">
        <f>'Bookings and Drivers'!CK57</f>
        <v>0</v>
      </c>
      <c r="CD619">
        <f>'Bookings and Drivers'!CL57</f>
        <v>0</v>
      </c>
      <c r="CE619">
        <f>'Bookings and Drivers'!CM57</f>
        <v>0</v>
      </c>
      <c r="CF619">
        <f>'Bookings and Drivers'!CN57</f>
        <v>9.2955274694483947E-2</v>
      </c>
      <c r="CG619">
        <f>'Bookings and Drivers'!CO57</f>
        <v>0.23988777725182819</v>
      </c>
      <c r="CH619">
        <f>'Bookings and Drivers'!CP57</f>
        <v>0.19501868673054168</v>
      </c>
      <c r="CI619">
        <f>'Bookings and Drivers'!CQ57</f>
        <v>5.6290509968639046E-2</v>
      </c>
      <c r="CJ619">
        <f>'Bookings and Drivers'!CR57</f>
        <v>1.4836327124539972E-2</v>
      </c>
      <c r="CK619">
        <f>'Bookings and Drivers'!CS57</f>
        <v>-0.11320046523375848</v>
      </c>
      <c r="CL619">
        <f>'Bookings and Drivers'!CT57</f>
        <v>-5.5817940100855501E-2</v>
      </c>
      <c r="CM619">
        <f>'Bookings and Drivers'!CU57</f>
        <v>-0.29018433117732068</v>
      </c>
      <c r="CN619">
        <f>'Bookings and Drivers'!CV57</f>
        <v>-0.51160294573753018</v>
      </c>
      <c r="CO619">
        <f>'Bookings and Drivers'!CW57</f>
        <v>-0.47909846942522361</v>
      </c>
      <c r="CP619">
        <f>'Bookings and Drivers'!CX57</f>
        <v>-0.30000000000000004</v>
      </c>
      <c r="CQ619">
        <f>'Bookings and Drivers'!CY57</f>
        <v>-0.19999999999999996</v>
      </c>
      <c r="CR619">
        <f>'Bookings and Drivers'!CZ57</f>
        <v>-0.19999999999999996</v>
      </c>
      <c r="CS619">
        <f>'Bookings and Drivers'!DA57</f>
        <v>-0.19999999999999996</v>
      </c>
      <c r="CT619">
        <f>'Bookings and Drivers'!DB57</f>
        <v>-0.1</v>
      </c>
      <c r="CU619">
        <f>'Bookings and Drivers'!DC57</f>
        <v>-0.1</v>
      </c>
      <c r="CV619">
        <f>'Bookings and Drivers'!DD57</f>
        <v>-0.1</v>
      </c>
      <c r="CW619">
        <f>'Bookings and Drivers'!DE57</f>
        <v>-0.1</v>
      </c>
      <c r="CX619">
        <f>'Bookings and Drivers'!DF57</f>
        <v>-0.1</v>
      </c>
    </row>
    <row r="621" spans="1:102">
      <c r="A621" t="str">
        <f>'Bookings and Drivers'!I60</f>
        <v>% of Domestic</v>
      </c>
      <c r="B621">
        <f>'Bookings and Drivers'!J60</f>
        <v>0</v>
      </c>
      <c r="C621">
        <f>'Bookings and Drivers'!K60</f>
        <v>0</v>
      </c>
      <c r="D621">
        <f>'Bookings and Drivers'!L60</f>
        <v>0</v>
      </c>
      <c r="E621">
        <f>'Bookings and Drivers'!M60</f>
        <v>0</v>
      </c>
      <c r="F621">
        <f>'Bookings and Drivers'!N60</f>
        <v>0</v>
      </c>
      <c r="G621">
        <f>'Bookings and Drivers'!O60</f>
        <v>0</v>
      </c>
      <c r="H621">
        <f>'Bookings and Drivers'!P60</f>
        <v>0</v>
      </c>
      <c r="I621">
        <f>'Bookings and Drivers'!Q60</f>
        <v>0</v>
      </c>
      <c r="J621">
        <f>'Bookings and Drivers'!R60</f>
        <v>0</v>
      </c>
      <c r="K621">
        <f>'Bookings and Drivers'!S60</f>
        <v>0</v>
      </c>
      <c r="L621">
        <f>'Bookings and Drivers'!T60</f>
        <v>0</v>
      </c>
      <c r="M621">
        <f>'Bookings and Drivers'!U60</f>
        <v>0</v>
      </c>
      <c r="N621">
        <f>'Bookings and Drivers'!V60</f>
        <v>0</v>
      </c>
      <c r="O621">
        <f>'Bookings and Drivers'!W60</f>
        <v>0</v>
      </c>
      <c r="P621">
        <f>'Bookings and Drivers'!X60</f>
        <v>0</v>
      </c>
      <c r="Q621">
        <f>'Bookings and Drivers'!Y60</f>
        <v>0</v>
      </c>
      <c r="R621">
        <f>'Bookings and Drivers'!Z60</f>
        <v>0</v>
      </c>
      <c r="S621">
        <f>'Bookings and Drivers'!AA60</f>
        <v>0</v>
      </c>
      <c r="T621">
        <f>'Bookings and Drivers'!AB60</f>
        <v>0</v>
      </c>
      <c r="U621">
        <f>'Bookings and Drivers'!AC60</f>
        <v>0</v>
      </c>
      <c r="V621">
        <f>'Bookings and Drivers'!AD60</f>
        <v>0</v>
      </c>
      <c r="W621">
        <f>'Bookings and Drivers'!AE60</f>
        <v>0</v>
      </c>
      <c r="X621">
        <f>'Bookings and Drivers'!AF60</f>
        <v>0</v>
      </c>
      <c r="Y621">
        <f>'Bookings and Drivers'!AG60</f>
        <v>0.56183769438004094</v>
      </c>
      <c r="Z621">
        <f>'Bookings and Drivers'!AH60</f>
        <v>0.55727043207529658</v>
      </c>
      <c r="AA621">
        <f>'Bookings and Drivers'!AI60</f>
        <v>0.599823279551146</v>
      </c>
      <c r="AB621">
        <f>'Bookings and Drivers'!AJ60</f>
        <v>0.59379976091137188</v>
      </c>
      <c r="AC621">
        <f>'Bookings and Drivers'!AK60</f>
        <v>0.60141140990618447</v>
      </c>
      <c r="AD621">
        <f>'Bookings and Drivers'!AL60</f>
        <v>0.57622944684704092</v>
      </c>
      <c r="AE621">
        <f>'Bookings and Drivers'!AM60</f>
        <v>0.57798258068265784</v>
      </c>
      <c r="AF621">
        <f>'Bookings and Drivers'!AN60</f>
        <v>0.53129453489633194</v>
      </c>
      <c r="AG621">
        <f>'Bookings and Drivers'!AO60</f>
        <v>0.50472836519790065</v>
      </c>
      <c r="AH621">
        <f>'Bookings and Drivers'!AP60</f>
        <v>0.49180083550770159</v>
      </c>
      <c r="AI621">
        <f>'Bookings and Drivers'!AQ60</f>
        <v>0.51819149375232143</v>
      </c>
      <c r="AJ621">
        <f>'Bookings and Drivers'!AR60</f>
        <v>0.48712120222434163</v>
      </c>
      <c r="AK621">
        <f>'Bookings and Drivers'!AS60</f>
        <v>0.48853266788618316</v>
      </c>
      <c r="AL621">
        <f>'Bookings and Drivers'!AT60</f>
        <v>0.51602755520164567</v>
      </c>
      <c r="AM621">
        <f>'Bookings and Drivers'!AU60</f>
        <v>0.5151770024481459</v>
      </c>
      <c r="AN621">
        <f>'Bookings and Drivers'!AV60</f>
        <v>0.50020156850380804</v>
      </c>
      <c r="AO621">
        <f>'Bookings and Drivers'!AW60</f>
        <v>0.43855743670086411</v>
      </c>
      <c r="AP621">
        <f>'Bookings and Drivers'!AX60</f>
        <v>0.45911746378953072</v>
      </c>
      <c r="AQ621">
        <f>'Bookings and Drivers'!AY60</f>
        <v>0.48718644067796618</v>
      </c>
      <c r="AR621">
        <f>'Bookings and Drivers'!AZ60</f>
        <v>0.48522727272727267</v>
      </c>
      <c r="AS621">
        <f>'Bookings and Drivers'!BA60</f>
        <v>0.39182015943312659</v>
      </c>
      <c r="AT621">
        <f>'Bookings and Drivers'!BB60</f>
        <v>0.43077220948012235</v>
      </c>
      <c r="AU621">
        <f>'Bookings and Drivers'!BC60</f>
        <v>0.42877917981072555</v>
      </c>
      <c r="AV621">
        <f>'Bookings and Drivers'!BD60</f>
        <v>0.40886015325670488</v>
      </c>
      <c r="AW621">
        <f>'Bookings and Drivers'!BE60</f>
        <v>0.34382573968253971</v>
      </c>
      <c r="AX621">
        <f>'Bookings and Drivers'!BF60</f>
        <v>0.34303927741466961</v>
      </c>
      <c r="AY621">
        <f>'Bookings and Drivers'!BG60</f>
        <v>0.31444956585724804</v>
      </c>
      <c r="AZ621">
        <f>'Bookings and Drivers'!BH60</f>
        <v>0.38505504587155959</v>
      </c>
      <c r="BA621">
        <f>'Bookings and Drivers'!BI60</f>
        <v>0.31414965115328475</v>
      </c>
      <c r="BB621">
        <f>'Bookings and Drivers'!BJ60</f>
        <v>0.30529754713914181</v>
      </c>
      <c r="BC621">
        <f>'Bookings and Drivers'!BK60</f>
        <v>0.21960939016393452</v>
      </c>
      <c r="BD621">
        <f>'Bookings and Drivers'!BL60</f>
        <v>0.2948303118201594</v>
      </c>
      <c r="BE621">
        <f>'Bookings and Drivers'!BM60</f>
        <v>0.23253908900671968</v>
      </c>
      <c r="BF621">
        <f>'Bookings and Drivers'!BN60</f>
        <v>0.21024348908943968</v>
      </c>
      <c r="BG621">
        <f>'Bookings and Drivers'!BO60</f>
        <v>0.11374796594377512</v>
      </c>
      <c r="BH621">
        <f>'Bookings and Drivers'!BP60</f>
        <v>0.14408471248246826</v>
      </c>
      <c r="BI621">
        <f>'Bookings and Drivers'!BQ60</f>
        <v>0.1238037000267944</v>
      </c>
      <c r="BJ621">
        <f>'Bookings and Drivers'!BR60</f>
        <v>0.11448302938972173</v>
      </c>
      <c r="BK621">
        <f>'Bookings and Drivers'!BS60</f>
        <v>7.2836588574117719E-2</v>
      </c>
      <c r="BL621">
        <f>'Bookings and Drivers'!BT60</f>
        <v>2.2018056188306438E-2</v>
      </c>
      <c r="BM621">
        <f>'Bookings and Drivers'!BU60</f>
        <v>6.3082760902658436E-2</v>
      </c>
      <c r="BN621">
        <f>'Bookings and Drivers'!BV60</f>
        <v>5.6441290005456772E-2</v>
      </c>
      <c r="BO621">
        <f>'Bookings and Drivers'!BW60</f>
        <v>3.6210968490479639E-2</v>
      </c>
      <c r="BP621">
        <f>'Bookings and Drivers'!BX60</f>
        <v>1.3875854874801835E-2</v>
      </c>
      <c r="BQ621">
        <f>'Bookings and Drivers'!BY60</f>
        <v>4.2958487262001875E-2</v>
      </c>
      <c r="BR621">
        <f>'Bookings and Drivers'!BZ60</f>
        <v>3.8349015981109069E-2</v>
      </c>
      <c r="BS621">
        <f>'Bookings and Drivers'!CA60</f>
        <v>2.4435591133851135E-2</v>
      </c>
      <c r="BT621">
        <f>'Bookings and Drivers'!CB60</f>
        <v>9.2935552578776431E-3</v>
      </c>
      <c r="BU621">
        <f>'Bookings and Drivers'!CC60</f>
        <v>3.3068507691631034E-2</v>
      </c>
      <c r="BV621">
        <f>'Bookings and Drivers'!CD60</f>
        <v>2.9487540308111522E-2</v>
      </c>
      <c r="BW621">
        <f>'Bookings and Drivers'!CE60</f>
        <v>1.8726544239693992E-2</v>
      </c>
      <c r="BX621">
        <f>'Bookings and Drivers'!CF60</f>
        <v>7.0965068103305169E-3</v>
      </c>
      <c r="BY621">
        <f>'Bookings and Drivers'!CG60</f>
        <v>0</v>
      </c>
      <c r="BZ621">
        <f>'Bookings and Drivers'!CH60</f>
        <v>0</v>
      </c>
      <c r="CA621">
        <f>'Bookings and Drivers'!CI60</f>
        <v>0</v>
      </c>
      <c r="CB621">
        <f>'Bookings and Drivers'!CJ60</f>
        <v>0</v>
      </c>
      <c r="CC621">
        <f>'Bookings and Drivers'!CK60</f>
        <v>0</v>
      </c>
      <c r="CD621">
        <f>'Bookings and Drivers'!CL60</f>
        <v>0</v>
      </c>
      <c r="CE621">
        <f>'Bookings and Drivers'!CM60</f>
        <v>0.57709284819975781</v>
      </c>
      <c r="CF621">
        <f>'Bookings and Drivers'!CN60</f>
        <v>0.57757400638236156</v>
      </c>
      <c r="CG621">
        <f>'Bookings and Drivers'!CO60</f>
        <v>0.50062626713635616</v>
      </c>
      <c r="CH621">
        <f>'Bookings and Drivers'!CP60</f>
        <v>0.50576698500186124</v>
      </c>
      <c r="CI621">
        <f>'Bookings and Drivers'!CQ60</f>
        <v>0.46744041194087027</v>
      </c>
      <c r="CJ621">
        <f>'Bookings and Drivers'!CR60</f>
        <v>0.41616277321541378</v>
      </c>
      <c r="CK621">
        <f>'Bookings and Drivers'!CS60</f>
        <v>0.34459938596146283</v>
      </c>
      <c r="CL621">
        <f>'Bookings and Drivers'!CT60</f>
        <v>0.2817647100936489</v>
      </c>
      <c r="CM621">
        <f>'Bookings and Drivers'!CU60</f>
        <v>0.17631430637856499</v>
      </c>
      <c r="CN621">
        <f>'Bookings and Drivers'!CV60</f>
        <v>8.7490325746652442E-2</v>
      </c>
      <c r="CO621">
        <f>'Bookings and Drivers'!CW60</f>
        <v>4.3442137284559243E-2</v>
      </c>
      <c r="CP621">
        <f>'Bookings and Drivers'!CX60</f>
        <v>2.9386969105120075E-2</v>
      </c>
      <c r="CQ621">
        <f>'Bookings and Drivers'!CY60</f>
        <v>2.2547836598545951E-2</v>
      </c>
      <c r="CR621">
        <f>'Bookings and Drivers'!CZ60</f>
        <v>1.7435211143170121E-2</v>
      </c>
      <c r="CS621">
        <f>'Bookings and Drivers'!DA60</f>
        <v>1.3594840353690954E-2</v>
      </c>
      <c r="CT621">
        <f>'Bookings and Drivers'!DB60</f>
        <v>1.2014663539459344E-2</v>
      </c>
      <c r="CU621">
        <f>'Bookings and Drivers'!DC60</f>
        <v>1.0616179573128316E-2</v>
      </c>
      <c r="CV621">
        <f>'Bookings and Drivers'!DD60</f>
        <v>9.3789312019183484E-3</v>
      </c>
      <c r="CW621">
        <f>'Bookings and Drivers'!DE60</f>
        <v>8.2846688651417016E-3</v>
      </c>
      <c r="CX621">
        <f>'Bookings and Drivers'!DF60</f>
        <v>7.3171337080442204E-3</v>
      </c>
    </row>
    <row r="622" spans="1:102">
      <c r="A622" t="str">
        <f>'Bookings and Drivers'!I61</f>
        <v>% change Y/Y (in bp)</v>
      </c>
      <c r="B622">
        <f>'Bookings and Drivers'!J61</f>
        <v>0</v>
      </c>
      <c r="C622">
        <f>'Bookings and Drivers'!K61</f>
        <v>0</v>
      </c>
      <c r="D622">
        <f>'Bookings and Drivers'!L61</f>
        <v>0</v>
      </c>
      <c r="E622">
        <f>'Bookings and Drivers'!M61</f>
        <v>0</v>
      </c>
      <c r="F622">
        <f>'Bookings and Drivers'!N61</f>
        <v>0</v>
      </c>
      <c r="G622">
        <f>'Bookings and Drivers'!O61</f>
        <v>0</v>
      </c>
      <c r="H622">
        <f>'Bookings and Drivers'!P61</f>
        <v>0</v>
      </c>
      <c r="I622">
        <f>'Bookings and Drivers'!Q61</f>
        <v>0</v>
      </c>
      <c r="J622">
        <f>'Bookings and Drivers'!R61</f>
        <v>0</v>
      </c>
      <c r="K622">
        <f>'Bookings and Drivers'!S61</f>
        <v>0</v>
      </c>
      <c r="L622">
        <f>'Bookings and Drivers'!T61</f>
        <v>0</v>
      </c>
      <c r="M622">
        <f>'Bookings and Drivers'!U61</f>
        <v>0</v>
      </c>
      <c r="N622">
        <f>'Bookings and Drivers'!V61</f>
        <v>0</v>
      </c>
      <c r="O622">
        <f>'Bookings and Drivers'!W61</f>
        <v>0</v>
      </c>
      <c r="P622">
        <f>'Bookings and Drivers'!X61</f>
        <v>0</v>
      </c>
      <c r="Q622">
        <f>'Bookings and Drivers'!Y61</f>
        <v>0</v>
      </c>
      <c r="R622">
        <f>'Bookings and Drivers'!Z61</f>
        <v>0</v>
      </c>
      <c r="S622">
        <f>'Bookings and Drivers'!AA61</f>
        <v>0</v>
      </c>
      <c r="T622">
        <f>'Bookings and Drivers'!AB61</f>
        <v>0</v>
      </c>
      <c r="U622">
        <f>'Bookings and Drivers'!AC61</f>
        <v>0</v>
      </c>
      <c r="V622">
        <f>'Bookings and Drivers'!AD61</f>
        <v>0</v>
      </c>
      <c r="W622">
        <f>'Bookings and Drivers'!AE61</f>
        <v>0</v>
      </c>
      <c r="X622">
        <f>'Bookings and Drivers'!AF61</f>
        <v>0</v>
      </c>
      <c r="Y622">
        <f>'Bookings and Drivers'!AG61</f>
        <v>0</v>
      </c>
      <c r="Z622">
        <f>'Bookings and Drivers'!AH61</f>
        <v>0</v>
      </c>
      <c r="AA622">
        <f>'Bookings and Drivers'!AI61</f>
        <v>0</v>
      </c>
      <c r="AB622">
        <f>'Bookings and Drivers'!AJ61</f>
        <v>0</v>
      </c>
      <c r="AC622">
        <f>'Bookings and Drivers'!AK61</f>
        <v>395.73715526143525</v>
      </c>
      <c r="AD622">
        <f>'Bookings and Drivers'!AL61</f>
        <v>189.5901477174433</v>
      </c>
      <c r="AE622">
        <f>'Bookings and Drivers'!AM61</f>
        <v>-218.40698868488161</v>
      </c>
      <c r="AF622">
        <f>'Bookings and Drivers'!AN61</f>
        <v>-625.05226015039943</v>
      </c>
      <c r="AG622">
        <f>'Bookings and Drivers'!AO61</f>
        <v>-966.83044708283819</v>
      </c>
      <c r="AH622">
        <f>'Bookings and Drivers'!AP61</f>
        <v>-844.28611339339318</v>
      </c>
      <c r="AI622">
        <f>'Bookings and Drivers'!AQ61</f>
        <v>-597.91086930336417</v>
      </c>
      <c r="AJ622">
        <f>'Bookings and Drivers'!AR61</f>
        <v>-441.73332671990306</v>
      </c>
      <c r="AK622">
        <f>'Bookings and Drivers'!AS61</f>
        <v>-161.95697311717495</v>
      </c>
      <c r="AL622">
        <f>'Bookings and Drivers'!AT61</f>
        <v>242.26719693944077</v>
      </c>
      <c r="AM622">
        <f>'Bookings and Drivers'!AU61</f>
        <v>-30.14491304175526</v>
      </c>
      <c r="AN622">
        <f>'Bookings and Drivers'!AV61</f>
        <v>130.80366279466404</v>
      </c>
      <c r="AO622">
        <f>'Bookings and Drivers'!AW61</f>
        <v>-499.75231185319046</v>
      </c>
      <c r="AP622">
        <f>'Bookings and Drivers'!AX61</f>
        <v>-569.10091412114946</v>
      </c>
      <c r="AQ622">
        <f>'Bookings and Drivers'!AY61</f>
        <v>-279.90561770179721</v>
      </c>
      <c r="AR622">
        <f>'Bookings and Drivers'!AZ61</f>
        <v>-149.74295776535362</v>
      </c>
      <c r="AS622">
        <f>'Bookings and Drivers'!BA61</f>
        <v>-467.37277267737522</v>
      </c>
      <c r="AT622">
        <f>'Bookings and Drivers'!BB61</f>
        <v>-283.45254309408375</v>
      </c>
      <c r="AU622">
        <f>'Bookings and Drivers'!BC61</f>
        <v>-584.07260867240632</v>
      </c>
      <c r="AV622">
        <f>'Bookings and Drivers'!BD61</f>
        <v>-763.67119470567786</v>
      </c>
      <c r="AW622">
        <f>'Bookings and Drivers'!BE61</f>
        <v>-479.94419750586883</v>
      </c>
      <c r="AX622">
        <f>'Bookings and Drivers'!BF61</f>
        <v>-877.32932065452735</v>
      </c>
      <c r="AY622">
        <f>'Bookings and Drivers'!BG61</f>
        <v>-1143.2961395347752</v>
      </c>
      <c r="AZ622">
        <f>'Bookings and Drivers'!BH61</f>
        <v>-238.05107385145297</v>
      </c>
      <c r="BA622">
        <f>'Bookings and Drivers'!BI61</f>
        <v>-296.76088529254963</v>
      </c>
      <c r="BB622">
        <f>'Bookings and Drivers'!BJ61</f>
        <v>-377.41730275527794</v>
      </c>
      <c r="BC622">
        <f>'Bookings and Drivers'!BK61</f>
        <v>-948.40175693313518</v>
      </c>
      <c r="BD622">
        <f>'Bookings and Drivers'!BL61</f>
        <v>-902.24734051400196</v>
      </c>
      <c r="BE622">
        <f>'Bookings and Drivers'!BM61</f>
        <v>-816.10562146565064</v>
      </c>
      <c r="BF622">
        <f>'Bookings and Drivers'!BN61</f>
        <v>-950.54058049702132</v>
      </c>
      <c r="BG622">
        <f>'Bookings and Drivers'!BO61</f>
        <v>-1058.6142422015939</v>
      </c>
      <c r="BH622">
        <f>'Bookings and Drivers'!BP61</f>
        <v>-1507.4559933769112</v>
      </c>
      <c r="BI622">
        <f>'Bookings and Drivers'!BQ61</f>
        <v>-1087.3538897992528</v>
      </c>
      <c r="BJ622">
        <f>'Bookings and Drivers'!BR61</f>
        <v>-957.60459699717956</v>
      </c>
      <c r="BK622">
        <f>'Bookings and Drivers'!BS61</f>
        <v>-409.11377369657401</v>
      </c>
      <c r="BL622">
        <f>'Bookings and Drivers'!BT61</f>
        <v>-1220.6665629416184</v>
      </c>
      <c r="BM622">
        <f>'Bookings and Drivers'!BU61</f>
        <v>-607.20939124135964</v>
      </c>
      <c r="BN622">
        <f>'Bookings and Drivers'!BV61</f>
        <v>-580.41739384264952</v>
      </c>
      <c r="BO622">
        <f>'Bookings and Drivers'!BW61</f>
        <v>-366.2562008363808</v>
      </c>
      <c r="BP622">
        <f>'Bookings and Drivers'!BX61</f>
        <v>-81.422013135046029</v>
      </c>
      <c r="BQ622">
        <f>'Bookings and Drivers'!BY61</f>
        <v>-201.2427364065656</v>
      </c>
      <c r="BR622">
        <f>'Bookings and Drivers'!BZ61</f>
        <v>-180.92274024347702</v>
      </c>
      <c r="BS622">
        <f>'Bookings and Drivers'!CA61</f>
        <v>-117.75377356628505</v>
      </c>
      <c r="BT622">
        <f>'Bookings and Drivers'!CB61</f>
        <v>-45.822996169241918</v>
      </c>
      <c r="BU622">
        <f>'Bookings and Drivers'!CC61</f>
        <v>-98.899795703708406</v>
      </c>
      <c r="BV622">
        <f>'Bookings and Drivers'!CD61</f>
        <v>-88.614756729975468</v>
      </c>
      <c r="BW622">
        <f>'Bookings and Drivers'!CE61</f>
        <v>-57.09046894157143</v>
      </c>
      <c r="BX622">
        <f>'Bookings and Drivers'!CF61</f>
        <v>-21.970484475471263</v>
      </c>
      <c r="BY622">
        <f>'Bookings and Drivers'!CG61</f>
        <v>0</v>
      </c>
      <c r="BZ622">
        <f>'Bookings and Drivers'!CH61</f>
        <v>0</v>
      </c>
      <c r="CA622">
        <f>'Bookings and Drivers'!CI61</f>
        <v>0</v>
      </c>
      <c r="CB622">
        <f>'Bookings and Drivers'!CJ61</f>
        <v>0</v>
      </c>
      <c r="CC622">
        <f>'Bookings and Drivers'!CK61</f>
        <v>0</v>
      </c>
      <c r="CD622">
        <f>'Bookings and Drivers'!CL61</f>
        <v>0</v>
      </c>
      <c r="CE622">
        <f>'Bookings and Drivers'!CM61</f>
        <v>0</v>
      </c>
      <c r="CF622">
        <f>'Bookings and Drivers'!CN61</f>
        <v>4.8115818260374699</v>
      </c>
      <c r="CG622">
        <f>'Bookings and Drivers'!CO61</f>
        <v>-769.47739246005403</v>
      </c>
      <c r="CH622">
        <f>'Bookings and Drivers'!CP61</f>
        <v>51.407178655050735</v>
      </c>
      <c r="CI622">
        <f>'Bookings and Drivers'!CQ61</f>
        <v>-383.26573060990967</v>
      </c>
      <c r="CJ622">
        <f>'Bookings and Drivers'!CR61</f>
        <v>-512.77638725456484</v>
      </c>
      <c r="CK622">
        <f>'Bookings and Drivers'!CS61</f>
        <v>-715.63387253950953</v>
      </c>
      <c r="CL622">
        <f>'Bookings and Drivers'!CT61</f>
        <v>-628.34675867813939</v>
      </c>
      <c r="CM622">
        <f>'Bookings and Drivers'!CU61</f>
        <v>-1054.5040371508392</v>
      </c>
      <c r="CN622">
        <f>'Bookings and Drivers'!CV61</f>
        <v>-888.23980631912548</v>
      </c>
      <c r="CO622">
        <f>'Bookings and Drivers'!CW61</f>
        <v>-440.48188462093196</v>
      </c>
      <c r="CP622">
        <f>'Bookings and Drivers'!CX61</f>
        <v>-140.55168179439167</v>
      </c>
      <c r="CQ622">
        <f>'Bookings and Drivers'!CY61</f>
        <v>-68.391325065741242</v>
      </c>
      <c r="CR622">
        <f>'Bookings and Drivers'!CZ61</f>
        <v>-51.126254553758301</v>
      </c>
      <c r="CS622">
        <f>'Bookings and Drivers'!DA61</f>
        <v>-38.403707894791673</v>
      </c>
      <c r="CT622">
        <f>'Bookings and Drivers'!DB61</f>
        <v>-15.801768142316101</v>
      </c>
      <c r="CU622">
        <f>'Bookings and Drivers'!DC61</f>
        <v>-13.98483966331028</v>
      </c>
      <c r="CV622">
        <f>'Bookings and Drivers'!DD61</f>
        <v>-12.372483712099671</v>
      </c>
      <c r="CW622">
        <f>'Bookings and Drivers'!DE61</f>
        <v>-10.942623367766469</v>
      </c>
      <c r="CX622">
        <f>'Bookings and Drivers'!DF61</f>
        <v>-9.6753515709748115</v>
      </c>
    </row>
    <row r="624" spans="1:102">
      <c r="A624">
        <f>'Bookings and Drivers'!I62</f>
        <v>0</v>
      </c>
      <c r="B624">
        <f>'Bookings and Drivers'!J62</f>
        <v>0</v>
      </c>
      <c r="C624">
        <f>'Bookings and Drivers'!K62</f>
        <v>0</v>
      </c>
      <c r="D624">
        <f>'Bookings and Drivers'!L62</f>
        <v>0</v>
      </c>
      <c r="E624">
        <f>'Bookings and Drivers'!M62</f>
        <v>0</v>
      </c>
      <c r="F624">
        <f>'Bookings and Drivers'!N62</f>
        <v>0</v>
      </c>
      <c r="G624">
        <f>'Bookings and Drivers'!O62</f>
        <v>0</v>
      </c>
      <c r="H624">
        <f>'Bookings and Drivers'!P62</f>
        <v>0</v>
      </c>
      <c r="I624">
        <f>'Bookings and Drivers'!Q62</f>
        <v>0</v>
      </c>
      <c r="J624">
        <f>'Bookings and Drivers'!R62</f>
        <v>0</v>
      </c>
      <c r="K624">
        <f>'Bookings and Drivers'!S62</f>
        <v>0</v>
      </c>
      <c r="L624">
        <f>'Bookings and Drivers'!T62</f>
        <v>0</v>
      </c>
      <c r="M624">
        <f>'Bookings and Drivers'!U62</f>
        <v>0</v>
      </c>
      <c r="N624">
        <f>'Bookings and Drivers'!V62</f>
        <v>0</v>
      </c>
      <c r="O624">
        <f>'Bookings and Drivers'!W62</f>
        <v>0</v>
      </c>
      <c r="P624">
        <f>'Bookings and Drivers'!X62</f>
        <v>0</v>
      </c>
      <c r="Q624">
        <f>'Bookings and Drivers'!Y62</f>
        <v>0</v>
      </c>
      <c r="R624">
        <f>'Bookings and Drivers'!Z62</f>
        <v>0</v>
      </c>
      <c r="S624">
        <f>'Bookings and Drivers'!AA62</f>
        <v>0</v>
      </c>
      <c r="T624">
        <f>'Bookings and Drivers'!AB62</f>
        <v>0</v>
      </c>
      <c r="U624">
        <f>'Bookings and Drivers'!AC62</f>
        <v>0</v>
      </c>
      <c r="V624">
        <f>'Bookings and Drivers'!AD62</f>
        <v>0</v>
      </c>
      <c r="W624">
        <f>'Bookings and Drivers'!AE62</f>
        <v>0</v>
      </c>
      <c r="X624">
        <f>'Bookings and Drivers'!AF62</f>
        <v>0</v>
      </c>
      <c r="Y624">
        <f>'Bookings and Drivers'!AG62</f>
        <v>0</v>
      </c>
      <c r="Z624">
        <f>'Bookings and Drivers'!AH62</f>
        <v>0</v>
      </c>
      <c r="AA624">
        <f>'Bookings and Drivers'!AI62</f>
        <v>0</v>
      </c>
      <c r="AB624">
        <f>'Bookings and Drivers'!AJ62</f>
        <v>0</v>
      </c>
      <c r="AC624">
        <f>'Bookings and Drivers'!AK62</f>
        <v>0</v>
      </c>
      <c r="AD624">
        <f>'Bookings and Drivers'!AL62</f>
        <v>0</v>
      </c>
      <c r="AE624">
        <f>'Bookings and Drivers'!AM62</f>
        <v>0</v>
      </c>
      <c r="AF624">
        <f>'Bookings and Drivers'!AN62</f>
        <v>0</v>
      </c>
      <c r="AG624">
        <f>'Bookings and Drivers'!AO62</f>
        <v>0</v>
      </c>
      <c r="AH624">
        <f>'Bookings and Drivers'!AP62</f>
        <v>0</v>
      </c>
      <c r="AI624">
        <f>'Bookings and Drivers'!AQ62</f>
        <v>0</v>
      </c>
      <c r="AJ624">
        <f>'Bookings and Drivers'!AR62</f>
        <v>0</v>
      </c>
      <c r="AK624">
        <f>'Bookings and Drivers'!AS62</f>
        <v>0</v>
      </c>
      <c r="AL624">
        <f>'Bookings and Drivers'!AT62</f>
        <v>0</v>
      </c>
      <c r="AM624">
        <f>'Bookings and Drivers'!AU62</f>
        <v>0</v>
      </c>
      <c r="AN624">
        <f>'Bookings and Drivers'!AV62</f>
        <v>0</v>
      </c>
      <c r="AO624">
        <f>'Bookings and Drivers'!AW62</f>
        <v>0</v>
      </c>
      <c r="AP624">
        <f>'Bookings and Drivers'!AX62</f>
        <v>0</v>
      </c>
      <c r="AQ624">
        <f>'Bookings and Drivers'!AY62</f>
        <v>0</v>
      </c>
      <c r="AR624">
        <f>'Bookings and Drivers'!AZ62</f>
        <v>0</v>
      </c>
      <c r="AS624">
        <f>'Bookings and Drivers'!BA62</f>
        <v>0</v>
      </c>
      <c r="AT624">
        <f>'Bookings and Drivers'!BB62</f>
        <v>0</v>
      </c>
      <c r="AU624">
        <f>'Bookings and Drivers'!BC62</f>
        <v>0</v>
      </c>
      <c r="AV624">
        <f>'Bookings and Drivers'!BD62</f>
        <v>0</v>
      </c>
      <c r="AW624">
        <f>'Bookings and Drivers'!BE62</f>
        <v>0</v>
      </c>
      <c r="AX624">
        <f>'Bookings and Drivers'!BF62</f>
        <v>0</v>
      </c>
      <c r="AY624">
        <f>'Bookings and Drivers'!BG62</f>
        <v>0</v>
      </c>
      <c r="AZ624">
        <f>'Bookings and Drivers'!BH62</f>
        <v>0</v>
      </c>
      <c r="BA624">
        <f>'Bookings and Drivers'!BI62</f>
        <v>0</v>
      </c>
      <c r="BB624">
        <f>'Bookings and Drivers'!BJ62</f>
        <v>0</v>
      </c>
      <c r="BC624">
        <f>'Bookings and Drivers'!BK62</f>
        <v>0</v>
      </c>
      <c r="BD624">
        <f>'Bookings and Drivers'!BL62</f>
        <v>0</v>
      </c>
      <c r="BE624">
        <f>'Bookings and Drivers'!BM62</f>
        <v>0</v>
      </c>
      <c r="BF624">
        <f>'Bookings and Drivers'!BN62</f>
        <v>0</v>
      </c>
      <c r="BG624">
        <f>'Bookings and Drivers'!BO62</f>
        <v>0</v>
      </c>
      <c r="BH624">
        <f>'Bookings and Drivers'!BP62</f>
        <v>0</v>
      </c>
      <c r="BI624">
        <f>'Bookings and Drivers'!BQ62</f>
        <v>0</v>
      </c>
      <c r="BJ624">
        <f>'Bookings and Drivers'!BR62</f>
        <v>0</v>
      </c>
      <c r="BK624">
        <f>'Bookings and Drivers'!BS62</f>
        <v>0</v>
      </c>
      <c r="BL624">
        <f>'Bookings and Drivers'!BT62</f>
        <v>0</v>
      </c>
      <c r="BM624">
        <f>'Bookings and Drivers'!BU62</f>
        <v>0</v>
      </c>
      <c r="BN624">
        <f>'Bookings and Drivers'!BV62</f>
        <v>0</v>
      </c>
      <c r="BO624">
        <f>'Bookings and Drivers'!BW62</f>
        <v>0</v>
      </c>
      <c r="BP624">
        <f>'Bookings and Drivers'!BX62</f>
        <v>0</v>
      </c>
      <c r="BQ624">
        <f>'Bookings and Drivers'!BY62</f>
        <v>0</v>
      </c>
      <c r="BR624">
        <f>'Bookings and Drivers'!BZ62</f>
        <v>0</v>
      </c>
      <c r="BS624">
        <f>'Bookings and Drivers'!CA62</f>
        <v>0</v>
      </c>
      <c r="BT624">
        <f>'Bookings and Drivers'!CB62</f>
        <v>0</v>
      </c>
      <c r="BU624">
        <f>'Bookings and Drivers'!CC62</f>
        <v>0</v>
      </c>
      <c r="BV624">
        <f>'Bookings and Drivers'!CD62</f>
        <v>0</v>
      </c>
      <c r="BW624">
        <f>'Bookings and Drivers'!CE62</f>
        <v>0</v>
      </c>
      <c r="BX624">
        <f>'Bookings and Drivers'!CF62</f>
        <v>0</v>
      </c>
      <c r="BY624">
        <f>'Bookings and Drivers'!CG62</f>
        <v>0</v>
      </c>
      <c r="BZ624">
        <f>'Bookings and Drivers'!CH62</f>
        <v>0</v>
      </c>
      <c r="CA624">
        <f>'Bookings and Drivers'!CI62</f>
        <v>0</v>
      </c>
      <c r="CB624">
        <f>'Bookings and Drivers'!CJ62</f>
        <v>0</v>
      </c>
      <c r="CC624">
        <f>'Bookings and Drivers'!CK62</f>
        <v>0</v>
      </c>
      <c r="CD624">
        <f>'Bookings and Drivers'!CL62</f>
        <v>0</v>
      </c>
      <c r="CE624">
        <f>'Bookings and Drivers'!CM62</f>
        <v>0</v>
      </c>
      <c r="CF624">
        <f>'Bookings and Drivers'!CN62</f>
        <v>0</v>
      </c>
      <c r="CG624">
        <f>'Bookings and Drivers'!CO62</f>
        <v>0</v>
      </c>
      <c r="CH624">
        <f>'Bookings and Drivers'!CP62</f>
        <v>0</v>
      </c>
      <c r="CI624">
        <f>'Bookings and Drivers'!CQ62</f>
        <v>0</v>
      </c>
      <c r="CJ624">
        <f>'Bookings and Drivers'!CR62</f>
        <v>0</v>
      </c>
      <c r="CK624">
        <f>'Bookings and Drivers'!CS62</f>
        <v>0</v>
      </c>
      <c r="CL624">
        <f>'Bookings and Drivers'!CT62</f>
        <v>0</v>
      </c>
      <c r="CM624">
        <f>'Bookings and Drivers'!CU62</f>
        <v>0</v>
      </c>
      <c r="CN624">
        <f>'Bookings and Drivers'!CV62</f>
        <v>0</v>
      </c>
      <c r="CO624">
        <f>'Bookings and Drivers'!CW62</f>
        <v>0</v>
      </c>
      <c r="CP624">
        <f>'Bookings and Drivers'!CX62</f>
        <v>0</v>
      </c>
      <c r="CQ624">
        <f>'Bookings and Drivers'!CY62</f>
        <v>0</v>
      </c>
      <c r="CR624">
        <f>'Bookings and Drivers'!CZ62</f>
        <v>0</v>
      </c>
      <c r="CS624">
        <f>'Bookings and Drivers'!DA62</f>
        <v>0</v>
      </c>
      <c r="CT624">
        <f>'Bookings and Drivers'!DB62</f>
        <v>0</v>
      </c>
      <c r="CU624">
        <f>'Bookings and Drivers'!DC62</f>
        <v>0</v>
      </c>
      <c r="CV624">
        <f>'Bookings and Drivers'!DD62</f>
        <v>0</v>
      </c>
      <c r="CW624">
        <f>'Bookings and Drivers'!DE62</f>
        <v>0</v>
      </c>
      <c r="CX624">
        <f>'Bookings and Drivers'!DF62</f>
        <v>0</v>
      </c>
    </row>
    <row r="625" spans="1:102">
      <c r="A625" t="str">
        <f>'Bookings and Drivers'!I63</f>
        <v>Domestic Agency Bookings</v>
      </c>
      <c r="B625">
        <f>'Bookings and Drivers'!J63</f>
        <v>0</v>
      </c>
      <c r="C625">
        <f>'Bookings and Drivers'!K63</f>
        <v>0</v>
      </c>
      <c r="D625">
        <f>'Bookings and Drivers'!L63</f>
        <v>0</v>
      </c>
      <c r="E625">
        <f>'Bookings and Drivers'!M63</f>
        <v>0</v>
      </c>
      <c r="F625">
        <f>'Bookings and Drivers'!N63</f>
        <v>0</v>
      </c>
      <c r="G625">
        <f>'Bookings and Drivers'!O63</f>
        <v>0</v>
      </c>
      <c r="H625">
        <f>'Bookings and Drivers'!P63</f>
        <v>0</v>
      </c>
      <c r="I625">
        <f>'Bookings and Drivers'!Q63</f>
        <v>0</v>
      </c>
      <c r="J625">
        <f>'Bookings and Drivers'!R63</f>
        <v>0</v>
      </c>
      <c r="K625">
        <f>'Bookings and Drivers'!S63</f>
        <v>0</v>
      </c>
      <c r="L625">
        <f>'Bookings and Drivers'!T63</f>
        <v>0</v>
      </c>
      <c r="M625">
        <f>'Bookings and Drivers'!U63</f>
        <v>0</v>
      </c>
      <c r="N625">
        <f>'Bookings and Drivers'!V63</f>
        <v>0</v>
      </c>
      <c r="O625">
        <f>'Bookings and Drivers'!W63</f>
        <v>0</v>
      </c>
      <c r="P625">
        <f>'Bookings and Drivers'!X63</f>
        <v>0</v>
      </c>
      <c r="Q625">
        <f>'Bookings and Drivers'!Y63</f>
        <v>0</v>
      </c>
      <c r="R625">
        <f>'Bookings and Drivers'!Z63</f>
        <v>0</v>
      </c>
      <c r="S625">
        <f>'Bookings and Drivers'!AA63</f>
        <v>0</v>
      </c>
      <c r="T625">
        <f>'Bookings and Drivers'!AB63</f>
        <v>0</v>
      </c>
      <c r="U625">
        <f>'Bookings and Drivers'!AC63</f>
        <v>0</v>
      </c>
      <c r="V625">
        <f>'Bookings and Drivers'!AD63</f>
        <v>0</v>
      </c>
      <c r="W625">
        <f>'Bookings and Drivers'!AE63</f>
        <v>0</v>
      </c>
      <c r="X625">
        <f>'Bookings and Drivers'!AF63</f>
        <v>0</v>
      </c>
      <c r="Y625">
        <f>'Bookings and Drivers'!AG63</f>
        <v>207.69199999999995</v>
      </c>
      <c r="Z625">
        <f>'Bookings and Drivers'!AH63</f>
        <v>252.69099999999997</v>
      </c>
      <c r="AA625">
        <f>'Bookings and Drivers'!AI63</f>
        <v>201.98999999999995</v>
      </c>
      <c r="AB625">
        <f>'Bookings and Drivers'!AJ63</f>
        <v>171.93399999999997</v>
      </c>
      <c r="AC625">
        <f>'Bookings and Drivers'!AK63</f>
        <v>190.84900000000005</v>
      </c>
      <c r="AD625">
        <f>'Bookings and Drivers'!AL63</f>
        <v>232.13599999999997</v>
      </c>
      <c r="AE625">
        <f>'Bookings and Drivers'!AM63</f>
        <v>254.14099999999996</v>
      </c>
      <c r="AF625">
        <f>'Bookings and Drivers'!AN63</f>
        <v>246.33799999999997</v>
      </c>
      <c r="AG625">
        <f>'Bookings and Drivers'!AO63</f>
        <v>357.07499999999993</v>
      </c>
      <c r="AH625">
        <f>'Bookings and Drivers'!AP63</f>
        <v>443.2940000000001</v>
      </c>
      <c r="AI625">
        <f>'Bookings and Drivers'!AQ63</f>
        <v>385.24300000000017</v>
      </c>
      <c r="AJ625">
        <f>'Bookings and Drivers'!AR63</f>
        <v>353.33399999999983</v>
      </c>
      <c r="AK625">
        <f>'Bookings and Drivers'!AS63</f>
        <v>435.33899999999994</v>
      </c>
      <c r="AL625">
        <f>'Bookings and Drivers'!AT63</f>
        <v>466.77399999999989</v>
      </c>
      <c r="AM625">
        <f>'Bookings and Drivers'!AU63</f>
        <v>484.19999999999982</v>
      </c>
      <c r="AN625">
        <f>'Bookings and Drivers'!AV63</f>
        <v>415.32400000000007</v>
      </c>
      <c r="AO625">
        <f>'Bookings and Drivers'!AW63</f>
        <v>555.46320000000014</v>
      </c>
      <c r="AP625">
        <f>'Bookings and Drivers'!AX63</f>
        <v>624.11300000000028</v>
      </c>
      <c r="AQ625">
        <f>'Bookings and Drivers'!AY63</f>
        <v>574.86400000000003</v>
      </c>
      <c r="AR625">
        <f>'Bookings and Drivers'!AZ63</f>
        <v>464.32499999999982</v>
      </c>
      <c r="AS625">
        <f>'Bookings and Drivers'!BA63</f>
        <v>686.63503999999966</v>
      </c>
      <c r="AT625">
        <f>'Bookings and Drivers'!BB63</f>
        <v>744.54995000000008</v>
      </c>
      <c r="AU625">
        <f>'Bookings and Drivers'!BC63</f>
        <v>724.30799999999999</v>
      </c>
      <c r="AV625">
        <f>'Bookings and Drivers'!BD63</f>
        <v>616.15000000000009</v>
      </c>
      <c r="AW625">
        <f>'Bookings and Drivers'!BE63</f>
        <v>827.77956799999993</v>
      </c>
      <c r="AX625">
        <f>'Bookings and Drivers'!BF63</f>
        <v>904.63491499999964</v>
      </c>
      <c r="AY625">
        <f>'Bookings and Drivers'!BG63</f>
        <v>930.66303999999946</v>
      </c>
      <c r="AZ625">
        <f>'Bookings and Drivers'!BH63</f>
        <v>670.29</v>
      </c>
      <c r="BA625">
        <f>'Bookings and Drivers'!BI63</f>
        <v>939.61497791999955</v>
      </c>
      <c r="BB625">
        <f>'Bookings and Drivers'!BJ63</f>
        <v>1068.4523724999999</v>
      </c>
      <c r="BC625">
        <f>'Bookings and Drivers'!BK63</f>
        <v>1237.6995071999991</v>
      </c>
      <c r="BD625">
        <f>'Bookings and Drivers'!BL63</f>
        <v>973.42900000000009</v>
      </c>
      <c r="BE625">
        <f>'Bookings and Drivers'!BM63</f>
        <v>1256.3335112960012</v>
      </c>
      <c r="BF625">
        <f>'Bookings and Drivers'!BN63</f>
        <v>1465.7880842499999</v>
      </c>
      <c r="BG625">
        <f>'Bookings and Drivers'!BO63</f>
        <v>1544.7372953600006</v>
      </c>
      <c r="BH625">
        <f>'Bookings and Drivers'!BP63</f>
        <v>1220.5352000000003</v>
      </c>
      <c r="BI625">
        <f>'Bookings and Drivers'!BQ63</f>
        <v>1464.0002135552004</v>
      </c>
      <c r="BJ625">
        <f>'Bookings and Drivers'!BR63</f>
        <v>1655.1457011000002</v>
      </c>
      <c r="BK625">
        <f>'Bookings and Drivers'!BS63</f>
        <v>1576.1777994240001</v>
      </c>
      <c r="BL625">
        <f>'Bookings and Drivers'!BT63</f>
        <v>1288.0022200000003</v>
      </c>
      <c r="BM625">
        <f>'Bookings and Drivers'!BU63</f>
        <v>1537.2002242329604</v>
      </c>
      <c r="BN625">
        <f>'Bookings and Drivers'!BV63</f>
        <v>1787.5573571880004</v>
      </c>
      <c r="BO625">
        <f>'Bookings and Drivers'!BW63</f>
        <v>1812.6044693376</v>
      </c>
      <c r="BP625">
        <f>'Bookings and Drivers'!BX63</f>
        <v>1442.5624864000006</v>
      </c>
      <c r="BQ625">
        <f>'Bookings and Drivers'!BY63</f>
        <v>1614.0602354446085</v>
      </c>
      <c r="BR625">
        <f>'Bookings and Drivers'!BZ63</f>
        <v>1876.9352250474005</v>
      </c>
      <c r="BS625">
        <f>'Bookings and Drivers'!CA63</f>
        <v>1903.2346928044801</v>
      </c>
      <c r="BT625">
        <f>'Bookings and Drivers'!CB63</f>
        <v>1514.6906107200007</v>
      </c>
      <c r="BU625">
        <f>'Bookings and Drivers'!CC63</f>
        <v>1694.7632472168389</v>
      </c>
      <c r="BV625">
        <f>'Bookings and Drivers'!CD63</f>
        <v>1970.7819862997706</v>
      </c>
      <c r="BW625">
        <f>'Bookings and Drivers'!CE63</f>
        <v>1998.3964274447042</v>
      </c>
      <c r="BX625">
        <f>'Bookings and Drivers'!CF63</f>
        <v>1590.4251412560009</v>
      </c>
      <c r="BY625">
        <f>'Bookings and Drivers'!CG63</f>
        <v>0</v>
      </c>
      <c r="BZ625">
        <f>'Bookings and Drivers'!CH63</f>
        <v>0</v>
      </c>
      <c r="CA625">
        <f>'Bookings and Drivers'!CI63</f>
        <v>0</v>
      </c>
      <c r="CB625">
        <f>'Bookings and Drivers'!CJ63</f>
        <v>0</v>
      </c>
      <c r="CC625">
        <f>'Bookings and Drivers'!CK63</f>
        <v>0</v>
      </c>
      <c r="CD625">
        <f>'Bookings and Drivers'!CL63</f>
        <v>0</v>
      </c>
      <c r="CE625">
        <f>'Bookings and Drivers'!CM63</f>
        <v>834.30700000000002</v>
      </c>
      <c r="CF625">
        <f>'Bookings and Drivers'!CN63</f>
        <v>923.46399999999994</v>
      </c>
      <c r="CG625">
        <f>'Bookings and Drivers'!CO63</f>
        <v>1538.9460000000008</v>
      </c>
      <c r="CH625">
        <f>'Bookings and Drivers'!CP63</f>
        <v>1801.6369999999988</v>
      </c>
      <c r="CI625">
        <f>'Bookings and Drivers'!CQ63</f>
        <v>2218.7652000000003</v>
      </c>
      <c r="CJ625">
        <f>'Bookings and Drivers'!CR63</f>
        <v>2771.6429899999998</v>
      </c>
      <c r="CK625">
        <f>'Bookings and Drivers'!CS63</f>
        <v>3333.367522999999</v>
      </c>
      <c r="CL625">
        <f>'Bookings and Drivers'!CT63</f>
        <v>4219.1958576199986</v>
      </c>
      <c r="CM625">
        <f>'Bookings and Drivers'!CU63</f>
        <v>5487.394090906002</v>
      </c>
      <c r="CN625">
        <f>'Bookings and Drivers'!CV63</f>
        <v>5983.325934079201</v>
      </c>
      <c r="CO625">
        <f>'Bookings and Drivers'!CW63</f>
        <v>6579.9245371585621</v>
      </c>
      <c r="CP625">
        <f>'Bookings and Drivers'!CX63</f>
        <v>6908.9207640164896</v>
      </c>
      <c r="CQ625">
        <f>'Bookings and Drivers'!CY63</f>
        <v>7254.3668022173142</v>
      </c>
      <c r="CR625">
        <f>'Bookings and Drivers'!CZ63</f>
        <v>7544.5414743060073</v>
      </c>
      <c r="CS625">
        <f>'Bookings and Drivers'!DA63</f>
        <v>7770.8777185351873</v>
      </c>
      <c r="CT625">
        <f>'Bookings and Drivers'!DB63</f>
        <v>7926.2952729058916</v>
      </c>
      <c r="CU625">
        <f>'Bookings and Drivers'!DC63</f>
        <v>8084.8211783640099</v>
      </c>
      <c r="CV625">
        <f>'Bookings and Drivers'!DD63</f>
        <v>8246.5176019312894</v>
      </c>
      <c r="CW625">
        <f>'Bookings and Drivers'!DE63</f>
        <v>8411.447953969915</v>
      </c>
      <c r="CX625">
        <f>'Bookings and Drivers'!DF63</f>
        <v>8579.676913049314</v>
      </c>
    </row>
    <row r="626" spans="1:102">
      <c r="A626" t="str">
        <f>'Bookings and Drivers'!I64</f>
        <v>% change Y/Y</v>
      </c>
      <c r="B626">
        <f>'Bookings and Drivers'!J64</f>
        <v>0</v>
      </c>
      <c r="C626">
        <f>'Bookings and Drivers'!K64</f>
        <v>0</v>
      </c>
      <c r="D626">
        <f>'Bookings and Drivers'!L64</f>
        <v>0</v>
      </c>
      <c r="E626">
        <f>'Bookings and Drivers'!M64</f>
        <v>0</v>
      </c>
      <c r="F626">
        <f>'Bookings and Drivers'!N64</f>
        <v>0</v>
      </c>
      <c r="G626">
        <f>'Bookings and Drivers'!O64</f>
        <v>0</v>
      </c>
      <c r="H626">
        <f>'Bookings and Drivers'!P64</f>
        <v>0</v>
      </c>
      <c r="I626">
        <f>'Bookings and Drivers'!Q64</f>
        <v>0</v>
      </c>
      <c r="J626">
        <f>'Bookings and Drivers'!R64</f>
        <v>0</v>
      </c>
      <c r="K626">
        <f>'Bookings and Drivers'!S64</f>
        <v>0</v>
      </c>
      <c r="L626">
        <f>'Bookings and Drivers'!T64</f>
        <v>0</v>
      </c>
      <c r="M626">
        <f>'Bookings and Drivers'!U64</f>
        <v>0</v>
      </c>
      <c r="N626">
        <f>'Bookings and Drivers'!V64</f>
        <v>0</v>
      </c>
      <c r="O626">
        <f>'Bookings and Drivers'!W64</f>
        <v>0</v>
      </c>
      <c r="P626">
        <f>'Bookings and Drivers'!X64</f>
        <v>0</v>
      </c>
      <c r="Q626">
        <f>'Bookings and Drivers'!Y64</f>
        <v>0</v>
      </c>
      <c r="R626">
        <f>'Bookings and Drivers'!Z64</f>
        <v>0</v>
      </c>
      <c r="S626">
        <f>'Bookings and Drivers'!AA64</f>
        <v>0</v>
      </c>
      <c r="T626">
        <f>'Bookings and Drivers'!AB64</f>
        <v>0</v>
      </c>
      <c r="U626">
        <f>'Bookings and Drivers'!AC64</f>
        <v>0</v>
      </c>
      <c r="V626">
        <f>'Bookings and Drivers'!AD64</f>
        <v>0</v>
      </c>
      <c r="W626">
        <f>'Bookings and Drivers'!AE64</f>
        <v>0</v>
      </c>
      <c r="X626">
        <f>'Bookings and Drivers'!AF64</f>
        <v>0</v>
      </c>
      <c r="Y626">
        <f>'Bookings and Drivers'!AG64</f>
        <v>0</v>
      </c>
      <c r="Z626">
        <f>'Bookings and Drivers'!AH64</f>
        <v>0</v>
      </c>
      <c r="AA626">
        <f>'Bookings and Drivers'!AI64</f>
        <v>0</v>
      </c>
      <c r="AB626">
        <f>'Bookings and Drivers'!AJ64</f>
        <v>0</v>
      </c>
      <c r="AC626">
        <f>'Bookings and Drivers'!AK64</f>
        <v>-8.1096046068215966E-2</v>
      </c>
      <c r="AD626">
        <f>'Bookings and Drivers'!AL64</f>
        <v>-8.134440878385063E-2</v>
      </c>
      <c r="AE626">
        <f>'Bookings and Drivers'!AM64</f>
        <v>0.25818604881429774</v>
      </c>
      <c r="AF626">
        <f>'Bookings and Drivers'!AN64</f>
        <v>0.43274744960275457</v>
      </c>
      <c r="AG626">
        <f>'Bookings and Drivers'!AO64</f>
        <v>0.87098177092884876</v>
      </c>
      <c r="AH626">
        <f>'Bookings and Drivers'!AP64</f>
        <v>0.90963056139504506</v>
      </c>
      <c r="AI626">
        <f>'Bookings and Drivers'!AQ64</f>
        <v>0.51586324127157845</v>
      </c>
      <c r="AJ626">
        <f>'Bookings and Drivers'!AR64</f>
        <v>0.43434630467081758</v>
      </c>
      <c r="AK626">
        <f>'Bookings and Drivers'!AS64</f>
        <v>0.21918084436042862</v>
      </c>
      <c r="AL626">
        <f>'Bookings and Drivers'!AT64</f>
        <v>5.2967105352203614E-2</v>
      </c>
      <c r="AM626">
        <f>'Bookings and Drivers'!AU64</f>
        <v>0.25686904109873399</v>
      </c>
      <c r="AN626">
        <f>'Bookings and Drivers'!AV64</f>
        <v>0.17544306520176445</v>
      </c>
      <c r="AO626">
        <f>'Bookings and Drivers'!AW64</f>
        <v>0.27593254911689558</v>
      </c>
      <c r="AP626">
        <f>'Bookings and Drivers'!AX64</f>
        <v>0.33707747218139916</v>
      </c>
      <c r="AQ626">
        <f>'Bookings and Drivers'!AY64</f>
        <v>0.18724494010739412</v>
      </c>
      <c r="AR626">
        <f>'Bookings and Drivers'!AZ64</f>
        <v>0.11798258708863374</v>
      </c>
      <c r="AS626">
        <f>'Bookings and Drivers'!BA64</f>
        <v>0.23614856933816575</v>
      </c>
      <c r="AT626">
        <f>'Bookings and Drivers'!BB64</f>
        <v>0.19297298726352397</v>
      </c>
      <c r="AU626">
        <f>'Bookings and Drivers'!BC64</f>
        <v>0.25996409585571545</v>
      </c>
      <c r="AV626">
        <f>'Bookings and Drivers'!BD64</f>
        <v>0.32698002476713572</v>
      </c>
      <c r="AW626">
        <f>'Bookings and Drivers'!BE64</f>
        <v>0.2055597512180567</v>
      </c>
      <c r="AX626">
        <f>'Bookings and Drivers'!BF64</f>
        <v>0.21500903330931598</v>
      </c>
      <c r="AY626">
        <f>'Bookings and Drivers'!BG64</f>
        <v>0.2848995731097812</v>
      </c>
      <c r="AZ626">
        <f>'Bookings and Drivers'!BH64</f>
        <v>8.786821390895061E-2</v>
      </c>
      <c r="BA626">
        <f>'Bookings and Drivers'!BI64</f>
        <v>0.13510288758419753</v>
      </c>
      <c r="BB626">
        <f>'Bookings and Drivers'!BJ64</f>
        <v>0.18108681721620301</v>
      </c>
      <c r="BC626">
        <f>'Bookings and Drivers'!BK64</f>
        <v>0.32991152974120452</v>
      </c>
      <c r="BD626">
        <f>'Bookings and Drivers'!BL64</f>
        <v>0.45225051843232045</v>
      </c>
      <c r="BE626">
        <f>'Bookings and Drivers'!BM64</f>
        <v>0.33707267425335541</v>
      </c>
      <c r="BF626">
        <f>'Bookings and Drivers'!BN64</f>
        <v>0.37187966630679181</v>
      </c>
      <c r="BG626">
        <f>'Bookings and Drivers'!BO64</f>
        <v>0.24807135041574147</v>
      </c>
      <c r="BH626">
        <f>'Bookings and Drivers'!BP64</f>
        <v>0.2538512824253234</v>
      </c>
      <c r="BI626">
        <f>'Bookings and Drivers'!BQ64</f>
        <v>0.16529583935477099</v>
      </c>
      <c r="BJ626">
        <f>'Bookings and Drivers'!BR64</f>
        <v>0.12918485208377795</v>
      </c>
      <c r="BK626">
        <f>'Bookings and Drivers'!BS64</f>
        <v>2.0353301599203233E-2</v>
      </c>
      <c r="BL626">
        <f>'Bookings and Drivers'!BT64</f>
        <v>5.5276586861239263E-2</v>
      </c>
      <c r="BM626">
        <f>'Bookings and Drivers'!BU64</f>
        <v>0.05</v>
      </c>
      <c r="BN626">
        <f>'Bookings and Drivers'!BV64</f>
        <v>0.08</v>
      </c>
      <c r="BO626">
        <f>'Bookings and Drivers'!BW64</f>
        <v>0.15</v>
      </c>
      <c r="BP626">
        <f>'Bookings and Drivers'!BX64</f>
        <v>0.12</v>
      </c>
      <c r="BQ626">
        <f>'Bookings and Drivers'!BY64</f>
        <v>0.05</v>
      </c>
      <c r="BR626">
        <f>'Bookings and Drivers'!BZ64</f>
        <v>0.05</v>
      </c>
      <c r="BS626">
        <f>'Bookings and Drivers'!CA64</f>
        <v>0.05</v>
      </c>
      <c r="BT626">
        <f>'Bookings and Drivers'!CB64</f>
        <v>0.05</v>
      </c>
      <c r="BU626">
        <f>'Bookings and Drivers'!CC64</f>
        <v>0.05</v>
      </c>
      <c r="BV626">
        <f>'Bookings and Drivers'!CD64</f>
        <v>0.05</v>
      </c>
      <c r="BW626">
        <f>'Bookings and Drivers'!CE64</f>
        <v>0.05</v>
      </c>
      <c r="BX626">
        <f>'Bookings and Drivers'!CF64</f>
        <v>0.05</v>
      </c>
      <c r="BY626">
        <f>'Bookings and Drivers'!CG64</f>
        <v>0</v>
      </c>
      <c r="BZ626">
        <f>'Bookings and Drivers'!CH64</f>
        <v>0</v>
      </c>
      <c r="CA626">
        <f>'Bookings and Drivers'!CI64</f>
        <v>0</v>
      </c>
      <c r="CB626">
        <f>'Bookings and Drivers'!CJ64</f>
        <v>0</v>
      </c>
      <c r="CC626">
        <f>'Bookings and Drivers'!CK64</f>
        <v>0</v>
      </c>
      <c r="CD626">
        <f>'Bookings and Drivers'!CL64</f>
        <v>0</v>
      </c>
      <c r="CE626">
        <f>'Bookings and Drivers'!CM64</f>
        <v>0</v>
      </c>
      <c r="CF626">
        <f>'Bookings and Drivers'!CN64</f>
        <v>0.10686354063911718</v>
      </c>
      <c r="CG626">
        <f>'Bookings and Drivers'!CO64</f>
        <v>0.66649268406781514</v>
      </c>
      <c r="CH626">
        <f>'Bookings and Drivers'!CP64</f>
        <v>0.17069539801916234</v>
      </c>
      <c r="CI626">
        <f>'Bookings and Drivers'!CQ64</f>
        <v>0.23152732764702422</v>
      </c>
      <c r="CJ626">
        <f>'Bookings and Drivers'!CR64</f>
        <v>0.24918264897971154</v>
      </c>
      <c r="CK626">
        <f>'Bookings and Drivers'!CS64</f>
        <v>0.20266842989038758</v>
      </c>
      <c r="CL626">
        <f>'Bookings and Drivers'!CT64</f>
        <v>0.26574577465816396</v>
      </c>
      <c r="CM626">
        <f>'Bookings and Drivers'!CU64</f>
        <v>0.30057818505760947</v>
      </c>
      <c r="CN626">
        <f>'Bookings and Drivers'!CV64</f>
        <v>9.0376567630723548E-2</v>
      </c>
      <c r="CO626">
        <f>'Bookings and Drivers'!CW64</f>
        <v>9.971019624408517E-2</v>
      </c>
      <c r="CP626">
        <f>'Bookings and Drivers'!CX64</f>
        <v>4.9999999999999822E-2</v>
      </c>
      <c r="CQ626">
        <f>'Bookings and Drivers'!CY64</f>
        <v>5.0000000000000044E-2</v>
      </c>
      <c r="CR626">
        <f>'Bookings and Drivers'!CZ64</f>
        <v>4.0000000000000042E-2</v>
      </c>
      <c r="CS626">
        <f>'Bookings and Drivers'!DA64</f>
        <v>3.0000000000000041E-2</v>
      </c>
      <c r="CT626">
        <f>'Bookings and Drivers'!DB64</f>
        <v>2.0000000000000039E-2</v>
      </c>
      <c r="CU626">
        <f>'Bookings and Drivers'!DC64</f>
        <v>2.0000000000000039E-2</v>
      </c>
      <c r="CV626">
        <f>'Bookings and Drivers'!DD64</f>
        <v>2.0000000000000039E-2</v>
      </c>
      <c r="CW626">
        <f>'Bookings and Drivers'!DE64</f>
        <v>2.0000000000000039E-2</v>
      </c>
      <c r="CX626">
        <f>'Bookings and Drivers'!DF64</f>
        <v>2.0000000000000039E-2</v>
      </c>
    </row>
    <row r="627" spans="1:102">
      <c r="A627" t="str">
        <f>'Bookings and Drivers'!I66</f>
        <v xml:space="preserve">Period-to-period change Y/Y </v>
      </c>
      <c r="B627">
        <f>'Bookings and Drivers'!J66</f>
        <v>0</v>
      </c>
      <c r="C627">
        <f>'Bookings and Drivers'!K66</f>
        <v>0</v>
      </c>
      <c r="D627">
        <f>'Bookings and Drivers'!L66</f>
        <v>0</v>
      </c>
      <c r="E627">
        <f>'Bookings and Drivers'!M66</f>
        <v>0</v>
      </c>
      <c r="F627">
        <f>'Bookings and Drivers'!N66</f>
        <v>0</v>
      </c>
      <c r="G627">
        <f>'Bookings and Drivers'!O66</f>
        <v>0</v>
      </c>
      <c r="H627">
        <f>'Bookings and Drivers'!P66</f>
        <v>0</v>
      </c>
      <c r="I627">
        <f>'Bookings and Drivers'!Q66</f>
        <v>0</v>
      </c>
      <c r="J627">
        <f>'Bookings and Drivers'!R66</f>
        <v>0</v>
      </c>
      <c r="K627">
        <f>'Bookings and Drivers'!S66</f>
        <v>0</v>
      </c>
      <c r="L627">
        <f>'Bookings and Drivers'!T66</f>
        <v>0</v>
      </c>
      <c r="M627">
        <f>'Bookings and Drivers'!U66</f>
        <v>0</v>
      </c>
      <c r="N627">
        <f>'Bookings and Drivers'!V66</f>
        <v>0</v>
      </c>
      <c r="O627">
        <f>'Bookings and Drivers'!W66</f>
        <v>0</v>
      </c>
      <c r="P627">
        <f>'Bookings and Drivers'!X66</f>
        <v>0</v>
      </c>
      <c r="Q627">
        <f>'Bookings and Drivers'!Y66</f>
        <v>0</v>
      </c>
      <c r="R627">
        <f>'Bookings and Drivers'!Z66</f>
        <v>0</v>
      </c>
      <c r="S627">
        <f>'Bookings and Drivers'!AA66</f>
        <v>0</v>
      </c>
      <c r="T627">
        <f>'Bookings and Drivers'!AB66</f>
        <v>0</v>
      </c>
      <c r="U627">
        <f>'Bookings and Drivers'!AC66</f>
        <v>0</v>
      </c>
      <c r="V627">
        <f>'Bookings and Drivers'!AD66</f>
        <v>0</v>
      </c>
      <c r="W627">
        <f>'Bookings and Drivers'!AE66</f>
        <v>0</v>
      </c>
      <c r="X627">
        <f>'Bookings and Drivers'!AF66</f>
        <v>0</v>
      </c>
      <c r="Y627">
        <f>'Bookings and Drivers'!AG66</f>
        <v>0</v>
      </c>
      <c r="Z627">
        <f>'Bookings and Drivers'!AH66</f>
        <v>0</v>
      </c>
      <c r="AA627">
        <f>'Bookings and Drivers'!AI66</f>
        <v>0</v>
      </c>
      <c r="AB627">
        <f>'Bookings and Drivers'!AJ66</f>
        <v>0</v>
      </c>
      <c r="AC627">
        <f>'Bookings and Drivers'!AK66</f>
        <v>-16.842999999999904</v>
      </c>
      <c r="AD627">
        <f>'Bookings and Drivers'!AL66</f>
        <v>-20.555000000000007</v>
      </c>
      <c r="AE627">
        <f>'Bookings and Drivers'!AM66</f>
        <v>52.15100000000001</v>
      </c>
      <c r="AF627">
        <f>'Bookings and Drivers'!AN66</f>
        <v>74.403999999999996</v>
      </c>
      <c r="AG627">
        <f>'Bookings and Drivers'!AO66</f>
        <v>166.22599999999989</v>
      </c>
      <c r="AH627">
        <f>'Bookings and Drivers'!AP66</f>
        <v>211.15800000000013</v>
      </c>
      <c r="AI627">
        <f>'Bookings and Drivers'!AQ66</f>
        <v>131.1020000000002</v>
      </c>
      <c r="AJ627">
        <f>'Bookings and Drivers'!AR66</f>
        <v>106.99599999999987</v>
      </c>
      <c r="AK627">
        <f>'Bookings and Drivers'!AS66</f>
        <v>78.26400000000001</v>
      </c>
      <c r="AL627">
        <f>'Bookings and Drivers'!AT66</f>
        <v>23.479999999999791</v>
      </c>
      <c r="AM627">
        <f>'Bookings and Drivers'!AU66</f>
        <v>98.956999999999653</v>
      </c>
      <c r="AN627">
        <f>'Bookings and Drivers'!AV66</f>
        <v>61.990000000000236</v>
      </c>
      <c r="AO627">
        <f>'Bookings and Drivers'!AW66</f>
        <v>120.1242000000002</v>
      </c>
      <c r="AP627">
        <f>'Bookings and Drivers'!AX66</f>
        <v>157.3390000000004</v>
      </c>
      <c r="AQ627">
        <f>'Bookings and Drivers'!AY66</f>
        <v>90.664000000000215</v>
      </c>
      <c r="AR627">
        <f>'Bookings and Drivers'!AZ66</f>
        <v>49.000999999999749</v>
      </c>
      <c r="AS627">
        <f>'Bookings and Drivers'!BA66</f>
        <v>131.17183999999952</v>
      </c>
      <c r="AT627">
        <f>'Bookings and Drivers'!BB66</f>
        <v>120.4369499999998</v>
      </c>
      <c r="AU627">
        <f>'Bookings and Drivers'!BC66</f>
        <v>149.44399999999996</v>
      </c>
      <c r="AV627">
        <f>'Bookings and Drivers'!BD66</f>
        <v>151.82500000000027</v>
      </c>
      <c r="AW627">
        <f>'Bookings and Drivers'!BE66</f>
        <v>141.14452800000026</v>
      </c>
      <c r="AX627">
        <f>'Bookings and Drivers'!BF66</f>
        <v>160.08496499999956</v>
      </c>
      <c r="AY627">
        <f>'Bookings and Drivers'!BG66</f>
        <v>206.35503999999946</v>
      </c>
      <c r="AZ627">
        <f>'Bookings and Drivers'!BH66</f>
        <v>54.139999999999873</v>
      </c>
      <c r="BA627">
        <f>'Bookings and Drivers'!BI66</f>
        <v>111.83540991999962</v>
      </c>
      <c r="BB627">
        <f>'Bookings and Drivers'!BJ66</f>
        <v>163.81745750000027</v>
      </c>
      <c r="BC627">
        <f>'Bookings and Drivers'!BK66</f>
        <v>307.03646719999961</v>
      </c>
      <c r="BD627">
        <f>'Bookings and Drivers'!BL66</f>
        <v>303.13900000000012</v>
      </c>
      <c r="BE627">
        <f>'Bookings and Drivers'!BM66</f>
        <v>316.71853337600169</v>
      </c>
      <c r="BF627">
        <f>'Bookings and Drivers'!BN66</f>
        <v>397.33571174999997</v>
      </c>
      <c r="BG627">
        <f>'Bookings and Drivers'!BO66</f>
        <v>307.03778816000158</v>
      </c>
      <c r="BH627">
        <f>'Bookings and Drivers'!BP66</f>
        <v>247.10620000000017</v>
      </c>
      <c r="BI627">
        <f>'Bookings and Drivers'!BQ66</f>
        <v>207.66670225919916</v>
      </c>
      <c r="BJ627">
        <f>'Bookings and Drivers'!BR66</f>
        <v>189.35761685000034</v>
      </c>
      <c r="BK627">
        <f>'Bookings and Drivers'!BS66</f>
        <v>31.44050406399947</v>
      </c>
      <c r="BL627">
        <f>'Bookings and Drivers'!BT66</f>
        <v>67.467020000000048</v>
      </c>
      <c r="BM627">
        <f>'Bookings and Drivers'!BU66</f>
        <v>73.200010677760019</v>
      </c>
      <c r="BN627">
        <f>'Bookings and Drivers'!BV66</f>
        <v>132.4116560880002</v>
      </c>
      <c r="BO627">
        <f>'Bookings and Drivers'!BW66</f>
        <v>236.42666991359988</v>
      </c>
      <c r="BP627">
        <f>'Bookings and Drivers'!BX66</f>
        <v>154.56026640000027</v>
      </c>
      <c r="BQ627">
        <f>'Bookings and Drivers'!BY66</f>
        <v>76.860011211648043</v>
      </c>
      <c r="BR627">
        <f>'Bookings and Drivers'!BZ66</f>
        <v>89.377867859400112</v>
      </c>
      <c r="BS627">
        <f>'Bookings and Drivers'!CA66</f>
        <v>90.630223466880125</v>
      </c>
      <c r="BT627">
        <f>'Bookings and Drivers'!CB66</f>
        <v>72.128124320000097</v>
      </c>
      <c r="BU627">
        <f>'Bookings and Drivers'!CC66</f>
        <v>80.703011772230411</v>
      </c>
      <c r="BV627">
        <f>'Bookings and Drivers'!CD66</f>
        <v>93.846761252370015</v>
      </c>
      <c r="BW627">
        <f>'Bookings and Drivers'!CE66</f>
        <v>95.16173464022404</v>
      </c>
      <c r="BX627">
        <f>'Bookings and Drivers'!CF66</f>
        <v>75.734530536000193</v>
      </c>
      <c r="BY627">
        <f>'Bookings and Drivers'!CG66</f>
        <v>0</v>
      </c>
      <c r="BZ627">
        <f>'Bookings and Drivers'!CH66</f>
        <v>0</v>
      </c>
      <c r="CA627">
        <f>'Bookings and Drivers'!CI66</f>
        <v>0</v>
      </c>
      <c r="CB627">
        <f>'Bookings and Drivers'!CJ66</f>
        <v>0</v>
      </c>
      <c r="CC627">
        <f>'Bookings and Drivers'!CK66</f>
        <v>0</v>
      </c>
      <c r="CD627">
        <f>'Bookings and Drivers'!CL66</f>
        <v>0</v>
      </c>
      <c r="CE627">
        <f>'Bookings and Drivers'!CM66</f>
        <v>0</v>
      </c>
      <c r="CF627">
        <f>'Bookings and Drivers'!CN66</f>
        <v>89.156999999999925</v>
      </c>
      <c r="CG627">
        <f>'Bookings and Drivers'!CO66</f>
        <v>615.48200000000088</v>
      </c>
      <c r="CH627">
        <f>'Bookings and Drivers'!CP66</f>
        <v>262.69099999999798</v>
      </c>
      <c r="CI627">
        <f>'Bookings and Drivers'!CQ66</f>
        <v>417.12820000000147</v>
      </c>
      <c r="CJ627">
        <f>'Bookings and Drivers'!CR66</f>
        <v>552.87778999999955</v>
      </c>
      <c r="CK627">
        <f>'Bookings and Drivers'!CS66</f>
        <v>561.72453299999916</v>
      </c>
      <c r="CL627">
        <f>'Bookings and Drivers'!CT66</f>
        <v>885.82833461999962</v>
      </c>
      <c r="CM627">
        <f>'Bookings and Drivers'!CU66</f>
        <v>1268.1982332860034</v>
      </c>
      <c r="CN627">
        <f>'Bookings and Drivers'!CV66</f>
        <v>495.93184317319901</v>
      </c>
      <c r="CO627">
        <f>'Bookings and Drivers'!CW66</f>
        <v>596.59860307936106</v>
      </c>
      <c r="CP627">
        <f>'Bookings and Drivers'!CX66</f>
        <v>328.99622685792747</v>
      </c>
      <c r="CQ627">
        <f>'Bookings and Drivers'!CY66</f>
        <v>345.44603820082466</v>
      </c>
      <c r="CR627">
        <f>'Bookings and Drivers'!CZ66</f>
        <v>290.17467208869311</v>
      </c>
      <c r="CS627">
        <f>'Bookings and Drivers'!DA66</f>
        <v>226.33624422918001</v>
      </c>
      <c r="CT627">
        <f>'Bookings and Drivers'!DB66</f>
        <v>155.41755437070424</v>
      </c>
      <c r="CU627">
        <f>'Bookings and Drivers'!DC66</f>
        <v>158.52590545811836</v>
      </c>
      <c r="CV627">
        <f>'Bookings and Drivers'!DD66</f>
        <v>161.69642356727945</v>
      </c>
      <c r="CW627">
        <f>'Bookings and Drivers'!DE66</f>
        <v>164.93035203862564</v>
      </c>
      <c r="CX627">
        <f>'Bookings and Drivers'!DF66</f>
        <v>168.22895907939892</v>
      </c>
    </row>
    <row r="629" spans="1:102">
      <c r="A629" t="str">
        <f>'Bookings and Drivers'!I67</f>
        <v>% of Domestic</v>
      </c>
      <c r="B629">
        <f>'Bookings and Drivers'!J67</f>
        <v>0</v>
      </c>
      <c r="C629">
        <f>'Bookings and Drivers'!K67</f>
        <v>0</v>
      </c>
      <c r="D629">
        <f>'Bookings and Drivers'!L67</f>
        <v>0</v>
      </c>
      <c r="E629">
        <f>'Bookings and Drivers'!M67</f>
        <v>0</v>
      </c>
      <c r="F629">
        <f>'Bookings and Drivers'!N67</f>
        <v>0</v>
      </c>
      <c r="G629">
        <f>'Bookings and Drivers'!O67</f>
        <v>0</v>
      </c>
      <c r="H629">
        <f>'Bookings and Drivers'!P67</f>
        <v>0</v>
      </c>
      <c r="I629">
        <f>'Bookings and Drivers'!Q67</f>
        <v>0</v>
      </c>
      <c r="J629">
        <f>'Bookings and Drivers'!R67</f>
        <v>0</v>
      </c>
      <c r="K629">
        <f>'Bookings and Drivers'!S67</f>
        <v>0</v>
      </c>
      <c r="L629">
        <f>'Bookings and Drivers'!T67</f>
        <v>0</v>
      </c>
      <c r="M629">
        <f>'Bookings and Drivers'!U67</f>
        <v>0</v>
      </c>
      <c r="N629">
        <f>'Bookings and Drivers'!V67</f>
        <v>0</v>
      </c>
      <c r="O629">
        <f>'Bookings and Drivers'!W67</f>
        <v>0</v>
      </c>
      <c r="P629">
        <f>'Bookings and Drivers'!X67</f>
        <v>0</v>
      </c>
      <c r="Q629">
        <f>'Bookings and Drivers'!Y67</f>
        <v>0</v>
      </c>
      <c r="R629">
        <f>'Bookings and Drivers'!Z67</f>
        <v>0</v>
      </c>
      <c r="S629">
        <f>'Bookings and Drivers'!AA67</f>
        <v>0</v>
      </c>
      <c r="T629">
        <f>'Bookings and Drivers'!AB67</f>
        <v>0</v>
      </c>
      <c r="U629">
        <f>'Bookings and Drivers'!AC67</f>
        <v>0</v>
      </c>
      <c r="V629">
        <f>'Bookings and Drivers'!AD67</f>
        <v>0</v>
      </c>
      <c r="W629">
        <f>'Bookings and Drivers'!AE67</f>
        <v>0</v>
      </c>
      <c r="X629">
        <f>'Bookings and Drivers'!AF67</f>
        <v>0</v>
      </c>
      <c r="Y629">
        <f>'Bookings and Drivers'!AG67</f>
        <v>0.43816230561995917</v>
      </c>
      <c r="Z629">
        <f>'Bookings and Drivers'!AH67</f>
        <v>0.44272956792470358</v>
      </c>
      <c r="AA629">
        <f>'Bookings and Drivers'!AI67</f>
        <v>0.40017672044885411</v>
      </c>
      <c r="AB629">
        <f>'Bookings and Drivers'!AJ67</f>
        <v>0.40620023908862812</v>
      </c>
      <c r="AC629">
        <f>'Bookings and Drivers'!AK67</f>
        <v>0.39858859009381559</v>
      </c>
      <c r="AD629">
        <f>'Bookings and Drivers'!AL67</f>
        <v>0.42377055315295903</v>
      </c>
      <c r="AE629">
        <f>'Bookings and Drivers'!AM67</f>
        <v>0.42201741931734199</v>
      </c>
      <c r="AF629">
        <f>'Bookings and Drivers'!AN67</f>
        <v>0.46870546510366823</v>
      </c>
      <c r="AG629">
        <f>'Bookings and Drivers'!AO67</f>
        <v>0.4952716348020994</v>
      </c>
      <c r="AH629">
        <f>'Bookings and Drivers'!AP67</f>
        <v>0.50819916449229841</v>
      </c>
      <c r="AI629">
        <f>'Bookings and Drivers'!AQ67</f>
        <v>0.48180850624767851</v>
      </c>
      <c r="AJ629">
        <f>'Bookings and Drivers'!AR67</f>
        <v>0.51287879777565848</v>
      </c>
      <c r="AK629">
        <f>'Bookings and Drivers'!AS67</f>
        <v>0.51146733211381679</v>
      </c>
      <c r="AL629">
        <f>'Bookings and Drivers'!AT67</f>
        <v>0.48397244479835422</v>
      </c>
      <c r="AM629">
        <f>'Bookings and Drivers'!AU67</f>
        <v>0.48482299755185398</v>
      </c>
      <c r="AN629">
        <f>'Bookings and Drivers'!AV67</f>
        <v>0.49979843149619185</v>
      </c>
      <c r="AO629">
        <f>'Bookings and Drivers'!AW67</f>
        <v>0.56144256329913589</v>
      </c>
      <c r="AP629">
        <f>'Bookings and Drivers'!AX67</f>
        <v>0.54088253621046933</v>
      </c>
      <c r="AQ629">
        <f>'Bookings and Drivers'!AY67</f>
        <v>0.51281355932203387</v>
      </c>
      <c r="AR629">
        <f>'Bookings and Drivers'!AZ67</f>
        <v>0.51477272727272705</v>
      </c>
      <c r="AS629">
        <f>'Bookings and Drivers'!BA67</f>
        <v>0.60817984056687302</v>
      </c>
      <c r="AT629">
        <f>'Bookings and Drivers'!BB67</f>
        <v>0.56922779051987771</v>
      </c>
      <c r="AU629">
        <f>'Bookings and Drivers'!BC67</f>
        <v>0.57122082018927445</v>
      </c>
      <c r="AV629">
        <f>'Bookings and Drivers'!BD67</f>
        <v>0.59018199233716484</v>
      </c>
      <c r="AW629">
        <f>'Bookings and Drivers'!BE67</f>
        <v>0.65696791111111108</v>
      </c>
      <c r="AX629">
        <f>'Bookings and Drivers'!BF67</f>
        <v>0.65696072258533011</v>
      </c>
      <c r="AY629">
        <f>'Bookings and Drivers'!BG67</f>
        <v>0.68481459896983032</v>
      </c>
      <c r="AZ629">
        <f>'Bookings and Drivers'!BH67</f>
        <v>0.6149449541284403</v>
      </c>
      <c r="BA629">
        <f>'Bookings and Drivers'!BI67</f>
        <v>0.68585034884671503</v>
      </c>
      <c r="BB629">
        <f>'Bookings and Drivers'!BJ67</f>
        <v>0.69470245286085819</v>
      </c>
      <c r="BC629">
        <f>'Bookings and Drivers'!BK67</f>
        <v>0.78039060983606501</v>
      </c>
      <c r="BD629">
        <f>'Bookings and Drivers'!BL67</f>
        <v>0.70589485134155194</v>
      </c>
      <c r="BE629">
        <f>'Bookings and Drivers'!BM67</f>
        <v>0.76746091099328118</v>
      </c>
      <c r="BF629">
        <f>'Bookings and Drivers'!BN67</f>
        <v>0.78975651091056032</v>
      </c>
      <c r="BG629">
        <f>'Bookings and Drivers'!BO67</f>
        <v>0.88625203405622532</v>
      </c>
      <c r="BH629">
        <f>'Bookings and Drivers'!BP67</f>
        <v>0.85591528751753176</v>
      </c>
      <c r="BI629">
        <f>'Bookings and Drivers'!BQ67</f>
        <v>0.87619629997320558</v>
      </c>
      <c r="BJ629">
        <f>'Bookings and Drivers'!BR67</f>
        <v>0.88551697061027823</v>
      </c>
      <c r="BK629">
        <f>'Bookings and Drivers'!BS67</f>
        <v>0.92716341142588232</v>
      </c>
      <c r="BL629">
        <f>'Bookings and Drivers'!BT67</f>
        <v>0.97798194381169357</v>
      </c>
      <c r="BM629">
        <f>'Bookings and Drivers'!BU67</f>
        <v>0.93691723909734159</v>
      </c>
      <c r="BN629">
        <f>'Bookings and Drivers'!BV67</f>
        <v>0.94355870999454328</v>
      </c>
      <c r="BO629">
        <f>'Bookings and Drivers'!BW67</f>
        <v>0.96378903150952033</v>
      </c>
      <c r="BP629">
        <f>'Bookings and Drivers'!BX67</f>
        <v>0.98612414512519819</v>
      </c>
      <c r="BQ629">
        <f>'Bookings and Drivers'!BY67</f>
        <v>0.95704151273799809</v>
      </c>
      <c r="BR629">
        <f>'Bookings and Drivers'!BZ67</f>
        <v>0.96165098401889093</v>
      </c>
      <c r="BS629">
        <f>'Bookings and Drivers'!CA67</f>
        <v>0.97556440886614881</v>
      </c>
      <c r="BT629">
        <f>'Bookings and Drivers'!CB67</f>
        <v>0.99070644474212233</v>
      </c>
      <c r="BU629">
        <f>'Bookings and Drivers'!CC67</f>
        <v>0.96693149230836895</v>
      </c>
      <c r="BV629">
        <f>'Bookings and Drivers'!CD67</f>
        <v>0.97051245969188848</v>
      </c>
      <c r="BW629">
        <f>'Bookings and Drivers'!CE67</f>
        <v>0.981273455760306</v>
      </c>
      <c r="BX629">
        <f>'Bookings and Drivers'!CF67</f>
        <v>0.99290349318966953</v>
      </c>
      <c r="BY629">
        <f>'Bookings and Drivers'!CG67</f>
        <v>0</v>
      </c>
      <c r="BZ629">
        <f>'Bookings and Drivers'!CH67</f>
        <v>0</v>
      </c>
      <c r="CA629">
        <f>'Bookings and Drivers'!CI67</f>
        <v>0</v>
      </c>
      <c r="CB629">
        <f>'Bookings and Drivers'!CJ67</f>
        <v>0</v>
      </c>
      <c r="CC629">
        <f>'Bookings and Drivers'!CK67</f>
        <v>0</v>
      </c>
      <c r="CD629">
        <f>'Bookings and Drivers'!CL67</f>
        <v>0</v>
      </c>
      <c r="CE629">
        <f>'Bookings and Drivers'!CM67</f>
        <v>0.42290715180024241</v>
      </c>
      <c r="CF629">
        <f>'Bookings and Drivers'!CN67</f>
        <v>0.42864589498114297</v>
      </c>
      <c r="CG629">
        <f>'Bookings and Drivers'!CO67</f>
        <v>0.49937373286364406</v>
      </c>
      <c r="CH629">
        <f>'Bookings and Drivers'!CP67</f>
        <v>0.49423301499813838</v>
      </c>
      <c r="CI629">
        <f>'Bookings and Drivers'!CQ67</f>
        <v>0.53255958805912973</v>
      </c>
      <c r="CJ629">
        <f>'Bookings and Drivers'!CR67</f>
        <v>0.58362665613813436</v>
      </c>
      <c r="CK629">
        <f>'Bookings and Drivers'!CS67</f>
        <v>0.655400614038537</v>
      </c>
      <c r="CL629">
        <f>'Bookings and Drivers'!CT67</f>
        <v>0.7182352899063511</v>
      </c>
      <c r="CM629">
        <f>'Bookings and Drivers'!CU67</f>
        <v>0.82368569362143529</v>
      </c>
      <c r="CN629">
        <f>'Bookings and Drivers'!CV67</f>
        <v>0.91250967425334772</v>
      </c>
      <c r="CO629">
        <f>'Bookings and Drivers'!CW67</f>
        <v>0.95655786271544074</v>
      </c>
      <c r="CP629">
        <f>'Bookings and Drivers'!CX67</f>
        <v>0.97061303089487994</v>
      </c>
      <c r="CQ629">
        <f>'Bookings and Drivers'!CY67</f>
        <v>0.97745216340145391</v>
      </c>
      <c r="CR629">
        <f>'Bookings and Drivers'!CZ67</f>
        <v>0.98256478885682985</v>
      </c>
      <c r="CS629">
        <f>'Bookings and Drivers'!DA67</f>
        <v>0.98640515964630904</v>
      </c>
      <c r="CT629">
        <f>'Bookings and Drivers'!DB67</f>
        <v>0.98798533646054065</v>
      </c>
      <c r="CU629">
        <f>'Bookings and Drivers'!DC67</f>
        <v>0.98938382042687167</v>
      </c>
      <c r="CV629">
        <f>'Bookings and Drivers'!DD67</f>
        <v>0.99062106879808165</v>
      </c>
      <c r="CW629">
        <f>'Bookings and Drivers'!DE67</f>
        <v>0.99171533113485821</v>
      </c>
      <c r="CX629">
        <f>'Bookings and Drivers'!DF67</f>
        <v>0.9926828662919559</v>
      </c>
    </row>
    <row r="630" spans="1:102">
      <c r="A630">
        <f>'Bookings and Drivers'!I69</f>
        <v>0</v>
      </c>
      <c r="B630">
        <f>'Bookings and Drivers'!J69</f>
        <v>0</v>
      </c>
      <c r="C630">
        <f>'Bookings and Drivers'!K69</f>
        <v>0</v>
      </c>
      <c r="D630">
        <f>'Bookings and Drivers'!L69</f>
        <v>0</v>
      </c>
      <c r="E630">
        <f>'Bookings and Drivers'!M69</f>
        <v>0</v>
      </c>
      <c r="F630">
        <f>'Bookings and Drivers'!N69</f>
        <v>0</v>
      </c>
      <c r="G630">
        <f>'Bookings and Drivers'!O69</f>
        <v>0</v>
      </c>
      <c r="H630">
        <f>'Bookings and Drivers'!P69</f>
        <v>0</v>
      </c>
      <c r="I630">
        <f>'Bookings and Drivers'!Q69</f>
        <v>0</v>
      </c>
      <c r="J630">
        <f>'Bookings and Drivers'!R69</f>
        <v>0</v>
      </c>
      <c r="K630">
        <f>'Bookings and Drivers'!S69</f>
        <v>0</v>
      </c>
      <c r="L630">
        <f>'Bookings and Drivers'!T69</f>
        <v>0</v>
      </c>
      <c r="M630">
        <f>'Bookings and Drivers'!U69</f>
        <v>0</v>
      </c>
      <c r="N630">
        <f>'Bookings and Drivers'!V69</f>
        <v>0</v>
      </c>
      <c r="O630">
        <f>'Bookings and Drivers'!W69</f>
        <v>0</v>
      </c>
      <c r="P630">
        <f>'Bookings and Drivers'!X69</f>
        <v>0</v>
      </c>
      <c r="Q630">
        <f>'Bookings and Drivers'!Y69</f>
        <v>0</v>
      </c>
      <c r="R630">
        <f>'Bookings and Drivers'!Z69</f>
        <v>0</v>
      </c>
      <c r="S630">
        <f>'Bookings and Drivers'!AA69</f>
        <v>0</v>
      </c>
      <c r="T630">
        <f>'Bookings and Drivers'!AB69</f>
        <v>0</v>
      </c>
      <c r="U630">
        <f>'Bookings and Drivers'!AC69</f>
        <v>0</v>
      </c>
      <c r="V630">
        <f>'Bookings and Drivers'!AD69</f>
        <v>0</v>
      </c>
      <c r="W630">
        <f>'Bookings and Drivers'!AE69</f>
        <v>0</v>
      </c>
      <c r="X630">
        <f>'Bookings and Drivers'!AF69</f>
        <v>0</v>
      </c>
      <c r="Y630">
        <f>'Bookings and Drivers'!AG69</f>
        <v>0</v>
      </c>
      <c r="Z630">
        <f>'Bookings and Drivers'!AH69</f>
        <v>0</v>
      </c>
      <c r="AA630">
        <f>'Bookings and Drivers'!AI69</f>
        <v>0</v>
      </c>
      <c r="AB630">
        <f>'Bookings and Drivers'!AJ69</f>
        <v>0</v>
      </c>
      <c r="AC630">
        <f>'Bookings and Drivers'!AK69</f>
        <v>0</v>
      </c>
      <c r="AD630">
        <f>'Bookings and Drivers'!AL69</f>
        <v>0</v>
      </c>
      <c r="AE630">
        <f>'Bookings and Drivers'!AM69</f>
        <v>0</v>
      </c>
      <c r="AF630">
        <f>'Bookings and Drivers'!AN69</f>
        <v>0</v>
      </c>
      <c r="AG630">
        <f>'Bookings and Drivers'!AO69</f>
        <v>0</v>
      </c>
      <c r="AH630">
        <f>'Bookings and Drivers'!AP69</f>
        <v>0</v>
      </c>
      <c r="AI630">
        <f>'Bookings and Drivers'!AQ69</f>
        <v>0</v>
      </c>
      <c r="AJ630">
        <f>'Bookings and Drivers'!AR69</f>
        <v>0</v>
      </c>
      <c r="AK630">
        <f>'Bookings and Drivers'!AS69</f>
        <v>0</v>
      </c>
      <c r="AL630">
        <f>'Bookings and Drivers'!AT69</f>
        <v>0</v>
      </c>
      <c r="AM630">
        <f>'Bookings and Drivers'!AU69</f>
        <v>0</v>
      </c>
      <c r="AN630">
        <f>'Bookings and Drivers'!AV69</f>
        <v>0</v>
      </c>
      <c r="AO630">
        <f>'Bookings and Drivers'!AW69</f>
        <v>0</v>
      </c>
      <c r="AP630">
        <f>'Bookings and Drivers'!AX69</f>
        <v>0</v>
      </c>
      <c r="AQ630">
        <f>'Bookings and Drivers'!AY69</f>
        <v>0</v>
      </c>
      <c r="AR630">
        <f>'Bookings and Drivers'!AZ69</f>
        <v>0</v>
      </c>
      <c r="AS630">
        <f>'Bookings and Drivers'!BA69</f>
        <v>0</v>
      </c>
      <c r="AT630">
        <f>'Bookings and Drivers'!BB69</f>
        <v>0</v>
      </c>
      <c r="AU630">
        <f>'Bookings and Drivers'!BC69</f>
        <v>0</v>
      </c>
      <c r="AV630">
        <f>'Bookings and Drivers'!BD69</f>
        <v>0</v>
      </c>
      <c r="AW630">
        <f>'Bookings and Drivers'!BE69</f>
        <v>0</v>
      </c>
      <c r="AX630">
        <f>'Bookings and Drivers'!BF69</f>
        <v>0</v>
      </c>
      <c r="AY630">
        <f>'Bookings and Drivers'!BG69</f>
        <v>0</v>
      </c>
      <c r="AZ630">
        <f>'Bookings and Drivers'!BH69</f>
        <v>0</v>
      </c>
      <c r="BA630">
        <f>'Bookings and Drivers'!BI69</f>
        <v>0</v>
      </c>
      <c r="BB630">
        <f>'Bookings and Drivers'!BJ69</f>
        <v>0</v>
      </c>
      <c r="BC630">
        <f>'Bookings and Drivers'!BK69</f>
        <v>0</v>
      </c>
      <c r="BD630">
        <f>'Bookings and Drivers'!BL69</f>
        <v>0</v>
      </c>
      <c r="BE630">
        <f>'Bookings and Drivers'!BM69</f>
        <v>0</v>
      </c>
      <c r="BF630">
        <f>'Bookings and Drivers'!BN69</f>
        <v>0</v>
      </c>
      <c r="BG630">
        <f>'Bookings and Drivers'!BO69</f>
        <v>0</v>
      </c>
      <c r="BH630">
        <f>'Bookings and Drivers'!BP69</f>
        <v>0</v>
      </c>
      <c r="BI630">
        <f>'Bookings and Drivers'!BQ69</f>
        <v>0</v>
      </c>
      <c r="BJ630">
        <f>'Bookings and Drivers'!BR69</f>
        <v>0</v>
      </c>
      <c r="BK630">
        <f>'Bookings and Drivers'!BS69</f>
        <v>0</v>
      </c>
      <c r="BL630">
        <f>'Bookings and Drivers'!BT69</f>
        <v>0</v>
      </c>
      <c r="BM630">
        <f>'Bookings and Drivers'!BU69</f>
        <v>0</v>
      </c>
      <c r="BN630">
        <f>'Bookings and Drivers'!BV69</f>
        <v>0</v>
      </c>
      <c r="BO630">
        <f>'Bookings and Drivers'!BW69</f>
        <v>0</v>
      </c>
      <c r="BP630">
        <f>'Bookings and Drivers'!BX69</f>
        <v>0</v>
      </c>
      <c r="BQ630">
        <f>'Bookings and Drivers'!BY69</f>
        <v>0</v>
      </c>
      <c r="BR630">
        <f>'Bookings and Drivers'!BZ69</f>
        <v>0</v>
      </c>
      <c r="BS630">
        <f>'Bookings and Drivers'!CA69</f>
        <v>0</v>
      </c>
      <c r="BT630">
        <f>'Bookings and Drivers'!CB69</f>
        <v>0</v>
      </c>
      <c r="BU630">
        <f>'Bookings and Drivers'!CC69</f>
        <v>0</v>
      </c>
      <c r="BV630">
        <f>'Bookings and Drivers'!CD69</f>
        <v>0</v>
      </c>
      <c r="BW630">
        <f>'Bookings and Drivers'!CE69</f>
        <v>0</v>
      </c>
      <c r="BX630">
        <f>'Bookings and Drivers'!CF69</f>
        <v>0</v>
      </c>
      <c r="BY630">
        <f>'Bookings and Drivers'!CG69</f>
        <v>0</v>
      </c>
      <c r="BZ630">
        <f>'Bookings and Drivers'!CH69</f>
        <v>0</v>
      </c>
      <c r="CA630">
        <f>'Bookings and Drivers'!CI69</f>
        <v>0</v>
      </c>
      <c r="CB630">
        <f>'Bookings and Drivers'!CJ69</f>
        <v>0</v>
      </c>
      <c r="CC630">
        <f>'Bookings and Drivers'!CK69</f>
        <v>0</v>
      </c>
      <c r="CD630">
        <f>'Bookings and Drivers'!CL69</f>
        <v>0</v>
      </c>
      <c r="CE630">
        <f>'Bookings and Drivers'!CM69</f>
        <v>0</v>
      </c>
      <c r="CF630">
        <f>'Bookings and Drivers'!CN69</f>
        <v>0</v>
      </c>
      <c r="CG630">
        <f>'Bookings and Drivers'!CO69</f>
        <v>0</v>
      </c>
      <c r="CH630">
        <f>'Bookings and Drivers'!CP69</f>
        <v>0</v>
      </c>
      <c r="CI630">
        <f>'Bookings and Drivers'!CQ69</f>
        <v>0</v>
      </c>
      <c r="CJ630">
        <f>'Bookings and Drivers'!CR69</f>
        <v>0</v>
      </c>
      <c r="CK630">
        <f>'Bookings and Drivers'!CS69</f>
        <v>0</v>
      </c>
      <c r="CL630">
        <f>'Bookings and Drivers'!CT69</f>
        <v>0</v>
      </c>
      <c r="CM630">
        <f>'Bookings and Drivers'!CU69</f>
        <v>0</v>
      </c>
      <c r="CN630">
        <f>'Bookings and Drivers'!CV69</f>
        <v>0</v>
      </c>
      <c r="CO630">
        <f>'Bookings and Drivers'!CW69</f>
        <v>0</v>
      </c>
      <c r="CP630">
        <f>'Bookings and Drivers'!CX69</f>
        <v>0</v>
      </c>
      <c r="CQ630">
        <f>'Bookings and Drivers'!CY69</f>
        <v>0</v>
      </c>
      <c r="CR630">
        <f>'Bookings and Drivers'!CZ69</f>
        <v>0</v>
      </c>
      <c r="CS630">
        <f>'Bookings and Drivers'!DA69</f>
        <v>0</v>
      </c>
      <c r="CT630">
        <f>'Bookings and Drivers'!DB69</f>
        <v>0</v>
      </c>
      <c r="CU630">
        <f>'Bookings and Drivers'!DC69</f>
        <v>0</v>
      </c>
      <c r="CV630">
        <f>'Bookings and Drivers'!DD69</f>
        <v>0</v>
      </c>
      <c r="CW630">
        <f>'Bookings and Drivers'!DE69</f>
        <v>0</v>
      </c>
      <c r="CX630">
        <f>'Bookings and Drivers'!DF69</f>
        <v>0</v>
      </c>
    </row>
    <row r="631" spans="1:102">
      <c r="A631" t="str">
        <f>'Bookings and Drivers'!I70</f>
        <v>Implied Domestic, Non-Air Agency Bookings</v>
      </c>
      <c r="B631">
        <f>'Bookings and Drivers'!J70</f>
        <v>0</v>
      </c>
      <c r="C631">
        <f>'Bookings and Drivers'!K70</f>
        <v>0</v>
      </c>
      <c r="D631">
        <f>'Bookings and Drivers'!L70</f>
        <v>0</v>
      </c>
      <c r="E631">
        <f>'Bookings and Drivers'!M70</f>
        <v>0</v>
      </c>
      <c r="F631">
        <f>'Bookings and Drivers'!N70</f>
        <v>0</v>
      </c>
      <c r="G631">
        <f>'Bookings and Drivers'!O70</f>
        <v>0</v>
      </c>
      <c r="H631">
        <f>'Bookings and Drivers'!P70</f>
        <v>0</v>
      </c>
      <c r="I631">
        <f>'Bookings and Drivers'!Q70</f>
        <v>0</v>
      </c>
      <c r="J631">
        <f>'Bookings and Drivers'!R70</f>
        <v>0</v>
      </c>
      <c r="K631">
        <f>'Bookings and Drivers'!S70</f>
        <v>0</v>
      </c>
      <c r="L631">
        <f>'Bookings and Drivers'!T70</f>
        <v>0</v>
      </c>
      <c r="M631">
        <f>'Bookings and Drivers'!U70</f>
        <v>0</v>
      </c>
      <c r="N631">
        <f>'Bookings and Drivers'!V70</f>
        <v>0</v>
      </c>
      <c r="O631">
        <f>'Bookings and Drivers'!W70</f>
        <v>0</v>
      </c>
      <c r="P631">
        <f>'Bookings and Drivers'!X70</f>
        <v>0</v>
      </c>
      <c r="Q631">
        <f>'Bookings and Drivers'!Y70</f>
        <v>0</v>
      </c>
      <c r="R631">
        <f>'Bookings and Drivers'!Z70</f>
        <v>0</v>
      </c>
      <c r="S631">
        <f>'Bookings and Drivers'!AA70</f>
        <v>0</v>
      </c>
      <c r="T631">
        <f>'Bookings and Drivers'!AB70</f>
        <v>0</v>
      </c>
      <c r="U631">
        <f>'Bookings and Drivers'!AC70</f>
        <v>0</v>
      </c>
      <c r="V631">
        <f>'Bookings and Drivers'!AD70</f>
        <v>0</v>
      </c>
      <c r="W631">
        <f>'Bookings and Drivers'!AE70</f>
        <v>0</v>
      </c>
      <c r="X631">
        <f>'Bookings and Drivers'!AF70</f>
        <v>0</v>
      </c>
      <c r="Y631">
        <f>'Bookings and Drivers'!AG70</f>
        <v>7.4919999999999618</v>
      </c>
      <c r="Z631">
        <f>'Bookings and Drivers'!AH70</f>
        <v>14.600999999999971</v>
      </c>
      <c r="AA631">
        <f>'Bookings and Drivers'!AI70</f>
        <v>12.17999999999995</v>
      </c>
      <c r="AB631">
        <f>'Bookings and Drivers'!AJ70</f>
        <v>19.053999999999974</v>
      </c>
      <c r="AC631">
        <f>'Bookings and Drivers'!AK70</f>
        <v>11.609500000000054</v>
      </c>
      <c r="AD631">
        <f>'Bookings and Drivers'!AL70</f>
        <v>12.982999999999976</v>
      </c>
      <c r="AE631">
        <f>'Bookings and Drivers'!AM70</f>
        <v>16.057699999999983</v>
      </c>
      <c r="AF631">
        <f>'Bookings and Drivers'!AN70</f>
        <v>28.613999999999947</v>
      </c>
      <c r="AG631">
        <f>'Bookings and Drivers'!AO70</f>
        <v>17.853749999999991</v>
      </c>
      <c r="AH631">
        <f>'Bookings and Drivers'!AP70</f>
        <v>22.164700000000039</v>
      </c>
      <c r="AI631">
        <f>'Bookings and Drivers'!AQ70</f>
        <v>19.26215000000002</v>
      </c>
      <c r="AJ631">
        <f>'Bookings and Drivers'!AR70</f>
        <v>17.666699999999992</v>
      </c>
      <c r="AK631">
        <f>'Bookings and Drivers'!AS70</f>
        <v>43.53389999999996</v>
      </c>
      <c r="AL631">
        <f>'Bookings and Drivers'!AT70</f>
        <v>46.677399999999977</v>
      </c>
      <c r="AM631">
        <f>'Bookings and Drivers'!AU70</f>
        <v>48.419999999999959</v>
      </c>
      <c r="AN631">
        <f>'Bookings and Drivers'!AV70</f>
        <v>41.532399999999996</v>
      </c>
      <c r="AO631">
        <f>'Bookings and Drivers'!AW70</f>
        <v>55.54631999999998</v>
      </c>
      <c r="AP631">
        <f>'Bookings and Drivers'!AX70</f>
        <v>62.411299999999983</v>
      </c>
      <c r="AQ631">
        <f>'Bookings and Drivers'!AY70</f>
        <v>57.486400000000003</v>
      </c>
      <c r="AR631">
        <f>'Bookings and Drivers'!AZ70</f>
        <v>46.432499999999948</v>
      </c>
      <c r="AS631">
        <f>'Bookings and Drivers'!BA70</f>
        <v>168.17224754716938</v>
      </c>
      <c r="AT631">
        <f>'Bookings and Drivers'!BB70</f>
        <v>154.60739785276076</v>
      </c>
      <c r="AU631">
        <f>'Bookings and Drivers'!BC70</f>
        <v>208.42185365853652</v>
      </c>
      <c r="AV631">
        <f>'Bookings and Drivers'!BD70</f>
        <v>175.92760581818192</v>
      </c>
      <c r="AW631">
        <f>'Bookings and Drivers'!BE70</f>
        <v>283.3936359245281</v>
      </c>
      <c r="AX631">
        <f>'Bookings and Drivers'!BF70</f>
        <v>273.39638420245353</v>
      </c>
      <c r="AY631">
        <f>'Bookings and Drivers'!BG70</f>
        <v>355.12755798780427</v>
      </c>
      <c r="AZ631">
        <f>'Bookings and Drivers'!BH70</f>
        <v>212.45871005090902</v>
      </c>
      <c r="BA631">
        <f>'Bookings and Drivers'!BI70</f>
        <v>343.85262350490507</v>
      </c>
      <c r="BB631">
        <f>'Bookings and Drivers'!BJ70</f>
        <v>393.02714454662555</v>
      </c>
      <c r="BC631">
        <f>'Bookings and Drivers'!BK70</f>
        <v>597.83947131585273</v>
      </c>
      <c r="BD631">
        <f>'Bookings and Drivers'!BL70</f>
        <v>361.24316086807278</v>
      </c>
      <c r="BE631">
        <f>'Bookings and Drivers'!BM70</f>
        <v>534.40971712241617</v>
      </c>
      <c r="BF631">
        <f>'Bookings and Drivers'!BN70</f>
        <v>573.03485647868683</v>
      </c>
      <c r="BG631">
        <f>'Bookings and Drivers'!BO70</f>
        <v>798.23392016182981</v>
      </c>
      <c r="BH631">
        <f>'Bookings and Drivers'!BP70</f>
        <v>619.23266467486269</v>
      </c>
      <c r="BI631">
        <f>'Bookings and Drivers'!BQ70</f>
        <v>720.41870555640776</v>
      </c>
      <c r="BJ631">
        <f>'Bookings and Drivers'!BR70</f>
        <v>699.89974738469516</v>
      </c>
      <c r="BK631">
        <f>'Bookings and Drivers'!BS70</f>
        <v>792.34925546592069</v>
      </c>
      <c r="BL631">
        <f>'Bookings and Drivers'!BT70</f>
        <v>662.64758326185722</v>
      </c>
      <c r="BM631">
        <f>'Bookings and Drivers'!BU70</f>
        <v>847.90016631807964</v>
      </c>
      <c r="BN631">
        <f>'Bookings and Drivers'!BV70</f>
        <v>814.11624244954658</v>
      </c>
      <c r="BO631">
        <f>'Bookings and Drivers'!BW70</f>
        <v>1030.7354967394158</v>
      </c>
      <c r="BP631">
        <f>'Bookings and Drivers'!BX70</f>
        <v>830.45065373395937</v>
      </c>
      <c r="BQ631">
        <f>'Bookings and Drivers'!BY70</f>
        <v>904.0811757922811</v>
      </c>
      <c r="BR631">
        <f>'Bookings and Drivers'!BZ70</f>
        <v>939.51143155426939</v>
      </c>
      <c r="BS631">
        <f>'Bookings and Drivers'!CA70</f>
        <v>1168.6893685477648</v>
      </c>
      <c r="BT631">
        <f>'Bookings and Drivers'!CB70</f>
        <v>878.09430474731778</v>
      </c>
      <c r="BU631">
        <f>'Bookings and Drivers'!CC70</f>
        <v>948.85924714610383</v>
      </c>
      <c r="BV631">
        <f>'Bookings and Drivers'!CD70</f>
        <v>947.67765808136721</v>
      </c>
      <c r="BW631">
        <f>'Bookings and Drivers'!CE70</f>
        <v>1211.6983851657619</v>
      </c>
      <c r="BX631">
        <f>'Bookings and Drivers'!CF70</f>
        <v>915.12377988017886</v>
      </c>
      <c r="BY631">
        <f>'Bookings and Drivers'!CG70</f>
        <v>0</v>
      </c>
      <c r="BZ631">
        <f>'Bookings and Drivers'!CH70</f>
        <v>0</v>
      </c>
      <c r="CA631">
        <f>'Bookings and Drivers'!CI70</f>
        <v>0</v>
      </c>
      <c r="CB631">
        <f>'Bookings and Drivers'!CJ70</f>
        <v>0</v>
      </c>
      <c r="CC631">
        <f>'Bookings and Drivers'!CK70</f>
        <v>0</v>
      </c>
      <c r="CD631">
        <f>'Bookings and Drivers'!CL70</f>
        <v>0</v>
      </c>
      <c r="CE631">
        <f>'Bookings and Drivers'!CM70</f>
        <v>53.327000000000112</v>
      </c>
      <c r="CF631">
        <f>'Bookings and Drivers'!CN70</f>
        <v>69.26419999999996</v>
      </c>
      <c r="CG631">
        <f>'Bookings and Drivers'!CO70</f>
        <v>76.947300000000951</v>
      </c>
      <c r="CH631">
        <f>'Bookings and Drivers'!CP70</f>
        <v>180.16369999999915</v>
      </c>
      <c r="CI631">
        <f>'Bookings and Drivers'!CQ70</f>
        <v>221.8765199999998</v>
      </c>
      <c r="CJ631">
        <f>'Bookings and Drivers'!CR70</f>
        <v>707.1291048766484</v>
      </c>
      <c r="CK631">
        <f>'Bookings and Drivers'!CS70</f>
        <v>1124.3762881656949</v>
      </c>
      <c r="CL631">
        <f>'Bookings and Drivers'!CT70</f>
        <v>1695.9624002354562</v>
      </c>
      <c r="CM631">
        <f>'Bookings and Drivers'!CU70</f>
        <v>2524.9111584377952</v>
      </c>
      <c r="CN631">
        <f>'Bookings and Drivers'!CV70</f>
        <v>2875.3152916688805</v>
      </c>
      <c r="CO631">
        <f>'Bookings and Drivers'!CW70</f>
        <v>3523.2025592410023</v>
      </c>
      <c r="CP631">
        <f>'Bookings and Drivers'!CX70</f>
        <v>3890.376280641633</v>
      </c>
      <c r="CQ631">
        <f>'Bookings and Drivers'!CY70</f>
        <v>4023.3590702734118</v>
      </c>
      <c r="CR631">
        <f>'Bookings and Drivers'!CZ70</f>
        <v>4086.1160572289691</v>
      </c>
      <c r="CS631">
        <f>'Bookings and Drivers'!DA70</f>
        <v>4069.027596905039</v>
      </c>
      <c r="CT631">
        <f>'Bookings and Drivers'!DB70</f>
        <v>3963.8867573580519</v>
      </c>
      <c r="CU631">
        <f>'Bookings and Drivers'!DC70</f>
        <v>3843.5146078073194</v>
      </c>
      <c r="CV631">
        <f>'Bookings and Drivers'!DD70</f>
        <v>3706.6824600314249</v>
      </c>
      <c r="CW631">
        <f>'Bookings and Drivers'!DE70</f>
        <v>3552.0720110222701</v>
      </c>
      <c r="CX631">
        <f>'Bookings and Drivers'!DF70</f>
        <v>3378.2689727124452</v>
      </c>
    </row>
    <row r="632" spans="1:102">
      <c r="A632" t="str">
        <f>'Bookings and Drivers'!I71</f>
        <v>% change Y/Y</v>
      </c>
      <c r="B632">
        <f>'Bookings and Drivers'!J71</f>
        <v>0</v>
      </c>
      <c r="C632">
        <f>'Bookings and Drivers'!K71</f>
        <v>0</v>
      </c>
      <c r="D632">
        <f>'Bookings and Drivers'!L71</f>
        <v>0</v>
      </c>
      <c r="E632">
        <f>'Bookings and Drivers'!M71</f>
        <v>0</v>
      </c>
      <c r="F632">
        <f>'Bookings and Drivers'!N71</f>
        <v>0</v>
      </c>
      <c r="G632">
        <f>'Bookings and Drivers'!O71</f>
        <v>0</v>
      </c>
      <c r="H632">
        <f>'Bookings and Drivers'!P71</f>
        <v>0</v>
      </c>
      <c r="I632">
        <f>'Bookings and Drivers'!Q71</f>
        <v>0</v>
      </c>
      <c r="J632">
        <f>'Bookings and Drivers'!R71</f>
        <v>0</v>
      </c>
      <c r="K632">
        <f>'Bookings and Drivers'!S71</f>
        <v>0</v>
      </c>
      <c r="L632">
        <f>'Bookings and Drivers'!T71</f>
        <v>0</v>
      </c>
      <c r="M632">
        <f>'Bookings and Drivers'!U71</f>
        <v>0</v>
      </c>
      <c r="N632">
        <f>'Bookings and Drivers'!V71</f>
        <v>0</v>
      </c>
      <c r="O632">
        <f>'Bookings and Drivers'!W71</f>
        <v>0</v>
      </c>
      <c r="P632">
        <f>'Bookings and Drivers'!X71</f>
        <v>0</v>
      </c>
      <c r="Q632">
        <f>'Bookings and Drivers'!Y71</f>
        <v>0</v>
      </c>
      <c r="R632">
        <f>'Bookings and Drivers'!Z71</f>
        <v>0</v>
      </c>
      <c r="S632">
        <f>'Bookings and Drivers'!AA71</f>
        <v>0</v>
      </c>
      <c r="T632">
        <f>'Bookings and Drivers'!AB71</f>
        <v>0</v>
      </c>
      <c r="U632">
        <f>'Bookings and Drivers'!AC71</f>
        <v>0</v>
      </c>
      <c r="V632">
        <f>'Bookings and Drivers'!AD71</f>
        <v>0</v>
      </c>
      <c r="W632">
        <f>'Bookings and Drivers'!AE71</f>
        <v>0</v>
      </c>
      <c r="X632">
        <f>'Bookings and Drivers'!AF71</f>
        <v>0</v>
      </c>
      <c r="Y632">
        <f>'Bookings and Drivers'!AG71</f>
        <v>0</v>
      </c>
      <c r="Z632">
        <f>'Bookings and Drivers'!AH71</f>
        <v>0</v>
      </c>
      <c r="AA632">
        <f>'Bookings and Drivers'!AI71</f>
        <v>0</v>
      </c>
      <c r="AB632">
        <f>'Bookings and Drivers'!AJ71</f>
        <v>0</v>
      </c>
      <c r="AC632">
        <f>'Bookings and Drivers'!AK71</f>
        <v>0.54958622530700918</v>
      </c>
      <c r="AD632">
        <f>'Bookings and Drivers'!AL71</f>
        <v>-0.11081432778576794</v>
      </c>
      <c r="AE632">
        <f>'Bookings and Drivers'!AM71</f>
        <v>0.31836617405583323</v>
      </c>
      <c r="AF632">
        <f>'Bookings and Drivers'!AN71</f>
        <v>0.50173191980686394</v>
      </c>
      <c r="AG632">
        <f>'Bookings and Drivers'!AO71</f>
        <v>0.53785692751625036</v>
      </c>
      <c r="AH632">
        <f>'Bookings and Drivers'!AP71</f>
        <v>0.70720942771316953</v>
      </c>
      <c r="AI632">
        <f>'Bookings and Drivers'!AQ71</f>
        <v>0.19955846727738336</v>
      </c>
      <c r="AJ632">
        <f>'Bookings and Drivers'!AR71</f>
        <v>-0.38258544768295155</v>
      </c>
      <c r="AK632">
        <f>'Bookings and Drivers'!AS71</f>
        <v>1.4383616887208559</v>
      </c>
      <c r="AL632">
        <f>'Bookings and Drivers'!AT71</f>
        <v>1.1059342107044037</v>
      </c>
      <c r="AM632">
        <f>'Bookings and Drivers'!AU71</f>
        <v>1.5137380821974653</v>
      </c>
      <c r="AN632">
        <f>'Bookings and Drivers'!AV71</f>
        <v>1.3508861304035285</v>
      </c>
      <c r="AO632">
        <f>'Bookings and Drivers'!AW71</f>
        <v>0.2759325491168958</v>
      </c>
      <c r="AP632">
        <f>'Bookings and Drivers'!AX71</f>
        <v>0.3370774721813985</v>
      </c>
      <c r="AQ632">
        <f>'Bookings and Drivers'!AY71</f>
        <v>0.18724494010739479</v>
      </c>
      <c r="AR632">
        <f>'Bookings and Drivers'!AZ71</f>
        <v>0.1179825870886333</v>
      </c>
      <c r="AS632">
        <f>'Bookings and Drivers'!BA71</f>
        <v>2.0276037646988936</v>
      </c>
      <c r="AT632">
        <f>'Bookings and Drivers'!BB71</f>
        <v>1.4772340562167554</v>
      </c>
      <c r="AU632">
        <f>'Bookings and Drivers'!BC71</f>
        <v>2.6255854194824604</v>
      </c>
      <c r="AV632">
        <f>'Bookings and Drivers'!BD71</f>
        <v>2.7888893731369646</v>
      </c>
      <c r="AW632">
        <f>'Bookings and Drivers'!BE71</f>
        <v>0.68513913596261555</v>
      </c>
      <c r="AX632">
        <f>'Bookings and Drivers'!BF71</f>
        <v>0.76832666482635337</v>
      </c>
      <c r="AY632">
        <f>'Bookings and Drivers'!BG71</f>
        <v>0.70388830035846373</v>
      </c>
      <c r="AZ632">
        <f>'Bookings and Drivers'!BH71</f>
        <v>0.20764850441085048</v>
      </c>
      <c r="BA632">
        <f>'Bookings and Drivers'!BI71</f>
        <v>0.21333925648379104</v>
      </c>
      <c r="BB632">
        <f>'Bookings and Drivers'!BJ71</f>
        <v>0.43757257687645157</v>
      </c>
      <c r="BC632">
        <f>'Bookings and Drivers'!BK71</f>
        <v>0.68344995444252077</v>
      </c>
      <c r="BD632">
        <f>'Bookings and Drivers'!BL71</f>
        <v>0.70029819338313914</v>
      </c>
      <c r="BE632">
        <f>'Bookings and Drivers'!BM71</f>
        <v>0.55418246246067326</v>
      </c>
      <c r="BF632">
        <f>'Bookings and Drivers'!BN71</f>
        <v>0.45800325608478842</v>
      </c>
      <c r="BG632">
        <f>'Bookings and Drivers'!BO71</f>
        <v>0.33519775535212859</v>
      </c>
      <c r="BH632">
        <f>'Bookings and Drivers'!BP71</f>
        <v>0.71417131659139854</v>
      </c>
      <c r="BI632">
        <f>'Bookings and Drivers'!BQ71</f>
        <v>0.34806438295242081</v>
      </c>
      <c r="BJ632">
        <f>'Bookings and Drivers'!BR71</f>
        <v>0.22139122859924476</v>
      </c>
      <c r="BK632">
        <f>'Bookings and Drivers'!BS71</f>
        <v>-7.3721055285599357E-3</v>
      </c>
      <c r="BL632">
        <f>'Bookings and Drivers'!BT71</f>
        <v>7.0110834042952375E-2</v>
      </c>
      <c r="BM632">
        <f>'Bookings and Drivers'!BU71</f>
        <v>0.17695467896438499</v>
      </c>
      <c r="BN632">
        <f>'Bookings and Drivers'!BV71</f>
        <v>0.16318979324059257</v>
      </c>
      <c r="BO632">
        <f>'Bookings and Drivers'!BW71</f>
        <v>0.30086005587689768</v>
      </c>
      <c r="BP632">
        <f>'Bookings and Drivers'!BX71</f>
        <v>0.25323124193119062</v>
      </c>
      <c r="BQ632">
        <f>'Bookings and Drivers'!BY71</f>
        <v>6.6258990982584365E-2</v>
      </c>
      <c r="BR632">
        <f>'Bookings and Drivers'!BZ71</f>
        <v>0.15402614831443318</v>
      </c>
      <c r="BS632">
        <f>'Bookings and Drivers'!CA71</f>
        <v>0.13384022597916378</v>
      </c>
      <c r="BT632">
        <f>'Bookings and Drivers'!CB71</f>
        <v>5.7370839313736433E-2</v>
      </c>
      <c r="BU632">
        <f>'Bookings and Drivers'!CC71</f>
        <v>4.9528817270840797E-2</v>
      </c>
      <c r="BV632">
        <f>'Bookings and Drivers'!CD71</f>
        <v>8.6919927239077488E-3</v>
      </c>
      <c r="BW632">
        <f>'Bookings and Drivers'!CE71</f>
        <v>3.6801067739189675E-2</v>
      </c>
      <c r="BX632">
        <f>'Bookings and Drivers'!CF71</f>
        <v>4.2170271385049807E-2</v>
      </c>
      <c r="BY632">
        <f>'Bookings and Drivers'!CG71</f>
        <v>0</v>
      </c>
      <c r="BZ632">
        <f>'Bookings and Drivers'!CH71</f>
        <v>0</v>
      </c>
      <c r="CA632">
        <f>'Bookings and Drivers'!CI71</f>
        <v>0</v>
      </c>
      <c r="CB632">
        <f>'Bookings and Drivers'!CJ71</f>
        <v>0</v>
      </c>
      <c r="CC632">
        <f>'Bookings and Drivers'!CK71</f>
        <v>0</v>
      </c>
      <c r="CD632">
        <f>'Bookings and Drivers'!CL71</f>
        <v>0</v>
      </c>
      <c r="CE632">
        <f>'Bookings and Drivers'!CM71</f>
        <v>0</v>
      </c>
      <c r="CF632">
        <f>'Bookings and Drivers'!CN71</f>
        <v>0.2988579893862362</v>
      </c>
      <c r="CG632">
        <f>'Bookings and Drivers'!CO71</f>
        <v>0.11092454687993203</v>
      </c>
      <c r="CH632">
        <f>'Bookings and Drivers'!CP71</f>
        <v>1.3413907960382878</v>
      </c>
      <c r="CI632">
        <f>'Bookings and Drivers'!CQ71</f>
        <v>0.23152732764702799</v>
      </c>
      <c r="CJ632">
        <f>'Bookings and Drivers'!CR71</f>
        <v>2.1870389209126277</v>
      </c>
      <c r="CK632">
        <f>'Bookings and Drivers'!CS71</f>
        <v>0.59005799706381912</v>
      </c>
      <c r="CL632">
        <f>'Bookings and Drivers'!CT71</f>
        <v>0.50835838329732641</v>
      </c>
      <c r="CM632">
        <f>'Bookings and Drivers'!CU71</f>
        <v>0.48877779253080922</v>
      </c>
      <c r="CN632">
        <f>'Bookings and Drivers'!CV71</f>
        <v>0.13877879705196694</v>
      </c>
      <c r="CO632">
        <f>'Bookings and Drivers'!CW71</f>
        <v>0.22532738216547976</v>
      </c>
      <c r="CP632">
        <f>'Bookings and Drivers'!CX71</f>
        <v>0.10421589880989712</v>
      </c>
      <c r="CQ632">
        <f>'Bookings and Drivers'!CY71</f>
        <v>3.4182500621725564E-2</v>
      </c>
      <c r="CR632">
        <f>'Bookings and Drivers'!CZ71</f>
        <v>1.5598157126774259E-2</v>
      </c>
      <c r="CS632">
        <f>'Bookings and Drivers'!DA71</f>
        <v>-4.1820790414648368E-3</v>
      </c>
      <c r="CT632">
        <f>'Bookings and Drivers'!DB71</f>
        <v>-2.5839303627962273E-2</v>
      </c>
      <c r="CU632">
        <f>'Bookings and Drivers'!DC71</f>
        <v>-3.0367201920511233E-2</v>
      </c>
      <c r="CV632">
        <f>'Bookings and Drivers'!DD71</f>
        <v>-3.5600787752425256E-2</v>
      </c>
      <c r="CW632">
        <f>'Bookings and Drivers'!DE71</f>
        <v>-4.1711274347423832E-2</v>
      </c>
      <c r="CX632">
        <f>'Bookings and Drivers'!DF71</f>
        <v>-4.8930043583155003E-2</v>
      </c>
    </row>
    <row r="633" spans="1:102">
      <c r="A633" t="str">
        <f>'Bookings and Drivers'!I72</f>
        <v>Y/Y Abs. Growth</v>
      </c>
      <c r="B633">
        <f>'Bookings and Drivers'!J72</f>
        <v>0</v>
      </c>
      <c r="C633">
        <f>'Bookings and Drivers'!K72</f>
        <v>0</v>
      </c>
      <c r="D633">
        <f>'Bookings and Drivers'!L72</f>
        <v>0</v>
      </c>
      <c r="E633">
        <f>'Bookings and Drivers'!M72</f>
        <v>0</v>
      </c>
      <c r="F633">
        <f>'Bookings and Drivers'!N72</f>
        <v>0</v>
      </c>
      <c r="G633">
        <f>'Bookings and Drivers'!O72</f>
        <v>0</v>
      </c>
      <c r="H633">
        <f>'Bookings and Drivers'!P72</f>
        <v>0</v>
      </c>
      <c r="I633">
        <f>'Bookings and Drivers'!Q72</f>
        <v>0</v>
      </c>
      <c r="J633">
        <f>'Bookings and Drivers'!R72</f>
        <v>0</v>
      </c>
      <c r="K633">
        <f>'Bookings and Drivers'!S72</f>
        <v>0</v>
      </c>
      <c r="L633">
        <f>'Bookings and Drivers'!T72</f>
        <v>0</v>
      </c>
      <c r="M633">
        <f>'Bookings and Drivers'!U72</f>
        <v>0</v>
      </c>
      <c r="N633">
        <f>'Bookings and Drivers'!V72</f>
        <v>0</v>
      </c>
      <c r="O633">
        <f>'Bookings and Drivers'!W72</f>
        <v>0</v>
      </c>
      <c r="P633">
        <f>'Bookings and Drivers'!X72</f>
        <v>0</v>
      </c>
      <c r="Q633">
        <f>'Bookings and Drivers'!Y72</f>
        <v>0</v>
      </c>
      <c r="R633">
        <f>'Bookings and Drivers'!Z72</f>
        <v>0</v>
      </c>
      <c r="S633">
        <f>'Bookings and Drivers'!AA72</f>
        <v>0</v>
      </c>
      <c r="T633">
        <f>'Bookings and Drivers'!AB72</f>
        <v>0</v>
      </c>
      <c r="U633">
        <f>'Bookings and Drivers'!AC72</f>
        <v>0</v>
      </c>
      <c r="V633">
        <f>'Bookings and Drivers'!AD72</f>
        <v>0</v>
      </c>
      <c r="W633">
        <f>'Bookings and Drivers'!AE72</f>
        <v>0</v>
      </c>
      <c r="X633">
        <f>'Bookings and Drivers'!AF72</f>
        <v>0</v>
      </c>
      <c r="Y633">
        <f>'Bookings and Drivers'!AG72</f>
        <v>0</v>
      </c>
      <c r="Z633">
        <f>'Bookings and Drivers'!AH72</f>
        <v>0</v>
      </c>
      <c r="AA633">
        <f>'Bookings and Drivers'!AI72</f>
        <v>0</v>
      </c>
      <c r="AB633">
        <f>'Bookings and Drivers'!AJ72</f>
        <v>0</v>
      </c>
      <c r="AC633">
        <f>'Bookings and Drivers'!AK72</f>
        <v>4.1175000000000921</v>
      </c>
      <c r="AD633">
        <f>'Bookings and Drivers'!AL72</f>
        <v>-1.617999999999995</v>
      </c>
      <c r="AE633">
        <f>'Bookings and Drivers'!AM72</f>
        <v>3.8777000000000328</v>
      </c>
      <c r="AF633">
        <f>'Bookings and Drivers'!AN72</f>
        <v>9.5599999999999739</v>
      </c>
      <c r="AG633">
        <f>'Bookings and Drivers'!AO72</f>
        <v>6.244249999999937</v>
      </c>
      <c r="AH633">
        <f>'Bookings and Drivers'!AP72</f>
        <v>9.1817000000000633</v>
      </c>
      <c r="AI633">
        <f>'Bookings and Drivers'!AQ72</f>
        <v>3.2044500000000369</v>
      </c>
      <c r="AJ633">
        <f>'Bookings and Drivers'!AR72</f>
        <v>-10.947299999999956</v>
      </c>
      <c r="AK633">
        <f>'Bookings and Drivers'!AS72</f>
        <v>25.680149999999969</v>
      </c>
      <c r="AL633">
        <f>'Bookings and Drivers'!AT72</f>
        <v>24.512699999999938</v>
      </c>
      <c r="AM633">
        <f>'Bookings and Drivers'!AU72</f>
        <v>29.157849999999939</v>
      </c>
      <c r="AN633">
        <f>'Bookings and Drivers'!AV72</f>
        <v>23.865700000000004</v>
      </c>
      <c r="AO633">
        <f>'Bookings and Drivers'!AW72</f>
        <v>12.01242000000002</v>
      </c>
      <c r="AP633">
        <f>'Bookings and Drivers'!AX72</f>
        <v>15.733900000000006</v>
      </c>
      <c r="AQ633">
        <f>'Bookings and Drivers'!AY72</f>
        <v>9.0664000000000442</v>
      </c>
      <c r="AR633">
        <f>'Bookings and Drivers'!AZ72</f>
        <v>4.9000999999999522</v>
      </c>
      <c r="AS633">
        <f>'Bookings and Drivers'!BA72</f>
        <v>112.6259275471694</v>
      </c>
      <c r="AT633">
        <f>'Bookings and Drivers'!BB72</f>
        <v>92.196097852760772</v>
      </c>
      <c r="AU633">
        <f>'Bookings and Drivers'!BC72</f>
        <v>150.93545365853652</v>
      </c>
      <c r="AV633">
        <f>'Bookings and Drivers'!BD72</f>
        <v>129.49510581818197</v>
      </c>
      <c r="AW633">
        <f>'Bookings and Drivers'!BE72</f>
        <v>115.22138837735872</v>
      </c>
      <c r="AX633">
        <f>'Bookings and Drivers'!BF72</f>
        <v>118.78898634969278</v>
      </c>
      <c r="AY633">
        <f>'Bookings and Drivers'!BG72</f>
        <v>146.70570432926775</v>
      </c>
      <c r="AZ633">
        <f>'Bookings and Drivers'!BH72</f>
        <v>36.531104232727102</v>
      </c>
      <c r="BA633">
        <f>'Bookings and Drivers'!BI72</f>
        <v>60.45898758037697</v>
      </c>
      <c r="BB633">
        <f>'Bookings and Drivers'!BJ72</f>
        <v>119.63076034417202</v>
      </c>
      <c r="BC633">
        <f>'Bookings and Drivers'!BK72</f>
        <v>242.71191332804847</v>
      </c>
      <c r="BD633">
        <f>'Bookings and Drivers'!BL72</f>
        <v>148.78445081716376</v>
      </c>
      <c r="BE633">
        <f>'Bookings and Drivers'!BM72</f>
        <v>190.5570936175111</v>
      </c>
      <c r="BF633">
        <f>'Bookings and Drivers'!BN72</f>
        <v>180.00771193206128</v>
      </c>
      <c r="BG633">
        <f>'Bookings and Drivers'!BO72</f>
        <v>200.39444884597708</v>
      </c>
      <c r="BH633">
        <f>'Bookings and Drivers'!BP72</f>
        <v>257.98950380678991</v>
      </c>
      <c r="BI633">
        <f>'Bookings and Drivers'!BQ72</f>
        <v>186.00898843399159</v>
      </c>
      <c r="BJ633">
        <f>'Bookings and Drivers'!BR72</f>
        <v>126.86489090600833</v>
      </c>
      <c r="BK633">
        <f>'Bookings and Drivers'!BS72</f>
        <v>-5.8846646959091231</v>
      </c>
      <c r="BL633">
        <f>'Bookings and Drivers'!BT72</f>
        <v>43.414918586994531</v>
      </c>
      <c r="BM633">
        <f>'Bookings and Drivers'!BU72</f>
        <v>127.48146076167188</v>
      </c>
      <c r="BN633">
        <f>'Bookings and Drivers'!BV72</f>
        <v>114.21649506485142</v>
      </c>
      <c r="BO633">
        <f>'Bookings and Drivers'!BW72</f>
        <v>238.3862412734951</v>
      </c>
      <c r="BP633">
        <f>'Bookings and Drivers'!BX72</f>
        <v>167.80307047210215</v>
      </c>
      <c r="BQ633">
        <f>'Bookings and Drivers'!BY72</f>
        <v>56.18100947420146</v>
      </c>
      <c r="BR633">
        <f>'Bookings and Drivers'!BZ72</f>
        <v>125.39518910472282</v>
      </c>
      <c r="BS633">
        <f>'Bookings and Drivers'!CA72</f>
        <v>137.95387180834905</v>
      </c>
      <c r="BT633">
        <f>'Bookings and Drivers'!CB72</f>
        <v>47.643651013358408</v>
      </c>
      <c r="BU633">
        <f>'Bookings and Drivers'!CC72</f>
        <v>44.778071353822725</v>
      </c>
      <c r="BV633">
        <f>'Bookings and Drivers'!CD72</f>
        <v>8.1662265270978196</v>
      </c>
      <c r="BW633">
        <f>'Bookings and Drivers'!CE72</f>
        <v>43.009016617997077</v>
      </c>
      <c r="BX633">
        <f>'Bookings and Drivers'!CF72</f>
        <v>37.02947513286108</v>
      </c>
      <c r="BY633">
        <f>'Bookings and Drivers'!CG72</f>
        <v>0</v>
      </c>
      <c r="BZ633">
        <f>'Bookings and Drivers'!CH72</f>
        <v>0</v>
      </c>
      <c r="CA633">
        <f>'Bookings and Drivers'!CI72</f>
        <v>0</v>
      </c>
      <c r="CB633">
        <f>'Bookings and Drivers'!CJ72</f>
        <v>0</v>
      </c>
      <c r="CC633">
        <f>'Bookings and Drivers'!CK72</f>
        <v>0</v>
      </c>
      <c r="CD633">
        <f>'Bookings and Drivers'!CL72</f>
        <v>0</v>
      </c>
      <c r="CE633">
        <f>'Bookings and Drivers'!CM72</f>
        <v>0</v>
      </c>
      <c r="CF633">
        <f>'Bookings and Drivers'!CN72</f>
        <v>15.937199999999848</v>
      </c>
      <c r="CG633">
        <f>'Bookings and Drivers'!CO72</f>
        <v>7.6831000000009908</v>
      </c>
      <c r="CH633">
        <f>'Bookings and Drivers'!CP72</f>
        <v>103.2163999999982</v>
      </c>
      <c r="CI633">
        <f>'Bookings and Drivers'!CQ72</f>
        <v>41.712820000000647</v>
      </c>
      <c r="CJ633">
        <f>'Bookings and Drivers'!CR72</f>
        <v>485.2525848766486</v>
      </c>
      <c r="CK633">
        <f>'Bookings and Drivers'!CS72</f>
        <v>417.24718328904646</v>
      </c>
      <c r="CL633">
        <f>'Bookings and Drivers'!CT72</f>
        <v>571.58611206976138</v>
      </c>
      <c r="CM633">
        <f>'Bookings and Drivers'!CU72</f>
        <v>828.94875820233892</v>
      </c>
      <c r="CN633">
        <f>'Bookings and Drivers'!CV72</f>
        <v>350.40413323108532</v>
      </c>
      <c r="CO633">
        <f>'Bookings and Drivers'!CW72</f>
        <v>647.8872675721218</v>
      </c>
      <c r="CP633">
        <f>'Bookings and Drivers'!CX72</f>
        <v>367.17372140063071</v>
      </c>
      <c r="CQ633">
        <f>'Bookings and Drivers'!CY72</f>
        <v>132.98278963177881</v>
      </c>
      <c r="CR633">
        <f>'Bookings and Drivers'!CZ72</f>
        <v>62.756986955557295</v>
      </c>
      <c r="CS633">
        <f>'Bookings and Drivers'!DA72</f>
        <v>-17.088460323930121</v>
      </c>
      <c r="CT633">
        <f>'Bookings and Drivers'!DB72</f>
        <v>-105.14083954698708</v>
      </c>
      <c r="CU633">
        <f>'Bookings and Drivers'!DC72</f>
        <v>-120.3721495507325</v>
      </c>
      <c r="CV633">
        <f>'Bookings and Drivers'!DD72</f>
        <v>-136.83214777589455</v>
      </c>
      <c r="CW633">
        <f>'Bookings and Drivers'!DE72</f>
        <v>-154.61044900915476</v>
      </c>
      <c r="CX633">
        <f>'Bookings and Drivers'!DF72</f>
        <v>-173.80303830982484</v>
      </c>
    </row>
    <row r="634" spans="1:102">
      <c r="A634">
        <f>'Bookings and Drivers'!I73</f>
        <v>0</v>
      </c>
      <c r="B634">
        <f>'Bookings and Drivers'!J73</f>
        <v>0</v>
      </c>
      <c r="C634">
        <f>'Bookings and Drivers'!K73</f>
        <v>0</v>
      </c>
      <c r="D634">
        <f>'Bookings and Drivers'!L73</f>
        <v>0</v>
      </c>
      <c r="E634">
        <f>'Bookings and Drivers'!M73</f>
        <v>0</v>
      </c>
      <c r="F634">
        <f>'Bookings and Drivers'!N73</f>
        <v>0</v>
      </c>
      <c r="G634">
        <f>'Bookings and Drivers'!O73</f>
        <v>0</v>
      </c>
      <c r="H634">
        <f>'Bookings and Drivers'!P73</f>
        <v>0</v>
      </c>
      <c r="I634">
        <f>'Bookings and Drivers'!Q73</f>
        <v>0</v>
      </c>
      <c r="J634">
        <f>'Bookings and Drivers'!R73</f>
        <v>0</v>
      </c>
      <c r="K634">
        <f>'Bookings and Drivers'!S73</f>
        <v>0</v>
      </c>
      <c r="L634">
        <f>'Bookings and Drivers'!T73</f>
        <v>0</v>
      </c>
      <c r="M634">
        <f>'Bookings and Drivers'!U73</f>
        <v>0</v>
      </c>
      <c r="N634">
        <f>'Bookings and Drivers'!V73</f>
        <v>0</v>
      </c>
      <c r="O634">
        <f>'Bookings and Drivers'!W73</f>
        <v>0</v>
      </c>
      <c r="P634">
        <f>'Bookings and Drivers'!X73</f>
        <v>0</v>
      </c>
      <c r="Q634">
        <f>'Bookings and Drivers'!Y73</f>
        <v>0</v>
      </c>
      <c r="R634">
        <f>'Bookings and Drivers'!Z73</f>
        <v>0</v>
      </c>
      <c r="S634">
        <f>'Bookings and Drivers'!AA73</f>
        <v>0</v>
      </c>
      <c r="T634">
        <f>'Bookings and Drivers'!AB73</f>
        <v>0</v>
      </c>
      <c r="U634">
        <f>'Bookings and Drivers'!AC73</f>
        <v>0</v>
      </c>
      <c r="V634">
        <f>'Bookings and Drivers'!AD73</f>
        <v>0</v>
      </c>
      <c r="W634">
        <f>'Bookings and Drivers'!AE73</f>
        <v>0</v>
      </c>
      <c r="X634">
        <f>'Bookings and Drivers'!AF73</f>
        <v>0</v>
      </c>
      <c r="Y634">
        <f>'Bookings and Drivers'!AG73</f>
        <v>0</v>
      </c>
      <c r="Z634">
        <f>'Bookings and Drivers'!AH73</f>
        <v>0</v>
      </c>
      <c r="AA634">
        <f>'Bookings and Drivers'!AI73</f>
        <v>0</v>
      </c>
      <c r="AB634">
        <f>'Bookings and Drivers'!AJ73</f>
        <v>0</v>
      </c>
      <c r="AC634">
        <f>'Bookings and Drivers'!AK73</f>
        <v>0</v>
      </c>
      <c r="AD634">
        <f>'Bookings and Drivers'!AL73</f>
        <v>0</v>
      </c>
      <c r="AE634">
        <f>'Bookings and Drivers'!AM73</f>
        <v>0</v>
      </c>
      <c r="AF634">
        <f>'Bookings and Drivers'!AN73</f>
        <v>0</v>
      </c>
      <c r="AG634">
        <f>'Bookings and Drivers'!AO73</f>
        <v>0</v>
      </c>
      <c r="AH634">
        <f>'Bookings and Drivers'!AP73</f>
        <v>0</v>
      </c>
      <c r="AI634">
        <f>'Bookings and Drivers'!AQ73</f>
        <v>0</v>
      </c>
      <c r="AJ634">
        <f>'Bookings and Drivers'!AR73</f>
        <v>0</v>
      </c>
      <c r="AK634">
        <f>'Bookings and Drivers'!AS73</f>
        <v>0</v>
      </c>
      <c r="AL634">
        <f>'Bookings and Drivers'!AT73</f>
        <v>0</v>
      </c>
      <c r="AM634">
        <f>'Bookings and Drivers'!AU73</f>
        <v>0</v>
      </c>
      <c r="AN634">
        <f>'Bookings and Drivers'!AV73</f>
        <v>0</v>
      </c>
      <c r="AO634">
        <f>'Bookings and Drivers'!AW73</f>
        <v>0</v>
      </c>
      <c r="AP634">
        <f>'Bookings and Drivers'!AX73</f>
        <v>0</v>
      </c>
      <c r="AQ634">
        <f>'Bookings and Drivers'!AY73</f>
        <v>0</v>
      </c>
      <c r="AR634">
        <f>'Bookings and Drivers'!AZ73</f>
        <v>0</v>
      </c>
      <c r="AS634">
        <f>'Bookings and Drivers'!BA73</f>
        <v>0</v>
      </c>
      <c r="AT634">
        <f>'Bookings and Drivers'!BB73</f>
        <v>0</v>
      </c>
      <c r="AU634">
        <f>'Bookings and Drivers'!BC73</f>
        <v>0</v>
      </c>
      <c r="AV634">
        <f>'Bookings and Drivers'!BD73</f>
        <v>0</v>
      </c>
      <c r="AW634">
        <f>'Bookings and Drivers'!BE73</f>
        <v>0</v>
      </c>
      <c r="AX634">
        <f>'Bookings and Drivers'!BF73</f>
        <v>0</v>
      </c>
      <c r="AY634">
        <f>'Bookings and Drivers'!BG73</f>
        <v>0</v>
      </c>
      <c r="AZ634">
        <f>'Bookings and Drivers'!BH73</f>
        <v>0</v>
      </c>
      <c r="BA634">
        <f>'Bookings and Drivers'!BI73</f>
        <v>0</v>
      </c>
      <c r="BB634">
        <f>'Bookings and Drivers'!BJ73</f>
        <v>0</v>
      </c>
      <c r="BC634">
        <f>'Bookings and Drivers'!BK73</f>
        <v>0</v>
      </c>
      <c r="BD634">
        <f>'Bookings and Drivers'!BL73</f>
        <v>0</v>
      </c>
      <c r="BE634">
        <f>'Bookings and Drivers'!BM73</f>
        <v>0</v>
      </c>
      <c r="BF634">
        <f>'Bookings and Drivers'!BN73</f>
        <v>0</v>
      </c>
      <c r="BG634">
        <f>'Bookings and Drivers'!BO73</f>
        <v>0</v>
      </c>
      <c r="BH634">
        <f>'Bookings and Drivers'!BP73</f>
        <v>0</v>
      </c>
      <c r="BI634">
        <f>'Bookings and Drivers'!BQ73</f>
        <v>0</v>
      </c>
      <c r="BJ634">
        <f>'Bookings and Drivers'!BR73</f>
        <v>0</v>
      </c>
      <c r="BK634">
        <f>'Bookings and Drivers'!BS73</f>
        <v>0</v>
      </c>
      <c r="BL634">
        <f>'Bookings and Drivers'!BT73</f>
        <v>0</v>
      </c>
      <c r="BM634">
        <f>'Bookings and Drivers'!BU73</f>
        <v>0</v>
      </c>
      <c r="BQ634">
        <f>'Bookings and Drivers'!BY73</f>
        <v>0</v>
      </c>
      <c r="BU634">
        <f>'Bookings and Drivers'!CC73</f>
        <v>0</v>
      </c>
      <c r="BW634">
        <f>'Bookings and Drivers'!CE73</f>
        <v>0</v>
      </c>
      <c r="BX634">
        <f>'Bookings and Drivers'!CF73</f>
        <v>0</v>
      </c>
      <c r="BY634">
        <f>'Bookings and Drivers'!CG73</f>
        <v>0</v>
      </c>
      <c r="BZ634">
        <f>'Bookings and Drivers'!CH73</f>
        <v>0</v>
      </c>
      <c r="CA634">
        <f>'Bookings and Drivers'!CI73</f>
        <v>0</v>
      </c>
      <c r="CB634">
        <f>'Bookings and Drivers'!CJ73</f>
        <v>0</v>
      </c>
      <c r="CC634">
        <f>'Bookings and Drivers'!CK73</f>
        <v>0</v>
      </c>
      <c r="CD634">
        <f>'Bookings and Drivers'!CL73</f>
        <v>0</v>
      </c>
      <c r="CE634">
        <f>'Bookings and Drivers'!CM73</f>
        <v>0</v>
      </c>
      <c r="CF634">
        <f>'Bookings and Drivers'!CN73</f>
        <v>0</v>
      </c>
      <c r="CG634">
        <f>'Bookings and Drivers'!CO73</f>
        <v>0</v>
      </c>
      <c r="CH634">
        <f>'Bookings and Drivers'!CP73</f>
        <v>0</v>
      </c>
      <c r="CI634">
        <f>'Bookings and Drivers'!CQ73</f>
        <v>0</v>
      </c>
      <c r="CJ634">
        <f>'Bookings and Drivers'!CR73</f>
        <v>0</v>
      </c>
      <c r="CK634">
        <f>'Bookings and Drivers'!CS73</f>
        <v>0</v>
      </c>
      <c r="CL634">
        <f>'Bookings and Drivers'!CT73</f>
        <v>0</v>
      </c>
      <c r="CM634">
        <f>'Bookings and Drivers'!CU73</f>
        <v>0</v>
      </c>
      <c r="CN634">
        <f>'Bookings and Drivers'!CV73</f>
        <v>0.11808456994669356</v>
      </c>
      <c r="CO634">
        <f>'Bookings and Drivers'!BV73</f>
        <v>0</v>
      </c>
      <c r="CP634">
        <f>'Bookings and Drivers'!BW73</f>
        <v>0</v>
      </c>
      <c r="CQ634">
        <f>'Bookings and Drivers'!BX73</f>
        <v>0</v>
      </c>
      <c r="CR634">
        <f>'Bookings and Drivers'!BY73</f>
        <v>0</v>
      </c>
      <c r="CS634">
        <f>'Bookings and Drivers'!BZ73</f>
        <v>0</v>
      </c>
      <c r="CT634">
        <f>'Bookings and Drivers'!CA73</f>
        <v>0</v>
      </c>
      <c r="CU634">
        <f>'Bookings and Drivers'!CB73</f>
        <v>0</v>
      </c>
      <c r="CV634">
        <f>'Bookings and Drivers'!CC73</f>
        <v>0</v>
      </c>
      <c r="CW634">
        <f>'Bookings and Drivers'!CD73</f>
        <v>0</v>
      </c>
      <c r="CX634">
        <f>'Bookings and Drivers'!CE73</f>
        <v>0</v>
      </c>
    </row>
    <row r="635" spans="1:102">
      <c r="A635" t="str">
        <f>'Bookings and Drivers'!I85</f>
        <v>Merchant vs Agency Bookings</v>
      </c>
      <c r="B635">
        <f>'Bookings and Drivers'!J85</f>
        <v>0</v>
      </c>
      <c r="C635">
        <f>'Bookings and Drivers'!K85</f>
        <v>0</v>
      </c>
      <c r="D635">
        <f>'Bookings and Drivers'!L85</f>
        <v>0</v>
      </c>
      <c r="E635">
        <f>'Bookings and Drivers'!M85</f>
        <v>0</v>
      </c>
      <c r="F635">
        <f>'Bookings and Drivers'!N85</f>
        <v>0</v>
      </c>
      <c r="G635">
        <f>'Bookings and Drivers'!O85</f>
        <v>0</v>
      </c>
      <c r="H635">
        <f>'Bookings and Drivers'!P85</f>
        <v>0</v>
      </c>
      <c r="I635">
        <f>'Bookings and Drivers'!Q85</f>
        <v>0</v>
      </c>
      <c r="J635">
        <f>'Bookings and Drivers'!R85</f>
        <v>0</v>
      </c>
      <c r="K635">
        <f>'Bookings and Drivers'!S85</f>
        <v>0</v>
      </c>
      <c r="L635">
        <f>'Bookings and Drivers'!T85</f>
        <v>0</v>
      </c>
      <c r="M635">
        <f>'Bookings and Drivers'!U85</f>
        <v>0</v>
      </c>
      <c r="N635">
        <f>'Bookings and Drivers'!V85</f>
        <v>0</v>
      </c>
      <c r="O635">
        <f>'Bookings and Drivers'!W85</f>
        <v>0</v>
      </c>
      <c r="P635">
        <f>'Bookings and Drivers'!X85</f>
        <v>0</v>
      </c>
      <c r="Q635">
        <f>'Bookings and Drivers'!Y85</f>
        <v>0</v>
      </c>
      <c r="R635">
        <f>'Bookings and Drivers'!Z85</f>
        <v>0</v>
      </c>
      <c r="S635">
        <f>'Bookings and Drivers'!AA85</f>
        <v>0</v>
      </c>
      <c r="T635">
        <f>'Bookings and Drivers'!AB85</f>
        <v>0</v>
      </c>
      <c r="U635">
        <f>'Bookings and Drivers'!AC85</f>
        <v>0</v>
      </c>
      <c r="V635">
        <f>'Bookings and Drivers'!AD85</f>
        <v>0</v>
      </c>
      <c r="W635">
        <f>'Bookings and Drivers'!AE85</f>
        <v>0</v>
      </c>
      <c r="X635">
        <f>'Bookings and Drivers'!AF85</f>
        <v>0</v>
      </c>
      <c r="Y635">
        <f>'Bookings and Drivers'!AG85</f>
        <v>0</v>
      </c>
      <c r="Z635">
        <f>'Bookings and Drivers'!AH85</f>
        <v>0</v>
      </c>
      <c r="AA635">
        <f>'Bookings and Drivers'!AI85</f>
        <v>0</v>
      </c>
      <c r="AB635">
        <f>'Bookings and Drivers'!AJ85</f>
        <v>0</v>
      </c>
      <c r="AC635">
        <f>'Bookings and Drivers'!AK85</f>
        <v>0</v>
      </c>
      <c r="AD635">
        <f>'Bookings and Drivers'!AL85</f>
        <v>0</v>
      </c>
      <c r="AE635">
        <f>'Bookings and Drivers'!AM85</f>
        <v>0</v>
      </c>
      <c r="AF635">
        <f>'Bookings and Drivers'!AN85</f>
        <v>0</v>
      </c>
      <c r="AG635">
        <f>'Bookings and Drivers'!AO85</f>
        <v>0</v>
      </c>
      <c r="AH635">
        <f>'Bookings and Drivers'!AP85</f>
        <v>0</v>
      </c>
      <c r="AI635">
        <f>'Bookings and Drivers'!AQ85</f>
        <v>0</v>
      </c>
      <c r="AJ635">
        <f>'Bookings and Drivers'!AR85</f>
        <v>0</v>
      </c>
      <c r="AK635">
        <f>'Bookings and Drivers'!AS85</f>
        <v>0</v>
      </c>
      <c r="AL635">
        <f>'Bookings and Drivers'!AT85</f>
        <v>0</v>
      </c>
      <c r="AM635">
        <f>'Bookings and Drivers'!AU85</f>
        <v>0</v>
      </c>
      <c r="AN635">
        <f>'Bookings and Drivers'!AV85</f>
        <v>0</v>
      </c>
      <c r="AO635">
        <f>'Bookings and Drivers'!AW85</f>
        <v>0</v>
      </c>
      <c r="AP635">
        <f>'Bookings and Drivers'!AX85</f>
        <v>0</v>
      </c>
      <c r="AQ635">
        <f>'Bookings and Drivers'!AY85</f>
        <v>0</v>
      </c>
      <c r="AR635">
        <f>'Bookings and Drivers'!AZ85</f>
        <v>0</v>
      </c>
      <c r="AS635">
        <f>'Bookings and Drivers'!BA85</f>
        <v>0</v>
      </c>
      <c r="AT635">
        <f>'Bookings and Drivers'!BB85</f>
        <v>0</v>
      </c>
      <c r="AU635">
        <f>'Bookings and Drivers'!BC85</f>
        <v>0</v>
      </c>
      <c r="AV635">
        <f>'Bookings and Drivers'!BD85</f>
        <v>0</v>
      </c>
      <c r="AW635">
        <f>'Bookings and Drivers'!BE85</f>
        <v>0</v>
      </c>
      <c r="AX635">
        <f>'Bookings and Drivers'!BF85</f>
        <v>0</v>
      </c>
      <c r="AY635">
        <f>'Bookings and Drivers'!BG85</f>
        <v>0</v>
      </c>
      <c r="AZ635">
        <f>'Bookings and Drivers'!BH85</f>
        <v>0</v>
      </c>
      <c r="BA635">
        <f>'Bookings and Drivers'!BI85</f>
        <v>0</v>
      </c>
      <c r="BB635">
        <f>'Bookings and Drivers'!BJ85</f>
        <v>0</v>
      </c>
      <c r="BC635">
        <f>'Bookings and Drivers'!BK85</f>
        <v>0</v>
      </c>
      <c r="BD635">
        <f>'Bookings and Drivers'!BL85</f>
        <v>0</v>
      </c>
      <c r="BE635">
        <f>'Bookings and Drivers'!BM85</f>
        <v>0</v>
      </c>
      <c r="BF635">
        <f>'Bookings and Drivers'!BN85</f>
        <v>0</v>
      </c>
      <c r="BG635">
        <f>'Bookings and Drivers'!BO85</f>
        <v>0</v>
      </c>
      <c r="BH635">
        <f>'Bookings and Drivers'!BP85</f>
        <v>0</v>
      </c>
      <c r="BI635">
        <f>'Bookings and Drivers'!BQ85</f>
        <v>0</v>
      </c>
      <c r="BJ635">
        <f>'Bookings and Drivers'!BR85</f>
        <v>0</v>
      </c>
      <c r="BK635">
        <f>'Bookings and Drivers'!BS85</f>
        <v>0</v>
      </c>
      <c r="BL635">
        <f>'Bookings and Drivers'!BT85</f>
        <v>0</v>
      </c>
      <c r="BM635">
        <f>'Bookings and Drivers'!BU85</f>
        <v>0</v>
      </c>
      <c r="BN635">
        <f>'Bookings and Drivers'!BV85</f>
        <v>0</v>
      </c>
      <c r="BO635">
        <f>'Bookings and Drivers'!BW85</f>
        <v>0</v>
      </c>
      <c r="BP635">
        <f>'Bookings and Drivers'!BX85</f>
        <v>0</v>
      </c>
      <c r="BQ635">
        <f>'Bookings and Drivers'!BY85</f>
        <v>0</v>
      </c>
      <c r="BR635">
        <f>'Bookings and Drivers'!BZ85</f>
        <v>0</v>
      </c>
      <c r="BS635">
        <f>'Bookings and Drivers'!CA85</f>
        <v>0</v>
      </c>
      <c r="BT635">
        <f>'Bookings and Drivers'!CB85</f>
        <v>0</v>
      </c>
      <c r="BU635">
        <f>'Bookings and Drivers'!CC85</f>
        <v>0</v>
      </c>
      <c r="BV635">
        <f>'Bookings and Drivers'!CD85</f>
        <v>0</v>
      </c>
      <c r="BW635">
        <f>'Bookings and Drivers'!CE85</f>
        <v>0</v>
      </c>
      <c r="BX635">
        <f>'Bookings and Drivers'!CF85</f>
        <v>0</v>
      </c>
      <c r="BY635">
        <f>'Bookings and Drivers'!CG85</f>
        <v>0</v>
      </c>
      <c r="BZ635">
        <f>'Bookings and Drivers'!CH85</f>
        <v>0</v>
      </c>
      <c r="CA635">
        <f>'Bookings and Drivers'!CI85</f>
        <v>0</v>
      </c>
      <c r="CB635">
        <f>'Bookings and Drivers'!CJ85</f>
        <v>0</v>
      </c>
      <c r="CC635">
        <f>'Bookings and Drivers'!CK85</f>
        <v>0</v>
      </c>
      <c r="CD635">
        <f>'Bookings and Drivers'!CL85</f>
        <v>0</v>
      </c>
      <c r="CE635">
        <f>'Bookings and Drivers'!CM85</f>
        <v>0</v>
      </c>
      <c r="CF635">
        <f>'Bookings and Drivers'!CN85</f>
        <v>0</v>
      </c>
      <c r="CG635">
        <f>'Bookings and Drivers'!CO85</f>
        <v>0</v>
      </c>
      <c r="CH635">
        <f>'Bookings and Drivers'!CP85</f>
        <v>0</v>
      </c>
      <c r="CI635">
        <f>'Bookings and Drivers'!CQ85</f>
        <v>0</v>
      </c>
      <c r="CJ635">
        <f>'Bookings and Drivers'!CR85</f>
        <v>0</v>
      </c>
      <c r="CK635">
        <f>'Bookings and Drivers'!CS85</f>
        <v>0</v>
      </c>
      <c r="CL635">
        <f>'Bookings and Drivers'!CT85</f>
        <v>0</v>
      </c>
      <c r="CM635">
        <f>'Bookings and Drivers'!CU85</f>
        <v>0</v>
      </c>
      <c r="CN635">
        <f>'Bookings and Drivers'!CV85</f>
        <v>0</v>
      </c>
      <c r="CO635">
        <f>'Bookings and Drivers'!CW85</f>
        <v>0</v>
      </c>
      <c r="CP635">
        <f>'Bookings and Drivers'!CX85</f>
        <v>0</v>
      </c>
      <c r="CQ635">
        <f>'Bookings and Drivers'!CY85</f>
        <v>0</v>
      </c>
      <c r="CR635">
        <f>'Bookings and Drivers'!CZ85</f>
        <v>0</v>
      </c>
      <c r="CS635">
        <f>'Bookings and Drivers'!DA85</f>
        <v>0</v>
      </c>
      <c r="CT635">
        <f>'Bookings and Drivers'!DB85</f>
        <v>0</v>
      </c>
      <c r="CU635">
        <f>'Bookings and Drivers'!DC85</f>
        <v>0</v>
      </c>
      <c r="CV635">
        <f>'Bookings and Drivers'!DD85</f>
        <v>0</v>
      </c>
      <c r="CW635">
        <f>'Bookings and Drivers'!DE85</f>
        <v>0</v>
      </c>
      <c r="CX635">
        <f>'Bookings and Drivers'!DF85</f>
        <v>0</v>
      </c>
    </row>
    <row r="637" spans="1:102">
      <c r="A637" t="str">
        <f>'Bookings and Drivers'!I86</f>
        <v>Total Merchant Bookings</v>
      </c>
      <c r="B637">
        <f>'Bookings and Drivers'!J86</f>
        <v>0</v>
      </c>
      <c r="C637">
        <f>'Bookings and Drivers'!K86</f>
        <v>0</v>
      </c>
      <c r="D637">
        <f>'Bookings and Drivers'!L86</f>
        <v>0</v>
      </c>
      <c r="E637">
        <f>'Bookings and Drivers'!M86</f>
        <v>0</v>
      </c>
      <c r="F637">
        <f>'Bookings and Drivers'!N86</f>
        <v>0</v>
      </c>
      <c r="G637">
        <f>'Bookings and Drivers'!O86</f>
        <v>0</v>
      </c>
      <c r="H637">
        <f>'Bookings and Drivers'!P86</f>
        <v>0</v>
      </c>
      <c r="I637">
        <f>'Bookings and Drivers'!Q86</f>
        <v>0</v>
      </c>
      <c r="J637">
        <f>'Bookings and Drivers'!R86</f>
        <v>0</v>
      </c>
      <c r="K637">
        <f>'Bookings and Drivers'!S86</f>
        <v>0</v>
      </c>
      <c r="L637">
        <f>'Bookings and Drivers'!T86</f>
        <v>0</v>
      </c>
      <c r="M637">
        <f>'Bookings and Drivers'!U86</f>
        <v>0</v>
      </c>
      <c r="N637">
        <f>'Bookings and Drivers'!V86</f>
        <v>0</v>
      </c>
      <c r="O637">
        <f>'Bookings and Drivers'!W86</f>
        <v>0</v>
      </c>
      <c r="P637">
        <f>'Bookings and Drivers'!X86</f>
        <v>0</v>
      </c>
      <c r="Q637">
        <f>'Bookings and Drivers'!Y86</f>
        <v>0</v>
      </c>
      <c r="R637">
        <f>'Bookings and Drivers'!Z86</f>
        <v>0</v>
      </c>
      <c r="S637">
        <f>'Bookings and Drivers'!AA86</f>
        <v>0</v>
      </c>
      <c r="T637">
        <f>'Bookings and Drivers'!AB86</f>
        <v>0</v>
      </c>
      <c r="U637">
        <f>'Bookings and Drivers'!AC86</f>
        <v>0</v>
      </c>
      <c r="V637">
        <f>'Bookings and Drivers'!AD86</f>
        <v>0</v>
      </c>
      <c r="W637">
        <f>'Bookings and Drivers'!AE86</f>
        <v>0</v>
      </c>
      <c r="X637">
        <f>'Bookings and Drivers'!AF86</f>
        <v>0</v>
      </c>
      <c r="Y637">
        <f>'Bookings and Drivers'!AG86</f>
        <v>266.315</v>
      </c>
      <c r="Z637">
        <f>'Bookings and Drivers'!AH86</f>
        <v>318.06599999999997</v>
      </c>
      <c r="AA637">
        <f>'Bookings and Drivers'!AI86</f>
        <v>302.762</v>
      </c>
      <c r="AB637">
        <f>'Bookings and Drivers'!AJ86</f>
        <v>251.34</v>
      </c>
      <c r="AC637">
        <f>'Bookings and Drivers'!AK86</f>
        <v>287.96300000000002</v>
      </c>
      <c r="AD637">
        <f>'Bookings and Drivers'!AL86</f>
        <v>315.65100000000001</v>
      </c>
      <c r="AE637">
        <f>'Bookings and Drivers'!AM86</f>
        <v>348.06400000000002</v>
      </c>
      <c r="AF637">
        <f>'Bookings and Drivers'!AN86</f>
        <v>292.63299999999998</v>
      </c>
      <c r="AG637">
        <f>'Bookings and Drivers'!AO86</f>
        <v>388.49299999999999</v>
      </c>
      <c r="AH637">
        <f>'Bookings and Drivers'!AP86</f>
        <v>453.19</v>
      </c>
      <c r="AI637">
        <f>'Bookings and Drivers'!AQ86</f>
        <v>446.73399999999998</v>
      </c>
      <c r="AJ637">
        <f>'Bookings and Drivers'!AR86</f>
        <v>373.089</v>
      </c>
      <c r="AK637">
        <f>'Bookings and Drivers'!AS86</f>
        <v>473.62799999999999</v>
      </c>
      <c r="AL637">
        <f>'Bookings and Drivers'!AT86</f>
        <v>554.55999999999995</v>
      </c>
      <c r="AM637">
        <f>'Bookings and Drivers'!AU86</f>
        <v>592.27499999999998</v>
      </c>
      <c r="AN637">
        <f>'Bookings and Drivers'!AV86</f>
        <v>498.15899999999999</v>
      </c>
      <c r="AO637">
        <f>'Bookings and Drivers'!AW86</f>
        <v>591.13</v>
      </c>
      <c r="AP637">
        <f>'Bookings and Drivers'!AX86</f>
        <v>727.21500000000003</v>
      </c>
      <c r="AQ637">
        <f>'Bookings and Drivers'!AY86</f>
        <v>838</v>
      </c>
      <c r="AR637">
        <f>'Bookings and Drivers'!AZ86</f>
        <v>708</v>
      </c>
      <c r="AS637">
        <f>'Bookings and Drivers'!BA86</f>
        <v>884</v>
      </c>
      <c r="AT637">
        <f>'Bookings and Drivers'!BB86</f>
        <v>1055</v>
      </c>
      <c r="AU637">
        <f>'Bookings and Drivers'!BC86</f>
        <v>1136</v>
      </c>
      <c r="AV637">
        <f>'Bookings and Drivers'!BD86</f>
        <v>973</v>
      </c>
      <c r="AW637">
        <f>'Bookings and Drivers'!BE86</f>
        <v>1184</v>
      </c>
      <c r="AX637">
        <f>'Bookings and Drivers'!BF86</f>
        <v>1298</v>
      </c>
      <c r="AY637">
        <f>'Bookings and Drivers'!BG86</f>
        <v>1408</v>
      </c>
      <c r="AZ637">
        <f>'Bookings and Drivers'!BH86</f>
        <v>1282</v>
      </c>
      <c r="BA637">
        <f>'Bookings and Drivers'!BI86</f>
        <v>1505</v>
      </c>
      <c r="BB637">
        <f>'Bookings and Drivers'!BJ86</f>
        <v>1692</v>
      </c>
      <c r="BC637">
        <f>'Bookings and Drivers'!BK86</f>
        <v>1742</v>
      </c>
      <c r="BD637">
        <f>'Bookings and Drivers'!BL86</f>
        <v>1562</v>
      </c>
      <c r="BE637">
        <f>'Bookings and Drivers'!BM86</f>
        <v>1764</v>
      </c>
      <c r="BF637">
        <f>'Bookings and Drivers'!BN86</f>
        <v>1957</v>
      </c>
      <c r="BG637">
        <f>'Bookings and Drivers'!BO86</f>
        <v>2002</v>
      </c>
      <c r="BH637">
        <f>'Bookings and Drivers'!BP86</f>
        <v>1685</v>
      </c>
      <c r="BI637">
        <f>'Bookings and Drivers'!BQ86</f>
        <v>1867</v>
      </c>
      <c r="BJ637">
        <f>'Bookings and Drivers'!BR86</f>
        <v>2094</v>
      </c>
      <c r="BK637">
        <f>'Bookings and Drivers'!BS86</f>
        <v>1928</v>
      </c>
      <c r="BL637">
        <f>'Bookings and Drivers'!BT86</f>
        <v>1670</v>
      </c>
      <c r="BM637">
        <f>'Bookings and Drivers'!BU86</f>
        <v>2119</v>
      </c>
      <c r="BN637">
        <f>'Bookings and Drivers'!BV86</f>
        <v>2494</v>
      </c>
      <c r="BO637">
        <f>'Bookings and Drivers'!BW86</f>
        <v>2703</v>
      </c>
      <c r="BP637">
        <f>'Bookings and Drivers'!BX86</f>
        <v>2134</v>
      </c>
      <c r="BQ637">
        <f>'Bookings and Drivers'!BY86</f>
        <v>2546</v>
      </c>
      <c r="BR637">
        <f>'Bookings and Drivers'!BZ86</f>
        <v>2850</v>
      </c>
      <c r="BS637">
        <f>'Bookings and Drivers'!CA86</f>
        <v>3168</v>
      </c>
      <c r="BT637">
        <f>'Bookings and Drivers'!CB86</f>
        <v>2965</v>
      </c>
      <c r="BU637">
        <f>'Bookings and Drivers'!CC86</f>
        <v>2927.1767356549117</v>
      </c>
      <c r="BV637">
        <f>'Bookings and Drivers'!CD86</f>
        <v>3275.9296263560618</v>
      </c>
      <c r="BW637">
        <f>'Bookings and Drivers'!CE86</f>
        <v>3004.978327149568</v>
      </c>
      <c r="BX637">
        <f>'Bookings and Drivers'!CF86</f>
        <v>2860.9843573600006</v>
      </c>
      <c r="BY637">
        <f>'Bookings and Drivers'!CG86</f>
        <v>0</v>
      </c>
      <c r="BZ637">
        <f>'Bookings and Drivers'!CH86</f>
        <v>0</v>
      </c>
      <c r="CA637">
        <f>'Bookings and Drivers'!CI86</f>
        <v>0</v>
      </c>
      <c r="CB637">
        <f>'Bookings and Drivers'!CJ86</f>
        <v>0</v>
      </c>
      <c r="CC637">
        <f>'Bookings and Drivers'!CK86</f>
        <v>0</v>
      </c>
      <c r="CD637">
        <f>'Bookings and Drivers'!CL86</f>
        <v>0</v>
      </c>
      <c r="CE637">
        <f>'Bookings and Drivers'!CM86</f>
        <v>1138.4829999999999</v>
      </c>
      <c r="CF637">
        <f>'Bookings and Drivers'!CN86</f>
        <v>1244.3110000000001</v>
      </c>
      <c r="CG637">
        <f>'Bookings and Drivers'!CO86</f>
        <v>1661.5059999999999</v>
      </c>
      <c r="CH637">
        <f>'Bookings and Drivers'!CP86</f>
        <v>2118.6219999999998</v>
      </c>
      <c r="CI637">
        <f>'Bookings and Drivers'!CQ86</f>
        <v>2864.3450000000003</v>
      </c>
      <c r="CJ637">
        <f>'Bookings and Drivers'!CR86</f>
        <v>4048</v>
      </c>
      <c r="CK637">
        <f>'Bookings and Drivers'!CS86</f>
        <v>5172</v>
      </c>
      <c r="CL637">
        <f>'Bookings and Drivers'!CT86</f>
        <v>6501</v>
      </c>
      <c r="CM637">
        <f>'Bookings and Drivers'!CU86</f>
        <v>7408</v>
      </c>
      <c r="CN637">
        <f>'Bookings and Drivers'!CV86</f>
        <v>7559</v>
      </c>
      <c r="CO637">
        <f>'Bookings and Drivers'!CW86</f>
        <v>9450</v>
      </c>
      <c r="CP637">
        <f>'Bookings and Drivers'!CX86</f>
        <v>11529</v>
      </c>
      <c r="CQ637">
        <f>'Bookings and Drivers'!CY86</f>
        <v>12069.069046520543</v>
      </c>
      <c r="CR637">
        <f>'Bookings and Drivers'!CZ86</f>
        <v>13369.923108821971</v>
      </c>
      <c r="CS637">
        <f>'Bookings and Drivers'!DA86</f>
        <v>14606.99537718477</v>
      </c>
      <c r="CT637">
        <f>'Bookings and Drivers'!DB86</f>
        <v>15785.696052409563</v>
      </c>
      <c r="CU637">
        <f>'Bookings and Drivers'!DC86</f>
        <v>16849.333930284909</v>
      </c>
      <c r="CV637">
        <f>'Bookings and Drivers'!DD86</f>
        <v>17973.391520852227</v>
      </c>
      <c r="CW637">
        <f>'Bookings and Drivers'!DE86</f>
        <v>19163.996008761293</v>
      </c>
      <c r="CX637">
        <f>'Bookings and Drivers'!DF86</f>
        <v>20451.348133328363</v>
      </c>
    </row>
    <row r="638" spans="1:102">
      <c r="A638" t="str">
        <f>'Bookings and Drivers'!I87</f>
        <v>% change Y/Y</v>
      </c>
      <c r="B638">
        <f>'Bookings and Drivers'!J87</f>
        <v>0</v>
      </c>
      <c r="C638">
        <f>'Bookings and Drivers'!K87</f>
        <v>0</v>
      </c>
      <c r="D638">
        <f>'Bookings and Drivers'!L87</f>
        <v>0</v>
      </c>
      <c r="E638">
        <f>'Bookings and Drivers'!M87</f>
        <v>0</v>
      </c>
      <c r="F638">
        <f>'Bookings and Drivers'!N87</f>
        <v>0</v>
      </c>
      <c r="G638">
        <f>'Bookings and Drivers'!O87</f>
        <v>0</v>
      </c>
      <c r="H638">
        <f>'Bookings and Drivers'!P87</f>
        <v>0</v>
      </c>
      <c r="I638">
        <f>'Bookings and Drivers'!Q87</f>
        <v>0</v>
      </c>
      <c r="J638">
        <f>'Bookings and Drivers'!R87</f>
        <v>0</v>
      </c>
      <c r="K638">
        <f>'Bookings and Drivers'!S87</f>
        <v>0</v>
      </c>
      <c r="L638">
        <f>'Bookings and Drivers'!T87</f>
        <v>0</v>
      </c>
      <c r="M638">
        <f>'Bookings and Drivers'!U87</f>
        <v>0</v>
      </c>
      <c r="N638">
        <f>'Bookings and Drivers'!V87</f>
        <v>0</v>
      </c>
      <c r="O638">
        <f>'Bookings and Drivers'!W87</f>
        <v>0</v>
      </c>
      <c r="P638">
        <f>'Bookings and Drivers'!X87</f>
        <v>0</v>
      </c>
      <c r="Q638">
        <f>'Bookings and Drivers'!Y87</f>
        <v>0</v>
      </c>
      <c r="R638">
        <f>'Bookings and Drivers'!Z87</f>
        <v>0</v>
      </c>
      <c r="S638">
        <f>'Bookings and Drivers'!AA87</f>
        <v>0</v>
      </c>
      <c r="T638">
        <f>'Bookings and Drivers'!AB87</f>
        <v>0</v>
      </c>
      <c r="U638">
        <f>'Bookings and Drivers'!AC87</f>
        <v>0</v>
      </c>
      <c r="V638">
        <f>'Bookings and Drivers'!AD87</f>
        <v>0</v>
      </c>
      <c r="W638">
        <f>'Bookings and Drivers'!AE87</f>
        <v>0</v>
      </c>
      <c r="X638">
        <f>'Bookings and Drivers'!AF87</f>
        <v>0</v>
      </c>
      <c r="Y638">
        <f>'Bookings and Drivers'!AG87</f>
        <v>0</v>
      </c>
      <c r="Z638">
        <f>'Bookings and Drivers'!AH87</f>
        <v>0</v>
      </c>
      <c r="AA638">
        <f>'Bookings and Drivers'!AI87</f>
        <v>0</v>
      </c>
      <c r="AB638">
        <f>'Bookings and Drivers'!AJ87</f>
        <v>0</v>
      </c>
      <c r="AC638">
        <f>'Bookings and Drivers'!AK87</f>
        <v>8.128719749169222E-2</v>
      </c>
      <c r="AD638">
        <f>'Bookings and Drivers'!AL87</f>
        <v>-7.5927637660107017E-3</v>
      </c>
      <c r="AE638">
        <f>'Bookings and Drivers'!AM87</f>
        <v>0.14962908158883881</v>
      </c>
      <c r="AF638">
        <f>'Bookings and Drivers'!AN87</f>
        <v>0.1642913981061509</v>
      </c>
      <c r="AG638">
        <f>'Bookings and Drivers'!AO87</f>
        <v>0.34910735059712517</v>
      </c>
      <c r="AH638">
        <f>'Bookings and Drivers'!AP87</f>
        <v>0.43573123481313214</v>
      </c>
      <c r="AI638">
        <f>'Bookings and Drivers'!AQ87</f>
        <v>0.28348234807391726</v>
      </c>
      <c r="AJ638">
        <f>'Bookings and Drivers'!AR87</f>
        <v>0.27493823321361566</v>
      </c>
      <c r="AK638">
        <f>'Bookings and Drivers'!AS87</f>
        <v>0.21914165763604498</v>
      </c>
      <c r="AL638">
        <f>'Bookings and Drivers'!AT87</f>
        <v>0.22368101679207375</v>
      </c>
      <c r="AM638">
        <f>'Bookings and Drivers'!AU87</f>
        <v>0.32578894823317683</v>
      </c>
      <c r="AN638">
        <f>'Bookings and Drivers'!AV87</f>
        <v>0.33522832353674326</v>
      </c>
      <c r="AO638">
        <f>'Bookings and Drivers'!AW87</f>
        <v>0.24808921769827808</v>
      </c>
      <c r="AP638">
        <f>'Bookings and Drivers'!AX87</f>
        <v>0.31133691575302969</v>
      </c>
      <c r="AQ638">
        <f>'Bookings and Drivers'!AY87</f>
        <v>0.41488328901270521</v>
      </c>
      <c r="AR638">
        <f>'Bookings and Drivers'!AZ87</f>
        <v>0.42123297983174046</v>
      </c>
      <c r="AS638">
        <f>'Bookings and Drivers'!BA87</f>
        <v>0.49544093515808707</v>
      </c>
      <c r="AT638">
        <f>'Bookings and Drivers'!BB87</f>
        <v>0.45074015249960464</v>
      </c>
      <c r="AU638">
        <f>'Bookings and Drivers'!BC87</f>
        <v>0.35560859188544147</v>
      </c>
      <c r="AV638">
        <f>'Bookings and Drivers'!BD87</f>
        <v>0.37429378531073443</v>
      </c>
      <c r="AW638">
        <f>'Bookings and Drivers'!BE87</f>
        <v>0.33936651583710398</v>
      </c>
      <c r="AX638">
        <f>'Bookings and Drivers'!BF87</f>
        <v>0.23033175355450242</v>
      </c>
      <c r="AY638">
        <f>'Bookings and Drivers'!BG87</f>
        <v>0.23943661971830976</v>
      </c>
      <c r="AZ638">
        <f>'Bookings and Drivers'!BH87</f>
        <v>0.31757451181911622</v>
      </c>
      <c r="BA638">
        <f>'Bookings and Drivers'!BI87</f>
        <v>0.27111486486486491</v>
      </c>
      <c r="BB638">
        <f>'Bookings and Drivers'!BJ87</f>
        <v>0.30354391371340528</v>
      </c>
      <c r="BC638">
        <f>'Bookings and Drivers'!BK87</f>
        <v>0.23721590909090917</v>
      </c>
      <c r="BD638">
        <f>'Bookings and Drivers'!BL87</f>
        <v>0.21840873634945401</v>
      </c>
      <c r="BE638">
        <f>'Bookings and Drivers'!BM87</f>
        <v>0.17209302325581399</v>
      </c>
      <c r="BF638">
        <f>'Bookings and Drivers'!BN87</f>
        <v>0.15661938534278952</v>
      </c>
      <c r="BG638">
        <f>'Bookings and Drivers'!BO87</f>
        <v>0.14925373134328357</v>
      </c>
      <c r="BH638">
        <f>'Bookings and Drivers'!BP87</f>
        <v>7.8745198463508359E-2</v>
      </c>
      <c r="BI638">
        <f>'Bookings and Drivers'!BQ87</f>
        <v>5.8390022675737008E-2</v>
      </c>
      <c r="BJ638">
        <f>'Bookings and Drivers'!BR87</f>
        <v>7.0005109862033787E-2</v>
      </c>
      <c r="BK638">
        <f>'Bookings and Drivers'!BS87</f>
        <v>-3.6963036963036933E-2</v>
      </c>
      <c r="BL638">
        <f>'Bookings and Drivers'!BT87</f>
        <v>-8.9020771513352859E-3</v>
      </c>
      <c r="BM638">
        <f>'Bookings and Drivers'!BU87</f>
        <v>0.13497589716122116</v>
      </c>
      <c r="BN638">
        <f>'Bookings and Drivers'!BV87</f>
        <v>0.19102196752626543</v>
      </c>
      <c r="BO638">
        <f>'Bookings and Drivers'!BW87</f>
        <v>0.40197095435684638</v>
      </c>
      <c r="BP638">
        <f>'Bookings and Drivers'!BX87</f>
        <v>0.27784431137724552</v>
      </c>
      <c r="BQ638">
        <f>'Bookings and Drivers'!BY87</f>
        <v>0.2015101462954223</v>
      </c>
      <c r="BR638">
        <f>'Bookings and Drivers'!BZ87</f>
        <v>0.14274258219727343</v>
      </c>
      <c r="BS638">
        <f>'Bookings and Drivers'!CA87</f>
        <v>0.17203107658157601</v>
      </c>
      <c r="BT638">
        <f>'Bookings and Drivers'!CB87</f>
        <v>0.38940955951265233</v>
      </c>
      <c r="BU638">
        <f>'Bookings and Drivers'!CC87</f>
        <v>0.14971592130986311</v>
      </c>
      <c r="BV638">
        <f>'Bookings and Drivers'!CD87</f>
        <v>0.14944899170388126</v>
      </c>
      <c r="BW638">
        <f>'Bookings and Drivers'!CE87</f>
        <v>-5.1458861379555576E-2</v>
      </c>
      <c r="BX638">
        <f>'Bookings and Drivers'!CF87</f>
        <v>-3.5081161092748503E-2</v>
      </c>
      <c r="BY638">
        <f>'Bookings and Drivers'!CG87</f>
        <v>0</v>
      </c>
      <c r="BZ638">
        <f>'Bookings and Drivers'!CH87</f>
        <v>0</v>
      </c>
      <c r="CA638">
        <f>'Bookings and Drivers'!CI87</f>
        <v>0</v>
      </c>
      <c r="CB638">
        <f>'Bookings and Drivers'!CJ87</f>
        <v>0</v>
      </c>
      <c r="CC638">
        <f>'Bookings and Drivers'!CK87</f>
        <v>0</v>
      </c>
      <c r="CD638">
        <f>'Bookings and Drivers'!CL87</f>
        <v>0</v>
      </c>
      <c r="CE638">
        <f>'Bookings and Drivers'!CM87</f>
        <v>0</v>
      </c>
      <c r="CF638">
        <f>'Bookings and Drivers'!CN87</f>
        <v>9.2955274694483947E-2</v>
      </c>
      <c r="CG638">
        <f>'Bookings and Drivers'!CO87</f>
        <v>0.33528193514322346</v>
      </c>
      <c r="CH638">
        <f>'Bookings and Drivers'!CP87</f>
        <v>0.27512148616977616</v>
      </c>
      <c r="CI638">
        <f>'Bookings and Drivers'!CQ87</f>
        <v>0.35198492227495071</v>
      </c>
      <c r="CJ638">
        <f>'Bookings and Drivers'!CR87</f>
        <v>0.41323758136676969</v>
      </c>
      <c r="CK638">
        <f>'Bookings and Drivers'!CS87</f>
        <v>0.27766798418972338</v>
      </c>
      <c r="CL638">
        <f>'Bookings and Drivers'!CT87</f>
        <v>0.25696055684454766</v>
      </c>
      <c r="CM638">
        <f>'Bookings and Drivers'!CU87</f>
        <v>0.13951699738501766</v>
      </c>
      <c r="CN638">
        <f>'Bookings and Drivers'!CV87</f>
        <v>2.0383369330453593E-2</v>
      </c>
      <c r="CO638">
        <f>'Bookings and Drivers'!CW87</f>
        <v>0.25016536578912563</v>
      </c>
      <c r="CP638">
        <f>'Bookings and Drivers'!CX87</f>
        <v>0.21999999999999997</v>
      </c>
      <c r="CQ638">
        <f>'Bookings and Drivers'!CY87</f>
        <v>4.684439643685856E-2</v>
      </c>
      <c r="CR638">
        <f>'Bookings and Drivers'!CZ87</f>
        <v>0.10778412628904954</v>
      </c>
      <c r="CS638">
        <f>'Bookings and Drivers'!DA87</f>
        <v>9.2526505821602933E-2</v>
      </c>
      <c r="CT638">
        <f>'Bookings and Drivers'!DB87</f>
        <v>8.0694259482401831E-2</v>
      </c>
      <c r="CU638">
        <f>'Bookings and Drivers'!DC87</f>
        <v>6.7379852896191528E-2</v>
      </c>
      <c r="CV638">
        <f>'Bookings and Drivers'!DD87</f>
        <v>6.6712286385810282E-2</v>
      </c>
      <c r="CW638">
        <f>'Bookings and Drivers'!DE87</f>
        <v>6.6242616844336855E-2</v>
      </c>
      <c r="CX638">
        <f>'Bookings and Drivers'!DF87</f>
        <v>6.7175557956624887E-2</v>
      </c>
    </row>
    <row r="639" spans="1:102">
      <c r="A639" t="str">
        <f>'Bookings and Drivers'!I88</f>
        <v>2 Year Growth</v>
      </c>
      <c r="B639">
        <f>'Bookings and Drivers'!J88</f>
        <v>0</v>
      </c>
      <c r="C639">
        <f>'Bookings and Drivers'!K88</f>
        <v>0</v>
      </c>
      <c r="D639">
        <f>'Bookings and Drivers'!L88</f>
        <v>0</v>
      </c>
      <c r="E639">
        <f>'Bookings and Drivers'!M88</f>
        <v>0</v>
      </c>
      <c r="F639">
        <f>'Bookings and Drivers'!N88</f>
        <v>0</v>
      </c>
      <c r="G639">
        <f>'Bookings and Drivers'!O88</f>
        <v>0</v>
      </c>
      <c r="H639">
        <f>'Bookings and Drivers'!P88</f>
        <v>0</v>
      </c>
      <c r="I639">
        <f>'Bookings and Drivers'!Q88</f>
        <v>0</v>
      </c>
      <c r="J639">
        <f>'Bookings and Drivers'!R88</f>
        <v>0</v>
      </c>
      <c r="K639">
        <f>'Bookings and Drivers'!S88</f>
        <v>0</v>
      </c>
      <c r="L639">
        <f>'Bookings and Drivers'!T88</f>
        <v>0</v>
      </c>
      <c r="M639">
        <f>'Bookings and Drivers'!U88</f>
        <v>0</v>
      </c>
      <c r="N639">
        <f>'Bookings and Drivers'!V88</f>
        <v>0</v>
      </c>
      <c r="O639">
        <f>'Bookings and Drivers'!W88</f>
        <v>0</v>
      </c>
      <c r="P639">
        <f>'Bookings and Drivers'!X88</f>
        <v>0</v>
      </c>
      <c r="Q639">
        <f>'Bookings and Drivers'!Y88</f>
        <v>0</v>
      </c>
      <c r="R639">
        <f>'Bookings and Drivers'!Z88</f>
        <v>0</v>
      </c>
      <c r="S639">
        <f>'Bookings and Drivers'!AA88</f>
        <v>0</v>
      </c>
      <c r="T639">
        <f>'Bookings and Drivers'!AB88</f>
        <v>0</v>
      </c>
      <c r="U639">
        <f>'Bookings and Drivers'!AC88</f>
        <v>0</v>
      </c>
      <c r="V639">
        <f>'Bookings and Drivers'!AD88</f>
        <v>0</v>
      </c>
      <c r="W639">
        <f>'Bookings and Drivers'!AE88</f>
        <v>0</v>
      </c>
      <c r="X639">
        <f>'Bookings and Drivers'!AF88</f>
        <v>0</v>
      </c>
      <c r="Y639">
        <f>'Bookings and Drivers'!AG88</f>
        <v>0</v>
      </c>
      <c r="Z639">
        <f>'Bookings and Drivers'!AH88</f>
        <v>0</v>
      </c>
      <c r="AA639">
        <f>'Bookings and Drivers'!AI88</f>
        <v>0</v>
      </c>
      <c r="AB639">
        <f>'Bookings and Drivers'!AJ88</f>
        <v>0</v>
      </c>
      <c r="AC639">
        <f>'Bookings and Drivers'!AK88</f>
        <v>0</v>
      </c>
      <c r="AD639">
        <f>'Bookings and Drivers'!AL88</f>
        <v>0</v>
      </c>
      <c r="AE639">
        <f>'Bookings and Drivers'!AM88</f>
        <v>0</v>
      </c>
      <c r="AF639">
        <f>'Bookings and Drivers'!AN88</f>
        <v>0</v>
      </c>
      <c r="AG639">
        <f>'Bookings and Drivers'!AO88</f>
        <v>0.43039454808881739</v>
      </c>
      <c r="AH639">
        <f>'Bookings and Drivers'!AP88</f>
        <v>0.42813847104712144</v>
      </c>
      <c r="AI639">
        <f>'Bookings and Drivers'!AQ88</f>
        <v>0.43311142966275606</v>
      </c>
      <c r="AJ639">
        <f>'Bookings and Drivers'!AR88</f>
        <v>0.43922963131976656</v>
      </c>
      <c r="AK639">
        <f>'Bookings and Drivers'!AS88</f>
        <v>0.56824900823317015</v>
      </c>
      <c r="AL639">
        <f>'Bookings and Drivers'!AT88</f>
        <v>0.65941225160520589</v>
      </c>
      <c r="AM639">
        <f>'Bookings and Drivers'!AU88</f>
        <v>0.60927129630709409</v>
      </c>
      <c r="AN639">
        <f>'Bookings and Drivers'!AV88</f>
        <v>0.61016655675035891</v>
      </c>
      <c r="AO639">
        <f>'Bookings and Drivers'!AW88</f>
        <v>0.46723087533432306</v>
      </c>
      <c r="AP639">
        <f>'Bookings and Drivers'!AX88</f>
        <v>0.53501793254510344</v>
      </c>
      <c r="AQ639">
        <f>'Bookings and Drivers'!AY88</f>
        <v>0.74067223724588205</v>
      </c>
      <c r="AR639">
        <f>'Bookings and Drivers'!AZ88</f>
        <v>0.75646130336848372</v>
      </c>
      <c r="AS639">
        <f>'Bookings and Drivers'!BA88</f>
        <v>0.74353015285636515</v>
      </c>
      <c r="AT639">
        <f>'Bookings and Drivers'!BB88</f>
        <v>0.76207706825263433</v>
      </c>
      <c r="AU639">
        <f>'Bookings and Drivers'!BC88</f>
        <v>0.77049188089814669</v>
      </c>
      <c r="AV639">
        <f>'Bookings and Drivers'!BD88</f>
        <v>0.79552676514247489</v>
      </c>
      <c r="AW639">
        <f>'Bookings and Drivers'!BE88</f>
        <v>0.83480745099519105</v>
      </c>
      <c r="AX639">
        <f>'Bookings and Drivers'!BF88</f>
        <v>0.68107190605410706</v>
      </c>
      <c r="AY639">
        <f>'Bookings and Drivers'!BG88</f>
        <v>0.59504521160375123</v>
      </c>
      <c r="AZ639">
        <f>'Bookings and Drivers'!BH88</f>
        <v>0.69186829712985065</v>
      </c>
      <c r="BA639">
        <f>'Bookings and Drivers'!BI88</f>
        <v>0.61048138070196889</v>
      </c>
      <c r="BB639">
        <f>'Bookings and Drivers'!BJ88</f>
        <v>0.53387566726790769</v>
      </c>
      <c r="BC639">
        <f>'Bookings and Drivers'!BK88</f>
        <v>0.47665252880921893</v>
      </c>
      <c r="BD639">
        <f>'Bookings and Drivers'!BL88</f>
        <v>0.53598324816857024</v>
      </c>
      <c r="BE639">
        <f>'Bookings and Drivers'!BM88</f>
        <v>0.44320788812067891</v>
      </c>
      <c r="BF639">
        <f>'Bookings and Drivers'!BN88</f>
        <v>0.4601632990561948</v>
      </c>
      <c r="BG639">
        <f>'Bookings and Drivers'!BO88</f>
        <v>0.38646964043419274</v>
      </c>
      <c r="BH639">
        <f>'Bookings and Drivers'!BP88</f>
        <v>0.29715393481296237</v>
      </c>
      <c r="BI639">
        <f>'Bookings and Drivers'!BQ88</f>
        <v>0.230483045931551</v>
      </c>
      <c r="BJ639">
        <f>'Bookings and Drivers'!BR88</f>
        <v>0.22662449520482331</v>
      </c>
      <c r="BK639">
        <f>'Bookings and Drivers'!BS88</f>
        <v>0.11229069438024664</v>
      </c>
      <c r="BL639">
        <f>'Bookings and Drivers'!BT88</f>
        <v>6.9843121312173073E-2</v>
      </c>
      <c r="BM639">
        <f>'Bookings and Drivers'!BU88</f>
        <v>0.19336591983695817</v>
      </c>
      <c r="BN639">
        <f>'Bookings and Drivers'!BV88</f>
        <v>0.26102707738829922</v>
      </c>
      <c r="BO639">
        <f>'Bookings and Drivers'!BW88</f>
        <v>0.36500791739380944</v>
      </c>
      <c r="BP639">
        <f>'Bookings and Drivers'!BX88</f>
        <v>0.26894223422591024</v>
      </c>
      <c r="BQ639">
        <f>'Bookings and Drivers'!BY88</f>
        <v>0.33648604345664346</v>
      </c>
      <c r="BR639">
        <f>'Bookings and Drivers'!BZ88</f>
        <v>0.33376454972353886</v>
      </c>
      <c r="BS639">
        <f>'Bookings and Drivers'!CA88</f>
        <v>0.57400203093842239</v>
      </c>
      <c r="BT639">
        <f>'Bookings and Drivers'!CB88</f>
        <v>0.66725387088989785</v>
      </c>
      <c r="BU639">
        <f>'Bookings and Drivers'!CC88</f>
        <v>0.35122606760528541</v>
      </c>
      <c r="BV639">
        <f>'Bookings and Drivers'!CD88</f>
        <v>0.29219157390115469</v>
      </c>
      <c r="BW639">
        <f>'Bookings and Drivers'!CE88</f>
        <v>0.12057221520202044</v>
      </c>
      <c r="BX639">
        <f>'Bookings and Drivers'!CF88</f>
        <v>0.35432839841990382</v>
      </c>
      <c r="BY639">
        <f>'Bookings and Drivers'!CG88</f>
        <v>0</v>
      </c>
      <c r="BZ639">
        <f>'Bookings and Drivers'!CH88</f>
        <v>0</v>
      </c>
      <c r="CA639">
        <f>'Bookings and Drivers'!CI88</f>
        <v>0</v>
      </c>
      <c r="CB639">
        <f>'Bookings and Drivers'!CJ88</f>
        <v>0</v>
      </c>
      <c r="CC639">
        <f>'Bookings and Drivers'!CK88</f>
        <v>0</v>
      </c>
      <c r="CD639">
        <f>'Bookings and Drivers'!CL88</f>
        <v>0</v>
      </c>
      <c r="CE639">
        <f>'Bookings and Drivers'!CM88</f>
        <v>0</v>
      </c>
      <c r="CF639">
        <f>'Bookings and Drivers'!CN88</f>
        <v>0</v>
      </c>
      <c r="CG639">
        <f>'Bookings and Drivers'!CO88</f>
        <v>0.42823720983770741</v>
      </c>
      <c r="CH639">
        <f>'Bookings and Drivers'!CP88</f>
        <v>0.61040342131299963</v>
      </c>
      <c r="CI639">
        <f>'Bookings and Drivers'!CQ88</f>
        <v>0.62710640844472687</v>
      </c>
      <c r="CJ639">
        <f>'Bookings and Drivers'!CR88</f>
        <v>0.7652225036417204</v>
      </c>
      <c r="CK639">
        <f>'Bookings and Drivers'!CS88</f>
        <v>0.69090556555649307</v>
      </c>
      <c r="CL639">
        <f>'Bookings and Drivers'!CT88</f>
        <v>0.53462854103427104</v>
      </c>
      <c r="CM639">
        <f>'Bookings and Drivers'!CU88</f>
        <v>0.39647755422956532</v>
      </c>
      <c r="CN639">
        <f>'Bookings and Drivers'!CV88</f>
        <v>0.15990036671547125</v>
      </c>
      <c r="CO639">
        <f>'Bookings and Drivers'!CW88</f>
        <v>0.27054873511957922</v>
      </c>
      <c r="CP639">
        <f>'Bookings and Drivers'!CX88</f>
        <v>0.4701653657891256</v>
      </c>
      <c r="CQ639">
        <f>'Bookings and Drivers'!CY88</f>
        <v>0.26684439643685853</v>
      </c>
      <c r="CR639">
        <f>'Bookings and Drivers'!CZ88</f>
        <v>0.1546285227259081</v>
      </c>
      <c r="CS639">
        <f>'Bookings and Drivers'!DA88</f>
        <v>0.20031063211065248</v>
      </c>
      <c r="CT639">
        <f>'Bookings and Drivers'!DB88</f>
        <v>0.17322076530400476</v>
      </c>
      <c r="CU639">
        <f>'Bookings and Drivers'!DC88</f>
        <v>0.14807411237859336</v>
      </c>
      <c r="CV639">
        <f>'Bookings and Drivers'!DD88</f>
        <v>0.13409213928200181</v>
      </c>
      <c r="CW639">
        <f>'Bookings and Drivers'!DE88</f>
        <v>0.13295490323014714</v>
      </c>
      <c r="CX639">
        <f>'Bookings and Drivers'!DF88</f>
        <v>0.13341817480096174</v>
      </c>
    </row>
    <row r="640" spans="1:102">
      <c r="A640" t="str">
        <f>'Bookings and Drivers'!I89</f>
        <v>% of total gross bookings</v>
      </c>
      <c r="B640">
        <f>'Bookings and Drivers'!J89</f>
        <v>0</v>
      </c>
      <c r="C640">
        <f>'Bookings and Drivers'!K89</f>
        <v>0</v>
      </c>
      <c r="D640">
        <f>'Bookings and Drivers'!L89</f>
        <v>0</v>
      </c>
      <c r="E640">
        <f>'Bookings and Drivers'!M89</f>
        <v>0</v>
      </c>
      <c r="F640">
        <f>'Bookings and Drivers'!N89</f>
        <v>0</v>
      </c>
      <c r="G640">
        <f>'Bookings and Drivers'!O89</f>
        <v>0</v>
      </c>
      <c r="H640">
        <f>'Bookings and Drivers'!P89</f>
        <v>0</v>
      </c>
      <c r="I640">
        <f>'Bookings and Drivers'!Q89</f>
        <v>0</v>
      </c>
      <c r="J640">
        <f>'Bookings and Drivers'!R89</f>
        <v>0</v>
      </c>
      <c r="K640">
        <f>'Bookings and Drivers'!S89</f>
        <v>0</v>
      </c>
      <c r="L640">
        <f>'Bookings and Drivers'!T89</f>
        <v>0</v>
      </c>
      <c r="M640">
        <f>'Bookings and Drivers'!U89</f>
        <v>0</v>
      </c>
      <c r="N640">
        <f>'Bookings and Drivers'!V89</f>
        <v>0</v>
      </c>
      <c r="O640">
        <f>'Bookings and Drivers'!W89</f>
        <v>0</v>
      </c>
      <c r="P640">
        <f>'Bookings and Drivers'!X89</f>
        <v>0</v>
      </c>
      <c r="Q640">
        <f>'Bookings and Drivers'!Y89</f>
        <v>0</v>
      </c>
      <c r="R640">
        <f>'Bookings and Drivers'!Z89</f>
        <v>0</v>
      </c>
      <c r="S640">
        <f>'Bookings and Drivers'!AA89</f>
        <v>0</v>
      </c>
      <c r="T640">
        <f>'Bookings and Drivers'!AB89</f>
        <v>0</v>
      </c>
      <c r="U640">
        <f>'Bookings and Drivers'!AC89</f>
        <v>0</v>
      </c>
      <c r="V640">
        <f>'Bookings and Drivers'!AD89</f>
        <v>0</v>
      </c>
      <c r="W640">
        <f>'Bookings and Drivers'!AE89</f>
        <v>0</v>
      </c>
      <c r="X640">
        <f>'Bookings and Drivers'!AF89</f>
        <v>0</v>
      </c>
      <c r="Y640">
        <f>'Bookings and Drivers'!AG89</f>
        <v>0.35659816743235667</v>
      </c>
      <c r="Z640">
        <f>'Bookings and Drivers'!AH89</f>
        <v>0.34298377096026311</v>
      </c>
      <c r="AA640">
        <f>'Bookings and Drivers'!AI89</f>
        <v>0.33522223993764177</v>
      </c>
      <c r="AB640">
        <f>'Bookings and Drivers'!AJ89</f>
        <v>0.33854608639431044</v>
      </c>
      <c r="AC640">
        <f>'Bookings and Drivers'!AK89</f>
        <v>0.28839819287304547</v>
      </c>
      <c r="AD640">
        <f>'Bookings and Drivers'!AL89</f>
        <v>0.25560627446026474</v>
      </c>
      <c r="AE640">
        <f>'Bookings and Drivers'!AM89</f>
        <v>0.25028277472292393</v>
      </c>
      <c r="AF640">
        <f>'Bookings and Drivers'!AN89</f>
        <v>0.24278227308515254</v>
      </c>
      <c r="AG640">
        <f>'Bookings and Drivers'!AO89</f>
        <v>0.22090887586346505</v>
      </c>
      <c r="AH640">
        <f>'Bookings and Drivers'!AP89</f>
        <v>0.2147855533148654</v>
      </c>
      <c r="AI640">
        <f>'Bookings and Drivers'!AQ89</f>
        <v>0.21787364290462424</v>
      </c>
      <c r="AJ640">
        <f>'Bookings and Drivers'!AR89</f>
        <v>0.2518977282624621</v>
      </c>
      <c r="AK640">
        <f>'Bookings and Drivers'!AS89</f>
        <v>0.2436879496847062</v>
      </c>
      <c r="AL640">
        <f>'Bookings and Drivers'!AT89</f>
        <v>0.23308890717718472</v>
      </c>
      <c r="AM640">
        <f>'Bookings and Drivers'!AU89</f>
        <v>0.21752056487954147</v>
      </c>
      <c r="AN640">
        <f>'Bookings and Drivers'!AV89</f>
        <v>0.21999077923419949</v>
      </c>
      <c r="AO640">
        <f>'Bookings and Drivers'!AW89</f>
        <v>0.19938981918882043</v>
      </c>
      <c r="AP640">
        <f>'Bookings and Drivers'!AX89</f>
        <v>0.21324827428464185</v>
      </c>
      <c r="AQ640">
        <f>'Bookings and Drivers'!AY89</f>
        <v>0.2091862206689965</v>
      </c>
      <c r="AR640">
        <f>'Bookings and Drivers'!AZ89</f>
        <v>0.21684532924961716</v>
      </c>
      <c r="AS640">
        <f>'Bookings and Drivers'!BA89</f>
        <v>0.18949624866023579</v>
      </c>
      <c r="AT640">
        <f>'Bookings and Drivers'!BB89</f>
        <v>0.18252595155709342</v>
      </c>
      <c r="AU640">
        <f>'Bookings and Drivers'!BC89</f>
        <v>0.18155665654466996</v>
      </c>
      <c r="AV640">
        <f>'Bookings and Drivers'!BD89</f>
        <v>0.1963276836158192</v>
      </c>
      <c r="AW640">
        <f>'Bookings and Drivers'!BE89</f>
        <v>0.17642676203248397</v>
      </c>
      <c r="AX640">
        <f>'Bookings and Drivers'!BF89</f>
        <v>0.17710465274935189</v>
      </c>
      <c r="AY640">
        <f>'Bookings and Drivers'!BG89</f>
        <v>0.1797752808988764</v>
      </c>
      <c r="AZ640">
        <f>'Bookings and Drivers'!BH89</f>
        <v>0.19471445929526124</v>
      </c>
      <c r="BA640">
        <f>'Bookings and Drivers'!BI89</f>
        <v>0.16442696383699335</v>
      </c>
      <c r="BB640">
        <f>'Bookings and Drivers'!BJ89</f>
        <v>0.16724325392903033</v>
      </c>
      <c r="BC640">
        <f>'Bookings and Drivers'!BK89</f>
        <v>0.16182071528100325</v>
      </c>
      <c r="BD640">
        <f>'Bookings and Drivers'!BL89</f>
        <v>0.17095326693663129</v>
      </c>
      <c r="BE640">
        <f>'Bookings and Drivers'!BM89</f>
        <v>0.14364820846905538</v>
      </c>
      <c r="BF640">
        <f>'Bookings and Drivers'!BN89</f>
        <v>0.14455606441128674</v>
      </c>
      <c r="BG640">
        <f>'Bookings and Drivers'!BO89</f>
        <v>0.14483107863705419</v>
      </c>
      <c r="BH640">
        <f>'Bookings and Drivers'!BP89</f>
        <v>0.15808237170466272</v>
      </c>
      <c r="BI640">
        <f>'Bookings and Drivers'!BQ89</f>
        <v>0.13552555168408828</v>
      </c>
      <c r="BJ640">
        <f>'Bookings and Drivers'!BR89</f>
        <v>0.13997326203208557</v>
      </c>
      <c r="BK640">
        <f>'Bookings and Drivers'!BS89</f>
        <v>0.13046420354581134</v>
      </c>
      <c r="BL640">
        <f>'Bookings and Drivers'!BT89</f>
        <v>0.13900449475611787</v>
      </c>
      <c r="BM640">
        <f>'Bookings and Drivers'!BU89</f>
        <v>0.12724434035909446</v>
      </c>
      <c r="BN640">
        <f>'Bookings and Drivers'!BV89</f>
        <v>0.1396260217220916</v>
      </c>
      <c r="BO640">
        <f>'Bookings and Drivers'!BW89</f>
        <v>0.14642470205850489</v>
      </c>
      <c r="BP640">
        <f>'Bookings and Drivers'!BX89</f>
        <v>0.14121228163049232</v>
      </c>
      <c r="BQ640">
        <f>'Bookings and Drivers'!BY89</f>
        <v>0.12307246096582394</v>
      </c>
      <c r="BR640">
        <f>'Bookings and Drivers'!BZ89</f>
        <v>0.13703899600903977</v>
      </c>
      <c r="BS640">
        <f>'Bookings and Drivers'!CA89</f>
        <v>0.14557485525227462</v>
      </c>
      <c r="BT640">
        <f>'Bookings and Drivers'!CB89</f>
        <v>0.16490545050055616</v>
      </c>
      <c r="BU640">
        <f>'Bookings and Drivers'!CC89</f>
        <v>0.117644828027247</v>
      </c>
      <c r="BV640">
        <f>'Bookings and Drivers'!CD89</f>
        <v>0.13058729665898949</v>
      </c>
      <c r="BW640">
        <f>'Bookings and Drivers'!CE89</f>
        <v>0.12110213847050258</v>
      </c>
      <c r="BX640">
        <f>'Bookings and Drivers'!CF89</f>
        <v>0.13001530553766669</v>
      </c>
      <c r="BY640">
        <f>'Bookings and Drivers'!CG89</f>
        <v>0</v>
      </c>
      <c r="BZ640">
        <f>'Bookings and Drivers'!CH89</f>
        <v>0</v>
      </c>
      <c r="CA640">
        <f>'Bookings and Drivers'!CI89</f>
        <v>0</v>
      </c>
      <c r="CB640">
        <f>'Bookings and Drivers'!CJ89</f>
        <v>0</v>
      </c>
      <c r="CC640">
        <f>'Bookings and Drivers'!CK89</f>
        <v>0</v>
      </c>
      <c r="CD640">
        <f>'Bookings and Drivers'!CL89</f>
        <v>0</v>
      </c>
      <c r="CE640">
        <f>'Bookings and Drivers'!CM89</f>
        <v>0.34294249354393963</v>
      </c>
      <c r="CF640">
        <f>'Bookings and Drivers'!CN89</f>
        <v>0.25765247806360025</v>
      </c>
      <c r="CG640">
        <f>'Bookings and Drivers'!CO89</f>
        <v>0.22452428792679896</v>
      </c>
      <c r="CH640">
        <f>'Bookings and Drivers'!CP89</f>
        <v>0.22756260914266735</v>
      </c>
      <c r="CI640">
        <f>'Bookings and Drivers'!CQ89</f>
        <v>0.20990555754028234</v>
      </c>
      <c r="CJ640">
        <f>'Bookings and Drivers'!CR89</f>
        <v>0.18690553144334657</v>
      </c>
      <c r="CK640">
        <f>'Bookings and Drivers'!CS89</f>
        <v>0.18175428732077595</v>
      </c>
      <c r="CL640">
        <f>'Bookings and Drivers'!CT89</f>
        <v>0.16596037986316756</v>
      </c>
      <c r="CM640">
        <f>'Bookings and Drivers'!CU89</f>
        <v>0.14727634194831013</v>
      </c>
      <c r="CN640">
        <f>'Bookings and Drivers'!CV89</f>
        <v>0.13612952024204006</v>
      </c>
      <c r="CO640">
        <f>'Bookings and Drivers'!CW89</f>
        <v>0.13879301481927533</v>
      </c>
      <c r="CP640">
        <f>'Bookings and Drivers'!CX89</f>
        <v>0.14193731071331839</v>
      </c>
      <c r="CQ640">
        <f>'Bookings and Drivers'!CY89</f>
        <v>0.12469828230342737</v>
      </c>
      <c r="CR640">
        <f>'Bookings and Drivers'!CZ89</f>
        <v>0.12053353238994796</v>
      </c>
      <c r="CS640">
        <f>'Bookings and Drivers'!DA89</f>
        <v>0.11701614392013819</v>
      </c>
      <c r="CT640">
        <f>'Bookings and Drivers'!DB89</f>
        <v>0.11417103881747596</v>
      </c>
      <c r="CU640">
        <f>'Bookings and Drivers'!DC89</f>
        <v>0.11126306111443672</v>
      </c>
      <c r="CV640">
        <f>'Bookings and Drivers'!DD89</f>
        <v>0.10927379540608124</v>
      </c>
      <c r="CW640">
        <f>'Bookings and Drivers'!DE89</f>
        <v>0.1081021755623449</v>
      </c>
      <c r="CX640">
        <f>'Bookings and Drivers'!DF89</f>
        <v>0.10700815762970003</v>
      </c>
    </row>
    <row r="641" spans="1:102">
      <c r="A641" t="str">
        <f>'Bookings and Drivers'!I90</f>
        <v>Sequential Growth</v>
      </c>
      <c r="B641">
        <f>'Bookings and Drivers'!J90</f>
        <v>0</v>
      </c>
      <c r="C641">
        <f>'Bookings and Drivers'!K90</f>
        <v>0</v>
      </c>
      <c r="D641">
        <f>'Bookings and Drivers'!L90</f>
        <v>0</v>
      </c>
      <c r="E641">
        <f>'Bookings and Drivers'!M90</f>
        <v>0</v>
      </c>
      <c r="F641">
        <f>'Bookings and Drivers'!N90</f>
        <v>0</v>
      </c>
      <c r="G641">
        <f>'Bookings and Drivers'!O90</f>
        <v>0</v>
      </c>
      <c r="H641">
        <f>'Bookings and Drivers'!P90</f>
        <v>0</v>
      </c>
      <c r="I641">
        <f>'Bookings and Drivers'!Q90</f>
        <v>0</v>
      </c>
      <c r="J641">
        <f>'Bookings and Drivers'!R90</f>
        <v>0</v>
      </c>
      <c r="K641">
        <f>'Bookings and Drivers'!S90</f>
        <v>0</v>
      </c>
      <c r="L641">
        <f>'Bookings and Drivers'!T90</f>
        <v>0</v>
      </c>
      <c r="M641">
        <f>'Bookings and Drivers'!U90</f>
        <v>0</v>
      </c>
      <c r="N641">
        <f>'Bookings and Drivers'!V90</f>
        <v>0</v>
      </c>
      <c r="O641">
        <f>'Bookings and Drivers'!W90</f>
        <v>0</v>
      </c>
      <c r="P641">
        <f>'Bookings and Drivers'!X90</f>
        <v>0</v>
      </c>
      <c r="Q641">
        <f>'Bookings and Drivers'!Y90</f>
        <v>0</v>
      </c>
      <c r="R641">
        <f>'Bookings and Drivers'!Z90</f>
        <v>0</v>
      </c>
      <c r="S641">
        <f>'Bookings and Drivers'!AA90</f>
        <v>0</v>
      </c>
      <c r="T641">
        <f>'Bookings and Drivers'!AB90</f>
        <v>0</v>
      </c>
      <c r="U641">
        <f>'Bookings and Drivers'!AC90</f>
        <v>0</v>
      </c>
      <c r="V641">
        <f>'Bookings and Drivers'!AD90</f>
        <v>0</v>
      </c>
      <c r="W641">
        <f>'Bookings and Drivers'!AE90</f>
        <v>0</v>
      </c>
      <c r="X641">
        <f>'Bookings and Drivers'!AF90</f>
        <v>0</v>
      </c>
      <c r="Y641">
        <f>'Bookings and Drivers'!AG90</f>
        <v>0</v>
      </c>
      <c r="Z641">
        <f>'Bookings and Drivers'!AH90</f>
        <v>0</v>
      </c>
      <c r="AA641">
        <f>'Bookings and Drivers'!AI90</f>
        <v>0</v>
      </c>
      <c r="AB641">
        <f>'Bookings and Drivers'!AJ90</f>
        <v>0</v>
      </c>
      <c r="AC641">
        <f>'Bookings and Drivers'!AK90</f>
        <v>0</v>
      </c>
      <c r="AD641">
        <f>'Bookings and Drivers'!AL90</f>
        <v>0</v>
      </c>
      <c r="AE641">
        <f>'Bookings and Drivers'!AM90</f>
        <v>0</v>
      </c>
      <c r="AF641">
        <f>'Bookings and Drivers'!AN90</f>
        <v>0</v>
      </c>
      <c r="AG641">
        <f>'Bookings and Drivers'!AO90</f>
        <v>95.860000000000014</v>
      </c>
      <c r="AH641">
        <f>'Bookings and Drivers'!AP90</f>
        <v>64.697000000000003</v>
      </c>
      <c r="AI641">
        <f>'Bookings and Drivers'!AQ90</f>
        <v>-6.4560000000000173</v>
      </c>
      <c r="AJ641">
        <f>'Bookings and Drivers'!AR90</f>
        <v>-73.644999999999982</v>
      </c>
      <c r="AK641">
        <f>'Bookings and Drivers'!AS90</f>
        <v>100.53899999999999</v>
      </c>
      <c r="AL641">
        <f>'Bookings and Drivers'!AT90</f>
        <v>80.93199999999996</v>
      </c>
      <c r="AM641">
        <f>'Bookings and Drivers'!AU90</f>
        <v>37.715000000000032</v>
      </c>
      <c r="AN641">
        <f>'Bookings and Drivers'!AV90</f>
        <v>-94.115999999999985</v>
      </c>
      <c r="AO641">
        <f>'Bookings and Drivers'!AW90</f>
        <v>92.971000000000004</v>
      </c>
      <c r="AP641">
        <f>'Bookings and Drivers'!AX90</f>
        <v>136.08500000000004</v>
      </c>
      <c r="AQ641">
        <f>'Bookings and Drivers'!AY90</f>
        <v>110.78499999999997</v>
      </c>
      <c r="AR641">
        <f>'Bookings and Drivers'!AZ90</f>
        <v>-130</v>
      </c>
      <c r="AS641">
        <f>'Bookings and Drivers'!BA90</f>
        <v>176</v>
      </c>
      <c r="AT641">
        <f>'Bookings and Drivers'!BB90</f>
        <v>171</v>
      </c>
      <c r="AU641">
        <f>'Bookings and Drivers'!BC90</f>
        <v>81</v>
      </c>
      <c r="AV641">
        <f>'Bookings and Drivers'!BD90</f>
        <v>-163</v>
      </c>
      <c r="AW641">
        <f>'Bookings and Drivers'!BE90</f>
        <v>211</v>
      </c>
      <c r="AX641">
        <f>'Bookings and Drivers'!BF90</f>
        <v>114</v>
      </c>
      <c r="AY641">
        <f>'Bookings and Drivers'!BG90</f>
        <v>110</v>
      </c>
      <c r="AZ641">
        <f>'Bookings and Drivers'!BH90</f>
        <v>-126</v>
      </c>
      <c r="BA641">
        <f>'Bookings and Drivers'!BI90</f>
        <v>223</v>
      </c>
      <c r="BB641">
        <f>'Bookings and Drivers'!BJ90</f>
        <v>187</v>
      </c>
      <c r="BC641">
        <f>'Bookings and Drivers'!BK90</f>
        <v>50</v>
      </c>
      <c r="BD641">
        <f>'Bookings and Drivers'!BL90</f>
        <v>-180</v>
      </c>
      <c r="BE641">
        <f>'Bookings and Drivers'!BM90</f>
        <v>202</v>
      </c>
      <c r="BF641">
        <f>'Bookings and Drivers'!BN90</f>
        <v>193</v>
      </c>
      <c r="BG641">
        <f>'Bookings and Drivers'!BO90</f>
        <v>45</v>
      </c>
      <c r="BH641">
        <f>'Bookings and Drivers'!BP90</f>
        <v>-317</v>
      </c>
      <c r="BI641">
        <f>'Bookings and Drivers'!BQ90</f>
        <v>182</v>
      </c>
      <c r="BJ641">
        <f>'Bookings and Drivers'!BR90</f>
        <v>227</v>
      </c>
      <c r="BK641">
        <f>'Bookings and Drivers'!BS90</f>
        <v>-166</v>
      </c>
      <c r="BL641">
        <f>'Bookings and Drivers'!BT90</f>
        <v>-258</v>
      </c>
      <c r="BM641">
        <f>'Bookings and Drivers'!BU90</f>
        <v>449</v>
      </c>
      <c r="BN641">
        <f>'Bookings and Drivers'!BV90</f>
        <v>375</v>
      </c>
      <c r="BO641">
        <f>'Bookings and Drivers'!BW90</f>
        <v>209</v>
      </c>
      <c r="BP641">
        <f>'Bookings and Drivers'!BX90</f>
        <v>-569</v>
      </c>
      <c r="BQ641">
        <f>'Bookings and Drivers'!BY90</f>
        <v>412</v>
      </c>
      <c r="BR641">
        <f>'Bookings and Drivers'!BZ90</f>
        <v>304</v>
      </c>
      <c r="BS641">
        <f>'Bookings and Drivers'!CA90</f>
        <v>318</v>
      </c>
      <c r="BT641">
        <f>'Bookings and Drivers'!CB90</f>
        <v>-203</v>
      </c>
      <c r="BU641">
        <f>'Bookings and Drivers'!CC90</f>
        <v>-37.823264345088319</v>
      </c>
      <c r="BV641">
        <f>'Bookings and Drivers'!CD90</f>
        <v>348.75289070115014</v>
      </c>
      <c r="BW641">
        <f>'Bookings and Drivers'!CE90</f>
        <v>-270.95129920649379</v>
      </c>
      <c r="BX641">
        <f>'Bookings and Drivers'!CF90</f>
        <v>-143.99396978956747</v>
      </c>
      <c r="BY641">
        <f>'Bookings and Drivers'!CG90</f>
        <v>0</v>
      </c>
      <c r="BZ641">
        <f>'Bookings and Drivers'!CH90</f>
        <v>0</v>
      </c>
      <c r="CA641">
        <f>'Bookings and Drivers'!CI90</f>
        <v>0</v>
      </c>
      <c r="CB641">
        <f>'Bookings and Drivers'!CJ90</f>
        <v>0</v>
      </c>
      <c r="CC641">
        <f>'Bookings and Drivers'!CK90</f>
        <v>0</v>
      </c>
      <c r="CD641">
        <f>'Bookings and Drivers'!CL90</f>
        <v>0</v>
      </c>
      <c r="CE641">
        <f>'Bookings and Drivers'!CM90</f>
        <v>0</v>
      </c>
      <c r="CF641">
        <f>'Bookings and Drivers'!CN90</f>
        <v>0</v>
      </c>
      <c r="CG641">
        <f>'Bookings and Drivers'!CO90</f>
        <v>0</v>
      </c>
      <c r="CH641">
        <f>'Bookings and Drivers'!CP90</f>
        <v>0</v>
      </c>
      <c r="CI641">
        <f>'Bookings and Drivers'!CQ90</f>
        <v>0</v>
      </c>
      <c r="CJ641">
        <f>'Bookings and Drivers'!CR90</f>
        <v>0</v>
      </c>
      <c r="CK641">
        <f>'Bookings and Drivers'!CS90</f>
        <v>0</v>
      </c>
      <c r="CL641">
        <f>'Bookings and Drivers'!CT90</f>
        <v>0</v>
      </c>
      <c r="CM641">
        <f>'Bookings and Drivers'!CU90</f>
        <v>0</v>
      </c>
      <c r="CN641">
        <f>'Bookings and Drivers'!CV90</f>
        <v>0</v>
      </c>
      <c r="CO641">
        <f>'Bookings and Drivers'!CW90</f>
        <v>0</v>
      </c>
      <c r="CP641">
        <f>'Bookings and Drivers'!CX90</f>
        <v>0</v>
      </c>
      <c r="CQ641">
        <f>'Bookings and Drivers'!CY90</f>
        <v>0</v>
      </c>
      <c r="CR641">
        <f>'Bookings and Drivers'!CZ90</f>
        <v>0</v>
      </c>
      <c r="CS641">
        <f>'Bookings and Drivers'!DA90</f>
        <v>0</v>
      </c>
      <c r="CT641">
        <f>'Bookings and Drivers'!DB90</f>
        <v>0</v>
      </c>
      <c r="CU641">
        <f>'Bookings and Drivers'!DC90</f>
        <v>0</v>
      </c>
      <c r="CV641">
        <f>'Bookings and Drivers'!DD90</f>
        <v>0</v>
      </c>
      <c r="CW641">
        <f>'Bookings and Drivers'!DE90</f>
        <v>0</v>
      </c>
      <c r="CX641">
        <f>'Bookings and Drivers'!DF90</f>
        <v>0</v>
      </c>
    </row>
    <row r="642" spans="1:102">
      <c r="A642">
        <f>'Bookings and Drivers'!I91</f>
        <v>0</v>
      </c>
      <c r="B642">
        <f>'Bookings and Drivers'!J91</f>
        <v>0</v>
      </c>
      <c r="C642">
        <f>'Bookings and Drivers'!K91</f>
        <v>0</v>
      </c>
      <c r="D642">
        <f>'Bookings and Drivers'!L91</f>
        <v>0</v>
      </c>
      <c r="E642">
        <f>'Bookings and Drivers'!M91</f>
        <v>0</v>
      </c>
      <c r="F642">
        <f>'Bookings and Drivers'!N91</f>
        <v>0</v>
      </c>
      <c r="G642">
        <f>'Bookings and Drivers'!O91</f>
        <v>0</v>
      </c>
      <c r="H642">
        <f>'Bookings and Drivers'!P91</f>
        <v>0</v>
      </c>
      <c r="I642">
        <f>'Bookings and Drivers'!Q91</f>
        <v>0</v>
      </c>
      <c r="J642">
        <f>'Bookings and Drivers'!R91</f>
        <v>0</v>
      </c>
      <c r="K642">
        <f>'Bookings and Drivers'!S91</f>
        <v>0</v>
      </c>
      <c r="L642">
        <f>'Bookings and Drivers'!T91</f>
        <v>0</v>
      </c>
      <c r="M642">
        <f>'Bookings and Drivers'!U91</f>
        <v>0</v>
      </c>
      <c r="N642">
        <f>'Bookings and Drivers'!V91</f>
        <v>0</v>
      </c>
      <c r="O642">
        <f>'Bookings and Drivers'!W91</f>
        <v>0</v>
      </c>
      <c r="P642">
        <f>'Bookings and Drivers'!X91</f>
        <v>0</v>
      </c>
      <c r="Q642">
        <f>'Bookings and Drivers'!Y91</f>
        <v>0</v>
      </c>
      <c r="R642">
        <f>'Bookings and Drivers'!Z91</f>
        <v>0</v>
      </c>
      <c r="S642">
        <f>'Bookings and Drivers'!AA91</f>
        <v>0</v>
      </c>
      <c r="T642">
        <f>'Bookings and Drivers'!AB91</f>
        <v>0</v>
      </c>
      <c r="U642">
        <f>'Bookings and Drivers'!AC91</f>
        <v>0</v>
      </c>
      <c r="V642">
        <f>'Bookings and Drivers'!AD91</f>
        <v>0</v>
      </c>
      <c r="W642">
        <f>'Bookings and Drivers'!AE91</f>
        <v>0</v>
      </c>
      <c r="X642">
        <f>'Bookings and Drivers'!AF91</f>
        <v>0</v>
      </c>
      <c r="Y642">
        <f>'Bookings and Drivers'!AG91</f>
        <v>0</v>
      </c>
      <c r="Z642">
        <f>'Bookings and Drivers'!AH91</f>
        <v>0</v>
      </c>
      <c r="AA642">
        <f>'Bookings and Drivers'!AI91</f>
        <v>0</v>
      </c>
      <c r="AB642">
        <f>'Bookings and Drivers'!AJ91</f>
        <v>0</v>
      </c>
      <c r="AC642">
        <f>'Bookings and Drivers'!AK91</f>
        <v>0</v>
      </c>
      <c r="AD642">
        <f>'Bookings and Drivers'!AL91</f>
        <v>0</v>
      </c>
      <c r="AE642">
        <f>'Bookings and Drivers'!AM91</f>
        <v>0</v>
      </c>
      <c r="AF642">
        <f>'Bookings and Drivers'!AN91</f>
        <v>0</v>
      </c>
      <c r="AG642">
        <f>'Bookings and Drivers'!AO91</f>
        <v>0</v>
      </c>
      <c r="AH642">
        <f>'Bookings and Drivers'!AP91</f>
        <v>0</v>
      </c>
      <c r="AI642">
        <f>'Bookings and Drivers'!AQ91</f>
        <v>0</v>
      </c>
      <c r="AJ642">
        <f>'Bookings and Drivers'!AR91</f>
        <v>0</v>
      </c>
      <c r="AK642">
        <f>'Bookings and Drivers'!AS91</f>
        <v>0</v>
      </c>
      <c r="AL642">
        <f>'Bookings and Drivers'!AT91</f>
        <v>0</v>
      </c>
      <c r="AM642">
        <f>'Bookings and Drivers'!AU91</f>
        <v>0</v>
      </c>
      <c r="AN642">
        <f>'Bookings and Drivers'!AV91</f>
        <v>0</v>
      </c>
      <c r="AO642">
        <f>'Bookings and Drivers'!AW91</f>
        <v>0</v>
      </c>
      <c r="AP642">
        <f>'Bookings and Drivers'!AX91</f>
        <v>0</v>
      </c>
      <c r="AQ642">
        <f>'Bookings and Drivers'!AY91</f>
        <v>0</v>
      </c>
      <c r="AR642">
        <f>'Bookings and Drivers'!AZ91</f>
        <v>0</v>
      </c>
      <c r="AS642">
        <f>'Bookings and Drivers'!BA91</f>
        <v>0</v>
      </c>
      <c r="AT642">
        <f>'Bookings and Drivers'!BB91</f>
        <v>0</v>
      </c>
      <c r="AU642">
        <f>'Bookings and Drivers'!BC91</f>
        <v>0</v>
      </c>
      <c r="AV642">
        <f>'Bookings and Drivers'!BD91</f>
        <v>0</v>
      </c>
      <c r="AW642">
        <f>'Bookings and Drivers'!BE91</f>
        <v>0</v>
      </c>
      <c r="AX642">
        <f>'Bookings and Drivers'!BF91</f>
        <v>0</v>
      </c>
      <c r="AY642">
        <f>'Bookings and Drivers'!BG91</f>
        <v>0</v>
      </c>
      <c r="AZ642">
        <f>'Bookings and Drivers'!BH91</f>
        <v>0</v>
      </c>
      <c r="BA642">
        <f>'Bookings and Drivers'!BI91</f>
        <v>0</v>
      </c>
      <c r="BB642">
        <f>'Bookings and Drivers'!BJ91</f>
        <v>0</v>
      </c>
      <c r="BC642">
        <f>'Bookings and Drivers'!BK91</f>
        <v>0</v>
      </c>
      <c r="BD642">
        <f>'Bookings and Drivers'!BL91</f>
        <v>0</v>
      </c>
      <c r="BE642">
        <f>'Bookings and Drivers'!BM91</f>
        <v>0</v>
      </c>
      <c r="BF642">
        <f>'Bookings and Drivers'!BN91</f>
        <v>0</v>
      </c>
      <c r="BG642">
        <f>'Bookings and Drivers'!BO91</f>
        <v>0</v>
      </c>
      <c r="BH642">
        <f>'Bookings and Drivers'!BP91</f>
        <v>0</v>
      </c>
      <c r="BI642">
        <f>'Bookings and Drivers'!BQ91</f>
        <v>0</v>
      </c>
      <c r="BJ642">
        <f>'Bookings and Drivers'!BR91</f>
        <v>0</v>
      </c>
      <c r="BK642">
        <f>'Bookings and Drivers'!BS91</f>
        <v>0</v>
      </c>
      <c r="BL642">
        <f>'Bookings and Drivers'!BT91</f>
        <v>0</v>
      </c>
      <c r="BM642">
        <f>'Bookings and Drivers'!BU91</f>
        <v>0</v>
      </c>
      <c r="BN642">
        <f>'Bookings and Drivers'!BV91</f>
        <v>0</v>
      </c>
      <c r="BO642">
        <f>'Bookings and Drivers'!BW91</f>
        <v>0</v>
      </c>
      <c r="BP642">
        <f>'Bookings and Drivers'!BX91</f>
        <v>0</v>
      </c>
      <c r="BQ642">
        <f>'Bookings and Drivers'!BY91</f>
        <v>0</v>
      </c>
      <c r="BR642">
        <f>'Bookings and Drivers'!BZ91</f>
        <v>0</v>
      </c>
      <c r="BS642">
        <f>'Bookings and Drivers'!CA91</f>
        <v>0</v>
      </c>
      <c r="BT642">
        <f>'Bookings and Drivers'!CB91</f>
        <v>0</v>
      </c>
      <c r="BU642">
        <f>'Bookings and Drivers'!CC91</f>
        <v>0</v>
      </c>
      <c r="BV642">
        <f>'Bookings and Drivers'!CD91</f>
        <v>0</v>
      </c>
      <c r="BW642">
        <f>'Bookings and Drivers'!CE91</f>
        <v>0</v>
      </c>
      <c r="BX642">
        <f>'Bookings and Drivers'!CF91</f>
        <v>0</v>
      </c>
      <c r="BY642">
        <f>'Bookings and Drivers'!CG91</f>
        <v>0</v>
      </c>
      <c r="BZ642">
        <f>'Bookings and Drivers'!CH91</f>
        <v>0</v>
      </c>
      <c r="CA642">
        <f>'Bookings and Drivers'!CI91</f>
        <v>0</v>
      </c>
      <c r="CB642">
        <f>'Bookings and Drivers'!CJ91</f>
        <v>0</v>
      </c>
      <c r="CC642">
        <f>'Bookings and Drivers'!CK91</f>
        <v>0</v>
      </c>
      <c r="CD642">
        <f>'Bookings and Drivers'!CL91</f>
        <v>0</v>
      </c>
      <c r="CE642">
        <f>'Bookings and Drivers'!CM91</f>
        <v>0</v>
      </c>
      <c r="CF642">
        <f>'Bookings and Drivers'!CN91</f>
        <v>0</v>
      </c>
      <c r="CG642">
        <f>'Bookings and Drivers'!CO91</f>
        <v>0</v>
      </c>
      <c r="CH642">
        <f>'Bookings and Drivers'!CP91</f>
        <v>0</v>
      </c>
      <c r="CI642">
        <f>'Bookings and Drivers'!CQ91</f>
        <v>0</v>
      </c>
      <c r="CJ642">
        <f>'Bookings and Drivers'!CR91</f>
        <v>0</v>
      </c>
      <c r="CK642">
        <f>'Bookings and Drivers'!CS91</f>
        <v>0</v>
      </c>
      <c r="CL642">
        <f>'Bookings and Drivers'!CT91</f>
        <v>0</v>
      </c>
      <c r="CM642">
        <f>'Bookings and Drivers'!CU91</f>
        <v>0</v>
      </c>
      <c r="CN642">
        <f>'Bookings and Drivers'!CV91</f>
        <v>0</v>
      </c>
      <c r="CO642">
        <f>'Bookings and Drivers'!CW91</f>
        <v>0</v>
      </c>
      <c r="CP642">
        <f>'Bookings and Drivers'!CX91</f>
        <v>0</v>
      </c>
      <c r="CQ642">
        <f>'Bookings and Drivers'!CY91</f>
        <v>0</v>
      </c>
      <c r="CR642">
        <f>'Bookings and Drivers'!CZ91</f>
        <v>0</v>
      </c>
      <c r="CS642">
        <f>'Bookings and Drivers'!DA91</f>
        <v>0</v>
      </c>
      <c r="CT642">
        <f>'Bookings and Drivers'!DB91</f>
        <v>0</v>
      </c>
      <c r="CU642">
        <f>'Bookings and Drivers'!DC91</f>
        <v>0</v>
      </c>
      <c r="CV642">
        <f>'Bookings and Drivers'!DD91</f>
        <v>0</v>
      </c>
      <c r="CW642">
        <f>'Bookings and Drivers'!DE91</f>
        <v>0</v>
      </c>
      <c r="CX642">
        <f>'Bookings and Drivers'!DF91</f>
        <v>0</v>
      </c>
    </row>
    <row r="643" spans="1:102">
      <c r="A643" t="str">
        <f>'Bookings and Drivers'!I92</f>
        <v>Total Agency Bookings</v>
      </c>
      <c r="B643">
        <f>'Bookings and Drivers'!J92</f>
        <v>0</v>
      </c>
      <c r="C643">
        <f>'Bookings and Drivers'!K92</f>
        <v>0</v>
      </c>
      <c r="D643">
        <f>'Bookings and Drivers'!L92</f>
        <v>0</v>
      </c>
      <c r="E643">
        <f>'Bookings and Drivers'!M92</f>
        <v>0</v>
      </c>
      <c r="F643">
        <f>'Bookings and Drivers'!N92</f>
        <v>0</v>
      </c>
      <c r="G643">
        <f>'Bookings and Drivers'!O92</f>
        <v>0</v>
      </c>
      <c r="H643">
        <f>'Bookings and Drivers'!P92</f>
        <v>0</v>
      </c>
      <c r="I643">
        <f>'Bookings and Drivers'!Q92</f>
        <v>0</v>
      </c>
      <c r="J643">
        <f>'Bookings and Drivers'!R92</f>
        <v>0</v>
      </c>
      <c r="K643">
        <f>'Bookings and Drivers'!S92</f>
        <v>0</v>
      </c>
      <c r="L643">
        <f>'Bookings and Drivers'!T92</f>
        <v>0</v>
      </c>
      <c r="M643">
        <f>'Bookings and Drivers'!U92</f>
        <v>0</v>
      </c>
      <c r="N643">
        <f>'Bookings and Drivers'!V92</f>
        <v>0</v>
      </c>
      <c r="O643">
        <f>'Bookings and Drivers'!W92</f>
        <v>0</v>
      </c>
      <c r="P643">
        <f>'Bookings and Drivers'!X92</f>
        <v>0</v>
      </c>
      <c r="Q643">
        <f>'Bookings and Drivers'!Y92</f>
        <v>0</v>
      </c>
      <c r="R643">
        <f>'Bookings and Drivers'!Z92</f>
        <v>0</v>
      </c>
      <c r="S643">
        <f>'Bookings and Drivers'!AA92</f>
        <v>0</v>
      </c>
      <c r="T643">
        <f>'Bookings and Drivers'!AB92</f>
        <v>0</v>
      </c>
      <c r="U643">
        <f>'Bookings and Drivers'!AC92</f>
        <v>0</v>
      </c>
      <c r="V643">
        <f>'Bookings and Drivers'!AD92</f>
        <v>0</v>
      </c>
      <c r="W643">
        <f>'Bookings and Drivers'!AE92</f>
        <v>0</v>
      </c>
      <c r="X643">
        <f>'Bookings and Drivers'!AF92</f>
        <v>0</v>
      </c>
      <c r="Y643">
        <f>'Bookings and Drivers'!AG92</f>
        <v>480.50599999999997</v>
      </c>
      <c r="Z643">
        <f>'Bookings and Drivers'!AH92</f>
        <v>609.28399999999999</v>
      </c>
      <c r="AA643">
        <f>'Bookings and Drivers'!AI92</f>
        <v>600.40599999999995</v>
      </c>
      <c r="AB643">
        <f>'Bookings and Drivers'!AJ92</f>
        <v>491.07</v>
      </c>
      <c r="AC643">
        <f>'Bookings and Drivers'!AK92</f>
        <v>710.52800000000002</v>
      </c>
      <c r="AD643">
        <f>'Bookings and Drivers'!AL92</f>
        <v>919.26</v>
      </c>
      <c r="AE643">
        <f>'Bookings and Drivers'!AM92</f>
        <v>1042.6189999999999</v>
      </c>
      <c r="AF643">
        <f>'Bookings and Drivers'!AN92</f>
        <v>912.69799999999998</v>
      </c>
      <c r="AG643">
        <f>'Bookings and Drivers'!AO92</f>
        <v>1370.1189999999999</v>
      </c>
      <c r="AH643">
        <f>'Bookings and Drivers'!AP92</f>
        <v>1656.7750000000001</v>
      </c>
      <c r="AI643">
        <f>'Bookings and Drivers'!AQ92</f>
        <v>1603.693</v>
      </c>
      <c r="AJ643">
        <f>'Bookings and Drivers'!AR92</f>
        <v>1108.0239999999999</v>
      </c>
      <c r="AK643">
        <f>'Bookings and Drivers'!AS92</f>
        <v>1469.9559999999999</v>
      </c>
      <c r="AL643">
        <f>'Bookings and Drivers'!AT92</f>
        <v>1824.6179999999999</v>
      </c>
      <c r="AM643">
        <f>'Bookings and Drivers'!AU92</f>
        <v>2130.5709999999999</v>
      </c>
      <c r="AN643">
        <f>'Bookings and Drivers'!AV92</f>
        <v>1766.2950000000001</v>
      </c>
      <c r="AO643">
        <f>'Bookings and Drivers'!AW92</f>
        <v>2373.5650000000001</v>
      </c>
      <c r="AP643">
        <f>'Bookings and Drivers'!AX92</f>
        <v>2682.9650000000001</v>
      </c>
      <c r="AQ643">
        <f>'Bookings and Drivers'!AY92</f>
        <v>3168</v>
      </c>
      <c r="AR643">
        <f>'Bookings and Drivers'!AZ92</f>
        <v>2557</v>
      </c>
      <c r="AS643">
        <f>'Bookings and Drivers'!BA92</f>
        <v>3781</v>
      </c>
      <c r="AT643">
        <f>'Bookings and Drivers'!BB92</f>
        <v>4725</v>
      </c>
      <c r="AU643">
        <f>'Bookings and Drivers'!BC92</f>
        <v>5121</v>
      </c>
      <c r="AV643">
        <f>'Bookings and Drivers'!BD92</f>
        <v>3982</v>
      </c>
      <c r="AW643">
        <f>'Bookings and Drivers'!BE92</f>
        <v>5528</v>
      </c>
      <c r="AX643">
        <f>'Bookings and Drivers'!BF92</f>
        <v>6031</v>
      </c>
      <c r="AY643">
        <f>'Bookings and Drivers'!BG92</f>
        <v>6423</v>
      </c>
      <c r="AZ643">
        <f>'Bookings and Drivers'!BH92</f>
        <v>5302</v>
      </c>
      <c r="BA643">
        <f>'Bookings and Drivers'!BI92</f>
        <v>7648</v>
      </c>
      <c r="BB643">
        <f>'Bookings and Drivers'!BJ92</f>
        <v>8425</v>
      </c>
      <c r="BC643">
        <f>'Bookings and Drivers'!BK92</f>
        <v>9023</v>
      </c>
      <c r="BD643">
        <f>'Bookings and Drivers'!BL92</f>
        <v>7576</v>
      </c>
      <c r="BE643">
        <f>'Bookings and Drivers'!BM92</f>
        <v>10516</v>
      </c>
      <c r="BF643">
        <f>'Bookings and Drivers'!BN92</f>
        <v>11581</v>
      </c>
      <c r="BG643">
        <f>'Bookings and Drivers'!BO92</f>
        <v>11821</v>
      </c>
      <c r="BH643">
        <f>'Bookings and Drivers'!BP92</f>
        <v>8974</v>
      </c>
      <c r="BI643">
        <f>'Bookings and Drivers'!BQ92</f>
        <v>11908</v>
      </c>
      <c r="BJ643">
        <f>'Bookings and Drivers'!BR92</f>
        <v>12867</v>
      </c>
      <c r="BK643">
        <f>'Bookings and Drivers'!BS92</f>
        <v>12850</v>
      </c>
      <c r="BL643">
        <f>'Bookings and Drivers'!BT92</f>
        <v>10344</v>
      </c>
      <c r="BM643">
        <f>'Bookings and Drivers'!BU92</f>
        <v>14534</v>
      </c>
      <c r="BN643">
        <f>'Bookings and Drivers'!BV92</f>
        <v>15369</v>
      </c>
      <c r="BO643">
        <f>'Bookings and Drivers'!BW92</f>
        <v>15757</v>
      </c>
      <c r="BP643">
        <f>'Bookings and Drivers'!BX92</f>
        <v>12978</v>
      </c>
      <c r="BQ643">
        <f>'Bookings and Drivers'!BY92</f>
        <v>18140</v>
      </c>
      <c r="BR643">
        <f>'Bookings and Drivers'!BZ92</f>
        <v>17947</v>
      </c>
      <c r="BS643">
        <f>'Bookings and Drivers'!CA92</f>
        <v>18594</v>
      </c>
      <c r="BT643">
        <f>'Bookings and Drivers'!CB92</f>
        <v>15015</v>
      </c>
      <c r="BU643">
        <f>'Bookings and Drivers'!CC92</f>
        <v>21954.297314160234</v>
      </c>
      <c r="BV643">
        <f>'Bookings and Drivers'!CD92</f>
        <v>21810.198275584469</v>
      </c>
      <c r="BW643">
        <f>'Bookings and Drivers'!CE92</f>
        <v>21808.607668125856</v>
      </c>
      <c r="BX643">
        <f>'Bookings and Drivers'!CF92</f>
        <v>19143.996867955397</v>
      </c>
      <c r="BY643">
        <f>'Bookings and Drivers'!CG92</f>
        <v>0</v>
      </c>
      <c r="BZ643">
        <f>'Bookings and Drivers'!CH92</f>
        <v>0</v>
      </c>
      <c r="CA643">
        <f>'Bookings and Drivers'!CI92</f>
        <v>0</v>
      </c>
      <c r="CB643">
        <f>'Bookings and Drivers'!CJ92</f>
        <v>0</v>
      </c>
      <c r="CC643">
        <f>'Bookings and Drivers'!CK92</f>
        <v>0</v>
      </c>
      <c r="CD643">
        <f>'Bookings and Drivers'!CL92</f>
        <v>0</v>
      </c>
      <c r="CE643">
        <f>'Bookings and Drivers'!CM92</f>
        <v>2181.2660000000001</v>
      </c>
      <c r="CF643">
        <f>'Bookings and Drivers'!CN92</f>
        <v>3585.105</v>
      </c>
      <c r="CG643">
        <f>'Bookings and Drivers'!CO92</f>
        <v>5738.6110000000008</v>
      </c>
      <c r="CH643">
        <f>'Bookings and Drivers'!CP92</f>
        <v>7191.44</v>
      </c>
      <c r="CI643">
        <f>'Bookings and Drivers'!CQ92</f>
        <v>10781.53</v>
      </c>
      <c r="CJ643">
        <f>'Bookings and Drivers'!CR92</f>
        <v>17609</v>
      </c>
      <c r="CK643">
        <f>'Bookings and Drivers'!CS92</f>
        <v>23284</v>
      </c>
      <c r="CL643">
        <f>'Bookings and Drivers'!CT92</f>
        <v>32672</v>
      </c>
      <c r="CM643">
        <f>'Bookings and Drivers'!CU92</f>
        <v>42892</v>
      </c>
      <c r="CN643">
        <f>'Bookings and Drivers'!CV92</f>
        <v>47969</v>
      </c>
      <c r="CO643">
        <f>'Bookings and Drivers'!CW92</f>
        <v>58638</v>
      </c>
      <c r="CP643">
        <f>'Bookings and Drivers'!CX92</f>
        <v>69696</v>
      </c>
      <c r="CQ643">
        <f>'Bookings and Drivers'!CY92</f>
        <v>84717.100125825964</v>
      </c>
      <c r="CR643">
        <f>'Bookings and Drivers'!CZ92</f>
        <v>97552.928347715701</v>
      </c>
      <c r="CS643">
        <f>'Bookings and Drivers'!DA92</f>
        <v>110221.89478991758</v>
      </c>
      <c r="CT643">
        <f>'Bookings and Drivers'!DB92</f>
        <v>122477.87950851694</v>
      </c>
      <c r="CU643">
        <f>'Bookings and Drivers'!DC92</f>
        <v>134587.57389445096</v>
      </c>
      <c r="CV643">
        <f>'Bookings and Drivers'!DD92</f>
        <v>146506.95304904075</v>
      </c>
      <c r="CW643">
        <f>'Bookings and Drivers'!DE92</f>
        <v>158112.69531655798</v>
      </c>
      <c r="CX643">
        <f>'Bookings and Drivers'!DF92</f>
        <v>170668.1757080213</v>
      </c>
    </row>
    <row r="644" spans="1:102">
      <c r="A644" t="str">
        <f>'Bookings and Drivers'!I93</f>
        <v>% change Y/Y</v>
      </c>
      <c r="B644">
        <f>'Bookings and Drivers'!J93</f>
        <v>0</v>
      </c>
      <c r="C644">
        <f>'Bookings and Drivers'!K93</f>
        <v>0</v>
      </c>
      <c r="D644">
        <f>'Bookings and Drivers'!L93</f>
        <v>0</v>
      </c>
      <c r="E644">
        <f>'Bookings and Drivers'!M93</f>
        <v>0</v>
      </c>
      <c r="F644">
        <f>'Bookings and Drivers'!N93</f>
        <v>0</v>
      </c>
      <c r="G644">
        <f>'Bookings and Drivers'!O93</f>
        <v>0</v>
      </c>
      <c r="H644">
        <f>'Bookings and Drivers'!P93</f>
        <v>0</v>
      </c>
      <c r="I644">
        <f>'Bookings and Drivers'!Q93</f>
        <v>0</v>
      </c>
      <c r="J644">
        <f>'Bookings and Drivers'!R93</f>
        <v>0</v>
      </c>
      <c r="K644">
        <f>'Bookings and Drivers'!S93</f>
        <v>0</v>
      </c>
      <c r="L644">
        <f>'Bookings and Drivers'!T93</f>
        <v>0</v>
      </c>
      <c r="M644">
        <f>'Bookings and Drivers'!U93</f>
        <v>0</v>
      </c>
      <c r="N644">
        <f>'Bookings and Drivers'!V93</f>
        <v>0</v>
      </c>
      <c r="O644">
        <f>'Bookings and Drivers'!W93</f>
        <v>0</v>
      </c>
      <c r="P644">
        <f>'Bookings and Drivers'!X93</f>
        <v>0</v>
      </c>
      <c r="Q644">
        <f>'Bookings and Drivers'!Y93</f>
        <v>0</v>
      </c>
      <c r="R644">
        <f>'Bookings and Drivers'!Z93</f>
        <v>0</v>
      </c>
      <c r="S644">
        <f>'Bookings and Drivers'!AA93</f>
        <v>0</v>
      </c>
      <c r="T644">
        <f>'Bookings and Drivers'!AB93</f>
        <v>0</v>
      </c>
      <c r="U644">
        <f>'Bookings and Drivers'!AC93</f>
        <v>0</v>
      </c>
      <c r="V644">
        <f>'Bookings and Drivers'!AD93</f>
        <v>0</v>
      </c>
      <c r="W644">
        <f>'Bookings and Drivers'!AE93</f>
        <v>0</v>
      </c>
      <c r="X644">
        <f>'Bookings and Drivers'!AF93</f>
        <v>0</v>
      </c>
      <c r="Y644">
        <f>'Bookings and Drivers'!AG93</f>
        <v>0</v>
      </c>
      <c r="Z644">
        <f>'Bookings and Drivers'!AH93</f>
        <v>0</v>
      </c>
      <c r="AA644">
        <f>'Bookings and Drivers'!AI93</f>
        <v>0</v>
      </c>
      <c r="AB644">
        <f>'Bookings and Drivers'!AJ93</f>
        <v>0</v>
      </c>
      <c r="AC644">
        <f>'Bookings and Drivers'!AK93</f>
        <v>0.47870786212867289</v>
      </c>
      <c r="AD644">
        <f>'Bookings and Drivers'!AL93</f>
        <v>0.50875453811358917</v>
      </c>
      <c r="AE644">
        <f>'Bookings and Drivers'!AM93</f>
        <v>0.7365232859098676</v>
      </c>
      <c r="AF644">
        <f>'Bookings and Drivers'!AN93</f>
        <v>0.85859042499032734</v>
      </c>
      <c r="AG644">
        <f>'Bookings and Drivers'!AO93</f>
        <v>0.92831105881823084</v>
      </c>
      <c r="AH644">
        <f>'Bookings and Drivers'!AP93</f>
        <v>0.80229206100559147</v>
      </c>
      <c r="AI644">
        <f>'Bookings and Drivers'!AQ93</f>
        <v>0.5381390517533251</v>
      </c>
      <c r="AJ644">
        <f>'Bookings and Drivers'!AR93</f>
        <v>0.21400945329123089</v>
      </c>
      <c r="AK644">
        <f>'Bookings and Drivers'!AS93</f>
        <v>7.2867393270219516E-2</v>
      </c>
      <c r="AL644">
        <f>'Bookings and Drivers'!AT93</f>
        <v>0.10130705738558343</v>
      </c>
      <c r="AM644">
        <f>'Bookings and Drivers'!AU93</f>
        <v>0.32854043760245877</v>
      </c>
      <c r="AN644">
        <f>'Bookings and Drivers'!AV93</f>
        <v>0.59409453224839925</v>
      </c>
      <c r="AO644">
        <f>'Bookings and Drivers'!AW93</f>
        <v>0.61471839973441389</v>
      </c>
      <c r="AP644">
        <f>'Bookings and Drivers'!AX93</f>
        <v>0.47042559045235777</v>
      </c>
      <c r="AQ644">
        <f>'Bookings and Drivers'!AY93</f>
        <v>0.48692533597800791</v>
      </c>
      <c r="AR644">
        <f>'Bookings and Drivers'!AZ93</f>
        <v>0.44766304609365926</v>
      </c>
      <c r="AS644">
        <f>'Bookings and Drivers'!BA93</f>
        <v>0.59296248470128265</v>
      </c>
      <c r="AT644">
        <f>'Bookings and Drivers'!BB93</f>
        <v>0.76111130782548408</v>
      </c>
      <c r="AU644">
        <f>'Bookings and Drivers'!BC93</f>
        <v>0.61647727272727271</v>
      </c>
      <c r="AV644">
        <f>'Bookings and Drivers'!BD93</f>
        <v>0.5572937035588581</v>
      </c>
      <c r="AW644">
        <f>'Bookings and Drivers'!BE93</f>
        <v>0.46204707749272678</v>
      </c>
      <c r="AX644">
        <f>'Bookings and Drivers'!BF93</f>
        <v>0.27640211640211643</v>
      </c>
      <c r="AY644">
        <f>'Bookings and Drivers'!BG93</f>
        <v>0.25424721734036315</v>
      </c>
      <c r="AZ644">
        <f>'Bookings and Drivers'!BH93</f>
        <v>0.33149171270718236</v>
      </c>
      <c r="BA644">
        <f>'Bookings and Drivers'!BI93</f>
        <v>0.38350217076700432</v>
      </c>
      <c r="BB644">
        <f>'Bookings and Drivers'!BJ93</f>
        <v>0.39694909633559949</v>
      </c>
      <c r="BC644">
        <f>'Bookings and Drivers'!BK93</f>
        <v>0.40479526700918567</v>
      </c>
      <c r="BD644">
        <f>'Bookings and Drivers'!BL93</f>
        <v>0.42889475669558652</v>
      </c>
      <c r="BE644">
        <f>'Bookings and Drivers'!BM93</f>
        <v>0.375</v>
      </c>
      <c r="BF644">
        <f>'Bookings and Drivers'!BN93</f>
        <v>0.3745994065281899</v>
      </c>
      <c r="BG644">
        <f>'Bookings and Drivers'!BO93</f>
        <v>0.31009642025933726</v>
      </c>
      <c r="BH644">
        <f>'Bookings and Drivers'!BP93</f>
        <v>0.18453009503695883</v>
      </c>
      <c r="BI644">
        <f>'Bookings and Drivers'!BQ93</f>
        <v>0.13236972232788125</v>
      </c>
      <c r="BJ644">
        <f>'Bookings and Drivers'!BR93</f>
        <v>0.11104395129954225</v>
      </c>
      <c r="BK644">
        <f>'Bookings and Drivers'!BS93</f>
        <v>8.7048473056424935E-2</v>
      </c>
      <c r="BL644">
        <f>'Bookings and Drivers'!BT93</f>
        <v>0.15266324938711828</v>
      </c>
      <c r="BM644">
        <f>'Bookings and Drivers'!BU93</f>
        <v>0.22052401746724892</v>
      </c>
      <c r="BN644">
        <f>'Bookings and Drivers'!BV93</f>
        <v>0.19445092096059691</v>
      </c>
      <c r="BO644">
        <f>'Bookings and Drivers'!BW93</f>
        <v>0.22622568093385209</v>
      </c>
      <c r="BP644">
        <f>'Bookings and Drivers'!BX93</f>
        <v>0.25464037122969829</v>
      </c>
      <c r="BQ644">
        <f>'Bookings and Drivers'!BY93</f>
        <v>0.24810788495940561</v>
      </c>
      <c r="BR644">
        <f>'Bookings and Drivers'!BZ93</f>
        <v>0.16774025636020551</v>
      </c>
      <c r="BS644">
        <f>'Bookings and Drivers'!CA93</f>
        <v>0.1800469632544266</v>
      </c>
      <c r="BT644">
        <f>'Bookings and Drivers'!CB93</f>
        <v>0.15695792880258908</v>
      </c>
      <c r="BU644">
        <f>'Bookings and Drivers'!CC93</f>
        <v>0.21026997321721241</v>
      </c>
      <c r="BV644">
        <f>'Bookings and Drivers'!CD93</f>
        <v>0.21525593556496747</v>
      </c>
      <c r="BW644">
        <f>'Bookings and Drivers'!CE93</f>
        <v>0.17288413833095917</v>
      </c>
      <c r="BX644">
        <f>'Bookings and Drivers'!CF93</f>
        <v>0.27499146639729588</v>
      </c>
      <c r="BY644">
        <f>'Bookings and Drivers'!CG93</f>
        <v>0</v>
      </c>
      <c r="BZ644">
        <f>'Bookings and Drivers'!CH93</f>
        <v>0</v>
      </c>
      <c r="CA644">
        <f>'Bookings and Drivers'!CI93</f>
        <v>0</v>
      </c>
      <c r="CB644">
        <f>'Bookings and Drivers'!CJ93</f>
        <v>0</v>
      </c>
      <c r="CC644">
        <f>'Bookings and Drivers'!CK93</f>
        <v>0</v>
      </c>
      <c r="CD644">
        <f>'Bookings and Drivers'!CL93</f>
        <v>0</v>
      </c>
      <c r="CE644">
        <f>'Bookings and Drivers'!CM93</f>
        <v>0</v>
      </c>
      <c r="CF644">
        <f>'Bookings and Drivers'!CN93</f>
        <v>0.64358909000552877</v>
      </c>
      <c r="CG644">
        <f>'Bookings and Drivers'!CO93</f>
        <v>0.60068143052992884</v>
      </c>
      <c r="CH644">
        <f>'Bookings and Drivers'!CP93</f>
        <v>0.25316736053375966</v>
      </c>
      <c r="CI644">
        <f>'Bookings and Drivers'!CQ93</f>
        <v>0.49921712480393365</v>
      </c>
      <c r="CJ644">
        <f>'Bookings and Drivers'!CR93</f>
        <v>0.63325613340592657</v>
      </c>
      <c r="CK644">
        <f>'Bookings and Drivers'!CS93</f>
        <v>0.32227838037367262</v>
      </c>
      <c r="CL644">
        <f>'Bookings and Drivers'!CT93</f>
        <v>0.40319532726335683</v>
      </c>
      <c r="CM644">
        <f>'Bookings and Drivers'!CU93</f>
        <v>0.31280607247796288</v>
      </c>
      <c r="CN644">
        <f>'Bookings and Drivers'!CV93</f>
        <v>0.11836706145668185</v>
      </c>
      <c r="CO644">
        <f>'Bookings and Drivers'!CW93</f>
        <v>0.22241447601576025</v>
      </c>
      <c r="CP644">
        <f>'Bookings and Drivers'!CX93</f>
        <v>0.18858078379208032</v>
      </c>
      <c r="CQ644">
        <f>'Bookings and Drivers'!CY93</f>
        <v>0.21552313082280139</v>
      </c>
      <c r="CR644">
        <f>'Bookings and Drivers'!CZ93</f>
        <v>0.15151401786446117</v>
      </c>
      <c r="CS644">
        <f>'Bookings and Drivers'!DA93</f>
        <v>0.12986761808979086</v>
      </c>
      <c r="CT644">
        <f>'Bookings and Drivers'!DB93</f>
        <v>0.11119374006370708</v>
      </c>
      <c r="CU644">
        <f>'Bookings and Drivers'!DC93</f>
        <v>9.8872501994059503E-2</v>
      </c>
      <c r="CV644">
        <f>'Bookings and Drivers'!DD93</f>
        <v>8.8562255858311678E-2</v>
      </c>
      <c r="CW644">
        <f>'Bookings and Drivers'!DE93</f>
        <v>7.9216324044582453E-2</v>
      </c>
      <c r="CX644">
        <f>'Bookings and Drivers'!DF93</f>
        <v>7.9408426795368747E-2</v>
      </c>
    </row>
    <row r="645" spans="1:102">
      <c r="A645" t="str">
        <f>'Bookings and Drivers'!I94</f>
        <v>2 Year Growth</v>
      </c>
      <c r="B645">
        <f>'Bookings and Drivers'!J94</f>
        <v>0</v>
      </c>
      <c r="C645">
        <f>'Bookings and Drivers'!K94</f>
        <v>0</v>
      </c>
      <c r="D645">
        <f>'Bookings and Drivers'!L94</f>
        <v>0</v>
      </c>
      <c r="E645">
        <f>'Bookings and Drivers'!M94</f>
        <v>0</v>
      </c>
      <c r="F645">
        <f>'Bookings and Drivers'!N94</f>
        <v>0</v>
      </c>
      <c r="G645">
        <f>'Bookings and Drivers'!O94</f>
        <v>0</v>
      </c>
      <c r="H645">
        <f>'Bookings and Drivers'!P94</f>
        <v>0</v>
      </c>
      <c r="I645">
        <f>'Bookings and Drivers'!Q94</f>
        <v>0</v>
      </c>
      <c r="J645">
        <f>'Bookings and Drivers'!R94</f>
        <v>0</v>
      </c>
      <c r="K645">
        <f>'Bookings and Drivers'!S94</f>
        <v>0</v>
      </c>
      <c r="L645">
        <f>'Bookings and Drivers'!T94</f>
        <v>0</v>
      </c>
      <c r="M645">
        <f>'Bookings and Drivers'!U94</f>
        <v>0</v>
      </c>
      <c r="N645">
        <f>'Bookings and Drivers'!V94</f>
        <v>0</v>
      </c>
      <c r="O645">
        <f>'Bookings and Drivers'!W94</f>
        <v>0</v>
      </c>
      <c r="P645">
        <f>'Bookings and Drivers'!X94</f>
        <v>0</v>
      </c>
      <c r="Q645">
        <f>'Bookings and Drivers'!Y94</f>
        <v>0</v>
      </c>
      <c r="R645">
        <f>'Bookings and Drivers'!Z94</f>
        <v>0</v>
      </c>
      <c r="S645">
        <f>'Bookings and Drivers'!AA94</f>
        <v>0</v>
      </c>
      <c r="T645">
        <f>'Bookings and Drivers'!AB94</f>
        <v>0</v>
      </c>
      <c r="U645">
        <f>'Bookings and Drivers'!AC94</f>
        <v>0</v>
      </c>
      <c r="V645">
        <f>'Bookings and Drivers'!AD94</f>
        <v>0</v>
      </c>
      <c r="W645">
        <f>'Bookings and Drivers'!AE94</f>
        <v>0</v>
      </c>
      <c r="X645">
        <f>'Bookings and Drivers'!AF94</f>
        <v>0</v>
      </c>
      <c r="Y645">
        <f>'Bookings and Drivers'!AG94</f>
        <v>0</v>
      </c>
      <c r="Z645">
        <f>'Bookings and Drivers'!AH94</f>
        <v>0</v>
      </c>
      <c r="AA645">
        <f>'Bookings and Drivers'!AI94</f>
        <v>0</v>
      </c>
      <c r="AB645">
        <f>'Bookings and Drivers'!AJ94</f>
        <v>0</v>
      </c>
      <c r="AC645">
        <f>'Bookings and Drivers'!AK94</f>
        <v>0</v>
      </c>
      <c r="AD645">
        <f>'Bookings and Drivers'!AL94</f>
        <v>0</v>
      </c>
      <c r="AE645">
        <f>'Bookings and Drivers'!AM94</f>
        <v>0</v>
      </c>
      <c r="AF645">
        <f>'Bookings and Drivers'!AN94</f>
        <v>0</v>
      </c>
      <c r="AG645">
        <f>'Bookings and Drivers'!AO94</f>
        <v>1.4070189209469037</v>
      </c>
      <c r="AH645">
        <f>'Bookings and Drivers'!AP94</f>
        <v>1.3110465991191806</v>
      </c>
      <c r="AI645">
        <f>'Bookings and Drivers'!AQ94</f>
        <v>1.2746623376631927</v>
      </c>
      <c r="AJ645">
        <f>'Bookings and Drivers'!AR94</f>
        <v>1.0725998782815582</v>
      </c>
      <c r="AK645">
        <f>'Bookings and Drivers'!AS94</f>
        <v>1.0011784520884504</v>
      </c>
      <c r="AL645">
        <f>'Bookings and Drivers'!AT94</f>
        <v>0.9035991183911749</v>
      </c>
      <c r="AM645">
        <f>'Bookings and Drivers'!AU94</f>
        <v>0.86667948935578387</v>
      </c>
      <c r="AN645">
        <f>'Bookings and Drivers'!AV94</f>
        <v>0.80810398553963014</v>
      </c>
      <c r="AO645">
        <f>'Bookings and Drivers'!AW94</f>
        <v>0.68758579300463341</v>
      </c>
      <c r="AP645">
        <f>'Bookings and Drivers'!AX94</f>
        <v>0.5717326478379412</v>
      </c>
      <c r="AQ645">
        <f>'Bookings and Drivers'!AY94</f>
        <v>0.81546577358046668</v>
      </c>
      <c r="AR645">
        <f>'Bookings and Drivers'!AZ94</f>
        <v>1.0417575783420585</v>
      </c>
      <c r="AS645">
        <f>'Bookings and Drivers'!BA94</f>
        <v>1.2076808844356965</v>
      </c>
      <c r="AT645">
        <f>'Bookings and Drivers'!BB94</f>
        <v>1.2315368982778419</v>
      </c>
      <c r="AU645">
        <f>'Bookings and Drivers'!BC94</f>
        <v>1.1034026087052806</v>
      </c>
      <c r="AV645">
        <f>'Bookings and Drivers'!BD94</f>
        <v>1.0049567496525174</v>
      </c>
      <c r="AW645">
        <f>'Bookings and Drivers'!BE94</f>
        <v>1.0550095621940094</v>
      </c>
      <c r="AX645">
        <f>'Bookings and Drivers'!BF94</f>
        <v>1.0375134242276005</v>
      </c>
      <c r="AY645">
        <f>'Bookings and Drivers'!BG94</f>
        <v>0.87072449006763586</v>
      </c>
      <c r="AZ645">
        <f>'Bookings and Drivers'!BH94</f>
        <v>0.88878541626604046</v>
      </c>
      <c r="BA645">
        <f>'Bookings and Drivers'!BI94</f>
        <v>0.8455492482597311</v>
      </c>
      <c r="BB645">
        <f>'Bookings and Drivers'!BJ94</f>
        <v>0.67335121273771592</v>
      </c>
      <c r="BC645">
        <f>'Bookings and Drivers'!BK94</f>
        <v>0.65904248434954882</v>
      </c>
      <c r="BD645">
        <f>'Bookings and Drivers'!BL94</f>
        <v>0.76038646940276888</v>
      </c>
      <c r="BE645">
        <f>'Bookings and Drivers'!BM94</f>
        <v>0.75850217076700432</v>
      </c>
      <c r="BF645">
        <f>'Bookings and Drivers'!BN94</f>
        <v>0.7715485028637894</v>
      </c>
      <c r="BG645">
        <f>'Bookings and Drivers'!BO94</f>
        <v>0.71489168726852292</v>
      </c>
      <c r="BH645">
        <f>'Bookings and Drivers'!BP94</f>
        <v>0.61342485173254535</v>
      </c>
      <c r="BI645">
        <f>'Bookings and Drivers'!BQ94</f>
        <v>0.50736972232788125</v>
      </c>
      <c r="BJ645">
        <f>'Bookings and Drivers'!BR94</f>
        <v>0.48564335782773216</v>
      </c>
      <c r="BK645">
        <f>'Bookings and Drivers'!BS94</f>
        <v>0.39714489331576219</v>
      </c>
      <c r="BL645">
        <f>'Bookings and Drivers'!BT94</f>
        <v>0.33719334442407711</v>
      </c>
      <c r="BM645">
        <f>'Bookings and Drivers'!BU94</f>
        <v>0.35289373979513017</v>
      </c>
      <c r="BN645">
        <f>'Bookings and Drivers'!BV94</f>
        <v>0.30549487226013916</v>
      </c>
      <c r="BO645">
        <f>'Bookings and Drivers'!BW94</f>
        <v>0.31327415399027703</v>
      </c>
      <c r="BP645">
        <f>'Bookings and Drivers'!BX94</f>
        <v>0.40730362061681658</v>
      </c>
      <c r="BQ645">
        <f>'Bookings and Drivers'!BY94</f>
        <v>0.46863190242665453</v>
      </c>
      <c r="BR645">
        <f>'Bookings and Drivers'!BZ94</f>
        <v>0.36219117732080242</v>
      </c>
      <c r="BS645">
        <f>'Bookings and Drivers'!CA94</f>
        <v>0.40627264418827869</v>
      </c>
      <c r="BT645">
        <f>'Bookings and Drivers'!CB94</f>
        <v>0.41159830003228737</v>
      </c>
      <c r="BU645">
        <f>'Bookings and Drivers'!CC94</f>
        <v>0.45837785817661802</v>
      </c>
      <c r="BV645">
        <f>'Bookings and Drivers'!CD94</f>
        <v>0.38299619192517298</v>
      </c>
      <c r="BW645">
        <f>'Bookings and Drivers'!CE94</f>
        <v>0.35293110158538576</v>
      </c>
      <c r="BX645">
        <f>'Bookings and Drivers'!CF94</f>
        <v>0.43194939519988496</v>
      </c>
      <c r="BY645">
        <f>'Bookings and Drivers'!CG94</f>
        <v>0</v>
      </c>
      <c r="BZ645">
        <f>'Bookings and Drivers'!CH94</f>
        <v>0</v>
      </c>
      <c r="CA645">
        <f>'Bookings and Drivers'!CI94</f>
        <v>0</v>
      </c>
      <c r="CB645">
        <f>'Bookings and Drivers'!CJ94</f>
        <v>0</v>
      </c>
      <c r="CC645">
        <f>'Bookings and Drivers'!CK94</f>
        <v>0</v>
      </c>
      <c r="CD645">
        <f>'Bookings and Drivers'!CL94</f>
        <v>0</v>
      </c>
      <c r="CE645">
        <f>'Bookings and Drivers'!CM94</f>
        <v>0</v>
      </c>
      <c r="CF645">
        <f>'Bookings and Drivers'!CN94</f>
        <v>0</v>
      </c>
      <c r="CG645">
        <f>'Bookings and Drivers'!CO94</f>
        <v>1.2442705205354576</v>
      </c>
      <c r="CH645">
        <f>'Bookings and Drivers'!CP94</f>
        <v>0.85384879106368849</v>
      </c>
      <c r="CI645">
        <f>'Bookings and Drivers'!CQ94</f>
        <v>0.75238448533769331</v>
      </c>
      <c r="CJ645">
        <f>'Bookings and Drivers'!CR94</f>
        <v>1.1324732582098602</v>
      </c>
      <c r="CK645">
        <f>'Bookings and Drivers'!CS94</f>
        <v>0.95553451377959919</v>
      </c>
      <c r="CL645">
        <f>'Bookings and Drivers'!CT94</f>
        <v>0.72547370763702945</v>
      </c>
      <c r="CM645">
        <f>'Bookings and Drivers'!CU94</f>
        <v>0.71600139974131971</v>
      </c>
      <c r="CN645">
        <f>'Bookings and Drivers'!CV94</f>
        <v>0.43117313393464474</v>
      </c>
      <c r="CO645">
        <f>'Bookings and Drivers'!CW94</f>
        <v>0.34078153747244211</v>
      </c>
      <c r="CP645">
        <f>'Bookings and Drivers'!CX94</f>
        <v>0.41099525980784057</v>
      </c>
      <c r="CQ645">
        <f>'Bookings and Drivers'!CY94</f>
        <v>0.40410391461488171</v>
      </c>
      <c r="CR645">
        <f>'Bookings and Drivers'!CZ94</f>
        <v>0.36703714868726256</v>
      </c>
      <c r="CS645">
        <f>'Bookings and Drivers'!DA94</f>
        <v>0.28138163595425203</v>
      </c>
      <c r="CT645">
        <f>'Bookings and Drivers'!DB94</f>
        <v>0.24106135815349794</v>
      </c>
      <c r="CU645">
        <f>'Bookings and Drivers'!DC94</f>
        <v>0.21006624205776658</v>
      </c>
      <c r="CV645">
        <f>'Bookings and Drivers'!DD94</f>
        <v>0.18743475785237118</v>
      </c>
      <c r="CW645">
        <f>'Bookings and Drivers'!DE94</f>
        <v>0.16777857990289413</v>
      </c>
      <c r="CX645">
        <f>'Bookings and Drivers'!DF94</f>
        <v>0.1586247508399512</v>
      </c>
    </row>
    <row r="646" spans="1:102">
      <c r="A646" t="str">
        <f>'Bookings and Drivers'!I95</f>
        <v>Sequential Growth</v>
      </c>
      <c r="B646">
        <f>'Bookings and Drivers'!J95</f>
        <v>0</v>
      </c>
      <c r="C646">
        <f>'Bookings and Drivers'!K95</f>
        <v>0</v>
      </c>
      <c r="D646">
        <f>'Bookings and Drivers'!L95</f>
        <v>0</v>
      </c>
      <c r="E646">
        <f>'Bookings and Drivers'!M95</f>
        <v>0</v>
      </c>
      <c r="F646">
        <f>'Bookings and Drivers'!N95</f>
        <v>0</v>
      </c>
      <c r="G646">
        <f>'Bookings and Drivers'!O95</f>
        <v>0</v>
      </c>
      <c r="H646">
        <f>'Bookings and Drivers'!P95</f>
        <v>0</v>
      </c>
      <c r="I646">
        <f>'Bookings and Drivers'!Q95</f>
        <v>0</v>
      </c>
      <c r="J646">
        <f>'Bookings and Drivers'!R95</f>
        <v>0</v>
      </c>
      <c r="K646">
        <f>'Bookings and Drivers'!S95</f>
        <v>0</v>
      </c>
      <c r="L646">
        <f>'Bookings and Drivers'!T95</f>
        <v>0</v>
      </c>
      <c r="M646">
        <f>'Bookings and Drivers'!U95</f>
        <v>0</v>
      </c>
      <c r="N646">
        <f>'Bookings and Drivers'!V95</f>
        <v>0</v>
      </c>
      <c r="O646">
        <f>'Bookings and Drivers'!W95</f>
        <v>0</v>
      </c>
      <c r="P646">
        <f>'Bookings and Drivers'!X95</f>
        <v>0</v>
      </c>
      <c r="Q646">
        <f>'Bookings and Drivers'!Y95</f>
        <v>0</v>
      </c>
      <c r="R646">
        <f>'Bookings and Drivers'!Z95</f>
        <v>0</v>
      </c>
      <c r="S646">
        <f>'Bookings and Drivers'!AA95</f>
        <v>0</v>
      </c>
      <c r="T646">
        <f>'Bookings and Drivers'!AB95</f>
        <v>0</v>
      </c>
      <c r="U646">
        <f>'Bookings and Drivers'!AC95</f>
        <v>0</v>
      </c>
      <c r="V646">
        <f>'Bookings and Drivers'!AD95</f>
        <v>0</v>
      </c>
      <c r="W646">
        <f>'Bookings and Drivers'!AE95</f>
        <v>0</v>
      </c>
      <c r="X646">
        <f>'Bookings and Drivers'!AF95</f>
        <v>0</v>
      </c>
      <c r="Y646">
        <f>'Bookings and Drivers'!AG95</f>
        <v>0</v>
      </c>
      <c r="Z646">
        <f>'Bookings and Drivers'!AH95</f>
        <v>0</v>
      </c>
      <c r="AA646">
        <f>'Bookings and Drivers'!AI95</f>
        <v>0</v>
      </c>
      <c r="AB646">
        <f>'Bookings and Drivers'!AJ95</f>
        <v>0</v>
      </c>
      <c r="AC646">
        <f>'Bookings and Drivers'!AK95</f>
        <v>0</v>
      </c>
      <c r="AD646">
        <f>'Bookings and Drivers'!AL95</f>
        <v>0</v>
      </c>
      <c r="AE646">
        <f>'Bookings and Drivers'!AM95</f>
        <v>0</v>
      </c>
      <c r="AF646">
        <f>'Bookings and Drivers'!AN95</f>
        <v>0</v>
      </c>
      <c r="AG646">
        <f>'Bookings and Drivers'!AO95</f>
        <v>457.42099999999994</v>
      </c>
      <c r="AH646">
        <f>'Bookings and Drivers'!AP95</f>
        <v>286.65600000000018</v>
      </c>
      <c r="AI646">
        <f>'Bookings and Drivers'!AQ95</f>
        <v>-53.082000000000107</v>
      </c>
      <c r="AJ646">
        <f>'Bookings and Drivers'!AR95</f>
        <v>-495.6690000000001</v>
      </c>
      <c r="AK646">
        <f>'Bookings and Drivers'!AS95</f>
        <v>361.93200000000002</v>
      </c>
      <c r="AL646">
        <f>'Bookings and Drivers'!AT95</f>
        <v>354.66200000000003</v>
      </c>
      <c r="AM646">
        <f>'Bookings and Drivers'!AU95</f>
        <v>305.95299999999997</v>
      </c>
      <c r="AN646">
        <f>'Bookings and Drivers'!AV95</f>
        <v>-364.27599999999984</v>
      </c>
      <c r="AO646">
        <f>'Bookings and Drivers'!AW95</f>
        <v>607.27</v>
      </c>
      <c r="AP646">
        <f>'Bookings and Drivers'!AX95</f>
        <v>309.40000000000009</v>
      </c>
      <c r="AQ646">
        <f>'Bookings and Drivers'!AY95</f>
        <v>485.03499999999985</v>
      </c>
      <c r="AR646">
        <f>'Bookings and Drivers'!AZ95</f>
        <v>-611</v>
      </c>
      <c r="AS646">
        <f>'Bookings and Drivers'!BA95</f>
        <v>1224</v>
      </c>
      <c r="AT646">
        <f>'Bookings and Drivers'!BB95</f>
        <v>944</v>
      </c>
      <c r="AU646">
        <f>'Bookings and Drivers'!BC95</f>
        <v>396</v>
      </c>
      <c r="AV646">
        <f>'Bookings and Drivers'!BD95</f>
        <v>-1139</v>
      </c>
      <c r="AW646">
        <f>'Bookings and Drivers'!BE95</f>
        <v>1546</v>
      </c>
      <c r="AX646">
        <f>'Bookings and Drivers'!BF95</f>
        <v>503</v>
      </c>
      <c r="AY646">
        <f>'Bookings and Drivers'!BG95</f>
        <v>392</v>
      </c>
      <c r="AZ646">
        <f>'Bookings and Drivers'!BH95</f>
        <v>-1121</v>
      </c>
      <c r="BA646">
        <f>'Bookings and Drivers'!BI95</f>
        <v>2346</v>
      </c>
      <c r="BB646">
        <f>'Bookings and Drivers'!BJ95</f>
        <v>777</v>
      </c>
      <c r="BC646">
        <f>'Bookings and Drivers'!BK95</f>
        <v>598</v>
      </c>
      <c r="BD646">
        <f>'Bookings and Drivers'!BL95</f>
        <v>-1447</v>
      </c>
      <c r="BE646">
        <f>'Bookings and Drivers'!BM95</f>
        <v>2940</v>
      </c>
      <c r="BF646">
        <f>'Bookings and Drivers'!BN95</f>
        <v>1065</v>
      </c>
      <c r="BG646">
        <f>'Bookings and Drivers'!BO95</f>
        <v>240</v>
      </c>
      <c r="BH646">
        <f>'Bookings and Drivers'!BP95</f>
        <v>-2847</v>
      </c>
      <c r="BI646">
        <f>'Bookings and Drivers'!BQ95</f>
        <v>2934</v>
      </c>
      <c r="BJ646">
        <f>'Bookings and Drivers'!BR95</f>
        <v>959</v>
      </c>
      <c r="BK646">
        <f>'Bookings and Drivers'!BS95</f>
        <v>-17</v>
      </c>
      <c r="BL646">
        <f>'Bookings and Drivers'!BT95</f>
        <v>-2506</v>
      </c>
      <c r="BM646">
        <f>'Bookings and Drivers'!BU95</f>
        <v>4190</v>
      </c>
      <c r="BN646">
        <f>'Bookings and Drivers'!BV95</f>
        <v>835</v>
      </c>
      <c r="BO646">
        <f>'Bookings and Drivers'!BW95</f>
        <v>388</v>
      </c>
      <c r="BP646">
        <f>'Bookings and Drivers'!BX95</f>
        <v>-2779</v>
      </c>
      <c r="BQ646">
        <f>'Bookings and Drivers'!BY95</f>
        <v>5162</v>
      </c>
      <c r="BR646">
        <f>'Bookings and Drivers'!BZ95</f>
        <v>-193</v>
      </c>
      <c r="BS646">
        <f>'Bookings and Drivers'!CA95</f>
        <v>647</v>
      </c>
      <c r="BT646">
        <f>'Bookings and Drivers'!CB95</f>
        <v>-3579</v>
      </c>
      <c r="BU646">
        <f>'Bookings and Drivers'!CC95</f>
        <v>6939.2973141602342</v>
      </c>
      <c r="BV646">
        <f>'Bookings and Drivers'!CD95</f>
        <v>-144.09903857576501</v>
      </c>
      <c r="BW646">
        <f>'Bookings and Drivers'!CE95</f>
        <v>-1.5906074586127943</v>
      </c>
      <c r="BX646">
        <f>'Bookings and Drivers'!CF95</f>
        <v>-2664.6108001704597</v>
      </c>
      <c r="BY646">
        <f>'Bookings and Drivers'!CG95</f>
        <v>0</v>
      </c>
      <c r="BZ646">
        <f>'Bookings and Drivers'!CH95</f>
        <v>0</v>
      </c>
      <c r="CA646">
        <f>'Bookings and Drivers'!CI95</f>
        <v>0</v>
      </c>
      <c r="CB646">
        <f>'Bookings and Drivers'!CJ95</f>
        <v>0</v>
      </c>
      <c r="CC646">
        <f>'Bookings and Drivers'!CK95</f>
        <v>0</v>
      </c>
      <c r="CD646">
        <f>'Bookings and Drivers'!CL95</f>
        <v>0</v>
      </c>
      <c r="CE646">
        <f>'Bookings and Drivers'!CM95</f>
        <v>0</v>
      </c>
      <c r="CF646">
        <f>'Bookings and Drivers'!CN95</f>
        <v>0</v>
      </c>
      <c r="CG646">
        <f>'Bookings and Drivers'!CO95</f>
        <v>0</v>
      </c>
      <c r="CH646">
        <f>'Bookings and Drivers'!CP95</f>
        <v>0</v>
      </c>
      <c r="CI646">
        <f>'Bookings and Drivers'!CQ95</f>
        <v>0</v>
      </c>
      <c r="CJ646">
        <f>'Bookings and Drivers'!CR95</f>
        <v>0</v>
      </c>
      <c r="CK646">
        <f>'Bookings and Drivers'!CS95</f>
        <v>0</v>
      </c>
      <c r="CL646">
        <f>'Bookings and Drivers'!CT95</f>
        <v>0</v>
      </c>
      <c r="CM646">
        <f>'Bookings and Drivers'!CU95</f>
        <v>0</v>
      </c>
      <c r="CN646">
        <f>'Bookings and Drivers'!CV95</f>
        <v>0</v>
      </c>
      <c r="CO646">
        <f>'Bookings and Drivers'!CW95</f>
        <v>0</v>
      </c>
      <c r="CP646">
        <f>'Bookings and Drivers'!CX95</f>
        <v>0</v>
      </c>
      <c r="CQ646">
        <f>'Bookings and Drivers'!CY95</f>
        <v>0</v>
      </c>
      <c r="CR646">
        <f>'Bookings and Drivers'!CZ95</f>
        <v>0</v>
      </c>
      <c r="CS646">
        <f>'Bookings and Drivers'!DA95</f>
        <v>0</v>
      </c>
      <c r="CT646">
        <f>'Bookings and Drivers'!DB95</f>
        <v>0</v>
      </c>
      <c r="CU646">
        <f>'Bookings and Drivers'!DC95</f>
        <v>0</v>
      </c>
      <c r="CV646">
        <f>'Bookings and Drivers'!DD95</f>
        <v>0</v>
      </c>
      <c r="CW646">
        <f>'Bookings and Drivers'!DE95</f>
        <v>0</v>
      </c>
      <c r="CX646">
        <f>'Bookings and Drivers'!DF95</f>
        <v>0</v>
      </c>
    </row>
    <row r="647" spans="1:102">
      <c r="A647" t="str">
        <f>'Bookings and Drivers'!I96</f>
        <v>% of total gross bookings</v>
      </c>
      <c r="B647">
        <f>'Bookings and Drivers'!J96</f>
        <v>0</v>
      </c>
      <c r="C647">
        <f>'Bookings and Drivers'!K96</f>
        <v>0</v>
      </c>
      <c r="D647">
        <f>'Bookings and Drivers'!L96</f>
        <v>0</v>
      </c>
      <c r="E647">
        <f>'Bookings and Drivers'!M96</f>
        <v>0</v>
      </c>
      <c r="F647">
        <f>'Bookings and Drivers'!N96</f>
        <v>0</v>
      </c>
      <c r="G647">
        <f>'Bookings and Drivers'!O96</f>
        <v>0</v>
      </c>
      <c r="H647">
        <f>'Bookings and Drivers'!P96</f>
        <v>0</v>
      </c>
      <c r="I647">
        <f>'Bookings and Drivers'!Q96</f>
        <v>0</v>
      </c>
      <c r="J647">
        <f>'Bookings and Drivers'!R96</f>
        <v>0</v>
      </c>
      <c r="K647">
        <f>'Bookings and Drivers'!S96</f>
        <v>0</v>
      </c>
      <c r="L647">
        <f>'Bookings and Drivers'!T96</f>
        <v>0</v>
      </c>
      <c r="M647">
        <f>'Bookings and Drivers'!U96</f>
        <v>0</v>
      </c>
      <c r="N647">
        <f>'Bookings and Drivers'!V96</f>
        <v>0</v>
      </c>
      <c r="O647">
        <f>'Bookings and Drivers'!W96</f>
        <v>0</v>
      </c>
      <c r="P647">
        <f>'Bookings and Drivers'!X96</f>
        <v>0</v>
      </c>
      <c r="Q647">
        <f>'Bookings and Drivers'!Y96</f>
        <v>0</v>
      </c>
      <c r="R647">
        <f>'Bookings and Drivers'!Z96</f>
        <v>0</v>
      </c>
      <c r="S647">
        <f>'Bookings and Drivers'!AA96</f>
        <v>0</v>
      </c>
      <c r="T647">
        <f>'Bookings and Drivers'!AB96</f>
        <v>0</v>
      </c>
      <c r="U647">
        <f>'Bookings and Drivers'!AC96</f>
        <v>0</v>
      </c>
      <c r="V647">
        <f>'Bookings and Drivers'!AD96</f>
        <v>0</v>
      </c>
      <c r="W647">
        <f>'Bookings and Drivers'!AE96</f>
        <v>0</v>
      </c>
      <c r="X647">
        <f>'Bookings and Drivers'!AF96</f>
        <v>0</v>
      </c>
      <c r="Y647">
        <f>'Bookings and Drivers'!AG96</f>
        <v>0</v>
      </c>
      <c r="Z647">
        <f>'Bookings and Drivers'!AH96</f>
        <v>0</v>
      </c>
      <c r="AA647">
        <f>'Bookings and Drivers'!AI96</f>
        <v>0</v>
      </c>
      <c r="AB647">
        <f>'Bookings and Drivers'!AJ96</f>
        <v>0</v>
      </c>
      <c r="AC647">
        <f>'Bookings and Drivers'!AK96</f>
        <v>0.71160180712695464</v>
      </c>
      <c r="AD647">
        <f>'Bookings and Drivers'!AL96</f>
        <v>0.74439372553973526</v>
      </c>
      <c r="AE647">
        <f>'Bookings and Drivers'!AM96</f>
        <v>0.74971722527707607</v>
      </c>
      <c r="AF647">
        <f>'Bookings and Drivers'!AN96</f>
        <v>0.75721772691484746</v>
      </c>
      <c r="AG647">
        <f>'Bookings and Drivers'!AO96</f>
        <v>0.77909112413653492</v>
      </c>
      <c r="AH647">
        <f>'Bookings and Drivers'!AP96</f>
        <v>0.78521444668513463</v>
      </c>
      <c r="AI647">
        <f>'Bookings and Drivers'!AQ96</f>
        <v>0.7821263570953757</v>
      </c>
      <c r="AJ647">
        <f>'Bookings and Drivers'!AR96</f>
        <v>0.74810227173753796</v>
      </c>
      <c r="AK647">
        <f>'Bookings and Drivers'!AS96</f>
        <v>0.7563120503152938</v>
      </c>
      <c r="AL647">
        <f>'Bookings and Drivers'!AT96</f>
        <v>0.76691109282281533</v>
      </c>
      <c r="AM647">
        <f>'Bookings and Drivers'!AU96</f>
        <v>0.78247943512045848</v>
      </c>
      <c r="AN647">
        <f>'Bookings and Drivers'!AV96</f>
        <v>0.78000922076580048</v>
      </c>
      <c r="AO647">
        <f>'Bookings and Drivers'!AW96</f>
        <v>0.80061018081117952</v>
      </c>
      <c r="AP647">
        <f>'Bookings and Drivers'!AX96</f>
        <v>0.78675172571535812</v>
      </c>
      <c r="AQ647">
        <f>'Bookings and Drivers'!AY96</f>
        <v>0.7908137793310035</v>
      </c>
      <c r="AR647">
        <f>'Bookings and Drivers'!AZ96</f>
        <v>0.78315467075038281</v>
      </c>
      <c r="AS647">
        <f>'Bookings and Drivers'!BA96</f>
        <v>0.81050375133976416</v>
      </c>
      <c r="AT647">
        <f>'Bookings and Drivers'!BB96</f>
        <v>0.81747404844290661</v>
      </c>
      <c r="AU647">
        <f>'Bookings and Drivers'!BC96</f>
        <v>0.81844334345532999</v>
      </c>
      <c r="AV647">
        <f>'Bookings and Drivers'!BD96</f>
        <v>0.8034705407586763</v>
      </c>
      <c r="AW647">
        <f>'Bookings and Drivers'!BE96</f>
        <v>0.82372224705707053</v>
      </c>
      <c r="AX647">
        <f>'Bookings and Drivers'!BF96</f>
        <v>0.82289534725064806</v>
      </c>
      <c r="AY647">
        <f>'Bookings and Drivers'!BG96</f>
        <v>0.82009703779366705</v>
      </c>
      <c r="AZ647">
        <f>'Bookings and Drivers'!BH96</f>
        <v>0.80528554070473879</v>
      </c>
      <c r="BA647">
        <f>'Bookings and Drivers'!BI96</f>
        <v>0.83557303616300671</v>
      </c>
      <c r="BB647">
        <f>'Bookings and Drivers'!BJ96</f>
        <v>0.83275674607096961</v>
      </c>
      <c r="BC647">
        <f>'Bookings and Drivers'!BK96</f>
        <v>0.83817928471899672</v>
      </c>
      <c r="BD647">
        <f>'Bookings and Drivers'!BL96</f>
        <v>0.82915617817664444</v>
      </c>
      <c r="BE647">
        <f>'Bookings and Drivers'!BM96</f>
        <v>0.85635179153094465</v>
      </c>
      <c r="BF647">
        <f>'Bookings and Drivers'!BN96</f>
        <v>0.85544393558871323</v>
      </c>
      <c r="BG647">
        <f>'Bookings and Drivers'!BO96</f>
        <v>0.85516892136294587</v>
      </c>
      <c r="BH647">
        <f>'Bookings and Drivers'!BP96</f>
        <v>0.84191762829533723</v>
      </c>
      <c r="BI647">
        <f>'Bookings and Drivers'!BQ96</f>
        <v>0.86440185830429728</v>
      </c>
      <c r="BJ647">
        <f>'Bookings and Drivers'!BR96</f>
        <v>0.86009358288770055</v>
      </c>
      <c r="BK647">
        <f>'Bookings and Drivers'!BS96</f>
        <v>0.86953579645418866</v>
      </c>
      <c r="BL647">
        <f>'Bookings and Drivers'!BT96</f>
        <v>0.86099550524388213</v>
      </c>
      <c r="BM647">
        <f>'Bookings and Drivers'!BU96</f>
        <v>0.87275565964090551</v>
      </c>
      <c r="BN647">
        <f>'Bookings and Drivers'!BV96</f>
        <v>0.86042996305005037</v>
      </c>
      <c r="BO647">
        <f>'Bookings and Drivers'!BW96</f>
        <v>0.85357529794149511</v>
      </c>
      <c r="BP647">
        <f>'Bookings and Drivers'!BX96</f>
        <v>0.85878771836950762</v>
      </c>
      <c r="BQ647">
        <f>'Bookings and Drivers'!BY96</f>
        <v>0.87687919949726878</v>
      </c>
      <c r="BR647">
        <f>'Bookings and Drivers'!BZ96</f>
        <v>0.86296100399096021</v>
      </c>
      <c r="BS647">
        <f>'Bookings and Drivers'!CA96</f>
        <v>0.85442514474772535</v>
      </c>
      <c r="BT647">
        <f>'Bookings and Drivers'!CB96</f>
        <v>0.83509454949944384</v>
      </c>
      <c r="BU647">
        <f>'Bookings and Drivers'!CC96</f>
        <v>0.88235517197275304</v>
      </c>
      <c r="BV647">
        <f>'Bookings and Drivers'!CD96</f>
        <v>0.86941270334101051</v>
      </c>
      <c r="BW647">
        <f>'Bookings and Drivers'!CE96</f>
        <v>0.87889786152949734</v>
      </c>
      <c r="BX647">
        <f>'Bookings and Drivers'!CF96</f>
        <v>0.86998469446233329</v>
      </c>
      <c r="BY647">
        <f>'Bookings and Drivers'!CG96</f>
        <v>0</v>
      </c>
      <c r="BZ647">
        <f>'Bookings and Drivers'!CH96</f>
        <v>0</v>
      </c>
      <c r="CA647">
        <f>'Bookings and Drivers'!CI96</f>
        <v>0</v>
      </c>
      <c r="CB647">
        <f>'Bookings and Drivers'!CJ96</f>
        <v>0</v>
      </c>
      <c r="CC647">
        <f>'Bookings and Drivers'!CK96</f>
        <v>0</v>
      </c>
      <c r="CD647">
        <f>'Bookings and Drivers'!CL96</f>
        <v>0</v>
      </c>
      <c r="CE647">
        <f>'Bookings and Drivers'!CM96</f>
        <v>0</v>
      </c>
      <c r="CF647">
        <f>'Bookings and Drivers'!CN96</f>
        <v>0.74234752193639975</v>
      </c>
      <c r="CG647">
        <f>'Bookings and Drivers'!CO96</f>
        <v>0.7754757120732011</v>
      </c>
      <c r="CH647">
        <f>'Bookings and Drivers'!CP96</f>
        <v>0.77243739085733265</v>
      </c>
      <c r="CI647">
        <f>'Bookings and Drivers'!CQ96</f>
        <v>0.79009444245971772</v>
      </c>
      <c r="CJ647">
        <f>'Bookings and Drivers'!CR96</f>
        <v>0.8130482962415736</v>
      </c>
      <c r="CK647">
        <f>'Bookings and Drivers'!CS96</f>
        <v>0.81824571267922408</v>
      </c>
      <c r="CL647">
        <f>'Bookings and Drivers'!CT96</f>
        <v>0.83406514857551317</v>
      </c>
      <c r="CM647">
        <f>'Bookings and Drivers'!CU96</f>
        <v>0.85272365805168981</v>
      </c>
      <c r="CN647">
        <f>'Bookings and Drivers'!CV96</f>
        <v>0.86387047975795994</v>
      </c>
      <c r="CO647">
        <f>'Bookings and Drivers'!CW96</f>
        <v>0.86122167227223989</v>
      </c>
      <c r="CP647">
        <f>'Bookings and Drivers'!CX96</f>
        <v>0.85805037795779682</v>
      </c>
      <c r="CQ647">
        <f>'Bookings and Drivers'!CY96</f>
        <v>0.87530171769657283</v>
      </c>
      <c r="CR647">
        <f>'Bookings and Drivers'!CZ96</f>
        <v>0.87946646761005198</v>
      </c>
      <c r="CS647">
        <f>'Bookings and Drivers'!DA96</f>
        <v>0.88298385607986196</v>
      </c>
      <c r="CT647">
        <f>'Bookings and Drivers'!DB96</f>
        <v>0.88582896118252397</v>
      </c>
      <c r="CU647">
        <f>'Bookings and Drivers'!DC96</f>
        <v>0.88873693888556315</v>
      </c>
      <c r="CV647">
        <f>'Bookings and Drivers'!DD96</f>
        <v>0.89072620459391894</v>
      </c>
      <c r="CW647">
        <f>'Bookings and Drivers'!DE96</f>
        <v>0.89189782443765497</v>
      </c>
      <c r="CX647">
        <f>'Bookings and Drivers'!DF96</f>
        <v>0.89299184237029972</v>
      </c>
    </row>
    <row r="648" spans="1:102">
      <c r="A648">
        <f>'Bookings and Drivers'!I97</f>
        <v>0</v>
      </c>
      <c r="B648">
        <f>'Bookings and Drivers'!J97</f>
        <v>0</v>
      </c>
      <c r="C648">
        <f>'Bookings and Drivers'!K97</f>
        <v>0</v>
      </c>
      <c r="D648">
        <f>'Bookings and Drivers'!L97</f>
        <v>0</v>
      </c>
      <c r="E648">
        <f>'Bookings and Drivers'!M97</f>
        <v>0</v>
      </c>
      <c r="F648">
        <f>'Bookings and Drivers'!N97</f>
        <v>0</v>
      </c>
      <c r="G648">
        <f>'Bookings and Drivers'!O97</f>
        <v>0</v>
      </c>
      <c r="H648">
        <f>'Bookings and Drivers'!P97</f>
        <v>0</v>
      </c>
      <c r="I648">
        <f>'Bookings and Drivers'!Q97</f>
        <v>0</v>
      </c>
      <c r="J648">
        <f>'Bookings and Drivers'!R97</f>
        <v>0</v>
      </c>
      <c r="K648">
        <f>'Bookings and Drivers'!S97</f>
        <v>0</v>
      </c>
      <c r="L648">
        <f>'Bookings and Drivers'!T97</f>
        <v>0</v>
      </c>
      <c r="M648">
        <f>'Bookings and Drivers'!U97</f>
        <v>0</v>
      </c>
      <c r="N648">
        <f>'Bookings and Drivers'!V97</f>
        <v>0</v>
      </c>
      <c r="O648">
        <f>'Bookings and Drivers'!W97</f>
        <v>0</v>
      </c>
      <c r="P648">
        <f>'Bookings and Drivers'!X97</f>
        <v>0</v>
      </c>
      <c r="Q648">
        <f>'Bookings and Drivers'!Y97</f>
        <v>0</v>
      </c>
      <c r="R648">
        <f>'Bookings and Drivers'!Z97</f>
        <v>0</v>
      </c>
      <c r="S648">
        <f>'Bookings and Drivers'!AA97</f>
        <v>0</v>
      </c>
      <c r="T648">
        <f>'Bookings and Drivers'!AB97</f>
        <v>0</v>
      </c>
      <c r="U648">
        <f>'Bookings and Drivers'!AC97</f>
        <v>0</v>
      </c>
      <c r="V648">
        <f>'Bookings and Drivers'!AD97</f>
        <v>0</v>
      </c>
      <c r="W648">
        <f>'Bookings and Drivers'!AE97</f>
        <v>0</v>
      </c>
      <c r="X648">
        <f>'Bookings and Drivers'!AF97</f>
        <v>0</v>
      </c>
      <c r="Y648">
        <f>'Bookings and Drivers'!AG97</f>
        <v>0</v>
      </c>
      <c r="Z648">
        <f>'Bookings and Drivers'!AH97</f>
        <v>0</v>
      </c>
      <c r="AA648">
        <f>'Bookings and Drivers'!AI97</f>
        <v>0</v>
      </c>
      <c r="AB648">
        <f>'Bookings and Drivers'!AJ97</f>
        <v>0</v>
      </c>
      <c r="AC648">
        <f>'Bookings and Drivers'!AK97</f>
        <v>0</v>
      </c>
      <c r="AD648">
        <f>'Bookings and Drivers'!AL97</f>
        <v>0</v>
      </c>
      <c r="AE648">
        <f>'Bookings and Drivers'!AM97</f>
        <v>0</v>
      </c>
      <c r="AF648">
        <f>'Bookings and Drivers'!AN97</f>
        <v>0</v>
      </c>
      <c r="AG648">
        <f>'Bookings and Drivers'!AO97</f>
        <v>0</v>
      </c>
      <c r="AH648">
        <f>'Bookings and Drivers'!AP97</f>
        <v>0</v>
      </c>
      <c r="AI648">
        <f>'Bookings and Drivers'!AQ97</f>
        <v>0</v>
      </c>
      <c r="AJ648">
        <f>'Bookings and Drivers'!AR97</f>
        <v>0</v>
      </c>
      <c r="AK648">
        <f>'Bookings and Drivers'!AS97</f>
        <v>0</v>
      </c>
      <c r="AL648">
        <f>'Bookings and Drivers'!AT97</f>
        <v>0</v>
      </c>
      <c r="AM648">
        <f>'Bookings and Drivers'!AU97</f>
        <v>0</v>
      </c>
      <c r="AN648">
        <f>'Bookings and Drivers'!AV97</f>
        <v>0</v>
      </c>
      <c r="AO648">
        <f>'Bookings and Drivers'!AW97</f>
        <v>0</v>
      </c>
      <c r="AP648">
        <f>'Bookings and Drivers'!AX97</f>
        <v>0</v>
      </c>
      <c r="AQ648">
        <f>'Bookings and Drivers'!AY97</f>
        <v>0</v>
      </c>
      <c r="AR648">
        <f>'Bookings and Drivers'!AZ97</f>
        <v>0</v>
      </c>
      <c r="AS648">
        <f>'Bookings and Drivers'!BA97</f>
        <v>0</v>
      </c>
      <c r="AT648">
        <f>'Bookings and Drivers'!BB97</f>
        <v>0</v>
      </c>
      <c r="AU648">
        <f>'Bookings and Drivers'!BC97</f>
        <v>0</v>
      </c>
      <c r="AV648">
        <f>'Bookings and Drivers'!BD97</f>
        <v>0</v>
      </c>
      <c r="AW648">
        <f>'Bookings and Drivers'!BE97</f>
        <v>0</v>
      </c>
      <c r="AX648">
        <f>'Bookings and Drivers'!BF97</f>
        <v>0</v>
      </c>
      <c r="AY648">
        <f>'Bookings and Drivers'!BG97</f>
        <v>0</v>
      </c>
      <c r="AZ648">
        <f>'Bookings and Drivers'!BH97</f>
        <v>0</v>
      </c>
      <c r="BA648">
        <f>'Bookings and Drivers'!BI97</f>
        <v>0</v>
      </c>
      <c r="BB648">
        <f>'Bookings and Drivers'!BJ97</f>
        <v>0</v>
      </c>
      <c r="BC648">
        <f>'Bookings and Drivers'!BK97</f>
        <v>0</v>
      </c>
      <c r="BD648">
        <f>'Bookings and Drivers'!BL97</f>
        <v>0</v>
      </c>
      <c r="BE648">
        <f>'Bookings and Drivers'!BM97</f>
        <v>0</v>
      </c>
      <c r="BF648">
        <f>'Bookings and Drivers'!BN97</f>
        <v>0</v>
      </c>
      <c r="BG648">
        <f>'Bookings and Drivers'!BO97</f>
        <v>0</v>
      </c>
      <c r="BH648">
        <f>'Bookings and Drivers'!BP97</f>
        <v>0</v>
      </c>
      <c r="BI648">
        <f>'Bookings and Drivers'!BQ97</f>
        <v>0</v>
      </c>
      <c r="BJ648">
        <f>'Bookings and Drivers'!BR97</f>
        <v>0</v>
      </c>
      <c r="BK648">
        <f>'Bookings and Drivers'!BS97</f>
        <v>0</v>
      </c>
      <c r="BL648">
        <f>'Bookings and Drivers'!BT97</f>
        <v>0</v>
      </c>
      <c r="BM648">
        <f>'Bookings and Drivers'!BU97</f>
        <v>0</v>
      </c>
      <c r="BN648">
        <f>'Bookings and Drivers'!BV97</f>
        <v>0</v>
      </c>
      <c r="BO648">
        <f>'Bookings and Drivers'!BW97</f>
        <v>0</v>
      </c>
      <c r="BP648">
        <f>'Bookings and Drivers'!BX97</f>
        <v>0</v>
      </c>
      <c r="BQ648">
        <f>'Bookings and Drivers'!BY97</f>
        <v>0</v>
      </c>
      <c r="BR648">
        <f>'Bookings and Drivers'!BZ97</f>
        <v>0</v>
      </c>
      <c r="BS648">
        <f>'Bookings and Drivers'!CA97</f>
        <v>0</v>
      </c>
      <c r="BT648">
        <f>'Bookings and Drivers'!CB97</f>
        <v>0</v>
      </c>
      <c r="BU648">
        <f>'Bookings and Drivers'!CC97</f>
        <v>0</v>
      </c>
      <c r="BV648">
        <f>'Bookings and Drivers'!CD97</f>
        <v>0</v>
      </c>
      <c r="BW648">
        <f>'Bookings and Drivers'!CE97</f>
        <v>0</v>
      </c>
      <c r="BX648">
        <f>'Bookings and Drivers'!CF97</f>
        <v>0</v>
      </c>
      <c r="BY648">
        <f>'Bookings and Drivers'!CG97</f>
        <v>0</v>
      </c>
      <c r="BZ648">
        <f>'Bookings and Drivers'!CH97</f>
        <v>0</v>
      </c>
      <c r="CA648">
        <f>'Bookings and Drivers'!CI97</f>
        <v>0</v>
      </c>
      <c r="CB648">
        <f>'Bookings and Drivers'!CJ97</f>
        <v>0</v>
      </c>
      <c r="CC648">
        <f>'Bookings and Drivers'!CK97</f>
        <v>0</v>
      </c>
      <c r="CD648">
        <f>'Bookings and Drivers'!CL97</f>
        <v>0</v>
      </c>
      <c r="CE648">
        <f>'Bookings and Drivers'!CM97</f>
        <v>0</v>
      </c>
      <c r="CF648">
        <f>'Bookings and Drivers'!CN97</f>
        <v>0</v>
      </c>
      <c r="CG648">
        <f>'Bookings and Drivers'!CO97</f>
        <v>0</v>
      </c>
      <c r="CH648">
        <f>'Bookings and Drivers'!CP97</f>
        <v>0</v>
      </c>
      <c r="CI648">
        <f>'Bookings and Drivers'!CQ97</f>
        <v>0</v>
      </c>
      <c r="CJ648">
        <f>'Bookings and Drivers'!CR97</f>
        <v>0</v>
      </c>
      <c r="CK648">
        <f>'Bookings and Drivers'!CS97</f>
        <v>0</v>
      </c>
      <c r="CL648">
        <f>'Bookings and Drivers'!CT97</f>
        <v>0</v>
      </c>
      <c r="CM648">
        <f>'Bookings and Drivers'!CU97</f>
        <v>0</v>
      </c>
      <c r="CN648">
        <f>'Bookings and Drivers'!CV97</f>
        <v>0</v>
      </c>
      <c r="CO648">
        <f>'Bookings and Drivers'!CW97</f>
        <v>0</v>
      </c>
      <c r="CP648">
        <f>'Bookings and Drivers'!CX97</f>
        <v>0</v>
      </c>
      <c r="CQ648">
        <f>'Bookings and Drivers'!CY97</f>
        <v>0</v>
      </c>
      <c r="CR648">
        <f>'Bookings and Drivers'!CZ97</f>
        <v>0</v>
      </c>
      <c r="CS648">
        <f>'Bookings and Drivers'!DA97</f>
        <v>0</v>
      </c>
      <c r="CT648">
        <f>'Bookings and Drivers'!DB97</f>
        <v>0</v>
      </c>
      <c r="CU648">
        <f>'Bookings and Drivers'!DC97</f>
        <v>0</v>
      </c>
      <c r="CV648">
        <f>'Bookings and Drivers'!DD97</f>
        <v>0</v>
      </c>
      <c r="CW648">
        <f>'Bookings and Drivers'!DE97</f>
        <v>0</v>
      </c>
      <c r="CX648">
        <f>'Bookings and Drivers'!DF97</f>
        <v>0</v>
      </c>
    </row>
    <row r="650" spans="1:102">
      <c r="B650">
        <f>'Bookings and Drivers'!J98</f>
        <v>0</v>
      </c>
      <c r="C650">
        <f>'Bookings and Drivers'!K98</f>
        <v>0</v>
      </c>
      <c r="D650">
        <f>'Bookings and Drivers'!L98</f>
        <v>0</v>
      </c>
      <c r="E650">
        <f>'Bookings and Drivers'!M98</f>
        <v>0</v>
      </c>
      <c r="F650">
        <f>'Bookings and Drivers'!N98</f>
        <v>0</v>
      </c>
      <c r="G650">
        <f>'Bookings and Drivers'!O98</f>
        <v>0</v>
      </c>
      <c r="H650">
        <f>'Bookings and Drivers'!P98</f>
        <v>0</v>
      </c>
      <c r="I650">
        <f>'Bookings and Drivers'!Q98</f>
        <v>0</v>
      </c>
      <c r="J650">
        <f>'Bookings and Drivers'!R98</f>
        <v>0</v>
      </c>
      <c r="K650">
        <f>'Bookings and Drivers'!S98</f>
        <v>0</v>
      </c>
      <c r="L650">
        <f>'Bookings and Drivers'!T98</f>
        <v>0</v>
      </c>
      <c r="M650">
        <f>'Bookings and Drivers'!U98</f>
        <v>0</v>
      </c>
      <c r="N650">
        <f>'Bookings and Drivers'!V98</f>
        <v>0</v>
      </c>
      <c r="O650">
        <f>'Bookings and Drivers'!W98</f>
        <v>0</v>
      </c>
      <c r="P650">
        <f>'Bookings and Drivers'!X98</f>
        <v>0</v>
      </c>
      <c r="Q650">
        <f>'Bookings and Drivers'!Y98</f>
        <v>0</v>
      </c>
      <c r="R650">
        <f>'Bookings and Drivers'!Z98</f>
        <v>0</v>
      </c>
      <c r="S650">
        <f>'Bookings and Drivers'!AA98</f>
        <v>0</v>
      </c>
      <c r="T650">
        <f>'Bookings and Drivers'!AB98</f>
        <v>0</v>
      </c>
      <c r="U650">
        <f>'Bookings and Drivers'!AC98</f>
        <v>0</v>
      </c>
      <c r="V650">
        <f>'Bookings and Drivers'!AD98</f>
        <v>0</v>
      </c>
      <c r="W650">
        <f>'Bookings and Drivers'!AE98</f>
        <v>0</v>
      </c>
      <c r="X650">
        <f>'Bookings and Drivers'!AF98</f>
        <v>0</v>
      </c>
      <c r="Y650">
        <f>'Bookings and Drivers'!AG98</f>
        <v>0</v>
      </c>
      <c r="Z650">
        <f>'Bookings and Drivers'!AH98</f>
        <v>0</v>
      </c>
      <c r="AA650">
        <f>'Bookings and Drivers'!AI98</f>
        <v>0</v>
      </c>
      <c r="AB650">
        <f>'Bookings and Drivers'!AJ98</f>
        <v>0</v>
      </c>
      <c r="AC650">
        <f>'Bookings and Drivers'!AK98</f>
        <v>0</v>
      </c>
      <c r="AD650">
        <f>'Bookings and Drivers'!AL98</f>
        <v>0</v>
      </c>
      <c r="AE650">
        <f>'Bookings and Drivers'!AM98</f>
        <v>0</v>
      </c>
      <c r="AF650">
        <f>'Bookings and Drivers'!AN98</f>
        <v>0</v>
      </c>
      <c r="AG650">
        <f>'Bookings and Drivers'!AO98</f>
        <v>0</v>
      </c>
      <c r="AH650">
        <f>'Bookings and Drivers'!AP98</f>
        <v>0</v>
      </c>
      <c r="AI650">
        <f>'Bookings and Drivers'!AQ98</f>
        <v>0</v>
      </c>
      <c r="AJ650">
        <f>'Bookings and Drivers'!AR98</f>
        <v>0</v>
      </c>
      <c r="AK650">
        <f>'Bookings and Drivers'!AS98</f>
        <v>0</v>
      </c>
      <c r="AL650">
        <f>'Bookings and Drivers'!AT98</f>
        <v>0</v>
      </c>
      <c r="AM650">
        <f>'Bookings and Drivers'!AU98</f>
        <v>0</v>
      </c>
      <c r="AN650">
        <f>'Bookings and Drivers'!AV98</f>
        <v>0</v>
      </c>
      <c r="AO650">
        <f>'Bookings and Drivers'!AW98</f>
        <v>0</v>
      </c>
      <c r="AP650">
        <f>'Bookings and Drivers'!AX98</f>
        <v>0</v>
      </c>
      <c r="AQ650">
        <f>'Bookings and Drivers'!AY98</f>
        <v>0</v>
      </c>
      <c r="AR650">
        <f>'Bookings and Drivers'!AZ98</f>
        <v>0</v>
      </c>
      <c r="AS650">
        <f>'Bookings and Drivers'!BA98</f>
        <v>0</v>
      </c>
      <c r="AT650">
        <f>'Bookings and Drivers'!BB98</f>
        <v>0</v>
      </c>
      <c r="AU650">
        <f>'Bookings and Drivers'!BC98</f>
        <v>0</v>
      </c>
      <c r="AV650">
        <f>'Bookings and Drivers'!BD98</f>
        <v>0</v>
      </c>
      <c r="AW650">
        <f>'Bookings and Drivers'!BE98</f>
        <v>0</v>
      </c>
      <c r="AX650">
        <f>'Bookings and Drivers'!BF98</f>
        <v>0</v>
      </c>
      <c r="AY650">
        <f>'Bookings and Drivers'!BG98</f>
        <v>0</v>
      </c>
      <c r="AZ650">
        <f>'Bookings and Drivers'!BH98</f>
        <v>0</v>
      </c>
      <c r="BA650">
        <f>'Bookings and Drivers'!BI98</f>
        <v>0</v>
      </c>
      <c r="BB650">
        <f>'Bookings and Drivers'!BJ98</f>
        <v>0</v>
      </c>
      <c r="BC650">
        <f>'Bookings and Drivers'!BK98</f>
        <v>0</v>
      </c>
      <c r="BD650">
        <f>'Bookings and Drivers'!BL98</f>
        <v>0</v>
      </c>
      <c r="BE650">
        <f>'Bookings and Drivers'!BM98</f>
        <v>0</v>
      </c>
      <c r="BF650">
        <f>'Bookings and Drivers'!BN98</f>
        <v>0</v>
      </c>
      <c r="BG650">
        <f>'Bookings and Drivers'!BO98</f>
        <v>0</v>
      </c>
      <c r="BH650">
        <f>'Bookings and Drivers'!BP98</f>
        <v>0</v>
      </c>
      <c r="BI650">
        <f>'Bookings and Drivers'!BQ98</f>
        <v>0</v>
      </c>
      <c r="BJ650">
        <f>'Bookings and Drivers'!BR98</f>
        <v>0</v>
      </c>
      <c r="BK650">
        <f>'Bookings and Drivers'!BS98</f>
        <v>0</v>
      </c>
      <c r="BL650">
        <f>'Bookings and Drivers'!BT98</f>
        <v>0</v>
      </c>
      <c r="BM650">
        <f>'Bookings and Drivers'!BU98</f>
        <v>0</v>
      </c>
      <c r="BN650">
        <f>'Bookings and Drivers'!BV98</f>
        <v>0</v>
      </c>
      <c r="BO650">
        <f>'Bookings and Drivers'!BW98</f>
        <v>0</v>
      </c>
      <c r="BP650">
        <f>'Bookings and Drivers'!BX98</f>
        <v>0</v>
      </c>
      <c r="BQ650">
        <f>'Bookings and Drivers'!BY98</f>
        <v>0</v>
      </c>
      <c r="BR650">
        <f>'Bookings and Drivers'!BZ98</f>
        <v>0</v>
      </c>
      <c r="BS650">
        <f>'Bookings and Drivers'!CA98</f>
        <v>0</v>
      </c>
      <c r="BT650">
        <f>'Bookings and Drivers'!CB98</f>
        <v>0</v>
      </c>
      <c r="BU650">
        <f>'Bookings and Drivers'!CC98</f>
        <v>0</v>
      </c>
      <c r="BV650">
        <f>'Bookings and Drivers'!CD98</f>
        <v>0</v>
      </c>
      <c r="BW650">
        <f>'Bookings and Drivers'!CE98</f>
        <v>0</v>
      </c>
      <c r="BX650">
        <f>'Bookings and Drivers'!CF98</f>
        <v>0</v>
      </c>
      <c r="BY650">
        <f>'Bookings and Drivers'!CG98</f>
        <v>0</v>
      </c>
      <c r="BZ650">
        <f>'Bookings and Drivers'!CH98</f>
        <v>0</v>
      </c>
      <c r="CA650">
        <f>'Bookings and Drivers'!CI98</f>
        <v>0</v>
      </c>
      <c r="CB650">
        <f>'Bookings and Drivers'!CJ98</f>
        <v>0</v>
      </c>
      <c r="CC650">
        <f>'Bookings and Drivers'!CK98</f>
        <v>0</v>
      </c>
      <c r="CD650">
        <f>'Bookings and Drivers'!CL98</f>
        <v>0</v>
      </c>
      <c r="CE650">
        <f>'Bookings and Drivers'!CM98</f>
        <v>0</v>
      </c>
      <c r="CF650">
        <f>'Bookings and Drivers'!CN98</f>
        <v>0</v>
      </c>
      <c r="CG650">
        <f>'Bookings and Drivers'!CO98</f>
        <v>0</v>
      </c>
      <c r="CH650">
        <f>'Bookings and Drivers'!CP98</f>
        <v>0</v>
      </c>
      <c r="CI650">
        <f>'Bookings and Drivers'!CQ98</f>
        <v>0</v>
      </c>
      <c r="CJ650">
        <f>'Bookings and Drivers'!CR98</f>
        <v>0</v>
      </c>
      <c r="CK650">
        <f>'Bookings and Drivers'!CS98</f>
        <v>0</v>
      </c>
      <c r="CL650">
        <f>'Bookings and Drivers'!CT98</f>
        <v>0</v>
      </c>
      <c r="CM650">
        <f>'Bookings and Drivers'!CU98</f>
        <v>0</v>
      </c>
      <c r="CN650">
        <f>'Bookings and Drivers'!CV98</f>
        <v>0</v>
      </c>
      <c r="CO650">
        <f>'Bookings and Drivers'!CW98</f>
        <v>0</v>
      </c>
      <c r="CP650">
        <f>'Bookings and Drivers'!CX98</f>
        <v>0</v>
      </c>
      <c r="CQ650">
        <f>'Bookings and Drivers'!CY98</f>
        <v>0</v>
      </c>
      <c r="CR650">
        <f>'Bookings and Drivers'!CZ98</f>
        <v>0</v>
      </c>
      <c r="CS650">
        <f>'Bookings and Drivers'!DA98</f>
        <v>0</v>
      </c>
      <c r="CT650">
        <f>'Bookings and Drivers'!DB98</f>
        <v>0</v>
      </c>
      <c r="CU650">
        <f>'Bookings and Drivers'!DC98</f>
        <v>0</v>
      </c>
      <c r="CV650">
        <f>'Bookings and Drivers'!DD98</f>
        <v>0</v>
      </c>
      <c r="CW650">
        <f>'Bookings and Drivers'!DE98</f>
        <v>0</v>
      </c>
      <c r="CX650">
        <f>'Bookings and Drivers'!DF98</f>
        <v>0</v>
      </c>
    </row>
    <row r="652" spans="1:102">
      <c r="A652" t="str">
        <f>'Bookings and Drivers'!I99</f>
        <v>Room Nights Sold (000)</v>
      </c>
      <c r="B652">
        <f>'Bookings and Drivers'!J99</f>
        <v>0</v>
      </c>
      <c r="C652">
        <f>'Bookings and Drivers'!K99</f>
        <v>0</v>
      </c>
      <c r="D652">
        <f>'Bookings and Drivers'!L99</f>
        <v>0</v>
      </c>
      <c r="E652">
        <f>'Bookings and Drivers'!M99</f>
        <v>0</v>
      </c>
      <c r="F652">
        <f>'Bookings and Drivers'!N99</f>
        <v>0</v>
      </c>
      <c r="G652">
        <f>'Bookings and Drivers'!O99</f>
        <v>0</v>
      </c>
      <c r="H652">
        <f>'Bookings and Drivers'!P99</f>
        <v>0</v>
      </c>
      <c r="I652">
        <f>'Bookings and Drivers'!Q99</f>
        <v>0</v>
      </c>
      <c r="J652">
        <f>'Bookings and Drivers'!R99</f>
        <v>0</v>
      </c>
      <c r="K652">
        <f>'Bookings and Drivers'!S99</f>
        <v>0</v>
      </c>
      <c r="L652">
        <f>'Bookings and Drivers'!T99</f>
        <v>0</v>
      </c>
      <c r="M652">
        <f>'Bookings and Drivers'!U99</f>
        <v>0</v>
      </c>
      <c r="N652">
        <f>'Bookings and Drivers'!V99</f>
        <v>0</v>
      </c>
      <c r="O652">
        <f>'Bookings and Drivers'!W99</f>
        <v>0</v>
      </c>
      <c r="P652">
        <f>'Bookings and Drivers'!X99</f>
        <v>0</v>
      </c>
      <c r="Q652">
        <f>'Bookings and Drivers'!Y99</f>
        <v>0</v>
      </c>
      <c r="R652">
        <f>'Bookings and Drivers'!Z99</f>
        <v>0</v>
      </c>
      <c r="S652">
        <f>'Bookings and Drivers'!AA99</f>
        <v>0</v>
      </c>
      <c r="T652">
        <f>'Bookings and Drivers'!AB99</f>
        <v>0</v>
      </c>
      <c r="U652">
        <f>'Bookings and Drivers'!AC99</f>
        <v>0</v>
      </c>
      <c r="V652">
        <f>'Bookings and Drivers'!AD99</f>
        <v>0</v>
      </c>
      <c r="W652">
        <f>'Bookings and Drivers'!AE99</f>
        <v>0</v>
      </c>
      <c r="X652">
        <f>'Bookings and Drivers'!AF99</f>
        <v>0</v>
      </c>
      <c r="Y652">
        <f>'Bookings and Drivers'!AG99</f>
        <v>0</v>
      </c>
      <c r="Z652">
        <f>'Bookings and Drivers'!AH99</f>
        <v>0</v>
      </c>
      <c r="AA652">
        <f>'Bookings and Drivers'!AI99</f>
        <v>0</v>
      </c>
      <c r="AB652">
        <f>'Bookings and Drivers'!AJ99</f>
        <v>0</v>
      </c>
      <c r="AC652">
        <f>'Bookings and Drivers'!AK99</f>
        <v>0</v>
      </c>
      <c r="AD652">
        <f>'Bookings and Drivers'!AL99</f>
        <v>0</v>
      </c>
      <c r="AE652">
        <f>'Bookings and Drivers'!AM99</f>
        <v>0</v>
      </c>
      <c r="AF652">
        <f>'Bookings and Drivers'!AN99</f>
        <v>0</v>
      </c>
      <c r="AG652">
        <f>'Bookings and Drivers'!AO99</f>
        <v>0</v>
      </c>
      <c r="AH652">
        <f>'Bookings and Drivers'!AP99</f>
        <v>0</v>
      </c>
      <c r="AI652">
        <f>'Bookings and Drivers'!AQ99</f>
        <v>0</v>
      </c>
      <c r="AJ652">
        <f>'Bookings and Drivers'!AR99</f>
        <v>0</v>
      </c>
      <c r="AK652">
        <f>'Bookings and Drivers'!AS99</f>
        <v>0</v>
      </c>
      <c r="AL652">
        <f>'Bookings and Drivers'!AT99</f>
        <v>0</v>
      </c>
      <c r="AM652">
        <f>'Bookings and Drivers'!AU99</f>
        <v>0</v>
      </c>
      <c r="AN652">
        <f>'Bookings and Drivers'!AV99</f>
        <v>0</v>
      </c>
      <c r="AO652">
        <f>'Bookings and Drivers'!AW99</f>
        <v>0</v>
      </c>
      <c r="AP652">
        <f>'Bookings and Drivers'!AX99</f>
        <v>0</v>
      </c>
      <c r="AQ652">
        <f>'Bookings and Drivers'!AY99</f>
        <v>0</v>
      </c>
      <c r="AR652">
        <f>'Bookings and Drivers'!AZ99</f>
        <v>0</v>
      </c>
      <c r="AS652">
        <f>'Bookings and Drivers'!BA99</f>
        <v>0</v>
      </c>
      <c r="AT652">
        <f>'Bookings and Drivers'!BB99</f>
        <v>0</v>
      </c>
      <c r="AU652">
        <f>'Bookings and Drivers'!BC99</f>
        <v>0</v>
      </c>
      <c r="AV652">
        <f>'Bookings and Drivers'!BD99</f>
        <v>0</v>
      </c>
      <c r="AW652">
        <f>'Bookings and Drivers'!BE99</f>
        <v>0</v>
      </c>
      <c r="AX652">
        <f>'Bookings and Drivers'!BF99</f>
        <v>0</v>
      </c>
      <c r="AY652">
        <f>'Bookings and Drivers'!BG99</f>
        <v>0</v>
      </c>
      <c r="AZ652">
        <f>'Bookings and Drivers'!BH99</f>
        <v>0</v>
      </c>
      <c r="BA652">
        <f>'Bookings and Drivers'!BI99</f>
        <v>0</v>
      </c>
      <c r="BB652">
        <f>'Bookings and Drivers'!BJ99</f>
        <v>0</v>
      </c>
      <c r="BC652">
        <f>'Bookings and Drivers'!BK99</f>
        <v>0</v>
      </c>
      <c r="BD652">
        <f>'Bookings and Drivers'!BL99</f>
        <v>0</v>
      </c>
      <c r="BE652">
        <f>'Bookings and Drivers'!BM99</f>
        <v>0</v>
      </c>
      <c r="BF652">
        <f>'Bookings and Drivers'!BN99</f>
        <v>0</v>
      </c>
      <c r="BG652">
        <f>'Bookings and Drivers'!BO99</f>
        <v>0</v>
      </c>
      <c r="BH652">
        <f>'Bookings and Drivers'!BP99</f>
        <v>0</v>
      </c>
      <c r="BI652">
        <f>'Bookings and Drivers'!BQ99</f>
        <v>0</v>
      </c>
      <c r="BJ652">
        <f>'Bookings and Drivers'!BR99</f>
        <v>0</v>
      </c>
      <c r="BK652">
        <f>'Bookings and Drivers'!BS99</f>
        <v>0</v>
      </c>
      <c r="BL652">
        <f>'Bookings and Drivers'!BT99</f>
        <v>0</v>
      </c>
      <c r="BM652">
        <f>'Bookings and Drivers'!BU99</f>
        <v>0</v>
      </c>
      <c r="BN652">
        <f>'Bookings and Drivers'!BV99</f>
        <v>0</v>
      </c>
      <c r="BO652">
        <f>'Bookings and Drivers'!BW99</f>
        <v>0</v>
      </c>
      <c r="BP652">
        <f>'Bookings and Drivers'!BX99</f>
        <v>0</v>
      </c>
      <c r="BQ652">
        <f>'Bookings and Drivers'!BY99</f>
        <v>0</v>
      </c>
      <c r="BR652">
        <f>'Bookings and Drivers'!BZ99</f>
        <v>0</v>
      </c>
      <c r="BS652">
        <f>'Bookings and Drivers'!CA99</f>
        <v>0</v>
      </c>
      <c r="BT652">
        <f>'Bookings and Drivers'!CB99</f>
        <v>0</v>
      </c>
      <c r="BU652">
        <f>'Bookings and Drivers'!CC99</f>
        <v>0</v>
      </c>
      <c r="BV652">
        <f>'Bookings and Drivers'!CD99</f>
        <v>0</v>
      </c>
      <c r="BW652">
        <f>'Bookings and Drivers'!CE99</f>
        <v>0</v>
      </c>
      <c r="BX652">
        <f>'Bookings and Drivers'!CF99</f>
        <v>0</v>
      </c>
      <c r="BY652">
        <f>'Bookings and Drivers'!CG99</f>
        <v>0</v>
      </c>
      <c r="BZ652">
        <f>'Bookings and Drivers'!CH99</f>
        <v>0</v>
      </c>
      <c r="CA652">
        <f>'Bookings and Drivers'!CI99</f>
        <v>0</v>
      </c>
      <c r="CB652">
        <f>'Bookings and Drivers'!CJ99</f>
        <v>0</v>
      </c>
      <c r="CC652">
        <f>'Bookings and Drivers'!CK99</f>
        <v>0</v>
      </c>
      <c r="CD652">
        <f>'Bookings and Drivers'!CL99</f>
        <v>0</v>
      </c>
      <c r="CE652">
        <f>'Bookings and Drivers'!CM99</f>
        <v>0</v>
      </c>
      <c r="CF652">
        <f>'Bookings and Drivers'!CN99</f>
        <v>0</v>
      </c>
      <c r="CG652">
        <f>'Bookings and Drivers'!CO99</f>
        <v>0</v>
      </c>
      <c r="CH652">
        <f>'Bookings and Drivers'!CP99</f>
        <v>0</v>
      </c>
      <c r="CI652">
        <f>'Bookings and Drivers'!CQ99</f>
        <v>0</v>
      </c>
      <c r="CJ652">
        <f>'Bookings and Drivers'!CR99</f>
        <v>0</v>
      </c>
      <c r="CK652">
        <f>'Bookings and Drivers'!CS99</f>
        <v>0</v>
      </c>
      <c r="CL652">
        <f>'Bookings and Drivers'!CT99</f>
        <v>0</v>
      </c>
      <c r="CM652">
        <f>'Bookings and Drivers'!CU99</f>
        <v>0</v>
      </c>
      <c r="CN652">
        <f>'Bookings and Drivers'!CV99</f>
        <v>0</v>
      </c>
      <c r="CO652">
        <f>'Bookings and Drivers'!CW99</f>
        <v>0</v>
      </c>
      <c r="CP652">
        <f>'Bookings and Drivers'!CX99</f>
        <v>0</v>
      </c>
      <c r="CQ652">
        <f>'Bookings and Drivers'!CY99</f>
        <v>0</v>
      </c>
      <c r="CR652">
        <f>'Bookings and Drivers'!CZ99</f>
        <v>0</v>
      </c>
      <c r="CS652">
        <f>'Bookings and Drivers'!DA99</f>
        <v>0</v>
      </c>
      <c r="CT652">
        <f>'Bookings and Drivers'!DB99</f>
        <v>0</v>
      </c>
      <c r="CU652">
        <f>'Bookings and Drivers'!DC99</f>
        <v>0</v>
      </c>
      <c r="CV652">
        <f>'Bookings and Drivers'!DD99</f>
        <v>0</v>
      </c>
      <c r="CW652">
        <f>'Bookings and Drivers'!DE99</f>
        <v>0</v>
      </c>
      <c r="CX652">
        <f>'Bookings and Drivers'!DF99</f>
        <v>0</v>
      </c>
    </row>
    <row r="653" spans="1:102">
      <c r="A653" t="str">
        <f>'Bookings and Drivers'!I100</f>
        <v>Domestic Room Nights Sold</v>
      </c>
      <c r="B653">
        <f>'Bookings and Drivers'!J100</f>
        <v>0</v>
      </c>
      <c r="C653">
        <f>'Bookings and Drivers'!K100</f>
        <v>0</v>
      </c>
      <c r="D653">
        <f>'Bookings and Drivers'!L100</f>
        <v>0</v>
      </c>
      <c r="E653">
        <f>'Bookings and Drivers'!M100</f>
        <v>0</v>
      </c>
      <c r="F653">
        <f>'Bookings and Drivers'!N100</f>
        <v>0</v>
      </c>
      <c r="G653">
        <f>'Bookings and Drivers'!O100</f>
        <v>0</v>
      </c>
      <c r="H653">
        <f>'Bookings and Drivers'!P100</f>
        <v>0</v>
      </c>
      <c r="I653">
        <f>'Bookings and Drivers'!Q100</f>
        <v>0</v>
      </c>
      <c r="J653">
        <f>'Bookings and Drivers'!R100</f>
        <v>0</v>
      </c>
      <c r="K653">
        <f>'Bookings and Drivers'!S100</f>
        <v>0</v>
      </c>
      <c r="L653">
        <f>'Bookings and Drivers'!T100</f>
        <v>0</v>
      </c>
      <c r="M653">
        <f>'Bookings and Drivers'!U100</f>
        <v>0</v>
      </c>
      <c r="N653">
        <f>'Bookings and Drivers'!V100</f>
        <v>0</v>
      </c>
      <c r="O653">
        <f>'Bookings and Drivers'!W100</f>
        <v>0</v>
      </c>
      <c r="P653">
        <f>'Bookings and Drivers'!X100</f>
        <v>0</v>
      </c>
      <c r="Q653">
        <f>'Bookings and Drivers'!Y100</f>
        <v>0</v>
      </c>
      <c r="R653">
        <f>'Bookings and Drivers'!Z100</f>
        <v>0</v>
      </c>
      <c r="S653">
        <f>'Bookings and Drivers'!AA100</f>
        <v>0</v>
      </c>
      <c r="T653">
        <f>'Bookings and Drivers'!AB100</f>
        <v>0</v>
      </c>
      <c r="U653">
        <f>'Bookings and Drivers'!AC100</f>
        <v>0</v>
      </c>
      <c r="V653">
        <f>'Bookings and Drivers'!AD100</f>
        <v>0</v>
      </c>
      <c r="W653">
        <f>'Bookings and Drivers'!AE100</f>
        <v>0</v>
      </c>
      <c r="X653">
        <f>'Bookings and Drivers'!AF100</f>
        <v>0</v>
      </c>
      <c r="Y653">
        <f>'Bookings and Drivers'!AG100</f>
        <v>1785.7900000000002</v>
      </c>
      <c r="Z653">
        <f>'Bookings and Drivers'!AH100</f>
        <v>2022.9750000000001</v>
      </c>
      <c r="AA653">
        <f>'Bookings and Drivers'!AI100</f>
        <v>2042.8200000000002</v>
      </c>
      <c r="AB653">
        <f>'Bookings and Drivers'!AJ100</f>
        <v>1663.3500000000001</v>
      </c>
      <c r="AC653">
        <f>'Bookings and Drivers'!AK100</f>
        <v>1945.9869680966858</v>
      </c>
      <c r="AD653">
        <f>'Bookings and Drivers'!AL100</f>
        <v>2280.7377006560273</v>
      </c>
      <c r="AE653">
        <f>'Bookings and Drivers'!AM100</f>
        <v>2287.1108952934819</v>
      </c>
      <c r="AF653">
        <f>'Bookings and Drivers'!AN100</f>
        <v>1965.577383429074</v>
      </c>
      <c r="AG653">
        <f>'Bookings and Drivers'!AO100</f>
        <v>2519.5877154453328</v>
      </c>
      <c r="AH653">
        <f>'Bookings and Drivers'!AP100</f>
        <v>3074.9344031319306</v>
      </c>
      <c r="AI653">
        <f>'Bookings and Drivers'!AQ100</f>
        <v>3020.8503468249401</v>
      </c>
      <c r="AJ653">
        <f>'Bookings and Drivers'!AR100</f>
        <v>2913.0353842612421</v>
      </c>
      <c r="AK653">
        <f>'Bookings and Drivers'!AS100</f>
        <v>3564.4704772739733</v>
      </c>
      <c r="AL653">
        <f>'Bookings and Drivers'!AT100</f>
        <v>4630.0512460285481</v>
      </c>
      <c r="AM653">
        <f>'Bookings and Drivers'!AU100</f>
        <v>4786.5522893127836</v>
      </c>
      <c r="AN653">
        <f>'Bookings and Drivers'!AV100</f>
        <v>3844.5712147719496</v>
      </c>
      <c r="AO653">
        <f>'Bookings and Drivers'!AW100</f>
        <v>4293.3355751839481</v>
      </c>
      <c r="AP653">
        <f>'Bookings and Drivers'!AX100</f>
        <v>5378.899922703531</v>
      </c>
      <c r="AQ653">
        <f>'Bookings and Drivers'!AY100</f>
        <v>5387.5785284498161</v>
      </c>
      <c r="AR653">
        <f>'Bookings and Drivers'!AZ100</f>
        <v>4355.0397404265277</v>
      </c>
      <c r="AS653">
        <f>'Bookings and Drivers'!BA100</f>
        <v>4544.5544554455446</v>
      </c>
      <c r="AT653">
        <f>'Bookings and Drivers'!BB100</f>
        <v>5106.8158697863682</v>
      </c>
      <c r="AU653">
        <f>'Bookings and Drivers'!BC100</f>
        <v>5604.0609137055835</v>
      </c>
      <c r="AV653">
        <f>'Bookings and Drivers'!BD100</f>
        <v>4690.3553299492387</v>
      </c>
      <c r="AW653">
        <f>'Bookings and Drivers'!BE100</f>
        <v>4590</v>
      </c>
      <c r="AX653">
        <f>'Bookings and Drivers'!BF100</f>
        <v>5020</v>
      </c>
      <c r="AY653">
        <f>'Bookings and Drivers'!BG100</f>
        <v>5520</v>
      </c>
      <c r="AZ653">
        <f>'Bookings and Drivers'!BH100</f>
        <v>4620</v>
      </c>
      <c r="BA653">
        <f>'Bookings and Drivers'!BI100</f>
        <v>4635.8999999999996</v>
      </c>
      <c r="BB653">
        <f>'Bookings and Drivers'!BJ100</f>
        <v>5271</v>
      </c>
      <c r="BC653">
        <f>'Bookings and Drivers'!BK100</f>
        <v>5961.6</v>
      </c>
      <c r="BD653">
        <f>'Bookings and Drivers'!BL100</f>
        <v>5544</v>
      </c>
      <c r="BE653">
        <f>'Bookings and Drivers'!BM100</f>
        <v>4914.0540000000001</v>
      </c>
      <c r="BF653">
        <f>'Bookings and Drivers'!BN100</f>
        <v>5587.26</v>
      </c>
      <c r="BG653">
        <f>'Bookings and Drivers'!BO100</f>
        <v>6319.2960000000003</v>
      </c>
      <c r="BH653">
        <f>'Bookings and Drivers'!BP100</f>
        <v>5821.2</v>
      </c>
      <c r="BI653">
        <f>'Bookings and Drivers'!BQ100</f>
        <v>5159.7566999999999</v>
      </c>
      <c r="BJ653">
        <f>'Bookings and Drivers'!BR100</f>
        <v>5866.6230000000005</v>
      </c>
      <c r="BK653">
        <f>'Bookings and Drivers'!BS100</f>
        <v>6635.2608000000009</v>
      </c>
      <c r="BL653">
        <f>'Bookings and Drivers'!BT100</f>
        <v>6112.26</v>
      </c>
      <c r="BM653">
        <f>'Bookings and Drivers'!BU100</f>
        <v>5417.7445349999998</v>
      </c>
      <c r="BN653">
        <f>'Bookings and Drivers'!BV100</f>
        <v>6159.9541500000005</v>
      </c>
      <c r="BO653">
        <f>'Bookings and Drivers'!BW100</f>
        <v>6967.0238400000017</v>
      </c>
      <c r="BP653">
        <f>'Bookings and Drivers'!BX100</f>
        <v>6417.8730000000005</v>
      </c>
      <c r="BQ653">
        <f>'Bookings and Drivers'!BY100</f>
        <v>5688.6317617499999</v>
      </c>
      <c r="BR653">
        <f>'Bookings and Drivers'!BZ100</f>
        <v>6467.9518575000011</v>
      </c>
      <c r="BS653">
        <f>'Bookings and Drivers'!CA100</f>
        <v>7315.3750320000017</v>
      </c>
      <c r="BT653">
        <f>'Bookings and Drivers'!CB100</f>
        <v>6738.7666500000005</v>
      </c>
      <c r="BU653">
        <f>'Bookings and Drivers'!CC100</f>
        <v>5973.0633498375</v>
      </c>
      <c r="BV653">
        <f>'Bookings and Drivers'!CD100</f>
        <v>6791.3494503750017</v>
      </c>
      <c r="BW653">
        <f>'Bookings and Drivers'!CE100</f>
        <v>7681.1437836000023</v>
      </c>
      <c r="BX653">
        <f>'Bookings and Drivers'!CF100</f>
        <v>7075.7049825000004</v>
      </c>
      <c r="BY653">
        <f>'Bookings and Drivers'!CG100</f>
        <v>0</v>
      </c>
      <c r="BZ653">
        <f>'Bookings and Drivers'!CH100</f>
        <v>0</v>
      </c>
      <c r="CA653">
        <f>'Bookings and Drivers'!CI100</f>
        <v>0</v>
      </c>
      <c r="CB653">
        <f>'Bookings and Drivers'!CJ100</f>
        <v>0</v>
      </c>
      <c r="CC653">
        <f>'Bookings and Drivers'!CK100</f>
        <v>0</v>
      </c>
      <c r="CD653">
        <f>'Bookings and Drivers'!CL100</f>
        <v>0</v>
      </c>
      <c r="CE653">
        <f>'Bookings and Drivers'!CM100</f>
        <v>7786.0339224035415</v>
      </c>
      <c r="CF653">
        <f>'Bookings and Drivers'!CN100</f>
        <v>8479.4129474752699</v>
      </c>
      <c r="CG653">
        <f>'Bookings and Drivers'!CO100</f>
        <v>11528.407849663447</v>
      </c>
      <c r="CH653">
        <f>'Bookings and Drivers'!CP100</f>
        <v>16825.645227387256</v>
      </c>
      <c r="CI653">
        <f>'Bookings and Drivers'!CQ100</f>
        <v>19414.853766763823</v>
      </c>
      <c r="CJ653">
        <f>'Bookings and Drivers'!CR100</f>
        <v>19945.786568886735</v>
      </c>
      <c r="CK653">
        <f>'Bookings and Drivers'!CS100</f>
        <v>19750</v>
      </c>
      <c r="CL653">
        <f>'Bookings and Drivers'!CT100</f>
        <v>21412.5</v>
      </c>
      <c r="CM653">
        <f>'Bookings and Drivers'!CU100</f>
        <v>22641.81</v>
      </c>
      <c r="CN653">
        <f>'Bookings and Drivers'!CV100</f>
        <v>23773.900500000003</v>
      </c>
      <c r="CO653">
        <f>'Bookings and Drivers'!CW100</f>
        <v>24962.595525000001</v>
      </c>
      <c r="CP653">
        <f>'Bookings and Drivers'!CX100</f>
        <v>26210.725301250004</v>
      </c>
      <c r="CQ653">
        <f>'Bookings and Drivers'!CY100</f>
        <v>27521.261566312503</v>
      </c>
      <c r="CR653">
        <f>'Bookings and Drivers'!CZ100</f>
        <v>28622.112028965006</v>
      </c>
      <c r="CS653">
        <f>'Bookings and Drivers'!DA100</f>
        <v>29766.996510123608</v>
      </c>
      <c r="CT653">
        <f>'Bookings and Drivers'!DB100</f>
        <v>30957.676370528552</v>
      </c>
      <c r="CU653">
        <f>'Bookings and Drivers'!DC100</f>
        <v>32195.983425349696</v>
      </c>
      <c r="CV653">
        <f>'Bookings and Drivers'!DD100</f>
        <v>33483.822762363685</v>
      </c>
      <c r="CW653">
        <f>'Bookings and Drivers'!DE100</f>
        <v>34823.175672858233</v>
      </c>
      <c r="CX653">
        <f>'Bookings and Drivers'!DF100</f>
        <v>36216.102699772564</v>
      </c>
    </row>
    <row r="654" spans="1:102">
      <c r="A654" t="str">
        <f>'Bookings and Drivers'!I101</f>
        <v>International Room Nights Sold</v>
      </c>
      <c r="B654">
        <f>'Bookings and Drivers'!J101</f>
        <v>0</v>
      </c>
      <c r="C654">
        <f>'Bookings and Drivers'!K101</f>
        <v>0</v>
      </c>
      <c r="D654">
        <f>'Bookings and Drivers'!L101</f>
        <v>0</v>
      </c>
      <c r="E654">
        <f>'Bookings and Drivers'!M101</f>
        <v>0</v>
      </c>
      <c r="F654">
        <f>'Bookings and Drivers'!N101</f>
        <v>0</v>
      </c>
      <c r="G654">
        <f>'Bookings and Drivers'!O101</f>
        <v>0</v>
      </c>
      <c r="H654">
        <f>'Bookings and Drivers'!P101</f>
        <v>0</v>
      </c>
      <c r="I654">
        <f>'Bookings and Drivers'!Q101</f>
        <v>0</v>
      </c>
      <c r="J654">
        <f>'Bookings and Drivers'!R101</f>
        <v>0</v>
      </c>
      <c r="K654">
        <f>'Bookings and Drivers'!S101</f>
        <v>0</v>
      </c>
      <c r="L654">
        <f>'Bookings and Drivers'!T101</f>
        <v>0</v>
      </c>
      <c r="M654">
        <f>'Bookings and Drivers'!U101</f>
        <v>0</v>
      </c>
      <c r="N654">
        <f>'Bookings and Drivers'!V101</f>
        <v>0</v>
      </c>
      <c r="O654">
        <f>'Bookings and Drivers'!W101</f>
        <v>0</v>
      </c>
      <c r="P654">
        <f>'Bookings and Drivers'!X101</f>
        <v>0</v>
      </c>
      <c r="Q654">
        <f>'Bookings and Drivers'!Y101</f>
        <v>0</v>
      </c>
      <c r="R654">
        <f>'Bookings and Drivers'!Z101</f>
        <v>0</v>
      </c>
      <c r="S654">
        <f>'Bookings and Drivers'!AA101</f>
        <v>0</v>
      </c>
      <c r="T654">
        <f>'Bookings and Drivers'!AB101</f>
        <v>0</v>
      </c>
      <c r="U654">
        <f>'Bookings and Drivers'!AC101</f>
        <v>0</v>
      </c>
      <c r="V654">
        <f>'Bookings and Drivers'!AD101</f>
        <v>0</v>
      </c>
      <c r="W654">
        <f>'Bookings and Drivers'!AE101</f>
        <v>0</v>
      </c>
      <c r="X654">
        <f>'Bookings and Drivers'!AF101</f>
        <v>0</v>
      </c>
      <c r="Y654">
        <f>'Bookings and Drivers'!AG101</f>
        <v>2365.1994288515129</v>
      </c>
      <c r="Z654">
        <f>'Bookings and Drivers'!AH101</f>
        <v>2841.5018896586325</v>
      </c>
      <c r="AA654">
        <f>'Bookings and Drivers'!AI101</f>
        <v>3129.486827291355</v>
      </c>
      <c r="AB654">
        <f>'Bookings and Drivers'!AJ101</f>
        <v>2528.7779317949571</v>
      </c>
      <c r="AC654">
        <f>'Bookings and Drivers'!AK101</f>
        <v>4009.0130319033142</v>
      </c>
      <c r="AD654">
        <f>'Bookings and Drivers'!AL101</f>
        <v>4961.2622993439727</v>
      </c>
      <c r="AE654">
        <f>'Bookings and Drivers'!AM101</f>
        <v>5676.8891047065181</v>
      </c>
      <c r="AF654">
        <f>'Bookings and Drivers'!AN101</f>
        <v>4650.422616570926</v>
      </c>
      <c r="AG654">
        <f>'Bookings and Drivers'!AO101</f>
        <v>6855.4122845546672</v>
      </c>
      <c r="AH654">
        <f>'Bookings and Drivers'!AP101</f>
        <v>7804.0655968680694</v>
      </c>
      <c r="AI654">
        <f>'Bookings and Drivers'!AQ101</f>
        <v>8413.1496531750599</v>
      </c>
      <c r="AJ654">
        <f>'Bookings and Drivers'!AR101</f>
        <v>6212.9646157387579</v>
      </c>
      <c r="AK654">
        <f>'Bookings and Drivers'!AS101</f>
        <v>9220.5295227260267</v>
      </c>
      <c r="AL654">
        <f>'Bookings and Drivers'!AT101</f>
        <v>11034.948753971452</v>
      </c>
      <c r="AM654">
        <f>'Bookings and Drivers'!AU101</f>
        <v>13082.447710687216</v>
      </c>
      <c r="AN654">
        <f>'Bookings and Drivers'!AV101</f>
        <v>10748.42878522805</v>
      </c>
      <c r="AO654">
        <f>'Bookings and Drivers'!AW101</f>
        <v>15748.664424816052</v>
      </c>
      <c r="AP654">
        <f>'Bookings and Drivers'!AX101</f>
        <v>17821.100077296469</v>
      </c>
      <c r="AQ654">
        <f>'Bookings and Drivers'!AY101</f>
        <v>22112.421471550184</v>
      </c>
      <c r="AR654">
        <f>'Bookings and Drivers'!AZ101</f>
        <v>17644.960259573472</v>
      </c>
      <c r="AS654">
        <f>'Bookings and Drivers'!BA101</f>
        <v>26655.445544554455</v>
      </c>
      <c r="AT654">
        <f>'Bookings and Drivers'!BB101</f>
        <v>30993.184130213631</v>
      </c>
      <c r="AU654">
        <f>'Bookings and Drivers'!BC101</f>
        <v>34995.939086294413</v>
      </c>
      <c r="AV654">
        <f>'Bookings and Drivers'!BD101</f>
        <v>28909.644670050762</v>
      </c>
      <c r="AW654">
        <f>'Bookings and Drivers'!BE101</f>
        <v>41310</v>
      </c>
      <c r="AX654">
        <f>'Bookings and Drivers'!BF101</f>
        <v>45180</v>
      </c>
      <c r="AY654">
        <f>'Bookings and Drivers'!BG101</f>
        <v>49680</v>
      </c>
      <c r="AZ654">
        <f>'Bookings and Drivers'!BH101</f>
        <v>41580</v>
      </c>
      <c r="BA654">
        <f>'Bookings and Drivers'!BI101</f>
        <v>58564.1</v>
      </c>
      <c r="BB654">
        <f>'Bookings and Drivers'!BJ101</f>
        <v>64129</v>
      </c>
      <c r="BC654">
        <f>'Bookings and Drivers'!BK101</f>
        <v>68838.399999999994</v>
      </c>
      <c r="BD654">
        <f>'Bookings and Drivers'!BL101</f>
        <v>57556</v>
      </c>
      <c r="BE654">
        <f>'Bookings and Drivers'!BM101</f>
        <v>78485.945999999996</v>
      </c>
      <c r="BF654">
        <f>'Bookings and Drivers'!BN101</f>
        <v>84012.74</v>
      </c>
      <c r="BG654">
        <f>'Bookings and Drivers'!BO101</f>
        <v>88480.703999999998</v>
      </c>
      <c r="BH654">
        <f>'Bookings and Drivers'!BP101</f>
        <v>72378.8</v>
      </c>
      <c r="BI654">
        <f>'Bookings and Drivers'!BQ101</f>
        <v>99440.243300000002</v>
      </c>
      <c r="BJ654">
        <f>'Bookings and Drivers'!BR101</f>
        <v>107233.37699999999</v>
      </c>
      <c r="BK654">
        <f>'Bookings and Drivers'!BS101</f>
        <v>108964.7392</v>
      </c>
      <c r="BL654">
        <f>'Bookings and Drivers'!BT101</f>
        <v>92987.74</v>
      </c>
      <c r="BM654">
        <f>'Bookings and Drivers'!BU101</f>
        <v>131082.25546499999</v>
      </c>
      <c r="BN654">
        <f>'Bookings and Drivers'!BV101</f>
        <v>134540.04584999999</v>
      </c>
      <c r="BO654">
        <f>'Bookings and Drivers'!BW101</f>
        <v>142632.97615999999</v>
      </c>
      <c r="BP654">
        <f>'Bookings and Drivers'!BX101</f>
        <v>123282.12699999999</v>
      </c>
      <c r="BQ654">
        <f>'Bookings and Drivers'!BY101</f>
        <v>168211.36823825</v>
      </c>
      <c r="BR654">
        <f>'Bookings and Drivers'!BZ101</f>
        <v>163732.04814249999</v>
      </c>
      <c r="BS654">
        <f>'Bookings and Drivers'!CA101</f>
        <v>170184.62496799999</v>
      </c>
      <c r="BT654">
        <f>'Bookings and Drivers'!CB101</f>
        <v>144761.23334999999</v>
      </c>
      <c r="BU654">
        <f>'Bookings and Drivers'!CC101</f>
        <v>194284.13031517874</v>
      </c>
      <c r="BV654">
        <f>'Bookings and Drivers'!CD101</f>
        <v>194841.13728957498</v>
      </c>
      <c r="BW654">
        <f>'Bookings and Drivers'!CE101</f>
        <v>200817.85746223998</v>
      </c>
      <c r="BX654">
        <f>'Bookings and Drivers'!CF101</f>
        <v>172989.67385325002</v>
      </c>
      <c r="BY654">
        <f>'Bookings and Drivers'!CG101</f>
        <v>0</v>
      </c>
      <c r="BZ654">
        <f>'Bookings and Drivers'!CH101</f>
        <v>0</v>
      </c>
      <c r="CA654">
        <f>'Bookings and Drivers'!CI101</f>
        <v>0</v>
      </c>
      <c r="CB654">
        <f>'Bookings and Drivers'!CJ101</f>
        <v>0</v>
      </c>
      <c r="CC654">
        <f>'Bookings and Drivers'!CK101</f>
        <v>0</v>
      </c>
      <c r="CD654">
        <f>'Bookings and Drivers'!CL101</f>
        <v>0</v>
      </c>
      <c r="CE654">
        <f>'Bookings and Drivers'!CM101</f>
        <v>10864.966077596458</v>
      </c>
      <c r="CF654">
        <f>'Bookings and Drivers'!CN101</f>
        <v>19297.58705252473</v>
      </c>
      <c r="CG654">
        <f>'Bookings and Drivers'!CO101</f>
        <v>29285.592150336553</v>
      </c>
      <c r="CH654">
        <f>'Bookings and Drivers'!CP101</f>
        <v>44086.354772612744</v>
      </c>
      <c r="CI654">
        <f>'Bookings and Drivers'!CQ101</f>
        <v>73327.146233236184</v>
      </c>
      <c r="CJ654">
        <f>'Bookings and Drivers'!CR101</f>
        <v>121554.21343111327</v>
      </c>
      <c r="CK654">
        <f>'Bookings and Drivers'!CS101</f>
        <v>177750</v>
      </c>
      <c r="CL654">
        <f>'Bookings and Drivers'!CT101</f>
        <v>249087.5</v>
      </c>
      <c r="CM654">
        <f>'Bookings and Drivers'!CU101</f>
        <v>323358.19</v>
      </c>
      <c r="CN654">
        <f>'Bookings and Drivers'!CV101</f>
        <v>408626.09950000001</v>
      </c>
      <c r="CO654">
        <f>'Bookings and Drivers'!CW101</f>
        <v>531537.40447499999</v>
      </c>
      <c r="CP654">
        <f>'Bookings and Drivers'!CX101</f>
        <v>646889.27469875</v>
      </c>
      <c r="CQ654">
        <f>'Bookings and Drivers'!CY101</f>
        <v>762932.79892024375</v>
      </c>
      <c r="CR654">
        <f>'Bookings and Drivers'!CZ101</f>
        <v>883369.79562180478</v>
      </c>
      <c r="CS654">
        <f>'Bookings and Drivers'!DA101</f>
        <v>1002598.9027487678</v>
      </c>
      <c r="CT654">
        <f>'Bookings and Drivers'!DB101</f>
        <v>1118366.4907246947</v>
      </c>
      <c r="CU654">
        <f>'Bookings and Drivers'!DC101</f>
        <v>1232005.2747483128</v>
      </c>
      <c r="CV654">
        <f>'Bookings and Drivers'!DD101</f>
        <v>1344672.4766403546</v>
      </c>
      <c r="CW654">
        <f>'Bookings and Drivers'!DE101</f>
        <v>1455346.0586927813</v>
      </c>
      <c r="CX654">
        <f>'Bookings and Drivers'!DF101</f>
        <v>1575128.6557485627</v>
      </c>
    </row>
    <row r="655" spans="1:102">
      <c r="A655" t="str">
        <f>'Bookings and Drivers'!I102</f>
        <v>Total Room Nights Sold (Reported)</v>
      </c>
      <c r="B655">
        <f>'Bookings and Drivers'!J102</f>
        <v>0</v>
      </c>
      <c r="C655">
        <f>'Bookings and Drivers'!K102</f>
        <v>0</v>
      </c>
      <c r="D655">
        <f>'Bookings and Drivers'!L102</f>
        <v>0</v>
      </c>
      <c r="E655">
        <f>'Bookings and Drivers'!M102</f>
        <v>0</v>
      </c>
      <c r="F655">
        <f>'Bookings and Drivers'!N102</f>
        <v>0</v>
      </c>
      <c r="G655">
        <f>'Bookings and Drivers'!O102</f>
        <v>0</v>
      </c>
      <c r="H655">
        <f>'Bookings and Drivers'!P102</f>
        <v>0</v>
      </c>
      <c r="I655">
        <f>'Bookings and Drivers'!Q102</f>
        <v>0</v>
      </c>
      <c r="J655">
        <f>'Bookings and Drivers'!R102</f>
        <v>0</v>
      </c>
      <c r="K655">
        <f>'Bookings and Drivers'!S102</f>
        <v>0</v>
      </c>
      <c r="L655">
        <f>'Bookings and Drivers'!T102</f>
        <v>0</v>
      </c>
      <c r="M655">
        <f>'Bookings and Drivers'!U102</f>
        <v>0</v>
      </c>
      <c r="N655">
        <f>'Bookings and Drivers'!V102</f>
        <v>0</v>
      </c>
      <c r="O655">
        <f>'Bookings and Drivers'!W102</f>
        <v>0</v>
      </c>
      <c r="P655">
        <f>'Bookings and Drivers'!X102</f>
        <v>0</v>
      </c>
      <c r="Q655">
        <f>'Bookings and Drivers'!Y102</f>
        <v>0</v>
      </c>
      <c r="R655">
        <f>'Bookings and Drivers'!Z102</f>
        <v>0</v>
      </c>
      <c r="S655">
        <f>'Bookings and Drivers'!AA102</f>
        <v>0</v>
      </c>
      <c r="T655">
        <f>'Bookings and Drivers'!AB102</f>
        <v>0</v>
      </c>
      <c r="U655">
        <f>'Bookings and Drivers'!AC102</f>
        <v>2556</v>
      </c>
      <c r="V655">
        <f>'Bookings and Drivers'!AD102</f>
        <v>2736</v>
      </c>
      <c r="W655">
        <f>'Bookings and Drivers'!AE102</f>
        <v>3499</v>
      </c>
      <c r="X655">
        <f>'Bookings and Drivers'!AF102</f>
        <v>2968</v>
      </c>
      <c r="Y655">
        <f>'Bookings and Drivers'!AG102</f>
        <v>4153</v>
      </c>
      <c r="Z655">
        <f>'Bookings and Drivers'!AH102</f>
        <v>4995</v>
      </c>
      <c r="AA655">
        <f>'Bookings and Drivers'!AI102</f>
        <v>5238</v>
      </c>
      <c r="AB655">
        <f>'Bookings and Drivers'!AJ102</f>
        <v>4265</v>
      </c>
      <c r="AC655">
        <f>'Bookings and Drivers'!AK102</f>
        <v>5955</v>
      </c>
      <c r="AD655">
        <f>'Bookings and Drivers'!AL102</f>
        <v>7242</v>
      </c>
      <c r="AE655">
        <f>'Bookings and Drivers'!AM102</f>
        <v>7964</v>
      </c>
      <c r="AF655">
        <f>'Bookings and Drivers'!AN102</f>
        <v>6616</v>
      </c>
      <c r="AG655">
        <f>'Bookings and Drivers'!AO102</f>
        <v>9375</v>
      </c>
      <c r="AH655">
        <f>'Bookings and Drivers'!AP102</f>
        <v>10879</v>
      </c>
      <c r="AI655">
        <f>'Bookings and Drivers'!AQ102</f>
        <v>11434</v>
      </c>
      <c r="AJ655">
        <f>'Bookings and Drivers'!AR102</f>
        <v>9126</v>
      </c>
      <c r="AK655">
        <f>'Bookings and Drivers'!AS102</f>
        <v>12785</v>
      </c>
      <c r="AL655">
        <f>'Bookings and Drivers'!AT102</f>
        <v>15665</v>
      </c>
      <c r="AM655">
        <f>'Bookings and Drivers'!AU102</f>
        <v>17869</v>
      </c>
      <c r="AN655">
        <f>'Bookings and Drivers'!AV102</f>
        <v>14593</v>
      </c>
      <c r="AO655">
        <f>'Bookings and Drivers'!AW102</f>
        <v>20042</v>
      </c>
      <c r="AP655">
        <f>'Bookings and Drivers'!AX102</f>
        <v>23200</v>
      </c>
      <c r="AQ655">
        <f>'Bookings and Drivers'!AY102</f>
        <v>27500</v>
      </c>
      <c r="AR655">
        <f>'Bookings and Drivers'!AZ102</f>
        <v>22000</v>
      </c>
      <c r="AS655">
        <f>'Bookings and Drivers'!BA102</f>
        <v>31200</v>
      </c>
      <c r="AT655">
        <f>'Bookings and Drivers'!BB102</f>
        <v>36100</v>
      </c>
      <c r="AU655">
        <f>'Bookings and Drivers'!BC102</f>
        <v>40600</v>
      </c>
      <c r="AV655">
        <f>'Bookings and Drivers'!BD102</f>
        <v>33600</v>
      </c>
      <c r="AW655">
        <f>'Bookings and Drivers'!BE102</f>
        <v>45900</v>
      </c>
      <c r="AX655">
        <f>'Bookings and Drivers'!BF102</f>
        <v>50200</v>
      </c>
      <c r="AY655">
        <f>'Bookings and Drivers'!BG102</f>
        <v>55200</v>
      </c>
      <c r="AZ655">
        <f>'Bookings and Drivers'!BH102</f>
        <v>46200</v>
      </c>
      <c r="BA655">
        <f>'Bookings and Drivers'!BI102</f>
        <v>63200</v>
      </c>
      <c r="BB655">
        <f>'Bookings and Drivers'!BJ102</f>
        <v>69400</v>
      </c>
      <c r="BC655">
        <f>'Bookings and Drivers'!BK102</f>
        <v>74800</v>
      </c>
      <c r="BD655">
        <f>'Bookings and Drivers'!BL102</f>
        <v>63100</v>
      </c>
      <c r="BE655">
        <f>'Bookings and Drivers'!BM102</f>
        <v>83400</v>
      </c>
      <c r="BF655">
        <f>'Bookings and Drivers'!BN102</f>
        <v>89600</v>
      </c>
      <c r="BG655">
        <f>'Bookings and Drivers'!BO102</f>
        <v>94800</v>
      </c>
      <c r="BH655">
        <f>'Bookings and Drivers'!BP102</f>
        <v>78200</v>
      </c>
      <c r="BI655">
        <f>'Bookings and Drivers'!BQ102</f>
        <v>104600</v>
      </c>
      <c r="BJ655">
        <f>'Bookings and Drivers'!BR102</f>
        <v>113100</v>
      </c>
      <c r="BK655">
        <f>'Bookings and Drivers'!BS102</f>
        <v>115600</v>
      </c>
      <c r="BL655">
        <f>'Bookings and Drivers'!BT102</f>
        <v>99100</v>
      </c>
      <c r="BM655">
        <f>'Bookings and Drivers'!BU102</f>
        <v>136500</v>
      </c>
      <c r="BN655">
        <f>'Bookings and Drivers'!BV102</f>
        <v>140700</v>
      </c>
      <c r="BO655">
        <f>'Bookings and Drivers'!BW102</f>
        <v>149600</v>
      </c>
      <c r="BP655">
        <f>'Bookings and Drivers'!BX102</f>
        <v>129700</v>
      </c>
      <c r="BQ655">
        <f>'Bookings and Drivers'!BY102</f>
        <v>173900</v>
      </c>
      <c r="BR655">
        <f>'Bookings and Drivers'!BZ102</f>
        <v>170200</v>
      </c>
      <c r="BS655">
        <f>'Bookings and Drivers'!CA102</f>
        <v>177500</v>
      </c>
      <c r="BT655">
        <f>'Bookings and Drivers'!CB102</f>
        <v>151500</v>
      </c>
      <c r="BU655">
        <f>'Bookings and Drivers'!CC102</f>
        <v>200257.19366501624</v>
      </c>
      <c r="BV655">
        <f>'Bookings and Drivers'!CD102</f>
        <v>201632.48673994999</v>
      </c>
      <c r="BW655">
        <f>'Bookings and Drivers'!CE102</f>
        <v>208499.00124583999</v>
      </c>
      <c r="BX655">
        <f>'Bookings and Drivers'!CF102</f>
        <v>180065.37883575002</v>
      </c>
      <c r="BY655">
        <f>'Bookings and Drivers'!CG102</f>
        <v>0</v>
      </c>
      <c r="BZ655">
        <f>'Bookings and Drivers'!CH102</f>
        <v>0</v>
      </c>
      <c r="CA655">
        <f>'Bookings and Drivers'!CI102</f>
        <v>0</v>
      </c>
      <c r="CB655">
        <f>'Bookings and Drivers'!CJ102</f>
        <v>0</v>
      </c>
      <c r="CC655">
        <f>'Bookings and Drivers'!CK102</f>
        <v>0</v>
      </c>
      <c r="CD655">
        <f>'Bookings and Drivers'!CL102</f>
        <v>11759</v>
      </c>
      <c r="CE655">
        <f>'Bookings and Drivers'!CM102</f>
        <v>18651</v>
      </c>
      <c r="CF655">
        <f>'Bookings and Drivers'!CN102</f>
        <v>27777</v>
      </c>
      <c r="CG655">
        <f>'Bookings and Drivers'!CO102</f>
        <v>40814</v>
      </c>
      <c r="CH655">
        <f>'Bookings and Drivers'!CP102</f>
        <v>60912</v>
      </c>
      <c r="CI655">
        <f>'Bookings and Drivers'!CQ102</f>
        <v>92742</v>
      </c>
      <c r="CJ655">
        <f>'Bookings and Drivers'!CR102</f>
        <v>141500</v>
      </c>
      <c r="CK655">
        <f>'Bookings and Drivers'!CS102</f>
        <v>197500</v>
      </c>
      <c r="CL655">
        <f>'Bookings and Drivers'!CT102</f>
        <v>270500</v>
      </c>
      <c r="CM655">
        <f>'Bookings and Drivers'!CU102</f>
        <v>346000</v>
      </c>
      <c r="CN655">
        <f>'Bookings and Drivers'!CV102</f>
        <v>432400</v>
      </c>
      <c r="CO655">
        <f>'Bookings and Drivers'!CW102</f>
        <v>556500</v>
      </c>
      <c r="CP655">
        <f>'Bookings and Drivers'!CX102</f>
        <v>673100</v>
      </c>
      <c r="CQ655">
        <f>'Bookings and Drivers'!CY102</f>
        <v>790454.06048655626</v>
      </c>
      <c r="CR655">
        <f>'Bookings and Drivers'!CZ102</f>
        <v>911991.9076507698</v>
      </c>
      <c r="CS655">
        <f>'Bookings and Drivers'!DA102</f>
        <v>1032365.8992588914</v>
      </c>
      <c r="CT655">
        <f>'Bookings and Drivers'!DB102</f>
        <v>1149324.1670952232</v>
      </c>
      <c r="CU655">
        <f>'Bookings and Drivers'!DC102</f>
        <v>1264201.2581736625</v>
      </c>
      <c r="CV655">
        <f>'Bookings and Drivers'!DD102</f>
        <v>1378156.2994027182</v>
      </c>
      <c r="CW655">
        <f>'Bookings and Drivers'!DE102</f>
        <v>1490169.2343656395</v>
      </c>
      <c r="CX655">
        <f>'Bookings and Drivers'!DF102</f>
        <v>1611344.7584483351</v>
      </c>
    </row>
    <row r="656" spans="1:102">
      <c r="A656" t="str">
        <f>'Bookings and Drivers'!I103</f>
        <v>Sequential Abs. Growth</v>
      </c>
      <c r="B656">
        <f>'Bookings and Drivers'!J103</f>
        <v>0</v>
      </c>
      <c r="C656">
        <f>'Bookings and Drivers'!K103</f>
        <v>0</v>
      </c>
      <c r="D656">
        <f>'Bookings and Drivers'!L103</f>
        <v>0</v>
      </c>
      <c r="E656">
        <f>'Bookings and Drivers'!M103</f>
        <v>0</v>
      </c>
      <c r="F656">
        <f>'Bookings and Drivers'!N103</f>
        <v>0</v>
      </c>
      <c r="G656">
        <f>'Bookings and Drivers'!O103</f>
        <v>0</v>
      </c>
      <c r="H656">
        <f>'Bookings and Drivers'!P103</f>
        <v>0</v>
      </c>
      <c r="I656">
        <f>'Bookings and Drivers'!Q103</f>
        <v>0</v>
      </c>
      <c r="J656">
        <f>'Bookings and Drivers'!R103</f>
        <v>0</v>
      </c>
      <c r="K656">
        <f>'Bookings and Drivers'!S103</f>
        <v>0</v>
      </c>
      <c r="L656">
        <f>'Bookings and Drivers'!T103</f>
        <v>0</v>
      </c>
      <c r="M656">
        <f>'Bookings and Drivers'!U103</f>
        <v>0</v>
      </c>
      <c r="N656">
        <f>'Bookings and Drivers'!V103</f>
        <v>0</v>
      </c>
      <c r="O656">
        <f>'Bookings and Drivers'!W103</f>
        <v>0</v>
      </c>
      <c r="P656">
        <f>'Bookings and Drivers'!X103</f>
        <v>0</v>
      </c>
      <c r="Q656">
        <f>'Bookings and Drivers'!Y103</f>
        <v>0</v>
      </c>
      <c r="R656">
        <f>'Bookings and Drivers'!Z103</f>
        <v>0</v>
      </c>
      <c r="S656">
        <f>'Bookings and Drivers'!AA103</f>
        <v>0</v>
      </c>
      <c r="T656">
        <f>'Bookings and Drivers'!AB103</f>
        <v>0</v>
      </c>
      <c r="U656">
        <f>'Bookings and Drivers'!AC103</f>
        <v>0</v>
      </c>
      <c r="V656">
        <f>'Bookings and Drivers'!AD103</f>
        <v>0</v>
      </c>
      <c r="W656">
        <f>'Bookings and Drivers'!AE103</f>
        <v>0</v>
      </c>
      <c r="X656">
        <f>'Bookings and Drivers'!AF103</f>
        <v>0</v>
      </c>
      <c r="Y656">
        <f>'Bookings and Drivers'!AG103</f>
        <v>1185</v>
      </c>
      <c r="Z656">
        <f>'Bookings and Drivers'!AH103</f>
        <v>842</v>
      </c>
      <c r="AA656">
        <f>'Bookings and Drivers'!AI103</f>
        <v>243</v>
      </c>
      <c r="AB656">
        <f>'Bookings and Drivers'!AJ103</f>
        <v>-973</v>
      </c>
      <c r="AC656">
        <f>'Bookings and Drivers'!AK103</f>
        <v>1690</v>
      </c>
      <c r="AD656">
        <f>'Bookings and Drivers'!AL103</f>
        <v>1287</v>
      </c>
      <c r="AE656">
        <f>'Bookings and Drivers'!AM103</f>
        <v>722</v>
      </c>
      <c r="AF656">
        <f>'Bookings and Drivers'!AN103</f>
        <v>-1348</v>
      </c>
      <c r="AG656">
        <f>'Bookings and Drivers'!AO103</f>
        <v>2759</v>
      </c>
      <c r="AH656">
        <f>'Bookings and Drivers'!AP103</f>
        <v>1504</v>
      </c>
      <c r="AI656">
        <f>'Bookings and Drivers'!AQ103</f>
        <v>555</v>
      </c>
      <c r="AJ656">
        <f>'Bookings and Drivers'!AR103</f>
        <v>-2308</v>
      </c>
      <c r="AK656">
        <f>'Bookings and Drivers'!AS103</f>
        <v>3659</v>
      </c>
      <c r="AL656">
        <f>'Bookings and Drivers'!AT103</f>
        <v>2880</v>
      </c>
      <c r="AM656">
        <f>'Bookings and Drivers'!AU103</f>
        <v>2204</v>
      </c>
      <c r="AN656">
        <f>'Bookings and Drivers'!AV103</f>
        <v>-3276</v>
      </c>
      <c r="AO656">
        <f>'Bookings and Drivers'!AW103</f>
        <v>5449</v>
      </c>
      <c r="AP656">
        <f>'Bookings and Drivers'!AX103</f>
        <v>3158</v>
      </c>
      <c r="AQ656">
        <f>'Bookings and Drivers'!AY103</f>
        <v>4300</v>
      </c>
      <c r="AR656">
        <f>'Bookings and Drivers'!AZ103</f>
        <v>-5500</v>
      </c>
      <c r="AS656">
        <f>'Bookings and Drivers'!BA103</f>
        <v>9200</v>
      </c>
      <c r="AT656">
        <f>'Bookings and Drivers'!BB103</f>
        <v>4900</v>
      </c>
      <c r="AU656">
        <f>'Bookings and Drivers'!BC103</f>
        <v>4500</v>
      </c>
      <c r="AV656">
        <f>'Bookings and Drivers'!BD103</f>
        <v>-7000</v>
      </c>
      <c r="AW656">
        <f>'Bookings and Drivers'!BE103</f>
        <v>12300</v>
      </c>
      <c r="AX656">
        <f>'Bookings and Drivers'!BF103</f>
        <v>4300</v>
      </c>
      <c r="AY656">
        <f>'Bookings and Drivers'!BG103</f>
        <v>5000</v>
      </c>
      <c r="AZ656">
        <f>'Bookings and Drivers'!BH103</f>
        <v>-9000</v>
      </c>
      <c r="BA656">
        <f>'Bookings and Drivers'!BI103</f>
        <v>17000</v>
      </c>
      <c r="BB656">
        <f>'Bookings and Drivers'!BJ103</f>
        <v>6200</v>
      </c>
      <c r="BC656">
        <f>'Bookings and Drivers'!BK103</f>
        <v>5400</v>
      </c>
      <c r="BD656">
        <f>'Bookings and Drivers'!BL103</f>
        <v>-11700</v>
      </c>
      <c r="BE656">
        <f>'Bookings and Drivers'!BM103</f>
        <v>20300</v>
      </c>
      <c r="BF656">
        <f>'Bookings and Drivers'!BN103</f>
        <v>6200</v>
      </c>
      <c r="BG656">
        <f>'Bookings and Drivers'!BO103</f>
        <v>5200</v>
      </c>
      <c r="BH656">
        <f>'Bookings and Drivers'!BP103</f>
        <v>-16600</v>
      </c>
      <c r="BI656">
        <f>'Bookings and Drivers'!BQ103</f>
        <v>26400</v>
      </c>
      <c r="BJ656">
        <f>'Bookings and Drivers'!BR103</f>
        <v>8500</v>
      </c>
      <c r="BK656">
        <f>'Bookings and Drivers'!BS103</f>
        <v>2500</v>
      </c>
      <c r="BL656">
        <f>'Bookings and Drivers'!BT103</f>
        <v>-16500</v>
      </c>
      <c r="BM656">
        <f>'Bookings and Drivers'!BU103</f>
        <v>37400</v>
      </c>
      <c r="BN656">
        <f>'Bookings and Drivers'!BV103</f>
        <v>4200</v>
      </c>
      <c r="BO656">
        <f>'Bookings and Drivers'!BW103</f>
        <v>8900</v>
      </c>
      <c r="BP656">
        <f>'Bookings and Drivers'!BX103</f>
        <v>-19900</v>
      </c>
      <c r="BQ656">
        <f>'Bookings and Drivers'!BY103</f>
        <v>44200</v>
      </c>
      <c r="BR656">
        <f>'Bookings and Drivers'!BZ103</f>
        <v>-3700</v>
      </c>
      <c r="BS656">
        <f>'Bookings and Drivers'!CA103</f>
        <v>7300</v>
      </c>
      <c r="BT656">
        <f>'Bookings and Drivers'!CB103</f>
        <v>-26000</v>
      </c>
      <c r="BU656">
        <f>'Bookings and Drivers'!CC103</f>
        <v>48757.193665016239</v>
      </c>
      <c r="BV656">
        <f>'Bookings and Drivers'!CD103</f>
        <v>1375.2930749337538</v>
      </c>
      <c r="BW656">
        <f>'Bookings and Drivers'!CE103</f>
        <v>6866.5145058899943</v>
      </c>
      <c r="BX656">
        <f>'Bookings and Drivers'!CF103</f>
        <v>-28433.622410089971</v>
      </c>
      <c r="BY656">
        <f>'Bookings and Drivers'!CG103</f>
        <v>0</v>
      </c>
      <c r="BZ656">
        <f>'Bookings and Drivers'!CH103</f>
        <v>0</v>
      </c>
      <c r="CA656">
        <f>'Bookings and Drivers'!CI103</f>
        <v>0</v>
      </c>
      <c r="CB656">
        <f>'Bookings and Drivers'!CJ103</f>
        <v>0</v>
      </c>
      <c r="CC656">
        <f>'Bookings and Drivers'!CK103</f>
        <v>0</v>
      </c>
      <c r="CD656">
        <f>'Bookings and Drivers'!CL103</f>
        <v>0</v>
      </c>
      <c r="CE656">
        <f>'Bookings and Drivers'!CM103</f>
        <v>6892</v>
      </c>
      <c r="CF656">
        <f>'Bookings and Drivers'!CN103</f>
        <v>9126</v>
      </c>
      <c r="CG656">
        <f>'Bookings and Drivers'!CO103</f>
        <v>13037</v>
      </c>
      <c r="CH656">
        <f>'Bookings and Drivers'!CP103</f>
        <v>20098</v>
      </c>
      <c r="CI656">
        <f>'Bookings and Drivers'!CQ103</f>
        <v>31830</v>
      </c>
      <c r="CJ656">
        <f>'Bookings and Drivers'!CR103</f>
        <v>48758</v>
      </c>
      <c r="CK656">
        <f>'Bookings and Drivers'!CS103</f>
        <v>56000</v>
      </c>
      <c r="CL656">
        <f>'Bookings and Drivers'!CT103</f>
        <v>73000</v>
      </c>
      <c r="CM656">
        <f>'Bookings and Drivers'!CU103</f>
        <v>75500</v>
      </c>
      <c r="CN656">
        <f>'Bookings and Drivers'!CV103</f>
        <v>86400</v>
      </c>
      <c r="CO656">
        <f>'Bookings and Drivers'!CW103</f>
        <v>124100</v>
      </c>
      <c r="CP656">
        <f>'Bookings and Drivers'!CX103</f>
        <v>116600</v>
      </c>
      <c r="CQ656">
        <f>'Bookings and Drivers'!CY103</f>
        <v>117354.06048655626</v>
      </c>
      <c r="CR656">
        <f>'Bookings and Drivers'!CZ103</f>
        <v>121537.84716421354</v>
      </c>
      <c r="CS656">
        <f>'Bookings and Drivers'!DA103</f>
        <v>120373.99160812155</v>
      </c>
      <c r="CT656">
        <f>'Bookings and Drivers'!DB103</f>
        <v>116958.26783633186</v>
      </c>
      <c r="CU656">
        <f>'Bookings and Drivers'!DC103</f>
        <v>114877.09107843926</v>
      </c>
      <c r="CV656">
        <f>'Bookings and Drivers'!DD103</f>
        <v>113955.04122905573</v>
      </c>
      <c r="CW656">
        <f>'Bookings and Drivers'!DE103</f>
        <v>112012.93496292131</v>
      </c>
      <c r="CX656">
        <f>'Bookings and Drivers'!DF103</f>
        <v>121175.5240826956</v>
      </c>
    </row>
    <row r="658" spans="1:102">
      <c r="A658" t="str">
        <f>'Bookings and Drivers'!I104</f>
        <v>Sequential % Growth</v>
      </c>
      <c r="B658">
        <f>'Bookings and Drivers'!J104</f>
        <v>0</v>
      </c>
      <c r="C658">
        <f>'Bookings and Drivers'!K104</f>
        <v>0</v>
      </c>
      <c r="D658">
        <f>'Bookings and Drivers'!L104</f>
        <v>0</v>
      </c>
      <c r="E658">
        <f>'Bookings and Drivers'!M104</f>
        <v>0</v>
      </c>
      <c r="F658">
        <f>'Bookings and Drivers'!N104</f>
        <v>0</v>
      </c>
      <c r="G658">
        <f>'Bookings and Drivers'!O104</f>
        <v>0</v>
      </c>
      <c r="H658">
        <f>'Bookings and Drivers'!P104</f>
        <v>0</v>
      </c>
      <c r="I658">
        <f>'Bookings and Drivers'!Q104</f>
        <v>0</v>
      </c>
      <c r="J658">
        <f>'Bookings and Drivers'!R104</f>
        <v>0</v>
      </c>
      <c r="K658">
        <f>'Bookings and Drivers'!S104</f>
        <v>0</v>
      </c>
      <c r="L658">
        <f>'Bookings and Drivers'!T104</f>
        <v>0</v>
      </c>
      <c r="M658">
        <f>'Bookings and Drivers'!U104</f>
        <v>0</v>
      </c>
      <c r="N658">
        <f>'Bookings and Drivers'!V104</f>
        <v>0</v>
      </c>
      <c r="O658">
        <f>'Bookings and Drivers'!W104</f>
        <v>0</v>
      </c>
      <c r="P658">
        <f>'Bookings and Drivers'!X104</f>
        <v>0</v>
      </c>
      <c r="Q658">
        <f>'Bookings and Drivers'!Y104</f>
        <v>0</v>
      </c>
      <c r="R658">
        <f>'Bookings and Drivers'!Z104</f>
        <v>0</v>
      </c>
      <c r="S658">
        <f>'Bookings and Drivers'!AA104</f>
        <v>0</v>
      </c>
      <c r="T658">
        <f>'Bookings and Drivers'!AB104</f>
        <v>0</v>
      </c>
      <c r="U658">
        <f>'Bookings and Drivers'!AC104</f>
        <v>0</v>
      </c>
      <c r="V658">
        <f>'Bookings and Drivers'!AD104</f>
        <v>0</v>
      </c>
      <c r="W658">
        <f>'Bookings and Drivers'!AE104</f>
        <v>0</v>
      </c>
      <c r="X658">
        <f>'Bookings and Drivers'!AF104</f>
        <v>0</v>
      </c>
      <c r="Y658">
        <f>'Bookings and Drivers'!AG104</f>
        <v>0</v>
      </c>
      <c r="Z658">
        <f>'Bookings and Drivers'!AH104</f>
        <v>0</v>
      </c>
      <c r="AA658">
        <f>'Bookings and Drivers'!AI104</f>
        <v>0</v>
      </c>
      <c r="AB658">
        <f>'Bookings and Drivers'!AJ104</f>
        <v>0</v>
      </c>
      <c r="AC658">
        <f>'Bookings and Drivers'!AK104</f>
        <v>0.39624853458382181</v>
      </c>
      <c r="AD658">
        <f>'Bookings and Drivers'!AL104</f>
        <v>0.21612090680100748</v>
      </c>
      <c r="AE658">
        <f>'Bookings and Drivers'!AM104</f>
        <v>9.9696216514775005E-2</v>
      </c>
      <c r="AF658">
        <f>'Bookings and Drivers'!AN104</f>
        <v>-0.16926167754897037</v>
      </c>
      <c r="AG658">
        <f>'Bookings and Drivers'!AO104</f>
        <v>0.41701934703748478</v>
      </c>
      <c r="AH658">
        <f>'Bookings and Drivers'!AP104</f>
        <v>0.16042666666666672</v>
      </c>
      <c r="AI658">
        <f>'Bookings and Drivers'!AQ104</f>
        <v>5.1015718356466566E-2</v>
      </c>
      <c r="AJ658">
        <f>'Bookings and Drivers'!AR104</f>
        <v>-0.20185411929333563</v>
      </c>
      <c r="AK658">
        <f>'Bookings and Drivers'!AS104</f>
        <v>0.40094236248082393</v>
      </c>
      <c r="AL658">
        <f>'Bookings and Drivers'!AT104</f>
        <v>0.22526398122800151</v>
      </c>
      <c r="AM658">
        <f>'Bookings and Drivers'!AU104</f>
        <v>0.1406958187041174</v>
      </c>
      <c r="AN658">
        <f>'Bookings and Drivers'!AV104</f>
        <v>-0.1833342660473446</v>
      </c>
      <c r="AO658">
        <f>'Bookings and Drivers'!AW104</f>
        <v>0.37339820461865281</v>
      </c>
      <c r="AP658">
        <f>'Bookings and Drivers'!AX104</f>
        <v>0.15756910487975251</v>
      </c>
      <c r="AQ658">
        <f>'Bookings and Drivers'!AY104</f>
        <v>0.18534482758620685</v>
      </c>
      <c r="AR658">
        <f>'Bookings and Drivers'!AZ104</f>
        <v>-0.19999999999999996</v>
      </c>
      <c r="AS658">
        <f>'Bookings and Drivers'!BA104</f>
        <v>0.41818181818181821</v>
      </c>
      <c r="AT658">
        <f>'Bookings and Drivers'!BB104</f>
        <v>0.15705128205128216</v>
      </c>
      <c r="AU658">
        <f>'Bookings and Drivers'!BC104</f>
        <v>0.12465373961218829</v>
      </c>
      <c r="AV658">
        <f>'Bookings and Drivers'!BD104</f>
        <v>-0.17241379310344829</v>
      </c>
      <c r="AW658">
        <f>'Bookings and Drivers'!BE104</f>
        <v>0.3660714285714286</v>
      </c>
      <c r="AX658">
        <f>'Bookings and Drivers'!BF104</f>
        <v>9.3681917211329013E-2</v>
      </c>
      <c r="AY658">
        <f>'Bookings and Drivers'!BG104</f>
        <v>9.960159362549792E-2</v>
      </c>
      <c r="AZ658">
        <f>'Bookings and Drivers'!BH104</f>
        <v>-0.16304347826086951</v>
      </c>
      <c r="BA658">
        <f>'Bookings and Drivers'!BI104</f>
        <v>0.36796536796536805</v>
      </c>
      <c r="BB658">
        <f>'Bookings and Drivers'!BJ104</f>
        <v>9.8101265822784889E-2</v>
      </c>
      <c r="BC658">
        <f>'Bookings and Drivers'!BK104</f>
        <v>7.7809798270893404E-2</v>
      </c>
      <c r="BD658">
        <f>'Bookings and Drivers'!BL104</f>
        <v>-0.1564171122994652</v>
      </c>
      <c r="BE658">
        <f>'Bookings and Drivers'!BM104</f>
        <v>0.3217115689381933</v>
      </c>
      <c r="BF658">
        <f>'Bookings and Drivers'!BN104</f>
        <v>7.4340527577937632E-2</v>
      </c>
      <c r="BG658">
        <f>'Bookings and Drivers'!BO104</f>
        <v>5.8035714285714191E-2</v>
      </c>
      <c r="BH658">
        <f>'Bookings and Drivers'!BP104</f>
        <v>-0.17510548523206748</v>
      </c>
      <c r="BI658">
        <f>'Bookings and Drivers'!BQ104</f>
        <v>0.33759590792838878</v>
      </c>
      <c r="BJ658">
        <f>'Bookings and Drivers'!BR104</f>
        <v>8.1261950286806828E-2</v>
      </c>
      <c r="BK658">
        <f>'Bookings and Drivers'!BS104</f>
        <v>2.2104332449160102E-2</v>
      </c>
      <c r="BL658">
        <f>'Bookings and Drivers'!BT104</f>
        <v>-0.14273356401384085</v>
      </c>
      <c r="BM658">
        <f>'Bookings and Drivers'!BU104</f>
        <v>0.37739656912209885</v>
      </c>
      <c r="BN658">
        <f>'Bookings and Drivers'!BV104</f>
        <v>3.076923076923066E-2</v>
      </c>
      <c r="BO658">
        <f>'Bookings and Drivers'!BW104</f>
        <v>6.325515280739169E-2</v>
      </c>
      <c r="BP658">
        <f>'Bookings and Drivers'!CA104</f>
        <v>4.289071680376022E-2</v>
      </c>
      <c r="BQ658">
        <f>'Bookings and Drivers'!CE104</f>
        <v>3.4054604081463768E-2</v>
      </c>
      <c r="BR658">
        <f>'Bookings and Drivers'!BZ104</f>
        <v>-2.1276595744680882E-2</v>
      </c>
      <c r="BT658">
        <f>'Bookings and Drivers'!CB104</f>
        <v>-0.14647887323943665</v>
      </c>
      <c r="BU658">
        <f>'Bookings and Drivers'!CC104</f>
        <v>0.32182966115522271</v>
      </c>
      <c r="BV658">
        <f>'Bookings and Drivers'!CD104</f>
        <v>6.867633815114349E-3</v>
      </c>
      <c r="BX658">
        <f>'Bookings and Drivers'!CF104</f>
        <v>-0.13637294298865277</v>
      </c>
      <c r="BY658">
        <f>'Bookings and Drivers'!CG104</f>
        <v>0</v>
      </c>
      <c r="BZ658">
        <f>'Bookings and Drivers'!CH104</f>
        <v>0</v>
      </c>
      <c r="CA658">
        <f>'Bookings and Drivers'!CI104</f>
        <v>0</v>
      </c>
      <c r="CB658">
        <f>'Bookings and Drivers'!CJ104</f>
        <v>0</v>
      </c>
      <c r="CC658">
        <f>'Bookings and Drivers'!CK104</f>
        <v>0</v>
      </c>
      <c r="CD658">
        <f>'Bookings and Drivers'!CL104</f>
        <v>0</v>
      </c>
      <c r="CE658">
        <f>'Bookings and Drivers'!CM104</f>
        <v>0</v>
      </c>
      <c r="CF658">
        <f>'Bookings and Drivers'!CN104</f>
        <v>0</v>
      </c>
      <c r="CG658">
        <f>'Bookings and Drivers'!CO104</f>
        <v>0</v>
      </c>
      <c r="CH658">
        <f>'Bookings and Drivers'!CP104</f>
        <v>0</v>
      </c>
      <c r="CI658">
        <f>'Bookings and Drivers'!CQ104</f>
        <v>0</v>
      </c>
      <c r="CJ658">
        <f>'Bookings and Drivers'!CR104</f>
        <v>0</v>
      </c>
      <c r="CK658">
        <f>'Bookings and Drivers'!CS104</f>
        <v>0</v>
      </c>
      <c r="CL658">
        <f>'Bookings and Drivers'!CT104</f>
        <v>0</v>
      </c>
      <c r="CM658">
        <f>'Bookings and Drivers'!CU104</f>
        <v>0</v>
      </c>
      <c r="CN658">
        <f>'Bookings and Drivers'!CV104</f>
        <v>0</v>
      </c>
      <c r="CO658">
        <f>'Bookings and Drivers'!CW104</f>
        <v>0</v>
      </c>
      <c r="CP658">
        <f>'Bookings and Drivers'!CX104</f>
        <v>0</v>
      </c>
      <c r="CQ658">
        <f>'Bookings and Drivers'!CY104</f>
        <v>0</v>
      </c>
      <c r="CR658">
        <f>'Bookings and Drivers'!CZ104</f>
        <v>0</v>
      </c>
      <c r="CS658">
        <f>'Bookings and Drivers'!DA104</f>
        <v>0</v>
      </c>
      <c r="CT658">
        <f>'Bookings and Drivers'!DB104</f>
        <v>0</v>
      </c>
      <c r="CU658">
        <f>'Bookings and Drivers'!DC104</f>
        <v>0</v>
      </c>
      <c r="CV658">
        <f>'Bookings and Drivers'!DD104</f>
        <v>0</v>
      </c>
      <c r="CW658">
        <f>'Bookings and Drivers'!DE104</f>
        <v>0</v>
      </c>
      <c r="CX658">
        <f>'Bookings and Drivers'!DF104</f>
        <v>0</v>
      </c>
    </row>
    <row r="659" spans="1:102">
      <c r="A659" t="str">
        <f>'Bookings and Drivers'!I106</f>
        <v>% change Y/Y</v>
      </c>
      <c r="B659">
        <f>'Bookings and Drivers'!J106</f>
        <v>0</v>
      </c>
      <c r="C659">
        <f>'Bookings and Drivers'!K106</f>
        <v>0</v>
      </c>
      <c r="D659">
        <f>'Bookings and Drivers'!L106</f>
        <v>0</v>
      </c>
      <c r="E659">
        <f>'Bookings and Drivers'!M106</f>
        <v>0</v>
      </c>
      <c r="F659">
        <f>'Bookings and Drivers'!N106</f>
        <v>0</v>
      </c>
      <c r="G659">
        <f>'Bookings and Drivers'!O106</f>
        <v>0</v>
      </c>
      <c r="H659">
        <f>'Bookings and Drivers'!P106</f>
        <v>0</v>
      </c>
      <c r="I659">
        <f>'Bookings and Drivers'!Q106</f>
        <v>0</v>
      </c>
      <c r="J659">
        <f>'Bookings and Drivers'!R106</f>
        <v>0</v>
      </c>
      <c r="K659">
        <f>'Bookings and Drivers'!S106</f>
        <v>0</v>
      </c>
      <c r="L659">
        <f>'Bookings and Drivers'!T106</f>
        <v>0</v>
      </c>
      <c r="M659">
        <f>'Bookings and Drivers'!U106</f>
        <v>0</v>
      </c>
      <c r="N659">
        <f>'Bookings and Drivers'!V106</f>
        <v>0</v>
      </c>
      <c r="O659">
        <f>'Bookings and Drivers'!W106</f>
        <v>0</v>
      </c>
      <c r="P659">
        <f>'Bookings and Drivers'!X106</f>
        <v>0</v>
      </c>
      <c r="Q659">
        <f>'Bookings and Drivers'!Y106</f>
        <v>0</v>
      </c>
      <c r="R659">
        <f>'Bookings and Drivers'!Z106</f>
        <v>0</v>
      </c>
      <c r="S659">
        <f>'Bookings and Drivers'!AA106</f>
        <v>0</v>
      </c>
      <c r="T659">
        <f>'Bookings and Drivers'!AB106</f>
        <v>0</v>
      </c>
      <c r="U659">
        <f>'Bookings and Drivers'!AC106</f>
        <v>0</v>
      </c>
      <c r="V659">
        <f>'Bookings and Drivers'!AD106</f>
        <v>0</v>
      </c>
      <c r="W659">
        <f>'Bookings and Drivers'!AE106</f>
        <v>0</v>
      </c>
      <c r="X659">
        <f>'Bookings and Drivers'!AF106</f>
        <v>0</v>
      </c>
      <c r="Y659">
        <f>'Bookings and Drivers'!AG106</f>
        <v>0</v>
      </c>
      <c r="Z659">
        <f>'Bookings and Drivers'!AH106</f>
        <v>0</v>
      </c>
      <c r="AA659">
        <f>'Bookings and Drivers'!AI106</f>
        <v>0</v>
      </c>
      <c r="AB659">
        <f>'Bookings and Drivers'!AJ106</f>
        <v>0</v>
      </c>
      <c r="AC659">
        <f>'Bookings and Drivers'!AK106</f>
        <v>0</v>
      </c>
      <c r="AD659">
        <f>'Bookings and Drivers'!AL106</f>
        <v>0</v>
      </c>
      <c r="AE659">
        <f>'Bookings and Drivers'!AM106</f>
        <v>0</v>
      </c>
      <c r="AF659">
        <f>'Bookings and Drivers'!AN106</f>
        <v>0</v>
      </c>
      <c r="AG659">
        <f>'Bookings and Drivers'!AO106</f>
        <v>0</v>
      </c>
      <c r="AH659">
        <f>'Bookings and Drivers'!AP106</f>
        <v>0</v>
      </c>
      <c r="AI659">
        <f>'Bookings and Drivers'!AQ106</f>
        <v>0</v>
      </c>
      <c r="AJ659">
        <f>'Bookings and Drivers'!AR106</f>
        <v>0</v>
      </c>
      <c r="AK659">
        <f>'Bookings and Drivers'!AS106</f>
        <v>0</v>
      </c>
      <c r="AL659">
        <f>'Bookings and Drivers'!AT106</f>
        <v>0</v>
      </c>
      <c r="AM659">
        <f>'Bookings and Drivers'!AU106</f>
        <v>0</v>
      </c>
      <c r="AN659">
        <f>'Bookings and Drivers'!AV106</f>
        <v>0</v>
      </c>
      <c r="AO659">
        <f>'Bookings and Drivers'!AW106</f>
        <v>0</v>
      </c>
      <c r="AP659">
        <f>'Bookings and Drivers'!AX106</f>
        <v>0</v>
      </c>
      <c r="AQ659">
        <f>'Bookings and Drivers'!AY106</f>
        <v>0</v>
      </c>
      <c r="AR659">
        <f>'Bookings and Drivers'!AZ106</f>
        <v>0</v>
      </c>
      <c r="AS659">
        <f>'Bookings and Drivers'!BA106</f>
        <v>0</v>
      </c>
      <c r="AT659">
        <f>'Bookings and Drivers'!BB106</f>
        <v>0</v>
      </c>
      <c r="AU659">
        <f>'Bookings and Drivers'!BC106</f>
        <v>0</v>
      </c>
      <c r="AV659">
        <f>'Bookings and Drivers'!BD106</f>
        <v>0</v>
      </c>
      <c r="AW659">
        <f>'Bookings and Drivers'!BE106</f>
        <v>0</v>
      </c>
      <c r="AX659">
        <f>'Bookings and Drivers'!BF106</f>
        <v>0</v>
      </c>
      <c r="AY659">
        <f>'Bookings and Drivers'!BG106</f>
        <v>0</v>
      </c>
      <c r="AZ659">
        <f>'Bookings and Drivers'!BH106</f>
        <v>0</v>
      </c>
      <c r="BA659">
        <f>'Bookings and Drivers'!BI106</f>
        <v>0</v>
      </c>
      <c r="BB659">
        <f>'Bookings and Drivers'!BJ106</f>
        <v>0</v>
      </c>
      <c r="BC659">
        <f>'Bookings and Drivers'!BK106</f>
        <v>0</v>
      </c>
      <c r="BD659">
        <f>'Bookings and Drivers'!BL106</f>
        <v>0</v>
      </c>
      <c r="BE659">
        <f>'Bookings and Drivers'!BM106</f>
        <v>0</v>
      </c>
      <c r="BF659">
        <f>'Bookings and Drivers'!BS106</f>
        <v>0</v>
      </c>
      <c r="BG659">
        <f>'Bookings and Drivers'!BO106</f>
        <v>0</v>
      </c>
      <c r="BH659">
        <f>'Bookings and Drivers'!BP106</f>
        <v>0</v>
      </c>
      <c r="BI659">
        <f>'Bookings and Drivers'!BQ106</f>
        <v>0</v>
      </c>
      <c r="BJ659">
        <f>'Bookings and Drivers'!CT242</f>
        <v>0</v>
      </c>
      <c r="BL659">
        <f>'Bookings and Drivers'!BT106</f>
        <v>0</v>
      </c>
      <c r="BM659">
        <f>'Bookings and Drivers'!BU106</f>
        <v>0</v>
      </c>
      <c r="BN659">
        <f>'Bookings and Drivers'!BZ106</f>
        <v>0</v>
      </c>
      <c r="BO659">
        <f>'Bookings and Drivers'!CA106</f>
        <v>0</v>
      </c>
      <c r="BQ659">
        <f>'Bookings and Drivers'!CE106</f>
        <v>0</v>
      </c>
      <c r="BT659">
        <f>'Bookings and Drivers'!CB106</f>
        <v>0</v>
      </c>
      <c r="BU659">
        <f>'Bookings and Drivers'!CC106</f>
        <v>0</v>
      </c>
      <c r="BV659">
        <f>'Bookings and Drivers'!CD106</f>
        <v>0</v>
      </c>
      <c r="BX659">
        <f>'Bookings and Drivers'!CF106</f>
        <v>0</v>
      </c>
      <c r="BY659">
        <f>'Bookings and Drivers'!CG106</f>
        <v>0</v>
      </c>
      <c r="BZ659">
        <f>'Bookings and Drivers'!CH106</f>
        <v>0</v>
      </c>
      <c r="CA659">
        <f>'Bookings and Drivers'!CI106</f>
        <v>0</v>
      </c>
      <c r="CB659">
        <f>'Bookings and Drivers'!CJ106</f>
        <v>0</v>
      </c>
      <c r="CC659">
        <f>'Bookings and Drivers'!CK106</f>
        <v>0</v>
      </c>
      <c r="CD659">
        <f>'Bookings and Drivers'!CL106</f>
        <v>0</v>
      </c>
      <c r="CE659">
        <f>'Bookings and Drivers'!CM106</f>
        <v>0</v>
      </c>
      <c r="CF659">
        <f>'Bookings and Drivers'!CN106</f>
        <v>0</v>
      </c>
      <c r="CG659">
        <f>'Bookings and Drivers'!CO106</f>
        <v>0</v>
      </c>
      <c r="CH659">
        <f>'Bookings and Drivers'!CP106</f>
        <v>0</v>
      </c>
      <c r="CI659">
        <f>'Bookings and Drivers'!CQ106</f>
        <v>0</v>
      </c>
      <c r="CJ659">
        <f>'Bookings and Drivers'!CR106</f>
        <v>0</v>
      </c>
      <c r="CK659">
        <f>'Bookings and Drivers'!CS106</f>
        <v>0</v>
      </c>
      <c r="CL659">
        <f>'Bookings and Drivers'!CT106</f>
        <v>0</v>
      </c>
      <c r="CM659">
        <f>'Bookings and Drivers'!CU106</f>
        <v>0</v>
      </c>
      <c r="CN659">
        <f>'Bookings and Drivers'!CV106</f>
        <v>0</v>
      </c>
      <c r="CO659">
        <f>'Bookings and Drivers'!CW106</f>
        <v>0</v>
      </c>
      <c r="CP659">
        <f>'Bookings and Drivers'!CX106</f>
        <v>0</v>
      </c>
      <c r="CQ659">
        <f>'Bookings and Drivers'!CY106</f>
        <v>0</v>
      </c>
      <c r="CR659">
        <f>'Bookings and Drivers'!CZ106</f>
        <v>0</v>
      </c>
      <c r="CS659">
        <f>'Bookings and Drivers'!DA106</f>
        <v>0</v>
      </c>
      <c r="CT659">
        <f>'Bookings and Drivers'!DB106</f>
        <v>0</v>
      </c>
      <c r="CU659">
        <f>'Bookings and Drivers'!DC106</f>
        <v>0</v>
      </c>
      <c r="CV659">
        <f>'Bookings and Drivers'!DD106</f>
        <v>0</v>
      </c>
      <c r="CW659">
        <f>'Bookings and Drivers'!DE106</f>
        <v>0</v>
      </c>
      <c r="CX659">
        <f>'Bookings and Drivers'!DF106</f>
        <v>0</v>
      </c>
    </row>
    <row r="660" spans="1:102">
      <c r="A660" t="str">
        <f>'Bookings and Drivers'!I107</f>
        <v>Domestic Room Nights Sold</v>
      </c>
      <c r="B660">
        <f>'Bookings and Drivers'!J107</f>
        <v>0</v>
      </c>
      <c r="C660">
        <f>'Bookings and Drivers'!K107</f>
        <v>0</v>
      </c>
      <c r="D660">
        <f>'Bookings and Drivers'!L107</f>
        <v>0</v>
      </c>
      <c r="E660">
        <f>'Bookings and Drivers'!M107</f>
        <v>0</v>
      </c>
      <c r="F660">
        <f>'Bookings and Drivers'!N107</f>
        <v>0</v>
      </c>
      <c r="G660">
        <f>'Bookings and Drivers'!O107</f>
        <v>0</v>
      </c>
      <c r="H660">
        <f>'Bookings and Drivers'!P107</f>
        <v>0</v>
      </c>
      <c r="I660">
        <f>'Bookings and Drivers'!Q107</f>
        <v>0</v>
      </c>
      <c r="J660">
        <f>'Bookings and Drivers'!R107</f>
        <v>0</v>
      </c>
      <c r="K660">
        <f>'Bookings and Drivers'!S107</f>
        <v>0</v>
      </c>
      <c r="L660">
        <f>'Bookings and Drivers'!T107</f>
        <v>0</v>
      </c>
      <c r="M660">
        <f>'Bookings and Drivers'!U107</f>
        <v>0</v>
      </c>
      <c r="N660">
        <f>'Bookings and Drivers'!V107</f>
        <v>0</v>
      </c>
      <c r="O660">
        <f>'Bookings and Drivers'!W107</f>
        <v>0</v>
      </c>
      <c r="P660">
        <f>'Bookings and Drivers'!X107</f>
        <v>0</v>
      </c>
      <c r="Q660">
        <f>'Bookings and Drivers'!Y107</f>
        <v>0</v>
      </c>
      <c r="R660">
        <f>'Bookings and Drivers'!Z107</f>
        <v>0</v>
      </c>
      <c r="S660">
        <f>'Bookings and Drivers'!AA107</f>
        <v>0</v>
      </c>
      <c r="T660">
        <f>'Bookings and Drivers'!AB107</f>
        <v>0</v>
      </c>
      <c r="U660">
        <f>'Bookings and Drivers'!AC107</f>
        <v>0</v>
      </c>
      <c r="V660">
        <f>'Bookings and Drivers'!AD107</f>
        <v>0</v>
      </c>
      <c r="W660">
        <f>'Bookings and Drivers'!AE107</f>
        <v>0</v>
      </c>
      <c r="X660">
        <f>'Bookings and Drivers'!AF107</f>
        <v>0</v>
      </c>
      <c r="Y660">
        <f>'Bookings and Drivers'!AG107</f>
        <v>0</v>
      </c>
      <c r="Z660">
        <f>'Bookings and Drivers'!AH107</f>
        <v>0</v>
      </c>
      <c r="AA660">
        <f>'Bookings and Drivers'!AI107</f>
        <v>0</v>
      </c>
      <c r="AB660">
        <f>'Bookings and Drivers'!AJ107</f>
        <v>0.25000000000000006</v>
      </c>
      <c r="AC660">
        <f>'Bookings and Drivers'!AK107</f>
        <v>8.9706498578604243E-2</v>
      </c>
      <c r="AD660">
        <f>'Bookings and Drivers'!AL107</f>
        <v>0.12741764018637269</v>
      </c>
      <c r="AE660">
        <f>'Bookings and Drivers'!AM107</f>
        <v>0.11958513001315918</v>
      </c>
      <c r="AF660">
        <f>'Bookings and Drivers'!AN107</f>
        <v>0.18169800909554445</v>
      </c>
      <c r="AG660">
        <f>'Bookings and Drivers'!AO107</f>
        <v>0.29476083691848642</v>
      </c>
      <c r="AH660">
        <f>'Bookings and Drivers'!AP107</f>
        <v>0.34821921970573899</v>
      </c>
      <c r="AI660">
        <f>'Bookings and Drivers'!AQ107</f>
        <v>0.32081498673342845</v>
      </c>
      <c r="AJ660">
        <f>'Bookings and Drivers'!AR107</f>
        <v>0.48202528621858054</v>
      </c>
      <c r="AK660">
        <f>'Bookings and Drivers'!AS107</f>
        <v>0.41470386421691185</v>
      </c>
      <c r="AL660">
        <f>'Bookings and Drivers'!AT107</f>
        <v>0.50573984320207788</v>
      </c>
      <c r="AM660">
        <f>'Bookings and Drivers'!AU107</f>
        <v>0.58450493727492381</v>
      </c>
      <c r="AN660">
        <f>'Bookings and Drivers'!AV107</f>
        <v>0.31978184526822995</v>
      </c>
      <c r="AO660">
        <f>'Bookings and Drivers'!AW107</f>
        <v>0.20448061010941365</v>
      </c>
      <c r="AP660">
        <f>'Bookings and Drivers'!AX107</f>
        <v>0.16173658494974807</v>
      </c>
      <c r="AQ660">
        <f>'Bookings and Drivers'!AY107</f>
        <v>0.12556558516637928</v>
      </c>
      <c r="AR660">
        <f>'Bookings and Drivers'!AZ107</f>
        <v>0.13277645207694722</v>
      </c>
      <c r="AS660">
        <f>'Bookings and Drivers'!BA107</f>
        <v>5.8513683792544624E-2</v>
      </c>
      <c r="AT660">
        <f>'Bookings and Drivers'!BB107</f>
        <v>-5.0583587132516983E-2</v>
      </c>
      <c r="AU660">
        <f>'Bookings and Drivers'!BC107</f>
        <v>4.0181759599902556E-2</v>
      </c>
      <c r="AV660">
        <f>'Bookings and Drivers'!BD107</f>
        <v>7.6994840347856419E-2</v>
      </c>
      <c r="AW660">
        <f>'Bookings and Drivers'!BE107</f>
        <v>0.01</v>
      </c>
      <c r="AX660">
        <f>'Bookings and Drivers'!BF107</f>
        <v>-1.7000000000000001E-2</v>
      </c>
      <c r="AY660">
        <f>'Bookings and Drivers'!BG107</f>
        <v>-1.4999999999999999E-2</v>
      </c>
      <c r="AZ660">
        <f>'Bookings and Drivers'!BH107</f>
        <v>-1.4999999999999999E-2</v>
      </c>
      <c r="BA660">
        <f>'Bookings and Drivers'!BI107</f>
        <v>0.01</v>
      </c>
      <c r="BB660">
        <f>'Bookings and Drivers'!BJ107</f>
        <v>0.05</v>
      </c>
      <c r="BC660">
        <f>'Bookings and Drivers'!BK107</f>
        <v>0.08</v>
      </c>
      <c r="BD660">
        <f>'Bookings and Drivers'!BL107</f>
        <v>0.2</v>
      </c>
      <c r="BE660">
        <f>'Bookings and Drivers'!BM107</f>
        <v>0.06</v>
      </c>
      <c r="BF660">
        <f>'Bookings and Drivers'!BN107</f>
        <v>0.06</v>
      </c>
      <c r="BG660">
        <f>'Bookings and Drivers'!BO107</f>
        <v>0.06</v>
      </c>
      <c r="BH660">
        <f>'Bookings and Drivers'!BP107</f>
        <v>0.05</v>
      </c>
      <c r="BI660">
        <f>'Bookings and Drivers'!BQ107</f>
        <v>0.05</v>
      </c>
      <c r="BJ660">
        <f>'Bookings and Drivers'!BR107</f>
        <v>0.05</v>
      </c>
      <c r="BK660">
        <f>'Bookings and Drivers'!BS107</f>
        <v>0.05</v>
      </c>
      <c r="BL660">
        <f>'Bookings and Drivers'!BT107</f>
        <v>0.05</v>
      </c>
      <c r="BM660">
        <f>'Bookings and Drivers'!BU107</f>
        <v>0.05</v>
      </c>
      <c r="BN660">
        <f>'Bookings and Drivers'!BV107</f>
        <v>0.05</v>
      </c>
      <c r="BO660">
        <f>'Bookings and Drivers'!BW107</f>
        <v>0.05</v>
      </c>
      <c r="BP660">
        <f>'Bookings and Drivers'!BX107</f>
        <v>0.05</v>
      </c>
      <c r="BQ660">
        <f>'Bookings and Drivers'!BY107</f>
        <v>0.05</v>
      </c>
      <c r="BR660">
        <f>'Bookings and Drivers'!BZ107</f>
        <v>0.05</v>
      </c>
      <c r="BS660">
        <f>'Bookings and Drivers'!CA107</f>
        <v>0.05</v>
      </c>
      <c r="BT660">
        <f>'Bookings and Drivers'!CB107</f>
        <v>0.05</v>
      </c>
      <c r="BU660">
        <f>'Bookings and Drivers'!CC107</f>
        <v>0.05</v>
      </c>
      <c r="BV660">
        <f>'Bookings and Drivers'!CD107</f>
        <v>0.05</v>
      </c>
      <c r="BW660">
        <f>'Bookings and Drivers'!CE107</f>
        <v>0.05</v>
      </c>
      <c r="BX660">
        <f>'Bookings and Drivers'!CF107</f>
        <v>0.05</v>
      </c>
      <c r="BY660">
        <f>'Bookings and Drivers'!CG107</f>
        <v>0</v>
      </c>
      <c r="BZ660">
        <f>'Bookings and Drivers'!CH107</f>
        <v>0</v>
      </c>
      <c r="CA660">
        <f>'Bookings and Drivers'!CI107</f>
        <v>0</v>
      </c>
      <c r="CB660">
        <f>'Bookings and Drivers'!CJ107</f>
        <v>0</v>
      </c>
      <c r="CC660">
        <f>'Bookings and Drivers'!CK107</f>
        <v>0</v>
      </c>
      <c r="CD660">
        <f>'Bookings and Drivers'!CL107</f>
        <v>0</v>
      </c>
      <c r="CE660">
        <f>'Bookings and Drivers'!CM107</f>
        <v>0</v>
      </c>
      <c r="CF660">
        <f>'Bookings and Drivers'!CN107</f>
        <v>8.9054200377498782E-2</v>
      </c>
      <c r="CG660">
        <f>'Bookings and Drivers'!CO107</f>
        <v>0.3595761783362621</v>
      </c>
      <c r="CH660">
        <f>'Bookings and Drivers'!CP107</f>
        <v>0.45949427247913111</v>
      </c>
      <c r="CI660">
        <f>'Bookings and Drivers'!CQ107</f>
        <v>0.15388465074504776</v>
      </c>
      <c r="CJ660">
        <f>'Bookings and Drivers'!CR107</f>
        <v>2.7346731966213067E-2</v>
      </c>
      <c r="CK660">
        <f>'Bookings and Drivers'!CS107</f>
        <v>-9.8159362234498948E-3</v>
      </c>
      <c r="CL660">
        <f>'Bookings and Drivers'!CT107</f>
        <v>8.4177215189873422E-2</v>
      </c>
      <c r="CM660">
        <f>'Bookings and Drivers'!CU107</f>
        <v>5.741085814360769E-2</v>
      </c>
      <c r="CN660">
        <f>'Bookings and Drivers'!CV107</f>
        <v>5.0000000000000044E-2</v>
      </c>
      <c r="CO660">
        <f>'Bookings and Drivers'!CW107</f>
        <v>4.9999999999999822E-2</v>
      </c>
      <c r="CP660">
        <f>'Bookings and Drivers'!CX107</f>
        <v>5.0000000000000044E-2</v>
      </c>
      <c r="CQ660">
        <f>'Bookings and Drivers'!CY107</f>
        <v>5.0000000000000044E-2</v>
      </c>
      <c r="CR660">
        <f>'Bookings and Drivers'!CZ107</f>
        <v>0.04</v>
      </c>
      <c r="CS660">
        <f>'Bookings and Drivers'!DA107</f>
        <v>0.04</v>
      </c>
      <c r="CT660">
        <f>'Bookings and Drivers'!DB107</f>
        <v>0.04</v>
      </c>
      <c r="CU660">
        <f>'Bookings and Drivers'!DC107</f>
        <v>0.04</v>
      </c>
      <c r="CV660">
        <f>'Bookings and Drivers'!DD107</f>
        <v>0.04</v>
      </c>
      <c r="CW660">
        <f>'Bookings and Drivers'!DE107</f>
        <v>0.04</v>
      </c>
      <c r="CX660">
        <f>'Bookings and Drivers'!DF107</f>
        <v>0.04</v>
      </c>
    </row>
    <row r="661" spans="1:102">
      <c r="A661" t="str">
        <f>'Bookings and Drivers'!I108</f>
        <v>International Room Nights Sold</v>
      </c>
      <c r="B661">
        <f>'Bookings and Drivers'!J108</f>
        <v>0</v>
      </c>
      <c r="C661">
        <f>'Bookings and Drivers'!K108</f>
        <v>0</v>
      </c>
      <c r="D661">
        <f>'Bookings and Drivers'!L108</f>
        <v>0</v>
      </c>
      <c r="E661">
        <f>'Bookings and Drivers'!M108</f>
        <v>0</v>
      </c>
      <c r="F661">
        <f>'Bookings and Drivers'!N108</f>
        <v>0</v>
      </c>
      <c r="G661">
        <f>'Bookings and Drivers'!O108</f>
        <v>0</v>
      </c>
      <c r="H661">
        <f>'Bookings and Drivers'!P108</f>
        <v>0</v>
      </c>
      <c r="I661">
        <f>'Bookings and Drivers'!Q108</f>
        <v>0</v>
      </c>
      <c r="J661">
        <f>'Bookings and Drivers'!R108</f>
        <v>0</v>
      </c>
      <c r="K661">
        <f>'Bookings and Drivers'!S108</f>
        <v>0</v>
      </c>
      <c r="L661">
        <f>'Bookings and Drivers'!T108</f>
        <v>0</v>
      </c>
      <c r="M661">
        <f>'Bookings and Drivers'!U108</f>
        <v>0</v>
      </c>
      <c r="N661">
        <f>'Bookings and Drivers'!V108</f>
        <v>0</v>
      </c>
      <c r="O661">
        <f>'Bookings and Drivers'!W108</f>
        <v>0</v>
      </c>
      <c r="P661">
        <f>'Bookings and Drivers'!X108</f>
        <v>0</v>
      </c>
      <c r="Q661">
        <f>'Bookings and Drivers'!Y108</f>
        <v>0</v>
      </c>
      <c r="R661">
        <f>'Bookings and Drivers'!Z108</f>
        <v>0</v>
      </c>
      <c r="S661">
        <f>'Bookings and Drivers'!AA108</f>
        <v>0</v>
      </c>
      <c r="T661">
        <f>'Bookings and Drivers'!AB108</f>
        <v>0</v>
      </c>
      <c r="U661">
        <f>'Bookings and Drivers'!AC108</f>
        <v>0</v>
      </c>
      <c r="V661">
        <f>'Bookings and Drivers'!AD108</f>
        <v>0</v>
      </c>
      <c r="W661">
        <f>'Bookings and Drivers'!AE108</f>
        <v>0</v>
      </c>
      <c r="X661">
        <f>'Bookings and Drivers'!AF108</f>
        <v>0</v>
      </c>
      <c r="Y661">
        <f>'Bookings and Drivers'!AG108</f>
        <v>0.85</v>
      </c>
      <c r="Z661">
        <f>'Bookings and Drivers'!AH108</f>
        <v>0</v>
      </c>
      <c r="AA661">
        <f>'Bookings and Drivers'!AI108</f>
        <v>0.3</v>
      </c>
      <c r="AB661">
        <f>'Bookings and Drivers'!AJ108</f>
        <v>0.3</v>
      </c>
      <c r="AC661">
        <f>'Bookings and Drivers'!AK108</f>
        <v>0.69499999999999995</v>
      </c>
      <c r="AD661">
        <f>'Bookings and Drivers'!AL108</f>
        <v>0.746</v>
      </c>
      <c r="AE661">
        <f>'Bookings and Drivers'!AM108</f>
        <v>0.81399999999999995</v>
      </c>
      <c r="AF661">
        <f>'Bookings and Drivers'!AN108</f>
        <v>0.83899999999999997</v>
      </c>
      <c r="AG661">
        <f>'Bookings and Drivers'!AO108</f>
        <v>0.71</v>
      </c>
      <c r="AH661">
        <f>'Bookings and Drivers'!AP108</f>
        <v>0.57300000000000006</v>
      </c>
      <c r="AI661">
        <f>'Bookings and Drivers'!AQ108</f>
        <v>0.48199999999999998</v>
      </c>
      <c r="AJ661">
        <f>'Bookings and Drivers'!AR108</f>
        <v>0.33600000000000002</v>
      </c>
      <c r="AK661">
        <f>'Bookings and Drivers'!AS108</f>
        <v>0.34499999999999997</v>
      </c>
      <c r="AL661">
        <f>'Bookings and Drivers'!AT108</f>
        <v>0.41400000000000003</v>
      </c>
      <c r="AM661">
        <f>'Bookings and Drivers'!AU108</f>
        <v>0.55499999999999994</v>
      </c>
      <c r="AN661">
        <f>'Bookings and Drivers'!AV108</f>
        <v>0.73</v>
      </c>
      <c r="AO661">
        <f>'Bookings and Drivers'!AW108</f>
        <v>0.70799999999999996</v>
      </c>
      <c r="AP661">
        <f>'Bookings and Drivers'!AX108</f>
        <v>0.61496899302615204</v>
      </c>
      <c r="AQ661">
        <f>'Bookings and Drivers'!AY108</f>
        <v>0.69023579994791562</v>
      </c>
      <c r="AR661">
        <f>'Bookings and Drivers'!AZ108</f>
        <v>0.64163159212847676</v>
      </c>
      <c r="AS661">
        <f>'Bookings and Drivers'!BA108</f>
        <v>0.69255276673188748</v>
      </c>
      <c r="AT661">
        <f>'Bookings and Drivers'!BB108</f>
        <v>0.73912856085118939</v>
      </c>
      <c r="AU661">
        <f>'Bookings and Drivers'!BC108</f>
        <v>0.58263712236672716</v>
      </c>
      <c r="AV661">
        <f>'Bookings and Drivers'!BD108</f>
        <v>0.63840803519891809</v>
      </c>
      <c r="AW661">
        <f>'Bookings and Drivers'!BE108</f>
        <v>0.54977713394250061</v>
      </c>
      <c r="AX661">
        <f>'Bookings and Drivers'!BF108</f>
        <v>0.45773986339004091</v>
      </c>
      <c r="AY661">
        <f>'Bookings and Drivers'!BG108</f>
        <v>0.41959328130892648</v>
      </c>
      <c r="AZ661">
        <f>'Bookings and Drivers'!BH108</f>
        <v>0.43827433628318579</v>
      </c>
      <c r="BA661">
        <f>'Bookings and Drivers'!BI108</f>
        <v>0.41767368675865413</v>
      </c>
      <c r="BB661">
        <f>'Bookings and Drivers'!BJ108</f>
        <v>0.41941124391323603</v>
      </c>
      <c r="BC661">
        <f>'Bookings and Drivers'!BK108</f>
        <v>0.38563607085346208</v>
      </c>
      <c r="BD661">
        <f>'Bookings and Drivers'!BL108</f>
        <v>0.38422318422318424</v>
      </c>
      <c r="BE661">
        <f>'Bookings and Drivers'!BM108</f>
        <v>0.34017164098825048</v>
      </c>
      <c r="BF661">
        <f>'Bookings and Drivers'!BN108</f>
        <v>0.31005847588454527</v>
      </c>
      <c r="BG661">
        <f>'Bookings and Drivers'!BO108</f>
        <v>0.28533934548159179</v>
      </c>
      <c r="BH661">
        <f>'Bookings and Drivers'!BP108</f>
        <v>0.25753700743623598</v>
      </c>
      <c r="BI661">
        <f>'Bookings and Drivers'!BQ108</f>
        <v>0.26698152176187073</v>
      </c>
      <c r="BJ661">
        <f>'Bookings and Drivers'!BR108</f>
        <v>0.27639423496960092</v>
      </c>
      <c r="BK661">
        <f>'Bookings and Drivers'!BS108</f>
        <v>0.23150850155984282</v>
      </c>
      <c r="BL661">
        <f>'Bookings and Drivers'!BT108</f>
        <v>0.28473724350224106</v>
      </c>
      <c r="BM661">
        <f>'Bookings and Drivers'!BU108</f>
        <v>0.31820127460408165</v>
      </c>
      <c r="BN661">
        <f>'Bookings and Drivers'!BV108</f>
        <v>0.25464710348532615</v>
      </c>
      <c r="BO661">
        <f>'Bookings and Drivers'!BW108</f>
        <v>0.30898286186142676</v>
      </c>
      <c r="BP661">
        <f>'Bookings and Drivers'!BX108</f>
        <v>0.32578904487838911</v>
      </c>
      <c r="BQ661">
        <f>'Bookings and Drivers'!BY108</f>
        <v>0.28325048757773152</v>
      </c>
      <c r="BR661">
        <f>'Bookings and Drivers'!BZ108</f>
        <v>0.21697630700264847</v>
      </c>
      <c r="BS661">
        <f>'Bookings and Drivers'!CA108</f>
        <v>0.19316464922595222</v>
      </c>
      <c r="BT661">
        <f>'Bookings and Drivers'!CB108</f>
        <v>0.17422725315243803</v>
      </c>
      <c r="BU661">
        <f>'Bookings and Drivers'!CC108</f>
        <v>0.155</v>
      </c>
      <c r="BV661">
        <f>'Bookings and Drivers'!CD108</f>
        <v>0.19</v>
      </c>
      <c r="BW661">
        <f>'Bookings and Drivers'!CE108</f>
        <v>0.18</v>
      </c>
      <c r="BX661">
        <f>'Bookings and Drivers'!CF108</f>
        <v>0.19500000000000001</v>
      </c>
      <c r="BY661">
        <f>'Bookings and Drivers'!CG108</f>
        <v>0</v>
      </c>
      <c r="BZ661">
        <f>'Bookings and Drivers'!CH108</f>
        <v>0</v>
      </c>
      <c r="CA661">
        <f>'Bookings and Drivers'!CI108</f>
        <v>0</v>
      </c>
      <c r="CB661">
        <f>'Bookings and Drivers'!CJ108</f>
        <v>0</v>
      </c>
      <c r="CC661">
        <f>'Bookings and Drivers'!CK108</f>
        <v>0</v>
      </c>
      <c r="CD661">
        <f>'Bookings and Drivers'!CL108</f>
        <v>0</v>
      </c>
      <c r="CE661">
        <f>'Bookings and Drivers'!CM108</f>
        <v>0</v>
      </c>
      <c r="CF661">
        <f>'Bookings and Drivers'!CN108</f>
        <v>0.77612952628690879</v>
      </c>
      <c r="CG661">
        <f>'Bookings and Drivers'!CO108</f>
        <v>0.51757792674421843</v>
      </c>
      <c r="CH661">
        <f>'Bookings and Drivers'!CP108</f>
        <v>0.50539400215290153</v>
      </c>
      <c r="CI661">
        <f>'Bookings and Drivers'!CQ108</f>
        <v>0.66326171921994237</v>
      </c>
      <c r="CJ661">
        <f>'Bookings and Drivers'!CR108</f>
        <v>0.65769731504998541</v>
      </c>
      <c r="CK661">
        <f>'Bookings and Drivers'!CS108</f>
        <v>0.46231047844946804</v>
      </c>
      <c r="CL661">
        <f>'Bookings and Drivers'!CT108</f>
        <v>0.40133614627285508</v>
      </c>
      <c r="CM661">
        <f>'Bookings and Drivers'!CU108</f>
        <v>0.29817108445827278</v>
      </c>
      <c r="CN661">
        <f>'Bookings and Drivers'!CV108</f>
        <v>0.26369491213443519</v>
      </c>
      <c r="CO661">
        <f>'Bookings and Drivers'!CW108</f>
        <v>0.3007916164077522</v>
      </c>
      <c r="CP661">
        <f>'Bookings and Drivers'!CX108</f>
        <v>0.21701552751058628</v>
      </c>
      <c r="CQ661">
        <f>'Bookings and Drivers'!CY108</f>
        <v>0.17938699675540937</v>
      </c>
      <c r="CR661">
        <f>'Bookings and Drivers'!CZ108</f>
        <v>0.15786055714476024</v>
      </c>
      <c r="CS661">
        <f>'Bookings and Drivers'!DA108</f>
        <v>0.13497077635877</v>
      </c>
      <c r="CT661">
        <f>'Bookings and Drivers'!DB108</f>
        <v>0.11546749917492774</v>
      </c>
      <c r="CU661">
        <f>'Bookings and Drivers'!DC108</f>
        <v>0.10161139927393641</v>
      </c>
      <c r="CV661">
        <f>'Bookings and Drivers'!DD108</f>
        <v>9.1450259346542773E-2</v>
      </c>
      <c r="CW661">
        <f>'Bookings and Drivers'!DE108</f>
        <v>8.2305233411888501E-2</v>
      </c>
      <c r="CX661">
        <f>'Bookings and Drivers'!DF108</f>
        <v>8.2305233411888501E-2</v>
      </c>
    </row>
    <row r="662" spans="1:102">
      <c r="A662" t="str">
        <f>'Bookings and Drivers'!I109</f>
        <v>Total Room Nights Sold</v>
      </c>
      <c r="B662">
        <f>'Bookings and Drivers'!J109</f>
        <v>0</v>
      </c>
      <c r="C662">
        <f>'Bookings and Drivers'!K109</f>
        <v>0</v>
      </c>
      <c r="D662">
        <f>'Bookings and Drivers'!L109</f>
        <v>0</v>
      </c>
      <c r="E662">
        <f>'Bookings and Drivers'!M109</f>
        <v>0</v>
      </c>
      <c r="F662">
        <f>'Bookings and Drivers'!N109</f>
        <v>0</v>
      </c>
      <c r="G662">
        <f>'Bookings and Drivers'!O109</f>
        <v>0</v>
      </c>
      <c r="H662">
        <f>'Bookings and Drivers'!P109</f>
        <v>0</v>
      </c>
      <c r="I662">
        <f>'Bookings and Drivers'!Q109</f>
        <v>0</v>
      </c>
      <c r="J662">
        <f>'Bookings and Drivers'!R109</f>
        <v>0</v>
      </c>
      <c r="K662">
        <f>'Bookings and Drivers'!S109</f>
        <v>0</v>
      </c>
      <c r="L662">
        <f>'Bookings and Drivers'!T109</f>
        <v>0</v>
      </c>
      <c r="M662">
        <f>'Bookings and Drivers'!U109</f>
        <v>0</v>
      </c>
      <c r="N662">
        <f>'Bookings and Drivers'!V109</f>
        <v>0</v>
      </c>
      <c r="O662">
        <f>'Bookings and Drivers'!W109</f>
        <v>0</v>
      </c>
      <c r="P662">
        <f>'Bookings and Drivers'!X109</f>
        <v>0</v>
      </c>
      <c r="Q662">
        <f>'Bookings and Drivers'!Y109</f>
        <v>0</v>
      </c>
      <c r="R662">
        <f>'Bookings and Drivers'!Z109</f>
        <v>0</v>
      </c>
      <c r="S662">
        <f>'Bookings and Drivers'!AA109</f>
        <v>0</v>
      </c>
      <c r="T662">
        <f>'Bookings and Drivers'!AB109</f>
        <v>0</v>
      </c>
      <c r="U662">
        <f>'Bookings and Drivers'!AC109</f>
        <v>0</v>
      </c>
      <c r="V662">
        <f>'Bookings and Drivers'!AD109</f>
        <v>0</v>
      </c>
      <c r="W662">
        <f>'Bookings and Drivers'!AE109</f>
        <v>0</v>
      </c>
      <c r="X662">
        <f>'Bookings and Drivers'!AF109</f>
        <v>0</v>
      </c>
      <c r="Y662">
        <f>'Bookings and Drivers'!AG109</f>
        <v>0.625</v>
      </c>
      <c r="Z662">
        <f>'Bookings and Drivers'!AH109</f>
        <v>0.82499999999999996</v>
      </c>
      <c r="AA662">
        <f>'Bookings and Drivers'!AI109</f>
        <v>0.497</v>
      </c>
      <c r="AB662">
        <f>'Bookings and Drivers'!AJ109</f>
        <v>0.437</v>
      </c>
      <c r="AC662">
        <f>'Bookings and Drivers'!AK109</f>
        <v>0.43390320250421377</v>
      </c>
      <c r="AD662">
        <f>'Bookings and Drivers'!AL109</f>
        <v>0.44984984984984977</v>
      </c>
      <c r="AE662">
        <f>'Bookings and Drivers'!AM109</f>
        <v>0.52042764413898435</v>
      </c>
      <c r="AF662">
        <f>'Bookings and Drivers'!AN109</f>
        <v>0.55123094958968344</v>
      </c>
      <c r="AG662">
        <f>'Bookings and Drivers'!AO109</f>
        <v>0.5743073047858942</v>
      </c>
      <c r="AH662">
        <f>'Bookings and Drivers'!AP109</f>
        <v>0.50220933443800053</v>
      </c>
      <c r="AI662">
        <f>'Bookings and Drivers'!AQ109</f>
        <v>0.43571069814163743</v>
      </c>
      <c r="AJ662">
        <f>'Bookings and Drivers'!AR109</f>
        <v>0.37938331318016938</v>
      </c>
      <c r="AK662">
        <f>'Bookings and Drivers'!AS109</f>
        <v>0.36373333333333324</v>
      </c>
      <c r="AL662">
        <f>'Bookings and Drivers'!AT109</f>
        <v>0.43993014063792635</v>
      </c>
      <c r="AM662">
        <f>'Bookings and Drivers'!AU109</f>
        <v>0.56279517229316078</v>
      </c>
      <c r="AN662">
        <f>'Bookings and Drivers'!AV109</f>
        <v>0.59905763751917607</v>
      </c>
      <c r="AO662">
        <f>'Bookings and Drivers'!AW109</f>
        <v>0.56761830269847469</v>
      </c>
      <c r="AP662">
        <f>'Bookings and Drivers'!AX109</f>
        <v>0.48100861793807859</v>
      </c>
      <c r="AQ662">
        <f>'Bookings and Drivers'!AY109</f>
        <v>0.53897811852929656</v>
      </c>
      <c r="AR662">
        <f>'Bookings and Drivers'!AZ109</f>
        <v>0.50757212362091408</v>
      </c>
      <c r="AS662">
        <f>'Bookings and Drivers'!BA109</f>
        <v>0.55673086518311554</v>
      </c>
      <c r="AT662">
        <f>'Bookings and Drivers'!BB109</f>
        <v>0.55603448275862077</v>
      </c>
      <c r="AU662">
        <f>'Bookings and Drivers'!BC109</f>
        <v>0.47636363636363632</v>
      </c>
      <c r="AV662">
        <f>'Bookings and Drivers'!BD109</f>
        <v>0.52727272727272734</v>
      </c>
      <c r="AW662">
        <f>'Bookings and Drivers'!BE109</f>
        <v>0.47115384615384626</v>
      </c>
      <c r="AX662">
        <f>'Bookings and Drivers'!BF109</f>
        <v>0.39058171745152359</v>
      </c>
      <c r="AY662">
        <f>'Bookings and Drivers'!BG109</f>
        <v>0.35960591133004915</v>
      </c>
      <c r="AZ662">
        <f>'Bookings and Drivers'!BH109</f>
        <v>0.375</v>
      </c>
      <c r="BA662">
        <f>'Bookings and Drivers'!BI109</f>
        <v>0.37690631808278874</v>
      </c>
      <c r="BB662">
        <f>'Bookings and Drivers'!BJ109</f>
        <v>0.38247011952191245</v>
      </c>
      <c r="BC662">
        <f>'Bookings and Drivers'!BK109</f>
        <v>0.35507246376811596</v>
      </c>
      <c r="BD662">
        <f>'Bookings and Drivers'!BL109</f>
        <v>0.36580086580086579</v>
      </c>
      <c r="BE662">
        <f>'Bookings and Drivers'!BM109</f>
        <v>0.31962025316455689</v>
      </c>
      <c r="BF662">
        <f>'Bookings and Drivers'!BN109</f>
        <v>0.29106628242074928</v>
      </c>
      <c r="BG662">
        <f>'Bookings and Drivers'!BO109</f>
        <v>0.26737967914438499</v>
      </c>
      <c r="BH662">
        <f>'Bookings and Drivers'!BP109</f>
        <v>0.23930269413629168</v>
      </c>
      <c r="BI662">
        <f>'Bookings and Drivers'!BQ109</f>
        <v>0.25419664268585129</v>
      </c>
      <c r="BJ662">
        <f>'Bookings and Drivers'!BR109</f>
        <v>0.26227678571428581</v>
      </c>
      <c r="BK662">
        <f>'Bookings and Drivers'!BS109</f>
        <v>0.21940928270042193</v>
      </c>
      <c r="BL662">
        <f>'Bookings and Drivers'!BT109</f>
        <v>0.26726342710997453</v>
      </c>
      <c r="BM662">
        <f>'Bookings and Drivers'!BU109</f>
        <v>0.30497131931166344</v>
      </c>
      <c r="BN662">
        <f>'Bookings and Drivers'!BV109</f>
        <v>0.24403183023872677</v>
      </c>
      <c r="BO662">
        <f>'Bookings and Drivers'!BW109</f>
        <v>0.29411764705882359</v>
      </c>
      <c r="BP662">
        <f>'Bookings and Drivers'!BX109</f>
        <v>0.30877901109989914</v>
      </c>
      <c r="BQ662">
        <f>'Bookings and Drivers'!BY109</f>
        <v>0.27399267399267391</v>
      </c>
      <c r="BR662">
        <f>'Bookings and Drivers'!BZ109</f>
        <v>0.20966595593461257</v>
      </c>
      <c r="BS662">
        <f>'Bookings and Drivers'!CA109</f>
        <v>0.18649732620320858</v>
      </c>
      <c r="BT662">
        <f>'Bookings and Drivers'!CB109</f>
        <v>0.16808018504240563</v>
      </c>
      <c r="BU662">
        <f>'Bookings and Drivers'!CC109</f>
        <v>0.15156523096616592</v>
      </c>
      <c r="BV662">
        <f>'Bookings and Drivers'!CD109</f>
        <v>0.18467971057549937</v>
      </c>
      <c r="BW662">
        <f>'Bookings and Drivers'!CE109</f>
        <v>0.17464226053994358</v>
      </c>
      <c r="BX662">
        <f>'Bookings and Drivers'!CF109</f>
        <v>0.18855035535148534</v>
      </c>
      <c r="BY662">
        <f>'Bookings and Drivers'!CG109</f>
        <v>0</v>
      </c>
      <c r="BZ662">
        <f>'Bookings and Drivers'!CH109</f>
        <v>0</v>
      </c>
      <c r="CA662">
        <f>'Bookings and Drivers'!CI109</f>
        <v>0</v>
      </c>
      <c r="CB662">
        <f>'Bookings and Drivers'!CJ109</f>
        <v>0</v>
      </c>
      <c r="CC662">
        <f>'Bookings and Drivers'!CK109</f>
        <v>0</v>
      </c>
      <c r="CD662">
        <f>'Bookings and Drivers'!CL109</f>
        <v>0</v>
      </c>
      <c r="CE662">
        <f>'Bookings and Drivers'!CM109</f>
        <v>0</v>
      </c>
      <c r="CF662">
        <f>'Bookings and Drivers'!CN109</f>
        <v>0.48930352259932453</v>
      </c>
      <c r="CG662">
        <f>'Bookings and Drivers'!CO109</f>
        <v>0.46934514166396668</v>
      </c>
      <c r="CH662">
        <f>'Bookings and Drivers'!CP109</f>
        <v>0.49242906845690215</v>
      </c>
      <c r="CI662">
        <f>'Bookings and Drivers'!CQ109</f>
        <v>0.52255713159968487</v>
      </c>
      <c r="CJ662">
        <f>'Bookings and Drivers'!CR109</f>
        <v>0.52573806905177811</v>
      </c>
      <c r="CK662">
        <f>'Bookings and Drivers'!CS109</f>
        <v>0.39575971731448756</v>
      </c>
      <c r="CL662">
        <f>'Bookings and Drivers'!CT109</f>
        <v>0.36962025316455693</v>
      </c>
      <c r="CM662">
        <f>'Bookings and Drivers'!CU109</f>
        <v>0.27911275415896486</v>
      </c>
      <c r="CN662">
        <f>'Bookings and Drivers'!CV109</f>
        <v>0.24971098265895963</v>
      </c>
      <c r="CO662">
        <f>'Bookings and Drivers'!CW109</f>
        <v>0.28700277520814055</v>
      </c>
      <c r="CP662">
        <f>'Bookings and Drivers'!CX109</f>
        <v>0.20952380952380945</v>
      </c>
      <c r="CQ662">
        <f>'Bookings and Drivers'!CY109</f>
        <v>0.1743486264842613</v>
      </c>
      <c r="CR662">
        <f>'Bookings and Drivers'!CZ109</f>
        <v>0.15375700276547644</v>
      </c>
      <c r="CS662">
        <f>'Bookings and Drivers'!DA109</f>
        <v>0.13199019706018755</v>
      </c>
      <c r="CT662">
        <f>'Bookings and Drivers'!DB109</f>
        <v>0.11329148698178937</v>
      </c>
      <c r="CU662">
        <f>'Bookings and Drivers'!DC109</f>
        <v>9.9951862466076236E-2</v>
      </c>
      <c r="CV662">
        <f>'Bookings and Drivers'!DD109</f>
        <v>9.0139952394669987E-2</v>
      </c>
      <c r="CW662">
        <f>'Bookings and Drivers'!DE109</f>
        <v>8.1277381245847602E-2</v>
      </c>
      <c r="CX662">
        <f>'Bookings and Drivers'!DF109</f>
        <v>8.1316619138416035E-2</v>
      </c>
    </row>
    <row r="663" spans="1:102">
      <c r="A663" t="str">
        <f>'Bookings and Drivers'!I110</f>
        <v>2 Year Growth</v>
      </c>
      <c r="B663">
        <f>'Bookings and Drivers'!J110</f>
        <v>0</v>
      </c>
      <c r="C663">
        <f>'Bookings and Drivers'!K110</f>
        <v>0</v>
      </c>
      <c r="D663">
        <f>'Bookings and Drivers'!L110</f>
        <v>0</v>
      </c>
      <c r="E663">
        <f>'Bookings and Drivers'!M110</f>
        <v>0</v>
      </c>
      <c r="F663">
        <f>'Bookings and Drivers'!N110</f>
        <v>0</v>
      </c>
      <c r="G663">
        <f>'Bookings and Drivers'!O110</f>
        <v>0</v>
      </c>
      <c r="H663">
        <f>'Bookings and Drivers'!P110</f>
        <v>0</v>
      </c>
      <c r="I663">
        <f>'Bookings and Drivers'!Q110</f>
        <v>0</v>
      </c>
      <c r="J663">
        <f>'Bookings and Drivers'!R110</f>
        <v>0</v>
      </c>
      <c r="K663">
        <f>'Bookings and Drivers'!S110</f>
        <v>0</v>
      </c>
      <c r="L663">
        <f>'Bookings and Drivers'!T110</f>
        <v>0</v>
      </c>
      <c r="M663">
        <f>'Bookings and Drivers'!U110</f>
        <v>0</v>
      </c>
      <c r="N663">
        <f>'Bookings and Drivers'!V110</f>
        <v>0</v>
      </c>
      <c r="O663">
        <f>'Bookings and Drivers'!W110</f>
        <v>0</v>
      </c>
      <c r="P663">
        <f>'Bookings and Drivers'!X110</f>
        <v>0</v>
      </c>
      <c r="Q663">
        <f>'Bookings and Drivers'!Y110</f>
        <v>0</v>
      </c>
      <c r="R663">
        <f>'Bookings and Drivers'!Z110</f>
        <v>0</v>
      </c>
      <c r="S663">
        <f>'Bookings and Drivers'!AA110</f>
        <v>0</v>
      </c>
      <c r="T663">
        <f>'Bookings and Drivers'!AB110</f>
        <v>0</v>
      </c>
      <c r="U663">
        <f>'Bookings and Drivers'!AC110</f>
        <v>0</v>
      </c>
      <c r="V663">
        <f>'Bookings and Drivers'!AD110</f>
        <v>0</v>
      </c>
      <c r="W663">
        <f>'Bookings and Drivers'!AE110</f>
        <v>0</v>
      </c>
      <c r="X663">
        <f>'Bookings and Drivers'!AF110</f>
        <v>0</v>
      </c>
      <c r="Y663">
        <f>'Bookings and Drivers'!AG110</f>
        <v>0</v>
      </c>
      <c r="Z663">
        <f>'Bookings and Drivers'!AH110</f>
        <v>0</v>
      </c>
      <c r="AA663">
        <f>'Bookings and Drivers'!AI110</f>
        <v>0</v>
      </c>
      <c r="AB663">
        <f>'Bookings and Drivers'!AJ110</f>
        <v>0</v>
      </c>
      <c r="AC663">
        <f>'Bookings and Drivers'!AK110</f>
        <v>1.0589032025042138</v>
      </c>
      <c r="AD663">
        <f>'Bookings and Drivers'!AL110</f>
        <v>1.2748498498498497</v>
      </c>
      <c r="AE663">
        <f>'Bookings and Drivers'!AM110</f>
        <v>1.0174276441389845</v>
      </c>
      <c r="AF663">
        <f>'Bookings and Drivers'!AN110</f>
        <v>0.98823094958968349</v>
      </c>
      <c r="AG663">
        <f>'Bookings and Drivers'!AO110</f>
        <v>1.008210507290108</v>
      </c>
      <c r="AH663">
        <f>'Bookings and Drivers'!AP110</f>
        <v>0.9520591842878503</v>
      </c>
      <c r="AI663">
        <f>'Bookings and Drivers'!AQ110</f>
        <v>0.95613834228062178</v>
      </c>
      <c r="AJ663">
        <f>'Bookings and Drivers'!AR110</f>
        <v>0.93061426276985282</v>
      </c>
      <c r="AK663">
        <f>'Bookings and Drivers'!AS110</f>
        <v>0.93804063811922744</v>
      </c>
      <c r="AL663">
        <f>'Bookings and Drivers'!AT110</f>
        <v>0.94213947507592688</v>
      </c>
      <c r="AM663">
        <f>'Bookings and Drivers'!AU110</f>
        <v>0.99850587043479822</v>
      </c>
      <c r="AN663">
        <f>'Bookings and Drivers'!AV110</f>
        <v>0.97844095069934545</v>
      </c>
      <c r="AO663">
        <f>'Bookings and Drivers'!AW110</f>
        <v>0.93135163603180793</v>
      </c>
      <c r="AP663">
        <f>'Bookings and Drivers'!AX110</f>
        <v>0.92093875857600493</v>
      </c>
      <c r="AQ663">
        <f>'Bookings and Drivers'!AY110</f>
        <v>1.1017732908224573</v>
      </c>
      <c r="AR663">
        <f>'Bookings and Drivers'!AZ110</f>
        <v>1.1066297611400902</v>
      </c>
      <c r="AS663">
        <f>'Bookings and Drivers'!BA110</f>
        <v>1.1243491678815902</v>
      </c>
      <c r="AT663">
        <f>'Bookings and Drivers'!BB110</f>
        <v>1.0370431006966994</v>
      </c>
      <c r="AU663">
        <f>'Bookings and Drivers'!BC110</f>
        <v>1.0153417548929329</v>
      </c>
      <c r="AV663">
        <f>'Bookings and Drivers'!BD110</f>
        <v>1.0348448508936414</v>
      </c>
      <c r="AW663">
        <f>'Bookings and Drivers'!BE110</f>
        <v>1.0278847113369618</v>
      </c>
      <c r="AX663">
        <f>'Bookings and Drivers'!BF110</f>
        <v>0.94661620021014437</v>
      </c>
      <c r="AY663">
        <f>'Bookings and Drivers'!BG110</f>
        <v>0.83596954769368548</v>
      </c>
      <c r="AZ663">
        <f>'Bookings and Drivers'!BH110</f>
        <v>0.90227272727272734</v>
      </c>
      <c r="BA663">
        <f>'Bookings and Drivers'!BI110</f>
        <v>0.84806016423663499</v>
      </c>
      <c r="BB663">
        <f>'Bookings and Drivers'!BJ110</f>
        <v>0.77305183697343605</v>
      </c>
      <c r="BC663">
        <f>'Bookings and Drivers'!BK110</f>
        <v>0.71467837509816512</v>
      </c>
      <c r="BD663">
        <f>'Bookings and Drivers'!BL110</f>
        <v>0.74080086580086579</v>
      </c>
      <c r="BE663">
        <f>'Bookings and Drivers'!BM110</f>
        <v>0.69652657124734563</v>
      </c>
      <c r="BF663">
        <f>'Bookings and Drivers'!BN110</f>
        <v>0.67353640194266173</v>
      </c>
      <c r="BG663">
        <f>'Bookings and Drivers'!BO110</f>
        <v>0.62245214291250095</v>
      </c>
      <c r="BH663">
        <f>'Bookings and Drivers'!BP110</f>
        <v>0.60510355993715748</v>
      </c>
      <c r="BI663">
        <f>'Bookings and Drivers'!BQ110</f>
        <v>0.57381689585040818</v>
      </c>
      <c r="BJ663">
        <f>'Bookings and Drivers'!BR110</f>
        <v>0.55334306813503509</v>
      </c>
      <c r="BK663">
        <f>'Bookings and Drivers'!BS110</f>
        <v>0.48678896184480691</v>
      </c>
      <c r="BL663">
        <f>'Bookings and Drivers'!BT110</f>
        <v>0.50656612124626621</v>
      </c>
      <c r="BM663">
        <f>'Bookings and Drivers'!BU110</f>
        <v>0.55916796199751473</v>
      </c>
      <c r="BN663">
        <f>'Bookings and Drivers'!BV110</f>
        <v>0.50630861595301258</v>
      </c>
      <c r="BO663">
        <f>'Bookings and Drivers'!BW110</f>
        <v>0.51352692975924552</v>
      </c>
      <c r="BP663">
        <f>'Bookings and Drivers'!BX110</f>
        <v>0.57604243820987366</v>
      </c>
      <c r="BQ663">
        <f>'Bookings and Drivers'!BY110</f>
        <v>0.57896399330433734</v>
      </c>
      <c r="BR663">
        <f>'Bookings and Drivers'!BZ110</f>
        <v>0.45369778617333933</v>
      </c>
      <c r="BS663">
        <f>'Bookings and Drivers'!CA110</f>
        <v>0.48061497326203217</v>
      </c>
      <c r="BT663">
        <f>'Bookings and Drivers'!CB110</f>
        <v>0.47685919614230476</v>
      </c>
      <c r="BU663">
        <f>'Bookings and Drivers'!CC110</f>
        <v>0.42555790495883983</v>
      </c>
      <c r="BV663">
        <f>'Bookings and Drivers'!CD110</f>
        <v>0.39434566651011194</v>
      </c>
      <c r="BW663">
        <f>'Bookings and Drivers'!CE110</f>
        <v>0.36113958674315216</v>
      </c>
      <c r="BX663">
        <f>'Bookings and Drivers'!CF110</f>
        <v>0.35663054039389097</v>
      </c>
      <c r="BY663">
        <f>'Bookings and Drivers'!CG110</f>
        <v>0</v>
      </c>
      <c r="BZ663">
        <f>'Bookings and Drivers'!CH110</f>
        <v>0</v>
      </c>
      <c r="CA663">
        <f>'Bookings and Drivers'!CI110</f>
        <v>0</v>
      </c>
      <c r="CB663">
        <f>'Bookings and Drivers'!CJ110</f>
        <v>0</v>
      </c>
      <c r="CC663">
        <f>'Bookings and Drivers'!CK110</f>
        <v>0</v>
      </c>
      <c r="CD663">
        <f>'Bookings and Drivers'!CL110</f>
        <v>0</v>
      </c>
      <c r="CE663">
        <f>'Bookings and Drivers'!CM110</f>
        <v>0</v>
      </c>
      <c r="CF663">
        <f>'Bookings and Drivers'!CN110</f>
        <v>0.48930352259932453</v>
      </c>
      <c r="CG663">
        <f>'Bookings and Drivers'!CO110</f>
        <v>0.95864866426329121</v>
      </c>
      <c r="CH663">
        <f>'Bookings and Drivers'!CP110</f>
        <v>0.96177421012086883</v>
      </c>
      <c r="CI663">
        <f>'Bookings and Drivers'!CQ110</f>
        <v>1.014986200056587</v>
      </c>
      <c r="CJ663">
        <f>'Bookings and Drivers'!CR110</f>
        <v>1.048295200651463</v>
      </c>
      <c r="CK663">
        <f>'Bookings and Drivers'!CS110</f>
        <v>0.92149778636626567</v>
      </c>
      <c r="CL663">
        <f>'Bookings and Drivers'!CT110</f>
        <v>0.76537997047904449</v>
      </c>
      <c r="CM663">
        <f>'Bookings and Drivers'!CU110</f>
        <v>0.64873300732352179</v>
      </c>
      <c r="CN663">
        <f>'Bookings and Drivers'!CV110</f>
        <v>0.52882373681792449</v>
      </c>
      <c r="CO663">
        <f>'Bookings and Drivers'!CW110</f>
        <v>0.53671375786710018</v>
      </c>
      <c r="CP663">
        <f>'Bookings and Drivers'!CX110</f>
        <v>0.49652658473194999</v>
      </c>
      <c r="CQ663">
        <f>'Bookings and Drivers'!CY110</f>
        <v>0.38387243600807075</v>
      </c>
      <c r="CR663">
        <f>'Bookings and Drivers'!CZ110</f>
        <v>0.32810562924973774</v>
      </c>
      <c r="CS663">
        <f>'Bookings and Drivers'!DA110</f>
        <v>0.28574719982566399</v>
      </c>
      <c r="CT663">
        <f>'Bookings and Drivers'!DB110</f>
        <v>0.24528168404197692</v>
      </c>
      <c r="CU663">
        <f>'Bookings and Drivers'!DC110</f>
        <v>0.2132433494478656</v>
      </c>
      <c r="CV663">
        <f>'Bookings and Drivers'!DD110</f>
        <v>0.19009181486074622</v>
      </c>
      <c r="CW663">
        <f>'Bookings and Drivers'!DE110</f>
        <v>0.17141733364051759</v>
      </c>
      <c r="CX663">
        <f>'Bookings and Drivers'!DF110</f>
        <v>0.16259400038426364</v>
      </c>
    </row>
    <row r="664" spans="1:102">
      <c r="A664">
        <f>'Bookings and Drivers'!I111</f>
        <v>0</v>
      </c>
      <c r="B664">
        <f>'Bookings and Drivers'!J111</f>
        <v>0</v>
      </c>
      <c r="C664">
        <f>'Bookings and Drivers'!K111</f>
        <v>0</v>
      </c>
      <c r="D664">
        <f>'Bookings and Drivers'!L111</f>
        <v>0</v>
      </c>
      <c r="E664">
        <f>'Bookings and Drivers'!M111</f>
        <v>0</v>
      </c>
      <c r="F664">
        <f>'Bookings and Drivers'!N111</f>
        <v>0</v>
      </c>
      <c r="G664">
        <f>'Bookings and Drivers'!O111</f>
        <v>0</v>
      </c>
      <c r="H664">
        <f>'Bookings and Drivers'!P111</f>
        <v>0</v>
      </c>
      <c r="I664">
        <f>'Bookings and Drivers'!Q111</f>
        <v>0</v>
      </c>
      <c r="J664">
        <f>'Bookings and Drivers'!R111</f>
        <v>0</v>
      </c>
      <c r="K664">
        <f>'Bookings and Drivers'!S111</f>
        <v>0</v>
      </c>
      <c r="L664">
        <f>'Bookings and Drivers'!T111</f>
        <v>0</v>
      </c>
      <c r="M664">
        <f>'Bookings and Drivers'!U111</f>
        <v>0</v>
      </c>
      <c r="N664">
        <f>'Bookings and Drivers'!V111</f>
        <v>0</v>
      </c>
      <c r="O664">
        <f>'Bookings and Drivers'!W111</f>
        <v>0</v>
      </c>
      <c r="P664">
        <f>'Bookings and Drivers'!X111</f>
        <v>0</v>
      </c>
      <c r="Q664">
        <f>'Bookings and Drivers'!Y111</f>
        <v>0</v>
      </c>
      <c r="R664">
        <f>'Bookings and Drivers'!Z111</f>
        <v>0</v>
      </c>
      <c r="S664">
        <f>'Bookings and Drivers'!AA111</f>
        <v>0</v>
      </c>
      <c r="T664">
        <f>'Bookings and Drivers'!AB111</f>
        <v>0</v>
      </c>
      <c r="U664">
        <f>'Bookings and Drivers'!AC111</f>
        <v>0</v>
      </c>
      <c r="V664">
        <f>'Bookings and Drivers'!AD111</f>
        <v>0</v>
      </c>
      <c r="W664">
        <f>'Bookings and Drivers'!AE111</f>
        <v>0</v>
      </c>
      <c r="X664">
        <f>'Bookings and Drivers'!AF111</f>
        <v>0</v>
      </c>
      <c r="Y664">
        <f>'Bookings and Drivers'!AG111</f>
        <v>0</v>
      </c>
      <c r="Z664">
        <f>'Bookings and Drivers'!AH111</f>
        <v>0</v>
      </c>
      <c r="AA664">
        <f>'Bookings and Drivers'!AI111</f>
        <v>0</v>
      </c>
      <c r="AB664">
        <f>'Bookings and Drivers'!AJ111</f>
        <v>0</v>
      </c>
      <c r="AC664">
        <f>'Bookings and Drivers'!AK111</f>
        <v>0</v>
      </c>
      <c r="AD664">
        <f>'Bookings and Drivers'!AL111</f>
        <v>0</v>
      </c>
      <c r="AE664">
        <f>'Bookings and Drivers'!AM111</f>
        <v>0</v>
      </c>
      <c r="AF664">
        <f>'Bookings and Drivers'!AN111</f>
        <v>0</v>
      </c>
      <c r="AG664">
        <f>'Bookings and Drivers'!AO111</f>
        <v>0</v>
      </c>
      <c r="AH664">
        <f>'Bookings and Drivers'!AP111</f>
        <v>0</v>
      </c>
      <c r="AI664">
        <f>'Bookings and Drivers'!AQ111</f>
        <v>0</v>
      </c>
      <c r="AJ664">
        <f>'Bookings and Drivers'!AR111</f>
        <v>0</v>
      </c>
      <c r="AK664">
        <f>'Bookings and Drivers'!AS111</f>
        <v>0</v>
      </c>
      <c r="AL664">
        <f>'Bookings and Drivers'!AT111</f>
        <v>0</v>
      </c>
      <c r="AM664">
        <f>'Bookings and Drivers'!AU111</f>
        <v>0</v>
      </c>
      <c r="AN664">
        <f>'Bookings and Drivers'!AV111</f>
        <v>0</v>
      </c>
      <c r="AO664">
        <f>'Bookings and Drivers'!AW111</f>
        <v>0</v>
      </c>
      <c r="AP664">
        <f>'Bookings and Drivers'!AX111</f>
        <v>0</v>
      </c>
      <c r="AQ664">
        <f>'Bookings and Drivers'!AY111</f>
        <v>0</v>
      </c>
      <c r="AR664">
        <f>'Bookings and Drivers'!AZ111</f>
        <v>0</v>
      </c>
      <c r="AS664">
        <f>'Bookings and Drivers'!BA111</f>
        <v>0</v>
      </c>
      <c r="AT664">
        <f>'Bookings and Drivers'!BB111</f>
        <v>0</v>
      </c>
      <c r="AU664">
        <f>'Bookings and Drivers'!BC111</f>
        <v>0</v>
      </c>
      <c r="AV664">
        <f>'Bookings and Drivers'!BD111</f>
        <v>0</v>
      </c>
      <c r="AW664">
        <f>'Bookings and Drivers'!BE111</f>
        <v>0</v>
      </c>
      <c r="AX664">
        <f>'Bookings and Drivers'!BF111</f>
        <v>0</v>
      </c>
      <c r="AY664">
        <f>'Bookings and Drivers'!BG111</f>
        <v>0</v>
      </c>
      <c r="AZ664">
        <f>'Bookings and Drivers'!BH111</f>
        <v>0</v>
      </c>
      <c r="BA664">
        <f>'Bookings and Drivers'!BI111</f>
        <v>0</v>
      </c>
      <c r="BB664">
        <f>'Bookings and Drivers'!BJ111</f>
        <v>0</v>
      </c>
      <c r="BC664">
        <f>'Bookings and Drivers'!BK111</f>
        <v>0</v>
      </c>
      <c r="BD664">
        <f>'Bookings and Drivers'!BL111</f>
        <v>0</v>
      </c>
      <c r="BE664">
        <f>'Bookings and Drivers'!BM111</f>
        <v>0</v>
      </c>
      <c r="BF664">
        <f>'Bookings and Drivers'!BN111</f>
        <v>0</v>
      </c>
      <c r="BG664">
        <f>'Bookings and Drivers'!BO111</f>
        <v>0</v>
      </c>
      <c r="BH664">
        <f>'Bookings and Drivers'!BP111</f>
        <v>0</v>
      </c>
      <c r="BI664">
        <f>'Bookings and Drivers'!BQ111</f>
        <v>0</v>
      </c>
      <c r="BJ664">
        <f>'Bookings and Drivers'!BR111</f>
        <v>0</v>
      </c>
      <c r="BL664">
        <f>'Bookings and Drivers'!BT111</f>
        <v>0</v>
      </c>
      <c r="BM664">
        <f>'Bookings and Drivers'!BU111</f>
        <v>0</v>
      </c>
      <c r="BN664">
        <f>'Bookings and Drivers'!BV111</f>
        <v>0</v>
      </c>
      <c r="BO664">
        <f>'Bookings and Drivers'!BW111</f>
        <v>0</v>
      </c>
      <c r="BP664">
        <f>'Bookings and Drivers'!BX111</f>
        <v>0</v>
      </c>
      <c r="BQ664">
        <f>'Bookings and Drivers'!BY111</f>
        <v>0</v>
      </c>
      <c r="BR664">
        <f>'Bookings and Drivers'!BZ111</f>
        <v>0</v>
      </c>
      <c r="BS664">
        <f>'Bookings and Drivers'!CA111</f>
        <v>0</v>
      </c>
      <c r="BT664">
        <f>'Bookings and Drivers'!CB111</f>
        <v>0</v>
      </c>
      <c r="BU664">
        <f>'Bookings and Drivers'!CC111</f>
        <v>0</v>
      </c>
      <c r="BV664">
        <f>'Bookings and Drivers'!CD111</f>
        <v>0</v>
      </c>
      <c r="BW664">
        <f>'Bookings and Drivers'!CE111</f>
        <v>0</v>
      </c>
      <c r="BX664">
        <f>'Bookings and Drivers'!CF111</f>
        <v>0</v>
      </c>
      <c r="BY664">
        <f>'Bookings and Drivers'!CG111</f>
        <v>0</v>
      </c>
      <c r="BZ664">
        <f>'Bookings and Drivers'!CH111</f>
        <v>0</v>
      </c>
      <c r="CA664">
        <f>'Bookings and Drivers'!CI111</f>
        <v>0</v>
      </c>
      <c r="CB664">
        <f>'Bookings and Drivers'!CJ111</f>
        <v>0</v>
      </c>
      <c r="CC664">
        <f>'Bookings and Drivers'!CK111</f>
        <v>0</v>
      </c>
      <c r="CD664">
        <f>'Bookings and Drivers'!CL111</f>
        <v>0</v>
      </c>
      <c r="CE664">
        <f>'Bookings and Drivers'!CM111</f>
        <v>0</v>
      </c>
      <c r="CF664">
        <f>'Bookings and Drivers'!CN111</f>
        <v>0</v>
      </c>
      <c r="CG664">
        <f>'Bookings and Drivers'!CO111</f>
        <v>0</v>
      </c>
      <c r="CH664">
        <f>'Bookings and Drivers'!CP111</f>
        <v>0</v>
      </c>
      <c r="CI664">
        <f>'Bookings and Drivers'!CQ111</f>
        <v>0</v>
      </c>
      <c r="CJ664">
        <f>'Bookings and Drivers'!CR111</f>
        <v>0</v>
      </c>
      <c r="CK664">
        <f>'Bookings and Drivers'!CS111</f>
        <v>0</v>
      </c>
      <c r="CL664">
        <f>'Bookings and Drivers'!CT111</f>
        <v>0</v>
      </c>
      <c r="CM664">
        <f>'Bookings and Drivers'!CU111</f>
        <v>0</v>
      </c>
      <c r="CN664">
        <f>'Bookings and Drivers'!CV111</f>
        <v>0</v>
      </c>
      <c r="CO664">
        <f>'Bookings and Drivers'!CW111</f>
        <v>0</v>
      </c>
      <c r="CP664">
        <f>'Bookings and Drivers'!CX111</f>
        <v>0</v>
      </c>
      <c r="CQ664">
        <f>'Bookings and Drivers'!CY111</f>
        <v>0</v>
      </c>
      <c r="CR664">
        <f>'Bookings and Drivers'!CZ111</f>
        <v>0</v>
      </c>
      <c r="CS664">
        <f>'Bookings and Drivers'!DA111</f>
        <v>0</v>
      </c>
      <c r="CT664">
        <f>'Bookings and Drivers'!DB111</f>
        <v>0</v>
      </c>
      <c r="CU664">
        <f>'Bookings and Drivers'!DC111</f>
        <v>0</v>
      </c>
      <c r="CV664">
        <f>'Bookings and Drivers'!DD111</f>
        <v>0</v>
      </c>
      <c r="CW664">
        <f>'Bookings and Drivers'!DE111</f>
        <v>0</v>
      </c>
      <c r="CX664">
        <f>'Bookings and Drivers'!DF111</f>
        <v>0</v>
      </c>
    </row>
    <row r="665" spans="1:102">
      <c r="A665" t="str">
        <f>'Bookings and Drivers'!I112</f>
        <v>Period-to-period change Y/Y</v>
      </c>
      <c r="B665">
        <f>'Bookings and Drivers'!J112</f>
        <v>0</v>
      </c>
      <c r="C665">
        <f>'Bookings and Drivers'!K112</f>
        <v>0</v>
      </c>
      <c r="D665">
        <f>'Bookings and Drivers'!L112</f>
        <v>0</v>
      </c>
      <c r="E665">
        <f>'Bookings and Drivers'!M112</f>
        <v>0</v>
      </c>
      <c r="F665">
        <f>'Bookings and Drivers'!N112</f>
        <v>0</v>
      </c>
      <c r="G665">
        <f>'Bookings and Drivers'!O112</f>
        <v>0</v>
      </c>
      <c r="H665">
        <f>'Bookings and Drivers'!P112</f>
        <v>0</v>
      </c>
      <c r="I665">
        <f>'Bookings and Drivers'!Q112</f>
        <v>0</v>
      </c>
      <c r="J665">
        <f>'Bookings and Drivers'!R112</f>
        <v>0</v>
      </c>
      <c r="K665">
        <f>'Bookings and Drivers'!S112</f>
        <v>0</v>
      </c>
      <c r="L665">
        <f>'Bookings and Drivers'!T112</f>
        <v>0</v>
      </c>
      <c r="M665">
        <f>'Bookings and Drivers'!U112</f>
        <v>0</v>
      </c>
      <c r="N665">
        <f>'Bookings and Drivers'!V112</f>
        <v>0</v>
      </c>
      <c r="O665">
        <f>'Bookings and Drivers'!W112</f>
        <v>0</v>
      </c>
      <c r="P665">
        <f>'Bookings and Drivers'!X112</f>
        <v>0</v>
      </c>
      <c r="Q665">
        <f>'Bookings and Drivers'!Y112</f>
        <v>0</v>
      </c>
      <c r="R665">
        <f>'Bookings and Drivers'!Z112</f>
        <v>0</v>
      </c>
      <c r="S665">
        <f>'Bookings and Drivers'!AA112</f>
        <v>0</v>
      </c>
      <c r="T665">
        <f>'Bookings and Drivers'!AB112</f>
        <v>0</v>
      </c>
      <c r="U665">
        <f>'Bookings and Drivers'!AC112</f>
        <v>0</v>
      </c>
      <c r="V665">
        <f>'Bookings and Drivers'!AD112</f>
        <v>0</v>
      </c>
      <c r="W665">
        <f>'Bookings and Drivers'!AE112</f>
        <v>0</v>
      </c>
      <c r="X665">
        <f>'Bookings and Drivers'!AF112</f>
        <v>0</v>
      </c>
      <c r="Y665">
        <f>'Bookings and Drivers'!AG112</f>
        <v>0</v>
      </c>
      <c r="Z665">
        <f>'Bookings and Drivers'!AH112</f>
        <v>0</v>
      </c>
      <c r="AA665">
        <f>'Bookings and Drivers'!AI112</f>
        <v>0</v>
      </c>
      <c r="AB665">
        <f>'Bookings and Drivers'!AJ112</f>
        <v>0</v>
      </c>
      <c r="AC665">
        <f>'Bookings and Drivers'!AK112</f>
        <v>0</v>
      </c>
      <c r="AD665">
        <f>'Bookings and Drivers'!AL112</f>
        <v>0</v>
      </c>
      <c r="AE665">
        <f>'Bookings and Drivers'!AM112</f>
        <v>0</v>
      </c>
      <c r="AF665">
        <f>'Bookings and Drivers'!AN112</f>
        <v>0</v>
      </c>
      <c r="AG665">
        <f>'Bookings and Drivers'!AO112</f>
        <v>0</v>
      </c>
      <c r="AH665">
        <f>'Bookings and Drivers'!AP112</f>
        <v>0</v>
      </c>
      <c r="AI665">
        <f>'Bookings and Drivers'!AQ112</f>
        <v>0</v>
      </c>
      <c r="AJ665">
        <f>'Bookings and Drivers'!AR112</f>
        <v>0</v>
      </c>
      <c r="AK665">
        <f>'Bookings and Drivers'!AS112</f>
        <v>0</v>
      </c>
      <c r="AL665">
        <f>'Bookings and Drivers'!AT112</f>
        <v>0</v>
      </c>
      <c r="AM665">
        <f>'Bookings and Drivers'!AU112</f>
        <v>0</v>
      </c>
      <c r="AN665">
        <f>'Bookings and Drivers'!AV112</f>
        <v>0</v>
      </c>
      <c r="AO665">
        <f>'Bookings and Drivers'!AW112</f>
        <v>0</v>
      </c>
      <c r="AP665">
        <f>'Bookings and Drivers'!AX112</f>
        <v>0</v>
      </c>
      <c r="AQ665">
        <f>'Bookings and Drivers'!AY112</f>
        <v>0</v>
      </c>
      <c r="AR665">
        <f>'Bookings and Drivers'!AZ112</f>
        <v>0</v>
      </c>
      <c r="AS665">
        <f>'Bookings and Drivers'!BA112</f>
        <v>0</v>
      </c>
      <c r="AT665">
        <f>'Bookings and Drivers'!BB112</f>
        <v>0</v>
      </c>
      <c r="AU665">
        <f>'Bookings and Drivers'!BC112</f>
        <v>0</v>
      </c>
      <c r="AV665">
        <f>'Bookings and Drivers'!BD112</f>
        <v>0</v>
      </c>
      <c r="AW665">
        <f>'Bookings and Drivers'!BE112</f>
        <v>0</v>
      </c>
      <c r="AX665">
        <f>'Bookings and Drivers'!BF112</f>
        <v>0</v>
      </c>
      <c r="AY665">
        <f>'Bookings and Drivers'!BG112</f>
        <v>0</v>
      </c>
      <c r="AZ665">
        <f>'Bookings and Drivers'!BH112</f>
        <v>0</v>
      </c>
      <c r="BA665">
        <f>'Bookings and Drivers'!BI112</f>
        <v>0</v>
      </c>
      <c r="BB665">
        <f>'Bookings and Drivers'!BJ112</f>
        <v>0</v>
      </c>
      <c r="BC665">
        <f>'Bookings and Drivers'!BK112</f>
        <v>0</v>
      </c>
      <c r="BD665">
        <f>'Bookings and Drivers'!BL112</f>
        <v>0</v>
      </c>
      <c r="BE665">
        <f>'Bookings and Drivers'!BM112</f>
        <v>0</v>
      </c>
      <c r="BF665">
        <f>'Bookings and Drivers'!BN112</f>
        <v>0</v>
      </c>
      <c r="BG665">
        <f>'Bookings and Drivers'!BO112</f>
        <v>0</v>
      </c>
      <c r="BH665">
        <f>'Bookings and Drivers'!BP112</f>
        <v>0</v>
      </c>
      <c r="BI665">
        <f>'Bookings and Drivers'!BQ112</f>
        <v>0</v>
      </c>
      <c r="BJ665">
        <f>'Bookings and Drivers'!BR112</f>
        <v>0</v>
      </c>
      <c r="BK665">
        <f>'Bookings and Drivers'!BS112</f>
        <v>0</v>
      </c>
      <c r="BL665">
        <f>'Bookings and Drivers'!BT112</f>
        <v>0</v>
      </c>
      <c r="BM665">
        <f>'Bookings and Drivers'!BU112</f>
        <v>0</v>
      </c>
      <c r="BN665">
        <f>'Bookings and Drivers'!BV112</f>
        <v>0</v>
      </c>
      <c r="BO665">
        <f>'Bookings and Drivers'!BW112</f>
        <v>0</v>
      </c>
      <c r="BP665">
        <f>'Bookings and Drivers'!BX112</f>
        <v>0</v>
      </c>
      <c r="BQ665">
        <f>'Bookings and Drivers'!BY112</f>
        <v>0</v>
      </c>
      <c r="BR665">
        <f>'Bookings and Drivers'!BZ112</f>
        <v>0</v>
      </c>
      <c r="BS665">
        <f>'Bookings and Drivers'!CA112</f>
        <v>0</v>
      </c>
      <c r="BT665">
        <f>'Bookings and Drivers'!CB112</f>
        <v>0</v>
      </c>
      <c r="BU665">
        <f>'Bookings and Drivers'!CC112</f>
        <v>0</v>
      </c>
      <c r="BV665">
        <f>'Bookings and Drivers'!CD112</f>
        <v>0</v>
      </c>
      <c r="BW665">
        <f>'Bookings and Drivers'!CE112</f>
        <v>0</v>
      </c>
      <c r="BX665">
        <f>'Bookings and Drivers'!CF112</f>
        <v>0</v>
      </c>
      <c r="BY665">
        <f>'Bookings and Drivers'!CG112</f>
        <v>0</v>
      </c>
      <c r="BZ665">
        <f>'Bookings and Drivers'!CH112</f>
        <v>0</v>
      </c>
      <c r="CA665">
        <f>'Bookings and Drivers'!CI112</f>
        <v>0</v>
      </c>
      <c r="CB665">
        <f>'Bookings and Drivers'!CJ112</f>
        <v>0</v>
      </c>
      <c r="CC665">
        <f>'Bookings and Drivers'!CK112</f>
        <v>0</v>
      </c>
      <c r="CD665">
        <f>'Bookings and Drivers'!CL112</f>
        <v>0</v>
      </c>
      <c r="CE665">
        <f>'Bookings and Drivers'!CM112</f>
        <v>0</v>
      </c>
      <c r="CF665">
        <f>'Bookings and Drivers'!CN112</f>
        <v>0</v>
      </c>
      <c r="CG665">
        <f>'Bookings and Drivers'!CO112</f>
        <v>0</v>
      </c>
      <c r="CH665">
        <f>'Bookings and Drivers'!CP112</f>
        <v>0</v>
      </c>
      <c r="CI665">
        <f>'Bookings and Drivers'!CQ112</f>
        <v>0</v>
      </c>
      <c r="CJ665">
        <f>'Bookings and Drivers'!CR112</f>
        <v>0</v>
      </c>
      <c r="CK665">
        <f>'Bookings and Drivers'!CS112</f>
        <v>0</v>
      </c>
      <c r="CL665">
        <f>'Bookings and Drivers'!CT112</f>
        <v>0</v>
      </c>
      <c r="CM665">
        <f>'Bookings and Drivers'!CU112</f>
        <v>0</v>
      </c>
      <c r="CN665">
        <f>'Bookings and Drivers'!CV112</f>
        <v>0</v>
      </c>
      <c r="CO665">
        <f>'Bookings and Drivers'!CW112</f>
        <v>0</v>
      </c>
      <c r="CP665">
        <f>'Bookings and Drivers'!CX112</f>
        <v>0</v>
      </c>
      <c r="CQ665">
        <f>'Bookings and Drivers'!CY112</f>
        <v>0</v>
      </c>
      <c r="CR665">
        <f>'Bookings and Drivers'!CZ112</f>
        <v>0</v>
      </c>
      <c r="CS665">
        <f>'Bookings and Drivers'!DA112</f>
        <v>0</v>
      </c>
      <c r="CT665">
        <f>'Bookings and Drivers'!DB112</f>
        <v>0</v>
      </c>
      <c r="CU665">
        <f>'Bookings and Drivers'!DC112</f>
        <v>0</v>
      </c>
      <c r="CV665">
        <f>'Bookings and Drivers'!DD112</f>
        <v>0</v>
      </c>
      <c r="CW665">
        <f>'Bookings and Drivers'!DE112</f>
        <v>0</v>
      </c>
      <c r="CX665">
        <f>'Bookings and Drivers'!DF112</f>
        <v>0</v>
      </c>
    </row>
    <row r="666" spans="1:102">
      <c r="A666" t="str">
        <f>'Bookings and Drivers'!I113</f>
        <v>Domestic Room Nights Sold</v>
      </c>
      <c r="B666">
        <f>'Bookings and Drivers'!J113</f>
        <v>0</v>
      </c>
      <c r="C666">
        <f>'Bookings and Drivers'!K113</f>
        <v>0</v>
      </c>
      <c r="D666">
        <f>'Bookings and Drivers'!L113</f>
        <v>0</v>
      </c>
      <c r="E666">
        <f>'Bookings and Drivers'!M113</f>
        <v>0</v>
      </c>
      <c r="F666">
        <f>'Bookings and Drivers'!N113</f>
        <v>0</v>
      </c>
      <c r="G666">
        <f>'Bookings and Drivers'!O113</f>
        <v>0</v>
      </c>
      <c r="H666">
        <f>'Bookings and Drivers'!P113</f>
        <v>0</v>
      </c>
      <c r="I666">
        <f>'Bookings and Drivers'!Q113</f>
        <v>0</v>
      </c>
      <c r="J666">
        <f>'Bookings and Drivers'!R113</f>
        <v>0</v>
      </c>
      <c r="K666">
        <f>'Bookings and Drivers'!S113</f>
        <v>0</v>
      </c>
      <c r="L666">
        <f>'Bookings and Drivers'!T113</f>
        <v>0</v>
      </c>
      <c r="M666">
        <f>'Bookings and Drivers'!U113</f>
        <v>0</v>
      </c>
      <c r="N666">
        <f>'Bookings and Drivers'!V113</f>
        <v>0</v>
      </c>
      <c r="O666">
        <f>'Bookings and Drivers'!W113</f>
        <v>0</v>
      </c>
      <c r="P666">
        <f>'Bookings and Drivers'!X113</f>
        <v>0</v>
      </c>
      <c r="Q666">
        <f>'Bookings and Drivers'!Y113</f>
        <v>0</v>
      </c>
      <c r="R666">
        <f>'Bookings and Drivers'!Z113</f>
        <v>0</v>
      </c>
      <c r="S666">
        <f>'Bookings and Drivers'!AA113</f>
        <v>0</v>
      </c>
      <c r="T666">
        <f>'Bookings and Drivers'!AB113</f>
        <v>0</v>
      </c>
      <c r="U666">
        <f>'Bookings and Drivers'!AC113</f>
        <v>0</v>
      </c>
      <c r="V666">
        <f>'Bookings and Drivers'!AD113</f>
        <v>0</v>
      </c>
      <c r="W666">
        <f>'Bookings and Drivers'!AE113</f>
        <v>0</v>
      </c>
      <c r="X666">
        <f>'Bookings and Drivers'!AF113</f>
        <v>0</v>
      </c>
      <c r="Y666">
        <f>'Bookings and Drivers'!AG113</f>
        <v>0</v>
      </c>
      <c r="Z666">
        <f>'Bookings and Drivers'!AH113</f>
        <v>0</v>
      </c>
      <c r="AA666">
        <f>'Bookings and Drivers'!AI113</f>
        <v>0</v>
      </c>
      <c r="AB666">
        <f>'Bookings and Drivers'!AJ113</f>
        <v>0</v>
      </c>
      <c r="AC666">
        <f>'Bookings and Drivers'!AK113</f>
        <v>160.19696809668562</v>
      </c>
      <c r="AD666">
        <f>'Bookings and Drivers'!AL113</f>
        <v>257.76270065602716</v>
      </c>
      <c r="AE666">
        <f>'Bookings and Drivers'!AM113</f>
        <v>244.29089529348175</v>
      </c>
      <c r="AF666">
        <f>'Bookings and Drivers'!AN113</f>
        <v>302.22738342907383</v>
      </c>
      <c r="AG666">
        <f>'Bookings and Drivers'!AO113</f>
        <v>573.60074734864702</v>
      </c>
      <c r="AH666">
        <f>'Bookings and Drivers'!AP113</f>
        <v>794.19670247590329</v>
      </c>
      <c r="AI666">
        <f>'Bookings and Drivers'!AQ113</f>
        <v>733.73945153145814</v>
      </c>
      <c r="AJ666">
        <f>'Bookings and Drivers'!AR113</f>
        <v>947.45800083216818</v>
      </c>
      <c r="AK666">
        <f>'Bookings and Drivers'!AS113</f>
        <v>1044.8827618286405</v>
      </c>
      <c r="AL666">
        <f>'Bookings and Drivers'!AT113</f>
        <v>1555.1168428966175</v>
      </c>
      <c r="AM666">
        <f>'Bookings and Drivers'!AU113</f>
        <v>1765.7019424878436</v>
      </c>
      <c r="AN666">
        <f>'Bookings and Drivers'!AV113</f>
        <v>931.53583051070746</v>
      </c>
      <c r="AO666">
        <f>'Bookings and Drivers'!AW113</f>
        <v>728.86509790997479</v>
      </c>
      <c r="AP666">
        <f>'Bookings and Drivers'!AX113</f>
        <v>748.84867667498293</v>
      </c>
      <c r="AQ666">
        <f>'Bookings and Drivers'!AY113</f>
        <v>601.02623913703246</v>
      </c>
      <c r="AR666">
        <f>'Bookings and Drivers'!AZ113</f>
        <v>510.46852565457812</v>
      </c>
      <c r="AS666">
        <f>'Bookings and Drivers'!BA113</f>
        <v>251.2188802615965</v>
      </c>
      <c r="AT666">
        <f>'Bookings and Drivers'!BB113</f>
        <v>-272.08405291716281</v>
      </c>
      <c r="AU666">
        <f>'Bookings and Drivers'!BC113</f>
        <v>216.48238525576744</v>
      </c>
      <c r="AV666">
        <f>'Bookings and Drivers'!BD113</f>
        <v>335.31558952271098</v>
      </c>
      <c r="AW666">
        <f>'Bookings and Drivers'!BE113</f>
        <v>45.44554455445541</v>
      </c>
      <c r="AX666">
        <f>'Bookings and Drivers'!BF113</f>
        <v>-86.815869786368239</v>
      </c>
      <c r="AY666">
        <f>'Bookings and Drivers'!BG113</f>
        <v>-84.060913705583516</v>
      </c>
      <c r="AZ666">
        <f>'Bookings and Drivers'!BH113</f>
        <v>-70.355329949238694</v>
      </c>
      <c r="BA666">
        <f>'Bookings and Drivers'!BI113</f>
        <v>45.899999999999636</v>
      </c>
      <c r="BB666">
        <f>'Bookings and Drivers'!BJ113</f>
        <v>251</v>
      </c>
      <c r="BC666">
        <f>'Bookings and Drivers'!BK113</f>
        <v>441.60000000000036</v>
      </c>
      <c r="BD666">
        <f>'Bookings and Drivers'!BL113</f>
        <v>924</v>
      </c>
      <c r="BE666">
        <f>'Bookings and Drivers'!BM113</f>
        <v>278.15400000000045</v>
      </c>
      <c r="BF666">
        <f>'Bookings and Drivers'!BN113</f>
        <v>316.26000000000022</v>
      </c>
      <c r="BG666">
        <f>'Bookings and Drivers'!BO113</f>
        <v>357.69599999999991</v>
      </c>
      <c r="BH666">
        <f>'Bookings and Drivers'!BP113</f>
        <v>277.19999999999982</v>
      </c>
      <c r="BI666">
        <f>'Bookings and Drivers'!BQ113</f>
        <v>245.70269999999982</v>
      </c>
      <c r="BJ666">
        <f>'Bookings and Drivers'!BR113</f>
        <v>279.36300000000028</v>
      </c>
      <c r="BK666">
        <f>'Bookings and Drivers'!BS113</f>
        <v>315.96480000000065</v>
      </c>
      <c r="BL666">
        <f>'Bookings and Drivers'!BT113</f>
        <v>291.0600000000004</v>
      </c>
      <c r="BM666">
        <f>'Bookings and Drivers'!BU113</f>
        <v>257.9878349999999</v>
      </c>
      <c r="BN666">
        <f>'Bookings and Drivers'!BV113</f>
        <v>293.33114999999998</v>
      </c>
      <c r="BO666">
        <f>'Bookings and Drivers'!BW113</f>
        <v>331.76304000000073</v>
      </c>
      <c r="BP666">
        <f>'Bookings and Drivers'!BX113</f>
        <v>305.61300000000028</v>
      </c>
      <c r="BQ666">
        <f>'Bookings and Drivers'!BY113</f>
        <v>270.88722675000008</v>
      </c>
      <c r="BR666">
        <f>'Bookings and Drivers'!BZ113</f>
        <v>307.99770750000062</v>
      </c>
      <c r="BS666">
        <f>'Bookings and Drivers'!CA113</f>
        <v>348.35119200000008</v>
      </c>
      <c r="BT666">
        <f>'Bookings and Drivers'!CB113</f>
        <v>320.89364999999998</v>
      </c>
      <c r="BU666">
        <f>'Bookings and Drivers'!CC113</f>
        <v>284.43158808750013</v>
      </c>
      <c r="BV666">
        <f>'Bookings and Drivers'!CD113</f>
        <v>323.39759287500056</v>
      </c>
      <c r="BW666">
        <f>'Bookings and Drivers'!CE113</f>
        <v>365.76875160000054</v>
      </c>
      <c r="BX666">
        <f>'Bookings and Drivers'!CF113</f>
        <v>336.93833249999989</v>
      </c>
      <c r="BY666">
        <f>'Bookings and Drivers'!CG113</f>
        <v>0</v>
      </c>
      <c r="BZ666">
        <f>'Bookings and Drivers'!CH113</f>
        <v>0</v>
      </c>
      <c r="CA666">
        <f>'Bookings and Drivers'!CI113</f>
        <v>0</v>
      </c>
      <c r="CB666">
        <f>'Bookings and Drivers'!CJ113</f>
        <v>0</v>
      </c>
      <c r="CC666">
        <f>'Bookings and Drivers'!CK113</f>
        <v>0</v>
      </c>
      <c r="CD666">
        <f>'Bookings and Drivers'!CL113</f>
        <v>0</v>
      </c>
      <c r="CE666">
        <f>'Bookings and Drivers'!CM113</f>
        <v>0</v>
      </c>
      <c r="CF666">
        <f>'Bookings and Drivers'!CN113</f>
        <v>0</v>
      </c>
      <c r="CG666">
        <f>'Bookings and Drivers'!CO113</f>
        <v>3048.9949021881766</v>
      </c>
      <c r="CH666">
        <f>'Bookings and Drivers'!CP113</f>
        <v>5297.2373777238099</v>
      </c>
      <c r="CI666">
        <f>'Bookings and Drivers'!CQ113</f>
        <v>2589.2085393765665</v>
      </c>
      <c r="CJ666">
        <f>'Bookings and Drivers'!CR113</f>
        <v>530.93280212291211</v>
      </c>
      <c r="CK666">
        <f>'Bookings and Drivers'!CS113</f>
        <v>-195.78656888673504</v>
      </c>
      <c r="CL666">
        <f>'Bookings and Drivers'!CT113</f>
        <v>1662.5</v>
      </c>
      <c r="CM666">
        <f>'Bookings and Drivers'!CU113</f>
        <v>1229.3100000000013</v>
      </c>
      <c r="CN666">
        <f>'Bookings and Drivers'!CV113</f>
        <v>1132.0905000000021</v>
      </c>
      <c r="CO666">
        <f>'Bookings and Drivers'!CW113</f>
        <v>1188.6950249999973</v>
      </c>
      <c r="CP666">
        <f>'Bookings and Drivers'!CX113</f>
        <v>1248.1297762500035</v>
      </c>
      <c r="CQ666">
        <f>'Bookings and Drivers'!CY113</f>
        <v>1310.5362650624993</v>
      </c>
      <c r="CR666">
        <f>'Bookings and Drivers'!CZ113</f>
        <v>1100.8504626525028</v>
      </c>
      <c r="CS666">
        <f>'Bookings and Drivers'!DA113</f>
        <v>1144.8844811586023</v>
      </c>
      <c r="CT666">
        <f>'Bookings and Drivers'!DB113</f>
        <v>1190.6798604049436</v>
      </c>
      <c r="CU666">
        <f>'Bookings and Drivers'!DC113</f>
        <v>1238.3070548211435</v>
      </c>
      <c r="CV666">
        <f>'Bookings and Drivers'!DD113</f>
        <v>1287.8393370139893</v>
      </c>
      <c r="CW666">
        <f>'Bookings and Drivers'!DE113</f>
        <v>1339.3529104945483</v>
      </c>
      <c r="CX666">
        <f>'Bookings and Drivers'!DF113</f>
        <v>1392.9270269143308</v>
      </c>
    </row>
    <row r="667" spans="1:102">
      <c r="A667" t="str">
        <f>'Bookings and Drivers'!I114</f>
        <v>International Room Nights Sold</v>
      </c>
      <c r="B667">
        <f>'Bookings and Drivers'!J114</f>
        <v>0</v>
      </c>
      <c r="C667">
        <f>'Bookings and Drivers'!K114</f>
        <v>0</v>
      </c>
      <c r="D667">
        <f>'Bookings and Drivers'!L114</f>
        <v>0</v>
      </c>
      <c r="E667">
        <f>'Bookings and Drivers'!M114</f>
        <v>0</v>
      </c>
      <c r="F667">
        <f>'Bookings and Drivers'!N114</f>
        <v>0</v>
      </c>
      <c r="G667">
        <f>'Bookings and Drivers'!O114</f>
        <v>0</v>
      </c>
      <c r="H667">
        <f>'Bookings and Drivers'!P114</f>
        <v>0</v>
      </c>
      <c r="I667">
        <f>'Bookings and Drivers'!Q114</f>
        <v>0</v>
      </c>
      <c r="J667">
        <f>'Bookings and Drivers'!R114</f>
        <v>0</v>
      </c>
      <c r="K667">
        <f>'Bookings and Drivers'!S114</f>
        <v>0</v>
      </c>
      <c r="L667">
        <f>'Bookings and Drivers'!T114</f>
        <v>0</v>
      </c>
      <c r="M667">
        <f>'Bookings and Drivers'!U114</f>
        <v>0</v>
      </c>
      <c r="N667">
        <f>'Bookings and Drivers'!V114</f>
        <v>0</v>
      </c>
      <c r="O667">
        <f>'Bookings and Drivers'!W114</f>
        <v>0</v>
      </c>
      <c r="P667">
        <f>'Bookings and Drivers'!X114</f>
        <v>0</v>
      </c>
      <c r="Q667">
        <f>'Bookings and Drivers'!Y114</f>
        <v>0</v>
      </c>
      <c r="R667">
        <f>'Bookings and Drivers'!Z114</f>
        <v>0</v>
      </c>
      <c r="S667">
        <f>'Bookings and Drivers'!AA114</f>
        <v>0</v>
      </c>
      <c r="T667">
        <f>'Bookings and Drivers'!AB114</f>
        <v>0</v>
      </c>
      <c r="U667">
        <f>'Bookings and Drivers'!AC114</f>
        <v>0</v>
      </c>
      <c r="V667">
        <f>'Bookings and Drivers'!AD114</f>
        <v>0</v>
      </c>
      <c r="W667">
        <f>'Bookings and Drivers'!AE114</f>
        <v>0</v>
      </c>
      <c r="X667">
        <f>'Bookings and Drivers'!AF114</f>
        <v>0</v>
      </c>
      <c r="Y667">
        <f>'Bookings and Drivers'!AG114</f>
        <v>0</v>
      </c>
      <c r="Z667">
        <f>'Bookings and Drivers'!AH114</f>
        <v>0</v>
      </c>
      <c r="AA667">
        <f>'Bookings and Drivers'!AI114</f>
        <v>0</v>
      </c>
      <c r="AB667">
        <f>'Bookings and Drivers'!AJ114</f>
        <v>0</v>
      </c>
      <c r="AC667">
        <f>'Bookings and Drivers'!AK114</f>
        <v>1643.8136030518012</v>
      </c>
      <c r="AD667">
        <f>'Bookings and Drivers'!AL114</f>
        <v>2119.7604096853402</v>
      </c>
      <c r="AE667">
        <f>'Bookings and Drivers'!AM114</f>
        <v>2547.4022774151631</v>
      </c>
      <c r="AF667">
        <f>'Bookings and Drivers'!AN114</f>
        <v>2121.6446847759689</v>
      </c>
      <c r="AG667">
        <f>'Bookings and Drivers'!AO114</f>
        <v>2846.399252651353</v>
      </c>
      <c r="AH667">
        <f>'Bookings and Drivers'!AP114</f>
        <v>2842.8032975240967</v>
      </c>
      <c r="AI667">
        <f>'Bookings and Drivers'!AQ114</f>
        <v>2736.2605484685419</v>
      </c>
      <c r="AJ667">
        <f>'Bookings and Drivers'!AR114</f>
        <v>1562.5419991678318</v>
      </c>
      <c r="AK667">
        <f>'Bookings and Drivers'!AS114</f>
        <v>2365.1172381713595</v>
      </c>
      <c r="AL667">
        <f>'Bookings and Drivers'!AT114</f>
        <v>3230.8831571033825</v>
      </c>
      <c r="AM667">
        <f>'Bookings and Drivers'!AU114</f>
        <v>4669.2980575121564</v>
      </c>
      <c r="AN667">
        <f>'Bookings and Drivers'!AV114</f>
        <v>4535.4641694892925</v>
      </c>
      <c r="AO667">
        <f>'Bookings and Drivers'!AW114</f>
        <v>6528.1349020900252</v>
      </c>
      <c r="AP667">
        <f>'Bookings and Drivers'!AX114</f>
        <v>6786.1513233250171</v>
      </c>
      <c r="AQ667">
        <f>'Bookings and Drivers'!AY114</f>
        <v>9029.9737608629675</v>
      </c>
      <c r="AR667">
        <f>'Bookings and Drivers'!AZ114</f>
        <v>6896.5314743454219</v>
      </c>
      <c r="AS667">
        <f>'Bookings and Drivers'!BA114</f>
        <v>10906.781119738404</v>
      </c>
      <c r="AT667">
        <f>'Bookings and Drivers'!BB114</f>
        <v>13172.084052917162</v>
      </c>
      <c r="AU667">
        <f>'Bookings and Drivers'!BC114</f>
        <v>12883.517614744229</v>
      </c>
      <c r="AV667">
        <f>'Bookings and Drivers'!BD114</f>
        <v>11264.68441047729</v>
      </c>
      <c r="AW667">
        <f>'Bookings and Drivers'!BE114</f>
        <v>14654.554455445545</v>
      </c>
      <c r="AX667">
        <f>'Bookings and Drivers'!BF114</f>
        <v>14186.815869786369</v>
      </c>
      <c r="AY667">
        <f>'Bookings and Drivers'!BG114</f>
        <v>14684.060913705587</v>
      </c>
      <c r="AZ667">
        <f>'Bookings and Drivers'!BH114</f>
        <v>12670.355329949238</v>
      </c>
      <c r="BA667">
        <f>'Bookings and Drivers'!BI114</f>
        <v>17254.099999999999</v>
      </c>
      <c r="BB667">
        <f>'Bookings and Drivers'!BJ114</f>
        <v>18949</v>
      </c>
      <c r="BC667">
        <f>'Bookings and Drivers'!BK114</f>
        <v>19158.399999999994</v>
      </c>
      <c r="BD667">
        <f>'Bookings and Drivers'!BL114</f>
        <v>15976</v>
      </c>
      <c r="BE667">
        <f>'Bookings and Drivers'!BM114</f>
        <v>19921.845999999998</v>
      </c>
      <c r="BF667">
        <f>'Bookings and Drivers'!BN114</f>
        <v>19883.740000000005</v>
      </c>
      <c r="BG667">
        <f>'Bookings and Drivers'!BO114</f>
        <v>19642.304000000004</v>
      </c>
      <c r="BH667">
        <f>'Bookings and Drivers'!BP114</f>
        <v>14822.800000000003</v>
      </c>
      <c r="BI667">
        <f>'Bookings and Drivers'!BQ114</f>
        <v>20954.297300000006</v>
      </c>
      <c r="BJ667">
        <f>'Bookings and Drivers'!BR114</f>
        <v>23220.636999999988</v>
      </c>
      <c r="BK667">
        <f>'Bookings and Drivers'!BS114</f>
        <v>20484.035199999998</v>
      </c>
      <c r="BL667">
        <f>'Bookings and Drivers'!BT114</f>
        <v>20608.940000000002</v>
      </c>
      <c r="BM667">
        <f>'Bookings and Drivers'!BU114</f>
        <v>31642.012164999993</v>
      </c>
      <c r="BN667">
        <f>'Bookings and Drivers'!BV114</f>
        <v>27306.668850000002</v>
      </c>
      <c r="BO667">
        <f>'Bookings and Drivers'!BW114</f>
        <v>33668.236959999995</v>
      </c>
      <c r="BP667">
        <f>'Bookings and Drivers'!BX114</f>
        <v>30294.386999999988</v>
      </c>
      <c r="BQ667">
        <f>'Bookings and Drivers'!BY114</f>
        <v>37129.112773250003</v>
      </c>
      <c r="BR667">
        <f>'Bookings and Drivers'!BZ114</f>
        <v>29192.002292499994</v>
      </c>
      <c r="BS667">
        <f>'Bookings and Drivers'!CA114</f>
        <v>27551.648807999998</v>
      </c>
      <c r="BT667">
        <f>'Bookings and Drivers'!CB114</f>
        <v>21479.106350000002</v>
      </c>
      <c r="BU667">
        <f>'Bookings and Drivers'!CC114</f>
        <v>26072.762076928746</v>
      </c>
      <c r="BV667">
        <f>'Bookings and Drivers'!CD114</f>
        <v>31109.089147074992</v>
      </c>
      <c r="BW667">
        <f>'Bookings and Drivers'!CE114</f>
        <v>30633.232494239986</v>
      </c>
      <c r="BX667">
        <f>'Bookings and Drivers'!CF114</f>
        <v>28228.440503250022</v>
      </c>
      <c r="BY667">
        <f>'Bookings and Drivers'!CG114</f>
        <v>0</v>
      </c>
      <c r="BZ667">
        <f>'Bookings and Drivers'!CH114</f>
        <v>0</v>
      </c>
      <c r="CA667">
        <f>'Bookings and Drivers'!CI114</f>
        <v>0</v>
      </c>
      <c r="CB667">
        <f>'Bookings and Drivers'!CJ114</f>
        <v>0</v>
      </c>
      <c r="CC667">
        <f>'Bookings and Drivers'!CK114</f>
        <v>0</v>
      </c>
      <c r="CD667">
        <f>'Bookings and Drivers'!CL114</f>
        <v>0</v>
      </c>
      <c r="CE667">
        <f>'Bookings and Drivers'!CM114</f>
        <v>0</v>
      </c>
      <c r="CF667">
        <f>'Bookings and Drivers'!CN114</f>
        <v>0</v>
      </c>
      <c r="CG667">
        <f>'Bookings and Drivers'!CO114</f>
        <v>9988.0050978118234</v>
      </c>
      <c r="CH667">
        <f>'Bookings and Drivers'!CP114</f>
        <v>14800.76262227619</v>
      </c>
      <c r="CI667">
        <f>'Bookings and Drivers'!CQ114</f>
        <v>29240.791460623441</v>
      </c>
      <c r="CJ667">
        <f>'Bookings and Drivers'!CR114</f>
        <v>48227.067197877084</v>
      </c>
      <c r="CK667">
        <f>'Bookings and Drivers'!CS114</f>
        <v>56195.786568886731</v>
      </c>
      <c r="CL667">
        <f>'Bookings and Drivers'!CT114</f>
        <v>71337.5</v>
      </c>
      <c r="CM667">
        <f>'Bookings and Drivers'!CU114</f>
        <v>74270.69</v>
      </c>
      <c r="CN667">
        <f>'Bookings and Drivers'!CV114</f>
        <v>85267.909500000009</v>
      </c>
      <c r="CO667">
        <f>'Bookings and Drivers'!CW114</f>
        <v>122911.30497499998</v>
      </c>
      <c r="CP667">
        <f>'Bookings and Drivers'!CX114</f>
        <v>115351.87022375001</v>
      </c>
      <c r="CQ667">
        <f>'Bookings and Drivers'!CY114</f>
        <v>116043.52422149375</v>
      </c>
      <c r="CR667">
        <f>'Bookings and Drivers'!CZ114</f>
        <v>120436.99670156103</v>
      </c>
      <c r="CS667">
        <f>'Bookings and Drivers'!DA114</f>
        <v>119229.10712696298</v>
      </c>
      <c r="CT667">
        <f>'Bookings and Drivers'!DB114</f>
        <v>115767.58797592693</v>
      </c>
      <c r="CU667">
        <f>'Bookings and Drivers'!DC114</f>
        <v>113638.78402361809</v>
      </c>
      <c r="CV667">
        <f>'Bookings and Drivers'!DD114</f>
        <v>112667.20189204183</v>
      </c>
      <c r="CW667">
        <f>'Bookings and Drivers'!DE114</f>
        <v>110673.58205242665</v>
      </c>
      <c r="CX667">
        <f>'Bookings and Drivers'!DF114</f>
        <v>119782.5970557814</v>
      </c>
    </row>
    <row r="668" spans="1:102">
      <c r="A668" t="str">
        <f>'Bookings and Drivers'!I115</f>
        <v>Total Room Nights Sold</v>
      </c>
      <c r="B668">
        <f>'Bookings and Drivers'!J115</f>
        <v>0</v>
      </c>
      <c r="C668">
        <f>'Bookings and Drivers'!K115</f>
        <v>0</v>
      </c>
      <c r="D668">
        <f>'Bookings and Drivers'!L115</f>
        <v>0</v>
      </c>
      <c r="E668">
        <f>'Bookings and Drivers'!M115</f>
        <v>0</v>
      </c>
      <c r="F668">
        <f>'Bookings and Drivers'!N115</f>
        <v>0</v>
      </c>
      <c r="G668">
        <f>'Bookings and Drivers'!O115</f>
        <v>0</v>
      </c>
      <c r="H668">
        <f>'Bookings and Drivers'!P115</f>
        <v>0</v>
      </c>
      <c r="I668">
        <f>'Bookings and Drivers'!Q115</f>
        <v>0</v>
      </c>
      <c r="J668">
        <f>'Bookings and Drivers'!R115</f>
        <v>0</v>
      </c>
      <c r="K668">
        <f>'Bookings and Drivers'!S115</f>
        <v>0</v>
      </c>
      <c r="L668">
        <f>'Bookings and Drivers'!T115</f>
        <v>0</v>
      </c>
      <c r="M668">
        <f>'Bookings and Drivers'!U115</f>
        <v>0</v>
      </c>
      <c r="N668">
        <f>'Bookings and Drivers'!V115</f>
        <v>0</v>
      </c>
      <c r="O668">
        <f>'Bookings and Drivers'!W115</f>
        <v>0</v>
      </c>
      <c r="P668">
        <f>'Bookings and Drivers'!X115</f>
        <v>0</v>
      </c>
      <c r="Q668">
        <f>'Bookings and Drivers'!Y115</f>
        <v>0</v>
      </c>
      <c r="R668">
        <f>'Bookings and Drivers'!Z115</f>
        <v>0</v>
      </c>
      <c r="S668">
        <f>'Bookings and Drivers'!AA115</f>
        <v>0</v>
      </c>
      <c r="T668">
        <f>'Bookings and Drivers'!AB115</f>
        <v>0</v>
      </c>
      <c r="U668">
        <f>'Bookings and Drivers'!AC115</f>
        <v>0</v>
      </c>
      <c r="V668">
        <f>'Bookings and Drivers'!AD115</f>
        <v>0</v>
      </c>
      <c r="W668">
        <f>'Bookings and Drivers'!AE115</f>
        <v>0</v>
      </c>
      <c r="X668">
        <f>'Bookings and Drivers'!AF115</f>
        <v>0</v>
      </c>
      <c r="Y668">
        <f>'Bookings and Drivers'!AG115</f>
        <v>1597</v>
      </c>
      <c r="Z668">
        <f>'Bookings and Drivers'!AH115</f>
        <v>2259</v>
      </c>
      <c r="AA668">
        <f>'Bookings and Drivers'!AI115</f>
        <v>1739</v>
      </c>
      <c r="AB668">
        <f>'Bookings and Drivers'!AJ115</f>
        <v>1297</v>
      </c>
      <c r="AC668">
        <f>'Bookings and Drivers'!AK115</f>
        <v>1802</v>
      </c>
      <c r="AD668">
        <f>'Bookings and Drivers'!AL115</f>
        <v>2247</v>
      </c>
      <c r="AE668">
        <f>'Bookings and Drivers'!AM115</f>
        <v>2726</v>
      </c>
      <c r="AF668">
        <f>'Bookings and Drivers'!AN115</f>
        <v>2351</v>
      </c>
      <c r="AG668">
        <f>'Bookings and Drivers'!AO115</f>
        <v>3420</v>
      </c>
      <c r="AH668">
        <f>'Bookings and Drivers'!AP115</f>
        <v>3637</v>
      </c>
      <c r="AI668">
        <f>'Bookings and Drivers'!AQ115</f>
        <v>3470</v>
      </c>
      <c r="AJ668">
        <f>'Bookings and Drivers'!AR115</f>
        <v>2510</v>
      </c>
      <c r="AK668">
        <f>'Bookings and Drivers'!AS115</f>
        <v>3410</v>
      </c>
      <c r="AL668">
        <f>'Bookings and Drivers'!AT115</f>
        <v>4786</v>
      </c>
      <c r="AM668">
        <f>'Bookings and Drivers'!AU115</f>
        <v>6435</v>
      </c>
      <c r="AN668">
        <f>'Bookings and Drivers'!AV115</f>
        <v>5467</v>
      </c>
      <c r="AO668">
        <f>'Bookings and Drivers'!AW115</f>
        <v>7257</v>
      </c>
      <c r="AP668">
        <f>'Bookings and Drivers'!AX115</f>
        <v>7535</v>
      </c>
      <c r="AQ668">
        <f>'Bookings and Drivers'!AY115</f>
        <v>9631</v>
      </c>
      <c r="AR668">
        <f>'Bookings and Drivers'!AZ115</f>
        <v>7407</v>
      </c>
      <c r="AS668">
        <f>'Bookings and Drivers'!BA115</f>
        <v>11158</v>
      </c>
      <c r="AT668">
        <f>'Bookings and Drivers'!BB115</f>
        <v>12900</v>
      </c>
      <c r="AU668">
        <f>'Bookings and Drivers'!BC115</f>
        <v>13100</v>
      </c>
      <c r="AV668">
        <f>'Bookings and Drivers'!BD115</f>
        <v>11600</v>
      </c>
      <c r="AW668">
        <f>'Bookings and Drivers'!BE115</f>
        <v>14700</v>
      </c>
      <c r="AX668">
        <f>'Bookings and Drivers'!BF115</f>
        <v>14100</v>
      </c>
      <c r="AY668">
        <f>'Bookings and Drivers'!BG115</f>
        <v>14600</v>
      </c>
      <c r="AZ668">
        <f>'Bookings and Drivers'!BH115</f>
        <v>12600</v>
      </c>
      <c r="BA668">
        <f>'Bookings and Drivers'!BI115</f>
        <v>17300</v>
      </c>
      <c r="BB668">
        <f>'Bookings and Drivers'!BJ115</f>
        <v>19200</v>
      </c>
      <c r="BC668">
        <f>'Bookings and Drivers'!BK115</f>
        <v>19600</v>
      </c>
      <c r="BD668">
        <f>'Bookings and Drivers'!BL115</f>
        <v>16900</v>
      </c>
      <c r="BE668">
        <f>'Bookings and Drivers'!BM115</f>
        <v>20200</v>
      </c>
      <c r="BF668">
        <f>'Bookings and Drivers'!BN115</f>
        <v>20200</v>
      </c>
      <c r="BG668">
        <f>'Bookings and Drivers'!BO115</f>
        <v>20000</v>
      </c>
      <c r="BH668">
        <f>'Bookings and Drivers'!BP115</f>
        <v>15100</v>
      </c>
      <c r="BI668">
        <f>'Bookings and Drivers'!BQ115</f>
        <v>21200</v>
      </c>
      <c r="BJ668">
        <f>'Bookings and Drivers'!BR115</f>
        <v>23500</v>
      </c>
      <c r="BK668">
        <f>'Bookings and Drivers'!BS115</f>
        <v>20800</v>
      </c>
      <c r="BL668">
        <f>'Bookings and Drivers'!BT115</f>
        <v>20900</v>
      </c>
      <c r="BM668">
        <f>'Bookings and Drivers'!BU115</f>
        <v>31900</v>
      </c>
      <c r="BN668">
        <f>'Bookings and Drivers'!BV115</f>
        <v>27600</v>
      </c>
      <c r="BO668">
        <f>'Bookings and Drivers'!BW115</f>
        <v>34000</v>
      </c>
      <c r="BP668">
        <f>'Bookings and Drivers'!BX115</f>
        <v>30600</v>
      </c>
      <c r="BQ668">
        <f>'Bookings and Drivers'!BY115</f>
        <v>37400</v>
      </c>
      <c r="BR668">
        <f>'Bookings and Drivers'!BZ115</f>
        <v>29500</v>
      </c>
      <c r="BS668">
        <f>'Bookings and Drivers'!CA115</f>
        <v>27900</v>
      </c>
      <c r="BT668">
        <f>'Bookings and Drivers'!CB115</f>
        <v>21800</v>
      </c>
      <c r="BU668">
        <f>'Bookings and Drivers'!CC115</f>
        <v>26357.193665016239</v>
      </c>
      <c r="BV668">
        <f>'Bookings and Drivers'!CD115</f>
        <v>31432.486739949993</v>
      </c>
      <c r="BW668">
        <f>'Bookings and Drivers'!CE115</f>
        <v>30999.001245839987</v>
      </c>
      <c r="BX668">
        <f>'Bookings and Drivers'!CF115</f>
        <v>28565.378835750016</v>
      </c>
      <c r="BY668">
        <f>'Bookings and Drivers'!CG115</f>
        <v>0</v>
      </c>
      <c r="BZ668">
        <f>'Bookings and Drivers'!CH115</f>
        <v>0</v>
      </c>
      <c r="CA668">
        <f>'Bookings and Drivers'!CI115</f>
        <v>0</v>
      </c>
      <c r="CB668">
        <f>'Bookings and Drivers'!CJ115</f>
        <v>0</v>
      </c>
      <c r="CC668">
        <f>'Bookings and Drivers'!CK115</f>
        <v>0</v>
      </c>
      <c r="CD668">
        <f>'Bookings and Drivers'!CL115</f>
        <v>0</v>
      </c>
      <c r="CE668">
        <f>'Bookings and Drivers'!CM115</f>
        <v>6892</v>
      </c>
      <c r="CF668">
        <f>'Bookings and Drivers'!CN115</f>
        <v>9126</v>
      </c>
      <c r="CG668">
        <f>'Bookings and Drivers'!CO115</f>
        <v>13037</v>
      </c>
      <c r="CH668">
        <f>'Bookings and Drivers'!CP115</f>
        <v>20098</v>
      </c>
      <c r="CI668">
        <f>'Bookings and Drivers'!CQ115</f>
        <v>31830</v>
      </c>
      <c r="CJ668">
        <f>'Bookings and Drivers'!CR115</f>
        <v>48758</v>
      </c>
      <c r="CK668">
        <f>'Bookings and Drivers'!CS115</f>
        <v>56000</v>
      </c>
      <c r="CL668">
        <f>'Bookings and Drivers'!CT115</f>
        <v>73000</v>
      </c>
      <c r="CM668">
        <f>'Bookings and Drivers'!CU115</f>
        <v>75500</v>
      </c>
      <c r="CN668">
        <f>'Bookings and Drivers'!CV115</f>
        <v>86400</v>
      </c>
      <c r="CO668">
        <f>'Bookings and Drivers'!CW115</f>
        <v>124100</v>
      </c>
      <c r="CP668">
        <f>'Bookings and Drivers'!CX115</f>
        <v>116600</v>
      </c>
      <c r="CQ668">
        <f>'Bookings and Drivers'!CY115</f>
        <v>117354.06048655626</v>
      </c>
      <c r="CR668">
        <f>'Bookings and Drivers'!CZ115</f>
        <v>121537.84716421354</v>
      </c>
      <c r="CS668">
        <f>'Bookings and Drivers'!DA115</f>
        <v>120373.99160812155</v>
      </c>
      <c r="CT668">
        <f>'Bookings and Drivers'!DB115</f>
        <v>116958.26783633186</v>
      </c>
      <c r="CU668">
        <f>'Bookings and Drivers'!DC115</f>
        <v>114877.09107843926</v>
      </c>
      <c r="CV668">
        <f>'Bookings and Drivers'!DD115</f>
        <v>113955.04122905573</v>
      </c>
      <c r="CW668">
        <f>'Bookings and Drivers'!DE115</f>
        <v>112012.93496292131</v>
      </c>
      <c r="CX668">
        <f>'Bookings and Drivers'!DF115</f>
        <v>121175.5240826956</v>
      </c>
    </row>
    <row r="669" spans="1:102">
      <c r="A669">
        <f>'Bookings and Drivers'!I117</f>
        <v>0</v>
      </c>
      <c r="B669">
        <f>'Bookings and Drivers'!J117</f>
        <v>0</v>
      </c>
      <c r="C669">
        <f>'Bookings and Drivers'!K117</f>
        <v>0</v>
      </c>
      <c r="D669">
        <f>'Bookings and Drivers'!L117</f>
        <v>0</v>
      </c>
      <c r="E669">
        <f>'Bookings and Drivers'!M117</f>
        <v>0</v>
      </c>
      <c r="F669">
        <f>'Bookings and Drivers'!N117</f>
        <v>0</v>
      </c>
      <c r="G669">
        <f>'Bookings and Drivers'!O117</f>
        <v>0</v>
      </c>
      <c r="H669">
        <f>'Bookings and Drivers'!P117</f>
        <v>0</v>
      </c>
      <c r="I669">
        <f>'Bookings and Drivers'!Q117</f>
        <v>0</v>
      </c>
      <c r="J669">
        <f>'Bookings and Drivers'!R117</f>
        <v>0</v>
      </c>
      <c r="K669">
        <f>'Bookings and Drivers'!S117</f>
        <v>0</v>
      </c>
      <c r="L669">
        <f>'Bookings and Drivers'!T117</f>
        <v>0</v>
      </c>
      <c r="M669">
        <f>'Bookings and Drivers'!U117</f>
        <v>0</v>
      </c>
      <c r="N669">
        <f>'Bookings and Drivers'!V117</f>
        <v>0</v>
      </c>
      <c r="O669">
        <f>'Bookings and Drivers'!W117</f>
        <v>0</v>
      </c>
      <c r="P669">
        <f>'Bookings and Drivers'!X117</f>
        <v>0</v>
      </c>
      <c r="Q669">
        <f>'Bookings and Drivers'!Y117</f>
        <v>0</v>
      </c>
      <c r="R669">
        <f>'Bookings and Drivers'!Z117</f>
        <v>0</v>
      </c>
      <c r="S669">
        <f>'Bookings and Drivers'!AA117</f>
        <v>0</v>
      </c>
      <c r="T669">
        <f>'Bookings and Drivers'!AB117</f>
        <v>0</v>
      </c>
      <c r="U669">
        <f>'Bookings and Drivers'!AC117</f>
        <v>0</v>
      </c>
      <c r="V669">
        <f>'Bookings and Drivers'!AD117</f>
        <v>0</v>
      </c>
      <c r="W669">
        <f>'Bookings and Drivers'!AE117</f>
        <v>0</v>
      </c>
      <c r="X669">
        <f>'Bookings and Drivers'!AF117</f>
        <v>0</v>
      </c>
      <c r="Y669">
        <f>'Bookings and Drivers'!AG117</f>
        <v>0</v>
      </c>
      <c r="Z669">
        <f>'Bookings and Drivers'!AH117</f>
        <v>0</v>
      </c>
      <c r="AA669">
        <f>'Bookings and Drivers'!AI117</f>
        <v>0</v>
      </c>
      <c r="AB669">
        <f>'Bookings and Drivers'!AJ117</f>
        <v>0</v>
      </c>
      <c r="AC669">
        <f>'Bookings and Drivers'!AK117</f>
        <v>0</v>
      </c>
      <c r="AD669">
        <f>'Bookings and Drivers'!AL117</f>
        <v>0</v>
      </c>
      <c r="AE669">
        <f>'Bookings and Drivers'!AM117</f>
        <v>0</v>
      </c>
      <c r="AF669">
        <f>'Bookings and Drivers'!AN117</f>
        <v>0</v>
      </c>
      <c r="AG669">
        <f>'Bookings and Drivers'!AO117</f>
        <v>0</v>
      </c>
      <c r="AH669">
        <f>'Bookings and Drivers'!AP117</f>
        <v>0</v>
      </c>
      <c r="AI669">
        <f>'Bookings and Drivers'!AQ117</f>
        <v>0</v>
      </c>
      <c r="AJ669">
        <f>'Bookings and Drivers'!AR117</f>
        <v>0</v>
      </c>
      <c r="AK669">
        <f>'Bookings and Drivers'!AS117</f>
        <v>0</v>
      </c>
      <c r="AL669">
        <f>'Bookings and Drivers'!AT117</f>
        <v>0</v>
      </c>
      <c r="AM669">
        <f>'Bookings and Drivers'!AU117</f>
        <v>0</v>
      </c>
      <c r="AN669">
        <f>'Bookings and Drivers'!AV117</f>
        <v>0</v>
      </c>
      <c r="AO669">
        <f>'Bookings and Drivers'!AW117</f>
        <v>0</v>
      </c>
      <c r="AP669">
        <f>'Bookings and Drivers'!AX117</f>
        <v>0</v>
      </c>
      <c r="AQ669">
        <f>'Bookings and Drivers'!AY117</f>
        <v>0</v>
      </c>
      <c r="AR669">
        <f>'Bookings and Drivers'!AZ117</f>
        <v>0</v>
      </c>
      <c r="AS669">
        <f>'Bookings and Drivers'!BA117</f>
        <v>0</v>
      </c>
      <c r="AT669">
        <f>'Bookings and Drivers'!BB117</f>
        <v>0</v>
      </c>
      <c r="AU669">
        <f>'Bookings and Drivers'!BC117</f>
        <v>0</v>
      </c>
      <c r="AV669">
        <f>'Bookings and Drivers'!BD117</f>
        <v>0</v>
      </c>
      <c r="AW669">
        <f>'Bookings and Drivers'!BE117</f>
        <v>0</v>
      </c>
      <c r="AX669">
        <f>'Bookings and Drivers'!BF117</f>
        <v>0</v>
      </c>
      <c r="AY669">
        <f>'Bookings and Drivers'!BG117</f>
        <v>0</v>
      </c>
      <c r="AZ669">
        <f>'Bookings and Drivers'!BH117</f>
        <v>0</v>
      </c>
      <c r="BA669">
        <f>'Bookings and Drivers'!BI117</f>
        <v>0</v>
      </c>
      <c r="BB669">
        <f>'Bookings and Drivers'!BJ117</f>
        <v>0</v>
      </c>
      <c r="BC669">
        <f>'Bookings and Drivers'!BK117</f>
        <v>0</v>
      </c>
      <c r="BD669">
        <f>'Bookings and Drivers'!BL117</f>
        <v>0</v>
      </c>
      <c r="BE669">
        <f>'Bookings and Drivers'!BM117</f>
        <v>0</v>
      </c>
      <c r="BF669">
        <f>'Bookings and Drivers'!BN117</f>
        <v>0</v>
      </c>
      <c r="BG669">
        <f>'Bookings and Drivers'!BO117</f>
        <v>0</v>
      </c>
      <c r="BH669">
        <f>'Bookings and Drivers'!BP117</f>
        <v>0</v>
      </c>
      <c r="BI669">
        <f>'Bookings and Drivers'!BQ117</f>
        <v>0</v>
      </c>
      <c r="BJ669">
        <f>'Bookings and Drivers'!BR117</f>
        <v>0</v>
      </c>
      <c r="BK669">
        <f>'Bookings and Drivers'!BS117</f>
        <v>0</v>
      </c>
      <c r="BL669">
        <f>'Bookings and Drivers'!BT117</f>
        <v>0</v>
      </c>
      <c r="BM669">
        <f>'Bookings and Drivers'!BU117</f>
        <v>0</v>
      </c>
      <c r="BN669">
        <f>'Bookings and Drivers'!BV117</f>
        <v>0</v>
      </c>
      <c r="BO669">
        <f>'Bookings and Drivers'!BW117</f>
        <v>0</v>
      </c>
      <c r="BP669">
        <f>'Bookings and Drivers'!BX117</f>
        <v>0</v>
      </c>
      <c r="BQ669">
        <f>'Bookings and Drivers'!BY117</f>
        <v>0</v>
      </c>
      <c r="BR669">
        <f>'Bookings and Drivers'!BZ117</f>
        <v>0</v>
      </c>
      <c r="BS669">
        <f>'Bookings and Drivers'!CA117</f>
        <v>0</v>
      </c>
      <c r="BT669">
        <f>'Bookings and Drivers'!CB117</f>
        <v>0</v>
      </c>
      <c r="BU669">
        <f>'Bookings and Drivers'!CC117</f>
        <v>0</v>
      </c>
      <c r="BV669">
        <f>'Bookings and Drivers'!CD117</f>
        <v>0</v>
      </c>
      <c r="BW669">
        <f>'Bookings and Drivers'!CE117</f>
        <v>0</v>
      </c>
      <c r="BX669">
        <f>'Bookings and Drivers'!CF117</f>
        <v>0</v>
      </c>
      <c r="BY669">
        <f>'Bookings and Drivers'!CG117</f>
        <v>0</v>
      </c>
      <c r="BZ669">
        <f>'Bookings and Drivers'!CH117</f>
        <v>0</v>
      </c>
      <c r="CA669">
        <f>'Bookings and Drivers'!CI117</f>
        <v>0</v>
      </c>
      <c r="CB669">
        <f>'Bookings and Drivers'!CJ117</f>
        <v>0</v>
      </c>
      <c r="CC669">
        <f>'Bookings and Drivers'!CK117</f>
        <v>0</v>
      </c>
      <c r="CD669">
        <f>'Bookings and Drivers'!CL117</f>
        <v>0</v>
      </c>
      <c r="CE669">
        <f>'Bookings and Drivers'!CM117</f>
        <v>0</v>
      </c>
      <c r="CF669">
        <f>'Bookings and Drivers'!CN117</f>
        <v>0</v>
      </c>
      <c r="CG669">
        <f>'Bookings and Drivers'!CO117</f>
        <v>0</v>
      </c>
      <c r="CH669">
        <f>'Bookings and Drivers'!CP117</f>
        <v>0</v>
      </c>
      <c r="CI669">
        <f>'Bookings and Drivers'!CQ117</f>
        <v>0</v>
      </c>
      <c r="CJ669">
        <f>'Bookings and Drivers'!CR117</f>
        <v>0</v>
      </c>
      <c r="CK669">
        <f>'Bookings and Drivers'!CS117</f>
        <v>0</v>
      </c>
      <c r="CL669">
        <f>'Bookings and Drivers'!CT117</f>
        <v>0</v>
      </c>
      <c r="CM669">
        <f>'Bookings and Drivers'!CU117</f>
        <v>0</v>
      </c>
      <c r="CN669">
        <f>'Bookings and Drivers'!CV117</f>
        <v>0</v>
      </c>
      <c r="CO669">
        <f>'Bookings and Drivers'!CW117</f>
        <v>0</v>
      </c>
      <c r="CP669">
        <f>'Bookings and Drivers'!CX117</f>
        <v>0</v>
      </c>
      <c r="CQ669">
        <f>'Bookings and Drivers'!CY117</f>
        <v>0</v>
      </c>
      <c r="CR669">
        <f>'Bookings and Drivers'!CZ117</f>
        <v>0</v>
      </c>
      <c r="CS669">
        <f>'Bookings and Drivers'!DA117</f>
        <v>0</v>
      </c>
      <c r="CT669">
        <f>'Bookings and Drivers'!DB117</f>
        <v>0</v>
      </c>
      <c r="CU669">
        <f>'Bookings and Drivers'!DC117</f>
        <v>0</v>
      </c>
      <c r="CV669">
        <f>'Bookings and Drivers'!DD117</f>
        <v>0</v>
      </c>
      <c r="CW669">
        <f>'Bookings and Drivers'!DE117</f>
        <v>0</v>
      </c>
      <c r="CX669">
        <f>'Bookings and Drivers'!DF117</f>
        <v>0</v>
      </c>
    </row>
    <row r="671" spans="1:102">
      <c r="A671" t="str">
        <f>'Bookings and Drivers'!I154</f>
        <v>International Hotel Bookings</v>
      </c>
      <c r="B671">
        <f>'Bookings and Drivers'!J154</f>
        <v>0</v>
      </c>
      <c r="C671">
        <f>'Bookings and Drivers'!K154</f>
        <v>0</v>
      </c>
      <c r="D671">
        <f>'Bookings and Drivers'!L154</f>
        <v>0</v>
      </c>
      <c r="E671">
        <f>'Bookings and Drivers'!M154</f>
        <v>0</v>
      </c>
      <c r="F671">
        <f>'Bookings and Drivers'!N154</f>
        <v>0</v>
      </c>
      <c r="G671">
        <f>'Bookings and Drivers'!O154</f>
        <v>0</v>
      </c>
      <c r="H671">
        <f>'Bookings and Drivers'!P154</f>
        <v>0</v>
      </c>
      <c r="I671">
        <f>'Bookings and Drivers'!Q154</f>
        <v>0</v>
      </c>
      <c r="J671">
        <f>'Bookings and Drivers'!R154</f>
        <v>0</v>
      </c>
      <c r="K671">
        <f>'Bookings and Drivers'!S154</f>
        <v>0</v>
      </c>
      <c r="L671">
        <f>'Bookings and Drivers'!T154</f>
        <v>0</v>
      </c>
      <c r="M671">
        <f>'Bookings and Drivers'!U154</f>
        <v>0</v>
      </c>
      <c r="N671">
        <f>'Bookings and Drivers'!V154</f>
        <v>0</v>
      </c>
      <c r="O671">
        <f>'Bookings and Drivers'!W154</f>
        <v>0</v>
      </c>
      <c r="P671">
        <f>'Bookings and Drivers'!X154</f>
        <v>0</v>
      </c>
      <c r="Q671">
        <f>'Bookings and Drivers'!Y154</f>
        <v>0</v>
      </c>
      <c r="R671">
        <f>'Bookings and Drivers'!Z154</f>
        <v>0</v>
      </c>
      <c r="S671">
        <f>'Bookings and Drivers'!AA154</f>
        <v>0</v>
      </c>
      <c r="T671">
        <f>'Bookings and Drivers'!AB154</f>
        <v>0</v>
      </c>
      <c r="U671">
        <f>'Bookings and Drivers'!AC154</f>
        <v>71.902000000000001</v>
      </c>
      <c r="V671">
        <f>'Bookings and Drivers'!AD154</f>
        <v>77.515000000000001</v>
      </c>
      <c r="W671">
        <f>'Bookings and Drivers'!AE154</f>
        <v>164.822</v>
      </c>
      <c r="X671">
        <f>'Bookings and Drivers'!AF154</f>
        <v>158.46</v>
      </c>
      <c r="Y671">
        <f>'Bookings and Drivers'!AG154</f>
        <v>272.81400000000002</v>
      </c>
      <c r="Z671">
        <f>'Bookings and Drivers'!AH154</f>
        <v>356.59300000000002</v>
      </c>
      <c r="AA671">
        <f>'Bookings and Drivers'!AI154</f>
        <v>398.416</v>
      </c>
      <c r="AB671">
        <f>'Bookings and Drivers'!AJ154</f>
        <v>319.13600000000002</v>
      </c>
      <c r="AC671">
        <f>'Bookings and Drivers'!AK154</f>
        <v>519.67899999999997</v>
      </c>
      <c r="AD671">
        <f>'Bookings and Drivers'!AL154</f>
        <v>687.12400000000002</v>
      </c>
      <c r="AE671">
        <f>'Bookings and Drivers'!AM154</f>
        <v>788.47799999999995</v>
      </c>
      <c r="AF671">
        <f>'Bookings and Drivers'!AN154</f>
        <v>679.76</v>
      </c>
      <c r="AG671">
        <f>'Bookings and Drivers'!AO154</f>
        <v>1037.644</v>
      </c>
      <c r="AH671">
        <f>'Bookings and Drivers'!AP154</f>
        <v>1237.681</v>
      </c>
      <c r="AI671">
        <f>'Bookings and Drivers'!AQ154</f>
        <v>1250.8499999999999</v>
      </c>
      <c r="AJ671">
        <f>'Bookings and Drivers'!AR154</f>
        <v>792.19</v>
      </c>
      <c r="AK671">
        <f>'Bookings and Drivers'!AS154</f>
        <v>1092.4269999999999</v>
      </c>
      <c r="AL671">
        <f>'Bookings and Drivers'!AT154</f>
        <v>1414.7139999999999</v>
      </c>
      <c r="AM671">
        <f>'Bookings and Drivers'!AU154</f>
        <v>1724.1310000000001</v>
      </c>
      <c r="AN671">
        <f>'Bookings and Drivers'!AV154</f>
        <v>1433.471</v>
      </c>
      <c r="AO671">
        <f>'Bookings and Drivers'!AW154</f>
        <v>1975.345</v>
      </c>
      <c r="AP671">
        <f>'Bookings and Drivers'!AX154</f>
        <v>2212.4009999999998</v>
      </c>
      <c r="AQ671">
        <f>'Bookings and Drivers'!AY154</f>
        <v>2799.2</v>
      </c>
      <c r="AR671">
        <f>'Bookings and Drivers'!AZ154</f>
        <v>2308</v>
      </c>
      <c r="AS671">
        <f>'Bookings and Drivers'!BA154</f>
        <v>3440.3</v>
      </c>
      <c r="AT671">
        <f>'Bookings and Drivers'!BB154</f>
        <v>4372</v>
      </c>
      <c r="AU671">
        <f>'Bookings and Drivers'!BC154</f>
        <v>4808.82</v>
      </c>
      <c r="AV671">
        <f>'Bookings and Drivers'!BD154</f>
        <v>3796.5</v>
      </c>
      <c r="AW671">
        <f>'Bookings and Drivers'!BE154</f>
        <v>5288.31</v>
      </c>
      <c r="AX671">
        <f>'Bookings and Drivers'!BF154</f>
        <v>5792</v>
      </c>
      <c r="AY671">
        <f>'Bookings and Drivers'!BG154</f>
        <v>6184.7119999999995</v>
      </c>
      <c r="AZ671">
        <f>'Bookings and Drivers'!BH154</f>
        <v>5320.75</v>
      </c>
      <c r="BA671">
        <f>'Bookings and Drivers'!BI154</f>
        <v>7555.2340000000004</v>
      </c>
      <c r="BB671">
        <f>'Bookings and Drivers'!BJ154</f>
        <v>8355</v>
      </c>
      <c r="BC671">
        <f>'Bookings and Drivers'!BK154</f>
        <v>8775.3968000000004</v>
      </c>
      <c r="BD671">
        <f>'Bookings and Drivers'!BL154</f>
        <v>7532.7749999999996</v>
      </c>
      <c r="BE671">
        <f>'Bookings and Drivers'!BM154</f>
        <v>10360.570159999999</v>
      </c>
      <c r="BF671">
        <f>'Bookings and Drivers'!BN154</f>
        <v>11413.2</v>
      </c>
      <c r="BG671">
        <f>'Bookings and Drivers'!BO154</f>
        <v>11563.387903999999</v>
      </c>
      <c r="BH671">
        <f>'Bookings and Drivers'!BP154</f>
        <v>8962.73</v>
      </c>
      <c r="BI671">
        <f>'Bookings and Drivers'!BQ154</f>
        <v>11765.084192</v>
      </c>
      <c r="BJ671">
        <f>'Bookings and Drivers'!BR154</f>
        <v>12769.44</v>
      </c>
      <c r="BK671">
        <f>'Bookings and Drivers'!BS154</f>
        <v>12432.23488</v>
      </c>
      <c r="BL671">
        <f>'Bookings and Drivers'!BT154</f>
        <v>10386.1895</v>
      </c>
      <c r="BM671">
        <f>'Bookings and Drivers'!BU154</f>
        <v>14632.714177584639</v>
      </c>
      <c r="BN671">
        <f>'Bookings and Drivers'!BV154</f>
        <v>15606.248293361999</v>
      </c>
      <c r="BO671">
        <f>'Bookings and Drivers'!BW154</f>
        <v>15856.036385945601</v>
      </c>
      <c r="BP671">
        <f>'Bookings and Drivers'!BX154</f>
        <v>13301.031307599998</v>
      </c>
      <c r="BQ671">
        <f>'Bookings and Drivers'!BY154</f>
        <v>18582.945563843714</v>
      </c>
      <c r="BR671">
        <f>'Bookings and Drivers'!BZ154</f>
        <v>18447.821850337601</v>
      </c>
      <c r="BS671">
        <f>'Bookings and Drivers'!CA154</f>
        <v>19015.511132133757</v>
      </c>
      <c r="BT671">
        <f>'Bookings and Drivers'!CB154</f>
        <v>16068.18194108</v>
      </c>
      <c r="BU671">
        <f>'Bookings and Drivers'!CC154</f>
        <v>22690.329373164961</v>
      </c>
      <c r="BV671">
        <f>'Bookings and Drivers'!CD154</f>
        <v>22638.20309594876</v>
      </c>
      <c r="BW671">
        <f>'Bookings and Drivers'!CE154</f>
        <v>21941.690570821313</v>
      </c>
      <c r="BX671">
        <f>'Bookings and Drivers'!CF154</f>
        <v>20001.124491499399</v>
      </c>
      <c r="BY671">
        <f>'Bookings and Drivers'!CG154</f>
        <v>0</v>
      </c>
      <c r="BZ671">
        <f>'Bookings and Drivers'!CH154</f>
        <v>0</v>
      </c>
      <c r="CA671">
        <f>'Bookings and Drivers'!CI154</f>
        <v>0</v>
      </c>
      <c r="CB671">
        <f>'Bookings and Drivers'!CJ154</f>
        <v>0</v>
      </c>
      <c r="CC671">
        <f>'Bookings and Drivers'!CK154</f>
        <v>0</v>
      </c>
      <c r="CD671">
        <f>'Bookings and Drivers'!CL154</f>
        <v>472.61719298245617</v>
      </c>
      <c r="CE671">
        <f>'Bookings and Drivers'!CM154</f>
        <v>1346.9590000000001</v>
      </c>
      <c r="CF671">
        <f>'Bookings and Drivers'!CN154</f>
        <v>2675.0410000000002</v>
      </c>
      <c r="CG671">
        <f>'Bookings and Drivers'!CO154</f>
        <v>4318.3649999999998</v>
      </c>
      <c r="CH671">
        <f>'Bookings and Drivers'!CP154</f>
        <v>5664.7430000000004</v>
      </c>
      <c r="CI671">
        <f>'Bookings and Drivers'!CQ154</f>
        <v>9294.9459999999999</v>
      </c>
      <c r="CJ671">
        <f>'Bookings and Drivers'!CR154</f>
        <v>16417.62</v>
      </c>
      <c r="CK671">
        <f>'Bookings and Drivers'!CS154</f>
        <v>22585.772000000001</v>
      </c>
      <c r="CL671">
        <f>'Bookings and Drivers'!CT154</f>
        <v>32218.4058</v>
      </c>
      <c r="CM671">
        <f>'Bookings and Drivers'!CU154</f>
        <v>42299.888063999999</v>
      </c>
      <c r="CN671">
        <f>'Bookings and Drivers'!CV154</f>
        <v>47352.948572000001</v>
      </c>
      <c r="CO671">
        <f>'Bookings and Drivers'!CW154</f>
        <v>59396.030164492244</v>
      </c>
      <c r="CP671">
        <f>'Bookings and Drivers'!CX154</f>
        <v>72114.460487395074</v>
      </c>
      <c r="CQ671">
        <f>'Bookings and Drivers'!CY154</f>
        <v>87271.34753143444</v>
      </c>
      <c r="CR671">
        <f>'Bookings and Drivers'!CZ154</f>
        <v>101067.59939273327</v>
      </c>
      <c r="CS671">
        <f>'Bookings and Drivers'!DA154</f>
        <v>114708.77174748766</v>
      </c>
      <c r="CT671">
        <f>'Bookings and Drivers'!DB154</f>
        <v>127953.90675459766</v>
      </c>
      <c r="CU671">
        <f>'Bookings and Drivers'!DC154</f>
        <v>140955.48226249914</v>
      </c>
      <c r="CV671">
        <f>'Bookings and Drivers'!DD154</f>
        <v>153845.89767172167</v>
      </c>
      <c r="CW671">
        <f>'Bookings and Drivers'!DE154</f>
        <v>166508.22018905426</v>
      </c>
      <c r="CX671">
        <f>'Bookings and Drivers'!DF154</f>
        <v>180212.71811671249</v>
      </c>
    </row>
    <row r="672" spans="1:102">
      <c r="A672" t="str">
        <f>'Bookings and Drivers'!I155</f>
        <v>% change Y/Y in Int'l Hotel Bookings</v>
      </c>
      <c r="B672">
        <f>'Bookings and Drivers'!J155</f>
        <v>0</v>
      </c>
      <c r="C672">
        <f>'Bookings and Drivers'!K155</f>
        <v>0</v>
      </c>
      <c r="D672">
        <f>'Bookings and Drivers'!L155</f>
        <v>0</v>
      </c>
      <c r="E672">
        <f>'Bookings and Drivers'!M155</f>
        <v>0</v>
      </c>
      <c r="F672">
        <f>'Bookings and Drivers'!N155</f>
        <v>0</v>
      </c>
      <c r="G672">
        <f>'Bookings and Drivers'!O155</f>
        <v>0</v>
      </c>
      <c r="H672">
        <f>'Bookings and Drivers'!P155</f>
        <v>0</v>
      </c>
      <c r="I672">
        <f>'Bookings and Drivers'!Q155</f>
        <v>0</v>
      </c>
      <c r="J672">
        <f>'Bookings and Drivers'!R155</f>
        <v>0</v>
      </c>
      <c r="K672">
        <f>'Bookings and Drivers'!S155</f>
        <v>0</v>
      </c>
      <c r="L672">
        <f>'Bookings and Drivers'!T155</f>
        <v>0</v>
      </c>
      <c r="M672">
        <f>'Bookings and Drivers'!U155</f>
        <v>0</v>
      </c>
      <c r="N672">
        <f>'Bookings and Drivers'!V155</f>
        <v>0</v>
      </c>
      <c r="O672">
        <f>'Bookings and Drivers'!W155</f>
        <v>0</v>
      </c>
      <c r="P672">
        <f>'Bookings and Drivers'!X155</f>
        <v>0</v>
      </c>
      <c r="Q672">
        <f>'Bookings and Drivers'!Y155</f>
        <v>0</v>
      </c>
      <c r="R672">
        <f>'Bookings and Drivers'!Z155</f>
        <v>0</v>
      </c>
      <c r="S672">
        <f>'Bookings and Drivers'!AA155</f>
        <v>0</v>
      </c>
      <c r="T672">
        <f>'Bookings and Drivers'!AB155</f>
        <v>0</v>
      </c>
      <c r="U672">
        <f>'Bookings and Drivers'!AC155</f>
        <v>0</v>
      </c>
      <c r="V672">
        <f>'Bookings and Drivers'!AD155</f>
        <v>0</v>
      </c>
      <c r="W672">
        <f>'Bookings and Drivers'!AE155</f>
        <v>0</v>
      </c>
      <c r="X672">
        <f>'Bookings and Drivers'!AF155</f>
        <v>0</v>
      </c>
      <c r="Y672">
        <f>'Bookings and Drivers'!AG155</f>
        <v>2.7942477260715979</v>
      </c>
      <c r="Z672">
        <f>'Bookings and Drivers'!AH155</f>
        <v>3.6003096174933882</v>
      </c>
      <c r="AA672">
        <f>'Bookings and Drivers'!AI155</f>
        <v>1.4172501243766003</v>
      </c>
      <c r="AB672">
        <f>'Bookings and Drivers'!AJ155</f>
        <v>1.0139846017922505</v>
      </c>
      <c r="AC672">
        <f>'Bookings and Drivers'!AK155</f>
        <v>0.90488391358214737</v>
      </c>
      <c r="AD672">
        <f>'Bookings and Drivers'!AL155</f>
        <v>0.92691387660442004</v>
      </c>
      <c r="AE672">
        <f>'Bookings and Drivers'!AM155</f>
        <v>0.97903196658768721</v>
      </c>
      <c r="AF672">
        <f>'Bookings and Drivers'!AN155</f>
        <v>1.1300010027073095</v>
      </c>
      <c r="AG672">
        <f>'Bookings and Drivers'!AO155</f>
        <v>0.99670181015588488</v>
      </c>
      <c r="AH672">
        <f>'Bookings and Drivers'!AP155</f>
        <v>0.80124839184775953</v>
      </c>
      <c r="AI672">
        <f>'Bookings and Drivers'!AQ155</f>
        <v>0.58641078127734692</v>
      </c>
      <c r="AJ672">
        <f>'Bookings and Drivers'!AR155</f>
        <v>0.16539661056843591</v>
      </c>
      <c r="AK672">
        <f>'Bookings and Drivers'!AS155</f>
        <v>5.2795563796446565E-2</v>
      </c>
      <c r="AL672">
        <f>'Bookings and Drivers'!AT155</f>
        <v>0.14303604886881183</v>
      </c>
      <c r="AM672">
        <f>'Bookings and Drivers'!AU155</f>
        <v>0.37836751009313674</v>
      </c>
      <c r="AN672">
        <f>'Bookings and Drivers'!AV155</f>
        <v>0.80950403312336672</v>
      </c>
      <c r="AO672">
        <f>'Bookings and Drivers'!AW155</f>
        <v>0.80821693348846213</v>
      </c>
      <c r="AP672">
        <f>'Bookings and Drivers'!AX155</f>
        <v>0.56385036127443411</v>
      </c>
      <c r="AQ672">
        <f>'Bookings and Drivers'!AY155</f>
        <v>0.62354252664095688</v>
      </c>
      <c r="AR672">
        <f>'Bookings and Drivers'!AZ155</f>
        <v>0.61007791577227577</v>
      </c>
      <c r="AS672">
        <f>'Bookings and Drivers'!BA155</f>
        <v>0.74161981831021939</v>
      </c>
      <c r="AT672">
        <f>'Bookings and Drivers'!BB155</f>
        <v>0.97613362134622084</v>
      </c>
      <c r="AU672">
        <f>'Bookings and Drivers'!BC155</f>
        <v>0.7179265504429837</v>
      </c>
      <c r="AV672">
        <f>'Bookings and Drivers'!BD155</f>
        <v>0.64493067590987874</v>
      </c>
      <c r="AW672">
        <f>'Bookings and Drivers'!BE155</f>
        <v>0.53716536348574251</v>
      </c>
      <c r="AX672">
        <f>'Bookings and Drivers'!BF155</f>
        <v>0.32479414455626721</v>
      </c>
      <c r="AY672">
        <f>'Bookings and Drivers'!BG155</f>
        <v>0.28611842406245191</v>
      </c>
      <c r="AZ672">
        <f>'Bookings and Drivers'!BH155</f>
        <v>0.40148821282760427</v>
      </c>
      <c r="BA672">
        <f>'Bookings and Drivers'!BI155</f>
        <v>0.42866700325812968</v>
      </c>
      <c r="BB672">
        <f>'Bookings and Drivers'!BJ155</f>
        <v>0.44250690607734811</v>
      </c>
      <c r="BC672">
        <f>'Bookings and Drivers'!BK155</f>
        <v>0.41888527711557155</v>
      </c>
      <c r="BD672">
        <f>'Bookings and Drivers'!BL155</f>
        <v>0.41573556359535768</v>
      </c>
      <c r="BE672">
        <f>'Bookings and Drivers'!BM155</f>
        <v>0.3713102942939952</v>
      </c>
      <c r="BF672">
        <f>'Bookings and Drivers'!BN155</f>
        <v>0.3660323159784562</v>
      </c>
      <c r="BG672">
        <f>'Bookings and Drivers'!BO155</f>
        <v>0.31770541749177639</v>
      </c>
      <c r="BH672">
        <f>'Bookings and Drivers'!BP155</f>
        <v>0.18983110473895737</v>
      </c>
      <c r="BI672">
        <f>'Bookings and Drivers'!BQ155</f>
        <v>0.13556339181240595</v>
      </c>
      <c r="BJ672">
        <f>'Bookings and Drivers'!BR155</f>
        <v>0.11883082746293772</v>
      </c>
      <c r="BK672">
        <f>'Bookings and Drivers'!BS155</f>
        <v>7.513775229311892E-2</v>
      </c>
      <c r="BL672">
        <f>'Bookings and Drivers'!BT155</f>
        <v>0.1588198573425732</v>
      </c>
      <c r="BM672">
        <f>'Bookings and Drivers'!BU155</f>
        <v>0.24374071097039529</v>
      </c>
      <c r="BN672">
        <f>'Bookings and Drivers'!BV155</f>
        <v>0.22215604547748358</v>
      </c>
      <c r="BO672">
        <f>'Bookings and Drivers'!BW155</f>
        <v>0.27539710591001976</v>
      </c>
      <c r="BP672">
        <f>'Bookings and Drivers'!BX155</f>
        <v>0.28064592963569535</v>
      </c>
      <c r="BQ672">
        <f>'Bookings and Drivers'!BY155</f>
        <v>0.26995889746211943</v>
      </c>
      <c r="BR672">
        <f>'Bookings and Drivers'!BZ155</f>
        <v>0.1820792226011323</v>
      </c>
      <c r="BS672">
        <f>'Bookings and Drivers'!CA155</f>
        <v>0.1992600590263931</v>
      </c>
      <c r="BT672">
        <f>'Bookings and Drivers'!CB155</f>
        <v>0.20804030676169405</v>
      </c>
      <c r="BU672">
        <f>'Bookings and Drivers'!CC155</f>
        <v>0.22102974984293455</v>
      </c>
      <c r="BV672">
        <f>'Bookings and Drivers'!CD155</f>
        <v>0.22714775107905072</v>
      </c>
      <c r="BW672">
        <f>'Bookings and Drivers'!CE155</f>
        <v>0.15388381718242061</v>
      </c>
      <c r="BX672">
        <f>'Bookings and Drivers'!CF155</f>
        <v>0.24476587113844017</v>
      </c>
      <c r="BY672">
        <f>'Bookings and Drivers'!CG155</f>
        <v>0</v>
      </c>
      <c r="BZ672">
        <f>'Bookings and Drivers'!CH155</f>
        <v>0</v>
      </c>
      <c r="CA672">
        <f>'Bookings and Drivers'!CI155</f>
        <v>0</v>
      </c>
      <c r="CB672">
        <f>'Bookings and Drivers'!CJ155</f>
        <v>0</v>
      </c>
      <c r="CC672">
        <f>'Bookings and Drivers'!CK155</f>
        <v>0</v>
      </c>
      <c r="CD672">
        <f>'Bookings and Drivers'!CL155</f>
        <v>0</v>
      </c>
      <c r="CE672">
        <f>'Bookings and Drivers'!CM155</f>
        <v>1.85</v>
      </c>
      <c r="CF672">
        <f>'Bookings and Drivers'!CN155</f>
        <v>0.98598546800607889</v>
      </c>
      <c r="CG672">
        <f>'Bookings and Drivers'!CO155</f>
        <v>0.61431731326734784</v>
      </c>
      <c r="CH672">
        <f>'Bookings and Drivers'!CP155</f>
        <v>0.31177957398228284</v>
      </c>
      <c r="CI672">
        <f>'Bookings and Drivers'!CQ155</f>
        <v>0.64084160570038207</v>
      </c>
      <c r="CJ672">
        <f>'Bookings and Drivers'!CR155</f>
        <v>0.76629536094131145</v>
      </c>
      <c r="CK672">
        <f>'Bookings and Drivers'!CS155</f>
        <v>0.37570317743984827</v>
      </c>
      <c r="CL672">
        <f>'Bookings and Drivers'!CT155</f>
        <v>0.42649123527856392</v>
      </c>
      <c r="CM672">
        <f>'Bookings and Drivers'!CU155</f>
        <v>0.31291064885649922</v>
      </c>
      <c r="CN672">
        <f>'Bookings and Drivers'!CV155</f>
        <v>0.11945801133928979</v>
      </c>
      <c r="CO672">
        <f>'Bookings and Drivers'!CW155</f>
        <v>0.25432590695341339</v>
      </c>
      <c r="CP672">
        <f>'Bookings and Drivers'!CX155</f>
        <v>0.21412929934341096</v>
      </c>
      <c r="CQ672">
        <f>'Bookings and Drivers'!CY155</f>
        <v>0.21017819368819435</v>
      </c>
      <c r="CR672">
        <f>'Bookings and Drivers'!CZ155</f>
        <v>0.15808455182073966</v>
      </c>
      <c r="CS672">
        <f>'Bookings and Drivers'!DA155</f>
        <v>0.13497077635877019</v>
      </c>
      <c r="CT672">
        <f>'Bookings and Drivers'!DB155</f>
        <v>0.11546749917492782</v>
      </c>
      <c r="CU672">
        <f>'Bookings and Drivers'!DC155</f>
        <v>0.1016113992739367</v>
      </c>
      <c r="CV672">
        <f>'Bookings and Drivers'!DD155</f>
        <v>9.1450259346542717E-2</v>
      </c>
      <c r="CW672">
        <f>'Bookings and Drivers'!DE155</f>
        <v>8.2305233411888779E-2</v>
      </c>
      <c r="CX672">
        <f>'Bookings and Drivers'!DF155</f>
        <v>8.2305233411888556E-2</v>
      </c>
    </row>
    <row r="673" spans="1:102">
      <c r="A673" t="str">
        <f>'Bookings and Drivers'!I156</f>
        <v>Int'l Bookings Currency Impact</v>
      </c>
      <c r="B673">
        <f>'Bookings and Drivers'!J156</f>
        <v>0</v>
      </c>
      <c r="C673">
        <f>'Bookings and Drivers'!K156</f>
        <v>0</v>
      </c>
      <c r="D673">
        <f>'Bookings and Drivers'!L156</f>
        <v>0</v>
      </c>
      <c r="E673">
        <f>'Bookings and Drivers'!M156</f>
        <v>0</v>
      </c>
      <c r="F673">
        <f>'Bookings and Drivers'!N156</f>
        <v>0</v>
      </c>
      <c r="G673">
        <f>'Bookings and Drivers'!O156</f>
        <v>0</v>
      </c>
      <c r="H673">
        <f>'Bookings and Drivers'!P156</f>
        <v>0</v>
      </c>
      <c r="I673">
        <f>'Bookings and Drivers'!Q156</f>
        <v>0</v>
      </c>
      <c r="J673">
        <f>'Bookings and Drivers'!R156</f>
        <v>0</v>
      </c>
      <c r="K673">
        <f>'Bookings and Drivers'!S156</f>
        <v>0</v>
      </c>
      <c r="L673">
        <f>'Bookings and Drivers'!T156</f>
        <v>0</v>
      </c>
      <c r="M673">
        <f>'Bookings and Drivers'!U156</f>
        <v>0</v>
      </c>
      <c r="N673">
        <f>'Bookings and Drivers'!V156</f>
        <v>0</v>
      </c>
      <c r="O673">
        <f>'Bookings and Drivers'!W156</f>
        <v>0</v>
      </c>
      <c r="P673">
        <f>'Bookings and Drivers'!X156</f>
        <v>0</v>
      </c>
      <c r="Q673">
        <f>'Bookings and Drivers'!Y156</f>
        <v>0</v>
      </c>
      <c r="R673">
        <f>'Bookings and Drivers'!Z156</f>
        <v>0</v>
      </c>
      <c r="S673">
        <f>'Bookings and Drivers'!AA156</f>
        <v>0</v>
      </c>
      <c r="T673">
        <f>'Bookings and Drivers'!AB156</f>
        <v>0</v>
      </c>
      <c r="U673">
        <f>'Bookings and Drivers'!AC156</f>
        <v>0</v>
      </c>
      <c r="V673">
        <f>'Bookings and Drivers'!AD156</f>
        <v>0</v>
      </c>
      <c r="W673">
        <f>'Bookings and Drivers'!AE156</f>
        <v>0</v>
      </c>
      <c r="X673">
        <f>'Bookings and Drivers'!AF156</f>
        <v>0</v>
      </c>
      <c r="Y673">
        <f>'Bookings and Drivers'!AG156</f>
        <v>0</v>
      </c>
      <c r="Z673">
        <f>'Bookings and Drivers'!AH156</f>
        <v>0</v>
      </c>
      <c r="AA673">
        <f>'Bookings and Drivers'!AI156</f>
        <v>0</v>
      </c>
      <c r="AB673">
        <f>'Bookings and Drivers'!AJ156</f>
        <v>0</v>
      </c>
      <c r="AC673">
        <f>'Bookings and Drivers'!AK156</f>
        <v>0.15988391358214737</v>
      </c>
      <c r="AD673">
        <f>'Bookings and Drivers'!AL156</f>
        <v>0.13091387660442</v>
      </c>
      <c r="AE673">
        <f>'Bookings and Drivers'!AM156</f>
        <v>0.11503196658768722</v>
      </c>
      <c r="AF673">
        <f>'Bookings and Drivers'!AN156</f>
        <v>0.2310010027073095</v>
      </c>
      <c r="AG673">
        <f>'Bookings and Drivers'!AO156</f>
        <v>0.24670181015588488</v>
      </c>
      <c r="AH673">
        <f>'Bookings and Drivers'!AP156</f>
        <v>0.24324839184775948</v>
      </c>
      <c r="AI673">
        <f>'Bookings and Drivers'!AQ156</f>
        <v>0.13941078127734691</v>
      </c>
      <c r="AJ673">
        <f>'Bookings and Drivers'!AR156</f>
        <v>-0.11060338943156411</v>
      </c>
      <c r="AK673">
        <f>'Bookings and Drivers'!AS156</f>
        <v>-0.18220443620355342</v>
      </c>
      <c r="AL673">
        <f>'Bookings and Drivers'!AT156</f>
        <v>-0.18096395113118818</v>
      </c>
      <c r="AM673">
        <f>'Bookings and Drivers'!AU156</f>
        <v>-0.10663248990686325</v>
      </c>
      <c r="AN673">
        <f>'Bookings and Drivers'!AV156</f>
        <v>0.11450403312336677</v>
      </c>
      <c r="AO673">
        <f>'Bookings and Drivers'!AW156</f>
        <v>8.021693348846215E-2</v>
      </c>
      <c r="AP673">
        <f>'Bookings and Drivers'!AX156</f>
        <v>-7.6118631751717958E-2</v>
      </c>
      <c r="AQ673">
        <f>'Bookings and Drivers'!AY156</f>
        <v>-0.10669327330695877</v>
      </c>
      <c r="AR673">
        <f>'Bookings and Drivers'!AZ156</f>
        <v>-6.1553676356201015E-2</v>
      </c>
      <c r="AS673">
        <f>'Bookings and Drivers'!BA156</f>
        <v>9.067051578331875E-3</v>
      </c>
      <c r="AT673">
        <f>'Bookings and Drivers'!BB156</f>
        <v>0.19700506049503141</v>
      </c>
      <c r="AU673">
        <f>'Bookings and Drivers'!BC156</f>
        <v>0.11528942807625653</v>
      </c>
      <c r="AV673">
        <f>'Bookings and Drivers'!BD156</f>
        <v>-1.347735928903937E-2</v>
      </c>
      <c r="AW673">
        <f>'Bookings and Drivers'!BE156</f>
        <v>-3.8427601809954637E-2</v>
      </c>
      <c r="AX673">
        <f>'Bookings and Drivers'!BF156</f>
        <v>-0.11205187835420388</v>
      </c>
      <c r="AY673">
        <f>'Bookings and Drivers'!BG156</f>
        <v>-0.10854560032070559</v>
      </c>
      <c r="AZ673">
        <f>'Bookings and Drivers'!BH156</f>
        <v>-2.1603271983640149E-2</v>
      </c>
      <c r="BA673">
        <f>'Bookings and Drivers'!BI156</f>
        <v>-2.1885892496789627E-3</v>
      </c>
      <c r="BB673">
        <f>'Bookings and Drivers'!BJ156</f>
        <v>1.364247311827993E-3</v>
      </c>
      <c r="BC673">
        <f>'Bookings and Drivers'!BK156</f>
        <v>8.0441835315926968E-3</v>
      </c>
      <c r="BD673">
        <f>'Bookings and Drivers'!BL156</f>
        <v>-7.9140880961048876E-3</v>
      </c>
      <c r="BE673">
        <f>'Bookings and Drivers'!BM156</f>
        <v>-1.2532442502890873E-2</v>
      </c>
      <c r="BF673">
        <f>'Bookings and Drivers'!BN156</f>
        <v>1.1697167502039973E-2</v>
      </c>
      <c r="BG673">
        <f>'Bookings and Drivers'!BO156</f>
        <v>-3.9525002723607705E-3</v>
      </c>
      <c r="BH673">
        <f>'Bookings and Drivers'!BP156</f>
        <v>-7.9873678783191515E-2</v>
      </c>
      <c r="BI673">
        <f>'Bookings and Drivers'!BQ156</f>
        <v>-0.15272667480973418</v>
      </c>
      <c r="BJ673">
        <f>'Bookings and Drivers'!BR156</f>
        <v>-0.17930148947098096</v>
      </c>
      <c r="BK673">
        <f>'Bookings and Drivers'!BS156</f>
        <v>-0.16738410596026498</v>
      </c>
      <c r="BL673">
        <f>'Bookings and Drivers'!BT156</f>
        <v>-0.13143831907289066</v>
      </c>
      <c r="BM673">
        <f>'Bookings and Drivers'!BU156</f>
        <v>-5.8889748581603472E-2</v>
      </c>
      <c r="BN673">
        <f>'Bookings and Drivers'!BV156</f>
        <v>-1.8560622082329566E-2</v>
      </c>
      <c r="BO673">
        <f>'Bookings and Drivers'!BW156</f>
        <v>-1.241077908901627E-2</v>
      </c>
      <c r="BP673">
        <f>'Bookings and Drivers'!BX156</f>
        <v>-2.5694745356858568E-2</v>
      </c>
      <c r="BQ673">
        <f>'Bookings and Drivers'!BY156</f>
        <v>-3.2011646429358519E-2</v>
      </c>
      <c r="BR673">
        <f>'Bookings and Drivers'!BZ156</f>
        <v>-2.976539840502547E-2</v>
      </c>
      <c r="BS673">
        <f>'Bookings and Drivers'!CA156</f>
        <v>2.1596422908310788E-2</v>
      </c>
      <c r="BT673">
        <f>'Bookings and Drivers'!CB156</f>
        <v>5.7519129121537067E-2</v>
      </c>
      <c r="BU673">
        <f>'Bookings and Drivers'!CC156</f>
        <v>6.638896707974129E-2</v>
      </c>
      <c r="BV673">
        <f>'Bookings and Drivers'!CD156</f>
        <v>3.8068431313242002E-2</v>
      </c>
      <c r="BW673">
        <f>'Bookings and Drivers'!CE156</f>
        <v>-4.9651843075346758E-3</v>
      </c>
      <c r="BX673">
        <f>'Bookings and Drivers'!CF156</f>
        <v>3.971267759509467E-2</v>
      </c>
      <c r="BY673">
        <f>'Bookings and Drivers'!CG156</f>
        <v>0</v>
      </c>
      <c r="BZ673">
        <f>'Bookings and Drivers'!CH156</f>
        <v>0</v>
      </c>
      <c r="CA673">
        <f>'Bookings and Drivers'!CI156</f>
        <v>0</v>
      </c>
      <c r="CB673">
        <f>'Bookings and Drivers'!CJ156</f>
        <v>0</v>
      </c>
      <c r="CC673">
        <f>'Bookings and Drivers'!CK156</f>
        <v>0</v>
      </c>
      <c r="CD673">
        <f>'Bookings and Drivers'!CL156</f>
        <v>0</v>
      </c>
      <c r="CE673">
        <f>'Bookings and Drivers'!CM156</f>
        <v>0</v>
      </c>
      <c r="CF673">
        <f>'Bookings and Drivers'!CN156</f>
        <v>0</v>
      </c>
      <c r="CG673">
        <f>'Bookings and Drivers'!CO156</f>
        <v>0</v>
      </c>
      <c r="CH673">
        <f>'Bookings and Drivers'!CP156</f>
        <v>0</v>
      </c>
      <c r="CI673">
        <f>'Bookings and Drivers'!CQ156</f>
        <v>0</v>
      </c>
      <c r="CJ673">
        <f>'Bookings and Drivers'!CR156</f>
        <v>0</v>
      </c>
      <c r="CK673">
        <f>'Bookings and Drivers'!CS156</f>
        <v>0</v>
      </c>
      <c r="CL673">
        <f>'Bookings and Drivers'!CT156</f>
        <v>0</v>
      </c>
      <c r="CM673">
        <f>'Bookings and Drivers'!CU156</f>
        <v>0</v>
      </c>
      <c r="CN673">
        <f>'Bookings and Drivers'!CV156</f>
        <v>0</v>
      </c>
      <c r="CO673">
        <f>'Bookings and Drivers'!CW156</f>
        <v>0</v>
      </c>
      <c r="CP673">
        <f>'Bookings and Drivers'!CX156</f>
        <v>0</v>
      </c>
      <c r="CQ673">
        <f>'Bookings and Drivers'!CY156</f>
        <v>0</v>
      </c>
      <c r="CR673">
        <f>'Bookings and Drivers'!CZ156</f>
        <v>0</v>
      </c>
      <c r="CS673">
        <f>'Bookings and Drivers'!DA156</f>
        <v>0</v>
      </c>
      <c r="CT673">
        <f>'Bookings and Drivers'!DB156</f>
        <v>0</v>
      </c>
      <c r="CU673">
        <f>'Bookings and Drivers'!DC156</f>
        <v>0</v>
      </c>
      <c r="CV673">
        <f>'Bookings and Drivers'!DD156</f>
        <v>0</v>
      </c>
      <c r="CW673">
        <f>'Bookings and Drivers'!DE156</f>
        <v>0</v>
      </c>
      <c r="CX673">
        <f>'Bookings and Drivers'!DF156</f>
        <v>0</v>
      </c>
    </row>
    <row r="674" spans="1:102">
      <c r="A674" t="str">
        <f>'Bookings and Drivers'!I157</f>
        <v>Estimated Constant Currency Int'l Hotel Bookings</v>
      </c>
      <c r="B674">
        <f>'Bookings and Drivers'!J157</f>
        <v>0</v>
      </c>
      <c r="C674">
        <f>'Bookings and Drivers'!K157</f>
        <v>0</v>
      </c>
      <c r="D674">
        <f>'Bookings and Drivers'!L157</f>
        <v>0</v>
      </c>
      <c r="E674">
        <f>'Bookings and Drivers'!M157</f>
        <v>0</v>
      </c>
      <c r="F674">
        <f>'Bookings and Drivers'!N157</f>
        <v>0</v>
      </c>
      <c r="G674">
        <f>'Bookings and Drivers'!O157</f>
        <v>0</v>
      </c>
      <c r="H674">
        <f>'Bookings and Drivers'!P157</f>
        <v>0</v>
      </c>
      <c r="I674">
        <f>'Bookings and Drivers'!Q157</f>
        <v>0</v>
      </c>
      <c r="J674">
        <f>'Bookings and Drivers'!R157</f>
        <v>0</v>
      </c>
      <c r="K674">
        <f>'Bookings and Drivers'!S157</f>
        <v>0</v>
      </c>
      <c r="L674">
        <f>'Bookings and Drivers'!T157</f>
        <v>0</v>
      </c>
      <c r="M674">
        <f>'Bookings and Drivers'!U157</f>
        <v>0</v>
      </c>
      <c r="N674">
        <f>'Bookings and Drivers'!V157</f>
        <v>0</v>
      </c>
      <c r="O674">
        <f>'Bookings and Drivers'!W157</f>
        <v>0</v>
      </c>
      <c r="P674">
        <f>'Bookings and Drivers'!X157</f>
        <v>0</v>
      </c>
      <c r="Q674">
        <f>'Bookings and Drivers'!Y157</f>
        <v>0</v>
      </c>
      <c r="R674">
        <f>'Bookings and Drivers'!Z157</f>
        <v>0</v>
      </c>
      <c r="S674">
        <f>'Bookings and Drivers'!AA157</f>
        <v>0</v>
      </c>
      <c r="T674">
        <f>'Bookings and Drivers'!AB157</f>
        <v>0</v>
      </c>
      <c r="U674">
        <f>'Bookings and Drivers'!AC157</f>
        <v>0</v>
      </c>
      <c r="V674">
        <f>'Bookings and Drivers'!AD157</f>
        <v>0</v>
      </c>
      <c r="W674">
        <f>'Bookings and Drivers'!AE157</f>
        <v>0</v>
      </c>
      <c r="X674">
        <f>'Bookings and Drivers'!AF157</f>
        <v>0</v>
      </c>
      <c r="Y674">
        <f>'Bookings and Drivers'!AG157</f>
        <v>0</v>
      </c>
      <c r="Z674">
        <f>'Bookings and Drivers'!AH157</f>
        <v>0</v>
      </c>
      <c r="AA674">
        <f>'Bookings and Drivers'!AI157</f>
        <v>0</v>
      </c>
      <c r="AB674">
        <f>'Bookings and Drivers'!AJ157</f>
        <v>0</v>
      </c>
      <c r="AC674">
        <f>'Bookings and Drivers'!AK157</f>
        <v>0.745</v>
      </c>
      <c r="AD674">
        <f>'Bookings and Drivers'!AL157</f>
        <v>0.79600000000000004</v>
      </c>
      <c r="AE674">
        <f>'Bookings and Drivers'!AM157</f>
        <v>0.86399999999999999</v>
      </c>
      <c r="AF674">
        <f>'Bookings and Drivers'!AN157</f>
        <v>0.89900000000000002</v>
      </c>
      <c r="AG674">
        <f>'Bookings and Drivers'!AO157</f>
        <v>0.75</v>
      </c>
      <c r="AH674">
        <f>'Bookings and Drivers'!AP157</f>
        <v>0.55800000000000005</v>
      </c>
      <c r="AI674">
        <f>'Bookings and Drivers'!AQ157</f>
        <v>0.44700000000000001</v>
      </c>
      <c r="AJ674">
        <f>'Bookings and Drivers'!AR157</f>
        <v>0.27600000000000002</v>
      </c>
      <c r="AK674">
        <f>'Bookings and Drivers'!AS157</f>
        <v>0.23499999999999999</v>
      </c>
      <c r="AL674">
        <f>'Bookings and Drivers'!AT157</f>
        <v>0.32400000000000001</v>
      </c>
      <c r="AM674">
        <f>'Bookings and Drivers'!AU157</f>
        <v>0.48499999999999999</v>
      </c>
      <c r="AN674">
        <f>'Bookings and Drivers'!AV157</f>
        <v>0.69499999999999995</v>
      </c>
      <c r="AO674">
        <f>'Bookings and Drivers'!AW157</f>
        <v>0.72799999999999998</v>
      </c>
      <c r="AP674">
        <f>'Bookings and Drivers'!AX157</f>
        <v>0.63996899302615207</v>
      </c>
      <c r="AQ674">
        <f>'Bookings and Drivers'!AY157</f>
        <v>0.73023579994791565</v>
      </c>
      <c r="AR674">
        <f>'Bookings and Drivers'!AZ157</f>
        <v>0.67163159212847678</v>
      </c>
      <c r="AS674">
        <f>'Bookings and Drivers'!BA157</f>
        <v>0.73255276673188752</v>
      </c>
      <c r="AT674">
        <f>'Bookings and Drivers'!BB157</f>
        <v>0.77912856085118942</v>
      </c>
      <c r="AU674">
        <f>'Bookings and Drivers'!BC157</f>
        <v>0.60263712236672717</v>
      </c>
      <c r="AV674">
        <f>'Bookings and Drivers'!BD157</f>
        <v>0.65840803519891811</v>
      </c>
      <c r="AW674">
        <f>'Bookings and Drivers'!BE157</f>
        <v>0.57559296529569715</v>
      </c>
      <c r="AX674">
        <f>'Bookings and Drivers'!BF157</f>
        <v>0.43684602291047109</v>
      </c>
      <c r="AY674">
        <f>'Bookings and Drivers'!BG157</f>
        <v>0.39466402438315751</v>
      </c>
      <c r="AZ674">
        <f>'Bookings and Drivers'!BH157</f>
        <v>0.42309148481124442</v>
      </c>
      <c r="BA674">
        <f>'Bookings and Drivers'!BI157</f>
        <v>0.43085559250780864</v>
      </c>
      <c r="BB674">
        <f>'Bookings and Drivers'!BJ157</f>
        <v>0.44114265876552011</v>
      </c>
      <c r="BC674">
        <f>'Bookings and Drivers'!BK157</f>
        <v>0.41084109358397886</v>
      </c>
      <c r="BD674">
        <f>'Bookings and Drivers'!BL157</f>
        <v>0.42364965169146257</v>
      </c>
      <c r="BE674">
        <f>'Bookings and Drivers'!BM157</f>
        <v>0.38384273679688607</v>
      </c>
      <c r="BF674">
        <f>'Bookings and Drivers'!BN157</f>
        <v>0.35433514847641623</v>
      </c>
      <c r="BG674">
        <f>'Bookings and Drivers'!BO157</f>
        <v>0.32165791776413716</v>
      </c>
      <c r="BH674">
        <f>'Bookings and Drivers'!BP157</f>
        <v>0.26970478352214888</v>
      </c>
      <c r="BI674">
        <f>'Bookings and Drivers'!BQ157</f>
        <v>0.28829006662214013</v>
      </c>
      <c r="BJ674">
        <f>'Bookings and Drivers'!BR157</f>
        <v>0.29813231693391867</v>
      </c>
      <c r="BK674">
        <f>'Bookings and Drivers'!BS157</f>
        <v>0.2425218582533839</v>
      </c>
      <c r="BL674">
        <f>'Bookings and Drivers'!BT157</f>
        <v>0.29025817641546386</v>
      </c>
      <c r="BM674">
        <f>'Bookings and Drivers'!BU157</f>
        <v>0.30263045955199874</v>
      </c>
      <c r="BN674">
        <f>'Bookings and Drivers'!BV157</f>
        <v>0.24071666755981314</v>
      </c>
      <c r="BO674">
        <f>'Bookings and Drivers'!BW157</f>
        <v>0.28780788499903603</v>
      </c>
      <c r="BP674">
        <f>'Bookings and Drivers'!BX157</f>
        <v>0.30634067499255391</v>
      </c>
      <c r="BQ674">
        <f>'Bookings and Drivers'!BY157</f>
        <v>0.30197054389147793</v>
      </c>
      <c r="BR674">
        <f>'Bookings and Drivers'!BZ157</f>
        <v>0.21184462100615775</v>
      </c>
      <c r="BS674">
        <f>'Bookings and Drivers'!CA157</f>
        <v>0.17766363611808231</v>
      </c>
      <c r="BT674">
        <f>'Bookings and Drivers'!CB157</f>
        <v>0.15052117764015699</v>
      </c>
      <c r="BU674">
        <f>'Bookings and Drivers'!CC157</f>
        <v>0.15464078276319326</v>
      </c>
      <c r="BV674">
        <f>'Bookings and Drivers'!CD157</f>
        <v>0.18907931976580872</v>
      </c>
      <c r="BW674">
        <f>'Bookings and Drivers'!CE157</f>
        <v>0.15884900148995529</v>
      </c>
      <c r="BX674">
        <f>'Bookings and Drivers'!CF157</f>
        <v>0.2050531935433455</v>
      </c>
      <c r="BY674">
        <f>'Bookings and Drivers'!CG157</f>
        <v>0</v>
      </c>
      <c r="BZ674">
        <f>'Bookings and Drivers'!CH157</f>
        <v>0</v>
      </c>
      <c r="CA674">
        <f>'Bookings and Drivers'!CI157</f>
        <v>0</v>
      </c>
      <c r="CB674">
        <f>'Bookings and Drivers'!CJ157</f>
        <v>0</v>
      </c>
      <c r="CC674">
        <f>'Bookings and Drivers'!CK157</f>
        <v>0</v>
      </c>
      <c r="CD674">
        <f>'Bookings and Drivers'!CL157</f>
        <v>0</v>
      </c>
      <c r="CE674">
        <f>'Bookings and Drivers'!CM157</f>
        <v>0</v>
      </c>
      <c r="CF674">
        <f>'Bookings and Drivers'!CN157</f>
        <v>0</v>
      </c>
      <c r="CG674">
        <f>'Bookings and Drivers'!CO157</f>
        <v>0</v>
      </c>
      <c r="CH674">
        <f>'Bookings and Drivers'!CP157</f>
        <v>0</v>
      </c>
      <c r="CI674">
        <f>'Bookings and Drivers'!CQ157</f>
        <v>0</v>
      </c>
      <c r="CJ674">
        <f>'Bookings and Drivers'!CR157</f>
        <v>0</v>
      </c>
      <c r="CK674">
        <f>'Bookings and Drivers'!CS157</f>
        <v>0</v>
      </c>
      <c r="CL674">
        <f>'Bookings and Drivers'!CT157</f>
        <v>0</v>
      </c>
      <c r="CM674">
        <f>'Bookings and Drivers'!CU157</f>
        <v>0</v>
      </c>
      <c r="CN674">
        <f>'Bookings and Drivers'!CV157</f>
        <v>0</v>
      </c>
      <c r="CO674">
        <f>'Bookings and Drivers'!CW157</f>
        <v>0</v>
      </c>
      <c r="CP674">
        <f>'Bookings and Drivers'!CX157</f>
        <v>0</v>
      </c>
      <c r="CQ674">
        <f>'Bookings and Drivers'!CY157</f>
        <v>0</v>
      </c>
      <c r="CR674">
        <f>'Bookings and Drivers'!CZ157</f>
        <v>0</v>
      </c>
      <c r="CS674">
        <f>'Bookings and Drivers'!DA157</f>
        <v>0</v>
      </c>
      <c r="CT674">
        <f>'Bookings and Drivers'!DB157</f>
        <v>0</v>
      </c>
      <c r="CU674">
        <f>'Bookings and Drivers'!DC157</f>
        <v>0</v>
      </c>
      <c r="CV674">
        <f>'Bookings and Drivers'!DD157</f>
        <v>0</v>
      </c>
      <c r="CW674">
        <f>'Bookings and Drivers'!DE157</f>
        <v>0</v>
      </c>
      <c r="CX674">
        <f>'Bookings and Drivers'!DF157</f>
        <v>0</v>
      </c>
    </row>
    <row r="677" spans="1:102">
      <c r="A677" t="str">
        <f>'Bookings and Drivers'!I80</f>
        <v>Domestic Room Night Commentary from 10-Q</v>
      </c>
      <c r="B677">
        <f>'Bookings and Drivers'!J80</f>
        <v>0</v>
      </c>
      <c r="C677">
        <f>'Bookings and Drivers'!K80</f>
        <v>0</v>
      </c>
      <c r="D677">
        <f>'Bookings and Drivers'!L80</f>
        <v>0</v>
      </c>
      <c r="E677">
        <f>'Bookings and Drivers'!M80</f>
        <v>0</v>
      </c>
      <c r="F677">
        <f>'Bookings and Drivers'!N80</f>
        <v>0</v>
      </c>
      <c r="G677">
        <f>'Bookings and Drivers'!O80</f>
        <v>0</v>
      </c>
      <c r="H677">
        <f>'Bookings and Drivers'!P80</f>
        <v>0</v>
      </c>
      <c r="I677">
        <f>'Bookings and Drivers'!Q80</f>
        <v>0</v>
      </c>
      <c r="J677">
        <f>'Bookings and Drivers'!R80</f>
        <v>0</v>
      </c>
      <c r="K677">
        <f>'Bookings and Drivers'!S80</f>
        <v>0</v>
      </c>
      <c r="L677">
        <f>'Bookings and Drivers'!T80</f>
        <v>0</v>
      </c>
      <c r="M677">
        <f>'Bookings and Drivers'!U80</f>
        <v>0</v>
      </c>
      <c r="N677">
        <f>'Bookings and Drivers'!V80</f>
        <v>0</v>
      </c>
      <c r="O677">
        <f>'Bookings and Drivers'!W80</f>
        <v>0</v>
      </c>
      <c r="P677">
        <f>'Bookings and Drivers'!X80</f>
        <v>0</v>
      </c>
      <c r="Q677">
        <f>'Bookings and Drivers'!Y80</f>
        <v>0</v>
      </c>
      <c r="R677">
        <f>'Bookings and Drivers'!Z80</f>
        <v>0</v>
      </c>
      <c r="S677">
        <f>'Bookings and Drivers'!AA80</f>
        <v>0</v>
      </c>
      <c r="T677">
        <f>'Bookings and Drivers'!AB80</f>
        <v>0</v>
      </c>
      <c r="U677">
        <f>'Bookings and Drivers'!AC80</f>
        <v>0</v>
      </c>
      <c r="V677">
        <f>'Bookings and Drivers'!AD80</f>
        <v>0</v>
      </c>
      <c r="W677">
        <f>'Bookings and Drivers'!AE80</f>
        <v>0</v>
      </c>
      <c r="X677">
        <f>'Bookings and Drivers'!AF80</f>
        <v>0</v>
      </c>
      <c r="Y677">
        <f>'Bookings and Drivers'!AG80</f>
        <v>0</v>
      </c>
      <c r="Z677">
        <f>'Bookings and Drivers'!AH80</f>
        <v>0</v>
      </c>
      <c r="AA677">
        <f>'Bookings and Drivers'!AI80</f>
        <v>0</v>
      </c>
      <c r="AB677">
        <f>'Bookings and Drivers'!AJ80</f>
        <v>0</v>
      </c>
      <c r="AC677">
        <f>'Bookings and Drivers'!AK80</f>
        <v>0</v>
      </c>
      <c r="AD677">
        <f>'Bookings and Drivers'!AL80</f>
        <v>0</v>
      </c>
      <c r="AE677">
        <f>'Bookings and Drivers'!AM80</f>
        <v>0</v>
      </c>
      <c r="AF677">
        <f>'Bookings and Drivers'!AN80</f>
        <v>0</v>
      </c>
      <c r="AG677">
        <f>'Bookings and Drivers'!AO80</f>
        <v>0</v>
      </c>
      <c r="AH677">
        <f>'Bookings and Drivers'!AP80</f>
        <v>0</v>
      </c>
      <c r="AI677">
        <f>'Bookings and Drivers'!AQ80</f>
        <v>0</v>
      </c>
      <c r="AJ677">
        <f>'Bookings and Drivers'!AR80</f>
        <v>0</v>
      </c>
      <c r="AK677">
        <f>'Bookings and Drivers'!AS80</f>
        <v>0</v>
      </c>
      <c r="AL677">
        <f>'Bookings and Drivers'!AT80</f>
        <v>0</v>
      </c>
      <c r="AM677">
        <f>'Bookings and Drivers'!AU80</f>
        <v>0</v>
      </c>
      <c r="AN677">
        <f>'Bookings and Drivers'!AV80</f>
        <v>0</v>
      </c>
      <c r="AO677">
        <f>'Bookings and Drivers'!AW80</f>
        <v>0</v>
      </c>
      <c r="AP677">
        <f>'Bookings and Drivers'!AX80</f>
        <v>0</v>
      </c>
      <c r="AQ677">
        <f>'Bookings and Drivers'!AY80</f>
        <v>0</v>
      </c>
      <c r="AR677">
        <f>'Bookings and Drivers'!AZ80</f>
        <v>0</v>
      </c>
      <c r="AS677">
        <f>'Bookings and Drivers'!BA80</f>
        <v>0</v>
      </c>
      <c r="AT677">
        <f>'Bookings and Drivers'!BB80</f>
        <v>0</v>
      </c>
      <c r="AU677">
        <f>'Bookings and Drivers'!BC80</f>
        <v>0</v>
      </c>
      <c r="AV677">
        <f>'Bookings and Drivers'!BD80</f>
        <v>0</v>
      </c>
      <c r="AW677">
        <f>'Bookings and Drivers'!BE80</f>
        <v>0</v>
      </c>
      <c r="AX677">
        <f>'Bookings and Drivers'!BF80</f>
        <v>0</v>
      </c>
      <c r="AY677">
        <f>'Bookings and Drivers'!BG80</f>
        <v>0</v>
      </c>
      <c r="AZ677">
        <f>'Bookings and Drivers'!BH80</f>
        <v>0</v>
      </c>
      <c r="BA677">
        <f>'Bookings and Drivers'!BI80</f>
        <v>0</v>
      </c>
      <c r="BB677">
        <f>'Bookings and Drivers'!BJ80</f>
        <v>0</v>
      </c>
      <c r="BC677">
        <f>'Bookings and Drivers'!BK80</f>
        <v>0</v>
      </c>
      <c r="BD677">
        <f>'Bookings and Drivers'!BL80</f>
        <v>0</v>
      </c>
      <c r="BE677">
        <f>'Bookings and Drivers'!BM80</f>
        <v>0</v>
      </c>
      <c r="BF677">
        <f>'Bookings and Drivers'!BN80</f>
        <v>0</v>
      </c>
      <c r="BG677">
        <f>'Bookings and Drivers'!BO80</f>
        <v>0</v>
      </c>
      <c r="BH677">
        <f>'Bookings and Drivers'!BP80</f>
        <v>0</v>
      </c>
      <c r="BI677">
        <f>'Bookings and Drivers'!BQ80</f>
        <v>0</v>
      </c>
      <c r="BJ677">
        <f>'Bookings and Drivers'!BR80</f>
        <v>0</v>
      </c>
      <c r="BK677">
        <f>'Bookings and Drivers'!BS80</f>
        <v>0</v>
      </c>
      <c r="BL677">
        <f>'Bookings and Drivers'!BT80</f>
        <v>0</v>
      </c>
      <c r="BM677">
        <f>'Bookings and Drivers'!BU80</f>
        <v>0</v>
      </c>
      <c r="BN677">
        <f>'Bookings and Drivers'!BV80</f>
        <v>0</v>
      </c>
      <c r="BO677">
        <f>'Bookings and Drivers'!BW80</f>
        <v>0</v>
      </c>
      <c r="BP677">
        <f>'Bookings and Drivers'!BX80</f>
        <v>0</v>
      </c>
      <c r="BQ677">
        <f>'Bookings and Drivers'!BY80</f>
        <v>0</v>
      </c>
      <c r="BR677">
        <f>'Bookings and Drivers'!BZ80</f>
        <v>0</v>
      </c>
      <c r="BS677">
        <f>'Bookings and Drivers'!CA80</f>
        <v>0</v>
      </c>
      <c r="BT677">
        <f>'Bookings and Drivers'!CB80</f>
        <v>0</v>
      </c>
      <c r="BU677">
        <f>'Bookings and Drivers'!CC80</f>
        <v>0</v>
      </c>
      <c r="BV677">
        <f>'Bookings and Drivers'!CD80</f>
        <v>0</v>
      </c>
      <c r="BW677">
        <f>'Bookings and Drivers'!CE80</f>
        <v>0</v>
      </c>
      <c r="BX677">
        <f>'Bookings and Drivers'!CF80</f>
        <v>0</v>
      </c>
      <c r="BY677">
        <f>'Bookings and Drivers'!CG80</f>
        <v>0</v>
      </c>
      <c r="BZ677">
        <f>'Bookings and Drivers'!CH80</f>
        <v>0</v>
      </c>
      <c r="CA677">
        <f>'Bookings and Drivers'!CI80</f>
        <v>0</v>
      </c>
      <c r="CB677">
        <f>'Bookings and Drivers'!CJ80</f>
        <v>0</v>
      </c>
      <c r="CC677">
        <f>'Bookings and Drivers'!CK80</f>
        <v>0</v>
      </c>
      <c r="CD677">
        <f>'Bookings and Drivers'!CL80</f>
        <v>0</v>
      </c>
      <c r="CE677">
        <f>'Bookings and Drivers'!CM80</f>
        <v>0</v>
      </c>
      <c r="CF677">
        <f>'Bookings and Drivers'!CN80</f>
        <v>0</v>
      </c>
      <c r="CG677">
        <f>'Bookings and Drivers'!CO80</f>
        <v>0</v>
      </c>
      <c r="CH677">
        <f>'Bookings and Drivers'!CP80</f>
        <v>0</v>
      </c>
      <c r="CI677">
        <f>'Bookings and Drivers'!CQ80</f>
        <v>0</v>
      </c>
      <c r="CJ677">
        <f>'Bookings and Drivers'!CR80</f>
        <v>0</v>
      </c>
      <c r="CK677">
        <f>'Bookings and Drivers'!CS80</f>
        <v>0</v>
      </c>
      <c r="CL677">
        <f>'Bookings and Drivers'!CT80</f>
        <v>0</v>
      </c>
      <c r="CM677">
        <f>'Bookings and Drivers'!CU80</f>
        <v>0</v>
      </c>
      <c r="CN677">
        <f>'Bookings and Drivers'!CV80</f>
        <v>0</v>
      </c>
      <c r="CO677">
        <f>'Bookings and Drivers'!CW80</f>
        <v>0</v>
      </c>
      <c r="CP677">
        <f>'Bookings and Drivers'!CX80</f>
        <v>0</v>
      </c>
      <c r="CQ677">
        <f>'Bookings and Drivers'!CY80</f>
        <v>0</v>
      </c>
      <c r="CR677">
        <f>'Bookings and Drivers'!CZ80</f>
        <v>0</v>
      </c>
      <c r="CS677">
        <f>'Bookings and Drivers'!DA80</f>
        <v>0</v>
      </c>
      <c r="CT677">
        <f>'Bookings and Drivers'!DB80</f>
        <v>0</v>
      </c>
      <c r="CU677">
        <f>'Bookings and Drivers'!DC80</f>
        <v>0</v>
      </c>
      <c r="CV677">
        <f>'Bookings and Drivers'!DD80</f>
        <v>0</v>
      </c>
      <c r="CW677">
        <f>'Bookings and Drivers'!DE80</f>
        <v>0</v>
      </c>
      <c r="CX677">
        <f>'Bookings and Drivers'!DF80</f>
        <v>0</v>
      </c>
    </row>
    <row r="678" spans="1:102">
      <c r="A678" t="str">
        <f>'Bookings and Drivers'!I82</f>
        <v>priceline.com Price-disclosed</v>
      </c>
      <c r="B678">
        <f>'Bookings and Drivers'!J82</f>
        <v>0</v>
      </c>
      <c r="C678">
        <f>'Bookings and Drivers'!K82</f>
        <v>0</v>
      </c>
      <c r="D678">
        <f>'Bookings and Drivers'!L82</f>
        <v>0</v>
      </c>
      <c r="E678">
        <f>'Bookings and Drivers'!M82</f>
        <v>0</v>
      </c>
      <c r="F678">
        <f>'Bookings and Drivers'!N82</f>
        <v>0</v>
      </c>
      <c r="G678">
        <f>'Bookings and Drivers'!O82</f>
        <v>0</v>
      </c>
      <c r="H678">
        <f>'Bookings and Drivers'!P82</f>
        <v>0</v>
      </c>
      <c r="I678">
        <f>'Bookings and Drivers'!Q82</f>
        <v>0</v>
      </c>
      <c r="J678">
        <f>'Bookings and Drivers'!R82</f>
        <v>0</v>
      </c>
      <c r="K678">
        <f>'Bookings and Drivers'!S82</f>
        <v>0</v>
      </c>
      <c r="L678">
        <f>'Bookings and Drivers'!T82</f>
        <v>0</v>
      </c>
      <c r="M678">
        <f>'Bookings and Drivers'!U82</f>
        <v>0</v>
      </c>
      <c r="N678">
        <f>'Bookings and Drivers'!V82</f>
        <v>0</v>
      </c>
      <c r="O678">
        <f>'Bookings and Drivers'!W82</f>
        <v>0</v>
      </c>
      <c r="P678">
        <f>'Bookings and Drivers'!X82</f>
        <v>0</v>
      </c>
      <c r="Q678">
        <f>'Bookings and Drivers'!Y82</f>
        <v>0</v>
      </c>
      <c r="R678">
        <f>'Bookings and Drivers'!Z82</f>
        <v>0</v>
      </c>
      <c r="S678">
        <f>'Bookings and Drivers'!AA82</f>
        <v>0</v>
      </c>
      <c r="T678">
        <f>'Bookings and Drivers'!AB82</f>
        <v>0</v>
      </c>
      <c r="U678">
        <f>'Bookings and Drivers'!AC82</f>
        <v>0</v>
      </c>
      <c r="V678">
        <f>'Bookings and Drivers'!AD82</f>
        <v>0</v>
      </c>
      <c r="W678">
        <f>'Bookings and Drivers'!AE82</f>
        <v>0</v>
      </c>
      <c r="X678">
        <f>'Bookings and Drivers'!AF82</f>
        <v>0</v>
      </c>
      <c r="Y678">
        <f>'Bookings and Drivers'!AG82</f>
        <v>0</v>
      </c>
      <c r="Z678" t="str">
        <f>'Bookings and Drivers'!AH82</f>
        <v>increased</v>
      </c>
      <c r="AA678" t="str">
        <f>'Bookings and Drivers'!AI82</f>
        <v>increased</v>
      </c>
      <c r="AB678">
        <f>'Bookings and Drivers'!AJ82</f>
        <v>0</v>
      </c>
      <c r="AC678">
        <f>'Bookings and Drivers'!AK82</f>
        <v>0</v>
      </c>
      <c r="AD678" t="str">
        <f>'Bookings and Drivers'!AL82</f>
        <v>declined</v>
      </c>
      <c r="AE678" t="str">
        <f>'Bookings and Drivers'!AM82</f>
        <v>na</v>
      </c>
      <c r="AF678">
        <f>'Bookings and Drivers'!AN82</f>
        <v>0</v>
      </c>
      <c r="AG678" t="str">
        <f>'Bookings and Drivers'!AO82</f>
        <v>na</v>
      </c>
      <c r="AH678">
        <f>'Bookings and Drivers'!AP82</f>
        <v>0</v>
      </c>
      <c r="AI678">
        <f>'Bookings and Drivers'!AQ82</f>
        <v>0</v>
      </c>
      <c r="AJ678">
        <f>'Bookings and Drivers'!AR82</f>
        <v>0</v>
      </c>
      <c r="AK678" t="str">
        <f>'Bookings and Drivers'!AS82</f>
        <v>increased</v>
      </c>
      <c r="AL678" t="str">
        <f>'Bookings and Drivers'!AT82</f>
        <v>increased</v>
      </c>
      <c r="AM678" t="str">
        <f>'Bookings and Drivers'!AU82</f>
        <v>increased</v>
      </c>
      <c r="AN678" t="str">
        <f>'Bookings and Drivers'!AV82</f>
        <v>increased</v>
      </c>
      <c r="AO678" t="str">
        <f>'Bookings and Drivers'!AW82</f>
        <v>increased</v>
      </c>
      <c r="AP678" t="str">
        <f>'Bookings and Drivers'!AX82</f>
        <v>increased</v>
      </c>
      <c r="AQ678" t="str">
        <f>'Bookings and Drivers'!AY82</f>
        <v>increased</v>
      </c>
      <c r="AR678" t="str">
        <f>'Bookings and Drivers'!AZ82</f>
        <v>increased</v>
      </c>
      <c r="AS678" t="str">
        <f>'Bookings and Drivers'!BA82</f>
        <v>increased</v>
      </c>
      <c r="AT678" t="str">
        <f>'Bookings and Drivers'!BB82</f>
        <v>increased</v>
      </c>
      <c r="AU678" t="str">
        <f>'Bookings and Drivers'!BC82</f>
        <v>increased</v>
      </c>
      <c r="AV678" t="str">
        <f>'Bookings and Drivers'!BD82</f>
        <v>increased</v>
      </c>
      <c r="AW678" t="str">
        <f>'Bookings and Drivers'!BE82</f>
        <v>increased</v>
      </c>
      <c r="AX678" t="str">
        <f>'Bookings and Drivers'!BF82</f>
        <v>increased</v>
      </c>
      <c r="AY678" t="str">
        <f>'Bookings and Drivers'!BG82</f>
        <v>declined</v>
      </c>
      <c r="AZ678">
        <f>'Bookings and Drivers'!BH82</f>
        <v>0</v>
      </c>
      <c r="BA678" t="str">
        <f>'Bookings and Drivers'!BI82</f>
        <v>increased</v>
      </c>
      <c r="BB678" t="str">
        <f>'Bookings and Drivers'!BJ82</f>
        <v>increased</v>
      </c>
      <c r="BC678" t="str">
        <f>'Bookings and Drivers'!BK82</f>
        <v>increased</v>
      </c>
      <c r="BD678">
        <f>'Bookings and Drivers'!BL82</f>
        <v>0</v>
      </c>
      <c r="BE678" t="str">
        <f>'Bookings and Drivers'!BM82</f>
        <v>increased</v>
      </c>
      <c r="BF678" t="str">
        <f>'Bookings and Drivers'!BN82</f>
        <v>increased</v>
      </c>
      <c r="BG678" t="str">
        <f>'Bookings and Drivers'!BO82</f>
        <v>increased</v>
      </c>
      <c r="BH678">
        <f>'Bookings and Drivers'!BP82</f>
        <v>0</v>
      </c>
      <c r="BI678" t="str">
        <f>'Bookings and Drivers'!BQ82</f>
        <v>increased</v>
      </c>
      <c r="BJ678" t="str">
        <f>'Bookings and Drivers'!BR82</f>
        <v>increased</v>
      </c>
      <c r="BK678" t="str">
        <f>'Bookings and Drivers'!BS82</f>
        <v>increased</v>
      </c>
      <c r="BL678">
        <f>'Bookings and Drivers'!BT82</f>
        <v>0</v>
      </c>
      <c r="BM678">
        <f>'Bookings and Drivers'!BU82</f>
        <v>0</v>
      </c>
      <c r="BN678">
        <f>'Bookings and Drivers'!BV82</f>
        <v>0</v>
      </c>
      <c r="BO678">
        <f>'Bookings and Drivers'!BW82</f>
        <v>0</v>
      </c>
      <c r="BP678">
        <f>'Bookings and Drivers'!BX82</f>
        <v>0</v>
      </c>
      <c r="BQ678">
        <f>'Bookings and Drivers'!BY82</f>
        <v>0</v>
      </c>
      <c r="BR678">
        <f>'Bookings and Drivers'!BZ82</f>
        <v>0</v>
      </c>
      <c r="BS678">
        <f>'Bookings and Drivers'!CA82</f>
        <v>0</v>
      </c>
      <c r="BT678">
        <f>'Bookings and Drivers'!CB82</f>
        <v>0</v>
      </c>
      <c r="BU678">
        <f>'Bookings and Drivers'!CC82</f>
        <v>0</v>
      </c>
      <c r="BV678">
        <f>'Bookings and Drivers'!CD82</f>
        <v>0</v>
      </c>
      <c r="BW678">
        <f>'Bookings and Drivers'!CE82</f>
        <v>0</v>
      </c>
      <c r="BX678">
        <f>'Bookings and Drivers'!CF82</f>
        <v>0</v>
      </c>
      <c r="BY678">
        <f>'Bookings and Drivers'!CG82</f>
        <v>0</v>
      </c>
      <c r="BZ678">
        <f>'Bookings and Drivers'!CH82</f>
        <v>0</v>
      </c>
      <c r="CA678">
        <f>'Bookings and Drivers'!CI82</f>
        <v>0</v>
      </c>
      <c r="CB678">
        <f>'Bookings and Drivers'!CJ82</f>
        <v>0</v>
      </c>
      <c r="CC678">
        <f>'Bookings and Drivers'!CK82</f>
        <v>0</v>
      </c>
      <c r="CD678">
        <f>'Bookings and Drivers'!CL82</f>
        <v>0</v>
      </c>
      <c r="CE678">
        <f>'Bookings and Drivers'!CM82</f>
        <v>0</v>
      </c>
      <c r="CF678">
        <f>'Bookings and Drivers'!CN82</f>
        <v>0</v>
      </c>
      <c r="CG678">
        <f>'Bookings and Drivers'!CO82</f>
        <v>0</v>
      </c>
      <c r="CH678" t="str">
        <f>'Bookings and Drivers'!CP82</f>
        <v>increased</v>
      </c>
      <c r="CI678" t="str">
        <f>'Bookings and Drivers'!CQ82</f>
        <v>increased</v>
      </c>
      <c r="CJ678" t="str">
        <f>'Bookings and Drivers'!CR82</f>
        <v>increased</v>
      </c>
      <c r="CK678">
        <f>'Bookings and Drivers'!CS82</f>
        <v>0</v>
      </c>
      <c r="CL678">
        <f>'Bookings and Drivers'!CT82</f>
        <v>0</v>
      </c>
      <c r="CM678">
        <f>'Bookings and Drivers'!CU82</f>
        <v>0</v>
      </c>
      <c r="CN678">
        <f>'Bookings and Drivers'!CV82</f>
        <v>0</v>
      </c>
      <c r="CO678">
        <f>'Bookings and Drivers'!CW82</f>
        <v>0</v>
      </c>
      <c r="CP678">
        <f>'Bookings and Drivers'!CX82</f>
        <v>0</v>
      </c>
      <c r="CQ678">
        <f>'Bookings and Drivers'!CY82</f>
        <v>0</v>
      </c>
      <c r="CR678">
        <f>'Bookings and Drivers'!CZ82</f>
        <v>0</v>
      </c>
      <c r="CS678">
        <f>'Bookings and Drivers'!DA82</f>
        <v>0</v>
      </c>
      <c r="CT678">
        <f>'Bookings and Drivers'!DB82</f>
        <v>0</v>
      </c>
      <c r="CU678">
        <f>'Bookings and Drivers'!DC82</f>
        <v>0</v>
      </c>
      <c r="CV678">
        <f>'Bookings and Drivers'!DD82</f>
        <v>0</v>
      </c>
      <c r="CW678">
        <f>'Bookings and Drivers'!DE82</f>
        <v>0</v>
      </c>
      <c r="CX678">
        <f>'Bookings and Drivers'!DF82</f>
        <v>0</v>
      </c>
    </row>
    <row r="679" spans="1:102">
      <c r="A679" t="str">
        <f>'Bookings and Drivers'!I81</f>
        <v>Opaque</v>
      </c>
      <c r="B679">
        <f>'Bookings and Drivers'!J81</f>
        <v>0</v>
      </c>
      <c r="C679">
        <f>'Bookings and Drivers'!K81</f>
        <v>0</v>
      </c>
      <c r="D679">
        <f>'Bookings and Drivers'!L81</f>
        <v>0</v>
      </c>
      <c r="E679">
        <f>'Bookings and Drivers'!M81</f>
        <v>0</v>
      </c>
      <c r="F679">
        <f>'Bookings and Drivers'!N81</f>
        <v>0</v>
      </c>
      <c r="G679">
        <f>'Bookings and Drivers'!O81</f>
        <v>0</v>
      </c>
      <c r="H679">
        <f>'Bookings and Drivers'!P81</f>
        <v>0</v>
      </c>
      <c r="I679">
        <f>'Bookings and Drivers'!Q81</f>
        <v>0</v>
      </c>
      <c r="J679">
        <f>'Bookings and Drivers'!R81</f>
        <v>0</v>
      </c>
      <c r="K679">
        <f>'Bookings and Drivers'!S81</f>
        <v>0</v>
      </c>
      <c r="L679">
        <f>'Bookings and Drivers'!T81</f>
        <v>0</v>
      </c>
      <c r="M679">
        <f>'Bookings and Drivers'!U81</f>
        <v>0</v>
      </c>
      <c r="N679">
        <f>'Bookings and Drivers'!V81</f>
        <v>0</v>
      </c>
      <c r="O679">
        <f>'Bookings and Drivers'!W81</f>
        <v>0</v>
      </c>
      <c r="P679">
        <f>'Bookings and Drivers'!X81</f>
        <v>0</v>
      </c>
      <c r="Q679">
        <f>'Bookings and Drivers'!Y81</f>
        <v>0</v>
      </c>
      <c r="R679">
        <f>'Bookings and Drivers'!Z81</f>
        <v>0</v>
      </c>
      <c r="S679">
        <f>'Bookings and Drivers'!AA81</f>
        <v>0</v>
      </c>
      <c r="T679">
        <f>'Bookings and Drivers'!AB81</f>
        <v>0</v>
      </c>
      <c r="U679">
        <f>'Bookings and Drivers'!AC81</f>
        <v>0</v>
      </c>
      <c r="V679">
        <f>'Bookings and Drivers'!AD81</f>
        <v>0</v>
      </c>
      <c r="W679">
        <f>'Bookings and Drivers'!AE81</f>
        <v>0</v>
      </c>
      <c r="X679">
        <f>'Bookings and Drivers'!AF81</f>
        <v>0</v>
      </c>
      <c r="Y679">
        <f>'Bookings and Drivers'!AG81</f>
        <v>0</v>
      </c>
      <c r="Z679">
        <f>'Bookings and Drivers'!AH81</f>
        <v>0</v>
      </c>
      <c r="AA679" t="str">
        <f>'Bookings and Drivers'!AI81</f>
        <v>increased</v>
      </c>
      <c r="AB679">
        <f>'Bookings and Drivers'!AJ81</f>
        <v>0</v>
      </c>
      <c r="AC679">
        <f>'Bookings and Drivers'!AK81</f>
        <v>0</v>
      </c>
      <c r="AD679" t="str">
        <f>'Bookings and Drivers'!AL81</f>
        <v>increased</v>
      </c>
      <c r="AE679" t="str">
        <f>'Bookings and Drivers'!AM81</f>
        <v>increased</v>
      </c>
      <c r="AF679">
        <f>'Bookings and Drivers'!AN81</f>
        <v>0</v>
      </c>
      <c r="AG679" t="str">
        <f>'Bookings and Drivers'!AO81</f>
        <v>increased</v>
      </c>
      <c r="AH679">
        <f>'Bookings and Drivers'!AP81</f>
        <v>0</v>
      </c>
      <c r="AI679">
        <f>'Bookings and Drivers'!AQ81</f>
        <v>0</v>
      </c>
      <c r="AJ679">
        <f>'Bookings and Drivers'!AR81</f>
        <v>0</v>
      </c>
      <c r="AK679" t="str">
        <f>'Bookings and Drivers'!AS81</f>
        <v>increased</v>
      </c>
      <c r="AL679" t="str">
        <f>'Bookings and Drivers'!AT81</f>
        <v>increased</v>
      </c>
      <c r="AM679" t="str">
        <f>'Bookings and Drivers'!AU81</f>
        <v>increased</v>
      </c>
      <c r="AN679" t="str">
        <f>'Bookings and Drivers'!AV81</f>
        <v>increased</v>
      </c>
      <c r="AO679" t="str">
        <f>'Bookings and Drivers'!AW81</f>
        <v>increased</v>
      </c>
      <c r="AP679" t="str">
        <f>'Bookings and Drivers'!AX81</f>
        <v>increased</v>
      </c>
      <c r="AQ679" t="str">
        <f>'Bookings and Drivers'!AY81</f>
        <v>increased</v>
      </c>
      <c r="AR679" t="str">
        <f>'Bookings and Drivers'!AZ81</f>
        <v>increased</v>
      </c>
      <c r="AS679" t="str">
        <f>'Bookings and Drivers'!BA81</f>
        <v>increased</v>
      </c>
      <c r="AT679" t="str">
        <f>'Bookings and Drivers'!BB81</f>
        <v>increased</v>
      </c>
      <c r="AU679" t="str">
        <f>'Bookings and Drivers'!BC81</f>
        <v>declined</v>
      </c>
      <c r="AV679" t="str">
        <f>'Bookings and Drivers'!BD81</f>
        <v>declined</v>
      </c>
      <c r="AW679" t="str">
        <f>'Bookings and Drivers'!BE81</f>
        <v>modest decline</v>
      </c>
      <c r="AX679" t="str">
        <f>'Bookings and Drivers'!BF81</f>
        <v>declined</v>
      </c>
      <c r="AY679" t="str">
        <f>'Bookings and Drivers'!BG81</f>
        <v>declined</v>
      </c>
      <c r="AZ679" t="str">
        <f>'Bookings and Drivers'!BH81</f>
        <v>declined?</v>
      </c>
      <c r="BA679" t="str">
        <f>'Bookings and Drivers'!BI81</f>
        <v>slight decline</v>
      </c>
      <c r="BB679" t="str">
        <f>'Bookings and Drivers'!BJ81</f>
        <v>increased</v>
      </c>
      <c r="BC679" t="str">
        <f>'Bookings and Drivers'!BK81</f>
        <v>declined</v>
      </c>
      <c r="BD679">
        <f>'Bookings and Drivers'!BL81</f>
        <v>0</v>
      </c>
      <c r="BE679" t="str">
        <f>'Bookings and Drivers'!BM81</f>
        <v>declined</v>
      </c>
      <c r="BF679" t="str">
        <f>'Bookings and Drivers'!BN81</f>
        <v>declined</v>
      </c>
      <c r="BG679" t="str">
        <f>'Bookings and Drivers'!BO81</f>
        <v>declined</v>
      </c>
      <c r="BH679">
        <f>'Bookings and Drivers'!BP81</f>
        <v>0</v>
      </c>
      <c r="BI679" t="str">
        <f>'Bookings and Drivers'!BQ81</f>
        <v>declined</v>
      </c>
      <c r="BJ679" t="str">
        <f>'Bookings and Drivers'!BR81</f>
        <v>declined</v>
      </c>
      <c r="BK679" t="str">
        <f>'Bookings and Drivers'!BS81</f>
        <v>declined</v>
      </c>
      <c r="BL679">
        <f>'Bookings and Drivers'!BT81</f>
        <v>0</v>
      </c>
      <c r="BM679">
        <f>'Bookings and Drivers'!BU81</f>
        <v>0</v>
      </c>
      <c r="BN679">
        <f>'Bookings and Drivers'!BV81</f>
        <v>0</v>
      </c>
      <c r="BO679">
        <f>'Bookings and Drivers'!BW81</f>
        <v>0</v>
      </c>
      <c r="BP679">
        <f>'Bookings and Drivers'!BX81</f>
        <v>0</v>
      </c>
      <c r="BQ679">
        <f>'Bookings and Drivers'!BY81</f>
        <v>0</v>
      </c>
      <c r="BR679">
        <f>'Bookings and Drivers'!BZ81</f>
        <v>0</v>
      </c>
      <c r="BS679">
        <f>'Bookings and Drivers'!CA81</f>
        <v>0</v>
      </c>
      <c r="BT679">
        <f>'Bookings and Drivers'!CB81</f>
        <v>0</v>
      </c>
      <c r="BU679">
        <f>'Bookings and Drivers'!CC81</f>
        <v>0</v>
      </c>
      <c r="BV679">
        <f>'Bookings and Drivers'!CD81</f>
        <v>0</v>
      </c>
      <c r="BW679">
        <f>'Bookings and Drivers'!CE81</f>
        <v>0</v>
      </c>
      <c r="BX679">
        <f>'Bookings and Drivers'!CF81</f>
        <v>0</v>
      </c>
      <c r="BY679">
        <f>'Bookings and Drivers'!CG81</f>
        <v>0</v>
      </c>
      <c r="BZ679">
        <f>'Bookings and Drivers'!CH81</f>
        <v>0</v>
      </c>
      <c r="CA679">
        <f>'Bookings and Drivers'!CI81</f>
        <v>0</v>
      </c>
      <c r="CB679">
        <f>'Bookings and Drivers'!CJ81</f>
        <v>0</v>
      </c>
      <c r="CC679">
        <f>'Bookings and Drivers'!CK81</f>
        <v>0</v>
      </c>
      <c r="CD679">
        <f>'Bookings and Drivers'!CL81</f>
        <v>0</v>
      </c>
      <c r="CE679">
        <f>'Bookings and Drivers'!CM81</f>
        <v>0</v>
      </c>
      <c r="CF679">
        <f>'Bookings and Drivers'!CN81</f>
        <v>0</v>
      </c>
      <c r="CG679">
        <f>'Bookings and Drivers'!CO81</f>
        <v>0</v>
      </c>
      <c r="CH679" t="str">
        <f>'Bookings and Drivers'!CP81</f>
        <v>increased</v>
      </c>
      <c r="CI679" t="str">
        <f>'Bookings and Drivers'!CQ81</f>
        <v>increased</v>
      </c>
      <c r="CJ679" t="str">
        <f>'Bookings and Drivers'!CR81</f>
        <v>modest decline</v>
      </c>
      <c r="CK679" t="str">
        <f>'Bookings and Drivers'!CS81</f>
        <v>declined</v>
      </c>
      <c r="CL679">
        <f>'Bookings and Drivers'!CT81</f>
        <v>0</v>
      </c>
      <c r="CM679">
        <f>'Bookings and Drivers'!CU81</f>
        <v>0</v>
      </c>
      <c r="CN679">
        <f>'Bookings and Drivers'!CV81</f>
        <v>0</v>
      </c>
      <c r="CO679">
        <f>'Bookings and Drivers'!CW81</f>
        <v>0</v>
      </c>
      <c r="CP679">
        <f>'Bookings and Drivers'!CX81</f>
        <v>0</v>
      </c>
      <c r="CQ679">
        <f>'Bookings and Drivers'!CY81</f>
        <v>0</v>
      </c>
      <c r="CR679">
        <f>'Bookings and Drivers'!CZ81</f>
        <v>0</v>
      </c>
      <c r="CS679">
        <f>'Bookings and Drivers'!DA81</f>
        <v>0</v>
      </c>
      <c r="CT679">
        <f>'Bookings and Drivers'!DB81</f>
        <v>0</v>
      </c>
      <c r="CU679">
        <f>'Bookings and Drivers'!DC81</f>
        <v>0</v>
      </c>
      <c r="CV679">
        <f>'Bookings and Drivers'!DD81</f>
        <v>0</v>
      </c>
      <c r="CW679">
        <f>'Bookings and Drivers'!DE81</f>
        <v>0</v>
      </c>
      <c r="CX679">
        <f>'Bookings and Drivers'!DF81</f>
        <v>0</v>
      </c>
    </row>
    <row r="680" spans="1:102">
      <c r="A680" t="str">
        <f>'Bookings and Drivers'!I83</f>
        <v>Total</v>
      </c>
      <c r="B680">
        <f>'Bookings and Drivers'!J83</f>
        <v>0</v>
      </c>
      <c r="C680">
        <f>'Bookings and Drivers'!K83</f>
        <v>0</v>
      </c>
      <c r="D680">
        <f>'Bookings and Drivers'!L83</f>
        <v>0</v>
      </c>
      <c r="E680">
        <f>'Bookings and Drivers'!M83</f>
        <v>0</v>
      </c>
      <c r="F680">
        <f>'Bookings and Drivers'!N83</f>
        <v>0</v>
      </c>
      <c r="G680">
        <f>'Bookings and Drivers'!O83</f>
        <v>0</v>
      </c>
      <c r="H680">
        <f>'Bookings and Drivers'!P83</f>
        <v>0</v>
      </c>
      <c r="I680">
        <f>'Bookings and Drivers'!Q83</f>
        <v>0</v>
      </c>
      <c r="J680">
        <f>'Bookings and Drivers'!R83</f>
        <v>0</v>
      </c>
      <c r="K680">
        <f>'Bookings and Drivers'!S83</f>
        <v>0</v>
      </c>
      <c r="L680">
        <f>'Bookings and Drivers'!T83</f>
        <v>0</v>
      </c>
      <c r="M680">
        <f>'Bookings and Drivers'!U83</f>
        <v>0</v>
      </c>
      <c r="N680">
        <f>'Bookings and Drivers'!V83</f>
        <v>0</v>
      </c>
      <c r="O680">
        <f>'Bookings and Drivers'!W83</f>
        <v>0</v>
      </c>
      <c r="P680">
        <f>'Bookings and Drivers'!X83</f>
        <v>0</v>
      </c>
      <c r="Q680">
        <f>'Bookings and Drivers'!Y83</f>
        <v>0</v>
      </c>
      <c r="R680">
        <f>'Bookings and Drivers'!Z83</f>
        <v>0</v>
      </c>
      <c r="S680">
        <f>'Bookings and Drivers'!AA83</f>
        <v>0</v>
      </c>
      <c r="T680">
        <f>'Bookings and Drivers'!AB83</f>
        <v>0</v>
      </c>
      <c r="U680">
        <f>'Bookings and Drivers'!AC83</f>
        <v>0</v>
      </c>
      <c r="V680">
        <f>'Bookings and Drivers'!AD83</f>
        <v>0</v>
      </c>
      <c r="W680">
        <f>'Bookings and Drivers'!AE83</f>
        <v>0</v>
      </c>
      <c r="X680">
        <f>'Bookings and Drivers'!AF83</f>
        <v>0</v>
      </c>
      <c r="Y680">
        <f>'Bookings and Drivers'!AG83</f>
        <v>0</v>
      </c>
      <c r="Z680">
        <f>'Bookings and Drivers'!AH83</f>
        <v>0</v>
      </c>
      <c r="AA680">
        <f>'Bookings and Drivers'!AI83</f>
        <v>0</v>
      </c>
      <c r="AB680">
        <f>'Bookings and Drivers'!AJ83</f>
        <v>0</v>
      </c>
      <c r="AC680">
        <f>'Bookings and Drivers'!AK83</f>
        <v>0</v>
      </c>
      <c r="AD680">
        <f>'Bookings and Drivers'!AL83</f>
        <v>0</v>
      </c>
      <c r="AE680">
        <f>'Bookings and Drivers'!AM83</f>
        <v>0</v>
      </c>
      <c r="AF680">
        <f>'Bookings and Drivers'!AN83</f>
        <v>0</v>
      </c>
      <c r="AG680">
        <f>'Bookings and Drivers'!AO83</f>
        <v>0</v>
      </c>
      <c r="AH680">
        <f>'Bookings and Drivers'!AP83</f>
        <v>0</v>
      </c>
      <c r="AI680">
        <f>'Bookings and Drivers'!AQ83</f>
        <v>0</v>
      </c>
      <c r="AJ680">
        <f>'Bookings and Drivers'!AR83</f>
        <v>0</v>
      </c>
      <c r="AK680">
        <f>'Bookings and Drivers'!AS83</f>
        <v>0</v>
      </c>
      <c r="AL680">
        <f>'Bookings and Drivers'!AT83</f>
        <v>0</v>
      </c>
      <c r="AM680">
        <f>'Bookings and Drivers'!AU83</f>
        <v>0</v>
      </c>
      <c r="AN680">
        <f>'Bookings and Drivers'!AV83</f>
        <v>0</v>
      </c>
      <c r="AO680">
        <f>'Bookings and Drivers'!AW83</f>
        <v>0</v>
      </c>
      <c r="AP680">
        <f>'Bookings and Drivers'!AX83</f>
        <v>0</v>
      </c>
      <c r="AQ680">
        <f>'Bookings and Drivers'!AY83</f>
        <v>0</v>
      </c>
      <c r="AR680">
        <f>'Bookings and Drivers'!AZ83</f>
        <v>0</v>
      </c>
      <c r="AS680" t="str">
        <f>'Bookings and Drivers'!BA83</f>
        <v>increased</v>
      </c>
      <c r="AT680" t="str">
        <f>'Bookings and Drivers'!BB83</f>
        <v>increased</v>
      </c>
      <c r="AU680" t="str">
        <f>'Bookings and Drivers'!BC83</f>
        <v>increased</v>
      </c>
      <c r="AV680" t="str">
        <f>'Bookings and Drivers'!BD83</f>
        <v>increased</v>
      </c>
      <c r="AW680" t="str">
        <f>'Bookings and Drivers'!BE83</f>
        <v>increased</v>
      </c>
      <c r="AX680" t="str">
        <f>'Bookings and Drivers'!BF83</f>
        <v>declined</v>
      </c>
      <c r="AY680" t="str">
        <f>'Bookings and Drivers'!BG83</f>
        <v>declined</v>
      </c>
      <c r="AZ680">
        <f>'Bookings and Drivers'!BH83</f>
        <v>0</v>
      </c>
      <c r="BA680">
        <f>'Bookings and Drivers'!BI83</f>
        <v>0</v>
      </c>
      <c r="BB680">
        <f>'Bookings and Drivers'!BJ83</f>
        <v>0</v>
      </c>
      <c r="BC680">
        <f>'Bookings and Drivers'!BK83</f>
        <v>0</v>
      </c>
      <c r="BD680">
        <f>'Bookings and Drivers'!BL83</f>
        <v>0</v>
      </c>
      <c r="BE680">
        <f>'Bookings and Drivers'!BM83</f>
        <v>0</v>
      </c>
      <c r="BF680">
        <f>'Bookings and Drivers'!BN83</f>
        <v>0</v>
      </c>
      <c r="BG680">
        <f>'Bookings and Drivers'!BO83</f>
        <v>0</v>
      </c>
      <c r="BH680">
        <f>'Bookings and Drivers'!BP83</f>
        <v>0</v>
      </c>
      <c r="BI680">
        <f>'Bookings and Drivers'!BQ83</f>
        <v>0</v>
      </c>
      <c r="BJ680">
        <f>'Bookings and Drivers'!BR83</f>
        <v>0</v>
      </c>
      <c r="BK680">
        <f>'Bookings and Drivers'!BS83</f>
        <v>0</v>
      </c>
      <c r="BL680">
        <f>'Bookings and Drivers'!BT83</f>
        <v>0</v>
      </c>
      <c r="BM680">
        <f>'Bookings and Drivers'!BU83</f>
        <v>0</v>
      </c>
      <c r="BN680">
        <f>'Bookings and Drivers'!BV83</f>
        <v>0</v>
      </c>
      <c r="BO680">
        <f>'Bookings and Drivers'!BW83</f>
        <v>0</v>
      </c>
      <c r="BP680">
        <f>'Bookings and Drivers'!BX83</f>
        <v>0</v>
      </c>
      <c r="BQ680">
        <f>'Bookings and Drivers'!BY83</f>
        <v>0</v>
      </c>
      <c r="BR680">
        <f>'Bookings and Drivers'!BZ83</f>
        <v>0</v>
      </c>
      <c r="BS680">
        <f>'Bookings and Drivers'!CA83</f>
        <v>0</v>
      </c>
      <c r="BT680">
        <f>'Bookings and Drivers'!CB83</f>
        <v>0</v>
      </c>
      <c r="BU680">
        <f>'Bookings and Drivers'!CC83</f>
        <v>0</v>
      </c>
      <c r="BV680">
        <f>'Bookings and Drivers'!CD83</f>
        <v>0</v>
      </c>
      <c r="BW680">
        <f>'Bookings and Drivers'!CE83</f>
        <v>0</v>
      </c>
      <c r="BX680">
        <f>'Bookings and Drivers'!CF83</f>
        <v>0</v>
      </c>
      <c r="BY680">
        <f>'Bookings and Drivers'!CG83</f>
        <v>0</v>
      </c>
      <c r="BZ680">
        <f>'Bookings and Drivers'!CH83</f>
        <v>0</v>
      </c>
      <c r="CA680">
        <f>'Bookings and Drivers'!CI83</f>
        <v>0</v>
      </c>
      <c r="CB680">
        <f>'Bookings and Drivers'!CJ83</f>
        <v>0</v>
      </c>
      <c r="CC680">
        <f>'Bookings and Drivers'!CK83</f>
        <v>0</v>
      </c>
      <c r="CD680">
        <f>'Bookings and Drivers'!CL83</f>
        <v>0</v>
      </c>
      <c r="CE680">
        <f>'Bookings and Drivers'!CM83</f>
        <v>0</v>
      </c>
      <c r="CF680">
        <f>'Bookings and Drivers'!CN83</f>
        <v>0</v>
      </c>
      <c r="CG680">
        <f>'Bookings and Drivers'!CO83</f>
        <v>0</v>
      </c>
      <c r="CH680">
        <f>'Bookings and Drivers'!CP83</f>
        <v>0</v>
      </c>
      <c r="CI680">
        <f>'Bookings and Drivers'!CQ83</f>
        <v>0</v>
      </c>
      <c r="CJ680" t="str">
        <f>'Bookings and Drivers'!CR83</f>
        <v>increased</v>
      </c>
      <c r="CK680">
        <f>'Bookings and Drivers'!CS83</f>
        <v>0</v>
      </c>
      <c r="CL680">
        <f>'Bookings and Drivers'!CT83</f>
        <v>0</v>
      </c>
      <c r="CM680">
        <f>'Bookings and Drivers'!CU83</f>
        <v>0</v>
      </c>
      <c r="CN680">
        <f>'Bookings and Drivers'!CV83</f>
        <v>0</v>
      </c>
      <c r="CO680">
        <f>'Bookings and Drivers'!CW83</f>
        <v>0</v>
      </c>
      <c r="CP680">
        <f>'Bookings and Drivers'!CX83</f>
        <v>0</v>
      </c>
      <c r="CQ680">
        <f>'Bookings and Drivers'!CY83</f>
        <v>0</v>
      </c>
      <c r="CR680">
        <f>'Bookings and Drivers'!CZ83</f>
        <v>0</v>
      </c>
      <c r="CS680">
        <f>'Bookings and Drivers'!DA83</f>
        <v>0</v>
      </c>
      <c r="CT680">
        <f>'Bookings and Drivers'!DB83</f>
        <v>0</v>
      </c>
      <c r="CU680">
        <f>'Bookings and Drivers'!DC83</f>
        <v>0</v>
      </c>
      <c r="CV680">
        <f>'Bookings and Drivers'!DD83</f>
        <v>0</v>
      </c>
      <c r="CW680">
        <f>'Bookings and Drivers'!DE83</f>
        <v>0</v>
      </c>
      <c r="CX680">
        <f>'Bookings and Drivers'!DF83</f>
        <v>0</v>
      </c>
    </row>
    <row r="682" spans="1:102">
      <c r="A682" t="str">
        <f>'Bookings and Drivers'!I118</f>
        <v>2 Year Growth</v>
      </c>
      <c r="B682">
        <f>'Bookings and Drivers'!J118</f>
        <v>0</v>
      </c>
      <c r="C682">
        <f>'Bookings and Drivers'!K118</f>
        <v>0</v>
      </c>
      <c r="D682">
        <f>'Bookings and Drivers'!L118</f>
        <v>0</v>
      </c>
      <c r="E682">
        <f>'Bookings and Drivers'!M118</f>
        <v>0</v>
      </c>
      <c r="F682">
        <f>'Bookings and Drivers'!N118</f>
        <v>0</v>
      </c>
      <c r="G682">
        <f>'Bookings and Drivers'!O118</f>
        <v>0</v>
      </c>
      <c r="H682">
        <f>'Bookings and Drivers'!P118</f>
        <v>0</v>
      </c>
      <c r="I682">
        <f>'Bookings and Drivers'!Q118</f>
        <v>0</v>
      </c>
      <c r="J682">
        <f>'Bookings and Drivers'!R118</f>
        <v>0</v>
      </c>
      <c r="K682">
        <f>'Bookings and Drivers'!S118</f>
        <v>0</v>
      </c>
      <c r="L682">
        <f>'Bookings and Drivers'!T118</f>
        <v>0</v>
      </c>
      <c r="M682">
        <f>'Bookings and Drivers'!U118</f>
        <v>0</v>
      </c>
      <c r="N682">
        <f>'Bookings and Drivers'!V118</f>
        <v>0</v>
      </c>
      <c r="O682">
        <f>'Bookings and Drivers'!W118</f>
        <v>0</v>
      </c>
      <c r="P682">
        <f>'Bookings and Drivers'!X118</f>
        <v>0</v>
      </c>
      <c r="Q682">
        <f>'Bookings and Drivers'!Y118</f>
        <v>0</v>
      </c>
      <c r="R682">
        <f>'Bookings and Drivers'!Z118</f>
        <v>0</v>
      </c>
      <c r="S682">
        <f>'Bookings and Drivers'!AA118</f>
        <v>0</v>
      </c>
      <c r="T682">
        <f>'Bookings and Drivers'!AB118</f>
        <v>0</v>
      </c>
      <c r="U682">
        <f>'Bookings and Drivers'!AC118</f>
        <v>0</v>
      </c>
      <c r="V682">
        <f>'Bookings and Drivers'!AD118</f>
        <v>0</v>
      </c>
      <c r="W682">
        <f>'Bookings and Drivers'!AE118</f>
        <v>0</v>
      </c>
      <c r="X682">
        <f>'Bookings and Drivers'!AF118</f>
        <v>0</v>
      </c>
      <c r="Y682">
        <f>'Bookings and Drivers'!AG118</f>
        <v>0</v>
      </c>
      <c r="Z682">
        <f>'Bookings and Drivers'!AH118</f>
        <v>0</v>
      </c>
      <c r="AA682">
        <f>'Bookings and Drivers'!AI118</f>
        <v>0</v>
      </c>
      <c r="AB682">
        <f>'Bookings and Drivers'!AJ118</f>
        <v>0</v>
      </c>
      <c r="AC682">
        <f>'Bookings and Drivers'!AK118</f>
        <v>0</v>
      </c>
      <c r="AD682">
        <f>'Bookings and Drivers'!AL118</f>
        <v>0</v>
      </c>
      <c r="AE682">
        <f>'Bookings and Drivers'!AM118</f>
        <v>0</v>
      </c>
      <c r="AF682">
        <f>'Bookings and Drivers'!AN118</f>
        <v>0</v>
      </c>
      <c r="AG682">
        <f>'Bookings and Drivers'!AO118</f>
        <v>0</v>
      </c>
      <c r="AH682">
        <f>'Bookings and Drivers'!AP118</f>
        <v>0</v>
      </c>
      <c r="AI682">
        <f>'Bookings and Drivers'!AQ118</f>
        <v>0</v>
      </c>
      <c r="AJ682">
        <f>'Bookings and Drivers'!AR118</f>
        <v>0</v>
      </c>
      <c r="AK682">
        <f>'Bookings and Drivers'!AS118</f>
        <v>0</v>
      </c>
      <c r="AL682">
        <f>'Bookings and Drivers'!AT118</f>
        <v>0</v>
      </c>
      <c r="AM682">
        <f>'Bookings and Drivers'!AU118</f>
        <v>0</v>
      </c>
      <c r="AN682">
        <f>'Bookings and Drivers'!AV118</f>
        <v>0</v>
      </c>
      <c r="AO682">
        <f>'Bookings and Drivers'!AW118</f>
        <v>0</v>
      </c>
      <c r="AP682">
        <f>'Bookings and Drivers'!AX118</f>
        <v>0</v>
      </c>
      <c r="AQ682">
        <f>'Bookings and Drivers'!AY118</f>
        <v>0</v>
      </c>
      <c r="AR682">
        <f>'Bookings and Drivers'!AZ118</f>
        <v>0</v>
      </c>
      <c r="AS682">
        <f>'Bookings and Drivers'!BA118</f>
        <v>0</v>
      </c>
      <c r="AT682">
        <f>'Bookings and Drivers'!BB118</f>
        <v>0</v>
      </c>
      <c r="AU682">
        <f>'Bookings and Drivers'!BC118</f>
        <v>0</v>
      </c>
      <c r="AV682">
        <f>'Bookings and Drivers'!BD118</f>
        <v>0</v>
      </c>
      <c r="AW682">
        <f>'Bookings and Drivers'!BE118</f>
        <v>0</v>
      </c>
      <c r="AX682">
        <f>'Bookings and Drivers'!BF118</f>
        <v>0</v>
      </c>
      <c r="AY682">
        <f>'Bookings and Drivers'!BG118</f>
        <v>0</v>
      </c>
      <c r="AZ682">
        <f>'Bookings and Drivers'!BH118</f>
        <v>0</v>
      </c>
      <c r="BA682">
        <f>'Bookings and Drivers'!BI118</f>
        <v>0</v>
      </c>
      <c r="BB682">
        <f>'Bookings and Drivers'!BJ118</f>
        <v>0</v>
      </c>
      <c r="BC682">
        <f>'Bookings and Drivers'!BK118</f>
        <v>0</v>
      </c>
      <c r="BD682">
        <f>'Bookings and Drivers'!BL118</f>
        <v>0</v>
      </c>
      <c r="BE682">
        <f>'Bookings and Drivers'!BM118</f>
        <v>0</v>
      </c>
      <c r="BF682">
        <f>'Bookings and Drivers'!BN118</f>
        <v>0</v>
      </c>
      <c r="BG682">
        <f>'Bookings and Drivers'!BO118</f>
        <v>0</v>
      </c>
      <c r="BH682">
        <f>'Bookings and Drivers'!BP118</f>
        <v>0</v>
      </c>
      <c r="BI682">
        <f>'Bookings and Drivers'!BQ118</f>
        <v>0</v>
      </c>
      <c r="BJ682">
        <f>'Bookings and Drivers'!BR118</f>
        <v>0</v>
      </c>
      <c r="BK682">
        <f>'Bookings and Drivers'!BS118</f>
        <v>0</v>
      </c>
      <c r="BL682">
        <f>'Bookings and Drivers'!BT118</f>
        <v>0</v>
      </c>
      <c r="BM682">
        <f>'Bookings and Drivers'!BU118</f>
        <v>0</v>
      </c>
      <c r="BN682">
        <f>'Bookings and Drivers'!BV118</f>
        <v>0</v>
      </c>
      <c r="BO682">
        <f>'Bookings and Drivers'!BW118</f>
        <v>0</v>
      </c>
      <c r="BP682">
        <f>'Bookings and Drivers'!BX118</f>
        <v>0</v>
      </c>
      <c r="BQ682">
        <f>'Bookings and Drivers'!BY118</f>
        <v>0</v>
      </c>
      <c r="BR682">
        <f>'Bookings and Drivers'!BZ118</f>
        <v>0</v>
      </c>
      <c r="BS682">
        <f>'Bookings and Drivers'!CA118</f>
        <v>0</v>
      </c>
      <c r="BT682">
        <f>'Bookings and Drivers'!CB118</f>
        <v>0</v>
      </c>
      <c r="BU682">
        <f>'Bookings and Drivers'!CC118</f>
        <v>0</v>
      </c>
      <c r="BV682">
        <f>'Bookings and Drivers'!CD118</f>
        <v>0</v>
      </c>
      <c r="BW682">
        <f>'Bookings and Drivers'!CE118</f>
        <v>0</v>
      </c>
      <c r="BX682">
        <f>'Bookings and Drivers'!CF118</f>
        <v>0</v>
      </c>
      <c r="BY682">
        <f>'Bookings and Drivers'!CG118</f>
        <v>0</v>
      </c>
      <c r="BZ682">
        <f>'Bookings and Drivers'!CH118</f>
        <v>0</v>
      </c>
      <c r="CA682">
        <f>'Bookings and Drivers'!CI118</f>
        <v>0</v>
      </c>
      <c r="CB682">
        <f>'Bookings and Drivers'!CJ118</f>
        <v>0</v>
      </c>
      <c r="CC682">
        <f>'Bookings and Drivers'!CK118</f>
        <v>0</v>
      </c>
      <c r="CD682">
        <f>'Bookings and Drivers'!CL118</f>
        <v>0</v>
      </c>
      <c r="CE682">
        <f>'Bookings and Drivers'!CM118</f>
        <v>0</v>
      </c>
      <c r="CF682">
        <f>'Bookings and Drivers'!CN118</f>
        <v>0</v>
      </c>
      <c r="CG682">
        <f>'Bookings and Drivers'!CO118</f>
        <v>0</v>
      </c>
      <c r="CH682">
        <f>'Bookings and Drivers'!CP118</f>
        <v>0</v>
      </c>
      <c r="CI682">
        <f>'Bookings and Drivers'!CQ118</f>
        <v>0</v>
      </c>
      <c r="CJ682">
        <f>'Bookings and Drivers'!CR118</f>
        <v>0</v>
      </c>
      <c r="CK682">
        <f>'Bookings and Drivers'!CS118</f>
        <v>0</v>
      </c>
      <c r="CL682">
        <f>'Bookings and Drivers'!CT118</f>
        <v>0</v>
      </c>
      <c r="CM682">
        <f>'Bookings and Drivers'!CU118</f>
        <v>0</v>
      </c>
      <c r="CN682">
        <f>'Bookings and Drivers'!CV118</f>
        <v>0</v>
      </c>
      <c r="CO682">
        <f>'Bookings and Drivers'!CW118</f>
        <v>0</v>
      </c>
      <c r="CP682">
        <f>'Bookings and Drivers'!CX118</f>
        <v>0</v>
      </c>
      <c r="CQ682">
        <f>'Bookings and Drivers'!CY118</f>
        <v>0</v>
      </c>
      <c r="CR682">
        <f>'Bookings and Drivers'!CZ118</f>
        <v>0</v>
      </c>
      <c r="CS682">
        <f>'Bookings and Drivers'!DA118</f>
        <v>0</v>
      </c>
      <c r="CT682">
        <f>'Bookings and Drivers'!DB118</f>
        <v>0</v>
      </c>
      <c r="CU682">
        <f>'Bookings and Drivers'!DC118</f>
        <v>0</v>
      </c>
      <c r="CV682">
        <f>'Bookings and Drivers'!DD118</f>
        <v>0</v>
      </c>
      <c r="CW682">
        <f>'Bookings and Drivers'!DE118</f>
        <v>0</v>
      </c>
      <c r="CX682">
        <f>'Bookings and Drivers'!DF118</f>
        <v>0</v>
      </c>
    </row>
    <row r="683" spans="1:102">
      <c r="A683" t="str">
        <f>'Bookings and Drivers'!I119</f>
        <v>Domestic Room Nights Sold</v>
      </c>
      <c r="B683">
        <f>'Bookings and Drivers'!J119</f>
        <v>0</v>
      </c>
      <c r="C683">
        <f>'Bookings and Drivers'!K119</f>
        <v>0</v>
      </c>
      <c r="D683">
        <f>'Bookings and Drivers'!L119</f>
        <v>0</v>
      </c>
      <c r="E683">
        <f>'Bookings and Drivers'!M119</f>
        <v>0</v>
      </c>
      <c r="F683">
        <f>'Bookings and Drivers'!N119</f>
        <v>0</v>
      </c>
      <c r="G683">
        <f>'Bookings and Drivers'!O119</f>
        <v>0</v>
      </c>
      <c r="H683">
        <f>'Bookings and Drivers'!P119</f>
        <v>0</v>
      </c>
      <c r="I683">
        <f>'Bookings and Drivers'!Q119</f>
        <v>0</v>
      </c>
      <c r="J683">
        <f>'Bookings and Drivers'!R119</f>
        <v>0</v>
      </c>
      <c r="K683">
        <f>'Bookings and Drivers'!S119</f>
        <v>0</v>
      </c>
      <c r="L683">
        <f>'Bookings and Drivers'!T119</f>
        <v>0</v>
      </c>
      <c r="M683">
        <f>'Bookings and Drivers'!U119</f>
        <v>0</v>
      </c>
      <c r="N683">
        <f>'Bookings and Drivers'!V119</f>
        <v>0</v>
      </c>
      <c r="O683">
        <f>'Bookings and Drivers'!W119</f>
        <v>0</v>
      </c>
      <c r="P683">
        <f>'Bookings and Drivers'!X119</f>
        <v>0</v>
      </c>
      <c r="Q683">
        <f>'Bookings and Drivers'!Y119</f>
        <v>0</v>
      </c>
      <c r="R683">
        <f>'Bookings and Drivers'!Z119</f>
        <v>0</v>
      </c>
      <c r="S683">
        <f>'Bookings and Drivers'!AA119</f>
        <v>0</v>
      </c>
      <c r="T683">
        <f>'Bookings and Drivers'!AB119</f>
        <v>0</v>
      </c>
      <c r="U683">
        <f>'Bookings and Drivers'!AC119</f>
        <v>0</v>
      </c>
      <c r="V683">
        <f>'Bookings and Drivers'!AD119</f>
        <v>0</v>
      </c>
      <c r="W683">
        <f>'Bookings and Drivers'!AE119</f>
        <v>0</v>
      </c>
      <c r="X683">
        <f>'Bookings and Drivers'!AF119</f>
        <v>0</v>
      </c>
      <c r="Y683">
        <f>'Bookings and Drivers'!AG119</f>
        <v>0</v>
      </c>
      <c r="Z683">
        <f>'Bookings and Drivers'!AH119</f>
        <v>0</v>
      </c>
      <c r="AA683">
        <f>'Bookings and Drivers'!AI119</f>
        <v>0</v>
      </c>
      <c r="AB683">
        <f>'Bookings and Drivers'!AJ119</f>
        <v>0</v>
      </c>
      <c r="AC683">
        <f>'Bookings and Drivers'!AK119</f>
        <v>0</v>
      </c>
      <c r="AD683">
        <f>'Bookings and Drivers'!AL119</f>
        <v>0</v>
      </c>
      <c r="AE683">
        <f>'Bookings and Drivers'!AM119</f>
        <v>0</v>
      </c>
      <c r="AF683">
        <f>'Bookings and Drivers'!AN119</f>
        <v>0</v>
      </c>
      <c r="AG683">
        <f>'Bookings and Drivers'!AO119</f>
        <v>0.38446733549709067</v>
      </c>
      <c r="AH683">
        <f>'Bookings and Drivers'!AP119</f>
        <v>0.47563685989211169</v>
      </c>
      <c r="AI683">
        <f>'Bookings and Drivers'!AQ119</f>
        <v>0.44040011674658763</v>
      </c>
      <c r="AJ683">
        <f>'Bookings and Drivers'!AR119</f>
        <v>0.66372329531412499</v>
      </c>
      <c r="AK683">
        <f>'Bookings and Drivers'!AS119</f>
        <v>0.70946470113539828</v>
      </c>
      <c r="AL683">
        <f>'Bookings and Drivers'!AT119</f>
        <v>0.85395906290781687</v>
      </c>
      <c r="AM683">
        <f>'Bookings and Drivers'!AU119</f>
        <v>0.90531992400835226</v>
      </c>
      <c r="AN683">
        <f>'Bookings and Drivers'!AV119</f>
        <v>0.80180713148681049</v>
      </c>
      <c r="AO683">
        <f>'Bookings and Drivers'!AW119</f>
        <v>0.61918447432632551</v>
      </c>
      <c r="AP683">
        <f>'Bookings and Drivers'!AX119</f>
        <v>0.66747642815182595</v>
      </c>
      <c r="AQ683">
        <f>'Bookings and Drivers'!AY119</f>
        <v>0.71007052244130309</v>
      </c>
      <c r="AR683">
        <f>'Bookings and Drivers'!AZ119</f>
        <v>0.45255829734517716</v>
      </c>
      <c r="AS683">
        <f>'Bookings and Drivers'!BA119</f>
        <v>0.26299429390195828</v>
      </c>
      <c r="AT683">
        <f>'Bookings and Drivers'!BB119</f>
        <v>0.11115299781723109</v>
      </c>
      <c r="AU683">
        <f>'Bookings and Drivers'!BC119</f>
        <v>0.16574734476628183</v>
      </c>
      <c r="AV683">
        <f>'Bookings and Drivers'!BD119</f>
        <v>0.20977129242480363</v>
      </c>
      <c r="AW683">
        <f>'Bookings and Drivers'!BE119</f>
        <v>6.8513683792544619E-2</v>
      </c>
      <c r="AX683">
        <f>'Bookings and Drivers'!BF119</f>
        <v>-6.7583587132516984E-2</v>
      </c>
      <c r="AY683">
        <f>'Bookings and Drivers'!BG119</f>
        <v>2.5181759599902556E-2</v>
      </c>
      <c r="AZ683">
        <f>'Bookings and Drivers'!BH119</f>
        <v>6.199484034785642E-2</v>
      </c>
      <c r="BA683">
        <f>'Bookings and Drivers'!BI119</f>
        <v>0.02</v>
      </c>
      <c r="BB683">
        <f>'Bookings and Drivers'!BJ119</f>
        <v>3.3000000000000002E-2</v>
      </c>
      <c r="BC683">
        <f>'Bookings and Drivers'!BK119</f>
        <v>6.5000000000000002E-2</v>
      </c>
      <c r="BD683">
        <f>'Bookings and Drivers'!BL119</f>
        <v>0.185</v>
      </c>
      <c r="BE683">
        <f>'Bookings and Drivers'!BM119</f>
        <v>6.9999999999999993E-2</v>
      </c>
      <c r="BF683">
        <f>'Bookings and Drivers'!BN119</f>
        <v>0.11</v>
      </c>
      <c r="BG683">
        <f>'Bookings and Drivers'!BO119</f>
        <v>0.14000000000000001</v>
      </c>
      <c r="BH683">
        <f>'Bookings and Drivers'!BP119</f>
        <v>0.25</v>
      </c>
      <c r="BI683">
        <f>'Bookings and Drivers'!BQ119</f>
        <v>0.11</v>
      </c>
      <c r="BJ683">
        <f>'Bookings and Drivers'!BR119</f>
        <v>0.11</v>
      </c>
      <c r="BK683">
        <f>'Bookings and Drivers'!BS119</f>
        <v>0.11</v>
      </c>
      <c r="BL683">
        <f>'Bookings and Drivers'!BT119</f>
        <v>0.1</v>
      </c>
      <c r="BM683">
        <f>'Bookings and Drivers'!BU119</f>
        <v>0.1</v>
      </c>
      <c r="BN683">
        <f>'Bookings and Drivers'!BV119</f>
        <v>0.1</v>
      </c>
      <c r="BO683">
        <f>'Bookings and Drivers'!BW119</f>
        <v>0.1</v>
      </c>
      <c r="BP683">
        <f>'Bookings and Drivers'!BX119</f>
        <v>0.1</v>
      </c>
      <c r="BQ683">
        <f>'Bookings and Drivers'!BY119</f>
        <v>0.1</v>
      </c>
      <c r="BR683">
        <f>'Bookings and Drivers'!BZ119</f>
        <v>0.1</v>
      </c>
      <c r="BS683">
        <f>'Bookings and Drivers'!CA119</f>
        <v>0.1</v>
      </c>
      <c r="BT683">
        <f>'Bookings and Drivers'!CB119</f>
        <v>0.1</v>
      </c>
      <c r="BU683">
        <f>'Bookings and Drivers'!CC119</f>
        <v>0.1</v>
      </c>
      <c r="BV683">
        <f>'Bookings and Drivers'!CD119</f>
        <v>0.1</v>
      </c>
      <c r="BW683">
        <f>'Bookings and Drivers'!CE119</f>
        <v>0.1</v>
      </c>
      <c r="BX683">
        <f>'Bookings and Drivers'!CF119</f>
        <v>0.1</v>
      </c>
      <c r="BY683">
        <f>'Bookings and Drivers'!CG119</f>
        <v>0</v>
      </c>
      <c r="BZ683">
        <f>'Bookings and Drivers'!CH119</f>
        <v>0</v>
      </c>
      <c r="CA683">
        <f>'Bookings and Drivers'!CI119</f>
        <v>0</v>
      </c>
      <c r="CB683">
        <f>'Bookings and Drivers'!CJ119</f>
        <v>0</v>
      </c>
      <c r="CC683">
        <f>'Bookings and Drivers'!CK119</f>
        <v>0</v>
      </c>
      <c r="CD683">
        <f>'Bookings and Drivers'!CL119</f>
        <v>0</v>
      </c>
      <c r="CE683">
        <f>'Bookings and Drivers'!CM119</f>
        <v>0</v>
      </c>
      <c r="CF683">
        <f>'Bookings and Drivers'!CN119</f>
        <v>0</v>
      </c>
      <c r="CG683">
        <f>'Bookings and Drivers'!CO119</f>
        <v>0.44863037871376088</v>
      </c>
      <c r="CH683">
        <f>'Bookings and Drivers'!CP119</f>
        <v>0.8190704508153932</v>
      </c>
      <c r="CI683">
        <f>'Bookings and Drivers'!CQ119</f>
        <v>0.61337892322417886</v>
      </c>
      <c r="CJ683">
        <f>'Bookings and Drivers'!CR119</f>
        <v>0.18123138271126082</v>
      </c>
      <c r="CK683">
        <f>'Bookings and Drivers'!CS119</f>
        <v>1.7530795742763172E-2</v>
      </c>
      <c r="CL683">
        <f>'Bookings and Drivers'!CT119</f>
        <v>7.4361278966423527E-2</v>
      </c>
      <c r="CM683">
        <f>'Bookings and Drivers'!CU119</f>
        <v>0.14158807333348111</v>
      </c>
      <c r="CN683">
        <f>'Bookings and Drivers'!CV119</f>
        <v>0.10741085814360773</v>
      </c>
      <c r="CO683">
        <f>'Bookings and Drivers'!CW119</f>
        <v>9.9999999999999867E-2</v>
      </c>
      <c r="CP683">
        <f>'Bookings and Drivers'!CX119</f>
        <v>9.9999999999999867E-2</v>
      </c>
      <c r="CQ683">
        <f>'Bookings and Drivers'!CY119</f>
        <v>0.10000000000000009</v>
      </c>
      <c r="CR683">
        <f>'Bookings and Drivers'!CZ119</f>
        <v>9.0000000000000052E-2</v>
      </c>
      <c r="CS683">
        <f>'Bookings and Drivers'!DA119</f>
        <v>0.08</v>
      </c>
      <c r="CT683">
        <f>'Bookings and Drivers'!DB119</f>
        <v>0.08</v>
      </c>
      <c r="CU683">
        <f>'Bookings and Drivers'!DC119</f>
        <v>0.08</v>
      </c>
      <c r="CV683">
        <f>'Bookings and Drivers'!DD119</f>
        <v>0.08</v>
      </c>
      <c r="CW683">
        <f>'Bookings and Drivers'!DE119</f>
        <v>0.08</v>
      </c>
      <c r="CX683">
        <f>'Bookings and Drivers'!DF119</f>
        <v>0.08</v>
      </c>
    </row>
    <row r="684" spans="1:102">
      <c r="A684" t="str">
        <f>'Bookings and Drivers'!I120</f>
        <v>International Room Nights Sold</v>
      </c>
      <c r="B684">
        <f>'Bookings and Drivers'!J120</f>
        <v>0</v>
      </c>
      <c r="C684">
        <f>'Bookings and Drivers'!K120</f>
        <v>0</v>
      </c>
      <c r="D684">
        <f>'Bookings and Drivers'!L120</f>
        <v>0</v>
      </c>
      <c r="E684">
        <f>'Bookings and Drivers'!M120</f>
        <v>0</v>
      </c>
      <c r="F684">
        <f>'Bookings and Drivers'!N120</f>
        <v>0</v>
      </c>
      <c r="G684">
        <f>'Bookings and Drivers'!O120</f>
        <v>0</v>
      </c>
      <c r="H684">
        <f>'Bookings and Drivers'!P120</f>
        <v>0</v>
      </c>
      <c r="I684">
        <f>'Bookings and Drivers'!Q120</f>
        <v>0</v>
      </c>
      <c r="J684">
        <f>'Bookings and Drivers'!R120</f>
        <v>0</v>
      </c>
      <c r="K684">
        <f>'Bookings and Drivers'!S120</f>
        <v>0</v>
      </c>
      <c r="L684">
        <f>'Bookings and Drivers'!T120</f>
        <v>0</v>
      </c>
      <c r="M684">
        <f>'Bookings and Drivers'!U120</f>
        <v>0</v>
      </c>
      <c r="N684">
        <f>'Bookings and Drivers'!V120</f>
        <v>0</v>
      </c>
      <c r="O684">
        <f>'Bookings and Drivers'!W120</f>
        <v>0</v>
      </c>
      <c r="P684">
        <f>'Bookings and Drivers'!X120</f>
        <v>0</v>
      </c>
      <c r="Q684">
        <f>'Bookings and Drivers'!Y120</f>
        <v>0</v>
      </c>
      <c r="R684">
        <f>'Bookings and Drivers'!Z120</f>
        <v>0</v>
      </c>
      <c r="S684">
        <f>'Bookings and Drivers'!AA120</f>
        <v>0</v>
      </c>
      <c r="T684">
        <f>'Bookings and Drivers'!AB120</f>
        <v>0</v>
      </c>
      <c r="U684">
        <f>'Bookings and Drivers'!AC120</f>
        <v>0</v>
      </c>
      <c r="V684">
        <f>'Bookings and Drivers'!AD120</f>
        <v>0</v>
      </c>
      <c r="W684">
        <f>'Bookings and Drivers'!AE120</f>
        <v>0</v>
      </c>
      <c r="X684">
        <f>'Bookings and Drivers'!AF120</f>
        <v>0</v>
      </c>
      <c r="Y684">
        <f>'Bookings and Drivers'!AG120</f>
        <v>0</v>
      </c>
      <c r="Z684">
        <f>'Bookings and Drivers'!AH120</f>
        <v>0</v>
      </c>
      <c r="AA684">
        <f>'Bookings and Drivers'!AI120</f>
        <v>0</v>
      </c>
      <c r="AB684">
        <f>'Bookings and Drivers'!AJ120</f>
        <v>0</v>
      </c>
      <c r="AC684">
        <f>'Bookings and Drivers'!AK120</f>
        <v>0</v>
      </c>
      <c r="AD684">
        <f>'Bookings and Drivers'!AL120</f>
        <v>0</v>
      </c>
      <c r="AE684">
        <f>'Bookings and Drivers'!AM120</f>
        <v>0</v>
      </c>
      <c r="AF684">
        <f>'Bookings and Drivers'!AN120</f>
        <v>0</v>
      </c>
      <c r="AG684">
        <f>'Bookings and Drivers'!AO120</f>
        <v>1.4049999999999998</v>
      </c>
      <c r="AH684">
        <f>'Bookings and Drivers'!AP120</f>
        <v>1.319</v>
      </c>
      <c r="AI684">
        <f>'Bookings and Drivers'!AQ120</f>
        <v>1.2959999999999998</v>
      </c>
      <c r="AJ684">
        <f>'Bookings and Drivers'!AR120</f>
        <v>1.175</v>
      </c>
      <c r="AK684">
        <f>'Bookings and Drivers'!AS120</f>
        <v>1.0549999999999999</v>
      </c>
      <c r="AL684">
        <f>'Bookings and Drivers'!AT120</f>
        <v>0.9870000000000001</v>
      </c>
      <c r="AM684">
        <f>'Bookings and Drivers'!AU120</f>
        <v>1.0369999999999999</v>
      </c>
      <c r="AN684">
        <f>'Bookings and Drivers'!AV120</f>
        <v>1.0660000000000001</v>
      </c>
      <c r="AO684">
        <f>'Bookings and Drivers'!AW120</f>
        <v>1.0529999999999999</v>
      </c>
      <c r="AP684">
        <f>'Bookings and Drivers'!AX120</f>
        <v>1.0289689930261521</v>
      </c>
      <c r="AQ684">
        <f>'Bookings and Drivers'!AY120</f>
        <v>1.2452357999479156</v>
      </c>
      <c r="AR684">
        <f>'Bookings and Drivers'!AZ120</f>
        <v>1.3716315921284767</v>
      </c>
      <c r="AS684">
        <f>'Bookings and Drivers'!BA120</f>
        <v>1.4005527667318876</v>
      </c>
      <c r="AT684">
        <f>'Bookings and Drivers'!BB120</f>
        <v>1.3540975538773414</v>
      </c>
      <c r="AU684">
        <f>'Bookings and Drivers'!BC120</f>
        <v>1.2728729223146429</v>
      </c>
      <c r="AV684">
        <f>'Bookings and Drivers'!BD120</f>
        <v>1.2800396273273948</v>
      </c>
      <c r="AW684">
        <f>'Bookings and Drivers'!BE120</f>
        <v>1.2423299006743882</v>
      </c>
      <c r="AX684">
        <f>'Bookings and Drivers'!BF120</f>
        <v>1.1968684242412304</v>
      </c>
      <c r="AY684">
        <f>'Bookings and Drivers'!BG120</f>
        <v>1.0022304036756537</v>
      </c>
      <c r="AZ684">
        <f>'Bookings and Drivers'!BH120</f>
        <v>1.0766823714821039</v>
      </c>
      <c r="BA684">
        <f>'Bookings and Drivers'!BI120</f>
        <v>0.96745082070115473</v>
      </c>
      <c r="BB684">
        <f>'Bookings and Drivers'!BJ120</f>
        <v>0.87715110730327694</v>
      </c>
      <c r="BC684">
        <f>'Bookings and Drivers'!BK120</f>
        <v>0.80522935216238856</v>
      </c>
      <c r="BD684">
        <f>'Bookings and Drivers'!BL120</f>
        <v>0.82249752050637004</v>
      </c>
      <c r="BE684">
        <f>'Bookings and Drivers'!BM120</f>
        <v>0.75784532774690461</v>
      </c>
      <c r="BF684">
        <f>'Bookings and Drivers'!BN120</f>
        <v>0.7294697197977813</v>
      </c>
      <c r="BG684">
        <f>'Bookings and Drivers'!BO120</f>
        <v>0.67097541633505386</v>
      </c>
      <c r="BH684">
        <f>'Bookings and Drivers'!BP120</f>
        <v>0.64176019165942022</v>
      </c>
      <c r="BI684">
        <f>'Bookings and Drivers'!BQ120</f>
        <v>0.60715316275012121</v>
      </c>
      <c r="BJ684">
        <f>'Bookings and Drivers'!BR120</f>
        <v>0.58645271085414619</v>
      </c>
      <c r="BK684">
        <f>'Bookings and Drivers'!BS120</f>
        <v>0.5168478470414346</v>
      </c>
      <c r="BL684">
        <f>'Bookings and Drivers'!BT120</f>
        <v>0.54227425093847703</v>
      </c>
      <c r="BM684">
        <f>'Bookings and Drivers'!BU120</f>
        <v>0.58518279636595238</v>
      </c>
      <c r="BN684">
        <f>'Bookings and Drivers'!BV120</f>
        <v>0.53104133845492707</v>
      </c>
      <c r="BO684">
        <f>'Bookings and Drivers'!BW120</f>
        <v>0.54049136342126958</v>
      </c>
      <c r="BP684">
        <f>'Bookings and Drivers'!BX120</f>
        <v>0.61052628838063017</v>
      </c>
      <c r="BQ684">
        <f>'Bookings and Drivers'!BY120</f>
        <v>0.60145176218181318</v>
      </c>
      <c r="BR684">
        <f>'Bookings and Drivers'!BZ120</f>
        <v>0.47162341048797463</v>
      </c>
      <c r="BS684">
        <f>'Bookings and Drivers'!CA120</f>
        <v>0.50214751108737898</v>
      </c>
      <c r="BT684">
        <f>'Bookings and Drivers'!CB120</f>
        <v>0.50001629803082714</v>
      </c>
      <c r="BU684">
        <f>'Bookings and Drivers'!CC120</f>
        <v>0.43825048757773155</v>
      </c>
      <c r="BV684">
        <f>'Bookings and Drivers'!CD120</f>
        <v>0.40697630700264847</v>
      </c>
      <c r="BW684">
        <f>'Bookings and Drivers'!CE120</f>
        <v>0.37316464922595222</v>
      </c>
      <c r="BX684">
        <f>'Bookings and Drivers'!CF120</f>
        <v>0.36922725315243804</v>
      </c>
      <c r="BY684">
        <f>'Bookings and Drivers'!CG120</f>
        <v>0</v>
      </c>
      <c r="BZ684">
        <f>'Bookings and Drivers'!CH120</f>
        <v>0</v>
      </c>
      <c r="CA684">
        <f>'Bookings and Drivers'!CI120</f>
        <v>0</v>
      </c>
      <c r="CB684">
        <f>'Bookings and Drivers'!CJ120</f>
        <v>0</v>
      </c>
      <c r="CC684">
        <f>'Bookings and Drivers'!CK120</f>
        <v>0</v>
      </c>
      <c r="CD684">
        <f>'Bookings and Drivers'!CL120</f>
        <v>0</v>
      </c>
      <c r="CE684">
        <f>'Bookings and Drivers'!CM120</f>
        <v>0</v>
      </c>
      <c r="CF684">
        <f>'Bookings and Drivers'!CN120</f>
        <v>0</v>
      </c>
      <c r="CG684">
        <f>'Bookings and Drivers'!CO120</f>
        <v>1.2937074530311272</v>
      </c>
      <c r="CH684">
        <f>'Bookings and Drivers'!CP120</f>
        <v>1.02297192889712</v>
      </c>
      <c r="CI684">
        <f>'Bookings and Drivers'!CQ120</f>
        <v>1.1686557213728439</v>
      </c>
      <c r="CJ684">
        <f>'Bookings and Drivers'!CR120</f>
        <v>1.3209590342699278</v>
      </c>
      <c r="CK684">
        <f>'Bookings and Drivers'!CS120</f>
        <v>1.1200077934994535</v>
      </c>
      <c r="CL684">
        <f>'Bookings and Drivers'!CT120</f>
        <v>0.86364662472232312</v>
      </c>
      <c r="CM684">
        <f>'Bookings and Drivers'!CU120</f>
        <v>0.69950723073112786</v>
      </c>
      <c r="CN684">
        <f>'Bookings and Drivers'!CV120</f>
        <v>0.56186599659270797</v>
      </c>
      <c r="CO684">
        <f>'Bookings and Drivers'!CW120</f>
        <v>0.56448652854218739</v>
      </c>
      <c r="CP684">
        <f>'Bookings and Drivers'!CX120</f>
        <v>0.51780714391833849</v>
      </c>
      <c r="CQ684">
        <f>'Bookings and Drivers'!CY120</f>
        <v>0.39640252426599565</v>
      </c>
      <c r="CR684">
        <f>'Bookings and Drivers'!CZ120</f>
        <v>0.33724755390016958</v>
      </c>
      <c r="CS684">
        <f>'Bookings and Drivers'!DA120</f>
        <v>0.29283133350353024</v>
      </c>
      <c r="CT684">
        <f>'Bookings and Drivers'!DB120</f>
        <v>0.25043827553369774</v>
      </c>
      <c r="CU684">
        <f>'Bookings and Drivers'!DC120</f>
        <v>0.21707889844886413</v>
      </c>
      <c r="CV684">
        <f>'Bookings and Drivers'!DD120</f>
        <v>0.19306165862047919</v>
      </c>
      <c r="CW684">
        <f>'Bookings and Drivers'!DE120</f>
        <v>0.17375549275843127</v>
      </c>
      <c r="CX684">
        <f>'Bookings and Drivers'!DF120</f>
        <v>0.164610466823777</v>
      </c>
    </row>
    <row r="685" spans="1:102">
      <c r="A685" t="str">
        <f>'Bookings and Drivers'!I121</f>
        <v>Total Room Nights Sold</v>
      </c>
      <c r="B685">
        <f>'Bookings and Drivers'!J121</f>
        <v>0</v>
      </c>
      <c r="C685">
        <f>'Bookings and Drivers'!K121</f>
        <v>0</v>
      </c>
      <c r="D685">
        <f>'Bookings and Drivers'!L121</f>
        <v>0</v>
      </c>
      <c r="E685">
        <f>'Bookings and Drivers'!M121</f>
        <v>0</v>
      </c>
      <c r="F685">
        <f>'Bookings and Drivers'!N121</f>
        <v>0</v>
      </c>
      <c r="G685">
        <f>'Bookings and Drivers'!O121</f>
        <v>0</v>
      </c>
      <c r="H685">
        <f>'Bookings and Drivers'!P121</f>
        <v>0</v>
      </c>
      <c r="I685">
        <f>'Bookings and Drivers'!Q121</f>
        <v>0</v>
      </c>
      <c r="J685">
        <f>'Bookings and Drivers'!R121</f>
        <v>0</v>
      </c>
      <c r="K685">
        <f>'Bookings and Drivers'!S121</f>
        <v>0</v>
      </c>
      <c r="L685">
        <f>'Bookings and Drivers'!T121</f>
        <v>0</v>
      </c>
      <c r="M685">
        <f>'Bookings and Drivers'!U121</f>
        <v>0</v>
      </c>
      <c r="N685">
        <f>'Bookings and Drivers'!V121</f>
        <v>0</v>
      </c>
      <c r="O685">
        <f>'Bookings and Drivers'!W121</f>
        <v>0</v>
      </c>
      <c r="P685">
        <f>'Bookings and Drivers'!X121</f>
        <v>0</v>
      </c>
      <c r="Q685">
        <f>'Bookings and Drivers'!Y121</f>
        <v>0</v>
      </c>
      <c r="R685">
        <f>'Bookings and Drivers'!Z121</f>
        <v>0</v>
      </c>
      <c r="S685">
        <f>'Bookings and Drivers'!AA121</f>
        <v>0</v>
      </c>
      <c r="T685">
        <f>'Bookings and Drivers'!AB121</f>
        <v>0</v>
      </c>
      <c r="U685">
        <f>'Bookings and Drivers'!AC121</f>
        <v>0</v>
      </c>
      <c r="V685">
        <f>'Bookings and Drivers'!AD121</f>
        <v>0</v>
      </c>
      <c r="W685">
        <f>'Bookings and Drivers'!AE121</f>
        <v>0</v>
      </c>
      <c r="X685">
        <f>'Bookings and Drivers'!AF121</f>
        <v>0</v>
      </c>
      <c r="Y685">
        <f>'Bookings and Drivers'!AG121</f>
        <v>0</v>
      </c>
      <c r="Z685">
        <f>'Bookings and Drivers'!AH121</f>
        <v>0</v>
      </c>
      <c r="AA685">
        <f>'Bookings and Drivers'!AI121</f>
        <v>0</v>
      </c>
      <c r="AB685">
        <f>'Bookings and Drivers'!AJ121</f>
        <v>0</v>
      </c>
      <c r="AC685">
        <f>'Bookings and Drivers'!AK121</f>
        <v>0</v>
      </c>
      <c r="AD685">
        <f>'Bookings and Drivers'!AL121</f>
        <v>0</v>
      </c>
      <c r="AE685">
        <f>'Bookings and Drivers'!AM121</f>
        <v>0</v>
      </c>
      <c r="AF685">
        <f>'Bookings and Drivers'!AN121</f>
        <v>0</v>
      </c>
      <c r="AG685">
        <f>'Bookings and Drivers'!AO121</f>
        <v>1.008210507290108</v>
      </c>
      <c r="AH685">
        <f>'Bookings and Drivers'!AP121</f>
        <v>0.9520591842878503</v>
      </c>
      <c r="AI685">
        <f>'Bookings and Drivers'!AQ121</f>
        <v>0.95613834228062178</v>
      </c>
      <c r="AJ685">
        <f>'Bookings and Drivers'!AR121</f>
        <v>0.93061426276985282</v>
      </c>
      <c r="AK685">
        <f>'Bookings and Drivers'!AS121</f>
        <v>0.93804063811922744</v>
      </c>
      <c r="AL685">
        <f>'Bookings and Drivers'!AT121</f>
        <v>0.94213947507592688</v>
      </c>
      <c r="AM685">
        <f>'Bookings and Drivers'!AU121</f>
        <v>0.99850587043479822</v>
      </c>
      <c r="AN685">
        <f>'Bookings and Drivers'!AV121</f>
        <v>0.97844095069934545</v>
      </c>
      <c r="AO685">
        <f>'Bookings and Drivers'!AW121</f>
        <v>0.93135163603180793</v>
      </c>
      <c r="AP685">
        <f>'Bookings and Drivers'!AX121</f>
        <v>0.92093875857600493</v>
      </c>
      <c r="AQ685">
        <f>'Bookings and Drivers'!AY121</f>
        <v>1.1017732908224573</v>
      </c>
      <c r="AR685">
        <f>'Bookings and Drivers'!AZ121</f>
        <v>1.1066297611400902</v>
      </c>
      <c r="AS685">
        <f>'Bookings and Drivers'!BA121</f>
        <v>1.1243491678815902</v>
      </c>
      <c r="AT685">
        <f>'Bookings and Drivers'!BB121</f>
        <v>1.0370431006966994</v>
      </c>
      <c r="AU685">
        <f>'Bookings and Drivers'!BC121</f>
        <v>1.0153417548929329</v>
      </c>
      <c r="AV685">
        <f>'Bookings and Drivers'!BD121</f>
        <v>1.0348448508936414</v>
      </c>
      <c r="AW685">
        <f>'Bookings and Drivers'!BE121</f>
        <v>1.0278847113369618</v>
      </c>
      <c r="AX685">
        <f>'Bookings and Drivers'!BF121</f>
        <v>0.94661620021014437</v>
      </c>
      <c r="AY685">
        <f>'Bookings and Drivers'!BG121</f>
        <v>0.83596954769368548</v>
      </c>
      <c r="AZ685">
        <f>'Bookings and Drivers'!BH121</f>
        <v>0.90227272727272734</v>
      </c>
      <c r="BA685">
        <f>'Bookings and Drivers'!BI121</f>
        <v>0.84806016423663499</v>
      </c>
      <c r="BB685">
        <f>'Bookings and Drivers'!BJ121</f>
        <v>0.77305183697343605</v>
      </c>
      <c r="BC685">
        <f>'Bookings and Drivers'!BK121</f>
        <v>0.71467837509816512</v>
      </c>
      <c r="BD685">
        <f>'Bookings and Drivers'!BL121</f>
        <v>0.74080086580086579</v>
      </c>
      <c r="BE685">
        <f>'Bookings and Drivers'!BM121</f>
        <v>0.69652657124734563</v>
      </c>
      <c r="BF685">
        <f>'Bookings and Drivers'!BN121</f>
        <v>0.67353640194266173</v>
      </c>
      <c r="BG685">
        <f>'Bookings and Drivers'!BO121</f>
        <v>0.62245214291250095</v>
      </c>
      <c r="BH685">
        <f>'Bookings and Drivers'!BP121</f>
        <v>0.60510355993715748</v>
      </c>
      <c r="BI685">
        <f>'Bookings and Drivers'!BQ121</f>
        <v>0.57381689585040818</v>
      </c>
      <c r="BJ685">
        <f>'Bookings and Drivers'!BR121</f>
        <v>0.55334306813503509</v>
      </c>
      <c r="BK685">
        <f>'Bookings and Drivers'!BS121</f>
        <v>0.48678896184480691</v>
      </c>
      <c r="BL685">
        <f>'Bookings and Drivers'!BT121</f>
        <v>0.50656612124626621</v>
      </c>
      <c r="BM685">
        <f>'Bookings and Drivers'!BU121</f>
        <v>0.55916796199751473</v>
      </c>
      <c r="BN685">
        <f>'Bookings and Drivers'!BV121</f>
        <v>0.50630861595301258</v>
      </c>
      <c r="BO685">
        <f>'Bookings and Drivers'!BW121</f>
        <v>0.51352692975924552</v>
      </c>
      <c r="BP685">
        <f>'Bookings and Drivers'!BX121</f>
        <v>0.57604243820987366</v>
      </c>
      <c r="BQ685">
        <f>'Bookings and Drivers'!BY121</f>
        <v>0.57896399330433734</v>
      </c>
      <c r="BR685">
        <f>'Bookings and Drivers'!BZ121</f>
        <v>0.45369778617333933</v>
      </c>
      <c r="BS685">
        <f>'Bookings and Drivers'!CA121</f>
        <v>0.48061497326203217</v>
      </c>
      <c r="BT685">
        <f>'Bookings and Drivers'!CB121</f>
        <v>0.47685919614230476</v>
      </c>
      <c r="BU685">
        <f>'Bookings and Drivers'!CC121</f>
        <v>0.42555790495883983</v>
      </c>
      <c r="BV685">
        <f>'Bookings and Drivers'!CD121</f>
        <v>0.39434566651011194</v>
      </c>
      <c r="BW685">
        <f>'Bookings and Drivers'!CE121</f>
        <v>0.36113958674315216</v>
      </c>
      <c r="BX685">
        <f>'Bookings and Drivers'!CF121</f>
        <v>0.35663054039389097</v>
      </c>
      <c r="BY685">
        <f>'Bookings and Drivers'!CG121</f>
        <v>0</v>
      </c>
      <c r="BZ685">
        <f>'Bookings and Drivers'!CH121</f>
        <v>0</v>
      </c>
      <c r="CA685">
        <f>'Bookings and Drivers'!CI121</f>
        <v>0</v>
      </c>
      <c r="CB685">
        <f>'Bookings and Drivers'!CJ121</f>
        <v>0</v>
      </c>
      <c r="CC685">
        <f>'Bookings and Drivers'!CK121</f>
        <v>0</v>
      </c>
      <c r="CD685">
        <f>'Bookings and Drivers'!CL121</f>
        <v>0</v>
      </c>
      <c r="CE685">
        <f>'Bookings and Drivers'!CM121</f>
        <v>0</v>
      </c>
      <c r="CF685">
        <f>'Bookings and Drivers'!CN121</f>
        <v>0</v>
      </c>
      <c r="CG685">
        <f>'Bookings and Drivers'!CO121</f>
        <v>0.95864866426329121</v>
      </c>
      <c r="CH685">
        <f>'Bookings and Drivers'!CP121</f>
        <v>0.96177421012086883</v>
      </c>
      <c r="CI685">
        <f>'Bookings and Drivers'!CQ121</f>
        <v>1.014986200056587</v>
      </c>
      <c r="CJ685">
        <f>'Bookings and Drivers'!CR121</f>
        <v>1.048295200651463</v>
      </c>
      <c r="CK685">
        <f>'Bookings and Drivers'!CS121</f>
        <v>0.92149778636626567</v>
      </c>
      <c r="CL685">
        <f>'Bookings and Drivers'!CT121</f>
        <v>0.76537997047904449</v>
      </c>
      <c r="CM685">
        <f>'Bookings and Drivers'!CU121</f>
        <v>0.64873300732352179</v>
      </c>
      <c r="CN685">
        <f>'Bookings and Drivers'!CV121</f>
        <v>0.52882373681792449</v>
      </c>
      <c r="CO685">
        <f>'Bookings and Drivers'!CW121</f>
        <v>0.53671375786710018</v>
      </c>
      <c r="CP685">
        <f>'Bookings and Drivers'!CX121</f>
        <v>0.49652658473194999</v>
      </c>
      <c r="CQ685">
        <f>'Bookings and Drivers'!CY121</f>
        <v>0.38387243600807075</v>
      </c>
      <c r="CR685">
        <f>'Bookings and Drivers'!CZ121</f>
        <v>0.32810562924973774</v>
      </c>
      <c r="CS685">
        <f>'Bookings and Drivers'!DA121</f>
        <v>0.28574719982566399</v>
      </c>
      <c r="CT685">
        <f>'Bookings and Drivers'!DB121</f>
        <v>0.24528168404197692</v>
      </c>
      <c r="CU685">
        <f>'Bookings and Drivers'!DC121</f>
        <v>0.2132433494478656</v>
      </c>
      <c r="CV685">
        <f>'Bookings and Drivers'!DD121</f>
        <v>0.19009181486074622</v>
      </c>
      <c r="CW685">
        <f>'Bookings and Drivers'!DE121</f>
        <v>0.17141733364051759</v>
      </c>
      <c r="CX685">
        <f>'Bookings and Drivers'!DF121</f>
        <v>0.16259400038426364</v>
      </c>
    </row>
    <row r="686" spans="1:102">
      <c r="A686">
        <f>'Bookings and Drivers'!I122</f>
        <v>0</v>
      </c>
      <c r="B686">
        <f>'Bookings and Drivers'!J122</f>
        <v>0</v>
      </c>
      <c r="C686">
        <f>'Bookings and Drivers'!K122</f>
        <v>0</v>
      </c>
      <c r="D686">
        <f>'Bookings and Drivers'!L122</f>
        <v>0</v>
      </c>
      <c r="E686">
        <f>'Bookings and Drivers'!M122</f>
        <v>0</v>
      </c>
      <c r="F686">
        <f>'Bookings and Drivers'!N122</f>
        <v>0</v>
      </c>
      <c r="G686">
        <f>'Bookings and Drivers'!O122</f>
        <v>0</v>
      </c>
      <c r="H686">
        <f>'Bookings and Drivers'!P122</f>
        <v>0</v>
      </c>
      <c r="I686">
        <f>'Bookings and Drivers'!Q122</f>
        <v>0</v>
      </c>
      <c r="J686">
        <f>'Bookings and Drivers'!R122</f>
        <v>0</v>
      </c>
      <c r="K686">
        <f>'Bookings and Drivers'!S122</f>
        <v>0</v>
      </c>
      <c r="L686">
        <f>'Bookings and Drivers'!T122</f>
        <v>0</v>
      </c>
      <c r="M686">
        <f>'Bookings and Drivers'!U122</f>
        <v>0</v>
      </c>
      <c r="N686">
        <f>'Bookings and Drivers'!V122</f>
        <v>0</v>
      </c>
      <c r="O686">
        <f>'Bookings and Drivers'!W122</f>
        <v>0</v>
      </c>
      <c r="P686">
        <f>'Bookings and Drivers'!X122</f>
        <v>0</v>
      </c>
      <c r="Q686">
        <f>'Bookings and Drivers'!Y122</f>
        <v>0</v>
      </c>
      <c r="R686">
        <f>'Bookings and Drivers'!Z122</f>
        <v>0</v>
      </c>
      <c r="S686">
        <f>'Bookings and Drivers'!AA122</f>
        <v>0</v>
      </c>
      <c r="T686">
        <f>'Bookings and Drivers'!AB122</f>
        <v>0</v>
      </c>
      <c r="U686">
        <f>'Bookings and Drivers'!AC122</f>
        <v>0</v>
      </c>
      <c r="V686">
        <f>'Bookings and Drivers'!AD122</f>
        <v>0</v>
      </c>
      <c r="W686">
        <f>'Bookings and Drivers'!AE122</f>
        <v>0</v>
      </c>
      <c r="X686">
        <f>'Bookings and Drivers'!AF122</f>
        <v>0</v>
      </c>
      <c r="Y686">
        <f>'Bookings and Drivers'!AG122</f>
        <v>0</v>
      </c>
      <c r="Z686">
        <f>'Bookings and Drivers'!AH122</f>
        <v>0</v>
      </c>
      <c r="AA686">
        <f>'Bookings and Drivers'!AI122</f>
        <v>0</v>
      </c>
      <c r="AB686">
        <f>'Bookings and Drivers'!AJ122</f>
        <v>0</v>
      </c>
      <c r="AC686">
        <f>'Bookings and Drivers'!AK122</f>
        <v>0</v>
      </c>
      <c r="AD686">
        <f>'Bookings and Drivers'!AL122</f>
        <v>0</v>
      </c>
      <c r="AE686">
        <f>'Bookings and Drivers'!AM122</f>
        <v>0</v>
      </c>
      <c r="AF686">
        <f>'Bookings and Drivers'!AN122</f>
        <v>0</v>
      </c>
      <c r="AG686">
        <f>'Bookings and Drivers'!AO122</f>
        <v>0</v>
      </c>
      <c r="AH686">
        <f>'Bookings and Drivers'!AP122</f>
        <v>0</v>
      </c>
      <c r="AI686">
        <f>'Bookings and Drivers'!AQ122</f>
        <v>0</v>
      </c>
      <c r="AJ686">
        <f>'Bookings and Drivers'!AR122</f>
        <v>0</v>
      </c>
      <c r="AK686">
        <f>'Bookings and Drivers'!AS122</f>
        <v>0</v>
      </c>
      <c r="AL686">
        <f>'Bookings and Drivers'!AT122</f>
        <v>0</v>
      </c>
      <c r="AM686">
        <f>'Bookings and Drivers'!AU122</f>
        <v>0</v>
      </c>
      <c r="AN686">
        <f>'Bookings and Drivers'!AV122</f>
        <v>0</v>
      </c>
      <c r="AO686">
        <f>'Bookings and Drivers'!AW122</f>
        <v>0</v>
      </c>
      <c r="AP686">
        <f>'Bookings and Drivers'!AX122</f>
        <v>0</v>
      </c>
      <c r="AQ686">
        <f>'Bookings and Drivers'!AY122</f>
        <v>0</v>
      </c>
      <c r="AR686">
        <f>'Bookings and Drivers'!AZ122</f>
        <v>0</v>
      </c>
      <c r="AS686">
        <f>'Bookings and Drivers'!BA122</f>
        <v>0</v>
      </c>
      <c r="AT686">
        <f>'Bookings and Drivers'!BB122</f>
        <v>0</v>
      </c>
      <c r="AU686">
        <f>'Bookings and Drivers'!BC122</f>
        <v>0</v>
      </c>
      <c r="AV686">
        <f>'Bookings and Drivers'!BD122</f>
        <v>0</v>
      </c>
      <c r="AW686">
        <f>'Bookings and Drivers'!BE122</f>
        <v>0</v>
      </c>
      <c r="AX686">
        <f>'Bookings and Drivers'!BF122</f>
        <v>0</v>
      </c>
      <c r="AY686">
        <f>'Bookings and Drivers'!BG122</f>
        <v>0</v>
      </c>
      <c r="AZ686">
        <f>'Bookings and Drivers'!BH122</f>
        <v>0</v>
      </c>
      <c r="BA686">
        <f>'Bookings and Drivers'!BI122</f>
        <v>0</v>
      </c>
      <c r="BB686">
        <f>'Bookings and Drivers'!BJ122</f>
        <v>0</v>
      </c>
      <c r="BC686">
        <f>'Bookings and Drivers'!BK122</f>
        <v>0</v>
      </c>
      <c r="BD686">
        <f>'Bookings and Drivers'!BL122</f>
        <v>0</v>
      </c>
      <c r="BE686">
        <f>'Bookings and Drivers'!BM122</f>
        <v>0</v>
      </c>
      <c r="BF686">
        <f>'Bookings and Drivers'!BN122</f>
        <v>0</v>
      </c>
      <c r="BG686">
        <f>'Bookings and Drivers'!BO122</f>
        <v>0</v>
      </c>
      <c r="BH686">
        <f>'Bookings and Drivers'!BP122</f>
        <v>0</v>
      </c>
      <c r="BI686">
        <f>'Bookings and Drivers'!BQ122</f>
        <v>0</v>
      </c>
      <c r="BJ686">
        <f>'Bookings and Drivers'!BR122</f>
        <v>0</v>
      </c>
      <c r="BK686">
        <f>'Bookings and Drivers'!BS122</f>
        <v>0</v>
      </c>
      <c r="BL686">
        <f>'Bookings and Drivers'!BT122</f>
        <v>0</v>
      </c>
      <c r="BM686">
        <f>'Bookings and Drivers'!BU122</f>
        <v>0</v>
      </c>
      <c r="BN686">
        <f>'Bookings and Drivers'!BV122</f>
        <v>0</v>
      </c>
      <c r="BO686">
        <f>'Bookings and Drivers'!BW122</f>
        <v>0</v>
      </c>
      <c r="BP686">
        <f>'Bookings and Drivers'!BX122</f>
        <v>0</v>
      </c>
      <c r="BQ686">
        <f>'Bookings and Drivers'!BY122</f>
        <v>0</v>
      </c>
      <c r="BR686">
        <f>'Bookings and Drivers'!BZ122</f>
        <v>0</v>
      </c>
      <c r="BS686">
        <f>'Bookings and Drivers'!CA122</f>
        <v>0</v>
      </c>
      <c r="BT686">
        <f>'Bookings and Drivers'!CB122</f>
        <v>0</v>
      </c>
      <c r="BU686">
        <f>'Bookings and Drivers'!CC122</f>
        <v>0</v>
      </c>
      <c r="BV686">
        <f>'Bookings and Drivers'!CD122</f>
        <v>0</v>
      </c>
      <c r="BW686">
        <f>'Bookings and Drivers'!CE122</f>
        <v>0</v>
      </c>
      <c r="BX686">
        <f>'Bookings and Drivers'!CF122</f>
        <v>0</v>
      </c>
      <c r="BY686">
        <f>'Bookings and Drivers'!CG122</f>
        <v>0</v>
      </c>
      <c r="BZ686">
        <f>'Bookings and Drivers'!CH122</f>
        <v>0</v>
      </c>
      <c r="CA686">
        <f>'Bookings and Drivers'!CI122</f>
        <v>0</v>
      </c>
      <c r="CB686">
        <f>'Bookings and Drivers'!CJ122</f>
        <v>0</v>
      </c>
      <c r="CC686">
        <f>'Bookings and Drivers'!CK122</f>
        <v>0</v>
      </c>
      <c r="CD686">
        <f>'Bookings and Drivers'!CL122</f>
        <v>0</v>
      </c>
      <c r="CE686">
        <f>'Bookings and Drivers'!CM122</f>
        <v>0</v>
      </c>
      <c r="CF686">
        <f>'Bookings and Drivers'!CN122</f>
        <v>0</v>
      </c>
      <c r="CG686">
        <f>'Bookings and Drivers'!CO122</f>
        <v>0</v>
      </c>
      <c r="CH686">
        <f>'Bookings and Drivers'!CP122</f>
        <v>0</v>
      </c>
      <c r="CI686">
        <f>'Bookings and Drivers'!CQ122</f>
        <v>0</v>
      </c>
      <c r="CJ686">
        <f>'Bookings and Drivers'!CR122</f>
        <v>0</v>
      </c>
      <c r="CK686">
        <f>'Bookings and Drivers'!CS122</f>
        <v>0</v>
      </c>
      <c r="CL686">
        <f>'Bookings and Drivers'!CT122</f>
        <v>0</v>
      </c>
      <c r="CM686">
        <f>'Bookings and Drivers'!CU122</f>
        <v>0</v>
      </c>
      <c r="CN686">
        <f>'Bookings and Drivers'!CV122</f>
        <v>0</v>
      </c>
      <c r="CO686">
        <f>'Bookings and Drivers'!CW122</f>
        <v>0</v>
      </c>
      <c r="CP686">
        <f>'Bookings and Drivers'!CX122</f>
        <v>0</v>
      </c>
      <c r="CQ686">
        <f>'Bookings and Drivers'!CY122</f>
        <v>0</v>
      </c>
      <c r="CR686">
        <f>'Bookings and Drivers'!CZ122</f>
        <v>0</v>
      </c>
      <c r="CS686">
        <f>'Bookings and Drivers'!DA122</f>
        <v>0</v>
      </c>
      <c r="CT686">
        <f>'Bookings and Drivers'!DB122</f>
        <v>0</v>
      </c>
      <c r="CU686">
        <f>'Bookings and Drivers'!DC122</f>
        <v>0</v>
      </c>
      <c r="CV686">
        <f>'Bookings and Drivers'!DD122</f>
        <v>0</v>
      </c>
      <c r="CW686">
        <f>'Bookings and Drivers'!DE122</f>
        <v>0</v>
      </c>
      <c r="CX686">
        <f>'Bookings and Drivers'!DF122</f>
        <v>0</v>
      </c>
    </row>
    <row r="689" spans="1:102">
      <c r="A689" t="str">
        <f>'Bookings and Drivers'!I116</f>
        <v>Qtrly % of Annual Growth</v>
      </c>
      <c r="B689">
        <f>'Bookings and Drivers'!J116</f>
        <v>0</v>
      </c>
      <c r="C689">
        <f>'Bookings and Drivers'!K116</f>
        <v>0</v>
      </c>
      <c r="D689">
        <f>'Bookings and Drivers'!L116</f>
        <v>0</v>
      </c>
      <c r="E689">
        <f>'Bookings and Drivers'!M116</f>
        <v>0</v>
      </c>
      <c r="F689">
        <f>'Bookings and Drivers'!N116</f>
        <v>0</v>
      </c>
      <c r="G689">
        <f>'Bookings and Drivers'!O116</f>
        <v>0</v>
      </c>
      <c r="H689">
        <f>'Bookings and Drivers'!P116</f>
        <v>0</v>
      </c>
      <c r="I689">
        <f>'Bookings and Drivers'!Q116</f>
        <v>0</v>
      </c>
      <c r="J689">
        <f>'Bookings and Drivers'!R116</f>
        <v>0</v>
      </c>
      <c r="K689">
        <f>'Bookings and Drivers'!S116</f>
        <v>0</v>
      </c>
      <c r="L689">
        <f>'Bookings and Drivers'!T116</f>
        <v>0</v>
      </c>
      <c r="M689">
        <f>'Bookings and Drivers'!U116</f>
        <v>0</v>
      </c>
      <c r="N689">
        <f>'Bookings and Drivers'!V116</f>
        <v>0</v>
      </c>
      <c r="O689">
        <f>'Bookings and Drivers'!W116</f>
        <v>0</v>
      </c>
      <c r="P689">
        <f>'Bookings and Drivers'!X116</f>
        <v>0</v>
      </c>
      <c r="Q689">
        <f>'Bookings and Drivers'!Y116</f>
        <v>0</v>
      </c>
      <c r="R689">
        <f>'Bookings and Drivers'!Z116</f>
        <v>0</v>
      </c>
      <c r="S689">
        <f>'Bookings and Drivers'!AA116</f>
        <v>0</v>
      </c>
      <c r="T689">
        <f>'Bookings and Drivers'!AB116</f>
        <v>0</v>
      </c>
      <c r="U689">
        <f>'Bookings and Drivers'!AC116</f>
        <v>0</v>
      </c>
      <c r="V689">
        <f>'Bookings and Drivers'!AD116</f>
        <v>0</v>
      </c>
      <c r="W689">
        <f>'Bookings and Drivers'!AE116</f>
        <v>0</v>
      </c>
      <c r="X689">
        <f>'Bookings and Drivers'!AF116</f>
        <v>0</v>
      </c>
      <c r="Y689">
        <f>'Bookings and Drivers'!AG116</f>
        <v>0.23171793383633199</v>
      </c>
      <c r="Z689">
        <f>'Bookings and Drivers'!AH116</f>
        <v>0.32777132907719092</v>
      </c>
      <c r="AA689">
        <f>'Bookings and Drivers'!AI116</f>
        <v>0.25232153221125941</v>
      </c>
      <c r="AB689">
        <f>'Bookings and Drivers'!AJ116</f>
        <v>0.18818920487521765</v>
      </c>
      <c r="AC689">
        <f>'Bookings and Drivers'!AK116</f>
        <v>0.19745781284242822</v>
      </c>
      <c r="AD689">
        <f>'Bookings and Drivers'!AL116</f>
        <v>0.24621959237343852</v>
      </c>
      <c r="AE689">
        <f>'Bookings and Drivers'!AM116</f>
        <v>0.29870699101468334</v>
      </c>
      <c r="AF689">
        <f>'Bookings and Drivers'!AN116</f>
        <v>0.25761560376944992</v>
      </c>
      <c r="AG689">
        <f>'Bookings and Drivers'!AO116</f>
        <v>0.26233029071105318</v>
      </c>
      <c r="AH689">
        <f>'Bookings and Drivers'!AP116</f>
        <v>0.27897522436143285</v>
      </c>
      <c r="AI689">
        <f>'Bookings and Drivers'!AQ116</f>
        <v>0.26616552887934342</v>
      </c>
      <c r="AJ689">
        <f>'Bookings and Drivers'!AR116</f>
        <v>0.19252895604817058</v>
      </c>
      <c r="AK689">
        <f>'Bookings and Drivers'!AS116</f>
        <v>0.16966862374365607</v>
      </c>
      <c r="AL689">
        <f>'Bookings and Drivers'!AT116</f>
        <v>0.23813314757687332</v>
      </c>
      <c r="AM689">
        <f>'Bookings and Drivers'!AU116</f>
        <v>0.32018111254851228</v>
      </c>
      <c r="AN689">
        <f>'Bookings and Drivers'!AV116</f>
        <v>0.2720171161309583</v>
      </c>
      <c r="AO689">
        <f>'Bookings and Drivers'!AW116</f>
        <v>0.22799245994344958</v>
      </c>
      <c r="AP689">
        <f>'Bookings and Drivers'!AX116</f>
        <v>0.23672635878102419</v>
      </c>
      <c r="AQ689">
        <f>'Bookings and Drivers'!AY116</f>
        <v>0.30257618598806157</v>
      </c>
      <c r="AR689">
        <f>'Bookings and Drivers'!AZ116</f>
        <v>0.23270499528746466</v>
      </c>
      <c r="AS689">
        <f>'Bookings and Drivers'!BA116</f>
        <v>0.22884449731326142</v>
      </c>
      <c r="AT689">
        <f>'Bookings and Drivers'!BB116</f>
        <v>0.26457196767709912</v>
      </c>
      <c r="AU689">
        <f>'Bookings and Drivers'!BC116</f>
        <v>0.26867385864883714</v>
      </c>
      <c r="AV689">
        <f>'Bookings and Drivers'!BD116</f>
        <v>0.23790967636080232</v>
      </c>
      <c r="AW689">
        <f>'Bookings and Drivers'!BE116</f>
        <v>0.26250000000000001</v>
      </c>
      <c r="AX689">
        <f>'Bookings and Drivers'!BF116</f>
        <v>0.25178571428571428</v>
      </c>
      <c r="AY689">
        <f>'Bookings and Drivers'!BG116</f>
        <v>0.26071428571428573</v>
      </c>
      <c r="AZ689">
        <f>'Bookings and Drivers'!BH116</f>
        <v>0.22500000000000001</v>
      </c>
      <c r="BA689">
        <f>'Bookings and Drivers'!BI116</f>
        <v>0.23698630136986301</v>
      </c>
      <c r="BB689">
        <f>'Bookings and Drivers'!BJ116</f>
        <v>0.26301369863013696</v>
      </c>
      <c r="BC689">
        <f>'Bookings and Drivers'!BK116</f>
        <v>0.26849315068493151</v>
      </c>
      <c r="BD689">
        <f>'Bookings and Drivers'!BL116</f>
        <v>0.23150684931506849</v>
      </c>
      <c r="BE689">
        <f>'Bookings and Drivers'!BM116</f>
        <v>0.2675496688741722</v>
      </c>
      <c r="BF689">
        <f>'Bookings and Drivers'!BN116</f>
        <v>0.2675496688741722</v>
      </c>
      <c r="BG689">
        <f>'Bookings and Drivers'!BO116</f>
        <v>0.26490066225165565</v>
      </c>
      <c r="BH689">
        <f>'Bookings and Drivers'!BP116</f>
        <v>0.2</v>
      </c>
      <c r="BI689">
        <f>'Bookings and Drivers'!BQ116</f>
        <v>0.24537037037037038</v>
      </c>
      <c r="BJ689">
        <f>'Bookings and Drivers'!BR116</f>
        <v>0.27199074074074076</v>
      </c>
      <c r="BK689">
        <f>'Bookings and Drivers'!BS116</f>
        <v>0.24074074074074073</v>
      </c>
      <c r="BL689">
        <f>'Bookings and Drivers'!BT116</f>
        <v>0.24189814814814814</v>
      </c>
      <c r="BM689">
        <f>'Bookings and Drivers'!BU116</f>
        <v>0.2570507655116841</v>
      </c>
      <c r="BN689">
        <f>'Bookings and Drivers'!BV116</f>
        <v>0.22240128928283642</v>
      </c>
      <c r="BO689">
        <f>'Bookings and Drivers'!BW116</f>
        <v>0.27397260273972601</v>
      </c>
      <c r="BP689">
        <f>'Bookings and Drivers'!BX116</f>
        <v>0.24657534246575341</v>
      </c>
      <c r="BQ689">
        <f>'Bookings and Drivers'!BY116</f>
        <v>0.32075471698113206</v>
      </c>
      <c r="BR689">
        <f>'Bookings and Drivers'!BZ116</f>
        <v>0.25300171526586623</v>
      </c>
      <c r="BS689">
        <f>'Bookings and Drivers'!CA116</f>
        <v>0.23927958833619212</v>
      </c>
      <c r="BT689">
        <f>'Bookings and Drivers'!CB116</f>
        <v>0.18696397941680962</v>
      </c>
      <c r="BU689">
        <f>'Bookings and Drivers'!CC116</f>
        <v>0.22459549806574985</v>
      </c>
      <c r="BV689">
        <f>'Bookings and Drivers'!CD116</f>
        <v>0.26784319698550868</v>
      </c>
      <c r="BW689">
        <f>'Bookings and Drivers'!CE116</f>
        <v>0.26414937086383256</v>
      </c>
      <c r="BX689">
        <f>'Bookings and Drivers'!CF116</f>
        <v>0.24341193408490866</v>
      </c>
      <c r="BY689">
        <f>'Bookings and Drivers'!CG116</f>
        <v>0</v>
      </c>
      <c r="BZ689">
        <f>'Bookings and Drivers'!CH116</f>
        <v>0</v>
      </c>
      <c r="CA689">
        <f>'Bookings and Drivers'!CI116</f>
        <v>0</v>
      </c>
      <c r="CB689">
        <f>'Bookings and Drivers'!CJ116</f>
        <v>0</v>
      </c>
      <c r="CC689">
        <f>'Bookings and Drivers'!CK116</f>
        <v>0</v>
      </c>
      <c r="CD689">
        <f>'Bookings and Drivers'!CL116</f>
        <v>0</v>
      </c>
      <c r="CE689">
        <f>'Bookings and Drivers'!CM116</f>
        <v>0</v>
      </c>
      <c r="CF689">
        <f>'Bookings and Drivers'!CN116</f>
        <v>0</v>
      </c>
      <c r="CG689">
        <f>'Bookings and Drivers'!CO116</f>
        <v>0</v>
      </c>
      <c r="CH689">
        <f>'Bookings and Drivers'!CP116</f>
        <v>0</v>
      </c>
      <c r="CI689">
        <f>'Bookings and Drivers'!CQ116</f>
        <v>0</v>
      </c>
      <c r="CJ689">
        <f>'Bookings and Drivers'!CR116</f>
        <v>0</v>
      </c>
      <c r="CK689">
        <f>'Bookings and Drivers'!CS116</f>
        <v>0</v>
      </c>
      <c r="CL689">
        <f>'Bookings and Drivers'!CT116</f>
        <v>0</v>
      </c>
      <c r="CM689">
        <f>'Bookings and Drivers'!CU116</f>
        <v>0</v>
      </c>
      <c r="CN689">
        <f>'Bookings and Drivers'!CV116</f>
        <v>0</v>
      </c>
      <c r="CO689">
        <f>'Bookings and Drivers'!CW116</f>
        <v>0</v>
      </c>
      <c r="CP689">
        <f>'Bookings and Drivers'!CX116</f>
        <v>0</v>
      </c>
      <c r="CQ689">
        <f>'Bookings and Drivers'!CY116</f>
        <v>0</v>
      </c>
      <c r="CR689">
        <f>'Bookings and Drivers'!CZ116</f>
        <v>0</v>
      </c>
      <c r="CS689">
        <f>'Bookings and Drivers'!DA116</f>
        <v>0</v>
      </c>
      <c r="CT689">
        <f>'Bookings and Drivers'!DB116</f>
        <v>0</v>
      </c>
      <c r="CU689">
        <f>'Bookings and Drivers'!DC116</f>
        <v>0</v>
      </c>
      <c r="CV689">
        <f>'Bookings and Drivers'!DD116</f>
        <v>0</v>
      </c>
      <c r="CW689">
        <f>'Bookings and Drivers'!DE116</f>
        <v>0</v>
      </c>
      <c r="CX689">
        <f>'Bookings and Drivers'!DF116</f>
        <v>0</v>
      </c>
    </row>
    <row r="692" spans="1:102">
      <c r="A692" t="str">
        <f>'Bookings and Drivers'!I123</f>
        <v>% Mix of Room Nights Sold</v>
      </c>
      <c r="B692">
        <f>'Bookings and Drivers'!J123</f>
        <v>0</v>
      </c>
      <c r="C692">
        <f>'Bookings and Drivers'!K123</f>
        <v>0</v>
      </c>
      <c r="D692">
        <f>'Bookings and Drivers'!L123</f>
        <v>0</v>
      </c>
      <c r="E692">
        <f>'Bookings and Drivers'!M123</f>
        <v>0</v>
      </c>
      <c r="F692">
        <f>'Bookings and Drivers'!N123</f>
        <v>0</v>
      </c>
      <c r="G692">
        <f>'Bookings and Drivers'!O123</f>
        <v>0</v>
      </c>
      <c r="H692">
        <f>'Bookings and Drivers'!P123</f>
        <v>0</v>
      </c>
      <c r="I692">
        <f>'Bookings and Drivers'!Q123</f>
        <v>0</v>
      </c>
      <c r="J692">
        <f>'Bookings and Drivers'!R123</f>
        <v>0</v>
      </c>
      <c r="K692">
        <f>'Bookings and Drivers'!S123</f>
        <v>0</v>
      </c>
      <c r="L692">
        <f>'Bookings and Drivers'!T123</f>
        <v>0</v>
      </c>
      <c r="M692">
        <f>'Bookings and Drivers'!U123</f>
        <v>0</v>
      </c>
      <c r="N692">
        <f>'Bookings and Drivers'!V123</f>
        <v>0</v>
      </c>
      <c r="O692">
        <f>'Bookings and Drivers'!W123</f>
        <v>0</v>
      </c>
      <c r="P692">
        <f>'Bookings and Drivers'!X123</f>
        <v>0</v>
      </c>
      <c r="Q692">
        <f>'Bookings and Drivers'!Y123</f>
        <v>0</v>
      </c>
      <c r="R692">
        <f>'Bookings and Drivers'!Z123</f>
        <v>0</v>
      </c>
      <c r="S692">
        <f>'Bookings and Drivers'!AA123</f>
        <v>0</v>
      </c>
      <c r="T692">
        <f>'Bookings and Drivers'!AB123</f>
        <v>0</v>
      </c>
      <c r="U692">
        <f>'Bookings and Drivers'!AC123</f>
        <v>0</v>
      </c>
      <c r="V692">
        <f>'Bookings and Drivers'!AD123</f>
        <v>0</v>
      </c>
      <c r="W692">
        <f>'Bookings and Drivers'!AE123</f>
        <v>0</v>
      </c>
      <c r="X692">
        <f>'Bookings and Drivers'!AF123</f>
        <v>0</v>
      </c>
      <c r="Y692">
        <f>'Bookings and Drivers'!AG123</f>
        <v>0</v>
      </c>
      <c r="Z692">
        <f>'Bookings and Drivers'!AH123</f>
        <v>0</v>
      </c>
      <c r="AA692">
        <f>'Bookings and Drivers'!AI123</f>
        <v>0</v>
      </c>
      <c r="AB692">
        <f>'Bookings and Drivers'!AJ123</f>
        <v>0</v>
      </c>
      <c r="AC692">
        <f>'Bookings and Drivers'!AK123</f>
        <v>0</v>
      </c>
      <c r="AD692">
        <f>'Bookings and Drivers'!AL123</f>
        <v>0</v>
      </c>
      <c r="AE692">
        <f>'Bookings and Drivers'!AM123</f>
        <v>0</v>
      </c>
      <c r="AF692">
        <f>'Bookings and Drivers'!AN123</f>
        <v>0</v>
      </c>
      <c r="AG692">
        <f>'Bookings and Drivers'!AO123</f>
        <v>0</v>
      </c>
      <c r="AH692">
        <f>'Bookings and Drivers'!AP123</f>
        <v>0</v>
      </c>
      <c r="AI692">
        <f>'Bookings and Drivers'!AQ123</f>
        <v>0</v>
      </c>
      <c r="AJ692">
        <f>'Bookings and Drivers'!AR123</f>
        <v>0</v>
      </c>
      <c r="AK692">
        <f>'Bookings and Drivers'!AS123</f>
        <v>0</v>
      </c>
      <c r="AL692">
        <f>'Bookings and Drivers'!AT123</f>
        <v>0</v>
      </c>
      <c r="AM692">
        <f>'Bookings and Drivers'!AU123</f>
        <v>0</v>
      </c>
      <c r="AN692">
        <f>'Bookings and Drivers'!AV123</f>
        <v>0</v>
      </c>
      <c r="AO692">
        <f>'Bookings and Drivers'!AW123</f>
        <v>0</v>
      </c>
      <c r="AP692">
        <f>'Bookings and Drivers'!AX123</f>
        <v>0</v>
      </c>
      <c r="AQ692">
        <f>'Bookings and Drivers'!AY123</f>
        <v>0</v>
      </c>
      <c r="AR692">
        <f>'Bookings and Drivers'!AZ123</f>
        <v>0</v>
      </c>
      <c r="AS692">
        <f>'Bookings and Drivers'!BA123</f>
        <v>0</v>
      </c>
      <c r="AT692">
        <f>'Bookings and Drivers'!BB123</f>
        <v>0</v>
      </c>
      <c r="AU692">
        <f>'Bookings and Drivers'!BC123</f>
        <v>0</v>
      </c>
      <c r="AV692">
        <f>'Bookings and Drivers'!BD123</f>
        <v>0</v>
      </c>
      <c r="AW692">
        <f>'Bookings and Drivers'!BE123</f>
        <v>0</v>
      </c>
      <c r="AX692">
        <f>'Bookings and Drivers'!BF123</f>
        <v>0</v>
      </c>
      <c r="AY692">
        <f>'Bookings and Drivers'!BG123</f>
        <v>0</v>
      </c>
      <c r="AZ692">
        <f>'Bookings and Drivers'!BH123</f>
        <v>0</v>
      </c>
      <c r="BA692">
        <f>'Bookings and Drivers'!BI123</f>
        <v>0</v>
      </c>
      <c r="BB692">
        <f>'Bookings and Drivers'!BJ123</f>
        <v>0</v>
      </c>
      <c r="BC692">
        <f>'Bookings and Drivers'!BK123</f>
        <v>0</v>
      </c>
      <c r="BD692">
        <f>'Bookings and Drivers'!BL123</f>
        <v>0</v>
      </c>
      <c r="BE692">
        <f>'Bookings and Drivers'!BM123</f>
        <v>0</v>
      </c>
      <c r="BF692">
        <f>'Bookings and Drivers'!BN123</f>
        <v>0</v>
      </c>
      <c r="BG692">
        <f>'Bookings and Drivers'!BO123</f>
        <v>0</v>
      </c>
      <c r="BH692">
        <f>'Bookings and Drivers'!BP123</f>
        <v>0</v>
      </c>
      <c r="BI692">
        <f>'Bookings and Drivers'!BQ123</f>
        <v>0</v>
      </c>
      <c r="BJ692">
        <f>'Bookings and Drivers'!BR123</f>
        <v>0</v>
      </c>
      <c r="BK692">
        <f>'Bookings and Drivers'!BS123</f>
        <v>0</v>
      </c>
      <c r="BL692">
        <f>'Bookings and Drivers'!BT123</f>
        <v>0</v>
      </c>
      <c r="BM692">
        <f>'Bookings and Drivers'!BU123</f>
        <v>0</v>
      </c>
      <c r="BN692">
        <f>'Bookings and Drivers'!BV123</f>
        <v>0</v>
      </c>
      <c r="BO692">
        <f>'Bookings and Drivers'!BW123</f>
        <v>0</v>
      </c>
      <c r="BP692">
        <f>'Bookings and Drivers'!BX123</f>
        <v>0</v>
      </c>
      <c r="BQ692">
        <f>'Bookings and Drivers'!BY123</f>
        <v>0</v>
      </c>
      <c r="BR692">
        <f>'Bookings and Drivers'!BZ123</f>
        <v>0</v>
      </c>
      <c r="BS692">
        <f>'Bookings and Drivers'!CA123</f>
        <v>0</v>
      </c>
      <c r="BT692">
        <f>'Bookings and Drivers'!CB123</f>
        <v>0</v>
      </c>
      <c r="BU692">
        <f>'Bookings and Drivers'!CC123</f>
        <v>0</v>
      </c>
      <c r="BV692">
        <f>'Bookings and Drivers'!CD123</f>
        <v>0</v>
      </c>
      <c r="BW692">
        <f>'Bookings and Drivers'!CE123</f>
        <v>0</v>
      </c>
      <c r="BX692">
        <f>'Bookings and Drivers'!CF123</f>
        <v>0</v>
      </c>
      <c r="BY692">
        <f>'Bookings and Drivers'!CG123</f>
        <v>0</v>
      </c>
      <c r="BZ692">
        <f>'Bookings and Drivers'!CH123</f>
        <v>0</v>
      </c>
      <c r="CA692">
        <f>'Bookings and Drivers'!CI123</f>
        <v>0</v>
      </c>
      <c r="CB692">
        <f>'Bookings and Drivers'!CJ123</f>
        <v>0</v>
      </c>
      <c r="CC692">
        <f>'Bookings and Drivers'!CK123</f>
        <v>0</v>
      </c>
      <c r="CD692">
        <f>'Bookings and Drivers'!CL123</f>
        <v>0</v>
      </c>
      <c r="CE692">
        <f>'Bookings and Drivers'!CM123</f>
        <v>0</v>
      </c>
      <c r="CF692">
        <f>'Bookings and Drivers'!CN123</f>
        <v>0</v>
      </c>
      <c r="CG692">
        <f>'Bookings and Drivers'!CO123</f>
        <v>0</v>
      </c>
      <c r="CH692">
        <f>'Bookings and Drivers'!CP123</f>
        <v>0</v>
      </c>
      <c r="CI692">
        <f>'Bookings and Drivers'!CQ123</f>
        <v>0</v>
      </c>
      <c r="CJ692">
        <f>'Bookings and Drivers'!CR123</f>
        <v>0</v>
      </c>
      <c r="CK692">
        <f>'Bookings and Drivers'!CS123</f>
        <v>0</v>
      </c>
      <c r="CL692">
        <f>'Bookings and Drivers'!CT123</f>
        <v>0</v>
      </c>
      <c r="CM692">
        <f>'Bookings and Drivers'!CU123</f>
        <v>0</v>
      </c>
      <c r="CN692">
        <f>'Bookings and Drivers'!CV123</f>
        <v>0</v>
      </c>
      <c r="CO692">
        <f>'Bookings and Drivers'!CW123</f>
        <v>0</v>
      </c>
      <c r="CP692">
        <f>'Bookings and Drivers'!CX123</f>
        <v>0</v>
      </c>
      <c r="CQ692">
        <f>'Bookings and Drivers'!CY123</f>
        <v>0</v>
      </c>
      <c r="CR692">
        <f>'Bookings and Drivers'!CZ123</f>
        <v>0</v>
      </c>
      <c r="CS692">
        <f>'Bookings and Drivers'!DA123</f>
        <v>0</v>
      </c>
      <c r="CT692">
        <f>'Bookings and Drivers'!DB123</f>
        <v>0</v>
      </c>
      <c r="CU692">
        <f>'Bookings and Drivers'!DC123</f>
        <v>0</v>
      </c>
      <c r="CV692">
        <f>'Bookings and Drivers'!DD123</f>
        <v>0</v>
      </c>
      <c r="CW692">
        <f>'Bookings and Drivers'!DE123</f>
        <v>0</v>
      </c>
      <c r="CX692">
        <f>'Bookings and Drivers'!DF123</f>
        <v>0</v>
      </c>
    </row>
    <row r="693" spans="1:102">
      <c r="A693" t="str">
        <f>'Bookings and Drivers'!I124</f>
        <v>Domestic Room Nights Sold</v>
      </c>
      <c r="B693">
        <f>'Bookings and Drivers'!J124</f>
        <v>0</v>
      </c>
      <c r="C693">
        <f>'Bookings and Drivers'!K124</f>
        <v>0</v>
      </c>
      <c r="D693">
        <f>'Bookings and Drivers'!L124</f>
        <v>0</v>
      </c>
      <c r="E693">
        <f>'Bookings and Drivers'!M124</f>
        <v>0</v>
      </c>
      <c r="F693">
        <f>'Bookings and Drivers'!N124</f>
        <v>0</v>
      </c>
      <c r="G693">
        <f>'Bookings and Drivers'!O124</f>
        <v>0</v>
      </c>
      <c r="H693">
        <f>'Bookings and Drivers'!P124</f>
        <v>0</v>
      </c>
      <c r="I693">
        <f>'Bookings and Drivers'!Q124</f>
        <v>0</v>
      </c>
      <c r="J693">
        <f>'Bookings and Drivers'!R124</f>
        <v>0</v>
      </c>
      <c r="K693">
        <f>'Bookings and Drivers'!S124</f>
        <v>0</v>
      </c>
      <c r="L693">
        <f>'Bookings and Drivers'!T124</f>
        <v>0</v>
      </c>
      <c r="M693">
        <f>'Bookings and Drivers'!U124</f>
        <v>0</v>
      </c>
      <c r="N693">
        <f>'Bookings and Drivers'!V124</f>
        <v>0</v>
      </c>
      <c r="O693">
        <f>'Bookings and Drivers'!W124</f>
        <v>0</v>
      </c>
      <c r="P693">
        <f>'Bookings and Drivers'!X124</f>
        <v>0</v>
      </c>
      <c r="Q693">
        <f>'Bookings and Drivers'!Y124</f>
        <v>0</v>
      </c>
      <c r="R693">
        <f>'Bookings and Drivers'!Z124</f>
        <v>0</v>
      </c>
      <c r="S693">
        <f>'Bookings and Drivers'!AA124</f>
        <v>0</v>
      </c>
      <c r="T693">
        <f>'Bookings and Drivers'!AB124</f>
        <v>0</v>
      </c>
      <c r="U693">
        <f>'Bookings and Drivers'!AC124</f>
        <v>0</v>
      </c>
      <c r="V693">
        <f>'Bookings and Drivers'!AD124</f>
        <v>0</v>
      </c>
      <c r="W693">
        <f>'Bookings and Drivers'!AE124</f>
        <v>0</v>
      </c>
      <c r="X693">
        <f>'Bookings and Drivers'!AF124</f>
        <v>0</v>
      </c>
      <c r="Y693">
        <f>'Bookings and Drivers'!AG124</f>
        <v>0.43000000000000005</v>
      </c>
      <c r="Z693">
        <f>'Bookings and Drivers'!AH124</f>
        <v>0.40500000000000003</v>
      </c>
      <c r="AA693">
        <f>'Bookings and Drivers'!AI124</f>
        <v>0.39</v>
      </c>
      <c r="AB693">
        <f>'Bookings and Drivers'!AJ124</f>
        <v>0.39</v>
      </c>
      <c r="AC693">
        <f>'Bookings and Drivers'!AK124</f>
        <v>0.32678202654856187</v>
      </c>
      <c r="AD693">
        <f>'Bookings and Drivers'!AL124</f>
        <v>0.31493202163159723</v>
      </c>
      <c r="AE693">
        <f>'Bookings and Drivers'!AM124</f>
        <v>0.28718117720912628</v>
      </c>
      <c r="AF693">
        <f>'Bookings and Drivers'!AN124</f>
        <v>0.29709452591128688</v>
      </c>
      <c r="AG693">
        <f>'Bookings and Drivers'!AO124</f>
        <v>0.26875602298083551</v>
      </c>
      <c r="AH693">
        <f>'Bookings and Drivers'!AP124</f>
        <v>0.28264862608069957</v>
      </c>
      <c r="AI693">
        <f>'Bookings and Drivers'!AQ124</f>
        <v>0.26419891086452163</v>
      </c>
      <c r="AJ693">
        <f>'Bookings and Drivers'!AR124</f>
        <v>0.31920177342332262</v>
      </c>
      <c r="AK693">
        <f>'Bookings and Drivers'!AS124</f>
        <v>0.27880097593069797</v>
      </c>
      <c r="AL693">
        <f>'Bookings and Drivers'!AT124</f>
        <v>0.29556662917513871</v>
      </c>
      <c r="AM693">
        <f>'Bookings and Drivers'!AU124</f>
        <v>0.26786906314358855</v>
      </c>
      <c r="AN693">
        <f>'Bookings and Drivers'!AV124</f>
        <v>0.26345310866661753</v>
      </c>
      <c r="AO693">
        <f>'Bookings and Drivers'!AW124</f>
        <v>0.21421692322043448</v>
      </c>
      <c r="AP693">
        <f>'Bookings and Drivers'!AX124</f>
        <v>0.23184913459929013</v>
      </c>
      <c r="AQ693">
        <f>'Bookings and Drivers'!AY124</f>
        <v>0.19591194648908422</v>
      </c>
      <c r="AR693">
        <f>'Bookings and Drivers'!AZ124</f>
        <v>0.19795635183756943</v>
      </c>
      <c r="AS693">
        <f>'Bookings and Drivers'!BA124</f>
        <v>0.14565879664889567</v>
      </c>
      <c r="AT693">
        <f>'Bookings and Drivers'!BB124</f>
        <v>0.14146304348438693</v>
      </c>
      <c r="AU693">
        <f>'Bookings and Drivers'!BC124</f>
        <v>0.13803105698782225</v>
      </c>
      <c r="AV693">
        <f>'Bookings and Drivers'!BD124</f>
        <v>0.13959390862944163</v>
      </c>
      <c r="AW693">
        <f>'Bookings and Drivers'!BE124</f>
        <v>0.1</v>
      </c>
      <c r="AX693">
        <f>'Bookings and Drivers'!BF124</f>
        <v>0.1</v>
      </c>
      <c r="AY693">
        <f>'Bookings and Drivers'!BG124</f>
        <v>0.1</v>
      </c>
      <c r="AZ693">
        <f>'Bookings and Drivers'!BH124</f>
        <v>0.1</v>
      </c>
      <c r="BA693">
        <f>'Bookings and Drivers'!BI124</f>
        <v>7.3352848101265813E-2</v>
      </c>
      <c r="BB693">
        <f>'Bookings and Drivers'!BJ124</f>
        <v>7.5951008645533141E-2</v>
      </c>
      <c r="BC693">
        <f>'Bookings and Drivers'!BK124</f>
        <v>7.9700534759358288E-2</v>
      </c>
      <c r="BD693">
        <f>'Bookings and Drivers'!BL124</f>
        <v>8.7860538827258319E-2</v>
      </c>
      <c r="BE693">
        <f>'Bookings and Drivers'!BM124</f>
        <v>5.8921510791366906E-2</v>
      </c>
      <c r="BF693">
        <f>'Bookings and Drivers'!BN124</f>
        <v>6.2357812500000005E-2</v>
      </c>
      <c r="BG693">
        <f>'Bookings and Drivers'!BO124</f>
        <v>6.6659240506329112E-2</v>
      </c>
      <c r="BH693">
        <f>'Bookings and Drivers'!BP124</f>
        <v>7.4439897698209717E-2</v>
      </c>
      <c r="BI693">
        <f>'Bookings and Drivers'!BQ124</f>
        <v>4.9328457934990438E-2</v>
      </c>
      <c r="BJ693">
        <f>'Bookings and Drivers'!BR124</f>
        <v>5.1871114058355441E-2</v>
      </c>
      <c r="BK693">
        <f>'Bookings and Drivers'!BS124</f>
        <v>5.7398449826989627E-2</v>
      </c>
      <c r="BL693">
        <f>'Bookings and Drivers'!BT124</f>
        <v>6.1677699293642786E-2</v>
      </c>
      <c r="BM693">
        <f>'Bookings and Drivers'!BU124</f>
        <v>3.9690436153846154E-2</v>
      </c>
      <c r="BN693">
        <f>'Bookings and Drivers'!BV124</f>
        <v>4.3780768656716422E-2</v>
      </c>
      <c r="BO693">
        <f>'Bookings and Drivers'!BW124</f>
        <v>4.6571014973262041E-2</v>
      </c>
      <c r="BP693">
        <f>'Bookings and Drivers'!BX124</f>
        <v>4.9482444101773326E-2</v>
      </c>
      <c r="BQ693">
        <f>'Bookings and Drivers'!BY124</f>
        <v>3.2712086036515237E-2</v>
      </c>
      <c r="BR693">
        <f>'Bookings and Drivers'!BZ124</f>
        <v>3.8002067317861349E-2</v>
      </c>
      <c r="BS693">
        <f>'Bookings and Drivers'!CA124</f>
        <v>4.1213380461971844E-2</v>
      </c>
      <c r="BT693">
        <f>'Bookings and Drivers'!CB124</f>
        <v>4.4480307920792085E-2</v>
      </c>
      <c r="BU693">
        <f>'Bookings and Drivers'!CC124</f>
        <v>2.9826960223107126E-2</v>
      </c>
      <c r="BV693">
        <f>'Bookings and Drivers'!CD124</f>
        <v>3.3681821616047221E-2</v>
      </c>
      <c r="BW693">
        <f>'Bookings and Drivers'!CE124</f>
        <v>3.684019461821407E-2</v>
      </c>
      <c r="BX693">
        <f>'Bookings and Drivers'!CF124</f>
        <v>3.9295199489482298E-2</v>
      </c>
      <c r="BY693">
        <f>'Bookings and Drivers'!CG124</f>
        <v>0</v>
      </c>
      <c r="BZ693">
        <f>'Bookings and Drivers'!CH124</f>
        <v>0</v>
      </c>
      <c r="CA693">
        <f>'Bookings and Drivers'!CI124</f>
        <v>0</v>
      </c>
      <c r="CB693">
        <f>'Bookings and Drivers'!CJ124</f>
        <v>0</v>
      </c>
      <c r="CC693">
        <f>'Bookings and Drivers'!CK124</f>
        <v>0</v>
      </c>
      <c r="CD693">
        <f>'Bookings and Drivers'!CL124</f>
        <v>0</v>
      </c>
      <c r="CE693">
        <f>'Bookings and Drivers'!CM124</f>
        <v>0.41745932777886124</v>
      </c>
      <c r="CF693">
        <f>'Bookings and Drivers'!CN124</f>
        <v>0.30526741359669041</v>
      </c>
      <c r="CG693">
        <f>'Bookings and Drivers'!CO124</f>
        <v>0.28246209265603583</v>
      </c>
      <c r="CH693">
        <f>'Bookings and Drivers'!CP124</f>
        <v>0.276228743554427</v>
      </c>
      <c r="CI693">
        <f>'Bookings and Drivers'!CQ124</f>
        <v>0.2093426254206705</v>
      </c>
      <c r="CJ693">
        <f>'Bookings and Drivers'!CR124</f>
        <v>0.14095962239495927</v>
      </c>
      <c r="CK693">
        <f>'Bookings and Drivers'!CS124</f>
        <v>0.1</v>
      </c>
      <c r="CL693">
        <f>'Bookings and Drivers'!CT124</f>
        <v>7.915896487985212E-2</v>
      </c>
      <c r="CM693">
        <f>'Bookings and Drivers'!CU124</f>
        <v>6.5438757225433533E-2</v>
      </c>
      <c r="CN693">
        <f>'Bookings and Drivers'!CV124</f>
        <v>5.4981268501387612E-2</v>
      </c>
      <c r="CO693">
        <f>'Bookings and Drivers'!CW124</f>
        <v>4.4856416037735852E-2</v>
      </c>
      <c r="CP693">
        <f>'Bookings and Drivers'!CX124</f>
        <v>3.894031392252266E-2</v>
      </c>
      <c r="CQ693">
        <f>'Bookings and Drivers'!CY124</f>
        <v>3.4817028518231735E-2</v>
      </c>
      <c r="CR693">
        <f>'Bookings and Drivers'!CZ124</f>
        <v>3.1384173246332477E-2</v>
      </c>
      <c r="CS693">
        <f>'Bookings and Drivers'!DA124</f>
        <v>2.8833765752522979E-2</v>
      </c>
      <c r="CT693">
        <f>'Bookings and Drivers'!DB124</f>
        <v>2.6935548087160047E-2</v>
      </c>
      <c r="CU693">
        <f>'Bookings and Drivers'!DC124</f>
        <v>2.5467450864478536E-2</v>
      </c>
      <c r="CV693">
        <f>'Bookings and Drivers'!DD124</f>
        <v>2.4296099634617135E-2</v>
      </c>
      <c r="CW693">
        <f>'Bookings and Drivers'!DE124</f>
        <v>2.3368604632132507E-2</v>
      </c>
      <c r="CX693">
        <f>'Bookings and Drivers'!DF124</f>
        <v>2.2475700814422434E-2</v>
      </c>
    </row>
    <row r="694" spans="1:102">
      <c r="A694" t="str">
        <f>'Bookings and Drivers'!I125</f>
        <v>International Room Nights Sold</v>
      </c>
      <c r="B694">
        <f>'Bookings and Drivers'!J125</f>
        <v>0</v>
      </c>
      <c r="C694">
        <f>'Bookings and Drivers'!K125</f>
        <v>0</v>
      </c>
      <c r="D694">
        <f>'Bookings and Drivers'!L125</f>
        <v>0</v>
      </c>
      <c r="E694">
        <f>'Bookings and Drivers'!M125</f>
        <v>0</v>
      </c>
      <c r="F694">
        <f>'Bookings and Drivers'!N125</f>
        <v>0</v>
      </c>
      <c r="G694">
        <f>'Bookings and Drivers'!O125</f>
        <v>0</v>
      </c>
      <c r="H694">
        <f>'Bookings and Drivers'!P125</f>
        <v>0</v>
      </c>
      <c r="I694">
        <f>'Bookings and Drivers'!Q125</f>
        <v>0</v>
      </c>
      <c r="J694">
        <f>'Bookings and Drivers'!R125</f>
        <v>0</v>
      </c>
      <c r="K694">
        <f>'Bookings and Drivers'!S125</f>
        <v>0</v>
      </c>
      <c r="L694">
        <f>'Bookings and Drivers'!T125</f>
        <v>0</v>
      </c>
      <c r="M694">
        <f>'Bookings and Drivers'!U125</f>
        <v>0</v>
      </c>
      <c r="N694">
        <f>'Bookings and Drivers'!V125</f>
        <v>0</v>
      </c>
      <c r="O694">
        <f>'Bookings and Drivers'!W125</f>
        <v>0</v>
      </c>
      <c r="P694">
        <f>'Bookings and Drivers'!X125</f>
        <v>0</v>
      </c>
      <c r="Q694">
        <f>'Bookings and Drivers'!Y125</f>
        <v>0</v>
      </c>
      <c r="R694">
        <f>'Bookings and Drivers'!Z125</f>
        <v>0</v>
      </c>
      <c r="S694">
        <f>'Bookings and Drivers'!AA125</f>
        <v>0</v>
      </c>
      <c r="T694">
        <f>'Bookings and Drivers'!AB125</f>
        <v>0</v>
      </c>
      <c r="U694">
        <f>'Bookings and Drivers'!AC125</f>
        <v>0</v>
      </c>
      <c r="V694">
        <f>'Bookings and Drivers'!AD125</f>
        <v>0</v>
      </c>
      <c r="W694">
        <f>'Bookings and Drivers'!AE125</f>
        <v>0</v>
      </c>
      <c r="X694">
        <f>'Bookings and Drivers'!AF125</f>
        <v>0</v>
      </c>
      <c r="Y694">
        <f>'Bookings and Drivers'!AG125</f>
        <v>0.56999999999999995</v>
      </c>
      <c r="Z694">
        <f>'Bookings and Drivers'!AH125</f>
        <v>0.59499999999999997</v>
      </c>
      <c r="AA694">
        <f>'Bookings and Drivers'!AI125</f>
        <v>0.61</v>
      </c>
      <c r="AB694">
        <f>'Bookings and Drivers'!AJ125</f>
        <v>0.61</v>
      </c>
      <c r="AC694">
        <f>'Bookings and Drivers'!AK125</f>
        <v>0.67321797345143819</v>
      </c>
      <c r="AD694">
        <f>'Bookings and Drivers'!AL125</f>
        <v>0.68506797836840272</v>
      </c>
      <c r="AE694">
        <f>'Bookings and Drivers'!AM125</f>
        <v>0.71281882279087372</v>
      </c>
      <c r="AF694">
        <f>'Bookings and Drivers'!AN125</f>
        <v>0.70290547408871318</v>
      </c>
      <c r="AG694">
        <f>'Bookings and Drivers'!AO125</f>
        <v>0.73124397701916455</v>
      </c>
      <c r="AH694">
        <f>'Bookings and Drivers'!AP125</f>
        <v>0.71735137391930048</v>
      </c>
      <c r="AI694">
        <f>'Bookings and Drivers'!AQ125</f>
        <v>0.73580108913547837</v>
      </c>
      <c r="AJ694">
        <f>'Bookings and Drivers'!AR125</f>
        <v>0.68079822657667743</v>
      </c>
      <c r="AK694">
        <f>'Bookings and Drivers'!AS125</f>
        <v>0.72119902406930203</v>
      </c>
      <c r="AL694">
        <f>'Bookings and Drivers'!AT125</f>
        <v>0.70443337082486124</v>
      </c>
      <c r="AM694">
        <f>'Bookings and Drivers'!AU125</f>
        <v>0.73213093685641151</v>
      </c>
      <c r="AN694">
        <f>'Bookings and Drivers'!AV125</f>
        <v>0.73654689133338247</v>
      </c>
      <c r="AO694">
        <f>'Bookings and Drivers'!AW125</f>
        <v>0.78578307677956549</v>
      </c>
      <c r="AP694">
        <f>'Bookings and Drivers'!AX125</f>
        <v>0.76815086540070987</v>
      </c>
      <c r="AQ694">
        <f>'Bookings and Drivers'!AY125</f>
        <v>0.80408805351091583</v>
      </c>
      <c r="AR694">
        <f>'Bookings and Drivers'!AZ125</f>
        <v>0.80204364816243057</v>
      </c>
      <c r="AS694">
        <f>'Bookings and Drivers'!BA125</f>
        <v>0.85434120335110431</v>
      </c>
      <c r="AT694">
        <f>'Bookings and Drivers'!BB125</f>
        <v>0.85853695651561301</v>
      </c>
      <c r="AU694">
        <f>'Bookings and Drivers'!BC125</f>
        <v>0.86196894301217764</v>
      </c>
      <c r="AV694">
        <f>'Bookings and Drivers'!BD125</f>
        <v>0.86040609137055835</v>
      </c>
      <c r="AW694">
        <f>'Bookings and Drivers'!BE125</f>
        <v>0.9</v>
      </c>
      <c r="AX694">
        <f>'Bookings and Drivers'!BF125</f>
        <v>0.9</v>
      </c>
      <c r="AY694">
        <f>'Bookings and Drivers'!BG125</f>
        <v>0.9</v>
      </c>
      <c r="AZ694">
        <f>'Bookings and Drivers'!BH125</f>
        <v>0.9</v>
      </c>
      <c r="BA694">
        <f>'Bookings and Drivers'!BI125</f>
        <v>0.92664715189873414</v>
      </c>
      <c r="BB694">
        <f>'Bookings and Drivers'!BJ125</f>
        <v>0.92404899135446683</v>
      </c>
      <c r="BC694">
        <f>'Bookings and Drivers'!BK125</f>
        <v>0.92029946524064166</v>
      </c>
      <c r="BD694">
        <f>'Bookings and Drivers'!BL125</f>
        <v>0.91213946117274169</v>
      </c>
      <c r="BE694">
        <f>'Bookings and Drivers'!BM125</f>
        <v>0.94107848920863302</v>
      </c>
      <c r="BF694">
        <f>'Bookings and Drivers'!BN125</f>
        <v>0.93764218750000006</v>
      </c>
      <c r="BG694">
        <f>'Bookings and Drivers'!BO125</f>
        <v>0.9333407594936709</v>
      </c>
      <c r="BH694">
        <f>'Bookings and Drivers'!BP125</f>
        <v>0.92556010230179031</v>
      </c>
      <c r="BI694">
        <f>'Bookings and Drivers'!BQ125</f>
        <v>0.95067154206500959</v>
      </c>
      <c r="BJ694">
        <f>'Bookings and Drivers'!BR125</f>
        <v>0.94812888594164446</v>
      </c>
      <c r="BK694">
        <f>'Bookings and Drivers'!BS125</f>
        <v>0.94260155017301039</v>
      </c>
      <c r="BL694">
        <f>'Bookings and Drivers'!BT125</f>
        <v>0.93832230070635725</v>
      </c>
      <c r="BM694">
        <f>'Bookings and Drivers'!BU125</f>
        <v>0.96030956384615385</v>
      </c>
      <c r="BN694">
        <f>'Bookings and Drivers'!BV125</f>
        <v>0.95621923134328357</v>
      </c>
      <c r="BO694">
        <f>'Bookings and Drivers'!BW125</f>
        <v>0.9534289850267379</v>
      </c>
      <c r="BP694">
        <f>'Bookings and Drivers'!BX125</f>
        <v>0.95051755589822662</v>
      </c>
      <c r="BQ694">
        <f>'Bookings and Drivers'!BY125</f>
        <v>0.96728791396348479</v>
      </c>
      <c r="BR694">
        <f>'Bookings and Drivers'!BZ125</f>
        <v>0.96199793268213862</v>
      </c>
      <c r="BS694">
        <f>'Bookings and Drivers'!CA125</f>
        <v>0.95878661953802813</v>
      </c>
      <c r="BT694">
        <f>'Bookings and Drivers'!CB125</f>
        <v>0.95551969207920784</v>
      </c>
      <c r="BU694">
        <f>'Bookings and Drivers'!CC125</f>
        <v>0.97017303977689284</v>
      </c>
      <c r="BV694">
        <f>'Bookings and Drivers'!CD125</f>
        <v>0.96631817838395273</v>
      </c>
      <c r="BW694">
        <f>'Bookings and Drivers'!CE125</f>
        <v>0.96315980538178592</v>
      </c>
      <c r="BX694">
        <f>'Bookings and Drivers'!CF125</f>
        <v>0.96070480051051765</v>
      </c>
      <c r="BY694">
        <f>'Bookings and Drivers'!CG125</f>
        <v>0</v>
      </c>
      <c r="BZ694">
        <f>'Bookings and Drivers'!CH125</f>
        <v>0</v>
      </c>
      <c r="CA694">
        <f>'Bookings and Drivers'!CI125</f>
        <v>0</v>
      </c>
      <c r="CB694">
        <f>'Bookings and Drivers'!CJ125</f>
        <v>0</v>
      </c>
      <c r="CC694">
        <f>'Bookings and Drivers'!CK125</f>
        <v>0</v>
      </c>
      <c r="CD694">
        <f>'Bookings and Drivers'!CL125</f>
        <v>0</v>
      </c>
      <c r="CE694">
        <f>'Bookings and Drivers'!CM125</f>
        <v>0.5825406722211387</v>
      </c>
      <c r="CF694">
        <f>'Bookings and Drivers'!CN125</f>
        <v>0.69473258640330959</v>
      </c>
      <c r="CG694">
        <f>'Bookings and Drivers'!CO125</f>
        <v>0.71753790734396417</v>
      </c>
      <c r="CH694">
        <f>'Bookings and Drivers'!CP125</f>
        <v>0.72377125644557305</v>
      </c>
      <c r="CI694">
        <f>'Bookings and Drivers'!CQ125</f>
        <v>0.79065737457932961</v>
      </c>
      <c r="CJ694">
        <f>'Bookings and Drivers'!CR125</f>
        <v>0.85904037760504082</v>
      </c>
      <c r="CK694">
        <f>'Bookings and Drivers'!CS125</f>
        <v>0.9</v>
      </c>
      <c r="CL694">
        <f>'Bookings and Drivers'!CT125</f>
        <v>0.92084103512014792</v>
      </c>
      <c r="CM694">
        <f>'Bookings and Drivers'!CU125</f>
        <v>0.93456124277456643</v>
      </c>
      <c r="CN694">
        <f>'Bookings and Drivers'!CV125</f>
        <v>0.94501873149861237</v>
      </c>
      <c r="CO694">
        <f>'Bookings and Drivers'!CW125</f>
        <v>0.95514358396226418</v>
      </c>
      <c r="CP694">
        <f>'Bookings and Drivers'!CX125</f>
        <v>0.96105968607747738</v>
      </c>
      <c r="CQ694">
        <f>'Bookings and Drivers'!CY125</f>
        <v>0.96518297148176824</v>
      </c>
      <c r="CR694">
        <f>'Bookings and Drivers'!CZ125</f>
        <v>0.96861582675366753</v>
      </c>
      <c r="CS694">
        <f>'Bookings and Drivers'!DA125</f>
        <v>0.97116623424747706</v>
      </c>
      <c r="CT694">
        <f>'Bookings and Drivers'!DB125</f>
        <v>0.97306445191283997</v>
      </c>
      <c r="CU694">
        <f>'Bookings and Drivers'!DC125</f>
        <v>0.97453254913552145</v>
      </c>
      <c r="CV694">
        <f>'Bookings and Drivers'!DD125</f>
        <v>0.9757039003653829</v>
      </c>
      <c r="CW694">
        <f>'Bookings and Drivers'!DE125</f>
        <v>0.97663139536786747</v>
      </c>
      <c r="CX694">
        <f>'Bookings and Drivers'!DF125</f>
        <v>0.97752429918557759</v>
      </c>
    </row>
    <row r="695" spans="1:102">
      <c r="A695" t="str">
        <f>'Bookings and Drivers'!I126</f>
        <v>Total Room Nights Sold</v>
      </c>
      <c r="B695">
        <f>'Bookings and Drivers'!J126</f>
        <v>0</v>
      </c>
      <c r="C695">
        <f>'Bookings and Drivers'!K126</f>
        <v>0</v>
      </c>
      <c r="D695">
        <f>'Bookings and Drivers'!L126</f>
        <v>0</v>
      </c>
      <c r="E695">
        <f>'Bookings and Drivers'!M126</f>
        <v>0</v>
      </c>
      <c r="F695">
        <f>'Bookings and Drivers'!N126</f>
        <v>0</v>
      </c>
      <c r="G695">
        <f>'Bookings and Drivers'!O126</f>
        <v>0</v>
      </c>
      <c r="H695">
        <f>'Bookings and Drivers'!P126</f>
        <v>0</v>
      </c>
      <c r="I695">
        <f>'Bookings and Drivers'!Q126</f>
        <v>0</v>
      </c>
      <c r="J695">
        <f>'Bookings and Drivers'!R126</f>
        <v>0</v>
      </c>
      <c r="K695">
        <f>'Bookings and Drivers'!S126</f>
        <v>0</v>
      </c>
      <c r="L695">
        <f>'Bookings and Drivers'!T126</f>
        <v>0</v>
      </c>
      <c r="M695">
        <f>'Bookings and Drivers'!U126</f>
        <v>0</v>
      </c>
      <c r="N695">
        <f>'Bookings and Drivers'!V126</f>
        <v>0</v>
      </c>
      <c r="O695">
        <f>'Bookings and Drivers'!W126</f>
        <v>0</v>
      </c>
      <c r="P695">
        <f>'Bookings and Drivers'!X126</f>
        <v>0</v>
      </c>
      <c r="Q695">
        <f>'Bookings and Drivers'!Y126</f>
        <v>0</v>
      </c>
      <c r="R695">
        <f>'Bookings and Drivers'!Z126</f>
        <v>0</v>
      </c>
      <c r="S695">
        <f>'Bookings and Drivers'!AA126</f>
        <v>0</v>
      </c>
      <c r="T695">
        <f>'Bookings and Drivers'!AB126</f>
        <v>0</v>
      </c>
      <c r="U695">
        <f>'Bookings and Drivers'!AC126</f>
        <v>0</v>
      </c>
      <c r="V695">
        <f>'Bookings and Drivers'!AD126</f>
        <v>0</v>
      </c>
      <c r="W695">
        <f>'Bookings and Drivers'!AE126</f>
        <v>0</v>
      </c>
      <c r="X695">
        <f>'Bookings and Drivers'!AF126</f>
        <v>0</v>
      </c>
      <c r="Y695">
        <f>'Bookings and Drivers'!AG126</f>
        <v>1</v>
      </c>
      <c r="Z695">
        <f>'Bookings and Drivers'!AH126</f>
        <v>1</v>
      </c>
      <c r="AA695">
        <f>'Bookings and Drivers'!AI126</f>
        <v>1</v>
      </c>
      <c r="AB695">
        <f>'Bookings and Drivers'!AJ126</f>
        <v>1</v>
      </c>
      <c r="AC695">
        <f>'Bookings and Drivers'!AK126</f>
        <v>1</v>
      </c>
      <c r="AD695">
        <f>'Bookings and Drivers'!AL126</f>
        <v>1</v>
      </c>
      <c r="AE695">
        <f>'Bookings and Drivers'!AM126</f>
        <v>1</v>
      </c>
      <c r="AF695">
        <f>'Bookings and Drivers'!AN126</f>
        <v>1</v>
      </c>
      <c r="AG695">
        <f>'Bookings and Drivers'!AO126</f>
        <v>1</v>
      </c>
      <c r="AH695">
        <f>'Bookings and Drivers'!AP126</f>
        <v>1</v>
      </c>
      <c r="AI695">
        <f>'Bookings and Drivers'!AQ126</f>
        <v>1</v>
      </c>
      <c r="AJ695">
        <f>'Bookings and Drivers'!AR126</f>
        <v>1</v>
      </c>
      <c r="AK695">
        <f>'Bookings and Drivers'!AS126</f>
        <v>1</v>
      </c>
      <c r="AL695">
        <f>'Bookings and Drivers'!AT126</f>
        <v>1</v>
      </c>
      <c r="AM695">
        <f>'Bookings and Drivers'!AU126</f>
        <v>1</v>
      </c>
      <c r="AN695">
        <f>'Bookings and Drivers'!AV126</f>
        <v>1</v>
      </c>
      <c r="AO695">
        <f>'Bookings and Drivers'!AW126</f>
        <v>1</v>
      </c>
      <c r="AP695">
        <f>'Bookings and Drivers'!AX126</f>
        <v>1</v>
      </c>
      <c r="AQ695">
        <f>'Bookings and Drivers'!AY126</f>
        <v>1</v>
      </c>
      <c r="AR695">
        <f>'Bookings and Drivers'!AZ126</f>
        <v>1</v>
      </c>
      <c r="AS695">
        <f>'Bookings and Drivers'!BA126</f>
        <v>1</v>
      </c>
      <c r="AT695">
        <f>'Bookings and Drivers'!BB126</f>
        <v>1</v>
      </c>
      <c r="AU695">
        <f>'Bookings and Drivers'!BC126</f>
        <v>0.99999999999999989</v>
      </c>
      <c r="AV695">
        <f>'Bookings and Drivers'!BD126</f>
        <v>1</v>
      </c>
      <c r="AW695">
        <f>'Bookings and Drivers'!BE126</f>
        <v>1</v>
      </c>
      <c r="AX695">
        <f>'Bookings and Drivers'!BF126</f>
        <v>1</v>
      </c>
      <c r="AY695">
        <f>'Bookings and Drivers'!BG126</f>
        <v>1</v>
      </c>
      <c r="AZ695">
        <f>'Bookings and Drivers'!BH126</f>
        <v>1</v>
      </c>
      <c r="BA695">
        <f>'Bookings and Drivers'!BI126</f>
        <v>1</v>
      </c>
      <c r="BB695">
        <f>'Bookings and Drivers'!BJ126</f>
        <v>1</v>
      </c>
      <c r="BC695">
        <f>'Bookings and Drivers'!BK126</f>
        <v>1</v>
      </c>
      <c r="BD695">
        <f>'Bookings and Drivers'!BL126</f>
        <v>1</v>
      </c>
      <c r="BE695">
        <f>'Bookings and Drivers'!BM126</f>
        <v>0.99999999999999989</v>
      </c>
      <c r="BF695">
        <f>'Bookings and Drivers'!BN126</f>
        <v>1</v>
      </c>
      <c r="BG695">
        <f>'Bookings and Drivers'!BO126</f>
        <v>1</v>
      </c>
      <c r="BH695">
        <f>'Bookings and Drivers'!BP126</f>
        <v>1</v>
      </c>
      <c r="BI695">
        <f>'Bookings and Drivers'!BQ126</f>
        <v>1</v>
      </c>
      <c r="BJ695">
        <f>'Bookings and Drivers'!BR126</f>
        <v>0.99999999999999989</v>
      </c>
      <c r="BK695">
        <f>'Bookings and Drivers'!BS126</f>
        <v>1</v>
      </c>
      <c r="BL695">
        <f>'Bookings and Drivers'!BT126</f>
        <v>1</v>
      </c>
      <c r="BM695">
        <f>'Bookings and Drivers'!BU126</f>
        <v>1</v>
      </c>
      <c r="BN695">
        <f>'Bookings and Drivers'!BV126</f>
        <v>1</v>
      </c>
      <c r="BO695">
        <f>'Bookings and Drivers'!BW126</f>
        <v>0.99999999999999989</v>
      </c>
      <c r="BP695">
        <f>'Bookings and Drivers'!BX126</f>
        <v>1</v>
      </c>
      <c r="BQ695">
        <f>'Bookings and Drivers'!BY126</f>
        <v>1</v>
      </c>
      <c r="BR695">
        <f>'Bookings and Drivers'!BZ126</f>
        <v>1</v>
      </c>
      <c r="BS695">
        <f>'Bookings and Drivers'!CA126</f>
        <v>1</v>
      </c>
      <c r="BT695">
        <f>'Bookings and Drivers'!CB126</f>
        <v>0.99999999999999989</v>
      </c>
      <c r="BU695">
        <f>'Bookings and Drivers'!CC126</f>
        <v>1</v>
      </c>
      <c r="BV695">
        <f>'Bookings and Drivers'!CD126</f>
        <v>1</v>
      </c>
      <c r="BW695">
        <f>'Bookings and Drivers'!CE126</f>
        <v>1</v>
      </c>
      <c r="BX695">
        <f>'Bookings and Drivers'!CF126</f>
        <v>1</v>
      </c>
      <c r="BY695">
        <f>'Bookings and Drivers'!CG126</f>
        <v>0</v>
      </c>
      <c r="BZ695">
        <f>'Bookings and Drivers'!CH126</f>
        <v>0</v>
      </c>
      <c r="CA695">
        <f>'Bookings and Drivers'!CI126</f>
        <v>0</v>
      </c>
      <c r="CB695">
        <f>'Bookings and Drivers'!CJ126</f>
        <v>0</v>
      </c>
      <c r="CC695">
        <f>'Bookings and Drivers'!CK126</f>
        <v>0</v>
      </c>
      <c r="CD695">
        <f>'Bookings and Drivers'!CL126</f>
        <v>0</v>
      </c>
      <c r="CE695">
        <f>'Bookings and Drivers'!CM126</f>
        <v>1</v>
      </c>
      <c r="CF695">
        <f>'Bookings and Drivers'!CN126</f>
        <v>1</v>
      </c>
      <c r="CG695">
        <f>'Bookings and Drivers'!CO126</f>
        <v>1</v>
      </c>
      <c r="CH695">
        <f>'Bookings and Drivers'!CP126</f>
        <v>1</v>
      </c>
      <c r="CI695">
        <f>'Bookings and Drivers'!CQ126</f>
        <v>1</v>
      </c>
      <c r="CJ695">
        <f>'Bookings and Drivers'!CR126</f>
        <v>1</v>
      </c>
      <c r="CK695">
        <f>'Bookings and Drivers'!CS126</f>
        <v>1</v>
      </c>
      <c r="CL695">
        <f>'Bookings and Drivers'!CT126</f>
        <v>1</v>
      </c>
      <c r="CM695">
        <f>'Bookings and Drivers'!CU126</f>
        <v>1</v>
      </c>
      <c r="CN695">
        <f>'Bookings and Drivers'!CV126</f>
        <v>1</v>
      </c>
      <c r="CO695">
        <f>'Bookings and Drivers'!CW126</f>
        <v>1</v>
      </c>
      <c r="CP695">
        <f>'Bookings and Drivers'!CX126</f>
        <v>1</v>
      </c>
      <c r="CQ695">
        <f>'Bookings and Drivers'!CY126</f>
        <v>1</v>
      </c>
      <c r="CR695">
        <f>'Bookings and Drivers'!CZ126</f>
        <v>1</v>
      </c>
      <c r="CS695">
        <f>'Bookings and Drivers'!DA126</f>
        <v>1</v>
      </c>
      <c r="CT695">
        <f>'Bookings and Drivers'!DB126</f>
        <v>1</v>
      </c>
      <c r="CU695">
        <f>'Bookings and Drivers'!DC126</f>
        <v>1</v>
      </c>
      <c r="CV695">
        <f>'Bookings and Drivers'!DD126</f>
        <v>1</v>
      </c>
      <c r="CW695">
        <f>'Bookings and Drivers'!DE126</f>
        <v>1</v>
      </c>
      <c r="CX695">
        <f>'Bookings and Drivers'!DF126</f>
        <v>1</v>
      </c>
    </row>
    <row r="697" spans="1:102">
      <c r="A697">
        <f>'Bookings and Drivers'!I137</f>
        <v>0</v>
      </c>
      <c r="B697">
        <f>'Bookings and Drivers'!J137</f>
        <v>0</v>
      </c>
      <c r="C697">
        <f>'Bookings and Drivers'!K137</f>
        <v>0</v>
      </c>
      <c r="D697">
        <f>'Bookings and Drivers'!L137</f>
        <v>0</v>
      </c>
      <c r="E697">
        <f>'Bookings and Drivers'!M137</f>
        <v>0</v>
      </c>
      <c r="F697">
        <f>'Bookings and Drivers'!N137</f>
        <v>0</v>
      </c>
      <c r="G697">
        <f>'Bookings and Drivers'!O137</f>
        <v>0</v>
      </c>
      <c r="H697">
        <f>'Bookings and Drivers'!P137</f>
        <v>0</v>
      </c>
      <c r="I697">
        <f>'Bookings and Drivers'!Q137</f>
        <v>0</v>
      </c>
      <c r="J697">
        <f>'Bookings and Drivers'!R137</f>
        <v>0</v>
      </c>
      <c r="K697">
        <f>'Bookings and Drivers'!S137</f>
        <v>0</v>
      </c>
      <c r="L697">
        <f>'Bookings and Drivers'!T137</f>
        <v>0</v>
      </c>
      <c r="M697">
        <f>'Bookings and Drivers'!U137</f>
        <v>0</v>
      </c>
      <c r="N697">
        <f>'Bookings and Drivers'!V137</f>
        <v>0</v>
      </c>
      <c r="O697">
        <f>'Bookings and Drivers'!W137</f>
        <v>0</v>
      </c>
      <c r="P697">
        <f>'Bookings and Drivers'!X137</f>
        <v>0</v>
      </c>
      <c r="Q697">
        <f>'Bookings and Drivers'!Y137</f>
        <v>0</v>
      </c>
      <c r="R697">
        <f>'Bookings and Drivers'!Z137</f>
        <v>0</v>
      </c>
      <c r="S697">
        <f>'Bookings and Drivers'!AA137</f>
        <v>0</v>
      </c>
      <c r="T697">
        <f>'Bookings and Drivers'!AB137</f>
        <v>0</v>
      </c>
      <c r="U697">
        <f>'Bookings and Drivers'!AC137</f>
        <v>0</v>
      </c>
      <c r="V697">
        <f>'Bookings and Drivers'!AD137</f>
        <v>0</v>
      </c>
      <c r="W697">
        <f>'Bookings and Drivers'!AE137</f>
        <v>0</v>
      </c>
      <c r="X697">
        <f>'Bookings and Drivers'!AF137</f>
        <v>0</v>
      </c>
      <c r="Y697">
        <f>'Bookings and Drivers'!AG137</f>
        <v>0</v>
      </c>
      <c r="Z697">
        <f>'Bookings and Drivers'!AH137</f>
        <v>0</v>
      </c>
      <c r="AA697">
        <f>'Bookings and Drivers'!AI137</f>
        <v>0</v>
      </c>
      <c r="AB697">
        <f>'Bookings and Drivers'!AJ137</f>
        <v>0</v>
      </c>
      <c r="AC697">
        <f>'Bookings and Drivers'!AK137</f>
        <v>0</v>
      </c>
      <c r="AD697">
        <f>'Bookings and Drivers'!AL137</f>
        <v>0</v>
      </c>
      <c r="AE697">
        <f>'Bookings and Drivers'!AM137</f>
        <v>0</v>
      </c>
      <c r="AF697">
        <f>'Bookings and Drivers'!AN137</f>
        <v>0</v>
      </c>
      <c r="AG697">
        <f>'Bookings and Drivers'!AO137</f>
        <v>0</v>
      </c>
      <c r="AH697">
        <f>'Bookings and Drivers'!AP137</f>
        <v>0</v>
      </c>
      <c r="AI697">
        <f>'Bookings and Drivers'!AQ137</f>
        <v>0</v>
      </c>
      <c r="AJ697">
        <f>'Bookings and Drivers'!AR137</f>
        <v>0</v>
      </c>
      <c r="AK697">
        <f>'Bookings and Drivers'!AS137</f>
        <v>0</v>
      </c>
      <c r="AL697">
        <f>'Bookings and Drivers'!AT137</f>
        <v>0</v>
      </c>
      <c r="AM697">
        <f>'Bookings and Drivers'!AU137</f>
        <v>0</v>
      </c>
      <c r="AN697">
        <f>'Bookings and Drivers'!AV137</f>
        <v>0</v>
      </c>
      <c r="AO697">
        <f>'Bookings and Drivers'!AW137</f>
        <v>0</v>
      </c>
      <c r="AP697">
        <f>'Bookings and Drivers'!AX137</f>
        <v>0</v>
      </c>
      <c r="AQ697">
        <f>'Bookings and Drivers'!AY137</f>
        <v>0</v>
      </c>
      <c r="AR697">
        <f>'Bookings and Drivers'!AZ137</f>
        <v>0</v>
      </c>
      <c r="AS697">
        <f>'Bookings and Drivers'!BA137</f>
        <v>0</v>
      </c>
      <c r="AT697">
        <f>'Bookings and Drivers'!BB137</f>
        <v>0</v>
      </c>
      <c r="AU697">
        <f>'Bookings and Drivers'!BC137</f>
        <v>0</v>
      </c>
      <c r="AV697">
        <f>'Bookings and Drivers'!BD137</f>
        <v>0</v>
      </c>
      <c r="AW697">
        <f>'Bookings and Drivers'!BE137</f>
        <v>0</v>
      </c>
      <c r="AX697">
        <f>'Bookings and Drivers'!BF137</f>
        <v>0</v>
      </c>
      <c r="AY697">
        <f>'Bookings and Drivers'!BG137</f>
        <v>0</v>
      </c>
      <c r="AZ697">
        <f>'Bookings and Drivers'!BH137</f>
        <v>0</v>
      </c>
      <c r="BA697">
        <f>'Bookings and Drivers'!BI137</f>
        <v>0</v>
      </c>
      <c r="BB697">
        <f>'Bookings and Drivers'!BJ137</f>
        <v>0</v>
      </c>
      <c r="BC697">
        <f>'Bookings and Drivers'!BK137</f>
        <v>0</v>
      </c>
      <c r="BD697">
        <f>'Bookings and Drivers'!BL137</f>
        <v>0</v>
      </c>
      <c r="BE697">
        <f>'Bookings and Drivers'!BM137</f>
        <v>0</v>
      </c>
      <c r="BF697">
        <f>'Bookings and Drivers'!BN137</f>
        <v>0</v>
      </c>
      <c r="BG697">
        <f>'Bookings and Drivers'!BO137</f>
        <v>0</v>
      </c>
      <c r="BH697">
        <f>'Bookings and Drivers'!BP137</f>
        <v>0</v>
      </c>
      <c r="BI697">
        <f>'Bookings and Drivers'!BQ137</f>
        <v>0</v>
      </c>
      <c r="BJ697">
        <f>'Bookings and Drivers'!BR137</f>
        <v>0</v>
      </c>
      <c r="BK697">
        <f>'Bookings and Drivers'!BS137</f>
        <v>0</v>
      </c>
      <c r="BL697">
        <f>'Bookings and Drivers'!BT137</f>
        <v>0</v>
      </c>
      <c r="BM697">
        <f>'Bookings and Drivers'!BU137</f>
        <v>0</v>
      </c>
      <c r="BN697">
        <f>'Bookings and Drivers'!BV137</f>
        <v>0</v>
      </c>
      <c r="BO697">
        <f>'Bookings and Drivers'!BW137</f>
        <v>0</v>
      </c>
      <c r="BP697">
        <f>'Bookings and Drivers'!BX137</f>
        <v>0</v>
      </c>
      <c r="BQ697">
        <f>'Bookings and Drivers'!BY137</f>
        <v>0</v>
      </c>
      <c r="BR697">
        <f>'Bookings and Drivers'!BZ137</f>
        <v>0</v>
      </c>
      <c r="BS697">
        <f>'Bookings and Drivers'!CA137</f>
        <v>0</v>
      </c>
      <c r="BT697">
        <f>'Bookings and Drivers'!CB137</f>
        <v>0</v>
      </c>
      <c r="BU697">
        <f>'Bookings and Drivers'!CC137</f>
        <v>0</v>
      </c>
      <c r="BV697">
        <f>'Bookings and Drivers'!CD137</f>
        <v>0</v>
      </c>
      <c r="BW697">
        <f>'Bookings and Drivers'!CE137</f>
        <v>0</v>
      </c>
      <c r="BX697">
        <f>'Bookings and Drivers'!CF137</f>
        <v>0</v>
      </c>
      <c r="BY697">
        <f>'Bookings and Drivers'!CG137</f>
        <v>0</v>
      </c>
      <c r="BZ697">
        <f>'Bookings and Drivers'!CH137</f>
        <v>0</v>
      </c>
      <c r="CA697">
        <f>'Bookings and Drivers'!CI137</f>
        <v>0</v>
      </c>
      <c r="CB697">
        <f>'Bookings and Drivers'!CJ137</f>
        <v>0</v>
      </c>
      <c r="CC697">
        <f>'Bookings and Drivers'!CK137</f>
        <v>0</v>
      </c>
      <c r="CD697">
        <f>'Bookings and Drivers'!CL137</f>
        <v>0</v>
      </c>
      <c r="CE697">
        <f>'Bookings and Drivers'!CM137</f>
        <v>0</v>
      </c>
      <c r="CF697">
        <f>'Bookings and Drivers'!CN137</f>
        <v>0</v>
      </c>
      <c r="CG697">
        <f>'Bookings and Drivers'!CO137</f>
        <v>0</v>
      </c>
      <c r="CH697">
        <f>'Bookings and Drivers'!CP137</f>
        <v>0</v>
      </c>
      <c r="CI697">
        <f>'Bookings and Drivers'!CQ137</f>
        <v>0</v>
      </c>
      <c r="CJ697">
        <f>'Bookings and Drivers'!CR137</f>
        <v>0</v>
      </c>
      <c r="CK697">
        <f>'Bookings and Drivers'!CS137</f>
        <v>0</v>
      </c>
      <c r="CL697">
        <f>'Bookings and Drivers'!CT137</f>
        <v>0</v>
      </c>
      <c r="CM697">
        <f>'Bookings and Drivers'!CU137</f>
        <v>0</v>
      </c>
      <c r="CN697">
        <f>'Bookings and Drivers'!CV137</f>
        <v>0</v>
      </c>
      <c r="CO697">
        <f>'Bookings and Drivers'!CW137</f>
        <v>0</v>
      </c>
      <c r="CP697">
        <f>'Bookings and Drivers'!CX137</f>
        <v>0</v>
      </c>
      <c r="CQ697">
        <f>'Bookings and Drivers'!CY137</f>
        <v>0</v>
      </c>
      <c r="CR697">
        <f>'Bookings and Drivers'!CZ137</f>
        <v>0</v>
      </c>
      <c r="CS697">
        <f>'Bookings and Drivers'!DA137</f>
        <v>0</v>
      </c>
      <c r="CT697">
        <f>'Bookings and Drivers'!DB137</f>
        <v>0</v>
      </c>
      <c r="CU697">
        <f>'Bookings and Drivers'!DC137</f>
        <v>0</v>
      </c>
      <c r="CV697">
        <f>'Bookings and Drivers'!DD137</f>
        <v>0</v>
      </c>
      <c r="CW697">
        <f>'Bookings and Drivers'!DE137</f>
        <v>0</v>
      </c>
      <c r="CX697">
        <f>'Bookings and Drivers'!DF137</f>
        <v>0</v>
      </c>
    </row>
    <row r="698" spans="1:102">
      <c r="A698" t="str">
        <f>'Bookings and Drivers'!I138</f>
        <v>ADR and Hotel Bookings</v>
      </c>
      <c r="B698">
        <f>'Bookings and Drivers'!J138</f>
        <v>0</v>
      </c>
      <c r="C698">
        <f>'Bookings and Drivers'!K138</f>
        <v>0</v>
      </c>
      <c r="D698">
        <f>'Bookings and Drivers'!L138</f>
        <v>0</v>
      </c>
      <c r="E698">
        <f>'Bookings and Drivers'!M138</f>
        <v>0</v>
      </c>
      <c r="F698">
        <f>'Bookings and Drivers'!N138</f>
        <v>0</v>
      </c>
      <c r="G698">
        <f>'Bookings and Drivers'!O138</f>
        <v>0</v>
      </c>
      <c r="H698">
        <f>'Bookings and Drivers'!P138</f>
        <v>0</v>
      </c>
      <c r="I698">
        <f>'Bookings and Drivers'!Q138</f>
        <v>0</v>
      </c>
      <c r="J698">
        <f>'Bookings and Drivers'!R138</f>
        <v>0</v>
      </c>
      <c r="K698">
        <f>'Bookings and Drivers'!S138</f>
        <v>0</v>
      </c>
      <c r="L698">
        <f>'Bookings and Drivers'!T138</f>
        <v>0</v>
      </c>
      <c r="M698">
        <f>'Bookings and Drivers'!U138</f>
        <v>0</v>
      </c>
      <c r="N698">
        <f>'Bookings and Drivers'!V138</f>
        <v>0</v>
      </c>
      <c r="O698">
        <f>'Bookings and Drivers'!W138</f>
        <v>0</v>
      </c>
      <c r="P698">
        <f>'Bookings and Drivers'!X138</f>
        <v>0</v>
      </c>
      <c r="Q698">
        <f>'Bookings and Drivers'!Y138</f>
        <v>0</v>
      </c>
      <c r="R698">
        <f>'Bookings and Drivers'!Z138</f>
        <v>0</v>
      </c>
      <c r="S698">
        <f>'Bookings and Drivers'!AA138</f>
        <v>0</v>
      </c>
      <c r="T698">
        <f>'Bookings and Drivers'!AB138</f>
        <v>0</v>
      </c>
      <c r="U698">
        <f>'Bookings and Drivers'!AC138</f>
        <v>0</v>
      </c>
      <c r="V698">
        <f>'Bookings and Drivers'!AD138</f>
        <v>0</v>
      </c>
      <c r="W698">
        <f>'Bookings and Drivers'!AE138</f>
        <v>0</v>
      </c>
      <c r="X698">
        <f>'Bookings and Drivers'!AF138</f>
        <v>0</v>
      </c>
      <c r="Y698">
        <f>'Bookings and Drivers'!AG138</f>
        <v>0</v>
      </c>
      <c r="Z698">
        <f>'Bookings and Drivers'!AH138</f>
        <v>0</v>
      </c>
      <c r="AA698">
        <f>'Bookings and Drivers'!AI138</f>
        <v>0</v>
      </c>
      <c r="AB698">
        <f>'Bookings and Drivers'!AJ138</f>
        <v>0</v>
      </c>
      <c r="AC698">
        <f>'Bookings and Drivers'!AK138</f>
        <v>0</v>
      </c>
      <c r="AD698">
        <f>'Bookings and Drivers'!AL138</f>
        <v>0</v>
      </c>
      <c r="AE698">
        <f>'Bookings and Drivers'!AM138</f>
        <v>0</v>
      </c>
      <c r="AF698">
        <f>'Bookings and Drivers'!AN138</f>
        <v>0</v>
      </c>
      <c r="AG698">
        <f>'Bookings and Drivers'!AO138</f>
        <v>0</v>
      </c>
      <c r="AH698">
        <f>'Bookings and Drivers'!AP138</f>
        <v>0</v>
      </c>
      <c r="AI698">
        <f>'Bookings and Drivers'!AQ138</f>
        <v>0</v>
      </c>
      <c r="AJ698">
        <f>'Bookings and Drivers'!AR138</f>
        <v>0</v>
      </c>
      <c r="AK698">
        <f>'Bookings and Drivers'!AS138</f>
        <v>0</v>
      </c>
      <c r="AL698">
        <f>'Bookings and Drivers'!AT138</f>
        <v>0</v>
      </c>
      <c r="AM698">
        <f>'Bookings and Drivers'!AU138</f>
        <v>0</v>
      </c>
      <c r="AN698">
        <f>'Bookings and Drivers'!AV138</f>
        <v>0</v>
      </c>
      <c r="AO698">
        <f>'Bookings and Drivers'!AW138</f>
        <v>0</v>
      </c>
      <c r="AP698">
        <f>'Bookings and Drivers'!AX138</f>
        <v>0</v>
      </c>
      <c r="AQ698">
        <f>'Bookings and Drivers'!AY138</f>
        <v>0</v>
      </c>
      <c r="AR698">
        <f>'Bookings and Drivers'!AZ138</f>
        <v>0</v>
      </c>
      <c r="AS698">
        <f>'Bookings and Drivers'!BA138</f>
        <v>0</v>
      </c>
      <c r="AT698">
        <f>'Bookings and Drivers'!BB138</f>
        <v>0</v>
      </c>
      <c r="AU698">
        <f>'Bookings and Drivers'!BC138</f>
        <v>0</v>
      </c>
      <c r="AV698">
        <f>'Bookings and Drivers'!BD138</f>
        <v>0</v>
      </c>
      <c r="AW698">
        <f>'Bookings and Drivers'!BE138</f>
        <v>0</v>
      </c>
      <c r="AX698">
        <f>'Bookings and Drivers'!BF138</f>
        <v>0</v>
      </c>
      <c r="AY698">
        <f>'Bookings and Drivers'!BG138</f>
        <v>0</v>
      </c>
      <c r="AZ698">
        <f>'Bookings and Drivers'!BH138</f>
        <v>0</v>
      </c>
      <c r="BA698">
        <f>'Bookings and Drivers'!BI138</f>
        <v>0</v>
      </c>
      <c r="BB698">
        <f>'Bookings and Drivers'!BJ138</f>
        <v>0</v>
      </c>
      <c r="BC698">
        <f>'Bookings and Drivers'!BK138</f>
        <v>0</v>
      </c>
      <c r="BD698">
        <f>'Bookings and Drivers'!BL138</f>
        <v>0</v>
      </c>
      <c r="BE698">
        <f>'Bookings and Drivers'!BM138</f>
        <v>0</v>
      </c>
      <c r="BF698">
        <f>'Bookings and Drivers'!BN138</f>
        <v>0</v>
      </c>
      <c r="BG698">
        <f>'Bookings and Drivers'!BO138</f>
        <v>0</v>
      </c>
      <c r="BH698">
        <f>'Bookings and Drivers'!BP138</f>
        <v>0</v>
      </c>
      <c r="BI698">
        <f>'Bookings and Drivers'!BQ138</f>
        <v>0</v>
      </c>
      <c r="BJ698">
        <f>'Bookings and Drivers'!BR138</f>
        <v>0</v>
      </c>
      <c r="BK698">
        <f>'Bookings and Drivers'!BS138</f>
        <v>0</v>
      </c>
      <c r="BL698">
        <f>'Bookings and Drivers'!BT138</f>
        <v>0</v>
      </c>
      <c r="BM698">
        <f>'Bookings and Drivers'!BU138</f>
        <v>0</v>
      </c>
      <c r="BN698">
        <f>'Bookings and Drivers'!BV138</f>
        <v>0</v>
      </c>
      <c r="BO698">
        <f>'Bookings and Drivers'!BW138</f>
        <v>0</v>
      </c>
      <c r="BP698">
        <f>'Bookings and Drivers'!BX138</f>
        <v>0</v>
      </c>
      <c r="BQ698">
        <f>'Bookings and Drivers'!BY138</f>
        <v>0</v>
      </c>
      <c r="BR698">
        <f>'Bookings and Drivers'!BZ138</f>
        <v>0</v>
      </c>
      <c r="BS698">
        <f>'Bookings and Drivers'!CA138</f>
        <v>0</v>
      </c>
      <c r="BT698">
        <f>'Bookings and Drivers'!CB138</f>
        <v>0</v>
      </c>
      <c r="BU698">
        <f>'Bookings and Drivers'!CC138</f>
        <v>0</v>
      </c>
      <c r="BV698">
        <f>'Bookings and Drivers'!CD138</f>
        <v>0</v>
      </c>
      <c r="BW698">
        <f>'Bookings and Drivers'!CE138</f>
        <v>0</v>
      </c>
      <c r="BX698">
        <f>'Bookings and Drivers'!CF138</f>
        <v>0</v>
      </c>
      <c r="BY698">
        <f>'Bookings and Drivers'!CG138</f>
        <v>0</v>
      </c>
      <c r="BZ698">
        <f>'Bookings and Drivers'!CH138</f>
        <v>0</v>
      </c>
      <c r="CA698">
        <f>'Bookings and Drivers'!CI138</f>
        <v>0</v>
      </c>
      <c r="CB698">
        <f>'Bookings and Drivers'!CJ138</f>
        <v>0</v>
      </c>
      <c r="CC698">
        <f>'Bookings and Drivers'!CK138</f>
        <v>0</v>
      </c>
      <c r="CD698">
        <f>'Bookings and Drivers'!CL138</f>
        <v>0</v>
      </c>
      <c r="CE698">
        <f>'Bookings and Drivers'!CM138</f>
        <v>0</v>
      </c>
      <c r="CF698">
        <f>'Bookings and Drivers'!CN138</f>
        <v>0</v>
      </c>
      <c r="CG698">
        <f>'Bookings and Drivers'!CO138</f>
        <v>0</v>
      </c>
      <c r="CH698">
        <f>'Bookings and Drivers'!CP138</f>
        <v>0</v>
      </c>
      <c r="CI698">
        <f>'Bookings and Drivers'!CQ138</f>
        <v>0</v>
      </c>
      <c r="CJ698">
        <f>'Bookings and Drivers'!CR138</f>
        <v>0</v>
      </c>
      <c r="CK698">
        <f>'Bookings and Drivers'!CS138</f>
        <v>0</v>
      </c>
      <c r="CL698">
        <f>'Bookings and Drivers'!CT138</f>
        <v>0</v>
      </c>
      <c r="CM698">
        <f>'Bookings and Drivers'!CU138</f>
        <v>0</v>
      </c>
      <c r="CN698">
        <f>'Bookings and Drivers'!CV138</f>
        <v>0</v>
      </c>
      <c r="CO698">
        <f>'Bookings and Drivers'!CW138</f>
        <v>0</v>
      </c>
      <c r="CP698">
        <f>'Bookings and Drivers'!CX138</f>
        <v>0</v>
      </c>
      <c r="CQ698">
        <f>'Bookings and Drivers'!CY138</f>
        <v>0</v>
      </c>
      <c r="CR698">
        <f>'Bookings and Drivers'!CZ138</f>
        <v>0</v>
      </c>
      <c r="CS698">
        <f>'Bookings and Drivers'!DA138</f>
        <v>0</v>
      </c>
      <c r="CT698">
        <f>'Bookings and Drivers'!DB138</f>
        <v>0</v>
      </c>
      <c r="CU698">
        <f>'Bookings and Drivers'!DC138</f>
        <v>0</v>
      </c>
      <c r="CV698">
        <f>'Bookings and Drivers'!DD138</f>
        <v>0</v>
      </c>
      <c r="CW698">
        <f>'Bookings and Drivers'!DE138</f>
        <v>0</v>
      </c>
      <c r="CX698">
        <f>'Bookings and Drivers'!DF138</f>
        <v>0</v>
      </c>
    </row>
    <row r="699" spans="1:102">
      <c r="A699" t="str">
        <f>'Bookings and Drivers'!I139</f>
        <v>Domestic ADR</v>
      </c>
      <c r="B699">
        <f>'Bookings and Drivers'!J139</f>
        <v>0</v>
      </c>
      <c r="C699">
        <f>'Bookings and Drivers'!K139</f>
        <v>0</v>
      </c>
      <c r="D699">
        <f>'Bookings and Drivers'!L139</f>
        <v>0</v>
      </c>
      <c r="E699">
        <f>'Bookings and Drivers'!M139</f>
        <v>0</v>
      </c>
      <c r="F699">
        <f>'Bookings and Drivers'!N139</f>
        <v>0</v>
      </c>
      <c r="G699">
        <f>'Bookings and Drivers'!O139</f>
        <v>0</v>
      </c>
      <c r="H699">
        <f>'Bookings and Drivers'!P139</f>
        <v>0</v>
      </c>
      <c r="I699">
        <f>'Bookings and Drivers'!Q139</f>
        <v>0</v>
      </c>
      <c r="J699">
        <f>'Bookings and Drivers'!R139</f>
        <v>0</v>
      </c>
      <c r="K699">
        <f>'Bookings and Drivers'!S139</f>
        <v>0</v>
      </c>
      <c r="L699">
        <f>'Bookings and Drivers'!T139</f>
        <v>0</v>
      </c>
      <c r="M699">
        <f>'Bookings and Drivers'!U139</f>
        <v>0</v>
      </c>
      <c r="N699">
        <f>'Bookings and Drivers'!V139</f>
        <v>0</v>
      </c>
      <c r="O699">
        <f>'Bookings and Drivers'!W139</f>
        <v>0</v>
      </c>
      <c r="P699">
        <f>'Bookings and Drivers'!X139</f>
        <v>0</v>
      </c>
      <c r="Q699">
        <f>'Bookings and Drivers'!Y139</f>
        <v>0</v>
      </c>
      <c r="R699">
        <f>'Bookings and Drivers'!Z139</f>
        <v>0</v>
      </c>
      <c r="S699">
        <f>'Bookings and Drivers'!AA139</f>
        <v>0</v>
      </c>
      <c r="T699">
        <f>'Bookings and Drivers'!AB139</f>
        <v>0</v>
      </c>
      <c r="U699">
        <f>'Bookings and Drivers'!AC139</f>
        <v>0</v>
      </c>
      <c r="V699">
        <f>'Bookings and Drivers'!AD139</f>
        <v>0</v>
      </c>
      <c r="W699">
        <f>'Bookings and Drivers'!AE139</f>
        <v>0</v>
      </c>
      <c r="X699">
        <f>'Bookings and Drivers'!AF139</f>
        <v>0</v>
      </c>
      <c r="Y699">
        <f>'Bookings and Drivers'!AG139</f>
        <v>55</v>
      </c>
      <c r="Z699">
        <f>'Bookings and Drivers'!AH139</f>
        <v>55</v>
      </c>
      <c r="AA699">
        <f>'Bookings and Drivers'!AI139</f>
        <v>55</v>
      </c>
      <c r="AB699">
        <f>'Bookings and Drivers'!AJ139</f>
        <v>55</v>
      </c>
      <c r="AC699">
        <f>'Bookings and Drivers'!AK139</f>
        <v>58.904999999999994</v>
      </c>
      <c r="AD699">
        <f>'Bookings and Drivers'!AL139</f>
        <v>58.024999999999999</v>
      </c>
      <c r="AE699">
        <f>'Bookings and Drivers'!AM139</f>
        <v>58.52</v>
      </c>
      <c r="AF699">
        <f>'Bookings and Drivers'!AN139</f>
        <v>58.85</v>
      </c>
      <c r="AG699">
        <f>'Bookings and Drivers'!AO139</f>
        <v>60.083099999999995</v>
      </c>
      <c r="AH699">
        <f>'Bookings and Drivers'!AP139</f>
        <v>60.346000000000004</v>
      </c>
      <c r="AI699">
        <f>'Bookings and Drivers'!AQ139</f>
        <v>57.934800000000003</v>
      </c>
      <c r="AJ699">
        <f>'Bookings and Drivers'!AR139</f>
        <v>55.907499999999999</v>
      </c>
      <c r="AK699">
        <f>'Bookings and Drivers'!AS139</f>
        <v>54.074789999999993</v>
      </c>
      <c r="AL699">
        <f>'Bookings and Drivers'!AT139</f>
        <v>53.707940000000001</v>
      </c>
      <c r="AM699">
        <f>'Bookings and Drivers'!AU139</f>
        <v>51.561972000000004</v>
      </c>
      <c r="AN699">
        <f>'Bookings and Drivers'!AV139</f>
        <v>51.993974999999999</v>
      </c>
      <c r="AO699">
        <f>'Bookings and Drivers'!AW139</f>
        <v>52.993294199999994</v>
      </c>
      <c r="AP699">
        <f>'Bookings and Drivers'!AX139</f>
        <v>55.050638499999998</v>
      </c>
      <c r="AQ699">
        <f>'Bookings and Drivers'!AY139</f>
        <v>54.140070600000008</v>
      </c>
      <c r="AR699">
        <f>'Bookings and Drivers'!AZ139</f>
        <v>54.697661700000005</v>
      </c>
      <c r="AS699">
        <f>'Bookings and Drivers'!BA139</f>
        <v>56.702824793999994</v>
      </c>
      <c r="AT699">
        <f>'Bookings and Drivers'!BB139</f>
        <v>59.45468958</v>
      </c>
      <c r="AU699">
        <f>'Bookings and Drivers'!BC139</f>
        <v>57.388474836000015</v>
      </c>
      <c r="AV699">
        <f>'Bookings and Drivers'!BD139</f>
        <v>57.97952140200001</v>
      </c>
      <c r="AW699">
        <f>'Bookings and Drivers'!BE139</f>
        <v>59.537966033699995</v>
      </c>
      <c r="AX699">
        <f>'Bookings and Drivers'!BF139</f>
        <v>61.832877163200003</v>
      </c>
      <c r="AY699">
        <f>'Bookings and Drivers'!BG139</f>
        <v>60.25789857780002</v>
      </c>
      <c r="AZ699">
        <f>'Bookings and Drivers'!BH139</f>
        <v>58.559316616020013</v>
      </c>
      <c r="BA699">
        <f>'Bookings and Drivers'!BI139</f>
        <v>60.133345694036997</v>
      </c>
      <c r="BB699">
        <f>'Bookings and Drivers'!BJ139</f>
        <v>62.451205934832004</v>
      </c>
      <c r="BC699">
        <f>'Bookings and Drivers'!BK139</f>
        <v>61.342540752200421</v>
      </c>
      <c r="BD699">
        <f>'Bookings and Drivers'!BL139</f>
        <v>59.730502948340416</v>
      </c>
      <c r="BE699">
        <f>'Bookings and Drivers'!BM139</f>
        <v>61.937346064858112</v>
      </c>
      <c r="BF699">
        <f>'Bookings and Drivers'!BN139</f>
        <v>64.324742112876962</v>
      </c>
      <c r="BG699">
        <f>'Bookings and Drivers'!BO139</f>
        <v>63.182816974766432</v>
      </c>
      <c r="BH699">
        <f>'Bookings and Drivers'!BP139</f>
        <v>61.522418036790633</v>
      </c>
      <c r="BI699">
        <f>'Bookings and Drivers'!BQ139</f>
        <v>63.176092986155275</v>
      </c>
      <c r="BJ699">
        <f>'Bookings and Drivers'!BR139</f>
        <v>65.611236955134501</v>
      </c>
      <c r="BK699">
        <f>'Bookings and Drivers'!BS139</f>
        <v>64.288516271824847</v>
      </c>
      <c r="BL699">
        <f>'Bookings and Drivers'!BT139</f>
        <v>62.137642217158543</v>
      </c>
      <c r="BM699">
        <f>'Bookings and Drivers'!BU139</f>
        <v>62.860212521224497</v>
      </c>
      <c r="BN699">
        <f>'Bookings and Drivers'!BV139</f>
        <v>65.283180770358825</v>
      </c>
      <c r="BO699">
        <f>'Bookings and Drivers'!BW139</f>
        <v>63.967073690465725</v>
      </c>
      <c r="BP699">
        <f>'Bookings and Drivers'!BX139</f>
        <v>61.826954006072754</v>
      </c>
      <c r="BQ699">
        <f>'Bookings and Drivers'!BY139</f>
        <v>63.488814646436744</v>
      </c>
      <c r="BR699">
        <f>'Bookings and Drivers'!BZ139</f>
        <v>64.630348962655233</v>
      </c>
      <c r="BS699">
        <f>'Bookings and Drivers'!CA139</f>
        <v>63.327402953561069</v>
      </c>
      <c r="BT699">
        <f>'Bookings and Drivers'!CB139</f>
        <v>61.208684466012024</v>
      </c>
      <c r="BU699">
        <f>'Bookings and Drivers'!CC139</f>
        <v>62.853926499972374</v>
      </c>
      <c r="BV699">
        <f>'Bookings and Drivers'!CD139</f>
        <v>63.337741983402125</v>
      </c>
      <c r="BW699">
        <f>'Bookings and Drivers'!CE139</f>
        <v>62.694128924025456</v>
      </c>
      <c r="BX699">
        <f>'Bookings and Drivers'!CF139</f>
        <v>60.596597621351904</v>
      </c>
      <c r="BY699">
        <f>'Bookings and Drivers'!CG139</f>
        <v>0</v>
      </c>
      <c r="BZ699">
        <f>'Bookings and Drivers'!CH139</f>
        <v>0</v>
      </c>
      <c r="CA699">
        <f>'Bookings and Drivers'!CI139</f>
        <v>0</v>
      </c>
      <c r="CB699">
        <f>'Bookings and Drivers'!CJ139</f>
        <v>0</v>
      </c>
      <c r="CC699">
        <f>'Bookings and Drivers'!CK139</f>
        <v>0</v>
      </c>
      <c r="CD699">
        <f>'Bookings and Drivers'!CL139</f>
        <v>0</v>
      </c>
      <c r="CE699">
        <f>'Bookings and Drivers'!CM139</f>
        <v>53.084976140510847</v>
      </c>
      <c r="CF699">
        <f>'Bookings and Drivers'!CN139</f>
        <v>58.551709784520412</v>
      </c>
      <c r="CG699">
        <f>'Bookings and Drivers'!CO139</f>
        <v>58.535187805295436</v>
      </c>
      <c r="CH699">
        <f>'Bookings and Drivers'!CP139</f>
        <v>52.783540231638426</v>
      </c>
      <c r="CI699">
        <f>'Bookings and Drivers'!CQ139</f>
        <v>54.263825798998532</v>
      </c>
      <c r="CJ699">
        <f>'Bookings and Drivers'!CR139</f>
        <v>57.900263261471672</v>
      </c>
      <c r="CK699">
        <f>'Bookings and Drivers'!CS139</f>
        <v>60.09356710731219</v>
      </c>
      <c r="CL699">
        <f>'Bookings and Drivers'!CT139</f>
        <v>60.936279419937087</v>
      </c>
      <c r="CM699">
        <f>'Bookings and Drivers'!CU139</f>
        <v>62.767408800362354</v>
      </c>
      <c r="CN699">
        <f>'Bookings and Drivers'!CV139</f>
        <v>63.820497514550908</v>
      </c>
      <c r="CO699">
        <f>'Bookings and Drivers'!CW139</f>
        <v>63.501395026978173</v>
      </c>
      <c r="CP699">
        <f>'Bookings and Drivers'!CX139</f>
        <v>63.139237777458696</v>
      </c>
      <c r="CQ699">
        <f>'Bookings and Drivers'!CY139</f>
        <v>62.34835878463651</v>
      </c>
      <c r="CR699">
        <f>'Bookings and Drivers'!CZ139</f>
        <v>62.34835878463651</v>
      </c>
      <c r="CS699">
        <f>'Bookings and Drivers'!DA139</f>
        <v>62.34835878463651</v>
      </c>
      <c r="CT699">
        <f>'Bookings and Drivers'!DB139</f>
        <v>62.34835878463651</v>
      </c>
      <c r="CU699">
        <f>'Bookings and Drivers'!DC139</f>
        <v>62.34835878463651</v>
      </c>
      <c r="CV699">
        <f>'Bookings and Drivers'!DD139</f>
        <v>62.34835878463651</v>
      </c>
      <c r="CW699">
        <f>'Bookings and Drivers'!DE139</f>
        <v>62.34835878463651</v>
      </c>
      <c r="CX699">
        <f>'Bookings and Drivers'!DF139</f>
        <v>62.34835878463651</v>
      </c>
    </row>
    <row r="700" spans="1:102">
      <c r="A700" t="str">
        <f>'Bookings and Drivers'!I140</f>
        <v>Reported % change Y/Y (Transcript)</v>
      </c>
      <c r="B700">
        <f>'Bookings and Drivers'!J140</f>
        <v>0</v>
      </c>
      <c r="C700">
        <f>'Bookings and Drivers'!K140</f>
        <v>0</v>
      </c>
      <c r="D700">
        <f>'Bookings and Drivers'!L140</f>
        <v>0</v>
      </c>
      <c r="E700">
        <f>'Bookings and Drivers'!M140</f>
        <v>0</v>
      </c>
      <c r="F700">
        <f>'Bookings and Drivers'!N140</f>
        <v>0</v>
      </c>
      <c r="G700">
        <f>'Bookings and Drivers'!O140</f>
        <v>0</v>
      </c>
      <c r="H700">
        <f>'Bookings and Drivers'!P140</f>
        <v>0</v>
      </c>
      <c r="I700">
        <f>'Bookings and Drivers'!Q140</f>
        <v>0</v>
      </c>
      <c r="J700">
        <f>'Bookings and Drivers'!R140</f>
        <v>0</v>
      </c>
      <c r="K700">
        <f>'Bookings and Drivers'!S140</f>
        <v>0</v>
      </c>
      <c r="L700">
        <f>'Bookings and Drivers'!T140</f>
        <v>0</v>
      </c>
      <c r="M700">
        <f>'Bookings and Drivers'!U140</f>
        <v>0</v>
      </c>
      <c r="N700">
        <f>'Bookings and Drivers'!V140</f>
        <v>0</v>
      </c>
      <c r="O700">
        <f>'Bookings and Drivers'!W140</f>
        <v>0</v>
      </c>
      <c r="P700">
        <f>'Bookings and Drivers'!X140</f>
        <v>0</v>
      </c>
      <c r="Q700">
        <f>'Bookings and Drivers'!Y140</f>
        <v>0</v>
      </c>
      <c r="R700">
        <f>'Bookings and Drivers'!Z140</f>
        <v>0</v>
      </c>
      <c r="S700">
        <f>'Bookings and Drivers'!AA140</f>
        <v>0</v>
      </c>
      <c r="T700">
        <f>'Bookings and Drivers'!AB140</f>
        <v>0</v>
      </c>
      <c r="U700">
        <f>'Bookings and Drivers'!AC140</f>
        <v>0</v>
      </c>
      <c r="V700">
        <f>'Bookings and Drivers'!AD140</f>
        <v>0</v>
      </c>
      <c r="W700">
        <f>'Bookings and Drivers'!AE140</f>
        <v>0</v>
      </c>
      <c r="X700">
        <f>'Bookings and Drivers'!AF140</f>
        <v>0</v>
      </c>
      <c r="Y700">
        <f>'Bookings and Drivers'!AG140</f>
        <v>0</v>
      </c>
      <c r="Z700">
        <f>'Bookings and Drivers'!AH140</f>
        <v>0</v>
      </c>
      <c r="AA700">
        <f>'Bookings and Drivers'!AI140</f>
        <v>0</v>
      </c>
      <c r="AB700">
        <f>'Bookings and Drivers'!AJ140</f>
        <v>0</v>
      </c>
      <c r="AC700">
        <f>'Bookings and Drivers'!AK140</f>
        <v>7.0999999999999994E-2</v>
      </c>
      <c r="AD700">
        <f>'Bookings and Drivers'!AL140</f>
        <v>5.5E-2</v>
      </c>
      <c r="AE700">
        <f>'Bookings and Drivers'!AM140</f>
        <v>6.4000000000000001E-2</v>
      </c>
      <c r="AF700">
        <f>'Bookings and Drivers'!AN140</f>
        <v>7.0000000000000007E-2</v>
      </c>
      <c r="AG700">
        <f>'Bookings and Drivers'!AO140</f>
        <v>0.02</v>
      </c>
      <c r="AH700">
        <f>'Bookings and Drivers'!AP140</f>
        <v>0.04</v>
      </c>
      <c r="AI700">
        <f>'Bookings and Drivers'!AQ140</f>
        <v>-0.01</v>
      </c>
      <c r="AJ700">
        <f>'Bookings and Drivers'!AR140</f>
        <v>-0.05</v>
      </c>
      <c r="AK700">
        <f>'Bookings and Drivers'!AS140</f>
        <v>-0.1</v>
      </c>
      <c r="AL700">
        <f>'Bookings and Drivers'!AT140</f>
        <v>-0.11</v>
      </c>
      <c r="AM700">
        <f>'Bookings and Drivers'!AU140</f>
        <v>-0.11</v>
      </c>
      <c r="AN700">
        <f>'Bookings and Drivers'!AV140</f>
        <v>-7.0000000000000007E-2</v>
      </c>
      <c r="AO700">
        <f>'Bookings and Drivers'!AW140</f>
        <v>-0.02</v>
      </c>
      <c r="AP700">
        <f>'Bookings and Drivers'!AX140</f>
        <v>2.5000000000000001E-2</v>
      </c>
      <c r="AQ700">
        <f>'Bookings and Drivers'!AY140</f>
        <v>0.05</v>
      </c>
      <c r="AR700">
        <f>'Bookings and Drivers'!AZ140</f>
        <v>5.1999999999999998E-2</v>
      </c>
      <c r="AS700">
        <f>'Bookings and Drivers'!BA140</f>
        <v>7.0000000000000007E-2</v>
      </c>
      <c r="AT700">
        <f>'Bookings and Drivers'!BB140</f>
        <v>0.08</v>
      </c>
      <c r="AU700">
        <f>'Bookings and Drivers'!BC140</f>
        <v>0.06</v>
      </c>
      <c r="AV700">
        <f>'Bookings and Drivers'!BD140</f>
        <v>0.06</v>
      </c>
      <c r="AW700">
        <f>'Bookings and Drivers'!BE140</f>
        <v>0.05</v>
      </c>
      <c r="AX700">
        <f>'Bookings and Drivers'!BF140</f>
        <v>0.04</v>
      </c>
      <c r="AY700">
        <f>'Bookings and Drivers'!BG140</f>
        <v>0.05</v>
      </c>
      <c r="AZ700">
        <f>'Bookings and Drivers'!BH140</f>
        <v>0.01</v>
      </c>
      <c r="BA700">
        <f>'Bookings and Drivers'!BI140</f>
        <v>0.01</v>
      </c>
      <c r="BB700">
        <f>'Bookings and Drivers'!BJ140</f>
        <v>0.01</v>
      </c>
      <c r="BC700">
        <f>'Bookings and Drivers'!BK140</f>
        <v>1.7999999999999999E-2</v>
      </c>
      <c r="BD700">
        <f>'Bookings and Drivers'!BL140</f>
        <v>0.02</v>
      </c>
      <c r="BE700">
        <f>'Bookings and Drivers'!BM140</f>
        <v>0.03</v>
      </c>
      <c r="BF700">
        <f>'Bookings and Drivers'!BN140</f>
        <v>0.03</v>
      </c>
      <c r="BG700">
        <f>'Bookings and Drivers'!BO140</f>
        <v>0.03</v>
      </c>
      <c r="BH700">
        <f>'Bookings and Drivers'!BP140</f>
        <v>0.03</v>
      </c>
      <c r="BI700">
        <f>'Bookings and Drivers'!BQ140</f>
        <v>0.02</v>
      </c>
      <c r="BJ700">
        <f>'Bookings and Drivers'!BR140</f>
        <v>0.02</v>
      </c>
      <c r="BK700">
        <f>'Bookings and Drivers'!BS140</f>
        <v>1.7500000000000002E-2</v>
      </c>
      <c r="BL700">
        <f>'Bookings and Drivers'!BT140</f>
        <v>0.01</v>
      </c>
      <c r="BM700">
        <f>'Bookings and Drivers'!BU140</f>
        <v>-5.0000000000000001E-3</v>
      </c>
      <c r="BN700">
        <f>'Bookings and Drivers'!BV140</f>
        <v>-5.0000000000000001E-3</v>
      </c>
      <c r="BO700">
        <f>'Bookings and Drivers'!BW140</f>
        <v>-5.0000000000000001E-3</v>
      </c>
      <c r="BP700">
        <f>'Bookings and Drivers'!BX140</f>
        <v>-5.0000000000000001E-3</v>
      </c>
      <c r="BQ700">
        <f>'Bookings and Drivers'!BY140</f>
        <v>0.01</v>
      </c>
      <c r="BR700">
        <f>'Bookings and Drivers'!BZ140</f>
        <v>-0.01</v>
      </c>
      <c r="BS700">
        <f>'Bookings and Drivers'!CA140</f>
        <v>-0.01</v>
      </c>
      <c r="BT700">
        <f>'Bookings and Drivers'!CB140</f>
        <v>-0.01</v>
      </c>
      <c r="BU700">
        <f>'Bookings and Drivers'!CC140</f>
        <v>-0.01</v>
      </c>
      <c r="BV700">
        <f>'Bookings and Drivers'!CD140</f>
        <v>-0.02</v>
      </c>
      <c r="BW700">
        <f>'Bookings and Drivers'!CE140</f>
        <v>-0.01</v>
      </c>
      <c r="BX700">
        <f>'Bookings and Drivers'!CF140</f>
        <v>-0.01</v>
      </c>
      <c r="BY700">
        <f>'Bookings and Drivers'!CG140</f>
        <v>0</v>
      </c>
      <c r="BZ700">
        <f>'Bookings and Drivers'!CH140</f>
        <v>0</v>
      </c>
      <c r="CA700">
        <f>'Bookings and Drivers'!CI140</f>
        <v>0</v>
      </c>
      <c r="CB700">
        <f>'Bookings and Drivers'!CJ140</f>
        <v>0</v>
      </c>
      <c r="CC700">
        <f>'Bookings and Drivers'!CK140</f>
        <v>0</v>
      </c>
      <c r="CD700">
        <f>'Bookings and Drivers'!CL140</f>
        <v>0</v>
      </c>
      <c r="CE700">
        <f>'Bookings and Drivers'!CM140</f>
        <v>0</v>
      </c>
      <c r="CF700">
        <f>'Bookings and Drivers'!CN140</f>
        <v>0.10298080627444661</v>
      </c>
      <c r="CG700">
        <f>'Bookings and Drivers'!CO140</f>
        <v>-2.8217757065984728E-4</v>
      </c>
      <c r="CH700">
        <f>'Bookings and Drivers'!CP140</f>
        <v>-9.8259658665290628E-2</v>
      </c>
      <c r="CI700">
        <f>'Bookings and Drivers'!CQ140</f>
        <v>2.8044454026083354E-2</v>
      </c>
      <c r="CJ700">
        <f>'Bookings and Drivers'!CR140</f>
        <v>6.7014026544001126E-2</v>
      </c>
      <c r="CK700">
        <f>'Bookings and Drivers'!CS140</f>
        <v>3.788072320044189E-2</v>
      </c>
      <c r="CL700">
        <f>'Bookings and Drivers'!CT140</f>
        <v>1.4023336493239391E-2</v>
      </c>
      <c r="CM700">
        <f>'Bookings and Drivers'!CU140</f>
        <v>3.0049904553676399E-2</v>
      </c>
      <c r="CN700">
        <f>'Bookings and Drivers'!CV140</f>
        <v>1.6777635628356213E-2</v>
      </c>
      <c r="CO700">
        <f>'Bookings and Drivers'!CW140</f>
        <v>-4.9999999999996714E-3</v>
      </c>
      <c r="CP700">
        <f>'Bookings and Drivers'!CX140</f>
        <v>-5.7031384801171647E-3</v>
      </c>
      <c r="CQ700">
        <f>'Bookings and Drivers'!CY140</f>
        <v>-1.2525950908842565E-2</v>
      </c>
      <c r="CR700">
        <f>'Bookings and Drivers'!CZ140</f>
        <v>0</v>
      </c>
      <c r="CS700">
        <f>'Bookings and Drivers'!DA140</f>
        <v>0</v>
      </c>
      <c r="CT700">
        <f>'Bookings and Drivers'!DB140</f>
        <v>0</v>
      </c>
      <c r="CU700">
        <f>'Bookings and Drivers'!DC140</f>
        <v>0</v>
      </c>
      <c r="CV700">
        <f>'Bookings and Drivers'!DD140</f>
        <v>0</v>
      </c>
      <c r="CW700">
        <f>'Bookings and Drivers'!DE140</f>
        <v>0</v>
      </c>
      <c r="CX700">
        <f>'Bookings and Drivers'!DF140</f>
        <v>0</v>
      </c>
    </row>
    <row r="701" spans="1:102">
      <c r="A701" t="str">
        <f>'Bookings and Drivers'!I141</f>
        <v>Two-Year Growth</v>
      </c>
      <c r="B701">
        <f>'Bookings and Drivers'!J141</f>
        <v>0</v>
      </c>
      <c r="C701">
        <f>'Bookings and Drivers'!K141</f>
        <v>0</v>
      </c>
      <c r="D701">
        <f>'Bookings and Drivers'!L141</f>
        <v>0</v>
      </c>
      <c r="E701">
        <f>'Bookings and Drivers'!M141</f>
        <v>0</v>
      </c>
      <c r="F701">
        <f>'Bookings and Drivers'!N141</f>
        <v>0</v>
      </c>
      <c r="G701">
        <f>'Bookings and Drivers'!O141</f>
        <v>0</v>
      </c>
      <c r="H701">
        <f>'Bookings and Drivers'!P141</f>
        <v>0</v>
      </c>
      <c r="I701">
        <f>'Bookings and Drivers'!Q141</f>
        <v>0</v>
      </c>
      <c r="J701">
        <f>'Bookings and Drivers'!R141</f>
        <v>0</v>
      </c>
      <c r="K701">
        <f>'Bookings and Drivers'!S141</f>
        <v>0</v>
      </c>
      <c r="L701">
        <f>'Bookings and Drivers'!T141</f>
        <v>0</v>
      </c>
      <c r="M701">
        <f>'Bookings and Drivers'!U141</f>
        <v>0</v>
      </c>
      <c r="N701">
        <f>'Bookings and Drivers'!V141</f>
        <v>0</v>
      </c>
      <c r="O701">
        <f>'Bookings and Drivers'!W141</f>
        <v>0</v>
      </c>
      <c r="P701">
        <f>'Bookings and Drivers'!X141</f>
        <v>0</v>
      </c>
      <c r="Q701">
        <f>'Bookings and Drivers'!Y141</f>
        <v>0</v>
      </c>
      <c r="R701">
        <f>'Bookings and Drivers'!Z141</f>
        <v>0</v>
      </c>
      <c r="S701">
        <f>'Bookings and Drivers'!AA141</f>
        <v>0</v>
      </c>
      <c r="T701">
        <f>'Bookings and Drivers'!AB141</f>
        <v>0</v>
      </c>
      <c r="U701">
        <f>'Bookings and Drivers'!AC141</f>
        <v>0</v>
      </c>
      <c r="V701">
        <f>'Bookings and Drivers'!AD141</f>
        <v>0</v>
      </c>
      <c r="W701">
        <f>'Bookings and Drivers'!AE141</f>
        <v>0</v>
      </c>
      <c r="X701">
        <f>'Bookings and Drivers'!AF141</f>
        <v>0</v>
      </c>
      <c r="Y701">
        <f>'Bookings and Drivers'!AG141</f>
        <v>0.01</v>
      </c>
      <c r="Z701">
        <f>'Bookings and Drivers'!AH141</f>
        <v>-1.7000000000000001E-2</v>
      </c>
      <c r="AA701">
        <f>'Bookings and Drivers'!AI141</f>
        <v>0</v>
      </c>
      <c r="AB701">
        <f>'Bookings and Drivers'!AJ141</f>
        <v>0</v>
      </c>
      <c r="AC701">
        <f>'Bookings and Drivers'!AK141</f>
        <v>0</v>
      </c>
      <c r="AD701">
        <f>'Bookings and Drivers'!AL141</f>
        <v>0</v>
      </c>
      <c r="AE701">
        <f>'Bookings and Drivers'!AM141</f>
        <v>0</v>
      </c>
      <c r="AF701">
        <f>'Bookings and Drivers'!AN141</f>
        <v>0</v>
      </c>
      <c r="AG701">
        <f>'Bookings and Drivers'!AO141</f>
        <v>0</v>
      </c>
      <c r="AH701">
        <f>'Bookings and Drivers'!AP141</f>
        <v>0</v>
      </c>
      <c r="AI701">
        <f>'Bookings and Drivers'!AQ141</f>
        <v>0</v>
      </c>
      <c r="AJ701">
        <f>'Bookings and Drivers'!AR141</f>
        <v>0</v>
      </c>
      <c r="AK701">
        <f>'Bookings and Drivers'!AS141</f>
        <v>-0.08</v>
      </c>
      <c r="AL701">
        <f>'Bookings and Drivers'!AT141</f>
        <v>-7.0000000000000007E-2</v>
      </c>
      <c r="AM701">
        <f>'Bookings and Drivers'!AU141</f>
        <v>-0.12</v>
      </c>
      <c r="AN701">
        <f>'Bookings and Drivers'!AV141</f>
        <v>-0.12000000000000001</v>
      </c>
      <c r="AO701">
        <f>'Bookings and Drivers'!AW141</f>
        <v>-0.12000000000000001</v>
      </c>
      <c r="AP701">
        <f>'Bookings and Drivers'!AX141</f>
        <v>-8.4999999999999992E-2</v>
      </c>
      <c r="AQ701">
        <f>'Bookings and Drivers'!AY141</f>
        <v>-0.06</v>
      </c>
      <c r="AR701">
        <f>'Bookings and Drivers'!AZ141</f>
        <v>-1.8000000000000009E-2</v>
      </c>
      <c r="AS701">
        <f>'Bookings and Drivers'!BA141</f>
        <v>0.05</v>
      </c>
      <c r="AT701">
        <f>'Bookings and Drivers'!BB141</f>
        <v>0.10500000000000001</v>
      </c>
      <c r="AU701">
        <f>'Bookings and Drivers'!BC141</f>
        <v>0.11</v>
      </c>
      <c r="AV701">
        <f>'Bookings and Drivers'!BD141</f>
        <v>0.11199999999999999</v>
      </c>
      <c r="AW701">
        <f>'Bookings and Drivers'!BE141</f>
        <v>0.12000000000000001</v>
      </c>
      <c r="AX701">
        <f>'Bookings and Drivers'!BF141</f>
        <v>0.12</v>
      </c>
      <c r="AY701">
        <f>'Bookings and Drivers'!BG141</f>
        <v>0.11</v>
      </c>
      <c r="AZ701">
        <f>'Bookings and Drivers'!BH141</f>
        <v>6.9999999999999993E-2</v>
      </c>
      <c r="BA701">
        <f>'Bookings and Drivers'!BI141</f>
        <v>6.0000000000000005E-2</v>
      </c>
      <c r="BB701">
        <f>'Bookings and Drivers'!BJ141</f>
        <v>0.05</v>
      </c>
      <c r="BC701">
        <f>'Bookings and Drivers'!BK141</f>
        <v>6.8000000000000005E-2</v>
      </c>
      <c r="BD701">
        <f>'Bookings and Drivers'!BL141</f>
        <v>0.03</v>
      </c>
      <c r="BE701">
        <f>'Bookings and Drivers'!BM141</f>
        <v>0.04</v>
      </c>
      <c r="BF701">
        <f>'Bookings and Drivers'!BN141</f>
        <v>0.04</v>
      </c>
      <c r="BG701">
        <f>'Bookings and Drivers'!BO141</f>
        <v>4.8000000000000001E-2</v>
      </c>
      <c r="BH701">
        <f>'Bookings and Drivers'!BP141</f>
        <v>0.05</v>
      </c>
      <c r="BI701">
        <f>'Bookings and Drivers'!BQ141</f>
        <v>0.05</v>
      </c>
      <c r="BJ701">
        <f>'Bookings and Drivers'!BR141</f>
        <v>0.05</v>
      </c>
      <c r="BK701">
        <f>'Bookings and Drivers'!BS141</f>
        <v>4.7500000000000001E-2</v>
      </c>
      <c r="BL701">
        <f>'Bookings and Drivers'!BT141</f>
        <v>0.04</v>
      </c>
      <c r="BM701">
        <f>'Bookings and Drivers'!BU141</f>
        <v>1.4999999999999999E-2</v>
      </c>
      <c r="BN701">
        <f>'Bookings and Drivers'!BV141</f>
        <v>1.4999999999999999E-2</v>
      </c>
      <c r="BO701">
        <f>'Bookings and Drivers'!BW141</f>
        <v>1.2500000000000001E-2</v>
      </c>
      <c r="BP701">
        <f>'Bookings and Drivers'!BX141</f>
        <v>5.0000000000000001E-3</v>
      </c>
      <c r="BQ701">
        <f>'Bookings and Drivers'!BY141</f>
        <v>5.0000000000000001E-3</v>
      </c>
      <c r="BR701">
        <f>'Bookings and Drivers'!BZ141</f>
        <v>-1.4999999999999999E-2</v>
      </c>
      <c r="BS701">
        <f>'Bookings and Drivers'!CA141</f>
        <v>-1.4999999999999999E-2</v>
      </c>
      <c r="BT701">
        <f>'Bookings and Drivers'!CB141</f>
        <v>-1.4999999999999999E-2</v>
      </c>
      <c r="BU701">
        <f>'Bookings and Drivers'!CC141</f>
        <v>0</v>
      </c>
      <c r="BV701">
        <f>'Bookings and Drivers'!CD141</f>
        <v>-0.03</v>
      </c>
      <c r="BW701">
        <f>'Bookings and Drivers'!CE141</f>
        <v>-0.02</v>
      </c>
      <c r="BX701">
        <f>'Bookings and Drivers'!CF141</f>
        <v>-0.02</v>
      </c>
      <c r="BY701">
        <f>'Bookings and Drivers'!CG141</f>
        <v>0</v>
      </c>
      <c r="BZ701">
        <f>'Bookings and Drivers'!CH141</f>
        <v>0</v>
      </c>
      <c r="CA701">
        <f>'Bookings and Drivers'!CI141</f>
        <v>0</v>
      </c>
      <c r="CB701">
        <f>'Bookings and Drivers'!CJ141</f>
        <v>0</v>
      </c>
      <c r="CC701">
        <f>'Bookings and Drivers'!CK141</f>
        <v>0</v>
      </c>
      <c r="CD701">
        <f>'Bookings and Drivers'!CL141</f>
        <v>0</v>
      </c>
      <c r="CE701">
        <f>'Bookings and Drivers'!CM141</f>
        <v>0</v>
      </c>
      <c r="CF701">
        <f>'Bookings and Drivers'!CN141</f>
        <v>0</v>
      </c>
      <c r="CG701">
        <f>'Bookings and Drivers'!CO141</f>
        <v>0</v>
      </c>
      <c r="CH701">
        <f>'Bookings and Drivers'!CP141</f>
        <v>-9.8541836235950475E-2</v>
      </c>
      <c r="CI701">
        <f>'Bookings and Drivers'!CQ141</f>
        <v>-7.0215204639207274E-2</v>
      </c>
      <c r="CJ701">
        <f>'Bookings and Drivers'!CR141</f>
        <v>9.505848057008448E-2</v>
      </c>
      <c r="CK701">
        <f>'Bookings and Drivers'!CS141</f>
        <v>0.10489474974444302</v>
      </c>
      <c r="CL701">
        <f>'Bookings and Drivers'!CT141</f>
        <v>5.1904059693681281E-2</v>
      </c>
      <c r="CM701">
        <f>'Bookings and Drivers'!CU141</f>
        <v>4.407324104691579E-2</v>
      </c>
      <c r="CN701">
        <f>'Bookings and Drivers'!CV141</f>
        <v>4.6827540182032612E-2</v>
      </c>
      <c r="CO701">
        <f>'Bookings and Drivers'!CW141</f>
        <v>1.1777635628356542E-2</v>
      </c>
      <c r="CP701">
        <f>'Bookings and Drivers'!CX141</f>
        <v>-1.0703138480116836E-2</v>
      </c>
      <c r="CQ701">
        <f>'Bookings and Drivers'!CY141</f>
        <v>-1.8229089388959729E-2</v>
      </c>
      <c r="CR701">
        <f>'Bookings and Drivers'!CZ141</f>
        <v>-1.2525950908842565E-2</v>
      </c>
      <c r="CS701">
        <f>'Bookings and Drivers'!DA141</f>
        <v>0</v>
      </c>
      <c r="CT701">
        <f>'Bookings and Drivers'!DB141</f>
        <v>0</v>
      </c>
      <c r="CU701">
        <f>'Bookings and Drivers'!DC141</f>
        <v>0</v>
      </c>
      <c r="CV701">
        <f>'Bookings and Drivers'!DD141</f>
        <v>0</v>
      </c>
      <c r="CW701">
        <f>'Bookings and Drivers'!DE141</f>
        <v>0</v>
      </c>
      <c r="CX701">
        <f>'Bookings and Drivers'!DF141</f>
        <v>0</v>
      </c>
    </row>
    <row r="702" spans="1:102">
      <c r="A702">
        <f>'Bookings and Drivers'!I142</f>
        <v>0</v>
      </c>
      <c r="B702">
        <f>'Bookings and Drivers'!J142</f>
        <v>0</v>
      </c>
      <c r="C702">
        <f>'Bookings and Drivers'!K142</f>
        <v>0</v>
      </c>
      <c r="D702">
        <f>'Bookings and Drivers'!L142</f>
        <v>0</v>
      </c>
      <c r="E702">
        <f>'Bookings and Drivers'!M142</f>
        <v>0</v>
      </c>
      <c r="F702">
        <f>'Bookings and Drivers'!N142</f>
        <v>0</v>
      </c>
      <c r="G702">
        <f>'Bookings and Drivers'!O142</f>
        <v>0</v>
      </c>
      <c r="H702">
        <f>'Bookings and Drivers'!P142</f>
        <v>0</v>
      </c>
      <c r="I702">
        <f>'Bookings and Drivers'!Q142</f>
        <v>0</v>
      </c>
      <c r="J702">
        <f>'Bookings and Drivers'!R142</f>
        <v>0</v>
      </c>
      <c r="K702">
        <f>'Bookings and Drivers'!S142</f>
        <v>0</v>
      </c>
      <c r="L702">
        <f>'Bookings and Drivers'!T142</f>
        <v>0</v>
      </c>
      <c r="M702">
        <f>'Bookings and Drivers'!U142</f>
        <v>0</v>
      </c>
      <c r="N702">
        <f>'Bookings and Drivers'!V142</f>
        <v>0</v>
      </c>
      <c r="O702">
        <f>'Bookings and Drivers'!W142</f>
        <v>0</v>
      </c>
      <c r="P702">
        <f>'Bookings and Drivers'!X142</f>
        <v>0</v>
      </c>
      <c r="Q702">
        <f>'Bookings and Drivers'!Y142</f>
        <v>0</v>
      </c>
      <c r="R702">
        <f>'Bookings and Drivers'!Z142</f>
        <v>0</v>
      </c>
      <c r="S702">
        <f>'Bookings and Drivers'!AA142</f>
        <v>0</v>
      </c>
      <c r="T702">
        <f>'Bookings and Drivers'!AB142</f>
        <v>0</v>
      </c>
      <c r="U702">
        <f>'Bookings and Drivers'!AC142</f>
        <v>0</v>
      </c>
      <c r="V702">
        <f>'Bookings and Drivers'!AD142</f>
        <v>0</v>
      </c>
      <c r="W702">
        <f>'Bookings and Drivers'!AE142</f>
        <v>0</v>
      </c>
      <c r="X702">
        <f>'Bookings and Drivers'!AF142</f>
        <v>0</v>
      </c>
      <c r="Y702">
        <f>'Bookings and Drivers'!AG142</f>
        <v>0</v>
      </c>
      <c r="Z702">
        <f>'Bookings and Drivers'!AH142</f>
        <v>0</v>
      </c>
      <c r="AA702">
        <f>'Bookings and Drivers'!AI142</f>
        <v>0</v>
      </c>
      <c r="AB702">
        <f>'Bookings and Drivers'!AJ142</f>
        <v>0</v>
      </c>
      <c r="AC702">
        <f>'Bookings and Drivers'!AK142</f>
        <v>0</v>
      </c>
      <c r="AD702">
        <f>'Bookings and Drivers'!AL142</f>
        <v>0</v>
      </c>
      <c r="AE702">
        <f>'Bookings and Drivers'!AM142</f>
        <v>0</v>
      </c>
      <c r="AF702">
        <f>'Bookings and Drivers'!AN142</f>
        <v>0</v>
      </c>
      <c r="AG702">
        <f>'Bookings and Drivers'!AO142</f>
        <v>0</v>
      </c>
      <c r="AH702">
        <f>'Bookings and Drivers'!AP142</f>
        <v>0</v>
      </c>
      <c r="AI702">
        <f>'Bookings and Drivers'!AQ142</f>
        <v>0</v>
      </c>
      <c r="AJ702">
        <f>'Bookings and Drivers'!AR142</f>
        <v>0</v>
      </c>
      <c r="AK702">
        <f>'Bookings and Drivers'!AS142</f>
        <v>0</v>
      </c>
      <c r="AL702">
        <f>'Bookings and Drivers'!AT142</f>
        <v>0</v>
      </c>
      <c r="AM702">
        <f>'Bookings and Drivers'!AU142</f>
        <v>0</v>
      </c>
      <c r="AN702">
        <f>'Bookings and Drivers'!AV142</f>
        <v>0</v>
      </c>
      <c r="AO702">
        <f>'Bookings and Drivers'!AW142</f>
        <v>0</v>
      </c>
      <c r="AP702">
        <f>'Bookings and Drivers'!AX142</f>
        <v>0</v>
      </c>
      <c r="AQ702">
        <f>'Bookings and Drivers'!AY142</f>
        <v>0</v>
      </c>
      <c r="AR702">
        <f>'Bookings and Drivers'!AZ142</f>
        <v>0</v>
      </c>
      <c r="AS702">
        <f>'Bookings and Drivers'!BA142</f>
        <v>0</v>
      </c>
      <c r="AT702">
        <f>'Bookings and Drivers'!BB142</f>
        <v>0</v>
      </c>
      <c r="AU702">
        <f>'Bookings and Drivers'!BC142</f>
        <v>0</v>
      </c>
      <c r="AV702">
        <f>'Bookings and Drivers'!BD142</f>
        <v>0</v>
      </c>
      <c r="AW702">
        <f>'Bookings and Drivers'!BE142</f>
        <v>0</v>
      </c>
      <c r="AX702">
        <f>'Bookings and Drivers'!BF142</f>
        <v>0</v>
      </c>
      <c r="AY702">
        <f>'Bookings and Drivers'!BG142</f>
        <v>0</v>
      </c>
      <c r="AZ702">
        <f>'Bookings and Drivers'!BH142</f>
        <v>0</v>
      </c>
      <c r="BA702">
        <f>'Bookings and Drivers'!BI142</f>
        <v>0</v>
      </c>
      <c r="BB702">
        <f>'Bookings and Drivers'!BJ142</f>
        <v>0</v>
      </c>
      <c r="BC702">
        <f>'Bookings and Drivers'!BK142</f>
        <v>0</v>
      </c>
      <c r="BD702">
        <f>'Bookings and Drivers'!BL142</f>
        <v>0</v>
      </c>
      <c r="BE702">
        <f>'Bookings and Drivers'!BM142</f>
        <v>0</v>
      </c>
      <c r="BF702">
        <f>'Bookings and Drivers'!BN142</f>
        <v>0</v>
      </c>
      <c r="BG702">
        <f>'Bookings and Drivers'!BO142</f>
        <v>0</v>
      </c>
      <c r="BH702">
        <f>'Bookings and Drivers'!BP142</f>
        <v>0</v>
      </c>
      <c r="BI702">
        <f>'Bookings and Drivers'!BQ142</f>
        <v>0</v>
      </c>
      <c r="BJ702">
        <f>'Bookings and Drivers'!BR142</f>
        <v>0</v>
      </c>
      <c r="BK702">
        <f>'Bookings and Drivers'!BS142</f>
        <v>0</v>
      </c>
      <c r="BL702">
        <f>'Bookings and Drivers'!BT142</f>
        <v>0</v>
      </c>
      <c r="BM702">
        <f>'Bookings and Drivers'!BU142</f>
        <v>0</v>
      </c>
      <c r="BN702">
        <f>'Bookings and Drivers'!BV142</f>
        <v>0</v>
      </c>
      <c r="BO702">
        <f>'Bookings and Drivers'!BW142</f>
        <v>0</v>
      </c>
      <c r="BP702">
        <f>'Bookings and Drivers'!BX142</f>
        <v>0</v>
      </c>
      <c r="BQ702">
        <f>'Bookings and Drivers'!BY142</f>
        <v>0</v>
      </c>
      <c r="BR702">
        <f>'Bookings and Drivers'!BZ142</f>
        <v>0</v>
      </c>
      <c r="BS702">
        <f>'Bookings and Drivers'!CA142</f>
        <v>0</v>
      </c>
      <c r="BT702">
        <f>'Bookings and Drivers'!CB142</f>
        <v>0</v>
      </c>
      <c r="BU702">
        <f>'Bookings and Drivers'!CC142</f>
        <v>0</v>
      </c>
      <c r="BV702">
        <f>'Bookings and Drivers'!CD142</f>
        <v>0</v>
      </c>
      <c r="BW702">
        <f>'Bookings and Drivers'!CE142</f>
        <v>0</v>
      </c>
      <c r="BX702">
        <f>'Bookings and Drivers'!CF142</f>
        <v>0</v>
      </c>
      <c r="BY702">
        <f>'Bookings and Drivers'!CG142</f>
        <v>0</v>
      </c>
      <c r="BZ702">
        <f>'Bookings and Drivers'!CH142</f>
        <v>0</v>
      </c>
      <c r="CA702">
        <f>'Bookings and Drivers'!CI142</f>
        <v>0</v>
      </c>
      <c r="CB702">
        <f>'Bookings and Drivers'!CJ142</f>
        <v>0</v>
      </c>
      <c r="CC702">
        <f>'Bookings and Drivers'!CK142</f>
        <v>0</v>
      </c>
      <c r="CD702">
        <f>'Bookings and Drivers'!CL142</f>
        <v>0</v>
      </c>
      <c r="CE702">
        <f>'Bookings and Drivers'!CM142</f>
        <v>0</v>
      </c>
      <c r="CF702">
        <f>'Bookings and Drivers'!CN142</f>
        <v>0</v>
      </c>
      <c r="CG702">
        <f>'Bookings and Drivers'!CO142</f>
        <v>0</v>
      </c>
      <c r="CH702">
        <f>'Bookings and Drivers'!CP142</f>
        <v>0</v>
      </c>
      <c r="CI702">
        <f>'Bookings and Drivers'!CQ142</f>
        <v>0</v>
      </c>
      <c r="CJ702">
        <f>'Bookings and Drivers'!CR142</f>
        <v>0</v>
      </c>
      <c r="CK702">
        <f>'Bookings and Drivers'!CS142</f>
        <v>0</v>
      </c>
      <c r="CL702">
        <f>'Bookings and Drivers'!CT142</f>
        <v>0</v>
      </c>
      <c r="CM702">
        <f>'Bookings and Drivers'!CU142</f>
        <v>0</v>
      </c>
      <c r="CN702">
        <f>'Bookings and Drivers'!CV142</f>
        <v>0</v>
      </c>
      <c r="CO702">
        <f>'Bookings and Drivers'!CW142</f>
        <v>0</v>
      </c>
      <c r="CP702">
        <f>'Bookings and Drivers'!CX142</f>
        <v>0</v>
      </c>
      <c r="CQ702">
        <f>'Bookings and Drivers'!CY142</f>
        <v>0</v>
      </c>
      <c r="CR702">
        <f>'Bookings and Drivers'!CZ142</f>
        <v>0</v>
      </c>
      <c r="CS702">
        <f>'Bookings and Drivers'!DA142</f>
        <v>0</v>
      </c>
      <c r="CT702">
        <f>'Bookings and Drivers'!DB142</f>
        <v>0</v>
      </c>
      <c r="CU702">
        <f>'Bookings and Drivers'!DC142</f>
        <v>0</v>
      </c>
      <c r="CV702">
        <f>'Bookings and Drivers'!DD142</f>
        <v>0</v>
      </c>
      <c r="CW702">
        <f>'Bookings and Drivers'!DE142</f>
        <v>0</v>
      </c>
      <c r="CX702">
        <f>'Bookings and Drivers'!DF142</f>
        <v>0</v>
      </c>
    </row>
    <row r="703" spans="1:102">
      <c r="A703" t="str">
        <f>'Bookings and Drivers'!I143</f>
        <v>Total Domestic Hotel Bookings</v>
      </c>
      <c r="B703">
        <f>'Bookings and Drivers'!J143</f>
        <v>0</v>
      </c>
      <c r="C703">
        <f>'Bookings and Drivers'!K143</f>
        <v>0</v>
      </c>
      <c r="D703">
        <f>'Bookings and Drivers'!L143</f>
        <v>0</v>
      </c>
      <c r="E703">
        <f>'Bookings and Drivers'!M143</f>
        <v>0</v>
      </c>
      <c r="F703">
        <f>'Bookings and Drivers'!N143</f>
        <v>0</v>
      </c>
      <c r="G703">
        <f>'Bookings and Drivers'!O143</f>
        <v>0</v>
      </c>
      <c r="H703">
        <f>'Bookings and Drivers'!P143</f>
        <v>0</v>
      </c>
      <c r="I703">
        <f>'Bookings and Drivers'!Q143</f>
        <v>0</v>
      </c>
      <c r="J703">
        <f>'Bookings and Drivers'!R143</f>
        <v>0</v>
      </c>
      <c r="K703">
        <f>'Bookings and Drivers'!S143</f>
        <v>0</v>
      </c>
      <c r="L703">
        <f>'Bookings and Drivers'!T143</f>
        <v>0</v>
      </c>
      <c r="M703">
        <f>'Bookings and Drivers'!U143</f>
        <v>0</v>
      </c>
      <c r="N703">
        <f>'Bookings and Drivers'!V143</f>
        <v>0</v>
      </c>
      <c r="O703">
        <f>'Bookings and Drivers'!W143</f>
        <v>0</v>
      </c>
      <c r="P703">
        <f>'Bookings and Drivers'!X143</f>
        <v>0</v>
      </c>
      <c r="Q703">
        <f>'Bookings and Drivers'!Y143</f>
        <v>0</v>
      </c>
      <c r="R703">
        <f>'Bookings and Drivers'!Z143</f>
        <v>0</v>
      </c>
      <c r="S703">
        <f>'Bookings and Drivers'!AA143</f>
        <v>0</v>
      </c>
      <c r="T703">
        <f>'Bookings and Drivers'!AB143</f>
        <v>0</v>
      </c>
      <c r="U703">
        <f>'Bookings and Drivers'!AC143</f>
        <v>0</v>
      </c>
      <c r="V703">
        <f>'Bookings and Drivers'!AD143</f>
        <v>0</v>
      </c>
      <c r="W703">
        <f>'Bookings and Drivers'!AE143</f>
        <v>0</v>
      </c>
      <c r="X703">
        <f>'Bookings and Drivers'!AF143</f>
        <v>0</v>
      </c>
      <c r="Y703">
        <f>'Bookings and Drivers'!AG143</f>
        <v>98.218450000000018</v>
      </c>
      <c r="Z703">
        <f>'Bookings and Drivers'!AH143</f>
        <v>111.26362500000002</v>
      </c>
      <c r="AA703">
        <f>'Bookings and Drivers'!AI143</f>
        <v>112.35510000000001</v>
      </c>
      <c r="AB703">
        <f>'Bookings and Drivers'!AJ143</f>
        <v>91.484250000000017</v>
      </c>
      <c r="AC703">
        <f>'Bookings and Drivers'!AK143</f>
        <v>114.62836235573526</v>
      </c>
      <c r="AD703">
        <f>'Bookings and Drivers'!AL143</f>
        <v>132.33980508056598</v>
      </c>
      <c r="AE703">
        <f>'Bookings and Drivers'!AM143</f>
        <v>133.84172959257455</v>
      </c>
      <c r="AF703">
        <f>'Bookings and Drivers'!AN143</f>
        <v>115.674229014801</v>
      </c>
      <c r="AG703">
        <f>'Bookings and Drivers'!AO143</f>
        <v>151.38464066587349</v>
      </c>
      <c r="AH703">
        <f>'Bookings and Drivers'!AP143</f>
        <v>185.5599914913995</v>
      </c>
      <c r="AI703">
        <f>'Bookings and Drivers'!AQ143</f>
        <v>175.01236067323356</v>
      </c>
      <c r="AJ703">
        <f>'Bookings and Drivers'!AR143</f>
        <v>162.86052574558539</v>
      </c>
      <c r="AK703">
        <f>'Bookings and Drivers'!AS143</f>
        <v>192.74799251978985</v>
      </c>
      <c r="AL703">
        <f>'Bookings and Drivers'!AT143</f>
        <v>248.6705145186265</v>
      </c>
      <c r="AM703">
        <f>'Bookings and Drivers'!AU143</f>
        <v>246.80407511808167</v>
      </c>
      <c r="AN703">
        <f>'Bookings and Drivers'!AV143</f>
        <v>199.89453962657237</v>
      </c>
      <c r="AO703">
        <f>'Bookings and Drivers'!AW143</f>
        <v>227.51799523504917</v>
      </c>
      <c r="AP703">
        <f>'Bookings and Drivers'!AX143</f>
        <v>296.11187517243002</v>
      </c>
      <c r="AQ703">
        <f>'Bookings and Drivers'!AY143</f>
        <v>291.68388189331722</v>
      </c>
      <c r="AR703">
        <f>'Bookings and Drivers'!AZ143</f>
        <v>238.21049041190605</v>
      </c>
      <c r="AS703">
        <f>'Bookings and Drivers'!BA143</f>
        <v>257.68907505392076</v>
      </c>
      <c r="AT703">
        <f>'Bookings and Drivers'!BB143</f>
        <v>303.62415228036622</v>
      </c>
      <c r="AU703">
        <f>'Bookings and Drivers'!BC143</f>
        <v>321.60850872560411</v>
      </c>
      <c r="AV703">
        <f>'Bookings and Drivers'!BD143</f>
        <v>271.9445572357767</v>
      </c>
      <c r="AW703">
        <f>'Bookings and Drivers'!BE143</f>
        <v>273.27926409468301</v>
      </c>
      <c r="AX703">
        <f>'Bookings and Drivers'!BF143</f>
        <v>310.40104335926401</v>
      </c>
      <c r="AY703">
        <f>'Bookings and Drivers'!BG143</f>
        <v>332.62360014945614</v>
      </c>
      <c r="AZ703">
        <f>'Bookings and Drivers'!BH143</f>
        <v>270.54404276601247</v>
      </c>
      <c r="BA703">
        <f>'Bookings and Drivers'!BI143</f>
        <v>278.77217730298611</v>
      </c>
      <c r="BB703">
        <f>'Bookings and Drivers'!BJ143</f>
        <v>329.18030648249947</v>
      </c>
      <c r="BC703">
        <f>'Bookings and Drivers'!BK143</f>
        <v>365.69969094831805</v>
      </c>
      <c r="BD703">
        <f>'Bookings and Drivers'!BL143</f>
        <v>331.14590834559925</v>
      </c>
      <c r="BE703">
        <f>'Bookings and Drivers'!BM143</f>
        <v>304.36346317940024</v>
      </c>
      <c r="BF703">
        <f>'Bookings and Drivers'!BN143</f>
        <v>359.39905861759297</v>
      </c>
      <c r="BG703">
        <f>'Bookings and Drivers'!BO143</f>
        <v>399.27092257737365</v>
      </c>
      <c r="BH703">
        <f>'Bookings and Drivers'!BP143</f>
        <v>358.13429987576563</v>
      </c>
      <c r="BI703">
        <f>'Bookings and Drivers'!BQ143</f>
        <v>325.97326906513769</v>
      </c>
      <c r="BJ703">
        <f>'Bookings and Drivers'!BR143</f>
        <v>384.91639177944211</v>
      </c>
      <c r="BK703">
        <f>'Bookings and Drivers'!BS143</f>
        <v>426.5710719086016</v>
      </c>
      <c r="BL703">
        <f>'Bookings and Drivers'!BT143</f>
        <v>379.80142501824946</v>
      </c>
      <c r="BM703">
        <f>'Bookings and Drivers'!BU143</f>
        <v>340.5605728558026</v>
      </c>
      <c r="BN703">
        <f>'Bookings and Drivers'!BV143</f>
        <v>402.14140031157206</v>
      </c>
      <c r="BO703">
        <f>'Bookings and Drivers'!BW143</f>
        <v>445.66012737651158</v>
      </c>
      <c r="BP703">
        <f>'Bookings and Drivers'!BX143</f>
        <v>396.79753878781617</v>
      </c>
      <c r="BQ703">
        <f>'Bookings and Drivers'!BY143</f>
        <v>361.16448751357865</v>
      </c>
      <c r="BR703">
        <f>'Bookings and Drivers'!BZ143</f>
        <v>418.02598562387919</v>
      </c>
      <c r="BS703">
        <f>'Bookings and Drivers'!CA143</f>
        <v>463.26370240788384</v>
      </c>
      <c r="BT703">
        <f>'Bookings and Drivers'!CB143</f>
        <v>412.47104156993493</v>
      </c>
      <c r="BU703">
        <f>'Bookings and Drivers'!CC143</f>
        <v>375.43048477036501</v>
      </c>
      <c r="BV703">
        <f>'Bookings and Drivers'!CD143</f>
        <v>430.1487392069717</v>
      </c>
      <c r="BW703">
        <f>'Bookings and Drivers'!CE143</f>
        <v>481.56261865299518</v>
      </c>
      <c r="BX703">
        <f>'Bookings and Drivers'!CF143</f>
        <v>428.76364771194733</v>
      </c>
      <c r="BY703">
        <f>'Bookings and Drivers'!CG143</f>
        <v>0</v>
      </c>
      <c r="BZ703">
        <f>'Bookings and Drivers'!CH143</f>
        <v>0</v>
      </c>
      <c r="CA703">
        <f>'Bookings and Drivers'!CI143</f>
        <v>0</v>
      </c>
      <c r="CB703">
        <f>'Bookings and Drivers'!CJ143</f>
        <v>0</v>
      </c>
      <c r="CC703">
        <f>'Bookings and Drivers'!CK143</f>
        <v>0</v>
      </c>
      <c r="CD703">
        <f>'Bookings and Drivers'!CL143</f>
        <v>0</v>
      </c>
      <c r="CE703">
        <f>'Bookings and Drivers'!CM143</f>
        <v>413.32142500000009</v>
      </c>
      <c r="CF703">
        <f>'Bookings and Drivers'!CN143</f>
        <v>496.48412604367684</v>
      </c>
      <c r="CG703">
        <f>'Bookings and Drivers'!CO143</f>
        <v>674.81751857609197</v>
      </c>
      <c r="CH703">
        <f>'Bookings and Drivers'!CP143</f>
        <v>888.11712178307039</v>
      </c>
      <c r="CI703">
        <f>'Bookings and Drivers'!CQ143</f>
        <v>1053.5242427127025</v>
      </c>
      <c r="CJ703">
        <f>'Bookings and Drivers'!CR143</f>
        <v>1154.8662932956677</v>
      </c>
      <c r="CK703">
        <f>'Bookings and Drivers'!CS143</f>
        <v>1186.8479503694157</v>
      </c>
      <c r="CL703">
        <f>'Bookings and Drivers'!CT143</f>
        <v>1304.7980830794029</v>
      </c>
      <c r="CM703">
        <f>'Bookings and Drivers'!CU143</f>
        <v>1421.1677442501325</v>
      </c>
      <c r="CN703">
        <f>'Bookings and Drivers'!CV143</f>
        <v>1517.2621577714308</v>
      </c>
      <c r="CO703">
        <f>'Bookings and Drivers'!CW143</f>
        <v>1585.1596393317025</v>
      </c>
      <c r="CP703">
        <f>'Bookings and Drivers'!CX143</f>
        <v>1654.9252171152766</v>
      </c>
      <c r="CQ703">
        <f>'Bookings and Drivers'!CY143</f>
        <v>1715.9054903422793</v>
      </c>
      <c r="CR703">
        <f>'Bookings and Drivers'!CZ143</f>
        <v>1784.5417099559706</v>
      </c>
      <c r="CS703">
        <f>'Bookings and Drivers'!DA143</f>
        <v>1855.9233783542097</v>
      </c>
      <c r="CT703">
        <f>'Bookings and Drivers'!DB143</f>
        <v>1930.1603134883781</v>
      </c>
      <c r="CU703">
        <f>'Bookings and Drivers'!DC143</f>
        <v>2007.366726027913</v>
      </c>
      <c r="CV703">
        <f>'Bookings and Drivers'!DD143</f>
        <v>2087.6613950690298</v>
      </c>
      <c r="CW703">
        <f>'Bookings and Drivers'!DE143</f>
        <v>2171.167850871791</v>
      </c>
      <c r="CX703">
        <f>'Bookings and Drivers'!DF143</f>
        <v>2258.0145649066626</v>
      </c>
    </row>
    <row r="704" spans="1:102">
      <c r="A704" t="str">
        <f>'Bookings and Drivers'!I144</f>
        <v>% change Y/Y</v>
      </c>
      <c r="B704">
        <f>'Bookings and Drivers'!J144</f>
        <v>0</v>
      </c>
      <c r="C704">
        <f>'Bookings and Drivers'!K144</f>
        <v>0</v>
      </c>
      <c r="D704">
        <f>'Bookings and Drivers'!L144</f>
        <v>0</v>
      </c>
      <c r="E704">
        <f>'Bookings and Drivers'!M144</f>
        <v>0</v>
      </c>
      <c r="F704">
        <f>'Bookings and Drivers'!N144</f>
        <v>0</v>
      </c>
      <c r="G704">
        <f>'Bookings and Drivers'!O144</f>
        <v>0</v>
      </c>
      <c r="H704">
        <f>'Bookings and Drivers'!P144</f>
        <v>0</v>
      </c>
      <c r="I704">
        <f>'Bookings and Drivers'!Q144</f>
        <v>0</v>
      </c>
      <c r="J704">
        <f>'Bookings and Drivers'!R144</f>
        <v>0</v>
      </c>
      <c r="K704">
        <f>'Bookings and Drivers'!S144</f>
        <v>0</v>
      </c>
      <c r="L704">
        <f>'Bookings and Drivers'!T144</f>
        <v>0</v>
      </c>
      <c r="M704">
        <f>'Bookings and Drivers'!U144</f>
        <v>0</v>
      </c>
      <c r="N704">
        <f>'Bookings and Drivers'!V144</f>
        <v>0</v>
      </c>
      <c r="O704">
        <f>'Bookings and Drivers'!W144</f>
        <v>0</v>
      </c>
      <c r="P704">
        <f>'Bookings and Drivers'!X144</f>
        <v>0</v>
      </c>
      <c r="Q704">
        <f>'Bookings and Drivers'!Y144</f>
        <v>0</v>
      </c>
      <c r="R704">
        <f>'Bookings and Drivers'!Z144</f>
        <v>0</v>
      </c>
      <c r="S704">
        <f>'Bookings and Drivers'!AA144</f>
        <v>0</v>
      </c>
      <c r="T704">
        <f>'Bookings and Drivers'!AB144</f>
        <v>0</v>
      </c>
      <c r="U704">
        <f>'Bookings and Drivers'!AC144</f>
        <v>0</v>
      </c>
      <c r="V704">
        <f>'Bookings and Drivers'!AD144</f>
        <v>0</v>
      </c>
      <c r="W704">
        <f>'Bookings and Drivers'!AE144</f>
        <v>0</v>
      </c>
      <c r="X704">
        <f>'Bookings and Drivers'!AF144</f>
        <v>0</v>
      </c>
      <c r="Y704">
        <f>'Bookings and Drivers'!AG144</f>
        <v>0</v>
      </c>
      <c r="Z704">
        <f>'Bookings and Drivers'!AH144</f>
        <v>0</v>
      </c>
      <c r="AA704">
        <f>'Bookings and Drivers'!AI144</f>
        <v>0</v>
      </c>
      <c r="AB704">
        <f>'Bookings and Drivers'!AJ144</f>
        <v>0</v>
      </c>
      <c r="AC704">
        <f>'Bookings and Drivers'!AK144</f>
        <v>0.16707565997768481</v>
      </c>
      <c r="AD704">
        <f>'Bookings and Drivers'!AL144</f>
        <v>0.18942561039662298</v>
      </c>
      <c r="AE704">
        <f>'Bookings and Drivers'!AM144</f>
        <v>0.19123857833400115</v>
      </c>
      <c r="AF704">
        <f>'Bookings and Drivers'!AN144</f>
        <v>0.26441686973223244</v>
      </c>
      <c r="AG704">
        <f>'Bookings and Drivers'!AO144</f>
        <v>0.32065605365685634</v>
      </c>
      <c r="AH704">
        <f>'Bookings and Drivers'!AP144</f>
        <v>0.40214798849396871</v>
      </c>
      <c r="AI704">
        <f>'Bookings and Drivers'!AQ144</f>
        <v>0.30760683686609447</v>
      </c>
      <c r="AJ704">
        <f>'Bookings and Drivers'!AR144</f>
        <v>0.40792402190765165</v>
      </c>
      <c r="AK704">
        <f>'Bookings and Drivers'!AS144</f>
        <v>0.27323347779522034</v>
      </c>
      <c r="AL704">
        <f>'Bookings and Drivers'!AT144</f>
        <v>0.34010846044984921</v>
      </c>
      <c r="AM704">
        <f>'Bookings and Drivers'!AU144</f>
        <v>0.41020939417468227</v>
      </c>
      <c r="AN704">
        <f>'Bookings and Drivers'!AV144</f>
        <v>0.2273971160994539</v>
      </c>
      <c r="AO704">
        <f>'Bookings and Drivers'!AW144</f>
        <v>0.18039099790722557</v>
      </c>
      <c r="AP704">
        <f>'Bookings and Drivers'!AX144</f>
        <v>0.19077999957349157</v>
      </c>
      <c r="AQ704">
        <f>'Bookings and Drivers'!AY144</f>
        <v>0.18184386442469846</v>
      </c>
      <c r="AR704">
        <f>'Bookings and Drivers'!AZ144</f>
        <v>0.19168082758494864</v>
      </c>
      <c r="AS704">
        <f>'Bookings and Drivers'!BA144</f>
        <v>0.13260964165802269</v>
      </c>
      <c r="AT704">
        <f>'Bookings and Drivers'!BB144</f>
        <v>2.536972589688169E-2</v>
      </c>
      <c r="AU704">
        <f>'Bookings and Drivers'!BC144</f>
        <v>0.1025926651758966</v>
      </c>
      <c r="AV704">
        <f>'Bookings and Drivers'!BD144</f>
        <v>0.14161453076872799</v>
      </c>
      <c r="AW704">
        <f>'Bookings and Drivers'!BE144</f>
        <v>6.050000000000022E-2</v>
      </c>
      <c r="AX704">
        <f>'Bookings and Drivers'!BF144</f>
        <v>2.2320000000000118E-2</v>
      </c>
      <c r="AY704">
        <f>'Bookings and Drivers'!BG144</f>
        <v>3.4250000000000336E-2</v>
      </c>
      <c r="AZ704">
        <f>'Bookings and Drivers'!BH144</f>
        <v>-5.1499999999999879E-3</v>
      </c>
      <c r="BA704">
        <f>'Bookings and Drivers'!BI144</f>
        <v>2.0099999999999785E-2</v>
      </c>
      <c r="BB704">
        <f>'Bookings and Drivers'!BJ144</f>
        <v>6.0499999999999998E-2</v>
      </c>
      <c r="BC704">
        <f>'Bookings and Drivers'!BK144</f>
        <v>9.9439999999999973E-2</v>
      </c>
      <c r="BD704">
        <f>'Bookings and Drivers'!BL144</f>
        <v>0.22399999999999998</v>
      </c>
      <c r="BE704">
        <f>'Bookings and Drivers'!BM144</f>
        <v>9.1800000000000104E-2</v>
      </c>
      <c r="BF704">
        <f>'Bookings and Drivers'!BN144</f>
        <v>9.1800000000000104E-2</v>
      </c>
      <c r="BG704">
        <f>'Bookings and Drivers'!BO144</f>
        <v>9.1800000000000104E-2</v>
      </c>
      <c r="BH704">
        <f>'Bookings and Drivers'!BP144</f>
        <v>8.1500000000000128E-2</v>
      </c>
      <c r="BI704">
        <f>'Bookings and Drivers'!BQ144</f>
        <v>7.1000000000000174E-2</v>
      </c>
      <c r="BJ704">
        <f>'Bookings and Drivers'!BR144</f>
        <v>7.1000000000000174E-2</v>
      </c>
      <c r="BK704">
        <f>'Bookings and Drivers'!BS144</f>
        <v>6.8375000000000075E-2</v>
      </c>
      <c r="BL704">
        <f>'Bookings and Drivers'!BT144</f>
        <v>6.0499999999999998E-2</v>
      </c>
      <c r="BM704">
        <f>'Bookings and Drivers'!BU144</f>
        <v>4.4750000000000068E-2</v>
      </c>
      <c r="BN704">
        <f>'Bookings and Drivers'!BV144</f>
        <v>4.4749999999999845E-2</v>
      </c>
      <c r="BO704">
        <f>'Bookings and Drivers'!BW144</f>
        <v>4.4750000000000068E-2</v>
      </c>
      <c r="BP704">
        <f>'Bookings and Drivers'!BX144</f>
        <v>4.4750000000000068E-2</v>
      </c>
      <c r="BQ704">
        <f>'Bookings and Drivers'!BY144</f>
        <v>6.0499999999999998E-2</v>
      </c>
      <c r="BR704">
        <f>'Bookings and Drivers'!BZ144</f>
        <v>3.9500000000000091E-2</v>
      </c>
      <c r="BS704">
        <f>'Bookings and Drivers'!CA144</f>
        <v>3.9500000000000091E-2</v>
      </c>
      <c r="BT704">
        <f>'Bookings and Drivers'!CB144</f>
        <v>3.9500000000000091E-2</v>
      </c>
      <c r="BU704">
        <f>'Bookings and Drivers'!CC144</f>
        <v>3.9500000000000091E-2</v>
      </c>
      <c r="BV704">
        <f>'Bookings and Drivers'!CD144</f>
        <v>2.8999999999999915E-2</v>
      </c>
      <c r="BW704">
        <f>'Bookings and Drivers'!CE144</f>
        <v>3.9499999999999869E-2</v>
      </c>
      <c r="BX704">
        <f>'Bookings and Drivers'!CF144</f>
        <v>3.9499999999999869E-2</v>
      </c>
      <c r="BY704">
        <f>'Bookings and Drivers'!CG144</f>
        <v>0</v>
      </c>
      <c r="BZ704">
        <f>'Bookings and Drivers'!CH144</f>
        <v>0</v>
      </c>
      <c r="CA704">
        <f>'Bookings and Drivers'!CI144</f>
        <v>0</v>
      </c>
      <c r="CB704">
        <f>'Bookings and Drivers'!CJ144</f>
        <v>0</v>
      </c>
      <c r="CC704">
        <f>'Bookings and Drivers'!CK144</f>
        <v>0</v>
      </c>
      <c r="CD704">
        <f>'Bookings and Drivers'!CL144</f>
        <v>0</v>
      </c>
      <c r="CE704">
        <f>'Bookings and Drivers'!CM144</f>
        <v>0</v>
      </c>
      <c r="CF704">
        <f>'Bookings and Drivers'!CN144</f>
        <v>0.20120588000894646</v>
      </c>
      <c r="CG704">
        <f>'Bookings and Drivers'!CO144</f>
        <v>0.35919253643313209</v>
      </c>
      <c r="CH704">
        <f>'Bookings and Drivers'!CP144</f>
        <v>0.31608486344138509</v>
      </c>
      <c r="CI704">
        <f>'Bookings and Drivers'!CQ144</f>
        <v>0.18624471578427038</v>
      </c>
      <c r="CJ704">
        <f>'Bookings and Drivers'!CR144</f>
        <v>9.6193373132089643E-2</v>
      </c>
      <c r="CK704">
        <f>'Bookings and Drivers'!CS144</f>
        <v>2.7692952213958177E-2</v>
      </c>
      <c r="CL704">
        <f>'Bookings and Drivers'!CT144</f>
        <v>9.9380997096784274E-2</v>
      </c>
      <c r="CM704">
        <f>'Bookings and Drivers'!CU144</f>
        <v>8.9185953504844262E-2</v>
      </c>
      <c r="CN704">
        <f>'Bookings and Drivers'!CV144</f>
        <v>6.7616517409774035E-2</v>
      </c>
      <c r="CO704">
        <f>'Bookings and Drivers'!CW144</f>
        <v>4.4750000000000068E-2</v>
      </c>
      <c r="CP704">
        <f>'Bookings and Drivers'!CX144</f>
        <v>4.4011704595877221E-2</v>
      </c>
      <c r="CQ704">
        <f>'Bookings and Drivers'!CY144</f>
        <v>3.684775154571529E-2</v>
      </c>
      <c r="CR704">
        <f>'Bookings and Drivers'!CZ144</f>
        <v>4.0000000000000036E-2</v>
      </c>
      <c r="CS704">
        <f>'Bookings and Drivers'!DA144</f>
        <v>4.0000000000000036E-2</v>
      </c>
      <c r="CT704">
        <f>'Bookings and Drivers'!DB144</f>
        <v>4.0000000000000036E-2</v>
      </c>
      <c r="CU704">
        <f>'Bookings and Drivers'!DC144</f>
        <v>4.0000000000000036E-2</v>
      </c>
      <c r="CV704">
        <f>'Bookings and Drivers'!DD144</f>
        <v>4.0000000000000036E-2</v>
      </c>
      <c r="CW704">
        <f>'Bookings and Drivers'!DE144</f>
        <v>4.0000000000000036E-2</v>
      </c>
      <c r="CX704">
        <f>'Bookings and Drivers'!DF144</f>
        <v>4.0000000000000036E-2</v>
      </c>
    </row>
    <row r="705" spans="1:102">
      <c r="A705" t="str">
        <f>'Bookings and Drivers'!I145</f>
        <v>Period-to-period change Y/Y</v>
      </c>
      <c r="B705">
        <f>'Bookings and Drivers'!J145</f>
        <v>0</v>
      </c>
      <c r="C705">
        <f>'Bookings and Drivers'!K145</f>
        <v>0</v>
      </c>
      <c r="D705">
        <f>'Bookings and Drivers'!L145</f>
        <v>0</v>
      </c>
      <c r="E705">
        <f>'Bookings and Drivers'!M145</f>
        <v>0</v>
      </c>
      <c r="F705">
        <f>'Bookings and Drivers'!N145</f>
        <v>0</v>
      </c>
      <c r="G705">
        <f>'Bookings and Drivers'!O145</f>
        <v>0</v>
      </c>
      <c r="H705">
        <f>'Bookings and Drivers'!P145</f>
        <v>0</v>
      </c>
      <c r="I705">
        <f>'Bookings and Drivers'!Q145</f>
        <v>0</v>
      </c>
      <c r="J705">
        <f>'Bookings and Drivers'!R145</f>
        <v>0</v>
      </c>
      <c r="K705">
        <f>'Bookings and Drivers'!S145</f>
        <v>0</v>
      </c>
      <c r="L705">
        <f>'Bookings and Drivers'!T145</f>
        <v>0</v>
      </c>
      <c r="M705">
        <f>'Bookings and Drivers'!U145</f>
        <v>0</v>
      </c>
      <c r="N705">
        <f>'Bookings and Drivers'!V145</f>
        <v>0</v>
      </c>
      <c r="O705">
        <f>'Bookings and Drivers'!W145</f>
        <v>0</v>
      </c>
      <c r="P705">
        <f>'Bookings and Drivers'!X145</f>
        <v>0</v>
      </c>
      <c r="Q705">
        <f>'Bookings and Drivers'!Y145</f>
        <v>0</v>
      </c>
      <c r="R705">
        <f>'Bookings and Drivers'!Z145</f>
        <v>0</v>
      </c>
      <c r="S705">
        <f>'Bookings and Drivers'!AA145</f>
        <v>0</v>
      </c>
      <c r="T705">
        <f>'Bookings and Drivers'!AB145</f>
        <v>0</v>
      </c>
      <c r="U705">
        <f>'Bookings and Drivers'!AC145</f>
        <v>0</v>
      </c>
      <c r="V705">
        <f>'Bookings and Drivers'!AD145</f>
        <v>0</v>
      </c>
      <c r="W705">
        <f>'Bookings and Drivers'!AE145</f>
        <v>0</v>
      </c>
      <c r="X705">
        <f>'Bookings and Drivers'!AF145</f>
        <v>0</v>
      </c>
      <c r="Y705">
        <f>'Bookings and Drivers'!AG145</f>
        <v>0</v>
      </c>
      <c r="Z705">
        <f>'Bookings and Drivers'!AH145</f>
        <v>0</v>
      </c>
      <c r="AA705">
        <f>'Bookings and Drivers'!AI145</f>
        <v>0</v>
      </c>
      <c r="AB705">
        <f>'Bookings and Drivers'!AJ145</f>
        <v>0</v>
      </c>
      <c r="AC705">
        <f>'Bookings and Drivers'!AK145</f>
        <v>16.409912355735244</v>
      </c>
      <c r="AD705">
        <f>'Bookings and Drivers'!AL145</f>
        <v>21.076180080565962</v>
      </c>
      <c r="AE705">
        <f>'Bookings and Drivers'!AM145</f>
        <v>21.486629592574545</v>
      </c>
      <c r="AF705">
        <f>'Bookings and Drivers'!AN145</f>
        <v>24.189979014800983</v>
      </c>
      <c r="AG705">
        <f>'Bookings and Drivers'!AO145</f>
        <v>36.756278310138228</v>
      </c>
      <c r="AH705">
        <f>'Bookings and Drivers'!AP145</f>
        <v>53.22018641083352</v>
      </c>
      <c r="AI705">
        <f>'Bookings and Drivers'!AQ145</f>
        <v>41.170631080659007</v>
      </c>
      <c r="AJ705">
        <f>'Bookings and Drivers'!AR145</f>
        <v>47.186296730784392</v>
      </c>
      <c r="AK705">
        <f>'Bookings and Drivers'!AS145</f>
        <v>41.363351853916356</v>
      </c>
      <c r="AL705">
        <f>'Bookings and Drivers'!AT145</f>
        <v>63.110523027227003</v>
      </c>
      <c r="AM705">
        <f>'Bookings and Drivers'!AU145</f>
        <v>71.791714444848111</v>
      </c>
      <c r="AN705">
        <f>'Bookings and Drivers'!AV145</f>
        <v>37.034013880986976</v>
      </c>
      <c r="AO705">
        <f>'Bookings and Drivers'!AW145</f>
        <v>34.770002715259324</v>
      </c>
      <c r="AP705">
        <f>'Bookings and Drivers'!AX145</f>
        <v>47.441360653803514</v>
      </c>
      <c r="AQ705">
        <f>'Bookings and Drivers'!AY145</f>
        <v>44.879806775235551</v>
      </c>
      <c r="AR705">
        <f>'Bookings and Drivers'!AZ145</f>
        <v>38.315950785333683</v>
      </c>
      <c r="AS705">
        <f>'Bookings and Drivers'!BA145</f>
        <v>30.17107981887159</v>
      </c>
      <c r="AT705">
        <f>'Bookings and Drivers'!BB145</f>
        <v>7.5122771079361996</v>
      </c>
      <c r="AU705">
        <f>'Bookings and Drivers'!BC145</f>
        <v>29.92462683228689</v>
      </c>
      <c r="AV705">
        <f>'Bookings and Drivers'!BD145</f>
        <v>33.734066823870648</v>
      </c>
      <c r="AW705">
        <f>'Bookings and Drivers'!BE145</f>
        <v>15.590189040762255</v>
      </c>
      <c r="AX705">
        <f>'Bookings and Drivers'!BF145</f>
        <v>6.7768910788977905</v>
      </c>
      <c r="AY705">
        <f>'Bookings and Drivers'!BG145</f>
        <v>11.015091423852027</v>
      </c>
      <c r="AZ705">
        <f>'Bookings and Drivers'!BH145</f>
        <v>-1.4005144697642322</v>
      </c>
      <c r="BA705">
        <f>'Bookings and Drivers'!BI145</f>
        <v>5.4929132083030936</v>
      </c>
      <c r="BB705">
        <f>'Bookings and Drivers'!BJ145</f>
        <v>18.779263123235467</v>
      </c>
      <c r="BC705">
        <f>'Bookings and Drivers'!BK145</f>
        <v>33.076090798861912</v>
      </c>
      <c r="BD705">
        <f>'Bookings and Drivers'!BL145</f>
        <v>60.601865579586786</v>
      </c>
      <c r="BE705">
        <f>'Bookings and Drivers'!BM145</f>
        <v>25.591285876414133</v>
      </c>
      <c r="BF705">
        <f>'Bookings and Drivers'!BN145</f>
        <v>30.218752135093496</v>
      </c>
      <c r="BG705">
        <f>'Bookings and Drivers'!BO145</f>
        <v>33.571231629055603</v>
      </c>
      <c r="BH705">
        <f>'Bookings and Drivers'!BP145</f>
        <v>26.988391530166382</v>
      </c>
      <c r="BI705">
        <f>'Bookings and Drivers'!BQ145</f>
        <v>21.609805885737444</v>
      </c>
      <c r="BJ705">
        <f>'Bookings and Drivers'!BR145</f>
        <v>25.517333161849137</v>
      </c>
      <c r="BK705">
        <f>'Bookings and Drivers'!BS145</f>
        <v>27.300149331227942</v>
      </c>
      <c r="BL705">
        <f>'Bookings and Drivers'!BT145</f>
        <v>21.667125142483826</v>
      </c>
      <c r="BM705">
        <f>'Bookings and Drivers'!BU145</f>
        <v>14.587303790664919</v>
      </c>
      <c r="BN705">
        <f>'Bookings and Drivers'!BV145</f>
        <v>17.225008532129948</v>
      </c>
      <c r="BO705">
        <f>'Bookings and Drivers'!BW145</f>
        <v>19.089055467909986</v>
      </c>
      <c r="BP705">
        <f>'Bookings and Drivers'!BX145</f>
        <v>16.996113769566705</v>
      </c>
      <c r="BQ705">
        <f>'Bookings and Drivers'!BY145</f>
        <v>20.603914657776045</v>
      </c>
      <c r="BR705">
        <f>'Bookings and Drivers'!BZ145</f>
        <v>15.884585312307138</v>
      </c>
      <c r="BS705">
        <f>'Bookings and Drivers'!CA145</f>
        <v>17.603575031372259</v>
      </c>
      <c r="BT705">
        <f>'Bookings and Drivers'!CB145</f>
        <v>15.67350278211876</v>
      </c>
      <c r="BU705">
        <f>'Bookings and Drivers'!CC145</f>
        <v>14.265997256786363</v>
      </c>
      <c r="BV705">
        <f>'Bookings and Drivers'!CD145</f>
        <v>12.122753583092504</v>
      </c>
      <c r="BW705">
        <f>'Bookings and Drivers'!CE145</f>
        <v>18.298916245111343</v>
      </c>
      <c r="BX705">
        <f>'Bookings and Drivers'!CF145</f>
        <v>16.292606142012403</v>
      </c>
      <c r="BY705">
        <f>'Bookings and Drivers'!CG145</f>
        <v>0</v>
      </c>
      <c r="BZ705">
        <f>'Bookings and Drivers'!CH145</f>
        <v>0</v>
      </c>
      <c r="CA705">
        <f>'Bookings and Drivers'!CI145</f>
        <v>0</v>
      </c>
      <c r="CB705">
        <f>'Bookings and Drivers'!CJ145</f>
        <v>0</v>
      </c>
      <c r="CC705">
        <f>'Bookings and Drivers'!CK145</f>
        <v>0</v>
      </c>
      <c r="CD705">
        <f>'Bookings and Drivers'!CL145</f>
        <v>0</v>
      </c>
      <c r="CE705">
        <f>'Bookings and Drivers'!CM145</f>
        <v>0</v>
      </c>
      <c r="CF705">
        <f>'Bookings and Drivers'!CN145</f>
        <v>83.162701043676748</v>
      </c>
      <c r="CG705">
        <f>'Bookings and Drivers'!CO145</f>
        <v>178.33339253241513</v>
      </c>
      <c r="CH705">
        <f>'Bookings and Drivers'!CP145</f>
        <v>213.29960320697842</v>
      </c>
      <c r="CI705">
        <f>'Bookings and Drivers'!CQ145</f>
        <v>165.40712092963213</v>
      </c>
      <c r="CJ705">
        <f>'Bookings and Drivers'!CR145</f>
        <v>101.34205058296516</v>
      </c>
      <c r="CK705">
        <f>'Bookings and Drivers'!CS145</f>
        <v>31.981657073748011</v>
      </c>
      <c r="CL705">
        <f>'Bookings and Drivers'!CT145</f>
        <v>117.9501327099872</v>
      </c>
      <c r="CM705">
        <f>'Bookings and Drivers'!CU145</f>
        <v>116.36966117072961</v>
      </c>
      <c r="CN705">
        <f>'Bookings and Drivers'!CV145</f>
        <v>96.094413521298293</v>
      </c>
      <c r="CO705">
        <f>'Bookings and Drivers'!CW145</f>
        <v>67.897481560271672</v>
      </c>
      <c r="CP705">
        <f>'Bookings and Drivers'!CX145</f>
        <v>69.765577783574145</v>
      </c>
      <c r="CQ705">
        <f>'Bookings and Drivers'!CY145</f>
        <v>60.980273227002726</v>
      </c>
      <c r="CR705">
        <f>'Bookings and Drivers'!CZ145</f>
        <v>68.63621961369131</v>
      </c>
      <c r="CS705">
        <f>'Bookings and Drivers'!DA145</f>
        <v>71.381668398239071</v>
      </c>
      <c r="CT705">
        <f>'Bookings and Drivers'!DB145</f>
        <v>74.236935134168334</v>
      </c>
      <c r="CU705">
        <f>'Bookings and Drivers'!DC145</f>
        <v>77.206412539534995</v>
      </c>
      <c r="CV705">
        <f>'Bookings and Drivers'!DD145</f>
        <v>80.294669041116776</v>
      </c>
      <c r="CW705">
        <f>'Bookings and Drivers'!DE145</f>
        <v>83.506455802761138</v>
      </c>
      <c r="CX705">
        <f>'Bookings and Drivers'!DF145</f>
        <v>86.846714034871638</v>
      </c>
    </row>
    <row r="706" spans="1:102">
      <c r="A706">
        <f>'Bookings and Drivers'!I146</f>
        <v>0</v>
      </c>
      <c r="B706">
        <f>'Bookings and Drivers'!J146</f>
        <v>0</v>
      </c>
      <c r="C706">
        <f>'Bookings and Drivers'!K146</f>
        <v>0</v>
      </c>
      <c r="D706">
        <f>'Bookings and Drivers'!L146</f>
        <v>0</v>
      </c>
      <c r="E706">
        <f>'Bookings and Drivers'!M146</f>
        <v>0</v>
      </c>
      <c r="F706">
        <f>'Bookings and Drivers'!N146</f>
        <v>0</v>
      </c>
      <c r="G706">
        <f>'Bookings and Drivers'!O146</f>
        <v>0</v>
      </c>
      <c r="H706">
        <f>'Bookings and Drivers'!P146</f>
        <v>0</v>
      </c>
      <c r="I706">
        <f>'Bookings and Drivers'!Q146</f>
        <v>0</v>
      </c>
      <c r="J706">
        <f>'Bookings and Drivers'!R146</f>
        <v>0</v>
      </c>
      <c r="K706">
        <f>'Bookings and Drivers'!S146</f>
        <v>0</v>
      </c>
      <c r="L706">
        <f>'Bookings and Drivers'!T146</f>
        <v>0</v>
      </c>
      <c r="M706">
        <f>'Bookings and Drivers'!U146</f>
        <v>0</v>
      </c>
      <c r="N706">
        <f>'Bookings and Drivers'!V146</f>
        <v>0</v>
      </c>
      <c r="O706">
        <f>'Bookings and Drivers'!W146</f>
        <v>0</v>
      </c>
      <c r="P706">
        <f>'Bookings and Drivers'!X146</f>
        <v>0</v>
      </c>
      <c r="Q706">
        <f>'Bookings and Drivers'!Y146</f>
        <v>0</v>
      </c>
      <c r="R706">
        <f>'Bookings and Drivers'!Z146</f>
        <v>0</v>
      </c>
      <c r="S706">
        <f>'Bookings and Drivers'!AA146</f>
        <v>0</v>
      </c>
      <c r="T706">
        <f>'Bookings and Drivers'!AB146</f>
        <v>0</v>
      </c>
      <c r="U706">
        <f>'Bookings and Drivers'!AC146</f>
        <v>0</v>
      </c>
      <c r="V706">
        <f>'Bookings and Drivers'!AD146</f>
        <v>0</v>
      </c>
      <c r="W706">
        <f>'Bookings and Drivers'!AE146</f>
        <v>0</v>
      </c>
      <c r="X706">
        <f>'Bookings and Drivers'!AF146</f>
        <v>0</v>
      </c>
      <c r="Y706">
        <f>'Bookings and Drivers'!AG146</f>
        <v>0</v>
      </c>
      <c r="Z706">
        <f>'Bookings and Drivers'!AH146</f>
        <v>0</v>
      </c>
      <c r="AA706">
        <f>'Bookings and Drivers'!AI146</f>
        <v>0</v>
      </c>
      <c r="AB706">
        <f>'Bookings and Drivers'!AJ146</f>
        <v>0</v>
      </c>
      <c r="AC706">
        <f>'Bookings and Drivers'!AK146</f>
        <v>0</v>
      </c>
      <c r="AD706">
        <f>'Bookings and Drivers'!AL146</f>
        <v>0</v>
      </c>
      <c r="AE706">
        <f>'Bookings and Drivers'!AM146</f>
        <v>0</v>
      </c>
      <c r="AF706">
        <f>'Bookings and Drivers'!AN146</f>
        <v>0</v>
      </c>
      <c r="AG706">
        <f>'Bookings and Drivers'!AO146</f>
        <v>0</v>
      </c>
      <c r="AH706">
        <f>'Bookings and Drivers'!AP146</f>
        <v>0</v>
      </c>
      <c r="AI706">
        <f>'Bookings and Drivers'!AQ146</f>
        <v>0</v>
      </c>
      <c r="AJ706">
        <f>'Bookings and Drivers'!AR146</f>
        <v>0</v>
      </c>
      <c r="AK706">
        <f>'Bookings and Drivers'!AS146</f>
        <v>0</v>
      </c>
      <c r="AL706">
        <f>'Bookings and Drivers'!AT146</f>
        <v>0</v>
      </c>
      <c r="AM706">
        <f>'Bookings and Drivers'!AU146</f>
        <v>0</v>
      </c>
      <c r="AN706">
        <f>'Bookings and Drivers'!AV146</f>
        <v>0</v>
      </c>
      <c r="AO706">
        <f>'Bookings and Drivers'!AW146</f>
        <v>0</v>
      </c>
      <c r="AP706">
        <f>'Bookings and Drivers'!AX146</f>
        <v>0</v>
      </c>
      <c r="AQ706">
        <f>'Bookings and Drivers'!AY146</f>
        <v>0</v>
      </c>
      <c r="AR706">
        <f>'Bookings and Drivers'!AZ146</f>
        <v>0</v>
      </c>
      <c r="AS706">
        <f>'Bookings and Drivers'!BA146</f>
        <v>0</v>
      </c>
      <c r="AT706">
        <f>'Bookings and Drivers'!BB146</f>
        <v>0</v>
      </c>
      <c r="AU706">
        <f>'Bookings and Drivers'!BC146</f>
        <v>0</v>
      </c>
      <c r="AV706">
        <f>'Bookings and Drivers'!BD146</f>
        <v>0</v>
      </c>
      <c r="AW706">
        <f>'Bookings and Drivers'!BE146</f>
        <v>0</v>
      </c>
      <c r="AX706">
        <f>'Bookings and Drivers'!BF146</f>
        <v>0</v>
      </c>
      <c r="AY706">
        <f>'Bookings and Drivers'!BG146</f>
        <v>0</v>
      </c>
      <c r="AZ706">
        <f>'Bookings and Drivers'!BH146</f>
        <v>0</v>
      </c>
      <c r="BA706">
        <f>'Bookings and Drivers'!BI146</f>
        <v>0</v>
      </c>
      <c r="BB706">
        <f>'Bookings and Drivers'!BJ146</f>
        <v>0</v>
      </c>
      <c r="BC706">
        <f>'Bookings and Drivers'!BK146</f>
        <v>0</v>
      </c>
      <c r="BD706">
        <f>'Bookings and Drivers'!BL146</f>
        <v>0</v>
      </c>
      <c r="BE706">
        <f>'Bookings and Drivers'!BM146</f>
        <v>0</v>
      </c>
      <c r="BF706">
        <f>'Bookings and Drivers'!BN146</f>
        <v>0</v>
      </c>
      <c r="BG706">
        <f>'Bookings and Drivers'!BO146</f>
        <v>0</v>
      </c>
      <c r="BH706">
        <f>'Bookings and Drivers'!BP146</f>
        <v>0</v>
      </c>
      <c r="BI706">
        <f>'Bookings and Drivers'!BQ146</f>
        <v>0</v>
      </c>
      <c r="BJ706">
        <f>'Bookings and Drivers'!BR146</f>
        <v>0</v>
      </c>
      <c r="BK706">
        <f>'Bookings and Drivers'!BS146</f>
        <v>0</v>
      </c>
      <c r="BL706">
        <f>'Bookings and Drivers'!BT146</f>
        <v>0</v>
      </c>
      <c r="BM706">
        <f>'Bookings and Drivers'!BU146</f>
        <v>0</v>
      </c>
      <c r="BN706">
        <f>'Bookings and Drivers'!BV146</f>
        <v>0</v>
      </c>
      <c r="BO706">
        <f>'Bookings and Drivers'!BW146</f>
        <v>0</v>
      </c>
      <c r="BP706">
        <f>'Bookings and Drivers'!BX146</f>
        <v>0</v>
      </c>
      <c r="BQ706">
        <f>'Bookings and Drivers'!BY146</f>
        <v>0</v>
      </c>
      <c r="BR706">
        <f>'Bookings and Drivers'!BZ146</f>
        <v>0</v>
      </c>
      <c r="BS706">
        <f>'Bookings and Drivers'!CA146</f>
        <v>0</v>
      </c>
      <c r="BT706">
        <f>'Bookings and Drivers'!CB146</f>
        <v>0</v>
      </c>
      <c r="BU706">
        <f>'Bookings and Drivers'!CC146</f>
        <v>0</v>
      </c>
      <c r="BV706">
        <f>'Bookings and Drivers'!CD146</f>
        <v>0</v>
      </c>
      <c r="BW706">
        <f>'Bookings and Drivers'!CE146</f>
        <v>0</v>
      </c>
      <c r="BX706">
        <f>'Bookings and Drivers'!CF146</f>
        <v>0</v>
      </c>
      <c r="BY706">
        <f>'Bookings and Drivers'!CG146</f>
        <v>0</v>
      </c>
      <c r="BZ706">
        <f>'Bookings and Drivers'!CH146</f>
        <v>0</v>
      </c>
      <c r="CA706">
        <f>'Bookings and Drivers'!CI146</f>
        <v>0</v>
      </c>
      <c r="CB706">
        <f>'Bookings and Drivers'!CJ146</f>
        <v>0</v>
      </c>
      <c r="CC706">
        <f>'Bookings and Drivers'!CK146</f>
        <v>0</v>
      </c>
      <c r="CD706">
        <f>'Bookings and Drivers'!CL146</f>
        <v>0</v>
      </c>
      <c r="CE706">
        <f>'Bookings and Drivers'!CM146</f>
        <v>0</v>
      </c>
      <c r="CF706">
        <f>'Bookings and Drivers'!CN146</f>
        <v>0</v>
      </c>
      <c r="CG706">
        <f>'Bookings and Drivers'!CO146</f>
        <v>0</v>
      </c>
      <c r="CH706">
        <f>'Bookings and Drivers'!CP146</f>
        <v>0</v>
      </c>
      <c r="CI706">
        <f>'Bookings and Drivers'!CQ146</f>
        <v>0</v>
      </c>
      <c r="CJ706">
        <f>'Bookings and Drivers'!CR146</f>
        <v>0</v>
      </c>
      <c r="CK706">
        <f>'Bookings and Drivers'!CS146</f>
        <v>0</v>
      </c>
      <c r="CL706">
        <f>'Bookings and Drivers'!CT146</f>
        <v>0</v>
      </c>
      <c r="CM706">
        <f>'Bookings and Drivers'!CU146</f>
        <v>0</v>
      </c>
      <c r="CN706">
        <f>'Bookings and Drivers'!CV146</f>
        <v>0</v>
      </c>
      <c r="CO706">
        <f>'Bookings and Drivers'!CW146</f>
        <v>0</v>
      </c>
      <c r="CP706">
        <f>'Bookings and Drivers'!CX146</f>
        <v>0</v>
      </c>
      <c r="CQ706">
        <f>'Bookings and Drivers'!CY146</f>
        <v>0</v>
      </c>
      <c r="CR706">
        <f>'Bookings and Drivers'!CZ146</f>
        <v>0</v>
      </c>
      <c r="CS706">
        <f>'Bookings and Drivers'!DA146</f>
        <v>0</v>
      </c>
      <c r="CT706">
        <f>'Bookings and Drivers'!DB146</f>
        <v>0</v>
      </c>
      <c r="CU706">
        <f>'Bookings and Drivers'!DC146</f>
        <v>0</v>
      </c>
      <c r="CV706">
        <f>'Bookings and Drivers'!DD146</f>
        <v>0</v>
      </c>
      <c r="CW706">
        <f>'Bookings and Drivers'!DE146</f>
        <v>0</v>
      </c>
      <c r="CX706">
        <f>'Bookings and Drivers'!DF146</f>
        <v>0</v>
      </c>
    </row>
    <row r="707" spans="1:102">
      <c r="A707" t="str">
        <f>'Bookings and Drivers'!I147</f>
        <v>Int'l ADR</v>
      </c>
      <c r="B707">
        <f>'Bookings and Drivers'!J147</f>
        <v>0</v>
      </c>
      <c r="C707">
        <f>'Bookings and Drivers'!K147</f>
        <v>0</v>
      </c>
      <c r="D707">
        <f>'Bookings and Drivers'!L147</f>
        <v>0</v>
      </c>
      <c r="E707">
        <f>'Bookings and Drivers'!M147</f>
        <v>0</v>
      </c>
      <c r="F707">
        <f>'Bookings and Drivers'!N147</f>
        <v>0</v>
      </c>
      <c r="G707">
        <f>'Bookings and Drivers'!O147</f>
        <v>0</v>
      </c>
      <c r="H707">
        <f>'Bookings and Drivers'!P147</f>
        <v>0</v>
      </c>
      <c r="I707">
        <f>'Bookings and Drivers'!Q147</f>
        <v>0</v>
      </c>
      <c r="J707">
        <f>'Bookings and Drivers'!R147</f>
        <v>0</v>
      </c>
      <c r="K707">
        <f>'Bookings and Drivers'!S147</f>
        <v>0</v>
      </c>
      <c r="L707">
        <f>'Bookings and Drivers'!T147</f>
        <v>0</v>
      </c>
      <c r="M707">
        <f>'Bookings and Drivers'!U147</f>
        <v>0</v>
      </c>
      <c r="N707">
        <f>'Bookings and Drivers'!V147</f>
        <v>0</v>
      </c>
      <c r="O707">
        <f>'Bookings and Drivers'!W147</f>
        <v>0</v>
      </c>
      <c r="P707">
        <f>'Bookings and Drivers'!X147</f>
        <v>0</v>
      </c>
      <c r="Q707">
        <f>'Bookings and Drivers'!Y147</f>
        <v>0</v>
      </c>
      <c r="R707">
        <f>'Bookings and Drivers'!Z147</f>
        <v>0</v>
      </c>
      <c r="S707">
        <f>'Bookings and Drivers'!AA147</f>
        <v>0</v>
      </c>
      <c r="T707">
        <f>'Bookings and Drivers'!AB147</f>
        <v>0</v>
      </c>
      <c r="U707">
        <f>'Bookings and Drivers'!AC147</f>
        <v>0</v>
      </c>
      <c r="V707">
        <f>'Bookings and Drivers'!AD147</f>
        <v>0</v>
      </c>
      <c r="W707">
        <f>'Bookings and Drivers'!AE147</f>
        <v>0</v>
      </c>
      <c r="X707">
        <f>'Bookings and Drivers'!AF147</f>
        <v>0</v>
      </c>
      <c r="Y707">
        <f>'Bookings and Drivers'!AG147</f>
        <v>115.34503039030086</v>
      </c>
      <c r="Z707">
        <f>'Bookings and Drivers'!AH147</f>
        <v>125.49454965973638</v>
      </c>
      <c r="AA707">
        <f>'Bookings and Drivers'!AI147</f>
        <v>127.31032977213025</v>
      </c>
      <c r="AB707">
        <f>'Bookings and Drivers'!AJ147</f>
        <v>126.20167077046321</v>
      </c>
      <c r="AC707">
        <f>'Bookings and Drivers'!AK147</f>
        <v>139.55409678086892</v>
      </c>
      <c r="AD707">
        <f>'Bookings and Drivers'!AL147</f>
        <v>148.19825513140518</v>
      </c>
      <c r="AE707">
        <f>'Bookings and Drivers'!AM147</f>
        <v>148.32060386135188</v>
      </c>
      <c r="AF707">
        <f>'Bookings and Drivers'!AN147</f>
        <v>162.92648350800576</v>
      </c>
      <c r="AG707">
        <f>'Bookings and Drivers'!AO147</f>
        <v>179.5645089426136</v>
      </c>
      <c r="AH707">
        <f>'Bookings and Drivers'!AP147</f>
        <v>182.02426853979236</v>
      </c>
      <c r="AI707">
        <f>'Bookings and Drivers'!AQ147</f>
        <v>163.80687399004353</v>
      </c>
      <c r="AJ707">
        <f>'Bookings and Drivers'!AR147</f>
        <v>135.13067319337412</v>
      </c>
      <c r="AK707">
        <f>'Bookings and Drivers'!AS147</f>
        <v>127.09496284486927</v>
      </c>
      <c r="AL707">
        <f>'Bookings and Drivers'!AT147</f>
        <v>132.70225353448581</v>
      </c>
      <c r="AM707">
        <f>'Bookings and Drivers'!AU147</f>
        <v>134.87325797332232</v>
      </c>
      <c r="AN707">
        <f>'Bookings and Drivers'!AV147</f>
        <v>145.87410671092297</v>
      </c>
      <c r="AO707">
        <f>'Bookings and Drivers'!AW147</f>
        <v>139.8320302830121</v>
      </c>
      <c r="AP707">
        <f>'Bookings and Drivers'!AX147</f>
        <v>125.9186959034333</v>
      </c>
      <c r="AQ707">
        <f>'Bookings and Drivers'!AY147</f>
        <v>125.87811891750759</v>
      </c>
      <c r="AR707">
        <f>'Bookings and Drivers'!AZ147</f>
        <v>141.27124235901658</v>
      </c>
      <c r="AS707">
        <f>'Bookings and Drivers'!BA147</f>
        <v>146.69317572521152</v>
      </c>
      <c r="AT707">
        <f>'Bookings and Drivers'!BB147</f>
        <v>155.76206404348198</v>
      </c>
      <c r="AU707">
        <f>'Bookings and Drivers'!BC147</f>
        <v>142.90809763317219</v>
      </c>
      <c r="AV707">
        <f>'Bookings and Drivers'!BD147</f>
        <v>142.1927039157155</v>
      </c>
      <c r="AW707">
        <f>'Bookings and Drivers'!BE147</f>
        <v>143.98997229470962</v>
      </c>
      <c r="AX707">
        <f>'Bookings and Drivers'!BF147</f>
        <v>136.75101155064721</v>
      </c>
      <c r="AY707">
        <f>'Bookings and Drivers'!BG147</f>
        <v>125.96697140855778</v>
      </c>
      <c r="AZ707">
        <f>'Bookings and Drivers'!BH147</f>
        <v>137.69894921977794</v>
      </c>
      <c r="BA707">
        <f>'Bookings and Drivers'!BI147</f>
        <v>142.23493766633675</v>
      </c>
      <c r="BB707">
        <f>'Bookings and Drivers'!BJ147</f>
        <v>138.98883892380465</v>
      </c>
      <c r="BC707">
        <f>'Bookings and Drivers'!BK147</f>
        <v>129.24767833084115</v>
      </c>
      <c r="BD707">
        <f>'Bookings and Drivers'!BL147</f>
        <v>139.08776869086756</v>
      </c>
      <c r="BE707">
        <f>'Bookings and Drivers'!BM147</f>
        <v>144.71943461812123</v>
      </c>
      <c r="BF707">
        <f>'Bookings and Drivers'!BN147</f>
        <v>144.78427982132456</v>
      </c>
      <c r="BG707">
        <f>'Bookings and Drivers'!BO147</f>
        <v>132.61425719696174</v>
      </c>
      <c r="BH707">
        <f>'Bookings and Drivers'!BP147</f>
        <v>132.1509499925084</v>
      </c>
      <c r="BI707">
        <f>'Bookings and Drivers'!BQ147</f>
        <v>125.51130528091326</v>
      </c>
      <c r="BJ707">
        <f>'Bookings and Drivers'!BR147</f>
        <v>121.71992839380425</v>
      </c>
      <c r="BK707">
        <f>'Bookings and Drivers'!BS147</f>
        <v>112.7374878194105</v>
      </c>
      <c r="BL707">
        <f>'Bookings and Drivers'!BT147</f>
        <v>116.10276076153254</v>
      </c>
      <c r="BM707">
        <f>'Bookings and Drivers'!BU147</f>
        <v>117.49241954236683</v>
      </c>
      <c r="BN707">
        <f>'Bookings and Drivers'!BV147</f>
        <v>118.85213116102962</v>
      </c>
      <c r="BO707">
        <f>'Bookings and Drivers'!BW147</f>
        <v>110.77464032393608</v>
      </c>
      <c r="BP707">
        <f>'Bookings and Drivers'!BX147</f>
        <v>112.53901608472903</v>
      </c>
      <c r="BQ707">
        <f>'Bookings and Drivers'!BY147</f>
        <v>114.9062179452704</v>
      </c>
      <c r="BR707">
        <f>'Bookings and Drivers'!BZ147</f>
        <v>114.12592881412493</v>
      </c>
      <c r="BS707">
        <f>'Bookings and Drivers'!CA147</f>
        <v>112.05922990064846</v>
      </c>
      <c r="BT707">
        <f>'Bookings and Drivers'!CB147</f>
        <v>113.38521147788084</v>
      </c>
      <c r="BU707">
        <f>'Bookings and Drivers'!CC147</f>
        <v>116.789412168433</v>
      </c>
      <c r="BV707">
        <f>'Bookings and Drivers'!CD147</f>
        <v>116.1880053199629</v>
      </c>
      <c r="BW707">
        <f>'Bookings and Drivers'!CE147</f>
        <v>109.26165057281837</v>
      </c>
      <c r="BX707">
        <f>'Bookings and Drivers'!CF147</f>
        <v>115.62033759579593</v>
      </c>
      <c r="BY707">
        <f>'Bookings and Drivers'!CG147</f>
        <v>0</v>
      </c>
      <c r="BZ707">
        <f>'Bookings and Drivers'!CH147</f>
        <v>0</v>
      </c>
      <c r="CA707">
        <f>'Bookings and Drivers'!CI147</f>
        <v>0</v>
      </c>
      <c r="CB707">
        <f>'Bookings and Drivers'!CJ147</f>
        <v>0</v>
      </c>
      <c r="CC707">
        <f>'Bookings and Drivers'!CK147</f>
        <v>0</v>
      </c>
      <c r="CD707">
        <f>'Bookings and Drivers'!CL147</f>
        <v>0</v>
      </c>
      <c r="CE707">
        <f>'Bookings and Drivers'!CM147</f>
        <v>123.97268342856839</v>
      </c>
      <c r="CF707">
        <f>'Bookings and Drivers'!CN147</f>
        <v>138.62049139713668</v>
      </c>
      <c r="CG707">
        <f>'Bookings and Drivers'!CO147</f>
        <v>147.4569808195042</v>
      </c>
      <c r="CH707">
        <f>'Bookings and Drivers'!CP147</f>
        <v>128.49197964353004</v>
      </c>
      <c r="CI707">
        <f>'Bookings and Drivers'!CQ147</f>
        <v>126.75995831659658</v>
      </c>
      <c r="CJ707">
        <f>'Bookings and Drivers'!CR147</f>
        <v>135.0641786621747</v>
      </c>
      <c r="CK707">
        <f>'Bookings and Drivers'!CS147</f>
        <v>127.06482137834038</v>
      </c>
      <c r="CL707">
        <f>'Bookings and Drivers'!CT147</f>
        <v>129.34573513323633</v>
      </c>
      <c r="CM707">
        <f>'Bookings and Drivers'!CU147</f>
        <v>130.81433955329845</v>
      </c>
      <c r="CN707">
        <f>'Bookings and Drivers'!CV147</f>
        <v>115.88331883338255</v>
      </c>
      <c r="CO707">
        <f>'Bookings and Drivers'!CW147</f>
        <v>111.74383903077857</v>
      </c>
      <c r="CP707">
        <f>'Bookings and Drivers'!CX147</f>
        <v>111.47883155270749</v>
      </c>
      <c r="CQ707">
        <f>'Bookings and Drivers'!CY147</f>
        <v>114.38929831689896</v>
      </c>
      <c r="CR707">
        <f>'Bookings and Drivers'!CZ147</f>
        <v>114.41142757387546</v>
      </c>
      <c r="CS707">
        <f>'Bookings and Drivers'!DA147</f>
        <v>114.41142757387546</v>
      </c>
      <c r="CT707">
        <f>'Bookings and Drivers'!DB147</f>
        <v>114.41142757387546</v>
      </c>
      <c r="CU707">
        <f>'Bookings and Drivers'!DC147</f>
        <v>114.41142757387546</v>
      </c>
      <c r="CV707">
        <f>'Bookings and Drivers'!DD147</f>
        <v>114.41142757387546</v>
      </c>
      <c r="CW707">
        <f>'Bookings and Drivers'!DE147</f>
        <v>114.41142757387546</v>
      </c>
      <c r="CX707">
        <f>'Bookings and Drivers'!DF147</f>
        <v>114.41142757387546</v>
      </c>
    </row>
    <row r="708" spans="1:102">
      <c r="A708" t="str">
        <f>'Bookings and Drivers'!I151</f>
        <v>Reported % change Y/Y (Transcript, Local Currency)</v>
      </c>
      <c r="B708">
        <f>'Bookings and Drivers'!J151</f>
        <v>0</v>
      </c>
      <c r="C708">
        <f>'Bookings and Drivers'!K151</f>
        <v>0</v>
      </c>
      <c r="D708">
        <f>'Bookings and Drivers'!L151</f>
        <v>0</v>
      </c>
      <c r="E708">
        <f>'Bookings and Drivers'!M151</f>
        <v>0</v>
      </c>
      <c r="F708">
        <f>'Bookings and Drivers'!N151</f>
        <v>0</v>
      </c>
      <c r="G708">
        <f>'Bookings and Drivers'!O151</f>
        <v>0</v>
      </c>
      <c r="H708">
        <f>'Bookings and Drivers'!P151</f>
        <v>0</v>
      </c>
      <c r="I708">
        <f>'Bookings and Drivers'!Q151</f>
        <v>0</v>
      </c>
      <c r="J708">
        <f>'Bookings and Drivers'!R151</f>
        <v>0</v>
      </c>
      <c r="K708">
        <f>'Bookings and Drivers'!S151</f>
        <v>0</v>
      </c>
      <c r="L708">
        <f>'Bookings and Drivers'!T151</f>
        <v>0</v>
      </c>
      <c r="M708">
        <f>'Bookings and Drivers'!U151</f>
        <v>0</v>
      </c>
      <c r="N708">
        <f>'Bookings and Drivers'!V151</f>
        <v>0</v>
      </c>
      <c r="O708">
        <f>'Bookings and Drivers'!W151</f>
        <v>0</v>
      </c>
      <c r="P708">
        <f>'Bookings and Drivers'!X151</f>
        <v>0</v>
      </c>
      <c r="Q708">
        <f>'Bookings and Drivers'!Y151</f>
        <v>0</v>
      </c>
      <c r="R708">
        <f>'Bookings and Drivers'!Z151</f>
        <v>0</v>
      </c>
      <c r="S708">
        <f>'Bookings and Drivers'!AA151</f>
        <v>0</v>
      </c>
      <c r="T708">
        <f>'Bookings and Drivers'!AB151</f>
        <v>0</v>
      </c>
      <c r="U708">
        <f>'Bookings and Drivers'!AC151</f>
        <v>0</v>
      </c>
      <c r="V708">
        <f>'Bookings and Drivers'!AD151</f>
        <v>0</v>
      </c>
      <c r="W708">
        <f>'Bookings and Drivers'!AE151</f>
        <v>0</v>
      </c>
      <c r="X708">
        <f>'Bookings and Drivers'!AF151</f>
        <v>0</v>
      </c>
      <c r="Y708" t="str">
        <f>'Bookings and Drivers'!AG151</f>
        <v>na</v>
      </c>
      <c r="Z708" t="str">
        <f>'Bookings and Drivers'!AH151</f>
        <v>na</v>
      </c>
      <c r="AA708" t="str">
        <f>'Bookings and Drivers'!AI151</f>
        <v>na</v>
      </c>
      <c r="AB708" t="str">
        <f>'Bookings and Drivers'!AJ151</f>
        <v>na</v>
      </c>
      <c r="AC708">
        <f>'Bookings and Drivers'!AK151</f>
        <v>0.05</v>
      </c>
      <c r="AD708">
        <f>'Bookings and Drivers'!AL151</f>
        <v>0.05</v>
      </c>
      <c r="AE708">
        <f>'Bookings and Drivers'!AM151</f>
        <v>0.05</v>
      </c>
      <c r="AF708">
        <f>'Bookings and Drivers'!AN151</f>
        <v>0.06</v>
      </c>
      <c r="AG708">
        <f>'Bookings and Drivers'!AO151</f>
        <v>0.04</v>
      </c>
      <c r="AH708">
        <f>'Bookings and Drivers'!AP151</f>
        <v>-1.4999999999999999E-2</v>
      </c>
      <c r="AI708">
        <f>'Bookings and Drivers'!AQ151</f>
        <v>-3.5000000000000003E-2</v>
      </c>
      <c r="AJ708">
        <f>'Bookings and Drivers'!AR151</f>
        <v>-0.06</v>
      </c>
      <c r="AK708">
        <f>'Bookings and Drivers'!AS151</f>
        <v>-0.11</v>
      </c>
      <c r="AL708">
        <f>'Bookings and Drivers'!AT151</f>
        <v>-0.09</v>
      </c>
      <c r="AM708">
        <f>'Bookings and Drivers'!AU151</f>
        <v>-7.0000000000000007E-2</v>
      </c>
      <c r="AN708">
        <f>'Bookings and Drivers'!AV151</f>
        <v>-3.5000000000000003E-2</v>
      </c>
      <c r="AO708">
        <f>'Bookings and Drivers'!AW151</f>
        <v>0.02</v>
      </c>
      <c r="AP708">
        <f>'Bookings and Drivers'!AX151</f>
        <v>2.5000000000000001E-2</v>
      </c>
      <c r="AQ708">
        <f>'Bookings and Drivers'!AY151</f>
        <v>0.04</v>
      </c>
      <c r="AR708">
        <f>'Bookings and Drivers'!AZ151</f>
        <v>0.03</v>
      </c>
      <c r="AS708">
        <f>'Bookings and Drivers'!BA151</f>
        <v>0.04</v>
      </c>
      <c r="AT708">
        <f>'Bookings and Drivers'!BB151</f>
        <v>0.04</v>
      </c>
      <c r="AU708">
        <f>'Bookings and Drivers'!BC151</f>
        <v>0.02</v>
      </c>
      <c r="AV708">
        <f>'Bookings and Drivers'!BD151</f>
        <v>0.02</v>
      </c>
      <c r="AW708">
        <f>'Bookings and Drivers'!BE151</f>
        <v>0.02</v>
      </c>
      <c r="AX708">
        <f>'Bookings and Drivers'!BF151</f>
        <v>-0.01</v>
      </c>
      <c r="AY708">
        <f>'Bookings and Drivers'!BG151</f>
        <v>-0.01</v>
      </c>
      <c r="AZ708">
        <f>'Bookings and Drivers'!BH151</f>
        <v>-0.01</v>
      </c>
      <c r="BA708">
        <f>'Bookings and Drivers'!BI151</f>
        <v>-0.01</v>
      </c>
      <c r="BB708">
        <f>'Bookings and Drivers'!BJ151</f>
        <v>1.4999999999999999E-2</v>
      </c>
      <c r="BC708">
        <f>'Bookings and Drivers'!BK151</f>
        <v>1.7999999999999999E-2</v>
      </c>
      <c r="BD708">
        <f>'Bookings and Drivers'!BL151</f>
        <v>1.7999999999999999E-2</v>
      </c>
      <c r="BE708">
        <f>'Bookings and Drivers'!BM151</f>
        <v>0.03</v>
      </c>
      <c r="BF708">
        <f>'Bookings and Drivers'!BN151</f>
        <v>0.03</v>
      </c>
      <c r="BG708">
        <f>'Bookings and Drivers'!BO151</f>
        <v>0.03</v>
      </c>
      <c r="BH708">
        <f>'Bookings and Drivers'!BP151</f>
        <v>0.03</v>
      </c>
      <c r="BI708">
        <f>'Bookings and Drivers'!BQ151</f>
        <v>0.02</v>
      </c>
      <c r="BJ708">
        <f>'Bookings and Drivers'!BR151</f>
        <v>0.02</v>
      </c>
      <c r="BK708">
        <f>'Bookings and Drivers'!BS151</f>
        <v>1.7500000000000002E-2</v>
      </c>
      <c r="BL708">
        <f>'Bookings and Drivers'!BT151</f>
        <v>0.01</v>
      </c>
      <c r="BM708">
        <f>'Bookings and Drivers'!BU151</f>
        <v>-5.0000000000000001E-3</v>
      </c>
      <c r="BN708">
        <f>'Bookings and Drivers'!BV151</f>
        <v>-5.0000000000000001E-3</v>
      </c>
      <c r="BO708">
        <f>'Bookings and Drivers'!BW151</f>
        <v>-5.0000000000000001E-3</v>
      </c>
      <c r="BP708">
        <f>'Bookings and Drivers'!BX151</f>
        <v>-5.0000000000000001E-3</v>
      </c>
      <c r="BQ708">
        <f>'Bookings and Drivers'!BY151</f>
        <v>0.01</v>
      </c>
      <c r="BR708">
        <f>'Bookings and Drivers'!BZ151</f>
        <v>-0.01</v>
      </c>
      <c r="BS708">
        <f>'Bookings and Drivers'!CA151</f>
        <v>-0.01</v>
      </c>
      <c r="BT708">
        <f>'Bookings and Drivers'!CB151</f>
        <v>-0.05</v>
      </c>
      <c r="BU708">
        <f>'Bookings and Drivers'!CC151</f>
        <v>-0.05</v>
      </c>
      <c r="BV708">
        <f>'Bookings and Drivers'!CD151</f>
        <v>-0.02</v>
      </c>
      <c r="BW708">
        <f>'Bookings and Drivers'!CE151</f>
        <v>-0.02</v>
      </c>
      <c r="BX708">
        <f>'Bookings and Drivers'!CF151</f>
        <v>-0.02</v>
      </c>
      <c r="BY708">
        <f>'Bookings and Drivers'!CG151</f>
        <v>0</v>
      </c>
      <c r="BZ708">
        <f>'Bookings and Drivers'!CH151</f>
        <v>0</v>
      </c>
      <c r="CA708">
        <f>'Bookings and Drivers'!CI151</f>
        <v>0</v>
      </c>
      <c r="CB708">
        <f>'Bookings and Drivers'!CJ151</f>
        <v>0</v>
      </c>
      <c r="CC708">
        <f>'Bookings and Drivers'!CK151</f>
        <v>0</v>
      </c>
      <c r="CD708">
        <f>'Bookings and Drivers'!CL151</f>
        <v>0</v>
      </c>
      <c r="CE708">
        <f>'Bookings and Drivers'!CM151</f>
        <v>0</v>
      </c>
      <c r="CF708">
        <f>'Bookings and Drivers'!CN151</f>
        <v>0</v>
      </c>
      <c r="CG708">
        <f>'Bookings and Drivers'!CO151</f>
        <v>5.8124760881700155E-2</v>
      </c>
      <c r="CH708">
        <f>'Bookings and Drivers'!CP151</f>
        <v>-3.2460024909394036E-2</v>
      </c>
      <c r="CI708">
        <f>'Bookings and Drivers'!CQ151</f>
        <v>2.0086141481821307E-2</v>
      </c>
      <c r="CJ708">
        <f>'Bookings and Drivers'!CR151</f>
        <v>6.3924326476222593E-2</v>
      </c>
      <c r="CK708">
        <f>'Bookings and Drivers'!CS151</f>
        <v>7.5622150091405604E-3</v>
      </c>
      <c r="CL708">
        <f>'Bookings and Drivers'!CT151</f>
        <v>1.8199084023942214E-2</v>
      </c>
      <c r="CM708">
        <f>'Bookings and Drivers'!CU151</f>
        <v>3.3937760349232238E-2</v>
      </c>
      <c r="CN708">
        <f>'Bookings and Drivers'!CV151</f>
        <v>4.3435855942548174E-2</v>
      </c>
      <c r="CO708">
        <f>'Bookings and Drivers'!CW151</f>
        <v>-7.452307677243919E-3</v>
      </c>
      <c r="CP708">
        <f>'Bookings and Drivers'!CX151</f>
        <v>-2.8466345335163346E-2</v>
      </c>
      <c r="CQ708">
        <f>'Bookings and Drivers'!CY151</f>
        <v>-7.0986326483375439E-3</v>
      </c>
      <c r="CR708">
        <f>'Bookings and Drivers'!CZ151</f>
        <v>0</v>
      </c>
      <c r="CS708">
        <f>'Bookings and Drivers'!DA151</f>
        <v>0</v>
      </c>
      <c r="CT708">
        <f>'Bookings and Drivers'!DB151</f>
        <v>0</v>
      </c>
      <c r="CU708">
        <f>'Bookings and Drivers'!DC151</f>
        <v>0</v>
      </c>
      <c r="CV708">
        <f>'Bookings and Drivers'!DD151</f>
        <v>0</v>
      </c>
      <c r="CW708">
        <f>'Bookings and Drivers'!DE151</f>
        <v>0</v>
      </c>
      <c r="CX708">
        <f>'Bookings and Drivers'!DF151</f>
        <v>0</v>
      </c>
    </row>
    <row r="709" spans="1:102">
      <c r="A709" t="str">
        <f>'Bookings and Drivers'!I152</f>
        <v>Two-Year Growth (CC)</v>
      </c>
      <c r="B709">
        <f>'Bookings and Drivers'!J152</f>
        <v>0</v>
      </c>
      <c r="C709">
        <f>'Bookings and Drivers'!K152</f>
        <v>0</v>
      </c>
      <c r="D709">
        <f>'Bookings and Drivers'!L152</f>
        <v>0</v>
      </c>
      <c r="E709">
        <f>'Bookings and Drivers'!M152</f>
        <v>0</v>
      </c>
      <c r="F709">
        <f>'Bookings and Drivers'!N152</f>
        <v>0</v>
      </c>
      <c r="G709">
        <f>'Bookings and Drivers'!O152</f>
        <v>0</v>
      </c>
      <c r="H709">
        <f>'Bookings and Drivers'!P152</f>
        <v>0</v>
      </c>
      <c r="I709">
        <f>'Bookings and Drivers'!Q152</f>
        <v>0</v>
      </c>
      <c r="J709">
        <f>'Bookings and Drivers'!R152</f>
        <v>0</v>
      </c>
      <c r="K709">
        <f>'Bookings and Drivers'!S152</f>
        <v>0</v>
      </c>
      <c r="L709">
        <f>'Bookings and Drivers'!T152</f>
        <v>0</v>
      </c>
      <c r="M709">
        <f>'Bookings and Drivers'!U152</f>
        <v>0</v>
      </c>
      <c r="N709">
        <f>'Bookings and Drivers'!V152</f>
        <v>0</v>
      </c>
      <c r="O709">
        <f>'Bookings and Drivers'!W152</f>
        <v>0</v>
      </c>
      <c r="P709">
        <f>'Bookings and Drivers'!X152</f>
        <v>0</v>
      </c>
      <c r="Q709">
        <f>'Bookings and Drivers'!Y152</f>
        <v>0</v>
      </c>
      <c r="R709">
        <f>'Bookings and Drivers'!Z152</f>
        <v>0</v>
      </c>
      <c r="S709">
        <f>'Bookings and Drivers'!AA152</f>
        <v>0</v>
      </c>
      <c r="T709">
        <f>'Bookings and Drivers'!AB152</f>
        <v>0</v>
      </c>
      <c r="U709">
        <f>'Bookings and Drivers'!AC152</f>
        <v>0</v>
      </c>
      <c r="V709">
        <f>'Bookings and Drivers'!AD152</f>
        <v>0</v>
      </c>
      <c r="W709">
        <f>'Bookings and Drivers'!AE152</f>
        <v>0</v>
      </c>
      <c r="X709">
        <f>'Bookings and Drivers'!AF152</f>
        <v>0</v>
      </c>
      <c r="Y709">
        <f>'Bookings and Drivers'!AG152</f>
        <v>0</v>
      </c>
      <c r="Z709">
        <f>'Bookings and Drivers'!AH152</f>
        <v>0</v>
      </c>
      <c r="AA709">
        <f>'Bookings and Drivers'!AI152</f>
        <v>0</v>
      </c>
      <c r="AB709">
        <f>'Bookings and Drivers'!AJ152</f>
        <v>0</v>
      </c>
      <c r="AC709">
        <f>'Bookings and Drivers'!AK152</f>
        <v>0</v>
      </c>
      <c r="AD709">
        <f>'Bookings and Drivers'!AL152</f>
        <v>0</v>
      </c>
      <c r="AE709">
        <f>'Bookings and Drivers'!AM152</f>
        <v>0</v>
      </c>
      <c r="AF709">
        <f>'Bookings and Drivers'!AN152</f>
        <v>0</v>
      </c>
      <c r="AG709">
        <f>'Bookings and Drivers'!AO152</f>
        <v>0.09</v>
      </c>
      <c r="AH709">
        <f>'Bookings and Drivers'!AP152</f>
        <v>3.5000000000000003E-2</v>
      </c>
      <c r="AI709">
        <f>'Bookings and Drivers'!AQ152</f>
        <v>1.4999999999999999E-2</v>
      </c>
      <c r="AJ709">
        <f>'Bookings and Drivers'!AR152</f>
        <v>0</v>
      </c>
      <c r="AK709">
        <f>'Bookings and Drivers'!AS152</f>
        <v>-7.0000000000000007E-2</v>
      </c>
      <c r="AL709">
        <f>'Bookings and Drivers'!AT152</f>
        <v>-0.105</v>
      </c>
      <c r="AM709">
        <f>'Bookings and Drivers'!AU152</f>
        <v>-0.10500000000000001</v>
      </c>
      <c r="AN709">
        <f>'Bookings and Drivers'!AV152</f>
        <v>-9.5000000000000001E-2</v>
      </c>
      <c r="AO709">
        <f>'Bookings and Drivers'!AW152</f>
        <v>-0.09</v>
      </c>
      <c r="AP709">
        <f>'Bookings and Drivers'!AX152</f>
        <v>-6.5000000000000002E-2</v>
      </c>
      <c r="AQ709">
        <f>'Bookings and Drivers'!AY152</f>
        <v>-3.0000000000000006E-2</v>
      </c>
      <c r="AR709">
        <f>'Bookings and Drivers'!AZ152</f>
        <v>-5.0000000000000044E-3</v>
      </c>
      <c r="AS709">
        <f>'Bookings and Drivers'!BA152</f>
        <v>0.06</v>
      </c>
      <c r="AT709">
        <f>'Bookings and Drivers'!BB152</f>
        <v>6.5000000000000002E-2</v>
      </c>
      <c r="AU709">
        <f>'Bookings and Drivers'!BC152</f>
        <v>0.06</v>
      </c>
      <c r="AV709">
        <f>'Bookings and Drivers'!BD152</f>
        <v>0.05</v>
      </c>
      <c r="AW709">
        <f>'Bookings and Drivers'!BE152</f>
        <v>0.06</v>
      </c>
      <c r="AX709">
        <f>'Bookings and Drivers'!BF152</f>
        <v>0.03</v>
      </c>
      <c r="AY709">
        <f>'Bookings and Drivers'!BG152</f>
        <v>0.01</v>
      </c>
      <c r="AZ709">
        <f>'Bookings and Drivers'!BH152</f>
        <v>0.01</v>
      </c>
      <c r="BA709">
        <f>'Bookings and Drivers'!BI152</f>
        <v>0.01</v>
      </c>
      <c r="BB709">
        <f>'Bookings and Drivers'!BJ152</f>
        <v>4.9999999999999992E-3</v>
      </c>
      <c r="BC709">
        <f>'Bookings and Drivers'!BK152</f>
        <v>7.9999999999999984E-3</v>
      </c>
      <c r="BD709">
        <f>'Bookings and Drivers'!BL152</f>
        <v>7.9999999999999984E-3</v>
      </c>
      <c r="BE709">
        <f>'Bookings and Drivers'!BM152</f>
        <v>1.9999999999999997E-2</v>
      </c>
      <c r="BF709">
        <f>'Bookings and Drivers'!BN152</f>
        <v>4.4999999999999998E-2</v>
      </c>
      <c r="BG709">
        <f>'Bookings and Drivers'!BO152</f>
        <v>4.8000000000000001E-2</v>
      </c>
      <c r="BH709">
        <f>'Bookings and Drivers'!BP152</f>
        <v>4.8000000000000001E-2</v>
      </c>
      <c r="BI709">
        <f>'Bookings and Drivers'!BQ152</f>
        <v>0.05</v>
      </c>
      <c r="BJ709">
        <f>'Bookings and Drivers'!BR152</f>
        <v>0.05</v>
      </c>
      <c r="BK709">
        <f>'Bookings and Drivers'!BS152</f>
        <v>4.7500000000000001E-2</v>
      </c>
      <c r="BL709">
        <f>'Bookings and Drivers'!BT152</f>
        <v>0.04</v>
      </c>
      <c r="BM709">
        <f>'Bookings and Drivers'!BU152</f>
        <v>1.4999999999999999E-2</v>
      </c>
      <c r="BN709">
        <f>'Bookings and Drivers'!BV152</f>
        <v>1.4999999999999999E-2</v>
      </c>
      <c r="BO709">
        <f>'Bookings and Drivers'!BW152</f>
        <v>1.2500000000000001E-2</v>
      </c>
      <c r="BP709">
        <f>'Bookings and Drivers'!BX152</f>
        <v>5.0000000000000001E-3</v>
      </c>
      <c r="BQ709">
        <f>'Bookings and Drivers'!BY152</f>
        <v>5.0000000000000001E-3</v>
      </c>
      <c r="BR709">
        <f>'Bookings and Drivers'!BZ152</f>
        <v>-1.4999999999999999E-2</v>
      </c>
      <c r="BS709">
        <f>'Bookings and Drivers'!CA152</f>
        <v>-1.4999999999999999E-2</v>
      </c>
      <c r="BT709">
        <f>'Bookings and Drivers'!CB152</f>
        <v>-5.5E-2</v>
      </c>
      <c r="BU709">
        <f>'Bookings and Drivers'!CC152</f>
        <v>-0.04</v>
      </c>
      <c r="BV709">
        <f>'Bookings and Drivers'!CD152</f>
        <v>-0.03</v>
      </c>
      <c r="BW709">
        <f>'Bookings and Drivers'!CE152</f>
        <v>-0.03</v>
      </c>
      <c r="BX709">
        <f>'Bookings and Drivers'!CF152</f>
        <v>-7.0000000000000007E-2</v>
      </c>
      <c r="BY709">
        <f>'Bookings and Drivers'!CG152</f>
        <v>0</v>
      </c>
      <c r="BZ709">
        <f>'Bookings and Drivers'!CH152</f>
        <v>0</v>
      </c>
      <c r="CA709">
        <f>'Bookings and Drivers'!CI152</f>
        <v>0</v>
      </c>
      <c r="CB709">
        <f>'Bookings and Drivers'!CJ152</f>
        <v>0</v>
      </c>
      <c r="CC709">
        <f>'Bookings and Drivers'!CK152</f>
        <v>0</v>
      </c>
      <c r="CD709">
        <f>'Bookings and Drivers'!CL152</f>
        <v>0</v>
      </c>
      <c r="CE709">
        <f>'Bookings and Drivers'!CM152</f>
        <v>0</v>
      </c>
      <c r="CF709">
        <f>'Bookings and Drivers'!CN152</f>
        <v>0</v>
      </c>
      <c r="CG709">
        <f>'Bookings and Drivers'!CO152</f>
        <v>0</v>
      </c>
      <c r="CH709">
        <f>'Bookings and Drivers'!CP152</f>
        <v>2.5664735972306119E-2</v>
      </c>
      <c r="CI709">
        <f>'Bookings and Drivers'!CQ152</f>
        <v>-1.2373883427572729E-2</v>
      </c>
      <c r="CJ709">
        <f>'Bookings and Drivers'!CR152</f>
        <v>8.40104679580439E-2</v>
      </c>
      <c r="CK709">
        <f>'Bookings and Drivers'!CS152</f>
        <v>7.1486541485363153E-2</v>
      </c>
      <c r="CL709">
        <f>'Bookings and Drivers'!CT152</f>
        <v>2.5761299033082774E-2</v>
      </c>
      <c r="CM709">
        <f>'Bookings and Drivers'!CU152</f>
        <v>5.2136844373174451E-2</v>
      </c>
      <c r="CN709">
        <f>'Bookings and Drivers'!CV152</f>
        <v>7.7373616291780412E-2</v>
      </c>
      <c r="CO709">
        <f>'Bookings and Drivers'!CW152</f>
        <v>3.5983548265304255E-2</v>
      </c>
      <c r="CP709">
        <f>'Bookings and Drivers'!CX152</f>
        <v>-3.5918653012407264E-2</v>
      </c>
      <c r="CQ709">
        <f>'Bookings and Drivers'!CY152</f>
        <v>-3.5564977983500889E-2</v>
      </c>
      <c r="CR709">
        <f>'Bookings and Drivers'!CZ152</f>
        <v>-7.0986326483375439E-3</v>
      </c>
      <c r="CS709">
        <f>'Bookings and Drivers'!DA152</f>
        <v>0</v>
      </c>
      <c r="CT709">
        <f>'Bookings and Drivers'!DB152</f>
        <v>0</v>
      </c>
      <c r="CU709">
        <f>'Bookings and Drivers'!DC152</f>
        <v>0</v>
      </c>
      <c r="CV709">
        <f>'Bookings and Drivers'!DD152</f>
        <v>0</v>
      </c>
      <c r="CW709">
        <f>'Bookings and Drivers'!DE152</f>
        <v>0</v>
      </c>
      <c r="CX709">
        <f>'Bookings and Drivers'!DF152</f>
        <v>0</v>
      </c>
    </row>
    <row r="710" spans="1:102">
      <c r="A710">
        <f>'Bookings and Drivers'!I153</f>
        <v>0</v>
      </c>
      <c r="B710">
        <f>'Bookings and Drivers'!J153</f>
        <v>0</v>
      </c>
      <c r="C710">
        <f>'Bookings and Drivers'!K153</f>
        <v>0</v>
      </c>
      <c r="D710">
        <f>'Bookings and Drivers'!L153</f>
        <v>0</v>
      </c>
      <c r="E710">
        <f>'Bookings and Drivers'!M153</f>
        <v>0</v>
      </c>
      <c r="F710">
        <f>'Bookings and Drivers'!N153</f>
        <v>0</v>
      </c>
      <c r="G710">
        <f>'Bookings and Drivers'!O153</f>
        <v>0</v>
      </c>
      <c r="H710">
        <f>'Bookings and Drivers'!P153</f>
        <v>0</v>
      </c>
      <c r="I710">
        <f>'Bookings and Drivers'!Q153</f>
        <v>0</v>
      </c>
      <c r="J710">
        <f>'Bookings and Drivers'!R153</f>
        <v>0</v>
      </c>
      <c r="K710">
        <f>'Bookings and Drivers'!S153</f>
        <v>0</v>
      </c>
      <c r="L710">
        <f>'Bookings and Drivers'!T153</f>
        <v>0</v>
      </c>
      <c r="M710">
        <f>'Bookings and Drivers'!U153</f>
        <v>0</v>
      </c>
      <c r="N710">
        <f>'Bookings and Drivers'!V153</f>
        <v>0</v>
      </c>
      <c r="O710">
        <f>'Bookings and Drivers'!W153</f>
        <v>0</v>
      </c>
      <c r="P710">
        <f>'Bookings and Drivers'!X153</f>
        <v>0</v>
      </c>
      <c r="Q710">
        <f>'Bookings and Drivers'!Y153</f>
        <v>0</v>
      </c>
      <c r="R710">
        <f>'Bookings and Drivers'!Z153</f>
        <v>0</v>
      </c>
      <c r="S710">
        <f>'Bookings and Drivers'!AA153</f>
        <v>0</v>
      </c>
      <c r="T710">
        <f>'Bookings and Drivers'!AB153</f>
        <v>0</v>
      </c>
      <c r="U710">
        <f>'Bookings and Drivers'!AC153</f>
        <v>0</v>
      </c>
      <c r="V710">
        <f>'Bookings and Drivers'!AD153</f>
        <v>0</v>
      </c>
      <c r="W710">
        <f>'Bookings and Drivers'!AE153</f>
        <v>0</v>
      </c>
      <c r="X710">
        <f>'Bookings and Drivers'!AF153</f>
        <v>0</v>
      </c>
      <c r="Y710">
        <f>'Bookings and Drivers'!AG153</f>
        <v>0</v>
      </c>
      <c r="Z710">
        <f>'Bookings and Drivers'!AH153</f>
        <v>0</v>
      </c>
      <c r="AA710">
        <f>'Bookings and Drivers'!AI153</f>
        <v>0</v>
      </c>
      <c r="AB710">
        <f>'Bookings and Drivers'!AJ153</f>
        <v>0</v>
      </c>
      <c r="AC710">
        <f>'Bookings and Drivers'!AK153</f>
        <v>0</v>
      </c>
      <c r="AD710">
        <f>'Bookings and Drivers'!AL153</f>
        <v>0</v>
      </c>
      <c r="AE710">
        <f>'Bookings and Drivers'!AM153</f>
        <v>0</v>
      </c>
      <c r="AF710">
        <f>'Bookings and Drivers'!AN153</f>
        <v>0</v>
      </c>
      <c r="AG710">
        <f>'Bookings and Drivers'!AO153</f>
        <v>0</v>
      </c>
      <c r="AH710">
        <f>'Bookings and Drivers'!AP153</f>
        <v>0</v>
      </c>
      <c r="AI710">
        <f>'Bookings and Drivers'!AQ153</f>
        <v>0</v>
      </c>
      <c r="AJ710">
        <f>'Bookings and Drivers'!AR153</f>
        <v>0</v>
      </c>
      <c r="AK710">
        <f>'Bookings and Drivers'!AS153</f>
        <v>0</v>
      </c>
      <c r="AL710">
        <f>'Bookings and Drivers'!AT153</f>
        <v>0</v>
      </c>
      <c r="AM710">
        <f>'Bookings and Drivers'!AU153</f>
        <v>0</v>
      </c>
      <c r="AN710">
        <f>'Bookings and Drivers'!AV153</f>
        <v>0</v>
      </c>
      <c r="AO710">
        <f>'Bookings and Drivers'!AW153</f>
        <v>0</v>
      </c>
      <c r="AP710">
        <f>'Bookings and Drivers'!AX153</f>
        <v>0</v>
      </c>
      <c r="AQ710">
        <f>'Bookings and Drivers'!AY153</f>
        <v>0</v>
      </c>
      <c r="AR710">
        <f>'Bookings and Drivers'!AZ153</f>
        <v>0</v>
      </c>
      <c r="AS710">
        <f>'Bookings and Drivers'!BA153</f>
        <v>0</v>
      </c>
      <c r="AT710">
        <f>'Bookings and Drivers'!BB153</f>
        <v>0</v>
      </c>
      <c r="AU710">
        <f>'Bookings and Drivers'!BC153</f>
        <v>0</v>
      </c>
      <c r="AV710">
        <f>'Bookings and Drivers'!BD153</f>
        <v>0</v>
      </c>
      <c r="AW710">
        <f>'Bookings and Drivers'!BE153</f>
        <v>0</v>
      </c>
      <c r="AX710">
        <f>'Bookings and Drivers'!BF153</f>
        <v>0</v>
      </c>
      <c r="AY710">
        <f>'Bookings and Drivers'!BG153</f>
        <v>0</v>
      </c>
      <c r="AZ710">
        <f>'Bookings and Drivers'!BH153</f>
        <v>0</v>
      </c>
      <c r="BA710">
        <f>'Bookings and Drivers'!BI153</f>
        <v>0</v>
      </c>
      <c r="BB710">
        <f>'Bookings and Drivers'!BJ153</f>
        <v>0</v>
      </c>
      <c r="BC710">
        <f>'Bookings and Drivers'!BK153</f>
        <v>0</v>
      </c>
      <c r="BD710">
        <f>'Bookings and Drivers'!BL153</f>
        <v>0</v>
      </c>
      <c r="BE710">
        <f>'Bookings and Drivers'!BM153</f>
        <v>0</v>
      </c>
      <c r="BF710">
        <f>'Bookings and Drivers'!BN153</f>
        <v>0</v>
      </c>
      <c r="BG710">
        <f>'Bookings and Drivers'!BO153</f>
        <v>0</v>
      </c>
      <c r="BH710">
        <f>'Bookings and Drivers'!BP153</f>
        <v>0</v>
      </c>
      <c r="BI710">
        <f>'Bookings and Drivers'!BQ153</f>
        <v>0</v>
      </c>
      <c r="BJ710">
        <f>'Bookings and Drivers'!BR153</f>
        <v>0</v>
      </c>
      <c r="BK710">
        <f>'Bookings and Drivers'!BS153</f>
        <v>0</v>
      </c>
      <c r="BL710">
        <f>'Bookings and Drivers'!BT153</f>
        <v>0</v>
      </c>
      <c r="BM710">
        <f>'Bookings and Drivers'!BU153</f>
        <v>0</v>
      </c>
      <c r="BN710">
        <f>'Bookings and Drivers'!BV153</f>
        <v>0</v>
      </c>
      <c r="BO710">
        <f>'Bookings and Drivers'!BW153</f>
        <v>0</v>
      </c>
      <c r="BP710">
        <f>'Bookings and Drivers'!BX153</f>
        <v>0</v>
      </c>
      <c r="BQ710">
        <f>'Bookings and Drivers'!BY153</f>
        <v>0</v>
      </c>
      <c r="BR710">
        <f>'Bookings and Drivers'!BZ153</f>
        <v>0</v>
      </c>
      <c r="BS710">
        <f>'Bookings and Drivers'!CA153</f>
        <v>0</v>
      </c>
      <c r="BT710">
        <f>'Bookings and Drivers'!CB153</f>
        <v>0</v>
      </c>
      <c r="BU710">
        <f>'Bookings and Drivers'!CC153</f>
        <v>0</v>
      </c>
      <c r="BV710">
        <f>'Bookings and Drivers'!CD153</f>
        <v>0</v>
      </c>
      <c r="BW710">
        <f>'Bookings and Drivers'!CE153</f>
        <v>0</v>
      </c>
      <c r="BX710">
        <f>'Bookings and Drivers'!CF153</f>
        <v>0</v>
      </c>
      <c r="BY710">
        <f>'Bookings and Drivers'!CG153</f>
        <v>0</v>
      </c>
      <c r="BZ710">
        <f>'Bookings and Drivers'!CH153</f>
        <v>0</v>
      </c>
      <c r="CA710">
        <f>'Bookings and Drivers'!CI153</f>
        <v>0</v>
      </c>
      <c r="CB710">
        <f>'Bookings and Drivers'!CJ153</f>
        <v>0</v>
      </c>
      <c r="CC710">
        <f>'Bookings and Drivers'!CK153</f>
        <v>0</v>
      </c>
      <c r="CD710">
        <f>'Bookings and Drivers'!CL153</f>
        <v>0</v>
      </c>
      <c r="CE710">
        <f>'Bookings and Drivers'!CM153</f>
        <v>0</v>
      </c>
      <c r="CF710">
        <f>'Bookings and Drivers'!CN153</f>
        <v>0</v>
      </c>
      <c r="CG710">
        <f>'Bookings and Drivers'!CO153</f>
        <v>0</v>
      </c>
      <c r="CH710">
        <f>'Bookings and Drivers'!CP153</f>
        <v>0</v>
      </c>
      <c r="CI710">
        <f>'Bookings and Drivers'!CQ153</f>
        <v>0</v>
      </c>
      <c r="CJ710">
        <f>'Bookings and Drivers'!CR153</f>
        <v>0</v>
      </c>
      <c r="CK710">
        <f>'Bookings and Drivers'!CS153</f>
        <v>0</v>
      </c>
      <c r="CL710">
        <f>'Bookings and Drivers'!CT153</f>
        <v>0</v>
      </c>
      <c r="CM710">
        <f>'Bookings and Drivers'!CU153</f>
        <v>0</v>
      </c>
      <c r="CN710">
        <f>'Bookings and Drivers'!CV153</f>
        <v>0</v>
      </c>
      <c r="CO710">
        <f>'Bookings and Drivers'!CW153</f>
        <v>0</v>
      </c>
      <c r="CP710">
        <f>'Bookings and Drivers'!CX153</f>
        <v>0</v>
      </c>
      <c r="CQ710">
        <f>'Bookings and Drivers'!CY153</f>
        <v>0</v>
      </c>
      <c r="CR710">
        <f>'Bookings and Drivers'!CZ153</f>
        <v>0</v>
      </c>
      <c r="CS710">
        <f>'Bookings and Drivers'!DA153</f>
        <v>0</v>
      </c>
      <c r="CT710">
        <f>'Bookings and Drivers'!DB153</f>
        <v>0</v>
      </c>
      <c r="CU710">
        <f>'Bookings and Drivers'!DC153</f>
        <v>0</v>
      </c>
      <c r="CV710">
        <f>'Bookings and Drivers'!DD153</f>
        <v>0</v>
      </c>
      <c r="CW710">
        <f>'Bookings and Drivers'!DE153</f>
        <v>0</v>
      </c>
      <c r="CX710">
        <f>'Bookings and Drivers'!DF153</f>
        <v>0</v>
      </c>
    </row>
    <row r="711" spans="1:102">
      <c r="A711" t="str">
        <f>'Bookings and Drivers'!I159</f>
        <v>Global ADR</v>
      </c>
      <c r="B711">
        <f>'Bookings and Drivers'!J159</f>
        <v>0</v>
      </c>
      <c r="C711">
        <f>'Bookings and Drivers'!K159</f>
        <v>0</v>
      </c>
      <c r="D711">
        <f>'Bookings and Drivers'!L159</f>
        <v>0</v>
      </c>
      <c r="E711">
        <f>'Bookings and Drivers'!M159</f>
        <v>0</v>
      </c>
      <c r="F711">
        <f>'Bookings and Drivers'!N159</f>
        <v>0</v>
      </c>
      <c r="G711">
        <f>'Bookings and Drivers'!O159</f>
        <v>0</v>
      </c>
      <c r="H711">
        <f>'Bookings and Drivers'!P159</f>
        <v>0</v>
      </c>
      <c r="I711">
        <f>'Bookings and Drivers'!Q159</f>
        <v>0</v>
      </c>
      <c r="J711">
        <f>'Bookings and Drivers'!R159</f>
        <v>0</v>
      </c>
      <c r="K711">
        <f>'Bookings and Drivers'!S159</f>
        <v>0</v>
      </c>
      <c r="L711">
        <f>'Bookings and Drivers'!T159</f>
        <v>0</v>
      </c>
      <c r="M711">
        <f>'Bookings and Drivers'!U159</f>
        <v>0</v>
      </c>
      <c r="N711">
        <f>'Bookings and Drivers'!V159</f>
        <v>0</v>
      </c>
      <c r="O711">
        <f>'Bookings and Drivers'!W159</f>
        <v>0</v>
      </c>
      <c r="P711">
        <f>'Bookings and Drivers'!X159</f>
        <v>0</v>
      </c>
      <c r="Q711">
        <f>'Bookings and Drivers'!Y159</f>
        <v>0</v>
      </c>
      <c r="R711">
        <f>'Bookings and Drivers'!Z159</f>
        <v>0</v>
      </c>
      <c r="S711">
        <f>'Bookings and Drivers'!AA159</f>
        <v>0</v>
      </c>
      <c r="T711">
        <f>'Bookings and Drivers'!AB159</f>
        <v>0</v>
      </c>
      <c r="U711">
        <f>'Bookings and Drivers'!AC159</f>
        <v>0</v>
      </c>
      <c r="V711">
        <f>'Bookings and Drivers'!AD159</f>
        <v>0</v>
      </c>
      <c r="W711">
        <f>'Bookings and Drivers'!AE159</f>
        <v>0</v>
      </c>
      <c r="X711">
        <f>'Bookings and Drivers'!AF159</f>
        <v>0</v>
      </c>
      <c r="Y711">
        <f>'Bookings and Drivers'!AG159</f>
        <v>89.340825908981472</v>
      </c>
      <c r="Z711">
        <f>'Bookings and Drivers'!AH159</f>
        <v>93.664989989989991</v>
      </c>
      <c r="AA711">
        <f>'Bookings and Drivers'!AI159</f>
        <v>97.512619320351263</v>
      </c>
      <c r="AB711">
        <f>'Bookings and Drivers'!AJ159</f>
        <v>96.276729191090297</v>
      </c>
      <c r="AC711">
        <f>'Bookings and Drivers'!AK159</f>
        <v>106.51676949718475</v>
      </c>
      <c r="AD711">
        <f>'Bookings and Drivers'!AL159</f>
        <v>113.15435032871665</v>
      </c>
      <c r="AE711">
        <f>'Bookings and Drivers'!AM159</f>
        <v>115.81111622207112</v>
      </c>
      <c r="AF711">
        <f>'Bookings and Drivers'!AN159</f>
        <v>120.22887379304731</v>
      </c>
      <c r="AG711">
        <f>'Bookings and Drivers'!AO159</f>
        <v>126.82972167102652</v>
      </c>
      <c r="AH711">
        <f>'Bookings and Drivers'!AP159</f>
        <v>130.8246154509973</v>
      </c>
      <c r="AI711">
        <f>'Bookings and Drivers'!AQ159</f>
        <v>124.7037222908198</v>
      </c>
      <c r="AJ711">
        <f>'Bookings and Drivers'!AR159</f>
        <v>104.65160264580162</v>
      </c>
      <c r="AK711">
        <f>'Bookings and Drivers'!AS159</f>
        <v>100.52209562141492</v>
      </c>
      <c r="AL711">
        <f>'Bookings and Drivers'!AT159</f>
        <v>106.18477590288073</v>
      </c>
      <c r="AM711">
        <f>'Bookings and Drivers'!AU159</f>
        <v>110.29912558722266</v>
      </c>
      <c r="AN711">
        <f>'Bookings and Drivers'!AV159</f>
        <v>111.92801614654782</v>
      </c>
      <c r="AO711">
        <f>'Bookings and Drivers'!AW159</f>
        <v>109.91233386064511</v>
      </c>
      <c r="AP711">
        <f>'Bookings and Drivers'!AX159</f>
        <v>108.12555496432887</v>
      </c>
      <c r="AQ711">
        <f>'Bookings and Drivers'!AY159</f>
        <v>112.39577752339335</v>
      </c>
      <c r="AR711">
        <f>'Bookings and Drivers'!AZ159</f>
        <v>115.73684047326846</v>
      </c>
      <c r="AS711">
        <f>'Bookings and Drivers'!BA159</f>
        <v>118.52529086711284</v>
      </c>
      <c r="AT711">
        <f>'Bookings and Drivers'!BB159</f>
        <v>129.51867457840351</v>
      </c>
      <c r="AU711">
        <f>'Bookings and Drivers'!BC159</f>
        <v>126.36523420506413</v>
      </c>
      <c r="AV711">
        <f>'Bookings and Drivers'!BD159</f>
        <v>121.08465944154096</v>
      </c>
      <c r="AW711">
        <f>'Bookings and Drivers'!BE159</f>
        <v>121.16752209356609</v>
      </c>
      <c r="AX711">
        <f>'Bookings and Drivers'!BF159</f>
        <v>121.56177377209688</v>
      </c>
      <c r="AY711">
        <f>'Bookings and Drivers'!BG159</f>
        <v>118.067673915751</v>
      </c>
      <c r="AZ711">
        <f>'Bookings and Drivers'!BH159</f>
        <v>121.02368057935091</v>
      </c>
      <c r="BA711">
        <f>'Bookings and Drivers'!BI159</f>
        <v>123.95579394466751</v>
      </c>
      <c r="BB711">
        <f>'Bookings and Drivers'!BJ159</f>
        <v>125.13228107323486</v>
      </c>
      <c r="BC711">
        <f>'Bookings and Drivers'!BK159</f>
        <v>122.20717233888128</v>
      </c>
      <c r="BD711">
        <f>'Bookings and Drivers'!BL159</f>
        <v>124.62632184382882</v>
      </c>
      <c r="BE711">
        <f>'Bookings and Drivers'!BM159</f>
        <v>127.87690195658753</v>
      </c>
      <c r="BF711">
        <f>'Bookings and Drivers'!BN159</f>
        <v>131.39061449349995</v>
      </c>
      <c r="BG711">
        <f>'Bookings and Drivers'!BO159</f>
        <v>126.18838424659677</v>
      </c>
      <c r="BH711">
        <f>'Bookings and Drivers'!BP159</f>
        <v>119.19263810582821</v>
      </c>
      <c r="BI711">
        <f>'Bookings and Drivers'!BQ159</f>
        <v>115.59328356658833</v>
      </c>
      <c r="BJ711">
        <f>'Bookings and Drivers'!BR159</f>
        <v>116.30730673545042</v>
      </c>
      <c r="BK711">
        <f>'Bookings and Drivers'!BS159</f>
        <v>111.2353456047457</v>
      </c>
      <c r="BL711">
        <f>'Bookings and Drivers'!BT159</f>
        <v>108.63764808292886</v>
      </c>
      <c r="BM711">
        <f>'Bookings and Drivers'!BU159</f>
        <v>109.69432051604718</v>
      </c>
      <c r="BN711">
        <f>'Bookings and Drivers'!BV159</f>
        <v>113.77675688467357</v>
      </c>
      <c r="BO711">
        <f>'Bookings and Drivers'!BW159</f>
        <v>108.96855958103016</v>
      </c>
      <c r="BP711">
        <f>'Bookings and Drivers'!BX159</f>
        <v>105.6116333568837</v>
      </c>
      <c r="BQ711">
        <f>'Bookings and Drivers'!BY159</f>
        <v>108.9368030555336</v>
      </c>
      <c r="BR711">
        <f>'Bookings and Drivers'!BZ159</f>
        <v>110.84516942398051</v>
      </c>
      <c r="BS711">
        <f>'Bookings and Drivers'!CA159</f>
        <v>109.73957653262896</v>
      </c>
      <c r="BT711">
        <f>'Bookings and Drivers'!CB159</f>
        <v>108.78318800429</v>
      </c>
      <c r="BU711">
        <f>'Bookings and Drivers'!CC159</f>
        <v>115.18068058278587</v>
      </c>
      <c r="BV711">
        <f>'Bookings and Drivers'!CD159</f>
        <v>114.40791217789973</v>
      </c>
      <c r="BW711">
        <f>'Bookings and Drivers'!CE159</f>
        <v>107.54609401238895</v>
      </c>
      <c r="BX711">
        <f>'Bookings and Drivers'!CF159</f>
        <v>113.45816875684275</v>
      </c>
      <c r="BY711">
        <f>'Bookings and Drivers'!CG159</f>
        <v>0</v>
      </c>
      <c r="BZ711">
        <f>'Bookings and Drivers'!CH159</f>
        <v>0</v>
      </c>
      <c r="CA711">
        <f>'Bookings and Drivers'!CI159</f>
        <v>0</v>
      </c>
      <c r="CB711">
        <f>'Bookings and Drivers'!CJ159</f>
        <v>0</v>
      </c>
      <c r="CC711">
        <f>'Bookings and Drivers'!CK159</f>
        <v>0</v>
      </c>
      <c r="CD711">
        <f>'Bookings and Drivers'!CL159</f>
        <v>0</v>
      </c>
      <c r="CE711">
        <f>'Bookings and Drivers'!CM159</f>
        <v>94.379948796311197</v>
      </c>
      <c r="CF711">
        <f>'Bookings and Drivers'!CN159</f>
        <v>114.17810152441506</v>
      </c>
      <c r="CG711">
        <f>'Bookings and Drivers'!CO159</f>
        <v>122.33994508198393</v>
      </c>
      <c r="CH711">
        <f>'Bookings and Drivers'!CP159</f>
        <v>107.57913254831676</v>
      </c>
      <c r="CI711">
        <f>'Bookings and Drivers'!CQ159</f>
        <v>111.58342760251776</v>
      </c>
      <c r="CJ711">
        <f>'Bookings and Drivers'!CR159</f>
        <v>124.18718228477503</v>
      </c>
      <c r="CK711">
        <f>'Bookings and Drivers'!CS159</f>
        <v>120.36769595123755</v>
      </c>
      <c r="CL711">
        <f>'Bookings and Drivers'!CT159</f>
        <v>123.93051343097747</v>
      </c>
      <c r="CM711">
        <f>'Bookings and Drivers'!CU159</f>
        <v>126.36143297182119</v>
      </c>
      <c r="CN711">
        <f>'Bookings and Drivers'!CV159</f>
        <v>113.02083887551211</v>
      </c>
      <c r="CO711">
        <f>'Bookings and Drivers'!CW159</f>
        <v>109.57985589186693</v>
      </c>
      <c r="CP711">
        <f>'Bookings and Drivers'!CX159</f>
        <v>109.59647259621208</v>
      </c>
      <c r="CQ711">
        <f>'Bookings and Drivers'!CY159</f>
        <v>112.57738744108859</v>
      </c>
      <c r="CR711">
        <f>'Bookings and Drivers'!CZ159</f>
        <v>112.77747120325824</v>
      </c>
      <c r="CS711">
        <f>'Bookings and Drivers'!DA159</f>
        <v>112.91025324404906</v>
      </c>
      <c r="CT711">
        <f>'Bookings and Drivers'!DB159</f>
        <v>113.00908028093779</v>
      </c>
      <c r="CU711">
        <f>'Bookings and Drivers'!DC159</f>
        <v>113.08551392763157</v>
      </c>
      <c r="CV711">
        <f>'Bookings and Drivers'!DD159</f>
        <v>113.14649806728821</v>
      </c>
      <c r="CW711">
        <f>'Bookings and Drivers'!DE159</f>
        <v>113.19478630340423</v>
      </c>
      <c r="CX711">
        <f>'Bookings and Drivers'!DF159</f>
        <v>113.24127361628784</v>
      </c>
    </row>
    <row r="712" spans="1:102">
      <c r="A712" t="str">
        <f>'Bookings and Drivers'!I160</f>
        <v xml:space="preserve"> % change Y/Y</v>
      </c>
      <c r="B712">
        <f>'Bookings and Drivers'!J160</f>
        <v>0</v>
      </c>
      <c r="C712">
        <f>'Bookings and Drivers'!K160</f>
        <v>0</v>
      </c>
      <c r="D712">
        <f>'Bookings and Drivers'!L160</f>
        <v>0</v>
      </c>
      <c r="E712">
        <f>'Bookings and Drivers'!M160</f>
        <v>0</v>
      </c>
      <c r="F712">
        <f>'Bookings and Drivers'!N160</f>
        <v>0</v>
      </c>
      <c r="G712">
        <f>'Bookings and Drivers'!O160</f>
        <v>0</v>
      </c>
      <c r="H712">
        <f>'Bookings and Drivers'!P160</f>
        <v>0</v>
      </c>
      <c r="I712">
        <f>'Bookings and Drivers'!Q160</f>
        <v>0</v>
      </c>
      <c r="J712">
        <f>'Bookings and Drivers'!R160</f>
        <v>0</v>
      </c>
      <c r="K712">
        <f>'Bookings and Drivers'!S160</f>
        <v>0</v>
      </c>
      <c r="L712">
        <f>'Bookings and Drivers'!T160</f>
        <v>0</v>
      </c>
      <c r="M712">
        <f>'Bookings and Drivers'!U160</f>
        <v>0</v>
      </c>
      <c r="N712">
        <f>'Bookings and Drivers'!V160</f>
        <v>0</v>
      </c>
      <c r="O712">
        <f>'Bookings and Drivers'!W160</f>
        <v>0</v>
      </c>
      <c r="P712">
        <f>'Bookings and Drivers'!X160</f>
        <v>0</v>
      </c>
      <c r="Q712">
        <f>'Bookings and Drivers'!Y160</f>
        <v>0</v>
      </c>
      <c r="R712">
        <f>'Bookings and Drivers'!Z160</f>
        <v>0</v>
      </c>
      <c r="S712">
        <f>'Bookings and Drivers'!AA160</f>
        <v>0</v>
      </c>
      <c r="T712">
        <f>'Bookings and Drivers'!AB160</f>
        <v>0</v>
      </c>
      <c r="U712">
        <f>'Bookings and Drivers'!AC160</f>
        <v>0</v>
      </c>
      <c r="V712">
        <f>'Bookings and Drivers'!AD160</f>
        <v>0</v>
      </c>
      <c r="W712">
        <f>'Bookings and Drivers'!AE160</f>
        <v>0</v>
      </c>
      <c r="X712">
        <f>'Bookings and Drivers'!AF160</f>
        <v>0</v>
      </c>
      <c r="Y712">
        <f>'Bookings and Drivers'!AG160</f>
        <v>0</v>
      </c>
      <c r="Z712">
        <f>'Bookings and Drivers'!AH160</f>
        <v>0</v>
      </c>
      <c r="AA712">
        <f>'Bookings and Drivers'!AI160</f>
        <v>0</v>
      </c>
      <c r="AB712">
        <f>'Bookings and Drivers'!AJ160</f>
        <v>0</v>
      </c>
      <c r="AC712">
        <f>'Bookings and Drivers'!AK160</f>
        <v>0.19225190066747055</v>
      </c>
      <c r="AD712">
        <f>'Bookings and Drivers'!AL160</f>
        <v>0.20807518733316988</v>
      </c>
      <c r="AE712">
        <f>'Bookings and Drivers'!AM160</f>
        <v>0.18765260362461511</v>
      </c>
      <c r="AF712">
        <f>'Bookings and Drivers'!AN160</f>
        <v>0.24878436152953154</v>
      </c>
      <c r="AG712">
        <f>'Bookings and Drivers'!AO160</f>
        <v>0.19070191735751663</v>
      </c>
      <c r="AH712">
        <f>'Bookings and Drivers'!AP160</f>
        <v>0.15616072268496994</v>
      </c>
      <c r="AI712">
        <f>'Bookings and Drivers'!AQ160</f>
        <v>7.6785427503322401E-2</v>
      </c>
      <c r="AJ712">
        <f>'Bookings and Drivers'!AR160</f>
        <v>-0.12956347885333441</v>
      </c>
      <c r="AK712">
        <f>'Bookings and Drivers'!AS160</f>
        <v>-0.20742477159926953</v>
      </c>
      <c r="AL712">
        <f>'Bookings and Drivers'!AT160</f>
        <v>-0.18834253372864573</v>
      </c>
      <c r="AM712">
        <f>'Bookings and Drivers'!AU160</f>
        <v>-0.1155105592598461</v>
      </c>
      <c r="AN712">
        <f>'Bookings and Drivers'!AV160</f>
        <v>6.9529881213320488E-2</v>
      </c>
      <c r="AO712">
        <f>'Bookings and Drivers'!AW160</f>
        <v>9.3414668498312814E-2</v>
      </c>
      <c r="AP712">
        <f>'Bookings and Drivers'!AX160</f>
        <v>1.8277375875645596E-2</v>
      </c>
      <c r="AQ712">
        <f>'Bookings and Drivers'!AY160</f>
        <v>1.9008781121412355E-2</v>
      </c>
      <c r="AR712">
        <f>'Bookings and Drivers'!AZ160</f>
        <v>3.4029231088432033E-2</v>
      </c>
      <c r="AS712">
        <f>'Bookings and Drivers'!BA160</f>
        <v>7.8362060962037905E-2</v>
      </c>
      <c r="AT712">
        <f>'Bookings and Drivers'!BB160</f>
        <v>0.19785442600625114</v>
      </c>
      <c r="AU712">
        <f>'Bookings and Drivers'!BC160</f>
        <v>0.12428809150560172</v>
      </c>
      <c r="AV712">
        <f>'Bookings and Drivers'!BD160</f>
        <v>4.6206712974056652E-2</v>
      </c>
      <c r="AW712">
        <f>'Bookings and Drivers'!BE160</f>
        <v>2.2292552139067556E-2</v>
      </c>
      <c r="AX712">
        <f>'Bookings and Drivers'!BF160</f>
        <v>-6.1434390308634179E-2</v>
      </c>
      <c r="AY712">
        <f>'Bookings and Drivers'!BG160</f>
        <v>-6.5663315875693629E-2</v>
      </c>
      <c r="AZ712">
        <f>'Bookings and Drivers'!BH160</f>
        <v>-5.0360518393743892E-4</v>
      </c>
      <c r="BA712">
        <f>'Bookings and Drivers'!BI160</f>
        <v>2.3011709762854604E-2</v>
      </c>
      <c r="BB712">
        <f>'Bookings and Drivers'!BJ160</f>
        <v>2.9371957897158962E-2</v>
      </c>
      <c r="BC712">
        <f>'Bookings and Drivers'!BK160</f>
        <v>3.5060387706834062E-2</v>
      </c>
      <c r="BD712">
        <f>'Bookings and Drivers'!BL160</f>
        <v>2.976806892032835E-2</v>
      </c>
      <c r="BE712">
        <f>'Bookings and Drivers'!BM160</f>
        <v>3.1633116025785446E-2</v>
      </c>
      <c r="BF712">
        <f>'Bookings and Drivers'!BN160</f>
        <v>5.0013740392076178E-2</v>
      </c>
      <c r="BG712">
        <f>'Bookings and Drivers'!BO160</f>
        <v>3.2577563423819011E-2</v>
      </c>
      <c r="BH712">
        <f>'Bookings and Drivers'!BP160</f>
        <v>-4.3599808271720053E-2</v>
      </c>
      <c r="BI712">
        <f>'Bookings and Drivers'!BQ160</f>
        <v>-9.605814812568203E-2</v>
      </c>
      <c r="BJ712">
        <f>'Bookings and Drivers'!BR160</f>
        <v>-0.11479745198083169</v>
      </c>
      <c r="BK712">
        <f>'Bookings and Drivers'!BS160</f>
        <v>-0.11849774233284349</v>
      </c>
      <c r="BL712">
        <f>'Bookings and Drivers'!BT160</f>
        <v>-8.8554043191223175E-2</v>
      </c>
      <c r="BM712">
        <f>'Bookings and Drivers'!BU160</f>
        <v>-5.103205712763581E-2</v>
      </c>
      <c r="BN712">
        <f>'Bookings and Drivers'!BV160</f>
        <v>-2.1757445183841928E-2</v>
      </c>
      <c r="BO712">
        <f>'Bookings and Drivers'!BW160</f>
        <v>-2.0378289035664521E-2</v>
      </c>
      <c r="BP712">
        <f>'Bookings and Drivers'!BX160</f>
        <v>-2.7854199528834056E-2</v>
      </c>
      <c r="BQ712">
        <f>'Bookings and Drivers'!BY160</f>
        <v>-6.9057126836641336E-3</v>
      </c>
      <c r="BR712">
        <f>'Bookings and Drivers'!BZ160</f>
        <v>-2.5766136607888956E-2</v>
      </c>
      <c r="BS712">
        <f>'Bookings and Drivers'!CA160</f>
        <v>7.0755909279085483E-3</v>
      </c>
      <c r="BT712">
        <f>'Bookings and Drivers'!CB160</f>
        <v>3.0030353159002487E-2</v>
      </c>
      <c r="BU712">
        <f>'Bookings and Drivers'!CC160</f>
        <v>5.7316511519704516E-2</v>
      </c>
      <c r="BV712">
        <f>'Bookings and Drivers'!CD160</f>
        <v>3.2141614943018482E-2</v>
      </c>
      <c r="BW712">
        <f>'Bookings and Drivers'!CE160</f>
        <v>-1.9988071665173801E-2</v>
      </c>
      <c r="BX712">
        <f>'Bookings and Drivers'!CF160</f>
        <v>4.2975213710122029E-2</v>
      </c>
      <c r="BY712">
        <f>'Bookings and Drivers'!CG160</f>
        <v>0</v>
      </c>
      <c r="BZ712">
        <f>'Bookings and Drivers'!CH160</f>
        <v>0</v>
      </c>
      <c r="CA712">
        <f>'Bookings and Drivers'!CI160</f>
        <v>0</v>
      </c>
      <c r="CB712">
        <f>'Bookings and Drivers'!CJ160</f>
        <v>0</v>
      </c>
      <c r="CC712">
        <f>'Bookings and Drivers'!CK160</f>
        <v>0</v>
      </c>
      <c r="CD712">
        <f>'Bookings and Drivers'!CL160</f>
        <v>0</v>
      </c>
      <c r="CE712">
        <f>'Bookings and Drivers'!CM160</f>
        <v>0</v>
      </c>
      <c r="CF712">
        <f>'Bookings and Drivers'!CN160</f>
        <v>0.20977075089150365</v>
      </c>
      <c r="CG712">
        <f>'Bookings and Drivers'!CO160</f>
        <v>7.1483440770151452E-2</v>
      </c>
      <c r="CH712">
        <f>'Bookings and Drivers'!CP160</f>
        <v>-0.12065407192863675</v>
      </c>
      <c r="CI712">
        <f>'Bookings and Drivers'!CQ160</f>
        <v>3.7221856686774801E-2</v>
      </c>
      <c r="CJ712">
        <f>'Bookings and Drivers'!CR160</f>
        <v>0.11295364332375901</v>
      </c>
      <c r="CK712">
        <f>'Bookings and Drivers'!CS160</f>
        <v>-3.0755882074681273E-2</v>
      </c>
      <c r="CL712">
        <f>'Bookings and Drivers'!CT160</f>
        <v>2.9599449018142376E-2</v>
      </c>
      <c r="CM712">
        <f>'Bookings and Drivers'!CU160</f>
        <v>1.961518171388521E-2</v>
      </c>
      <c r="CN712">
        <f>'Bookings and Drivers'!CV160</f>
        <v>-0.1055748877055237</v>
      </c>
      <c r="CO712">
        <f>'Bookings and Drivers'!CW160</f>
        <v>-3.0445562233308965E-2</v>
      </c>
      <c r="CP712">
        <f>'Bookings and Drivers'!CX160</f>
        <v>1.5164013686552735E-4</v>
      </c>
      <c r="CQ712">
        <f>'Bookings and Drivers'!CY160</f>
        <v>2.7199003528691534E-2</v>
      </c>
      <c r="CR712">
        <f>'Bookings and Drivers'!CZ160</f>
        <v>1.7772997465796969E-3</v>
      </c>
      <c r="CS712">
        <f>'Bookings and Drivers'!DA160</f>
        <v>1.1773809021795589E-3</v>
      </c>
      <c r="CT712">
        <f>'Bookings and Drivers'!DB160</f>
        <v>8.7527070438087051E-4</v>
      </c>
      <c r="CU712">
        <f>'Bookings and Drivers'!DC160</f>
        <v>6.7634960397655597E-4</v>
      </c>
      <c r="CV712">
        <f>'Bookings and Drivers'!DD160</f>
        <v>5.3927455019264769E-4</v>
      </c>
      <c r="CW712">
        <f>'Bookings and Drivers'!DE160</f>
        <v>4.2677623206066606E-4</v>
      </c>
      <c r="CX712">
        <f>'Bookings and Drivers'!DF160</f>
        <v>4.1068422320278408E-4</v>
      </c>
    </row>
    <row r="713" spans="1:102">
      <c r="A713">
        <f>'Bookings and Drivers'!I163</f>
        <v>0</v>
      </c>
      <c r="B713">
        <f>'Bookings and Drivers'!J163</f>
        <v>0</v>
      </c>
      <c r="C713">
        <f>'Bookings and Drivers'!K163</f>
        <v>0</v>
      </c>
      <c r="D713">
        <f>'Bookings and Drivers'!L163</f>
        <v>0</v>
      </c>
      <c r="E713">
        <f>'Bookings and Drivers'!M163</f>
        <v>0</v>
      </c>
      <c r="F713">
        <f>'Bookings and Drivers'!N163</f>
        <v>0</v>
      </c>
      <c r="G713">
        <f>'Bookings and Drivers'!O163</f>
        <v>0</v>
      </c>
      <c r="H713">
        <f>'Bookings and Drivers'!P163</f>
        <v>0</v>
      </c>
      <c r="I713">
        <f>'Bookings and Drivers'!Q163</f>
        <v>0</v>
      </c>
      <c r="J713">
        <f>'Bookings and Drivers'!R163</f>
        <v>0</v>
      </c>
      <c r="K713">
        <f>'Bookings and Drivers'!S163</f>
        <v>0</v>
      </c>
      <c r="L713">
        <f>'Bookings and Drivers'!T163</f>
        <v>0</v>
      </c>
      <c r="M713">
        <f>'Bookings and Drivers'!U163</f>
        <v>0</v>
      </c>
      <c r="N713">
        <f>'Bookings and Drivers'!V163</f>
        <v>0</v>
      </c>
      <c r="O713">
        <f>'Bookings and Drivers'!W163</f>
        <v>0</v>
      </c>
      <c r="P713">
        <f>'Bookings and Drivers'!X163</f>
        <v>0</v>
      </c>
      <c r="Q713">
        <f>'Bookings and Drivers'!Y163</f>
        <v>0</v>
      </c>
      <c r="R713">
        <f>'Bookings and Drivers'!Z163</f>
        <v>0</v>
      </c>
      <c r="S713">
        <f>'Bookings and Drivers'!AA163</f>
        <v>0</v>
      </c>
      <c r="T713">
        <f>'Bookings and Drivers'!AB163</f>
        <v>0</v>
      </c>
      <c r="U713">
        <f>'Bookings and Drivers'!AC163</f>
        <v>0</v>
      </c>
      <c r="V713">
        <f>'Bookings and Drivers'!AD163</f>
        <v>0</v>
      </c>
      <c r="W713">
        <f>'Bookings and Drivers'!AE163</f>
        <v>0</v>
      </c>
      <c r="X713">
        <f>'Bookings and Drivers'!AF163</f>
        <v>0</v>
      </c>
      <c r="Y713">
        <f>'Bookings and Drivers'!AG163</f>
        <v>0</v>
      </c>
      <c r="Z713">
        <f>'Bookings and Drivers'!AH163</f>
        <v>0</v>
      </c>
      <c r="AA713">
        <f>'Bookings and Drivers'!AI163</f>
        <v>0</v>
      </c>
      <c r="AB713">
        <f>'Bookings and Drivers'!AJ163</f>
        <v>0</v>
      </c>
      <c r="AC713">
        <f>'Bookings and Drivers'!AK163</f>
        <v>0</v>
      </c>
      <c r="AD713">
        <f>'Bookings and Drivers'!AL163</f>
        <v>0</v>
      </c>
      <c r="AE713">
        <f>'Bookings and Drivers'!AM163</f>
        <v>0</v>
      </c>
      <c r="AF713">
        <f>'Bookings and Drivers'!AN163</f>
        <v>0</v>
      </c>
      <c r="AG713">
        <f>'Bookings and Drivers'!AO163</f>
        <v>0</v>
      </c>
      <c r="AH713">
        <f>'Bookings and Drivers'!AP163</f>
        <v>0</v>
      </c>
      <c r="AI713">
        <f>'Bookings and Drivers'!AQ163</f>
        <v>0</v>
      </c>
      <c r="AJ713">
        <f>'Bookings and Drivers'!AR163</f>
        <v>0</v>
      </c>
      <c r="AK713">
        <f>'Bookings and Drivers'!AS163</f>
        <v>0</v>
      </c>
      <c r="AL713">
        <f>'Bookings and Drivers'!AT163</f>
        <v>0</v>
      </c>
      <c r="AM713">
        <f>'Bookings and Drivers'!AU163</f>
        <v>0</v>
      </c>
      <c r="AN713">
        <f>'Bookings and Drivers'!AV163</f>
        <v>0</v>
      </c>
      <c r="AO713">
        <f>'Bookings and Drivers'!AW163</f>
        <v>0</v>
      </c>
      <c r="AP713">
        <f>'Bookings and Drivers'!AX163</f>
        <v>0</v>
      </c>
      <c r="AQ713">
        <f>'Bookings and Drivers'!AY163</f>
        <v>0</v>
      </c>
      <c r="AR713">
        <f>'Bookings and Drivers'!AZ163</f>
        <v>0</v>
      </c>
      <c r="AS713">
        <f>'Bookings and Drivers'!BA163</f>
        <v>0</v>
      </c>
      <c r="AT713">
        <f>'Bookings and Drivers'!BB163</f>
        <v>0</v>
      </c>
      <c r="AU713">
        <f>'Bookings and Drivers'!BC163</f>
        <v>0</v>
      </c>
      <c r="AV713">
        <f>'Bookings and Drivers'!BD163</f>
        <v>0</v>
      </c>
      <c r="AW713">
        <f>'Bookings and Drivers'!BE163</f>
        <v>0</v>
      </c>
      <c r="AX713">
        <f>'Bookings and Drivers'!BF163</f>
        <v>0</v>
      </c>
      <c r="AY713">
        <f>'Bookings and Drivers'!BG163</f>
        <v>0</v>
      </c>
      <c r="AZ713">
        <f>'Bookings and Drivers'!BH163</f>
        <v>0</v>
      </c>
      <c r="BA713">
        <f>'Bookings and Drivers'!BI163</f>
        <v>0</v>
      </c>
      <c r="BB713">
        <f>'Bookings and Drivers'!BJ163</f>
        <v>0</v>
      </c>
      <c r="BC713">
        <f>'Bookings and Drivers'!BK163</f>
        <v>0</v>
      </c>
      <c r="BD713">
        <f>'Bookings and Drivers'!BL163</f>
        <v>0</v>
      </c>
      <c r="BE713">
        <f>'Bookings and Drivers'!BM163</f>
        <v>0</v>
      </c>
      <c r="BF713">
        <f>'Bookings and Drivers'!BN163</f>
        <v>0</v>
      </c>
      <c r="BG713">
        <f>'Bookings and Drivers'!BO163</f>
        <v>0</v>
      </c>
      <c r="BH713">
        <f>'Bookings and Drivers'!BP163</f>
        <v>0</v>
      </c>
      <c r="BI713">
        <f>'Bookings and Drivers'!BQ163</f>
        <v>0</v>
      </c>
      <c r="BJ713">
        <f>'Bookings and Drivers'!BR163</f>
        <v>0</v>
      </c>
      <c r="BK713">
        <f>'Bookings and Drivers'!BS163</f>
        <v>0</v>
      </c>
      <c r="BL713">
        <f>'Bookings and Drivers'!BT163</f>
        <v>0</v>
      </c>
      <c r="BM713">
        <f>'Bookings and Drivers'!BU163</f>
        <v>0</v>
      </c>
      <c r="BN713">
        <f>'Bookings and Drivers'!BV163</f>
        <v>0</v>
      </c>
      <c r="BO713">
        <f>'Bookings and Drivers'!BW163</f>
        <v>0</v>
      </c>
      <c r="BP713">
        <f>'Bookings and Drivers'!BX163</f>
        <v>0</v>
      </c>
      <c r="BQ713">
        <f>'Bookings and Drivers'!BY163</f>
        <v>0</v>
      </c>
      <c r="BR713">
        <f>'Bookings and Drivers'!BZ163</f>
        <v>0</v>
      </c>
      <c r="BS713">
        <f>'Bookings and Drivers'!CA163</f>
        <v>0</v>
      </c>
      <c r="BT713">
        <f>'Bookings and Drivers'!CB163</f>
        <v>0</v>
      </c>
      <c r="BU713">
        <f>'Bookings and Drivers'!CC163</f>
        <v>0</v>
      </c>
      <c r="BV713">
        <f>'Bookings and Drivers'!CD163</f>
        <v>0</v>
      </c>
      <c r="BW713">
        <f>'Bookings and Drivers'!CE163</f>
        <v>0</v>
      </c>
      <c r="BX713">
        <f>'Bookings and Drivers'!CF163</f>
        <v>0</v>
      </c>
      <c r="BY713">
        <f>'Bookings and Drivers'!CG163</f>
        <v>0</v>
      </c>
      <c r="BZ713">
        <f>'Bookings and Drivers'!CH163</f>
        <v>0</v>
      </c>
      <c r="CA713">
        <f>'Bookings and Drivers'!CI163</f>
        <v>0</v>
      </c>
      <c r="CB713">
        <f>'Bookings and Drivers'!CJ163</f>
        <v>0</v>
      </c>
      <c r="CC713">
        <f>'Bookings and Drivers'!CK163</f>
        <v>0</v>
      </c>
      <c r="CD713">
        <f>'Bookings and Drivers'!CL163</f>
        <v>0</v>
      </c>
      <c r="CE713">
        <f>'Bookings and Drivers'!CM163</f>
        <v>0</v>
      </c>
      <c r="CF713">
        <f>'Bookings and Drivers'!CN163</f>
        <v>0</v>
      </c>
      <c r="CG713">
        <f>'Bookings and Drivers'!CO163</f>
        <v>0</v>
      </c>
      <c r="CH713">
        <f>'Bookings and Drivers'!CP163</f>
        <v>0</v>
      </c>
      <c r="CI713">
        <f>'Bookings and Drivers'!CQ163</f>
        <v>0</v>
      </c>
      <c r="CJ713">
        <f>'Bookings and Drivers'!CR163</f>
        <v>0</v>
      </c>
      <c r="CK713">
        <f>'Bookings and Drivers'!CS163</f>
        <v>0</v>
      </c>
      <c r="CL713">
        <f>'Bookings and Drivers'!CT163</f>
        <v>0</v>
      </c>
      <c r="CM713">
        <f>'Bookings and Drivers'!CU163</f>
        <v>0</v>
      </c>
      <c r="CN713">
        <f>'Bookings and Drivers'!CV163</f>
        <v>0</v>
      </c>
      <c r="CO713">
        <f>'Bookings and Drivers'!CW163</f>
        <v>0</v>
      </c>
      <c r="CP713">
        <f>'Bookings and Drivers'!CX163</f>
        <v>0</v>
      </c>
      <c r="CQ713">
        <f>'Bookings and Drivers'!CY163</f>
        <v>0</v>
      </c>
      <c r="CR713">
        <f>'Bookings and Drivers'!CZ163</f>
        <v>0</v>
      </c>
      <c r="CS713">
        <f>'Bookings and Drivers'!DA163</f>
        <v>0</v>
      </c>
      <c r="CT713">
        <f>'Bookings and Drivers'!DB163</f>
        <v>0</v>
      </c>
      <c r="CU713">
        <f>'Bookings and Drivers'!DC163</f>
        <v>0</v>
      </c>
      <c r="CV713">
        <f>'Bookings and Drivers'!DD163</f>
        <v>0</v>
      </c>
      <c r="CW713">
        <f>'Bookings and Drivers'!DE163</f>
        <v>0</v>
      </c>
      <c r="CX713">
        <f>'Bookings and Drivers'!DF163</f>
        <v>0</v>
      </c>
    </row>
    <row r="714" spans="1:102">
      <c r="A714" t="str">
        <f>'Bookings and Drivers'!I164</f>
        <v>Hotel Bookings Roll-up</v>
      </c>
      <c r="B714">
        <f>'Bookings and Drivers'!J164</f>
        <v>0</v>
      </c>
      <c r="C714">
        <f>'Bookings and Drivers'!K164</f>
        <v>0</v>
      </c>
      <c r="D714">
        <f>'Bookings and Drivers'!L164</f>
        <v>0</v>
      </c>
      <c r="E714">
        <f>'Bookings and Drivers'!M164</f>
        <v>0</v>
      </c>
      <c r="F714">
        <f>'Bookings and Drivers'!N164</f>
        <v>0</v>
      </c>
      <c r="G714">
        <f>'Bookings and Drivers'!O164</f>
        <v>0</v>
      </c>
      <c r="H714">
        <f>'Bookings and Drivers'!P164</f>
        <v>0</v>
      </c>
      <c r="I714">
        <f>'Bookings and Drivers'!Q164</f>
        <v>0</v>
      </c>
      <c r="J714">
        <f>'Bookings and Drivers'!R164</f>
        <v>0</v>
      </c>
      <c r="K714">
        <f>'Bookings and Drivers'!S164</f>
        <v>0</v>
      </c>
      <c r="L714">
        <f>'Bookings and Drivers'!T164</f>
        <v>0</v>
      </c>
      <c r="M714">
        <f>'Bookings and Drivers'!U164</f>
        <v>0</v>
      </c>
      <c r="N714">
        <f>'Bookings and Drivers'!V164</f>
        <v>0</v>
      </c>
      <c r="O714">
        <f>'Bookings and Drivers'!W164</f>
        <v>0</v>
      </c>
      <c r="P714">
        <f>'Bookings and Drivers'!X164</f>
        <v>0</v>
      </c>
      <c r="Q714">
        <f>'Bookings and Drivers'!Y164</f>
        <v>0</v>
      </c>
      <c r="R714">
        <f>'Bookings and Drivers'!Z164</f>
        <v>0</v>
      </c>
      <c r="S714">
        <f>'Bookings and Drivers'!AA164</f>
        <v>0</v>
      </c>
      <c r="T714">
        <f>'Bookings and Drivers'!AB164</f>
        <v>0</v>
      </c>
      <c r="U714">
        <f>'Bookings and Drivers'!AC164</f>
        <v>0</v>
      </c>
      <c r="V714">
        <f>'Bookings and Drivers'!AD164</f>
        <v>0</v>
      </c>
      <c r="W714">
        <f>'Bookings and Drivers'!AE164</f>
        <v>0</v>
      </c>
      <c r="X714">
        <f>'Bookings and Drivers'!AF164</f>
        <v>0</v>
      </c>
      <c r="Y714">
        <f>'Bookings and Drivers'!AG164</f>
        <v>0</v>
      </c>
      <c r="Z714">
        <f>'Bookings and Drivers'!AH164</f>
        <v>0</v>
      </c>
      <c r="AA714">
        <f>'Bookings and Drivers'!AI164</f>
        <v>0</v>
      </c>
      <c r="AB714">
        <f>'Bookings and Drivers'!AJ164</f>
        <v>0</v>
      </c>
      <c r="AC714">
        <f>'Bookings and Drivers'!AK164</f>
        <v>0</v>
      </c>
      <c r="AD714">
        <f>'Bookings and Drivers'!AL164</f>
        <v>0</v>
      </c>
      <c r="AE714">
        <f>'Bookings and Drivers'!AM164</f>
        <v>0</v>
      </c>
      <c r="AF714">
        <f>'Bookings and Drivers'!AN164</f>
        <v>0</v>
      </c>
      <c r="AG714">
        <f>'Bookings and Drivers'!AO164</f>
        <v>0</v>
      </c>
      <c r="AH714">
        <f>'Bookings and Drivers'!AP164</f>
        <v>0</v>
      </c>
      <c r="AI714">
        <f>'Bookings and Drivers'!AQ164</f>
        <v>0</v>
      </c>
      <c r="AJ714">
        <f>'Bookings and Drivers'!AR164</f>
        <v>0</v>
      </c>
      <c r="AK714">
        <f>'Bookings and Drivers'!AS164</f>
        <v>0</v>
      </c>
      <c r="AL714">
        <f>'Bookings and Drivers'!AT164</f>
        <v>0</v>
      </c>
      <c r="AM714">
        <f>'Bookings and Drivers'!AU164</f>
        <v>0</v>
      </c>
      <c r="AN714">
        <f>'Bookings and Drivers'!AV164</f>
        <v>0</v>
      </c>
      <c r="AO714">
        <f>'Bookings and Drivers'!AW164</f>
        <v>0</v>
      </c>
      <c r="AP714">
        <f>'Bookings and Drivers'!AX164</f>
        <v>0</v>
      </c>
      <c r="AQ714">
        <f>'Bookings and Drivers'!AY164</f>
        <v>0</v>
      </c>
      <c r="AR714">
        <f>'Bookings and Drivers'!AZ164</f>
        <v>0</v>
      </c>
      <c r="AS714">
        <f>'Bookings and Drivers'!BA164</f>
        <v>0</v>
      </c>
      <c r="AT714">
        <f>'Bookings and Drivers'!BB164</f>
        <v>0</v>
      </c>
      <c r="AU714">
        <f>'Bookings and Drivers'!BC164</f>
        <v>0</v>
      </c>
      <c r="AV714">
        <f>'Bookings and Drivers'!BD164</f>
        <v>0</v>
      </c>
      <c r="AW714">
        <f>'Bookings and Drivers'!BE164</f>
        <v>0</v>
      </c>
      <c r="AX714">
        <f>'Bookings and Drivers'!BF164</f>
        <v>0</v>
      </c>
      <c r="AY714">
        <f>'Bookings and Drivers'!BG164</f>
        <v>0</v>
      </c>
      <c r="AZ714">
        <f>'Bookings and Drivers'!BH164</f>
        <v>0</v>
      </c>
      <c r="BA714">
        <f>'Bookings and Drivers'!BI164</f>
        <v>0</v>
      </c>
      <c r="BB714">
        <f>'Bookings and Drivers'!BJ164</f>
        <v>0</v>
      </c>
      <c r="BC714">
        <f>'Bookings and Drivers'!BK164</f>
        <v>0</v>
      </c>
      <c r="BD714">
        <f>'Bookings and Drivers'!BL164</f>
        <v>0</v>
      </c>
      <c r="BE714">
        <f>'Bookings and Drivers'!BM164</f>
        <v>0</v>
      </c>
      <c r="BF714">
        <f>'Bookings and Drivers'!BN164</f>
        <v>0</v>
      </c>
      <c r="BG714">
        <f>'Bookings and Drivers'!BO164</f>
        <v>0</v>
      </c>
      <c r="BH714">
        <f>'Bookings and Drivers'!BP164</f>
        <v>0</v>
      </c>
      <c r="BI714">
        <f>'Bookings and Drivers'!BQ164</f>
        <v>0</v>
      </c>
      <c r="BJ714">
        <f>'Bookings and Drivers'!BR164</f>
        <v>0</v>
      </c>
      <c r="BK714">
        <f>'Bookings and Drivers'!BS164</f>
        <v>0</v>
      </c>
      <c r="BL714">
        <f>'Bookings and Drivers'!BT164</f>
        <v>0</v>
      </c>
      <c r="BM714">
        <f>'Bookings and Drivers'!BU164</f>
        <v>0</v>
      </c>
      <c r="BN714">
        <f>'Bookings and Drivers'!BV164</f>
        <v>0</v>
      </c>
      <c r="BO714">
        <f>'Bookings and Drivers'!BW164</f>
        <v>0</v>
      </c>
      <c r="BP714">
        <f>'Bookings and Drivers'!BX164</f>
        <v>0</v>
      </c>
      <c r="BQ714">
        <f>'Bookings and Drivers'!BY164</f>
        <v>0</v>
      </c>
      <c r="BR714">
        <f>'Bookings and Drivers'!BZ164</f>
        <v>0</v>
      </c>
      <c r="BS714">
        <f>'Bookings and Drivers'!CA164</f>
        <v>0</v>
      </c>
      <c r="BT714">
        <f>'Bookings and Drivers'!CB164</f>
        <v>0</v>
      </c>
      <c r="BU714">
        <f>'Bookings and Drivers'!CC164</f>
        <v>0</v>
      </c>
      <c r="BV714">
        <f>'Bookings and Drivers'!CD164</f>
        <v>0</v>
      </c>
      <c r="BW714">
        <f>'Bookings and Drivers'!CE164</f>
        <v>0</v>
      </c>
      <c r="BX714">
        <f>'Bookings and Drivers'!CF164</f>
        <v>0</v>
      </c>
      <c r="BY714">
        <f>'Bookings and Drivers'!CG164</f>
        <v>0</v>
      </c>
      <c r="BZ714">
        <f>'Bookings and Drivers'!CH164</f>
        <v>0</v>
      </c>
      <c r="CA714">
        <f>'Bookings and Drivers'!CI164</f>
        <v>0</v>
      </c>
      <c r="CB714">
        <f>'Bookings and Drivers'!CJ164</f>
        <v>0</v>
      </c>
      <c r="CC714">
        <f>'Bookings and Drivers'!CK164</f>
        <v>0</v>
      </c>
      <c r="CD714">
        <f>'Bookings and Drivers'!CL164</f>
        <v>0</v>
      </c>
      <c r="CE714">
        <f>'Bookings and Drivers'!CM164</f>
        <v>0</v>
      </c>
      <c r="CF714">
        <f>'Bookings and Drivers'!CN164</f>
        <v>0</v>
      </c>
      <c r="CG714">
        <f>'Bookings and Drivers'!CO164</f>
        <v>0</v>
      </c>
      <c r="CH714">
        <f>'Bookings and Drivers'!CP164</f>
        <v>0</v>
      </c>
      <c r="CI714">
        <f>'Bookings and Drivers'!CQ164</f>
        <v>0</v>
      </c>
      <c r="CJ714">
        <f>'Bookings and Drivers'!CR164</f>
        <v>0</v>
      </c>
      <c r="CK714">
        <f>'Bookings and Drivers'!CS164</f>
        <v>0</v>
      </c>
      <c r="CL714">
        <f>'Bookings and Drivers'!CT164</f>
        <v>0</v>
      </c>
      <c r="CM714">
        <f>'Bookings and Drivers'!CU164</f>
        <v>0</v>
      </c>
      <c r="CN714">
        <f>'Bookings and Drivers'!CV164</f>
        <v>0</v>
      </c>
      <c r="CO714">
        <f>'Bookings and Drivers'!CW164</f>
        <v>0</v>
      </c>
      <c r="CP714">
        <f>'Bookings and Drivers'!CX164</f>
        <v>0</v>
      </c>
      <c r="CQ714">
        <f>'Bookings and Drivers'!CY164</f>
        <v>0</v>
      </c>
      <c r="CR714">
        <f>'Bookings and Drivers'!CZ164</f>
        <v>0</v>
      </c>
      <c r="CS714">
        <f>'Bookings and Drivers'!DA164</f>
        <v>0</v>
      </c>
      <c r="CT714">
        <f>'Bookings and Drivers'!DB164</f>
        <v>0</v>
      </c>
      <c r="CU714">
        <f>'Bookings and Drivers'!DC164</f>
        <v>0</v>
      </c>
      <c r="CV714">
        <f>'Bookings and Drivers'!DD164</f>
        <v>0</v>
      </c>
      <c r="CW714">
        <f>'Bookings and Drivers'!DE164</f>
        <v>0</v>
      </c>
      <c r="CX714">
        <f>'Bookings and Drivers'!DF164</f>
        <v>0</v>
      </c>
    </row>
    <row r="715" spans="1:102">
      <c r="A715" t="str">
        <f>'Bookings and Drivers'!I165</f>
        <v>Domestic Hotel Bookings</v>
      </c>
      <c r="B715">
        <f>'Bookings and Drivers'!J165</f>
        <v>0</v>
      </c>
      <c r="C715">
        <f>'Bookings and Drivers'!K165</f>
        <v>0</v>
      </c>
      <c r="D715">
        <f>'Bookings and Drivers'!L165</f>
        <v>0</v>
      </c>
      <c r="E715">
        <f>'Bookings and Drivers'!M165</f>
        <v>0</v>
      </c>
      <c r="F715">
        <f>'Bookings and Drivers'!N165</f>
        <v>0</v>
      </c>
      <c r="G715">
        <f>'Bookings and Drivers'!O165</f>
        <v>0</v>
      </c>
      <c r="H715">
        <f>'Bookings and Drivers'!P165</f>
        <v>0</v>
      </c>
      <c r="I715">
        <f>'Bookings and Drivers'!Q165</f>
        <v>0</v>
      </c>
      <c r="J715">
        <f>'Bookings and Drivers'!R165</f>
        <v>0</v>
      </c>
      <c r="K715">
        <f>'Bookings and Drivers'!S165</f>
        <v>0</v>
      </c>
      <c r="L715">
        <f>'Bookings and Drivers'!T165</f>
        <v>0</v>
      </c>
      <c r="M715">
        <f>'Bookings and Drivers'!U165</f>
        <v>0</v>
      </c>
      <c r="N715">
        <f>'Bookings and Drivers'!V165</f>
        <v>0</v>
      </c>
      <c r="O715">
        <f>'Bookings and Drivers'!W165</f>
        <v>0</v>
      </c>
      <c r="P715">
        <f>'Bookings and Drivers'!X165</f>
        <v>0</v>
      </c>
      <c r="Q715">
        <f>'Bookings and Drivers'!Y165</f>
        <v>0</v>
      </c>
      <c r="R715">
        <f>'Bookings and Drivers'!Z165</f>
        <v>0</v>
      </c>
      <c r="S715">
        <f>'Bookings and Drivers'!AA165</f>
        <v>0</v>
      </c>
      <c r="T715">
        <f>'Bookings and Drivers'!AB165</f>
        <v>0</v>
      </c>
      <c r="U715">
        <f>'Bookings and Drivers'!AC165</f>
        <v>0</v>
      </c>
      <c r="V715">
        <f>'Bookings and Drivers'!AD165</f>
        <v>0</v>
      </c>
      <c r="W715">
        <f>'Bookings and Drivers'!AE165</f>
        <v>0</v>
      </c>
      <c r="X715">
        <f>'Bookings and Drivers'!AF165</f>
        <v>0</v>
      </c>
      <c r="Y715">
        <f>'Bookings and Drivers'!AG165</f>
        <v>98.218450000000018</v>
      </c>
      <c r="Z715">
        <f>'Bookings and Drivers'!AH165</f>
        <v>111.26362500000002</v>
      </c>
      <c r="AA715">
        <f>'Bookings and Drivers'!AI165</f>
        <v>112.35510000000001</v>
      </c>
      <c r="AB715">
        <f>'Bookings and Drivers'!AJ165</f>
        <v>91.484250000000017</v>
      </c>
      <c r="AC715">
        <f>'Bookings and Drivers'!AK165</f>
        <v>114.62836235573526</v>
      </c>
      <c r="AD715">
        <f>'Bookings and Drivers'!AL165</f>
        <v>132.33980508056598</v>
      </c>
      <c r="AE715">
        <f>'Bookings and Drivers'!AM165</f>
        <v>133.84172959257455</v>
      </c>
      <c r="AF715">
        <f>'Bookings and Drivers'!AN165</f>
        <v>115.674229014801</v>
      </c>
      <c r="AG715">
        <f>'Bookings and Drivers'!AO165</f>
        <v>151.38464066587349</v>
      </c>
      <c r="AH715">
        <f>'Bookings and Drivers'!AP165</f>
        <v>185.5599914913995</v>
      </c>
      <c r="AI715">
        <f>'Bookings and Drivers'!AQ165</f>
        <v>175.01236067323356</v>
      </c>
      <c r="AJ715">
        <f>'Bookings and Drivers'!AR165</f>
        <v>162.86052574558539</v>
      </c>
      <c r="AK715">
        <f>'Bookings and Drivers'!AS165</f>
        <v>192.74799251978985</v>
      </c>
      <c r="AL715">
        <f>'Bookings and Drivers'!AT165</f>
        <v>248.6705145186265</v>
      </c>
      <c r="AM715">
        <f>'Bookings and Drivers'!AU165</f>
        <v>246.80407511808167</v>
      </c>
      <c r="AN715">
        <f>'Bookings and Drivers'!AV165</f>
        <v>199.89453962657237</v>
      </c>
      <c r="AO715">
        <f>'Bookings and Drivers'!AW165</f>
        <v>227.51799523504917</v>
      </c>
      <c r="AP715">
        <f>'Bookings and Drivers'!AX165</f>
        <v>296.11187517243002</v>
      </c>
      <c r="AQ715">
        <f>'Bookings and Drivers'!AY165</f>
        <v>291.68388189331722</v>
      </c>
      <c r="AR715">
        <f>'Bookings and Drivers'!AZ165</f>
        <v>238.21049041190605</v>
      </c>
      <c r="AS715">
        <f>'Bookings and Drivers'!BA165</f>
        <v>257.68907505392076</v>
      </c>
      <c r="AT715">
        <f>'Bookings and Drivers'!BB165</f>
        <v>303.62415228036622</v>
      </c>
      <c r="AU715">
        <f>'Bookings and Drivers'!BC165</f>
        <v>321.60850872560411</v>
      </c>
      <c r="AV715">
        <f>'Bookings and Drivers'!BD165</f>
        <v>271.9445572357767</v>
      </c>
      <c r="AW715">
        <f>'Bookings and Drivers'!BE165</f>
        <v>273.27926409468301</v>
      </c>
      <c r="AX715">
        <f>'Bookings and Drivers'!BF165</f>
        <v>310.40104335926401</v>
      </c>
      <c r="AY715">
        <f>'Bookings and Drivers'!BG165</f>
        <v>332.62360014945614</v>
      </c>
      <c r="AZ715">
        <f>'Bookings and Drivers'!BH165</f>
        <v>270.54404276601247</v>
      </c>
      <c r="BA715">
        <f>'Bookings and Drivers'!BI165</f>
        <v>278.77217730298611</v>
      </c>
      <c r="BB715">
        <f>'Bookings and Drivers'!BJ165</f>
        <v>329.18030648249947</v>
      </c>
      <c r="BC715">
        <f>'Bookings and Drivers'!BK165</f>
        <v>365.69969094831805</v>
      </c>
      <c r="BD715">
        <f>'Bookings and Drivers'!BL165</f>
        <v>331.14590834559925</v>
      </c>
      <c r="BE715">
        <f>'Bookings and Drivers'!BM165</f>
        <v>304.36346317940024</v>
      </c>
      <c r="BF715">
        <f>'Bookings and Drivers'!BN165</f>
        <v>359.39905861759297</v>
      </c>
      <c r="BG715">
        <f>'Bookings and Drivers'!BO165</f>
        <v>399.27092257737365</v>
      </c>
      <c r="BH715">
        <f>'Bookings and Drivers'!BP165</f>
        <v>358.13429987576563</v>
      </c>
      <c r="BI715">
        <f>'Bookings and Drivers'!BQ165</f>
        <v>325.97326906513769</v>
      </c>
      <c r="BJ715">
        <f>'Bookings and Drivers'!BR165</f>
        <v>384.91639177944211</v>
      </c>
      <c r="BK715">
        <f>'Bookings and Drivers'!BS165</f>
        <v>426.5710719086016</v>
      </c>
      <c r="BL715">
        <f>'Bookings and Drivers'!BT165</f>
        <v>379.80142501824946</v>
      </c>
      <c r="BM715">
        <f>'Bookings and Drivers'!BU165</f>
        <v>340.5605728558026</v>
      </c>
      <c r="BN715">
        <f>'Bookings and Drivers'!BV165</f>
        <v>402.14140031157206</v>
      </c>
      <c r="BO715">
        <f>'Bookings and Drivers'!BW165</f>
        <v>445.66012737651158</v>
      </c>
      <c r="BP715">
        <f>'Bookings and Drivers'!BX165</f>
        <v>396.79753878781617</v>
      </c>
      <c r="BQ715">
        <f>'Bookings and Drivers'!BY165</f>
        <v>361.16448751357865</v>
      </c>
      <c r="BR715">
        <f>'Bookings and Drivers'!BZ165</f>
        <v>418.02598562387919</v>
      </c>
      <c r="BS715">
        <f>'Bookings and Drivers'!CA165</f>
        <v>463.26370240788384</v>
      </c>
      <c r="BT715">
        <f>'Bookings and Drivers'!CB165</f>
        <v>412.47104156993493</v>
      </c>
      <c r="BU715">
        <f>'Bookings and Drivers'!CC165</f>
        <v>375.43048477036501</v>
      </c>
      <c r="BV715">
        <f>'Bookings and Drivers'!CD165</f>
        <v>430.1487392069717</v>
      </c>
      <c r="BW715">
        <f>'Bookings and Drivers'!CE165</f>
        <v>481.56261865299518</v>
      </c>
      <c r="BX715">
        <f>'Bookings and Drivers'!CF165</f>
        <v>428.76364771194733</v>
      </c>
      <c r="BY715">
        <f>'Bookings and Drivers'!CG165</f>
        <v>0</v>
      </c>
      <c r="BZ715">
        <f>'Bookings and Drivers'!CH165</f>
        <v>0</v>
      </c>
      <c r="CA715">
        <f>'Bookings and Drivers'!CI165</f>
        <v>0</v>
      </c>
      <c r="CB715">
        <f>'Bookings and Drivers'!CJ165</f>
        <v>0</v>
      </c>
      <c r="CC715">
        <f>'Bookings and Drivers'!CK165</f>
        <v>0</v>
      </c>
      <c r="CD715">
        <f>'Bookings and Drivers'!CL165</f>
        <v>0</v>
      </c>
      <c r="CE715">
        <f>'Bookings and Drivers'!CM165</f>
        <v>413.32142500000009</v>
      </c>
      <c r="CF715">
        <f>'Bookings and Drivers'!CN165</f>
        <v>496.48412604367684</v>
      </c>
      <c r="CG715">
        <f>'Bookings and Drivers'!CO165</f>
        <v>674.81751857609197</v>
      </c>
      <c r="CH715">
        <f>'Bookings and Drivers'!CP165</f>
        <v>888.11712178307039</v>
      </c>
      <c r="CI715">
        <f>'Bookings and Drivers'!CQ165</f>
        <v>1053.5242427127025</v>
      </c>
      <c r="CJ715">
        <f>'Bookings and Drivers'!CR165</f>
        <v>1154.8662932956677</v>
      </c>
      <c r="CK715">
        <f>'Bookings and Drivers'!CS165</f>
        <v>1186.8479503694157</v>
      </c>
      <c r="CL715">
        <f>'Bookings and Drivers'!CT165</f>
        <v>1304.7980830794029</v>
      </c>
      <c r="CM715">
        <f>'Bookings and Drivers'!CU165</f>
        <v>1421.1677442501325</v>
      </c>
      <c r="CN715">
        <f>'Bookings and Drivers'!CV165</f>
        <v>1517.2621577714308</v>
      </c>
      <c r="CO715">
        <f>'Bookings and Drivers'!CW165</f>
        <v>1585.1596393317025</v>
      </c>
      <c r="CP715">
        <f>'Bookings and Drivers'!CX165</f>
        <v>1654.9252171152766</v>
      </c>
      <c r="CQ715">
        <f>'Bookings and Drivers'!CY165</f>
        <v>1715.9054903422793</v>
      </c>
      <c r="CR715">
        <f>'Bookings and Drivers'!CZ165</f>
        <v>1784.5417099559706</v>
      </c>
      <c r="CS715">
        <f>'Bookings and Drivers'!DA165</f>
        <v>1855.9233783542097</v>
      </c>
      <c r="CT715">
        <f>'Bookings and Drivers'!DB165</f>
        <v>1930.1603134883781</v>
      </c>
      <c r="CU715">
        <f>'Bookings and Drivers'!DC165</f>
        <v>2007.366726027913</v>
      </c>
      <c r="CV715">
        <f>'Bookings and Drivers'!DD165</f>
        <v>2087.6613950690298</v>
      </c>
      <c r="CW715">
        <f>'Bookings and Drivers'!DE165</f>
        <v>2171.167850871791</v>
      </c>
      <c r="CX715">
        <f>'Bookings and Drivers'!DF165</f>
        <v>2258.0145649066626</v>
      </c>
    </row>
    <row r="716" spans="1:102">
      <c r="A716" t="str">
        <f>'Bookings and Drivers'!I166</f>
        <v>International Hotel Bookings</v>
      </c>
      <c r="B716">
        <f>'Bookings and Drivers'!J166</f>
        <v>0</v>
      </c>
      <c r="C716">
        <f>'Bookings and Drivers'!K166</f>
        <v>0</v>
      </c>
      <c r="D716">
        <f>'Bookings and Drivers'!L166</f>
        <v>0</v>
      </c>
      <c r="E716">
        <f>'Bookings and Drivers'!M166</f>
        <v>0</v>
      </c>
      <c r="F716">
        <f>'Bookings and Drivers'!N166</f>
        <v>0</v>
      </c>
      <c r="G716">
        <f>'Bookings and Drivers'!O166</f>
        <v>0</v>
      </c>
      <c r="H716">
        <f>'Bookings and Drivers'!P166</f>
        <v>0</v>
      </c>
      <c r="I716">
        <f>'Bookings and Drivers'!Q166</f>
        <v>0</v>
      </c>
      <c r="J716">
        <f>'Bookings and Drivers'!R166</f>
        <v>0</v>
      </c>
      <c r="K716">
        <f>'Bookings and Drivers'!S166</f>
        <v>0</v>
      </c>
      <c r="L716">
        <f>'Bookings and Drivers'!T166</f>
        <v>0</v>
      </c>
      <c r="M716">
        <f>'Bookings and Drivers'!U166</f>
        <v>0</v>
      </c>
      <c r="N716">
        <f>'Bookings and Drivers'!V166</f>
        <v>0</v>
      </c>
      <c r="O716">
        <f>'Bookings and Drivers'!W166</f>
        <v>0</v>
      </c>
      <c r="P716">
        <f>'Bookings and Drivers'!X166</f>
        <v>0</v>
      </c>
      <c r="Q716">
        <f>'Bookings and Drivers'!Y166</f>
        <v>0</v>
      </c>
      <c r="R716">
        <f>'Bookings and Drivers'!Z166</f>
        <v>0</v>
      </c>
      <c r="S716">
        <f>'Bookings and Drivers'!AA166</f>
        <v>0</v>
      </c>
      <c r="T716">
        <f>'Bookings and Drivers'!AB166</f>
        <v>0</v>
      </c>
      <c r="U716">
        <f>'Bookings and Drivers'!AC166</f>
        <v>0</v>
      </c>
      <c r="V716">
        <f>'Bookings and Drivers'!AD166</f>
        <v>0</v>
      </c>
      <c r="W716">
        <f>'Bookings and Drivers'!AE166</f>
        <v>0</v>
      </c>
      <c r="X716">
        <f>'Bookings and Drivers'!AF166</f>
        <v>0</v>
      </c>
      <c r="Y716">
        <f>'Bookings and Drivers'!AG166</f>
        <v>272.81400000000002</v>
      </c>
      <c r="Z716">
        <f>'Bookings and Drivers'!AH166</f>
        <v>356.59300000000002</v>
      </c>
      <c r="AA716">
        <f>'Bookings and Drivers'!AI166</f>
        <v>398.416</v>
      </c>
      <c r="AB716">
        <f>'Bookings and Drivers'!AJ166</f>
        <v>319.13600000000002</v>
      </c>
      <c r="AC716">
        <f>'Bookings and Drivers'!AK166</f>
        <v>519.67899999999997</v>
      </c>
      <c r="AD716">
        <f>'Bookings and Drivers'!AL166</f>
        <v>687.12400000000002</v>
      </c>
      <c r="AE716">
        <f>'Bookings and Drivers'!AM166</f>
        <v>788.47799999999995</v>
      </c>
      <c r="AF716">
        <f>'Bookings and Drivers'!AN166</f>
        <v>679.76</v>
      </c>
      <c r="AG716">
        <f>'Bookings and Drivers'!AO166</f>
        <v>1037.644</v>
      </c>
      <c r="AH716">
        <f>'Bookings and Drivers'!AP166</f>
        <v>1237.681</v>
      </c>
      <c r="AI716">
        <f>'Bookings and Drivers'!AQ166</f>
        <v>1250.8499999999999</v>
      </c>
      <c r="AJ716">
        <f>'Bookings and Drivers'!AR166</f>
        <v>792.19</v>
      </c>
      <c r="AK716">
        <f>'Bookings and Drivers'!AS166</f>
        <v>1092.4269999999999</v>
      </c>
      <c r="AL716">
        <f>'Bookings and Drivers'!AT166</f>
        <v>1414.7139999999999</v>
      </c>
      <c r="AM716">
        <f>'Bookings and Drivers'!AU166</f>
        <v>1724.1310000000001</v>
      </c>
      <c r="AN716">
        <f>'Bookings and Drivers'!AV166</f>
        <v>1433.471</v>
      </c>
      <c r="AO716">
        <f>'Bookings and Drivers'!AW166</f>
        <v>1975.345</v>
      </c>
      <c r="AP716">
        <f>'Bookings and Drivers'!AX166</f>
        <v>2212.4009999999998</v>
      </c>
      <c r="AQ716">
        <f>'Bookings and Drivers'!AY166</f>
        <v>2799.2</v>
      </c>
      <c r="AR716">
        <f>'Bookings and Drivers'!AZ166</f>
        <v>2308</v>
      </c>
      <c r="AS716">
        <f>'Bookings and Drivers'!BA166</f>
        <v>3440.3</v>
      </c>
      <c r="AT716">
        <f>'Bookings and Drivers'!BB166</f>
        <v>4372</v>
      </c>
      <c r="AU716">
        <f>'Bookings and Drivers'!BC166</f>
        <v>4808.82</v>
      </c>
      <c r="AV716">
        <f>'Bookings and Drivers'!BD166</f>
        <v>3796.5</v>
      </c>
      <c r="AW716">
        <f>'Bookings and Drivers'!BE166</f>
        <v>5288.31</v>
      </c>
      <c r="AX716">
        <f>'Bookings and Drivers'!BF166</f>
        <v>5792</v>
      </c>
      <c r="AY716">
        <f>'Bookings and Drivers'!BG166</f>
        <v>6184.7119999999995</v>
      </c>
      <c r="AZ716">
        <f>'Bookings and Drivers'!BH166</f>
        <v>5320.75</v>
      </c>
      <c r="BA716">
        <f>'Bookings and Drivers'!BI166</f>
        <v>7555.2340000000004</v>
      </c>
      <c r="BB716">
        <f>'Bookings and Drivers'!BJ166</f>
        <v>8355</v>
      </c>
      <c r="BC716">
        <f>'Bookings and Drivers'!BK166</f>
        <v>8775.3968000000004</v>
      </c>
      <c r="BD716">
        <f>'Bookings and Drivers'!BL166</f>
        <v>7532.7749999999996</v>
      </c>
      <c r="BE716">
        <f>'Bookings and Drivers'!BM166</f>
        <v>10360.570159999999</v>
      </c>
      <c r="BF716">
        <f>'Bookings and Drivers'!BN166</f>
        <v>11413.2</v>
      </c>
      <c r="BG716">
        <f>'Bookings and Drivers'!BO166</f>
        <v>11563.387903999999</v>
      </c>
      <c r="BH716">
        <f>'Bookings and Drivers'!BP166</f>
        <v>8962.73</v>
      </c>
      <c r="BI716">
        <f>'Bookings and Drivers'!BQ166</f>
        <v>11765.084192</v>
      </c>
      <c r="BJ716">
        <f>'Bookings and Drivers'!BR166</f>
        <v>12769.44</v>
      </c>
      <c r="BK716">
        <f>'Bookings and Drivers'!BS166</f>
        <v>12432.23488</v>
      </c>
      <c r="BL716">
        <f>'Bookings and Drivers'!BT166</f>
        <v>10386.1895</v>
      </c>
      <c r="BM716">
        <f>'Bookings and Drivers'!BU166</f>
        <v>14632.714177584639</v>
      </c>
      <c r="BN716">
        <f>'Bookings and Drivers'!BV166</f>
        <v>15606.248293361999</v>
      </c>
      <c r="BO716">
        <f>'Bookings and Drivers'!BW166</f>
        <v>15856.036385945601</v>
      </c>
      <c r="BP716">
        <f>'Bookings and Drivers'!BX166</f>
        <v>13301.031307599998</v>
      </c>
      <c r="BQ716">
        <f>'Bookings and Drivers'!BY166</f>
        <v>18582.945563843714</v>
      </c>
      <c r="BR716">
        <f>'Bookings and Drivers'!BZ166</f>
        <v>18447.821850337601</v>
      </c>
      <c r="BS716">
        <f>'Bookings and Drivers'!CA166</f>
        <v>19015.511132133757</v>
      </c>
      <c r="BT716">
        <f>'Bookings and Drivers'!CB166</f>
        <v>16068.18194108</v>
      </c>
      <c r="BU716">
        <f>'Bookings and Drivers'!CC166</f>
        <v>22690.329373164961</v>
      </c>
      <c r="BV716">
        <f>'Bookings and Drivers'!CD166</f>
        <v>22638.20309594876</v>
      </c>
      <c r="BW716">
        <f>'Bookings and Drivers'!CE166</f>
        <v>21941.690570821313</v>
      </c>
      <c r="BX716">
        <f>'Bookings and Drivers'!CF166</f>
        <v>20001.124491499399</v>
      </c>
      <c r="BY716">
        <f>'Bookings and Drivers'!CG166</f>
        <v>0</v>
      </c>
      <c r="BZ716">
        <f>'Bookings and Drivers'!CH166</f>
        <v>0</v>
      </c>
      <c r="CA716">
        <f>'Bookings and Drivers'!CI166</f>
        <v>0</v>
      </c>
      <c r="CB716">
        <f>'Bookings and Drivers'!CJ166</f>
        <v>0</v>
      </c>
      <c r="CC716">
        <f>'Bookings and Drivers'!CK166</f>
        <v>0</v>
      </c>
      <c r="CD716">
        <f>'Bookings and Drivers'!CL166</f>
        <v>0</v>
      </c>
      <c r="CE716">
        <f>'Bookings and Drivers'!CM166</f>
        <v>1346.9590000000001</v>
      </c>
      <c r="CF716">
        <f>'Bookings and Drivers'!CN166</f>
        <v>2675.0410000000002</v>
      </c>
      <c r="CG716">
        <f>'Bookings and Drivers'!CO166</f>
        <v>4318.3649999999998</v>
      </c>
      <c r="CH716">
        <f>'Bookings and Drivers'!CP166</f>
        <v>5664.7430000000004</v>
      </c>
      <c r="CI716">
        <f>'Bookings and Drivers'!CQ166</f>
        <v>9294.9459999999999</v>
      </c>
      <c r="CJ716">
        <f>'Bookings and Drivers'!CR166</f>
        <v>16417.62</v>
      </c>
      <c r="CK716">
        <f>'Bookings and Drivers'!CS166</f>
        <v>22585.772000000001</v>
      </c>
      <c r="CL716">
        <f>'Bookings and Drivers'!CT166</f>
        <v>32218.4058</v>
      </c>
      <c r="CM716">
        <f>'Bookings and Drivers'!CU166</f>
        <v>42299.888063999999</v>
      </c>
      <c r="CN716">
        <f>'Bookings and Drivers'!CV166</f>
        <v>47352.948572000001</v>
      </c>
      <c r="CO716">
        <f>'Bookings and Drivers'!CW166</f>
        <v>59396.030164492244</v>
      </c>
      <c r="CP716">
        <f>'Bookings and Drivers'!CX166</f>
        <v>72114.460487395074</v>
      </c>
      <c r="CQ716">
        <f>'Bookings and Drivers'!CY166</f>
        <v>87271.34753143444</v>
      </c>
      <c r="CR716">
        <f>'Bookings and Drivers'!CZ166</f>
        <v>101067.59939273327</v>
      </c>
      <c r="CS716">
        <f>'Bookings and Drivers'!DA166</f>
        <v>114708.77174748766</v>
      </c>
      <c r="CT716">
        <f>'Bookings and Drivers'!DB166</f>
        <v>127953.90675459766</v>
      </c>
      <c r="CU716">
        <f>'Bookings and Drivers'!DC166</f>
        <v>140955.48226249914</v>
      </c>
      <c r="CV716">
        <f>'Bookings and Drivers'!DD166</f>
        <v>153845.89767172167</v>
      </c>
      <c r="CW716">
        <f>'Bookings and Drivers'!DE166</f>
        <v>166508.22018905426</v>
      </c>
      <c r="CX716">
        <f>'Bookings and Drivers'!DF166</f>
        <v>180212.71811671249</v>
      </c>
    </row>
    <row r="717" spans="1:102">
      <c r="A717" t="str">
        <f>'Bookings and Drivers'!I167</f>
        <v>Total Hotel Bookings</v>
      </c>
      <c r="B717">
        <f>'Bookings and Drivers'!J167</f>
        <v>0</v>
      </c>
      <c r="C717">
        <f>'Bookings and Drivers'!K167</f>
        <v>0</v>
      </c>
      <c r="D717">
        <f>'Bookings and Drivers'!L167</f>
        <v>0</v>
      </c>
      <c r="E717">
        <f>'Bookings and Drivers'!M167</f>
        <v>0</v>
      </c>
      <c r="F717">
        <f>'Bookings and Drivers'!N167</f>
        <v>0</v>
      </c>
      <c r="G717">
        <f>'Bookings and Drivers'!O167</f>
        <v>0</v>
      </c>
      <c r="H717">
        <f>'Bookings and Drivers'!P167</f>
        <v>0</v>
      </c>
      <c r="I717">
        <f>'Bookings and Drivers'!Q167</f>
        <v>0</v>
      </c>
      <c r="J717">
        <f>'Bookings and Drivers'!R167</f>
        <v>0</v>
      </c>
      <c r="K717">
        <f>'Bookings and Drivers'!S167</f>
        <v>0</v>
      </c>
      <c r="L717">
        <f>'Bookings and Drivers'!T167</f>
        <v>0</v>
      </c>
      <c r="M717">
        <f>'Bookings and Drivers'!U167</f>
        <v>0</v>
      </c>
      <c r="N717">
        <f>'Bookings and Drivers'!V167</f>
        <v>0</v>
      </c>
      <c r="O717">
        <f>'Bookings and Drivers'!W167</f>
        <v>0</v>
      </c>
      <c r="P717">
        <f>'Bookings and Drivers'!X167</f>
        <v>0</v>
      </c>
      <c r="Q717">
        <f>'Bookings and Drivers'!Y167</f>
        <v>0</v>
      </c>
      <c r="R717">
        <f>'Bookings and Drivers'!Z167</f>
        <v>0</v>
      </c>
      <c r="S717">
        <f>'Bookings and Drivers'!AA167</f>
        <v>0</v>
      </c>
      <c r="T717">
        <f>'Bookings and Drivers'!AB167</f>
        <v>0</v>
      </c>
      <c r="U717">
        <f>'Bookings and Drivers'!AC167</f>
        <v>0</v>
      </c>
      <c r="V717">
        <f>'Bookings and Drivers'!AD167</f>
        <v>0</v>
      </c>
      <c r="W717">
        <f>'Bookings and Drivers'!AE167</f>
        <v>0</v>
      </c>
      <c r="X717">
        <f>'Bookings and Drivers'!AF167</f>
        <v>0</v>
      </c>
      <c r="Y717">
        <f>'Bookings and Drivers'!AG167</f>
        <v>371.03245000000004</v>
      </c>
      <c r="Z717">
        <f>'Bookings and Drivers'!AH167</f>
        <v>467.85662500000001</v>
      </c>
      <c r="AA717">
        <f>'Bookings and Drivers'!AI167</f>
        <v>510.77109999999999</v>
      </c>
      <c r="AB717">
        <f>'Bookings and Drivers'!AJ167</f>
        <v>410.62025000000006</v>
      </c>
      <c r="AC717">
        <f>'Bookings and Drivers'!AK167</f>
        <v>634.30736235573522</v>
      </c>
      <c r="AD717">
        <f>'Bookings and Drivers'!AL167</f>
        <v>819.46380508056598</v>
      </c>
      <c r="AE717">
        <f>'Bookings and Drivers'!AM167</f>
        <v>922.3197295925745</v>
      </c>
      <c r="AF717">
        <f>'Bookings and Drivers'!AN167</f>
        <v>795.43422901480096</v>
      </c>
      <c r="AG717">
        <f>'Bookings and Drivers'!AO167</f>
        <v>1189.0286406658736</v>
      </c>
      <c r="AH717">
        <f>'Bookings and Drivers'!AP167</f>
        <v>1423.2409914913997</v>
      </c>
      <c r="AI717">
        <f>'Bookings and Drivers'!AQ167</f>
        <v>1425.8623606732335</v>
      </c>
      <c r="AJ717">
        <f>'Bookings and Drivers'!AR167</f>
        <v>955.05052574558545</v>
      </c>
      <c r="AK717">
        <f>'Bookings and Drivers'!AS167</f>
        <v>1285.1749925197898</v>
      </c>
      <c r="AL717">
        <f>'Bookings and Drivers'!AT167</f>
        <v>1663.3845145186265</v>
      </c>
      <c r="AM717">
        <f>'Bookings and Drivers'!AU167</f>
        <v>1970.9350751180818</v>
      </c>
      <c r="AN717">
        <f>'Bookings and Drivers'!AV167</f>
        <v>1633.3655396265724</v>
      </c>
      <c r="AO717">
        <f>'Bookings and Drivers'!AW167</f>
        <v>2202.8629952350493</v>
      </c>
      <c r="AP717">
        <f>'Bookings and Drivers'!AX167</f>
        <v>2508.5128751724296</v>
      </c>
      <c r="AQ717">
        <f>'Bookings and Drivers'!AY167</f>
        <v>3090.8838818933173</v>
      </c>
      <c r="AR717">
        <f>'Bookings and Drivers'!AZ167</f>
        <v>2546.210490411906</v>
      </c>
      <c r="AS717">
        <f>'Bookings and Drivers'!BA167</f>
        <v>3697.9890750539207</v>
      </c>
      <c r="AT717">
        <f>'Bookings and Drivers'!BB167</f>
        <v>4675.6241522803666</v>
      </c>
      <c r="AU717">
        <f>'Bookings and Drivers'!BC167</f>
        <v>5130.4285087256039</v>
      </c>
      <c r="AV717">
        <f>'Bookings and Drivers'!BD167</f>
        <v>4068.4445572357768</v>
      </c>
      <c r="AW717">
        <f>'Bookings and Drivers'!BE167</f>
        <v>5561.5892640946831</v>
      </c>
      <c r="AX717">
        <f>'Bookings and Drivers'!BF167</f>
        <v>6102.4010433592639</v>
      </c>
      <c r="AY717">
        <f>'Bookings and Drivers'!BG167</f>
        <v>6517.3356001494558</v>
      </c>
      <c r="AZ717">
        <f>'Bookings and Drivers'!BH167</f>
        <v>5591.2940427660124</v>
      </c>
      <c r="BA717">
        <f>'Bookings and Drivers'!BI167</f>
        <v>7834.0061773029865</v>
      </c>
      <c r="BB717">
        <f>'Bookings and Drivers'!BJ167</f>
        <v>8684.1803064824999</v>
      </c>
      <c r="BC717">
        <f>'Bookings and Drivers'!BK167</f>
        <v>9141.0964909483191</v>
      </c>
      <c r="BD717">
        <f>'Bookings and Drivers'!BL167</f>
        <v>7863.9209083455989</v>
      </c>
      <c r="BE717">
        <f>'Bookings and Drivers'!BM167</f>
        <v>10664.9336231794</v>
      </c>
      <c r="BF717">
        <f>'Bookings and Drivers'!BN167</f>
        <v>11772.599058617594</v>
      </c>
      <c r="BG717">
        <f>'Bookings and Drivers'!BO167</f>
        <v>11962.658826577373</v>
      </c>
      <c r="BH717">
        <f>'Bookings and Drivers'!BP167</f>
        <v>9320.8642998757659</v>
      </c>
      <c r="BI717">
        <f>'Bookings and Drivers'!BQ167</f>
        <v>12091.057461065138</v>
      </c>
      <c r="BJ717">
        <f>'Bookings and Drivers'!BR167</f>
        <v>13154.356391779442</v>
      </c>
      <c r="BK717">
        <f>'Bookings and Drivers'!BS167</f>
        <v>12858.805951908602</v>
      </c>
      <c r="BL717">
        <f>'Bookings and Drivers'!BT167</f>
        <v>10765.99092501825</v>
      </c>
      <c r="BM717">
        <f>'Bookings and Drivers'!BU167</f>
        <v>14973.274750440441</v>
      </c>
      <c r="BN717">
        <f>'Bookings and Drivers'!BV167</f>
        <v>16008.389693673571</v>
      </c>
      <c r="BO717">
        <f>'Bookings and Drivers'!BW167</f>
        <v>16301.696513322113</v>
      </c>
      <c r="BP717">
        <f>'Bookings and Drivers'!BX167</f>
        <v>13697.828846387814</v>
      </c>
      <c r="BQ717">
        <f>'Bookings and Drivers'!BY167</f>
        <v>18944.110051357293</v>
      </c>
      <c r="BR717">
        <f>'Bookings and Drivers'!BZ167</f>
        <v>18865.847835961482</v>
      </c>
      <c r="BS717">
        <f>'Bookings and Drivers'!CA167</f>
        <v>19478.77483454164</v>
      </c>
      <c r="BT717">
        <f>'Bookings and Drivers'!CB167</f>
        <v>16480.652982649935</v>
      </c>
      <c r="BU717">
        <f>'Bookings and Drivers'!CC167</f>
        <v>23065.759857935325</v>
      </c>
      <c r="BV717">
        <f>'Bookings and Drivers'!CD167</f>
        <v>23068.351835155732</v>
      </c>
      <c r="BW717">
        <f>'Bookings and Drivers'!CE167</f>
        <v>22423.253189474308</v>
      </c>
      <c r="BX717">
        <f>'Bookings and Drivers'!CF167</f>
        <v>20429.888139211347</v>
      </c>
      <c r="BY717">
        <f>'Bookings and Drivers'!CG167</f>
        <v>0</v>
      </c>
      <c r="BZ717">
        <f>'Bookings and Drivers'!CH167</f>
        <v>0</v>
      </c>
      <c r="CA717">
        <f>'Bookings and Drivers'!CI167</f>
        <v>0</v>
      </c>
      <c r="CB717">
        <f>'Bookings and Drivers'!CJ167</f>
        <v>0</v>
      </c>
      <c r="CC717">
        <f>'Bookings and Drivers'!CK167</f>
        <v>0</v>
      </c>
      <c r="CD717">
        <f>'Bookings and Drivers'!CL167</f>
        <v>0</v>
      </c>
      <c r="CE717">
        <f>'Bookings and Drivers'!CM167</f>
        <v>1760.2804250000002</v>
      </c>
      <c r="CF717">
        <f>'Bookings and Drivers'!CN167</f>
        <v>3171.5251260436771</v>
      </c>
      <c r="CG717">
        <f>'Bookings and Drivers'!CO167</f>
        <v>4993.1825185760918</v>
      </c>
      <c r="CH717">
        <f>'Bookings and Drivers'!CP167</f>
        <v>6552.860121783071</v>
      </c>
      <c r="CI717">
        <f>'Bookings and Drivers'!CQ167</f>
        <v>10348.470242712703</v>
      </c>
      <c r="CJ717">
        <f>'Bookings and Drivers'!CR167</f>
        <v>17572.486293295668</v>
      </c>
      <c r="CK717">
        <f>'Bookings and Drivers'!CS167</f>
        <v>23772.619950369415</v>
      </c>
      <c r="CL717">
        <f>'Bookings and Drivers'!CT167</f>
        <v>33523.203883079404</v>
      </c>
      <c r="CM717">
        <f>'Bookings and Drivers'!CU167</f>
        <v>43721.05580825013</v>
      </c>
      <c r="CN717">
        <f>'Bookings and Drivers'!CV167</f>
        <v>48870.210729771432</v>
      </c>
      <c r="CO717">
        <f>'Bookings and Drivers'!CW167</f>
        <v>60981.189803823945</v>
      </c>
      <c r="CP717">
        <f>'Bookings and Drivers'!CX167</f>
        <v>73769.38570451035</v>
      </c>
      <c r="CQ717">
        <f>'Bookings and Drivers'!CY167</f>
        <v>88987.25302177672</v>
      </c>
      <c r="CR717">
        <f>'Bookings and Drivers'!CZ167</f>
        <v>102852.14110268925</v>
      </c>
      <c r="CS717">
        <f>'Bookings and Drivers'!DA167</f>
        <v>116564.69512584187</v>
      </c>
      <c r="CT717">
        <f>'Bookings and Drivers'!DB167</f>
        <v>129884.06706808603</v>
      </c>
      <c r="CU717">
        <f>'Bookings and Drivers'!DC167</f>
        <v>142962.84898852705</v>
      </c>
      <c r="CV717">
        <f>'Bookings and Drivers'!DD167</f>
        <v>155933.55906679071</v>
      </c>
      <c r="CW717">
        <f>'Bookings and Drivers'!DE167</f>
        <v>168679.38803992607</v>
      </c>
      <c r="CX717">
        <f>'Bookings and Drivers'!DF167</f>
        <v>182470.73268161915</v>
      </c>
    </row>
    <row r="718" spans="1:102">
      <c r="A718" t="str">
        <f>'Bookings and Drivers'!I168</f>
        <v>% of Total Bookings</v>
      </c>
      <c r="B718">
        <f>'Bookings and Drivers'!J168</f>
        <v>0</v>
      </c>
      <c r="C718">
        <f>'Bookings and Drivers'!K168</f>
        <v>0</v>
      </c>
      <c r="D718">
        <f>'Bookings and Drivers'!L168</f>
        <v>0</v>
      </c>
      <c r="E718">
        <f>'Bookings and Drivers'!M168</f>
        <v>0</v>
      </c>
      <c r="F718">
        <f>'Bookings and Drivers'!N168</f>
        <v>0</v>
      </c>
      <c r="G718">
        <f>'Bookings and Drivers'!O168</f>
        <v>0</v>
      </c>
      <c r="H718">
        <f>'Bookings and Drivers'!P168</f>
        <v>0</v>
      </c>
      <c r="I718">
        <f>'Bookings and Drivers'!Q168</f>
        <v>0</v>
      </c>
      <c r="J718">
        <f>'Bookings and Drivers'!R168</f>
        <v>0</v>
      </c>
      <c r="K718">
        <f>'Bookings and Drivers'!S168</f>
        <v>0</v>
      </c>
      <c r="L718">
        <f>'Bookings and Drivers'!T168</f>
        <v>0</v>
      </c>
      <c r="M718">
        <f>'Bookings and Drivers'!U168</f>
        <v>0</v>
      </c>
      <c r="N718">
        <f>'Bookings and Drivers'!V168</f>
        <v>0</v>
      </c>
      <c r="O718">
        <f>'Bookings and Drivers'!W168</f>
        <v>0</v>
      </c>
      <c r="P718">
        <f>'Bookings and Drivers'!X168</f>
        <v>0</v>
      </c>
      <c r="Q718">
        <f>'Bookings and Drivers'!Y168</f>
        <v>0</v>
      </c>
      <c r="R718">
        <f>'Bookings and Drivers'!Z168</f>
        <v>0</v>
      </c>
      <c r="S718">
        <f>'Bookings and Drivers'!AA168</f>
        <v>0</v>
      </c>
      <c r="T718">
        <f>'Bookings and Drivers'!AB168</f>
        <v>0</v>
      </c>
      <c r="U718">
        <f>'Bookings and Drivers'!AC168</f>
        <v>0</v>
      </c>
      <c r="V718">
        <f>'Bookings and Drivers'!AD168</f>
        <v>0</v>
      </c>
      <c r="W718">
        <f>'Bookings and Drivers'!AE168</f>
        <v>0</v>
      </c>
      <c r="X718">
        <f>'Bookings and Drivers'!AF168</f>
        <v>0</v>
      </c>
      <c r="Y718">
        <f>'Bookings and Drivers'!AG168</f>
        <v>0.49681576977615799</v>
      </c>
      <c r="Z718">
        <f>'Bookings and Drivers'!AH168</f>
        <v>0.50450921981991703</v>
      </c>
      <c r="AA718">
        <f>'Bookings and Drivers'!AI168</f>
        <v>0.56553276909722228</v>
      </c>
      <c r="AB718">
        <f>'Bookings and Drivers'!AJ168</f>
        <v>0.55309094705082107</v>
      </c>
      <c r="AC718">
        <f>'Bookings and Drivers'!AK168</f>
        <v>0.63526597871762014</v>
      </c>
      <c r="AD718">
        <f>'Bookings and Drivers'!AL168</f>
        <v>0.66358126624555613</v>
      </c>
      <c r="AE718">
        <f>'Bookings and Drivers'!AM168</f>
        <v>0.66321349264539409</v>
      </c>
      <c r="AF718">
        <f>'Bookings and Drivers'!AN168</f>
        <v>0.65993011796328227</v>
      </c>
      <c r="AG718">
        <f>'Bookings and Drivers'!AO168</f>
        <v>0.67611766590121847</v>
      </c>
      <c r="AH718">
        <f>'Bookings and Drivers'!AP168</f>
        <v>0.67453298585113952</v>
      </c>
      <c r="AI718">
        <f>'Bookings and Drivers'!AQ168</f>
        <v>0.69539776869560999</v>
      </c>
      <c r="AJ718">
        <f>'Bookings and Drivers'!AR168</f>
        <v>0.64481948760532493</v>
      </c>
      <c r="AK718">
        <f>'Bookings and Drivers'!AS168</f>
        <v>0.66123974704452704</v>
      </c>
      <c r="AL718">
        <f>'Bookings and Drivers'!AT168</f>
        <v>0.69914252507320873</v>
      </c>
      <c r="AM718">
        <f>'Bookings and Drivers'!AU168</f>
        <v>0.72385110106046457</v>
      </c>
      <c r="AN718">
        <f>'Bookings and Drivers'!AV168</f>
        <v>0.72130656645114999</v>
      </c>
      <c r="AO718">
        <f>'Bookings and Drivers'!AW168</f>
        <v>0.74303191229959542</v>
      </c>
      <c r="AP718">
        <f>'Bookings and Drivers'!AX168</f>
        <v>0.73559544515903252</v>
      </c>
      <c r="AQ718">
        <f>'Bookings and Drivers'!AY168</f>
        <v>0.77156362503577569</v>
      </c>
      <c r="AR718">
        <f>'Bookings and Drivers'!AZ168</f>
        <v>0.77985007363304926</v>
      </c>
      <c r="AS718">
        <f>'Bookings and Drivers'!BA168</f>
        <v>0.79270934084757139</v>
      </c>
      <c r="AT718">
        <f>'Bookings and Drivers'!BB168</f>
        <v>0.80893151423535758</v>
      </c>
      <c r="AU718">
        <f>'Bookings and Drivers'!BC168</f>
        <v>0.81995021715288541</v>
      </c>
      <c r="AV718">
        <f>'Bookings and Drivers'!BD168</f>
        <v>0.82091294536637949</v>
      </c>
      <c r="AW718">
        <f>'Bookings and Drivers'!BE168</f>
        <v>0.82872735271862363</v>
      </c>
      <c r="AX718">
        <f>'Bookings and Drivers'!BF168</f>
        <v>0.8326376099548729</v>
      </c>
      <c r="AY718">
        <f>'Bookings and Drivers'!BG168</f>
        <v>0.83214193056045149</v>
      </c>
      <c r="AZ718">
        <f>'Bookings and Drivers'!BH168</f>
        <v>0.84922449009204315</v>
      </c>
      <c r="BA718">
        <f>'Bookings and Drivers'!BI168</f>
        <v>0.85589491721872468</v>
      </c>
      <c r="BB718">
        <f>'Bookings and Drivers'!BJ168</f>
        <v>0.85837504264925368</v>
      </c>
      <c r="BC718">
        <f>'Bookings and Drivers'!BK168</f>
        <v>0.84914969725483691</v>
      </c>
      <c r="BD718">
        <f>'Bookings and Drivers'!BL168</f>
        <v>0.86057352903760109</v>
      </c>
      <c r="BE718">
        <f>'Bookings and Drivers'!BM168</f>
        <v>0.86847993674099355</v>
      </c>
      <c r="BF718">
        <f>'Bookings and Drivers'!BN168</f>
        <v>0.86959662125997883</v>
      </c>
      <c r="BG718">
        <f>'Bookings and Drivers'!BO168</f>
        <v>0.8654169736365025</v>
      </c>
      <c r="BH718">
        <f>'Bookings and Drivers'!BP168</f>
        <v>0.87445954591197728</v>
      </c>
      <c r="BI718">
        <f>'Bookings and Drivers'!BQ168</f>
        <v>0.87775371768167976</v>
      </c>
      <c r="BJ718">
        <f>'Bookings and Drivers'!BR168</f>
        <v>0.87930189784621937</v>
      </c>
      <c r="BK718">
        <f>'Bookings and Drivers'!BS168</f>
        <v>0.87013167897608623</v>
      </c>
      <c r="BL718">
        <f>'Bookings and Drivers'!BT168</f>
        <v>0.89604585310181029</v>
      </c>
      <c r="BM718">
        <f>'Bookings and Drivers'!BU168</f>
        <v>0.89913377472169831</v>
      </c>
      <c r="BN718">
        <f>'Bookings and Drivers'!BV168</f>
        <v>0.89622604936029393</v>
      </c>
      <c r="BO718">
        <f>'Bookings and Drivers'!BW168</f>
        <v>0.88308215131755763</v>
      </c>
      <c r="BP718">
        <f>'Bookings and Drivers'!BX168</f>
        <v>0.90642064891396334</v>
      </c>
      <c r="BQ718">
        <f>'Bookings and Drivers'!BY168</f>
        <v>0.91574950700233448</v>
      </c>
      <c r="BR718">
        <f>'Bookings and Drivers'!BZ168</f>
        <v>0.90714275308753578</v>
      </c>
      <c r="BS718">
        <f>'Bookings and Drivers'!CA168</f>
        <v>0.89508201610796989</v>
      </c>
      <c r="BT718">
        <f>'Bookings and Drivers'!CB168</f>
        <v>0.91661028824526891</v>
      </c>
      <c r="BU718">
        <f>'Bookings and Drivers'!CC168</f>
        <v>0.92702545724402896</v>
      </c>
      <c r="BV718">
        <f>'Bookings and Drivers'!CD168</f>
        <v>0.91956606158303478</v>
      </c>
      <c r="BW718">
        <f>'Bookings and Drivers'!CE168</f>
        <v>0.90366838528472893</v>
      </c>
      <c r="BX718">
        <f>'Bookings and Drivers'!CF168</f>
        <v>0.92842106657687118</v>
      </c>
      <c r="BY718">
        <f>'Bookings and Drivers'!CG168</f>
        <v>0</v>
      </c>
      <c r="BZ718">
        <f>'Bookings and Drivers'!CH168</f>
        <v>0</v>
      </c>
      <c r="CA718">
        <f>'Bookings and Drivers'!CI168</f>
        <v>0</v>
      </c>
      <c r="CB718">
        <f>'Bookings and Drivers'!CJ168</f>
        <v>0</v>
      </c>
      <c r="CC718">
        <f>'Bookings and Drivers'!CK168</f>
        <v>0</v>
      </c>
      <c r="CD718">
        <f>'Bookings and Drivers'!CL168</f>
        <v>0</v>
      </c>
      <c r="CE718">
        <f>'Bookings and Drivers'!CM168</f>
        <v>0.53024503509150855</v>
      </c>
      <c r="CF718">
        <f>'Bookings and Drivers'!CN168</f>
        <v>0.65670986430733591</v>
      </c>
      <c r="CG718">
        <f>'Bookings and Drivers'!CO168</f>
        <v>0.67474372615677447</v>
      </c>
      <c r="CH718">
        <f>'Bookings and Drivers'!CP168</f>
        <v>0.70384709809484314</v>
      </c>
      <c r="CI718">
        <f>'Bookings and Drivers'!CQ168</f>
        <v>0.75835886249234319</v>
      </c>
      <c r="CJ718">
        <f>'Bookings and Drivers'!CR168</f>
        <v>0.81136237387088683</v>
      </c>
      <c r="CK718">
        <f>'Bookings and Drivers'!CS168</f>
        <v>0.83541678206246184</v>
      </c>
      <c r="CL718">
        <f>'Bookings and Drivers'!CT168</f>
        <v>0.85577320815560221</v>
      </c>
      <c r="CM718">
        <f>'Bookings and Drivers'!CU168</f>
        <v>0.86920588087972428</v>
      </c>
      <c r="CN718">
        <f>'Bookings and Drivers'!CV168</f>
        <v>0.88010032289604223</v>
      </c>
      <c r="CO718">
        <f>'Bookings and Drivers'!CW168</f>
        <v>0.8956363153586433</v>
      </c>
      <c r="CP718">
        <f>'Bookings and Drivers'!CX168</f>
        <v>0.90819916904082865</v>
      </c>
      <c r="CQ718">
        <f>'Bookings and Drivers'!CY168</f>
        <v>0.91942117125555112</v>
      </c>
      <c r="CR718">
        <f>'Bookings and Drivers'!CZ168</f>
        <v>0.92724032741791951</v>
      </c>
      <c r="CS718">
        <f>'Bookings and Drivers'!DA168</f>
        <v>0.93379581417252377</v>
      </c>
      <c r="CT718">
        <f>'Bookings and Drivers'!DB168</f>
        <v>0.93939467818009659</v>
      </c>
      <c r="CU718">
        <f>'Bookings and Drivers'!DC168</f>
        <v>0.94404231466469057</v>
      </c>
      <c r="CV718">
        <f>'Bookings and Drivers'!DD168</f>
        <v>0.94803764835578619</v>
      </c>
      <c r="CW718">
        <f>'Bookings and Drivers'!DE168</f>
        <v>0.95150347616982334</v>
      </c>
      <c r="CX718">
        <f>'Bookings and Drivers'!DF168</f>
        <v>0.95474668947527308</v>
      </c>
    </row>
    <row r="719" spans="1:102">
      <c r="A719">
        <f>'Bookings and Drivers'!I169</f>
        <v>0</v>
      </c>
      <c r="B719">
        <f>'Bookings and Drivers'!J169</f>
        <v>0</v>
      </c>
      <c r="C719">
        <f>'Bookings and Drivers'!K169</f>
        <v>0</v>
      </c>
      <c r="D719">
        <f>'Bookings and Drivers'!L169</f>
        <v>0</v>
      </c>
      <c r="E719">
        <f>'Bookings and Drivers'!M169</f>
        <v>0</v>
      </c>
      <c r="F719">
        <f>'Bookings and Drivers'!N169</f>
        <v>0</v>
      </c>
      <c r="G719">
        <f>'Bookings and Drivers'!O169</f>
        <v>0</v>
      </c>
      <c r="H719">
        <f>'Bookings and Drivers'!P169</f>
        <v>0</v>
      </c>
      <c r="I719">
        <f>'Bookings and Drivers'!Q169</f>
        <v>0</v>
      </c>
      <c r="J719">
        <f>'Bookings and Drivers'!R169</f>
        <v>0</v>
      </c>
      <c r="K719">
        <f>'Bookings and Drivers'!S169</f>
        <v>0</v>
      </c>
      <c r="L719">
        <f>'Bookings and Drivers'!T169</f>
        <v>0</v>
      </c>
      <c r="M719">
        <f>'Bookings and Drivers'!U169</f>
        <v>0</v>
      </c>
      <c r="N719">
        <f>'Bookings and Drivers'!V169</f>
        <v>0</v>
      </c>
      <c r="O719">
        <f>'Bookings and Drivers'!W169</f>
        <v>0</v>
      </c>
      <c r="P719">
        <f>'Bookings and Drivers'!X169</f>
        <v>0</v>
      </c>
      <c r="Q719">
        <f>'Bookings and Drivers'!Y169</f>
        <v>0</v>
      </c>
      <c r="R719">
        <f>'Bookings and Drivers'!Z169</f>
        <v>0</v>
      </c>
      <c r="S719">
        <f>'Bookings and Drivers'!AA169</f>
        <v>0</v>
      </c>
      <c r="T719">
        <f>'Bookings and Drivers'!AB169</f>
        <v>0</v>
      </c>
      <c r="U719">
        <f>'Bookings and Drivers'!AC169</f>
        <v>0</v>
      </c>
      <c r="V719">
        <f>'Bookings and Drivers'!AD169</f>
        <v>0</v>
      </c>
      <c r="W719">
        <f>'Bookings and Drivers'!AE169</f>
        <v>0</v>
      </c>
      <c r="X719">
        <f>'Bookings and Drivers'!AF169</f>
        <v>0</v>
      </c>
      <c r="Y719">
        <f>'Bookings and Drivers'!AG169</f>
        <v>0</v>
      </c>
      <c r="Z719">
        <f>'Bookings and Drivers'!AH169</f>
        <v>0</v>
      </c>
      <c r="AA719">
        <f>'Bookings and Drivers'!AI169</f>
        <v>0</v>
      </c>
      <c r="AB719">
        <f>'Bookings and Drivers'!AJ169</f>
        <v>0</v>
      </c>
      <c r="AC719">
        <f>'Bookings and Drivers'!AK169</f>
        <v>0</v>
      </c>
      <c r="AD719">
        <f>'Bookings and Drivers'!AL169</f>
        <v>0</v>
      </c>
      <c r="AE719">
        <f>'Bookings and Drivers'!AM169</f>
        <v>0</v>
      </c>
      <c r="AF719">
        <f>'Bookings and Drivers'!AN169</f>
        <v>0</v>
      </c>
      <c r="AG719">
        <f>'Bookings and Drivers'!AO169</f>
        <v>0</v>
      </c>
      <c r="AH719">
        <f>'Bookings and Drivers'!AP169</f>
        <v>0</v>
      </c>
      <c r="AI719">
        <f>'Bookings and Drivers'!AQ169</f>
        <v>0</v>
      </c>
      <c r="AJ719">
        <f>'Bookings and Drivers'!AR169</f>
        <v>0</v>
      </c>
      <c r="AK719">
        <f>'Bookings and Drivers'!AS169</f>
        <v>0</v>
      </c>
      <c r="AL719">
        <f>'Bookings and Drivers'!AT169</f>
        <v>0</v>
      </c>
      <c r="AM719">
        <f>'Bookings and Drivers'!AU169</f>
        <v>0</v>
      </c>
      <c r="AN719">
        <f>'Bookings and Drivers'!AV169</f>
        <v>0</v>
      </c>
      <c r="AO719">
        <f>'Bookings and Drivers'!AW169</f>
        <v>0</v>
      </c>
      <c r="AP719">
        <f>'Bookings and Drivers'!AX169</f>
        <v>0</v>
      </c>
      <c r="AQ719">
        <f>'Bookings and Drivers'!AY169</f>
        <v>0</v>
      </c>
      <c r="AR719">
        <f>'Bookings and Drivers'!AZ169</f>
        <v>0</v>
      </c>
      <c r="AS719">
        <f>'Bookings and Drivers'!BA169</f>
        <v>0</v>
      </c>
      <c r="AT719">
        <f>'Bookings and Drivers'!BB169</f>
        <v>0</v>
      </c>
      <c r="AU719">
        <f>'Bookings and Drivers'!BC169</f>
        <v>0</v>
      </c>
      <c r="AV719">
        <f>'Bookings and Drivers'!BD169</f>
        <v>0</v>
      </c>
      <c r="AW719">
        <f>'Bookings and Drivers'!BE169</f>
        <v>0</v>
      </c>
      <c r="AX719">
        <f>'Bookings and Drivers'!BF169</f>
        <v>0</v>
      </c>
      <c r="AY719">
        <f>'Bookings and Drivers'!BG169</f>
        <v>0</v>
      </c>
      <c r="AZ719">
        <f>'Bookings and Drivers'!BH169</f>
        <v>0</v>
      </c>
      <c r="BA719">
        <f>'Bookings and Drivers'!BI169</f>
        <v>0</v>
      </c>
      <c r="BB719">
        <f>'Bookings and Drivers'!BJ169</f>
        <v>0</v>
      </c>
      <c r="BC719">
        <f>'Bookings and Drivers'!BK169</f>
        <v>0</v>
      </c>
      <c r="BD719">
        <f>'Bookings and Drivers'!BL169</f>
        <v>0</v>
      </c>
      <c r="BE719">
        <f>'Bookings and Drivers'!BM169</f>
        <v>0</v>
      </c>
      <c r="BF719">
        <f>'Bookings and Drivers'!BN169</f>
        <v>0</v>
      </c>
      <c r="BG719">
        <f>'Bookings and Drivers'!BO169</f>
        <v>0</v>
      </c>
      <c r="BH719">
        <f>'Bookings and Drivers'!BP169</f>
        <v>0</v>
      </c>
      <c r="BI719">
        <f>'Bookings and Drivers'!BQ169</f>
        <v>0</v>
      </c>
      <c r="BJ719">
        <f>'Bookings and Drivers'!BR169</f>
        <v>0</v>
      </c>
      <c r="BK719">
        <f>'Bookings and Drivers'!BS169</f>
        <v>0</v>
      </c>
      <c r="BL719">
        <f>'Bookings and Drivers'!BT169</f>
        <v>0</v>
      </c>
      <c r="BM719">
        <f>'Bookings and Drivers'!BU169</f>
        <v>0</v>
      </c>
      <c r="BN719">
        <f>'Bookings and Drivers'!BV169</f>
        <v>0</v>
      </c>
      <c r="BO719">
        <f>'Bookings and Drivers'!BW169</f>
        <v>0</v>
      </c>
      <c r="BP719">
        <f>'Bookings and Drivers'!BX169</f>
        <v>0</v>
      </c>
      <c r="BQ719">
        <f>'Bookings and Drivers'!BY169</f>
        <v>0</v>
      </c>
      <c r="BR719">
        <f>'Bookings and Drivers'!BZ169</f>
        <v>0</v>
      </c>
      <c r="BS719">
        <f>'Bookings and Drivers'!CA169</f>
        <v>0</v>
      </c>
      <c r="BT719">
        <f>'Bookings and Drivers'!CB169</f>
        <v>0</v>
      </c>
      <c r="BU719">
        <f>'Bookings and Drivers'!CC169</f>
        <v>0</v>
      </c>
      <c r="BV719">
        <f>'Bookings and Drivers'!CD169</f>
        <v>0</v>
      </c>
      <c r="BW719">
        <f>'Bookings and Drivers'!CE169</f>
        <v>0</v>
      </c>
      <c r="BX719">
        <f>'Bookings and Drivers'!CF169</f>
        <v>0</v>
      </c>
      <c r="BY719">
        <f>'Bookings and Drivers'!CG169</f>
        <v>0</v>
      </c>
      <c r="BZ719">
        <f>'Bookings and Drivers'!CH169</f>
        <v>0</v>
      </c>
      <c r="CA719">
        <f>'Bookings and Drivers'!CI169</f>
        <v>0</v>
      </c>
      <c r="CB719">
        <f>'Bookings and Drivers'!CJ169</f>
        <v>0</v>
      </c>
      <c r="CC719">
        <f>'Bookings and Drivers'!CK169</f>
        <v>0</v>
      </c>
      <c r="CD719">
        <f>'Bookings and Drivers'!CL169</f>
        <v>0</v>
      </c>
      <c r="CE719">
        <f>'Bookings and Drivers'!CM169</f>
        <v>0</v>
      </c>
      <c r="CF719">
        <f>'Bookings and Drivers'!CN169</f>
        <v>0</v>
      </c>
      <c r="CG719">
        <f>'Bookings and Drivers'!CO169</f>
        <v>0</v>
      </c>
      <c r="CH719">
        <f>'Bookings and Drivers'!CP169</f>
        <v>0</v>
      </c>
      <c r="CI719">
        <f>'Bookings and Drivers'!CQ169</f>
        <v>0</v>
      </c>
      <c r="CJ719">
        <f>'Bookings and Drivers'!CR169</f>
        <v>0</v>
      </c>
      <c r="CK719">
        <f>'Bookings and Drivers'!CS169</f>
        <v>0</v>
      </c>
      <c r="CL719">
        <f>'Bookings and Drivers'!CT169</f>
        <v>0</v>
      </c>
      <c r="CM719">
        <f>'Bookings and Drivers'!CU169</f>
        <v>0</v>
      </c>
      <c r="CN719">
        <f>'Bookings and Drivers'!CV169</f>
        <v>0</v>
      </c>
      <c r="CO719">
        <f>'Bookings and Drivers'!CW169</f>
        <v>0</v>
      </c>
      <c r="CP719">
        <f>'Bookings and Drivers'!CX169</f>
        <v>0</v>
      </c>
      <c r="CQ719">
        <f>'Bookings and Drivers'!CY169</f>
        <v>0</v>
      </c>
      <c r="CR719">
        <f>'Bookings and Drivers'!CZ169</f>
        <v>0</v>
      </c>
      <c r="CS719">
        <f>'Bookings and Drivers'!DA169</f>
        <v>0</v>
      </c>
      <c r="CT719">
        <f>'Bookings and Drivers'!DB169</f>
        <v>0</v>
      </c>
      <c r="CU719">
        <f>'Bookings and Drivers'!DC169</f>
        <v>0</v>
      </c>
      <c r="CV719">
        <f>'Bookings and Drivers'!DD169</f>
        <v>0</v>
      </c>
      <c r="CW719">
        <f>'Bookings and Drivers'!DE169</f>
        <v>0</v>
      </c>
      <c r="CX719">
        <f>'Bookings and Drivers'!DF169</f>
        <v>0</v>
      </c>
    </row>
    <row r="723" spans="1:102">
      <c r="A723" t="str">
        <f>'Bookings and Drivers'!I170</f>
        <v>Booking.com Worldwide Property Count</v>
      </c>
      <c r="B723">
        <f>'Bookings and Drivers'!J170</f>
        <v>0</v>
      </c>
      <c r="C723">
        <f>'Bookings and Drivers'!K170</f>
        <v>0</v>
      </c>
      <c r="D723">
        <f>'Bookings and Drivers'!L170</f>
        <v>0</v>
      </c>
      <c r="E723">
        <f>'Bookings and Drivers'!M170</f>
        <v>0</v>
      </c>
      <c r="F723">
        <f>'Bookings and Drivers'!N170</f>
        <v>0</v>
      </c>
      <c r="G723">
        <f>'Bookings and Drivers'!O170</f>
        <v>0</v>
      </c>
      <c r="H723">
        <f>'Bookings and Drivers'!P170</f>
        <v>0</v>
      </c>
      <c r="I723">
        <f>'Bookings and Drivers'!Q170</f>
        <v>0</v>
      </c>
      <c r="J723">
        <f>'Bookings and Drivers'!R170</f>
        <v>0</v>
      </c>
      <c r="K723">
        <f>'Bookings and Drivers'!S170</f>
        <v>0</v>
      </c>
      <c r="L723">
        <f>'Bookings and Drivers'!T170</f>
        <v>0</v>
      </c>
      <c r="M723">
        <f>'Bookings and Drivers'!U170</f>
        <v>0</v>
      </c>
      <c r="N723">
        <f>'Bookings and Drivers'!V170</f>
        <v>0</v>
      </c>
      <c r="O723">
        <f>'Bookings and Drivers'!W170</f>
        <v>0</v>
      </c>
      <c r="P723">
        <f>'Bookings and Drivers'!X170</f>
        <v>0</v>
      </c>
      <c r="Q723">
        <f>'Bookings and Drivers'!Y170</f>
        <v>0</v>
      </c>
      <c r="R723">
        <f>'Bookings and Drivers'!Z170</f>
        <v>0</v>
      </c>
      <c r="S723">
        <f>'Bookings and Drivers'!AA170</f>
        <v>0</v>
      </c>
      <c r="T723">
        <f>'Bookings and Drivers'!AB170</f>
        <v>0</v>
      </c>
      <c r="U723">
        <f>'Bookings and Drivers'!AC170</f>
        <v>0</v>
      </c>
      <c r="V723">
        <f>'Bookings and Drivers'!AD170</f>
        <v>0</v>
      </c>
      <c r="W723">
        <f>'Bookings and Drivers'!AE170</f>
        <v>0</v>
      </c>
      <c r="X723">
        <f>'Bookings and Drivers'!AF170</f>
        <v>0</v>
      </c>
      <c r="Y723">
        <f>'Bookings and Drivers'!AG170</f>
        <v>22000</v>
      </c>
      <c r="Z723">
        <f>'Bookings and Drivers'!AH170</f>
        <v>24000</v>
      </c>
      <c r="AA723">
        <f>'Bookings and Drivers'!AI170</f>
        <v>26000</v>
      </c>
      <c r="AB723">
        <f>'Bookings and Drivers'!AJ170</f>
        <v>28000</v>
      </c>
      <c r="AC723">
        <f>'Bookings and Drivers'!AK170</f>
        <v>32000</v>
      </c>
      <c r="AD723">
        <f>'Bookings and Drivers'!AL170</f>
        <v>35000</v>
      </c>
      <c r="AE723">
        <f>'Bookings and Drivers'!AM170</f>
        <v>38000</v>
      </c>
      <c r="AF723">
        <f>'Bookings and Drivers'!AN170</f>
        <v>41500</v>
      </c>
      <c r="AG723">
        <f>'Bookings and Drivers'!AO170</f>
        <v>45000</v>
      </c>
      <c r="AH723">
        <f>'Bookings and Drivers'!AP170</f>
        <v>52000</v>
      </c>
      <c r="AI723">
        <f>'Bookings and Drivers'!AQ170</f>
        <v>57000</v>
      </c>
      <c r="AJ723">
        <f>'Bookings and Drivers'!AR170</f>
        <v>60000</v>
      </c>
      <c r="AK723">
        <f>'Bookings and Drivers'!AS170</f>
        <v>66000</v>
      </c>
      <c r="AL723">
        <f>'Bookings and Drivers'!AT170</f>
        <v>71000</v>
      </c>
      <c r="AM723">
        <f>'Bookings and Drivers'!AU170</f>
        <v>73000</v>
      </c>
      <c r="AN723">
        <f>'Bookings and Drivers'!AV170</f>
        <v>78000</v>
      </c>
      <c r="AO723">
        <f>'Bookings and Drivers'!AW170</f>
        <v>86000</v>
      </c>
      <c r="AP723">
        <f>'Bookings and Drivers'!AX170</f>
        <v>96000</v>
      </c>
      <c r="AQ723">
        <f>'Bookings and Drivers'!AY170</f>
        <v>105000</v>
      </c>
      <c r="AR723">
        <f>'Bookings and Drivers'!AZ170</f>
        <v>120000</v>
      </c>
      <c r="AS723">
        <f>'Bookings and Drivers'!BA170</f>
        <v>135000</v>
      </c>
      <c r="AT723">
        <f>'Bookings and Drivers'!BB170</f>
        <v>155000</v>
      </c>
      <c r="AU723">
        <f>'Bookings and Drivers'!BC170</f>
        <v>170000</v>
      </c>
      <c r="AV723">
        <f>'Bookings and Drivers'!BD170</f>
        <v>183884</v>
      </c>
      <c r="AW723">
        <f>'Bookings and Drivers'!BE170</f>
        <v>210000</v>
      </c>
      <c r="AX723">
        <f>'Bookings and Drivers'!BF170</f>
        <v>235000</v>
      </c>
      <c r="AY723">
        <f>'Bookings and Drivers'!BG170</f>
        <v>245000</v>
      </c>
      <c r="AZ723">
        <f>'Bookings and Drivers'!BH170</f>
        <v>275000</v>
      </c>
      <c r="BA723">
        <f>'Bookings and Drivers'!BI170</f>
        <v>295000</v>
      </c>
      <c r="BB723">
        <f>'Bookings and Drivers'!BJ170</f>
        <v>330000</v>
      </c>
      <c r="BC723">
        <f>'Bookings and Drivers'!BK170</f>
        <v>355000</v>
      </c>
      <c r="BD723">
        <f>'Bookings and Drivers'!BL170</f>
        <v>426000</v>
      </c>
      <c r="BE723">
        <f>'Bookings and Drivers'!BM170</f>
        <v>462000</v>
      </c>
      <c r="BF723">
        <f>'Bookings and Drivers'!BN170</f>
        <v>523000</v>
      </c>
      <c r="BG723">
        <f>'Bookings and Drivers'!BO170</f>
        <v>540000</v>
      </c>
      <c r="BH723">
        <f>'Bookings and Drivers'!BP170</f>
        <v>602000</v>
      </c>
      <c r="BI723">
        <f>'Bookings and Drivers'!BQ170</f>
        <v>637000</v>
      </c>
      <c r="BJ723">
        <f>'Bookings and Drivers'!BR170</f>
        <v>742000</v>
      </c>
      <c r="BK723">
        <f>'Bookings and Drivers'!BS170</f>
        <v>750000</v>
      </c>
      <c r="BL723">
        <f>'Bookings and Drivers'!BT170</f>
        <v>852000</v>
      </c>
      <c r="BM723">
        <f>'Bookings and Drivers'!BU170</f>
        <v>879500</v>
      </c>
      <c r="BN723">
        <f>'Bookings and Drivers'!BV170</f>
        <v>965000</v>
      </c>
      <c r="BO723">
        <f>'Bookings and Drivers'!BW170</f>
        <v>1065000</v>
      </c>
      <c r="BP723">
        <f>'Bookings and Drivers'!BX170</f>
        <v>1115000</v>
      </c>
      <c r="BQ723">
        <f>'Bookings and Drivers'!BY170</f>
        <v>1191000</v>
      </c>
      <c r="BR723">
        <f>'Bookings and Drivers'!BZ170</f>
        <v>1340000</v>
      </c>
      <c r="BS723">
        <f>'Bookings and Drivers'!CA170</f>
        <v>1514051</v>
      </c>
      <c r="BT723">
        <f>'Bookings and Drivers'!CB170</f>
        <v>1586000</v>
      </c>
      <c r="BU723">
        <f>'Bookings and Drivers'!CC170</f>
        <v>1688698.8340807175</v>
      </c>
      <c r="BV723">
        <f>'Bookings and Drivers'!CD170</f>
        <v>1889400.1942521075</v>
      </c>
      <c r="BW723">
        <f>'Bookings and Drivers'!CE170</f>
        <v>2122541.5327217234</v>
      </c>
      <c r="BX723">
        <f>'Bookings and Drivers'!CF170</f>
        <v>2218363.2743281196</v>
      </c>
      <c r="BY723">
        <f>'Bookings and Drivers'!CG170</f>
        <v>0</v>
      </c>
      <c r="BZ723">
        <f>'Bookings and Drivers'!CH170</f>
        <v>0</v>
      </c>
      <c r="CA723">
        <f>'Bookings and Drivers'!CI170</f>
        <v>0</v>
      </c>
      <c r="CB723">
        <f>'Bookings and Drivers'!CJ170</f>
        <v>0</v>
      </c>
      <c r="CC723">
        <f>'Bookings and Drivers'!CK170</f>
        <v>0</v>
      </c>
      <c r="CD723">
        <f>'Bookings and Drivers'!CL170</f>
        <v>0</v>
      </c>
      <c r="CE723">
        <f>'Bookings and Drivers'!CM170</f>
        <v>28000</v>
      </c>
      <c r="CF723">
        <f>'Bookings and Drivers'!CN170</f>
        <v>41500</v>
      </c>
      <c r="CG723">
        <f>'Bookings and Drivers'!CO170</f>
        <v>60000</v>
      </c>
      <c r="CH723">
        <f>'Bookings and Drivers'!CP170</f>
        <v>78000</v>
      </c>
      <c r="CI723">
        <f>'Bookings and Drivers'!CQ170</f>
        <v>120000</v>
      </c>
      <c r="CJ723">
        <f>'Bookings and Drivers'!CR170</f>
        <v>183884</v>
      </c>
      <c r="CK723">
        <f>'Bookings and Drivers'!CS170</f>
        <v>275000</v>
      </c>
      <c r="CL723">
        <f>'Bookings and Drivers'!CT170</f>
        <v>426000</v>
      </c>
      <c r="CM723">
        <f>'Bookings and Drivers'!CU170</f>
        <v>602000</v>
      </c>
      <c r="CN723">
        <f>'Bookings and Drivers'!CV170</f>
        <v>852000</v>
      </c>
      <c r="CO723">
        <f>'Bookings and Drivers'!CW170</f>
        <v>1115000</v>
      </c>
      <c r="CP723">
        <f>'Bookings and Drivers'!CX170</f>
        <v>1586000</v>
      </c>
      <c r="CQ723">
        <f>'Bookings and Drivers'!CY170</f>
        <v>2218363.2743281196</v>
      </c>
      <c r="CR723">
        <f>'Bookings and Drivers'!CZ170</f>
        <v>2970185.3072618344</v>
      </c>
      <c r="CS723">
        <f>'Bookings and Drivers'!DA170</f>
        <v>3775481.9984709951</v>
      </c>
      <c r="CT723">
        <f>'Bookings and Drivers'!DB170</f>
        <v>4543207.6232800707</v>
      </c>
      <c r="CU723">
        <f>'Bookings and Drivers'!DC170</f>
        <v>5236086.7535406454</v>
      </c>
      <c r="CV723">
        <f>'Bookings and Drivers'!DD170</f>
        <v>5834998.7233302062</v>
      </c>
      <c r="CW723">
        <f>'Bookings and Drivers'!DE170</f>
        <v>6335561.0817669984</v>
      </c>
      <c r="CX723">
        <f>'Bookings and Drivers'!DF170</f>
        <v>6743188.8569577951</v>
      </c>
    </row>
    <row r="724" spans="1:102">
      <c r="A724" t="str">
        <f>'Bookings and Drivers'!I171</f>
        <v>% change Y/Y</v>
      </c>
      <c r="B724">
        <f>'Bookings and Drivers'!J171</f>
        <v>0</v>
      </c>
      <c r="C724">
        <f>'Bookings and Drivers'!K171</f>
        <v>0</v>
      </c>
      <c r="D724">
        <f>'Bookings and Drivers'!L171</f>
        <v>0</v>
      </c>
      <c r="E724">
        <f>'Bookings and Drivers'!M171</f>
        <v>0</v>
      </c>
      <c r="F724">
        <f>'Bookings and Drivers'!N171</f>
        <v>0</v>
      </c>
      <c r="G724">
        <f>'Bookings and Drivers'!O171</f>
        <v>0</v>
      </c>
      <c r="H724">
        <f>'Bookings and Drivers'!P171</f>
        <v>0</v>
      </c>
      <c r="I724">
        <f>'Bookings and Drivers'!Q171</f>
        <v>0</v>
      </c>
      <c r="J724">
        <f>'Bookings and Drivers'!R171</f>
        <v>0</v>
      </c>
      <c r="K724">
        <f>'Bookings and Drivers'!S171</f>
        <v>0</v>
      </c>
      <c r="L724">
        <f>'Bookings and Drivers'!T171</f>
        <v>0</v>
      </c>
      <c r="M724">
        <f>'Bookings and Drivers'!U171</f>
        <v>0</v>
      </c>
      <c r="N724">
        <f>'Bookings and Drivers'!V171</f>
        <v>0</v>
      </c>
      <c r="O724">
        <f>'Bookings and Drivers'!W171</f>
        <v>0</v>
      </c>
      <c r="P724">
        <f>'Bookings and Drivers'!X171</f>
        <v>0</v>
      </c>
      <c r="Q724">
        <f>'Bookings and Drivers'!Y171</f>
        <v>0</v>
      </c>
      <c r="R724">
        <f>'Bookings and Drivers'!Z171</f>
        <v>0</v>
      </c>
      <c r="S724">
        <f>'Bookings and Drivers'!AA171</f>
        <v>0</v>
      </c>
      <c r="T724">
        <f>'Bookings and Drivers'!AB171</f>
        <v>0</v>
      </c>
      <c r="U724">
        <f>'Bookings and Drivers'!AC171</f>
        <v>0</v>
      </c>
      <c r="V724">
        <f>'Bookings and Drivers'!AD171</f>
        <v>0</v>
      </c>
      <c r="W724">
        <f>'Bookings and Drivers'!AE171</f>
        <v>0</v>
      </c>
      <c r="X724">
        <f>'Bookings and Drivers'!AF171</f>
        <v>0</v>
      </c>
      <c r="Y724">
        <f>'Bookings and Drivers'!AG171</f>
        <v>0</v>
      </c>
      <c r="Z724">
        <f>'Bookings and Drivers'!AH171</f>
        <v>0</v>
      </c>
      <c r="AA724">
        <f>'Bookings and Drivers'!AI171</f>
        <v>0</v>
      </c>
      <c r="AB724">
        <f>'Bookings and Drivers'!AJ171</f>
        <v>0</v>
      </c>
      <c r="AC724">
        <f>'Bookings and Drivers'!AK171</f>
        <v>0.45454545454545459</v>
      </c>
      <c r="AD724">
        <f>'Bookings and Drivers'!AL171</f>
        <v>0.45833333333333326</v>
      </c>
      <c r="AE724">
        <f>'Bookings and Drivers'!AM171</f>
        <v>0.46153846153846145</v>
      </c>
      <c r="AF724">
        <f>'Bookings and Drivers'!AN171</f>
        <v>0.48214285714285721</v>
      </c>
      <c r="AG724">
        <f>'Bookings and Drivers'!AO171</f>
        <v>0.40625</v>
      </c>
      <c r="AH724">
        <f>'Bookings and Drivers'!AP171</f>
        <v>0.48571428571428577</v>
      </c>
      <c r="AI724">
        <f>'Bookings and Drivers'!AQ171</f>
        <v>0.5</v>
      </c>
      <c r="AJ724">
        <f>'Bookings and Drivers'!AR171</f>
        <v>0.44578313253012047</v>
      </c>
      <c r="AK724">
        <f>'Bookings and Drivers'!AS171</f>
        <v>0.46666666666666656</v>
      </c>
      <c r="AL724">
        <f>'Bookings and Drivers'!AT171</f>
        <v>0.36538461538461542</v>
      </c>
      <c r="AM724">
        <f>'Bookings and Drivers'!AU171</f>
        <v>0.2807017543859649</v>
      </c>
      <c r="AN724">
        <f>'Bookings and Drivers'!AV171</f>
        <v>0.30000000000000004</v>
      </c>
      <c r="AO724">
        <f>'Bookings and Drivers'!AW171</f>
        <v>0.30303030303030298</v>
      </c>
      <c r="AP724">
        <f>'Bookings and Drivers'!AX171</f>
        <v>0.352112676056338</v>
      </c>
      <c r="AQ724">
        <f>'Bookings and Drivers'!AY171</f>
        <v>0.43835616438356162</v>
      </c>
      <c r="AR724">
        <f>'Bookings and Drivers'!AZ171</f>
        <v>0.53846153846153855</v>
      </c>
      <c r="AS724">
        <f>'Bookings and Drivers'!BA171</f>
        <v>0.56976744186046502</v>
      </c>
      <c r="AT724">
        <f>'Bookings and Drivers'!BB171</f>
        <v>0.61458333333333326</v>
      </c>
      <c r="AU724">
        <f>'Bookings and Drivers'!BC171</f>
        <v>0.61904761904761907</v>
      </c>
      <c r="AV724">
        <f>'Bookings and Drivers'!BD171</f>
        <v>0.53236666666666665</v>
      </c>
      <c r="AW724">
        <f>'Bookings and Drivers'!BE171</f>
        <v>0.55555555555555558</v>
      </c>
      <c r="AX724">
        <f>'Bookings and Drivers'!BF171</f>
        <v>0.5161290322580645</v>
      </c>
      <c r="AY724">
        <f>'Bookings and Drivers'!BG171</f>
        <v>0.44117647058823528</v>
      </c>
      <c r="AZ724">
        <f>'Bookings and Drivers'!BH171</f>
        <v>0.49550803767592622</v>
      </c>
      <c r="BA724">
        <f>'Bookings and Drivers'!BI171</f>
        <v>0.40476190476190466</v>
      </c>
      <c r="BB724">
        <f>'Bookings and Drivers'!BJ171</f>
        <v>0.4042553191489362</v>
      </c>
      <c r="BC724">
        <f>'Bookings and Drivers'!BK171</f>
        <v>0.44897959183673475</v>
      </c>
      <c r="BD724">
        <f>'Bookings and Drivers'!BL171</f>
        <v>0.54909090909090907</v>
      </c>
      <c r="BE724">
        <f>'Bookings and Drivers'!BM171</f>
        <v>0.56610169491525419</v>
      </c>
      <c r="BF724">
        <f>'Bookings and Drivers'!BN171</f>
        <v>0.58484848484848495</v>
      </c>
      <c r="BG724">
        <f>'Bookings and Drivers'!BO171</f>
        <v>0.52112676056338025</v>
      </c>
      <c r="BH724">
        <f>'Bookings and Drivers'!BP171</f>
        <v>0.41314553990610325</v>
      </c>
      <c r="BI724">
        <f>'Bookings and Drivers'!BQ171</f>
        <v>0.3787878787878789</v>
      </c>
      <c r="BJ724">
        <f>'Bookings and Drivers'!BR171</f>
        <v>0.41873804971319317</v>
      </c>
      <c r="BK724">
        <f>'Bookings and Drivers'!BS171</f>
        <v>0.38888888888888884</v>
      </c>
      <c r="BL724">
        <f>'Bookings and Drivers'!BT171</f>
        <v>0.41528239202657802</v>
      </c>
      <c r="BM724">
        <f>'Bookings and Drivers'!BU171</f>
        <v>0.38069073783359508</v>
      </c>
      <c r="BN724">
        <f>'Bookings and Drivers'!BV171</f>
        <v>0.30053908355795156</v>
      </c>
      <c r="BO724">
        <f>'Bookings and Drivers'!BW171</f>
        <v>0.41999999999999993</v>
      </c>
      <c r="BP724">
        <f>'Bookings and Drivers'!BX171</f>
        <v>0.30868544600938974</v>
      </c>
      <c r="BQ724">
        <f>'Bookings and Drivers'!BY171</f>
        <v>0.3541785105173394</v>
      </c>
      <c r="BR724">
        <f>'Bookings and Drivers'!BZ171</f>
        <v>0.3886010362694301</v>
      </c>
      <c r="BS724">
        <f>'Bookings and Drivers'!CA171</f>
        <v>0.42164413145539914</v>
      </c>
      <c r="BT724">
        <f>'Bookings and Drivers'!CB171</f>
        <v>0.42242152466367711</v>
      </c>
      <c r="BU724">
        <f>'Bookings and Drivers'!CC171</f>
        <v>0.41788315204090476</v>
      </c>
      <c r="BV724">
        <f>'Bookings and Drivers'!CD171</f>
        <v>0.41000014496425941</v>
      </c>
      <c r="BW724">
        <f>'Bookings and Drivers'!CE171</f>
        <v>0.40189566449328562</v>
      </c>
      <c r="BX724">
        <f>'Bookings and Drivers'!CF171</f>
        <v>0.39871580979074372</v>
      </c>
      <c r="BY724">
        <f>'Bookings and Drivers'!CG171</f>
        <v>0</v>
      </c>
      <c r="BZ724">
        <f>'Bookings and Drivers'!CH171</f>
        <v>0</v>
      </c>
      <c r="CA724">
        <f>'Bookings and Drivers'!CI171</f>
        <v>0</v>
      </c>
      <c r="CB724">
        <f>'Bookings and Drivers'!CJ171</f>
        <v>0</v>
      </c>
      <c r="CC724">
        <f>'Bookings and Drivers'!CK171</f>
        <v>0</v>
      </c>
      <c r="CD724">
        <f>'Bookings and Drivers'!CL171</f>
        <v>0</v>
      </c>
      <c r="CE724">
        <f>'Bookings and Drivers'!CM171</f>
        <v>0</v>
      </c>
      <c r="CF724">
        <f>'Bookings and Drivers'!CN171</f>
        <v>0</v>
      </c>
      <c r="CG724">
        <f>'Bookings and Drivers'!CO171</f>
        <v>0</v>
      </c>
      <c r="CH724">
        <f>'Bookings and Drivers'!CP171</f>
        <v>0.30000000000000004</v>
      </c>
      <c r="CI724">
        <f>'Bookings and Drivers'!CQ171</f>
        <v>0.53846153846153855</v>
      </c>
      <c r="CJ724">
        <f>'Bookings and Drivers'!CR171</f>
        <v>0.53236666666666665</v>
      </c>
      <c r="CK724">
        <f>'Bookings and Drivers'!CS171</f>
        <v>0.49550803767592622</v>
      </c>
      <c r="CL724">
        <f>'Bookings and Drivers'!CT171</f>
        <v>0.54909090909090907</v>
      </c>
      <c r="CM724">
        <f>'Bookings and Drivers'!CU171</f>
        <v>0.41314553990610325</v>
      </c>
      <c r="CN724">
        <f>'Bookings and Drivers'!CV171</f>
        <v>0.41528239202657802</v>
      </c>
      <c r="CO724">
        <f>'Bookings and Drivers'!CW171</f>
        <v>0.30868544600938974</v>
      </c>
      <c r="CP724">
        <f>'Bookings and Drivers'!CX171</f>
        <v>0.42242152466367711</v>
      </c>
      <c r="CQ724">
        <f>'Bookings and Drivers'!CY171</f>
        <v>0.39871580979074372</v>
      </c>
      <c r="CR724">
        <f>'Bookings and Drivers'!CZ171</f>
        <v>0.33890843832213213</v>
      </c>
      <c r="CS724">
        <f>'Bookings and Drivers'!DA171</f>
        <v>0.2711267506577057</v>
      </c>
      <c r="CT724">
        <f>'Bookings and Drivers'!DB171</f>
        <v>0.20334506299327926</v>
      </c>
      <c r="CU724">
        <f>'Bookings and Drivers'!DC171</f>
        <v>0.15250879724495944</v>
      </c>
      <c r="CV724">
        <f>'Bookings and Drivers'!DD171</f>
        <v>0.11438159793371958</v>
      </c>
      <c r="CW724">
        <f>'Bookings and Drivers'!DE171</f>
        <v>8.5786198450289675E-2</v>
      </c>
      <c r="CX724">
        <f>'Bookings and Drivers'!DF171</f>
        <v>6.4339648837717256E-2</v>
      </c>
    </row>
    <row r="725" spans="1:102">
      <c r="A725" t="str">
        <f>'Bookings and Drivers'!I173</f>
        <v>QoQ % Growth</v>
      </c>
      <c r="B725">
        <f>'Bookings and Drivers'!J173</f>
        <v>0</v>
      </c>
      <c r="C725">
        <f>'Bookings and Drivers'!K173</f>
        <v>0</v>
      </c>
      <c r="D725">
        <f>'Bookings and Drivers'!L173</f>
        <v>0</v>
      </c>
      <c r="E725">
        <f>'Bookings and Drivers'!M173</f>
        <v>0</v>
      </c>
      <c r="F725">
        <f>'Bookings and Drivers'!N173</f>
        <v>0</v>
      </c>
      <c r="G725">
        <f>'Bookings and Drivers'!O173</f>
        <v>0</v>
      </c>
      <c r="H725">
        <f>'Bookings and Drivers'!P173</f>
        <v>0</v>
      </c>
      <c r="I725">
        <f>'Bookings and Drivers'!Q173</f>
        <v>0</v>
      </c>
      <c r="J725">
        <f>'Bookings and Drivers'!R173</f>
        <v>0</v>
      </c>
      <c r="K725">
        <f>'Bookings and Drivers'!S173</f>
        <v>0</v>
      </c>
      <c r="L725">
        <f>'Bookings and Drivers'!T173</f>
        <v>0</v>
      </c>
      <c r="M725">
        <f>'Bookings and Drivers'!U173</f>
        <v>0</v>
      </c>
      <c r="N725">
        <f>'Bookings and Drivers'!V173</f>
        <v>0</v>
      </c>
      <c r="O725">
        <f>'Bookings and Drivers'!W173</f>
        <v>0</v>
      </c>
      <c r="P725">
        <f>'Bookings and Drivers'!X173</f>
        <v>0</v>
      </c>
      <c r="Q725">
        <f>'Bookings and Drivers'!Y173</f>
        <v>0</v>
      </c>
      <c r="R725">
        <f>'Bookings and Drivers'!Z173</f>
        <v>0</v>
      </c>
      <c r="S725">
        <f>'Bookings and Drivers'!AA173</f>
        <v>0</v>
      </c>
      <c r="T725">
        <f>'Bookings and Drivers'!AB173</f>
        <v>0</v>
      </c>
      <c r="U725">
        <f>'Bookings and Drivers'!AC173</f>
        <v>0</v>
      </c>
      <c r="V725">
        <f>'Bookings and Drivers'!AD173</f>
        <v>0</v>
      </c>
      <c r="W725">
        <f>'Bookings and Drivers'!AE173</f>
        <v>0</v>
      </c>
      <c r="X725">
        <f>'Bookings and Drivers'!AF173</f>
        <v>0</v>
      </c>
      <c r="Y725">
        <f>'Bookings and Drivers'!AG173</f>
        <v>0</v>
      </c>
      <c r="Z725">
        <f>'Bookings and Drivers'!AH173</f>
        <v>0</v>
      </c>
      <c r="AA725">
        <f>'Bookings and Drivers'!AI173</f>
        <v>0</v>
      </c>
      <c r="AB725">
        <f>'Bookings and Drivers'!AJ173</f>
        <v>0</v>
      </c>
      <c r="AC725">
        <f>'Bookings and Drivers'!AK173</f>
        <v>0</v>
      </c>
      <c r="AD725">
        <f>'Bookings and Drivers'!AL173</f>
        <v>0</v>
      </c>
      <c r="AE725">
        <f>'Bookings and Drivers'!AM173</f>
        <v>0</v>
      </c>
      <c r="AF725">
        <f>'Bookings and Drivers'!AN173</f>
        <v>0</v>
      </c>
      <c r="AG725">
        <f>'Bookings and Drivers'!AO173</f>
        <v>0</v>
      </c>
      <c r="AH725">
        <f>'Bookings and Drivers'!AP173</f>
        <v>0</v>
      </c>
      <c r="AI725">
        <f>'Bookings and Drivers'!AQ173</f>
        <v>0</v>
      </c>
      <c r="AJ725">
        <f>'Bookings and Drivers'!AR173</f>
        <v>0</v>
      </c>
      <c r="AK725">
        <f>'Bookings and Drivers'!AS173</f>
        <v>0.10000000000000009</v>
      </c>
      <c r="AL725">
        <f>'Bookings and Drivers'!AT173</f>
        <v>7.575757575757569E-2</v>
      </c>
      <c r="AM725">
        <f>'Bookings and Drivers'!AU173</f>
        <v>2.8169014084507005E-2</v>
      </c>
      <c r="AN725">
        <f>'Bookings and Drivers'!AV173</f>
        <v>6.8493150684931559E-2</v>
      </c>
      <c r="AO725">
        <f>'Bookings and Drivers'!AW173</f>
        <v>0.10256410256410264</v>
      </c>
      <c r="AP725">
        <f>'Bookings and Drivers'!AX173</f>
        <v>0.11627906976744184</v>
      </c>
      <c r="AQ725">
        <f>'Bookings and Drivers'!AY173</f>
        <v>9.375E-2</v>
      </c>
      <c r="AR725">
        <f>'Bookings and Drivers'!AZ173</f>
        <v>0.14285714285714279</v>
      </c>
      <c r="AS725">
        <f>'Bookings and Drivers'!BA173</f>
        <v>0.125</v>
      </c>
      <c r="AT725">
        <f>'Bookings and Drivers'!BB173</f>
        <v>0.14814814814814814</v>
      </c>
      <c r="AU725">
        <f>'Bookings and Drivers'!BC173</f>
        <v>9.6774193548387011E-2</v>
      </c>
      <c r="AV725">
        <f>'Bookings and Drivers'!BD173</f>
        <v>8.1670588235294161E-2</v>
      </c>
      <c r="AW725">
        <f>'Bookings and Drivers'!BE173</f>
        <v>0.14202431967979812</v>
      </c>
      <c r="AX725">
        <f>'Bookings and Drivers'!BF173</f>
        <v>0.11904761904761907</v>
      </c>
      <c r="AY725">
        <f>'Bookings and Drivers'!BG173</f>
        <v>4.2553191489361764E-2</v>
      </c>
      <c r="AZ725">
        <f>'Bookings and Drivers'!BH173</f>
        <v>0.12244897959183665</v>
      </c>
      <c r="BA725">
        <f>'Bookings and Drivers'!BI173</f>
        <v>7.2727272727272751E-2</v>
      </c>
      <c r="BB725">
        <f>'Bookings and Drivers'!BJ173</f>
        <v>0.11864406779661008</v>
      </c>
      <c r="BC725">
        <f>'Bookings and Drivers'!BK173</f>
        <v>7.575757575757569E-2</v>
      </c>
      <c r="BD725">
        <f>'Bookings and Drivers'!BL173</f>
        <v>0.2</v>
      </c>
      <c r="BE725">
        <f>'Bookings and Drivers'!BM173</f>
        <v>8.4507042253521236E-2</v>
      </c>
      <c r="BF725">
        <f>'Bookings and Drivers'!BN173</f>
        <v>0.13203463203463195</v>
      </c>
      <c r="BG725">
        <f>'Bookings and Drivers'!BO173</f>
        <v>3.2504780114722687E-2</v>
      </c>
      <c r="BH725">
        <f>'Bookings and Drivers'!BP173</f>
        <v>0.11481481481481493</v>
      </c>
      <c r="BI725">
        <f>'Bookings and Drivers'!BQ173</f>
        <v>5.8139534883721034E-2</v>
      </c>
      <c r="BJ725">
        <f>'Bookings and Drivers'!BR173</f>
        <v>0.16483516483516492</v>
      </c>
      <c r="BK725">
        <f>'Bookings and Drivers'!BS173</f>
        <v>1.0781671159029615E-2</v>
      </c>
      <c r="BL725">
        <f>'Bookings and Drivers'!BT173</f>
        <v>0.1359999999999999</v>
      </c>
      <c r="BM725">
        <f>'Bookings and Drivers'!BU173</f>
        <v>3.2276995305164258E-2</v>
      </c>
      <c r="BN725">
        <f>'Bookings and Drivers'!BV173</f>
        <v>9.7214326321773736E-2</v>
      </c>
      <c r="BO725">
        <f>'Bookings and Drivers'!BW173</f>
        <v>0.10362694300518127</v>
      </c>
      <c r="BP725">
        <f>'Bookings and Drivers'!BX173</f>
        <v>4.6948356807511749E-2</v>
      </c>
      <c r="BQ725">
        <f>'Bookings and Drivers'!BY173</f>
        <v>6.8161434977578539E-2</v>
      </c>
      <c r="BR725">
        <f>'Bookings and Drivers'!BZ173</f>
        <v>0.12510495382031905</v>
      </c>
      <c r="BS725">
        <f>'Bookings and Drivers'!CA173</f>
        <v>0.12988880597014929</v>
      </c>
      <c r="BT725">
        <f>'Bookings and Drivers'!CB173</f>
        <v>4.7520856298764125E-2</v>
      </c>
      <c r="BU725">
        <f>'Bookings and Drivers'!CC173</f>
        <v>6.4753363228699609E-2</v>
      </c>
      <c r="BV725">
        <f>'Bookings and Drivers'!CD173</f>
        <v>0.1188497061293031</v>
      </c>
      <c r="BW725">
        <f>'Bookings and Drivers'!CE173</f>
        <v>0.12339436567164182</v>
      </c>
      <c r="BX725">
        <f>'Bookings and Drivers'!CF173</f>
        <v>4.5144813483825916E-2</v>
      </c>
      <c r="BY725">
        <f>'Bookings and Drivers'!CG173</f>
        <v>0</v>
      </c>
      <c r="BZ725">
        <f>'Bookings and Drivers'!CH173</f>
        <v>0</v>
      </c>
      <c r="CA725">
        <f>'Bookings and Drivers'!CI173</f>
        <v>0</v>
      </c>
      <c r="CB725">
        <f>'Bookings and Drivers'!CJ173</f>
        <v>0</v>
      </c>
      <c r="CC725">
        <f>'Bookings and Drivers'!CK173</f>
        <v>0</v>
      </c>
      <c r="CD725">
        <f>'Bookings and Drivers'!CL173</f>
        <v>0</v>
      </c>
      <c r="CE725">
        <f>'Bookings and Drivers'!CM173</f>
        <v>0</v>
      </c>
      <c r="CF725">
        <f>'Bookings and Drivers'!CN173</f>
        <v>0</v>
      </c>
      <c r="CG725">
        <f>'Bookings and Drivers'!CO173</f>
        <v>0</v>
      </c>
      <c r="CH725">
        <f>'Bookings and Drivers'!CP173</f>
        <v>0</v>
      </c>
      <c r="CI725">
        <f>'Bookings and Drivers'!CQ173</f>
        <v>0</v>
      </c>
      <c r="CJ725">
        <f>'Bookings and Drivers'!CR173</f>
        <v>0</v>
      </c>
      <c r="CK725">
        <f>'Bookings and Drivers'!CS173</f>
        <v>0</v>
      </c>
      <c r="CL725">
        <f>'Bookings and Drivers'!CT173</f>
        <v>0</v>
      </c>
      <c r="CM725">
        <f>'Bookings and Drivers'!CU173</f>
        <v>0</v>
      </c>
      <c r="CN725">
        <f>'Bookings and Drivers'!CV173</f>
        <v>0</v>
      </c>
      <c r="CO725">
        <f>'Bookings and Drivers'!CW173</f>
        <v>0</v>
      </c>
      <c r="CP725">
        <f>'Bookings and Drivers'!CX173</f>
        <v>0</v>
      </c>
      <c r="CQ725">
        <f>'Bookings and Drivers'!CY173</f>
        <v>0</v>
      </c>
      <c r="CR725">
        <f>'Bookings and Drivers'!CZ173</f>
        <v>0</v>
      </c>
      <c r="CS725">
        <f>'Bookings and Drivers'!DA173</f>
        <v>0</v>
      </c>
      <c r="CT725">
        <f>'Bookings and Drivers'!DB173</f>
        <v>0</v>
      </c>
      <c r="CU725">
        <f>'Bookings and Drivers'!DC173</f>
        <v>0</v>
      </c>
      <c r="CV725">
        <f>'Bookings and Drivers'!DD173</f>
        <v>0</v>
      </c>
      <c r="CW725">
        <f>'Bookings and Drivers'!DE173</f>
        <v>0</v>
      </c>
      <c r="CX725">
        <f>'Bookings and Drivers'!DF173</f>
        <v>0</v>
      </c>
    </row>
    <row r="726" spans="1:102">
      <c r="A726" t="str">
        <f>'Bookings and Drivers'!I174</f>
        <v>QoQ Abs Growth</v>
      </c>
      <c r="B726">
        <f>'Bookings and Drivers'!J174</f>
        <v>0</v>
      </c>
      <c r="C726">
        <f>'Bookings and Drivers'!K174</f>
        <v>0</v>
      </c>
      <c r="D726">
        <f>'Bookings and Drivers'!L174</f>
        <v>0</v>
      </c>
      <c r="E726">
        <f>'Bookings and Drivers'!M174</f>
        <v>0</v>
      </c>
      <c r="F726">
        <f>'Bookings and Drivers'!N174</f>
        <v>0</v>
      </c>
      <c r="G726">
        <f>'Bookings and Drivers'!O174</f>
        <v>0</v>
      </c>
      <c r="H726">
        <f>'Bookings and Drivers'!P174</f>
        <v>0</v>
      </c>
      <c r="I726">
        <f>'Bookings and Drivers'!Q174</f>
        <v>0</v>
      </c>
      <c r="J726">
        <f>'Bookings and Drivers'!R174</f>
        <v>0</v>
      </c>
      <c r="K726">
        <f>'Bookings and Drivers'!S174</f>
        <v>0</v>
      </c>
      <c r="L726">
        <f>'Bookings and Drivers'!T174</f>
        <v>0</v>
      </c>
      <c r="M726">
        <f>'Bookings and Drivers'!U174</f>
        <v>0</v>
      </c>
      <c r="N726">
        <f>'Bookings and Drivers'!V174</f>
        <v>0</v>
      </c>
      <c r="O726">
        <f>'Bookings and Drivers'!W174</f>
        <v>0</v>
      </c>
      <c r="P726">
        <f>'Bookings and Drivers'!X174</f>
        <v>0</v>
      </c>
      <c r="Q726">
        <f>'Bookings and Drivers'!Y174</f>
        <v>0</v>
      </c>
      <c r="R726">
        <f>'Bookings and Drivers'!Z174</f>
        <v>0</v>
      </c>
      <c r="S726">
        <f>'Bookings and Drivers'!AA174</f>
        <v>0</v>
      </c>
      <c r="T726">
        <f>'Bookings and Drivers'!AB174</f>
        <v>0</v>
      </c>
      <c r="U726">
        <f>'Bookings and Drivers'!AC174</f>
        <v>0</v>
      </c>
      <c r="V726">
        <f>'Bookings and Drivers'!AD174</f>
        <v>0</v>
      </c>
      <c r="W726">
        <f>'Bookings and Drivers'!AE174</f>
        <v>0</v>
      </c>
      <c r="X726">
        <f>'Bookings and Drivers'!AF174</f>
        <v>0</v>
      </c>
      <c r="Y726">
        <f>'Bookings and Drivers'!AG174</f>
        <v>0</v>
      </c>
      <c r="Z726">
        <f>'Bookings and Drivers'!AH174</f>
        <v>2000</v>
      </c>
      <c r="AA726">
        <f>'Bookings and Drivers'!AI174</f>
        <v>2000</v>
      </c>
      <c r="AB726">
        <f>'Bookings and Drivers'!AJ174</f>
        <v>2000</v>
      </c>
      <c r="AC726">
        <f>'Bookings and Drivers'!AK174</f>
        <v>4000</v>
      </c>
      <c r="AD726">
        <f>'Bookings and Drivers'!AL174</f>
        <v>3000</v>
      </c>
      <c r="AE726">
        <f>'Bookings and Drivers'!AM174</f>
        <v>3000</v>
      </c>
      <c r="AF726">
        <f>'Bookings and Drivers'!AN174</f>
        <v>3500</v>
      </c>
      <c r="AG726">
        <f>'Bookings and Drivers'!AO174</f>
        <v>3500</v>
      </c>
      <c r="AH726">
        <f>'Bookings and Drivers'!AP174</f>
        <v>7000</v>
      </c>
      <c r="AI726">
        <f>'Bookings and Drivers'!AQ174</f>
        <v>5000</v>
      </c>
      <c r="AJ726">
        <f>'Bookings and Drivers'!AR174</f>
        <v>3000</v>
      </c>
      <c r="AK726">
        <f>'Bookings and Drivers'!AS174</f>
        <v>6000</v>
      </c>
      <c r="AL726">
        <f>'Bookings and Drivers'!AT174</f>
        <v>5000</v>
      </c>
      <c r="AM726">
        <f>'Bookings and Drivers'!AU174</f>
        <v>2000</v>
      </c>
      <c r="AN726">
        <f>'Bookings and Drivers'!AV174</f>
        <v>5000</v>
      </c>
      <c r="AO726">
        <f>'Bookings and Drivers'!AW174</f>
        <v>8000</v>
      </c>
      <c r="AP726">
        <f>'Bookings and Drivers'!AX174</f>
        <v>10000</v>
      </c>
      <c r="AQ726">
        <f>'Bookings and Drivers'!AY174</f>
        <v>9000</v>
      </c>
      <c r="AR726">
        <f>'Bookings and Drivers'!AZ174</f>
        <v>15000</v>
      </c>
      <c r="AS726">
        <f>'Bookings and Drivers'!BA174</f>
        <v>15000</v>
      </c>
      <c r="AT726">
        <f>'Bookings and Drivers'!BB174</f>
        <v>20000</v>
      </c>
      <c r="AU726">
        <f>'Bookings and Drivers'!BC174</f>
        <v>15000</v>
      </c>
      <c r="AV726">
        <f>'Bookings and Drivers'!BD174</f>
        <v>13884</v>
      </c>
      <c r="AW726">
        <f>'Bookings and Drivers'!BE174</f>
        <v>26116</v>
      </c>
      <c r="AX726">
        <f>'Bookings and Drivers'!BF174</f>
        <v>25000</v>
      </c>
      <c r="AY726">
        <f>'Bookings and Drivers'!BG174</f>
        <v>10000</v>
      </c>
      <c r="AZ726">
        <f>'Bookings and Drivers'!BH174</f>
        <v>30000</v>
      </c>
      <c r="BA726">
        <f>'Bookings and Drivers'!BI174</f>
        <v>20000</v>
      </c>
      <c r="BB726">
        <f>'Bookings and Drivers'!BJ174</f>
        <v>35000</v>
      </c>
      <c r="BC726">
        <f>'Bookings and Drivers'!BK174</f>
        <v>25000</v>
      </c>
      <c r="BD726">
        <f>'Bookings and Drivers'!BL174</f>
        <v>71000</v>
      </c>
      <c r="BE726">
        <f>'Bookings and Drivers'!BM174</f>
        <v>36000</v>
      </c>
      <c r="BF726">
        <f>'Bookings and Drivers'!BN174</f>
        <v>61000</v>
      </c>
      <c r="BG726">
        <f>'Bookings and Drivers'!BO174</f>
        <v>17000</v>
      </c>
      <c r="BH726">
        <f>'Bookings and Drivers'!BP174</f>
        <v>62000</v>
      </c>
      <c r="BI726">
        <f>'Bookings and Drivers'!BQ174</f>
        <v>35000</v>
      </c>
      <c r="BJ726">
        <f>'Bookings and Drivers'!BR174</f>
        <v>105000</v>
      </c>
      <c r="BK726">
        <f>'Bookings and Drivers'!BS174</f>
        <v>8000</v>
      </c>
      <c r="BL726">
        <f>'Bookings and Drivers'!BT174</f>
        <v>102000</v>
      </c>
      <c r="BM726">
        <f>'Bookings and Drivers'!BU174</f>
        <v>27500</v>
      </c>
      <c r="BN726">
        <f>'Bookings and Drivers'!BV174</f>
        <v>85500</v>
      </c>
      <c r="BO726">
        <f>'Bookings and Drivers'!BW174</f>
        <v>100000</v>
      </c>
      <c r="BP726">
        <f>'Bookings and Drivers'!BX174</f>
        <v>50000</v>
      </c>
      <c r="BQ726">
        <f>'Bookings and Drivers'!BY174</f>
        <v>76000</v>
      </c>
      <c r="BR726">
        <f>'Bookings and Drivers'!BZ174</f>
        <v>149000</v>
      </c>
      <c r="BS726">
        <f>'Bookings and Drivers'!CA174</f>
        <v>174051</v>
      </c>
      <c r="BT726">
        <f>'Bookings and Drivers'!CB174</f>
        <v>71949</v>
      </c>
      <c r="BU726">
        <f>'Bookings and Drivers'!CC174</f>
        <v>102698.83408071753</v>
      </c>
      <c r="BV726">
        <f>'Bookings and Drivers'!CD174</f>
        <v>200701.36017139</v>
      </c>
      <c r="BW726">
        <f>'Bookings and Drivers'!CE174</f>
        <v>233141.3384696159</v>
      </c>
      <c r="BX726">
        <f>'Bookings and Drivers'!CF174</f>
        <v>95821.741606396157</v>
      </c>
      <c r="BY726">
        <f>'Bookings and Drivers'!CG174</f>
        <v>0</v>
      </c>
      <c r="BZ726">
        <f>'Bookings and Drivers'!CH174</f>
        <v>0</v>
      </c>
      <c r="CA726">
        <f>'Bookings and Drivers'!CI174</f>
        <v>0</v>
      </c>
      <c r="CB726">
        <f>'Bookings and Drivers'!CJ174</f>
        <v>0</v>
      </c>
      <c r="CC726">
        <f>'Bookings and Drivers'!CK174</f>
        <v>0</v>
      </c>
      <c r="CD726">
        <f>'Bookings and Drivers'!CL174</f>
        <v>0</v>
      </c>
      <c r="CE726">
        <f>'Bookings and Drivers'!CM174</f>
        <v>0</v>
      </c>
      <c r="CF726">
        <f>'Bookings and Drivers'!CN174</f>
        <v>0</v>
      </c>
      <c r="CG726">
        <f>'Bookings and Drivers'!CO174</f>
        <v>18500</v>
      </c>
      <c r="CH726">
        <f>'Bookings and Drivers'!CP174</f>
        <v>18000</v>
      </c>
      <c r="CI726">
        <f>'Bookings and Drivers'!CQ174</f>
        <v>42000</v>
      </c>
      <c r="CJ726">
        <f>'Bookings and Drivers'!CR174</f>
        <v>63884</v>
      </c>
      <c r="CK726">
        <f>'Bookings and Drivers'!CS174</f>
        <v>91116</v>
      </c>
      <c r="CL726">
        <f>'Bookings and Drivers'!CT174</f>
        <v>151000</v>
      </c>
      <c r="CM726">
        <f>'Bookings and Drivers'!CU174</f>
        <v>176000</v>
      </c>
      <c r="CN726">
        <f>'Bookings and Drivers'!CV174</f>
        <v>250000</v>
      </c>
      <c r="CO726">
        <f>'Bookings and Drivers'!CW174</f>
        <v>263000</v>
      </c>
      <c r="CP726">
        <f>'Bookings and Drivers'!CX174</f>
        <v>471000</v>
      </c>
      <c r="CQ726">
        <f>'Bookings and Drivers'!CY174</f>
        <v>632363.27432811959</v>
      </c>
      <c r="CR726">
        <f>'Bookings and Drivers'!CZ174</f>
        <v>0</v>
      </c>
      <c r="CS726">
        <f>'Bookings and Drivers'!DA174</f>
        <v>0</v>
      </c>
      <c r="CT726">
        <f>'Bookings and Drivers'!DB174</f>
        <v>0</v>
      </c>
      <c r="CU726">
        <f>'Bookings and Drivers'!DC174</f>
        <v>0</v>
      </c>
      <c r="CV726">
        <f>'Bookings and Drivers'!DD174</f>
        <v>0</v>
      </c>
      <c r="CW726">
        <f>'Bookings and Drivers'!DE174</f>
        <v>0</v>
      </c>
      <c r="CX726">
        <f>'Bookings and Drivers'!DF174</f>
        <v>0</v>
      </c>
    </row>
    <row r="727" spans="1:102">
      <c r="A727">
        <f>'Bookings and Drivers'!I175</f>
        <v>0</v>
      </c>
      <c r="B727">
        <f>'Bookings and Drivers'!J175</f>
        <v>0</v>
      </c>
      <c r="C727">
        <f>'Bookings and Drivers'!K175</f>
        <v>0</v>
      </c>
      <c r="D727">
        <f>'Bookings and Drivers'!L175</f>
        <v>0</v>
      </c>
      <c r="E727">
        <f>'Bookings and Drivers'!M175</f>
        <v>0</v>
      </c>
      <c r="F727">
        <f>'Bookings and Drivers'!N175</f>
        <v>0</v>
      </c>
      <c r="G727">
        <f>'Bookings and Drivers'!O175</f>
        <v>0</v>
      </c>
      <c r="H727">
        <f>'Bookings and Drivers'!P175</f>
        <v>0</v>
      </c>
      <c r="I727">
        <f>'Bookings and Drivers'!Q175</f>
        <v>0</v>
      </c>
      <c r="J727">
        <f>'Bookings and Drivers'!R175</f>
        <v>0</v>
      </c>
      <c r="K727">
        <f>'Bookings and Drivers'!S175</f>
        <v>0</v>
      </c>
      <c r="L727">
        <f>'Bookings and Drivers'!T175</f>
        <v>0</v>
      </c>
      <c r="M727">
        <f>'Bookings and Drivers'!U175</f>
        <v>0</v>
      </c>
      <c r="N727">
        <f>'Bookings and Drivers'!V175</f>
        <v>0</v>
      </c>
      <c r="O727">
        <f>'Bookings and Drivers'!W175</f>
        <v>0</v>
      </c>
      <c r="P727">
        <f>'Bookings and Drivers'!X175</f>
        <v>0</v>
      </c>
      <c r="Q727">
        <f>'Bookings and Drivers'!Y175</f>
        <v>0</v>
      </c>
      <c r="R727">
        <f>'Bookings and Drivers'!Z175</f>
        <v>0</v>
      </c>
      <c r="S727">
        <f>'Bookings and Drivers'!AA175</f>
        <v>0</v>
      </c>
      <c r="T727">
        <f>'Bookings and Drivers'!AB175</f>
        <v>0</v>
      </c>
      <c r="U727">
        <f>'Bookings and Drivers'!AC175</f>
        <v>0</v>
      </c>
      <c r="V727">
        <f>'Bookings and Drivers'!AD175</f>
        <v>0</v>
      </c>
      <c r="W727">
        <f>'Bookings and Drivers'!AE175</f>
        <v>0</v>
      </c>
      <c r="X727">
        <f>'Bookings and Drivers'!AF175</f>
        <v>0</v>
      </c>
      <c r="Y727">
        <f>'Bookings and Drivers'!AG175</f>
        <v>0</v>
      </c>
      <c r="Z727">
        <f>'Bookings and Drivers'!AH175</f>
        <v>0</v>
      </c>
      <c r="AA727">
        <f>'Bookings and Drivers'!AI175</f>
        <v>0</v>
      </c>
      <c r="AB727">
        <f>'Bookings and Drivers'!AJ175</f>
        <v>0</v>
      </c>
      <c r="AC727">
        <f>'Bookings and Drivers'!AK175</f>
        <v>0</v>
      </c>
      <c r="AD727">
        <f>'Bookings and Drivers'!AL175</f>
        <v>0</v>
      </c>
      <c r="AE727">
        <f>'Bookings and Drivers'!AM175</f>
        <v>0</v>
      </c>
      <c r="AF727">
        <f>'Bookings and Drivers'!AN175</f>
        <v>0</v>
      </c>
      <c r="AG727">
        <f>'Bookings and Drivers'!AO175</f>
        <v>0</v>
      </c>
      <c r="AH727">
        <f>'Bookings and Drivers'!AP175</f>
        <v>0</v>
      </c>
      <c r="AI727">
        <f>'Bookings and Drivers'!AQ175</f>
        <v>0</v>
      </c>
      <c r="AJ727">
        <f>'Bookings and Drivers'!AR175</f>
        <v>0</v>
      </c>
      <c r="AK727">
        <f>'Bookings and Drivers'!AS175</f>
        <v>0</v>
      </c>
      <c r="AL727">
        <f>'Bookings and Drivers'!AT175</f>
        <v>0</v>
      </c>
      <c r="AM727">
        <f>'Bookings and Drivers'!AU175</f>
        <v>0</v>
      </c>
      <c r="AN727">
        <f>'Bookings and Drivers'!AV175</f>
        <v>0</v>
      </c>
      <c r="AO727">
        <f>'Bookings and Drivers'!AW175</f>
        <v>0</v>
      </c>
      <c r="AP727">
        <f>'Bookings and Drivers'!AX175</f>
        <v>0</v>
      </c>
      <c r="AQ727">
        <f>'Bookings and Drivers'!AY175</f>
        <v>0</v>
      </c>
      <c r="AR727">
        <f>'Bookings and Drivers'!AZ175</f>
        <v>0</v>
      </c>
      <c r="AS727">
        <f>'Bookings and Drivers'!BA175</f>
        <v>0</v>
      </c>
      <c r="AT727">
        <f>'Bookings and Drivers'!BB175</f>
        <v>0</v>
      </c>
      <c r="AU727">
        <f>'Bookings and Drivers'!BC175</f>
        <v>0</v>
      </c>
      <c r="AV727">
        <f>'Bookings and Drivers'!BD175</f>
        <v>0</v>
      </c>
      <c r="AW727">
        <f>'Bookings and Drivers'!BE175</f>
        <v>0</v>
      </c>
      <c r="AX727">
        <f>'Bookings and Drivers'!BF175</f>
        <v>0</v>
      </c>
      <c r="AY727">
        <f>'Bookings and Drivers'!BG175</f>
        <v>0</v>
      </c>
      <c r="AZ727">
        <f>'Bookings and Drivers'!BH175</f>
        <v>0</v>
      </c>
      <c r="BA727">
        <f>'Bookings and Drivers'!BI175</f>
        <v>0</v>
      </c>
      <c r="BB727">
        <f>'Bookings and Drivers'!BJ175</f>
        <v>0</v>
      </c>
      <c r="BC727">
        <f>'Bookings and Drivers'!BK175</f>
        <v>0</v>
      </c>
      <c r="BD727">
        <f>'Bookings and Drivers'!BL175</f>
        <v>0</v>
      </c>
      <c r="BE727">
        <f>'Bookings and Drivers'!BM175</f>
        <v>0</v>
      </c>
      <c r="BF727">
        <f>'Bookings and Drivers'!BN175</f>
        <v>0</v>
      </c>
      <c r="BG727">
        <f>'Bookings and Drivers'!BO175</f>
        <v>0</v>
      </c>
      <c r="BH727">
        <f>'Bookings and Drivers'!BP175</f>
        <v>0</v>
      </c>
      <c r="BI727">
        <f>'Bookings and Drivers'!BQ175</f>
        <v>0</v>
      </c>
      <c r="BJ727">
        <f>'Bookings and Drivers'!BR175</f>
        <v>0</v>
      </c>
      <c r="BK727">
        <f>'Bookings and Drivers'!BS175</f>
        <v>0</v>
      </c>
      <c r="BL727">
        <f>'Bookings and Drivers'!BT175</f>
        <v>0</v>
      </c>
      <c r="BM727">
        <f>'Bookings and Drivers'!BU175</f>
        <v>0</v>
      </c>
      <c r="BN727">
        <f>'Bookings and Drivers'!BV175</f>
        <v>0</v>
      </c>
      <c r="BO727">
        <f>'Bookings and Drivers'!BW175</f>
        <v>0</v>
      </c>
      <c r="BP727">
        <f>'Bookings and Drivers'!BX175</f>
        <v>0</v>
      </c>
      <c r="BQ727">
        <f>'Bookings and Drivers'!BY175</f>
        <v>0</v>
      </c>
      <c r="BR727">
        <f>'Bookings and Drivers'!BZ175</f>
        <v>0</v>
      </c>
      <c r="BS727">
        <f>'Bookings and Drivers'!CA175</f>
        <v>0</v>
      </c>
      <c r="BT727">
        <f>'Bookings and Drivers'!CB175</f>
        <v>0</v>
      </c>
      <c r="BU727">
        <f>'Bookings and Drivers'!CC175</f>
        <v>0</v>
      </c>
      <c r="BV727">
        <f>'Bookings and Drivers'!CD175</f>
        <v>0</v>
      </c>
      <c r="BW727">
        <f>'Bookings and Drivers'!CE175</f>
        <v>0</v>
      </c>
      <c r="BX727">
        <f>'Bookings and Drivers'!CF175</f>
        <v>0</v>
      </c>
      <c r="BY727">
        <f>'Bookings and Drivers'!CG175</f>
        <v>0</v>
      </c>
      <c r="BZ727">
        <f>'Bookings and Drivers'!CH175</f>
        <v>0</v>
      </c>
      <c r="CA727">
        <f>'Bookings and Drivers'!CI175</f>
        <v>0</v>
      </c>
      <c r="CB727">
        <f>'Bookings and Drivers'!CJ175</f>
        <v>0</v>
      </c>
      <c r="CC727">
        <f>'Bookings and Drivers'!CK175</f>
        <v>0</v>
      </c>
      <c r="CD727">
        <f>'Bookings and Drivers'!CL175</f>
        <v>0</v>
      </c>
      <c r="CE727">
        <f>'Bookings and Drivers'!CM175</f>
        <v>0</v>
      </c>
      <c r="CF727">
        <f>'Bookings and Drivers'!CN175</f>
        <v>0</v>
      </c>
      <c r="CG727">
        <f>'Bookings and Drivers'!CO175</f>
        <v>0</v>
      </c>
      <c r="CH727">
        <f>'Bookings and Drivers'!CP175</f>
        <v>0</v>
      </c>
      <c r="CI727">
        <f>'Bookings and Drivers'!CQ175</f>
        <v>0</v>
      </c>
      <c r="CJ727">
        <f>'Bookings and Drivers'!CR175</f>
        <v>0</v>
      </c>
      <c r="CK727">
        <f>'Bookings and Drivers'!CS175</f>
        <v>0</v>
      </c>
      <c r="CL727">
        <f>'Bookings and Drivers'!CT175</f>
        <v>0</v>
      </c>
      <c r="CM727">
        <f>'Bookings and Drivers'!CU175</f>
        <v>0</v>
      </c>
      <c r="CN727">
        <f>'Bookings and Drivers'!CV175</f>
        <v>0</v>
      </c>
      <c r="CO727">
        <f>'Bookings and Drivers'!CW175</f>
        <v>0</v>
      </c>
      <c r="CP727">
        <f>'Bookings and Drivers'!CX175</f>
        <v>0</v>
      </c>
      <c r="CQ727">
        <f>'Bookings and Drivers'!CY175</f>
        <v>0</v>
      </c>
      <c r="CR727">
        <f>'Bookings and Drivers'!CZ175</f>
        <v>0</v>
      </c>
      <c r="CS727">
        <f>'Bookings and Drivers'!DA175</f>
        <v>0</v>
      </c>
      <c r="CT727">
        <f>'Bookings and Drivers'!DB175</f>
        <v>0</v>
      </c>
      <c r="CU727">
        <f>'Bookings and Drivers'!DC175</f>
        <v>0</v>
      </c>
      <c r="CV727">
        <f>'Bookings and Drivers'!DD175</f>
        <v>0</v>
      </c>
      <c r="CW727">
        <f>'Bookings and Drivers'!DE175</f>
        <v>0</v>
      </c>
      <c r="CX727">
        <f>'Bookings and Drivers'!DF175</f>
        <v>0</v>
      </c>
    </row>
    <row r="728" spans="1:102">
      <c r="A728" t="str">
        <f>'Bookings and Drivers'!I176</f>
        <v>Room Nights per Hotel ("Yield")</v>
      </c>
      <c r="B728">
        <f>'Bookings and Drivers'!J176</f>
        <v>0</v>
      </c>
      <c r="C728">
        <f>'Bookings and Drivers'!K176</f>
        <v>0</v>
      </c>
      <c r="D728">
        <f>'Bookings and Drivers'!L176</f>
        <v>0</v>
      </c>
      <c r="E728">
        <f>'Bookings and Drivers'!M176</f>
        <v>0</v>
      </c>
      <c r="F728">
        <f>'Bookings and Drivers'!N176</f>
        <v>0</v>
      </c>
      <c r="G728">
        <f>'Bookings and Drivers'!O176</f>
        <v>0</v>
      </c>
      <c r="H728">
        <f>'Bookings and Drivers'!P176</f>
        <v>0</v>
      </c>
      <c r="I728">
        <f>'Bookings and Drivers'!Q176</f>
        <v>0</v>
      </c>
      <c r="J728">
        <f>'Bookings and Drivers'!R176</f>
        <v>0</v>
      </c>
      <c r="K728">
        <f>'Bookings and Drivers'!S176</f>
        <v>0</v>
      </c>
      <c r="L728">
        <f>'Bookings and Drivers'!T176</f>
        <v>0</v>
      </c>
      <c r="M728">
        <f>'Bookings and Drivers'!U176</f>
        <v>0</v>
      </c>
      <c r="N728">
        <f>'Bookings and Drivers'!V176</f>
        <v>0</v>
      </c>
      <c r="O728">
        <f>'Bookings and Drivers'!W176</f>
        <v>0</v>
      </c>
      <c r="P728">
        <f>'Bookings and Drivers'!X176</f>
        <v>0</v>
      </c>
      <c r="Q728">
        <f>'Bookings and Drivers'!Y176</f>
        <v>0</v>
      </c>
      <c r="R728">
        <f>'Bookings and Drivers'!Z176</f>
        <v>0</v>
      </c>
      <c r="S728">
        <f>'Bookings and Drivers'!AA176</f>
        <v>0</v>
      </c>
      <c r="T728">
        <f>'Bookings and Drivers'!AB176</f>
        <v>0</v>
      </c>
      <c r="U728">
        <f>'Bookings and Drivers'!AC176</f>
        <v>0</v>
      </c>
      <c r="V728">
        <f>'Bookings and Drivers'!AD176</f>
        <v>0</v>
      </c>
      <c r="W728">
        <f>'Bookings and Drivers'!AE176</f>
        <v>0</v>
      </c>
      <c r="X728">
        <f>'Bookings and Drivers'!AF176</f>
        <v>0</v>
      </c>
      <c r="Y728">
        <f>'Bookings and Drivers'!AG176</f>
        <v>107.50906494779603</v>
      </c>
      <c r="Z728">
        <f>'Bookings and Drivers'!AH176</f>
        <v>118.3959120691097</v>
      </c>
      <c r="AA728">
        <f>'Bookings and Drivers'!AI176</f>
        <v>120.36487797274442</v>
      </c>
      <c r="AB728">
        <f>'Bookings and Drivers'!AJ176</f>
        <v>90.313497564105617</v>
      </c>
      <c r="AC728">
        <f>'Bookings and Drivers'!AK176</f>
        <v>125.28165724697857</v>
      </c>
      <c r="AD728">
        <f>'Bookings and Drivers'!AL176</f>
        <v>141.75035140982777</v>
      </c>
      <c r="AE728">
        <f>'Bookings and Drivers'!AM176</f>
        <v>149.39181854490838</v>
      </c>
      <c r="AF728">
        <f>'Bookings and Drivers'!AN176</f>
        <v>112.05837630291389</v>
      </c>
      <c r="AG728">
        <f>'Bookings and Drivers'!AO176</f>
        <v>152.34249521232593</v>
      </c>
      <c r="AH728">
        <f>'Bookings and Drivers'!AP176</f>
        <v>150.07818455515519</v>
      </c>
      <c r="AI728">
        <f>'Bookings and Drivers'!AQ176</f>
        <v>147.59911672236947</v>
      </c>
      <c r="AJ728">
        <f>'Bookings and Drivers'!AR176</f>
        <v>103.54941026231263</v>
      </c>
      <c r="AK728">
        <f>'Bookings and Drivers'!AS176</f>
        <v>139.70499276857618</v>
      </c>
      <c r="AL728">
        <f>'Bookings and Drivers'!AT176</f>
        <v>155.42181343621763</v>
      </c>
      <c r="AM728">
        <f>'Bookings and Drivers'!AU176</f>
        <v>179.21161247516736</v>
      </c>
      <c r="AN728">
        <f>'Bookings and Drivers'!AV176</f>
        <v>137.80036904138527</v>
      </c>
      <c r="AO728">
        <f>'Bookings and Drivers'!AW176</f>
        <v>183.12400493972152</v>
      </c>
      <c r="AP728">
        <f>'Bookings and Drivers'!AX176</f>
        <v>185.63645913850488</v>
      </c>
      <c r="AQ728">
        <f>'Bookings and Drivers'!AY176</f>
        <v>210.59449020523985</v>
      </c>
      <c r="AR728">
        <f>'Bookings and Drivers'!AZ176</f>
        <v>147.04133549644558</v>
      </c>
      <c r="AS728">
        <f>'Bookings and Drivers'!BA176</f>
        <v>197.44774477447746</v>
      </c>
      <c r="AT728">
        <f>'Bookings and Drivers'!BB176</f>
        <v>199.95602664653956</v>
      </c>
      <c r="AU728">
        <f>'Bookings and Drivers'!BC176</f>
        <v>205.85846521349654</v>
      </c>
      <c r="AV728">
        <f>'Bookings and Drivers'!BD176</f>
        <v>157.2167489833306</v>
      </c>
      <c r="AW728">
        <f>'Bookings and Drivers'!BE176</f>
        <v>196.71428571428572</v>
      </c>
      <c r="AX728">
        <f>'Bookings and Drivers'!BF176</f>
        <v>192.25531914893617</v>
      </c>
      <c r="AY728">
        <f>'Bookings and Drivers'!BG176</f>
        <v>202.77551020408163</v>
      </c>
      <c r="AZ728">
        <f>'Bookings and Drivers'!BH176</f>
        <v>151.19999999999999</v>
      </c>
      <c r="BA728">
        <f>'Bookings and Drivers'!BI176</f>
        <v>198.52237288135592</v>
      </c>
      <c r="BB728">
        <f>'Bookings and Drivers'!BJ176</f>
        <v>194.33030303030304</v>
      </c>
      <c r="BC728">
        <f>'Bookings and Drivers'!BK176</f>
        <v>193.91098591549294</v>
      </c>
      <c r="BD728">
        <f>'Bookings and Drivers'!BL176</f>
        <v>135.10798122065728</v>
      </c>
      <c r="BE728">
        <f>'Bookings and Drivers'!BM176</f>
        <v>169.88300000000001</v>
      </c>
      <c r="BF728">
        <f>'Bookings and Drivers'!BN176</f>
        <v>160.63621414913959</v>
      </c>
      <c r="BG728">
        <f>'Bookings and Drivers'!BO176</f>
        <v>163.85315555555556</v>
      </c>
      <c r="BH728">
        <f>'Bookings and Drivers'!BP176</f>
        <v>120.23056478405316</v>
      </c>
      <c r="BI728">
        <f>'Bookings and Drivers'!BQ176</f>
        <v>156.10713233908947</v>
      </c>
      <c r="BJ728">
        <f>'Bookings and Drivers'!BR176</f>
        <v>144.51937601078168</v>
      </c>
      <c r="BK728">
        <f>'Bookings and Drivers'!BS176</f>
        <v>145.28631893333335</v>
      </c>
      <c r="BL728">
        <f>'Bookings and Drivers'!BT176</f>
        <v>109.14053990610329</v>
      </c>
      <c r="BM728">
        <f>'Bookings and Drivers'!BU176</f>
        <v>149.04179131893119</v>
      </c>
      <c r="BN728">
        <f>'Bookings and Drivers'!BV176</f>
        <v>139.41973663212434</v>
      </c>
      <c r="BO728">
        <f>'Bookings and Drivers'!BW176</f>
        <v>133.92767714553989</v>
      </c>
      <c r="BP728">
        <f>'Bookings and Drivers'!BX176</f>
        <v>110.56693004484305</v>
      </c>
      <c r="BQ728">
        <f>'Bookings and Drivers'!BY176</f>
        <v>141.23540574160367</v>
      </c>
      <c r="BR728">
        <f>'Bookings and Drivers'!BZ176</f>
        <v>122.18809562873133</v>
      </c>
      <c r="BS728">
        <f>'Bookings and Drivers'!CA176</f>
        <v>112.40349563389873</v>
      </c>
      <c r="BT728">
        <f>'Bookings and Drivers'!CB176</f>
        <v>91.274422036569987</v>
      </c>
      <c r="BU728">
        <f>'Bookings and Drivers'!CC176</f>
        <v>115.04960292161381</v>
      </c>
      <c r="BV728">
        <f>'Bookings and Drivers'!CD176</f>
        <v>103.12327577943333</v>
      </c>
      <c r="BW728">
        <f>'Bookings and Drivers'!CE176</f>
        <v>94.611980197500458</v>
      </c>
      <c r="BX728">
        <f>'Bookings and Drivers'!CF176</f>
        <v>77.980768909746658</v>
      </c>
      <c r="BY728">
        <f>'Bookings and Drivers'!CG176</f>
        <v>0</v>
      </c>
      <c r="BZ728">
        <f>'Bookings and Drivers'!CH176</f>
        <v>0</v>
      </c>
      <c r="CA728">
        <f>'Bookings and Drivers'!CI176</f>
        <v>0</v>
      </c>
      <c r="CB728">
        <f>'Bookings and Drivers'!CJ176</f>
        <v>0</v>
      </c>
      <c r="CC728">
        <f>'Bookings and Drivers'!CK176</f>
        <v>0</v>
      </c>
      <c r="CD728">
        <f>'Bookings and Drivers'!CL176</f>
        <v>0</v>
      </c>
      <c r="CE728">
        <f>'Bookings and Drivers'!CM176</f>
        <v>388.03450277130207</v>
      </c>
      <c r="CF728">
        <f>'Bookings and Drivers'!CN176</f>
        <v>465.00209765119831</v>
      </c>
      <c r="CG728">
        <f>'Bookings and Drivers'!CO176</f>
        <v>488.09320250560921</v>
      </c>
      <c r="CH728">
        <f>'Bookings and Drivers'!CP176</f>
        <v>565.2096765719582</v>
      </c>
      <c r="CI728">
        <f>'Bookings and Drivers'!CQ176</f>
        <v>611.0595519436348</v>
      </c>
      <c r="CJ728">
        <f>'Bookings and Drivers'!CR176</f>
        <v>661.03746618038156</v>
      </c>
      <c r="CK728">
        <f>'Bookings and Drivers'!CS176</f>
        <v>646.36363636363637</v>
      </c>
      <c r="CL728">
        <f>'Bookings and Drivers'!CT176</f>
        <v>584.71244131455398</v>
      </c>
      <c r="CM728">
        <f>'Bookings and Drivers'!CU176</f>
        <v>537.13985049833889</v>
      </c>
      <c r="CN728">
        <f>'Bookings and Drivers'!CV176</f>
        <v>479.60809800469485</v>
      </c>
      <c r="CO728">
        <f>'Bookings and Drivers'!CW176</f>
        <v>476.71516096412552</v>
      </c>
      <c r="CP728">
        <f>'Bookings and Drivers'!CX176</f>
        <v>407.87470031447037</v>
      </c>
      <c r="CQ728">
        <f>'Bookings and Drivers'!CY176</f>
        <v>343.91698048252033</v>
      </c>
      <c r="CR728">
        <f>'Bookings and Drivers'!CZ176</f>
        <v>297.41235116275254</v>
      </c>
      <c r="CS728">
        <f>'Bookings and Drivers'!DA176</f>
        <v>265.55520676692487</v>
      </c>
      <c r="CT728">
        <f>'Bookings and Drivers'!DB176</f>
        <v>246.16231162186352</v>
      </c>
      <c r="CU728">
        <f>'Bookings and Drivers'!DC176</f>
        <v>235.29122658543233</v>
      </c>
      <c r="CV728">
        <f>'Bookings and Drivers'!DD176</f>
        <v>230.44948943414855</v>
      </c>
      <c r="CW728">
        <f>'Bookings and Drivers'!DE176</f>
        <v>229.71068227581239</v>
      </c>
      <c r="CX728">
        <f>'Bookings and Drivers'!DF176</f>
        <v>233.58809743602308</v>
      </c>
    </row>
    <row r="729" spans="1:102">
      <c r="A729" t="str">
        <f>'Bookings and Drivers'!I177</f>
        <v xml:space="preserve"> % change Y/Y</v>
      </c>
      <c r="B729">
        <f>'Bookings and Drivers'!J177</f>
        <v>0</v>
      </c>
      <c r="C729">
        <f>'Bookings and Drivers'!K177</f>
        <v>0</v>
      </c>
      <c r="D729">
        <f>'Bookings and Drivers'!L177</f>
        <v>0</v>
      </c>
      <c r="E729">
        <f>'Bookings and Drivers'!M177</f>
        <v>0</v>
      </c>
      <c r="F729">
        <f>'Bookings and Drivers'!N177</f>
        <v>0</v>
      </c>
      <c r="G729">
        <f>'Bookings and Drivers'!O177</f>
        <v>0</v>
      </c>
      <c r="H729">
        <f>'Bookings and Drivers'!P177</f>
        <v>0</v>
      </c>
      <c r="I729">
        <f>'Bookings and Drivers'!Q177</f>
        <v>0</v>
      </c>
      <c r="J729">
        <f>'Bookings and Drivers'!R177</f>
        <v>0</v>
      </c>
      <c r="K729">
        <f>'Bookings and Drivers'!S177</f>
        <v>0</v>
      </c>
      <c r="L729">
        <f>'Bookings and Drivers'!T177</f>
        <v>0</v>
      </c>
      <c r="M729">
        <f>'Bookings and Drivers'!U177</f>
        <v>0</v>
      </c>
      <c r="N729">
        <f>'Bookings and Drivers'!V177</f>
        <v>0</v>
      </c>
      <c r="O729">
        <f>'Bookings and Drivers'!W177</f>
        <v>0</v>
      </c>
      <c r="P729">
        <f>'Bookings and Drivers'!X177</f>
        <v>0</v>
      </c>
      <c r="Q729">
        <f>'Bookings and Drivers'!Y177</f>
        <v>0</v>
      </c>
      <c r="R729">
        <f>'Bookings and Drivers'!Z177</f>
        <v>0</v>
      </c>
      <c r="S729">
        <f>'Bookings and Drivers'!AA177</f>
        <v>0</v>
      </c>
      <c r="T729">
        <f>'Bookings and Drivers'!AB177</f>
        <v>0</v>
      </c>
      <c r="U729">
        <f>'Bookings and Drivers'!AC177</f>
        <v>0</v>
      </c>
      <c r="V729">
        <f>'Bookings and Drivers'!AD177</f>
        <v>0</v>
      </c>
      <c r="W729">
        <f>'Bookings and Drivers'!AE177</f>
        <v>0</v>
      </c>
      <c r="X729">
        <f>'Bookings and Drivers'!AF177</f>
        <v>0</v>
      </c>
      <c r="Y729">
        <f>'Bookings and Drivers'!AG177</f>
        <v>0</v>
      </c>
      <c r="Z729">
        <f>'Bookings and Drivers'!AH177</f>
        <v>0</v>
      </c>
      <c r="AA729">
        <f>'Bookings and Drivers'!AI177</f>
        <v>0</v>
      </c>
      <c r="AB729">
        <f>'Bookings and Drivers'!AJ177</f>
        <v>0</v>
      </c>
      <c r="AC729">
        <f>'Bookings and Drivers'!AK177</f>
        <v>0.16531249999999997</v>
      </c>
      <c r="AD729">
        <f>'Bookings and Drivers'!AL177</f>
        <v>0.19725714285714258</v>
      </c>
      <c r="AE729">
        <f>'Bookings and Drivers'!AM177</f>
        <v>0.24115789473684224</v>
      </c>
      <c r="AF729">
        <f>'Bookings and Drivers'!AN177</f>
        <v>0.24077108433734939</v>
      </c>
      <c r="AG729">
        <f>'Bookings and Drivers'!AO177</f>
        <v>0.21599999999999997</v>
      </c>
      <c r="AH729">
        <f>'Bookings and Drivers'!AP177</f>
        <v>5.8750000000000302E-2</v>
      </c>
      <c r="AI729">
        <f>'Bookings and Drivers'!AQ177</f>
        <v>-1.2000000000000011E-2</v>
      </c>
      <c r="AJ729">
        <f>'Bookings and Drivers'!AR177</f>
        <v>-7.5933333333333297E-2</v>
      </c>
      <c r="AK729">
        <f>'Bookings and Drivers'!AS177</f>
        <v>-8.2954545454545392E-2</v>
      </c>
      <c r="AL729">
        <f>'Bookings and Drivers'!AT177</f>
        <v>3.5605633802817005E-2</v>
      </c>
      <c r="AM729">
        <f>'Bookings and Drivers'!AU177</f>
        <v>0.21417808219178069</v>
      </c>
      <c r="AN729">
        <f>'Bookings and Drivers'!AV177</f>
        <v>0.3307692307692307</v>
      </c>
      <c r="AO729">
        <f>'Bookings and Drivers'!AW177</f>
        <v>0.31079069767441814</v>
      </c>
      <c r="AP729">
        <f>'Bookings and Drivers'!AX177</f>
        <v>0.19440415109225828</v>
      </c>
      <c r="AQ729">
        <f>'Bookings and Drivers'!AY177</f>
        <v>0.17511631805902694</v>
      </c>
      <c r="AR729">
        <f>'Bookings and Drivers'!AZ177</f>
        <v>6.7060534883509604E-2</v>
      </c>
      <c r="AS729">
        <f>'Bookings and Drivers'!BA177</f>
        <v>7.8218799547721041E-2</v>
      </c>
      <c r="AT729">
        <f>'Bookings and Drivers'!BB177</f>
        <v>7.7137689301381984E-2</v>
      </c>
      <c r="AU729">
        <f>'Bookings and Drivers'!BC177</f>
        <v>-2.2488836185256766E-2</v>
      </c>
      <c r="AV729">
        <f>'Bookings and Drivers'!BD177</f>
        <v>6.9201041003405406E-2</v>
      </c>
      <c r="AW729">
        <f>'Bookings and Drivers'!BE177</f>
        <v>-3.7146996083925465E-3</v>
      </c>
      <c r="AX729">
        <f>'Bookings and Drivers'!BF177</f>
        <v>-3.851200499805818E-2</v>
      </c>
      <c r="AY729">
        <f>'Bookings and Drivers'!BG177</f>
        <v>-1.4976090520336771E-2</v>
      </c>
      <c r="AZ729">
        <f>'Bookings and Drivers'!BH177</f>
        <v>-3.827040707964624E-2</v>
      </c>
      <c r="BA729">
        <f>'Bookings and Drivers'!BI177</f>
        <v>9.1914380315840649E-3</v>
      </c>
      <c r="BB729">
        <f>'Bookings and Drivers'!BJ177</f>
        <v>1.0792855513971134E-2</v>
      </c>
      <c r="BC729">
        <f>'Bookings and Drivers'!BK177</f>
        <v>-4.37159511011318E-2</v>
      </c>
      <c r="BD729">
        <f>'Bookings and Drivers'!BL177</f>
        <v>-0.10642869563057344</v>
      </c>
      <c r="BE729">
        <f>'Bookings and Drivers'!BM177</f>
        <v>-0.14426269677157155</v>
      </c>
      <c r="BF729">
        <f>'Bookings and Drivers'!BN177</f>
        <v>-0.17338566531185484</v>
      </c>
      <c r="BG729">
        <f>'Bookings and Drivers'!BO177</f>
        <v>-0.15500839324821281</v>
      </c>
      <c r="BH729">
        <f>'Bookings and Drivers'!BP177</f>
        <v>-0.11011500802684959</v>
      </c>
      <c r="BI729">
        <f>'Bookings and Drivers'!BQ177</f>
        <v>-8.1090324876006092E-2</v>
      </c>
      <c r="BJ729">
        <f>'Bookings and Drivers'!BR177</f>
        <v>-0.10033128721145368</v>
      </c>
      <c r="BK729">
        <f>'Bookings and Drivers'!BS177</f>
        <v>-0.11331387887691302</v>
      </c>
      <c r="BL729">
        <f>'Bookings and Drivers'!BT177</f>
        <v>-9.2239647196773356E-2</v>
      </c>
      <c r="BM729">
        <f>'Bookings and Drivers'!BU177</f>
        <v>-4.5259565750085273E-2</v>
      </c>
      <c r="BN729">
        <f>'Bookings and Drivers'!BV177</f>
        <v>-3.52868903770861E-2</v>
      </c>
      <c r="BO729">
        <f>'Bookings and Drivers'!BW177</f>
        <v>-7.8181083196178558E-2</v>
      </c>
      <c r="BP729">
        <f>'Bookings and Drivers'!BX177</f>
        <v>1.3069297072993535E-2</v>
      </c>
      <c r="BQ729">
        <f>'Bookings and Drivers'!BY177</f>
        <v>-5.23771588374351E-2</v>
      </c>
      <c r="BR729">
        <f>'Bookings and Drivers'!BZ177</f>
        <v>-0.12359542070331664</v>
      </c>
      <c r="BS729">
        <f>'Bookings and Drivers'!CA177</f>
        <v>-0.16071496176440603</v>
      </c>
      <c r="BT729">
        <f>'Bookings and Drivers'!CB177</f>
        <v>-0.17448714548236555</v>
      </c>
      <c r="BU729">
        <f>'Bookings and Drivers'!CC177</f>
        <v>-0.1854053711425443</v>
      </c>
      <c r="BV729">
        <f>'Bookings and Drivers'!CD177</f>
        <v>-0.1560284555643332</v>
      </c>
      <c r="BW729">
        <f>'Bookings and Drivers'!CE177</f>
        <v>-0.15828258130286021</v>
      </c>
      <c r="BX729">
        <f>'Bookings and Drivers'!CF177</f>
        <v>-0.14564488966577183</v>
      </c>
      <c r="BY729">
        <f>'Bookings and Drivers'!CG177</f>
        <v>0</v>
      </c>
      <c r="BZ729">
        <f>'Bookings and Drivers'!CH177</f>
        <v>0</v>
      </c>
      <c r="CA729">
        <f>'Bookings and Drivers'!CI177</f>
        <v>0</v>
      </c>
      <c r="CB729">
        <f>'Bookings and Drivers'!CJ177</f>
        <v>0</v>
      </c>
      <c r="CC729">
        <f>'Bookings and Drivers'!CK177</f>
        <v>0</v>
      </c>
      <c r="CD729">
        <f>'Bookings and Drivers'!CL177</f>
        <v>0</v>
      </c>
      <c r="CE729">
        <f>'Bookings and Drivers'!CM177</f>
        <v>0</v>
      </c>
      <c r="CF729">
        <f>'Bookings and Drivers'!CN177</f>
        <v>0.19835245147068536</v>
      </c>
      <c r="CG729">
        <f>'Bookings and Drivers'!CO177</f>
        <v>4.9658065998084311E-2</v>
      </c>
      <c r="CH729">
        <f>'Bookings and Drivers'!CP177</f>
        <v>0.1579953862714627</v>
      </c>
      <c r="CI729">
        <f>'Bookings and Drivers'!CQ177</f>
        <v>8.1120117492962551E-2</v>
      </c>
      <c r="CJ729">
        <f>'Bookings and Drivers'!CR177</f>
        <v>8.1788941974278773E-2</v>
      </c>
      <c r="CK729">
        <f>'Bookings and Drivers'!CS177</f>
        <v>-2.2198181748356527E-2</v>
      </c>
      <c r="CL729">
        <f>'Bookings and Drivers'!CT177</f>
        <v>-9.5381595715879897E-2</v>
      </c>
      <c r="CM729">
        <f>'Bookings and Drivers'!CU177</f>
        <v>-8.1360661164079362E-2</v>
      </c>
      <c r="CN729">
        <f>'Bookings and Drivers'!CV177</f>
        <v>-0.10710758555759392</v>
      </c>
      <c r="CO729">
        <f>'Bookings and Drivers'!CW177</f>
        <v>-6.0318769691437568E-3</v>
      </c>
      <c r="CP729">
        <f>'Bookings and Drivers'!CX177</f>
        <v>-0.14440585550169993</v>
      </c>
      <c r="CQ729">
        <f>'Bookings and Drivers'!CY177</f>
        <v>-0.15680727385797355</v>
      </c>
      <c r="CR729">
        <f>'Bookings and Drivers'!CZ177</f>
        <v>-0.13522050948028541</v>
      </c>
      <c r="CS729">
        <f>'Bookings and Drivers'!DA177</f>
        <v>-0.10711439612806983</v>
      </c>
      <c r="CT729">
        <f>'Bookings and Drivers'!DB177</f>
        <v>-7.3027734538386513E-2</v>
      </c>
      <c r="CU729">
        <f>'Bookings and Drivers'!DC177</f>
        <v>-4.4162264177672217E-2</v>
      </c>
      <c r="CV729">
        <f>'Bookings and Drivers'!DD177</f>
        <v>-2.0577635730611443E-2</v>
      </c>
      <c r="CW729">
        <f>'Bookings and Drivers'!DE177</f>
        <v>-3.2059396623105307E-3</v>
      </c>
      <c r="CX729">
        <f>'Bookings and Drivers'!DF177</f>
        <v>1.6879559634736863E-2</v>
      </c>
    </row>
    <row r="730" spans="1:102">
      <c r="A730" t="str">
        <f>'Bookings and Drivers'!I178</f>
        <v>Two Year</v>
      </c>
      <c r="B730">
        <f>'Bookings and Drivers'!J178</f>
        <v>0</v>
      </c>
      <c r="C730">
        <f>'Bookings and Drivers'!K178</f>
        <v>0</v>
      </c>
      <c r="D730">
        <f>'Bookings and Drivers'!L178</f>
        <v>0</v>
      </c>
      <c r="E730">
        <f>'Bookings and Drivers'!M178</f>
        <v>0</v>
      </c>
      <c r="F730">
        <f>'Bookings and Drivers'!N178</f>
        <v>0</v>
      </c>
      <c r="G730">
        <f>'Bookings and Drivers'!O178</f>
        <v>0</v>
      </c>
      <c r="H730">
        <f>'Bookings and Drivers'!P178</f>
        <v>0</v>
      </c>
      <c r="I730">
        <f>'Bookings and Drivers'!Q178</f>
        <v>0</v>
      </c>
      <c r="J730">
        <f>'Bookings and Drivers'!R178</f>
        <v>0</v>
      </c>
      <c r="K730">
        <f>'Bookings and Drivers'!S178</f>
        <v>0</v>
      </c>
      <c r="L730">
        <f>'Bookings and Drivers'!T178</f>
        <v>0</v>
      </c>
      <c r="M730">
        <f>'Bookings and Drivers'!U178</f>
        <v>0</v>
      </c>
      <c r="N730">
        <f>'Bookings and Drivers'!V178</f>
        <v>0</v>
      </c>
      <c r="O730">
        <f>'Bookings and Drivers'!W178</f>
        <v>0</v>
      </c>
      <c r="P730">
        <f>'Bookings and Drivers'!X178</f>
        <v>0</v>
      </c>
      <c r="Q730">
        <f>'Bookings and Drivers'!Y178</f>
        <v>0</v>
      </c>
      <c r="R730">
        <f>'Bookings and Drivers'!Z178</f>
        <v>0</v>
      </c>
      <c r="S730">
        <f>'Bookings and Drivers'!AA178</f>
        <v>0</v>
      </c>
      <c r="T730">
        <f>'Bookings and Drivers'!AB178</f>
        <v>0</v>
      </c>
      <c r="U730">
        <f>'Bookings and Drivers'!AC178</f>
        <v>0</v>
      </c>
      <c r="V730">
        <f>'Bookings and Drivers'!AD178</f>
        <v>0</v>
      </c>
      <c r="W730">
        <f>'Bookings and Drivers'!AE178</f>
        <v>0</v>
      </c>
      <c r="X730">
        <f>'Bookings and Drivers'!AF178</f>
        <v>0</v>
      </c>
      <c r="Y730">
        <f>'Bookings and Drivers'!AG178</f>
        <v>0</v>
      </c>
      <c r="Z730">
        <f>'Bookings and Drivers'!AH178</f>
        <v>0</v>
      </c>
      <c r="AA730">
        <f>'Bookings and Drivers'!AI178</f>
        <v>0</v>
      </c>
      <c r="AB730">
        <f>'Bookings and Drivers'!AJ178</f>
        <v>0</v>
      </c>
      <c r="AC730">
        <f>'Bookings and Drivers'!AK178</f>
        <v>0.16531249999999997</v>
      </c>
      <c r="AD730">
        <f>'Bookings and Drivers'!AL178</f>
        <v>0.19725714285714258</v>
      </c>
      <c r="AE730">
        <f>'Bookings and Drivers'!AM178</f>
        <v>0.24115789473684224</v>
      </c>
      <c r="AF730">
        <f>'Bookings and Drivers'!AN178</f>
        <v>0.24077108433734939</v>
      </c>
      <c r="AG730">
        <f>'Bookings and Drivers'!AO178</f>
        <v>0.38131249999999994</v>
      </c>
      <c r="AH730">
        <f>'Bookings and Drivers'!AP178</f>
        <v>0.25600714285714288</v>
      </c>
      <c r="AI730">
        <f>'Bookings and Drivers'!AQ178</f>
        <v>0.22915789473684223</v>
      </c>
      <c r="AJ730">
        <f>'Bookings and Drivers'!AR178</f>
        <v>0.1648377510040161</v>
      </c>
      <c r="AK730">
        <f>'Bookings and Drivers'!AS178</f>
        <v>0.13304545454545458</v>
      </c>
      <c r="AL730">
        <f>'Bookings and Drivers'!AT178</f>
        <v>9.4355633802817307E-2</v>
      </c>
      <c r="AM730">
        <f>'Bookings and Drivers'!AU178</f>
        <v>0.20217808219178068</v>
      </c>
      <c r="AN730">
        <f>'Bookings and Drivers'!AV178</f>
        <v>0.25483589743589741</v>
      </c>
      <c r="AO730">
        <f>'Bookings and Drivers'!AW178</f>
        <v>0.22783615221987275</v>
      </c>
      <c r="AP730">
        <f>'Bookings and Drivers'!AX178</f>
        <v>0.23000978489507529</v>
      </c>
      <c r="AQ730">
        <f>'Bookings and Drivers'!AY178</f>
        <v>0.38929440025080764</v>
      </c>
      <c r="AR730">
        <f>'Bookings and Drivers'!AZ178</f>
        <v>0.39782976565274031</v>
      </c>
      <c r="AS730">
        <f>'Bookings and Drivers'!BA178</f>
        <v>0.38900949722213918</v>
      </c>
      <c r="AT730">
        <f>'Bookings and Drivers'!BB178</f>
        <v>0.27154184039364027</v>
      </c>
      <c r="AU730">
        <f>'Bookings and Drivers'!BC178</f>
        <v>0.15262748187377018</v>
      </c>
      <c r="AV730">
        <f>'Bookings and Drivers'!BD178</f>
        <v>0.13626157588691501</v>
      </c>
      <c r="AW730">
        <f>'Bookings and Drivers'!BE178</f>
        <v>7.4504099939328494E-2</v>
      </c>
      <c r="AX730">
        <f>'Bookings and Drivers'!BF178</f>
        <v>3.8625684303323804E-2</v>
      </c>
      <c r="AY730">
        <f>'Bookings and Drivers'!BG178</f>
        <v>-3.7464926705593538E-2</v>
      </c>
      <c r="AZ730">
        <f>'Bookings and Drivers'!BH178</f>
        <v>3.0930633923759165E-2</v>
      </c>
      <c r="BA730">
        <f>'Bookings and Drivers'!BI178</f>
        <v>5.4767384231915184E-3</v>
      </c>
      <c r="BB730">
        <f>'Bookings and Drivers'!BJ178</f>
        <v>-2.7719149484087047E-2</v>
      </c>
      <c r="BC730">
        <f>'Bookings and Drivers'!BK178</f>
        <v>-5.8692041621468571E-2</v>
      </c>
      <c r="BD730">
        <f>'Bookings and Drivers'!BL178</f>
        <v>-0.14469910271021968</v>
      </c>
      <c r="BE730">
        <f>'Bookings and Drivers'!BM178</f>
        <v>-0.13507125873998749</v>
      </c>
      <c r="BF730">
        <f>'Bookings and Drivers'!BN178</f>
        <v>-0.16259280979788371</v>
      </c>
      <c r="BG730">
        <f>'Bookings and Drivers'!BO178</f>
        <v>-0.19872434434934461</v>
      </c>
      <c r="BH730">
        <f>'Bookings and Drivers'!BP178</f>
        <v>-0.21654370365742304</v>
      </c>
      <c r="BI730">
        <f>'Bookings and Drivers'!BQ178</f>
        <v>-0.22535302164757764</v>
      </c>
      <c r="BJ730">
        <f>'Bookings and Drivers'!BR178</f>
        <v>-0.27371695252330852</v>
      </c>
      <c r="BK730">
        <f>'Bookings and Drivers'!BS178</f>
        <v>-0.26832227212512583</v>
      </c>
      <c r="BL730">
        <f>'Bookings and Drivers'!BT178</f>
        <v>-0.20235465522362295</v>
      </c>
      <c r="BM730">
        <f>'Bookings and Drivers'!BU178</f>
        <v>-0.12634989062609137</v>
      </c>
      <c r="BN730">
        <f>'Bookings and Drivers'!BV178</f>
        <v>-0.13561817758853978</v>
      </c>
      <c r="BO730">
        <f>'Bookings and Drivers'!BW178</f>
        <v>-0.19149496207309158</v>
      </c>
      <c r="BP730">
        <f>'Bookings and Drivers'!BX178</f>
        <v>-7.917035012377982E-2</v>
      </c>
      <c r="BQ730">
        <f>'Bookings and Drivers'!BY178</f>
        <v>-9.7636724587520374E-2</v>
      </c>
      <c r="BR730">
        <f>'Bookings and Drivers'!BZ178</f>
        <v>-0.15888231108040274</v>
      </c>
      <c r="BS730">
        <f>'Bookings and Drivers'!CA178</f>
        <v>-0.23889604496058459</v>
      </c>
      <c r="BT730">
        <f>'Bookings and Drivers'!CB178</f>
        <v>-0.16141784840937201</v>
      </c>
      <c r="BU730">
        <f>'Bookings and Drivers'!CC178</f>
        <v>-0.2377825299799794</v>
      </c>
      <c r="BV730">
        <f>'Bookings and Drivers'!CD178</f>
        <v>-0.27962387626764984</v>
      </c>
      <c r="BW730">
        <f>'Bookings and Drivers'!CE178</f>
        <v>-0.31899754306726624</v>
      </c>
      <c r="BX730">
        <f>'Bookings and Drivers'!CF178</f>
        <v>-0.32013203514813737</v>
      </c>
      <c r="BY730">
        <f>'Bookings and Drivers'!CG178</f>
        <v>0</v>
      </c>
      <c r="BZ730">
        <f>'Bookings and Drivers'!CH178</f>
        <v>0</v>
      </c>
      <c r="CA730">
        <f>'Bookings and Drivers'!CI178</f>
        <v>0</v>
      </c>
      <c r="CB730">
        <f>'Bookings and Drivers'!CJ178</f>
        <v>0</v>
      </c>
      <c r="CC730">
        <f>'Bookings and Drivers'!CK178</f>
        <v>0</v>
      </c>
      <c r="CD730">
        <f>'Bookings and Drivers'!CL178</f>
        <v>0</v>
      </c>
      <c r="CE730">
        <f>'Bookings and Drivers'!CM178</f>
        <v>0</v>
      </c>
      <c r="CF730">
        <f>'Bookings and Drivers'!CN178</f>
        <v>0</v>
      </c>
      <c r="CG730">
        <f>'Bookings and Drivers'!CO178</f>
        <v>0.24801051746876968</v>
      </c>
      <c r="CH730">
        <f>'Bookings and Drivers'!CP178</f>
        <v>0.20765345226954701</v>
      </c>
      <c r="CI730">
        <f>'Bookings and Drivers'!CQ178</f>
        <v>0.23911550376442525</v>
      </c>
      <c r="CJ730">
        <f>'Bookings and Drivers'!CR178</f>
        <v>0.16290905946724132</v>
      </c>
      <c r="CK730">
        <f>'Bookings and Drivers'!CS178</f>
        <v>5.9590760225922246E-2</v>
      </c>
      <c r="CL730">
        <f>'Bookings and Drivers'!CT178</f>
        <v>0.11757977746423642</v>
      </c>
      <c r="CM730">
        <f>'Bookings and Drivers'!CU178</f>
        <v>0.17674225687995926</v>
      </c>
      <c r="CN730">
        <f>'Bookings and Drivers'!CV178</f>
        <v>0.18846824672167328</v>
      </c>
      <c r="CO730">
        <f>'Bookings and Drivers'!CW178</f>
        <v>0.11313946252673768</v>
      </c>
      <c r="CP730">
        <f>'Bookings and Drivers'!CX178</f>
        <v>0.15043773247084369</v>
      </c>
      <c r="CQ730">
        <f>'Bookings and Drivers'!CY178</f>
        <v>0.30121312935967348</v>
      </c>
      <c r="CR730">
        <f>'Bookings and Drivers'!CZ178</f>
        <v>0.29202778333825896</v>
      </c>
      <c r="CS730">
        <f>'Bookings and Drivers'!DA178</f>
        <v>0.24233490560835524</v>
      </c>
      <c r="CT730">
        <f>'Bookings and Drivers'!DB178</f>
        <v>0.18014213066645635</v>
      </c>
      <c r="CU730">
        <f>'Bookings and Drivers'!DC178</f>
        <v>0.11718999871605873</v>
      </c>
      <c r="CV730">
        <f>'Bookings and Drivers'!DD178</f>
        <v>6.473989990828366E-2</v>
      </c>
      <c r="CW730">
        <f>'Bookings and Drivers'!DE178</f>
        <v>2.3783575392921974E-2</v>
      </c>
      <c r="CX730">
        <f>'Bookings and Drivers'!DF178</f>
        <v>-1.3673619972426332E-2</v>
      </c>
    </row>
    <row r="731" spans="1:102">
      <c r="A731">
        <f>'Bookings and Drivers'!I180</f>
        <v>0</v>
      </c>
      <c r="B731">
        <f>'Bookings and Drivers'!J180</f>
        <v>0</v>
      </c>
      <c r="C731">
        <f>'Bookings and Drivers'!K180</f>
        <v>0</v>
      </c>
      <c r="D731">
        <f>'Bookings and Drivers'!L180</f>
        <v>0</v>
      </c>
      <c r="E731">
        <f>'Bookings and Drivers'!M180</f>
        <v>0</v>
      </c>
      <c r="F731">
        <f>'Bookings and Drivers'!N180</f>
        <v>0</v>
      </c>
      <c r="G731">
        <f>'Bookings and Drivers'!O180</f>
        <v>0</v>
      </c>
      <c r="H731">
        <f>'Bookings and Drivers'!P180</f>
        <v>0</v>
      </c>
      <c r="I731">
        <f>'Bookings and Drivers'!Q180</f>
        <v>0</v>
      </c>
      <c r="J731">
        <f>'Bookings and Drivers'!R180</f>
        <v>0</v>
      </c>
      <c r="K731">
        <f>'Bookings and Drivers'!S180</f>
        <v>0</v>
      </c>
      <c r="L731">
        <f>'Bookings and Drivers'!T180</f>
        <v>0</v>
      </c>
      <c r="M731">
        <f>'Bookings and Drivers'!U180</f>
        <v>0</v>
      </c>
      <c r="N731">
        <f>'Bookings and Drivers'!V180</f>
        <v>0</v>
      </c>
      <c r="O731">
        <f>'Bookings and Drivers'!W180</f>
        <v>0</v>
      </c>
      <c r="P731">
        <f>'Bookings and Drivers'!X180</f>
        <v>0</v>
      </c>
      <c r="Q731">
        <f>'Bookings and Drivers'!Y180</f>
        <v>0</v>
      </c>
      <c r="R731">
        <f>'Bookings and Drivers'!Z180</f>
        <v>0</v>
      </c>
      <c r="S731">
        <f>'Bookings and Drivers'!AA180</f>
        <v>0</v>
      </c>
      <c r="T731">
        <f>'Bookings and Drivers'!AB180</f>
        <v>0</v>
      </c>
      <c r="U731">
        <f>'Bookings and Drivers'!AC180</f>
        <v>0</v>
      </c>
      <c r="V731">
        <f>'Bookings and Drivers'!AD180</f>
        <v>0</v>
      </c>
      <c r="W731">
        <f>'Bookings and Drivers'!AE180</f>
        <v>0</v>
      </c>
      <c r="X731">
        <f>'Bookings and Drivers'!AF180</f>
        <v>0</v>
      </c>
      <c r="Y731">
        <f>'Bookings and Drivers'!AG180</f>
        <v>0</v>
      </c>
      <c r="Z731">
        <f>'Bookings and Drivers'!AH180</f>
        <v>0</v>
      </c>
      <c r="AA731">
        <f>'Bookings and Drivers'!AI180</f>
        <v>0</v>
      </c>
      <c r="AB731">
        <f>'Bookings and Drivers'!AJ180</f>
        <v>0</v>
      </c>
      <c r="AC731">
        <f>'Bookings and Drivers'!AK180</f>
        <v>0</v>
      </c>
      <c r="AD731">
        <f>'Bookings and Drivers'!AL180</f>
        <v>0</v>
      </c>
      <c r="AE731">
        <f>'Bookings and Drivers'!AM180</f>
        <v>0</v>
      </c>
      <c r="AF731">
        <f>'Bookings and Drivers'!AN180</f>
        <v>0</v>
      </c>
      <c r="AG731">
        <f>'Bookings and Drivers'!AO180</f>
        <v>0</v>
      </c>
      <c r="AH731">
        <f>'Bookings and Drivers'!AP180</f>
        <v>0</v>
      </c>
      <c r="AI731">
        <f>'Bookings and Drivers'!AQ180</f>
        <v>0</v>
      </c>
      <c r="AJ731">
        <f>'Bookings and Drivers'!AR180</f>
        <v>0</v>
      </c>
      <c r="AK731">
        <f>'Bookings and Drivers'!AS180</f>
        <v>0</v>
      </c>
      <c r="AL731">
        <f>'Bookings and Drivers'!AT180</f>
        <v>0</v>
      </c>
      <c r="AM731">
        <f>'Bookings and Drivers'!AU180</f>
        <v>0</v>
      </c>
      <c r="AN731">
        <f>'Bookings and Drivers'!AV180</f>
        <v>0</v>
      </c>
      <c r="AO731">
        <f>'Bookings and Drivers'!AW180</f>
        <v>0</v>
      </c>
      <c r="AP731">
        <f>'Bookings and Drivers'!AX180</f>
        <v>0</v>
      </c>
      <c r="AQ731">
        <f>'Bookings and Drivers'!AY180</f>
        <v>0</v>
      </c>
      <c r="AR731">
        <f>'Bookings and Drivers'!AZ180</f>
        <v>0</v>
      </c>
      <c r="AS731">
        <f>'Bookings and Drivers'!BA180</f>
        <v>0</v>
      </c>
      <c r="AT731">
        <f>'Bookings and Drivers'!BB180</f>
        <v>0</v>
      </c>
      <c r="AU731">
        <f>'Bookings and Drivers'!BC180</f>
        <v>0</v>
      </c>
      <c r="AV731">
        <f>'Bookings and Drivers'!BD180</f>
        <v>0</v>
      </c>
      <c r="AW731">
        <f>'Bookings and Drivers'!BE180</f>
        <v>0</v>
      </c>
      <c r="AX731">
        <f>'Bookings and Drivers'!BF180</f>
        <v>0</v>
      </c>
      <c r="AY731">
        <f>'Bookings and Drivers'!BG180</f>
        <v>0</v>
      </c>
      <c r="AZ731">
        <f>'Bookings and Drivers'!BH180</f>
        <v>0</v>
      </c>
      <c r="BA731">
        <f>'Bookings and Drivers'!BI180</f>
        <v>0</v>
      </c>
      <c r="BB731">
        <f>'Bookings and Drivers'!BJ180</f>
        <v>0</v>
      </c>
      <c r="BC731">
        <f>'Bookings and Drivers'!BK180</f>
        <v>0</v>
      </c>
      <c r="BD731">
        <f>'Bookings and Drivers'!BL180</f>
        <v>0</v>
      </c>
      <c r="BE731">
        <f>'Bookings and Drivers'!BM180</f>
        <v>0</v>
      </c>
      <c r="BF731">
        <f>'Bookings and Drivers'!BN180</f>
        <v>0</v>
      </c>
      <c r="BG731">
        <f>'Bookings and Drivers'!BO180</f>
        <v>0</v>
      </c>
      <c r="BH731">
        <f>'Bookings and Drivers'!BP180</f>
        <v>0</v>
      </c>
      <c r="BI731">
        <f>'Bookings and Drivers'!BQ180</f>
        <v>0</v>
      </c>
      <c r="BJ731">
        <f>'Bookings and Drivers'!BR180</f>
        <v>0</v>
      </c>
      <c r="BK731">
        <f>'Bookings and Drivers'!BS180</f>
        <v>0</v>
      </c>
      <c r="BL731">
        <f>'Bookings and Drivers'!BT180</f>
        <v>0</v>
      </c>
      <c r="BM731">
        <f>'Bookings and Drivers'!BU180</f>
        <v>0</v>
      </c>
      <c r="BN731">
        <f>'Bookings and Drivers'!BV180</f>
        <v>0</v>
      </c>
      <c r="BO731">
        <f>'Bookings and Drivers'!BW180</f>
        <v>0</v>
      </c>
      <c r="BP731">
        <f>'Bookings and Drivers'!BX180</f>
        <v>0</v>
      </c>
      <c r="BQ731">
        <f>'Bookings and Drivers'!BY180</f>
        <v>0</v>
      </c>
      <c r="BR731">
        <f>'Bookings and Drivers'!BZ180</f>
        <v>0</v>
      </c>
      <c r="BS731">
        <f>'Bookings and Drivers'!CA180</f>
        <v>0</v>
      </c>
      <c r="BT731">
        <f>'Bookings and Drivers'!CB180</f>
        <v>0</v>
      </c>
      <c r="BU731">
        <f>'Bookings and Drivers'!CC180</f>
        <v>0</v>
      </c>
      <c r="BV731">
        <f>'Bookings and Drivers'!CD180</f>
        <v>0</v>
      </c>
      <c r="BW731">
        <f>'Bookings and Drivers'!CE180</f>
        <v>0</v>
      </c>
      <c r="BX731">
        <f>'Bookings and Drivers'!CF180</f>
        <v>0</v>
      </c>
      <c r="BY731">
        <f>'Bookings and Drivers'!CG180</f>
        <v>0</v>
      </c>
      <c r="BZ731">
        <f>'Bookings and Drivers'!CH180</f>
        <v>0</v>
      </c>
      <c r="CA731">
        <f>'Bookings and Drivers'!CI180</f>
        <v>0</v>
      </c>
      <c r="CB731">
        <f>'Bookings and Drivers'!CJ180</f>
        <v>0</v>
      </c>
      <c r="CC731">
        <f>'Bookings and Drivers'!CK180</f>
        <v>0</v>
      </c>
      <c r="CD731">
        <f>'Bookings and Drivers'!CL180</f>
        <v>0</v>
      </c>
      <c r="CE731">
        <f>'Bookings and Drivers'!CM180</f>
        <v>0</v>
      </c>
      <c r="CF731">
        <f>'Bookings and Drivers'!CN180</f>
        <v>0</v>
      </c>
      <c r="CG731">
        <f>'Bookings and Drivers'!CO180</f>
        <v>0</v>
      </c>
      <c r="CH731">
        <f>'Bookings and Drivers'!CP180</f>
        <v>0</v>
      </c>
      <c r="CI731">
        <f>'Bookings and Drivers'!CQ180</f>
        <v>0</v>
      </c>
      <c r="CJ731">
        <f>'Bookings and Drivers'!CR180</f>
        <v>0</v>
      </c>
      <c r="CK731">
        <f>'Bookings and Drivers'!CS180</f>
        <v>0</v>
      </c>
      <c r="CL731">
        <f>'Bookings and Drivers'!CT180</f>
        <v>0</v>
      </c>
      <c r="CM731">
        <f>'Bookings and Drivers'!CU180</f>
        <v>0</v>
      </c>
      <c r="CN731">
        <f>'Bookings and Drivers'!CV180</f>
        <v>0</v>
      </c>
      <c r="CO731">
        <f>'Bookings and Drivers'!CW180</f>
        <v>0</v>
      </c>
      <c r="CP731">
        <f>'Bookings and Drivers'!CX180</f>
        <v>0</v>
      </c>
      <c r="CQ731">
        <f>'Bookings and Drivers'!CY180</f>
        <v>0</v>
      </c>
      <c r="CR731">
        <f>'Bookings and Drivers'!CZ180</f>
        <v>0</v>
      </c>
      <c r="CS731">
        <f>'Bookings and Drivers'!DA180</f>
        <v>0</v>
      </c>
      <c r="CT731">
        <f>'Bookings and Drivers'!DB180</f>
        <v>0</v>
      </c>
      <c r="CU731">
        <f>'Bookings and Drivers'!DC180</f>
        <v>0</v>
      </c>
      <c r="CV731">
        <f>'Bookings and Drivers'!DD180</f>
        <v>0</v>
      </c>
      <c r="CW731">
        <f>'Bookings and Drivers'!DE180</f>
        <v>0</v>
      </c>
      <c r="CX731">
        <f>'Bookings and Drivers'!DF180</f>
        <v>0</v>
      </c>
    </row>
    <row r="732" spans="1:102">
      <c r="A732" t="str">
        <f>'Bookings and Drivers'!I185</f>
        <v>Vacation Rental Property Count</v>
      </c>
      <c r="B732">
        <f>'Bookings and Drivers'!J185</f>
        <v>0</v>
      </c>
      <c r="C732">
        <f>'Bookings and Drivers'!K185</f>
        <v>0</v>
      </c>
      <c r="D732">
        <f>'Bookings and Drivers'!L185</f>
        <v>0</v>
      </c>
      <c r="E732">
        <f>'Bookings and Drivers'!M185</f>
        <v>0</v>
      </c>
      <c r="F732">
        <f>'Bookings and Drivers'!N185</f>
        <v>0</v>
      </c>
      <c r="G732">
        <f>'Bookings and Drivers'!O185</f>
        <v>0</v>
      </c>
      <c r="H732">
        <f>'Bookings and Drivers'!P185</f>
        <v>0</v>
      </c>
      <c r="I732">
        <f>'Bookings and Drivers'!Q185</f>
        <v>0</v>
      </c>
      <c r="J732">
        <f>'Bookings and Drivers'!R185</f>
        <v>0</v>
      </c>
      <c r="K732">
        <f>'Bookings and Drivers'!S185</f>
        <v>0</v>
      </c>
      <c r="L732">
        <f>'Bookings and Drivers'!T185</f>
        <v>0</v>
      </c>
      <c r="M732">
        <f>'Bookings and Drivers'!U185</f>
        <v>0</v>
      </c>
      <c r="N732">
        <f>'Bookings and Drivers'!V185</f>
        <v>0</v>
      </c>
      <c r="O732">
        <f>'Bookings and Drivers'!W185</f>
        <v>0</v>
      </c>
      <c r="P732">
        <f>'Bookings and Drivers'!X185</f>
        <v>0</v>
      </c>
      <c r="Q732">
        <f>'Bookings and Drivers'!Y185</f>
        <v>0</v>
      </c>
      <c r="R732">
        <f>'Bookings and Drivers'!Z185</f>
        <v>0</v>
      </c>
      <c r="S732">
        <f>'Bookings and Drivers'!AA185</f>
        <v>0</v>
      </c>
      <c r="T732">
        <f>'Bookings and Drivers'!AB185</f>
        <v>0</v>
      </c>
      <c r="U732">
        <f>'Bookings and Drivers'!AC185</f>
        <v>0</v>
      </c>
      <c r="V732">
        <f>'Bookings and Drivers'!AD185</f>
        <v>0</v>
      </c>
      <c r="W732">
        <f>'Bookings and Drivers'!AE185</f>
        <v>0</v>
      </c>
      <c r="X732">
        <f>'Bookings and Drivers'!AF185</f>
        <v>0</v>
      </c>
      <c r="Y732">
        <f>'Bookings and Drivers'!AG185</f>
        <v>0</v>
      </c>
      <c r="Z732">
        <f>'Bookings and Drivers'!AH185</f>
        <v>0</v>
      </c>
      <c r="AA732">
        <f>'Bookings and Drivers'!AI185</f>
        <v>0</v>
      </c>
      <c r="AB732">
        <f>'Bookings and Drivers'!AJ185</f>
        <v>0</v>
      </c>
      <c r="AC732">
        <f>'Bookings and Drivers'!AK185</f>
        <v>0</v>
      </c>
      <c r="AD732">
        <f>'Bookings and Drivers'!AL185</f>
        <v>0</v>
      </c>
      <c r="AE732">
        <f>'Bookings and Drivers'!AM185</f>
        <v>0</v>
      </c>
      <c r="AF732">
        <f>'Bookings and Drivers'!AN185</f>
        <v>0</v>
      </c>
      <c r="AG732">
        <f>'Bookings and Drivers'!AO185</f>
        <v>0</v>
      </c>
      <c r="AH732">
        <f>'Bookings and Drivers'!AP185</f>
        <v>0</v>
      </c>
      <c r="AI732">
        <f>'Bookings and Drivers'!AQ185</f>
        <v>0</v>
      </c>
      <c r="AJ732">
        <f>'Bookings and Drivers'!AR185</f>
        <v>0</v>
      </c>
      <c r="AK732">
        <f>'Bookings and Drivers'!AS185</f>
        <v>0</v>
      </c>
      <c r="AL732">
        <f>'Bookings and Drivers'!AT185</f>
        <v>0</v>
      </c>
      <c r="AM732">
        <f>'Bookings and Drivers'!AU185</f>
        <v>0</v>
      </c>
      <c r="AN732">
        <f>'Bookings and Drivers'!AV185</f>
        <v>0</v>
      </c>
      <c r="AO732">
        <f>'Bookings and Drivers'!AW185</f>
        <v>0</v>
      </c>
      <c r="AP732">
        <f>'Bookings and Drivers'!AX185</f>
        <v>0</v>
      </c>
      <c r="AQ732">
        <f>'Bookings and Drivers'!AY185</f>
        <v>0</v>
      </c>
      <c r="AR732">
        <f>'Bookings and Drivers'!AZ185</f>
        <v>0</v>
      </c>
      <c r="AS732">
        <f>'Bookings and Drivers'!BA185</f>
        <v>0</v>
      </c>
      <c r="AT732">
        <f>'Bookings and Drivers'!BB185</f>
        <v>0</v>
      </c>
      <c r="AU732">
        <f>'Bookings and Drivers'!BC185</f>
        <v>0</v>
      </c>
      <c r="AV732">
        <f>'Bookings and Drivers'!BD185</f>
        <v>0</v>
      </c>
      <c r="AW732">
        <f>'Bookings and Drivers'!BE185</f>
        <v>0</v>
      </c>
      <c r="AX732">
        <f>'Bookings and Drivers'!BF185</f>
        <v>0</v>
      </c>
      <c r="AY732">
        <f>'Bookings and Drivers'!BG185</f>
        <v>0</v>
      </c>
      <c r="AZ732">
        <f>'Bookings and Drivers'!BH185</f>
        <v>0</v>
      </c>
      <c r="BA732">
        <f>'Bookings and Drivers'!BI185</f>
        <v>0</v>
      </c>
      <c r="BB732">
        <f>'Bookings and Drivers'!BJ185</f>
        <v>0</v>
      </c>
      <c r="BC732">
        <f>'Bookings and Drivers'!BK185</f>
        <v>0</v>
      </c>
      <c r="BD732">
        <f>'Bookings and Drivers'!BL185</f>
        <v>110000</v>
      </c>
      <c r="BE732">
        <f>'Bookings and Drivers'!BM185</f>
        <v>145000</v>
      </c>
      <c r="BF732">
        <f>'Bookings and Drivers'!BN185</f>
        <v>193500</v>
      </c>
      <c r="BG732">
        <f>'Bookings and Drivers'!BO185</f>
        <v>207000</v>
      </c>
      <c r="BH732">
        <f>'Bookings and Drivers'!BP185</f>
        <v>247000</v>
      </c>
      <c r="BI732">
        <f>'Bookings and Drivers'!BQ185</f>
        <v>275000</v>
      </c>
      <c r="BJ732">
        <f>'Bookings and Drivers'!BR185</f>
        <v>337000</v>
      </c>
      <c r="BK732">
        <f>'Bookings and Drivers'!BS185</f>
        <v>350000</v>
      </c>
      <c r="BL732">
        <f>'Bookings and Drivers'!BT185</f>
        <v>390000</v>
      </c>
      <c r="BM732">
        <f>'Bookings and Drivers'!BU185</f>
        <v>397500</v>
      </c>
      <c r="BN732">
        <f>'Bookings and Drivers'!BV185</f>
        <v>467000</v>
      </c>
      <c r="BO732">
        <f>'Bookings and Drivers'!BW185</f>
        <v>529000</v>
      </c>
      <c r="BP732">
        <f>'Bookings and Drivers'!BX185</f>
        <v>568000</v>
      </c>
      <c r="BQ732">
        <f>'Bookings and Drivers'!BY185</f>
        <v>613000</v>
      </c>
      <c r="BR732">
        <f>'Bookings and Drivers'!BZ185</f>
        <v>721000</v>
      </c>
      <c r="BS732">
        <f>'Bookings and Drivers'!CA185</f>
        <v>816000</v>
      </c>
      <c r="BT732">
        <f>'Bookings and Drivers'!CB185</f>
        <v>1190000</v>
      </c>
      <c r="BU732">
        <f>'Bookings and Drivers'!CC185</f>
        <v>1237250</v>
      </c>
      <c r="BV732">
        <f>'Bookings and Drivers'!CD185</f>
        <v>1350650</v>
      </c>
      <c r="BW732">
        <f>'Bookings and Drivers'!CE185</f>
        <v>1450400</v>
      </c>
      <c r="BX732">
        <f>'Bookings and Drivers'!CF185</f>
        <v>1843100</v>
      </c>
      <c r="BY732">
        <f>'Bookings and Drivers'!CG185</f>
        <v>0</v>
      </c>
      <c r="BZ732">
        <f>'Bookings and Drivers'!CH185</f>
        <v>0</v>
      </c>
      <c r="CA732">
        <f>'Bookings and Drivers'!CI185</f>
        <v>0</v>
      </c>
      <c r="CB732">
        <f>'Bookings and Drivers'!CJ185</f>
        <v>0</v>
      </c>
      <c r="CC732">
        <f>'Bookings and Drivers'!CK185</f>
        <v>0</v>
      </c>
      <c r="CD732">
        <f>'Bookings and Drivers'!CL185</f>
        <v>0</v>
      </c>
      <c r="CE732">
        <f>'Bookings and Drivers'!CM185</f>
        <v>0</v>
      </c>
      <c r="CF732">
        <f>'Bookings and Drivers'!CN185</f>
        <v>0</v>
      </c>
      <c r="CG732">
        <f>'Bookings and Drivers'!CO185</f>
        <v>0</v>
      </c>
      <c r="CH732">
        <f>'Bookings and Drivers'!CP185</f>
        <v>0</v>
      </c>
      <c r="CI732">
        <f>'Bookings and Drivers'!CQ185</f>
        <v>0</v>
      </c>
      <c r="CJ732">
        <f>'Bookings and Drivers'!CR185</f>
        <v>0</v>
      </c>
      <c r="CK732">
        <f>'Bookings and Drivers'!CS185</f>
        <v>0</v>
      </c>
      <c r="CL732">
        <f>'Bookings and Drivers'!CT185</f>
        <v>110000</v>
      </c>
      <c r="CM732">
        <f>'Bookings and Drivers'!CU185</f>
        <v>247000</v>
      </c>
      <c r="CN732">
        <f>'Bookings and Drivers'!CV185</f>
        <v>390000</v>
      </c>
      <c r="CO732">
        <f>'Bookings and Drivers'!CW185</f>
        <v>568000</v>
      </c>
      <c r="CP732">
        <f>'Bookings and Drivers'!CX185</f>
        <v>1190000</v>
      </c>
      <c r="CQ732">
        <f>'Bookings and Drivers'!CY185</f>
        <v>1843100</v>
      </c>
      <c r="CR732">
        <f>'Bookings and Drivers'!CZ185</f>
        <v>0</v>
      </c>
      <c r="CS732">
        <f>'Bookings and Drivers'!DA185</f>
        <v>0</v>
      </c>
      <c r="CT732">
        <f>'Bookings and Drivers'!DB185</f>
        <v>0</v>
      </c>
      <c r="CU732">
        <f>'Bookings and Drivers'!DC185</f>
        <v>0</v>
      </c>
      <c r="CV732">
        <f>'Bookings and Drivers'!DD185</f>
        <v>0</v>
      </c>
      <c r="CW732">
        <f>'Bookings and Drivers'!DE185</f>
        <v>0</v>
      </c>
      <c r="CX732">
        <f>'Bookings and Drivers'!DF185</f>
        <v>0</v>
      </c>
    </row>
    <row r="733" spans="1:102">
      <c r="A733" t="str">
        <f>'Bookings and Drivers'!I188</f>
        <v>QoQ % Growth</v>
      </c>
      <c r="B733">
        <f>'Bookings and Drivers'!J188</f>
        <v>0</v>
      </c>
      <c r="C733">
        <f>'Bookings and Drivers'!K188</f>
        <v>0</v>
      </c>
      <c r="D733">
        <f>'Bookings and Drivers'!L188</f>
        <v>0</v>
      </c>
      <c r="E733">
        <f>'Bookings and Drivers'!M188</f>
        <v>0</v>
      </c>
      <c r="F733">
        <f>'Bookings and Drivers'!N188</f>
        <v>0</v>
      </c>
      <c r="G733">
        <f>'Bookings and Drivers'!O188</f>
        <v>0</v>
      </c>
      <c r="H733">
        <f>'Bookings and Drivers'!P188</f>
        <v>0</v>
      </c>
      <c r="I733">
        <f>'Bookings and Drivers'!Q188</f>
        <v>0</v>
      </c>
      <c r="J733">
        <f>'Bookings and Drivers'!R188</f>
        <v>0</v>
      </c>
      <c r="K733">
        <f>'Bookings and Drivers'!S188</f>
        <v>0</v>
      </c>
      <c r="L733">
        <f>'Bookings and Drivers'!T188</f>
        <v>0</v>
      </c>
      <c r="M733">
        <f>'Bookings and Drivers'!U188</f>
        <v>0</v>
      </c>
      <c r="N733">
        <f>'Bookings and Drivers'!V188</f>
        <v>0</v>
      </c>
      <c r="O733">
        <f>'Bookings and Drivers'!W188</f>
        <v>0</v>
      </c>
      <c r="P733">
        <f>'Bookings and Drivers'!X188</f>
        <v>0</v>
      </c>
      <c r="Q733">
        <f>'Bookings and Drivers'!Y188</f>
        <v>0</v>
      </c>
      <c r="R733">
        <f>'Bookings and Drivers'!Z188</f>
        <v>0</v>
      </c>
      <c r="S733">
        <f>'Bookings and Drivers'!AA188</f>
        <v>0</v>
      </c>
      <c r="T733">
        <f>'Bookings and Drivers'!AB188</f>
        <v>0</v>
      </c>
      <c r="U733">
        <f>'Bookings and Drivers'!AC188</f>
        <v>0</v>
      </c>
      <c r="V733">
        <f>'Bookings and Drivers'!AD188</f>
        <v>0</v>
      </c>
      <c r="W733">
        <f>'Bookings and Drivers'!AE188</f>
        <v>0</v>
      </c>
      <c r="X733">
        <f>'Bookings and Drivers'!AF188</f>
        <v>0</v>
      </c>
      <c r="Y733">
        <f>'Bookings and Drivers'!AG188</f>
        <v>0</v>
      </c>
      <c r="Z733">
        <f>'Bookings and Drivers'!AH188</f>
        <v>0</v>
      </c>
      <c r="AA733">
        <f>'Bookings and Drivers'!AI188</f>
        <v>0</v>
      </c>
      <c r="AB733">
        <f>'Bookings and Drivers'!AJ188</f>
        <v>0</v>
      </c>
      <c r="AC733">
        <f>'Bookings and Drivers'!AK188</f>
        <v>0</v>
      </c>
      <c r="AD733">
        <f>'Bookings and Drivers'!AL188</f>
        <v>0</v>
      </c>
      <c r="AE733">
        <f>'Bookings and Drivers'!AM188</f>
        <v>0</v>
      </c>
      <c r="AF733">
        <f>'Bookings and Drivers'!AN188</f>
        <v>0</v>
      </c>
      <c r="AG733">
        <f>'Bookings and Drivers'!AO188</f>
        <v>0</v>
      </c>
      <c r="AH733">
        <f>'Bookings and Drivers'!AP188</f>
        <v>0</v>
      </c>
      <c r="AI733">
        <f>'Bookings and Drivers'!AQ188</f>
        <v>0</v>
      </c>
      <c r="AJ733">
        <f>'Bookings and Drivers'!AR188</f>
        <v>0</v>
      </c>
      <c r="AK733">
        <f>'Bookings and Drivers'!AS188</f>
        <v>0</v>
      </c>
      <c r="AL733">
        <f>'Bookings and Drivers'!AT188</f>
        <v>0</v>
      </c>
      <c r="AM733">
        <f>'Bookings and Drivers'!AU188</f>
        <v>0</v>
      </c>
      <c r="AN733">
        <f>'Bookings and Drivers'!AV188</f>
        <v>0</v>
      </c>
      <c r="AO733">
        <f>'Bookings and Drivers'!AW188</f>
        <v>0</v>
      </c>
      <c r="AP733">
        <f>'Bookings and Drivers'!AX188</f>
        <v>0</v>
      </c>
      <c r="AQ733">
        <f>'Bookings and Drivers'!AY188</f>
        <v>0</v>
      </c>
      <c r="AR733">
        <f>'Bookings and Drivers'!AZ188</f>
        <v>0</v>
      </c>
      <c r="AS733">
        <f>'Bookings and Drivers'!BA188</f>
        <v>0</v>
      </c>
      <c r="AT733">
        <f>'Bookings and Drivers'!BB188</f>
        <v>0</v>
      </c>
      <c r="AU733">
        <f>'Bookings and Drivers'!BC188</f>
        <v>0</v>
      </c>
      <c r="AV733">
        <f>'Bookings and Drivers'!BD188</f>
        <v>0</v>
      </c>
      <c r="AW733">
        <f>'Bookings and Drivers'!BE188</f>
        <v>0</v>
      </c>
      <c r="AX733">
        <f>'Bookings and Drivers'!BF188</f>
        <v>0</v>
      </c>
      <c r="AY733">
        <f>'Bookings and Drivers'!BG188</f>
        <v>0</v>
      </c>
      <c r="AZ733">
        <f>'Bookings and Drivers'!BH188</f>
        <v>0</v>
      </c>
      <c r="BA733">
        <f>'Bookings and Drivers'!BI188</f>
        <v>0</v>
      </c>
      <c r="BB733">
        <f>'Bookings and Drivers'!BJ188</f>
        <v>0</v>
      </c>
      <c r="BC733">
        <f>'Bookings and Drivers'!BK188</f>
        <v>0</v>
      </c>
      <c r="BD733">
        <f>'Bookings and Drivers'!BL188</f>
        <v>0</v>
      </c>
      <c r="BE733">
        <f>'Bookings and Drivers'!BM188</f>
        <v>0.31818181818181812</v>
      </c>
      <c r="BF733">
        <f>'Bookings and Drivers'!BN188</f>
        <v>0.33448275862068955</v>
      </c>
      <c r="BG733">
        <f>'Bookings and Drivers'!BO188</f>
        <v>6.9767441860465018E-2</v>
      </c>
      <c r="BH733">
        <f>'Bookings and Drivers'!BP188</f>
        <v>0.19323671497584538</v>
      </c>
      <c r="BI733">
        <f>'Bookings and Drivers'!BQ188</f>
        <v>0.11336032388663964</v>
      </c>
      <c r="BJ733">
        <f>'Bookings and Drivers'!BR188</f>
        <v>0.22545454545454535</v>
      </c>
      <c r="BK733">
        <f>'Bookings and Drivers'!BS188</f>
        <v>3.8575667655786461E-2</v>
      </c>
      <c r="BL733">
        <f>'Bookings and Drivers'!BT188</f>
        <v>0.11428571428571432</v>
      </c>
      <c r="BM733">
        <f>'Bookings and Drivers'!BU188</f>
        <v>1.9230769230769162E-2</v>
      </c>
      <c r="BN733">
        <f>'Bookings and Drivers'!BV188</f>
        <v>0.17484276729559745</v>
      </c>
      <c r="BO733">
        <f>'Bookings and Drivers'!BW188</f>
        <v>0.13276231263383287</v>
      </c>
      <c r="BP733">
        <f>'Bookings and Drivers'!BX188</f>
        <v>7.3724007561436711E-2</v>
      </c>
      <c r="BQ733">
        <f>'Bookings and Drivers'!BY188</f>
        <v>7.9225352112676006E-2</v>
      </c>
      <c r="BR733">
        <f>'Bookings and Drivers'!BZ188</f>
        <v>0.1761827079934748</v>
      </c>
      <c r="BS733">
        <f>'Bookings and Drivers'!CA188</f>
        <v>0.13176144244105403</v>
      </c>
      <c r="BT733">
        <f>'Bookings and Drivers'!CB188</f>
        <v>0.45833333333333326</v>
      </c>
      <c r="BU733">
        <f>'Bookings and Drivers'!CC188</f>
        <v>3.9705882352941257E-2</v>
      </c>
      <c r="BV733">
        <f>'Bookings and Drivers'!CD188</f>
        <v>9.1654879773691578E-2</v>
      </c>
      <c r="BW733">
        <f>'Bookings and Drivers'!CE188</f>
        <v>7.3853329878206697E-2</v>
      </c>
      <c r="BX733">
        <f>'Bookings and Drivers'!CF188</f>
        <v>0.27075289575289574</v>
      </c>
      <c r="BY733">
        <f>'Bookings and Drivers'!CG188</f>
        <v>0</v>
      </c>
      <c r="BZ733">
        <f>'Bookings and Drivers'!CH188</f>
        <v>0</v>
      </c>
      <c r="CA733">
        <f>'Bookings and Drivers'!CI188</f>
        <v>0</v>
      </c>
      <c r="CB733">
        <f>'Bookings and Drivers'!CJ188</f>
        <v>0</v>
      </c>
      <c r="CC733">
        <f>'Bookings and Drivers'!CK188</f>
        <v>0</v>
      </c>
      <c r="CD733">
        <f>'Bookings and Drivers'!CL188</f>
        <v>0</v>
      </c>
      <c r="CE733">
        <f>'Bookings and Drivers'!CM188</f>
        <v>0</v>
      </c>
      <c r="CF733">
        <f>'Bookings and Drivers'!CN188</f>
        <v>0</v>
      </c>
      <c r="CG733">
        <f>'Bookings and Drivers'!CO188</f>
        <v>0</v>
      </c>
      <c r="CH733">
        <f>'Bookings and Drivers'!CP188</f>
        <v>0</v>
      </c>
      <c r="CI733">
        <f>'Bookings and Drivers'!CQ188</f>
        <v>0</v>
      </c>
      <c r="CJ733">
        <f>'Bookings and Drivers'!CR188</f>
        <v>0</v>
      </c>
      <c r="CK733">
        <f>'Bookings and Drivers'!CS188</f>
        <v>0</v>
      </c>
      <c r="CL733">
        <f>'Bookings and Drivers'!CT188</f>
        <v>0</v>
      </c>
      <c r="CM733">
        <f>'Bookings and Drivers'!CU188</f>
        <v>0</v>
      </c>
      <c r="CN733">
        <f>'Bookings and Drivers'!CV188</f>
        <v>0</v>
      </c>
      <c r="CO733">
        <f>'Bookings and Drivers'!CW188</f>
        <v>0</v>
      </c>
      <c r="CP733">
        <f>'Bookings and Drivers'!CX188</f>
        <v>0</v>
      </c>
      <c r="CQ733">
        <f>'Bookings and Drivers'!CY188</f>
        <v>0</v>
      </c>
      <c r="CR733">
        <f>'Bookings and Drivers'!CZ188</f>
        <v>0</v>
      </c>
      <c r="CS733">
        <f>'Bookings and Drivers'!DA188</f>
        <v>0</v>
      </c>
      <c r="CT733">
        <f>'Bookings and Drivers'!DB188</f>
        <v>0</v>
      </c>
      <c r="CU733">
        <f>'Bookings and Drivers'!DC188</f>
        <v>0</v>
      </c>
      <c r="CV733">
        <f>'Bookings and Drivers'!DD188</f>
        <v>0</v>
      </c>
      <c r="CW733">
        <f>'Bookings and Drivers'!DE188</f>
        <v>0</v>
      </c>
      <c r="CX733">
        <f>'Bookings and Drivers'!DF188</f>
        <v>0</v>
      </c>
    </row>
    <row r="734" spans="1:102">
      <c r="A734" t="str">
        <f>'Bookings and Drivers'!I186</f>
        <v>% change Y/Y</v>
      </c>
      <c r="B734">
        <f>'Bookings and Drivers'!J186</f>
        <v>0</v>
      </c>
      <c r="C734">
        <f>'Bookings and Drivers'!K186</f>
        <v>0</v>
      </c>
      <c r="D734">
        <f>'Bookings and Drivers'!L186</f>
        <v>0</v>
      </c>
      <c r="E734">
        <f>'Bookings and Drivers'!M186</f>
        <v>0</v>
      </c>
      <c r="F734">
        <f>'Bookings and Drivers'!N186</f>
        <v>0</v>
      </c>
      <c r="G734">
        <f>'Bookings and Drivers'!O186</f>
        <v>0</v>
      </c>
      <c r="H734">
        <f>'Bookings and Drivers'!P186</f>
        <v>0</v>
      </c>
      <c r="I734">
        <f>'Bookings and Drivers'!Q186</f>
        <v>0</v>
      </c>
      <c r="J734">
        <f>'Bookings and Drivers'!R186</f>
        <v>0</v>
      </c>
      <c r="K734">
        <f>'Bookings and Drivers'!S186</f>
        <v>0</v>
      </c>
      <c r="L734">
        <f>'Bookings and Drivers'!T186</f>
        <v>0</v>
      </c>
      <c r="M734">
        <f>'Bookings and Drivers'!U186</f>
        <v>0</v>
      </c>
      <c r="N734">
        <f>'Bookings and Drivers'!V186</f>
        <v>0</v>
      </c>
      <c r="O734">
        <f>'Bookings and Drivers'!W186</f>
        <v>0</v>
      </c>
      <c r="P734">
        <f>'Bookings and Drivers'!X186</f>
        <v>0</v>
      </c>
      <c r="Q734">
        <f>'Bookings and Drivers'!Y186</f>
        <v>0</v>
      </c>
      <c r="R734">
        <f>'Bookings and Drivers'!Z186</f>
        <v>0</v>
      </c>
      <c r="S734">
        <f>'Bookings and Drivers'!AA186</f>
        <v>0</v>
      </c>
      <c r="T734">
        <f>'Bookings and Drivers'!AB186</f>
        <v>0</v>
      </c>
      <c r="U734">
        <f>'Bookings and Drivers'!AC186</f>
        <v>0</v>
      </c>
      <c r="V734">
        <f>'Bookings and Drivers'!AD186</f>
        <v>0</v>
      </c>
      <c r="W734">
        <f>'Bookings and Drivers'!AE186</f>
        <v>0</v>
      </c>
      <c r="X734">
        <f>'Bookings and Drivers'!AF186</f>
        <v>0</v>
      </c>
      <c r="Y734">
        <f>'Bookings and Drivers'!AG186</f>
        <v>0</v>
      </c>
      <c r="Z734">
        <f>'Bookings and Drivers'!AH186</f>
        <v>0</v>
      </c>
      <c r="AA734">
        <f>'Bookings and Drivers'!AI186</f>
        <v>0</v>
      </c>
      <c r="AB734">
        <f>'Bookings and Drivers'!AJ186</f>
        <v>0</v>
      </c>
      <c r="AC734">
        <f>'Bookings and Drivers'!AK186</f>
        <v>0</v>
      </c>
      <c r="AD734">
        <f>'Bookings and Drivers'!AL186</f>
        <v>0</v>
      </c>
      <c r="AE734">
        <f>'Bookings and Drivers'!AM186</f>
        <v>0</v>
      </c>
      <c r="AF734">
        <f>'Bookings and Drivers'!AN186</f>
        <v>0</v>
      </c>
      <c r="AG734">
        <f>'Bookings and Drivers'!AO186</f>
        <v>0</v>
      </c>
      <c r="AH734">
        <f>'Bookings and Drivers'!AP186</f>
        <v>0</v>
      </c>
      <c r="AI734">
        <f>'Bookings and Drivers'!AQ186</f>
        <v>0</v>
      </c>
      <c r="AJ734">
        <f>'Bookings and Drivers'!AR186</f>
        <v>0</v>
      </c>
      <c r="AK734">
        <f>'Bookings and Drivers'!AS186</f>
        <v>0</v>
      </c>
      <c r="AL734">
        <f>'Bookings and Drivers'!AT186</f>
        <v>0</v>
      </c>
      <c r="AM734">
        <f>'Bookings and Drivers'!AU186</f>
        <v>0</v>
      </c>
      <c r="AN734">
        <f>'Bookings and Drivers'!AV186</f>
        <v>0</v>
      </c>
      <c r="AO734">
        <f>'Bookings and Drivers'!AW186</f>
        <v>0</v>
      </c>
      <c r="AP734">
        <f>'Bookings and Drivers'!AX186</f>
        <v>0</v>
      </c>
      <c r="AQ734">
        <f>'Bookings and Drivers'!AY186</f>
        <v>0</v>
      </c>
      <c r="AR734">
        <f>'Bookings and Drivers'!AZ186</f>
        <v>0</v>
      </c>
      <c r="AS734">
        <f>'Bookings and Drivers'!BA186</f>
        <v>0</v>
      </c>
      <c r="AT734">
        <f>'Bookings and Drivers'!BB186</f>
        <v>0</v>
      </c>
      <c r="AU734">
        <f>'Bookings and Drivers'!BC186</f>
        <v>0</v>
      </c>
      <c r="AV734">
        <f>'Bookings and Drivers'!BD186</f>
        <v>0</v>
      </c>
      <c r="AW734">
        <f>'Bookings and Drivers'!BE186</f>
        <v>0</v>
      </c>
      <c r="AX734">
        <f>'Bookings and Drivers'!BF186</f>
        <v>0</v>
      </c>
      <c r="AY734">
        <f>'Bookings and Drivers'!BG186</f>
        <v>0</v>
      </c>
      <c r="AZ734">
        <f>'Bookings and Drivers'!BH186</f>
        <v>0</v>
      </c>
      <c r="BA734">
        <f>'Bookings and Drivers'!BI186</f>
        <v>0</v>
      </c>
      <c r="BB734">
        <f>'Bookings and Drivers'!BJ186</f>
        <v>0</v>
      </c>
      <c r="BC734">
        <f>'Bookings and Drivers'!BK186</f>
        <v>0</v>
      </c>
      <c r="BD734">
        <f>'Bookings and Drivers'!BL186</f>
        <v>0</v>
      </c>
      <c r="BE734">
        <f>'Bookings and Drivers'!BM186</f>
        <v>0</v>
      </c>
      <c r="BF734">
        <f>'Bookings and Drivers'!BN186</f>
        <v>0</v>
      </c>
      <c r="BG734">
        <f>'Bookings and Drivers'!BO186</f>
        <v>0</v>
      </c>
      <c r="BH734">
        <f>'Bookings and Drivers'!BP186</f>
        <v>1.2454545454545456</v>
      </c>
      <c r="BI734">
        <f>'Bookings and Drivers'!BQ186</f>
        <v>0.89655172413793105</v>
      </c>
      <c r="BJ734">
        <f>'Bookings and Drivers'!BR186</f>
        <v>0.74160206718346244</v>
      </c>
      <c r="BK734">
        <f>'Bookings and Drivers'!BS186</f>
        <v>0.6908212560386473</v>
      </c>
      <c r="BL734">
        <f>'Bookings and Drivers'!BT186</f>
        <v>0.57894736842105265</v>
      </c>
      <c r="BM734">
        <f>'Bookings and Drivers'!BU186</f>
        <v>0.44545454545454555</v>
      </c>
      <c r="BN734">
        <f>'Bookings and Drivers'!BV186</f>
        <v>0.3857566765578635</v>
      </c>
      <c r="BO734">
        <f>'Bookings and Drivers'!BW186</f>
        <v>0.51142857142857134</v>
      </c>
      <c r="BP734">
        <f>'Bookings and Drivers'!BX186</f>
        <v>0.45641025641025634</v>
      </c>
      <c r="BQ734">
        <f>'Bookings and Drivers'!BY186</f>
        <v>0.54213836477987432</v>
      </c>
      <c r="BR734">
        <f>'Bookings and Drivers'!BZ186</f>
        <v>0.54389721627409005</v>
      </c>
      <c r="BS734">
        <f>'Bookings and Drivers'!CA186</f>
        <v>0.54253308128544431</v>
      </c>
      <c r="BT734">
        <f>'Bookings and Drivers'!CB186</f>
        <v>1.0950704225352115</v>
      </c>
      <c r="BU734">
        <f>'Bookings and Drivers'!CC186</f>
        <v>1.0183523654159869</v>
      </c>
      <c r="BV734">
        <f>'Bookings and Drivers'!CD186</f>
        <v>0.87330097087378644</v>
      </c>
      <c r="BW734">
        <f>'Bookings and Drivers'!CE186</f>
        <v>0.77745098039215677</v>
      </c>
      <c r="BX734">
        <f>'Bookings and Drivers'!CF186</f>
        <v>0.54882352941176471</v>
      </c>
      <c r="BY734">
        <f>'Bookings and Drivers'!CG186</f>
        <v>0</v>
      </c>
      <c r="BZ734">
        <f>'Bookings and Drivers'!CH186</f>
        <v>0</v>
      </c>
      <c r="CA734">
        <f>'Bookings and Drivers'!CI186</f>
        <v>0</v>
      </c>
      <c r="CB734">
        <f>'Bookings and Drivers'!CJ186</f>
        <v>0</v>
      </c>
      <c r="CC734">
        <f>'Bookings and Drivers'!CK186</f>
        <v>0</v>
      </c>
      <c r="CD734">
        <f>'Bookings and Drivers'!CL186</f>
        <v>0</v>
      </c>
      <c r="CE734">
        <f>'Bookings and Drivers'!CM186</f>
        <v>0</v>
      </c>
      <c r="CF734">
        <f>'Bookings and Drivers'!CN186</f>
        <v>0</v>
      </c>
      <c r="CG734">
        <f>'Bookings and Drivers'!CO186</f>
        <v>0</v>
      </c>
      <c r="CH734">
        <f>'Bookings and Drivers'!CP186</f>
        <v>0</v>
      </c>
      <c r="CI734">
        <f>'Bookings and Drivers'!CQ186</f>
        <v>0</v>
      </c>
      <c r="CJ734">
        <f>'Bookings and Drivers'!CR186</f>
        <v>0</v>
      </c>
      <c r="CK734">
        <f>'Bookings and Drivers'!CS186</f>
        <v>0</v>
      </c>
      <c r="CL734">
        <f>'Bookings and Drivers'!CT186</f>
        <v>0</v>
      </c>
      <c r="CM734">
        <f>'Bookings and Drivers'!CU186</f>
        <v>1.2454545454545456</v>
      </c>
      <c r="CN734">
        <f>'Bookings and Drivers'!CV186</f>
        <v>0.57894736842105265</v>
      </c>
      <c r="CO734">
        <f>'Bookings and Drivers'!CW186</f>
        <v>0.45641025641025634</v>
      </c>
      <c r="CP734">
        <f>'Bookings and Drivers'!CX186</f>
        <v>1.0950704225352115</v>
      </c>
      <c r="CQ734">
        <f>'Bookings and Drivers'!CY186</f>
        <v>0.54882352941176471</v>
      </c>
      <c r="CR734">
        <f>'Bookings and Drivers'!CZ186</f>
        <v>0</v>
      </c>
      <c r="CS734">
        <f>'Bookings and Drivers'!DA186</f>
        <v>0</v>
      </c>
      <c r="CT734">
        <f>'Bookings and Drivers'!DB186</f>
        <v>0</v>
      </c>
      <c r="CU734">
        <f>'Bookings and Drivers'!DC186</f>
        <v>0</v>
      </c>
      <c r="CV734">
        <f>'Bookings and Drivers'!DD186</f>
        <v>0</v>
      </c>
      <c r="CW734">
        <f>'Bookings and Drivers'!DE186</f>
        <v>0</v>
      </c>
      <c r="CX734">
        <f>'Bookings and Drivers'!DF186</f>
        <v>0</v>
      </c>
    </row>
    <row r="735" spans="1:102">
      <c r="A735" t="str">
        <f>'Bookings and Drivers'!I196</f>
        <v>Vacation Rental Bookings</v>
      </c>
      <c r="B735">
        <f>'Bookings and Drivers'!J196</f>
        <v>0</v>
      </c>
      <c r="C735">
        <f>'Bookings and Drivers'!K196</f>
        <v>0</v>
      </c>
      <c r="D735">
        <f>'Bookings and Drivers'!L196</f>
        <v>0</v>
      </c>
      <c r="E735">
        <f>'Bookings and Drivers'!M196</f>
        <v>0</v>
      </c>
      <c r="F735">
        <f>'Bookings and Drivers'!N196</f>
        <v>0</v>
      </c>
      <c r="G735">
        <f>'Bookings and Drivers'!O196</f>
        <v>0</v>
      </c>
      <c r="H735">
        <f>'Bookings and Drivers'!P196</f>
        <v>0</v>
      </c>
      <c r="I735">
        <f>'Bookings and Drivers'!Q196</f>
        <v>0</v>
      </c>
      <c r="J735">
        <f>'Bookings and Drivers'!R196</f>
        <v>0</v>
      </c>
      <c r="K735">
        <f>'Bookings and Drivers'!S196</f>
        <v>0</v>
      </c>
      <c r="L735">
        <f>'Bookings and Drivers'!T196</f>
        <v>0</v>
      </c>
      <c r="M735">
        <f>'Bookings and Drivers'!U196</f>
        <v>0</v>
      </c>
      <c r="N735">
        <f>'Bookings and Drivers'!V196</f>
        <v>0</v>
      </c>
      <c r="O735">
        <f>'Bookings and Drivers'!W196</f>
        <v>0</v>
      </c>
      <c r="P735">
        <f>'Bookings and Drivers'!X196</f>
        <v>0</v>
      </c>
      <c r="Q735">
        <f>'Bookings and Drivers'!Y196</f>
        <v>0</v>
      </c>
      <c r="R735">
        <f>'Bookings and Drivers'!Z196</f>
        <v>0</v>
      </c>
      <c r="S735">
        <f>'Bookings and Drivers'!AA196</f>
        <v>0</v>
      </c>
      <c r="T735">
        <f>'Bookings and Drivers'!AB196</f>
        <v>0</v>
      </c>
      <c r="U735">
        <f>'Bookings and Drivers'!AC196</f>
        <v>0</v>
      </c>
      <c r="V735">
        <f>'Bookings and Drivers'!AD196</f>
        <v>0</v>
      </c>
      <c r="W735">
        <f>'Bookings and Drivers'!AE196</f>
        <v>0</v>
      </c>
      <c r="X735">
        <f>'Bookings and Drivers'!AF196</f>
        <v>0</v>
      </c>
      <c r="Y735">
        <f>'Bookings and Drivers'!AG196</f>
        <v>0</v>
      </c>
      <c r="Z735">
        <f>'Bookings and Drivers'!AH196</f>
        <v>0</v>
      </c>
      <c r="AA735">
        <f>'Bookings and Drivers'!AI196</f>
        <v>0</v>
      </c>
      <c r="AB735">
        <f>'Bookings and Drivers'!AJ196</f>
        <v>0</v>
      </c>
      <c r="AC735">
        <f>'Bookings and Drivers'!AK196</f>
        <v>0</v>
      </c>
      <c r="AD735">
        <f>'Bookings and Drivers'!AL196</f>
        <v>0</v>
      </c>
      <c r="AE735">
        <f>'Bookings and Drivers'!AM196</f>
        <v>0</v>
      </c>
      <c r="AF735">
        <f>'Bookings and Drivers'!AN196</f>
        <v>0</v>
      </c>
      <c r="AG735">
        <f>'Bookings and Drivers'!AO196</f>
        <v>0</v>
      </c>
      <c r="AH735">
        <f>'Bookings and Drivers'!AP196</f>
        <v>0</v>
      </c>
      <c r="AI735">
        <f>'Bookings and Drivers'!AQ196</f>
        <v>0</v>
      </c>
      <c r="AJ735">
        <f>'Bookings and Drivers'!AR196</f>
        <v>0</v>
      </c>
      <c r="AK735">
        <f>'Bookings and Drivers'!AS196</f>
        <v>0</v>
      </c>
      <c r="AL735">
        <f>'Bookings and Drivers'!AT196</f>
        <v>0</v>
      </c>
      <c r="AM735">
        <f>'Bookings and Drivers'!AU196</f>
        <v>0</v>
      </c>
      <c r="AN735">
        <f>'Bookings and Drivers'!AV196</f>
        <v>0</v>
      </c>
      <c r="AO735">
        <f>'Bookings and Drivers'!AW196</f>
        <v>0</v>
      </c>
      <c r="AP735">
        <f>'Bookings and Drivers'!AX196</f>
        <v>0</v>
      </c>
      <c r="AQ735">
        <f>'Bookings and Drivers'!AY196</f>
        <v>0</v>
      </c>
      <c r="AR735">
        <f>'Bookings and Drivers'!AZ196</f>
        <v>0</v>
      </c>
      <c r="AS735">
        <f>'Bookings and Drivers'!BA196</f>
        <v>0</v>
      </c>
      <c r="AT735">
        <f>'Bookings and Drivers'!BB196</f>
        <v>0</v>
      </c>
      <c r="AU735">
        <f>'Bookings and Drivers'!BC196</f>
        <v>0</v>
      </c>
      <c r="AV735">
        <f>'Bookings and Drivers'!BD196</f>
        <v>0</v>
      </c>
      <c r="AW735">
        <f>'Bookings and Drivers'!BE196</f>
        <v>0</v>
      </c>
      <c r="AX735">
        <f>'Bookings and Drivers'!BF196</f>
        <v>0</v>
      </c>
      <c r="AY735">
        <f>'Bookings and Drivers'!BG196</f>
        <v>0</v>
      </c>
      <c r="AZ735">
        <f>'Bookings and Drivers'!BH196</f>
        <v>0</v>
      </c>
      <c r="BA735">
        <f>'Bookings and Drivers'!BI196</f>
        <v>0</v>
      </c>
      <c r="BB735">
        <f>'Bookings and Drivers'!BJ196</f>
        <v>0</v>
      </c>
      <c r="BC735">
        <f>'Bookings and Drivers'!BK196</f>
        <v>0</v>
      </c>
      <c r="BD735">
        <f>'Bookings and Drivers'!BL196</f>
        <v>0</v>
      </c>
      <c r="BE735">
        <f>'Bookings and Drivers'!BM196</f>
        <v>0</v>
      </c>
      <c r="BF735">
        <f>'Bookings and Drivers'!BN196</f>
        <v>0</v>
      </c>
      <c r="BG735">
        <f>'Bookings and Drivers'!BO196</f>
        <v>0</v>
      </c>
      <c r="BH735">
        <f>'Bookings and Drivers'!BP196</f>
        <v>0</v>
      </c>
      <c r="BI735">
        <f>'Bookings and Drivers'!BQ196</f>
        <v>0</v>
      </c>
      <c r="BJ735">
        <f>'Bookings and Drivers'!BR196</f>
        <v>0</v>
      </c>
      <c r="BK735">
        <f>'Bookings and Drivers'!BS196</f>
        <v>0</v>
      </c>
      <c r="BL735">
        <f>'Bookings and Drivers'!BT196</f>
        <v>0</v>
      </c>
      <c r="BM735">
        <f>'Bookings and Drivers'!BU196</f>
        <v>0</v>
      </c>
      <c r="BN735">
        <f>'Bookings and Drivers'!BV196</f>
        <v>0</v>
      </c>
      <c r="BO735">
        <f>'Bookings and Drivers'!BW196</f>
        <v>0</v>
      </c>
      <c r="BP735">
        <f>'Bookings and Drivers'!BX196</f>
        <v>0</v>
      </c>
      <c r="BQ735">
        <f>'Bookings and Drivers'!BY196</f>
        <v>0</v>
      </c>
      <c r="BR735">
        <f>'Bookings and Drivers'!BZ196</f>
        <v>0</v>
      </c>
      <c r="BS735">
        <f>'Bookings and Drivers'!CA196</f>
        <v>0</v>
      </c>
      <c r="BT735">
        <f>'Bookings and Drivers'!CB196</f>
        <v>0</v>
      </c>
      <c r="BU735">
        <f>'Bookings and Drivers'!CC196</f>
        <v>0</v>
      </c>
      <c r="BV735">
        <f>'Bookings and Drivers'!CD196</f>
        <v>0</v>
      </c>
      <c r="BW735">
        <f>'Bookings and Drivers'!CE196</f>
        <v>0</v>
      </c>
      <c r="BX735">
        <f>'Bookings and Drivers'!CF196</f>
        <v>0</v>
      </c>
      <c r="BY735">
        <f>'Bookings and Drivers'!CG196</f>
        <v>0</v>
      </c>
      <c r="BZ735">
        <f>'Bookings and Drivers'!CH196</f>
        <v>0</v>
      </c>
      <c r="CA735">
        <f>'Bookings and Drivers'!CI196</f>
        <v>0</v>
      </c>
      <c r="CB735">
        <f>'Bookings and Drivers'!CJ196</f>
        <v>0</v>
      </c>
      <c r="CC735">
        <f>'Bookings and Drivers'!CK196</f>
        <v>0</v>
      </c>
      <c r="CD735">
        <f>'Bookings and Drivers'!CL196</f>
        <v>0</v>
      </c>
      <c r="CE735">
        <f>'Bookings and Drivers'!CM196</f>
        <v>0</v>
      </c>
      <c r="CF735">
        <f>'Bookings and Drivers'!CN196</f>
        <v>0</v>
      </c>
      <c r="CG735">
        <f>'Bookings and Drivers'!CO196</f>
        <v>0</v>
      </c>
      <c r="CH735">
        <f>'Bookings and Drivers'!CP196</f>
        <v>0</v>
      </c>
      <c r="CI735">
        <f>'Bookings and Drivers'!CQ196</f>
        <v>0</v>
      </c>
      <c r="CJ735">
        <f>'Bookings and Drivers'!CR196</f>
        <v>0</v>
      </c>
      <c r="CK735">
        <f>'Bookings and Drivers'!CS196</f>
        <v>1062.3161257520478</v>
      </c>
      <c r="CL735">
        <f>'Bookings and Drivers'!CT196</f>
        <v>3438.8005686893084</v>
      </c>
      <c r="CM735">
        <f>'Bookings and Drivers'!CU196</f>
        <v>5508.8969847902408</v>
      </c>
      <c r="CN735">
        <f>'Bookings and Drivers'!CV196</f>
        <v>6847.0484301099495</v>
      </c>
      <c r="CO735">
        <f>'Bookings and Drivers'!CW196</f>
        <v>10717.12036366581</v>
      </c>
      <c r="CP735">
        <f>'Bookings and Drivers'!CX196</f>
        <v>14319.213210326445</v>
      </c>
      <c r="CQ735">
        <f>'Bookings and Drivers'!CY196</f>
        <v>19995.052292427426</v>
      </c>
      <c r="CR735">
        <f>'Bookings and Drivers'!CZ196</f>
        <v>0</v>
      </c>
      <c r="CS735">
        <f>'Bookings and Drivers'!DA196</f>
        <v>0</v>
      </c>
      <c r="CT735">
        <f>'Bookings and Drivers'!DB196</f>
        <v>0</v>
      </c>
      <c r="CU735">
        <f>'Bookings and Drivers'!DC196</f>
        <v>0</v>
      </c>
      <c r="CV735">
        <f>'Bookings and Drivers'!DD196</f>
        <v>0</v>
      </c>
      <c r="CW735">
        <f>'Bookings and Drivers'!DE196</f>
        <v>0</v>
      </c>
      <c r="CX735">
        <f>'Bookings and Drivers'!DF196</f>
        <v>0</v>
      </c>
    </row>
    <row r="736" spans="1:102">
      <c r="A736" t="str">
        <f>'Bookings and Drivers'!I198</f>
        <v>% of Total Bookings</v>
      </c>
      <c r="B736">
        <f>'Bookings and Drivers'!J198</f>
        <v>0</v>
      </c>
      <c r="C736">
        <f>'Bookings and Drivers'!K198</f>
        <v>0</v>
      </c>
      <c r="D736">
        <f>'Bookings and Drivers'!L198</f>
        <v>0</v>
      </c>
      <c r="E736">
        <f>'Bookings and Drivers'!M198</f>
        <v>0</v>
      </c>
      <c r="F736">
        <f>'Bookings and Drivers'!N198</f>
        <v>0</v>
      </c>
      <c r="G736">
        <f>'Bookings and Drivers'!O198</f>
        <v>0</v>
      </c>
      <c r="H736">
        <f>'Bookings and Drivers'!P198</f>
        <v>0</v>
      </c>
      <c r="I736">
        <f>'Bookings and Drivers'!Q198</f>
        <v>0</v>
      </c>
      <c r="J736">
        <f>'Bookings and Drivers'!R198</f>
        <v>0</v>
      </c>
      <c r="K736">
        <f>'Bookings and Drivers'!S198</f>
        <v>0</v>
      </c>
      <c r="L736">
        <f>'Bookings and Drivers'!T198</f>
        <v>0</v>
      </c>
      <c r="M736">
        <f>'Bookings and Drivers'!U198</f>
        <v>0</v>
      </c>
      <c r="N736">
        <f>'Bookings and Drivers'!V198</f>
        <v>0</v>
      </c>
      <c r="O736">
        <f>'Bookings and Drivers'!W198</f>
        <v>0</v>
      </c>
      <c r="P736">
        <f>'Bookings and Drivers'!X198</f>
        <v>0</v>
      </c>
      <c r="Q736">
        <f>'Bookings and Drivers'!Y198</f>
        <v>0</v>
      </c>
      <c r="R736">
        <f>'Bookings and Drivers'!Z198</f>
        <v>0</v>
      </c>
      <c r="S736">
        <f>'Bookings and Drivers'!AA198</f>
        <v>0</v>
      </c>
      <c r="T736">
        <f>'Bookings and Drivers'!AB198</f>
        <v>0</v>
      </c>
      <c r="U736">
        <f>'Bookings and Drivers'!AC198</f>
        <v>0</v>
      </c>
      <c r="V736">
        <f>'Bookings and Drivers'!AD198</f>
        <v>0</v>
      </c>
      <c r="W736">
        <f>'Bookings and Drivers'!AE198</f>
        <v>0</v>
      </c>
      <c r="X736">
        <f>'Bookings and Drivers'!AF198</f>
        <v>0</v>
      </c>
      <c r="Y736">
        <f>'Bookings and Drivers'!AG198</f>
        <v>0</v>
      </c>
      <c r="Z736">
        <f>'Bookings and Drivers'!AH198</f>
        <v>0</v>
      </c>
      <c r="AA736">
        <f>'Bookings and Drivers'!AI198</f>
        <v>0</v>
      </c>
      <c r="AB736">
        <f>'Bookings and Drivers'!AJ198</f>
        <v>0</v>
      </c>
      <c r="AC736">
        <f>'Bookings and Drivers'!AK198</f>
        <v>0</v>
      </c>
      <c r="AD736">
        <f>'Bookings and Drivers'!AL198</f>
        <v>0</v>
      </c>
      <c r="AE736">
        <f>'Bookings and Drivers'!AM198</f>
        <v>0</v>
      </c>
      <c r="AF736">
        <f>'Bookings and Drivers'!AN198</f>
        <v>0</v>
      </c>
      <c r="AG736">
        <f>'Bookings and Drivers'!AO198</f>
        <v>0</v>
      </c>
      <c r="AH736">
        <f>'Bookings and Drivers'!AP198</f>
        <v>0</v>
      </c>
      <c r="AI736">
        <f>'Bookings and Drivers'!AQ198</f>
        <v>0</v>
      </c>
      <c r="AJ736">
        <f>'Bookings and Drivers'!AR198</f>
        <v>0</v>
      </c>
      <c r="AK736">
        <f>'Bookings and Drivers'!AS198</f>
        <v>0</v>
      </c>
      <c r="AL736">
        <f>'Bookings and Drivers'!AT198</f>
        <v>0</v>
      </c>
      <c r="AM736">
        <f>'Bookings and Drivers'!AU198</f>
        <v>0</v>
      </c>
      <c r="AN736">
        <f>'Bookings and Drivers'!AV198</f>
        <v>0</v>
      </c>
      <c r="AO736">
        <f>'Bookings and Drivers'!AW198</f>
        <v>0</v>
      </c>
      <c r="AP736">
        <f>'Bookings and Drivers'!AX198</f>
        <v>0</v>
      </c>
      <c r="AQ736">
        <f>'Bookings and Drivers'!AY198</f>
        <v>0</v>
      </c>
      <c r="AR736">
        <f>'Bookings and Drivers'!AZ198</f>
        <v>0</v>
      </c>
      <c r="AS736">
        <f>'Bookings and Drivers'!BA198</f>
        <v>0</v>
      </c>
      <c r="AT736">
        <f>'Bookings and Drivers'!BB198</f>
        <v>0</v>
      </c>
      <c r="AU736">
        <f>'Bookings and Drivers'!BC198</f>
        <v>0</v>
      </c>
      <c r="AV736">
        <f>'Bookings and Drivers'!BD198</f>
        <v>0</v>
      </c>
      <c r="AW736">
        <f>'Bookings and Drivers'!BE198</f>
        <v>0</v>
      </c>
      <c r="AX736">
        <f>'Bookings and Drivers'!BF198</f>
        <v>0</v>
      </c>
      <c r="AY736">
        <f>'Bookings and Drivers'!BG198</f>
        <v>0</v>
      </c>
      <c r="AZ736">
        <f>'Bookings and Drivers'!BH198</f>
        <v>0</v>
      </c>
      <c r="BA736">
        <f>'Bookings and Drivers'!BI198</f>
        <v>0</v>
      </c>
      <c r="BB736">
        <f>'Bookings and Drivers'!BJ198</f>
        <v>0</v>
      </c>
      <c r="BC736">
        <f>'Bookings and Drivers'!BK198</f>
        <v>0</v>
      </c>
      <c r="BD736">
        <f>'Bookings and Drivers'!BL198</f>
        <v>0</v>
      </c>
      <c r="BE736">
        <f>'Bookings and Drivers'!BM198</f>
        <v>0</v>
      </c>
      <c r="BF736">
        <f>'Bookings and Drivers'!BN198</f>
        <v>0</v>
      </c>
      <c r="BG736">
        <f>'Bookings and Drivers'!BO198</f>
        <v>0</v>
      </c>
      <c r="BH736">
        <f>'Bookings and Drivers'!BP198</f>
        <v>0</v>
      </c>
      <c r="BI736">
        <f>'Bookings and Drivers'!BQ198</f>
        <v>0</v>
      </c>
      <c r="BJ736">
        <f>'Bookings and Drivers'!BR198</f>
        <v>0</v>
      </c>
      <c r="BK736">
        <f>'Bookings and Drivers'!BS198</f>
        <v>0</v>
      </c>
      <c r="BL736">
        <f>'Bookings and Drivers'!BT198</f>
        <v>0</v>
      </c>
      <c r="BM736">
        <f>'Bookings and Drivers'!BU198</f>
        <v>0</v>
      </c>
      <c r="BN736">
        <f>'Bookings and Drivers'!BV198</f>
        <v>0</v>
      </c>
      <c r="BO736">
        <f>'Bookings and Drivers'!BW198</f>
        <v>0</v>
      </c>
      <c r="BP736">
        <f>'Bookings and Drivers'!BX198</f>
        <v>0</v>
      </c>
      <c r="BQ736">
        <f>'Bookings and Drivers'!BY198</f>
        <v>0</v>
      </c>
      <c r="BR736">
        <f>'Bookings and Drivers'!BZ198</f>
        <v>0</v>
      </c>
      <c r="BS736">
        <f>'Bookings and Drivers'!CA198</f>
        <v>0</v>
      </c>
      <c r="BT736">
        <f>'Bookings and Drivers'!CB198</f>
        <v>0</v>
      </c>
      <c r="BU736">
        <f>'Bookings and Drivers'!CC198</f>
        <v>0</v>
      </c>
      <c r="BV736">
        <f>'Bookings and Drivers'!CD198</f>
        <v>0</v>
      </c>
      <c r="BW736">
        <f>'Bookings and Drivers'!CE198</f>
        <v>0</v>
      </c>
      <c r="BX736">
        <f>'Bookings and Drivers'!CF198</f>
        <v>0</v>
      </c>
      <c r="BY736">
        <f>'Bookings and Drivers'!CG198</f>
        <v>0</v>
      </c>
      <c r="BZ736">
        <f>'Bookings and Drivers'!CH198</f>
        <v>0</v>
      </c>
      <c r="CA736">
        <f>'Bookings and Drivers'!CI198</f>
        <v>0</v>
      </c>
      <c r="CB736">
        <f>'Bookings and Drivers'!CJ198</f>
        <v>0</v>
      </c>
      <c r="CC736">
        <f>'Bookings and Drivers'!CK198</f>
        <v>0</v>
      </c>
      <c r="CD736">
        <f>'Bookings and Drivers'!CL198</f>
        <v>0</v>
      </c>
      <c r="CE736">
        <f>'Bookings and Drivers'!CM198</f>
        <v>0</v>
      </c>
      <c r="CF736">
        <f>'Bookings and Drivers'!CN198</f>
        <v>0</v>
      </c>
      <c r="CG736">
        <f>'Bookings and Drivers'!CO198</f>
        <v>0</v>
      </c>
      <c r="CH736">
        <f>'Bookings and Drivers'!CP198</f>
        <v>0</v>
      </c>
      <c r="CI736">
        <f>'Bookings and Drivers'!CQ198</f>
        <v>0</v>
      </c>
      <c r="CJ736">
        <f>'Bookings and Drivers'!CR198</f>
        <v>0</v>
      </c>
      <c r="CK736">
        <f>'Bookings and Drivers'!CS198</f>
        <v>3.733188521760078E-2</v>
      </c>
      <c r="CL736">
        <f>'Bookings and Drivers'!CT198</f>
        <v>8.7784968439723998E-2</v>
      </c>
      <c r="CM736">
        <f>'Bookings and Drivers'!CU198</f>
        <v>0.10952081480696303</v>
      </c>
      <c r="CN736">
        <f>'Bookings and Drivers'!CV198</f>
        <v>0.12330803252611204</v>
      </c>
      <c r="CO736">
        <f>'Bookings and Drivers'!CW198</f>
        <v>0.1574033275612938</v>
      </c>
      <c r="CP736">
        <f>'Bookings and Drivers'!CX198</f>
        <v>0.17628854320447201</v>
      </c>
      <c r="CQ736">
        <f>'Bookings and Drivers'!CY198</f>
        <v>0.20658997523522571</v>
      </c>
      <c r="CR736">
        <f>'Bookings and Drivers'!CZ198</f>
        <v>0</v>
      </c>
      <c r="CS736">
        <f>'Bookings and Drivers'!DA198</f>
        <v>0</v>
      </c>
      <c r="CT736">
        <f>'Bookings and Drivers'!DB198</f>
        <v>0</v>
      </c>
      <c r="CU736">
        <f>'Bookings and Drivers'!DC198</f>
        <v>0</v>
      </c>
      <c r="CV736">
        <f>'Bookings and Drivers'!DD198</f>
        <v>0</v>
      </c>
      <c r="CW736">
        <f>'Bookings and Drivers'!DE198</f>
        <v>0</v>
      </c>
      <c r="CX736">
        <f>'Bookings and Drivers'!DF198</f>
        <v>0</v>
      </c>
    </row>
    <row r="737" spans="1:102">
      <c r="A737">
        <f>'Bookings and Drivers'!I211</f>
        <v>0</v>
      </c>
      <c r="B737">
        <f>'Bookings and Drivers'!J211</f>
        <v>0</v>
      </c>
      <c r="C737">
        <f>'Bookings and Drivers'!K211</f>
        <v>0</v>
      </c>
      <c r="D737">
        <f>'Bookings and Drivers'!L211</f>
        <v>0</v>
      </c>
      <c r="E737">
        <f>'Bookings and Drivers'!M211</f>
        <v>0</v>
      </c>
      <c r="F737">
        <f>'Bookings and Drivers'!N211</f>
        <v>0</v>
      </c>
      <c r="G737">
        <f>'Bookings and Drivers'!O211</f>
        <v>0</v>
      </c>
      <c r="H737">
        <f>'Bookings and Drivers'!P211</f>
        <v>0</v>
      </c>
      <c r="I737">
        <f>'Bookings and Drivers'!Q211</f>
        <v>0</v>
      </c>
      <c r="J737">
        <f>'Bookings and Drivers'!R211</f>
        <v>0</v>
      </c>
      <c r="K737">
        <f>'Bookings and Drivers'!S211</f>
        <v>0</v>
      </c>
      <c r="L737">
        <f>'Bookings and Drivers'!T211</f>
        <v>0</v>
      </c>
      <c r="M737">
        <f>'Bookings and Drivers'!U211</f>
        <v>0</v>
      </c>
      <c r="N737">
        <f>'Bookings and Drivers'!V211</f>
        <v>0</v>
      </c>
      <c r="O737">
        <f>'Bookings and Drivers'!W211</f>
        <v>0</v>
      </c>
      <c r="P737">
        <f>'Bookings and Drivers'!X211</f>
        <v>0</v>
      </c>
      <c r="Q737">
        <f>'Bookings and Drivers'!Y211</f>
        <v>0</v>
      </c>
      <c r="R737">
        <f>'Bookings and Drivers'!Z211</f>
        <v>0</v>
      </c>
      <c r="S737">
        <f>'Bookings and Drivers'!AA211</f>
        <v>0</v>
      </c>
      <c r="T737">
        <f>'Bookings and Drivers'!AB211</f>
        <v>0</v>
      </c>
      <c r="U737">
        <f>'Bookings and Drivers'!AC211</f>
        <v>0</v>
      </c>
      <c r="V737">
        <f>'Bookings and Drivers'!AD211</f>
        <v>0</v>
      </c>
      <c r="W737">
        <f>'Bookings and Drivers'!AE211</f>
        <v>0</v>
      </c>
      <c r="X737">
        <f>'Bookings and Drivers'!AF211</f>
        <v>0</v>
      </c>
      <c r="Y737">
        <f>'Bookings and Drivers'!AG211</f>
        <v>0</v>
      </c>
      <c r="Z737">
        <f>'Bookings and Drivers'!AH211</f>
        <v>0</v>
      </c>
      <c r="AA737">
        <f>'Bookings and Drivers'!AI211</f>
        <v>0</v>
      </c>
      <c r="AB737">
        <f>'Bookings and Drivers'!AJ211</f>
        <v>0</v>
      </c>
      <c r="AC737">
        <f>'Bookings and Drivers'!AK211</f>
        <v>0</v>
      </c>
      <c r="AD737">
        <f>'Bookings and Drivers'!AL211</f>
        <v>0</v>
      </c>
      <c r="AE737">
        <f>'Bookings and Drivers'!AM211</f>
        <v>0</v>
      </c>
      <c r="AF737">
        <f>'Bookings and Drivers'!AN211</f>
        <v>0</v>
      </c>
      <c r="AG737">
        <f>'Bookings and Drivers'!AO211</f>
        <v>0</v>
      </c>
      <c r="AH737">
        <f>'Bookings and Drivers'!AP211</f>
        <v>0</v>
      </c>
      <c r="AI737">
        <f>'Bookings and Drivers'!AQ211</f>
        <v>0</v>
      </c>
      <c r="AJ737">
        <f>'Bookings and Drivers'!AR211</f>
        <v>0</v>
      </c>
      <c r="AK737">
        <f>'Bookings and Drivers'!AS211</f>
        <v>0</v>
      </c>
      <c r="AL737">
        <f>'Bookings and Drivers'!AT211</f>
        <v>0</v>
      </c>
      <c r="AM737">
        <f>'Bookings and Drivers'!AU211</f>
        <v>0</v>
      </c>
      <c r="AN737">
        <f>'Bookings and Drivers'!AV211</f>
        <v>0</v>
      </c>
      <c r="AO737">
        <f>'Bookings and Drivers'!AW211</f>
        <v>0</v>
      </c>
      <c r="AP737">
        <f>'Bookings and Drivers'!AX211</f>
        <v>0</v>
      </c>
      <c r="AQ737">
        <f>'Bookings and Drivers'!AY211</f>
        <v>0</v>
      </c>
      <c r="AR737">
        <f>'Bookings and Drivers'!AZ211</f>
        <v>0</v>
      </c>
      <c r="AS737">
        <f>'Bookings and Drivers'!BA211</f>
        <v>0</v>
      </c>
      <c r="AT737">
        <f>'Bookings and Drivers'!BB211</f>
        <v>0</v>
      </c>
      <c r="AU737">
        <f>'Bookings and Drivers'!BC211</f>
        <v>0</v>
      </c>
      <c r="AV737">
        <f>'Bookings and Drivers'!BD211</f>
        <v>0</v>
      </c>
      <c r="AW737">
        <f>'Bookings and Drivers'!BE211</f>
        <v>0</v>
      </c>
      <c r="AX737">
        <f>'Bookings and Drivers'!BF211</f>
        <v>0</v>
      </c>
      <c r="AY737">
        <f>'Bookings and Drivers'!BG211</f>
        <v>0</v>
      </c>
      <c r="AZ737">
        <f>'Bookings and Drivers'!BH211</f>
        <v>0</v>
      </c>
      <c r="BA737">
        <f>'Bookings and Drivers'!BI211</f>
        <v>0</v>
      </c>
      <c r="BB737">
        <f>'Bookings and Drivers'!BJ211</f>
        <v>0</v>
      </c>
      <c r="BC737">
        <f>'Bookings and Drivers'!BK211</f>
        <v>0</v>
      </c>
      <c r="BD737">
        <f>'Bookings and Drivers'!BL211</f>
        <v>0</v>
      </c>
      <c r="BE737">
        <f>'Bookings and Drivers'!BM211</f>
        <v>0</v>
      </c>
      <c r="BF737">
        <f>'Bookings and Drivers'!BN211</f>
        <v>0</v>
      </c>
      <c r="BG737">
        <f>'Bookings and Drivers'!BO211</f>
        <v>0</v>
      </c>
      <c r="BH737">
        <f>'Bookings and Drivers'!BP211</f>
        <v>0</v>
      </c>
      <c r="BI737">
        <f>'Bookings and Drivers'!BQ211</f>
        <v>0</v>
      </c>
      <c r="BJ737">
        <f>'Bookings and Drivers'!BR211</f>
        <v>0</v>
      </c>
      <c r="BK737">
        <f>'Bookings and Drivers'!BS211</f>
        <v>0</v>
      </c>
      <c r="BL737">
        <f>'Bookings and Drivers'!BT211</f>
        <v>0</v>
      </c>
      <c r="BM737">
        <f>'Bookings and Drivers'!BU211</f>
        <v>0</v>
      </c>
      <c r="BN737">
        <f>'Bookings and Drivers'!BV211</f>
        <v>0</v>
      </c>
      <c r="BO737">
        <f>'Bookings and Drivers'!BW211</f>
        <v>0</v>
      </c>
      <c r="BP737">
        <f>'Bookings and Drivers'!BX211</f>
        <v>0</v>
      </c>
      <c r="BQ737">
        <f>'Bookings and Drivers'!BY211</f>
        <v>0</v>
      </c>
      <c r="BR737">
        <f>'Bookings and Drivers'!BZ211</f>
        <v>0</v>
      </c>
      <c r="BS737">
        <f>'Bookings and Drivers'!CA211</f>
        <v>0</v>
      </c>
      <c r="BT737">
        <f>'Bookings and Drivers'!CB211</f>
        <v>0</v>
      </c>
      <c r="BU737">
        <f>'Bookings and Drivers'!CC211</f>
        <v>0</v>
      </c>
      <c r="BV737">
        <f>'Bookings and Drivers'!CD211</f>
        <v>0</v>
      </c>
      <c r="BW737">
        <f>'Bookings and Drivers'!CE211</f>
        <v>0</v>
      </c>
      <c r="BX737">
        <f>'Bookings and Drivers'!CF211</f>
        <v>0</v>
      </c>
      <c r="BY737">
        <f>'Bookings and Drivers'!CG211</f>
        <v>0</v>
      </c>
      <c r="BZ737">
        <f>'Bookings and Drivers'!CH211</f>
        <v>0</v>
      </c>
      <c r="CA737">
        <f>'Bookings and Drivers'!CI211</f>
        <v>0</v>
      </c>
      <c r="CB737">
        <f>'Bookings and Drivers'!CJ211</f>
        <v>0</v>
      </c>
      <c r="CC737">
        <f>'Bookings and Drivers'!CK211</f>
        <v>0</v>
      </c>
      <c r="CD737">
        <f>'Bookings and Drivers'!CL211</f>
        <v>0</v>
      </c>
      <c r="CE737">
        <f>'Bookings and Drivers'!CM211</f>
        <v>0</v>
      </c>
      <c r="CF737">
        <f>'Bookings and Drivers'!CN211</f>
        <v>0</v>
      </c>
      <c r="CG737">
        <f>'Bookings and Drivers'!CO211</f>
        <v>0</v>
      </c>
      <c r="CH737">
        <f>'Bookings and Drivers'!CP211</f>
        <v>0</v>
      </c>
      <c r="CI737">
        <f>'Bookings and Drivers'!CQ211</f>
        <v>0</v>
      </c>
      <c r="CJ737">
        <f>'Bookings and Drivers'!CR211</f>
        <v>0</v>
      </c>
      <c r="CK737">
        <f>'Bookings and Drivers'!CS209</f>
        <v>1.4414528799478741</v>
      </c>
      <c r="CL737">
        <f>'Bookings and Drivers'!CT209</f>
        <v>4.5838129039452973</v>
      </c>
      <c r="CM737">
        <f>'Bookings and Drivers'!CU209</f>
        <v>7.2607470114302517</v>
      </c>
      <c r="CN737">
        <f>'Bookings and Drivers'!CV209</f>
        <v>10.187191765672781</v>
      </c>
      <c r="CO737">
        <f>'Bookings and Drivers'!CW209</f>
        <v>16.53585011104623</v>
      </c>
      <c r="CP737">
        <f>'Bookings and Drivers'!CX209</f>
        <v>22.146176358891243</v>
      </c>
      <c r="CQ737">
        <f>'Bookings and Drivers'!CY209</f>
        <v>30.137634024894776</v>
      </c>
      <c r="CR737">
        <f>'Bookings and Drivers'!CZ209</f>
        <v>0</v>
      </c>
      <c r="CS737">
        <f>'Bookings and Drivers'!DA209</f>
        <v>0</v>
      </c>
      <c r="CT737">
        <f>'Bookings and Drivers'!DB209</f>
        <v>0</v>
      </c>
      <c r="CU737">
        <f>'Bookings and Drivers'!DC209</f>
        <v>0</v>
      </c>
      <c r="CV737">
        <f>'Bookings and Drivers'!DD209</f>
        <v>0</v>
      </c>
      <c r="CW737">
        <f>'Bookings and Drivers'!DE209</f>
        <v>0</v>
      </c>
      <c r="CX737">
        <f>'Bookings and Drivers'!DF209</f>
        <v>0</v>
      </c>
    </row>
    <row r="738" spans="1:102">
      <c r="A738" t="str">
        <f>'Bookings and Drivers'!I212</f>
        <v>Regional Hotel Bookings</v>
      </c>
      <c r="B738">
        <f>'Bookings and Drivers'!J212</f>
        <v>0</v>
      </c>
      <c r="C738">
        <f>'Bookings and Drivers'!K212</f>
        <v>0</v>
      </c>
      <c r="D738">
        <f>'Bookings and Drivers'!L212</f>
        <v>0</v>
      </c>
      <c r="E738">
        <f>'Bookings and Drivers'!M212</f>
        <v>0</v>
      </c>
      <c r="F738">
        <f>'Bookings and Drivers'!N212</f>
        <v>0</v>
      </c>
      <c r="G738">
        <f>'Bookings and Drivers'!O212</f>
        <v>0</v>
      </c>
      <c r="H738">
        <f>'Bookings and Drivers'!P212</f>
        <v>0</v>
      </c>
      <c r="I738">
        <f>'Bookings and Drivers'!Q212</f>
        <v>0</v>
      </c>
      <c r="J738">
        <f>'Bookings and Drivers'!R212</f>
        <v>0</v>
      </c>
      <c r="K738">
        <f>'Bookings and Drivers'!S212</f>
        <v>0</v>
      </c>
      <c r="L738">
        <f>'Bookings and Drivers'!T212</f>
        <v>0</v>
      </c>
      <c r="M738">
        <f>'Bookings and Drivers'!U212</f>
        <v>0</v>
      </c>
      <c r="N738">
        <f>'Bookings and Drivers'!V212</f>
        <v>0</v>
      </c>
      <c r="O738">
        <f>'Bookings and Drivers'!W212</f>
        <v>0</v>
      </c>
      <c r="P738">
        <f>'Bookings and Drivers'!X212</f>
        <v>0</v>
      </c>
      <c r="Q738">
        <f>'Bookings and Drivers'!Y212</f>
        <v>0</v>
      </c>
      <c r="R738">
        <f>'Bookings and Drivers'!Z212</f>
        <v>0</v>
      </c>
      <c r="S738">
        <f>'Bookings and Drivers'!AA212</f>
        <v>0</v>
      </c>
      <c r="T738">
        <f>'Bookings and Drivers'!AB212</f>
        <v>0</v>
      </c>
      <c r="U738">
        <f>'Bookings and Drivers'!AC212</f>
        <v>0</v>
      </c>
      <c r="V738">
        <f>'Bookings and Drivers'!AD212</f>
        <v>0</v>
      </c>
      <c r="W738">
        <f>'Bookings and Drivers'!AE212</f>
        <v>0</v>
      </c>
      <c r="X738">
        <f>'Bookings and Drivers'!AF212</f>
        <v>0</v>
      </c>
      <c r="Y738">
        <f>'Bookings and Drivers'!AG212</f>
        <v>0</v>
      </c>
      <c r="Z738">
        <f>'Bookings and Drivers'!AH212</f>
        <v>0</v>
      </c>
      <c r="AA738">
        <f>'Bookings and Drivers'!AI212</f>
        <v>0</v>
      </c>
      <c r="AB738">
        <f>'Bookings and Drivers'!AJ212</f>
        <v>0</v>
      </c>
      <c r="AC738">
        <f>'Bookings and Drivers'!AK212</f>
        <v>0</v>
      </c>
      <c r="AD738">
        <f>'Bookings and Drivers'!AL212</f>
        <v>0</v>
      </c>
      <c r="AE738">
        <f>'Bookings and Drivers'!AM212</f>
        <v>0</v>
      </c>
      <c r="AF738">
        <f>'Bookings and Drivers'!AN212</f>
        <v>0</v>
      </c>
      <c r="AG738">
        <f>'Bookings and Drivers'!AO212</f>
        <v>0</v>
      </c>
      <c r="AH738">
        <f>'Bookings and Drivers'!AP212</f>
        <v>0</v>
      </c>
      <c r="AI738">
        <f>'Bookings and Drivers'!AQ212</f>
        <v>0</v>
      </c>
      <c r="AJ738">
        <f>'Bookings and Drivers'!AR212</f>
        <v>0</v>
      </c>
      <c r="AK738">
        <f>'Bookings and Drivers'!AS212</f>
        <v>0</v>
      </c>
      <c r="AL738">
        <f>'Bookings and Drivers'!AT212</f>
        <v>0</v>
      </c>
      <c r="AM738">
        <f>'Bookings and Drivers'!AU212</f>
        <v>0</v>
      </c>
      <c r="AN738">
        <f>'Bookings and Drivers'!AV212</f>
        <v>0</v>
      </c>
      <c r="AO738">
        <f>'Bookings and Drivers'!AW212</f>
        <v>0</v>
      </c>
      <c r="AP738">
        <f>'Bookings and Drivers'!AX212</f>
        <v>0</v>
      </c>
      <c r="AQ738">
        <f>'Bookings and Drivers'!AY212</f>
        <v>0</v>
      </c>
      <c r="AR738">
        <f>'Bookings and Drivers'!AZ212</f>
        <v>0</v>
      </c>
      <c r="AS738">
        <f>'Bookings and Drivers'!BA212</f>
        <v>0</v>
      </c>
      <c r="AT738">
        <f>'Bookings and Drivers'!BB212</f>
        <v>0</v>
      </c>
      <c r="AU738">
        <f>'Bookings and Drivers'!BC212</f>
        <v>0</v>
      </c>
      <c r="AV738">
        <f>'Bookings and Drivers'!BD212</f>
        <v>0</v>
      </c>
      <c r="AW738">
        <f>'Bookings and Drivers'!BE212</f>
        <v>0</v>
      </c>
      <c r="AX738">
        <f>'Bookings and Drivers'!BF212</f>
        <v>0</v>
      </c>
      <c r="AY738">
        <f>'Bookings and Drivers'!BG212</f>
        <v>0</v>
      </c>
      <c r="AZ738">
        <f>'Bookings and Drivers'!BH212</f>
        <v>0</v>
      </c>
      <c r="BA738">
        <f>'Bookings and Drivers'!BI212</f>
        <v>0</v>
      </c>
      <c r="BB738">
        <f>'Bookings and Drivers'!BJ212</f>
        <v>0</v>
      </c>
      <c r="BC738">
        <f>'Bookings and Drivers'!BK212</f>
        <v>0</v>
      </c>
      <c r="BD738">
        <f>'Bookings and Drivers'!BL212</f>
        <v>0</v>
      </c>
      <c r="BE738">
        <f>'Bookings and Drivers'!BM212</f>
        <v>0</v>
      </c>
      <c r="BF738">
        <f>'Bookings and Drivers'!BN212</f>
        <v>0</v>
      </c>
      <c r="BG738">
        <f>'Bookings and Drivers'!BO212</f>
        <v>0</v>
      </c>
      <c r="BH738">
        <f>'Bookings and Drivers'!BP212</f>
        <v>0</v>
      </c>
      <c r="BI738">
        <f>'Bookings and Drivers'!BQ212</f>
        <v>0</v>
      </c>
      <c r="BJ738">
        <f>'Bookings and Drivers'!BR212</f>
        <v>0</v>
      </c>
      <c r="BK738">
        <f>'Bookings and Drivers'!BS212</f>
        <v>0</v>
      </c>
      <c r="BL738">
        <f>'Bookings and Drivers'!BT212</f>
        <v>0</v>
      </c>
      <c r="BM738">
        <f>'Bookings and Drivers'!BU212</f>
        <v>0</v>
      </c>
      <c r="BN738">
        <f>'Bookings and Drivers'!BV212</f>
        <v>0</v>
      </c>
      <c r="BO738">
        <f>'Bookings and Drivers'!BW212</f>
        <v>0</v>
      </c>
      <c r="BP738">
        <f>'Bookings and Drivers'!BX212</f>
        <v>0</v>
      </c>
      <c r="BQ738">
        <f>'Bookings and Drivers'!BY212</f>
        <v>0</v>
      </c>
      <c r="BR738">
        <f>'Bookings and Drivers'!BZ212</f>
        <v>0</v>
      </c>
      <c r="BS738">
        <f>'Bookings and Drivers'!CA212</f>
        <v>0</v>
      </c>
      <c r="BT738">
        <f>'Bookings and Drivers'!CB212</f>
        <v>0</v>
      </c>
      <c r="BU738">
        <f>'Bookings and Drivers'!CC212</f>
        <v>0</v>
      </c>
      <c r="BV738">
        <f>'Bookings and Drivers'!CD212</f>
        <v>0</v>
      </c>
      <c r="BW738">
        <f>'Bookings and Drivers'!CE212</f>
        <v>0</v>
      </c>
      <c r="BX738">
        <f>'Bookings and Drivers'!CF212</f>
        <v>0</v>
      </c>
      <c r="BY738">
        <f>'Bookings and Drivers'!CG212</f>
        <v>0</v>
      </c>
      <c r="BZ738">
        <f>'Bookings and Drivers'!CH212</f>
        <v>0</v>
      </c>
      <c r="CA738">
        <f>'Bookings and Drivers'!CI212</f>
        <v>0</v>
      </c>
      <c r="CB738">
        <f>'Bookings and Drivers'!CJ212</f>
        <v>0</v>
      </c>
      <c r="CC738">
        <f>'Bookings and Drivers'!CK212</f>
        <v>0</v>
      </c>
      <c r="CD738">
        <f>'Bookings and Drivers'!CL212</f>
        <v>0</v>
      </c>
      <c r="CE738">
        <f>'Bookings and Drivers'!CM212</f>
        <v>0</v>
      </c>
      <c r="CF738">
        <f>'Bookings and Drivers'!CN212</f>
        <v>0</v>
      </c>
      <c r="CG738">
        <f>'Bookings and Drivers'!CO212</f>
        <v>0</v>
      </c>
      <c r="CH738">
        <f>'Bookings and Drivers'!CP212</f>
        <v>0</v>
      </c>
      <c r="CI738">
        <f>'Bookings and Drivers'!CQ212</f>
        <v>0</v>
      </c>
      <c r="CJ738">
        <f>'Bookings and Drivers'!CR212</f>
        <v>0</v>
      </c>
      <c r="CK738">
        <f>'Bookings and Drivers'!CS212</f>
        <v>0</v>
      </c>
      <c r="CL738">
        <f>'Bookings and Drivers'!CT212</f>
        <v>0</v>
      </c>
      <c r="CM738">
        <f>'Bookings and Drivers'!CU212</f>
        <v>0</v>
      </c>
      <c r="CN738">
        <f>'Bookings and Drivers'!CV212</f>
        <v>0</v>
      </c>
      <c r="CO738">
        <f>'Bookings and Drivers'!CW212</f>
        <v>0</v>
      </c>
      <c r="CP738">
        <f>'Bookings and Drivers'!CX212</f>
        <v>0</v>
      </c>
      <c r="CQ738">
        <f>'Bookings and Drivers'!CY212</f>
        <v>0</v>
      </c>
      <c r="CR738">
        <f>'Bookings and Drivers'!CZ212</f>
        <v>0</v>
      </c>
      <c r="CS738">
        <f>'Bookings and Drivers'!DA212</f>
        <v>0</v>
      </c>
      <c r="CT738">
        <f>'Bookings and Drivers'!DB212</f>
        <v>0</v>
      </c>
      <c r="CU738">
        <f>'Bookings and Drivers'!DC212</f>
        <v>0</v>
      </c>
      <c r="CV738">
        <f>'Bookings and Drivers'!DD212</f>
        <v>0</v>
      </c>
      <c r="CW738">
        <f>'Bookings and Drivers'!DE212</f>
        <v>0</v>
      </c>
      <c r="CX738">
        <f>'Bookings and Drivers'!DF212</f>
        <v>0</v>
      </c>
    </row>
    <row r="739" spans="1:102">
      <c r="A739" t="str">
        <f>'Bookings and Drivers'!I213</f>
        <v>APAC Bookings</v>
      </c>
      <c r="B739">
        <f>'Bookings and Drivers'!J213</f>
        <v>0</v>
      </c>
      <c r="C739">
        <f>'Bookings and Drivers'!K213</f>
        <v>0</v>
      </c>
      <c r="D739">
        <f>'Bookings and Drivers'!L213</f>
        <v>0</v>
      </c>
      <c r="E739">
        <f>'Bookings and Drivers'!M213</f>
        <v>0</v>
      </c>
      <c r="F739">
        <f>'Bookings and Drivers'!N213</f>
        <v>0</v>
      </c>
      <c r="G739">
        <f>'Bookings and Drivers'!O213</f>
        <v>0</v>
      </c>
      <c r="H739">
        <f>'Bookings and Drivers'!P213</f>
        <v>0</v>
      </c>
      <c r="I739">
        <f>'Bookings and Drivers'!Q213</f>
        <v>0</v>
      </c>
      <c r="J739">
        <f>'Bookings and Drivers'!R213</f>
        <v>0</v>
      </c>
      <c r="K739">
        <f>'Bookings and Drivers'!S213</f>
        <v>0</v>
      </c>
      <c r="L739">
        <f>'Bookings and Drivers'!T213</f>
        <v>0</v>
      </c>
      <c r="M739">
        <f>'Bookings and Drivers'!U213</f>
        <v>0</v>
      </c>
      <c r="N739">
        <f>'Bookings and Drivers'!V213</f>
        <v>0</v>
      </c>
      <c r="O739">
        <f>'Bookings and Drivers'!W213</f>
        <v>0</v>
      </c>
      <c r="P739">
        <f>'Bookings and Drivers'!X213</f>
        <v>0</v>
      </c>
      <c r="Q739">
        <f>'Bookings and Drivers'!Y213</f>
        <v>0</v>
      </c>
      <c r="R739">
        <f>'Bookings and Drivers'!Z213</f>
        <v>0</v>
      </c>
      <c r="S739">
        <f>'Bookings and Drivers'!AA213</f>
        <v>0</v>
      </c>
      <c r="T739">
        <f>'Bookings and Drivers'!AB213</f>
        <v>0</v>
      </c>
      <c r="U739">
        <f>'Bookings and Drivers'!AC213</f>
        <v>0</v>
      </c>
      <c r="V739">
        <f>'Bookings and Drivers'!AD213</f>
        <v>0</v>
      </c>
      <c r="W739">
        <f>'Bookings and Drivers'!AE213</f>
        <v>0</v>
      </c>
      <c r="X739">
        <f>'Bookings and Drivers'!AF213</f>
        <v>0</v>
      </c>
      <c r="Y739">
        <f>'Bookings and Drivers'!AG213</f>
        <v>0</v>
      </c>
      <c r="Z739">
        <f>'Bookings and Drivers'!AH213</f>
        <v>0</v>
      </c>
      <c r="AA739">
        <f>'Bookings and Drivers'!AI213</f>
        <v>0</v>
      </c>
      <c r="AB739">
        <f>'Bookings and Drivers'!AJ213</f>
        <v>0</v>
      </c>
      <c r="AC739">
        <f>'Bookings and Drivers'!AK213</f>
        <v>0</v>
      </c>
      <c r="AD739">
        <f>'Bookings and Drivers'!AL213</f>
        <v>0</v>
      </c>
      <c r="AE739">
        <f>'Bookings and Drivers'!AM213</f>
        <v>0</v>
      </c>
      <c r="AF739">
        <f>'Bookings and Drivers'!AN213</f>
        <v>0</v>
      </c>
      <c r="AG739">
        <f>'Bookings and Drivers'!AO213</f>
        <v>0</v>
      </c>
      <c r="AH739">
        <f>'Bookings and Drivers'!AP213</f>
        <v>0</v>
      </c>
      <c r="AI739">
        <f>'Bookings and Drivers'!AQ213</f>
        <v>0</v>
      </c>
      <c r="AJ739">
        <f>'Bookings and Drivers'!AR213</f>
        <v>0</v>
      </c>
      <c r="AK739">
        <f>'Bookings and Drivers'!AS213</f>
        <v>0</v>
      </c>
      <c r="AL739">
        <f>'Bookings and Drivers'!AT213</f>
        <v>0</v>
      </c>
      <c r="AM739">
        <f>'Bookings and Drivers'!AU213</f>
        <v>0</v>
      </c>
      <c r="AN739">
        <f>'Bookings and Drivers'!AV213</f>
        <v>0</v>
      </c>
      <c r="AO739">
        <f>'Bookings and Drivers'!AW213</f>
        <v>0</v>
      </c>
      <c r="AP739">
        <f>'Bookings and Drivers'!AX213</f>
        <v>0</v>
      </c>
      <c r="AQ739">
        <f>'Bookings and Drivers'!AY213</f>
        <v>0</v>
      </c>
      <c r="AR739">
        <f>'Bookings and Drivers'!AZ213</f>
        <v>0</v>
      </c>
      <c r="AS739">
        <f>'Bookings and Drivers'!BA213</f>
        <v>0</v>
      </c>
      <c r="AT739">
        <f>'Bookings and Drivers'!BB213</f>
        <v>0</v>
      </c>
      <c r="AU739">
        <f>'Bookings and Drivers'!BC213</f>
        <v>0</v>
      </c>
      <c r="AV739">
        <f>'Bookings and Drivers'!BD213</f>
        <v>0</v>
      </c>
      <c r="AW739">
        <f>'Bookings and Drivers'!BE213</f>
        <v>0</v>
      </c>
      <c r="AX739">
        <f>'Bookings and Drivers'!BF213</f>
        <v>0</v>
      </c>
      <c r="AY739">
        <f>'Bookings and Drivers'!BG213</f>
        <v>0</v>
      </c>
      <c r="AZ739">
        <f>'Bookings and Drivers'!BH213</f>
        <v>0</v>
      </c>
      <c r="BA739">
        <f>'Bookings and Drivers'!BI213</f>
        <v>0</v>
      </c>
      <c r="BB739">
        <f>'Bookings and Drivers'!BJ213</f>
        <v>0</v>
      </c>
      <c r="BC739">
        <f>'Bookings and Drivers'!BK213</f>
        <v>0</v>
      </c>
      <c r="BD739">
        <f>'Bookings and Drivers'!BL213</f>
        <v>0</v>
      </c>
      <c r="BE739">
        <f>'Bookings and Drivers'!BM213</f>
        <v>0</v>
      </c>
      <c r="BF739">
        <f>'Bookings and Drivers'!BN213</f>
        <v>0</v>
      </c>
      <c r="BG739">
        <f>'Bookings and Drivers'!BO213</f>
        <v>0</v>
      </c>
      <c r="BH739">
        <f>'Bookings and Drivers'!BP213</f>
        <v>0</v>
      </c>
      <c r="BI739">
        <f>'Bookings and Drivers'!BQ213</f>
        <v>0</v>
      </c>
      <c r="BJ739">
        <f>'Bookings and Drivers'!BR213</f>
        <v>0</v>
      </c>
      <c r="BK739">
        <f>'Bookings and Drivers'!BS213</f>
        <v>0</v>
      </c>
      <c r="BL739">
        <f>'Bookings and Drivers'!BT213</f>
        <v>0</v>
      </c>
      <c r="BM739">
        <f>'Bookings and Drivers'!BU213</f>
        <v>0</v>
      </c>
      <c r="BN739">
        <f>'Bookings and Drivers'!BV213</f>
        <v>0</v>
      </c>
      <c r="BO739">
        <f>'Bookings and Drivers'!BW213</f>
        <v>0</v>
      </c>
      <c r="BP739">
        <f>'Bookings and Drivers'!BX213</f>
        <v>0</v>
      </c>
      <c r="BQ739">
        <f>'Bookings and Drivers'!BY213</f>
        <v>0</v>
      </c>
      <c r="BR739">
        <f>'Bookings and Drivers'!BZ213</f>
        <v>0</v>
      </c>
      <c r="BS739">
        <f>'Bookings and Drivers'!CA213</f>
        <v>0</v>
      </c>
      <c r="BT739">
        <f>'Bookings and Drivers'!CB213</f>
        <v>0</v>
      </c>
      <c r="BU739">
        <f>'Bookings and Drivers'!CC213</f>
        <v>0</v>
      </c>
      <c r="BV739">
        <f>'Bookings and Drivers'!CD213</f>
        <v>0</v>
      </c>
      <c r="BW739">
        <f>'Bookings and Drivers'!CE213</f>
        <v>0</v>
      </c>
      <c r="BX739">
        <f>'Bookings and Drivers'!CF213</f>
        <v>0</v>
      </c>
      <c r="BY739">
        <f>'Bookings and Drivers'!CG213</f>
        <v>0</v>
      </c>
      <c r="BZ739">
        <f>'Bookings and Drivers'!CH213</f>
        <v>0</v>
      </c>
      <c r="CA739">
        <f>'Bookings and Drivers'!CI213</f>
        <v>0</v>
      </c>
      <c r="CB739">
        <f>'Bookings and Drivers'!CJ213</f>
        <v>0</v>
      </c>
      <c r="CC739">
        <f>'Bookings and Drivers'!CK213</f>
        <v>0</v>
      </c>
      <c r="CD739">
        <f>'Bookings and Drivers'!CL213</f>
        <v>0</v>
      </c>
      <c r="CE739">
        <f>'Bookings and Drivers'!CM213</f>
        <v>0</v>
      </c>
      <c r="CF739">
        <f>'Bookings and Drivers'!CN213</f>
        <v>0</v>
      </c>
      <c r="CG739">
        <f>'Bookings and Drivers'!CO213</f>
        <v>0</v>
      </c>
      <c r="CH739">
        <f>'Bookings and Drivers'!CP213</f>
        <v>0</v>
      </c>
      <c r="CI739">
        <f>'Bookings and Drivers'!CQ213</f>
        <v>0</v>
      </c>
      <c r="CJ739">
        <f>'Bookings and Drivers'!CR213</f>
        <v>0</v>
      </c>
      <c r="CK739">
        <f>'Bookings and Drivers'!CS213</f>
        <v>0</v>
      </c>
      <c r="CL739">
        <f>'Bookings and Drivers'!CT213</f>
        <v>0</v>
      </c>
      <c r="CM739">
        <f>'Bookings and Drivers'!CU213</f>
        <v>0</v>
      </c>
      <c r="CN739">
        <f>'Bookings and Drivers'!CV213</f>
        <v>0</v>
      </c>
      <c r="CO739">
        <f>'Bookings and Drivers'!CW213</f>
        <v>0</v>
      </c>
      <c r="CP739">
        <f>'Bookings and Drivers'!CX213</f>
        <v>0</v>
      </c>
      <c r="CQ739">
        <f>'Bookings and Drivers'!CY213</f>
        <v>0</v>
      </c>
      <c r="CR739">
        <f>'Bookings and Drivers'!CZ213</f>
        <v>0</v>
      </c>
      <c r="CS739">
        <f>'Bookings and Drivers'!DA213</f>
        <v>0</v>
      </c>
      <c r="CT739">
        <f>'Bookings and Drivers'!DB213</f>
        <v>0</v>
      </c>
      <c r="CU739">
        <f>'Bookings and Drivers'!DC213</f>
        <v>0</v>
      </c>
      <c r="CV739">
        <f>'Bookings and Drivers'!DD213</f>
        <v>0</v>
      </c>
      <c r="CW739">
        <f>'Bookings and Drivers'!DE213</f>
        <v>0</v>
      </c>
      <c r="CX739">
        <f>'Bookings and Drivers'!DF213</f>
        <v>0</v>
      </c>
    </row>
    <row r="740" spans="1:102">
      <c r="A740" t="str">
        <f>'Bookings and Drivers'!I214</f>
        <v>Agoda</v>
      </c>
      <c r="B740">
        <f>'Bookings and Drivers'!J214</f>
        <v>0</v>
      </c>
      <c r="C740">
        <f>'Bookings and Drivers'!K214</f>
        <v>0</v>
      </c>
      <c r="D740">
        <f>'Bookings and Drivers'!L214</f>
        <v>0</v>
      </c>
      <c r="E740">
        <f>'Bookings and Drivers'!M214</f>
        <v>0</v>
      </c>
      <c r="F740">
        <f>'Bookings and Drivers'!N214</f>
        <v>0</v>
      </c>
      <c r="G740">
        <f>'Bookings and Drivers'!O214</f>
        <v>0</v>
      </c>
      <c r="H740">
        <f>'Bookings and Drivers'!P214</f>
        <v>0</v>
      </c>
      <c r="I740">
        <f>'Bookings and Drivers'!Q214</f>
        <v>0</v>
      </c>
      <c r="J740">
        <f>'Bookings and Drivers'!R214</f>
        <v>0</v>
      </c>
      <c r="K740">
        <f>'Bookings and Drivers'!S214</f>
        <v>0</v>
      </c>
      <c r="L740">
        <f>'Bookings and Drivers'!T214</f>
        <v>0</v>
      </c>
      <c r="M740">
        <f>'Bookings and Drivers'!U214</f>
        <v>0</v>
      </c>
      <c r="N740">
        <f>'Bookings and Drivers'!V214</f>
        <v>0</v>
      </c>
      <c r="O740">
        <f>'Bookings and Drivers'!W214</f>
        <v>0</v>
      </c>
      <c r="P740">
        <f>'Bookings and Drivers'!X214</f>
        <v>0</v>
      </c>
      <c r="Q740">
        <f>'Bookings and Drivers'!Y214</f>
        <v>0</v>
      </c>
      <c r="R740">
        <f>'Bookings and Drivers'!Z214</f>
        <v>0</v>
      </c>
      <c r="S740">
        <f>'Bookings and Drivers'!AA214</f>
        <v>0</v>
      </c>
      <c r="T740">
        <f>'Bookings and Drivers'!AB214</f>
        <v>0</v>
      </c>
      <c r="U740">
        <f>'Bookings and Drivers'!AC214</f>
        <v>0</v>
      </c>
      <c r="V740">
        <f>'Bookings and Drivers'!AD214</f>
        <v>0</v>
      </c>
      <c r="W740">
        <f>'Bookings and Drivers'!AE214</f>
        <v>0</v>
      </c>
      <c r="X740">
        <f>'Bookings and Drivers'!AF214</f>
        <v>0</v>
      </c>
      <c r="Y740">
        <f>'Bookings and Drivers'!AG214</f>
        <v>0</v>
      </c>
      <c r="Z740">
        <f>'Bookings and Drivers'!AH214</f>
        <v>0</v>
      </c>
      <c r="AA740">
        <f>'Bookings and Drivers'!AI214</f>
        <v>0</v>
      </c>
      <c r="AB740">
        <f>'Bookings and Drivers'!AJ214</f>
        <v>0</v>
      </c>
      <c r="AC740">
        <f>'Bookings and Drivers'!AK214</f>
        <v>0</v>
      </c>
      <c r="AD740">
        <f>'Bookings and Drivers'!AL214</f>
        <v>0</v>
      </c>
      <c r="AE740">
        <f>'Bookings and Drivers'!AM214</f>
        <v>0</v>
      </c>
      <c r="AF740">
        <f>'Bookings and Drivers'!AN214</f>
        <v>13.4</v>
      </c>
      <c r="AG740">
        <f>'Bookings and Drivers'!AO214</f>
        <v>24.6</v>
      </c>
      <c r="AH740">
        <f>'Bookings and Drivers'!AP214</f>
        <v>24.2</v>
      </c>
      <c r="AI740">
        <f>'Bookings and Drivers'!AQ214</f>
        <v>32.4</v>
      </c>
      <c r="AJ740">
        <f>'Bookings and Drivers'!AR214</f>
        <v>37.5</v>
      </c>
      <c r="AK740">
        <f>'Bookings and Drivers'!AS214</f>
        <v>57.81</v>
      </c>
      <c r="AL740">
        <f>'Bookings and Drivers'!AT214</f>
        <v>56.87</v>
      </c>
      <c r="AM740">
        <f>'Bookings and Drivers'!AU214</f>
        <v>77.759999999999991</v>
      </c>
      <c r="AN740">
        <f>'Bookings and Drivers'!AV214</f>
        <v>82.5</v>
      </c>
      <c r="AO740">
        <f>'Bookings and Drivers'!AW214</f>
        <v>157.2432</v>
      </c>
      <c r="AP740">
        <f>'Bookings and Drivers'!AX214</f>
        <v>153.54900000000001</v>
      </c>
      <c r="AQ740">
        <f>'Bookings and Drivers'!AY214</f>
        <v>206.06399999999996</v>
      </c>
      <c r="AR740">
        <f>'Bookings and Drivers'!AZ214</f>
        <v>215.32500000000002</v>
      </c>
      <c r="AS740">
        <f>'Bookings and Drivers'!BA214</f>
        <v>345.93504000000001</v>
      </c>
      <c r="AT740">
        <f>'Bookings and Drivers'!BB214</f>
        <v>391.54994999999997</v>
      </c>
      <c r="AU740">
        <f>'Bookings and Drivers'!BC214</f>
        <v>412.12799999999993</v>
      </c>
      <c r="AV740">
        <f>'Bookings and Drivers'!BD214</f>
        <v>430.65000000000003</v>
      </c>
      <c r="AW740">
        <f>'Bookings and Drivers'!BE214</f>
        <v>588.08956799999999</v>
      </c>
      <c r="AX740">
        <f>'Bookings and Drivers'!BF214</f>
        <v>665.63491499999998</v>
      </c>
      <c r="AY740">
        <f>'Bookings and Drivers'!BG214</f>
        <v>692.3750399999999</v>
      </c>
      <c r="AZ740">
        <f>'Bookings and Drivers'!BH214</f>
        <v>689.04000000000008</v>
      </c>
      <c r="BA740">
        <f>'Bookings and Drivers'!BI214</f>
        <v>846.84897791999992</v>
      </c>
      <c r="BB740">
        <f>'Bookings and Drivers'!BJ214</f>
        <v>998.45237249999991</v>
      </c>
      <c r="BC740">
        <f>'Bookings and Drivers'!BK214</f>
        <v>990.09630719999984</v>
      </c>
      <c r="BD740">
        <f>'Bookings and Drivers'!BL214</f>
        <v>930.20400000000018</v>
      </c>
      <c r="BE740">
        <f>'Bookings and Drivers'!BM214</f>
        <v>1100.9036712959999</v>
      </c>
      <c r="BF740">
        <f>'Bookings and Drivers'!BN214</f>
        <v>1297.9880842499999</v>
      </c>
      <c r="BG740">
        <f>'Bookings and Drivers'!BO214</f>
        <v>1287.1251993599999</v>
      </c>
      <c r="BH740">
        <f>'Bookings and Drivers'!BP214</f>
        <v>1209.2652000000003</v>
      </c>
      <c r="BI740">
        <f>'Bookings and Drivers'!BQ214</f>
        <v>1321.0844055551997</v>
      </c>
      <c r="BJ740">
        <f>'Bookings and Drivers'!BR214</f>
        <v>1557.5857010999998</v>
      </c>
      <c r="BK740">
        <f>'Bookings and Drivers'!BS214</f>
        <v>1158.4126794239999</v>
      </c>
      <c r="BL740">
        <f>'Bookings and Drivers'!BT214</f>
        <v>1330.1917200000005</v>
      </c>
      <c r="BM740">
        <f>'Bookings and Drivers'!BU214</f>
        <v>1690.9880391106558</v>
      </c>
      <c r="BN740">
        <f>'Bookings and Drivers'!BV214</f>
        <v>1946.9821263749998</v>
      </c>
      <c r="BO740">
        <f>'Bookings and Drivers'!BW214</f>
        <v>1482.7682296627199</v>
      </c>
      <c r="BP740">
        <f>'Bookings and Drivers'!BX214</f>
        <v>1702.6454016000007</v>
      </c>
      <c r="BQ740">
        <f>'Bookings and Drivers'!BY214</f>
        <v>2113.7350488883199</v>
      </c>
      <c r="BR740">
        <f>'Bookings and Drivers'!BZ214</f>
        <v>2433.7276579687496</v>
      </c>
      <c r="BS740">
        <f>'Bookings and Drivers'!CA214</f>
        <v>1853.4602870783999</v>
      </c>
      <c r="BT740">
        <f>'Bookings and Drivers'!CB214</f>
        <v>2128.3067520000009</v>
      </c>
      <c r="BU740">
        <f>'Bookings and Drivers'!CC214</f>
        <v>2430.7953062215674</v>
      </c>
      <c r="BV740">
        <f>'Bookings and Drivers'!CD214</f>
        <v>2798.7868066640617</v>
      </c>
      <c r="BW740">
        <f>'Bookings and Drivers'!CE214</f>
        <v>2131.4793301401596</v>
      </c>
      <c r="BX740">
        <f>'Bookings and Drivers'!CF214</f>
        <v>2447.5527648000007</v>
      </c>
      <c r="BY740">
        <f>'Bookings and Drivers'!CG214</f>
        <v>0</v>
      </c>
      <c r="BZ740">
        <f>'Bookings and Drivers'!CH214</f>
        <v>0</v>
      </c>
      <c r="CA740">
        <f>'Bookings and Drivers'!CI214</f>
        <v>0</v>
      </c>
      <c r="CB740">
        <f>'Bookings and Drivers'!CJ214</f>
        <v>0</v>
      </c>
      <c r="CC740">
        <f>'Bookings and Drivers'!CK214</f>
        <v>0</v>
      </c>
      <c r="CD740">
        <f>'Bookings and Drivers'!CL214</f>
        <v>0</v>
      </c>
      <c r="CE740">
        <f>'Bookings and Drivers'!CM214</f>
        <v>0</v>
      </c>
      <c r="CF740">
        <f>'Bookings and Drivers'!CN214</f>
        <v>0</v>
      </c>
      <c r="CG740">
        <f>'Bookings and Drivers'!CO214</f>
        <v>118.69999999999999</v>
      </c>
      <c r="CH740">
        <f>'Bookings and Drivers'!CP214</f>
        <v>274.94</v>
      </c>
      <c r="CI740">
        <f>'Bookings and Drivers'!CQ214</f>
        <v>732.18119999999999</v>
      </c>
      <c r="CJ740">
        <f>'Bookings and Drivers'!CR214</f>
        <v>1580.2629899999999</v>
      </c>
      <c r="CK740">
        <f>'Bookings and Drivers'!CS214</f>
        <v>2635.1395229999998</v>
      </c>
      <c r="CL740">
        <f>'Bookings and Drivers'!CT214</f>
        <v>3765.60165762</v>
      </c>
      <c r="CM740">
        <f>'Bookings and Drivers'!CU214</f>
        <v>4895.282154906</v>
      </c>
      <c r="CN740">
        <f>'Bookings and Drivers'!CV214</f>
        <v>5367.2745060792004</v>
      </c>
      <c r="CO740">
        <f>'Bookings and Drivers'!CW214</f>
        <v>6823.383796748376</v>
      </c>
      <c r="CP740">
        <f>'Bookings and Drivers'!CX214</f>
        <v>8529.2297459354704</v>
      </c>
      <c r="CQ740">
        <f>'Bookings and Drivers'!CY214</f>
        <v>9808.6142078257908</v>
      </c>
      <c r="CR740">
        <f>'Bookings and Drivers'!CZ214</f>
        <v>11059.212519323579</v>
      </c>
      <c r="CS740">
        <f>'Bookings and Drivers'!DA214</f>
        <v>12257.754676105271</v>
      </c>
      <c r="CT740">
        <f>'Bookings and Drivers'!DB214</f>
        <v>13402.322518986601</v>
      </c>
      <c r="CU740">
        <f>'Bookings and Drivers'!DC214</f>
        <v>14452.729546412174</v>
      </c>
      <c r="CV740">
        <f>'Bookings and Drivers'!DD214</f>
        <v>15585.462224612227</v>
      </c>
      <c r="CW740">
        <f>'Bookings and Drivers'!DE214</f>
        <v>16806.972826466208</v>
      </c>
      <c r="CX740">
        <f>'Bookings and Drivers'!DF214</f>
        <v>18124.219321740497</v>
      </c>
    </row>
    <row r="741" spans="1:102">
      <c r="A741" t="str">
        <f>'Bookings and Drivers'!I215</f>
        <v>Booking.com</v>
      </c>
      <c r="B741">
        <f>'Bookings and Drivers'!J215</f>
        <v>0</v>
      </c>
      <c r="C741">
        <f>'Bookings and Drivers'!K215</f>
        <v>0</v>
      </c>
      <c r="D741">
        <f>'Bookings and Drivers'!L215</f>
        <v>0</v>
      </c>
      <c r="E741">
        <f>'Bookings and Drivers'!M215</f>
        <v>0</v>
      </c>
      <c r="F741">
        <f>'Bookings and Drivers'!N215</f>
        <v>0</v>
      </c>
      <c r="G741">
        <f>'Bookings and Drivers'!O215</f>
        <v>0</v>
      </c>
      <c r="H741">
        <f>'Bookings and Drivers'!P215</f>
        <v>0</v>
      </c>
      <c r="I741">
        <f>'Bookings and Drivers'!Q215</f>
        <v>0</v>
      </c>
      <c r="J741">
        <f>'Bookings and Drivers'!R215</f>
        <v>0</v>
      </c>
      <c r="K741">
        <f>'Bookings and Drivers'!S215</f>
        <v>0</v>
      </c>
      <c r="L741">
        <f>'Bookings and Drivers'!T215</f>
        <v>0</v>
      </c>
      <c r="M741">
        <f>'Bookings and Drivers'!U215</f>
        <v>0</v>
      </c>
      <c r="N741">
        <f>'Bookings and Drivers'!V215</f>
        <v>0</v>
      </c>
      <c r="O741">
        <f>'Bookings and Drivers'!W215</f>
        <v>0</v>
      </c>
      <c r="P741">
        <f>'Bookings and Drivers'!X215</f>
        <v>0</v>
      </c>
      <c r="Q741">
        <f>'Bookings and Drivers'!Y215</f>
        <v>0</v>
      </c>
      <c r="R741">
        <f>'Bookings and Drivers'!Z215</f>
        <v>0</v>
      </c>
      <c r="S741">
        <f>'Bookings and Drivers'!AA215</f>
        <v>0</v>
      </c>
      <c r="T741">
        <f>'Bookings and Drivers'!AB215</f>
        <v>0</v>
      </c>
      <c r="U741">
        <f>'Bookings and Drivers'!AC215</f>
        <v>0</v>
      </c>
      <c r="V741">
        <f>'Bookings and Drivers'!AD215</f>
        <v>0</v>
      </c>
      <c r="W741">
        <f>'Bookings and Drivers'!AE215</f>
        <v>0</v>
      </c>
      <c r="X741">
        <f>'Bookings and Drivers'!AF215</f>
        <v>0</v>
      </c>
      <c r="Y741">
        <f>'Bookings and Drivers'!AG215</f>
        <v>0</v>
      </c>
      <c r="Z741">
        <f>'Bookings and Drivers'!AH215</f>
        <v>0</v>
      </c>
      <c r="AA741">
        <f>'Bookings and Drivers'!AI215</f>
        <v>0</v>
      </c>
      <c r="AB741">
        <f>'Bookings and Drivers'!AJ215</f>
        <v>0</v>
      </c>
      <c r="AC741">
        <f>'Bookings and Drivers'!AK215</f>
        <v>0</v>
      </c>
      <c r="AD741">
        <f>'Bookings and Drivers'!AL215</f>
        <v>0</v>
      </c>
      <c r="AE741">
        <f>'Bookings and Drivers'!AM215</f>
        <v>0</v>
      </c>
      <c r="AF741">
        <f>'Bookings and Drivers'!AN215</f>
        <v>0</v>
      </c>
      <c r="AG741">
        <f>'Bookings and Drivers'!AO215</f>
        <v>0</v>
      </c>
      <c r="AH741">
        <f>'Bookings and Drivers'!AP215</f>
        <v>0</v>
      </c>
      <c r="AI741">
        <f>'Bookings and Drivers'!AQ215</f>
        <v>0</v>
      </c>
      <c r="AJ741">
        <f>'Bookings and Drivers'!AR215</f>
        <v>0</v>
      </c>
      <c r="AK741">
        <f>'Bookings and Drivers'!AS215</f>
        <v>26.163670628057151</v>
      </c>
      <c r="AL741">
        <f>'Bookings and Drivers'!AT215</f>
        <v>24.334340811786486</v>
      </c>
      <c r="AM741">
        <f>'Bookings and Drivers'!AU215</f>
        <v>30.981469931342119</v>
      </c>
      <c r="AN741">
        <f>'Bookings and Drivers'!AV215</f>
        <v>28.389131690584257</v>
      </c>
      <c r="AO741">
        <f>'Bookings and Drivers'!AW215</f>
        <v>52.327341256114302</v>
      </c>
      <c r="AP741">
        <f>'Bookings and Drivers'!AX215</f>
        <v>48.668681623572972</v>
      </c>
      <c r="AQ741">
        <f>'Bookings and Drivers'!AY215</f>
        <v>63.614845429728469</v>
      </c>
      <c r="AR741">
        <f>'Bookings and Drivers'!AZ215</f>
        <v>61.89782922646063</v>
      </c>
      <c r="AS741">
        <f>'Bookings and Drivers'!BA215</f>
        <v>112.50378370064574</v>
      </c>
      <c r="AT741">
        <f>'Bookings and Drivers'!BB215</f>
        <v>111.93796773421782</v>
      </c>
      <c r="AU741">
        <f>'Bookings and Drivers'!BC215</f>
        <v>146.31414448837546</v>
      </c>
      <c r="AV741">
        <f>'Bookings and Drivers'!BD215</f>
        <v>142.36500722085944</v>
      </c>
      <c r="AW741">
        <f>'Bookings and Drivers'!BE215</f>
        <v>180.00605392103319</v>
      </c>
      <c r="AX741">
        <f>'Bookings and Drivers'!BF215</f>
        <v>179.10074837474852</v>
      </c>
      <c r="AY741">
        <f>'Bookings and Drivers'!BG215</f>
        <v>234.10263118140074</v>
      </c>
      <c r="AZ741">
        <f>'Bookings and Drivers'!BH215</f>
        <v>227.78401155337511</v>
      </c>
      <c r="BA741">
        <f>'Bookings and Drivers'!BI215</f>
        <v>288.00968627365313</v>
      </c>
      <c r="BB741">
        <f>'Bookings and Drivers'!BJ215</f>
        <v>286.56119739959763</v>
      </c>
      <c r="BC741">
        <f>'Bookings and Drivers'!BK215</f>
        <v>374.56420989024122</v>
      </c>
      <c r="BD741">
        <f>'Bookings and Drivers'!BL215</f>
        <v>364.4544184854002</v>
      </c>
      <c r="BE741">
        <f>'Bookings and Drivers'!BM215</f>
        <v>417.61404509679704</v>
      </c>
      <c r="BF741">
        <f>'Bookings and Drivers'!BN215</f>
        <v>415.51373622941657</v>
      </c>
      <c r="BG741">
        <f>'Bookings and Drivers'!BO215</f>
        <v>543.11810434084975</v>
      </c>
      <c r="BH741">
        <f>'Bookings and Drivers'!BP215</f>
        <v>528.45890680383025</v>
      </c>
      <c r="BI741">
        <f>'Bookings and Drivers'!BQ215</f>
        <v>563.7789608806761</v>
      </c>
      <c r="BJ741">
        <f>'Bookings and Drivers'!BR215</f>
        <v>560.94354390971239</v>
      </c>
      <c r="BK741">
        <f>'Bookings and Drivers'!BS215</f>
        <v>733.2094408601472</v>
      </c>
      <c r="BL741">
        <f>'Bookings and Drivers'!BT215</f>
        <v>713.41952418517087</v>
      </c>
      <c r="BM741">
        <f>'Bookings and Drivers'!BU215</f>
        <v>749.82601797129928</v>
      </c>
      <c r="BN741">
        <f>'Bookings and Drivers'!BV215</f>
        <v>718.00773620443192</v>
      </c>
      <c r="BO741">
        <f>'Bookings and Drivers'!BW215</f>
        <v>938.50808430098846</v>
      </c>
      <c r="BP741">
        <f>'Bookings and Drivers'!BX215</f>
        <v>913.17699095701869</v>
      </c>
      <c r="BQ741">
        <f>'Bookings and Drivers'!BY215</f>
        <v>959.77730300326311</v>
      </c>
      <c r="BR741">
        <f>'Bookings and Drivers'!BZ215</f>
        <v>919.04990234167292</v>
      </c>
      <c r="BS741">
        <f>'Bookings and Drivers'!CA215</f>
        <v>1201.2903479052652</v>
      </c>
      <c r="BT741">
        <f>'Bookings and Drivers'!CB215</f>
        <v>1168.8665484249839</v>
      </c>
      <c r="BU741">
        <f>'Bookings and Drivers'!CC215</f>
        <v>1151.7327636039156</v>
      </c>
      <c r="BV741">
        <f>'Bookings and Drivers'!CD215</f>
        <v>1102.8598828100075</v>
      </c>
      <c r="BW741">
        <f>'Bookings and Drivers'!CE215</f>
        <v>1441.5484174863182</v>
      </c>
      <c r="BX741">
        <f>'Bookings and Drivers'!CF215</f>
        <v>1402.6398581099807</v>
      </c>
      <c r="BY741">
        <f>'Bookings and Drivers'!CG215</f>
        <v>0</v>
      </c>
      <c r="BZ741">
        <f>'Bookings and Drivers'!CH215</f>
        <v>0</v>
      </c>
      <c r="CA741">
        <f>'Bookings and Drivers'!CI215</f>
        <v>0</v>
      </c>
      <c r="CB741">
        <f>'Bookings and Drivers'!CJ215</f>
        <v>0</v>
      </c>
      <c r="CC741">
        <f>'Bookings and Drivers'!CK215</f>
        <v>0</v>
      </c>
      <c r="CD741">
        <f>'Bookings and Drivers'!CL215</f>
        <v>0</v>
      </c>
      <c r="CE741">
        <f>'Bookings and Drivers'!CM215</f>
        <v>0</v>
      </c>
      <c r="CF741">
        <f>'Bookings and Drivers'!CN215</f>
        <v>0</v>
      </c>
      <c r="CG741">
        <f>'Bookings and Drivers'!CO215</f>
        <v>0</v>
      </c>
      <c r="CH741">
        <f>'Bookings and Drivers'!CP215</f>
        <v>109.86861306177002</v>
      </c>
      <c r="CI741">
        <f>'Bookings and Drivers'!CQ215</f>
        <v>226.50869753587637</v>
      </c>
      <c r="CJ741">
        <f>'Bookings and Drivers'!CR215</f>
        <v>513.12090314409841</v>
      </c>
      <c r="CK741">
        <f>'Bookings and Drivers'!CS215</f>
        <v>820.9934450305575</v>
      </c>
      <c r="CL741">
        <f>'Bookings and Drivers'!CT215</f>
        <v>1313.5895120488922</v>
      </c>
      <c r="CM741">
        <f>'Bookings and Drivers'!CU215</f>
        <v>1904.7047924708936</v>
      </c>
      <c r="CN741">
        <f>'Bookings and Drivers'!CV215</f>
        <v>2571.3514698357067</v>
      </c>
      <c r="CO741">
        <f>'Bookings and Drivers'!CW215</f>
        <v>3319.5188294337386</v>
      </c>
      <c r="CP741">
        <f>'Bookings and Drivers'!CX215</f>
        <v>4248.9841016751852</v>
      </c>
      <c r="CQ741">
        <f>'Bookings and Drivers'!CY215</f>
        <v>5098.7809220102217</v>
      </c>
      <c r="CR741">
        <f>'Bookings and Drivers'!CZ215</f>
        <v>5996.1663642840203</v>
      </c>
      <c r="CS741">
        <f>'Bookings and Drivers'!DA215</f>
        <v>6893.1928523809092</v>
      </c>
      <c r="CT741">
        <f>'Bookings and Drivers'!DB215</f>
        <v>7821.0166103113788</v>
      </c>
      <c r="CU741">
        <f>'Bookings and Drivers'!DC215</f>
        <v>8756.4101969046187</v>
      </c>
      <c r="CV741">
        <f>'Bookings and Drivers'!DD215</f>
        <v>9803.6768564544109</v>
      </c>
      <c r="CW741">
        <f>'Bookings and Drivers'!DE215</f>
        <v>10976.196608486358</v>
      </c>
      <c r="CX741">
        <f>'Bookings and Drivers'!DF215</f>
        <v>12288.949722861325</v>
      </c>
    </row>
    <row r="742" spans="1:102">
      <c r="A742" t="str">
        <f>'Bookings and Drivers'!I216</f>
        <v>Agoda + Booking APAC Bookings</v>
      </c>
      <c r="B742">
        <f>'Bookings and Drivers'!J216</f>
        <v>0</v>
      </c>
      <c r="C742">
        <f>'Bookings and Drivers'!K216</f>
        <v>0</v>
      </c>
      <c r="D742">
        <f>'Bookings and Drivers'!L216</f>
        <v>0</v>
      </c>
      <c r="E742">
        <f>'Bookings and Drivers'!M216</f>
        <v>0</v>
      </c>
      <c r="F742">
        <f>'Bookings and Drivers'!N216</f>
        <v>0</v>
      </c>
      <c r="G742">
        <f>'Bookings and Drivers'!O216</f>
        <v>0</v>
      </c>
      <c r="H742">
        <f>'Bookings and Drivers'!P216</f>
        <v>0</v>
      </c>
      <c r="I742">
        <f>'Bookings and Drivers'!Q216</f>
        <v>0</v>
      </c>
      <c r="J742">
        <f>'Bookings and Drivers'!R216</f>
        <v>0</v>
      </c>
      <c r="K742">
        <f>'Bookings and Drivers'!S216</f>
        <v>0</v>
      </c>
      <c r="L742">
        <f>'Bookings and Drivers'!T216</f>
        <v>0</v>
      </c>
      <c r="M742">
        <f>'Bookings and Drivers'!U216</f>
        <v>0</v>
      </c>
      <c r="N742">
        <f>'Bookings and Drivers'!V216</f>
        <v>0</v>
      </c>
      <c r="O742">
        <f>'Bookings and Drivers'!W216</f>
        <v>0</v>
      </c>
      <c r="P742">
        <f>'Bookings and Drivers'!X216</f>
        <v>0</v>
      </c>
      <c r="Q742">
        <f>'Bookings and Drivers'!Y216</f>
        <v>0</v>
      </c>
      <c r="R742">
        <f>'Bookings and Drivers'!Z216</f>
        <v>0</v>
      </c>
      <c r="S742">
        <f>'Bookings and Drivers'!AA216</f>
        <v>0</v>
      </c>
      <c r="T742">
        <f>'Bookings and Drivers'!AB216</f>
        <v>0</v>
      </c>
      <c r="U742">
        <f>'Bookings and Drivers'!AC216</f>
        <v>0</v>
      </c>
      <c r="V742">
        <f>'Bookings and Drivers'!AD216</f>
        <v>0</v>
      </c>
      <c r="W742">
        <f>'Bookings and Drivers'!AE216</f>
        <v>0</v>
      </c>
      <c r="X742">
        <f>'Bookings and Drivers'!AF216</f>
        <v>0</v>
      </c>
      <c r="Y742">
        <f>'Bookings and Drivers'!AG216</f>
        <v>0</v>
      </c>
      <c r="Z742">
        <f>'Bookings and Drivers'!AH216</f>
        <v>0</v>
      </c>
      <c r="AA742">
        <f>'Bookings and Drivers'!AI216</f>
        <v>0</v>
      </c>
      <c r="AB742">
        <f>'Bookings and Drivers'!AJ216</f>
        <v>0</v>
      </c>
      <c r="AC742">
        <f>'Bookings and Drivers'!AK216</f>
        <v>0</v>
      </c>
      <c r="AD742">
        <f>'Bookings and Drivers'!AL216</f>
        <v>0</v>
      </c>
      <c r="AE742">
        <f>'Bookings and Drivers'!AM216</f>
        <v>0</v>
      </c>
      <c r="AF742">
        <f>'Bookings and Drivers'!AN216</f>
        <v>0</v>
      </c>
      <c r="AG742">
        <f>'Bookings and Drivers'!AO216</f>
        <v>0</v>
      </c>
      <c r="AH742">
        <f>'Bookings and Drivers'!AP216</f>
        <v>0</v>
      </c>
      <c r="AI742">
        <f>'Bookings and Drivers'!AQ216</f>
        <v>0</v>
      </c>
      <c r="AJ742">
        <f>'Bookings and Drivers'!AR216</f>
        <v>0</v>
      </c>
      <c r="AK742">
        <f>'Bookings and Drivers'!AS216</f>
        <v>83.97367062805715</v>
      </c>
      <c r="AL742">
        <f>'Bookings and Drivers'!AT216</f>
        <v>81.20434081178648</v>
      </c>
      <c r="AM742">
        <f>'Bookings and Drivers'!AU216</f>
        <v>108.74146993134211</v>
      </c>
      <c r="AN742">
        <f>'Bookings and Drivers'!AV216</f>
        <v>110.88913169058426</v>
      </c>
      <c r="AO742">
        <f>'Bookings and Drivers'!AW216</f>
        <v>209.5705412561143</v>
      </c>
      <c r="AP742">
        <f>'Bookings and Drivers'!AX216</f>
        <v>202.21768162357299</v>
      </c>
      <c r="AQ742">
        <f>'Bookings and Drivers'!AY216</f>
        <v>269.67884542972843</v>
      </c>
      <c r="AR742">
        <f>'Bookings and Drivers'!AZ216</f>
        <v>277.22282922646065</v>
      </c>
      <c r="AS742">
        <f>'Bookings and Drivers'!BA216</f>
        <v>458.43882370064574</v>
      </c>
      <c r="AT742">
        <f>'Bookings and Drivers'!BB216</f>
        <v>503.48791773421777</v>
      </c>
      <c r="AU742">
        <f>'Bookings and Drivers'!BC216</f>
        <v>558.44214448837533</v>
      </c>
      <c r="AV742">
        <f>'Bookings and Drivers'!BD216</f>
        <v>573.0150072208595</v>
      </c>
      <c r="AW742">
        <f>'Bookings and Drivers'!BE216</f>
        <v>768.09562192103317</v>
      </c>
      <c r="AX742">
        <f>'Bookings and Drivers'!BF216</f>
        <v>844.73566337474847</v>
      </c>
      <c r="AY742">
        <f>'Bookings and Drivers'!BG216</f>
        <v>926.47767118140064</v>
      </c>
      <c r="AZ742">
        <f>'Bookings and Drivers'!BH216</f>
        <v>916.82401155337516</v>
      </c>
      <c r="BA742">
        <f>'Bookings and Drivers'!BI216</f>
        <v>1134.8586641936531</v>
      </c>
      <c r="BB742">
        <f>'Bookings and Drivers'!BJ216</f>
        <v>1285.0135698995975</v>
      </c>
      <c r="BC742">
        <f>'Bookings and Drivers'!BK216</f>
        <v>1364.660517090241</v>
      </c>
      <c r="BD742">
        <f>'Bookings and Drivers'!BL216</f>
        <v>1294.6584184854005</v>
      </c>
      <c r="BE742">
        <f>'Bookings and Drivers'!BM216</f>
        <v>1518.517716392797</v>
      </c>
      <c r="BF742">
        <f>'Bookings and Drivers'!BN216</f>
        <v>1713.5018204794164</v>
      </c>
      <c r="BG742">
        <f>'Bookings and Drivers'!BO216</f>
        <v>1830.2433037008495</v>
      </c>
      <c r="BH742">
        <f>'Bookings and Drivers'!BP216</f>
        <v>1737.7241068038306</v>
      </c>
      <c r="BI742">
        <f>'Bookings and Drivers'!BQ216</f>
        <v>1884.8633664358758</v>
      </c>
      <c r="BJ742">
        <f>'Bookings and Drivers'!BR216</f>
        <v>2118.5292450097122</v>
      </c>
      <c r="BK742">
        <f>'Bookings and Drivers'!BS216</f>
        <v>1891.6221202841471</v>
      </c>
      <c r="BL742">
        <f>'Bookings and Drivers'!BT216</f>
        <v>2043.6112441851715</v>
      </c>
      <c r="BM742">
        <f>'Bookings and Drivers'!BU216</f>
        <v>2440.8140570819551</v>
      </c>
      <c r="BN742">
        <f>'Bookings and Drivers'!BV216</f>
        <v>2664.9898625794317</v>
      </c>
      <c r="BO742">
        <f>'Bookings and Drivers'!BW216</f>
        <v>2421.2763139637082</v>
      </c>
      <c r="BP742">
        <f>'Bookings and Drivers'!BX216</f>
        <v>2615.8223925570192</v>
      </c>
      <c r="BQ742">
        <f>'Bookings and Drivers'!BY216</f>
        <v>3073.512351891583</v>
      </c>
      <c r="BR742">
        <f>'Bookings and Drivers'!BZ216</f>
        <v>3352.7775603104224</v>
      </c>
      <c r="BS742">
        <f>'Bookings and Drivers'!CA216</f>
        <v>3054.7506349836649</v>
      </c>
      <c r="BT742">
        <f>'Bookings and Drivers'!CB216</f>
        <v>3297.1733004249845</v>
      </c>
      <c r="BU742">
        <f>'Bookings and Drivers'!CC216</f>
        <v>3582.5280698254828</v>
      </c>
      <c r="BV742">
        <f>'Bookings and Drivers'!CD216</f>
        <v>3901.6466894740693</v>
      </c>
      <c r="BW742">
        <f>'Bookings and Drivers'!CE216</f>
        <v>3573.0277476264778</v>
      </c>
      <c r="BX742">
        <f>'Bookings and Drivers'!CF216</f>
        <v>3850.1926229099813</v>
      </c>
      <c r="BY742">
        <f>'Bookings and Drivers'!CG216</f>
        <v>0</v>
      </c>
      <c r="BZ742">
        <f>'Bookings and Drivers'!CH216</f>
        <v>0</v>
      </c>
      <c r="CA742">
        <f>'Bookings and Drivers'!CI216</f>
        <v>0</v>
      </c>
      <c r="CB742">
        <f>'Bookings and Drivers'!CJ216</f>
        <v>0</v>
      </c>
      <c r="CC742">
        <f>'Bookings and Drivers'!CK216</f>
        <v>0</v>
      </c>
      <c r="CD742">
        <f>'Bookings and Drivers'!CL216</f>
        <v>0</v>
      </c>
      <c r="CE742">
        <f>'Bookings and Drivers'!CM216</f>
        <v>0</v>
      </c>
      <c r="CF742">
        <f>'Bookings and Drivers'!CN216</f>
        <v>0</v>
      </c>
      <c r="CG742">
        <f>'Bookings and Drivers'!CO216</f>
        <v>0</v>
      </c>
      <c r="CH742">
        <f>'Bookings and Drivers'!CP216</f>
        <v>384.80861306176996</v>
      </c>
      <c r="CI742">
        <f>'Bookings and Drivers'!CQ216</f>
        <v>958.6898975358763</v>
      </c>
      <c r="CJ742">
        <f>'Bookings and Drivers'!CR216</f>
        <v>2093.3838931440982</v>
      </c>
      <c r="CK742">
        <f>'Bookings and Drivers'!CS216</f>
        <v>3456.1329680305571</v>
      </c>
      <c r="CL742">
        <f>'Bookings and Drivers'!CT216</f>
        <v>5079.1911696688921</v>
      </c>
      <c r="CM742">
        <f>'Bookings and Drivers'!CU216</f>
        <v>6799.986947376894</v>
      </c>
      <c r="CN742">
        <f>'Bookings and Drivers'!CV216</f>
        <v>7938.625975914907</v>
      </c>
      <c r="CO742">
        <f>'Bookings and Drivers'!CW216</f>
        <v>10142.902626182115</v>
      </c>
      <c r="CP742">
        <f>'Bookings and Drivers'!CX216</f>
        <v>12778.213847610656</v>
      </c>
      <c r="CQ742">
        <f>'Bookings and Drivers'!CY216</f>
        <v>14907.395129836012</v>
      </c>
      <c r="CR742">
        <f>'Bookings and Drivers'!CZ216</f>
        <v>17055.378883607598</v>
      </c>
      <c r="CS742">
        <f>'Bookings and Drivers'!DA216</f>
        <v>19150.94752848618</v>
      </c>
      <c r="CT742">
        <f>'Bookings and Drivers'!DB216</f>
        <v>21223.33912929798</v>
      </c>
      <c r="CU742">
        <f>'Bookings and Drivers'!DC216</f>
        <v>23209.139743316795</v>
      </c>
      <c r="CV742">
        <f>'Bookings and Drivers'!DD216</f>
        <v>25389.139081066638</v>
      </c>
      <c r="CW742">
        <f>'Bookings and Drivers'!DE216</f>
        <v>27783.169434952564</v>
      </c>
      <c r="CX742">
        <f>'Bookings and Drivers'!DF216</f>
        <v>30413.169044601822</v>
      </c>
    </row>
    <row r="743" spans="1:102">
      <c r="A743">
        <f>'Bookings and Drivers'!I217</f>
        <v>0</v>
      </c>
      <c r="B743">
        <f>'Bookings and Drivers'!J217</f>
        <v>0</v>
      </c>
      <c r="C743">
        <f>'Bookings and Drivers'!K217</f>
        <v>0</v>
      </c>
      <c r="D743">
        <f>'Bookings and Drivers'!L217</f>
        <v>0</v>
      </c>
      <c r="E743">
        <f>'Bookings and Drivers'!M217</f>
        <v>0</v>
      </c>
      <c r="F743">
        <f>'Bookings and Drivers'!N217</f>
        <v>0</v>
      </c>
      <c r="G743">
        <f>'Bookings and Drivers'!O217</f>
        <v>0</v>
      </c>
      <c r="H743">
        <f>'Bookings and Drivers'!P217</f>
        <v>0</v>
      </c>
      <c r="I743">
        <f>'Bookings and Drivers'!Q217</f>
        <v>0</v>
      </c>
      <c r="J743">
        <f>'Bookings and Drivers'!R217</f>
        <v>0</v>
      </c>
      <c r="K743">
        <f>'Bookings and Drivers'!S217</f>
        <v>0</v>
      </c>
      <c r="L743">
        <f>'Bookings and Drivers'!T217</f>
        <v>0</v>
      </c>
      <c r="M743">
        <f>'Bookings and Drivers'!U217</f>
        <v>0</v>
      </c>
      <c r="N743">
        <f>'Bookings and Drivers'!V217</f>
        <v>0</v>
      </c>
      <c r="O743">
        <f>'Bookings and Drivers'!W217</f>
        <v>0</v>
      </c>
      <c r="P743">
        <f>'Bookings and Drivers'!X217</f>
        <v>0</v>
      </c>
      <c r="Q743">
        <f>'Bookings and Drivers'!Y217</f>
        <v>0</v>
      </c>
      <c r="R743">
        <f>'Bookings and Drivers'!Z217</f>
        <v>0</v>
      </c>
      <c r="S743">
        <f>'Bookings and Drivers'!AA217</f>
        <v>0</v>
      </c>
      <c r="T743">
        <f>'Bookings and Drivers'!AB217</f>
        <v>0</v>
      </c>
      <c r="U743">
        <f>'Bookings and Drivers'!AC217</f>
        <v>0</v>
      </c>
      <c r="V743">
        <f>'Bookings and Drivers'!AD217</f>
        <v>0</v>
      </c>
      <c r="W743">
        <f>'Bookings and Drivers'!AE217</f>
        <v>0</v>
      </c>
      <c r="X743">
        <f>'Bookings and Drivers'!AF217</f>
        <v>0</v>
      </c>
      <c r="Y743">
        <f>'Bookings and Drivers'!AG217</f>
        <v>0</v>
      </c>
      <c r="Z743">
        <f>'Bookings and Drivers'!AH217</f>
        <v>0</v>
      </c>
      <c r="AA743">
        <f>'Bookings and Drivers'!AI217</f>
        <v>0</v>
      </c>
      <c r="AB743">
        <f>'Bookings and Drivers'!AJ217</f>
        <v>0</v>
      </c>
      <c r="AC743">
        <f>'Bookings and Drivers'!AK217</f>
        <v>0</v>
      </c>
      <c r="AD743">
        <f>'Bookings and Drivers'!AL217</f>
        <v>0</v>
      </c>
      <c r="AE743">
        <f>'Bookings and Drivers'!AM217</f>
        <v>0</v>
      </c>
      <c r="AF743">
        <f>'Bookings and Drivers'!AN217</f>
        <v>0</v>
      </c>
      <c r="AG743">
        <f>'Bookings and Drivers'!AO217</f>
        <v>0</v>
      </c>
      <c r="AH743">
        <f>'Bookings and Drivers'!AP217</f>
        <v>0</v>
      </c>
      <c r="AI743">
        <f>'Bookings and Drivers'!AQ217</f>
        <v>0</v>
      </c>
      <c r="AJ743">
        <f>'Bookings and Drivers'!AR217</f>
        <v>0</v>
      </c>
      <c r="AK743">
        <f>'Bookings and Drivers'!AS217</f>
        <v>0</v>
      </c>
      <c r="AL743">
        <f>'Bookings and Drivers'!AT217</f>
        <v>0</v>
      </c>
      <c r="AM743">
        <f>'Bookings and Drivers'!AU217</f>
        <v>0</v>
      </c>
      <c r="AN743">
        <f>'Bookings and Drivers'!AV217</f>
        <v>0</v>
      </c>
      <c r="AO743">
        <f>'Bookings and Drivers'!AW217</f>
        <v>0</v>
      </c>
      <c r="AP743">
        <f>'Bookings and Drivers'!AX217</f>
        <v>0</v>
      </c>
      <c r="AQ743">
        <f>'Bookings and Drivers'!AY217</f>
        <v>0</v>
      </c>
      <c r="AR743">
        <f>'Bookings and Drivers'!AZ217</f>
        <v>0</v>
      </c>
      <c r="AS743">
        <f>'Bookings and Drivers'!BA217</f>
        <v>0</v>
      </c>
      <c r="AT743">
        <f>'Bookings and Drivers'!BB217</f>
        <v>0</v>
      </c>
      <c r="AU743">
        <f>'Bookings and Drivers'!BC217</f>
        <v>0</v>
      </c>
      <c r="AV743">
        <f>'Bookings and Drivers'!BD217</f>
        <v>0</v>
      </c>
      <c r="AW743">
        <f>'Bookings and Drivers'!BE217</f>
        <v>0</v>
      </c>
      <c r="AX743">
        <f>'Bookings and Drivers'!BF217</f>
        <v>0</v>
      </c>
      <c r="AY743">
        <f>'Bookings and Drivers'!BG217</f>
        <v>0</v>
      </c>
      <c r="AZ743">
        <f>'Bookings and Drivers'!BH217</f>
        <v>0</v>
      </c>
      <c r="BA743">
        <f>'Bookings and Drivers'!BI217</f>
        <v>0</v>
      </c>
      <c r="BB743">
        <f>'Bookings and Drivers'!BJ217</f>
        <v>0</v>
      </c>
      <c r="BC743">
        <f>'Bookings and Drivers'!BK217</f>
        <v>0</v>
      </c>
      <c r="BD743">
        <f>'Bookings and Drivers'!BL217</f>
        <v>0</v>
      </c>
      <c r="BE743">
        <f>'Bookings and Drivers'!BM217</f>
        <v>0</v>
      </c>
      <c r="BF743">
        <f>'Bookings and Drivers'!BN217</f>
        <v>0</v>
      </c>
      <c r="BG743">
        <f>'Bookings and Drivers'!BO217</f>
        <v>0</v>
      </c>
      <c r="BH743">
        <f>'Bookings and Drivers'!BP217</f>
        <v>0</v>
      </c>
      <c r="BI743">
        <f>'Bookings and Drivers'!BQ217</f>
        <v>0</v>
      </c>
      <c r="BJ743">
        <f>'Bookings and Drivers'!BR217</f>
        <v>0</v>
      </c>
      <c r="BK743">
        <f>'Bookings and Drivers'!BS217</f>
        <v>0</v>
      </c>
      <c r="BL743">
        <f>'Bookings and Drivers'!BT217</f>
        <v>0</v>
      </c>
      <c r="BM743">
        <f>'Bookings and Drivers'!BU217</f>
        <v>0</v>
      </c>
      <c r="BN743">
        <f>'Bookings and Drivers'!BV217</f>
        <v>0</v>
      </c>
      <c r="BO743">
        <f>'Bookings and Drivers'!BW217</f>
        <v>0</v>
      </c>
      <c r="BP743">
        <f>'Bookings and Drivers'!BX217</f>
        <v>0</v>
      </c>
      <c r="BQ743">
        <f>'Bookings and Drivers'!BY217</f>
        <v>0</v>
      </c>
      <c r="BR743">
        <f>'Bookings and Drivers'!BZ217</f>
        <v>0</v>
      </c>
      <c r="BS743">
        <f>'Bookings and Drivers'!CA217</f>
        <v>0</v>
      </c>
      <c r="BT743">
        <f>'Bookings and Drivers'!CB217</f>
        <v>0</v>
      </c>
      <c r="BU743">
        <f>'Bookings and Drivers'!CC217</f>
        <v>0</v>
      </c>
      <c r="BV743">
        <f>'Bookings and Drivers'!CD217</f>
        <v>0</v>
      </c>
      <c r="BW743">
        <f>'Bookings and Drivers'!CE217</f>
        <v>0</v>
      </c>
      <c r="BX743">
        <f>'Bookings and Drivers'!CF217</f>
        <v>0</v>
      </c>
      <c r="BY743">
        <f>'Bookings and Drivers'!CG217</f>
        <v>0</v>
      </c>
      <c r="BZ743">
        <f>'Bookings and Drivers'!CH217</f>
        <v>0</v>
      </c>
      <c r="CA743">
        <f>'Bookings and Drivers'!CI217</f>
        <v>0</v>
      </c>
      <c r="CB743">
        <f>'Bookings and Drivers'!CJ217</f>
        <v>0</v>
      </c>
      <c r="CC743">
        <f>'Bookings and Drivers'!CK217</f>
        <v>0</v>
      </c>
      <c r="CD743">
        <f>'Bookings and Drivers'!CL217</f>
        <v>0</v>
      </c>
      <c r="CE743">
        <f>'Bookings and Drivers'!CM217</f>
        <v>0</v>
      </c>
      <c r="CF743">
        <f>'Bookings and Drivers'!CN217</f>
        <v>0</v>
      </c>
      <c r="CG743">
        <f>'Bookings and Drivers'!CO217</f>
        <v>0</v>
      </c>
      <c r="CH743">
        <f>'Bookings and Drivers'!CP217</f>
        <v>0</v>
      </c>
      <c r="CI743">
        <f>'Bookings and Drivers'!CQ217</f>
        <v>0</v>
      </c>
      <c r="CJ743">
        <f>'Bookings and Drivers'!CR217</f>
        <v>0</v>
      </c>
      <c r="CK743">
        <f>'Bookings and Drivers'!CS217</f>
        <v>0</v>
      </c>
      <c r="CL743">
        <f>'Bookings and Drivers'!CT217</f>
        <v>0</v>
      </c>
      <c r="CM743">
        <f>'Bookings and Drivers'!CU217</f>
        <v>0</v>
      </c>
      <c r="CN743">
        <f>'Bookings and Drivers'!CV217</f>
        <v>0</v>
      </c>
      <c r="CO743">
        <f>'Bookings and Drivers'!CW217</f>
        <v>0</v>
      </c>
      <c r="CP743">
        <f>'Bookings and Drivers'!CX217</f>
        <v>0</v>
      </c>
      <c r="CQ743">
        <f>'Bookings and Drivers'!CY217</f>
        <v>0</v>
      </c>
      <c r="CR743">
        <f>'Bookings and Drivers'!CZ217</f>
        <v>0</v>
      </c>
      <c r="CS743">
        <f>'Bookings and Drivers'!DA217</f>
        <v>0</v>
      </c>
      <c r="CT743">
        <f>'Bookings and Drivers'!DB217</f>
        <v>0</v>
      </c>
      <c r="CU743">
        <f>'Bookings and Drivers'!DC217</f>
        <v>0</v>
      </c>
      <c r="CV743">
        <f>'Bookings and Drivers'!DD217</f>
        <v>0</v>
      </c>
      <c r="CW743">
        <f>'Bookings and Drivers'!DE217</f>
        <v>0</v>
      </c>
      <c r="CX743">
        <f>'Bookings and Drivers'!DF217</f>
        <v>0</v>
      </c>
    </row>
    <row r="744" spans="1:102">
      <c r="A744" t="str">
        <f>'Bookings and Drivers'!I218</f>
        <v>Period-to-period change Y/Y</v>
      </c>
      <c r="B744">
        <f>'Bookings and Drivers'!J218</f>
        <v>0</v>
      </c>
      <c r="C744">
        <f>'Bookings and Drivers'!K218</f>
        <v>0</v>
      </c>
      <c r="D744">
        <f>'Bookings and Drivers'!L218</f>
        <v>0</v>
      </c>
      <c r="E744">
        <f>'Bookings and Drivers'!M218</f>
        <v>0</v>
      </c>
      <c r="F744">
        <f>'Bookings and Drivers'!N218</f>
        <v>0</v>
      </c>
      <c r="G744">
        <f>'Bookings and Drivers'!O218</f>
        <v>0</v>
      </c>
      <c r="H744">
        <f>'Bookings and Drivers'!P218</f>
        <v>0</v>
      </c>
      <c r="I744">
        <f>'Bookings and Drivers'!Q218</f>
        <v>0</v>
      </c>
      <c r="J744">
        <f>'Bookings and Drivers'!R218</f>
        <v>0</v>
      </c>
      <c r="K744">
        <f>'Bookings and Drivers'!S218</f>
        <v>0</v>
      </c>
      <c r="L744">
        <f>'Bookings and Drivers'!T218</f>
        <v>0</v>
      </c>
      <c r="M744">
        <f>'Bookings and Drivers'!U218</f>
        <v>0</v>
      </c>
      <c r="N744">
        <f>'Bookings and Drivers'!V218</f>
        <v>0</v>
      </c>
      <c r="O744">
        <f>'Bookings and Drivers'!W218</f>
        <v>0</v>
      </c>
      <c r="P744">
        <f>'Bookings and Drivers'!X218</f>
        <v>0</v>
      </c>
      <c r="Q744">
        <f>'Bookings and Drivers'!Y218</f>
        <v>0</v>
      </c>
      <c r="R744">
        <f>'Bookings and Drivers'!Z218</f>
        <v>0</v>
      </c>
      <c r="S744">
        <f>'Bookings and Drivers'!AA218</f>
        <v>0</v>
      </c>
      <c r="T744">
        <f>'Bookings and Drivers'!AB218</f>
        <v>0</v>
      </c>
      <c r="U744">
        <f>'Bookings and Drivers'!AC218</f>
        <v>0</v>
      </c>
      <c r="V744">
        <f>'Bookings and Drivers'!AD218</f>
        <v>0</v>
      </c>
      <c r="W744">
        <f>'Bookings and Drivers'!AE218</f>
        <v>0</v>
      </c>
      <c r="X744">
        <f>'Bookings and Drivers'!AF218</f>
        <v>0</v>
      </c>
      <c r="Y744">
        <f>'Bookings and Drivers'!AG218</f>
        <v>0</v>
      </c>
      <c r="Z744">
        <f>'Bookings and Drivers'!AH218</f>
        <v>0</v>
      </c>
      <c r="AA744">
        <f>'Bookings and Drivers'!AI218</f>
        <v>0</v>
      </c>
      <c r="AB744">
        <f>'Bookings and Drivers'!AJ218</f>
        <v>0</v>
      </c>
      <c r="AC744">
        <f>'Bookings and Drivers'!AK218</f>
        <v>0</v>
      </c>
      <c r="AD744">
        <f>'Bookings and Drivers'!AL218</f>
        <v>0</v>
      </c>
      <c r="AE744">
        <f>'Bookings and Drivers'!AM218</f>
        <v>0</v>
      </c>
      <c r="AF744">
        <f>'Bookings and Drivers'!AN218</f>
        <v>0</v>
      </c>
      <c r="AG744">
        <f>'Bookings and Drivers'!AO218</f>
        <v>0</v>
      </c>
      <c r="AH744">
        <f>'Bookings and Drivers'!AP218</f>
        <v>0</v>
      </c>
      <c r="AI744">
        <f>'Bookings and Drivers'!AQ218</f>
        <v>0</v>
      </c>
      <c r="AJ744">
        <f>'Bookings and Drivers'!AR218</f>
        <v>0</v>
      </c>
      <c r="AK744">
        <f>'Bookings and Drivers'!AS218</f>
        <v>0</v>
      </c>
      <c r="AL744">
        <f>'Bookings and Drivers'!AT218</f>
        <v>0</v>
      </c>
      <c r="AM744">
        <f>'Bookings and Drivers'!AU218</f>
        <v>0</v>
      </c>
      <c r="AN744">
        <f>'Bookings and Drivers'!AV218</f>
        <v>0</v>
      </c>
      <c r="AO744">
        <f>'Bookings and Drivers'!AW218</f>
        <v>0</v>
      </c>
      <c r="AP744">
        <f>'Bookings and Drivers'!AX218</f>
        <v>0</v>
      </c>
      <c r="AQ744">
        <f>'Bookings and Drivers'!AY218</f>
        <v>0</v>
      </c>
      <c r="AR744">
        <f>'Bookings and Drivers'!AZ218</f>
        <v>0</v>
      </c>
      <c r="AS744">
        <f>'Bookings and Drivers'!BA218</f>
        <v>0</v>
      </c>
      <c r="AT744">
        <f>'Bookings and Drivers'!BB218</f>
        <v>0</v>
      </c>
      <c r="AU744">
        <f>'Bookings and Drivers'!BC218</f>
        <v>0</v>
      </c>
      <c r="AV744">
        <f>'Bookings and Drivers'!BD218</f>
        <v>0</v>
      </c>
      <c r="AW744">
        <f>'Bookings and Drivers'!BE218</f>
        <v>0</v>
      </c>
      <c r="AX744">
        <f>'Bookings and Drivers'!BF218</f>
        <v>0</v>
      </c>
      <c r="AY744">
        <f>'Bookings and Drivers'!BG218</f>
        <v>0</v>
      </c>
      <c r="AZ744">
        <f>'Bookings and Drivers'!BH218</f>
        <v>0</v>
      </c>
      <c r="BA744">
        <f>'Bookings and Drivers'!BI218</f>
        <v>0</v>
      </c>
      <c r="BC744">
        <f>'Bookings and Drivers'!BJ218</f>
        <v>0</v>
      </c>
      <c r="BD744">
        <f>'Bookings and Drivers'!BK218</f>
        <v>0</v>
      </c>
      <c r="BE744">
        <f>'Bookings and Drivers'!BM218</f>
        <v>0</v>
      </c>
      <c r="BF744">
        <f>'Bookings and Drivers'!BN218</f>
        <v>0</v>
      </c>
      <c r="BG744">
        <f>'Bookings and Drivers'!BO218</f>
        <v>0</v>
      </c>
      <c r="BH744">
        <f>'Bookings and Drivers'!BP218</f>
        <v>0</v>
      </c>
      <c r="BI744">
        <f>'Bookings and Drivers'!BQ218</f>
        <v>0</v>
      </c>
      <c r="BJ744">
        <f>'Bookings and Drivers'!BR218</f>
        <v>0</v>
      </c>
      <c r="BK744">
        <f>'Bookings and Drivers'!BS218</f>
        <v>0</v>
      </c>
      <c r="BL744">
        <f>'Bookings and Drivers'!BT218</f>
        <v>0</v>
      </c>
      <c r="BM744">
        <f>'Bookings and Drivers'!BU218</f>
        <v>0</v>
      </c>
      <c r="BN744">
        <f>'Bookings and Drivers'!BV218</f>
        <v>0</v>
      </c>
      <c r="BO744">
        <f>'Bookings and Drivers'!BW218</f>
        <v>0</v>
      </c>
      <c r="BP744">
        <f>'Bookings and Drivers'!BX218</f>
        <v>0</v>
      </c>
      <c r="BQ744">
        <f>'Bookings and Drivers'!BY218</f>
        <v>0</v>
      </c>
      <c r="BR744">
        <f>'Bookings and Drivers'!BZ218</f>
        <v>0</v>
      </c>
      <c r="BS744">
        <f>'Bookings and Drivers'!CA218</f>
        <v>0</v>
      </c>
      <c r="BT744">
        <f>'Bookings and Drivers'!CB218</f>
        <v>0</v>
      </c>
      <c r="BU744">
        <f>'Bookings and Drivers'!CC218</f>
        <v>0</v>
      </c>
      <c r="BV744">
        <f>'Bookings and Drivers'!CD218</f>
        <v>0</v>
      </c>
      <c r="BW744">
        <f>'Bookings and Drivers'!CE218</f>
        <v>0</v>
      </c>
      <c r="BX744">
        <f>'Bookings and Drivers'!CF218</f>
        <v>0</v>
      </c>
      <c r="BY744">
        <f>'Bookings and Drivers'!CG218</f>
        <v>0</v>
      </c>
      <c r="BZ744">
        <f>'Bookings and Drivers'!CH218</f>
        <v>0</v>
      </c>
      <c r="CA744">
        <f>'Bookings and Drivers'!CI218</f>
        <v>0</v>
      </c>
      <c r="CB744">
        <f>'Bookings and Drivers'!CJ218</f>
        <v>0</v>
      </c>
      <c r="CC744">
        <f>'Bookings and Drivers'!CK218</f>
        <v>0</v>
      </c>
      <c r="CD744">
        <f>'Bookings and Drivers'!CL218</f>
        <v>0</v>
      </c>
      <c r="CE744">
        <f>'Bookings and Drivers'!CM218</f>
        <v>0</v>
      </c>
      <c r="CF744">
        <f>'Bookings and Drivers'!CN218</f>
        <v>0</v>
      </c>
      <c r="CG744">
        <f>'Bookings and Drivers'!CO218</f>
        <v>0</v>
      </c>
      <c r="CH744">
        <f>'Bookings and Drivers'!CP218</f>
        <v>0</v>
      </c>
      <c r="CI744">
        <f>'Bookings and Drivers'!CQ218</f>
        <v>0</v>
      </c>
      <c r="CJ744">
        <f>'Bookings and Drivers'!CR218</f>
        <v>0</v>
      </c>
      <c r="CK744">
        <f>'Bookings and Drivers'!CS218</f>
        <v>0</v>
      </c>
      <c r="CL744">
        <f>'Bookings and Drivers'!CT218</f>
        <v>0</v>
      </c>
      <c r="CM744">
        <f>'Bookings and Drivers'!CU218</f>
        <v>0</v>
      </c>
      <c r="CN744">
        <f>'Bookings and Drivers'!CV218</f>
        <v>0</v>
      </c>
      <c r="CO744">
        <f>'Bookings and Drivers'!CW218</f>
        <v>0</v>
      </c>
      <c r="CP744">
        <f>'Bookings and Drivers'!CX218</f>
        <v>0</v>
      </c>
      <c r="CQ744">
        <f>'Bookings and Drivers'!CY218</f>
        <v>0</v>
      </c>
      <c r="CR744">
        <f>'Bookings and Drivers'!CZ218</f>
        <v>0</v>
      </c>
      <c r="CS744">
        <f>'Bookings and Drivers'!DA218</f>
        <v>0</v>
      </c>
      <c r="CT744">
        <f>'Bookings and Drivers'!DB218</f>
        <v>0</v>
      </c>
      <c r="CU744">
        <f>'Bookings and Drivers'!DC218</f>
        <v>0</v>
      </c>
      <c r="CV744">
        <f>'Bookings and Drivers'!DD218</f>
        <v>0</v>
      </c>
      <c r="CW744">
        <f>'Bookings and Drivers'!DE218</f>
        <v>0</v>
      </c>
      <c r="CX744">
        <f>'Bookings and Drivers'!DF218</f>
        <v>0</v>
      </c>
    </row>
    <row r="745" spans="1:102">
      <c r="A745" t="str">
        <f>'Bookings and Drivers'!I219</f>
        <v>Agoda</v>
      </c>
      <c r="B745">
        <f>'Bookings and Drivers'!J219</f>
        <v>0</v>
      </c>
      <c r="C745">
        <f>'Bookings and Drivers'!K219</f>
        <v>0</v>
      </c>
      <c r="D745">
        <f>'Bookings and Drivers'!L219</f>
        <v>0</v>
      </c>
      <c r="E745">
        <f>'Bookings and Drivers'!M219</f>
        <v>0</v>
      </c>
      <c r="F745">
        <f>'Bookings and Drivers'!N219</f>
        <v>0</v>
      </c>
      <c r="G745">
        <f>'Bookings and Drivers'!O219</f>
        <v>0</v>
      </c>
      <c r="H745">
        <f>'Bookings and Drivers'!P219</f>
        <v>0</v>
      </c>
      <c r="I745">
        <f>'Bookings and Drivers'!Q219</f>
        <v>0</v>
      </c>
      <c r="J745">
        <f>'Bookings and Drivers'!R219</f>
        <v>0</v>
      </c>
      <c r="K745">
        <f>'Bookings and Drivers'!S219</f>
        <v>0</v>
      </c>
      <c r="L745">
        <f>'Bookings and Drivers'!T219</f>
        <v>0</v>
      </c>
      <c r="M745">
        <f>'Bookings and Drivers'!U219</f>
        <v>0</v>
      </c>
      <c r="N745">
        <f>'Bookings and Drivers'!V219</f>
        <v>0</v>
      </c>
      <c r="O745">
        <f>'Bookings and Drivers'!W219</f>
        <v>0</v>
      </c>
      <c r="P745">
        <f>'Bookings and Drivers'!X219</f>
        <v>0</v>
      </c>
      <c r="Q745">
        <f>'Bookings and Drivers'!Y219</f>
        <v>0</v>
      </c>
      <c r="R745">
        <f>'Bookings and Drivers'!Z219</f>
        <v>0</v>
      </c>
      <c r="S745">
        <f>'Bookings and Drivers'!AA219</f>
        <v>0</v>
      </c>
      <c r="T745">
        <f>'Bookings and Drivers'!AB219</f>
        <v>0</v>
      </c>
      <c r="U745">
        <f>'Bookings and Drivers'!AC219</f>
        <v>0</v>
      </c>
      <c r="V745">
        <f>'Bookings and Drivers'!AD219</f>
        <v>0</v>
      </c>
      <c r="W745">
        <f>'Bookings and Drivers'!AE219</f>
        <v>0</v>
      </c>
      <c r="X745">
        <f>'Bookings and Drivers'!AF219</f>
        <v>0</v>
      </c>
      <c r="Y745">
        <f>'Bookings and Drivers'!AG219</f>
        <v>0</v>
      </c>
      <c r="Z745">
        <f>'Bookings and Drivers'!AH219</f>
        <v>0</v>
      </c>
      <c r="AA745">
        <f>'Bookings and Drivers'!AI219</f>
        <v>0</v>
      </c>
      <c r="AB745">
        <f>'Bookings and Drivers'!AJ219</f>
        <v>0</v>
      </c>
      <c r="AC745">
        <f>'Bookings and Drivers'!AK219</f>
        <v>0</v>
      </c>
      <c r="AD745">
        <f>'Bookings and Drivers'!AL219</f>
        <v>0</v>
      </c>
      <c r="AE745">
        <f>'Bookings and Drivers'!AM219</f>
        <v>0</v>
      </c>
      <c r="AF745">
        <f>'Bookings and Drivers'!AN219</f>
        <v>0</v>
      </c>
      <c r="AG745">
        <f>'Bookings and Drivers'!AO219</f>
        <v>0</v>
      </c>
      <c r="AH745">
        <f>'Bookings and Drivers'!AP219</f>
        <v>0</v>
      </c>
      <c r="AI745">
        <f>'Bookings and Drivers'!AQ219</f>
        <v>0</v>
      </c>
      <c r="AJ745">
        <f>'Bookings and Drivers'!AR219</f>
        <v>0</v>
      </c>
      <c r="AK745">
        <f>'Bookings and Drivers'!AS219</f>
        <v>0</v>
      </c>
      <c r="AL745">
        <f>'Bookings and Drivers'!AT219</f>
        <v>0</v>
      </c>
      <c r="AM745">
        <f>'Bookings and Drivers'!AU219</f>
        <v>0</v>
      </c>
      <c r="AN745">
        <f>'Bookings and Drivers'!AV219</f>
        <v>0</v>
      </c>
      <c r="AO745">
        <f>'Bookings and Drivers'!AW219</f>
        <v>99.433199999999999</v>
      </c>
      <c r="AP745">
        <f>'Bookings and Drivers'!AX219</f>
        <v>96.679000000000002</v>
      </c>
      <c r="AQ745">
        <f>'Bookings and Drivers'!AY219</f>
        <v>128.30399999999997</v>
      </c>
      <c r="AR745">
        <f>'Bookings and Drivers'!AZ219</f>
        <v>132.82500000000002</v>
      </c>
      <c r="AS745">
        <f>'Bookings and Drivers'!BA219</f>
        <v>188.69184000000001</v>
      </c>
      <c r="AT745">
        <f>'Bookings and Drivers'!BB219</f>
        <v>238.00094999999996</v>
      </c>
      <c r="AU745">
        <f>'Bookings and Drivers'!BC219</f>
        <v>206.06399999999996</v>
      </c>
      <c r="AV745">
        <f>'Bookings and Drivers'!BD219</f>
        <v>215.32500000000002</v>
      </c>
      <c r="AW745">
        <f>'Bookings and Drivers'!BE219</f>
        <v>242.15452799999997</v>
      </c>
      <c r="AX745">
        <f>'Bookings and Drivers'!BF219</f>
        <v>274.08496500000001</v>
      </c>
      <c r="AY745">
        <f>'Bookings and Drivers'!BG219</f>
        <v>280.24703999999997</v>
      </c>
      <c r="AZ745">
        <f>'Bookings and Drivers'!BH219</f>
        <v>258.39000000000004</v>
      </c>
      <c r="BA745">
        <f>'Bookings and Drivers'!BI219</f>
        <v>258.75940991999994</v>
      </c>
      <c r="BB745">
        <f>'Bookings and Drivers'!BJ219</f>
        <v>332.81745749999993</v>
      </c>
      <c r="BC745">
        <f>'Bookings and Drivers'!BK219</f>
        <v>297.72126719999994</v>
      </c>
      <c r="BD745">
        <f>'Bookings and Drivers'!BL219</f>
        <v>241.1640000000001</v>
      </c>
      <c r="BE745">
        <f>'Bookings and Drivers'!BM219</f>
        <v>254.05469337599993</v>
      </c>
      <c r="BF745">
        <f>'Bookings and Drivers'!BN219</f>
        <v>299.53571175000002</v>
      </c>
      <c r="BG745">
        <f>'Bookings and Drivers'!BO219</f>
        <v>297.02889216000005</v>
      </c>
      <c r="BH745">
        <f>'Bookings and Drivers'!BP219</f>
        <v>279.0612000000001</v>
      </c>
      <c r="BI745">
        <f>'Bookings and Drivers'!BQ219</f>
        <v>220.18073425919988</v>
      </c>
      <c r="BJ745">
        <f>'Bookings and Drivers'!BR219</f>
        <v>259.59761684999989</v>
      </c>
      <c r="BK745">
        <f>'Bookings and Drivers'!BS219</f>
        <v>-128.71251993600004</v>
      </c>
      <c r="BL745">
        <f>'Bookings and Drivers'!BT219</f>
        <v>120.92652000000021</v>
      </c>
      <c r="BM745">
        <f>'Bookings and Drivers'!BU219</f>
        <v>369.90363355545605</v>
      </c>
      <c r="BN745">
        <f>'Bookings and Drivers'!BV219</f>
        <v>389.39642527499996</v>
      </c>
      <c r="BO745">
        <f>'Bookings and Drivers'!BW219</f>
        <v>324.35555023872007</v>
      </c>
      <c r="BP745">
        <f>'Bookings and Drivers'!BX219</f>
        <v>372.45368160000021</v>
      </c>
      <c r="BQ745">
        <f>'Bookings and Drivers'!BY219</f>
        <v>422.74700977766406</v>
      </c>
      <c r="BR745">
        <f>'Bookings and Drivers'!BZ219</f>
        <v>486.74553159374977</v>
      </c>
      <c r="BS745">
        <f>'Bookings and Drivers'!CA219</f>
        <v>370.69205741567998</v>
      </c>
      <c r="BT745">
        <f>'Bookings and Drivers'!CB219</f>
        <v>425.66135040000017</v>
      </c>
      <c r="BU745">
        <f>'Bookings and Drivers'!CC219</f>
        <v>317.06025733324759</v>
      </c>
      <c r="BV745">
        <f>'Bookings and Drivers'!CD219</f>
        <v>365.05914869531216</v>
      </c>
      <c r="BW745">
        <f>'Bookings and Drivers'!CE219</f>
        <v>278.0190430617597</v>
      </c>
      <c r="BX745">
        <f>'Bookings and Drivers'!CF219</f>
        <v>319.24601279999979</v>
      </c>
      <c r="BY745">
        <f>'Bookings and Drivers'!CG219</f>
        <v>0</v>
      </c>
      <c r="BZ745">
        <f>'Bookings and Drivers'!CH219</f>
        <v>0</v>
      </c>
      <c r="CA745">
        <f>'Bookings and Drivers'!CI219</f>
        <v>0</v>
      </c>
      <c r="CB745">
        <f>'Bookings and Drivers'!CJ219</f>
        <v>0</v>
      </c>
      <c r="CC745">
        <f>'Bookings and Drivers'!CK219</f>
        <v>0</v>
      </c>
      <c r="CD745">
        <f>'Bookings and Drivers'!CL219</f>
        <v>0</v>
      </c>
      <c r="CE745">
        <f>'Bookings and Drivers'!CM219</f>
        <v>0</v>
      </c>
      <c r="CF745">
        <f>'Bookings and Drivers'!CN219</f>
        <v>0</v>
      </c>
      <c r="CG745">
        <f>'Bookings and Drivers'!CO219</f>
        <v>0</v>
      </c>
      <c r="CH745">
        <f>'Bookings and Drivers'!CP219</f>
        <v>0</v>
      </c>
      <c r="CI745">
        <f>'Bookings and Drivers'!CQ219</f>
        <v>457.24119999999999</v>
      </c>
      <c r="CJ745">
        <f>'Bookings and Drivers'!CR219</f>
        <v>848.08178999999996</v>
      </c>
      <c r="CK745">
        <f>'Bookings and Drivers'!CS219</f>
        <v>1054.8765329999999</v>
      </c>
      <c r="CL745">
        <f>'Bookings and Drivers'!CT219</f>
        <v>1130.4621346200001</v>
      </c>
      <c r="CM745">
        <f>'Bookings and Drivers'!CU219</f>
        <v>1129.680497286</v>
      </c>
      <c r="CN745">
        <f>'Bookings and Drivers'!CV219</f>
        <v>471.9923511732004</v>
      </c>
      <c r="CO745">
        <f>'Bookings and Drivers'!CW219</f>
        <v>1456.1092906691756</v>
      </c>
      <c r="CP745">
        <f>'Bookings and Drivers'!CX219</f>
        <v>1705.8459491870944</v>
      </c>
      <c r="CQ745">
        <f>'Bookings and Drivers'!CY219</f>
        <v>1279.3844618903204</v>
      </c>
      <c r="CR745">
        <f>'Bookings and Drivers'!CZ219</f>
        <v>1250.598311497788</v>
      </c>
      <c r="CS745">
        <f>'Bookings and Drivers'!DA219</f>
        <v>1198.542156781692</v>
      </c>
      <c r="CT745">
        <f>'Bookings and Drivers'!DB219</f>
        <v>1144.5678428813299</v>
      </c>
      <c r="CU745">
        <f>'Bookings and Drivers'!DC219</f>
        <v>1050.4070274255737</v>
      </c>
      <c r="CV745">
        <f>'Bookings and Drivers'!DD219</f>
        <v>1132.7326782000528</v>
      </c>
      <c r="CW745">
        <f>'Bookings and Drivers'!DE219</f>
        <v>1221.5106018539809</v>
      </c>
      <c r="CX745">
        <f>'Bookings and Drivers'!DF219</f>
        <v>1317.2464952742885</v>
      </c>
    </row>
    <row r="746" spans="1:102">
      <c r="A746" t="str">
        <f>'Bookings and Drivers'!I220</f>
        <v>Booking.com</v>
      </c>
      <c r="B746">
        <f>'Bookings and Drivers'!J220</f>
        <v>0</v>
      </c>
      <c r="C746">
        <f>'Bookings and Drivers'!K220</f>
        <v>0</v>
      </c>
      <c r="D746">
        <f>'Bookings and Drivers'!L220</f>
        <v>0</v>
      </c>
      <c r="E746">
        <f>'Bookings and Drivers'!M220</f>
        <v>0</v>
      </c>
      <c r="F746">
        <f>'Bookings and Drivers'!N220</f>
        <v>0</v>
      </c>
      <c r="G746">
        <f>'Bookings and Drivers'!O220</f>
        <v>0</v>
      </c>
      <c r="H746">
        <f>'Bookings and Drivers'!P220</f>
        <v>0</v>
      </c>
      <c r="I746">
        <f>'Bookings and Drivers'!Q220</f>
        <v>0</v>
      </c>
      <c r="J746">
        <f>'Bookings and Drivers'!R220</f>
        <v>0</v>
      </c>
      <c r="K746">
        <f>'Bookings and Drivers'!S220</f>
        <v>0</v>
      </c>
      <c r="L746">
        <f>'Bookings and Drivers'!T220</f>
        <v>0</v>
      </c>
      <c r="M746">
        <f>'Bookings and Drivers'!U220</f>
        <v>0</v>
      </c>
      <c r="N746">
        <f>'Bookings and Drivers'!V220</f>
        <v>0</v>
      </c>
      <c r="O746">
        <f>'Bookings and Drivers'!W220</f>
        <v>0</v>
      </c>
      <c r="P746">
        <f>'Bookings and Drivers'!X220</f>
        <v>0</v>
      </c>
      <c r="Q746">
        <f>'Bookings and Drivers'!Y220</f>
        <v>0</v>
      </c>
      <c r="R746">
        <f>'Bookings and Drivers'!Z220</f>
        <v>0</v>
      </c>
      <c r="S746">
        <f>'Bookings and Drivers'!AA220</f>
        <v>0</v>
      </c>
      <c r="T746">
        <f>'Bookings and Drivers'!AB220</f>
        <v>0</v>
      </c>
      <c r="U746">
        <f>'Bookings and Drivers'!AC220</f>
        <v>0</v>
      </c>
      <c r="V746">
        <f>'Bookings and Drivers'!AD220</f>
        <v>0</v>
      </c>
      <c r="W746">
        <f>'Bookings and Drivers'!AE220</f>
        <v>0</v>
      </c>
      <c r="X746">
        <f>'Bookings and Drivers'!AF220</f>
        <v>0</v>
      </c>
      <c r="Y746">
        <f>'Bookings and Drivers'!AG220</f>
        <v>0</v>
      </c>
      <c r="Z746">
        <f>'Bookings and Drivers'!AH220</f>
        <v>0</v>
      </c>
      <c r="AA746">
        <f>'Bookings and Drivers'!AI220</f>
        <v>0</v>
      </c>
      <c r="AB746">
        <f>'Bookings and Drivers'!AJ220</f>
        <v>0</v>
      </c>
      <c r="AC746">
        <f>'Bookings and Drivers'!AK220</f>
        <v>0</v>
      </c>
      <c r="AD746">
        <f>'Bookings and Drivers'!AL220</f>
        <v>0</v>
      </c>
      <c r="AE746">
        <f>'Bookings and Drivers'!AM220</f>
        <v>0</v>
      </c>
      <c r="AF746">
        <f>'Bookings and Drivers'!AN220</f>
        <v>0</v>
      </c>
      <c r="AG746">
        <f>'Bookings and Drivers'!AO220</f>
        <v>0</v>
      </c>
      <c r="AH746">
        <f>'Bookings and Drivers'!AP220</f>
        <v>0</v>
      </c>
      <c r="AI746">
        <f>'Bookings and Drivers'!AQ220</f>
        <v>0</v>
      </c>
      <c r="AJ746">
        <f>'Bookings and Drivers'!AR220</f>
        <v>0</v>
      </c>
      <c r="AK746">
        <f>'Bookings and Drivers'!AS220</f>
        <v>0</v>
      </c>
      <c r="AL746">
        <f>'Bookings and Drivers'!AT220</f>
        <v>0</v>
      </c>
      <c r="AM746">
        <f>'Bookings and Drivers'!AU220</f>
        <v>0</v>
      </c>
      <c r="AN746">
        <f>'Bookings and Drivers'!AV220</f>
        <v>0</v>
      </c>
      <c r="AO746">
        <f>'Bookings and Drivers'!AW220</f>
        <v>26.163670628057151</v>
      </c>
      <c r="AP746">
        <f>'Bookings and Drivers'!AX220</f>
        <v>24.334340811786486</v>
      </c>
      <c r="AQ746">
        <f>'Bookings and Drivers'!AY220</f>
        <v>32.63337549838635</v>
      </c>
      <c r="AR746">
        <f>'Bookings and Drivers'!AZ220</f>
        <v>33.508697535876372</v>
      </c>
      <c r="AS746">
        <f>'Bookings and Drivers'!BA220</f>
        <v>60.176442444531439</v>
      </c>
      <c r="AT746">
        <f>'Bookings and Drivers'!BB220</f>
        <v>63.269286110644849</v>
      </c>
      <c r="AU746">
        <f>'Bookings and Drivers'!BC220</f>
        <v>82.699299058647</v>
      </c>
      <c r="AV746">
        <f>'Bookings and Drivers'!BD220</f>
        <v>80.46717799439881</v>
      </c>
      <c r="AW746">
        <f>'Bookings and Drivers'!BE220</f>
        <v>67.502270220387445</v>
      </c>
      <c r="AX746">
        <f>'Bookings and Drivers'!BF220</f>
        <v>67.162780640530698</v>
      </c>
      <c r="AY746">
        <f>'Bookings and Drivers'!BG220</f>
        <v>87.788486693025277</v>
      </c>
      <c r="AZ746">
        <f>'Bookings and Drivers'!BH220</f>
        <v>85.419004332515669</v>
      </c>
      <c r="BA746">
        <f>'Bookings and Drivers'!BI220</f>
        <v>108.00363235261995</v>
      </c>
      <c r="BB746">
        <f>'Bookings and Drivers'!BJ220</f>
        <v>107.46044902484911</v>
      </c>
      <c r="BC746">
        <f>'Bookings and Drivers'!BK220</f>
        <v>140.46157870884048</v>
      </c>
      <c r="BD746">
        <f>'Bookings and Drivers'!BL220</f>
        <v>136.67040693202509</v>
      </c>
      <c r="BE746">
        <f>'Bookings and Drivers'!BM220</f>
        <v>129.60435882314391</v>
      </c>
      <c r="BF746">
        <f>'Bookings and Drivers'!BN220</f>
        <v>128.95253882981893</v>
      </c>
      <c r="BG746">
        <f>'Bookings and Drivers'!BO220</f>
        <v>168.55389445060854</v>
      </c>
      <c r="BH746">
        <f>'Bookings and Drivers'!BP220</f>
        <v>164.00448831843005</v>
      </c>
      <c r="BI746">
        <f>'Bookings and Drivers'!BQ220</f>
        <v>146.16491578387905</v>
      </c>
      <c r="BJ746">
        <f>'Bookings and Drivers'!BR220</f>
        <v>145.42980768029582</v>
      </c>
      <c r="BK746">
        <f>'Bookings and Drivers'!BS220</f>
        <v>190.09133651929744</v>
      </c>
      <c r="BL746">
        <f>'Bookings and Drivers'!BT220</f>
        <v>184.96061738134063</v>
      </c>
      <c r="BM746">
        <f>'Bookings and Drivers'!BU220</f>
        <v>186.04705709062318</v>
      </c>
      <c r="BN746">
        <f>'Bookings and Drivers'!BV220</f>
        <v>157.06419229471953</v>
      </c>
      <c r="BO746">
        <f>'Bookings and Drivers'!BW220</f>
        <v>205.29864344084126</v>
      </c>
      <c r="BP746">
        <f>'Bookings and Drivers'!BX220</f>
        <v>199.75746677184782</v>
      </c>
      <c r="BQ746">
        <f>'Bookings and Drivers'!BY220</f>
        <v>209.95128503196383</v>
      </c>
      <c r="BR746">
        <f>'Bookings and Drivers'!BZ220</f>
        <v>201.042166137241</v>
      </c>
      <c r="BS746">
        <f>'Bookings and Drivers'!CA220</f>
        <v>262.78226360427675</v>
      </c>
      <c r="BT746">
        <f>'Bookings and Drivers'!CB220</f>
        <v>255.68955746796519</v>
      </c>
      <c r="BU746">
        <f>'Bookings and Drivers'!CC220</f>
        <v>191.95546060065249</v>
      </c>
      <c r="BV746">
        <f>'Bookings and Drivers'!CD220</f>
        <v>183.80998046833463</v>
      </c>
      <c r="BW746">
        <f>'Bookings and Drivers'!CE220</f>
        <v>240.25806958105295</v>
      </c>
      <c r="BX746">
        <f>'Bookings and Drivers'!CF220</f>
        <v>233.77330968499678</v>
      </c>
      <c r="BY746">
        <f>'Bookings and Drivers'!CG220</f>
        <v>0</v>
      </c>
      <c r="BZ746">
        <f>'Bookings and Drivers'!CH220</f>
        <v>0</v>
      </c>
      <c r="CA746">
        <f>'Bookings and Drivers'!CI220</f>
        <v>0</v>
      </c>
      <c r="CB746">
        <f>'Bookings and Drivers'!CJ220</f>
        <v>0</v>
      </c>
      <c r="CC746">
        <f>'Bookings and Drivers'!CK220</f>
        <v>0</v>
      </c>
      <c r="CD746">
        <f>'Bookings and Drivers'!CL220</f>
        <v>0</v>
      </c>
      <c r="CE746">
        <f>'Bookings and Drivers'!CM220</f>
        <v>0</v>
      </c>
      <c r="CF746">
        <f>'Bookings and Drivers'!CN220</f>
        <v>0</v>
      </c>
      <c r="CG746">
        <f>'Bookings and Drivers'!CO220</f>
        <v>0</v>
      </c>
      <c r="CH746">
        <f>'Bookings and Drivers'!CP220</f>
        <v>0</v>
      </c>
      <c r="CI746">
        <f>'Bookings and Drivers'!CQ220</f>
        <v>116.64008447410635</v>
      </c>
      <c r="CJ746">
        <f>'Bookings and Drivers'!CR220</f>
        <v>286.61220560822204</v>
      </c>
      <c r="CK746">
        <f>'Bookings and Drivers'!CS220</f>
        <v>307.87254188645909</v>
      </c>
      <c r="CL746">
        <f>'Bookings and Drivers'!CT220</f>
        <v>492.59606701833468</v>
      </c>
      <c r="CM746">
        <f>'Bookings and Drivers'!CU220</f>
        <v>591.11528042200143</v>
      </c>
      <c r="CN746">
        <f>'Bookings and Drivers'!CV220</f>
        <v>666.64667736481306</v>
      </c>
      <c r="CO746">
        <f>'Bookings and Drivers'!CW220</f>
        <v>748.16735959803191</v>
      </c>
      <c r="CP746">
        <f>'Bookings and Drivers'!CX220</f>
        <v>929.46527224144666</v>
      </c>
      <c r="CQ746">
        <f>'Bookings and Drivers'!CY220</f>
        <v>849.7968203350365</v>
      </c>
      <c r="CR746">
        <f>'Bookings and Drivers'!CZ220</f>
        <v>897.38544227379862</v>
      </c>
      <c r="CS746">
        <f>'Bookings and Drivers'!DA220</f>
        <v>897.0264880968889</v>
      </c>
      <c r="CT746">
        <f>'Bookings and Drivers'!DB220</f>
        <v>927.82375793046958</v>
      </c>
      <c r="CU746">
        <f>'Bookings and Drivers'!DC220</f>
        <v>935.39358659323989</v>
      </c>
      <c r="CV746">
        <f>'Bookings and Drivers'!DD220</f>
        <v>1047.2666595497922</v>
      </c>
      <c r="CW746">
        <f>'Bookings and Drivers'!DE220</f>
        <v>1172.5197520319471</v>
      </c>
      <c r="CX746">
        <f>'Bookings and Drivers'!DF220</f>
        <v>1312.7531143749675</v>
      </c>
    </row>
    <row r="747" spans="1:102">
      <c r="A747" t="str">
        <f>'Bookings and Drivers'!I221</f>
        <v>Total APAC</v>
      </c>
      <c r="B747">
        <f>'Bookings and Drivers'!J221</f>
        <v>0</v>
      </c>
      <c r="C747">
        <f>'Bookings and Drivers'!K221</f>
        <v>0</v>
      </c>
      <c r="D747">
        <f>'Bookings and Drivers'!L221</f>
        <v>0</v>
      </c>
      <c r="E747">
        <f>'Bookings and Drivers'!M221</f>
        <v>0</v>
      </c>
      <c r="F747">
        <f>'Bookings and Drivers'!N221</f>
        <v>0</v>
      </c>
      <c r="G747">
        <f>'Bookings and Drivers'!O221</f>
        <v>0</v>
      </c>
      <c r="H747">
        <f>'Bookings and Drivers'!P221</f>
        <v>0</v>
      </c>
      <c r="I747">
        <f>'Bookings and Drivers'!Q221</f>
        <v>0</v>
      </c>
      <c r="J747">
        <f>'Bookings and Drivers'!R221</f>
        <v>0</v>
      </c>
      <c r="K747">
        <f>'Bookings and Drivers'!S221</f>
        <v>0</v>
      </c>
      <c r="L747">
        <f>'Bookings and Drivers'!T221</f>
        <v>0</v>
      </c>
      <c r="M747">
        <f>'Bookings and Drivers'!U221</f>
        <v>0</v>
      </c>
      <c r="N747">
        <f>'Bookings and Drivers'!V221</f>
        <v>0</v>
      </c>
      <c r="O747">
        <f>'Bookings and Drivers'!W221</f>
        <v>0</v>
      </c>
      <c r="P747">
        <f>'Bookings and Drivers'!X221</f>
        <v>0</v>
      </c>
      <c r="Q747">
        <f>'Bookings and Drivers'!Y221</f>
        <v>0</v>
      </c>
      <c r="R747">
        <f>'Bookings and Drivers'!Z221</f>
        <v>0</v>
      </c>
      <c r="S747">
        <f>'Bookings and Drivers'!AA221</f>
        <v>0</v>
      </c>
      <c r="T747">
        <f>'Bookings and Drivers'!AB221</f>
        <v>0</v>
      </c>
      <c r="U747">
        <f>'Bookings and Drivers'!AC221</f>
        <v>0</v>
      </c>
      <c r="V747">
        <f>'Bookings and Drivers'!AD221</f>
        <v>0</v>
      </c>
      <c r="W747">
        <f>'Bookings and Drivers'!AE221</f>
        <v>0</v>
      </c>
      <c r="X747">
        <f>'Bookings and Drivers'!AF221</f>
        <v>0</v>
      </c>
      <c r="Y747">
        <f>'Bookings and Drivers'!AG221</f>
        <v>0</v>
      </c>
      <c r="Z747">
        <f>'Bookings and Drivers'!AH221</f>
        <v>0</v>
      </c>
      <c r="AA747">
        <f>'Bookings and Drivers'!AI221</f>
        <v>0</v>
      </c>
      <c r="AB747">
        <f>'Bookings and Drivers'!AJ221</f>
        <v>0</v>
      </c>
      <c r="AC747">
        <f>'Bookings and Drivers'!AK221</f>
        <v>0</v>
      </c>
      <c r="AD747">
        <f>'Bookings and Drivers'!AL221</f>
        <v>0</v>
      </c>
      <c r="AE747">
        <f>'Bookings and Drivers'!AM221</f>
        <v>0</v>
      </c>
      <c r="AF747">
        <f>'Bookings and Drivers'!AN221</f>
        <v>0</v>
      </c>
      <c r="AG747">
        <f>'Bookings and Drivers'!AO221</f>
        <v>0</v>
      </c>
      <c r="AH747">
        <f>'Bookings and Drivers'!AP221</f>
        <v>0</v>
      </c>
      <c r="AI747">
        <f>'Bookings and Drivers'!AQ221</f>
        <v>0</v>
      </c>
      <c r="AJ747">
        <f>'Bookings and Drivers'!AR221</f>
        <v>0</v>
      </c>
      <c r="AK747">
        <f>'Bookings and Drivers'!AS221</f>
        <v>0</v>
      </c>
      <c r="AL747">
        <f>'Bookings and Drivers'!AT221</f>
        <v>0</v>
      </c>
      <c r="AM747">
        <f>'Bookings and Drivers'!AU221</f>
        <v>0</v>
      </c>
      <c r="AN747">
        <f>'Bookings and Drivers'!AV221</f>
        <v>0</v>
      </c>
      <c r="AO747">
        <f>'Bookings and Drivers'!AW221</f>
        <v>125.59687062805715</v>
      </c>
      <c r="AP747">
        <f>'Bookings and Drivers'!AX221</f>
        <v>121.01334081178651</v>
      </c>
      <c r="AQ747">
        <f>'Bookings and Drivers'!AY221</f>
        <v>160.9373754983863</v>
      </c>
      <c r="AR747">
        <f>'Bookings and Drivers'!AZ221</f>
        <v>166.33369753587638</v>
      </c>
      <c r="AS747">
        <f>'Bookings and Drivers'!BA221</f>
        <v>248.86828244453145</v>
      </c>
      <c r="AT747">
        <f>'Bookings and Drivers'!BB221</f>
        <v>301.27023611064476</v>
      </c>
      <c r="AU747">
        <f>'Bookings and Drivers'!BC221</f>
        <v>288.76329905864691</v>
      </c>
      <c r="AV747">
        <f>'Bookings and Drivers'!BD221</f>
        <v>295.79217799439886</v>
      </c>
      <c r="AW747">
        <f>'Bookings and Drivers'!BE221</f>
        <v>309.65679822038743</v>
      </c>
      <c r="AX747">
        <f>'Bookings and Drivers'!BF221</f>
        <v>341.2477456405307</v>
      </c>
      <c r="AY747">
        <f>'Bookings and Drivers'!BG221</f>
        <v>368.0355266930253</v>
      </c>
      <c r="AZ747">
        <f>'Bookings and Drivers'!BH221</f>
        <v>343.80900433251566</v>
      </c>
      <c r="BA747">
        <f>'Bookings and Drivers'!BI221</f>
        <v>366.76304227261994</v>
      </c>
      <c r="BB747">
        <f>'Bookings and Drivers'!BJ221</f>
        <v>440.27790652484907</v>
      </c>
      <c r="BC747">
        <f>'Bookings and Drivers'!BK221</f>
        <v>438.18284590884036</v>
      </c>
      <c r="BD747">
        <f>'Bookings and Drivers'!BL221</f>
        <v>377.83440693202533</v>
      </c>
      <c r="BE747">
        <f>'Bookings and Drivers'!BM221</f>
        <v>383.65905219914384</v>
      </c>
      <c r="BF747">
        <f>'Bookings and Drivers'!BN221</f>
        <v>428.4882505798189</v>
      </c>
      <c r="BG747">
        <f>'Bookings and Drivers'!BO221</f>
        <v>465.58278661060854</v>
      </c>
      <c r="BH747">
        <f>'Bookings and Drivers'!BP221</f>
        <v>443.06568831843015</v>
      </c>
      <c r="BI747">
        <f>'Bookings and Drivers'!BQ221</f>
        <v>366.34565004307888</v>
      </c>
      <c r="BJ747">
        <f>'Bookings and Drivers'!BR221</f>
        <v>405.02742453029578</v>
      </c>
      <c r="BK747">
        <f>'Bookings and Drivers'!BS221</f>
        <v>61.378816583297521</v>
      </c>
      <c r="BL747">
        <f>'Bookings and Drivers'!BT221</f>
        <v>305.88713738134084</v>
      </c>
      <c r="BM747">
        <f>'Bookings and Drivers'!BU221</f>
        <v>555.95069064607924</v>
      </c>
      <c r="BN747">
        <f>'Bookings and Drivers'!BV221</f>
        <v>546.46061756971949</v>
      </c>
      <c r="BO747">
        <f>'Bookings and Drivers'!BW221</f>
        <v>529.6541936795611</v>
      </c>
      <c r="BP747">
        <f>'Bookings and Drivers'!BX221</f>
        <v>572.21114837184768</v>
      </c>
      <c r="BQ747">
        <f>'Bookings and Drivers'!BY221</f>
        <v>632.6982948096279</v>
      </c>
      <c r="BR747">
        <f>'Bookings and Drivers'!BZ221</f>
        <v>687.78769773099066</v>
      </c>
      <c r="BS747">
        <f>'Bookings and Drivers'!CA221</f>
        <v>633.47432101995673</v>
      </c>
      <c r="BT747">
        <f>'Bookings and Drivers'!CB221</f>
        <v>681.35090786796536</v>
      </c>
      <c r="BU747">
        <f>'Bookings and Drivers'!CC221</f>
        <v>509.01571793389985</v>
      </c>
      <c r="BV747">
        <f>'Bookings and Drivers'!CD221</f>
        <v>548.8691291636469</v>
      </c>
      <c r="BW747">
        <f>'Bookings and Drivers'!CE221</f>
        <v>518.27711264281288</v>
      </c>
      <c r="BX747">
        <f>'Bookings and Drivers'!CF221</f>
        <v>553.01932248499679</v>
      </c>
      <c r="BY747">
        <f>'Bookings and Drivers'!CG221</f>
        <v>0</v>
      </c>
      <c r="BZ747">
        <f>'Bookings and Drivers'!CH221</f>
        <v>0</v>
      </c>
      <c r="CA747">
        <f>'Bookings and Drivers'!CI221</f>
        <v>0</v>
      </c>
      <c r="CB747">
        <f>'Bookings and Drivers'!CJ221</f>
        <v>0</v>
      </c>
      <c r="CC747">
        <f>'Bookings and Drivers'!CK221</f>
        <v>0</v>
      </c>
      <c r="CD747">
        <f>'Bookings and Drivers'!CL221</f>
        <v>0</v>
      </c>
      <c r="CE747">
        <f>'Bookings and Drivers'!CM221</f>
        <v>0</v>
      </c>
      <c r="CF747">
        <f>'Bookings and Drivers'!CN221</f>
        <v>0</v>
      </c>
      <c r="CG747">
        <f>'Bookings and Drivers'!CO221</f>
        <v>0</v>
      </c>
      <c r="CH747">
        <f>'Bookings and Drivers'!CP221</f>
        <v>0</v>
      </c>
      <c r="CI747">
        <f>'Bookings and Drivers'!CQ221</f>
        <v>573.88128447410634</v>
      </c>
      <c r="CJ747">
        <f>'Bookings and Drivers'!CR221</f>
        <v>1134.6939956082219</v>
      </c>
      <c r="CK747">
        <f>'Bookings and Drivers'!CS221</f>
        <v>1362.7490748864589</v>
      </c>
      <c r="CL747">
        <f>'Bookings and Drivers'!CT221</f>
        <v>1623.058201638335</v>
      </c>
      <c r="CM747">
        <f>'Bookings and Drivers'!CU221</f>
        <v>1720.7957777080019</v>
      </c>
      <c r="CN747">
        <f>'Bookings and Drivers'!CV221</f>
        <v>1138.639028538013</v>
      </c>
      <c r="CO747">
        <f>'Bookings and Drivers'!CW221</f>
        <v>2204.2766502672075</v>
      </c>
      <c r="CP747">
        <f>'Bookings and Drivers'!CX221</f>
        <v>2635.3112214285411</v>
      </c>
      <c r="CQ747">
        <f>'Bookings and Drivers'!CY221</f>
        <v>2129.181282225356</v>
      </c>
      <c r="CR747">
        <f>'Bookings and Drivers'!CZ221</f>
        <v>2147.9837537715866</v>
      </c>
      <c r="CS747">
        <f>'Bookings and Drivers'!DA221</f>
        <v>2095.5686448785818</v>
      </c>
      <c r="CT747">
        <f>'Bookings and Drivers'!DB221</f>
        <v>2072.3916008117994</v>
      </c>
      <c r="CU747">
        <f>'Bookings and Drivers'!DC221</f>
        <v>1985.8006140188154</v>
      </c>
      <c r="CV747">
        <f>'Bookings and Drivers'!DD221</f>
        <v>2179.9993377498431</v>
      </c>
      <c r="CW747">
        <f>'Bookings and Drivers'!DE221</f>
        <v>2394.0303538859262</v>
      </c>
      <c r="CX747">
        <f>'Bookings and Drivers'!DF221</f>
        <v>2629.9996096492578</v>
      </c>
    </row>
    <row r="748" spans="1:102">
      <c r="A748">
        <f>'Bookings and Drivers'!I222</f>
        <v>0</v>
      </c>
      <c r="B748">
        <f>'Bookings and Drivers'!J222</f>
        <v>0</v>
      </c>
      <c r="C748">
        <f>'Bookings and Drivers'!K222</f>
        <v>0</v>
      </c>
      <c r="D748">
        <f>'Bookings and Drivers'!L222</f>
        <v>0</v>
      </c>
      <c r="E748">
        <f>'Bookings and Drivers'!M222</f>
        <v>0</v>
      </c>
      <c r="F748">
        <f>'Bookings and Drivers'!N222</f>
        <v>0</v>
      </c>
      <c r="G748">
        <f>'Bookings and Drivers'!O222</f>
        <v>0</v>
      </c>
      <c r="H748">
        <f>'Bookings and Drivers'!P222</f>
        <v>0</v>
      </c>
      <c r="I748">
        <f>'Bookings and Drivers'!Q222</f>
        <v>0</v>
      </c>
      <c r="J748">
        <f>'Bookings and Drivers'!R222</f>
        <v>0</v>
      </c>
      <c r="K748">
        <f>'Bookings and Drivers'!S222</f>
        <v>0</v>
      </c>
      <c r="L748">
        <f>'Bookings and Drivers'!T222</f>
        <v>0</v>
      </c>
      <c r="M748">
        <f>'Bookings and Drivers'!U222</f>
        <v>0</v>
      </c>
      <c r="N748">
        <f>'Bookings and Drivers'!V222</f>
        <v>0</v>
      </c>
      <c r="O748">
        <f>'Bookings and Drivers'!W222</f>
        <v>0</v>
      </c>
      <c r="P748">
        <f>'Bookings and Drivers'!X222</f>
        <v>0</v>
      </c>
      <c r="Q748">
        <f>'Bookings and Drivers'!Y222</f>
        <v>0</v>
      </c>
      <c r="R748">
        <f>'Bookings and Drivers'!Z222</f>
        <v>0</v>
      </c>
      <c r="S748">
        <f>'Bookings and Drivers'!AA222</f>
        <v>0</v>
      </c>
      <c r="T748">
        <f>'Bookings and Drivers'!AB222</f>
        <v>0</v>
      </c>
      <c r="U748">
        <f>'Bookings and Drivers'!AC222</f>
        <v>0</v>
      </c>
      <c r="V748">
        <f>'Bookings and Drivers'!AD222</f>
        <v>0</v>
      </c>
      <c r="W748">
        <f>'Bookings and Drivers'!AE222</f>
        <v>0</v>
      </c>
      <c r="X748">
        <f>'Bookings and Drivers'!AF222</f>
        <v>0</v>
      </c>
      <c r="Y748">
        <f>'Bookings and Drivers'!AG222</f>
        <v>0</v>
      </c>
      <c r="Z748">
        <f>'Bookings and Drivers'!AH222</f>
        <v>0</v>
      </c>
      <c r="AA748">
        <f>'Bookings and Drivers'!AI222</f>
        <v>0</v>
      </c>
      <c r="AB748">
        <f>'Bookings and Drivers'!AJ222</f>
        <v>0</v>
      </c>
      <c r="AC748">
        <f>'Bookings and Drivers'!AK222</f>
        <v>0</v>
      </c>
      <c r="AD748">
        <f>'Bookings and Drivers'!AL222</f>
        <v>0</v>
      </c>
      <c r="AE748">
        <f>'Bookings and Drivers'!AM222</f>
        <v>0</v>
      </c>
      <c r="AF748">
        <f>'Bookings and Drivers'!AN222</f>
        <v>0</v>
      </c>
      <c r="AG748">
        <f>'Bookings and Drivers'!AO222</f>
        <v>0</v>
      </c>
      <c r="AH748">
        <f>'Bookings and Drivers'!AP222</f>
        <v>0</v>
      </c>
      <c r="AI748">
        <f>'Bookings and Drivers'!AQ222</f>
        <v>0</v>
      </c>
      <c r="AJ748">
        <f>'Bookings and Drivers'!AR222</f>
        <v>0</v>
      </c>
      <c r="AK748">
        <f>'Bookings and Drivers'!AS222</f>
        <v>0</v>
      </c>
      <c r="AL748">
        <f>'Bookings and Drivers'!AT222</f>
        <v>0</v>
      </c>
      <c r="AM748">
        <f>'Bookings and Drivers'!AU222</f>
        <v>0</v>
      </c>
      <c r="AN748">
        <f>'Bookings and Drivers'!AV222</f>
        <v>0</v>
      </c>
      <c r="AO748">
        <f>'Bookings and Drivers'!AW222</f>
        <v>0</v>
      </c>
      <c r="AP748">
        <f>'Bookings and Drivers'!AX222</f>
        <v>0</v>
      </c>
      <c r="AQ748">
        <f>'Bookings and Drivers'!AY222</f>
        <v>0</v>
      </c>
      <c r="AR748">
        <f>'Bookings and Drivers'!AZ222</f>
        <v>0</v>
      </c>
      <c r="AS748">
        <f>'Bookings and Drivers'!BA222</f>
        <v>0</v>
      </c>
      <c r="AT748">
        <f>'Bookings and Drivers'!BB222</f>
        <v>0</v>
      </c>
      <c r="AU748">
        <f>'Bookings and Drivers'!BC222</f>
        <v>0</v>
      </c>
      <c r="AV748">
        <f>'Bookings and Drivers'!BD222</f>
        <v>0</v>
      </c>
      <c r="AW748">
        <f>'Bookings and Drivers'!BE222</f>
        <v>0</v>
      </c>
      <c r="AX748">
        <f>'Bookings and Drivers'!BF222</f>
        <v>0</v>
      </c>
      <c r="AY748">
        <f>'Bookings and Drivers'!BG222</f>
        <v>0</v>
      </c>
      <c r="AZ748">
        <f>'Bookings and Drivers'!BH222</f>
        <v>0</v>
      </c>
      <c r="BA748">
        <f>'Bookings and Drivers'!BI222</f>
        <v>0</v>
      </c>
      <c r="BB748">
        <f>'Bookings and Drivers'!BJ222</f>
        <v>0</v>
      </c>
      <c r="BC748">
        <f>'Bookings and Drivers'!BK222</f>
        <v>0</v>
      </c>
      <c r="BD748">
        <f>'Bookings and Drivers'!BL222</f>
        <v>0</v>
      </c>
      <c r="BE748">
        <f>'Bookings and Drivers'!BM222</f>
        <v>0</v>
      </c>
      <c r="BF748">
        <f>'Bookings and Drivers'!BN222</f>
        <v>0</v>
      </c>
      <c r="BG748">
        <f>'Bookings and Drivers'!BO222</f>
        <v>0</v>
      </c>
      <c r="BH748">
        <f>'Bookings and Drivers'!BP222</f>
        <v>0</v>
      </c>
      <c r="BI748">
        <f>'Bookings and Drivers'!BQ222</f>
        <v>0</v>
      </c>
      <c r="BJ748">
        <f>'Bookings and Drivers'!BU222</f>
        <v>0</v>
      </c>
      <c r="BK748">
        <f>'Bookings and Drivers'!BV222</f>
        <v>0</v>
      </c>
      <c r="BL748">
        <f>'Bookings and Drivers'!BW222</f>
        <v>0</v>
      </c>
      <c r="BM748">
        <f>'Bookings and Drivers'!BX222</f>
        <v>0</v>
      </c>
      <c r="BQ748">
        <f>'Bookings and Drivers'!BY222</f>
        <v>0</v>
      </c>
      <c r="BR748">
        <f>'Bookings and Drivers'!BZ222</f>
        <v>0</v>
      </c>
      <c r="BS748">
        <f>'Bookings and Drivers'!CA222</f>
        <v>0</v>
      </c>
      <c r="BT748">
        <f>'Bookings and Drivers'!CB222</f>
        <v>0</v>
      </c>
      <c r="BU748">
        <f>'Bookings and Drivers'!CC222</f>
        <v>0</v>
      </c>
      <c r="BV748">
        <f>'Bookings and Drivers'!CD222</f>
        <v>0</v>
      </c>
      <c r="BW748">
        <f>'Bookings and Drivers'!CE222</f>
        <v>0</v>
      </c>
      <c r="BX748">
        <f>'Bookings and Drivers'!CF222</f>
        <v>0</v>
      </c>
      <c r="BY748">
        <f>'Bookings and Drivers'!CG222</f>
        <v>0</v>
      </c>
      <c r="BZ748">
        <f>'Bookings and Drivers'!CH222</f>
        <v>0</v>
      </c>
      <c r="CA748">
        <f>'Bookings and Drivers'!CI222</f>
        <v>0</v>
      </c>
      <c r="CB748">
        <f>'Bookings and Drivers'!CJ222</f>
        <v>0</v>
      </c>
      <c r="CC748">
        <f>'Bookings and Drivers'!CK222</f>
        <v>0</v>
      </c>
      <c r="CD748">
        <f>'Bookings and Drivers'!CL222</f>
        <v>0</v>
      </c>
      <c r="CE748">
        <f>'Bookings and Drivers'!CM222</f>
        <v>0</v>
      </c>
      <c r="CF748">
        <f>'Bookings and Drivers'!CN222</f>
        <v>0</v>
      </c>
      <c r="CG748">
        <f>'Bookings and Drivers'!CO222</f>
        <v>0</v>
      </c>
      <c r="CH748">
        <f>'Bookings and Drivers'!CP222</f>
        <v>0</v>
      </c>
      <c r="CI748">
        <f>'Bookings and Drivers'!CQ222</f>
        <v>0</v>
      </c>
      <c r="CJ748">
        <f>'Bookings and Drivers'!CR222</f>
        <v>0</v>
      </c>
      <c r="CK748">
        <f>'Bookings and Drivers'!CS222</f>
        <v>0</v>
      </c>
      <c r="CL748">
        <f>'Bookings and Drivers'!CT222</f>
        <v>0</v>
      </c>
      <c r="CM748">
        <f>'Bookings and Drivers'!CU222</f>
        <v>0</v>
      </c>
      <c r="CN748">
        <f>'Bookings and Drivers'!CV222</f>
        <v>0</v>
      </c>
      <c r="CO748">
        <f>'Bookings and Drivers'!CW222</f>
        <v>0</v>
      </c>
      <c r="CP748">
        <f>'Bookings and Drivers'!CX222</f>
        <v>0</v>
      </c>
      <c r="CQ748">
        <f>'Bookings and Drivers'!CY222</f>
        <v>0</v>
      </c>
      <c r="CR748">
        <f>'Bookings and Drivers'!CZ222</f>
        <v>0</v>
      </c>
      <c r="CS748">
        <f>'Bookings and Drivers'!DA222</f>
        <v>0</v>
      </c>
      <c r="CT748">
        <f>'Bookings and Drivers'!DB222</f>
        <v>0</v>
      </c>
      <c r="CU748">
        <f>'Bookings and Drivers'!DC222</f>
        <v>0</v>
      </c>
      <c r="CV748">
        <f>'Bookings and Drivers'!DD222</f>
        <v>0</v>
      </c>
      <c r="CW748">
        <f>'Bookings and Drivers'!DE222</f>
        <v>0</v>
      </c>
      <c r="CX748">
        <f>'Bookings and Drivers'!DF222</f>
        <v>0</v>
      </c>
    </row>
    <row r="749" spans="1:102">
      <c r="A749" t="str">
        <f>'Bookings and Drivers'!I223</f>
        <v>% change Y/Y</v>
      </c>
      <c r="B749">
        <f>'Bookings and Drivers'!J223</f>
        <v>0</v>
      </c>
      <c r="C749">
        <f>'Bookings and Drivers'!K223</f>
        <v>0</v>
      </c>
      <c r="D749">
        <f>'Bookings and Drivers'!L223</f>
        <v>0</v>
      </c>
      <c r="E749">
        <f>'Bookings and Drivers'!M223</f>
        <v>0</v>
      </c>
      <c r="F749">
        <f>'Bookings and Drivers'!N223</f>
        <v>0</v>
      </c>
      <c r="G749">
        <f>'Bookings and Drivers'!O223</f>
        <v>0</v>
      </c>
      <c r="H749">
        <f>'Bookings and Drivers'!P223</f>
        <v>0</v>
      </c>
      <c r="I749">
        <f>'Bookings and Drivers'!Q223</f>
        <v>0</v>
      </c>
      <c r="J749">
        <f>'Bookings and Drivers'!R223</f>
        <v>0</v>
      </c>
      <c r="K749">
        <f>'Bookings and Drivers'!S223</f>
        <v>0</v>
      </c>
      <c r="L749">
        <f>'Bookings and Drivers'!T223</f>
        <v>0</v>
      </c>
      <c r="M749">
        <f>'Bookings and Drivers'!U223</f>
        <v>0</v>
      </c>
      <c r="N749">
        <f>'Bookings and Drivers'!V223</f>
        <v>0</v>
      </c>
      <c r="O749">
        <f>'Bookings and Drivers'!W223</f>
        <v>0</v>
      </c>
      <c r="P749">
        <f>'Bookings and Drivers'!X223</f>
        <v>0</v>
      </c>
      <c r="Q749">
        <f>'Bookings and Drivers'!Y223</f>
        <v>0</v>
      </c>
      <c r="R749">
        <f>'Bookings and Drivers'!Z223</f>
        <v>0</v>
      </c>
      <c r="S749">
        <f>'Bookings and Drivers'!AA223</f>
        <v>0</v>
      </c>
      <c r="T749">
        <f>'Bookings and Drivers'!AB223</f>
        <v>0</v>
      </c>
      <c r="U749">
        <f>'Bookings and Drivers'!AC223</f>
        <v>0</v>
      </c>
      <c r="V749">
        <f>'Bookings and Drivers'!AD223</f>
        <v>0</v>
      </c>
      <c r="W749">
        <f>'Bookings and Drivers'!AE223</f>
        <v>0</v>
      </c>
      <c r="X749">
        <f>'Bookings and Drivers'!AF223</f>
        <v>0</v>
      </c>
      <c r="Y749">
        <f>'Bookings and Drivers'!AG223</f>
        <v>0</v>
      </c>
      <c r="Z749">
        <f>'Bookings and Drivers'!AH223</f>
        <v>0</v>
      </c>
      <c r="AA749">
        <f>'Bookings and Drivers'!AI223</f>
        <v>0</v>
      </c>
      <c r="AB749">
        <f>'Bookings and Drivers'!AJ223</f>
        <v>0</v>
      </c>
      <c r="AC749">
        <f>'Bookings and Drivers'!AK223</f>
        <v>0</v>
      </c>
      <c r="AD749">
        <f>'Bookings and Drivers'!AL223</f>
        <v>0</v>
      </c>
      <c r="AE749">
        <f>'Bookings and Drivers'!AM223</f>
        <v>0</v>
      </c>
      <c r="AF749">
        <f>'Bookings and Drivers'!AN223</f>
        <v>0</v>
      </c>
      <c r="AG749">
        <f>'Bookings and Drivers'!AO223</f>
        <v>0</v>
      </c>
      <c r="AH749">
        <f>'Bookings and Drivers'!AP223</f>
        <v>0</v>
      </c>
      <c r="AI749">
        <f>'Bookings and Drivers'!AQ223</f>
        <v>0</v>
      </c>
      <c r="AJ749">
        <f>'Bookings and Drivers'!AR223</f>
        <v>0</v>
      </c>
      <c r="AK749">
        <f>'Bookings and Drivers'!AS223</f>
        <v>0</v>
      </c>
      <c r="AL749">
        <f>'Bookings and Drivers'!AT223</f>
        <v>0</v>
      </c>
      <c r="AM749">
        <f>'Bookings and Drivers'!AU223</f>
        <v>0</v>
      </c>
      <c r="AN749">
        <f>'Bookings and Drivers'!AV223</f>
        <v>0</v>
      </c>
      <c r="AO749">
        <f>'Bookings and Drivers'!AW223</f>
        <v>0</v>
      </c>
      <c r="AP749">
        <f>'Bookings and Drivers'!AX223</f>
        <v>0</v>
      </c>
      <c r="AQ749">
        <f>'Bookings and Drivers'!AY223</f>
        <v>0</v>
      </c>
      <c r="AR749">
        <f>'Bookings and Drivers'!AZ223</f>
        <v>0</v>
      </c>
      <c r="AS749">
        <f>'Bookings and Drivers'!BA223</f>
        <v>0</v>
      </c>
      <c r="AT749">
        <f>'Bookings and Drivers'!BB223</f>
        <v>0</v>
      </c>
      <c r="AU749">
        <f>'Bookings and Drivers'!BC223</f>
        <v>0</v>
      </c>
      <c r="AV749">
        <f>'Bookings and Drivers'!BD223</f>
        <v>0</v>
      </c>
      <c r="AW749">
        <f>'Bookings and Drivers'!BE223</f>
        <v>0</v>
      </c>
      <c r="AX749">
        <f>'Bookings and Drivers'!BF223</f>
        <v>0</v>
      </c>
      <c r="AY749">
        <f>'Bookings and Drivers'!BG223</f>
        <v>0</v>
      </c>
      <c r="AZ749">
        <f>'Bookings and Drivers'!BH223</f>
        <v>0</v>
      </c>
      <c r="BA749">
        <f>'Bookings and Drivers'!BI223</f>
        <v>0</v>
      </c>
      <c r="BB749">
        <f>'Bookings and Drivers'!BJ223</f>
        <v>0</v>
      </c>
      <c r="BC749">
        <f>'Bookings and Drivers'!BK223</f>
        <v>0</v>
      </c>
      <c r="BD749">
        <f>'Bookings and Drivers'!BL223</f>
        <v>0</v>
      </c>
      <c r="BE749">
        <f>'Bookings and Drivers'!BM223</f>
        <v>0</v>
      </c>
      <c r="BF749">
        <f>'Bookings and Drivers'!BN223</f>
        <v>0</v>
      </c>
      <c r="BG749">
        <f>'Bookings and Drivers'!BO223</f>
        <v>0</v>
      </c>
      <c r="BH749">
        <f>'Bookings and Drivers'!BP223</f>
        <v>0</v>
      </c>
      <c r="BI749">
        <f>'Bookings and Drivers'!BQ223</f>
        <v>0</v>
      </c>
      <c r="BJ749">
        <f>'Bookings and Drivers'!BR223</f>
        <v>0</v>
      </c>
      <c r="BK749">
        <f>'Bookings and Drivers'!BS223</f>
        <v>0</v>
      </c>
      <c r="BL749">
        <f>'Bookings and Drivers'!BT223</f>
        <v>0</v>
      </c>
      <c r="BM749">
        <f>'Bookings and Drivers'!BU223</f>
        <v>0</v>
      </c>
      <c r="BN749">
        <f>'Bookings and Drivers'!BV223</f>
        <v>0</v>
      </c>
      <c r="BO749">
        <f>'Bookings and Drivers'!BW223</f>
        <v>0</v>
      </c>
      <c r="BP749">
        <f>'Bookings and Drivers'!BX223</f>
        <v>0</v>
      </c>
      <c r="BQ749">
        <f>'Bookings and Drivers'!BY223</f>
        <v>0</v>
      </c>
      <c r="BR749">
        <f>'Bookings and Drivers'!BZ223</f>
        <v>0</v>
      </c>
      <c r="BS749">
        <f>'Bookings and Drivers'!CA223</f>
        <v>0</v>
      </c>
      <c r="BT749">
        <f>'Bookings and Drivers'!CB223</f>
        <v>0</v>
      </c>
      <c r="BU749">
        <f>'Bookings and Drivers'!CC223</f>
        <v>0</v>
      </c>
      <c r="BV749">
        <f>'Bookings and Drivers'!CD223</f>
        <v>0</v>
      </c>
      <c r="BW749">
        <f>'Bookings and Drivers'!CE223</f>
        <v>0</v>
      </c>
      <c r="BX749">
        <f>'Bookings and Drivers'!CF223</f>
        <v>0</v>
      </c>
      <c r="BY749">
        <f>'Bookings and Drivers'!CG223</f>
        <v>0</v>
      </c>
      <c r="BZ749">
        <f>'Bookings and Drivers'!CH223</f>
        <v>0</v>
      </c>
      <c r="CA749">
        <f>'Bookings and Drivers'!CI223</f>
        <v>0</v>
      </c>
      <c r="CB749">
        <f>'Bookings and Drivers'!CJ223</f>
        <v>0</v>
      </c>
      <c r="CC749">
        <f>'Bookings and Drivers'!CK223</f>
        <v>0</v>
      </c>
      <c r="CD749">
        <f>'Bookings and Drivers'!CL223</f>
        <v>0</v>
      </c>
      <c r="CE749">
        <f>'Bookings and Drivers'!CM223</f>
        <v>0</v>
      </c>
      <c r="CF749">
        <f>'Bookings and Drivers'!CN223</f>
        <v>0</v>
      </c>
      <c r="CG749">
        <f>'Bookings and Drivers'!CO223</f>
        <v>0</v>
      </c>
      <c r="CH749">
        <f>'Bookings and Drivers'!CP223</f>
        <v>0</v>
      </c>
      <c r="CI749">
        <f>'Bookings and Drivers'!CQ223</f>
        <v>0</v>
      </c>
      <c r="CJ749">
        <f>'Bookings and Drivers'!CR223</f>
        <v>0</v>
      </c>
      <c r="CK749">
        <f>'Bookings and Drivers'!CS223</f>
        <v>0</v>
      </c>
      <c r="CL749">
        <f>'Bookings and Drivers'!CT223</f>
        <v>0</v>
      </c>
      <c r="CM749">
        <f>'Bookings and Drivers'!CU223</f>
        <v>0</v>
      </c>
      <c r="CN749">
        <f>'Bookings and Drivers'!CV223</f>
        <v>0</v>
      </c>
      <c r="CO749">
        <f>'Bookings and Drivers'!CW223</f>
        <v>0</v>
      </c>
      <c r="CP749">
        <f>'Bookings and Drivers'!CX223</f>
        <v>0</v>
      </c>
      <c r="CQ749">
        <f>'Bookings and Drivers'!CY223</f>
        <v>0</v>
      </c>
      <c r="CR749">
        <f>'Bookings and Drivers'!CZ223</f>
        <v>0</v>
      </c>
      <c r="CS749">
        <f>'Bookings and Drivers'!DA223</f>
        <v>0</v>
      </c>
      <c r="CT749">
        <f>'Bookings and Drivers'!DB223</f>
        <v>0</v>
      </c>
      <c r="CU749">
        <f>'Bookings and Drivers'!DC223</f>
        <v>0</v>
      </c>
      <c r="CV749">
        <f>'Bookings and Drivers'!DD223</f>
        <v>0</v>
      </c>
      <c r="CW749">
        <f>'Bookings and Drivers'!DE223</f>
        <v>0</v>
      </c>
      <c r="CX749">
        <f>'Bookings and Drivers'!DF223</f>
        <v>0</v>
      </c>
    </row>
    <row r="750" spans="1:102">
      <c r="A750" t="str">
        <f>'Bookings and Drivers'!I224</f>
        <v>Agoda</v>
      </c>
      <c r="B750">
        <f>'Bookings and Drivers'!J224</f>
        <v>0</v>
      </c>
      <c r="C750">
        <f>'Bookings and Drivers'!K224</f>
        <v>0</v>
      </c>
      <c r="D750">
        <f>'Bookings and Drivers'!L224</f>
        <v>0</v>
      </c>
      <c r="E750">
        <f>'Bookings and Drivers'!M224</f>
        <v>0</v>
      </c>
      <c r="F750">
        <f>'Bookings and Drivers'!N224</f>
        <v>0</v>
      </c>
      <c r="G750">
        <f>'Bookings and Drivers'!O224</f>
        <v>0</v>
      </c>
      <c r="H750">
        <f>'Bookings and Drivers'!P224</f>
        <v>0</v>
      </c>
      <c r="I750">
        <f>'Bookings and Drivers'!Q224</f>
        <v>0</v>
      </c>
      <c r="J750">
        <f>'Bookings and Drivers'!R224</f>
        <v>0</v>
      </c>
      <c r="K750">
        <f>'Bookings and Drivers'!S224</f>
        <v>0</v>
      </c>
      <c r="L750">
        <f>'Bookings and Drivers'!T224</f>
        <v>0</v>
      </c>
      <c r="M750">
        <f>'Bookings and Drivers'!U224</f>
        <v>0</v>
      </c>
      <c r="N750">
        <f>'Bookings and Drivers'!V224</f>
        <v>0</v>
      </c>
      <c r="O750">
        <f>'Bookings and Drivers'!W224</f>
        <v>0</v>
      </c>
      <c r="P750">
        <f>'Bookings and Drivers'!X224</f>
        <v>0</v>
      </c>
      <c r="Q750">
        <f>'Bookings and Drivers'!Y224</f>
        <v>0</v>
      </c>
      <c r="R750">
        <f>'Bookings and Drivers'!Z224</f>
        <v>0</v>
      </c>
      <c r="S750">
        <f>'Bookings and Drivers'!AA224</f>
        <v>0</v>
      </c>
      <c r="T750">
        <f>'Bookings and Drivers'!AB224</f>
        <v>0</v>
      </c>
      <c r="U750">
        <f>'Bookings and Drivers'!AC224</f>
        <v>0</v>
      </c>
      <c r="V750">
        <f>'Bookings and Drivers'!AD224</f>
        <v>0</v>
      </c>
      <c r="W750">
        <f>'Bookings and Drivers'!AE224</f>
        <v>0</v>
      </c>
      <c r="X750">
        <f>'Bookings and Drivers'!AF224</f>
        <v>0</v>
      </c>
      <c r="Y750">
        <f>'Bookings and Drivers'!AG224</f>
        <v>0</v>
      </c>
      <c r="Z750">
        <f>'Bookings and Drivers'!AH224</f>
        <v>0</v>
      </c>
      <c r="AA750">
        <f>'Bookings and Drivers'!AI224</f>
        <v>0</v>
      </c>
      <c r="AB750">
        <f>'Bookings and Drivers'!AJ224</f>
        <v>0</v>
      </c>
      <c r="AC750">
        <f>'Bookings and Drivers'!AK224</f>
        <v>0</v>
      </c>
      <c r="AD750">
        <f>'Bookings and Drivers'!AL224</f>
        <v>0</v>
      </c>
      <c r="AE750">
        <f>'Bookings and Drivers'!AM224</f>
        <v>0</v>
      </c>
      <c r="AF750">
        <f>'Bookings and Drivers'!AN224</f>
        <v>0</v>
      </c>
      <c r="AG750">
        <f>'Bookings and Drivers'!AO224</f>
        <v>0</v>
      </c>
      <c r="AH750">
        <f>'Bookings and Drivers'!AP224</f>
        <v>0</v>
      </c>
      <c r="AI750">
        <f>'Bookings and Drivers'!AQ224</f>
        <v>0</v>
      </c>
      <c r="AJ750">
        <f>'Bookings and Drivers'!AR224</f>
        <v>0</v>
      </c>
      <c r="AK750">
        <f>'Bookings and Drivers'!AS224</f>
        <v>1.35</v>
      </c>
      <c r="AL750">
        <f>'Bookings and Drivers'!AT224</f>
        <v>1.35</v>
      </c>
      <c r="AM750">
        <f>'Bookings and Drivers'!AU224</f>
        <v>1.4</v>
      </c>
      <c r="AN750">
        <f>'Bookings and Drivers'!AV224</f>
        <v>1.2</v>
      </c>
      <c r="AO750">
        <f>'Bookings and Drivers'!AW224</f>
        <v>1.72</v>
      </c>
      <c r="AP750">
        <f>'Bookings and Drivers'!AX224</f>
        <v>1.7</v>
      </c>
      <c r="AQ750">
        <f>'Bookings and Drivers'!AY224</f>
        <v>1.65</v>
      </c>
      <c r="AR750">
        <f>'Bookings and Drivers'!AZ224</f>
        <v>1.61</v>
      </c>
      <c r="AS750">
        <f>'Bookings and Drivers'!BA224</f>
        <v>1.2</v>
      </c>
      <c r="AT750">
        <f>'Bookings and Drivers'!BB224</f>
        <v>1.55</v>
      </c>
      <c r="AU750">
        <f>'Bookings and Drivers'!BC224</f>
        <v>1</v>
      </c>
      <c r="AV750">
        <f>'Bookings and Drivers'!BD224</f>
        <v>1</v>
      </c>
      <c r="AW750">
        <f>'Bookings and Drivers'!BE224</f>
        <v>0.7</v>
      </c>
      <c r="AX750">
        <f>'Bookings and Drivers'!BF224</f>
        <v>0.7</v>
      </c>
      <c r="AY750">
        <f>'Bookings and Drivers'!BG224</f>
        <v>0.68</v>
      </c>
      <c r="AZ750">
        <f>'Bookings and Drivers'!BH224</f>
        <v>0.6</v>
      </c>
      <c r="BA750">
        <f>'Bookings and Drivers'!BI224</f>
        <v>0.44</v>
      </c>
      <c r="BB750">
        <f>'Bookings and Drivers'!BJ224</f>
        <v>0.5</v>
      </c>
      <c r="BC750">
        <f>'Bookings and Drivers'!BK224</f>
        <v>0.43</v>
      </c>
      <c r="BD750">
        <f>'Bookings and Drivers'!BL224</f>
        <v>0.35</v>
      </c>
      <c r="BE750">
        <f>'Bookings and Drivers'!BM224</f>
        <v>0.3</v>
      </c>
      <c r="BF750">
        <f>'Bookings and Drivers'!BN224</f>
        <v>0.3</v>
      </c>
      <c r="BG750">
        <f>'Bookings and Drivers'!BO224</f>
        <v>0.3</v>
      </c>
      <c r="BH750">
        <f>'Bookings and Drivers'!BP224</f>
        <v>0.3</v>
      </c>
      <c r="BI750">
        <f>'Bookings and Drivers'!BQ224</f>
        <v>0.2</v>
      </c>
      <c r="BJ750">
        <f>'Bookings and Drivers'!BR224</f>
        <v>0.2</v>
      </c>
      <c r="BK750">
        <f>'Bookings and Drivers'!BS224</f>
        <v>-0.1</v>
      </c>
      <c r="BL750">
        <f>'Bookings and Drivers'!BT224</f>
        <v>0.1</v>
      </c>
      <c r="BM750">
        <f>'Bookings and Drivers'!BU224</f>
        <v>0.28000000000000003</v>
      </c>
      <c r="BN750">
        <f>'Bookings and Drivers'!BV224</f>
        <v>0.25</v>
      </c>
      <c r="BO750">
        <f>'Bookings and Drivers'!BW224</f>
        <v>0.28000000000000003</v>
      </c>
      <c r="BP750">
        <f>'Bookings and Drivers'!BX224</f>
        <v>0.28000000000000003</v>
      </c>
      <c r="BQ750">
        <f>'Bookings and Drivers'!BY224</f>
        <v>0.25</v>
      </c>
      <c r="BR750">
        <f>'Bookings and Drivers'!BZ224</f>
        <v>0.25</v>
      </c>
      <c r="BS750">
        <f>'Bookings and Drivers'!CA224</f>
        <v>0.25</v>
      </c>
      <c r="BT750">
        <f>'Bookings and Drivers'!CB224</f>
        <v>0.25</v>
      </c>
      <c r="BU750">
        <f>'Bookings and Drivers'!CC224</f>
        <v>0.15</v>
      </c>
      <c r="BV750">
        <f>'Bookings and Drivers'!CD224</f>
        <v>0.15</v>
      </c>
      <c r="BW750">
        <f>'Bookings and Drivers'!CE224</f>
        <v>0.15</v>
      </c>
      <c r="BX750">
        <f>'Bookings and Drivers'!CF224</f>
        <v>0.15</v>
      </c>
      <c r="BY750">
        <f>'Bookings and Drivers'!CG224</f>
        <v>0</v>
      </c>
      <c r="BZ750">
        <f>'Bookings and Drivers'!CH224</f>
        <v>0</v>
      </c>
      <c r="CA750">
        <f>'Bookings and Drivers'!CI224</f>
        <v>0</v>
      </c>
      <c r="CB750">
        <f>'Bookings and Drivers'!CJ224</f>
        <v>0</v>
      </c>
      <c r="CC750">
        <f>'Bookings and Drivers'!CK224</f>
        <v>0</v>
      </c>
      <c r="CD750">
        <f>'Bookings and Drivers'!CL224</f>
        <v>0</v>
      </c>
      <c r="CE750">
        <f>'Bookings and Drivers'!CM224</f>
        <v>0</v>
      </c>
      <c r="CF750">
        <f>'Bookings and Drivers'!CN224</f>
        <v>0</v>
      </c>
      <c r="CG750">
        <f>'Bookings and Drivers'!CO224</f>
        <v>0</v>
      </c>
      <c r="CH750">
        <f>'Bookings and Drivers'!CP224</f>
        <v>1.3162594776748104</v>
      </c>
      <c r="CI750">
        <f>'Bookings and Drivers'!CQ224</f>
        <v>1.6630581217720231</v>
      </c>
      <c r="CJ750">
        <f>'Bookings and Drivers'!CR224</f>
        <v>1.1582949548554375</v>
      </c>
      <c r="CK750">
        <f>'Bookings and Drivers'!CS224</f>
        <v>0.66753226499343632</v>
      </c>
      <c r="CL750">
        <f>'Bookings and Drivers'!CT224</f>
        <v>0.4289951726476382</v>
      </c>
      <c r="CM750">
        <f>'Bookings and Drivers'!CU224</f>
        <v>0.30000000000000004</v>
      </c>
      <c r="CN750">
        <f>'Bookings and Drivers'!CV224</f>
        <v>9.6417803149543513E-2</v>
      </c>
      <c r="CO750">
        <f>'Bookings and Drivers'!CW224</f>
        <v>0.27129398524706061</v>
      </c>
      <c r="CP750">
        <f>'Bookings and Drivers'!CX224</f>
        <v>0.25</v>
      </c>
      <c r="CQ750">
        <f>'Bookings and Drivers'!CY224</f>
        <v>0.14999999999999991</v>
      </c>
      <c r="CR750">
        <f>'Bookings and Drivers'!CZ224</f>
        <v>0.12749999999999992</v>
      </c>
      <c r="CS750">
        <f>'Bookings and Drivers'!DA224</f>
        <v>0.10837499999999993</v>
      </c>
      <c r="CT750">
        <f>'Bookings and Drivers'!DB224</f>
        <v>9.337499999999993E-2</v>
      </c>
      <c r="CU750">
        <f>'Bookings and Drivers'!DC224</f>
        <v>7.8374999999999931E-2</v>
      </c>
      <c r="CV750">
        <f>'Bookings and Drivers'!DD224</f>
        <v>7.8374999999999931E-2</v>
      </c>
      <c r="CW750">
        <f>'Bookings and Drivers'!DE224</f>
        <v>7.8374999999999931E-2</v>
      </c>
      <c r="CX750">
        <f>'Bookings and Drivers'!DF224</f>
        <v>7.8374999999999931E-2</v>
      </c>
    </row>
    <row r="751" spans="1:102">
      <c r="A751" t="str">
        <f>'Bookings and Drivers'!I225</f>
        <v>Booking.com</v>
      </c>
      <c r="B751">
        <f>'Bookings and Drivers'!J225</f>
        <v>0</v>
      </c>
      <c r="C751">
        <f>'Bookings and Drivers'!K225</f>
        <v>0</v>
      </c>
      <c r="D751">
        <f>'Bookings and Drivers'!L225</f>
        <v>0</v>
      </c>
      <c r="E751">
        <f>'Bookings and Drivers'!M225</f>
        <v>0</v>
      </c>
      <c r="F751">
        <f>'Bookings and Drivers'!N225</f>
        <v>0</v>
      </c>
      <c r="G751">
        <f>'Bookings and Drivers'!O225</f>
        <v>0</v>
      </c>
      <c r="H751">
        <f>'Bookings and Drivers'!P225</f>
        <v>0</v>
      </c>
      <c r="I751">
        <f>'Bookings and Drivers'!Q225</f>
        <v>0</v>
      </c>
      <c r="J751">
        <f>'Bookings and Drivers'!R225</f>
        <v>0</v>
      </c>
      <c r="K751">
        <f>'Bookings and Drivers'!S225</f>
        <v>0</v>
      </c>
      <c r="L751">
        <f>'Bookings and Drivers'!T225</f>
        <v>0</v>
      </c>
      <c r="M751">
        <f>'Bookings and Drivers'!U225</f>
        <v>0</v>
      </c>
      <c r="N751">
        <f>'Bookings and Drivers'!V225</f>
        <v>0</v>
      </c>
      <c r="O751">
        <f>'Bookings and Drivers'!W225</f>
        <v>0</v>
      </c>
      <c r="P751">
        <f>'Bookings and Drivers'!X225</f>
        <v>0</v>
      </c>
      <c r="Q751">
        <f>'Bookings and Drivers'!Y225</f>
        <v>0</v>
      </c>
      <c r="R751">
        <f>'Bookings and Drivers'!Z225</f>
        <v>0</v>
      </c>
      <c r="S751">
        <f>'Bookings and Drivers'!AA225</f>
        <v>0</v>
      </c>
      <c r="T751">
        <f>'Bookings and Drivers'!AB225</f>
        <v>0</v>
      </c>
      <c r="U751">
        <f>'Bookings and Drivers'!AC225</f>
        <v>0</v>
      </c>
      <c r="V751">
        <f>'Bookings and Drivers'!AD225</f>
        <v>0</v>
      </c>
      <c r="W751">
        <f>'Bookings and Drivers'!AE225</f>
        <v>0</v>
      </c>
      <c r="X751">
        <f>'Bookings and Drivers'!AF225</f>
        <v>0</v>
      </c>
      <c r="Y751">
        <f>'Bookings and Drivers'!AG225</f>
        <v>0</v>
      </c>
      <c r="Z751">
        <f>'Bookings and Drivers'!AH225</f>
        <v>0</v>
      </c>
      <c r="AA751">
        <f>'Bookings and Drivers'!AI225</f>
        <v>0</v>
      </c>
      <c r="AB751">
        <f>'Bookings and Drivers'!AJ225</f>
        <v>0</v>
      </c>
      <c r="AC751">
        <f>'Bookings and Drivers'!AK225</f>
        <v>0</v>
      </c>
      <c r="AD751">
        <f>'Bookings and Drivers'!AL225</f>
        <v>0</v>
      </c>
      <c r="AE751">
        <f>'Bookings and Drivers'!AM225</f>
        <v>0</v>
      </c>
      <c r="AF751">
        <f>'Bookings and Drivers'!AN225</f>
        <v>0</v>
      </c>
      <c r="AG751">
        <f>'Bookings and Drivers'!AO225</f>
        <v>0</v>
      </c>
      <c r="AH751">
        <f>'Bookings and Drivers'!AP225</f>
        <v>0</v>
      </c>
      <c r="AI751">
        <f>'Bookings and Drivers'!AQ225</f>
        <v>0</v>
      </c>
      <c r="AJ751">
        <f>'Bookings and Drivers'!AR225</f>
        <v>0</v>
      </c>
      <c r="AK751">
        <f>'Bookings and Drivers'!AS225</f>
        <v>0</v>
      </c>
      <c r="AL751">
        <f>'Bookings and Drivers'!AT225</f>
        <v>0</v>
      </c>
      <c r="AM751">
        <f>'Bookings and Drivers'!AU225</f>
        <v>0</v>
      </c>
      <c r="AN751">
        <f>'Bookings and Drivers'!AV225</f>
        <v>0</v>
      </c>
      <c r="AO751">
        <f>'Bookings and Drivers'!AW225</f>
        <v>1</v>
      </c>
      <c r="AP751">
        <f>'Bookings and Drivers'!AX225</f>
        <v>1</v>
      </c>
      <c r="AQ751">
        <f>'Bookings and Drivers'!AY225</f>
        <v>1.0533191475648191</v>
      </c>
      <c r="AR751">
        <f>'Bookings and Drivers'!AZ225</f>
        <v>1.1803354150134191</v>
      </c>
      <c r="AS751">
        <f>'Bookings and Drivers'!BA225</f>
        <v>1.1499999999999999</v>
      </c>
      <c r="AT751">
        <f>'Bookings and Drivers'!BB225</f>
        <v>1.3</v>
      </c>
      <c r="AU751">
        <f>'Bookings and Drivers'!BC225</f>
        <v>1.3</v>
      </c>
      <c r="AV751">
        <f>'Bookings and Drivers'!BD225</f>
        <v>1.3</v>
      </c>
      <c r="AW751">
        <f>'Bookings and Drivers'!BE225</f>
        <v>0.6</v>
      </c>
      <c r="AX751">
        <f>'Bookings and Drivers'!BF225</f>
        <v>0.6</v>
      </c>
      <c r="AY751">
        <f>'Bookings and Drivers'!BG225</f>
        <v>0.6</v>
      </c>
      <c r="AZ751">
        <f>'Bookings and Drivers'!BH225</f>
        <v>0.6</v>
      </c>
      <c r="BA751">
        <f>'Bookings and Drivers'!BI225</f>
        <v>0.6</v>
      </c>
      <c r="BB751">
        <f>'Bookings and Drivers'!BJ225</f>
        <v>0.6</v>
      </c>
      <c r="BC751">
        <f>'Bookings and Drivers'!BK225</f>
        <v>0.6</v>
      </c>
      <c r="BD751">
        <f>'Bookings and Drivers'!BL225</f>
        <v>0.6</v>
      </c>
      <c r="BE751">
        <f>'Bookings and Drivers'!BM225</f>
        <v>0.45</v>
      </c>
      <c r="BF751">
        <f>'Bookings and Drivers'!BN225</f>
        <v>0.45</v>
      </c>
      <c r="BG751">
        <f>'Bookings and Drivers'!BO225</f>
        <v>0.45</v>
      </c>
      <c r="BH751">
        <f>'Bookings and Drivers'!BP225</f>
        <v>0.45</v>
      </c>
      <c r="BI751">
        <f>'Bookings and Drivers'!BQ225</f>
        <v>0.35</v>
      </c>
      <c r="BJ751">
        <f>'Bookings and Drivers'!BR225</f>
        <v>0.35</v>
      </c>
      <c r="BK751">
        <f>'Bookings and Drivers'!BS225</f>
        <v>0.35</v>
      </c>
      <c r="BL751">
        <f>'Bookings and Drivers'!BT225</f>
        <v>0.35</v>
      </c>
      <c r="BM751">
        <f>'Bookings and Drivers'!BU225</f>
        <v>0.33</v>
      </c>
      <c r="BN751">
        <f>'Bookings and Drivers'!BV225</f>
        <v>0.28000000000000003</v>
      </c>
      <c r="BO751">
        <f>'Bookings and Drivers'!BW225</f>
        <v>0.28000000000000003</v>
      </c>
      <c r="BP751">
        <f>'Bookings and Drivers'!BX225</f>
        <v>0.28000000000000003</v>
      </c>
      <c r="BQ751">
        <f>'Bookings and Drivers'!BY225</f>
        <v>0.28000000000000003</v>
      </c>
      <c r="BR751">
        <f>'Bookings and Drivers'!BZ225</f>
        <v>0.28000000000000003</v>
      </c>
      <c r="BS751">
        <f>'Bookings and Drivers'!CA225</f>
        <v>0.28000000000000003</v>
      </c>
      <c r="BT751">
        <f>'Bookings and Drivers'!CB225</f>
        <v>0.28000000000000003</v>
      </c>
      <c r="BU751">
        <f>'Bookings and Drivers'!CC225</f>
        <v>0.2</v>
      </c>
      <c r="BV751">
        <f>'Bookings and Drivers'!CD225</f>
        <v>0.2</v>
      </c>
      <c r="BW751">
        <f>'Bookings and Drivers'!CE225</f>
        <v>0.2</v>
      </c>
      <c r="BX751">
        <f>'Bookings and Drivers'!CF225</f>
        <v>0.2</v>
      </c>
      <c r="BY751">
        <f>'Bookings and Drivers'!CG225</f>
        <v>0</v>
      </c>
      <c r="BZ751">
        <f>'Bookings and Drivers'!CH225</f>
        <v>0</v>
      </c>
      <c r="CA751">
        <f>'Bookings and Drivers'!CI225</f>
        <v>0</v>
      </c>
      <c r="CB751">
        <f>'Bookings and Drivers'!CJ225</f>
        <v>0</v>
      </c>
      <c r="CC751">
        <f>'Bookings and Drivers'!CK225</f>
        <v>0</v>
      </c>
      <c r="CD751">
        <f>'Bookings and Drivers'!CL225</f>
        <v>0</v>
      </c>
      <c r="CE751">
        <f>'Bookings and Drivers'!CM225</f>
        <v>0</v>
      </c>
      <c r="CF751">
        <f>'Bookings and Drivers'!CN225</f>
        <v>0</v>
      </c>
      <c r="CG751">
        <f>'Bookings and Drivers'!CO225</f>
        <v>0</v>
      </c>
      <c r="CH751">
        <f>'Bookings and Drivers'!CP225</f>
        <v>0</v>
      </c>
      <c r="CI751">
        <f>'Bookings and Drivers'!CQ225</f>
        <v>1.0616324464615685</v>
      </c>
      <c r="CJ751">
        <f>'Bookings and Drivers'!CR225</f>
        <v>1.2653474622661056</v>
      </c>
      <c r="CK751">
        <f>'Bookings and Drivers'!CS225</f>
        <v>0.60000000000000009</v>
      </c>
      <c r="CL751">
        <f>'Bookings and Drivers'!CT225</f>
        <v>0.60000000000000031</v>
      </c>
      <c r="CM751">
        <f>'Bookings and Drivers'!CU225</f>
        <v>0.44999999999999996</v>
      </c>
      <c r="CN751">
        <f>'Bookings and Drivers'!CV225</f>
        <v>0.35000000000000009</v>
      </c>
      <c r="CO751">
        <f>'Bookings and Drivers'!CW225</f>
        <v>0.29096269738879177</v>
      </c>
      <c r="CP751">
        <f>'Bookings and Drivers'!CX225</f>
        <v>0.28000000000000003</v>
      </c>
      <c r="CQ751">
        <f>'Bookings and Drivers'!CY225</f>
        <v>0.19999999999999996</v>
      </c>
      <c r="CR751">
        <f>'Bookings and Drivers'!CZ225</f>
        <v>0.17599999999999996</v>
      </c>
      <c r="CS751">
        <f>'Bookings and Drivers'!DA225</f>
        <v>0.14959999999999996</v>
      </c>
      <c r="CT751">
        <f>'Bookings and Drivers'!DB225</f>
        <v>0.13459999999999994</v>
      </c>
      <c r="CU751">
        <f>'Bookings and Drivers'!DC225</f>
        <v>0.11959999999999994</v>
      </c>
      <c r="CV751">
        <f>'Bookings and Drivers'!DD225</f>
        <v>0.11959999999999994</v>
      </c>
      <c r="CW751">
        <f>'Bookings and Drivers'!DE225</f>
        <v>0.11959999999999994</v>
      </c>
      <c r="CX751">
        <f>'Bookings and Drivers'!DF225</f>
        <v>0.11959999999999994</v>
      </c>
    </row>
    <row r="752" spans="1:102">
      <c r="A752" t="str">
        <f>'Bookings and Drivers'!I226</f>
        <v>Total APAC</v>
      </c>
      <c r="B752">
        <f>'Bookings and Drivers'!J226</f>
        <v>0</v>
      </c>
      <c r="C752">
        <f>'Bookings and Drivers'!K226</f>
        <v>0</v>
      </c>
      <c r="D752">
        <f>'Bookings and Drivers'!L226</f>
        <v>0</v>
      </c>
      <c r="E752">
        <f>'Bookings and Drivers'!M226</f>
        <v>0</v>
      </c>
      <c r="F752">
        <f>'Bookings and Drivers'!N226</f>
        <v>0</v>
      </c>
      <c r="G752">
        <f>'Bookings and Drivers'!O226</f>
        <v>0</v>
      </c>
      <c r="H752">
        <f>'Bookings and Drivers'!P226</f>
        <v>0</v>
      </c>
      <c r="I752">
        <f>'Bookings and Drivers'!Q226</f>
        <v>0</v>
      </c>
      <c r="J752">
        <f>'Bookings and Drivers'!R226</f>
        <v>0</v>
      </c>
      <c r="K752">
        <f>'Bookings and Drivers'!S226</f>
        <v>0</v>
      </c>
      <c r="L752">
        <f>'Bookings and Drivers'!T226</f>
        <v>0</v>
      </c>
      <c r="M752">
        <f>'Bookings and Drivers'!U226</f>
        <v>0</v>
      </c>
      <c r="N752">
        <f>'Bookings and Drivers'!V226</f>
        <v>0</v>
      </c>
      <c r="O752">
        <f>'Bookings and Drivers'!W226</f>
        <v>0</v>
      </c>
      <c r="P752">
        <f>'Bookings and Drivers'!X226</f>
        <v>0</v>
      </c>
      <c r="Q752">
        <f>'Bookings and Drivers'!Y226</f>
        <v>0</v>
      </c>
      <c r="R752">
        <f>'Bookings and Drivers'!Z226</f>
        <v>0</v>
      </c>
      <c r="S752">
        <f>'Bookings and Drivers'!AA226</f>
        <v>0</v>
      </c>
      <c r="T752">
        <f>'Bookings and Drivers'!AB226</f>
        <v>0</v>
      </c>
      <c r="U752">
        <f>'Bookings and Drivers'!AC226</f>
        <v>0</v>
      </c>
      <c r="V752">
        <f>'Bookings and Drivers'!AD226</f>
        <v>0</v>
      </c>
      <c r="W752">
        <f>'Bookings and Drivers'!AE226</f>
        <v>0</v>
      </c>
      <c r="X752">
        <f>'Bookings and Drivers'!AF226</f>
        <v>0</v>
      </c>
      <c r="Y752">
        <f>'Bookings and Drivers'!AG226</f>
        <v>0</v>
      </c>
      <c r="Z752">
        <f>'Bookings and Drivers'!AH226</f>
        <v>0</v>
      </c>
      <c r="AA752">
        <f>'Bookings and Drivers'!AI226</f>
        <v>0</v>
      </c>
      <c r="AB752">
        <f>'Bookings and Drivers'!AJ226</f>
        <v>0</v>
      </c>
      <c r="AC752">
        <f>'Bookings and Drivers'!AK226</f>
        <v>0</v>
      </c>
      <c r="AD752">
        <f>'Bookings and Drivers'!AL226</f>
        <v>0</v>
      </c>
      <c r="AE752">
        <f>'Bookings and Drivers'!AM226</f>
        <v>0</v>
      </c>
      <c r="AF752">
        <f>'Bookings and Drivers'!AN226</f>
        <v>0</v>
      </c>
      <c r="AG752">
        <f>'Bookings and Drivers'!AO226</f>
        <v>0</v>
      </c>
      <c r="AH752">
        <f>'Bookings and Drivers'!AP226</f>
        <v>0</v>
      </c>
      <c r="AI752">
        <f>'Bookings and Drivers'!AQ226</f>
        <v>0</v>
      </c>
      <c r="AJ752">
        <f>'Bookings and Drivers'!AR226</f>
        <v>0</v>
      </c>
      <c r="AK752">
        <f>'Bookings and Drivers'!AS226</f>
        <v>0</v>
      </c>
      <c r="AL752">
        <f>'Bookings and Drivers'!AT226</f>
        <v>0</v>
      </c>
      <c r="AM752">
        <f>'Bookings and Drivers'!AU226</f>
        <v>0</v>
      </c>
      <c r="AN752">
        <f>'Bookings and Drivers'!AV226</f>
        <v>0</v>
      </c>
      <c r="AO752">
        <f>'Bookings and Drivers'!AW226</f>
        <v>1.4956696508404494</v>
      </c>
      <c r="AP752">
        <f>'Bookings and Drivers'!AX226</f>
        <v>1.4902324137113361</v>
      </c>
      <c r="AQ752">
        <f>'Bookings and Drivers'!AY226</f>
        <v>1.48</v>
      </c>
      <c r="AR752">
        <f>'Bookings and Drivers'!AZ226</f>
        <v>1.5</v>
      </c>
      <c r="AS752">
        <f>'Bookings and Drivers'!BA226</f>
        <v>1.187515578062051</v>
      </c>
      <c r="AT752">
        <f>'Bookings and Drivers'!BB226</f>
        <v>1.4898313228190281</v>
      </c>
      <c r="AU752">
        <f>'Bookings and Drivers'!BC226</f>
        <v>1.07076733660183</v>
      </c>
      <c r="AV752">
        <f>'Bookings and Drivers'!BD226</f>
        <v>1.0669834761435504</v>
      </c>
      <c r="AW752">
        <f>'Bookings and Drivers'!BE226</f>
        <v>0.67545936821133856</v>
      </c>
      <c r="AX752">
        <f>'Bookings and Drivers'!BF226</f>
        <v>0.67776749673796388</v>
      </c>
      <c r="AY752">
        <f>'Bookings and Drivers'!BG226</f>
        <v>0.65903967013486464</v>
      </c>
      <c r="AZ752">
        <f>'Bookings and Drivers'!BH226</f>
        <v>0.59999999999999987</v>
      </c>
      <c r="BA752">
        <f>'Bookings and Drivers'!BI226</f>
        <v>0.47749659261868094</v>
      </c>
      <c r="BB752">
        <f>'Bookings and Drivers'!BJ226</f>
        <v>0.52120198733639755</v>
      </c>
      <c r="BC752">
        <f>'Bookings and Drivers'!BK226</f>
        <v>0.47295564646484167</v>
      </c>
      <c r="BD752">
        <f>'Bookings and Drivers'!BL226</f>
        <v>0.41211225073813273</v>
      </c>
      <c r="BE752">
        <f>'Bookings and Drivers'!BM226</f>
        <v>0.33806769451043817</v>
      </c>
      <c r="BF752">
        <f>'Bookings and Drivers'!BN226</f>
        <v>0.33345037018815149</v>
      </c>
      <c r="BG752">
        <f>'Bookings and Drivers'!BO226</f>
        <v>0.34117114167216789</v>
      </c>
      <c r="BH752">
        <f>'Bookings and Drivers'!BP226</f>
        <v>0.34222593542222923</v>
      </c>
      <c r="BI752">
        <f>'Bookings and Drivers'!BQ226</f>
        <v>0.2412521408794126</v>
      </c>
      <c r="BJ752">
        <f>'Bookings and Drivers'!BR226</f>
        <v>0.23637408474825783</v>
      </c>
      <c r="BK752">
        <f>'Bookings and Drivers'!BS226</f>
        <v>3.3535878240442907E-2</v>
      </c>
      <c r="BL752">
        <f>'Bookings and Drivers'!BT226</f>
        <v>0.17602744658008707</v>
      </c>
      <c r="BM752">
        <f>'Bookings and Drivers'!BU226</f>
        <v>0.29495543313430561</v>
      </c>
      <c r="BN752">
        <f>'Bookings and Drivers'!BV226</f>
        <v>0.25794339108460806</v>
      </c>
      <c r="BO752">
        <f>'Bookings and Drivers'!BW226</f>
        <v>0.28000000000000003</v>
      </c>
      <c r="BP752">
        <f>'Bookings and Drivers'!BX226</f>
        <v>0.2799999999999998</v>
      </c>
      <c r="BQ752">
        <f>'Bookings and Drivers'!BY226</f>
        <v>0.25921609758591457</v>
      </c>
      <c r="BR752">
        <f>'Bookings and Drivers'!BZ226</f>
        <v>0.25808266942722402</v>
      </c>
      <c r="BS752">
        <f>'Bookings and Drivers'!CA226</f>
        <v>0.26162826496367053</v>
      </c>
      <c r="BT752">
        <f>'Bookings and Drivers'!CB226</f>
        <v>0.26047292423471125</v>
      </c>
      <c r="BU752">
        <f>'Bookings and Drivers'!CC226</f>
        <v>0.16561368872346582</v>
      </c>
      <c r="BV752">
        <f>'Bookings and Drivers'!CD226</f>
        <v>0.16370579893550374</v>
      </c>
      <c r="BW752">
        <f>'Bookings and Drivers'!CE226</f>
        <v>0.16966265812580295</v>
      </c>
      <c r="BX752">
        <f>'Bookings and Drivers'!CF226</f>
        <v>0.16772528226336059</v>
      </c>
      <c r="BY752">
        <f>'Bookings and Drivers'!CG226</f>
        <v>0</v>
      </c>
      <c r="BZ752">
        <f>'Bookings and Drivers'!CH226</f>
        <v>0</v>
      </c>
      <c r="CA752">
        <f>'Bookings and Drivers'!CI226</f>
        <v>0</v>
      </c>
      <c r="CB752">
        <f>'Bookings and Drivers'!CJ226</f>
        <v>0</v>
      </c>
      <c r="CC752">
        <f>'Bookings and Drivers'!CK226</f>
        <v>0</v>
      </c>
      <c r="CD752">
        <f>'Bookings and Drivers'!CL226</f>
        <v>0</v>
      </c>
      <c r="CE752">
        <f>'Bookings and Drivers'!CM226</f>
        <v>0</v>
      </c>
      <c r="CF752">
        <f>'Bookings and Drivers'!CN226</f>
        <v>0</v>
      </c>
      <c r="CG752">
        <f>'Bookings and Drivers'!CO226</f>
        <v>0</v>
      </c>
      <c r="CH752">
        <f>'Bookings and Drivers'!CP226</f>
        <v>0</v>
      </c>
      <c r="CI752">
        <f>'Bookings and Drivers'!CQ226</f>
        <v>1.4913420983692642</v>
      </c>
      <c r="CJ752">
        <f>'Bookings and Drivers'!CR226</f>
        <v>1.1835881430739277</v>
      </c>
      <c r="CK752">
        <f>'Bookings and Drivers'!CS226</f>
        <v>0.65097905804544842</v>
      </c>
      <c r="CL752">
        <f>'Bookings and Drivers'!CT226</f>
        <v>0.46961682801319382</v>
      </c>
      <c r="CM752">
        <f>'Bookings and Drivers'!CU226</f>
        <v>0.33879326849990932</v>
      </c>
      <c r="CN752">
        <f>'Bookings and Drivers'!CV226</f>
        <v>0.16744723737701372</v>
      </c>
      <c r="CO752">
        <f>'Bookings and Drivers'!CW226</f>
        <v>0.27766475671668989</v>
      </c>
      <c r="CP752">
        <f>'Bookings and Drivers'!CX226</f>
        <v>0.25981825110160783</v>
      </c>
      <c r="CQ752">
        <f>'Bookings and Drivers'!CY226</f>
        <v>0.16662589213307633</v>
      </c>
      <c r="CR752">
        <f>'Bookings and Drivers'!CZ226</f>
        <v>0.14408846985430479</v>
      </c>
      <c r="CS752">
        <f>'Bookings and Drivers'!DA226</f>
        <v>0.12286848971104902</v>
      </c>
      <c r="CT752">
        <f>'Bookings and Drivers'!DB226</f>
        <v>0.10821352821990704</v>
      </c>
      <c r="CU752">
        <f>'Bookings and Drivers'!DC226</f>
        <v>9.3566832340604478E-2</v>
      </c>
      <c r="CV752">
        <f>'Bookings and Drivers'!DD226</f>
        <v>9.3928485151095975E-2</v>
      </c>
      <c r="CW752">
        <f>'Bookings and Drivers'!DE226</f>
        <v>9.4293482982698684E-2</v>
      </c>
      <c r="CX752">
        <f>'Bookings and Drivers'!DF226</f>
        <v>9.4661612160799491E-2</v>
      </c>
    </row>
    <row r="753" spans="1:102">
      <c r="A753">
        <f>'Bookings and Drivers'!I227</f>
        <v>0</v>
      </c>
      <c r="B753">
        <f>'Bookings and Drivers'!J227</f>
        <v>0</v>
      </c>
      <c r="C753">
        <f>'Bookings and Drivers'!K227</f>
        <v>0</v>
      </c>
      <c r="D753">
        <f>'Bookings and Drivers'!L227</f>
        <v>0</v>
      </c>
      <c r="E753">
        <f>'Bookings and Drivers'!M227</f>
        <v>0</v>
      </c>
      <c r="F753">
        <f>'Bookings and Drivers'!N227</f>
        <v>0</v>
      </c>
      <c r="G753">
        <f>'Bookings and Drivers'!O227</f>
        <v>0</v>
      </c>
      <c r="H753">
        <f>'Bookings and Drivers'!P227</f>
        <v>0</v>
      </c>
      <c r="I753">
        <f>'Bookings and Drivers'!Q227</f>
        <v>0</v>
      </c>
      <c r="J753">
        <f>'Bookings and Drivers'!R227</f>
        <v>0</v>
      </c>
      <c r="K753">
        <f>'Bookings and Drivers'!S227</f>
        <v>0</v>
      </c>
      <c r="L753">
        <f>'Bookings and Drivers'!T227</f>
        <v>0</v>
      </c>
      <c r="M753">
        <f>'Bookings and Drivers'!U227</f>
        <v>0</v>
      </c>
      <c r="N753">
        <f>'Bookings and Drivers'!V227</f>
        <v>0</v>
      </c>
      <c r="O753">
        <f>'Bookings and Drivers'!W227</f>
        <v>0</v>
      </c>
      <c r="P753">
        <f>'Bookings and Drivers'!X227</f>
        <v>0</v>
      </c>
      <c r="Q753">
        <f>'Bookings and Drivers'!Y227</f>
        <v>0</v>
      </c>
      <c r="R753">
        <f>'Bookings and Drivers'!Z227</f>
        <v>0</v>
      </c>
      <c r="S753">
        <f>'Bookings and Drivers'!AA227</f>
        <v>0</v>
      </c>
      <c r="T753">
        <f>'Bookings and Drivers'!AB227</f>
        <v>0</v>
      </c>
      <c r="U753">
        <f>'Bookings and Drivers'!AC227</f>
        <v>0</v>
      </c>
      <c r="V753">
        <f>'Bookings and Drivers'!AD227</f>
        <v>0</v>
      </c>
      <c r="W753">
        <f>'Bookings and Drivers'!AE227</f>
        <v>0</v>
      </c>
      <c r="X753">
        <f>'Bookings and Drivers'!AF227</f>
        <v>0</v>
      </c>
      <c r="Y753">
        <f>'Bookings and Drivers'!AG227</f>
        <v>0</v>
      </c>
      <c r="Z753">
        <f>'Bookings and Drivers'!AH227</f>
        <v>0</v>
      </c>
      <c r="AA753">
        <f>'Bookings and Drivers'!AI227</f>
        <v>0</v>
      </c>
      <c r="AB753">
        <f>'Bookings and Drivers'!AJ227</f>
        <v>0</v>
      </c>
      <c r="AC753">
        <f>'Bookings and Drivers'!AK227</f>
        <v>0</v>
      </c>
      <c r="AD753">
        <f>'Bookings and Drivers'!AL227</f>
        <v>0</v>
      </c>
      <c r="AE753">
        <f>'Bookings and Drivers'!AM227</f>
        <v>0</v>
      </c>
      <c r="AF753">
        <f>'Bookings and Drivers'!AN227</f>
        <v>0</v>
      </c>
      <c r="AG753">
        <f>'Bookings and Drivers'!AO227</f>
        <v>0</v>
      </c>
      <c r="AH753">
        <f>'Bookings and Drivers'!AP227</f>
        <v>0</v>
      </c>
      <c r="AI753">
        <f>'Bookings and Drivers'!AQ227</f>
        <v>0</v>
      </c>
      <c r="AJ753">
        <f>'Bookings and Drivers'!AR227</f>
        <v>0</v>
      </c>
      <c r="AK753">
        <f>'Bookings and Drivers'!AS227</f>
        <v>0</v>
      </c>
      <c r="AL753">
        <f>'Bookings and Drivers'!AT227</f>
        <v>0</v>
      </c>
      <c r="AM753">
        <f>'Bookings and Drivers'!AU227</f>
        <v>0</v>
      </c>
      <c r="AN753">
        <f>'Bookings and Drivers'!AV227</f>
        <v>0</v>
      </c>
      <c r="AO753">
        <f>'Bookings and Drivers'!AW227</f>
        <v>0</v>
      </c>
      <c r="AP753">
        <f>'Bookings and Drivers'!AX227</f>
        <v>0</v>
      </c>
      <c r="AQ753">
        <f>'Bookings and Drivers'!AY227</f>
        <v>0</v>
      </c>
      <c r="AR753">
        <f>'Bookings and Drivers'!AZ227</f>
        <v>0</v>
      </c>
      <c r="AS753">
        <f>'Bookings and Drivers'!BA227</f>
        <v>0</v>
      </c>
      <c r="AT753">
        <f>'Bookings and Drivers'!BB227</f>
        <v>0</v>
      </c>
      <c r="AU753">
        <f>'Bookings and Drivers'!BC227</f>
        <v>0</v>
      </c>
      <c r="AV753">
        <f>'Bookings and Drivers'!BD227</f>
        <v>0</v>
      </c>
      <c r="AW753">
        <f>'Bookings and Drivers'!BE227</f>
        <v>0</v>
      </c>
      <c r="AX753">
        <f>'Bookings and Drivers'!BF227</f>
        <v>0</v>
      </c>
      <c r="AY753">
        <f>'Bookings and Drivers'!BG227</f>
        <v>0</v>
      </c>
      <c r="AZ753">
        <f>'Bookings and Drivers'!BH227</f>
        <v>0</v>
      </c>
      <c r="BA753">
        <f>'Bookings and Drivers'!BI227</f>
        <v>0</v>
      </c>
      <c r="BB753">
        <f>'Bookings and Drivers'!BJ227</f>
        <v>0</v>
      </c>
      <c r="BC753">
        <f>'Bookings and Drivers'!BK227</f>
        <v>0</v>
      </c>
      <c r="BD753">
        <f>'Bookings and Drivers'!BL227</f>
        <v>0</v>
      </c>
      <c r="BE753">
        <f>'Bookings and Drivers'!BM227</f>
        <v>0</v>
      </c>
      <c r="BF753">
        <f>'Bookings and Drivers'!BN227</f>
        <v>0</v>
      </c>
      <c r="BH753">
        <f>'Bookings and Drivers'!BP227</f>
        <v>0</v>
      </c>
      <c r="BI753">
        <f>'Bookings and Drivers'!BQ227</f>
        <v>0</v>
      </c>
      <c r="BJ753">
        <f>'Bookings and Drivers'!BO227</f>
        <v>0</v>
      </c>
      <c r="BK753">
        <f>'Bookings and Drivers'!BS227</f>
        <v>0</v>
      </c>
      <c r="BL753">
        <f>'Bookings and Drivers'!BT227</f>
        <v>0</v>
      </c>
      <c r="BM753">
        <f>'Bookings and Drivers'!BU227</f>
        <v>0</v>
      </c>
      <c r="BN753">
        <f>'Bookings and Drivers'!BV227</f>
        <v>0</v>
      </c>
      <c r="BO753">
        <f>'Bookings and Drivers'!BW227</f>
        <v>0</v>
      </c>
      <c r="BP753">
        <f>'Bookings and Drivers'!BX227</f>
        <v>0</v>
      </c>
      <c r="BQ753">
        <f>'Bookings and Drivers'!BY227</f>
        <v>0</v>
      </c>
      <c r="BR753">
        <f>'Bookings and Drivers'!BZ227</f>
        <v>0</v>
      </c>
      <c r="BS753">
        <f>'Bookings and Drivers'!CA227</f>
        <v>0</v>
      </c>
      <c r="BT753">
        <f>'Bookings and Drivers'!CB227</f>
        <v>0</v>
      </c>
      <c r="BU753">
        <f>'Bookings and Drivers'!CC227</f>
        <v>0</v>
      </c>
      <c r="BV753">
        <f>'Bookings and Drivers'!CD227</f>
        <v>0</v>
      </c>
      <c r="BW753">
        <f>'Bookings and Drivers'!CE227</f>
        <v>0</v>
      </c>
      <c r="BX753">
        <f>'Bookings and Drivers'!CF227</f>
        <v>0</v>
      </c>
      <c r="BY753">
        <f>'Bookings and Drivers'!CG227</f>
        <v>0</v>
      </c>
      <c r="BZ753">
        <f>'Bookings and Drivers'!CH227</f>
        <v>0</v>
      </c>
      <c r="CA753">
        <f>'Bookings and Drivers'!CI227</f>
        <v>0</v>
      </c>
      <c r="CB753">
        <f>'Bookings and Drivers'!CJ227</f>
        <v>0</v>
      </c>
      <c r="CC753">
        <f>'Bookings and Drivers'!CK227</f>
        <v>0</v>
      </c>
      <c r="CD753">
        <f>'Bookings and Drivers'!CL227</f>
        <v>0</v>
      </c>
      <c r="CE753">
        <f>'Bookings and Drivers'!CM227</f>
        <v>0</v>
      </c>
      <c r="CF753">
        <f>'Bookings and Drivers'!CN227</f>
        <v>0</v>
      </c>
      <c r="CG753">
        <f>'Bookings and Drivers'!CO227</f>
        <v>0</v>
      </c>
      <c r="CH753">
        <f>'Bookings and Drivers'!CP227</f>
        <v>0</v>
      </c>
      <c r="CI753">
        <f>'Bookings and Drivers'!CQ227</f>
        <v>0</v>
      </c>
      <c r="CJ753">
        <f>'Bookings and Drivers'!CR227</f>
        <v>0</v>
      </c>
      <c r="CK753">
        <f>'Bookings and Drivers'!CS227</f>
        <v>0</v>
      </c>
      <c r="CL753">
        <f>'Bookings and Drivers'!CT227</f>
        <v>0</v>
      </c>
      <c r="CM753">
        <f>'Bookings and Drivers'!CU227</f>
        <v>0</v>
      </c>
      <c r="CN753">
        <f>'Bookings and Drivers'!CV227</f>
        <v>0</v>
      </c>
      <c r="CO753">
        <f>'Bookings and Drivers'!CW227</f>
        <v>0</v>
      </c>
      <c r="CP753">
        <f>'Bookings and Drivers'!CX227</f>
        <v>0</v>
      </c>
      <c r="CQ753">
        <f>'Bookings and Drivers'!CY227</f>
        <v>0</v>
      </c>
      <c r="CR753">
        <f>'Bookings and Drivers'!CZ227</f>
        <v>0</v>
      </c>
      <c r="CS753">
        <f>'Bookings and Drivers'!DA227</f>
        <v>0</v>
      </c>
      <c r="CT753">
        <f>'Bookings and Drivers'!DB227</f>
        <v>0</v>
      </c>
      <c r="CU753">
        <f>'Bookings and Drivers'!DC227</f>
        <v>0</v>
      </c>
      <c r="CV753">
        <f>'Bookings and Drivers'!DD227</f>
        <v>0</v>
      </c>
      <c r="CW753">
        <f>'Bookings and Drivers'!DE227</f>
        <v>0</v>
      </c>
      <c r="CX753">
        <f>'Bookings and Drivers'!DF227</f>
        <v>0</v>
      </c>
    </row>
    <row r="754" spans="1:102">
      <c r="A754" t="str">
        <f>'Bookings and Drivers'!I228</f>
        <v>Two-Year Growth</v>
      </c>
      <c r="B754">
        <f>'Bookings and Drivers'!J228</f>
        <v>0</v>
      </c>
      <c r="C754">
        <f>'Bookings and Drivers'!K228</f>
        <v>0</v>
      </c>
      <c r="D754">
        <f>'Bookings and Drivers'!L228</f>
        <v>0</v>
      </c>
      <c r="E754">
        <f>'Bookings and Drivers'!M228</f>
        <v>0</v>
      </c>
      <c r="F754">
        <f>'Bookings and Drivers'!N228</f>
        <v>0</v>
      </c>
      <c r="G754">
        <f>'Bookings and Drivers'!O228</f>
        <v>0</v>
      </c>
      <c r="H754">
        <f>'Bookings and Drivers'!P228</f>
        <v>0</v>
      </c>
      <c r="I754">
        <f>'Bookings and Drivers'!Q228</f>
        <v>0</v>
      </c>
      <c r="J754">
        <f>'Bookings and Drivers'!R228</f>
        <v>0</v>
      </c>
      <c r="K754">
        <f>'Bookings and Drivers'!S228</f>
        <v>0</v>
      </c>
      <c r="L754">
        <f>'Bookings and Drivers'!T228</f>
        <v>0</v>
      </c>
      <c r="M754">
        <f>'Bookings and Drivers'!U228</f>
        <v>0</v>
      </c>
      <c r="N754">
        <f>'Bookings and Drivers'!V228</f>
        <v>0</v>
      </c>
      <c r="O754">
        <f>'Bookings and Drivers'!W228</f>
        <v>0</v>
      </c>
      <c r="P754">
        <f>'Bookings and Drivers'!X228</f>
        <v>0</v>
      </c>
      <c r="Q754">
        <f>'Bookings and Drivers'!Y228</f>
        <v>0</v>
      </c>
      <c r="R754">
        <f>'Bookings and Drivers'!Z228</f>
        <v>0</v>
      </c>
      <c r="S754">
        <f>'Bookings and Drivers'!AA228</f>
        <v>0</v>
      </c>
      <c r="T754">
        <f>'Bookings and Drivers'!AB228</f>
        <v>0</v>
      </c>
      <c r="U754">
        <f>'Bookings and Drivers'!AC228</f>
        <v>0</v>
      </c>
      <c r="V754">
        <f>'Bookings and Drivers'!AD228</f>
        <v>0</v>
      </c>
      <c r="W754">
        <f>'Bookings and Drivers'!AE228</f>
        <v>0</v>
      </c>
      <c r="X754">
        <f>'Bookings and Drivers'!AF228</f>
        <v>0</v>
      </c>
      <c r="Y754">
        <f>'Bookings and Drivers'!AG228</f>
        <v>0</v>
      </c>
      <c r="Z754">
        <f>'Bookings and Drivers'!AH228</f>
        <v>0</v>
      </c>
      <c r="AA754">
        <f>'Bookings and Drivers'!AI228</f>
        <v>0</v>
      </c>
      <c r="AB754">
        <f>'Bookings and Drivers'!AJ228</f>
        <v>0</v>
      </c>
      <c r="AC754">
        <f>'Bookings and Drivers'!AK228</f>
        <v>0</v>
      </c>
      <c r="AD754">
        <f>'Bookings and Drivers'!AL228</f>
        <v>0</v>
      </c>
      <c r="AE754">
        <f>'Bookings and Drivers'!AM228</f>
        <v>0</v>
      </c>
      <c r="AF754">
        <f>'Bookings and Drivers'!AN228</f>
        <v>0</v>
      </c>
      <c r="AG754">
        <f>'Bookings and Drivers'!AO228</f>
        <v>0</v>
      </c>
      <c r="AH754">
        <f>'Bookings and Drivers'!AP228</f>
        <v>0</v>
      </c>
      <c r="AI754">
        <f>'Bookings and Drivers'!AQ228</f>
        <v>0</v>
      </c>
      <c r="AJ754">
        <f>'Bookings and Drivers'!AR228</f>
        <v>0</v>
      </c>
      <c r="AK754">
        <f>'Bookings and Drivers'!AS228</f>
        <v>0</v>
      </c>
      <c r="AL754">
        <f>'Bookings and Drivers'!AT228</f>
        <v>0</v>
      </c>
      <c r="AM754">
        <f>'Bookings and Drivers'!AU228</f>
        <v>0</v>
      </c>
      <c r="AN754">
        <f>'Bookings and Drivers'!AV228</f>
        <v>0</v>
      </c>
      <c r="AO754">
        <f>'Bookings and Drivers'!AW228</f>
        <v>0</v>
      </c>
      <c r="AP754">
        <f>'Bookings and Drivers'!AX228</f>
        <v>0</v>
      </c>
      <c r="AQ754">
        <f>'Bookings and Drivers'!AY228</f>
        <v>0</v>
      </c>
      <c r="AR754">
        <f>'Bookings and Drivers'!AZ228</f>
        <v>0</v>
      </c>
      <c r="AS754">
        <f>'Bookings and Drivers'!BA228</f>
        <v>0</v>
      </c>
      <c r="AT754">
        <f>'Bookings and Drivers'!BB228</f>
        <v>0</v>
      </c>
      <c r="AU754">
        <f>'Bookings and Drivers'!BC228</f>
        <v>0</v>
      </c>
      <c r="AV754">
        <f>'Bookings and Drivers'!BD228</f>
        <v>0</v>
      </c>
      <c r="AW754">
        <f>'Bookings and Drivers'!BE228</f>
        <v>0</v>
      </c>
      <c r="AX754">
        <f>'Bookings and Drivers'!BF228</f>
        <v>0</v>
      </c>
      <c r="AY754">
        <f>'Bookings and Drivers'!BG228</f>
        <v>0</v>
      </c>
      <c r="AZ754">
        <f>'Bookings and Drivers'!BH228</f>
        <v>0</v>
      </c>
      <c r="BA754">
        <f>'Bookings and Drivers'!BI228</f>
        <v>0</v>
      </c>
      <c r="BB754">
        <f>'Bookings and Drivers'!BJ228</f>
        <v>0</v>
      </c>
      <c r="BC754">
        <f>'Bookings and Drivers'!BK228</f>
        <v>0</v>
      </c>
      <c r="BD754">
        <f>'Bookings and Drivers'!BL228</f>
        <v>0</v>
      </c>
      <c r="BE754">
        <f>'Bookings and Drivers'!BM228</f>
        <v>0</v>
      </c>
      <c r="BF754">
        <f>'Bookings and Drivers'!BN228</f>
        <v>0</v>
      </c>
      <c r="BG754">
        <f>'Bookings and Drivers'!BO228</f>
        <v>0</v>
      </c>
      <c r="BH754">
        <f>'Bookings and Drivers'!BP228</f>
        <v>0</v>
      </c>
      <c r="BI754">
        <f>'Bookings and Drivers'!BQ228</f>
        <v>0</v>
      </c>
      <c r="BJ754">
        <f>'Bookings and Drivers'!BR228</f>
        <v>0</v>
      </c>
      <c r="BK754">
        <f>'Bookings and Drivers'!BS228</f>
        <v>0</v>
      </c>
      <c r="BL754">
        <f>'Bookings and Drivers'!BT228</f>
        <v>0</v>
      </c>
      <c r="BM754">
        <f>'Bookings and Drivers'!BU228</f>
        <v>0</v>
      </c>
      <c r="BN754">
        <f>'Bookings and Drivers'!BV228</f>
        <v>0</v>
      </c>
      <c r="BO754">
        <f>'Bookings and Drivers'!BW228</f>
        <v>0</v>
      </c>
      <c r="BP754">
        <f>'Bookings and Drivers'!BX228</f>
        <v>0</v>
      </c>
      <c r="BQ754">
        <f>'Bookings and Drivers'!BY228</f>
        <v>0</v>
      </c>
      <c r="BR754">
        <f>'Bookings and Drivers'!BZ228</f>
        <v>0</v>
      </c>
      <c r="BS754">
        <f>'Bookings and Drivers'!CA228</f>
        <v>0</v>
      </c>
      <c r="BT754">
        <f>'Bookings and Drivers'!CB228</f>
        <v>0</v>
      </c>
      <c r="BU754">
        <f>'Bookings and Drivers'!CC228</f>
        <v>0</v>
      </c>
      <c r="BV754">
        <f>'Bookings and Drivers'!CD228</f>
        <v>0</v>
      </c>
      <c r="BW754">
        <f>'Bookings and Drivers'!CE228</f>
        <v>0</v>
      </c>
      <c r="BX754">
        <f>'Bookings and Drivers'!CF228</f>
        <v>0</v>
      </c>
      <c r="BY754">
        <f>'Bookings and Drivers'!CG228</f>
        <v>0</v>
      </c>
      <c r="BZ754">
        <f>'Bookings and Drivers'!CH228</f>
        <v>0</v>
      </c>
      <c r="CA754">
        <f>'Bookings and Drivers'!CI228</f>
        <v>0</v>
      </c>
      <c r="CB754">
        <f>'Bookings and Drivers'!CJ228</f>
        <v>0</v>
      </c>
      <c r="CC754">
        <f>'Bookings and Drivers'!CK228</f>
        <v>0</v>
      </c>
      <c r="CD754">
        <f>'Bookings and Drivers'!CL228</f>
        <v>0</v>
      </c>
      <c r="CE754">
        <f>'Bookings and Drivers'!CM228</f>
        <v>0</v>
      </c>
      <c r="CF754">
        <f>'Bookings and Drivers'!CN228</f>
        <v>0</v>
      </c>
      <c r="CG754">
        <f>'Bookings and Drivers'!CO228</f>
        <v>0</v>
      </c>
      <c r="CH754">
        <f>'Bookings and Drivers'!CP228</f>
        <v>0</v>
      </c>
      <c r="CI754">
        <f>'Bookings and Drivers'!CQ228</f>
        <v>0</v>
      </c>
      <c r="CJ754">
        <f>'Bookings and Drivers'!CR228</f>
        <v>0</v>
      </c>
      <c r="CK754">
        <f>'Bookings and Drivers'!CS228</f>
        <v>0</v>
      </c>
      <c r="CL754">
        <f>'Bookings and Drivers'!CT228</f>
        <v>0</v>
      </c>
      <c r="CM754">
        <f>'Bookings and Drivers'!CU228</f>
        <v>0</v>
      </c>
      <c r="CN754">
        <f>'Bookings and Drivers'!CV228</f>
        <v>0</v>
      </c>
      <c r="CO754">
        <f>'Bookings and Drivers'!CW228</f>
        <v>0</v>
      </c>
      <c r="CP754">
        <f>'Bookings and Drivers'!CX228</f>
        <v>0</v>
      </c>
      <c r="CQ754">
        <f>'Bookings and Drivers'!CY228</f>
        <v>0</v>
      </c>
      <c r="CR754">
        <f>'Bookings and Drivers'!CZ228</f>
        <v>0</v>
      </c>
      <c r="CS754">
        <f>'Bookings and Drivers'!DA228</f>
        <v>0</v>
      </c>
      <c r="CT754">
        <f>'Bookings and Drivers'!DB228</f>
        <v>0</v>
      </c>
      <c r="CU754">
        <f>'Bookings and Drivers'!DC228</f>
        <v>0</v>
      </c>
      <c r="CV754">
        <f>'Bookings and Drivers'!DD228</f>
        <v>0</v>
      </c>
      <c r="CW754">
        <f>'Bookings and Drivers'!DE228</f>
        <v>0</v>
      </c>
      <c r="CX754">
        <f>'Bookings and Drivers'!DF228</f>
        <v>0</v>
      </c>
    </row>
    <row r="755" spans="1:102">
      <c r="A755" t="str">
        <f>'Bookings and Drivers'!I229</f>
        <v>Agoda</v>
      </c>
      <c r="B755">
        <f>'Bookings and Drivers'!J229</f>
        <v>0</v>
      </c>
      <c r="C755">
        <f>'Bookings and Drivers'!K229</f>
        <v>0</v>
      </c>
      <c r="D755">
        <f>'Bookings and Drivers'!L229</f>
        <v>0</v>
      </c>
      <c r="E755">
        <f>'Bookings and Drivers'!M229</f>
        <v>0</v>
      </c>
      <c r="F755">
        <f>'Bookings and Drivers'!N229</f>
        <v>0</v>
      </c>
      <c r="G755">
        <f>'Bookings and Drivers'!O229</f>
        <v>0</v>
      </c>
      <c r="H755">
        <f>'Bookings and Drivers'!P229</f>
        <v>0</v>
      </c>
      <c r="I755">
        <f>'Bookings and Drivers'!Q229</f>
        <v>0</v>
      </c>
      <c r="J755">
        <f>'Bookings and Drivers'!R229</f>
        <v>0</v>
      </c>
      <c r="K755">
        <f>'Bookings and Drivers'!S229</f>
        <v>0</v>
      </c>
      <c r="L755">
        <f>'Bookings and Drivers'!T229</f>
        <v>0</v>
      </c>
      <c r="M755">
        <f>'Bookings and Drivers'!U229</f>
        <v>0</v>
      </c>
      <c r="N755">
        <f>'Bookings and Drivers'!V229</f>
        <v>0</v>
      </c>
      <c r="O755">
        <f>'Bookings and Drivers'!W229</f>
        <v>0</v>
      </c>
      <c r="P755">
        <f>'Bookings and Drivers'!X229</f>
        <v>0</v>
      </c>
      <c r="Q755">
        <f>'Bookings and Drivers'!Y229</f>
        <v>0</v>
      </c>
      <c r="R755">
        <f>'Bookings and Drivers'!Z229</f>
        <v>0</v>
      </c>
      <c r="S755">
        <f>'Bookings and Drivers'!AA229</f>
        <v>0</v>
      </c>
      <c r="T755">
        <f>'Bookings and Drivers'!AB229</f>
        <v>0</v>
      </c>
      <c r="U755">
        <f>'Bookings and Drivers'!AC229</f>
        <v>0</v>
      </c>
      <c r="V755">
        <f>'Bookings and Drivers'!AD229</f>
        <v>0</v>
      </c>
      <c r="W755">
        <f>'Bookings and Drivers'!AE229</f>
        <v>0</v>
      </c>
      <c r="X755">
        <f>'Bookings and Drivers'!AF229</f>
        <v>0</v>
      </c>
      <c r="Y755">
        <f>'Bookings and Drivers'!AG229</f>
        <v>0</v>
      </c>
      <c r="Z755">
        <f>'Bookings and Drivers'!AH229</f>
        <v>0</v>
      </c>
      <c r="AA755">
        <f>'Bookings and Drivers'!AI229</f>
        <v>0</v>
      </c>
      <c r="AB755">
        <f>'Bookings and Drivers'!AJ229</f>
        <v>0</v>
      </c>
      <c r="AC755">
        <f>'Bookings and Drivers'!AK229</f>
        <v>0</v>
      </c>
      <c r="AD755">
        <f>'Bookings and Drivers'!AL229</f>
        <v>0</v>
      </c>
      <c r="AE755">
        <f>'Bookings and Drivers'!AM229</f>
        <v>0</v>
      </c>
      <c r="AF755">
        <f>'Bookings and Drivers'!AN229</f>
        <v>0</v>
      </c>
      <c r="AG755">
        <f>'Bookings and Drivers'!AO229</f>
        <v>0</v>
      </c>
      <c r="AH755">
        <f>'Bookings and Drivers'!AP229</f>
        <v>0</v>
      </c>
      <c r="AI755">
        <f>'Bookings and Drivers'!AQ229</f>
        <v>0</v>
      </c>
      <c r="AJ755">
        <f>'Bookings and Drivers'!AR229</f>
        <v>0</v>
      </c>
      <c r="AK755">
        <f>'Bookings and Drivers'!AS229</f>
        <v>0</v>
      </c>
      <c r="AL755">
        <f>'Bookings and Drivers'!AT229</f>
        <v>0</v>
      </c>
      <c r="AM755">
        <f>'Bookings and Drivers'!AU229</f>
        <v>0</v>
      </c>
      <c r="AN755">
        <f>'Bookings and Drivers'!AV229</f>
        <v>0</v>
      </c>
      <c r="AO755">
        <f>'Bookings and Drivers'!AW229</f>
        <v>0</v>
      </c>
      <c r="AP755">
        <f>'Bookings and Drivers'!AX229</f>
        <v>0</v>
      </c>
      <c r="AQ755">
        <f>'Bookings and Drivers'!AY229</f>
        <v>0</v>
      </c>
      <c r="AR755">
        <f>'Bookings and Drivers'!AZ229</f>
        <v>0</v>
      </c>
      <c r="AS755">
        <f>'Bookings and Drivers'!BA229</f>
        <v>2.92</v>
      </c>
      <c r="AT755">
        <f>'Bookings and Drivers'!BB229</f>
        <v>3.25</v>
      </c>
      <c r="AU755">
        <f>'Bookings and Drivers'!BC229</f>
        <v>2.65</v>
      </c>
      <c r="AV755">
        <f>'Bookings and Drivers'!BD229</f>
        <v>2.6100000000000003</v>
      </c>
      <c r="AW755">
        <f>'Bookings and Drivers'!BE229</f>
        <v>1.9</v>
      </c>
      <c r="AX755">
        <f>'Bookings and Drivers'!BF229</f>
        <v>2.25</v>
      </c>
      <c r="AY755">
        <f>'Bookings and Drivers'!BG229</f>
        <v>1.6800000000000002</v>
      </c>
      <c r="AZ755">
        <f>'Bookings and Drivers'!BH229</f>
        <v>1.6</v>
      </c>
      <c r="BA755">
        <f>'Bookings and Drivers'!BI229</f>
        <v>1.1399999999999999</v>
      </c>
      <c r="BB755">
        <f>'Bookings and Drivers'!BJ229</f>
        <v>1.2</v>
      </c>
      <c r="BC755">
        <f>'Bookings and Drivers'!BK229</f>
        <v>1.1100000000000001</v>
      </c>
      <c r="BD755">
        <f>'Bookings and Drivers'!BL229</f>
        <v>0.95</v>
      </c>
      <c r="BE755">
        <f>'Bookings and Drivers'!BM229</f>
        <v>0.74</v>
      </c>
      <c r="BF755">
        <f>'Bookings and Drivers'!BN229</f>
        <v>0.8</v>
      </c>
      <c r="BG755">
        <f>'Bookings and Drivers'!BO229</f>
        <v>0.73</v>
      </c>
      <c r="BH755">
        <f>'Bookings and Drivers'!BP229</f>
        <v>0.64999999999999991</v>
      </c>
      <c r="BI755">
        <f>'Bookings and Drivers'!BQ229</f>
        <v>0.5</v>
      </c>
      <c r="BJ755">
        <f>'Bookings and Drivers'!BR229</f>
        <v>0.5</v>
      </c>
      <c r="BK755">
        <f>'Bookings and Drivers'!BS229</f>
        <v>0.19999999999999998</v>
      </c>
      <c r="BL755">
        <f>'Bookings and Drivers'!BT229</f>
        <v>0.4</v>
      </c>
      <c r="BM755">
        <f>'Bookings and Drivers'!BU229</f>
        <v>0.48000000000000004</v>
      </c>
      <c r="BN755">
        <f>'Bookings and Drivers'!BV229</f>
        <v>0.45</v>
      </c>
      <c r="BO755">
        <f>'Bookings and Drivers'!BW229</f>
        <v>0.18000000000000002</v>
      </c>
      <c r="BP755">
        <f>'Bookings and Drivers'!BX229</f>
        <v>0.38</v>
      </c>
      <c r="BQ755">
        <f>'Bookings and Drivers'!BY229</f>
        <v>0.53</v>
      </c>
      <c r="BR755">
        <f>'Bookings and Drivers'!BZ229</f>
        <v>0.5</v>
      </c>
      <c r="BS755">
        <f>'Bookings and Drivers'!CA229</f>
        <v>0.53</v>
      </c>
      <c r="BT755">
        <f>'Bookings and Drivers'!CB229</f>
        <v>0.53</v>
      </c>
      <c r="BU755">
        <f>'Bookings and Drivers'!CC229</f>
        <v>0.4</v>
      </c>
      <c r="BV755">
        <f>'Bookings and Drivers'!CD229</f>
        <v>0.4</v>
      </c>
      <c r="BW755">
        <f>'Bookings and Drivers'!CE229</f>
        <v>0.4</v>
      </c>
      <c r="BX755">
        <f>'Bookings and Drivers'!CF229</f>
        <v>0.4</v>
      </c>
      <c r="BY755">
        <f>'Bookings and Drivers'!CG229</f>
        <v>0</v>
      </c>
      <c r="BZ755">
        <f>'Bookings and Drivers'!CH229</f>
        <v>0</v>
      </c>
      <c r="CA755">
        <f>'Bookings and Drivers'!CI229</f>
        <v>0</v>
      </c>
      <c r="CB755">
        <f>'Bookings and Drivers'!CJ229</f>
        <v>0</v>
      </c>
      <c r="CC755">
        <f>'Bookings and Drivers'!CK229</f>
        <v>0</v>
      </c>
      <c r="CD755">
        <f>'Bookings and Drivers'!CL229</f>
        <v>0</v>
      </c>
      <c r="CE755">
        <f>'Bookings and Drivers'!CM229</f>
        <v>0</v>
      </c>
      <c r="CF755">
        <f>'Bookings and Drivers'!CN229</f>
        <v>0</v>
      </c>
      <c r="CG755">
        <f>'Bookings and Drivers'!CO229</f>
        <v>0</v>
      </c>
      <c r="CH755">
        <f>'Bookings and Drivers'!CP229</f>
        <v>0</v>
      </c>
      <c r="CI755">
        <f>'Bookings and Drivers'!CQ229</f>
        <v>0</v>
      </c>
      <c r="CJ755">
        <f>'Bookings and Drivers'!CR229</f>
        <v>2.8213530766274606</v>
      </c>
      <c r="CK755">
        <f>'Bookings and Drivers'!CS229</f>
        <v>1.8258272198488739</v>
      </c>
      <c r="CL755">
        <f>'Bookings and Drivers'!CT229</f>
        <v>1.0965274376410745</v>
      </c>
      <c r="CM755">
        <f>'Bookings and Drivers'!CU229</f>
        <v>0.72899517264763825</v>
      </c>
      <c r="CN755">
        <f>'Bookings and Drivers'!CV229</f>
        <v>0.39641780314954356</v>
      </c>
      <c r="CO755">
        <f>'Bookings and Drivers'!CW229</f>
        <v>0.36771178839660412</v>
      </c>
      <c r="CP755">
        <f>'Bookings and Drivers'!CX229</f>
        <v>0.52129398524706061</v>
      </c>
      <c r="CQ755">
        <f>'Bookings and Drivers'!CY229</f>
        <v>0.39999999999999991</v>
      </c>
      <c r="CR755">
        <f>'Bookings and Drivers'!CZ229</f>
        <v>0.27749999999999986</v>
      </c>
      <c r="CS755">
        <f>'Bookings and Drivers'!DA229</f>
        <v>0.23587499999999983</v>
      </c>
      <c r="CT755">
        <f>'Bookings and Drivers'!DB229</f>
        <v>0.20174999999999987</v>
      </c>
      <c r="CU755">
        <f>'Bookings and Drivers'!DC229</f>
        <v>0.17174999999999985</v>
      </c>
      <c r="CV755">
        <f>'Bookings and Drivers'!DD229</f>
        <v>0.15674999999999986</v>
      </c>
      <c r="CW755">
        <f>'Bookings and Drivers'!DE229</f>
        <v>0.15674999999999986</v>
      </c>
      <c r="CX755">
        <f>'Bookings and Drivers'!DF229</f>
        <v>0.15674999999999986</v>
      </c>
    </row>
    <row r="756" spans="1:102">
      <c r="A756" t="str">
        <f>'Bookings and Drivers'!I230</f>
        <v>Booking.com</v>
      </c>
      <c r="B756">
        <f>'Bookings and Drivers'!J230</f>
        <v>0</v>
      </c>
      <c r="C756">
        <f>'Bookings and Drivers'!K230</f>
        <v>0</v>
      </c>
      <c r="D756">
        <f>'Bookings and Drivers'!L230</f>
        <v>0</v>
      </c>
      <c r="E756">
        <f>'Bookings and Drivers'!M230</f>
        <v>0</v>
      </c>
      <c r="F756">
        <f>'Bookings and Drivers'!N230</f>
        <v>0</v>
      </c>
      <c r="G756">
        <f>'Bookings and Drivers'!O230</f>
        <v>0</v>
      </c>
      <c r="H756">
        <f>'Bookings and Drivers'!P230</f>
        <v>0</v>
      </c>
      <c r="I756">
        <f>'Bookings and Drivers'!Q230</f>
        <v>0</v>
      </c>
      <c r="J756">
        <f>'Bookings and Drivers'!R230</f>
        <v>0</v>
      </c>
      <c r="K756">
        <f>'Bookings and Drivers'!S230</f>
        <v>0</v>
      </c>
      <c r="L756">
        <f>'Bookings and Drivers'!T230</f>
        <v>0</v>
      </c>
      <c r="M756">
        <f>'Bookings and Drivers'!U230</f>
        <v>0</v>
      </c>
      <c r="N756">
        <f>'Bookings and Drivers'!V230</f>
        <v>0</v>
      </c>
      <c r="O756">
        <f>'Bookings and Drivers'!W230</f>
        <v>0</v>
      </c>
      <c r="P756">
        <f>'Bookings and Drivers'!X230</f>
        <v>0</v>
      </c>
      <c r="Q756">
        <f>'Bookings and Drivers'!Y230</f>
        <v>0</v>
      </c>
      <c r="R756">
        <f>'Bookings and Drivers'!Z230</f>
        <v>0</v>
      </c>
      <c r="S756">
        <f>'Bookings and Drivers'!AA230</f>
        <v>0</v>
      </c>
      <c r="T756">
        <f>'Bookings and Drivers'!AB230</f>
        <v>0</v>
      </c>
      <c r="U756">
        <f>'Bookings and Drivers'!AC230</f>
        <v>0</v>
      </c>
      <c r="V756">
        <f>'Bookings and Drivers'!AD230</f>
        <v>0</v>
      </c>
      <c r="W756">
        <f>'Bookings and Drivers'!AE230</f>
        <v>0</v>
      </c>
      <c r="X756">
        <f>'Bookings and Drivers'!AF230</f>
        <v>0</v>
      </c>
      <c r="Y756">
        <f>'Bookings and Drivers'!AG230</f>
        <v>0</v>
      </c>
      <c r="Z756">
        <f>'Bookings and Drivers'!AH230</f>
        <v>0</v>
      </c>
      <c r="AA756">
        <f>'Bookings and Drivers'!AI230</f>
        <v>0</v>
      </c>
      <c r="AB756">
        <f>'Bookings and Drivers'!AJ230</f>
        <v>0</v>
      </c>
      <c r="AC756">
        <f>'Bookings and Drivers'!AK230</f>
        <v>0</v>
      </c>
      <c r="AD756">
        <f>'Bookings and Drivers'!AL230</f>
        <v>0</v>
      </c>
      <c r="AE756">
        <f>'Bookings and Drivers'!AM230</f>
        <v>0</v>
      </c>
      <c r="AF756">
        <f>'Bookings and Drivers'!AN230</f>
        <v>0</v>
      </c>
      <c r="AG756">
        <f>'Bookings and Drivers'!AO230</f>
        <v>0</v>
      </c>
      <c r="AH756">
        <f>'Bookings and Drivers'!AP230</f>
        <v>0</v>
      </c>
      <c r="AI756">
        <f>'Bookings and Drivers'!AQ230</f>
        <v>0</v>
      </c>
      <c r="AJ756">
        <f>'Bookings and Drivers'!AR230</f>
        <v>0</v>
      </c>
      <c r="AK756">
        <f>'Bookings and Drivers'!AS230</f>
        <v>0</v>
      </c>
      <c r="AL756">
        <f>'Bookings and Drivers'!AT230</f>
        <v>0</v>
      </c>
      <c r="AM756">
        <f>'Bookings and Drivers'!AU230</f>
        <v>0</v>
      </c>
      <c r="AN756">
        <f>'Bookings and Drivers'!AV230</f>
        <v>0</v>
      </c>
      <c r="AO756">
        <f>'Bookings and Drivers'!AW230</f>
        <v>0</v>
      </c>
      <c r="AP756">
        <f>'Bookings and Drivers'!AX230</f>
        <v>0</v>
      </c>
      <c r="AQ756">
        <f>'Bookings and Drivers'!AY230</f>
        <v>0</v>
      </c>
      <c r="AR756">
        <f>'Bookings and Drivers'!AZ230</f>
        <v>0</v>
      </c>
      <c r="AS756">
        <f>'Bookings and Drivers'!BA230</f>
        <v>2.15</v>
      </c>
      <c r="AT756">
        <f>'Bookings and Drivers'!BB230</f>
        <v>2.2999999999999998</v>
      </c>
      <c r="AU756">
        <f>'Bookings and Drivers'!BC230</f>
        <v>2.353319147564819</v>
      </c>
      <c r="AV756">
        <f>'Bookings and Drivers'!BD230</f>
        <v>2.4803354150134194</v>
      </c>
      <c r="AW756">
        <f>'Bookings and Drivers'!BE230</f>
        <v>1.75</v>
      </c>
      <c r="AX756">
        <f>'Bookings and Drivers'!BF230</f>
        <v>1.9</v>
      </c>
      <c r="AY756">
        <f>'Bookings and Drivers'!BG230</f>
        <v>1.9</v>
      </c>
      <c r="AZ756">
        <f>'Bookings and Drivers'!BH230</f>
        <v>1.9</v>
      </c>
      <c r="BA756">
        <f>'Bookings and Drivers'!BI230</f>
        <v>1.2</v>
      </c>
      <c r="BB756">
        <f>'Bookings and Drivers'!BJ230</f>
        <v>1.2</v>
      </c>
      <c r="BC756">
        <f>'Bookings and Drivers'!BK230</f>
        <v>1.2</v>
      </c>
      <c r="BD756">
        <f>'Bookings and Drivers'!BL230</f>
        <v>1.2</v>
      </c>
      <c r="BE756">
        <f>'Bookings and Drivers'!BM230</f>
        <v>1.05</v>
      </c>
      <c r="BF756">
        <f>'Bookings and Drivers'!BN230</f>
        <v>1.05</v>
      </c>
      <c r="BG756">
        <f>'Bookings and Drivers'!BO230</f>
        <v>1.05</v>
      </c>
      <c r="BH756">
        <f>'Bookings and Drivers'!BP230</f>
        <v>1.05</v>
      </c>
      <c r="BI756">
        <f>'Bookings and Drivers'!BQ230</f>
        <v>0.8</v>
      </c>
      <c r="BJ756">
        <f>'Bookings and Drivers'!BR230</f>
        <v>0.8</v>
      </c>
      <c r="BK756">
        <f>'Bookings and Drivers'!BS230</f>
        <v>0.8</v>
      </c>
      <c r="BL756">
        <f>'Bookings and Drivers'!BT230</f>
        <v>0.8</v>
      </c>
      <c r="BM756">
        <f>'Bookings and Drivers'!BU230</f>
        <v>0.67999999999999994</v>
      </c>
      <c r="BN756">
        <f>'Bookings and Drivers'!BV230</f>
        <v>0.63</v>
      </c>
      <c r="BO756">
        <f>'Bookings and Drivers'!BW230</f>
        <v>0.63</v>
      </c>
      <c r="BP756">
        <f>'Bookings and Drivers'!BX230</f>
        <v>0.63</v>
      </c>
      <c r="BQ756">
        <f>'Bookings and Drivers'!BY230</f>
        <v>0.6100000000000001</v>
      </c>
      <c r="BR756">
        <f>'Bookings and Drivers'!BZ230</f>
        <v>0.56000000000000005</v>
      </c>
      <c r="BS756">
        <f>'Bookings and Drivers'!CA230</f>
        <v>0.56000000000000005</v>
      </c>
      <c r="BT756">
        <f>'Bookings and Drivers'!CB230</f>
        <v>0.56000000000000005</v>
      </c>
      <c r="BU756">
        <f>'Bookings and Drivers'!CC230</f>
        <v>0.48000000000000004</v>
      </c>
      <c r="BV756">
        <f>'Bookings and Drivers'!CD230</f>
        <v>0.48000000000000004</v>
      </c>
      <c r="BW756">
        <f>'Bookings and Drivers'!CE230</f>
        <v>0.48000000000000004</v>
      </c>
      <c r="BX756">
        <f>'Bookings and Drivers'!CF230</f>
        <v>0.48000000000000004</v>
      </c>
      <c r="BY756">
        <f>'Bookings and Drivers'!CG230</f>
        <v>0</v>
      </c>
      <c r="BZ756">
        <f>'Bookings and Drivers'!CH230</f>
        <v>0</v>
      </c>
      <c r="CA756">
        <f>'Bookings and Drivers'!CI230</f>
        <v>0</v>
      </c>
      <c r="CB756">
        <f>'Bookings and Drivers'!CJ230</f>
        <v>0</v>
      </c>
      <c r="CC756">
        <f>'Bookings and Drivers'!CK230</f>
        <v>0</v>
      </c>
      <c r="CD756">
        <f>'Bookings and Drivers'!CL230</f>
        <v>0</v>
      </c>
      <c r="CE756">
        <f>'Bookings and Drivers'!CM230</f>
        <v>0</v>
      </c>
      <c r="CF756">
        <f>'Bookings and Drivers'!CN230</f>
        <v>0</v>
      </c>
      <c r="CG756">
        <f>'Bookings and Drivers'!CO230</f>
        <v>0</v>
      </c>
      <c r="CH756">
        <f>'Bookings and Drivers'!CP230</f>
        <v>0</v>
      </c>
      <c r="CI756">
        <f>'Bookings and Drivers'!CQ230</f>
        <v>0</v>
      </c>
      <c r="CJ756">
        <f>'Bookings and Drivers'!CR230</f>
        <v>2.3269799087276741</v>
      </c>
      <c r="CK756">
        <f>'Bookings and Drivers'!CS230</f>
        <v>1.8653474622661057</v>
      </c>
      <c r="CL756">
        <f>'Bookings and Drivers'!CT230</f>
        <v>1.2000000000000004</v>
      </c>
      <c r="CM756">
        <f>'Bookings and Drivers'!CU230</f>
        <v>1.0500000000000003</v>
      </c>
      <c r="CN756">
        <f>'Bookings and Drivers'!CV230</f>
        <v>0.8</v>
      </c>
      <c r="CO756">
        <f>'Bookings and Drivers'!CW230</f>
        <v>0.64096269738879186</v>
      </c>
      <c r="CP756">
        <f>'Bookings and Drivers'!CX230</f>
        <v>0.5709626973887918</v>
      </c>
      <c r="CQ756">
        <f>'Bookings and Drivers'!CY230</f>
        <v>0.48</v>
      </c>
      <c r="CR756">
        <f>'Bookings and Drivers'!CZ230</f>
        <v>0.37599999999999989</v>
      </c>
      <c r="CS756">
        <f>'Bookings and Drivers'!DA230</f>
        <v>0.32559999999999989</v>
      </c>
      <c r="CT756">
        <f>'Bookings and Drivers'!DB230</f>
        <v>0.2841999999999999</v>
      </c>
      <c r="CU756">
        <f>'Bookings and Drivers'!DC230</f>
        <v>0.25419999999999987</v>
      </c>
      <c r="CV756">
        <f>'Bookings and Drivers'!DD230</f>
        <v>0.23919999999999988</v>
      </c>
      <c r="CW756">
        <f>'Bookings and Drivers'!DE230</f>
        <v>0.23919999999999988</v>
      </c>
      <c r="CX756">
        <f>'Bookings and Drivers'!DF230</f>
        <v>0.23919999999999988</v>
      </c>
    </row>
    <row r="757" spans="1:102">
      <c r="A757" t="str">
        <f>'Bookings and Drivers'!I231</f>
        <v>Total APAC</v>
      </c>
      <c r="B757">
        <f>'Bookings and Drivers'!J231</f>
        <v>0</v>
      </c>
      <c r="C757">
        <f>'Bookings and Drivers'!K231</f>
        <v>0</v>
      </c>
      <c r="D757">
        <f>'Bookings and Drivers'!L231</f>
        <v>0</v>
      </c>
      <c r="E757">
        <f>'Bookings and Drivers'!M231</f>
        <v>0</v>
      </c>
      <c r="F757">
        <f>'Bookings and Drivers'!N231</f>
        <v>0</v>
      </c>
      <c r="G757">
        <f>'Bookings and Drivers'!O231</f>
        <v>0</v>
      </c>
      <c r="H757">
        <f>'Bookings and Drivers'!P231</f>
        <v>0</v>
      </c>
      <c r="I757">
        <f>'Bookings and Drivers'!Q231</f>
        <v>0</v>
      </c>
      <c r="J757">
        <f>'Bookings and Drivers'!R231</f>
        <v>0</v>
      </c>
      <c r="K757">
        <f>'Bookings and Drivers'!S231</f>
        <v>0</v>
      </c>
      <c r="L757">
        <f>'Bookings and Drivers'!T231</f>
        <v>0</v>
      </c>
      <c r="M757">
        <f>'Bookings and Drivers'!U231</f>
        <v>0</v>
      </c>
      <c r="N757">
        <f>'Bookings and Drivers'!V231</f>
        <v>0</v>
      </c>
      <c r="O757">
        <f>'Bookings and Drivers'!W231</f>
        <v>0</v>
      </c>
      <c r="P757">
        <f>'Bookings and Drivers'!X231</f>
        <v>0</v>
      </c>
      <c r="Q757">
        <f>'Bookings and Drivers'!Y231</f>
        <v>0</v>
      </c>
      <c r="R757">
        <f>'Bookings and Drivers'!Z231</f>
        <v>0</v>
      </c>
      <c r="S757">
        <f>'Bookings and Drivers'!AA231</f>
        <v>0</v>
      </c>
      <c r="T757">
        <f>'Bookings and Drivers'!AB231</f>
        <v>0</v>
      </c>
      <c r="U757">
        <f>'Bookings and Drivers'!AC231</f>
        <v>0</v>
      </c>
      <c r="V757">
        <f>'Bookings and Drivers'!AD231</f>
        <v>0</v>
      </c>
      <c r="W757">
        <f>'Bookings and Drivers'!AE231</f>
        <v>0</v>
      </c>
      <c r="X757">
        <f>'Bookings and Drivers'!AF231</f>
        <v>0</v>
      </c>
      <c r="Y757">
        <f>'Bookings and Drivers'!AG231</f>
        <v>0</v>
      </c>
      <c r="Z757">
        <f>'Bookings and Drivers'!AH231</f>
        <v>0</v>
      </c>
      <c r="AA757">
        <f>'Bookings and Drivers'!AI231</f>
        <v>0</v>
      </c>
      <c r="AB757">
        <f>'Bookings and Drivers'!AJ231</f>
        <v>0</v>
      </c>
      <c r="AC757">
        <f>'Bookings and Drivers'!AK231</f>
        <v>0</v>
      </c>
      <c r="AD757">
        <f>'Bookings and Drivers'!AL231</f>
        <v>0</v>
      </c>
      <c r="AE757">
        <f>'Bookings and Drivers'!AM231</f>
        <v>0</v>
      </c>
      <c r="AF757">
        <f>'Bookings and Drivers'!AN231</f>
        <v>0</v>
      </c>
      <c r="AG757">
        <f>'Bookings and Drivers'!AO231</f>
        <v>0</v>
      </c>
      <c r="AH757">
        <f>'Bookings and Drivers'!AP231</f>
        <v>0</v>
      </c>
      <c r="AI757">
        <f>'Bookings and Drivers'!AQ231</f>
        <v>0</v>
      </c>
      <c r="AJ757">
        <f>'Bookings and Drivers'!AR231</f>
        <v>0</v>
      </c>
      <c r="AK757">
        <f>'Bookings and Drivers'!AS231</f>
        <v>0</v>
      </c>
      <c r="AL757">
        <f>'Bookings and Drivers'!AT231</f>
        <v>0</v>
      </c>
      <c r="AM757">
        <f>'Bookings and Drivers'!AU231</f>
        <v>0</v>
      </c>
      <c r="AN757">
        <f>'Bookings and Drivers'!AV231</f>
        <v>0</v>
      </c>
      <c r="AO757">
        <f>'Bookings and Drivers'!AW231</f>
        <v>0</v>
      </c>
      <c r="AP757">
        <f>'Bookings and Drivers'!AX231</f>
        <v>0</v>
      </c>
      <c r="AQ757">
        <f>'Bookings and Drivers'!AY231</f>
        <v>0</v>
      </c>
      <c r="AR757">
        <f>'Bookings and Drivers'!AZ231</f>
        <v>0</v>
      </c>
      <c r="AS757">
        <f>'Bookings and Drivers'!BA231</f>
        <v>2.6831852289025004</v>
      </c>
      <c r="AT757">
        <f>'Bookings and Drivers'!BB231</f>
        <v>2.9800637365303642</v>
      </c>
      <c r="AU757">
        <f>'Bookings and Drivers'!BC231</f>
        <v>2.55076733660183</v>
      </c>
      <c r="AV757">
        <f>'Bookings and Drivers'!BD231</f>
        <v>2.5669834761435504</v>
      </c>
      <c r="AW757">
        <f>'Bookings and Drivers'!BE231</f>
        <v>1.8629749462733896</v>
      </c>
      <c r="AX757">
        <f>'Bookings and Drivers'!BF231</f>
        <v>2.167598819556992</v>
      </c>
      <c r="AY757">
        <f>'Bookings and Drivers'!BG231</f>
        <v>1.7298070067366946</v>
      </c>
      <c r="AZ757">
        <f>'Bookings and Drivers'!BH231</f>
        <v>1.6669834761435502</v>
      </c>
      <c r="BA757">
        <f>'Bookings and Drivers'!BI231</f>
        <v>1.1529559608300195</v>
      </c>
      <c r="BB757">
        <f>'Bookings and Drivers'!BJ231</f>
        <v>1.1989694840743614</v>
      </c>
      <c r="BC757">
        <f>'Bookings and Drivers'!BK231</f>
        <v>1.1319953165997063</v>
      </c>
      <c r="BD757">
        <f>'Bookings and Drivers'!BL231</f>
        <v>1.0121122507381326</v>
      </c>
      <c r="BE757">
        <f>'Bookings and Drivers'!BM231</f>
        <v>0.8155642871291191</v>
      </c>
      <c r="BF757">
        <f>'Bookings and Drivers'!BN231</f>
        <v>0.85465235752454904</v>
      </c>
      <c r="BG757">
        <f>'Bookings and Drivers'!BO231</f>
        <v>0.81412678813700956</v>
      </c>
      <c r="BH757">
        <f>'Bookings and Drivers'!BP231</f>
        <v>0.75433818616036197</v>
      </c>
      <c r="BI757">
        <f>'Bookings and Drivers'!BQ231</f>
        <v>0.57931983538985077</v>
      </c>
      <c r="BJ757">
        <f>'Bookings and Drivers'!BR231</f>
        <v>0.56982445493640932</v>
      </c>
      <c r="BK757">
        <f>'Bookings and Drivers'!BS231</f>
        <v>0.37470701991261079</v>
      </c>
      <c r="BL757">
        <f>'Bookings and Drivers'!BT231</f>
        <v>0.5182533820023163</v>
      </c>
      <c r="BM757">
        <f>'Bookings and Drivers'!BU231</f>
        <v>0.53620757401371821</v>
      </c>
      <c r="BN757">
        <f>'Bookings and Drivers'!BV231</f>
        <v>0.49431747583286589</v>
      </c>
      <c r="BO757">
        <f>'Bookings and Drivers'!BW231</f>
        <v>0.31353587824044293</v>
      </c>
      <c r="BP757">
        <f>'Bookings and Drivers'!BX231</f>
        <v>0.45602744658008687</v>
      </c>
      <c r="BQ757">
        <f>'Bookings and Drivers'!BY231</f>
        <v>0.55417153072022018</v>
      </c>
      <c r="BR757">
        <f>'Bookings and Drivers'!BZ231</f>
        <v>0.51602606051183209</v>
      </c>
      <c r="BS757">
        <f>'Bookings and Drivers'!CA231</f>
        <v>0.54162826496367056</v>
      </c>
      <c r="BT757">
        <f>'Bookings and Drivers'!CB231</f>
        <v>0.54047292423471105</v>
      </c>
      <c r="BU757">
        <f>'Bookings and Drivers'!CC231</f>
        <v>0.4248297863093804</v>
      </c>
      <c r="BV757">
        <f>'Bookings and Drivers'!CD231</f>
        <v>0.42178846836272776</v>
      </c>
      <c r="BW757">
        <f>'Bookings and Drivers'!CE231</f>
        <v>0.43129092308947348</v>
      </c>
      <c r="BX757">
        <f>'Bookings and Drivers'!CF231</f>
        <v>0.42819820649807183</v>
      </c>
      <c r="BY757">
        <f>'Bookings and Drivers'!CG231</f>
        <v>0</v>
      </c>
      <c r="BZ757">
        <f>'Bookings and Drivers'!CH231</f>
        <v>0</v>
      </c>
      <c r="CA757">
        <f>'Bookings and Drivers'!CI231</f>
        <v>0</v>
      </c>
      <c r="CB757">
        <f>'Bookings and Drivers'!CJ231</f>
        <v>0</v>
      </c>
      <c r="CC757">
        <f>'Bookings and Drivers'!CK231</f>
        <v>0</v>
      </c>
      <c r="CD757">
        <f>'Bookings and Drivers'!CL231</f>
        <v>0</v>
      </c>
      <c r="CE757">
        <f>'Bookings and Drivers'!CM231</f>
        <v>0</v>
      </c>
      <c r="CF757">
        <f>'Bookings and Drivers'!CN231</f>
        <v>0</v>
      </c>
      <c r="CG757">
        <f>'Bookings and Drivers'!CO231</f>
        <v>0</v>
      </c>
      <c r="CH757">
        <f>'Bookings and Drivers'!CP231</f>
        <v>0</v>
      </c>
      <c r="CI757">
        <f>'Bookings and Drivers'!CQ231</f>
        <v>0</v>
      </c>
      <c r="CJ757">
        <f>'Bookings and Drivers'!CR231</f>
        <v>2.6749302414431919</v>
      </c>
      <c r="CK757">
        <f>'Bookings and Drivers'!CS231</f>
        <v>1.8345672011193761</v>
      </c>
      <c r="CL757">
        <f>'Bookings and Drivers'!CT231</f>
        <v>1.1205958860586422</v>
      </c>
      <c r="CM757">
        <f>'Bookings and Drivers'!CU231</f>
        <v>0.80841009651310314</v>
      </c>
      <c r="CN757">
        <f>'Bookings and Drivers'!CV231</f>
        <v>0.50624050587692304</v>
      </c>
      <c r="CO757">
        <f>'Bookings and Drivers'!CW231</f>
        <v>0.44511199409370361</v>
      </c>
      <c r="CP757">
        <f>'Bookings and Drivers'!CX231</f>
        <v>0.53748300781829772</v>
      </c>
      <c r="CQ757">
        <f>'Bookings and Drivers'!CY231</f>
        <v>0.42644414323468416</v>
      </c>
      <c r="CR757">
        <f>'Bookings and Drivers'!CZ231</f>
        <v>0.31071436198738112</v>
      </c>
      <c r="CS757">
        <f>'Bookings and Drivers'!DA231</f>
        <v>0.26695695956535381</v>
      </c>
      <c r="CT757">
        <f>'Bookings and Drivers'!DB231</f>
        <v>0.23108201793095606</v>
      </c>
      <c r="CU757">
        <f>'Bookings and Drivers'!DC231</f>
        <v>0.20178036056051152</v>
      </c>
      <c r="CV757">
        <f>'Bookings and Drivers'!DD231</f>
        <v>0.18749531749170045</v>
      </c>
      <c r="CW757">
        <f>'Bookings and Drivers'!DE231</f>
        <v>0.18822196813379466</v>
      </c>
      <c r="CX757">
        <f>'Bookings and Drivers'!DF231</f>
        <v>0.18895509514349818</v>
      </c>
    </row>
    <row r="758" spans="1:102">
      <c r="A758">
        <f>'Bookings and Drivers'!I232</f>
        <v>0</v>
      </c>
      <c r="B758">
        <f>'Bookings and Drivers'!J232</f>
        <v>0</v>
      </c>
      <c r="C758">
        <f>'Bookings and Drivers'!K232</f>
        <v>0</v>
      </c>
      <c r="D758">
        <f>'Bookings and Drivers'!L232</f>
        <v>0</v>
      </c>
      <c r="E758">
        <f>'Bookings and Drivers'!M232</f>
        <v>0</v>
      </c>
      <c r="F758">
        <f>'Bookings and Drivers'!N232</f>
        <v>0</v>
      </c>
      <c r="G758">
        <f>'Bookings and Drivers'!O232</f>
        <v>0</v>
      </c>
      <c r="H758">
        <f>'Bookings and Drivers'!P232</f>
        <v>0</v>
      </c>
      <c r="I758">
        <f>'Bookings and Drivers'!Q232</f>
        <v>0</v>
      </c>
      <c r="J758">
        <f>'Bookings and Drivers'!R232</f>
        <v>0</v>
      </c>
      <c r="K758">
        <f>'Bookings and Drivers'!S232</f>
        <v>0</v>
      </c>
      <c r="L758">
        <f>'Bookings and Drivers'!T232</f>
        <v>0</v>
      </c>
      <c r="M758">
        <f>'Bookings and Drivers'!U232</f>
        <v>0</v>
      </c>
      <c r="N758">
        <f>'Bookings and Drivers'!V232</f>
        <v>0</v>
      </c>
      <c r="O758">
        <f>'Bookings and Drivers'!W232</f>
        <v>0</v>
      </c>
      <c r="P758">
        <f>'Bookings and Drivers'!X232</f>
        <v>0</v>
      </c>
      <c r="Q758">
        <f>'Bookings and Drivers'!Y232</f>
        <v>0</v>
      </c>
      <c r="R758">
        <f>'Bookings and Drivers'!Z232</f>
        <v>0</v>
      </c>
      <c r="S758">
        <f>'Bookings and Drivers'!AA232</f>
        <v>0</v>
      </c>
      <c r="T758">
        <f>'Bookings and Drivers'!AB232</f>
        <v>0</v>
      </c>
      <c r="U758">
        <f>'Bookings and Drivers'!AC232</f>
        <v>0</v>
      </c>
      <c r="V758">
        <f>'Bookings and Drivers'!AD232</f>
        <v>0</v>
      </c>
      <c r="W758">
        <f>'Bookings and Drivers'!AE232</f>
        <v>0</v>
      </c>
      <c r="X758">
        <f>'Bookings and Drivers'!AF232</f>
        <v>0</v>
      </c>
      <c r="Y758">
        <f>'Bookings and Drivers'!AG232</f>
        <v>0</v>
      </c>
      <c r="Z758">
        <f>'Bookings and Drivers'!AH232</f>
        <v>0</v>
      </c>
      <c r="AA758">
        <f>'Bookings and Drivers'!AI232</f>
        <v>0</v>
      </c>
      <c r="AB758">
        <f>'Bookings and Drivers'!AJ232</f>
        <v>0</v>
      </c>
      <c r="AC758">
        <f>'Bookings and Drivers'!AK232</f>
        <v>0</v>
      </c>
      <c r="AD758">
        <f>'Bookings and Drivers'!AL232</f>
        <v>0</v>
      </c>
      <c r="AE758">
        <f>'Bookings and Drivers'!AM232</f>
        <v>0</v>
      </c>
      <c r="AF758">
        <f>'Bookings and Drivers'!AN232</f>
        <v>0</v>
      </c>
      <c r="AG758">
        <f>'Bookings and Drivers'!AO232</f>
        <v>0</v>
      </c>
      <c r="AH758">
        <f>'Bookings and Drivers'!AP232</f>
        <v>0</v>
      </c>
      <c r="AI758">
        <f>'Bookings and Drivers'!AQ232</f>
        <v>0</v>
      </c>
      <c r="AJ758">
        <f>'Bookings and Drivers'!AR232</f>
        <v>0</v>
      </c>
      <c r="AK758">
        <f>'Bookings and Drivers'!AS232</f>
        <v>0</v>
      </c>
      <c r="AL758">
        <f>'Bookings and Drivers'!AT232</f>
        <v>0</v>
      </c>
      <c r="AM758">
        <f>'Bookings and Drivers'!AU232</f>
        <v>0</v>
      </c>
      <c r="AN758">
        <f>'Bookings and Drivers'!AV232</f>
        <v>0</v>
      </c>
      <c r="AO758">
        <f>'Bookings and Drivers'!AW232</f>
        <v>0</v>
      </c>
      <c r="AP758">
        <f>'Bookings and Drivers'!AX232</f>
        <v>0</v>
      </c>
      <c r="AQ758">
        <f>'Bookings and Drivers'!AY232</f>
        <v>0</v>
      </c>
      <c r="AR758">
        <f>'Bookings and Drivers'!AZ232</f>
        <v>0</v>
      </c>
      <c r="AS758">
        <f>'Bookings and Drivers'!BA232</f>
        <v>0</v>
      </c>
      <c r="AT758">
        <f>'Bookings and Drivers'!BB232</f>
        <v>0</v>
      </c>
      <c r="AU758">
        <f>'Bookings and Drivers'!BC232</f>
        <v>0</v>
      </c>
      <c r="AV758">
        <f>'Bookings and Drivers'!BD232</f>
        <v>0</v>
      </c>
      <c r="AW758">
        <f>'Bookings and Drivers'!BE232</f>
        <v>0</v>
      </c>
      <c r="AX758">
        <f>'Bookings and Drivers'!BF232</f>
        <v>0</v>
      </c>
      <c r="AY758">
        <f>'Bookings and Drivers'!BG232</f>
        <v>0</v>
      </c>
      <c r="AZ758">
        <f>'Bookings and Drivers'!BH232</f>
        <v>0</v>
      </c>
      <c r="BA758">
        <f>'Bookings and Drivers'!BI232</f>
        <v>0</v>
      </c>
      <c r="BB758">
        <f>'Bookings and Drivers'!BJ232</f>
        <v>0</v>
      </c>
      <c r="BC758">
        <f>'Bookings and Drivers'!BK232</f>
        <v>0</v>
      </c>
      <c r="BD758">
        <f>'Bookings and Drivers'!BL232</f>
        <v>0</v>
      </c>
      <c r="BE758">
        <f>'Bookings and Drivers'!BM232</f>
        <v>0</v>
      </c>
      <c r="BF758">
        <f>'Bookings and Drivers'!BN232</f>
        <v>0</v>
      </c>
      <c r="BG758">
        <f>'Bookings and Drivers'!BO232</f>
        <v>0</v>
      </c>
      <c r="BH758">
        <f>'Bookings and Drivers'!BP232</f>
        <v>0</v>
      </c>
      <c r="BI758">
        <f>'Bookings and Drivers'!BQ232</f>
        <v>0</v>
      </c>
      <c r="BJ758">
        <f>'Bookings and Drivers'!BR232</f>
        <v>0</v>
      </c>
      <c r="BK758">
        <f>'Bookings and Drivers'!BS232</f>
        <v>0</v>
      </c>
      <c r="BL758">
        <f>'Bookings and Drivers'!BT232</f>
        <v>0</v>
      </c>
      <c r="BM758">
        <f>'Bookings and Drivers'!BU232</f>
        <v>0</v>
      </c>
      <c r="BN758">
        <f>'Bookings and Drivers'!BV232</f>
        <v>0</v>
      </c>
      <c r="BO758">
        <f>'Bookings and Drivers'!BW232</f>
        <v>0</v>
      </c>
      <c r="BP758">
        <f>'Bookings and Drivers'!BX232</f>
        <v>0</v>
      </c>
      <c r="BQ758">
        <f>'Bookings and Drivers'!BY232</f>
        <v>0</v>
      </c>
      <c r="BR758">
        <f>'Bookings and Drivers'!BZ232</f>
        <v>0</v>
      </c>
      <c r="BS758">
        <f>'Bookings and Drivers'!CA232</f>
        <v>0</v>
      </c>
      <c r="BT758">
        <f>'Bookings and Drivers'!CB232</f>
        <v>0</v>
      </c>
      <c r="BU758">
        <f>'Bookings and Drivers'!CC232</f>
        <v>0</v>
      </c>
      <c r="BV758">
        <f>'Bookings and Drivers'!CD232</f>
        <v>0</v>
      </c>
      <c r="BW758">
        <f>'Bookings and Drivers'!CE232</f>
        <v>0</v>
      </c>
      <c r="BX758">
        <f>'Bookings and Drivers'!CF232</f>
        <v>0</v>
      </c>
      <c r="BY758">
        <f>'Bookings and Drivers'!CG232</f>
        <v>0</v>
      </c>
      <c r="BZ758">
        <f>'Bookings and Drivers'!CH232</f>
        <v>0</v>
      </c>
      <c r="CA758">
        <f>'Bookings and Drivers'!CI232</f>
        <v>0</v>
      </c>
      <c r="CB758">
        <f>'Bookings and Drivers'!CJ232</f>
        <v>0</v>
      </c>
      <c r="CC758">
        <f>'Bookings and Drivers'!CK232</f>
        <v>0</v>
      </c>
      <c r="CD758">
        <f>'Bookings and Drivers'!CL232</f>
        <v>0</v>
      </c>
      <c r="CE758">
        <f>'Bookings and Drivers'!CM232</f>
        <v>0</v>
      </c>
      <c r="CF758">
        <f>'Bookings and Drivers'!CN232</f>
        <v>0</v>
      </c>
      <c r="CG758">
        <f>'Bookings and Drivers'!CO232</f>
        <v>0</v>
      </c>
      <c r="CH758">
        <f>'Bookings and Drivers'!CP232</f>
        <v>0</v>
      </c>
      <c r="CI758">
        <f>'Bookings and Drivers'!CQ232</f>
        <v>0</v>
      </c>
      <c r="CJ758">
        <f>'Bookings and Drivers'!CR232</f>
        <v>0</v>
      </c>
      <c r="CK758">
        <f>'Bookings and Drivers'!CS232</f>
        <v>0</v>
      </c>
      <c r="CL758">
        <f>'Bookings and Drivers'!CT232</f>
        <v>0</v>
      </c>
      <c r="CM758">
        <f>'Bookings and Drivers'!CU232</f>
        <v>0</v>
      </c>
      <c r="CN758">
        <f>'Bookings and Drivers'!CV232</f>
        <v>0</v>
      </c>
      <c r="CO758">
        <f>'Bookings and Drivers'!CW232</f>
        <v>0</v>
      </c>
      <c r="CP758">
        <f>'Bookings and Drivers'!CX232</f>
        <v>0</v>
      </c>
      <c r="CQ758">
        <f>'Bookings and Drivers'!CY232</f>
        <v>0</v>
      </c>
      <c r="CR758">
        <f>'Bookings and Drivers'!CZ232</f>
        <v>0</v>
      </c>
      <c r="CS758">
        <f>'Bookings and Drivers'!DA232</f>
        <v>0</v>
      </c>
      <c r="CT758">
        <f>'Bookings and Drivers'!DB232</f>
        <v>0</v>
      </c>
      <c r="CU758">
        <f>'Bookings and Drivers'!DC232</f>
        <v>0</v>
      </c>
      <c r="CV758">
        <f>'Bookings and Drivers'!DD232</f>
        <v>0</v>
      </c>
      <c r="CW758">
        <f>'Bookings and Drivers'!DE232</f>
        <v>0</v>
      </c>
      <c r="CX758">
        <f>'Bookings and Drivers'!DF232</f>
        <v>0</v>
      </c>
    </row>
    <row r="759" spans="1:102">
      <c r="A759">
        <f>'Bookings and Drivers'!I233</f>
        <v>0</v>
      </c>
      <c r="B759">
        <f>'Bookings and Drivers'!J233</f>
        <v>0</v>
      </c>
      <c r="C759">
        <f>'Bookings and Drivers'!K233</f>
        <v>0</v>
      </c>
      <c r="D759">
        <f>'Bookings and Drivers'!L233</f>
        <v>0</v>
      </c>
      <c r="E759">
        <f>'Bookings and Drivers'!M233</f>
        <v>0</v>
      </c>
      <c r="F759">
        <f>'Bookings and Drivers'!N233</f>
        <v>0</v>
      </c>
      <c r="G759">
        <f>'Bookings and Drivers'!O233</f>
        <v>0</v>
      </c>
      <c r="H759">
        <f>'Bookings and Drivers'!P233</f>
        <v>0</v>
      </c>
      <c r="I759">
        <f>'Bookings and Drivers'!Q233</f>
        <v>0</v>
      </c>
      <c r="J759">
        <f>'Bookings and Drivers'!R233</f>
        <v>0</v>
      </c>
      <c r="K759">
        <f>'Bookings and Drivers'!S233</f>
        <v>0</v>
      </c>
      <c r="L759">
        <f>'Bookings and Drivers'!T233</f>
        <v>0</v>
      </c>
      <c r="M759">
        <f>'Bookings and Drivers'!U233</f>
        <v>0</v>
      </c>
      <c r="N759">
        <f>'Bookings and Drivers'!V233</f>
        <v>0</v>
      </c>
      <c r="O759">
        <f>'Bookings and Drivers'!W233</f>
        <v>0</v>
      </c>
      <c r="P759">
        <f>'Bookings and Drivers'!X233</f>
        <v>0</v>
      </c>
      <c r="Q759">
        <f>'Bookings and Drivers'!Y233</f>
        <v>0</v>
      </c>
      <c r="R759">
        <f>'Bookings and Drivers'!Z233</f>
        <v>0</v>
      </c>
      <c r="S759">
        <f>'Bookings and Drivers'!AA233</f>
        <v>0</v>
      </c>
      <c r="T759">
        <f>'Bookings and Drivers'!AB233</f>
        <v>0</v>
      </c>
      <c r="U759">
        <f>'Bookings and Drivers'!AC233</f>
        <v>0</v>
      </c>
      <c r="V759">
        <f>'Bookings and Drivers'!AD233</f>
        <v>0</v>
      </c>
      <c r="W759">
        <f>'Bookings and Drivers'!AE233</f>
        <v>0</v>
      </c>
      <c r="X759">
        <f>'Bookings and Drivers'!AF233</f>
        <v>0</v>
      </c>
      <c r="Y759">
        <f>'Bookings and Drivers'!AG233</f>
        <v>0</v>
      </c>
      <c r="Z759">
        <f>'Bookings and Drivers'!AH233</f>
        <v>0</v>
      </c>
      <c r="AA759">
        <f>'Bookings and Drivers'!AI233</f>
        <v>0</v>
      </c>
      <c r="AB759">
        <f>'Bookings and Drivers'!AJ233</f>
        <v>0</v>
      </c>
      <c r="AC759">
        <f>'Bookings and Drivers'!AK233</f>
        <v>0</v>
      </c>
      <c r="AD759">
        <f>'Bookings and Drivers'!AL233</f>
        <v>0</v>
      </c>
      <c r="AE759">
        <f>'Bookings and Drivers'!AM233</f>
        <v>0</v>
      </c>
      <c r="AF759">
        <f>'Bookings and Drivers'!AN233</f>
        <v>0</v>
      </c>
      <c r="AG759">
        <f>'Bookings and Drivers'!AO233</f>
        <v>0</v>
      </c>
      <c r="AH759">
        <f>'Bookings and Drivers'!AP233</f>
        <v>0</v>
      </c>
      <c r="AI759">
        <f>'Bookings and Drivers'!AQ233</f>
        <v>0</v>
      </c>
      <c r="AJ759">
        <f>'Bookings and Drivers'!AR233</f>
        <v>0</v>
      </c>
      <c r="AK759">
        <f>'Bookings and Drivers'!AS233</f>
        <v>0</v>
      </c>
      <c r="AL759">
        <f>'Bookings and Drivers'!AT233</f>
        <v>0</v>
      </c>
      <c r="AM759">
        <f>'Bookings and Drivers'!AU233</f>
        <v>0</v>
      </c>
      <c r="AN759">
        <f>'Bookings and Drivers'!AV233</f>
        <v>0</v>
      </c>
      <c r="AO759">
        <f>'Bookings and Drivers'!AW233</f>
        <v>0</v>
      </c>
      <c r="AP759">
        <f>'Bookings and Drivers'!AX233</f>
        <v>0</v>
      </c>
      <c r="AQ759">
        <f>'Bookings and Drivers'!AY233</f>
        <v>0</v>
      </c>
      <c r="AR759">
        <f>'Bookings and Drivers'!AZ233</f>
        <v>0</v>
      </c>
      <c r="AS759">
        <f>'Bookings and Drivers'!BA233</f>
        <v>0</v>
      </c>
      <c r="AT759">
        <f>'Bookings and Drivers'!BB233</f>
        <v>0</v>
      </c>
      <c r="AU759">
        <f>'Bookings and Drivers'!BC233</f>
        <v>0</v>
      </c>
      <c r="AV759">
        <f>'Bookings and Drivers'!BD233</f>
        <v>0</v>
      </c>
      <c r="AW759">
        <f>'Bookings and Drivers'!BE233</f>
        <v>0</v>
      </c>
      <c r="AX759">
        <f>'Bookings and Drivers'!BF233</f>
        <v>0</v>
      </c>
      <c r="AY759">
        <f>'Bookings and Drivers'!BG233</f>
        <v>0</v>
      </c>
      <c r="AZ759">
        <f>'Bookings and Drivers'!BH233</f>
        <v>0</v>
      </c>
      <c r="BA759">
        <f>'Bookings and Drivers'!BI233</f>
        <v>0</v>
      </c>
      <c r="BB759">
        <f>'Bookings and Drivers'!BJ233</f>
        <v>0</v>
      </c>
      <c r="BC759">
        <f>'Bookings and Drivers'!BK233</f>
        <v>0</v>
      </c>
      <c r="BD759">
        <f>'Bookings and Drivers'!BL233</f>
        <v>0</v>
      </c>
      <c r="BE759">
        <f>'Bookings and Drivers'!BM233</f>
        <v>0</v>
      </c>
      <c r="BF759">
        <f>'Bookings and Drivers'!BN233</f>
        <v>0</v>
      </c>
      <c r="BG759">
        <f>'Bookings and Drivers'!BO233</f>
        <v>0</v>
      </c>
      <c r="BH759">
        <f>'Bookings and Drivers'!BP233</f>
        <v>0</v>
      </c>
      <c r="BI759">
        <f>'Bookings and Drivers'!BQ233</f>
        <v>0</v>
      </c>
      <c r="BJ759">
        <f>'Bookings and Drivers'!BR233</f>
        <v>0</v>
      </c>
      <c r="BK759">
        <f>'Bookings and Drivers'!BS233</f>
        <v>0</v>
      </c>
      <c r="BL759">
        <f>'Bookings and Drivers'!BT233</f>
        <v>0</v>
      </c>
      <c r="BM759">
        <f>'Bookings and Drivers'!BU233</f>
        <v>0</v>
      </c>
      <c r="BN759">
        <f>'Bookings and Drivers'!BV233</f>
        <v>0</v>
      </c>
      <c r="BO759">
        <f>'Bookings and Drivers'!BW233</f>
        <v>0</v>
      </c>
      <c r="BP759">
        <f>'Bookings and Drivers'!BX233</f>
        <v>0</v>
      </c>
      <c r="BQ759">
        <f>'Bookings and Drivers'!BY233</f>
        <v>0</v>
      </c>
      <c r="BR759">
        <f>'Bookings and Drivers'!BZ233</f>
        <v>0</v>
      </c>
      <c r="BS759">
        <f>'Bookings and Drivers'!CA233</f>
        <v>0</v>
      </c>
      <c r="BT759">
        <f>'Bookings and Drivers'!CB233</f>
        <v>0</v>
      </c>
      <c r="BU759">
        <f>'Bookings and Drivers'!CC233</f>
        <v>0</v>
      </c>
      <c r="BV759">
        <f>'Bookings and Drivers'!CD233</f>
        <v>0</v>
      </c>
      <c r="BW759">
        <f>'Bookings and Drivers'!CE233</f>
        <v>0</v>
      </c>
      <c r="BX759">
        <f>'Bookings and Drivers'!CF233</f>
        <v>0</v>
      </c>
      <c r="BY759">
        <f>'Bookings and Drivers'!CG233</f>
        <v>0</v>
      </c>
      <c r="BZ759">
        <f>'Bookings and Drivers'!CH233</f>
        <v>0</v>
      </c>
      <c r="CA759">
        <f>'Bookings and Drivers'!CI233</f>
        <v>0</v>
      </c>
      <c r="CB759">
        <f>'Bookings and Drivers'!CJ233</f>
        <v>0</v>
      </c>
      <c r="CC759">
        <f>'Bookings and Drivers'!CK233</f>
        <v>0</v>
      </c>
      <c r="CD759">
        <f>'Bookings and Drivers'!CL233</f>
        <v>0</v>
      </c>
      <c r="CE759">
        <f>'Bookings and Drivers'!CM233</f>
        <v>0</v>
      </c>
      <c r="CF759">
        <f>'Bookings and Drivers'!CN233</f>
        <v>0</v>
      </c>
      <c r="CG759">
        <f>'Bookings and Drivers'!CO233</f>
        <v>0</v>
      </c>
      <c r="CH759">
        <f>'Bookings and Drivers'!CP233</f>
        <v>0</v>
      </c>
      <c r="CI759">
        <f>'Bookings and Drivers'!CQ233</f>
        <v>0</v>
      </c>
      <c r="CJ759">
        <f>'Bookings and Drivers'!CR233</f>
        <v>0</v>
      </c>
      <c r="CK759">
        <f>'Bookings and Drivers'!CS233</f>
        <v>0</v>
      </c>
      <c r="CL759">
        <f>'Bookings and Drivers'!CT233</f>
        <v>0</v>
      </c>
      <c r="CM759">
        <f>'Bookings and Drivers'!CU233</f>
        <v>0</v>
      </c>
      <c r="CN759">
        <f>'Bookings and Drivers'!CV233</f>
        <v>0</v>
      </c>
      <c r="CO759">
        <f>'Bookings and Drivers'!CW233</f>
        <v>0</v>
      </c>
      <c r="CP759">
        <f>'Bookings and Drivers'!CX233</f>
        <v>0</v>
      </c>
      <c r="CQ759">
        <f>'Bookings and Drivers'!CY233</f>
        <v>0</v>
      </c>
      <c r="CR759">
        <f>'Bookings and Drivers'!CZ233</f>
        <v>0</v>
      </c>
      <c r="CS759">
        <f>'Bookings and Drivers'!DA233</f>
        <v>0</v>
      </c>
      <c r="CT759">
        <f>'Bookings and Drivers'!DB233</f>
        <v>0</v>
      </c>
      <c r="CU759">
        <f>'Bookings and Drivers'!DC233</f>
        <v>0</v>
      </c>
      <c r="CV759">
        <f>'Bookings and Drivers'!DD233</f>
        <v>0</v>
      </c>
      <c r="CW759">
        <f>'Bookings and Drivers'!DE233</f>
        <v>0</v>
      </c>
      <c r="CX759">
        <f>'Bookings and Drivers'!DF233</f>
        <v>0</v>
      </c>
    </row>
    <row r="760" spans="1:102">
      <c r="A760" t="str">
        <f>'Bookings and Drivers'!I234</f>
        <v>South America Bookings</v>
      </c>
      <c r="B760">
        <f>'Bookings and Drivers'!J234</f>
        <v>0</v>
      </c>
      <c r="C760">
        <f>'Bookings and Drivers'!K234</f>
        <v>0</v>
      </c>
      <c r="D760">
        <f>'Bookings and Drivers'!L234</f>
        <v>0</v>
      </c>
      <c r="E760">
        <f>'Bookings and Drivers'!M234</f>
        <v>0</v>
      </c>
      <c r="F760">
        <f>'Bookings and Drivers'!N234</f>
        <v>0</v>
      </c>
      <c r="G760">
        <f>'Bookings and Drivers'!O234</f>
        <v>0</v>
      </c>
      <c r="H760">
        <f>'Bookings and Drivers'!P234</f>
        <v>0</v>
      </c>
      <c r="I760">
        <f>'Bookings and Drivers'!Q234</f>
        <v>0</v>
      </c>
      <c r="J760">
        <f>'Bookings and Drivers'!R234</f>
        <v>0</v>
      </c>
      <c r="K760">
        <f>'Bookings and Drivers'!S234</f>
        <v>0</v>
      </c>
      <c r="L760">
        <f>'Bookings and Drivers'!T234</f>
        <v>0</v>
      </c>
      <c r="M760">
        <f>'Bookings and Drivers'!U234</f>
        <v>0</v>
      </c>
      <c r="N760">
        <f>'Bookings and Drivers'!V234</f>
        <v>0</v>
      </c>
      <c r="O760">
        <f>'Bookings and Drivers'!W234</f>
        <v>0</v>
      </c>
      <c r="P760">
        <f>'Bookings and Drivers'!X234</f>
        <v>0</v>
      </c>
      <c r="Q760">
        <f>'Bookings and Drivers'!Y234</f>
        <v>0</v>
      </c>
      <c r="R760">
        <f>'Bookings and Drivers'!Z234</f>
        <v>0</v>
      </c>
      <c r="S760">
        <f>'Bookings and Drivers'!AA234</f>
        <v>0</v>
      </c>
      <c r="T760">
        <f>'Bookings and Drivers'!AB234</f>
        <v>0</v>
      </c>
      <c r="U760">
        <f>'Bookings and Drivers'!AC234</f>
        <v>0</v>
      </c>
      <c r="V760">
        <f>'Bookings and Drivers'!AD234</f>
        <v>0</v>
      </c>
      <c r="W760">
        <f>'Bookings and Drivers'!AE234</f>
        <v>0</v>
      </c>
      <c r="X760">
        <f>'Bookings and Drivers'!AF234</f>
        <v>0</v>
      </c>
      <c r="Y760">
        <f>'Bookings and Drivers'!AG234</f>
        <v>0</v>
      </c>
      <c r="Z760">
        <f>'Bookings and Drivers'!AH234</f>
        <v>0</v>
      </c>
      <c r="AA760">
        <f>'Bookings and Drivers'!AI234</f>
        <v>0</v>
      </c>
      <c r="AB760">
        <f>'Bookings and Drivers'!AJ234</f>
        <v>0</v>
      </c>
      <c r="AC760">
        <f>'Bookings and Drivers'!AK234</f>
        <v>0</v>
      </c>
      <c r="AD760">
        <f>'Bookings and Drivers'!AL234</f>
        <v>0</v>
      </c>
      <c r="AE760">
        <f>'Bookings and Drivers'!AM234</f>
        <v>0</v>
      </c>
      <c r="AF760">
        <f>'Bookings and Drivers'!AN234</f>
        <v>0</v>
      </c>
      <c r="AG760">
        <f>'Bookings and Drivers'!AO234</f>
        <v>0</v>
      </c>
      <c r="AH760">
        <f>'Bookings and Drivers'!AP234</f>
        <v>0</v>
      </c>
      <c r="AI760">
        <f>'Bookings and Drivers'!AQ234</f>
        <v>0</v>
      </c>
      <c r="AJ760">
        <f>'Bookings and Drivers'!AR234</f>
        <v>0</v>
      </c>
      <c r="AK760">
        <f>'Bookings and Drivers'!AS234</f>
        <v>0</v>
      </c>
      <c r="AL760">
        <f>'Bookings and Drivers'!AT234</f>
        <v>0</v>
      </c>
      <c r="AM760">
        <f>'Bookings and Drivers'!AU234</f>
        <v>0</v>
      </c>
      <c r="AN760">
        <f>'Bookings and Drivers'!AV234</f>
        <v>0</v>
      </c>
      <c r="AO760">
        <f>'Bookings and Drivers'!AW234</f>
        <v>0</v>
      </c>
      <c r="AP760">
        <f>'Bookings and Drivers'!AX234</f>
        <v>0</v>
      </c>
      <c r="AQ760">
        <f>'Bookings and Drivers'!AY234</f>
        <v>265</v>
      </c>
      <c r="AR760">
        <f>'Bookings and Drivers'!AZ234</f>
        <v>88.112500000000011</v>
      </c>
      <c r="AS760">
        <f>'Bookings and Drivers'!BA234</f>
        <v>0</v>
      </c>
      <c r="AT760">
        <f>'Bookings and Drivers'!BB234</f>
        <v>0</v>
      </c>
      <c r="AU760">
        <f>'Bookings and Drivers'!BC234</f>
        <v>0</v>
      </c>
      <c r="AV760">
        <f>'Bookings and Drivers'!BD234</f>
        <v>0</v>
      </c>
      <c r="AW760">
        <f>'Bookings and Drivers'!BE234</f>
        <v>0</v>
      </c>
      <c r="AX760">
        <f>'Bookings and Drivers'!BF234</f>
        <v>0</v>
      </c>
      <c r="AY760">
        <f>'Bookings and Drivers'!BG234</f>
        <v>0</v>
      </c>
      <c r="AZ760">
        <f>'Bookings and Drivers'!BH234</f>
        <v>0</v>
      </c>
      <c r="BA760">
        <f>'Bookings and Drivers'!BI234</f>
        <v>0</v>
      </c>
      <c r="BB760">
        <f>'Bookings and Drivers'!BJ234</f>
        <v>0</v>
      </c>
      <c r="BC760">
        <f>'Bookings and Drivers'!BK234</f>
        <v>0</v>
      </c>
      <c r="BD760">
        <f>'Bookings and Drivers'!BL234</f>
        <v>0</v>
      </c>
      <c r="BE760">
        <f>'Bookings and Drivers'!BM234</f>
        <v>0</v>
      </c>
      <c r="BF760">
        <f>'Bookings and Drivers'!BN234</f>
        <v>0</v>
      </c>
      <c r="BG760">
        <f>'Bookings and Drivers'!BO234</f>
        <v>0</v>
      </c>
      <c r="BH760">
        <f>'Bookings and Drivers'!BP234</f>
        <v>0</v>
      </c>
      <c r="BI760">
        <f>'Bookings and Drivers'!BQ234</f>
        <v>0</v>
      </c>
      <c r="BJ760">
        <f>'Bookings and Drivers'!BR234</f>
        <v>0</v>
      </c>
      <c r="BK760">
        <f>'Bookings and Drivers'!BS234</f>
        <v>0</v>
      </c>
      <c r="BL760">
        <f>'Bookings and Drivers'!BT234</f>
        <v>0</v>
      </c>
      <c r="BM760">
        <f>'Bookings and Drivers'!BU234</f>
        <v>0</v>
      </c>
      <c r="BN760">
        <f>'Bookings and Drivers'!BV234</f>
        <v>0</v>
      </c>
      <c r="BO760">
        <f>'Bookings and Drivers'!BW234</f>
        <v>0</v>
      </c>
      <c r="BP760">
        <f>'Bookings and Drivers'!BX234</f>
        <v>0</v>
      </c>
      <c r="BQ760">
        <f>'Bookings and Drivers'!BY234</f>
        <v>0</v>
      </c>
      <c r="BR760">
        <f>'Bookings and Drivers'!BZ234</f>
        <v>0</v>
      </c>
      <c r="BS760">
        <f>'Bookings and Drivers'!CA234</f>
        <v>0</v>
      </c>
      <c r="BT760">
        <f>'Bookings and Drivers'!CB234</f>
        <v>0</v>
      </c>
      <c r="BU760">
        <f>'Bookings and Drivers'!CC234</f>
        <v>0</v>
      </c>
      <c r="BV760">
        <f>'Bookings and Drivers'!CD234</f>
        <v>0</v>
      </c>
      <c r="BW760">
        <f>'Bookings and Drivers'!CE234</f>
        <v>0</v>
      </c>
      <c r="BX760">
        <f>'Bookings and Drivers'!CF234</f>
        <v>0</v>
      </c>
      <c r="BY760">
        <f>'Bookings and Drivers'!CG234</f>
        <v>0</v>
      </c>
      <c r="BZ760">
        <f>'Bookings and Drivers'!CH234</f>
        <v>0</v>
      </c>
      <c r="CA760">
        <f>'Bookings and Drivers'!CI234</f>
        <v>0</v>
      </c>
      <c r="CB760">
        <f>'Bookings and Drivers'!CJ234</f>
        <v>0</v>
      </c>
      <c r="CC760">
        <f>'Bookings and Drivers'!CK234</f>
        <v>0</v>
      </c>
      <c r="CD760">
        <f>'Bookings and Drivers'!CL234</f>
        <v>0</v>
      </c>
      <c r="CE760">
        <f>'Bookings and Drivers'!CM234</f>
        <v>0</v>
      </c>
      <c r="CF760">
        <f>'Bookings and Drivers'!CN234</f>
        <v>0</v>
      </c>
      <c r="CG760">
        <f>'Bookings and Drivers'!CO234</f>
        <v>0</v>
      </c>
      <c r="CH760">
        <f>'Bookings and Drivers'!CP234</f>
        <v>100</v>
      </c>
      <c r="CI760">
        <f>'Bookings and Drivers'!CQ234</f>
        <v>286.86250000000001</v>
      </c>
      <c r="CJ760">
        <f>'Bookings and Drivers'!CR234</f>
        <v>573.72500000000002</v>
      </c>
      <c r="CK760">
        <f>'Bookings and Drivers'!CS234</f>
        <v>1434.3125</v>
      </c>
      <c r="CL760">
        <f>'Bookings and Drivers'!CT234</f>
        <v>2366.6156249999999</v>
      </c>
      <c r="CM760">
        <f>'Bookings and Drivers'!CU234</f>
        <v>3668.2542187499998</v>
      </c>
      <c r="CN760">
        <f>'Bookings and Drivers'!CV234</f>
        <v>4585.3177734374995</v>
      </c>
      <c r="CO760">
        <f>'Bookings and Drivers'!CW234</f>
        <v>6052.6194609374998</v>
      </c>
      <c r="CP760">
        <f>'Bookings and Drivers'!CX234</f>
        <v>7142.0909639062493</v>
      </c>
      <c r="CQ760">
        <f>'Bookings and Drivers'!CY234</f>
        <v>8141.9836988531251</v>
      </c>
      <c r="CR760">
        <f>'Bookings and Drivers'!CZ234</f>
        <v>9119.0217427155003</v>
      </c>
      <c r="CS760">
        <f>'Bookings and Drivers'!DA234</f>
        <v>10122.114134414207</v>
      </c>
      <c r="CT760">
        <f>'Bookings and Drivers'!DB234</f>
        <v>0</v>
      </c>
      <c r="CU760">
        <f>'Bookings and Drivers'!DC234</f>
        <v>0</v>
      </c>
      <c r="CV760">
        <f>'Bookings and Drivers'!DD234</f>
        <v>0</v>
      </c>
      <c r="CW760">
        <f>'Bookings and Drivers'!DE234</f>
        <v>0</v>
      </c>
      <c r="CX760">
        <f>'Bookings and Drivers'!DF234</f>
        <v>0</v>
      </c>
    </row>
    <row r="761" spans="1:102">
      <c r="A761" t="str">
        <f>'Bookings and Drivers'!I236</f>
        <v>% change Y/Y</v>
      </c>
      <c r="B761">
        <f>'Bookings and Drivers'!J236</f>
        <v>0</v>
      </c>
      <c r="C761">
        <f>'Bookings and Drivers'!K236</f>
        <v>0</v>
      </c>
      <c r="D761">
        <f>'Bookings and Drivers'!L236</f>
        <v>0</v>
      </c>
      <c r="E761">
        <f>'Bookings and Drivers'!M236</f>
        <v>0</v>
      </c>
      <c r="F761">
        <f>'Bookings and Drivers'!N236</f>
        <v>0</v>
      </c>
      <c r="G761">
        <f>'Bookings and Drivers'!O236</f>
        <v>0</v>
      </c>
      <c r="H761">
        <f>'Bookings and Drivers'!P236</f>
        <v>0</v>
      </c>
      <c r="I761">
        <f>'Bookings and Drivers'!Q236</f>
        <v>0</v>
      </c>
      <c r="J761">
        <f>'Bookings and Drivers'!R236</f>
        <v>0</v>
      </c>
      <c r="K761">
        <f>'Bookings and Drivers'!S236</f>
        <v>0</v>
      </c>
      <c r="L761">
        <f>'Bookings and Drivers'!T236</f>
        <v>0</v>
      </c>
      <c r="M761">
        <f>'Bookings and Drivers'!U236</f>
        <v>0</v>
      </c>
      <c r="N761">
        <f>'Bookings and Drivers'!V236</f>
        <v>0</v>
      </c>
      <c r="O761">
        <f>'Bookings and Drivers'!W236</f>
        <v>0</v>
      </c>
      <c r="P761">
        <f>'Bookings and Drivers'!X236</f>
        <v>0</v>
      </c>
      <c r="Q761">
        <f>'Bookings and Drivers'!Y236</f>
        <v>0</v>
      </c>
      <c r="R761">
        <f>'Bookings and Drivers'!Z236</f>
        <v>0</v>
      </c>
      <c r="S761">
        <f>'Bookings and Drivers'!AA236</f>
        <v>0</v>
      </c>
      <c r="T761">
        <f>'Bookings and Drivers'!AB236</f>
        <v>0</v>
      </c>
      <c r="U761">
        <f>'Bookings and Drivers'!AC236</f>
        <v>0</v>
      </c>
      <c r="V761">
        <f>'Bookings and Drivers'!AD236</f>
        <v>0</v>
      </c>
      <c r="W761">
        <f>'Bookings and Drivers'!AE236</f>
        <v>0</v>
      </c>
      <c r="X761">
        <f>'Bookings and Drivers'!AF236</f>
        <v>0</v>
      </c>
      <c r="Y761">
        <f>'Bookings and Drivers'!AG236</f>
        <v>0</v>
      </c>
      <c r="Z761">
        <f>'Bookings and Drivers'!AH236</f>
        <v>0</v>
      </c>
      <c r="AA761">
        <f>'Bookings and Drivers'!AI236</f>
        <v>0</v>
      </c>
      <c r="AB761">
        <f>'Bookings and Drivers'!AJ236</f>
        <v>0</v>
      </c>
      <c r="AC761">
        <f>'Bookings and Drivers'!AK236</f>
        <v>0</v>
      </c>
      <c r="AD761">
        <f>'Bookings and Drivers'!AL236</f>
        <v>0</v>
      </c>
      <c r="AE761">
        <f>'Bookings and Drivers'!AM236</f>
        <v>0</v>
      </c>
      <c r="AF761">
        <f>'Bookings and Drivers'!AN236</f>
        <v>0</v>
      </c>
      <c r="AG761">
        <f>'Bookings and Drivers'!AO236</f>
        <v>0</v>
      </c>
      <c r="AH761">
        <f>'Bookings and Drivers'!AP236</f>
        <v>0</v>
      </c>
      <c r="AI761">
        <f>'Bookings and Drivers'!AQ236</f>
        <v>0</v>
      </c>
      <c r="AJ761">
        <f>'Bookings and Drivers'!AR236</f>
        <v>0</v>
      </c>
      <c r="AK761">
        <f>'Bookings and Drivers'!AS236</f>
        <v>0</v>
      </c>
      <c r="AL761">
        <f>'Bookings and Drivers'!AT236</f>
        <v>0</v>
      </c>
      <c r="AM761">
        <f>'Bookings and Drivers'!AU236</f>
        <v>0</v>
      </c>
      <c r="AN761">
        <f>'Bookings and Drivers'!AV236</f>
        <v>0</v>
      </c>
      <c r="AO761">
        <f>'Bookings and Drivers'!AW236</f>
        <v>0</v>
      </c>
      <c r="AP761">
        <f>'Bookings and Drivers'!AX236</f>
        <v>0</v>
      </c>
      <c r="AQ761">
        <f>'Bookings and Drivers'!AY236</f>
        <v>0</v>
      </c>
      <c r="AR761">
        <f>'Bookings and Drivers'!AZ236</f>
        <v>0</v>
      </c>
      <c r="AS761">
        <f>'Bookings and Drivers'!BA236</f>
        <v>0</v>
      </c>
      <c r="AT761">
        <f>'Bookings and Drivers'!BB236</f>
        <v>0</v>
      </c>
      <c r="AU761">
        <f>'Bookings and Drivers'!BC236</f>
        <v>0</v>
      </c>
      <c r="AV761">
        <f>'Bookings and Drivers'!BD236</f>
        <v>0</v>
      </c>
      <c r="AW761">
        <f>'Bookings and Drivers'!BE236</f>
        <v>0</v>
      </c>
      <c r="AX761">
        <f>'Bookings and Drivers'!BF236</f>
        <v>0</v>
      </c>
      <c r="AY761">
        <f>'Bookings and Drivers'!BG236</f>
        <v>0</v>
      </c>
      <c r="AZ761">
        <f>'Bookings and Drivers'!BH236</f>
        <v>0</v>
      </c>
      <c r="BA761">
        <f>'Bookings and Drivers'!BI236</f>
        <v>0</v>
      </c>
      <c r="BB761">
        <f>'Bookings and Drivers'!BJ236</f>
        <v>0</v>
      </c>
      <c r="BC761">
        <f>'Bookings and Drivers'!BK236</f>
        <v>0</v>
      </c>
      <c r="BD761">
        <f>'Bookings and Drivers'!BL236</f>
        <v>0</v>
      </c>
      <c r="BE761">
        <f>'Bookings and Drivers'!BM236</f>
        <v>0</v>
      </c>
      <c r="BF761">
        <f>'Bookings and Drivers'!BN236</f>
        <v>0</v>
      </c>
      <c r="BG761">
        <f>'Bookings and Drivers'!BO236</f>
        <v>0</v>
      </c>
      <c r="BH761">
        <f>'Bookings and Drivers'!BP236</f>
        <v>0</v>
      </c>
      <c r="BI761">
        <f>'Bookings and Drivers'!BQ236</f>
        <v>0</v>
      </c>
      <c r="BJ761">
        <f>'Bookings and Drivers'!BR236</f>
        <v>0</v>
      </c>
      <c r="BK761">
        <f>'Bookings and Drivers'!BS236</f>
        <v>0</v>
      </c>
      <c r="BL761">
        <f>'Bookings and Drivers'!BT236</f>
        <v>0</v>
      </c>
      <c r="BM761">
        <f>'Bookings and Drivers'!BU236</f>
        <v>0</v>
      </c>
      <c r="BN761">
        <f>'Bookings and Drivers'!BV236</f>
        <v>0</v>
      </c>
      <c r="BO761">
        <f>'Bookings and Drivers'!BW236</f>
        <v>0</v>
      </c>
      <c r="BP761">
        <f>'Bookings and Drivers'!BX236</f>
        <v>0</v>
      </c>
      <c r="BQ761">
        <f>'Bookings and Drivers'!BY236</f>
        <v>0</v>
      </c>
      <c r="BR761">
        <f>'Bookings and Drivers'!BZ236</f>
        <v>0</v>
      </c>
      <c r="BS761">
        <f>'Bookings and Drivers'!CA236</f>
        <v>0</v>
      </c>
      <c r="BT761">
        <f>'Bookings and Drivers'!CB236</f>
        <v>0</v>
      </c>
      <c r="BU761">
        <f>'Bookings and Drivers'!CC236</f>
        <v>0</v>
      </c>
      <c r="BV761">
        <f>'Bookings and Drivers'!CD236</f>
        <v>0</v>
      </c>
      <c r="BW761">
        <f>'Bookings and Drivers'!CE236</f>
        <v>0</v>
      </c>
      <c r="BX761">
        <f>'Bookings and Drivers'!CF236</f>
        <v>0</v>
      </c>
      <c r="BY761">
        <f>'Bookings and Drivers'!CG236</f>
        <v>0</v>
      </c>
      <c r="BZ761">
        <f>'Bookings and Drivers'!CH236</f>
        <v>0</v>
      </c>
      <c r="CA761">
        <f>'Bookings and Drivers'!CI236</f>
        <v>0</v>
      </c>
      <c r="CB761">
        <f>'Bookings and Drivers'!CJ236</f>
        <v>0</v>
      </c>
      <c r="CC761">
        <f>'Bookings and Drivers'!CK236</f>
        <v>0</v>
      </c>
      <c r="CD761">
        <f>'Bookings and Drivers'!CL236</f>
        <v>0</v>
      </c>
      <c r="CE761">
        <f>'Bookings and Drivers'!CM236</f>
        <v>0</v>
      </c>
      <c r="CF761">
        <f>'Bookings and Drivers'!CN236</f>
        <v>0</v>
      </c>
      <c r="CG761">
        <f>'Bookings and Drivers'!CO236</f>
        <v>0</v>
      </c>
      <c r="CH761">
        <f>'Bookings and Drivers'!CP236</f>
        <v>0</v>
      </c>
      <c r="CI761">
        <f>'Bookings and Drivers'!CQ236</f>
        <v>0</v>
      </c>
      <c r="CJ761">
        <f>'Bookings and Drivers'!CR236</f>
        <v>1</v>
      </c>
      <c r="CK761">
        <f>'Bookings and Drivers'!CS236</f>
        <v>1.5</v>
      </c>
      <c r="CL761">
        <f>'Bookings and Drivers'!CT236</f>
        <v>0.65</v>
      </c>
      <c r="CM761">
        <f>'Bookings and Drivers'!CU236</f>
        <v>0.55000000000000004</v>
      </c>
      <c r="CN761">
        <f>'Bookings and Drivers'!CV236</f>
        <v>0.25</v>
      </c>
      <c r="CO761">
        <f>'Bookings and Drivers'!CW236</f>
        <v>0.32</v>
      </c>
      <c r="CP761">
        <f>'Bookings and Drivers'!CX236</f>
        <v>0.18</v>
      </c>
      <c r="CQ761">
        <f>'Bookings and Drivers'!CY236</f>
        <v>0.14000000000000001</v>
      </c>
      <c r="CR761">
        <f>'Bookings and Drivers'!CZ236</f>
        <v>0.12</v>
      </c>
      <c r="CS761">
        <f>'Bookings and Drivers'!DA236</f>
        <v>0.11</v>
      </c>
      <c r="CT761">
        <f>'Bookings and Drivers'!DB236</f>
        <v>0</v>
      </c>
      <c r="CU761">
        <f>'Bookings and Drivers'!DC236</f>
        <v>0</v>
      </c>
      <c r="CV761">
        <f>'Bookings and Drivers'!DD236</f>
        <v>0</v>
      </c>
      <c r="CW761">
        <f>'Bookings and Drivers'!DE236</f>
        <v>0</v>
      </c>
      <c r="CX761">
        <f>'Bookings and Drivers'!DF236</f>
        <v>0</v>
      </c>
    </row>
    <row r="762" spans="1:102">
      <c r="A762">
        <f>'Bookings and Drivers'!I237</f>
        <v>0</v>
      </c>
      <c r="B762">
        <f>'Bookings and Drivers'!J237</f>
        <v>0</v>
      </c>
      <c r="C762">
        <f>'Bookings and Drivers'!K237</f>
        <v>0</v>
      </c>
      <c r="D762">
        <f>'Bookings and Drivers'!L237</f>
        <v>0</v>
      </c>
      <c r="E762">
        <f>'Bookings and Drivers'!M237</f>
        <v>0</v>
      </c>
      <c r="F762">
        <f>'Bookings and Drivers'!N237</f>
        <v>0</v>
      </c>
      <c r="G762">
        <f>'Bookings and Drivers'!O237</f>
        <v>0</v>
      </c>
      <c r="H762">
        <f>'Bookings and Drivers'!P237</f>
        <v>0</v>
      </c>
      <c r="I762">
        <f>'Bookings and Drivers'!Q237</f>
        <v>0</v>
      </c>
      <c r="J762">
        <f>'Bookings and Drivers'!R237</f>
        <v>0</v>
      </c>
      <c r="K762">
        <f>'Bookings and Drivers'!S237</f>
        <v>0</v>
      </c>
      <c r="L762">
        <f>'Bookings and Drivers'!T237</f>
        <v>0</v>
      </c>
      <c r="M762">
        <f>'Bookings and Drivers'!U237</f>
        <v>0</v>
      </c>
      <c r="N762">
        <f>'Bookings and Drivers'!V237</f>
        <v>0</v>
      </c>
      <c r="O762">
        <f>'Bookings and Drivers'!W237</f>
        <v>0</v>
      </c>
      <c r="P762">
        <f>'Bookings and Drivers'!X237</f>
        <v>0</v>
      </c>
      <c r="Q762">
        <f>'Bookings and Drivers'!Y237</f>
        <v>0</v>
      </c>
      <c r="R762">
        <f>'Bookings and Drivers'!Z237</f>
        <v>0</v>
      </c>
      <c r="S762">
        <f>'Bookings and Drivers'!AA237</f>
        <v>0</v>
      </c>
      <c r="T762">
        <f>'Bookings and Drivers'!AB237</f>
        <v>0</v>
      </c>
      <c r="U762">
        <f>'Bookings and Drivers'!AC237</f>
        <v>0</v>
      </c>
      <c r="V762">
        <f>'Bookings and Drivers'!AD237</f>
        <v>0</v>
      </c>
      <c r="W762">
        <f>'Bookings and Drivers'!AE237</f>
        <v>0</v>
      </c>
      <c r="X762">
        <f>'Bookings and Drivers'!AF237</f>
        <v>0</v>
      </c>
      <c r="Y762">
        <f>'Bookings and Drivers'!AG237</f>
        <v>0</v>
      </c>
      <c r="Z762">
        <f>'Bookings and Drivers'!AH237</f>
        <v>0</v>
      </c>
      <c r="AA762">
        <f>'Bookings and Drivers'!AI237</f>
        <v>0</v>
      </c>
      <c r="AB762">
        <f>'Bookings and Drivers'!AJ237</f>
        <v>0</v>
      </c>
      <c r="AC762">
        <f>'Bookings and Drivers'!AK237</f>
        <v>0</v>
      </c>
      <c r="AD762">
        <f>'Bookings and Drivers'!AL237</f>
        <v>0</v>
      </c>
      <c r="AE762">
        <f>'Bookings and Drivers'!AM237</f>
        <v>0</v>
      </c>
      <c r="AF762">
        <f>'Bookings and Drivers'!AN237</f>
        <v>0</v>
      </c>
      <c r="AG762">
        <f>'Bookings and Drivers'!AO237</f>
        <v>0</v>
      </c>
      <c r="AH762">
        <f>'Bookings and Drivers'!AP237</f>
        <v>0</v>
      </c>
      <c r="AI762">
        <f>'Bookings and Drivers'!AQ237</f>
        <v>0</v>
      </c>
      <c r="AJ762">
        <f>'Bookings and Drivers'!AR237</f>
        <v>0</v>
      </c>
      <c r="AK762">
        <f>'Bookings and Drivers'!AS237</f>
        <v>0</v>
      </c>
      <c r="AL762">
        <f>'Bookings and Drivers'!AT237</f>
        <v>0</v>
      </c>
      <c r="AM762">
        <f>'Bookings and Drivers'!AU237</f>
        <v>0</v>
      </c>
      <c r="AN762">
        <f>'Bookings and Drivers'!AV237</f>
        <v>0</v>
      </c>
      <c r="AO762">
        <f>'Bookings and Drivers'!AW237</f>
        <v>0</v>
      </c>
      <c r="AP762">
        <f>'Bookings and Drivers'!AX237</f>
        <v>0</v>
      </c>
      <c r="AQ762">
        <f>'Bookings and Drivers'!AY237</f>
        <v>0</v>
      </c>
      <c r="AR762">
        <f>'Bookings and Drivers'!AZ237</f>
        <v>0</v>
      </c>
      <c r="AS762">
        <f>'Bookings and Drivers'!BA237</f>
        <v>0</v>
      </c>
      <c r="AT762">
        <f>'Bookings and Drivers'!BB237</f>
        <v>0</v>
      </c>
      <c r="AU762">
        <f>'Bookings and Drivers'!BC237</f>
        <v>0</v>
      </c>
      <c r="AV762">
        <f>'Bookings and Drivers'!BD237</f>
        <v>0</v>
      </c>
      <c r="AW762">
        <f>'Bookings and Drivers'!BE237</f>
        <v>0</v>
      </c>
      <c r="AX762">
        <f>'Bookings and Drivers'!BF237</f>
        <v>0</v>
      </c>
      <c r="AY762">
        <f>'Bookings and Drivers'!BG237</f>
        <v>0</v>
      </c>
      <c r="AZ762">
        <f>'Bookings and Drivers'!BH237</f>
        <v>0</v>
      </c>
      <c r="BA762">
        <f>'Bookings and Drivers'!BI237</f>
        <v>0</v>
      </c>
      <c r="BB762">
        <f>'Bookings and Drivers'!BJ237</f>
        <v>0</v>
      </c>
      <c r="BC762">
        <f>'Bookings and Drivers'!BK237</f>
        <v>0</v>
      </c>
      <c r="BD762">
        <f>'Bookings and Drivers'!BL237</f>
        <v>0</v>
      </c>
      <c r="BE762">
        <f>'Bookings and Drivers'!BM237</f>
        <v>0</v>
      </c>
      <c r="BF762">
        <f>'Bookings and Drivers'!BN237</f>
        <v>0</v>
      </c>
      <c r="BG762">
        <f>'Bookings and Drivers'!BO237</f>
        <v>0</v>
      </c>
      <c r="BH762">
        <f>'Bookings and Drivers'!BP237</f>
        <v>0</v>
      </c>
      <c r="BI762">
        <f>'Bookings and Drivers'!BQ237</f>
        <v>0</v>
      </c>
      <c r="BJ762">
        <f>'Bookings and Drivers'!BR237</f>
        <v>0</v>
      </c>
      <c r="BK762">
        <f>'Bookings and Drivers'!BS237</f>
        <v>0</v>
      </c>
      <c r="BL762">
        <f>'Bookings and Drivers'!BT237</f>
        <v>0</v>
      </c>
      <c r="BM762">
        <f>'Bookings and Drivers'!BU237</f>
        <v>0</v>
      </c>
      <c r="BN762">
        <f>'Bookings and Drivers'!BV237</f>
        <v>0</v>
      </c>
      <c r="BO762">
        <f>'Bookings and Drivers'!BW237</f>
        <v>0</v>
      </c>
      <c r="BP762">
        <f>'Bookings and Drivers'!BX237</f>
        <v>0</v>
      </c>
      <c r="BQ762">
        <f>'Bookings and Drivers'!BY237</f>
        <v>0</v>
      </c>
      <c r="BR762">
        <f>'Bookings and Drivers'!BZ237</f>
        <v>0</v>
      </c>
      <c r="BS762">
        <f>'Bookings and Drivers'!CA237</f>
        <v>0</v>
      </c>
      <c r="BT762">
        <f>'Bookings and Drivers'!CB237</f>
        <v>0</v>
      </c>
      <c r="BU762">
        <f>'Bookings and Drivers'!CC237</f>
        <v>0</v>
      </c>
      <c r="BV762">
        <f>'Bookings and Drivers'!CD237</f>
        <v>0</v>
      </c>
      <c r="BW762">
        <f>'Bookings and Drivers'!CE237</f>
        <v>0</v>
      </c>
      <c r="BX762">
        <f>'Bookings and Drivers'!CF237</f>
        <v>0</v>
      </c>
      <c r="BY762">
        <f>'Bookings and Drivers'!CG237</f>
        <v>0</v>
      </c>
      <c r="BZ762">
        <f>'Bookings and Drivers'!CH237</f>
        <v>0</v>
      </c>
      <c r="CA762">
        <f>'Bookings and Drivers'!CI237</f>
        <v>0</v>
      </c>
      <c r="CB762">
        <f>'Bookings and Drivers'!CJ237</f>
        <v>0</v>
      </c>
      <c r="CC762">
        <f>'Bookings and Drivers'!CK237</f>
        <v>0</v>
      </c>
      <c r="CD762">
        <f>'Bookings and Drivers'!CL237</f>
        <v>0</v>
      </c>
      <c r="CE762">
        <f>'Bookings and Drivers'!CM237</f>
        <v>0</v>
      </c>
      <c r="CF762">
        <f>'Bookings and Drivers'!CN237</f>
        <v>0</v>
      </c>
      <c r="CG762">
        <f>'Bookings and Drivers'!CO237</f>
        <v>0</v>
      </c>
      <c r="CH762">
        <f>'Bookings and Drivers'!CP237</f>
        <v>0</v>
      </c>
      <c r="CI762">
        <f>'Bookings and Drivers'!CQ237</f>
        <v>0</v>
      </c>
      <c r="CJ762">
        <f>'Bookings and Drivers'!CR237</f>
        <v>0</v>
      </c>
      <c r="CK762">
        <f>'Bookings and Drivers'!CS237</f>
        <v>0</v>
      </c>
      <c r="CL762">
        <f>'Bookings and Drivers'!CT237</f>
        <v>0</v>
      </c>
      <c r="CM762">
        <f>'Bookings and Drivers'!CU237</f>
        <v>0</v>
      </c>
      <c r="CN762">
        <f>'Bookings and Drivers'!CV237</f>
        <v>0</v>
      </c>
      <c r="CO762">
        <f>'Bookings and Drivers'!CW237</f>
        <v>0</v>
      </c>
      <c r="CP762">
        <f>'Bookings and Drivers'!CX237</f>
        <v>0</v>
      </c>
      <c r="CQ762">
        <f>'Bookings and Drivers'!CY237</f>
        <v>0</v>
      </c>
      <c r="CR762">
        <f>'Bookings and Drivers'!CZ237</f>
        <v>0</v>
      </c>
      <c r="CS762">
        <f>'Bookings and Drivers'!DA237</f>
        <v>0</v>
      </c>
      <c r="CT762">
        <f>'Bookings and Drivers'!DB237</f>
        <v>0</v>
      </c>
      <c r="CU762">
        <f>'Bookings and Drivers'!DC237</f>
        <v>0</v>
      </c>
      <c r="CV762">
        <f>'Bookings and Drivers'!DD237</f>
        <v>0</v>
      </c>
      <c r="CW762">
        <f>'Bookings and Drivers'!DE237</f>
        <v>0</v>
      </c>
      <c r="CX762">
        <f>'Bookings and Drivers'!DF237</f>
        <v>0</v>
      </c>
    </row>
    <row r="763" spans="1:102">
      <c r="A763" t="str">
        <f>'Bookings and Drivers'!I238</f>
        <v>U.S./Canada/E. Europe/Other Booking.com Bookings</v>
      </c>
      <c r="B763">
        <f>'Bookings and Drivers'!J238</f>
        <v>0</v>
      </c>
      <c r="C763">
        <f>'Bookings and Drivers'!K238</f>
        <v>0</v>
      </c>
      <c r="D763">
        <f>'Bookings and Drivers'!L238</f>
        <v>0</v>
      </c>
      <c r="E763">
        <f>'Bookings and Drivers'!M238</f>
        <v>0</v>
      </c>
      <c r="F763">
        <f>'Bookings and Drivers'!N238</f>
        <v>0</v>
      </c>
      <c r="G763">
        <f>'Bookings and Drivers'!O238</f>
        <v>0</v>
      </c>
      <c r="H763">
        <f>'Bookings and Drivers'!P238</f>
        <v>0</v>
      </c>
      <c r="I763">
        <f>'Bookings and Drivers'!Q238</f>
        <v>0</v>
      </c>
      <c r="J763">
        <f>'Bookings and Drivers'!R238</f>
        <v>0</v>
      </c>
      <c r="K763">
        <f>'Bookings and Drivers'!S238</f>
        <v>0</v>
      </c>
      <c r="L763">
        <f>'Bookings and Drivers'!T238</f>
        <v>0</v>
      </c>
      <c r="M763">
        <f>'Bookings and Drivers'!U238</f>
        <v>0</v>
      </c>
      <c r="N763">
        <f>'Bookings and Drivers'!V238</f>
        <v>0</v>
      </c>
      <c r="O763">
        <f>'Bookings and Drivers'!W238</f>
        <v>0</v>
      </c>
      <c r="P763">
        <f>'Bookings and Drivers'!X238</f>
        <v>0</v>
      </c>
      <c r="Q763">
        <f>'Bookings and Drivers'!Y238</f>
        <v>0</v>
      </c>
      <c r="R763">
        <f>'Bookings and Drivers'!Z238</f>
        <v>0</v>
      </c>
      <c r="S763">
        <f>'Bookings and Drivers'!AA238</f>
        <v>0</v>
      </c>
      <c r="T763">
        <f>'Bookings and Drivers'!AB238</f>
        <v>0</v>
      </c>
      <c r="U763">
        <f>'Bookings and Drivers'!AC238</f>
        <v>0</v>
      </c>
      <c r="V763">
        <f>'Bookings and Drivers'!AD238</f>
        <v>0</v>
      </c>
      <c r="W763">
        <f>'Bookings and Drivers'!AE238</f>
        <v>0</v>
      </c>
      <c r="X763">
        <f>'Bookings and Drivers'!AF238</f>
        <v>0</v>
      </c>
      <c r="Y763">
        <f>'Bookings and Drivers'!AG238</f>
        <v>0</v>
      </c>
      <c r="Z763">
        <f>'Bookings and Drivers'!AH238</f>
        <v>0</v>
      </c>
      <c r="AA763">
        <f>'Bookings and Drivers'!AI238</f>
        <v>0</v>
      </c>
      <c r="AB763">
        <f>'Bookings and Drivers'!AJ238</f>
        <v>0</v>
      </c>
      <c r="AC763">
        <f>'Bookings and Drivers'!AK238</f>
        <v>0</v>
      </c>
      <c r="AD763">
        <f>'Bookings and Drivers'!AL238</f>
        <v>0</v>
      </c>
      <c r="AE763">
        <f>'Bookings and Drivers'!AM238</f>
        <v>0</v>
      </c>
      <c r="AF763">
        <f>'Bookings and Drivers'!AN238</f>
        <v>0</v>
      </c>
      <c r="AG763">
        <f>'Bookings and Drivers'!AO238</f>
        <v>0</v>
      </c>
      <c r="AH763">
        <f>'Bookings and Drivers'!AP238</f>
        <v>0</v>
      </c>
      <c r="AI763">
        <f>'Bookings and Drivers'!AQ238</f>
        <v>0</v>
      </c>
      <c r="AJ763">
        <f>'Bookings and Drivers'!AR238</f>
        <v>0</v>
      </c>
      <c r="AK763">
        <f>'Bookings and Drivers'!AS238</f>
        <v>0</v>
      </c>
      <c r="AL763">
        <f>'Bookings and Drivers'!AT238</f>
        <v>0</v>
      </c>
      <c r="AM763">
        <f>'Bookings and Drivers'!AU238</f>
        <v>0</v>
      </c>
      <c r="AN763">
        <f>'Bookings and Drivers'!AV238</f>
        <v>0</v>
      </c>
      <c r="AO763">
        <f>'Bookings and Drivers'!AW238</f>
        <v>0</v>
      </c>
      <c r="AP763">
        <f>'Bookings and Drivers'!AX238</f>
        <v>0</v>
      </c>
      <c r="AQ763">
        <f>'Bookings and Drivers'!AY238</f>
        <v>0</v>
      </c>
      <c r="AR763">
        <f>'Bookings and Drivers'!AZ238</f>
        <v>0</v>
      </c>
      <c r="AS763">
        <f>'Bookings and Drivers'!BA238</f>
        <v>0</v>
      </c>
      <c r="AT763">
        <f>'Bookings and Drivers'!BB238</f>
        <v>0</v>
      </c>
      <c r="AU763">
        <f>'Bookings and Drivers'!BC238</f>
        <v>0</v>
      </c>
      <c r="AV763">
        <f>'Bookings and Drivers'!BD238</f>
        <v>0</v>
      </c>
      <c r="AW763">
        <f>'Bookings and Drivers'!BE238</f>
        <v>0</v>
      </c>
      <c r="AX763">
        <f>'Bookings and Drivers'!BF238</f>
        <v>0</v>
      </c>
      <c r="AY763">
        <f>'Bookings and Drivers'!BG238</f>
        <v>0</v>
      </c>
      <c r="AZ763">
        <f>'Bookings and Drivers'!BH238</f>
        <v>0</v>
      </c>
      <c r="BA763">
        <f>'Bookings and Drivers'!BI238</f>
        <v>0</v>
      </c>
      <c r="BB763">
        <f>'Bookings and Drivers'!BJ238</f>
        <v>0</v>
      </c>
      <c r="BC763">
        <f>'Bookings and Drivers'!BK238</f>
        <v>0</v>
      </c>
      <c r="BD763">
        <f>'Bookings and Drivers'!BL238</f>
        <v>0</v>
      </c>
      <c r="BE763">
        <f>'Bookings and Drivers'!BM238</f>
        <v>0</v>
      </c>
      <c r="BF763">
        <f>'Bookings and Drivers'!BN238</f>
        <v>0</v>
      </c>
      <c r="BG763">
        <f>'Bookings and Drivers'!BO238</f>
        <v>0</v>
      </c>
      <c r="BH763">
        <f>'Bookings and Drivers'!BP238</f>
        <v>0</v>
      </c>
      <c r="BI763">
        <f>'Bookings and Drivers'!BQ238</f>
        <v>0</v>
      </c>
      <c r="BJ763">
        <f>'Bookings and Drivers'!BR238</f>
        <v>0</v>
      </c>
      <c r="BK763">
        <f>'Bookings and Drivers'!BS238</f>
        <v>0</v>
      </c>
      <c r="BL763">
        <f>'Bookings and Drivers'!BT238</f>
        <v>0</v>
      </c>
      <c r="BM763">
        <f>'Bookings and Drivers'!BU238</f>
        <v>0</v>
      </c>
      <c r="BN763">
        <f>'Bookings and Drivers'!BV238</f>
        <v>0</v>
      </c>
      <c r="BO763">
        <f>'Bookings and Drivers'!BW238</f>
        <v>0</v>
      </c>
      <c r="BP763">
        <f>'Bookings and Drivers'!BX238</f>
        <v>0</v>
      </c>
      <c r="BQ763">
        <f>'Bookings and Drivers'!BY238</f>
        <v>0</v>
      </c>
      <c r="BR763">
        <f>'Bookings and Drivers'!BZ238</f>
        <v>0</v>
      </c>
      <c r="BS763">
        <f>'Bookings and Drivers'!CA238</f>
        <v>0</v>
      </c>
      <c r="BT763">
        <f>'Bookings and Drivers'!CB238</f>
        <v>0</v>
      </c>
      <c r="BU763">
        <f>'Bookings and Drivers'!CC238</f>
        <v>0</v>
      </c>
      <c r="BV763">
        <f>'Bookings and Drivers'!CD238</f>
        <v>0</v>
      </c>
      <c r="BW763">
        <f>'Bookings and Drivers'!CE238</f>
        <v>0</v>
      </c>
      <c r="BX763">
        <f>'Bookings and Drivers'!CF238</f>
        <v>0</v>
      </c>
      <c r="BY763">
        <f>'Bookings and Drivers'!CG238</f>
        <v>0</v>
      </c>
      <c r="BZ763">
        <f>'Bookings and Drivers'!CH238</f>
        <v>0</v>
      </c>
      <c r="CA763">
        <f>'Bookings and Drivers'!CI238</f>
        <v>0</v>
      </c>
      <c r="CB763">
        <f>'Bookings and Drivers'!CJ238</f>
        <v>0</v>
      </c>
      <c r="CC763">
        <f>'Bookings and Drivers'!CK238</f>
        <v>0</v>
      </c>
      <c r="CD763">
        <f>'Bookings and Drivers'!CL238</f>
        <v>0</v>
      </c>
      <c r="CE763">
        <f>'Bookings and Drivers'!CM238</f>
        <v>0</v>
      </c>
      <c r="CF763">
        <f>'Bookings and Drivers'!CN238</f>
        <v>535.0082000000001</v>
      </c>
      <c r="CG763">
        <f>'Bookings and Drivers'!CO238</f>
        <v>0</v>
      </c>
      <c r="CH763">
        <f>'Bookings and Drivers'!CP238</f>
        <v>300</v>
      </c>
      <c r="CI763">
        <f>'Bookings and Drivers'!CQ238</f>
        <v>450</v>
      </c>
      <c r="CJ763">
        <f>'Bookings and Drivers'!CR238</f>
        <v>1135.5177267654576</v>
      </c>
      <c r="CK763">
        <f>'Bookings and Drivers'!CS238</f>
        <v>1442.1579729424532</v>
      </c>
      <c r="CL763">
        <f>'Bookings and Drivers'!CT238</f>
        <v>1849.7377658736793</v>
      </c>
      <c r="CM763">
        <f>'Bookings and Drivers'!CU238</f>
        <v>2282.3026457515321</v>
      </c>
      <c r="CN763">
        <f>'Bookings and Drivers'!CV238</f>
        <v>2426.1634258908293</v>
      </c>
      <c r="CO763">
        <f>'Bookings and Drivers'!CW238</f>
        <v>3158.322564226231</v>
      </c>
      <c r="CP763">
        <f>'Bookings and Drivers'!CX238</f>
        <v>3938.5405068004807</v>
      </c>
      <c r="CQ763">
        <f>'Bookings and Drivers'!CY238</f>
        <v>5051.7089061946735</v>
      </c>
      <c r="CR763">
        <f>'Bookings and Drivers'!CZ238</f>
        <v>6063.2234254383047</v>
      </c>
      <c r="CS763">
        <f>'Bookings and Drivers'!DA238</f>
        <v>6972.7069392540498</v>
      </c>
      <c r="CT763">
        <f>'Bookings and Drivers'!DB238</f>
        <v>0</v>
      </c>
      <c r="CU763">
        <f>'Bookings and Drivers'!DC238</f>
        <v>0</v>
      </c>
      <c r="CV763">
        <f>'Bookings and Drivers'!DD238</f>
        <v>0</v>
      </c>
      <c r="CW763">
        <f>'Bookings and Drivers'!DE238</f>
        <v>0</v>
      </c>
      <c r="CX763">
        <f>'Bookings and Drivers'!DF238</f>
        <v>0</v>
      </c>
    </row>
    <row r="764" spans="1:102">
      <c r="A764" t="str">
        <f>'Bookings and Drivers'!I239</f>
        <v>% change Y/Y %</v>
      </c>
      <c r="B764">
        <f>'Bookings and Drivers'!J239</f>
        <v>0</v>
      </c>
      <c r="C764">
        <f>'Bookings and Drivers'!K239</f>
        <v>0</v>
      </c>
      <c r="D764">
        <f>'Bookings and Drivers'!L239</f>
        <v>0</v>
      </c>
      <c r="E764">
        <f>'Bookings and Drivers'!M239</f>
        <v>0</v>
      </c>
      <c r="F764">
        <f>'Bookings and Drivers'!N239</f>
        <v>0</v>
      </c>
      <c r="G764">
        <f>'Bookings and Drivers'!O239</f>
        <v>0</v>
      </c>
      <c r="H764">
        <f>'Bookings and Drivers'!P239</f>
        <v>0</v>
      </c>
      <c r="I764">
        <f>'Bookings and Drivers'!Q239</f>
        <v>0</v>
      </c>
      <c r="J764">
        <f>'Bookings and Drivers'!R239</f>
        <v>0</v>
      </c>
      <c r="K764">
        <f>'Bookings and Drivers'!S239</f>
        <v>0</v>
      </c>
      <c r="L764">
        <f>'Bookings and Drivers'!T239</f>
        <v>0</v>
      </c>
      <c r="M764">
        <f>'Bookings and Drivers'!U239</f>
        <v>0</v>
      </c>
      <c r="N764">
        <f>'Bookings and Drivers'!V239</f>
        <v>0</v>
      </c>
      <c r="O764">
        <f>'Bookings and Drivers'!W239</f>
        <v>0</v>
      </c>
      <c r="P764">
        <f>'Bookings and Drivers'!X239</f>
        <v>0</v>
      </c>
      <c r="Q764">
        <f>'Bookings and Drivers'!Y239</f>
        <v>0</v>
      </c>
      <c r="R764">
        <f>'Bookings and Drivers'!Z239</f>
        <v>0</v>
      </c>
      <c r="S764">
        <f>'Bookings and Drivers'!AA239</f>
        <v>0</v>
      </c>
      <c r="T764">
        <f>'Bookings and Drivers'!AB239</f>
        <v>0</v>
      </c>
      <c r="U764">
        <f>'Bookings and Drivers'!AC239</f>
        <v>0</v>
      </c>
      <c r="V764">
        <f>'Bookings and Drivers'!AD239</f>
        <v>0</v>
      </c>
      <c r="W764">
        <f>'Bookings and Drivers'!AE239</f>
        <v>0</v>
      </c>
      <c r="X764">
        <f>'Bookings and Drivers'!AF239</f>
        <v>0</v>
      </c>
      <c r="Y764">
        <f>'Bookings and Drivers'!AG239</f>
        <v>0</v>
      </c>
      <c r="Z764">
        <f>'Bookings and Drivers'!AH239</f>
        <v>0</v>
      </c>
      <c r="AA764">
        <f>'Bookings and Drivers'!AI239</f>
        <v>0</v>
      </c>
      <c r="AB764">
        <f>'Bookings and Drivers'!AJ239</f>
        <v>0</v>
      </c>
      <c r="AC764">
        <f>'Bookings and Drivers'!AK239</f>
        <v>0</v>
      </c>
      <c r="AD764">
        <f>'Bookings and Drivers'!AL239</f>
        <v>0</v>
      </c>
      <c r="AE764">
        <f>'Bookings and Drivers'!AM239</f>
        <v>0</v>
      </c>
      <c r="AF764">
        <f>'Bookings and Drivers'!AN239</f>
        <v>0</v>
      </c>
      <c r="AG764">
        <f>'Bookings and Drivers'!AO239</f>
        <v>0</v>
      </c>
      <c r="AH764">
        <f>'Bookings and Drivers'!AP239</f>
        <v>0</v>
      </c>
      <c r="AI764">
        <f>'Bookings and Drivers'!AQ239</f>
        <v>0</v>
      </c>
      <c r="AJ764">
        <f>'Bookings and Drivers'!AR239</f>
        <v>0</v>
      </c>
      <c r="AK764">
        <f>'Bookings and Drivers'!AS239</f>
        <v>0</v>
      </c>
      <c r="AL764">
        <f>'Bookings and Drivers'!AT239</f>
        <v>0</v>
      </c>
      <c r="AM764">
        <f>'Bookings and Drivers'!AU239</f>
        <v>0</v>
      </c>
      <c r="AN764">
        <f>'Bookings and Drivers'!AV239</f>
        <v>0</v>
      </c>
      <c r="AO764">
        <f>'Bookings and Drivers'!AW239</f>
        <v>0</v>
      </c>
      <c r="AP764">
        <f>'Bookings and Drivers'!AX239</f>
        <v>0</v>
      </c>
      <c r="AQ764">
        <f>'Bookings and Drivers'!AY239</f>
        <v>0</v>
      </c>
      <c r="AR764">
        <f>'Bookings and Drivers'!AZ239</f>
        <v>0</v>
      </c>
      <c r="AS764">
        <f>'Bookings and Drivers'!BA239</f>
        <v>0</v>
      </c>
      <c r="AT764">
        <f>'Bookings and Drivers'!BB239</f>
        <v>0</v>
      </c>
      <c r="AU764">
        <f>'Bookings and Drivers'!BC239</f>
        <v>0</v>
      </c>
      <c r="AV764">
        <f>'Bookings and Drivers'!BD239</f>
        <v>0</v>
      </c>
      <c r="AW764">
        <f>'Bookings and Drivers'!BE239</f>
        <v>0</v>
      </c>
      <c r="AX764">
        <f>'Bookings and Drivers'!BF239</f>
        <v>0</v>
      </c>
      <c r="AY764">
        <f>'Bookings and Drivers'!BG239</f>
        <v>0</v>
      </c>
      <c r="AZ764">
        <f>'Bookings and Drivers'!BH239</f>
        <v>0</v>
      </c>
      <c r="BA764">
        <f>'Bookings and Drivers'!BI239</f>
        <v>0</v>
      </c>
      <c r="BB764">
        <f>'Bookings and Drivers'!BJ239</f>
        <v>0</v>
      </c>
      <c r="BC764">
        <f>'Bookings and Drivers'!BK239</f>
        <v>0</v>
      </c>
      <c r="BD764">
        <f>'Bookings and Drivers'!BL239</f>
        <v>0</v>
      </c>
      <c r="BE764">
        <f>'Bookings and Drivers'!BM239</f>
        <v>0</v>
      </c>
      <c r="BF764">
        <f>'Bookings and Drivers'!BN239</f>
        <v>0</v>
      </c>
      <c r="BG764">
        <f>'Bookings and Drivers'!BO239</f>
        <v>0</v>
      </c>
      <c r="BH764">
        <f>'Bookings and Drivers'!BP239</f>
        <v>0</v>
      </c>
      <c r="BI764">
        <f>'Bookings and Drivers'!BQ239</f>
        <v>0</v>
      </c>
      <c r="BJ764">
        <f>'Bookings and Drivers'!BR239</f>
        <v>0</v>
      </c>
      <c r="BK764">
        <f>'Bookings and Drivers'!BS239</f>
        <v>0</v>
      </c>
      <c r="BL764">
        <f>'Bookings and Drivers'!BT239</f>
        <v>0</v>
      </c>
      <c r="BM764">
        <f>'Bookings and Drivers'!BU239</f>
        <v>0</v>
      </c>
      <c r="BN764">
        <f>'Bookings and Drivers'!BV239</f>
        <v>0</v>
      </c>
      <c r="BO764">
        <f>'Bookings and Drivers'!BW239</f>
        <v>0</v>
      </c>
      <c r="BP764">
        <f>'Bookings and Drivers'!BX239</f>
        <v>0</v>
      </c>
      <c r="BQ764">
        <f>'Bookings and Drivers'!BY239</f>
        <v>0</v>
      </c>
      <c r="BR764">
        <f>'Bookings and Drivers'!BZ239</f>
        <v>0</v>
      </c>
      <c r="BS764">
        <f>'Bookings and Drivers'!CA239</f>
        <v>0</v>
      </c>
      <c r="BT764">
        <f>'Bookings and Drivers'!CB239</f>
        <v>0</v>
      </c>
      <c r="BU764">
        <f>'Bookings and Drivers'!CC239</f>
        <v>0</v>
      </c>
      <c r="BV764">
        <f>'Bookings and Drivers'!CD239</f>
        <v>0</v>
      </c>
      <c r="BW764">
        <f>'Bookings and Drivers'!CE239</f>
        <v>0</v>
      </c>
      <c r="BX764">
        <f>'Bookings and Drivers'!CF239</f>
        <v>0</v>
      </c>
      <c r="BY764">
        <f>'Bookings and Drivers'!CG239</f>
        <v>0</v>
      </c>
      <c r="BZ764">
        <f>'Bookings and Drivers'!CH239</f>
        <v>0</v>
      </c>
      <c r="CA764">
        <f>'Bookings and Drivers'!CI239</f>
        <v>0</v>
      </c>
      <c r="CB764">
        <f>'Bookings and Drivers'!CJ239</f>
        <v>0</v>
      </c>
      <c r="CC764">
        <f>'Bookings and Drivers'!CK239</f>
        <v>0</v>
      </c>
      <c r="CD764">
        <f>'Bookings and Drivers'!CL239</f>
        <v>0</v>
      </c>
      <c r="CE764">
        <f>'Bookings and Drivers'!CM239</f>
        <v>0</v>
      </c>
      <c r="CF764">
        <f>'Bookings and Drivers'!CN239</f>
        <v>0</v>
      </c>
      <c r="CG764">
        <f>'Bookings and Drivers'!CO239</f>
        <v>0</v>
      </c>
      <c r="CH764">
        <f>'Bookings and Drivers'!CP239</f>
        <v>0</v>
      </c>
      <c r="CI764">
        <f>'Bookings and Drivers'!CQ239</f>
        <v>0.5</v>
      </c>
      <c r="CJ764">
        <f>'Bookings and Drivers'!CR239</f>
        <v>1.5233727261454613</v>
      </c>
      <c r="CK764">
        <f>'Bookings and Drivers'!CS239</f>
        <v>0.27004443783582821</v>
      </c>
      <c r="CL764">
        <f>'Bookings and Drivers'!CT239</f>
        <v>0.28261799371370944</v>
      </c>
      <c r="CM764">
        <f>'Bookings and Drivers'!CU239</f>
        <v>0.23385200208286872</v>
      </c>
      <c r="CN764">
        <f>'Bookings and Drivers'!CV239</f>
        <v>6.3033174152907323E-2</v>
      </c>
      <c r="CO764">
        <f>'Bookings and Drivers'!CW239</f>
        <v>0.3017765128771448</v>
      </c>
      <c r="CP764">
        <f>'Bookings and Drivers'!CX239</f>
        <v>0.24703554710074349</v>
      </c>
      <c r="CQ764">
        <f>'Bookings and Drivers'!CY239</f>
        <v>0.28263474692519752</v>
      </c>
      <c r="CR764">
        <f>'Bookings and Drivers'!CZ239</f>
        <v>0.20023214678962575</v>
      </c>
      <c r="CS764">
        <f>'Bookings and Drivers'!DA239</f>
        <v>0.14999999999999991</v>
      </c>
      <c r="CT764">
        <f>'Bookings and Drivers'!DB239</f>
        <v>0</v>
      </c>
      <c r="CU764">
        <f>'Bookings and Drivers'!DC239</f>
        <v>0</v>
      </c>
      <c r="CV764">
        <f>'Bookings and Drivers'!DD239</f>
        <v>0</v>
      </c>
      <c r="CW764">
        <f>'Bookings and Drivers'!DE239</f>
        <v>0</v>
      </c>
      <c r="CX764">
        <f>'Bookings and Drivers'!DF239</f>
        <v>0</v>
      </c>
    </row>
    <row r="765" spans="1:102">
      <c r="A765" t="str">
        <f>'Bookings and Drivers'!I240</f>
        <v>change Y/Y Abs</v>
      </c>
      <c r="B765">
        <f>'Bookings and Drivers'!J240</f>
        <v>0</v>
      </c>
      <c r="C765">
        <f>'Bookings and Drivers'!K240</f>
        <v>0</v>
      </c>
      <c r="D765">
        <f>'Bookings and Drivers'!L240</f>
        <v>0</v>
      </c>
      <c r="E765">
        <f>'Bookings and Drivers'!M240</f>
        <v>0</v>
      </c>
      <c r="F765">
        <f>'Bookings and Drivers'!N240</f>
        <v>0</v>
      </c>
      <c r="G765">
        <f>'Bookings and Drivers'!O240</f>
        <v>0</v>
      </c>
      <c r="H765">
        <f>'Bookings and Drivers'!P240</f>
        <v>0</v>
      </c>
      <c r="I765">
        <f>'Bookings and Drivers'!Q240</f>
        <v>0</v>
      </c>
      <c r="J765">
        <f>'Bookings and Drivers'!R240</f>
        <v>0</v>
      </c>
      <c r="K765">
        <f>'Bookings and Drivers'!S240</f>
        <v>0</v>
      </c>
      <c r="L765">
        <f>'Bookings and Drivers'!T240</f>
        <v>0</v>
      </c>
      <c r="M765">
        <f>'Bookings and Drivers'!U240</f>
        <v>0</v>
      </c>
      <c r="N765">
        <f>'Bookings and Drivers'!V240</f>
        <v>0</v>
      </c>
      <c r="O765">
        <f>'Bookings and Drivers'!W240</f>
        <v>0</v>
      </c>
      <c r="P765">
        <f>'Bookings and Drivers'!X240</f>
        <v>0</v>
      </c>
      <c r="Q765">
        <f>'Bookings and Drivers'!Y240</f>
        <v>0</v>
      </c>
      <c r="R765">
        <f>'Bookings and Drivers'!Z240</f>
        <v>0</v>
      </c>
      <c r="S765">
        <f>'Bookings and Drivers'!AA240</f>
        <v>0</v>
      </c>
      <c r="T765">
        <f>'Bookings and Drivers'!AB240</f>
        <v>0</v>
      </c>
      <c r="U765">
        <f>'Bookings and Drivers'!AC240</f>
        <v>0</v>
      </c>
      <c r="V765">
        <f>'Bookings and Drivers'!AD240</f>
        <v>0</v>
      </c>
      <c r="W765">
        <f>'Bookings and Drivers'!AE240</f>
        <v>0</v>
      </c>
      <c r="X765">
        <f>'Bookings and Drivers'!AF240</f>
        <v>0</v>
      </c>
      <c r="Y765">
        <f>'Bookings and Drivers'!AG240</f>
        <v>0</v>
      </c>
      <c r="Z765">
        <f>'Bookings and Drivers'!AH240</f>
        <v>0</v>
      </c>
      <c r="AA765">
        <f>'Bookings and Drivers'!AI240</f>
        <v>0</v>
      </c>
      <c r="AB765">
        <f>'Bookings and Drivers'!AJ240</f>
        <v>0</v>
      </c>
      <c r="AC765">
        <f>'Bookings and Drivers'!AK240</f>
        <v>0</v>
      </c>
      <c r="AD765">
        <f>'Bookings and Drivers'!AL240</f>
        <v>0</v>
      </c>
      <c r="AE765">
        <f>'Bookings and Drivers'!AM240</f>
        <v>0</v>
      </c>
      <c r="AF765">
        <f>'Bookings and Drivers'!AN240</f>
        <v>0</v>
      </c>
      <c r="AG765">
        <f>'Bookings and Drivers'!AO240</f>
        <v>0</v>
      </c>
      <c r="AH765">
        <f>'Bookings and Drivers'!AP240</f>
        <v>0</v>
      </c>
      <c r="AI765">
        <f>'Bookings and Drivers'!AQ240</f>
        <v>0</v>
      </c>
      <c r="AJ765">
        <f>'Bookings and Drivers'!AR240</f>
        <v>0</v>
      </c>
      <c r="AK765">
        <f>'Bookings and Drivers'!AS240</f>
        <v>0</v>
      </c>
      <c r="AL765">
        <f>'Bookings and Drivers'!AT240</f>
        <v>0</v>
      </c>
      <c r="AM765">
        <f>'Bookings and Drivers'!AU240</f>
        <v>0</v>
      </c>
      <c r="AN765">
        <f>'Bookings and Drivers'!AV240</f>
        <v>0</v>
      </c>
      <c r="AO765">
        <f>'Bookings and Drivers'!AW240</f>
        <v>0</v>
      </c>
      <c r="AP765">
        <f>'Bookings and Drivers'!AX240</f>
        <v>0</v>
      </c>
      <c r="AQ765">
        <f>'Bookings and Drivers'!AY240</f>
        <v>0</v>
      </c>
      <c r="AR765">
        <f>'Bookings and Drivers'!AZ240</f>
        <v>0</v>
      </c>
      <c r="AS765">
        <f>'Bookings and Drivers'!BA240</f>
        <v>0</v>
      </c>
      <c r="AT765">
        <f>'Bookings and Drivers'!BB240</f>
        <v>0</v>
      </c>
      <c r="AU765">
        <f>'Bookings and Drivers'!BC240</f>
        <v>0</v>
      </c>
      <c r="AV765">
        <f>'Bookings and Drivers'!BD240</f>
        <v>0</v>
      </c>
      <c r="AW765">
        <f>'Bookings and Drivers'!BE240</f>
        <v>0</v>
      </c>
      <c r="AX765">
        <f>'Bookings and Drivers'!BF240</f>
        <v>0</v>
      </c>
      <c r="AY765">
        <f>'Bookings and Drivers'!BG240</f>
        <v>0</v>
      </c>
      <c r="AZ765">
        <f>'Bookings and Drivers'!BH240</f>
        <v>0</v>
      </c>
      <c r="BA765">
        <f>'Bookings and Drivers'!BI240</f>
        <v>0</v>
      </c>
      <c r="BB765">
        <f>'Bookings and Drivers'!BJ240</f>
        <v>0</v>
      </c>
      <c r="BC765">
        <f>'Bookings and Drivers'!BK240</f>
        <v>0</v>
      </c>
      <c r="BD765">
        <f>'Bookings and Drivers'!BL240</f>
        <v>0</v>
      </c>
      <c r="BE765">
        <f>'Bookings and Drivers'!BM240</f>
        <v>0</v>
      </c>
      <c r="BF765">
        <f>'Bookings and Drivers'!BN240</f>
        <v>0</v>
      </c>
      <c r="BG765">
        <f>'Bookings and Drivers'!BO240</f>
        <v>0</v>
      </c>
      <c r="BH765">
        <f>'Bookings and Drivers'!BP240</f>
        <v>0</v>
      </c>
      <c r="BI765">
        <f>'Bookings and Drivers'!BQ240</f>
        <v>0</v>
      </c>
      <c r="BJ765">
        <f>'Bookings and Drivers'!BR240</f>
        <v>0</v>
      </c>
      <c r="BK765">
        <f>'Bookings and Drivers'!BS240</f>
        <v>0</v>
      </c>
      <c r="BL765">
        <f>'Bookings and Drivers'!BT240</f>
        <v>0</v>
      </c>
      <c r="BM765">
        <f>'Bookings and Drivers'!BU240</f>
        <v>0</v>
      </c>
      <c r="BN765">
        <f>'Bookings and Drivers'!BV240</f>
        <v>0</v>
      </c>
      <c r="BO765">
        <f>'Bookings and Drivers'!BW240</f>
        <v>0</v>
      </c>
      <c r="BP765">
        <f>'Bookings and Drivers'!BX240</f>
        <v>0</v>
      </c>
      <c r="BQ765">
        <f>'Bookings and Drivers'!BY240</f>
        <v>0</v>
      </c>
      <c r="BR765">
        <f>'Bookings and Drivers'!BZ240</f>
        <v>0</v>
      </c>
      <c r="BS765">
        <f>'Bookings and Drivers'!CA240</f>
        <v>0</v>
      </c>
      <c r="BT765">
        <f>'Bookings and Drivers'!CB240</f>
        <v>0</v>
      </c>
      <c r="BU765">
        <f>'Bookings and Drivers'!CC240</f>
        <v>0</v>
      </c>
      <c r="BV765">
        <f>'Bookings and Drivers'!CD240</f>
        <v>0</v>
      </c>
      <c r="BW765">
        <f>'Bookings and Drivers'!CE240</f>
        <v>0</v>
      </c>
      <c r="BX765">
        <f>'Bookings and Drivers'!CF240</f>
        <v>0</v>
      </c>
      <c r="BY765">
        <f>'Bookings and Drivers'!CG240</f>
        <v>0</v>
      </c>
      <c r="BZ765">
        <f>'Bookings and Drivers'!CH240</f>
        <v>0</v>
      </c>
      <c r="CA765">
        <f>'Bookings and Drivers'!CI240</f>
        <v>0</v>
      </c>
      <c r="CB765">
        <f>'Bookings and Drivers'!CJ240</f>
        <v>0</v>
      </c>
      <c r="CC765">
        <f>'Bookings and Drivers'!CK240</f>
        <v>0</v>
      </c>
      <c r="CD765">
        <f>'Bookings and Drivers'!CL240</f>
        <v>0</v>
      </c>
      <c r="CE765">
        <f>'Bookings and Drivers'!CM240</f>
        <v>0</v>
      </c>
      <c r="CF765">
        <f>'Bookings and Drivers'!CN240</f>
        <v>0</v>
      </c>
      <c r="CG765">
        <f>'Bookings and Drivers'!CO240</f>
        <v>0</v>
      </c>
      <c r="CH765">
        <f>'Bookings and Drivers'!CP240</f>
        <v>0</v>
      </c>
      <c r="CI765">
        <f>'Bookings and Drivers'!CQ240</f>
        <v>150</v>
      </c>
      <c r="CJ765">
        <f>'Bookings and Drivers'!CR240</f>
        <v>685.51772676545761</v>
      </c>
      <c r="CK765">
        <f>'Bookings and Drivers'!CS240</f>
        <v>306.64024617699556</v>
      </c>
      <c r="CL765">
        <f>'Bookings and Drivers'!CT240</f>
        <v>407.57979293122617</v>
      </c>
      <c r="CM765">
        <f>'Bookings and Drivers'!CU240</f>
        <v>432.56487987785272</v>
      </c>
      <c r="CN765">
        <f>'Bookings and Drivers'!CV240</f>
        <v>143.86078013929728</v>
      </c>
      <c r="CO765">
        <f>'Bookings and Drivers'!CW240</f>
        <v>732.15913833540162</v>
      </c>
      <c r="CP765">
        <f>'Bookings and Drivers'!CX240</f>
        <v>780.21794257424972</v>
      </c>
      <c r="CQ765">
        <f>'Bookings and Drivers'!CY240</f>
        <v>1113.1683993941929</v>
      </c>
      <c r="CR765">
        <f>'Bookings and Drivers'!CZ240</f>
        <v>1011.5145192436312</v>
      </c>
      <c r="CS765">
        <f>'Bookings and Drivers'!DA240</f>
        <v>909.48351381574503</v>
      </c>
      <c r="CT765">
        <f>'Bookings and Drivers'!DB240</f>
        <v>0</v>
      </c>
      <c r="CU765">
        <f>'Bookings and Drivers'!DC240</f>
        <v>0</v>
      </c>
      <c r="CV765">
        <f>'Bookings and Drivers'!DD240</f>
        <v>0</v>
      </c>
      <c r="CW765">
        <f>'Bookings and Drivers'!DE240</f>
        <v>0</v>
      </c>
      <c r="CX765">
        <f>'Bookings and Drivers'!DF240</f>
        <v>0</v>
      </c>
    </row>
    <row r="766" spans="1:102">
      <c r="A766" t="str">
        <f>'Bookings and Drivers'!I241</f>
        <v>% of Total BKNG</v>
      </c>
      <c r="B766">
        <f>'Bookings and Drivers'!J241</f>
        <v>0</v>
      </c>
      <c r="C766">
        <f>'Bookings and Drivers'!K241</f>
        <v>0</v>
      </c>
      <c r="D766">
        <f>'Bookings and Drivers'!L241</f>
        <v>0</v>
      </c>
      <c r="E766">
        <f>'Bookings and Drivers'!M241</f>
        <v>0</v>
      </c>
      <c r="F766">
        <f>'Bookings and Drivers'!N241</f>
        <v>0</v>
      </c>
      <c r="G766">
        <f>'Bookings and Drivers'!O241</f>
        <v>0</v>
      </c>
      <c r="H766">
        <f>'Bookings and Drivers'!P241</f>
        <v>0</v>
      </c>
      <c r="I766">
        <f>'Bookings and Drivers'!Q241</f>
        <v>0</v>
      </c>
      <c r="J766">
        <f>'Bookings and Drivers'!R241</f>
        <v>0</v>
      </c>
      <c r="K766">
        <f>'Bookings and Drivers'!S241</f>
        <v>0</v>
      </c>
      <c r="L766">
        <f>'Bookings and Drivers'!T241</f>
        <v>0</v>
      </c>
      <c r="M766">
        <f>'Bookings and Drivers'!U241</f>
        <v>0</v>
      </c>
      <c r="N766">
        <f>'Bookings and Drivers'!V241</f>
        <v>0</v>
      </c>
      <c r="O766">
        <f>'Bookings and Drivers'!W241</f>
        <v>0</v>
      </c>
      <c r="P766">
        <f>'Bookings and Drivers'!X241</f>
        <v>0</v>
      </c>
      <c r="Q766">
        <f>'Bookings and Drivers'!Y241</f>
        <v>0</v>
      </c>
      <c r="R766">
        <f>'Bookings and Drivers'!Z241</f>
        <v>0</v>
      </c>
      <c r="S766">
        <f>'Bookings and Drivers'!AA241</f>
        <v>0</v>
      </c>
      <c r="T766">
        <f>'Bookings and Drivers'!AB241</f>
        <v>0</v>
      </c>
      <c r="U766">
        <f>'Bookings and Drivers'!AC241</f>
        <v>0</v>
      </c>
      <c r="V766">
        <f>'Bookings and Drivers'!AD241</f>
        <v>0</v>
      </c>
      <c r="W766">
        <f>'Bookings and Drivers'!AE241</f>
        <v>0</v>
      </c>
      <c r="X766">
        <f>'Bookings and Drivers'!AF241</f>
        <v>0</v>
      </c>
      <c r="Y766">
        <f>'Bookings and Drivers'!AG241</f>
        <v>0</v>
      </c>
      <c r="Z766">
        <f>'Bookings and Drivers'!AH241</f>
        <v>0</v>
      </c>
      <c r="AA766">
        <f>'Bookings and Drivers'!AI241</f>
        <v>0</v>
      </c>
      <c r="AB766">
        <f>'Bookings and Drivers'!AJ241</f>
        <v>0</v>
      </c>
      <c r="AC766">
        <f>'Bookings and Drivers'!AK241</f>
        <v>0</v>
      </c>
      <c r="AD766">
        <f>'Bookings and Drivers'!AL241</f>
        <v>0</v>
      </c>
      <c r="AE766">
        <f>'Bookings and Drivers'!AM241</f>
        <v>0</v>
      </c>
      <c r="AF766">
        <f>'Bookings and Drivers'!AN241</f>
        <v>0</v>
      </c>
      <c r="AG766">
        <f>'Bookings and Drivers'!AO241</f>
        <v>0</v>
      </c>
      <c r="AH766">
        <f>'Bookings and Drivers'!AP241</f>
        <v>0</v>
      </c>
      <c r="AI766">
        <f>'Bookings and Drivers'!AQ241</f>
        <v>0</v>
      </c>
      <c r="AJ766">
        <f>'Bookings and Drivers'!AR241</f>
        <v>0</v>
      </c>
      <c r="AK766">
        <f>'Bookings and Drivers'!AS241</f>
        <v>0</v>
      </c>
      <c r="AL766">
        <f>'Bookings and Drivers'!AT241</f>
        <v>0</v>
      </c>
      <c r="AM766">
        <f>'Bookings and Drivers'!AU241</f>
        <v>0</v>
      </c>
      <c r="AN766">
        <f>'Bookings and Drivers'!AV241</f>
        <v>0</v>
      </c>
      <c r="AO766">
        <f>'Bookings and Drivers'!AW241</f>
        <v>0</v>
      </c>
      <c r="AP766">
        <f>'Bookings and Drivers'!AX241</f>
        <v>0</v>
      </c>
      <c r="AQ766">
        <f>'Bookings and Drivers'!AY241</f>
        <v>0</v>
      </c>
      <c r="AR766">
        <f>'Bookings and Drivers'!AZ241</f>
        <v>0</v>
      </c>
      <c r="AS766">
        <f>'Bookings and Drivers'!BA241</f>
        <v>0</v>
      </c>
      <c r="AT766">
        <f>'Bookings and Drivers'!BB241</f>
        <v>0</v>
      </c>
      <c r="AU766">
        <f>'Bookings and Drivers'!BC241</f>
        <v>0</v>
      </c>
      <c r="AV766">
        <f>'Bookings and Drivers'!BD241</f>
        <v>0</v>
      </c>
      <c r="AW766">
        <f>'Bookings and Drivers'!BE241</f>
        <v>0</v>
      </c>
      <c r="AX766">
        <f>'Bookings and Drivers'!BF241</f>
        <v>0</v>
      </c>
      <c r="AY766">
        <f>'Bookings and Drivers'!BG241</f>
        <v>0</v>
      </c>
      <c r="AZ766">
        <f>'Bookings and Drivers'!BH241</f>
        <v>0</v>
      </c>
      <c r="BA766">
        <f>'Bookings and Drivers'!BI241</f>
        <v>0</v>
      </c>
      <c r="BB766">
        <f>'Bookings and Drivers'!BJ241</f>
        <v>0</v>
      </c>
      <c r="BC766">
        <f>'Bookings and Drivers'!BK241</f>
        <v>0</v>
      </c>
      <c r="BD766">
        <f>'Bookings and Drivers'!BL241</f>
        <v>0</v>
      </c>
      <c r="BE766">
        <f>'Bookings and Drivers'!BM241</f>
        <v>0</v>
      </c>
      <c r="BF766">
        <f>'Bookings and Drivers'!BN241</f>
        <v>0</v>
      </c>
      <c r="BG766">
        <f>'Bookings and Drivers'!BO241</f>
        <v>0</v>
      </c>
      <c r="BH766">
        <f>'Bookings and Drivers'!BP241</f>
        <v>0</v>
      </c>
      <c r="BI766">
        <f>'Bookings and Drivers'!BQ241</f>
        <v>0</v>
      </c>
      <c r="BJ766">
        <f>'Bookings and Drivers'!BR241</f>
        <v>0</v>
      </c>
      <c r="BK766">
        <f>'Bookings and Drivers'!BS241</f>
        <v>0</v>
      </c>
      <c r="BL766">
        <f>'Bookings and Drivers'!BT241</f>
        <v>0</v>
      </c>
      <c r="BM766">
        <f>'Bookings and Drivers'!BU241</f>
        <v>0</v>
      </c>
      <c r="BN766">
        <f>'Bookings and Drivers'!BV241</f>
        <v>0</v>
      </c>
      <c r="BO766">
        <f>'Bookings and Drivers'!BW241</f>
        <v>0</v>
      </c>
      <c r="BP766">
        <f>'Bookings and Drivers'!BX241</f>
        <v>0</v>
      </c>
      <c r="BQ766">
        <f>'Bookings and Drivers'!BY241</f>
        <v>0</v>
      </c>
      <c r="BR766">
        <f>'Bookings and Drivers'!BZ241</f>
        <v>0</v>
      </c>
      <c r="BS766">
        <f>'Bookings and Drivers'!CA241</f>
        <v>0</v>
      </c>
      <c r="BT766">
        <f>'Bookings and Drivers'!CB241</f>
        <v>0</v>
      </c>
      <c r="BU766">
        <f>'Bookings and Drivers'!CC241</f>
        <v>0</v>
      </c>
      <c r="BV766">
        <f>'Bookings and Drivers'!CD241</f>
        <v>0</v>
      </c>
      <c r="BW766">
        <f>'Bookings and Drivers'!CE241</f>
        <v>0</v>
      </c>
      <c r="BX766">
        <f>'Bookings and Drivers'!CF241</f>
        <v>0</v>
      </c>
      <c r="BY766">
        <f>'Bookings and Drivers'!CG241</f>
        <v>0</v>
      </c>
      <c r="BZ766">
        <f>'Bookings and Drivers'!CH241</f>
        <v>0</v>
      </c>
      <c r="CA766">
        <f>'Bookings and Drivers'!CI241</f>
        <v>0</v>
      </c>
      <c r="CB766">
        <f>'Bookings and Drivers'!CJ241</f>
        <v>0</v>
      </c>
      <c r="CC766">
        <f>'Bookings and Drivers'!CK241</f>
        <v>0</v>
      </c>
      <c r="CD766">
        <f>'Bookings and Drivers'!CL241</f>
        <v>0</v>
      </c>
      <c r="CE766">
        <f>'Bookings and Drivers'!CM241</f>
        <v>0</v>
      </c>
      <c r="CF766">
        <f>'Bookings and Drivers'!CN241</f>
        <v>0</v>
      </c>
      <c r="CG766">
        <f>'Bookings and Drivers'!CO241</f>
        <v>0</v>
      </c>
      <c r="CH766">
        <f>'Bookings and Drivers'!CP241</f>
        <v>3.2223201091464267E-2</v>
      </c>
      <c r="CI766">
        <f>'Bookings and Drivers'!CQ241</f>
        <v>3.2976998543515899E-2</v>
      </c>
      <c r="CJ766">
        <f>'Bookings and Drivers'!CR241</f>
        <v>5.2429482259001646E-2</v>
      </c>
      <c r="CK766">
        <f>'Bookings and Drivers'!CS241</f>
        <v>5.0680277373575104E-2</v>
      </c>
      <c r="CL766">
        <f>'Bookings and Drivers'!CT241</f>
        <v>4.7219711685948976E-2</v>
      </c>
      <c r="CM766">
        <f>'Bookings and Drivers'!CU241</f>
        <v>4.5373810054702424E-2</v>
      </c>
      <c r="CN766">
        <f>'Bookings and Drivers'!CV241</f>
        <v>4.3692613202183213E-2</v>
      </c>
      <c r="CO766">
        <f>'Bookings and Drivers'!CW241</f>
        <v>4.6386572535524126E-2</v>
      </c>
      <c r="CP766">
        <f>'Bookings and Drivers'!CX241</f>
        <v>4.8488667505484459E-2</v>
      </c>
      <c r="CQ766">
        <f>'Bookings and Drivers'!CY241</f>
        <v>5.2194533055638655E-2</v>
      </c>
      <c r="CR766">
        <f>'Bookings and Drivers'!CZ241</f>
        <v>5.4661626038472563E-2</v>
      </c>
      <c r="CS766">
        <f>'Bookings and Drivers'!DA241</f>
        <v>5.5858118500613341E-2</v>
      </c>
      <c r="CT766">
        <f>'Bookings and Drivers'!DB241</f>
        <v>0</v>
      </c>
      <c r="CU766">
        <f>'Bookings and Drivers'!DC241</f>
        <v>0</v>
      </c>
      <c r="CV766">
        <f>'Bookings and Drivers'!DD241</f>
        <v>0</v>
      </c>
      <c r="CW766">
        <f>'Bookings and Drivers'!DE241</f>
        <v>0</v>
      </c>
      <c r="CX766">
        <f>'Bookings and Drivers'!DF241</f>
        <v>0</v>
      </c>
    </row>
    <row r="767" spans="1:102">
      <c r="A767">
        <f>'Bookings and Drivers'!I243</f>
        <v>0</v>
      </c>
      <c r="B767">
        <f>'Bookings and Drivers'!J243</f>
        <v>0</v>
      </c>
      <c r="C767">
        <f>'Bookings and Drivers'!K243</f>
        <v>0</v>
      </c>
      <c r="D767">
        <f>'Bookings and Drivers'!L243</f>
        <v>0</v>
      </c>
      <c r="E767">
        <f>'Bookings and Drivers'!M243</f>
        <v>0</v>
      </c>
      <c r="F767">
        <f>'Bookings and Drivers'!N243</f>
        <v>0</v>
      </c>
      <c r="G767">
        <f>'Bookings and Drivers'!O243</f>
        <v>0</v>
      </c>
      <c r="H767">
        <f>'Bookings and Drivers'!P243</f>
        <v>0</v>
      </c>
      <c r="I767">
        <f>'Bookings and Drivers'!Q243</f>
        <v>0</v>
      </c>
      <c r="J767">
        <f>'Bookings and Drivers'!R243</f>
        <v>0</v>
      </c>
      <c r="K767">
        <f>'Bookings and Drivers'!S243</f>
        <v>0</v>
      </c>
      <c r="L767">
        <f>'Bookings and Drivers'!T243</f>
        <v>0</v>
      </c>
      <c r="M767">
        <f>'Bookings and Drivers'!U243</f>
        <v>0</v>
      </c>
      <c r="N767">
        <f>'Bookings and Drivers'!V243</f>
        <v>0</v>
      </c>
      <c r="O767">
        <f>'Bookings and Drivers'!W243</f>
        <v>0</v>
      </c>
      <c r="P767">
        <f>'Bookings and Drivers'!X243</f>
        <v>0</v>
      </c>
      <c r="Q767">
        <f>'Bookings and Drivers'!Y243</f>
        <v>0</v>
      </c>
      <c r="R767">
        <f>'Bookings and Drivers'!Z243</f>
        <v>0</v>
      </c>
      <c r="S767">
        <f>'Bookings and Drivers'!AA243</f>
        <v>0</v>
      </c>
      <c r="T767">
        <f>'Bookings and Drivers'!AB243</f>
        <v>0</v>
      </c>
      <c r="U767">
        <f>'Bookings and Drivers'!AC243</f>
        <v>0</v>
      </c>
      <c r="V767">
        <f>'Bookings and Drivers'!AD243</f>
        <v>0</v>
      </c>
      <c r="W767">
        <f>'Bookings and Drivers'!AE243</f>
        <v>0</v>
      </c>
      <c r="X767">
        <f>'Bookings and Drivers'!AF243</f>
        <v>0</v>
      </c>
      <c r="Y767">
        <f>'Bookings and Drivers'!AG243</f>
        <v>0</v>
      </c>
      <c r="Z767">
        <f>'Bookings and Drivers'!AH243</f>
        <v>0</v>
      </c>
      <c r="AA767">
        <f>'Bookings and Drivers'!AI243</f>
        <v>0</v>
      </c>
      <c r="AB767">
        <f>'Bookings and Drivers'!AJ243</f>
        <v>0</v>
      </c>
      <c r="AC767">
        <f>'Bookings and Drivers'!AK243</f>
        <v>0</v>
      </c>
      <c r="AD767">
        <f>'Bookings and Drivers'!AL243</f>
        <v>0</v>
      </c>
      <c r="AE767">
        <f>'Bookings and Drivers'!AM243</f>
        <v>0</v>
      </c>
      <c r="AF767">
        <f>'Bookings and Drivers'!AN243</f>
        <v>0</v>
      </c>
      <c r="AG767">
        <f>'Bookings and Drivers'!AO243</f>
        <v>0</v>
      </c>
      <c r="AH767">
        <f>'Bookings and Drivers'!AP243</f>
        <v>0</v>
      </c>
      <c r="AI767">
        <f>'Bookings and Drivers'!AQ243</f>
        <v>0</v>
      </c>
      <c r="AJ767">
        <f>'Bookings and Drivers'!AR243</f>
        <v>0</v>
      </c>
      <c r="AK767">
        <f>'Bookings and Drivers'!AS243</f>
        <v>0</v>
      </c>
      <c r="AL767">
        <f>'Bookings and Drivers'!AT243</f>
        <v>0</v>
      </c>
      <c r="AM767">
        <f>'Bookings and Drivers'!AU243</f>
        <v>0</v>
      </c>
      <c r="AN767">
        <f>'Bookings and Drivers'!AV243</f>
        <v>0</v>
      </c>
      <c r="AO767">
        <f>'Bookings and Drivers'!AW243</f>
        <v>0</v>
      </c>
      <c r="AP767">
        <f>'Bookings and Drivers'!AX243</f>
        <v>0</v>
      </c>
      <c r="AQ767">
        <f>'Bookings and Drivers'!AY243</f>
        <v>0</v>
      </c>
      <c r="AR767">
        <f>'Bookings and Drivers'!AZ243</f>
        <v>0</v>
      </c>
      <c r="AS767">
        <f>'Bookings and Drivers'!BA243</f>
        <v>0</v>
      </c>
      <c r="AT767">
        <f>'Bookings and Drivers'!BB243</f>
        <v>0</v>
      </c>
      <c r="AU767">
        <f>'Bookings and Drivers'!BC243</f>
        <v>0</v>
      </c>
      <c r="AV767">
        <f>'Bookings and Drivers'!BD243</f>
        <v>0</v>
      </c>
      <c r="AW767">
        <f>'Bookings and Drivers'!BE243</f>
        <v>0</v>
      </c>
      <c r="AX767">
        <f>'Bookings and Drivers'!BF243</f>
        <v>0</v>
      </c>
      <c r="AY767">
        <f>'Bookings and Drivers'!BG243</f>
        <v>0</v>
      </c>
      <c r="AZ767">
        <f>'Bookings and Drivers'!BH243</f>
        <v>0</v>
      </c>
      <c r="BA767">
        <f>'Bookings and Drivers'!BI243</f>
        <v>0</v>
      </c>
      <c r="BB767">
        <f>'Bookings and Drivers'!BJ243</f>
        <v>0</v>
      </c>
      <c r="BC767">
        <f>'Bookings and Drivers'!BK243</f>
        <v>0</v>
      </c>
      <c r="BD767">
        <f>'Bookings and Drivers'!BL243</f>
        <v>0</v>
      </c>
      <c r="BE767">
        <f>'Bookings and Drivers'!BM243</f>
        <v>0</v>
      </c>
      <c r="BF767">
        <f>'Bookings and Drivers'!BN243</f>
        <v>0</v>
      </c>
      <c r="BG767">
        <f>'Bookings and Drivers'!BO243</f>
        <v>0</v>
      </c>
      <c r="BH767">
        <f>'Bookings and Drivers'!BP243</f>
        <v>0</v>
      </c>
      <c r="BI767">
        <f>'Bookings and Drivers'!BQ243</f>
        <v>0</v>
      </c>
      <c r="BJ767">
        <f>'Bookings and Drivers'!BR243</f>
        <v>0</v>
      </c>
      <c r="BK767">
        <f>'Bookings and Drivers'!BS243</f>
        <v>0</v>
      </c>
      <c r="BL767">
        <f>'Bookings and Drivers'!BT243</f>
        <v>0</v>
      </c>
      <c r="BM767">
        <f>'Bookings and Drivers'!BU243</f>
        <v>0</v>
      </c>
      <c r="BN767">
        <f>'Bookings and Drivers'!BV243</f>
        <v>0</v>
      </c>
      <c r="BO767">
        <f>'Bookings and Drivers'!BW243</f>
        <v>0</v>
      </c>
      <c r="BP767">
        <f>'Bookings and Drivers'!BX243</f>
        <v>0</v>
      </c>
      <c r="BQ767">
        <f>'Bookings and Drivers'!BY243</f>
        <v>0</v>
      </c>
      <c r="BR767">
        <f>'Bookings and Drivers'!BZ243</f>
        <v>0</v>
      </c>
      <c r="BS767">
        <f>'Bookings and Drivers'!CA243</f>
        <v>0</v>
      </c>
      <c r="BT767">
        <f>'Bookings and Drivers'!CB243</f>
        <v>0</v>
      </c>
      <c r="BU767">
        <f>'Bookings and Drivers'!CC243</f>
        <v>0</v>
      </c>
      <c r="BV767">
        <f>'Bookings and Drivers'!CD243</f>
        <v>0</v>
      </c>
      <c r="BW767">
        <f>'Bookings and Drivers'!CE243</f>
        <v>0</v>
      </c>
      <c r="BX767">
        <f>'Bookings and Drivers'!CF243</f>
        <v>0</v>
      </c>
      <c r="BY767">
        <f>'Bookings and Drivers'!CG243</f>
        <v>0</v>
      </c>
      <c r="BZ767">
        <f>'Bookings and Drivers'!CH243</f>
        <v>0</v>
      </c>
      <c r="CA767">
        <f>'Bookings and Drivers'!CI243</f>
        <v>0</v>
      </c>
      <c r="CB767">
        <f>'Bookings and Drivers'!CJ243</f>
        <v>0</v>
      </c>
      <c r="CC767">
        <f>'Bookings and Drivers'!CK243</f>
        <v>0</v>
      </c>
      <c r="CD767">
        <f>'Bookings and Drivers'!CL243</f>
        <v>0</v>
      </c>
      <c r="CE767">
        <f>'Bookings and Drivers'!CM243</f>
        <v>0</v>
      </c>
      <c r="CF767">
        <f>'Bookings and Drivers'!CN243</f>
        <v>0</v>
      </c>
      <c r="CG767">
        <f>'Bookings and Drivers'!CO243</f>
        <v>0</v>
      </c>
      <c r="CH767">
        <f>'Bookings and Drivers'!CP243</f>
        <v>0</v>
      </c>
      <c r="CI767">
        <f>'Bookings and Drivers'!CQ243</f>
        <v>0</v>
      </c>
      <c r="CJ767">
        <f>'Bookings and Drivers'!CR243</f>
        <v>0</v>
      </c>
      <c r="CK767">
        <f>'Bookings and Drivers'!CS243</f>
        <v>0</v>
      </c>
      <c r="CL767">
        <f>'Bookings and Drivers'!CT243</f>
        <v>0</v>
      </c>
      <c r="CM767">
        <f>'Bookings and Drivers'!CU243</f>
        <v>0</v>
      </c>
      <c r="CO767">
        <f>'Bookings and Drivers'!CW243</f>
        <v>0</v>
      </c>
      <c r="CP767">
        <f>'Bookings and Drivers'!CX243</f>
        <v>0</v>
      </c>
      <c r="CQ767">
        <f>'Bookings and Drivers'!CY243</f>
        <v>0</v>
      </c>
      <c r="CR767">
        <f>'Bookings and Drivers'!CZ243</f>
        <v>0</v>
      </c>
      <c r="CS767">
        <f>'Bookings and Drivers'!DA243</f>
        <v>0</v>
      </c>
      <c r="CT767">
        <f>'Bookings and Drivers'!DB243</f>
        <v>0</v>
      </c>
      <c r="CU767">
        <f>'Bookings and Drivers'!DC243</f>
        <v>0</v>
      </c>
      <c r="CV767">
        <f>'Bookings and Drivers'!DD243</f>
        <v>0</v>
      </c>
      <c r="CW767">
        <f>'Bookings and Drivers'!DE243</f>
        <v>0</v>
      </c>
      <c r="CX767">
        <f>'Bookings and Drivers'!DF243</f>
        <v>0</v>
      </c>
    </row>
    <row r="768" spans="1:102">
      <c r="A768" t="str">
        <f>'Bookings and Drivers'!I244</f>
        <v>Booking.com by Region</v>
      </c>
      <c r="B768">
        <f>'Bookings and Drivers'!J244</f>
        <v>0</v>
      </c>
      <c r="C768">
        <f>'Bookings and Drivers'!K244</f>
        <v>0</v>
      </c>
      <c r="D768">
        <f>'Bookings and Drivers'!L244</f>
        <v>0</v>
      </c>
      <c r="E768">
        <f>'Bookings and Drivers'!M244</f>
        <v>0</v>
      </c>
      <c r="F768">
        <f>'Bookings and Drivers'!N244</f>
        <v>0</v>
      </c>
      <c r="G768">
        <f>'Bookings and Drivers'!O244</f>
        <v>0</v>
      </c>
      <c r="H768">
        <f>'Bookings and Drivers'!P244</f>
        <v>0</v>
      </c>
      <c r="I768">
        <f>'Bookings and Drivers'!Q244</f>
        <v>0</v>
      </c>
      <c r="J768">
        <f>'Bookings and Drivers'!R244</f>
        <v>0</v>
      </c>
      <c r="K768">
        <f>'Bookings and Drivers'!S244</f>
        <v>0</v>
      </c>
      <c r="L768">
        <f>'Bookings and Drivers'!T244</f>
        <v>0</v>
      </c>
      <c r="M768">
        <f>'Bookings and Drivers'!U244</f>
        <v>0</v>
      </c>
      <c r="N768">
        <f>'Bookings and Drivers'!V244</f>
        <v>0</v>
      </c>
      <c r="O768">
        <f>'Bookings and Drivers'!W244</f>
        <v>0</v>
      </c>
      <c r="P768">
        <f>'Bookings and Drivers'!X244</f>
        <v>0</v>
      </c>
      <c r="Q768">
        <f>'Bookings and Drivers'!Y244</f>
        <v>0</v>
      </c>
      <c r="R768">
        <f>'Bookings and Drivers'!Z244</f>
        <v>0</v>
      </c>
      <c r="S768">
        <f>'Bookings and Drivers'!AA244</f>
        <v>0</v>
      </c>
      <c r="T768">
        <f>'Bookings and Drivers'!AB244</f>
        <v>0</v>
      </c>
      <c r="U768">
        <f>'Bookings and Drivers'!AC244</f>
        <v>0</v>
      </c>
      <c r="V768">
        <f>'Bookings and Drivers'!AD244</f>
        <v>0</v>
      </c>
      <c r="W768">
        <f>'Bookings and Drivers'!AE244</f>
        <v>0</v>
      </c>
      <c r="X768">
        <f>'Bookings and Drivers'!AF244</f>
        <v>0</v>
      </c>
      <c r="Y768">
        <f>'Bookings and Drivers'!AG244</f>
        <v>0</v>
      </c>
      <c r="Z768">
        <f>'Bookings and Drivers'!AH244</f>
        <v>0</v>
      </c>
      <c r="AA768">
        <f>'Bookings and Drivers'!AI244</f>
        <v>0</v>
      </c>
      <c r="AB768">
        <f>'Bookings and Drivers'!AJ244</f>
        <v>0</v>
      </c>
      <c r="AC768">
        <f>'Bookings and Drivers'!AK244</f>
        <v>0</v>
      </c>
      <c r="AD768">
        <f>'Bookings and Drivers'!AL244</f>
        <v>0</v>
      </c>
      <c r="AE768">
        <f>'Bookings and Drivers'!AM244</f>
        <v>0</v>
      </c>
      <c r="AF768">
        <f>'Bookings and Drivers'!AN244</f>
        <v>0</v>
      </c>
      <c r="AG768">
        <f>'Bookings and Drivers'!AO244</f>
        <v>0</v>
      </c>
      <c r="AH768">
        <f>'Bookings and Drivers'!AP244</f>
        <v>0</v>
      </c>
      <c r="AI768">
        <f>'Bookings and Drivers'!AQ244</f>
        <v>0</v>
      </c>
      <c r="AJ768">
        <f>'Bookings and Drivers'!AR244</f>
        <v>0</v>
      </c>
      <c r="AK768">
        <f>'Bookings and Drivers'!AS244</f>
        <v>0</v>
      </c>
      <c r="AL768">
        <f>'Bookings and Drivers'!AT244</f>
        <v>0</v>
      </c>
      <c r="AM768">
        <f>'Bookings and Drivers'!AU244</f>
        <v>0</v>
      </c>
      <c r="AN768">
        <f>'Bookings and Drivers'!AV244</f>
        <v>0</v>
      </c>
      <c r="AO768">
        <f>'Bookings and Drivers'!AW244</f>
        <v>0</v>
      </c>
      <c r="AP768">
        <f>'Bookings and Drivers'!AX244</f>
        <v>0</v>
      </c>
      <c r="AQ768">
        <f>'Bookings and Drivers'!AY244</f>
        <v>0</v>
      </c>
      <c r="AR768">
        <f>'Bookings and Drivers'!AZ244</f>
        <v>0</v>
      </c>
      <c r="AS768">
        <f>'Bookings and Drivers'!BA244</f>
        <v>0</v>
      </c>
      <c r="AT768">
        <f>'Bookings and Drivers'!BB244</f>
        <v>0</v>
      </c>
      <c r="AU768">
        <f>'Bookings and Drivers'!BC244</f>
        <v>0</v>
      </c>
      <c r="AV768">
        <f>'Bookings and Drivers'!BD244</f>
        <v>0</v>
      </c>
      <c r="AW768">
        <f>'Bookings and Drivers'!BE244</f>
        <v>0</v>
      </c>
      <c r="AX768">
        <f>'Bookings and Drivers'!BF244</f>
        <v>0</v>
      </c>
      <c r="AY768">
        <f>'Bookings and Drivers'!BG244</f>
        <v>0</v>
      </c>
      <c r="AZ768">
        <f>'Bookings and Drivers'!BH244</f>
        <v>0</v>
      </c>
      <c r="BA768">
        <f>'Bookings and Drivers'!BI244</f>
        <v>0</v>
      </c>
      <c r="BB768">
        <f>'Bookings and Drivers'!BJ244</f>
        <v>0</v>
      </c>
      <c r="BC768">
        <f>'Bookings and Drivers'!BK244</f>
        <v>0</v>
      </c>
      <c r="BD768">
        <f>'Bookings and Drivers'!BL244</f>
        <v>0</v>
      </c>
      <c r="BE768">
        <f>'Bookings and Drivers'!BM244</f>
        <v>0</v>
      </c>
      <c r="BF768">
        <f>'Bookings and Drivers'!BN244</f>
        <v>0</v>
      </c>
      <c r="BG768">
        <f>'Bookings and Drivers'!BO244</f>
        <v>0</v>
      </c>
      <c r="BH768">
        <f>'Bookings and Drivers'!BP244</f>
        <v>0</v>
      </c>
      <c r="BI768">
        <f>'Bookings and Drivers'!BQ244</f>
        <v>0</v>
      </c>
      <c r="BJ768">
        <f>'Bookings and Drivers'!BR244</f>
        <v>0</v>
      </c>
      <c r="BK768">
        <f>'Bookings and Drivers'!BS244</f>
        <v>0</v>
      </c>
      <c r="BL768">
        <f>'Bookings and Drivers'!BT244</f>
        <v>0</v>
      </c>
      <c r="BM768">
        <f>'Bookings and Drivers'!BU244</f>
        <v>0</v>
      </c>
      <c r="BN768">
        <f>'Bookings and Drivers'!BV244</f>
        <v>0</v>
      </c>
      <c r="BO768">
        <f>'Bookings and Drivers'!BW244</f>
        <v>0</v>
      </c>
      <c r="BP768">
        <f>'Bookings and Drivers'!BX244</f>
        <v>0</v>
      </c>
      <c r="BQ768">
        <f>'Bookings and Drivers'!BY244</f>
        <v>0</v>
      </c>
      <c r="BR768">
        <f>'Bookings and Drivers'!BZ244</f>
        <v>0</v>
      </c>
      <c r="BS768">
        <f>'Bookings and Drivers'!CA244</f>
        <v>0</v>
      </c>
      <c r="BT768">
        <f>'Bookings and Drivers'!CB244</f>
        <v>0</v>
      </c>
      <c r="BU768">
        <f>'Bookings and Drivers'!CC244</f>
        <v>0</v>
      </c>
      <c r="BV768">
        <f>'Bookings and Drivers'!CD244</f>
        <v>0</v>
      </c>
      <c r="BW768">
        <f>'Bookings and Drivers'!CE244</f>
        <v>0</v>
      </c>
      <c r="BX768">
        <f>'Bookings and Drivers'!CF244</f>
        <v>0</v>
      </c>
      <c r="BY768">
        <f>'Bookings and Drivers'!CG244</f>
        <v>0</v>
      </c>
      <c r="BZ768">
        <f>'Bookings and Drivers'!CH244</f>
        <v>0</v>
      </c>
      <c r="CA768">
        <f>'Bookings and Drivers'!CI244</f>
        <v>0</v>
      </c>
      <c r="CB768">
        <f>'Bookings and Drivers'!CJ244</f>
        <v>0</v>
      </c>
      <c r="CC768">
        <f>'Bookings and Drivers'!CK244</f>
        <v>0</v>
      </c>
      <c r="CD768">
        <f>'Bookings and Drivers'!CL244</f>
        <v>0</v>
      </c>
      <c r="CE768">
        <f>'Bookings and Drivers'!CM244</f>
        <v>0</v>
      </c>
      <c r="CF768">
        <f>'Bookings and Drivers'!CN244</f>
        <v>0</v>
      </c>
      <c r="CG768">
        <f>'Bookings and Drivers'!CO244</f>
        <v>0</v>
      </c>
      <c r="CH768">
        <f>'Bookings and Drivers'!CP244</f>
        <v>0</v>
      </c>
      <c r="CI768">
        <f>'Bookings and Drivers'!CQ244</f>
        <v>0</v>
      </c>
      <c r="CJ768">
        <f>'Bookings and Drivers'!CR244</f>
        <v>0</v>
      </c>
      <c r="CK768">
        <f>'Bookings and Drivers'!CS244</f>
        <v>0</v>
      </c>
      <c r="CL768">
        <f>'Bookings and Drivers'!CT244</f>
        <v>0</v>
      </c>
      <c r="CM768">
        <f>'Bookings and Drivers'!CU244</f>
        <v>0</v>
      </c>
      <c r="CN768">
        <f>'Bookings and Drivers'!CV243</f>
        <v>0</v>
      </c>
      <c r="CO768">
        <f>'Bookings and Drivers'!CW244</f>
        <v>0</v>
      </c>
      <c r="CP768">
        <f>'Bookings and Drivers'!CX244</f>
        <v>0</v>
      </c>
      <c r="CQ768">
        <f>'Bookings and Drivers'!CY244</f>
        <v>0</v>
      </c>
      <c r="CR768">
        <f>'Bookings and Drivers'!CZ244</f>
        <v>0</v>
      </c>
      <c r="CS768">
        <f>'Bookings and Drivers'!DA244</f>
        <v>0</v>
      </c>
      <c r="CT768">
        <f>'Bookings and Drivers'!DB244</f>
        <v>0</v>
      </c>
      <c r="CU768">
        <f>'Bookings and Drivers'!DC244</f>
        <v>0</v>
      </c>
      <c r="CV768">
        <f>'Bookings and Drivers'!DD244</f>
        <v>0</v>
      </c>
      <c r="CW768">
        <f>'Bookings and Drivers'!DE244</f>
        <v>0</v>
      </c>
      <c r="CX768">
        <f>'Bookings and Drivers'!DF244</f>
        <v>0</v>
      </c>
    </row>
    <row r="769" spans="1:102">
      <c r="A769" t="str">
        <f>'Bookings and Drivers'!I245</f>
        <v>Europe</v>
      </c>
      <c r="B769">
        <f>'Bookings and Drivers'!J245</f>
        <v>0</v>
      </c>
      <c r="C769">
        <f>'Bookings and Drivers'!K245</f>
        <v>0</v>
      </c>
      <c r="D769">
        <f>'Bookings and Drivers'!L245</f>
        <v>0</v>
      </c>
      <c r="E769">
        <f>'Bookings and Drivers'!M245</f>
        <v>0</v>
      </c>
      <c r="F769">
        <f>'Bookings and Drivers'!N245</f>
        <v>0</v>
      </c>
      <c r="G769">
        <f>'Bookings and Drivers'!O245</f>
        <v>0</v>
      </c>
      <c r="H769">
        <f>'Bookings and Drivers'!P245</f>
        <v>0</v>
      </c>
      <c r="I769">
        <f>'Bookings and Drivers'!Q245</f>
        <v>0</v>
      </c>
      <c r="J769">
        <f>'Bookings and Drivers'!R245</f>
        <v>0</v>
      </c>
      <c r="K769">
        <f>'Bookings and Drivers'!S245</f>
        <v>0</v>
      </c>
      <c r="L769">
        <f>'Bookings and Drivers'!T245</f>
        <v>0</v>
      </c>
      <c r="M769">
        <f>'Bookings and Drivers'!U245</f>
        <v>0</v>
      </c>
      <c r="N769">
        <f>'Bookings and Drivers'!V245</f>
        <v>0</v>
      </c>
      <c r="O769">
        <f>'Bookings and Drivers'!W245</f>
        <v>0</v>
      </c>
      <c r="P769">
        <f>'Bookings and Drivers'!X245</f>
        <v>0</v>
      </c>
      <c r="Q769">
        <f>'Bookings and Drivers'!Y245</f>
        <v>0</v>
      </c>
      <c r="R769">
        <f>'Bookings and Drivers'!Z245</f>
        <v>0</v>
      </c>
      <c r="S769">
        <f>'Bookings and Drivers'!AA245</f>
        <v>0</v>
      </c>
      <c r="T769">
        <f>'Bookings and Drivers'!AB245</f>
        <v>0</v>
      </c>
      <c r="U769">
        <f>'Bookings and Drivers'!AC245</f>
        <v>0</v>
      </c>
      <c r="V769">
        <f>'Bookings and Drivers'!AD245</f>
        <v>0</v>
      </c>
      <c r="W769">
        <f>'Bookings and Drivers'!AE245</f>
        <v>0</v>
      </c>
      <c r="X769">
        <f>'Bookings and Drivers'!AF245</f>
        <v>0</v>
      </c>
      <c r="Y769">
        <f>'Bookings and Drivers'!AG245</f>
        <v>0</v>
      </c>
      <c r="Z769">
        <f>'Bookings and Drivers'!AH245</f>
        <v>0</v>
      </c>
      <c r="AA769">
        <f>'Bookings and Drivers'!AI245</f>
        <v>0</v>
      </c>
      <c r="AB769">
        <f>'Bookings and Drivers'!AJ245</f>
        <v>0</v>
      </c>
      <c r="AC769">
        <f>'Bookings and Drivers'!AK245</f>
        <v>0</v>
      </c>
      <c r="AD769">
        <f>'Bookings and Drivers'!AL245</f>
        <v>0</v>
      </c>
      <c r="AE769">
        <f>'Bookings and Drivers'!AM245</f>
        <v>0</v>
      </c>
      <c r="AF769">
        <f>'Bookings and Drivers'!AN245</f>
        <v>0</v>
      </c>
      <c r="AG769">
        <f>'Bookings and Drivers'!AO245</f>
        <v>0</v>
      </c>
      <c r="AH769">
        <f>'Bookings and Drivers'!AP245</f>
        <v>0</v>
      </c>
      <c r="AI769">
        <f>'Bookings and Drivers'!AQ245</f>
        <v>0</v>
      </c>
      <c r="AJ769">
        <f>'Bookings and Drivers'!AR245</f>
        <v>0</v>
      </c>
      <c r="AK769">
        <f>'Bookings and Drivers'!AS245</f>
        <v>0</v>
      </c>
      <c r="AL769">
        <f>'Bookings and Drivers'!AT245</f>
        <v>0</v>
      </c>
      <c r="AM769">
        <f>'Bookings and Drivers'!AU245</f>
        <v>0</v>
      </c>
      <c r="AN769">
        <f>'Bookings and Drivers'!AV245</f>
        <v>0</v>
      </c>
      <c r="AO769">
        <f>'Bookings and Drivers'!AW245</f>
        <v>0</v>
      </c>
      <c r="AP769">
        <f>'Bookings and Drivers'!AX245</f>
        <v>0</v>
      </c>
      <c r="AQ769">
        <f>'Bookings and Drivers'!AY245</f>
        <v>0</v>
      </c>
      <c r="AR769">
        <f>'Bookings and Drivers'!AZ245</f>
        <v>0</v>
      </c>
      <c r="AS769">
        <f>'Bookings and Drivers'!BA245</f>
        <v>0</v>
      </c>
      <c r="AT769">
        <f>'Bookings and Drivers'!BB245</f>
        <v>0</v>
      </c>
      <c r="AU769">
        <f>'Bookings and Drivers'!BC245</f>
        <v>0</v>
      </c>
      <c r="AV769">
        <f>'Bookings and Drivers'!BD245</f>
        <v>0</v>
      </c>
      <c r="AW769">
        <f>'Bookings and Drivers'!BE245</f>
        <v>0</v>
      </c>
      <c r="AX769">
        <f>'Bookings and Drivers'!BF245</f>
        <v>0</v>
      </c>
      <c r="AY769">
        <f>'Bookings and Drivers'!BG245</f>
        <v>0</v>
      </c>
      <c r="AZ769">
        <f>'Bookings and Drivers'!BH245</f>
        <v>0</v>
      </c>
      <c r="BA769">
        <f>'Bookings and Drivers'!BI245</f>
        <v>0</v>
      </c>
      <c r="BB769">
        <f>'Bookings and Drivers'!BJ245</f>
        <v>0</v>
      </c>
      <c r="BC769">
        <f>'Bookings and Drivers'!BK245</f>
        <v>0</v>
      </c>
      <c r="BD769">
        <f>'Bookings and Drivers'!BL245</f>
        <v>0</v>
      </c>
      <c r="BE769">
        <f>'Bookings and Drivers'!BM245</f>
        <v>0</v>
      </c>
      <c r="BF769">
        <f>'Bookings and Drivers'!BN245</f>
        <v>0</v>
      </c>
      <c r="BG769">
        <f>'Bookings and Drivers'!BO245</f>
        <v>0</v>
      </c>
      <c r="BH769">
        <f>'Bookings and Drivers'!BP245</f>
        <v>0</v>
      </c>
      <c r="BI769">
        <f>'Bookings and Drivers'!BQ245</f>
        <v>0</v>
      </c>
      <c r="BJ769">
        <f>'Bookings and Drivers'!BR245</f>
        <v>0</v>
      </c>
      <c r="BK769">
        <f>'Bookings and Drivers'!BS245</f>
        <v>0</v>
      </c>
      <c r="BL769">
        <f>'Bookings and Drivers'!BT245</f>
        <v>0</v>
      </c>
      <c r="BM769">
        <f>'Bookings and Drivers'!BU245</f>
        <v>0</v>
      </c>
      <c r="BN769">
        <f>'Bookings and Drivers'!BV245</f>
        <v>0</v>
      </c>
      <c r="BO769">
        <f>'Bookings and Drivers'!BW245</f>
        <v>0</v>
      </c>
      <c r="BP769">
        <f>'Bookings and Drivers'!BX245</f>
        <v>0</v>
      </c>
      <c r="BQ769">
        <f>'Bookings and Drivers'!BY245</f>
        <v>0</v>
      </c>
      <c r="BR769">
        <f>'Bookings and Drivers'!BZ245</f>
        <v>0</v>
      </c>
      <c r="BS769">
        <f>'Bookings and Drivers'!CA245</f>
        <v>0</v>
      </c>
      <c r="BT769">
        <f>'Bookings and Drivers'!CB245</f>
        <v>0</v>
      </c>
      <c r="BU769">
        <f>'Bookings and Drivers'!CC245</f>
        <v>0</v>
      </c>
      <c r="BV769">
        <f>'Bookings and Drivers'!CD245</f>
        <v>0</v>
      </c>
      <c r="BW769">
        <f>'Bookings and Drivers'!CE245</f>
        <v>0</v>
      </c>
      <c r="BX769">
        <f>'Bookings and Drivers'!CF245</f>
        <v>0</v>
      </c>
      <c r="BY769">
        <f>'Bookings and Drivers'!CG245</f>
        <v>0</v>
      </c>
      <c r="BZ769">
        <f>'Bookings and Drivers'!CH245</f>
        <v>0</v>
      </c>
      <c r="CA769">
        <f>'Bookings and Drivers'!CI245</f>
        <v>0</v>
      </c>
      <c r="CB769">
        <f>'Bookings and Drivers'!CJ245</f>
        <v>0</v>
      </c>
      <c r="CC769">
        <f>'Bookings and Drivers'!CK245</f>
        <v>0</v>
      </c>
      <c r="CD769">
        <f>'Bookings and Drivers'!CL245</f>
        <v>0</v>
      </c>
      <c r="CE769">
        <f>'Bookings and Drivers'!CM245</f>
        <v>0</v>
      </c>
      <c r="CF769">
        <f>'Bookings and Drivers'!CN245</f>
        <v>0</v>
      </c>
      <c r="CG769">
        <f>'Bookings and Drivers'!CO245</f>
        <v>0</v>
      </c>
      <c r="CH769">
        <f>'Bookings and Drivers'!CP245</f>
        <v>4879.934386938231</v>
      </c>
      <c r="CI769">
        <f>'Bookings and Drivers'!CQ245</f>
        <v>7599.3936024641234</v>
      </c>
      <c r="CJ769">
        <f>'Bookings and Drivers'!CR245</f>
        <v>12614.993380090445</v>
      </c>
      <c r="CK769">
        <f>'Bookings and Drivers'!CS245</f>
        <v>15190.852433274942</v>
      </c>
      <c r="CL769">
        <f>'Bookings and Drivers'!CT245</f>
        <v>19484.060670768122</v>
      </c>
      <c r="CM769">
        <f>'Bookings and Drivers'!CU245</f>
        <v>24040.447267331336</v>
      </c>
      <c r="CN769">
        <f>'Bookings and Drivers'!CV245</f>
        <v>25555.792966646812</v>
      </c>
      <c r="CO769">
        <f>'Bookings and Drivers'!CW245</f>
        <v>29325.065149480575</v>
      </c>
      <c r="CP769">
        <f>'Bookings and Drivers'!CX245</f>
        <v>33936.40195875123</v>
      </c>
      <c r="CQ769">
        <f>'Bookings and Drivers'!CY245</f>
        <v>39175.207504123195</v>
      </c>
      <c r="CR769">
        <f>'Bookings and Drivers'!CZ245</f>
        <v>43101.064786635936</v>
      </c>
      <c r="CS769">
        <f>'Bookings and Drivers'!DA245</f>
        <v>46549.149969566817</v>
      </c>
      <c r="CT769">
        <f>'Bookings and Drivers'!DB245</f>
        <v>0</v>
      </c>
      <c r="CU769">
        <f>'Bookings and Drivers'!DC245</f>
        <v>0</v>
      </c>
      <c r="CV769">
        <f>'Bookings and Drivers'!DD245</f>
        <v>0</v>
      </c>
      <c r="CW769">
        <f>'Bookings and Drivers'!DE245</f>
        <v>0</v>
      </c>
      <c r="CX769">
        <f>'Bookings and Drivers'!DF245</f>
        <v>0</v>
      </c>
    </row>
    <row r="770" spans="1:102">
      <c r="A770" t="str">
        <f>'Bookings and Drivers'!I246</f>
        <v>APAC</v>
      </c>
      <c r="B770">
        <f>'Bookings and Drivers'!J246</f>
        <v>0</v>
      </c>
      <c r="C770">
        <f>'Bookings and Drivers'!K246</f>
        <v>0</v>
      </c>
      <c r="D770">
        <f>'Bookings and Drivers'!L246</f>
        <v>0</v>
      </c>
      <c r="E770">
        <f>'Bookings and Drivers'!M246</f>
        <v>0</v>
      </c>
      <c r="F770">
        <f>'Bookings and Drivers'!N246</f>
        <v>0</v>
      </c>
      <c r="G770">
        <f>'Bookings and Drivers'!O246</f>
        <v>0</v>
      </c>
      <c r="H770">
        <f>'Bookings and Drivers'!P246</f>
        <v>0</v>
      </c>
      <c r="I770">
        <f>'Bookings and Drivers'!Q246</f>
        <v>0</v>
      </c>
      <c r="J770">
        <f>'Bookings and Drivers'!R246</f>
        <v>0</v>
      </c>
      <c r="K770">
        <f>'Bookings and Drivers'!S246</f>
        <v>0</v>
      </c>
      <c r="L770">
        <f>'Bookings and Drivers'!T246</f>
        <v>0</v>
      </c>
      <c r="M770">
        <f>'Bookings and Drivers'!U246</f>
        <v>0</v>
      </c>
      <c r="N770">
        <f>'Bookings and Drivers'!V246</f>
        <v>0</v>
      </c>
      <c r="O770">
        <f>'Bookings and Drivers'!W246</f>
        <v>0</v>
      </c>
      <c r="P770">
        <f>'Bookings and Drivers'!X246</f>
        <v>0</v>
      </c>
      <c r="Q770">
        <f>'Bookings and Drivers'!Y246</f>
        <v>0</v>
      </c>
      <c r="R770">
        <f>'Bookings and Drivers'!Z246</f>
        <v>0</v>
      </c>
      <c r="S770">
        <f>'Bookings and Drivers'!AA246</f>
        <v>0</v>
      </c>
      <c r="T770">
        <f>'Bookings and Drivers'!AB246</f>
        <v>0</v>
      </c>
      <c r="U770">
        <f>'Bookings and Drivers'!AC246</f>
        <v>0</v>
      </c>
      <c r="V770">
        <f>'Bookings and Drivers'!AD246</f>
        <v>0</v>
      </c>
      <c r="W770">
        <f>'Bookings and Drivers'!AE246</f>
        <v>0</v>
      </c>
      <c r="X770">
        <f>'Bookings and Drivers'!AF246</f>
        <v>0</v>
      </c>
      <c r="Y770">
        <f>'Bookings and Drivers'!AG246</f>
        <v>0</v>
      </c>
      <c r="Z770">
        <f>'Bookings and Drivers'!AH246</f>
        <v>0</v>
      </c>
      <c r="AA770">
        <f>'Bookings and Drivers'!AI246</f>
        <v>0</v>
      </c>
      <c r="AB770">
        <f>'Bookings and Drivers'!AJ246</f>
        <v>0</v>
      </c>
      <c r="AC770">
        <f>'Bookings and Drivers'!AK246</f>
        <v>0</v>
      </c>
      <c r="AD770">
        <f>'Bookings and Drivers'!AL246</f>
        <v>0</v>
      </c>
      <c r="AE770">
        <f>'Bookings and Drivers'!AM246</f>
        <v>0</v>
      </c>
      <c r="AF770">
        <f>'Bookings and Drivers'!AN246</f>
        <v>0</v>
      </c>
      <c r="AG770">
        <f>'Bookings and Drivers'!AO246</f>
        <v>0</v>
      </c>
      <c r="AH770">
        <f>'Bookings and Drivers'!AP246</f>
        <v>0</v>
      </c>
      <c r="AI770">
        <f>'Bookings and Drivers'!AQ246</f>
        <v>0</v>
      </c>
      <c r="AJ770">
        <f>'Bookings and Drivers'!AR246</f>
        <v>0</v>
      </c>
      <c r="AK770">
        <f>'Bookings and Drivers'!AS246</f>
        <v>0</v>
      </c>
      <c r="AL770">
        <f>'Bookings and Drivers'!AT246</f>
        <v>0</v>
      </c>
      <c r="AM770">
        <f>'Bookings and Drivers'!AU246</f>
        <v>0</v>
      </c>
      <c r="AN770">
        <f>'Bookings and Drivers'!AV246</f>
        <v>0</v>
      </c>
      <c r="AO770">
        <f>'Bookings and Drivers'!AW246</f>
        <v>0</v>
      </c>
      <c r="AP770">
        <f>'Bookings and Drivers'!AX246</f>
        <v>0</v>
      </c>
      <c r="AQ770">
        <f>'Bookings and Drivers'!AY246</f>
        <v>0</v>
      </c>
      <c r="AR770">
        <f>'Bookings and Drivers'!AZ246</f>
        <v>0</v>
      </c>
      <c r="AS770">
        <f>'Bookings and Drivers'!BA246</f>
        <v>0</v>
      </c>
      <c r="AT770">
        <f>'Bookings and Drivers'!BB246</f>
        <v>0</v>
      </c>
      <c r="AU770">
        <f>'Bookings and Drivers'!BC246</f>
        <v>0</v>
      </c>
      <c r="AV770">
        <f>'Bookings and Drivers'!BD246</f>
        <v>0</v>
      </c>
      <c r="AW770">
        <f>'Bookings and Drivers'!BE246</f>
        <v>0</v>
      </c>
      <c r="AX770">
        <f>'Bookings and Drivers'!BF246</f>
        <v>0</v>
      </c>
      <c r="AY770">
        <f>'Bookings and Drivers'!BG246</f>
        <v>0</v>
      </c>
      <c r="AZ770">
        <f>'Bookings and Drivers'!BH246</f>
        <v>0</v>
      </c>
      <c r="BA770">
        <f>'Bookings and Drivers'!BI246</f>
        <v>0</v>
      </c>
      <c r="BB770">
        <f>'Bookings and Drivers'!BJ246</f>
        <v>0</v>
      </c>
      <c r="BC770">
        <f>'Bookings and Drivers'!BK246</f>
        <v>0</v>
      </c>
      <c r="BD770">
        <f>'Bookings and Drivers'!BL246</f>
        <v>0</v>
      </c>
      <c r="BE770">
        <f>'Bookings and Drivers'!BM246</f>
        <v>0</v>
      </c>
      <c r="BF770">
        <f>'Bookings and Drivers'!BN246</f>
        <v>0</v>
      </c>
      <c r="BG770">
        <f>'Bookings and Drivers'!BO246</f>
        <v>0</v>
      </c>
      <c r="BH770">
        <f>'Bookings and Drivers'!BP246</f>
        <v>0</v>
      </c>
      <c r="BI770">
        <f>'Bookings and Drivers'!BQ246</f>
        <v>0</v>
      </c>
      <c r="BJ770">
        <f>'Bookings and Drivers'!BR246</f>
        <v>0</v>
      </c>
      <c r="BK770">
        <f>'Bookings and Drivers'!BS246</f>
        <v>0</v>
      </c>
      <c r="BL770">
        <f>'Bookings and Drivers'!BT246</f>
        <v>0</v>
      </c>
      <c r="BM770">
        <f>'Bookings and Drivers'!BU246</f>
        <v>0</v>
      </c>
      <c r="BN770">
        <f>'Bookings and Drivers'!BV246</f>
        <v>0</v>
      </c>
      <c r="BO770">
        <f>'Bookings and Drivers'!BW246</f>
        <v>0</v>
      </c>
      <c r="BP770">
        <f>'Bookings and Drivers'!BX246</f>
        <v>0</v>
      </c>
      <c r="BQ770">
        <f>'Bookings and Drivers'!BY246</f>
        <v>0</v>
      </c>
      <c r="BR770">
        <f>'Bookings and Drivers'!BZ246</f>
        <v>0</v>
      </c>
      <c r="BS770">
        <f>'Bookings and Drivers'!CA246</f>
        <v>0</v>
      </c>
      <c r="BT770">
        <f>'Bookings and Drivers'!CB246</f>
        <v>0</v>
      </c>
      <c r="BU770">
        <f>'Bookings and Drivers'!CC246</f>
        <v>0</v>
      </c>
      <c r="BV770">
        <f>'Bookings and Drivers'!CD246</f>
        <v>0</v>
      </c>
      <c r="BW770">
        <f>'Bookings and Drivers'!CE246</f>
        <v>0</v>
      </c>
      <c r="BX770">
        <f>'Bookings and Drivers'!CF246</f>
        <v>0</v>
      </c>
      <c r="BY770">
        <f>'Bookings and Drivers'!CG246</f>
        <v>0</v>
      </c>
      <c r="BZ770">
        <f>'Bookings and Drivers'!CH246</f>
        <v>0</v>
      </c>
      <c r="CA770">
        <f>'Bookings and Drivers'!CI246</f>
        <v>0</v>
      </c>
      <c r="CB770">
        <f>'Bookings and Drivers'!CJ246</f>
        <v>0</v>
      </c>
      <c r="CC770">
        <f>'Bookings and Drivers'!CK246</f>
        <v>0</v>
      </c>
      <c r="CD770">
        <f>'Bookings and Drivers'!CL246</f>
        <v>0</v>
      </c>
      <c r="CE770">
        <f>'Bookings and Drivers'!CM246</f>
        <v>0</v>
      </c>
      <c r="CF770">
        <f>'Bookings and Drivers'!CN246</f>
        <v>0</v>
      </c>
      <c r="CG770">
        <f>'Bookings and Drivers'!CO246</f>
        <v>0</v>
      </c>
      <c r="CH770">
        <f>'Bookings and Drivers'!CP246</f>
        <v>109.86861306177002</v>
      </c>
      <c r="CI770">
        <f>'Bookings and Drivers'!CQ246</f>
        <v>226.50869753587637</v>
      </c>
      <c r="CJ770">
        <f>'Bookings and Drivers'!CR246</f>
        <v>513.12090314409841</v>
      </c>
      <c r="CK770">
        <f>'Bookings and Drivers'!CS246</f>
        <v>820.9934450305575</v>
      </c>
      <c r="CL770">
        <f>'Bookings and Drivers'!CT246</f>
        <v>1313.5895120488922</v>
      </c>
      <c r="CM770">
        <f>'Bookings and Drivers'!CU246</f>
        <v>1904.7047924708936</v>
      </c>
      <c r="CN770">
        <f>'Bookings and Drivers'!CV246</f>
        <v>2571.3514698357067</v>
      </c>
      <c r="CO770">
        <f>'Bookings and Drivers'!CW246</f>
        <v>3319.5188294337386</v>
      </c>
      <c r="CP770">
        <f>'Bookings and Drivers'!CX246</f>
        <v>4248.9841016751852</v>
      </c>
      <c r="CQ770">
        <f>'Bookings and Drivers'!CY246</f>
        <v>5098.7809220102217</v>
      </c>
      <c r="CR770">
        <f>'Bookings and Drivers'!CZ246</f>
        <v>5996.1663642840203</v>
      </c>
      <c r="CS770">
        <f>'Bookings and Drivers'!DA246</f>
        <v>6893.1928523809092</v>
      </c>
      <c r="CT770">
        <f>'Bookings and Drivers'!DB246</f>
        <v>0</v>
      </c>
      <c r="CU770">
        <f>'Bookings and Drivers'!DC246</f>
        <v>0</v>
      </c>
      <c r="CV770">
        <f>'Bookings and Drivers'!DD246</f>
        <v>0</v>
      </c>
      <c r="CW770">
        <f>'Bookings and Drivers'!DE246</f>
        <v>0</v>
      </c>
      <c r="CX770">
        <f>'Bookings and Drivers'!DF246</f>
        <v>0</v>
      </c>
    </row>
    <row r="771" spans="1:102">
      <c r="A771" t="str">
        <f>'Bookings and Drivers'!I247</f>
        <v>South America</v>
      </c>
      <c r="B771">
        <f>'Bookings and Drivers'!J247</f>
        <v>0</v>
      </c>
      <c r="C771">
        <f>'Bookings and Drivers'!K247</f>
        <v>0</v>
      </c>
      <c r="D771">
        <f>'Bookings and Drivers'!L247</f>
        <v>0</v>
      </c>
      <c r="E771">
        <f>'Bookings and Drivers'!M247</f>
        <v>0</v>
      </c>
      <c r="F771">
        <f>'Bookings and Drivers'!N247</f>
        <v>0</v>
      </c>
      <c r="G771">
        <f>'Bookings and Drivers'!O247</f>
        <v>0</v>
      </c>
      <c r="H771">
        <f>'Bookings and Drivers'!P247</f>
        <v>0</v>
      </c>
      <c r="I771">
        <f>'Bookings and Drivers'!Q247</f>
        <v>0</v>
      </c>
      <c r="J771">
        <f>'Bookings and Drivers'!R247</f>
        <v>0</v>
      </c>
      <c r="K771">
        <f>'Bookings and Drivers'!S247</f>
        <v>0</v>
      </c>
      <c r="L771">
        <f>'Bookings and Drivers'!T247</f>
        <v>0</v>
      </c>
      <c r="M771">
        <f>'Bookings and Drivers'!U247</f>
        <v>0</v>
      </c>
      <c r="N771">
        <f>'Bookings and Drivers'!V247</f>
        <v>0</v>
      </c>
      <c r="O771">
        <f>'Bookings and Drivers'!W247</f>
        <v>0</v>
      </c>
      <c r="P771">
        <f>'Bookings and Drivers'!X247</f>
        <v>0</v>
      </c>
      <c r="Q771">
        <f>'Bookings and Drivers'!Y247</f>
        <v>0</v>
      </c>
      <c r="R771">
        <f>'Bookings and Drivers'!Z247</f>
        <v>0</v>
      </c>
      <c r="S771">
        <f>'Bookings and Drivers'!AA247</f>
        <v>0</v>
      </c>
      <c r="T771">
        <f>'Bookings and Drivers'!AB247</f>
        <v>0</v>
      </c>
      <c r="U771">
        <f>'Bookings and Drivers'!AC247</f>
        <v>0</v>
      </c>
      <c r="V771">
        <f>'Bookings and Drivers'!AD247</f>
        <v>0</v>
      </c>
      <c r="W771">
        <f>'Bookings and Drivers'!AE247</f>
        <v>0</v>
      </c>
      <c r="X771">
        <f>'Bookings and Drivers'!AF247</f>
        <v>0</v>
      </c>
      <c r="Y771">
        <f>'Bookings and Drivers'!AG247</f>
        <v>0</v>
      </c>
      <c r="Z771">
        <f>'Bookings and Drivers'!AH247</f>
        <v>0</v>
      </c>
      <c r="AA771">
        <f>'Bookings and Drivers'!AI247</f>
        <v>0</v>
      </c>
      <c r="AB771">
        <f>'Bookings and Drivers'!AJ247</f>
        <v>0</v>
      </c>
      <c r="AC771">
        <f>'Bookings and Drivers'!AK247</f>
        <v>0</v>
      </c>
      <c r="AD771">
        <f>'Bookings and Drivers'!AL247</f>
        <v>0</v>
      </c>
      <c r="AE771">
        <f>'Bookings and Drivers'!AM247</f>
        <v>0</v>
      </c>
      <c r="AF771">
        <f>'Bookings and Drivers'!AN247</f>
        <v>0</v>
      </c>
      <c r="AG771">
        <f>'Bookings and Drivers'!AO247</f>
        <v>0</v>
      </c>
      <c r="AH771">
        <f>'Bookings and Drivers'!AP247</f>
        <v>0</v>
      </c>
      <c r="AI771">
        <f>'Bookings and Drivers'!AQ247</f>
        <v>0</v>
      </c>
      <c r="AJ771">
        <f>'Bookings and Drivers'!AR247</f>
        <v>0</v>
      </c>
      <c r="AK771">
        <f>'Bookings and Drivers'!AS247</f>
        <v>0</v>
      </c>
      <c r="AL771">
        <f>'Bookings and Drivers'!AT247</f>
        <v>0</v>
      </c>
      <c r="AM771">
        <f>'Bookings and Drivers'!AU247</f>
        <v>0</v>
      </c>
      <c r="AN771">
        <f>'Bookings and Drivers'!AV247</f>
        <v>0</v>
      </c>
      <c r="AO771">
        <f>'Bookings and Drivers'!AW247</f>
        <v>1188.1171217830704</v>
      </c>
      <c r="AP771">
        <f>'Bookings and Drivers'!AX247</f>
        <v>0</v>
      </c>
      <c r="AQ771">
        <f>'Bookings and Drivers'!AY247</f>
        <v>0</v>
      </c>
      <c r="AR771">
        <f>'Bookings and Drivers'!AZ247</f>
        <v>0</v>
      </c>
      <c r="AS771">
        <f>'Bookings and Drivers'!BA247</f>
        <v>0</v>
      </c>
      <c r="AT771">
        <f>'Bookings and Drivers'!BB247</f>
        <v>0</v>
      </c>
      <c r="AU771">
        <f>'Bookings and Drivers'!BC247</f>
        <v>0</v>
      </c>
      <c r="AV771">
        <f>'Bookings and Drivers'!BD247</f>
        <v>0</v>
      </c>
      <c r="AW771">
        <f>'Bookings and Drivers'!BE247</f>
        <v>0</v>
      </c>
      <c r="AX771">
        <f>'Bookings and Drivers'!BF247</f>
        <v>0</v>
      </c>
      <c r="AY771">
        <f>'Bookings and Drivers'!BG247</f>
        <v>0</v>
      </c>
      <c r="AZ771">
        <f>'Bookings and Drivers'!BH247</f>
        <v>0</v>
      </c>
      <c r="BA771">
        <f>'Bookings and Drivers'!BI247</f>
        <v>0</v>
      </c>
      <c r="BB771">
        <f>'Bookings and Drivers'!BJ247</f>
        <v>0</v>
      </c>
      <c r="BC771">
        <f>'Bookings and Drivers'!BK247</f>
        <v>0</v>
      </c>
      <c r="BD771">
        <f>'Bookings and Drivers'!BL247</f>
        <v>0</v>
      </c>
      <c r="BE771">
        <f>'Bookings and Drivers'!BM247</f>
        <v>0</v>
      </c>
      <c r="BF771">
        <f>'Bookings and Drivers'!BN247</f>
        <v>0</v>
      </c>
      <c r="BG771">
        <f>'Bookings and Drivers'!BO247</f>
        <v>0</v>
      </c>
      <c r="BH771">
        <f>'Bookings and Drivers'!BP247</f>
        <v>0</v>
      </c>
      <c r="BI771">
        <f>'Bookings and Drivers'!BQ247</f>
        <v>0</v>
      </c>
      <c r="BJ771">
        <f>'Bookings and Drivers'!BR247</f>
        <v>0</v>
      </c>
      <c r="BK771">
        <f>'Bookings and Drivers'!BS247</f>
        <v>0</v>
      </c>
      <c r="BL771">
        <f>'Bookings and Drivers'!BT247</f>
        <v>0</v>
      </c>
      <c r="BM771">
        <f>'Bookings and Drivers'!BU247</f>
        <v>0</v>
      </c>
      <c r="BN771">
        <f>'Bookings and Drivers'!BV247</f>
        <v>0</v>
      </c>
      <c r="BO771">
        <f>'Bookings and Drivers'!BW247</f>
        <v>0</v>
      </c>
      <c r="BP771">
        <f>'Bookings and Drivers'!BX247</f>
        <v>0</v>
      </c>
      <c r="BQ771">
        <f>'Bookings and Drivers'!BY247</f>
        <v>0</v>
      </c>
      <c r="BR771">
        <f>'Bookings and Drivers'!BZ247</f>
        <v>0</v>
      </c>
      <c r="BS771">
        <f>'Bookings and Drivers'!CA247</f>
        <v>0</v>
      </c>
      <c r="BT771">
        <f>'Bookings and Drivers'!CB247</f>
        <v>0</v>
      </c>
      <c r="BU771">
        <f>'Bookings and Drivers'!CC247</f>
        <v>0</v>
      </c>
      <c r="BV771">
        <f>'Bookings and Drivers'!CD247</f>
        <v>0</v>
      </c>
      <c r="BW771">
        <f>'Bookings and Drivers'!CE247</f>
        <v>0</v>
      </c>
      <c r="BX771">
        <f>'Bookings and Drivers'!CF247</f>
        <v>0</v>
      </c>
      <c r="BY771">
        <f>'Bookings and Drivers'!CG247</f>
        <v>0</v>
      </c>
      <c r="BZ771">
        <f>'Bookings and Drivers'!CH247</f>
        <v>0</v>
      </c>
      <c r="CA771">
        <f>'Bookings and Drivers'!CI247</f>
        <v>0</v>
      </c>
      <c r="CB771">
        <f>'Bookings and Drivers'!CJ247</f>
        <v>0</v>
      </c>
      <c r="CC771">
        <f>'Bookings and Drivers'!CK247</f>
        <v>0</v>
      </c>
      <c r="CD771">
        <f>'Bookings and Drivers'!CL247</f>
        <v>0</v>
      </c>
      <c r="CE771">
        <f>'Bookings and Drivers'!CM247</f>
        <v>0</v>
      </c>
      <c r="CF771">
        <f>'Bookings and Drivers'!CN247</f>
        <v>0</v>
      </c>
      <c r="CG771">
        <f>'Bookings and Drivers'!CO247</f>
        <v>0</v>
      </c>
      <c r="CH771">
        <f>'Bookings and Drivers'!CP247</f>
        <v>100</v>
      </c>
      <c r="CI771">
        <f>'Bookings and Drivers'!CQ247</f>
        <v>286.86250000000001</v>
      </c>
      <c r="CJ771">
        <f>'Bookings and Drivers'!CR247</f>
        <v>573.72500000000002</v>
      </c>
      <c r="CK771">
        <f>'Bookings and Drivers'!CS247</f>
        <v>1434.3125</v>
      </c>
      <c r="CL771">
        <f>'Bookings and Drivers'!CT247</f>
        <v>2366.6156249999999</v>
      </c>
      <c r="CM771">
        <f>'Bookings and Drivers'!CU247</f>
        <v>3668.2542187499998</v>
      </c>
      <c r="CN771">
        <f>'Bookings and Drivers'!CV247</f>
        <v>4585.3177734374995</v>
      </c>
      <c r="CO771">
        <f>'Bookings and Drivers'!CW247</f>
        <v>6052.6194609374998</v>
      </c>
      <c r="CP771">
        <f>'Bookings and Drivers'!CX247</f>
        <v>7142.0909639062493</v>
      </c>
      <c r="CQ771">
        <f>'Bookings and Drivers'!CY247</f>
        <v>8141.9836988531251</v>
      </c>
      <c r="CR771">
        <f>'Bookings and Drivers'!CZ247</f>
        <v>9119.0217427155003</v>
      </c>
      <c r="CS771">
        <f>'Bookings and Drivers'!DA247</f>
        <v>10122.114134414207</v>
      </c>
      <c r="CT771">
        <f>'Bookings and Drivers'!DB247</f>
        <v>0</v>
      </c>
      <c r="CU771">
        <f>'Bookings and Drivers'!DC247</f>
        <v>0</v>
      </c>
      <c r="CV771">
        <f>'Bookings and Drivers'!DD247</f>
        <v>0</v>
      </c>
      <c r="CW771">
        <f>'Bookings and Drivers'!DE247</f>
        <v>0</v>
      </c>
      <c r="CX771">
        <f>'Bookings and Drivers'!DF247</f>
        <v>0</v>
      </c>
    </row>
    <row r="772" spans="1:102">
      <c r="A772" t="str">
        <f>'Bookings and Drivers'!I248</f>
        <v>US/Other</v>
      </c>
      <c r="B772">
        <f>'Bookings and Drivers'!J248</f>
        <v>0</v>
      </c>
      <c r="C772">
        <f>'Bookings and Drivers'!K248</f>
        <v>0</v>
      </c>
      <c r="D772">
        <f>'Bookings and Drivers'!L248</f>
        <v>0</v>
      </c>
      <c r="E772">
        <f>'Bookings and Drivers'!M248</f>
        <v>0</v>
      </c>
      <c r="F772">
        <f>'Bookings and Drivers'!N248</f>
        <v>0</v>
      </c>
      <c r="G772">
        <f>'Bookings and Drivers'!O248</f>
        <v>0</v>
      </c>
      <c r="H772">
        <f>'Bookings and Drivers'!P248</f>
        <v>0</v>
      </c>
      <c r="I772">
        <f>'Bookings and Drivers'!Q248</f>
        <v>0</v>
      </c>
      <c r="J772">
        <f>'Bookings and Drivers'!R248</f>
        <v>0</v>
      </c>
      <c r="K772">
        <f>'Bookings and Drivers'!S248</f>
        <v>0</v>
      </c>
      <c r="L772">
        <f>'Bookings and Drivers'!T248</f>
        <v>0</v>
      </c>
      <c r="M772">
        <f>'Bookings and Drivers'!U248</f>
        <v>0</v>
      </c>
      <c r="N772">
        <f>'Bookings and Drivers'!V248</f>
        <v>0</v>
      </c>
      <c r="O772">
        <f>'Bookings and Drivers'!W248</f>
        <v>0</v>
      </c>
      <c r="P772">
        <f>'Bookings and Drivers'!X248</f>
        <v>0</v>
      </c>
      <c r="Q772">
        <f>'Bookings and Drivers'!Y248</f>
        <v>0</v>
      </c>
      <c r="R772">
        <f>'Bookings and Drivers'!Z248</f>
        <v>0</v>
      </c>
      <c r="S772">
        <f>'Bookings and Drivers'!AA248</f>
        <v>0</v>
      </c>
      <c r="T772">
        <f>'Bookings and Drivers'!AB248</f>
        <v>0</v>
      </c>
      <c r="U772">
        <f>'Bookings and Drivers'!AC248</f>
        <v>0</v>
      </c>
      <c r="V772">
        <f>'Bookings and Drivers'!AD248</f>
        <v>0</v>
      </c>
      <c r="W772">
        <f>'Bookings and Drivers'!AE248</f>
        <v>0</v>
      </c>
      <c r="X772">
        <f>'Bookings and Drivers'!AF248</f>
        <v>0</v>
      </c>
      <c r="Y772">
        <f>'Bookings and Drivers'!AG248</f>
        <v>0</v>
      </c>
      <c r="Z772">
        <f>'Bookings and Drivers'!AH248</f>
        <v>0</v>
      </c>
      <c r="AA772">
        <f>'Bookings and Drivers'!AI248</f>
        <v>0</v>
      </c>
      <c r="AB772">
        <f>'Bookings and Drivers'!AJ248</f>
        <v>0</v>
      </c>
      <c r="AC772">
        <f>'Bookings and Drivers'!AK248</f>
        <v>0</v>
      </c>
      <c r="AD772">
        <f>'Bookings and Drivers'!AL248</f>
        <v>0</v>
      </c>
      <c r="AE772">
        <f>'Bookings and Drivers'!AM248</f>
        <v>0</v>
      </c>
      <c r="AF772">
        <f>'Bookings and Drivers'!AN248</f>
        <v>0</v>
      </c>
      <c r="AG772">
        <f>'Bookings and Drivers'!AO248</f>
        <v>0</v>
      </c>
      <c r="AH772">
        <f>'Bookings and Drivers'!AP248</f>
        <v>0</v>
      </c>
      <c r="AI772">
        <f>'Bookings and Drivers'!AQ248</f>
        <v>0</v>
      </c>
      <c r="AJ772">
        <f>'Bookings and Drivers'!AR248</f>
        <v>0</v>
      </c>
      <c r="AK772">
        <f>'Bookings and Drivers'!AS248</f>
        <v>0</v>
      </c>
      <c r="AL772">
        <f>'Bookings and Drivers'!AT248</f>
        <v>0</v>
      </c>
      <c r="AM772">
        <f>'Bookings and Drivers'!AU248</f>
        <v>0</v>
      </c>
      <c r="AN772">
        <f>'Bookings and Drivers'!AV248</f>
        <v>0</v>
      </c>
      <c r="AO772">
        <f>'Bookings and Drivers'!AW248</f>
        <v>0</v>
      </c>
      <c r="AP772">
        <f>'Bookings and Drivers'!AX248</f>
        <v>0</v>
      </c>
      <c r="AQ772">
        <f>'Bookings and Drivers'!AY248</f>
        <v>0</v>
      </c>
      <c r="AR772">
        <f>'Bookings and Drivers'!AZ248</f>
        <v>0</v>
      </c>
      <c r="AS772">
        <f>'Bookings and Drivers'!BA248</f>
        <v>0</v>
      </c>
      <c r="AT772">
        <f>'Bookings and Drivers'!BB248</f>
        <v>0</v>
      </c>
      <c r="AU772">
        <f>'Bookings and Drivers'!BC248</f>
        <v>0</v>
      </c>
      <c r="AV772">
        <f>'Bookings and Drivers'!BD248</f>
        <v>0</v>
      </c>
      <c r="AW772">
        <f>'Bookings and Drivers'!BE248</f>
        <v>0</v>
      </c>
      <c r="AX772">
        <f>'Bookings and Drivers'!BF248</f>
        <v>0</v>
      </c>
      <c r="AY772">
        <f>'Bookings and Drivers'!BG248</f>
        <v>0</v>
      </c>
      <c r="AZ772">
        <f>'Bookings and Drivers'!BH248</f>
        <v>0</v>
      </c>
      <c r="BA772">
        <f>'Bookings and Drivers'!BI248</f>
        <v>0</v>
      </c>
      <c r="BB772">
        <f>'Bookings and Drivers'!BJ248</f>
        <v>0</v>
      </c>
      <c r="BC772">
        <f>'Bookings and Drivers'!BK248</f>
        <v>0</v>
      </c>
      <c r="BD772">
        <f>'Bookings and Drivers'!BL248</f>
        <v>0</v>
      </c>
      <c r="BE772">
        <f>'Bookings and Drivers'!BM248</f>
        <v>0</v>
      </c>
      <c r="BF772">
        <f>'Bookings and Drivers'!BN248</f>
        <v>0</v>
      </c>
      <c r="BG772">
        <f>'Bookings and Drivers'!BO248</f>
        <v>0</v>
      </c>
      <c r="BH772">
        <f>'Bookings and Drivers'!BP248</f>
        <v>0</v>
      </c>
      <c r="BI772">
        <f>'Bookings and Drivers'!BQ248</f>
        <v>0</v>
      </c>
      <c r="BJ772">
        <f>'Bookings and Drivers'!BR248</f>
        <v>0</v>
      </c>
      <c r="BK772">
        <f>'Bookings and Drivers'!BS248</f>
        <v>0</v>
      </c>
      <c r="BL772">
        <f>'Bookings and Drivers'!BT248</f>
        <v>0</v>
      </c>
      <c r="BM772">
        <f>'Bookings and Drivers'!BU248</f>
        <v>0</v>
      </c>
      <c r="BN772">
        <f>'Bookings and Drivers'!BV248</f>
        <v>0</v>
      </c>
      <c r="BO772">
        <f>'Bookings and Drivers'!BW248</f>
        <v>0</v>
      </c>
      <c r="BP772">
        <f>'Bookings and Drivers'!BX248</f>
        <v>0</v>
      </c>
      <c r="BQ772">
        <f>'Bookings and Drivers'!BY248</f>
        <v>0</v>
      </c>
      <c r="BR772">
        <f>'Bookings and Drivers'!BZ248</f>
        <v>0</v>
      </c>
      <c r="BS772">
        <f>'Bookings and Drivers'!CA248</f>
        <v>0</v>
      </c>
      <c r="BT772">
        <f>'Bookings and Drivers'!CB248</f>
        <v>0</v>
      </c>
      <c r="BU772">
        <f>'Bookings and Drivers'!CC248</f>
        <v>0</v>
      </c>
      <c r="BV772">
        <f>'Bookings and Drivers'!CD248</f>
        <v>0</v>
      </c>
      <c r="BW772">
        <f>'Bookings and Drivers'!CE248</f>
        <v>0</v>
      </c>
      <c r="BX772">
        <f>'Bookings and Drivers'!CF248</f>
        <v>0</v>
      </c>
      <c r="BY772">
        <f>'Bookings and Drivers'!CG248</f>
        <v>0</v>
      </c>
      <c r="BZ772">
        <f>'Bookings and Drivers'!CH248</f>
        <v>0</v>
      </c>
      <c r="CA772">
        <f>'Bookings and Drivers'!CI248</f>
        <v>0</v>
      </c>
      <c r="CB772">
        <f>'Bookings and Drivers'!CJ248</f>
        <v>0</v>
      </c>
      <c r="CC772">
        <f>'Bookings and Drivers'!CK248</f>
        <v>0</v>
      </c>
      <c r="CD772">
        <f>'Bookings and Drivers'!CL248</f>
        <v>0</v>
      </c>
      <c r="CE772">
        <f>'Bookings and Drivers'!CM248</f>
        <v>5.2288000000000006</v>
      </c>
      <c r="CF772">
        <f>'Bookings and Drivers'!CN248</f>
        <v>0</v>
      </c>
      <c r="CG772">
        <f>'Bookings and Drivers'!CO248</f>
        <v>0</v>
      </c>
      <c r="CH772">
        <f>'Bookings and Drivers'!CP248</f>
        <v>300</v>
      </c>
      <c r="CI772">
        <f>'Bookings and Drivers'!CQ248</f>
        <v>450</v>
      </c>
      <c r="CJ772">
        <f>'Bookings and Drivers'!CR248</f>
        <v>1135.5177267654576</v>
      </c>
      <c r="CK772">
        <f>'Bookings and Drivers'!CS248</f>
        <v>1442.1579729424532</v>
      </c>
      <c r="CL772">
        <f>'Bookings and Drivers'!CT248</f>
        <v>1849.7377658736793</v>
      </c>
      <c r="CM772">
        <f>'Bookings and Drivers'!CU248</f>
        <v>2282.3026457515321</v>
      </c>
      <c r="CN772">
        <f>'Bookings and Drivers'!CV248</f>
        <v>2426.1634258908293</v>
      </c>
      <c r="CO772">
        <f>'Bookings and Drivers'!CW248</f>
        <v>3158.322564226231</v>
      </c>
      <c r="CP772">
        <f>'Bookings and Drivers'!CX248</f>
        <v>3938.5405068004807</v>
      </c>
      <c r="CQ772">
        <f>'Bookings and Drivers'!CY248</f>
        <v>5051.7089061946735</v>
      </c>
      <c r="CR772">
        <f>'Bookings and Drivers'!CZ248</f>
        <v>6063.2234254383047</v>
      </c>
      <c r="CS772">
        <f>'Bookings and Drivers'!DA248</f>
        <v>6972.7069392540498</v>
      </c>
      <c r="CT772">
        <f>'Bookings and Drivers'!DB248</f>
        <v>0</v>
      </c>
      <c r="CU772">
        <f>'Bookings and Drivers'!DC248</f>
        <v>0</v>
      </c>
      <c r="CV772">
        <f>'Bookings and Drivers'!DD248</f>
        <v>0</v>
      </c>
      <c r="CW772">
        <f>'Bookings and Drivers'!DE248</f>
        <v>0</v>
      </c>
      <c r="CX772">
        <f>'Bookings and Drivers'!DF248</f>
        <v>0</v>
      </c>
    </row>
    <row r="773" spans="1:102">
      <c r="A773" t="str">
        <f>'Bookings and Drivers'!I249</f>
        <v>Booking.com Hotel Bookings</v>
      </c>
      <c r="B773">
        <f>'Bookings and Drivers'!J249</f>
        <v>0</v>
      </c>
      <c r="C773">
        <f>'Bookings and Drivers'!K249</f>
        <v>0</v>
      </c>
      <c r="D773">
        <f>'Bookings and Drivers'!L249</f>
        <v>0</v>
      </c>
      <c r="E773">
        <f>'Bookings and Drivers'!M249</f>
        <v>0</v>
      </c>
      <c r="F773">
        <f>'Bookings and Drivers'!N249</f>
        <v>0</v>
      </c>
      <c r="G773">
        <f>'Bookings and Drivers'!O249</f>
        <v>0</v>
      </c>
      <c r="H773">
        <f>'Bookings and Drivers'!P249</f>
        <v>0</v>
      </c>
      <c r="I773">
        <f>'Bookings and Drivers'!Q249</f>
        <v>0</v>
      </c>
      <c r="J773">
        <f>'Bookings and Drivers'!R249</f>
        <v>0</v>
      </c>
      <c r="K773">
        <f>'Bookings and Drivers'!S249</f>
        <v>0</v>
      </c>
      <c r="L773">
        <f>'Bookings and Drivers'!T249</f>
        <v>0</v>
      </c>
      <c r="M773">
        <f>'Bookings and Drivers'!U249</f>
        <v>0</v>
      </c>
      <c r="N773">
        <f>'Bookings and Drivers'!V249</f>
        <v>0</v>
      </c>
      <c r="O773">
        <f>'Bookings and Drivers'!W249</f>
        <v>0</v>
      </c>
      <c r="P773">
        <f>'Bookings and Drivers'!X249</f>
        <v>0</v>
      </c>
      <c r="Q773">
        <f>'Bookings and Drivers'!Y249</f>
        <v>0</v>
      </c>
      <c r="R773">
        <f>'Bookings and Drivers'!Z249</f>
        <v>0</v>
      </c>
      <c r="S773">
        <f>'Bookings and Drivers'!AA249</f>
        <v>0</v>
      </c>
      <c r="T773">
        <f>'Bookings and Drivers'!AB249</f>
        <v>0</v>
      </c>
      <c r="U773">
        <f>'Bookings and Drivers'!AC249</f>
        <v>0</v>
      </c>
      <c r="V773">
        <f>'Bookings and Drivers'!AD249</f>
        <v>0</v>
      </c>
      <c r="W773">
        <f>'Bookings and Drivers'!AE249</f>
        <v>0</v>
      </c>
      <c r="X773">
        <f>'Bookings and Drivers'!AF249</f>
        <v>0</v>
      </c>
      <c r="Y773">
        <f>'Bookings and Drivers'!AG249</f>
        <v>0</v>
      </c>
      <c r="Z773">
        <f>'Bookings and Drivers'!AH249</f>
        <v>0</v>
      </c>
      <c r="AA773">
        <f>'Bookings and Drivers'!AI249</f>
        <v>0</v>
      </c>
      <c r="AB773">
        <f>'Bookings and Drivers'!AJ249</f>
        <v>0</v>
      </c>
      <c r="AC773">
        <f>'Bookings and Drivers'!AK249</f>
        <v>0</v>
      </c>
      <c r="AD773">
        <f>'Bookings and Drivers'!AL249</f>
        <v>0</v>
      </c>
      <c r="AE773">
        <f>'Bookings and Drivers'!AM249</f>
        <v>0</v>
      </c>
      <c r="AF773">
        <f>'Bookings and Drivers'!AN249</f>
        <v>0</v>
      </c>
      <c r="AG773">
        <f>'Bookings and Drivers'!AO249</f>
        <v>0</v>
      </c>
      <c r="AH773">
        <f>'Bookings and Drivers'!AP249</f>
        <v>0</v>
      </c>
      <c r="AI773">
        <f>'Bookings and Drivers'!AQ249</f>
        <v>0</v>
      </c>
      <c r="AJ773">
        <f>'Bookings and Drivers'!AR249</f>
        <v>0</v>
      </c>
      <c r="AK773">
        <f>'Bookings and Drivers'!AS249</f>
        <v>0</v>
      </c>
      <c r="AL773">
        <f>'Bookings and Drivers'!AT249</f>
        <v>0</v>
      </c>
      <c r="AM773">
        <f>'Bookings and Drivers'!AU249</f>
        <v>0</v>
      </c>
      <c r="AN773">
        <f>'Bookings and Drivers'!AV249</f>
        <v>0</v>
      </c>
      <c r="AO773">
        <f>'Bookings and Drivers'!AW249</f>
        <v>0</v>
      </c>
      <c r="AP773">
        <f>'Bookings and Drivers'!AX249</f>
        <v>0</v>
      </c>
      <c r="AQ773">
        <f>'Bookings and Drivers'!AY249</f>
        <v>0</v>
      </c>
      <c r="AR773">
        <f>'Bookings and Drivers'!AZ249</f>
        <v>0</v>
      </c>
      <c r="AS773">
        <f>'Bookings and Drivers'!BA249</f>
        <v>0</v>
      </c>
      <c r="AT773">
        <f>'Bookings and Drivers'!BB249</f>
        <v>0</v>
      </c>
      <c r="AU773">
        <f>'Bookings and Drivers'!BC249</f>
        <v>0</v>
      </c>
      <c r="AV773">
        <f>'Bookings and Drivers'!BD249</f>
        <v>0</v>
      </c>
      <c r="AW773">
        <f>'Bookings and Drivers'!BE249</f>
        <v>0</v>
      </c>
      <c r="AX773">
        <f>'Bookings and Drivers'!BF249</f>
        <v>0</v>
      </c>
      <c r="AY773">
        <f>'Bookings and Drivers'!BG249</f>
        <v>0</v>
      </c>
      <c r="AZ773">
        <f>'Bookings and Drivers'!BH249</f>
        <v>0</v>
      </c>
      <c r="BA773">
        <f>'Bookings and Drivers'!BI249</f>
        <v>0</v>
      </c>
      <c r="BB773">
        <f>'Bookings and Drivers'!BJ249</f>
        <v>0</v>
      </c>
      <c r="BC773">
        <f>'Bookings and Drivers'!BK249</f>
        <v>0</v>
      </c>
      <c r="BD773">
        <f>'Bookings and Drivers'!BL249</f>
        <v>0</v>
      </c>
      <c r="BE773">
        <f>'Bookings and Drivers'!BM249</f>
        <v>0</v>
      </c>
      <c r="BF773">
        <f>'Bookings and Drivers'!BN249</f>
        <v>0</v>
      </c>
      <c r="BG773">
        <f>'Bookings and Drivers'!BO249</f>
        <v>0</v>
      </c>
      <c r="BH773">
        <f>'Bookings and Drivers'!BP249</f>
        <v>0</v>
      </c>
      <c r="BI773">
        <f>'Bookings and Drivers'!BQ249</f>
        <v>0</v>
      </c>
      <c r="BJ773">
        <f>'Bookings and Drivers'!BR249</f>
        <v>0</v>
      </c>
      <c r="BK773">
        <f>'Bookings and Drivers'!BS249</f>
        <v>0</v>
      </c>
      <c r="BL773">
        <f>'Bookings and Drivers'!BT249</f>
        <v>0</v>
      </c>
      <c r="BM773">
        <f>'Bookings and Drivers'!BU249</f>
        <v>0</v>
      </c>
      <c r="BN773">
        <f>'Bookings and Drivers'!BV249</f>
        <v>0</v>
      </c>
      <c r="BO773">
        <f>'Bookings and Drivers'!BW249</f>
        <v>0</v>
      </c>
      <c r="BP773">
        <f>'Bookings and Drivers'!BX249</f>
        <v>0</v>
      </c>
      <c r="BQ773">
        <f>'Bookings and Drivers'!BY249</f>
        <v>0</v>
      </c>
      <c r="BR773">
        <f>'Bookings and Drivers'!BZ249</f>
        <v>0</v>
      </c>
      <c r="BS773">
        <f>'Bookings and Drivers'!CA249</f>
        <v>0</v>
      </c>
      <c r="BT773">
        <f>'Bookings and Drivers'!CB249</f>
        <v>0</v>
      </c>
      <c r="BU773">
        <f>'Bookings and Drivers'!CC249</f>
        <v>0</v>
      </c>
      <c r="BV773">
        <f>'Bookings and Drivers'!CD249</f>
        <v>0</v>
      </c>
      <c r="BW773">
        <f>'Bookings and Drivers'!CE249</f>
        <v>0</v>
      </c>
      <c r="BX773">
        <f>'Bookings and Drivers'!CF249</f>
        <v>0</v>
      </c>
      <c r="BY773">
        <f>'Bookings and Drivers'!CG249</f>
        <v>0</v>
      </c>
      <c r="BZ773">
        <f>'Bookings and Drivers'!CH249</f>
        <v>0</v>
      </c>
      <c r="CA773">
        <f>'Bookings and Drivers'!CI249</f>
        <v>0</v>
      </c>
      <c r="CB773">
        <f>'Bookings and Drivers'!CJ249</f>
        <v>0</v>
      </c>
      <c r="CC773">
        <f>'Bookings and Drivers'!CK249</f>
        <v>0</v>
      </c>
      <c r="CD773">
        <f>'Bookings and Drivers'!CL249</f>
        <v>0</v>
      </c>
      <c r="CE773">
        <f>'Bookings and Drivers'!CM249</f>
        <v>0</v>
      </c>
      <c r="CF773">
        <f>'Bookings and Drivers'!CN249</f>
        <v>0</v>
      </c>
      <c r="CG773">
        <f>'Bookings and Drivers'!CO249</f>
        <v>0</v>
      </c>
      <c r="CH773">
        <f>'Bookings and Drivers'!CP251</f>
        <v>5389.8030000000008</v>
      </c>
      <c r="CI773">
        <f>'Bookings and Drivers'!CQ251</f>
        <v>8562.7648000000008</v>
      </c>
      <c r="CJ773">
        <f>'Bookings and Drivers'!CR251</f>
        <v>14837.357010000002</v>
      </c>
      <c r="CK773">
        <f>'Bookings and Drivers'!CS251</f>
        <v>19950.632476999999</v>
      </c>
      <c r="CL773">
        <f>'Bookings and Drivers'!CT251</f>
        <v>28452.804142380002</v>
      </c>
      <c r="CM773">
        <f>'Bookings and Drivers'!CU251</f>
        <v>37404.605909094003</v>
      </c>
      <c r="CN773">
        <f>'Bookings and Drivers'!CV251</f>
        <v>41985.674065920794</v>
      </c>
      <c r="CO773">
        <f>'Bookings and Drivers'!CW251</f>
        <v>52572.646367743859</v>
      </c>
      <c r="CP773">
        <f>'Bookings and Drivers'!CX251</f>
        <v>63585.2307414596</v>
      </c>
      <c r="CQ773">
        <f>'Bookings and Drivers'!CY251</f>
        <v>77462.733323608642</v>
      </c>
      <c r="CR773">
        <f>'Bookings and Drivers'!CZ251</f>
        <v>90008.38687340969</v>
      </c>
      <c r="CS773">
        <f>'Bookings and Drivers'!DA251</f>
        <v>102451.01707138239</v>
      </c>
      <c r="CT773">
        <f>'Bookings and Drivers'!DB251</f>
        <v>0</v>
      </c>
      <c r="CU773">
        <f>'Bookings and Drivers'!DC251</f>
        <v>0</v>
      </c>
      <c r="CV773">
        <f>'Bookings and Drivers'!DD251</f>
        <v>0</v>
      </c>
      <c r="CW773">
        <f>'Bookings and Drivers'!DE251</f>
        <v>0</v>
      </c>
      <c r="CX773">
        <f>'Bookings and Drivers'!DF251</f>
        <v>0</v>
      </c>
    </row>
    <row r="774" spans="1:102">
      <c r="A774" t="str">
        <f>'Bookings and Drivers'!I250</f>
        <v>Vacation Rentals</v>
      </c>
      <c r="B774">
        <f>'Bookings and Drivers'!J250</f>
        <v>0</v>
      </c>
      <c r="C774">
        <f>'Bookings and Drivers'!K250</f>
        <v>0</v>
      </c>
      <c r="D774">
        <f>'Bookings and Drivers'!L250</f>
        <v>0</v>
      </c>
      <c r="E774">
        <f>'Bookings and Drivers'!M250</f>
        <v>0</v>
      </c>
      <c r="F774">
        <f>'Bookings and Drivers'!N250</f>
        <v>0</v>
      </c>
      <c r="G774">
        <f>'Bookings and Drivers'!O250</f>
        <v>0</v>
      </c>
      <c r="H774">
        <f>'Bookings and Drivers'!P250</f>
        <v>0</v>
      </c>
      <c r="I774">
        <f>'Bookings and Drivers'!Q250</f>
        <v>0</v>
      </c>
      <c r="J774">
        <f>'Bookings and Drivers'!R250</f>
        <v>0</v>
      </c>
      <c r="K774">
        <f>'Bookings and Drivers'!S250</f>
        <v>0</v>
      </c>
      <c r="L774">
        <f>'Bookings and Drivers'!T250</f>
        <v>0</v>
      </c>
      <c r="M774">
        <f>'Bookings and Drivers'!U250</f>
        <v>0</v>
      </c>
      <c r="N774">
        <f>'Bookings and Drivers'!V250</f>
        <v>0</v>
      </c>
      <c r="O774">
        <f>'Bookings and Drivers'!W250</f>
        <v>0</v>
      </c>
      <c r="P774">
        <f>'Bookings and Drivers'!X250</f>
        <v>0</v>
      </c>
      <c r="Q774">
        <f>'Bookings and Drivers'!Y250</f>
        <v>0</v>
      </c>
      <c r="R774">
        <f>'Bookings and Drivers'!Z250</f>
        <v>0</v>
      </c>
      <c r="S774">
        <f>'Bookings and Drivers'!AA250</f>
        <v>0</v>
      </c>
      <c r="T774">
        <f>'Bookings and Drivers'!AB250</f>
        <v>0</v>
      </c>
      <c r="U774">
        <f>'Bookings and Drivers'!AC250</f>
        <v>0</v>
      </c>
      <c r="V774">
        <f>'Bookings and Drivers'!AD250</f>
        <v>0</v>
      </c>
      <c r="W774">
        <f>'Bookings and Drivers'!AE250</f>
        <v>0</v>
      </c>
      <c r="X774">
        <f>'Bookings and Drivers'!AF250</f>
        <v>0</v>
      </c>
      <c r="Y774">
        <f>'Bookings and Drivers'!AG250</f>
        <v>0</v>
      </c>
      <c r="Z774">
        <f>'Bookings and Drivers'!AH250</f>
        <v>0</v>
      </c>
      <c r="AA774">
        <f>'Bookings and Drivers'!AI250</f>
        <v>0</v>
      </c>
      <c r="AB774">
        <f>'Bookings and Drivers'!AJ250</f>
        <v>0</v>
      </c>
      <c r="AC774">
        <f>'Bookings and Drivers'!AK250</f>
        <v>0</v>
      </c>
      <c r="AD774">
        <f>'Bookings and Drivers'!AL250</f>
        <v>0</v>
      </c>
      <c r="AE774">
        <f>'Bookings and Drivers'!AM250</f>
        <v>0</v>
      </c>
      <c r="AF774">
        <f>'Bookings and Drivers'!AN250</f>
        <v>0</v>
      </c>
      <c r="AG774">
        <f>'Bookings and Drivers'!AO250</f>
        <v>0</v>
      </c>
      <c r="AH774">
        <f>'Bookings and Drivers'!AP250</f>
        <v>0</v>
      </c>
      <c r="AI774">
        <f>'Bookings and Drivers'!AQ250</f>
        <v>0</v>
      </c>
      <c r="AJ774">
        <f>'Bookings and Drivers'!AR250</f>
        <v>0</v>
      </c>
      <c r="AK774">
        <f>'Bookings and Drivers'!AS250</f>
        <v>0</v>
      </c>
      <c r="AL774">
        <f>'Bookings and Drivers'!AT250</f>
        <v>0</v>
      </c>
      <c r="AM774">
        <f>'Bookings and Drivers'!AU250</f>
        <v>0</v>
      </c>
      <c r="AN774">
        <f>'Bookings and Drivers'!AV250</f>
        <v>0</v>
      </c>
      <c r="AO774">
        <f>'Bookings and Drivers'!AW250</f>
        <v>0</v>
      </c>
      <c r="AP774">
        <f>'Bookings and Drivers'!AX250</f>
        <v>0</v>
      </c>
      <c r="AQ774">
        <f>'Bookings and Drivers'!AY250</f>
        <v>0</v>
      </c>
      <c r="AR774">
        <f>'Bookings and Drivers'!AZ250</f>
        <v>0</v>
      </c>
      <c r="AS774">
        <f>'Bookings and Drivers'!BA250</f>
        <v>0</v>
      </c>
      <c r="AT774">
        <f>'Bookings and Drivers'!BB250</f>
        <v>0</v>
      </c>
      <c r="AU774">
        <f>'Bookings and Drivers'!BC250</f>
        <v>0</v>
      </c>
      <c r="AV774">
        <f>'Bookings and Drivers'!BD250</f>
        <v>0</v>
      </c>
      <c r="AW774">
        <f>'Bookings and Drivers'!BE250</f>
        <v>0</v>
      </c>
      <c r="AX774">
        <f>'Bookings and Drivers'!BF250</f>
        <v>0</v>
      </c>
      <c r="AY774">
        <f>'Bookings and Drivers'!BG250</f>
        <v>0</v>
      </c>
      <c r="AZ774">
        <f>'Bookings and Drivers'!BH250</f>
        <v>0</v>
      </c>
      <c r="BA774">
        <f>'Bookings and Drivers'!BI250</f>
        <v>0</v>
      </c>
      <c r="BB774">
        <f>'Bookings and Drivers'!BJ250</f>
        <v>0</v>
      </c>
      <c r="BC774">
        <f>'Bookings and Drivers'!BK250</f>
        <v>0</v>
      </c>
      <c r="BD774">
        <f>'Bookings and Drivers'!BL250</f>
        <v>0</v>
      </c>
      <c r="BE774">
        <f>'Bookings and Drivers'!BM250</f>
        <v>0</v>
      </c>
      <c r="BF774">
        <f>'Bookings and Drivers'!BN250</f>
        <v>0</v>
      </c>
      <c r="BG774">
        <f>'Bookings and Drivers'!BO250</f>
        <v>0</v>
      </c>
      <c r="BH774">
        <f>'Bookings and Drivers'!BP250</f>
        <v>0</v>
      </c>
      <c r="BI774">
        <f>'Bookings and Drivers'!BQ250</f>
        <v>0</v>
      </c>
      <c r="BJ774">
        <f>'Bookings and Drivers'!BR250</f>
        <v>0</v>
      </c>
      <c r="BK774">
        <f>'Bookings and Drivers'!BS250</f>
        <v>0</v>
      </c>
      <c r="BL774">
        <f>'Bookings and Drivers'!BT250</f>
        <v>0</v>
      </c>
      <c r="BM774">
        <f>'Bookings and Drivers'!BU250</f>
        <v>0</v>
      </c>
      <c r="BN774">
        <f>'Bookings and Drivers'!BV250</f>
        <v>0</v>
      </c>
      <c r="BO774">
        <f>'Bookings and Drivers'!BW250</f>
        <v>0</v>
      </c>
      <c r="BP774">
        <f>'Bookings and Drivers'!BX250</f>
        <v>0</v>
      </c>
      <c r="BQ774">
        <f>'Bookings and Drivers'!BY250</f>
        <v>0</v>
      </c>
      <c r="BR774">
        <f>'Bookings and Drivers'!BZ250</f>
        <v>0</v>
      </c>
      <c r="BS774">
        <f>'Bookings and Drivers'!CA250</f>
        <v>0</v>
      </c>
      <c r="BT774">
        <f>'Bookings and Drivers'!CB250</f>
        <v>0</v>
      </c>
      <c r="BU774">
        <f>'Bookings and Drivers'!CC250</f>
        <v>0</v>
      </c>
      <c r="BV774">
        <f>'Bookings and Drivers'!CD250</f>
        <v>0</v>
      </c>
      <c r="BW774">
        <f>'Bookings and Drivers'!CE250</f>
        <v>0</v>
      </c>
      <c r="BX774">
        <f>'Bookings and Drivers'!CF250</f>
        <v>0</v>
      </c>
      <c r="BY774">
        <f>'Bookings and Drivers'!CG250</f>
        <v>0</v>
      </c>
      <c r="BZ774">
        <f>'Bookings and Drivers'!CH250</f>
        <v>0</v>
      </c>
      <c r="CA774">
        <f>'Bookings and Drivers'!CI250</f>
        <v>0</v>
      </c>
      <c r="CB774">
        <f>'Bookings and Drivers'!CJ250</f>
        <v>0</v>
      </c>
      <c r="CC774">
        <f>'Bookings and Drivers'!CK250</f>
        <v>0</v>
      </c>
      <c r="CD774">
        <f>'Bookings and Drivers'!CL250</f>
        <v>0</v>
      </c>
      <c r="CE774">
        <f>'Bookings and Drivers'!CM250</f>
        <v>0</v>
      </c>
      <c r="CF774">
        <f>'Bookings and Drivers'!CN250</f>
        <v>0</v>
      </c>
      <c r="CG774">
        <f>'Bookings and Drivers'!CO250</f>
        <v>0</v>
      </c>
      <c r="CH774">
        <f>'Bookings and Drivers'!CP250</f>
        <v>0</v>
      </c>
      <c r="CI774">
        <f>'Bookings and Drivers'!CQ250</f>
        <v>0</v>
      </c>
      <c r="CJ774">
        <f>'Bookings and Drivers'!CR250</f>
        <v>0</v>
      </c>
      <c r="CK774">
        <f>'Bookings and Drivers'!CS250</f>
        <v>1062.3161257520478</v>
      </c>
      <c r="CL774">
        <f>'Bookings and Drivers'!CT250</f>
        <v>3438.8005686893084</v>
      </c>
      <c r="CM774">
        <f>'Bookings and Drivers'!CU250</f>
        <v>5508.8969847902408</v>
      </c>
      <c r="CN774">
        <f>'Bookings and Drivers'!CV250</f>
        <v>6847.0484301099495</v>
      </c>
      <c r="CO774">
        <f>'Bookings and Drivers'!CW250</f>
        <v>10717.12036366581</v>
      </c>
      <c r="CP774">
        <f>'Bookings and Drivers'!CX250</f>
        <v>14319.213210326445</v>
      </c>
      <c r="CQ774">
        <f>'Bookings and Drivers'!CY250</f>
        <v>19995.052292427426</v>
      </c>
      <c r="CR774">
        <f>'Bookings and Drivers'!CZ250</f>
        <v>25728.910554335926</v>
      </c>
      <c r="CS774">
        <f>'Bookings and Drivers'!DA250</f>
        <v>31913.853175766402</v>
      </c>
      <c r="CT774">
        <f>'Bookings and Drivers'!DB250</f>
        <v>0</v>
      </c>
      <c r="CU774">
        <f>'Bookings and Drivers'!DC250</f>
        <v>0</v>
      </c>
      <c r="CV774">
        <f>'Bookings and Drivers'!DD250</f>
        <v>0</v>
      </c>
      <c r="CW774">
        <f>'Bookings and Drivers'!DE250</f>
        <v>0</v>
      </c>
      <c r="CX774">
        <f>'Bookings and Drivers'!DF250</f>
        <v>0</v>
      </c>
    </row>
    <row r="775" spans="1:102">
      <c r="A775">
        <f>'Bookings and Drivers'!I252</f>
        <v>0</v>
      </c>
      <c r="B775">
        <f>'Bookings and Drivers'!J252</f>
        <v>0</v>
      </c>
      <c r="C775">
        <f>'Bookings and Drivers'!K252</f>
        <v>0</v>
      </c>
      <c r="D775">
        <f>'Bookings and Drivers'!L252</f>
        <v>0</v>
      </c>
      <c r="E775">
        <f>'Bookings and Drivers'!M252</f>
        <v>0</v>
      </c>
      <c r="F775">
        <f>'Bookings and Drivers'!N252</f>
        <v>0</v>
      </c>
      <c r="G775">
        <f>'Bookings and Drivers'!O252</f>
        <v>0</v>
      </c>
      <c r="H775">
        <f>'Bookings and Drivers'!P252</f>
        <v>0</v>
      </c>
      <c r="I775">
        <f>'Bookings and Drivers'!Q252</f>
        <v>0</v>
      </c>
      <c r="J775">
        <f>'Bookings and Drivers'!R252</f>
        <v>0</v>
      </c>
      <c r="K775">
        <f>'Bookings and Drivers'!S252</f>
        <v>0</v>
      </c>
      <c r="L775">
        <f>'Bookings and Drivers'!T252</f>
        <v>0</v>
      </c>
      <c r="M775">
        <f>'Bookings and Drivers'!U252</f>
        <v>0</v>
      </c>
      <c r="N775">
        <f>'Bookings and Drivers'!V252</f>
        <v>0</v>
      </c>
      <c r="O775">
        <f>'Bookings and Drivers'!W252</f>
        <v>0</v>
      </c>
      <c r="P775">
        <f>'Bookings and Drivers'!X252</f>
        <v>0</v>
      </c>
      <c r="Q775">
        <f>'Bookings and Drivers'!Y252</f>
        <v>0</v>
      </c>
      <c r="R775">
        <f>'Bookings and Drivers'!Z252</f>
        <v>0</v>
      </c>
      <c r="S775">
        <f>'Bookings and Drivers'!AA252</f>
        <v>0</v>
      </c>
      <c r="T775">
        <f>'Bookings and Drivers'!AB252</f>
        <v>0</v>
      </c>
      <c r="U775">
        <f>'Bookings and Drivers'!AC252</f>
        <v>0</v>
      </c>
      <c r="V775">
        <f>'Bookings and Drivers'!AD252</f>
        <v>0</v>
      </c>
      <c r="W775">
        <f>'Bookings and Drivers'!AE252</f>
        <v>0</v>
      </c>
      <c r="X775">
        <f>'Bookings and Drivers'!AF252</f>
        <v>0</v>
      </c>
      <c r="Y775">
        <f>'Bookings and Drivers'!AG252</f>
        <v>0</v>
      </c>
      <c r="Z775">
        <f>'Bookings and Drivers'!AH252</f>
        <v>0</v>
      </c>
      <c r="AA775">
        <f>'Bookings and Drivers'!AI252</f>
        <v>0</v>
      </c>
      <c r="AB775">
        <f>'Bookings and Drivers'!AJ252</f>
        <v>0</v>
      </c>
      <c r="AC775">
        <f>'Bookings and Drivers'!AK252</f>
        <v>0</v>
      </c>
      <c r="AD775">
        <f>'Bookings and Drivers'!AL252</f>
        <v>0</v>
      </c>
      <c r="AE775">
        <f>'Bookings and Drivers'!AM252</f>
        <v>0</v>
      </c>
      <c r="AF775">
        <f>'Bookings and Drivers'!AN252</f>
        <v>0</v>
      </c>
      <c r="AG775">
        <f>'Bookings and Drivers'!AO252</f>
        <v>0</v>
      </c>
      <c r="AH775">
        <f>'Bookings and Drivers'!AP252</f>
        <v>0</v>
      </c>
      <c r="AI775">
        <f>'Bookings and Drivers'!AQ252</f>
        <v>0</v>
      </c>
      <c r="AJ775">
        <f>'Bookings and Drivers'!AR252</f>
        <v>0</v>
      </c>
      <c r="AK775">
        <f>'Bookings and Drivers'!AS252</f>
        <v>0</v>
      </c>
      <c r="AL775">
        <f>'Bookings and Drivers'!AT252</f>
        <v>0</v>
      </c>
      <c r="AM775">
        <f>'Bookings and Drivers'!AU252</f>
        <v>0</v>
      </c>
      <c r="AN775">
        <f>'Bookings and Drivers'!AV252</f>
        <v>0</v>
      </c>
      <c r="AO775">
        <f>'Bookings and Drivers'!AW252</f>
        <v>0</v>
      </c>
      <c r="AP775">
        <f>'Bookings and Drivers'!AX252</f>
        <v>0</v>
      </c>
      <c r="AQ775">
        <f>'Bookings and Drivers'!AY252</f>
        <v>0</v>
      </c>
      <c r="AR775">
        <f>'Bookings and Drivers'!AZ252</f>
        <v>0</v>
      </c>
      <c r="AS775">
        <f>'Bookings and Drivers'!BA252</f>
        <v>0</v>
      </c>
      <c r="AT775">
        <f>'Bookings and Drivers'!BB252</f>
        <v>0</v>
      </c>
      <c r="AU775">
        <f>'Bookings and Drivers'!BC252</f>
        <v>0</v>
      </c>
      <c r="AV775">
        <f>'Bookings and Drivers'!BD252</f>
        <v>0</v>
      </c>
      <c r="AW775">
        <f>'Bookings and Drivers'!BE252</f>
        <v>0</v>
      </c>
      <c r="AX775">
        <f>'Bookings and Drivers'!BF252</f>
        <v>0</v>
      </c>
      <c r="AY775">
        <f>'Bookings and Drivers'!BG252</f>
        <v>0</v>
      </c>
      <c r="AZ775">
        <f>'Bookings and Drivers'!BH252</f>
        <v>0</v>
      </c>
      <c r="BA775">
        <f>'Bookings and Drivers'!BI252</f>
        <v>0</v>
      </c>
      <c r="BB775">
        <f>'Bookings and Drivers'!BJ252</f>
        <v>0</v>
      </c>
      <c r="BC775">
        <f>'Bookings and Drivers'!BK252</f>
        <v>0</v>
      </c>
      <c r="BD775">
        <f>'Bookings and Drivers'!BL252</f>
        <v>0</v>
      </c>
      <c r="BE775">
        <f>'Bookings and Drivers'!BM252</f>
        <v>0</v>
      </c>
      <c r="BF775">
        <f>'Bookings and Drivers'!BN252</f>
        <v>0</v>
      </c>
      <c r="BG775">
        <f>'Bookings and Drivers'!BO252</f>
        <v>0</v>
      </c>
      <c r="BH775">
        <f>'Bookings and Drivers'!BP252</f>
        <v>0</v>
      </c>
      <c r="BI775">
        <f>'Bookings and Drivers'!BQ252</f>
        <v>0</v>
      </c>
      <c r="BJ775">
        <f>'Bookings and Drivers'!BR252</f>
        <v>0</v>
      </c>
      <c r="BK775">
        <f>'Bookings and Drivers'!BS252</f>
        <v>0</v>
      </c>
      <c r="BL775">
        <f>'Bookings and Drivers'!BT252</f>
        <v>0</v>
      </c>
      <c r="BM775">
        <f>'Bookings and Drivers'!BU252</f>
        <v>0</v>
      </c>
      <c r="BN775">
        <f>'Bookings and Drivers'!BV252</f>
        <v>0</v>
      </c>
      <c r="BO775">
        <f>'Bookings and Drivers'!BW252</f>
        <v>0</v>
      </c>
      <c r="BP775">
        <f>'Bookings and Drivers'!BX252</f>
        <v>0</v>
      </c>
      <c r="BQ775">
        <f>'Bookings and Drivers'!BY252</f>
        <v>0</v>
      </c>
      <c r="BR775">
        <f>'Bookings and Drivers'!BZ252</f>
        <v>0</v>
      </c>
      <c r="BS775">
        <f>'Bookings and Drivers'!CA252</f>
        <v>0</v>
      </c>
      <c r="BT775">
        <f>'Bookings and Drivers'!CB252</f>
        <v>0</v>
      </c>
      <c r="BU775">
        <f>'Bookings and Drivers'!CC252</f>
        <v>0</v>
      </c>
      <c r="BV775">
        <f>'Bookings and Drivers'!CD252</f>
        <v>0</v>
      </c>
      <c r="BW775">
        <f>'Bookings and Drivers'!CE252</f>
        <v>0</v>
      </c>
      <c r="BX775">
        <f>'Bookings and Drivers'!CF252</f>
        <v>0</v>
      </c>
      <c r="BY775">
        <f>'Bookings and Drivers'!CG252</f>
        <v>0</v>
      </c>
      <c r="BZ775">
        <f>'Bookings and Drivers'!CH252</f>
        <v>0</v>
      </c>
      <c r="CA775">
        <f>'Bookings and Drivers'!CI252</f>
        <v>0</v>
      </c>
      <c r="CB775">
        <f>'Bookings and Drivers'!CJ252</f>
        <v>0</v>
      </c>
      <c r="CC775">
        <f>'Bookings and Drivers'!CK252</f>
        <v>0</v>
      </c>
      <c r="CD775">
        <f>'Bookings and Drivers'!CL252</f>
        <v>0</v>
      </c>
      <c r="CE775">
        <f>'Bookings and Drivers'!CM252</f>
        <v>0</v>
      </c>
      <c r="CF775">
        <f>'Bookings and Drivers'!CN252</f>
        <v>0</v>
      </c>
      <c r="CG775">
        <f>'Bookings and Drivers'!CO252</f>
        <v>0</v>
      </c>
      <c r="CH775">
        <f>'Bookings and Drivers'!CP252</f>
        <v>0</v>
      </c>
      <c r="CI775">
        <f>'Bookings and Drivers'!CQ252</f>
        <v>0</v>
      </c>
      <c r="CJ775">
        <f>'Bookings and Drivers'!CR252</f>
        <v>0</v>
      </c>
      <c r="CK775">
        <f>'Bookings and Drivers'!CS252</f>
        <v>0</v>
      </c>
      <c r="CL775">
        <f>'Bookings and Drivers'!CT252</f>
        <v>0</v>
      </c>
      <c r="CM775">
        <f>'Bookings and Drivers'!CU252</f>
        <v>0</v>
      </c>
      <c r="CN775">
        <f>'Bookings and Drivers'!CV252</f>
        <v>0</v>
      </c>
      <c r="CO775">
        <f>'Bookings and Drivers'!CW252</f>
        <v>0</v>
      </c>
      <c r="CP775">
        <f>'Bookings and Drivers'!CX252</f>
        <v>0</v>
      </c>
      <c r="CQ775">
        <f>'Bookings and Drivers'!CY252</f>
        <v>0</v>
      </c>
      <c r="CR775">
        <f>'Bookings and Drivers'!CZ252</f>
        <v>0</v>
      </c>
      <c r="CS775">
        <f>'Bookings and Drivers'!DA252</f>
        <v>0</v>
      </c>
      <c r="CT775">
        <f>'Bookings and Drivers'!DB252</f>
        <v>0</v>
      </c>
      <c r="CU775">
        <f>'Bookings and Drivers'!DC252</f>
        <v>0</v>
      </c>
      <c r="CV775">
        <f>'Bookings and Drivers'!DD252</f>
        <v>0</v>
      </c>
      <c r="CW775">
        <f>'Bookings and Drivers'!DE252</f>
        <v>0</v>
      </c>
      <c r="CX775">
        <f>'Bookings and Drivers'!DF252</f>
        <v>0</v>
      </c>
    </row>
    <row r="776" spans="1:102">
      <c r="A776">
        <f>'Bookings and Drivers'!I253</f>
        <v>0</v>
      </c>
      <c r="B776">
        <f>'Bookings and Drivers'!J253</f>
        <v>0</v>
      </c>
      <c r="C776">
        <f>'Bookings and Drivers'!K253</f>
        <v>0</v>
      </c>
      <c r="D776">
        <f>'Bookings and Drivers'!L253</f>
        <v>0</v>
      </c>
      <c r="E776">
        <f>'Bookings and Drivers'!M253</f>
        <v>0</v>
      </c>
      <c r="F776">
        <f>'Bookings and Drivers'!N253</f>
        <v>0</v>
      </c>
      <c r="G776">
        <f>'Bookings and Drivers'!O253</f>
        <v>0</v>
      </c>
      <c r="H776">
        <f>'Bookings and Drivers'!P253</f>
        <v>0</v>
      </c>
      <c r="I776">
        <f>'Bookings and Drivers'!Q253</f>
        <v>0</v>
      </c>
      <c r="J776">
        <f>'Bookings and Drivers'!R253</f>
        <v>0</v>
      </c>
      <c r="K776">
        <f>'Bookings and Drivers'!S253</f>
        <v>0</v>
      </c>
      <c r="L776">
        <f>'Bookings and Drivers'!T253</f>
        <v>0</v>
      </c>
      <c r="M776">
        <f>'Bookings and Drivers'!U253</f>
        <v>0</v>
      </c>
      <c r="N776">
        <f>'Bookings and Drivers'!V253</f>
        <v>0</v>
      </c>
      <c r="O776">
        <f>'Bookings and Drivers'!W253</f>
        <v>0</v>
      </c>
      <c r="P776">
        <f>'Bookings and Drivers'!X253</f>
        <v>0</v>
      </c>
      <c r="Q776">
        <f>'Bookings and Drivers'!Y253</f>
        <v>0</v>
      </c>
      <c r="R776">
        <f>'Bookings and Drivers'!Z253</f>
        <v>0</v>
      </c>
      <c r="S776">
        <f>'Bookings and Drivers'!AA253</f>
        <v>0</v>
      </c>
      <c r="T776">
        <f>'Bookings and Drivers'!AB253</f>
        <v>0</v>
      </c>
      <c r="U776">
        <f>'Bookings and Drivers'!AC253</f>
        <v>0</v>
      </c>
      <c r="V776">
        <f>'Bookings and Drivers'!AD253</f>
        <v>0</v>
      </c>
      <c r="W776">
        <f>'Bookings and Drivers'!AE253</f>
        <v>0</v>
      </c>
      <c r="X776">
        <f>'Bookings and Drivers'!AF253</f>
        <v>0</v>
      </c>
      <c r="Y776">
        <f>'Bookings and Drivers'!AG253</f>
        <v>0</v>
      </c>
      <c r="Z776">
        <f>'Bookings and Drivers'!AH253</f>
        <v>0</v>
      </c>
      <c r="AA776">
        <f>'Bookings and Drivers'!AI253</f>
        <v>0</v>
      </c>
      <c r="AB776">
        <f>'Bookings and Drivers'!AJ253</f>
        <v>0</v>
      </c>
      <c r="AC776">
        <f>'Bookings and Drivers'!AK253</f>
        <v>0</v>
      </c>
      <c r="AD776">
        <f>'Bookings and Drivers'!AL253</f>
        <v>0</v>
      </c>
      <c r="AE776">
        <f>'Bookings and Drivers'!AM253</f>
        <v>0</v>
      </c>
      <c r="AF776">
        <f>'Bookings and Drivers'!AN253</f>
        <v>0</v>
      </c>
      <c r="AG776">
        <f>'Bookings and Drivers'!AO253</f>
        <v>0</v>
      </c>
      <c r="AH776">
        <f>'Bookings and Drivers'!AP253</f>
        <v>0</v>
      </c>
      <c r="AI776">
        <f>'Bookings and Drivers'!AQ253</f>
        <v>0</v>
      </c>
      <c r="AJ776">
        <f>'Bookings and Drivers'!AR253</f>
        <v>0</v>
      </c>
      <c r="AK776">
        <f>'Bookings and Drivers'!AS253</f>
        <v>0</v>
      </c>
      <c r="AL776">
        <f>'Bookings and Drivers'!AT253</f>
        <v>0</v>
      </c>
      <c r="AM776">
        <f>'Bookings and Drivers'!AU253</f>
        <v>0</v>
      </c>
      <c r="AN776">
        <f>'Bookings and Drivers'!AV253</f>
        <v>0</v>
      </c>
      <c r="AO776">
        <f>'Bookings and Drivers'!AW253</f>
        <v>0</v>
      </c>
      <c r="AP776">
        <f>'Bookings and Drivers'!AX253</f>
        <v>0</v>
      </c>
      <c r="AQ776">
        <f>'Bookings and Drivers'!AY253</f>
        <v>0</v>
      </c>
      <c r="AR776">
        <f>'Bookings and Drivers'!AZ253</f>
        <v>0</v>
      </c>
      <c r="AS776">
        <f>'Bookings and Drivers'!BA253</f>
        <v>0</v>
      </c>
      <c r="AT776">
        <f>'Bookings and Drivers'!BB253</f>
        <v>0</v>
      </c>
      <c r="AU776">
        <f>'Bookings and Drivers'!BC253</f>
        <v>0</v>
      </c>
      <c r="AV776">
        <f>'Bookings and Drivers'!BD253</f>
        <v>0</v>
      </c>
      <c r="AW776">
        <f>'Bookings and Drivers'!BE253</f>
        <v>0</v>
      </c>
      <c r="AX776">
        <f>'Bookings and Drivers'!BF253</f>
        <v>0</v>
      </c>
      <c r="AY776">
        <f>'Bookings and Drivers'!BG253</f>
        <v>0</v>
      </c>
      <c r="AZ776">
        <f>'Bookings and Drivers'!BH253</f>
        <v>0</v>
      </c>
      <c r="BA776">
        <f>'Bookings and Drivers'!BI253</f>
        <v>0</v>
      </c>
      <c r="BB776">
        <f>'Bookings and Drivers'!BJ253</f>
        <v>0</v>
      </c>
      <c r="BC776">
        <f>'Bookings and Drivers'!BK253</f>
        <v>0</v>
      </c>
      <c r="BD776">
        <f>'Bookings and Drivers'!BL253</f>
        <v>0</v>
      </c>
      <c r="BE776">
        <f>'Bookings and Drivers'!BM253</f>
        <v>0</v>
      </c>
      <c r="BF776">
        <f>'Bookings and Drivers'!BN253</f>
        <v>0</v>
      </c>
      <c r="BG776">
        <f>'Bookings and Drivers'!BO253</f>
        <v>0</v>
      </c>
      <c r="BH776">
        <f>'Bookings and Drivers'!BP253</f>
        <v>0</v>
      </c>
      <c r="BI776">
        <f>'Bookings and Drivers'!BQ253</f>
        <v>0</v>
      </c>
      <c r="BJ776">
        <f>'Bookings and Drivers'!BR253</f>
        <v>0</v>
      </c>
      <c r="BK776">
        <f>'Bookings and Drivers'!BS253</f>
        <v>0</v>
      </c>
      <c r="BL776">
        <f>'Bookings and Drivers'!BT253</f>
        <v>0</v>
      </c>
      <c r="BM776">
        <f>'Bookings and Drivers'!BU253</f>
        <v>0</v>
      </c>
      <c r="BN776">
        <f>'Bookings and Drivers'!BV253</f>
        <v>0</v>
      </c>
      <c r="BO776">
        <f>'Bookings and Drivers'!BW253</f>
        <v>0</v>
      </c>
      <c r="BP776">
        <f>'Bookings and Drivers'!BX253</f>
        <v>0</v>
      </c>
      <c r="BQ776">
        <f>'Bookings and Drivers'!BY253</f>
        <v>0</v>
      </c>
      <c r="BR776">
        <f>'Bookings and Drivers'!BZ253</f>
        <v>0</v>
      </c>
      <c r="BS776">
        <f>'Bookings and Drivers'!CA253</f>
        <v>0</v>
      </c>
      <c r="BT776">
        <f>'Bookings and Drivers'!CB253</f>
        <v>0</v>
      </c>
      <c r="BU776">
        <f>'Bookings and Drivers'!CC253</f>
        <v>0</v>
      </c>
      <c r="BV776">
        <f>'Bookings and Drivers'!CD253</f>
        <v>0</v>
      </c>
      <c r="BW776">
        <f>'Bookings and Drivers'!CE253</f>
        <v>0</v>
      </c>
      <c r="BX776">
        <f>'Bookings and Drivers'!CF253</f>
        <v>0</v>
      </c>
      <c r="BY776">
        <f>'Bookings and Drivers'!CG253</f>
        <v>0</v>
      </c>
      <c r="BZ776">
        <f>'Bookings and Drivers'!CH253</f>
        <v>0</v>
      </c>
      <c r="CA776">
        <f>'Bookings and Drivers'!CI253</f>
        <v>0</v>
      </c>
      <c r="CB776">
        <f>'Bookings and Drivers'!CJ253</f>
        <v>0</v>
      </c>
      <c r="CC776">
        <f>'Bookings and Drivers'!CK253</f>
        <v>0</v>
      </c>
      <c r="CD776">
        <f>'Bookings and Drivers'!CL253</f>
        <v>0</v>
      </c>
      <c r="CE776">
        <f>'Bookings and Drivers'!CM253</f>
        <v>0</v>
      </c>
      <c r="CF776">
        <f>'Bookings and Drivers'!CN253</f>
        <v>0</v>
      </c>
      <c r="CG776">
        <f>'Bookings and Drivers'!CO253</f>
        <v>0</v>
      </c>
      <c r="CH776">
        <f>'Bookings and Drivers'!CP253</f>
        <v>0</v>
      </c>
      <c r="CM776">
        <f>'Bookings and Drivers'!CU253</f>
        <v>0</v>
      </c>
      <c r="CN776">
        <f>'Bookings and Drivers'!CV253</f>
        <v>0</v>
      </c>
      <c r="CO776">
        <f>'Bookings and Drivers'!CW253</f>
        <v>0</v>
      </c>
      <c r="CP776">
        <f>'Bookings and Drivers'!CX253</f>
        <v>0</v>
      </c>
      <c r="CQ776">
        <f>'Bookings and Drivers'!CY253</f>
        <v>0</v>
      </c>
      <c r="CR776">
        <f>'Bookings and Drivers'!CZ253</f>
        <v>0</v>
      </c>
      <c r="CS776">
        <f>'Bookings and Drivers'!DA253</f>
        <v>0</v>
      </c>
      <c r="CT776">
        <f>'Bookings and Drivers'!DB253</f>
        <v>0</v>
      </c>
      <c r="CU776">
        <f>'Bookings and Drivers'!DC253</f>
        <v>0</v>
      </c>
      <c r="CV776">
        <f>'Bookings and Drivers'!DD253</f>
        <v>0</v>
      </c>
      <c r="CW776">
        <f>'Bookings and Drivers'!DE253</f>
        <v>0</v>
      </c>
      <c r="CX776">
        <f>'Bookings and Drivers'!DF253</f>
        <v>0</v>
      </c>
    </row>
    <row r="777" spans="1:102">
      <c r="A777" t="str">
        <f>'Bookings and Drivers'!I254</f>
        <v>Total Europe</v>
      </c>
      <c r="B777">
        <f>'Bookings and Drivers'!J254</f>
        <v>0</v>
      </c>
      <c r="C777">
        <f>'Bookings and Drivers'!K254</f>
        <v>0</v>
      </c>
      <c r="D777">
        <f>'Bookings and Drivers'!L254</f>
        <v>0</v>
      </c>
      <c r="E777">
        <f>'Bookings and Drivers'!M254</f>
        <v>0</v>
      </c>
      <c r="F777">
        <f>'Bookings and Drivers'!N254</f>
        <v>0</v>
      </c>
      <c r="G777">
        <f>'Bookings and Drivers'!O254</f>
        <v>0</v>
      </c>
      <c r="H777">
        <f>'Bookings and Drivers'!P254</f>
        <v>0</v>
      </c>
      <c r="I777">
        <f>'Bookings and Drivers'!Q254</f>
        <v>0</v>
      </c>
      <c r="J777">
        <f>'Bookings and Drivers'!R254</f>
        <v>0</v>
      </c>
      <c r="K777">
        <f>'Bookings and Drivers'!S254</f>
        <v>0</v>
      </c>
      <c r="L777">
        <f>'Bookings and Drivers'!T254</f>
        <v>0</v>
      </c>
      <c r="M777">
        <f>'Bookings and Drivers'!U254</f>
        <v>0</v>
      </c>
      <c r="N777">
        <f>'Bookings and Drivers'!V254</f>
        <v>0</v>
      </c>
      <c r="O777">
        <f>'Bookings and Drivers'!W254</f>
        <v>0</v>
      </c>
      <c r="P777">
        <f>'Bookings and Drivers'!X254</f>
        <v>0</v>
      </c>
      <c r="Q777">
        <f>'Bookings and Drivers'!Y254</f>
        <v>0</v>
      </c>
      <c r="R777">
        <f>'Bookings and Drivers'!Z254</f>
        <v>0</v>
      </c>
      <c r="S777">
        <f>'Bookings and Drivers'!AA254</f>
        <v>0</v>
      </c>
      <c r="T777">
        <f>'Bookings and Drivers'!AB254</f>
        <v>0</v>
      </c>
      <c r="U777">
        <f>'Bookings and Drivers'!AC254</f>
        <v>0</v>
      </c>
      <c r="V777">
        <f>'Bookings and Drivers'!AD254</f>
        <v>0</v>
      </c>
      <c r="W777">
        <f>'Bookings and Drivers'!AE254</f>
        <v>0</v>
      </c>
      <c r="X777">
        <f>'Bookings and Drivers'!AF254</f>
        <v>0</v>
      </c>
      <c r="Y777">
        <f>'Bookings and Drivers'!AG254</f>
        <v>0</v>
      </c>
      <c r="Z777">
        <f>'Bookings and Drivers'!AH254</f>
        <v>0</v>
      </c>
      <c r="AA777">
        <f>'Bookings and Drivers'!AI254</f>
        <v>0</v>
      </c>
      <c r="AB777">
        <f>'Bookings and Drivers'!AJ254</f>
        <v>0</v>
      </c>
      <c r="AC777">
        <f>'Bookings and Drivers'!AK254</f>
        <v>0</v>
      </c>
      <c r="AD777">
        <f>'Bookings and Drivers'!AL254</f>
        <v>0</v>
      </c>
      <c r="AE777">
        <f>'Bookings and Drivers'!AM254</f>
        <v>0</v>
      </c>
      <c r="AF777">
        <f>'Bookings and Drivers'!AN254</f>
        <v>0</v>
      </c>
      <c r="AG777">
        <f>'Bookings and Drivers'!AO254</f>
        <v>0</v>
      </c>
      <c r="AH777">
        <f>'Bookings and Drivers'!AP254</f>
        <v>0</v>
      </c>
      <c r="AI777">
        <f>'Bookings and Drivers'!AQ254</f>
        <v>0</v>
      </c>
      <c r="AJ777">
        <f>'Bookings and Drivers'!AR254</f>
        <v>0</v>
      </c>
      <c r="AK777">
        <f>'Bookings and Drivers'!AS254</f>
        <v>0</v>
      </c>
      <c r="AL777">
        <f>'Bookings and Drivers'!AT254</f>
        <v>0</v>
      </c>
      <c r="AM777">
        <f>'Bookings and Drivers'!AU254</f>
        <v>0</v>
      </c>
      <c r="AN777">
        <f>'Bookings and Drivers'!AV254</f>
        <v>0</v>
      </c>
      <c r="AO777">
        <f>'Bookings and Drivers'!AW254</f>
        <v>0</v>
      </c>
      <c r="AP777">
        <f>'Bookings and Drivers'!AX254</f>
        <v>0</v>
      </c>
      <c r="AQ777">
        <f>'Bookings and Drivers'!AY254</f>
        <v>0</v>
      </c>
      <c r="AR777">
        <f>'Bookings and Drivers'!AZ254</f>
        <v>0</v>
      </c>
      <c r="AS777">
        <f>'Bookings and Drivers'!BA254</f>
        <v>0</v>
      </c>
      <c r="AT777">
        <f>'Bookings and Drivers'!BB254</f>
        <v>0</v>
      </c>
      <c r="AU777">
        <f>'Bookings and Drivers'!BC254</f>
        <v>0</v>
      </c>
      <c r="AV777">
        <f>'Bookings and Drivers'!BD254</f>
        <v>0</v>
      </c>
      <c r="AW777">
        <f>'Bookings and Drivers'!BE254</f>
        <v>0</v>
      </c>
      <c r="AX777">
        <f>'Bookings and Drivers'!BF254</f>
        <v>0</v>
      </c>
      <c r="AY777">
        <f>'Bookings and Drivers'!BG254</f>
        <v>0</v>
      </c>
      <c r="AZ777">
        <f>'Bookings and Drivers'!BH254</f>
        <v>0</v>
      </c>
      <c r="BA777">
        <f>'Bookings and Drivers'!BI254</f>
        <v>0</v>
      </c>
      <c r="BB777">
        <f>'Bookings and Drivers'!BJ254</f>
        <v>0</v>
      </c>
      <c r="BC777">
        <f>'Bookings and Drivers'!BK254</f>
        <v>0</v>
      </c>
      <c r="BD777">
        <f>'Bookings and Drivers'!BL254</f>
        <v>0</v>
      </c>
      <c r="BE777">
        <f>'Bookings and Drivers'!BM254</f>
        <v>0</v>
      </c>
      <c r="BF777">
        <f>'Bookings and Drivers'!BN254</f>
        <v>0</v>
      </c>
      <c r="BG777">
        <f>'Bookings and Drivers'!BO254</f>
        <v>0</v>
      </c>
      <c r="BH777">
        <f>'Bookings and Drivers'!BP254</f>
        <v>0</v>
      </c>
      <c r="BI777">
        <f>'Bookings and Drivers'!BQ254</f>
        <v>0</v>
      </c>
      <c r="BJ777">
        <f>'Bookings and Drivers'!BR254</f>
        <v>0</v>
      </c>
      <c r="BK777">
        <f>'Bookings and Drivers'!BS254</f>
        <v>0</v>
      </c>
      <c r="BL777">
        <f>'Bookings and Drivers'!BT254</f>
        <v>0</v>
      </c>
      <c r="BM777">
        <f>'Bookings and Drivers'!BU254</f>
        <v>0</v>
      </c>
      <c r="BN777">
        <f>'Bookings and Drivers'!BV254</f>
        <v>0</v>
      </c>
      <c r="BO777">
        <f>'Bookings and Drivers'!BW254</f>
        <v>0</v>
      </c>
      <c r="BP777">
        <f>'Bookings and Drivers'!BX254</f>
        <v>0</v>
      </c>
      <c r="BQ777">
        <f>'Bookings and Drivers'!BY254</f>
        <v>0</v>
      </c>
      <c r="BR777">
        <f>'Bookings and Drivers'!BZ254</f>
        <v>0</v>
      </c>
      <c r="BS777">
        <f>'Bookings and Drivers'!CA254</f>
        <v>0</v>
      </c>
      <c r="BT777">
        <f>'Bookings and Drivers'!CB254</f>
        <v>0</v>
      </c>
      <c r="BU777">
        <f>'Bookings and Drivers'!CC254</f>
        <v>0</v>
      </c>
      <c r="BV777">
        <f>'Bookings and Drivers'!CD254</f>
        <v>0</v>
      </c>
      <c r="BW777">
        <f>'Bookings and Drivers'!CE254</f>
        <v>0</v>
      </c>
      <c r="BX777">
        <f>'Bookings and Drivers'!CF254</f>
        <v>0</v>
      </c>
      <c r="BY777">
        <f>'Bookings and Drivers'!CG254</f>
        <v>0</v>
      </c>
      <c r="BZ777">
        <f>'Bookings and Drivers'!CH254</f>
        <v>0</v>
      </c>
      <c r="CA777">
        <f>'Bookings and Drivers'!CI254</f>
        <v>0</v>
      </c>
      <c r="CB777">
        <f>'Bookings and Drivers'!CJ254</f>
        <v>0</v>
      </c>
      <c r="CC777">
        <f>'Bookings and Drivers'!CK254</f>
        <v>453.63636363636363</v>
      </c>
      <c r="CD777">
        <f>'Bookings and Drivers'!CL254</f>
        <v>626.97</v>
      </c>
      <c r="CE777">
        <f>'Bookings and Drivers'!CM254</f>
        <v>1346.9590000000001</v>
      </c>
      <c r="CF777">
        <f>'Bookings and Drivers'!CN254</f>
        <v>2126.6327999999999</v>
      </c>
      <c r="CG777">
        <f>'Bookings and Drivers'!CO254</f>
        <v>3397.1526999999996</v>
      </c>
      <c r="CH777">
        <f>'Bookings and Drivers'!CP254</f>
        <v>4879.934386938231</v>
      </c>
      <c r="CI777">
        <f>'Bookings and Drivers'!CQ254</f>
        <v>7599.3936024641234</v>
      </c>
      <c r="CJ777">
        <f>'Bookings and Drivers'!CR254</f>
        <v>12614.993380090445</v>
      </c>
      <c r="CK777">
        <f>'Bookings and Drivers'!CS254</f>
        <v>15190.852433274942</v>
      </c>
      <c r="CL777">
        <f>'Bookings and Drivers'!CT254</f>
        <v>19484.060670768122</v>
      </c>
      <c r="CM777">
        <f>'Bookings and Drivers'!CU254</f>
        <v>24040.447267331336</v>
      </c>
      <c r="CN777">
        <f>'Bookings and Drivers'!CV254</f>
        <v>25555.792966646812</v>
      </c>
      <c r="CO777">
        <f>'Bookings and Drivers'!CW254</f>
        <v>29325.065149480575</v>
      </c>
      <c r="CP777">
        <f>'Bookings and Drivers'!CX254</f>
        <v>33936.40195875123</v>
      </c>
      <c r="CQ777">
        <f>'Bookings and Drivers'!CY254</f>
        <v>39175.207504123195</v>
      </c>
      <c r="CR777">
        <f>'Bookings and Drivers'!CZ254</f>
        <v>0</v>
      </c>
      <c r="CS777">
        <f>'Bookings and Drivers'!DA254</f>
        <v>0</v>
      </c>
      <c r="CT777">
        <f>'Bookings and Drivers'!DB254</f>
        <v>0</v>
      </c>
      <c r="CU777">
        <f>'Bookings and Drivers'!DC254</f>
        <v>0</v>
      </c>
      <c r="CV777">
        <f>'Bookings and Drivers'!DD254</f>
        <v>0</v>
      </c>
      <c r="CW777">
        <f>'Bookings and Drivers'!DE254</f>
        <v>0</v>
      </c>
      <c r="CX777">
        <f>'Bookings and Drivers'!DF254</f>
        <v>0</v>
      </c>
    </row>
    <row r="778" spans="1:102">
      <c r="A778" t="str">
        <f>'Bookings and Drivers'!I255</f>
        <v>Non-Europe</v>
      </c>
      <c r="B778">
        <f>'Bookings and Drivers'!J255</f>
        <v>0</v>
      </c>
      <c r="C778">
        <f>'Bookings and Drivers'!K255</f>
        <v>0</v>
      </c>
      <c r="D778">
        <f>'Bookings and Drivers'!L255</f>
        <v>0</v>
      </c>
      <c r="E778">
        <f>'Bookings and Drivers'!M255</f>
        <v>0</v>
      </c>
      <c r="F778">
        <f>'Bookings and Drivers'!N255</f>
        <v>0</v>
      </c>
      <c r="G778">
        <f>'Bookings and Drivers'!O255</f>
        <v>0</v>
      </c>
      <c r="H778">
        <f>'Bookings and Drivers'!P255</f>
        <v>0</v>
      </c>
      <c r="I778">
        <f>'Bookings and Drivers'!Q255</f>
        <v>0</v>
      </c>
      <c r="J778">
        <f>'Bookings and Drivers'!R255</f>
        <v>0</v>
      </c>
      <c r="K778">
        <f>'Bookings and Drivers'!S255</f>
        <v>0</v>
      </c>
      <c r="L778">
        <f>'Bookings and Drivers'!T255</f>
        <v>0</v>
      </c>
      <c r="M778">
        <f>'Bookings and Drivers'!U255</f>
        <v>0</v>
      </c>
      <c r="N778">
        <f>'Bookings and Drivers'!V255</f>
        <v>0</v>
      </c>
      <c r="O778">
        <f>'Bookings and Drivers'!W255</f>
        <v>0</v>
      </c>
      <c r="P778">
        <f>'Bookings and Drivers'!X255</f>
        <v>0</v>
      </c>
      <c r="Q778">
        <f>'Bookings and Drivers'!Y255</f>
        <v>0</v>
      </c>
      <c r="R778">
        <f>'Bookings and Drivers'!Z255</f>
        <v>0</v>
      </c>
      <c r="S778">
        <f>'Bookings and Drivers'!AA255</f>
        <v>0</v>
      </c>
      <c r="T778">
        <f>'Bookings and Drivers'!AB255</f>
        <v>0</v>
      </c>
      <c r="U778">
        <f>'Bookings and Drivers'!AC255</f>
        <v>0</v>
      </c>
      <c r="V778">
        <f>'Bookings and Drivers'!AD255</f>
        <v>0</v>
      </c>
      <c r="W778">
        <f>'Bookings and Drivers'!AE255</f>
        <v>0</v>
      </c>
      <c r="X778">
        <f>'Bookings and Drivers'!AF255</f>
        <v>0</v>
      </c>
      <c r="Y778">
        <f>'Bookings and Drivers'!AG255</f>
        <v>0</v>
      </c>
      <c r="Z778">
        <f>'Bookings and Drivers'!AH255</f>
        <v>0</v>
      </c>
      <c r="AA778">
        <f>'Bookings and Drivers'!AI255</f>
        <v>0</v>
      </c>
      <c r="AB778">
        <f>'Bookings and Drivers'!AJ255</f>
        <v>0</v>
      </c>
      <c r="AC778">
        <f>'Bookings and Drivers'!AK255</f>
        <v>0</v>
      </c>
      <c r="AD778">
        <f>'Bookings and Drivers'!AL255</f>
        <v>0</v>
      </c>
      <c r="AE778">
        <f>'Bookings and Drivers'!AM255</f>
        <v>0</v>
      </c>
      <c r="AF778">
        <f>'Bookings and Drivers'!AN255</f>
        <v>0</v>
      </c>
      <c r="AG778">
        <f>'Bookings and Drivers'!AO255</f>
        <v>0</v>
      </c>
      <c r="AH778">
        <f>'Bookings and Drivers'!AP255</f>
        <v>0</v>
      </c>
      <c r="AI778">
        <f>'Bookings and Drivers'!AQ255</f>
        <v>0</v>
      </c>
      <c r="AJ778">
        <f>'Bookings and Drivers'!AR255</f>
        <v>0</v>
      </c>
      <c r="AK778">
        <f>'Bookings and Drivers'!AS255</f>
        <v>0</v>
      </c>
      <c r="AL778">
        <f>'Bookings and Drivers'!AT255</f>
        <v>0</v>
      </c>
      <c r="AM778">
        <f>'Bookings and Drivers'!AU255</f>
        <v>0</v>
      </c>
      <c r="AN778">
        <f>'Bookings and Drivers'!AV255</f>
        <v>0</v>
      </c>
      <c r="AO778">
        <f>'Bookings and Drivers'!AW255</f>
        <v>0</v>
      </c>
      <c r="AP778">
        <f>'Bookings and Drivers'!AX255</f>
        <v>0</v>
      </c>
      <c r="AQ778">
        <f>'Bookings and Drivers'!AY255</f>
        <v>0</v>
      </c>
      <c r="AR778">
        <f>'Bookings and Drivers'!AZ255</f>
        <v>0</v>
      </c>
      <c r="AS778">
        <f>'Bookings and Drivers'!BA255</f>
        <v>0</v>
      </c>
      <c r="AT778">
        <f>'Bookings and Drivers'!BB255</f>
        <v>0</v>
      </c>
      <c r="AU778">
        <f>'Bookings and Drivers'!BC255</f>
        <v>0</v>
      </c>
      <c r="AV778">
        <f>'Bookings and Drivers'!BD255</f>
        <v>0</v>
      </c>
      <c r="AW778">
        <f>'Bookings and Drivers'!BE255</f>
        <v>0</v>
      </c>
      <c r="AX778">
        <f>'Bookings and Drivers'!BF255</f>
        <v>0</v>
      </c>
      <c r="AY778">
        <f>'Bookings and Drivers'!BG255</f>
        <v>0</v>
      </c>
      <c r="AZ778">
        <f>'Bookings and Drivers'!BH255</f>
        <v>0</v>
      </c>
      <c r="BA778">
        <f>'Bookings and Drivers'!BI255</f>
        <v>0</v>
      </c>
      <c r="BB778">
        <f>'Bookings and Drivers'!BJ255</f>
        <v>0</v>
      </c>
      <c r="BC778">
        <f>'Bookings and Drivers'!BK255</f>
        <v>0</v>
      </c>
      <c r="BD778">
        <f>'Bookings and Drivers'!BL255</f>
        <v>0</v>
      </c>
      <c r="BE778">
        <f>'Bookings and Drivers'!BM255</f>
        <v>0</v>
      </c>
      <c r="BF778">
        <f>'Bookings and Drivers'!BN255</f>
        <v>0</v>
      </c>
      <c r="BG778">
        <f>'Bookings and Drivers'!BO255</f>
        <v>0</v>
      </c>
      <c r="BH778">
        <f>'Bookings and Drivers'!BP255</f>
        <v>0</v>
      </c>
      <c r="BI778">
        <f>'Bookings and Drivers'!BQ255</f>
        <v>0</v>
      </c>
      <c r="BJ778">
        <f>'Bookings and Drivers'!BR255</f>
        <v>0</v>
      </c>
      <c r="BK778">
        <f>'Bookings and Drivers'!BS255</f>
        <v>0</v>
      </c>
      <c r="BL778">
        <f>'Bookings and Drivers'!BT255</f>
        <v>0</v>
      </c>
      <c r="BM778">
        <f>'Bookings and Drivers'!BU255</f>
        <v>0</v>
      </c>
      <c r="BN778">
        <f>'Bookings and Drivers'!BV255</f>
        <v>0</v>
      </c>
      <c r="BO778">
        <f>'Bookings and Drivers'!BW255</f>
        <v>0</v>
      </c>
      <c r="BP778">
        <f>'Bookings and Drivers'!BX255</f>
        <v>0</v>
      </c>
      <c r="BQ778">
        <f>'Bookings and Drivers'!BY255</f>
        <v>0</v>
      </c>
      <c r="BR778">
        <f>'Bookings and Drivers'!BZ255</f>
        <v>0</v>
      </c>
      <c r="BS778">
        <f>'Bookings and Drivers'!CA255</f>
        <v>0</v>
      </c>
      <c r="BT778">
        <f>'Bookings and Drivers'!CB255</f>
        <v>0</v>
      </c>
      <c r="BU778">
        <f>'Bookings and Drivers'!CC255</f>
        <v>0</v>
      </c>
      <c r="BV778">
        <f>'Bookings and Drivers'!CD255</f>
        <v>0</v>
      </c>
      <c r="BW778">
        <f>'Bookings and Drivers'!CE255</f>
        <v>0</v>
      </c>
      <c r="BX778">
        <f>'Bookings and Drivers'!CF255</f>
        <v>0</v>
      </c>
      <c r="BY778">
        <f>'Bookings and Drivers'!CG255</f>
        <v>0</v>
      </c>
      <c r="BZ778">
        <f>'Bookings and Drivers'!CH255</f>
        <v>0</v>
      </c>
      <c r="CA778">
        <f>'Bookings and Drivers'!CI255</f>
        <v>0</v>
      </c>
      <c r="CB778">
        <f>'Bookings and Drivers'!CJ255</f>
        <v>0</v>
      </c>
      <c r="CC778">
        <f>'Bookings and Drivers'!CK255</f>
        <v>0</v>
      </c>
      <c r="CD778">
        <f>'Bookings and Drivers'!CL255</f>
        <v>0</v>
      </c>
      <c r="CE778">
        <f>'Bookings and Drivers'!CM255</f>
        <v>0</v>
      </c>
      <c r="CF778">
        <f>'Bookings and Drivers'!CN255</f>
        <v>0</v>
      </c>
      <c r="CG778">
        <f>'Bookings and Drivers'!CO255</f>
        <v>0</v>
      </c>
      <c r="CH778">
        <f>'Bookings and Drivers'!CP255</f>
        <v>509.86861306176979</v>
      </c>
      <c r="CI778">
        <f>'Bookings and Drivers'!CQ255</f>
        <v>963.3711975358774</v>
      </c>
      <c r="CJ778">
        <f>'Bookings and Drivers'!CR255</f>
        <v>2222.363629909556</v>
      </c>
      <c r="CK778">
        <f>'Bookings and Drivers'!CS255</f>
        <v>4759.7800437250571</v>
      </c>
      <c r="CL778">
        <f>'Bookings and Drivers'!CT255</f>
        <v>8968.7434716118805</v>
      </c>
      <c r="CM778">
        <f>'Bookings and Drivers'!CU255</f>
        <v>13364.158641762668</v>
      </c>
      <c r="CN778">
        <f>'Bookings and Drivers'!CV255</f>
        <v>16429.881099273982</v>
      </c>
      <c r="CO778">
        <f>'Bookings and Drivers'!CW255</f>
        <v>23247.581218263284</v>
      </c>
      <c r="CP778">
        <f>'Bookings and Drivers'!CX255</f>
        <v>29648.82878270837</v>
      </c>
      <c r="CQ778">
        <f>'Bookings and Drivers'!CY255</f>
        <v>38287.525819485447</v>
      </c>
      <c r="CR778">
        <f>'Bookings and Drivers'!CZ255</f>
        <v>0</v>
      </c>
      <c r="CS778">
        <f>'Bookings and Drivers'!DA255</f>
        <v>0</v>
      </c>
      <c r="CT778">
        <f>'Bookings and Drivers'!DB255</f>
        <v>0</v>
      </c>
      <c r="CU778">
        <f>'Bookings and Drivers'!DC255</f>
        <v>0</v>
      </c>
      <c r="CV778">
        <f>'Bookings and Drivers'!DD255</f>
        <v>0</v>
      </c>
      <c r="CW778">
        <f>'Bookings and Drivers'!DE255</f>
        <v>0</v>
      </c>
      <c r="CX778">
        <f>'Bookings and Drivers'!DF255</f>
        <v>0</v>
      </c>
    </row>
    <row r="779" spans="1:102">
      <c r="A779">
        <f>'Bookings and Drivers'!I256</f>
        <v>0</v>
      </c>
      <c r="B779">
        <f>'Bookings and Drivers'!J256</f>
        <v>0</v>
      </c>
      <c r="C779">
        <f>'Bookings and Drivers'!K256</f>
        <v>0</v>
      </c>
      <c r="D779">
        <f>'Bookings and Drivers'!L256</f>
        <v>0</v>
      </c>
      <c r="E779">
        <f>'Bookings and Drivers'!M256</f>
        <v>0</v>
      </c>
      <c r="F779">
        <f>'Bookings and Drivers'!N256</f>
        <v>0</v>
      </c>
      <c r="G779">
        <f>'Bookings and Drivers'!O256</f>
        <v>0</v>
      </c>
      <c r="H779">
        <f>'Bookings and Drivers'!P256</f>
        <v>0</v>
      </c>
      <c r="I779">
        <f>'Bookings and Drivers'!Q256</f>
        <v>0</v>
      </c>
      <c r="J779">
        <f>'Bookings and Drivers'!R256</f>
        <v>0</v>
      </c>
      <c r="K779">
        <f>'Bookings and Drivers'!S256</f>
        <v>0</v>
      </c>
      <c r="L779">
        <f>'Bookings and Drivers'!T256</f>
        <v>0</v>
      </c>
      <c r="M779">
        <f>'Bookings and Drivers'!U256</f>
        <v>0</v>
      </c>
      <c r="N779">
        <f>'Bookings and Drivers'!V256</f>
        <v>0</v>
      </c>
      <c r="O779">
        <f>'Bookings and Drivers'!W256</f>
        <v>0</v>
      </c>
      <c r="P779">
        <f>'Bookings and Drivers'!X256</f>
        <v>0</v>
      </c>
      <c r="Q779">
        <f>'Bookings and Drivers'!Y256</f>
        <v>0</v>
      </c>
      <c r="R779">
        <f>'Bookings and Drivers'!Z256</f>
        <v>0</v>
      </c>
      <c r="S779">
        <f>'Bookings and Drivers'!AA256</f>
        <v>0</v>
      </c>
      <c r="T779">
        <f>'Bookings and Drivers'!AB256</f>
        <v>0</v>
      </c>
      <c r="U779">
        <f>'Bookings and Drivers'!AC256</f>
        <v>0</v>
      </c>
      <c r="V779">
        <f>'Bookings and Drivers'!AD256</f>
        <v>0</v>
      </c>
      <c r="W779">
        <f>'Bookings and Drivers'!AE256</f>
        <v>0</v>
      </c>
      <c r="X779">
        <f>'Bookings and Drivers'!AF256</f>
        <v>0</v>
      </c>
      <c r="Y779">
        <f>'Bookings and Drivers'!AG256</f>
        <v>0</v>
      </c>
      <c r="Z779">
        <f>'Bookings and Drivers'!AH256</f>
        <v>0</v>
      </c>
      <c r="AA779">
        <f>'Bookings and Drivers'!AI256</f>
        <v>0</v>
      </c>
      <c r="AB779">
        <f>'Bookings and Drivers'!AJ256</f>
        <v>0</v>
      </c>
      <c r="AC779">
        <f>'Bookings and Drivers'!AK256</f>
        <v>0</v>
      </c>
      <c r="AD779">
        <f>'Bookings and Drivers'!AL256</f>
        <v>0</v>
      </c>
      <c r="AE779">
        <f>'Bookings and Drivers'!AM256</f>
        <v>0</v>
      </c>
      <c r="AF779">
        <f>'Bookings and Drivers'!AN256</f>
        <v>0</v>
      </c>
      <c r="AG779">
        <f>'Bookings and Drivers'!AO256</f>
        <v>0</v>
      </c>
      <c r="AH779">
        <f>'Bookings and Drivers'!AP256</f>
        <v>0</v>
      </c>
      <c r="AI779">
        <f>'Bookings and Drivers'!AQ256</f>
        <v>0</v>
      </c>
      <c r="AJ779">
        <f>'Bookings and Drivers'!AR256</f>
        <v>0</v>
      </c>
      <c r="AK779">
        <f>'Bookings and Drivers'!AS256</f>
        <v>0</v>
      </c>
      <c r="AL779">
        <f>'Bookings and Drivers'!AT256</f>
        <v>0</v>
      </c>
      <c r="AM779">
        <f>'Bookings and Drivers'!AU256</f>
        <v>0</v>
      </c>
      <c r="AN779">
        <f>'Bookings and Drivers'!AV256</f>
        <v>0</v>
      </c>
      <c r="AO779">
        <f>'Bookings and Drivers'!AW256</f>
        <v>0</v>
      </c>
      <c r="AP779">
        <f>'Bookings and Drivers'!AX256</f>
        <v>0</v>
      </c>
      <c r="AQ779">
        <f>'Bookings and Drivers'!AY256</f>
        <v>0</v>
      </c>
      <c r="AR779">
        <f>'Bookings and Drivers'!AZ256</f>
        <v>0</v>
      </c>
      <c r="AS779">
        <f>'Bookings and Drivers'!BA256</f>
        <v>0</v>
      </c>
      <c r="AT779">
        <f>'Bookings and Drivers'!BB256</f>
        <v>0</v>
      </c>
      <c r="AU779">
        <f>'Bookings and Drivers'!BC256</f>
        <v>0</v>
      </c>
      <c r="AV779">
        <f>'Bookings and Drivers'!BD256</f>
        <v>0</v>
      </c>
      <c r="AW779">
        <f>'Bookings and Drivers'!BE256</f>
        <v>0</v>
      </c>
      <c r="AX779">
        <f>'Bookings and Drivers'!BF256</f>
        <v>0</v>
      </c>
      <c r="AY779">
        <f>'Bookings and Drivers'!BG256</f>
        <v>0</v>
      </c>
      <c r="AZ779">
        <f>'Bookings and Drivers'!BH256</f>
        <v>0</v>
      </c>
      <c r="BA779">
        <f>'Bookings and Drivers'!BI256</f>
        <v>0</v>
      </c>
      <c r="BB779">
        <f>'Bookings and Drivers'!BJ256</f>
        <v>0</v>
      </c>
      <c r="BC779">
        <f>'Bookings and Drivers'!BK256</f>
        <v>0</v>
      </c>
      <c r="BD779">
        <f>'Bookings and Drivers'!BL256</f>
        <v>0</v>
      </c>
      <c r="BE779">
        <f>'Bookings and Drivers'!BM256</f>
        <v>0</v>
      </c>
      <c r="BF779">
        <f>'Bookings and Drivers'!BN256</f>
        <v>0</v>
      </c>
      <c r="BG779">
        <f>'Bookings and Drivers'!BO256</f>
        <v>0</v>
      </c>
      <c r="BH779">
        <f>'Bookings and Drivers'!BP256</f>
        <v>0</v>
      </c>
      <c r="BI779">
        <f>'Bookings and Drivers'!BQ256</f>
        <v>0</v>
      </c>
      <c r="BJ779">
        <f>'Bookings and Drivers'!BR256</f>
        <v>0</v>
      </c>
      <c r="BK779">
        <f>'Bookings and Drivers'!BS256</f>
        <v>0</v>
      </c>
      <c r="BL779">
        <f>'Bookings and Drivers'!BT256</f>
        <v>0</v>
      </c>
      <c r="BM779">
        <f>'Bookings and Drivers'!BU256</f>
        <v>0</v>
      </c>
      <c r="BN779">
        <f>'Bookings and Drivers'!BV256</f>
        <v>0</v>
      </c>
      <c r="BO779">
        <f>'Bookings and Drivers'!BW256</f>
        <v>0</v>
      </c>
      <c r="BP779">
        <f>'Bookings and Drivers'!BX256</f>
        <v>0</v>
      </c>
      <c r="BQ779">
        <f>'Bookings and Drivers'!BY256</f>
        <v>0</v>
      </c>
      <c r="BR779">
        <f>'Bookings and Drivers'!BZ256</f>
        <v>0</v>
      </c>
      <c r="BS779">
        <f>'Bookings and Drivers'!CA256</f>
        <v>0</v>
      </c>
      <c r="BT779">
        <f>'Bookings and Drivers'!CB256</f>
        <v>0</v>
      </c>
      <c r="BU779">
        <f>'Bookings and Drivers'!CC256</f>
        <v>0</v>
      </c>
      <c r="BV779">
        <f>'Bookings and Drivers'!CD256</f>
        <v>0</v>
      </c>
      <c r="BW779">
        <f>'Bookings and Drivers'!CE256</f>
        <v>0</v>
      </c>
      <c r="BX779">
        <f>'Bookings and Drivers'!CF256</f>
        <v>0</v>
      </c>
      <c r="BY779">
        <f>'Bookings and Drivers'!CG256</f>
        <v>0</v>
      </c>
      <c r="BZ779">
        <f>'Bookings and Drivers'!CH256</f>
        <v>0</v>
      </c>
      <c r="CA779">
        <f>'Bookings and Drivers'!CI256</f>
        <v>0</v>
      </c>
      <c r="CB779">
        <f>'Bookings and Drivers'!CJ256</f>
        <v>0</v>
      </c>
      <c r="CC779">
        <f>'Bookings and Drivers'!CK256</f>
        <v>0</v>
      </c>
      <c r="CD779">
        <f>'Bookings and Drivers'!CL256</f>
        <v>0</v>
      </c>
      <c r="CE779">
        <f>'Bookings and Drivers'!CM256</f>
        <v>0</v>
      </c>
      <c r="CF779">
        <f>'Bookings and Drivers'!CN256</f>
        <v>0</v>
      </c>
      <c r="CG779">
        <f>'Bookings and Drivers'!CO256</f>
        <v>0</v>
      </c>
      <c r="CH779">
        <f>'Bookings and Drivers'!CP256</f>
        <v>1482.7816869382314</v>
      </c>
      <c r="CI779">
        <f>'Bookings and Drivers'!CQ256</f>
        <v>2719.4592155258924</v>
      </c>
      <c r="CJ779">
        <f>'Bookings and Drivers'!CR256</f>
        <v>5015.5997776263221</v>
      </c>
      <c r="CK779">
        <f>'Bookings and Drivers'!CS256</f>
        <v>2575.8590531844966</v>
      </c>
      <c r="CL779">
        <f>'Bookings and Drivers'!CT256</f>
        <v>4293.2082374931797</v>
      </c>
      <c r="CM779">
        <f>'Bookings and Drivers'!CU256</f>
        <v>4556.386596563214</v>
      </c>
      <c r="CN779">
        <f>'Bookings and Drivers'!CV256</f>
        <v>1515.3456993154759</v>
      </c>
      <c r="CO779">
        <f>'Bookings and Drivers'!CW256</f>
        <v>3769.2721828337635</v>
      </c>
      <c r="CQ779">
        <f>'Bookings and Drivers'!CY256</f>
        <v>5238.8055453719644</v>
      </c>
      <c r="CR779">
        <f>'Bookings and Drivers'!CZ256</f>
        <v>0</v>
      </c>
      <c r="CS779">
        <f>'Bookings and Drivers'!DA256</f>
        <v>0</v>
      </c>
      <c r="CT779">
        <f>'Bookings and Drivers'!DB256</f>
        <v>0</v>
      </c>
      <c r="CU779">
        <f>'Bookings and Drivers'!DC256</f>
        <v>0</v>
      </c>
      <c r="CV779">
        <f>'Bookings and Drivers'!DD256</f>
        <v>0</v>
      </c>
      <c r="CW779">
        <f>'Bookings and Drivers'!DE256</f>
        <v>0</v>
      </c>
      <c r="CX779">
        <f>'Bookings and Drivers'!DF256</f>
        <v>0</v>
      </c>
    </row>
    <row r="780" spans="1:102">
      <c r="A780" t="str">
        <f>'Bookings and Drivers'!I257</f>
        <v>% change Y/Y</v>
      </c>
      <c r="B780">
        <f>'Bookings and Drivers'!J257</f>
        <v>0</v>
      </c>
      <c r="C780">
        <f>'Bookings and Drivers'!K257</f>
        <v>0</v>
      </c>
      <c r="D780">
        <f>'Bookings and Drivers'!L257</f>
        <v>0</v>
      </c>
      <c r="E780">
        <f>'Bookings and Drivers'!M257</f>
        <v>0</v>
      </c>
      <c r="F780">
        <f>'Bookings and Drivers'!N257</f>
        <v>0</v>
      </c>
      <c r="G780">
        <f>'Bookings and Drivers'!O257</f>
        <v>0</v>
      </c>
      <c r="H780">
        <f>'Bookings and Drivers'!P257</f>
        <v>0</v>
      </c>
      <c r="I780">
        <f>'Bookings and Drivers'!Q257</f>
        <v>0</v>
      </c>
      <c r="J780">
        <f>'Bookings and Drivers'!R257</f>
        <v>0</v>
      </c>
      <c r="K780">
        <f>'Bookings and Drivers'!S257</f>
        <v>0</v>
      </c>
      <c r="L780">
        <f>'Bookings and Drivers'!T257</f>
        <v>0</v>
      </c>
      <c r="M780">
        <f>'Bookings and Drivers'!U257</f>
        <v>0</v>
      </c>
      <c r="N780">
        <f>'Bookings and Drivers'!V257</f>
        <v>0</v>
      </c>
      <c r="O780">
        <f>'Bookings and Drivers'!W257</f>
        <v>0</v>
      </c>
      <c r="P780">
        <f>'Bookings and Drivers'!X257</f>
        <v>0</v>
      </c>
      <c r="Q780">
        <f>'Bookings and Drivers'!Y257</f>
        <v>0</v>
      </c>
      <c r="R780">
        <f>'Bookings and Drivers'!Z257</f>
        <v>0</v>
      </c>
      <c r="S780">
        <f>'Bookings and Drivers'!AA257</f>
        <v>0</v>
      </c>
      <c r="T780">
        <f>'Bookings and Drivers'!AB257</f>
        <v>0</v>
      </c>
      <c r="U780">
        <f>'Bookings and Drivers'!AC257</f>
        <v>0</v>
      </c>
      <c r="V780">
        <f>'Bookings and Drivers'!AD257</f>
        <v>0</v>
      </c>
      <c r="W780">
        <f>'Bookings and Drivers'!AE257</f>
        <v>0</v>
      </c>
      <c r="X780">
        <f>'Bookings and Drivers'!AF257</f>
        <v>0</v>
      </c>
      <c r="Y780">
        <f>'Bookings and Drivers'!AG257</f>
        <v>0</v>
      </c>
      <c r="Z780">
        <f>'Bookings and Drivers'!AH257</f>
        <v>0</v>
      </c>
      <c r="AA780">
        <f>'Bookings and Drivers'!AI257</f>
        <v>0</v>
      </c>
      <c r="AB780">
        <f>'Bookings and Drivers'!AJ257</f>
        <v>0</v>
      </c>
      <c r="AC780">
        <f>'Bookings and Drivers'!AK257</f>
        <v>0</v>
      </c>
      <c r="AD780">
        <f>'Bookings and Drivers'!AL257</f>
        <v>0</v>
      </c>
      <c r="AE780">
        <f>'Bookings and Drivers'!AM257</f>
        <v>0</v>
      </c>
      <c r="AF780">
        <f>'Bookings and Drivers'!AN257</f>
        <v>0</v>
      </c>
      <c r="AG780">
        <f>'Bookings and Drivers'!AO257</f>
        <v>0</v>
      </c>
      <c r="AH780">
        <f>'Bookings and Drivers'!AP257</f>
        <v>0</v>
      </c>
      <c r="AI780">
        <f>'Bookings and Drivers'!AQ257</f>
        <v>0</v>
      </c>
      <c r="AJ780">
        <f>'Bookings and Drivers'!AR257</f>
        <v>0</v>
      </c>
      <c r="AK780">
        <f>'Bookings and Drivers'!AS257</f>
        <v>0</v>
      </c>
      <c r="AL780">
        <f>'Bookings and Drivers'!AT257</f>
        <v>0</v>
      </c>
      <c r="AM780">
        <f>'Bookings and Drivers'!AU257</f>
        <v>0</v>
      </c>
      <c r="AN780">
        <f>'Bookings and Drivers'!AV257</f>
        <v>0</v>
      </c>
      <c r="AO780">
        <f>'Bookings and Drivers'!AW257</f>
        <v>0</v>
      </c>
      <c r="AP780">
        <f>'Bookings and Drivers'!AX257</f>
        <v>0</v>
      </c>
      <c r="AQ780">
        <f>'Bookings and Drivers'!AY257</f>
        <v>0</v>
      </c>
      <c r="AR780">
        <f>'Bookings and Drivers'!AZ257</f>
        <v>0</v>
      </c>
      <c r="AS780">
        <f>'Bookings and Drivers'!BA257</f>
        <v>0</v>
      </c>
      <c r="AT780">
        <f>'Bookings and Drivers'!BB257</f>
        <v>0</v>
      </c>
      <c r="AU780">
        <f>'Bookings and Drivers'!BC257</f>
        <v>0</v>
      </c>
      <c r="AV780">
        <f>'Bookings and Drivers'!BD257</f>
        <v>0</v>
      </c>
      <c r="AW780">
        <f>'Bookings and Drivers'!BE257</f>
        <v>0</v>
      </c>
      <c r="AX780">
        <f>'Bookings and Drivers'!BF257</f>
        <v>0</v>
      </c>
      <c r="AY780">
        <f>'Bookings and Drivers'!BG257</f>
        <v>0</v>
      </c>
      <c r="AZ780">
        <f>'Bookings and Drivers'!BH257</f>
        <v>0</v>
      </c>
      <c r="BA780">
        <f>'Bookings and Drivers'!BI257</f>
        <v>0</v>
      </c>
      <c r="BB780">
        <f>'Bookings and Drivers'!BJ257</f>
        <v>0</v>
      </c>
      <c r="BC780">
        <f>'Bookings and Drivers'!BK257</f>
        <v>0</v>
      </c>
      <c r="BD780">
        <f>'Bookings and Drivers'!BL257</f>
        <v>0</v>
      </c>
      <c r="BE780">
        <f>'Bookings and Drivers'!BM257</f>
        <v>0</v>
      </c>
      <c r="BF780">
        <f>'Bookings and Drivers'!BN257</f>
        <v>0</v>
      </c>
      <c r="BG780">
        <f>'Bookings and Drivers'!BO257</f>
        <v>0</v>
      </c>
      <c r="BH780">
        <f>'Bookings and Drivers'!BP257</f>
        <v>0</v>
      </c>
      <c r="BI780">
        <f>'Bookings and Drivers'!BQ257</f>
        <v>0</v>
      </c>
      <c r="BJ780">
        <f>'Bookings and Drivers'!BR257</f>
        <v>0</v>
      </c>
      <c r="BK780">
        <f>'Bookings and Drivers'!BS257</f>
        <v>0</v>
      </c>
      <c r="BL780">
        <f>'Bookings and Drivers'!BT257</f>
        <v>0</v>
      </c>
      <c r="BM780">
        <f>'Bookings and Drivers'!BU257</f>
        <v>0</v>
      </c>
      <c r="BN780">
        <f>'Bookings and Drivers'!BV257</f>
        <v>0</v>
      </c>
      <c r="BO780">
        <f>'Bookings and Drivers'!BW257</f>
        <v>0</v>
      </c>
      <c r="BP780">
        <f>'Bookings and Drivers'!BX257</f>
        <v>0</v>
      </c>
      <c r="BQ780">
        <f>'Bookings and Drivers'!BY257</f>
        <v>0</v>
      </c>
      <c r="BR780">
        <f>'Bookings and Drivers'!BZ257</f>
        <v>0</v>
      </c>
      <c r="BS780">
        <f>'Bookings and Drivers'!CA257</f>
        <v>0</v>
      </c>
      <c r="BT780">
        <f>'Bookings and Drivers'!CB257</f>
        <v>0</v>
      </c>
      <c r="BU780">
        <f>'Bookings and Drivers'!CC257</f>
        <v>0</v>
      </c>
      <c r="BV780">
        <f>'Bookings and Drivers'!CD257</f>
        <v>0</v>
      </c>
      <c r="BW780">
        <f>'Bookings and Drivers'!CE257</f>
        <v>0</v>
      </c>
      <c r="BX780">
        <f>'Bookings and Drivers'!CF257</f>
        <v>0</v>
      </c>
      <c r="BY780">
        <f>'Bookings and Drivers'!CG257</f>
        <v>0</v>
      </c>
      <c r="BZ780">
        <f>'Bookings and Drivers'!CH257</f>
        <v>0</v>
      </c>
      <c r="CA780">
        <f>'Bookings and Drivers'!CI257</f>
        <v>0</v>
      </c>
      <c r="CB780">
        <f>'Bookings and Drivers'!CJ257</f>
        <v>0</v>
      </c>
      <c r="CC780">
        <f>'Bookings and Drivers'!CK257</f>
        <v>0</v>
      </c>
      <c r="CD780">
        <f>'Bookings and Drivers'!CL257</f>
        <v>0</v>
      </c>
      <c r="CE780">
        <f>'Bookings and Drivers'!CM257</f>
        <v>0</v>
      </c>
      <c r="CF780">
        <f>'Bookings and Drivers'!CN257</f>
        <v>0</v>
      </c>
      <c r="CG780">
        <f>'Bookings and Drivers'!CO257</f>
        <v>0</v>
      </c>
      <c r="CH780">
        <f>'Bookings and Drivers'!CP257</f>
        <v>0</v>
      </c>
      <c r="CI780">
        <f>'Bookings and Drivers'!CQ257</f>
        <v>0</v>
      </c>
      <c r="CJ780">
        <f>'Bookings and Drivers'!CR257</f>
        <v>0</v>
      </c>
      <c r="CK780">
        <f>'Bookings and Drivers'!CS257</f>
        <v>0</v>
      </c>
      <c r="CL780">
        <f>'Bookings and Drivers'!CT257</f>
        <v>0</v>
      </c>
      <c r="CM780">
        <f>'Bookings and Drivers'!CU257</f>
        <v>0</v>
      </c>
      <c r="CN780">
        <f>'Bookings and Drivers'!CV257</f>
        <v>0</v>
      </c>
      <c r="CO780">
        <f>'Bookings and Drivers'!CW257</f>
        <v>0</v>
      </c>
      <c r="CQ780">
        <f>'Bookings and Drivers'!CY257</f>
        <v>0</v>
      </c>
      <c r="CR780">
        <f>'Bookings and Drivers'!CZ257</f>
        <v>0</v>
      </c>
      <c r="CS780">
        <f>'Bookings and Drivers'!DA257</f>
        <v>0</v>
      </c>
      <c r="CT780">
        <f>'Bookings and Drivers'!DB257</f>
        <v>0</v>
      </c>
      <c r="CU780">
        <f>'Bookings and Drivers'!DC257</f>
        <v>0</v>
      </c>
      <c r="CV780">
        <f>'Bookings and Drivers'!DD257</f>
        <v>0</v>
      </c>
      <c r="CW780">
        <f>'Bookings and Drivers'!DE257</f>
        <v>0</v>
      </c>
      <c r="CX780">
        <f>'Bookings and Drivers'!DF257</f>
        <v>0</v>
      </c>
    </row>
    <row r="781" spans="1:102">
      <c r="A781" t="str">
        <f>'Bookings and Drivers'!I258</f>
        <v>Europe</v>
      </c>
      <c r="B781">
        <f>'Bookings and Drivers'!J258</f>
        <v>0</v>
      </c>
      <c r="C781">
        <f>'Bookings and Drivers'!K258</f>
        <v>0</v>
      </c>
      <c r="D781">
        <f>'Bookings and Drivers'!L258</f>
        <v>0</v>
      </c>
      <c r="E781">
        <f>'Bookings and Drivers'!M258</f>
        <v>0</v>
      </c>
      <c r="F781">
        <f>'Bookings and Drivers'!N258</f>
        <v>0</v>
      </c>
      <c r="G781">
        <f>'Bookings and Drivers'!O258</f>
        <v>0</v>
      </c>
      <c r="H781">
        <f>'Bookings and Drivers'!P258</f>
        <v>0</v>
      </c>
      <c r="I781">
        <f>'Bookings and Drivers'!Q258</f>
        <v>0</v>
      </c>
      <c r="J781">
        <f>'Bookings and Drivers'!R258</f>
        <v>0</v>
      </c>
      <c r="K781">
        <f>'Bookings and Drivers'!S258</f>
        <v>0</v>
      </c>
      <c r="L781">
        <f>'Bookings and Drivers'!T258</f>
        <v>0</v>
      </c>
      <c r="M781">
        <f>'Bookings and Drivers'!U258</f>
        <v>0</v>
      </c>
      <c r="N781">
        <f>'Bookings and Drivers'!V258</f>
        <v>0</v>
      </c>
      <c r="O781">
        <f>'Bookings and Drivers'!W258</f>
        <v>0</v>
      </c>
      <c r="P781">
        <f>'Bookings and Drivers'!X258</f>
        <v>0</v>
      </c>
      <c r="Q781">
        <f>'Bookings and Drivers'!Y258</f>
        <v>0</v>
      </c>
      <c r="R781">
        <f>'Bookings and Drivers'!Z258</f>
        <v>0</v>
      </c>
      <c r="S781">
        <f>'Bookings and Drivers'!AA258</f>
        <v>0</v>
      </c>
      <c r="T781">
        <f>'Bookings and Drivers'!AB258</f>
        <v>0</v>
      </c>
      <c r="U781">
        <f>'Bookings and Drivers'!AC258</f>
        <v>0</v>
      </c>
      <c r="V781">
        <f>'Bookings and Drivers'!AD258</f>
        <v>0</v>
      </c>
      <c r="W781">
        <f>'Bookings and Drivers'!AE258</f>
        <v>0</v>
      </c>
      <c r="X781">
        <f>'Bookings and Drivers'!AF258</f>
        <v>0</v>
      </c>
      <c r="Y781">
        <f>'Bookings and Drivers'!AG258</f>
        <v>0</v>
      </c>
      <c r="Z781">
        <f>'Bookings and Drivers'!AH258</f>
        <v>0</v>
      </c>
      <c r="AA781">
        <f>'Bookings and Drivers'!AI258</f>
        <v>0</v>
      </c>
      <c r="AB781">
        <f>'Bookings and Drivers'!AJ258</f>
        <v>0</v>
      </c>
      <c r="AC781">
        <f>'Bookings and Drivers'!AK258</f>
        <v>0</v>
      </c>
      <c r="AD781">
        <f>'Bookings and Drivers'!AL258</f>
        <v>0</v>
      </c>
      <c r="AE781">
        <f>'Bookings and Drivers'!AM258</f>
        <v>0</v>
      </c>
      <c r="AF781">
        <f>'Bookings and Drivers'!AN258</f>
        <v>0</v>
      </c>
      <c r="AG781">
        <f>'Bookings and Drivers'!AO258</f>
        <v>0</v>
      </c>
      <c r="AH781">
        <f>'Bookings and Drivers'!AP258</f>
        <v>0</v>
      </c>
      <c r="AI781">
        <f>'Bookings and Drivers'!AQ258</f>
        <v>0</v>
      </c>
      <c r="AJ781">
        <f>'Bookings and Drivers'!AR258</f>
        <v>0</v>
      </c>
      <c r="AK781">
        <f>'Bookings and Drivers'!AS258</f>
        <v>0</v>
      </c>
      <c r="AL781">
        <f>'Bookings and Drivers'!AT258</f>
        <v>0</v>
      </c>
      <c r="AM781">
        <f>'Bookings and Drivers'!AU258</f>
        <v>0</v>
      </c>
      <c r="AN781">
        <f>'Bookings and Drivers'!AV258</f>
        <v>0</v>
      </c>
      <c r="AO781">
        <f>'Bookings and Drivers'!AW258</f>
        <v>0</v>
      </c>
      <c r="AP781">
        <f>'Bookings and Drivers'!AX258</f>
        <v>0</v>
      </c>
      <c r="AQ781">
        <f>'Bookings and Drivers'!AY258</f>
        <v>0</v>
      </c>
      <c r="AR781">
        <f>'Bookings and Drivers'!AZ258</f>
        <v>0</v>
      </c>
      <c r="AS781">
        <f>'Bookings and Drivers'!BA258</f>
        <v>0</v>
      </c>
      <c r="AT781">
        <f>'Bookings and Drivers'!BB258</f>
        <v>0</v>
      </c>
      <c r="AU781">
        <f>'Bookings and Drivers'!BC258</f>
        <v>0</v>
      </c>
      <c r="AV781">
        <f>'Bookings and Drivers'!BD258</f>
        <v>0</v>
      </c>
      <c r="AW781">
        <f>'Bookings and Drivers'!BE258</f>
        <v>0</v>
      </c>
      <c r="AX781">
        <f>'Bookings and Drivers'!BF258</f>
        <v>0</v>
      </c>
      <c r="AY781">
        <f>'Bookings and Drivers'!BG258</f>
        <v>0</v>
      </c>
      <c r="AZ781">
        <f>'Bookings and Drivers'!BH258</f>
        <v>0</v>
      </c>
      <c r="BA781">
        <f>'Bookings and Drivers'!BI258</f>
        <v>0</v>
      </c>
      <c r="BB781">
        <f>'Bookings and Drivers'!BJ258</f>
        <v>0</v>
      </c>
      <c r="BC781">
        <f>'Bookings and Drivers'!BK258</f>
        <v>0</v>
      </c>
      <c r="BD781">
        <f>'Bookings and Drivers'!BL258</f>
        <v>0</v>
      </c>
      <c r="BE781">
        <f>'Bookings and Drivers'!BM258</f>
        <v>0</v>
      </c>
      <c r="BF781">
        <f>'Bookings and Drivers'!BN258</f>
        <v>0</v>
      </c>
      <c r="BG781">
        <f>'Bookings and Drivers'!BO258</f>
        <v>0</v>
      </c>
      <c r="BH781">
        <f>'Bookings and Drivers'!BP258</f>
        <v>0</v>
      </c>
      <c r="BI781">
        <f>'Bookings and Drivers'!BQ258</f>
        <v>0</v>
      </c>
      <c r="BJ781">
        <f>'Bookings and Drivers'!BR258</f>
        <v>0</v>
      </c>
      <c r="BK781">
        <f>'Bookings and Drivers'!BS258</f>
        <v>0</v>
      </c>
      <c r="BL781">
        <f>'Bookings and Drivers'!BT258</f>
        <v>0</v>
      </c>
      <c r="BM781">
        <f>'Bookings and Drivers'!BU258</f>
        <v>0</v>
      </c>
      <c r="BN781">
        <f>'Bookings and Drivers'!BV258</f>
        <v>0</v>
      </c>
      <c r="BO781">
        <f>'Bookings and Drivers'!BW258</f>
        <v>0</v>
      </c>
      <c r="BP781">
        <f>'Bookings and Drivers'!BX258</f>
        <v>0</v>
      </c>
      <c r="BQ781">
        <f>'Bookings and Drivers'!BY258</f>
        <v>0</v>
      </c>
      <c r="BR781">
        <f>'Bookings and Drivers'!BZ258</f>
        <v>0</v>
      </c>
      <c r="BS781">
        <f>'Bookings and Drivers'!CA258</f>
        <v>0</v>
      </c>
      <c r="BT781">
        <f>'Bookings and Drivers'!CB258</f>
        <v>0</v>
      </c>
      <c r="BU781">
        <f>'Bookings and Drivers'!CC258</f>
        <v>0</v>
      </c>
      <c r="BV781">
        <f>'Bookings and Drivers'!CD258</f>
        <v>0</v>
      </c>
      <c r="BW781">
        <f>'Bookings and Drivers'!CE258</f>
        <v>0</v>
      </c>
      <c r="BX781">
        <f>'Bookings and Drivers'!CF258</f>
        <v>0</v>
      </c>
      <c r="BY781">
        <f>'Bookings and Drivers'!CG258</f>
        <v>0</v>
      </c>
      <c r="BZ781">
        <f>'Bookings and Drivers'!CH258</f>
        <v>0</v>
      </c>
      <c r="CA781">
        <f>'Bookings and Drivers'!CI258</f>
        <v>0</v>
      </c>
      <c r="CB781">
        <f>'Bookings and Drivers'!CJ258</f>
        <v>0</v>
      </c>
      <c r="CC781">
        <f>'Bookings and Drivers'!CK258</f>
        <v>0</v>
      </c>
      <c r="CD781">
        <f>'Bookings and Drivers'!CL258</f>
        <v>0</v>
      </c>
      <c r="CE781">
        <f>'Bookings and Drivers'!CM258</f>
        <v>0</v>
      </c>
      <c r="CF781">
        <f>'Bookings and Drivers'!CN258</f>
        <v>0</v>
      </c>
      <c r="CG781">
        <f>'Bookings and Drivers'!CO258</f>
        <v>0</v>
      </c>
      <c r="CH781">
        <f>'Bookings and Drivers'!CP258</f>
        <v>0</v>
      </c>
      <c r="CI781">
        <f>'Bookings and Drivers'!CQ258</f>
        <v>0.55727372540189735</v>
      </c>
      <c r="CJ781">
        <f>'Bookings and Drivers'!CR258</f>
        <v>0.66</v>
      </c>
      <c r="CK781">
        <f>'Bookings and Drivers'!CS258</f>
        <v>0.2041902817998964</v>
      </c>
      <c r="CL781">
        <f>'Bookings and Drivers'!CT258</f>
        <v>0.28261799371370899</v>
      </c>
      <c r="CM781">
        <f>'Bookings and Drivers'!CU258</f>
        <v>0.23385200208286916</v>
      </c>
      <c r="CN781">
        <f>'Bookings and Drivers'!CV258</f>
        <v>6.3033174152907101E-2</v>
      </c>
      <c r="CO781">
        <f>'Bookings and Drivers'!CW258</f>
        <v>0.14749188912874223</v>
      </c>
      <c r="CP781">
        <f>'Bookings and Drivers'!CX258</f>
        <v>0.15724898770948958</v>
      </c>
      <c r="CQ781">
        <f>'Bookings and Drivers'!CY258</f>
        <v>0.15437127223267777</v>
      </c>
      <c r="CR781">
        <f>'Bookings and Drivers'!CZ258</f>
        <v>0</v>
      </c>
      <c r="CS781">
        <f>'Bookings and Drivers'!DA258</f>
        <v>0</v>
      </c>
      <c r="CT781">
        <f>'Bookings and Drivers'!DB258</f>
        <v>0</v>
      </c>
      <c r="CU781">
        <f>'Bookings and Drivers'!DC258</f>
        <v>0</v>
      </c>
      <c r="CV781">
        <f>'Bookings and Drivers'!DD258</f>
        <v>0</v>
      </c>
      <c r="CW781">
        <f>'Bookings and Drivers'!DE258</f>
        <v>0</v>
      </c>
      <c r="CX781">
        <f>'Bookings and Drivers'!DF258</f>
        <v>0</v>
      </c>
    </row>
    <row r="782" spans="1:102">
      <c r="A782" t="str">
        <f>'Bookings and Drivers'!I259</f>
        <v>Non-Europe</v>
      </c>
      <c r="B782">
        <f>'Bookings and Drivers'!J259</f>
        <v>0</v>
      </c>
      <c r="C782">
        <f>'Bookings and Drivers'!K259</f>
        <v>0</v>
      </c>
      <c r="D782">
        <f>'Bookings and Drivers'!L259</f>
        <v>0</v>
      </c>
      <c r="E782">
        <f>'Bookings and Drivers'!M259</f>
        <v>0</v>
      </c>
      <c r="F782">
        <f>'Bookings and Drivers'!N259</f>
        <v>0</v>
      </c>
      <c r="G782">
        <f>'Bookings and Drivers'!O259</f>
        <v>0</v>
      </c>
      <c r="H782">
        <f>'Bookings and Drivers'!P259</f>
        <v>0</v>
      </c>
      <c r="I782">
        <f>'Bookings and Drivers'!Q259</f>
        <v>0</v>
      </c>
      <c r="J782">
        <f>'Bookings and Drivers'!R259</f>
        <v>0</v>
      </c>
      <c r="K782">
        <f>'Bookings and Drivers'!S259</f>
        <v>0</v>
      </c>
      <c r="L782">
        <f>'Bookings and Drivers'!T259</f>
        <v>0</v>
      </c>
      <c r="M782">
        <f>'Bookings and Drivers'!U259</f>
        <v>0</v>
      </c>
      <c r="N782">
        <f>'Bookings and Drivers'!V259</f>
        <v>0</v>
      </c>
      <c r="O782">
        <f>'Bookings and Drivers'!W259</f>
        <v>0</v>
      </c>
      <c r="P782">
        <f>'Bookings and Drivers'!X259</f>
        <v>0</v>
      </c>
      <c r="Q782">
        <f>'Bookings and Drivers'!Y259</f>
        <v>0</v>
      </c>
      <c r="R782">
        <f>'Bookings and Drivers'!Z259</f>
        <v>0</v>
      </c>
      <c r="S782">
        <f>'Bookings and Drivers'!AA259</f>
        <v>0</v>
      </c>
      <c r="T782">
        <f>'Bookings and Drivers'!AB259</f>
        <v>0</v>
      </c>
      <c r="U782">
        <f>'Bookings and Drivers'!AC259</f>
        <v>0</v>
      </c>
      <c r="V782">
        <f>'Bookings and Drivers'!AD259</f>
        <v>0</v>
      </c>
      <c r="W782">
        <f>'Bookings and Drivers'!AE259</f>
        <v>0</v>
      </c>
      <c r="X782">
        <f>'Bookings and Drivers'!AF259</f>
        <v>0</v>
      </c>
      <c r="Y782">
        <f>'Bookings and Drivers'!AG259</f>
        <v>0</v>
      </c>
      <c r="Z782">
        <f>'Bookings and Drivers'!AH259</f>
        <v>0</v>
      </c>
      <c r="AA782">
        <f>'Bookings and Drivers'!AI259</f>
        <v>0</v>
      </c>
      <c r="AB782">
        <f>'Bookings and Drivers'!AJ259</f>
        <v>0</v>
      </c>
      <c r="AC782">
        <f>'Bookings and Drivers'!AK259</f>
        <v>0</v>
      </c>
      <c r="AD782">
        <f>'Bookings and Drivers'!AL259</f>
        <v>0</v>
      </c>
      <c r="AE782">
        <f>'Bookings and Drivers'!AM259</f>
        <v>0</v>
      </c>
      <c r="AF782">
        <f>'Bookings and Drivers'!AN259</f>
        <v>0</v>
      </c>
      <c r="AG782">
        <f>'Bookings and Drivers'!AO259</f>
        <v>0</v>
      </c>
      <c r="AH782">
        <f>'Bookings and Drivers'!AP259</f>
        <v>0</v>
      </c>
      <c r="AI782">
        <f>'Bookings and Drivers'!AQ259</f>
        <v>0</v>
      </c>
      <c r="AJ782">
        <f>'Bookings and Drivers'!AR259</f>
        <v>0</v>
      </c>
      <c r="AK782">
        <f>'Bookings and Drivers'!AS259</f>
        <v>0</v>
      </c>
      <c r="AL782">
        <f>'Bookings and Drivers'!AT259</f>
        <v>0</v>
      </c>
      <c r="AM782">
        <f>'Bookings and Drivers'!AU259</f>
        <v>0</v>
      </c>
      <c r="AN782">
        <f>'Bookings and Drivers'!AV259</f>
        <v>0</v>
      </c>
      <c r="AO782">
        <f>'Bookings and Drivers'!AW259</f>
        <v>0</v>
      </c>
      <c r="AP782">
        <f>'Bookings and Drivers'!AX259</f>
        <v>0</v>
      </c>
      <c r="AQ782">
        <f>'Bookings and Drivers'!AY259</f>
        <v>0</v>
      </c>
      <c r="AR782">
        <f>'Bookings and Drivers'!AZ259</f>
        <v>0</v>
      </c>
      <c r="AS782">
        <f>'Bookings and Drivers'!BA259</f>
        <v>0</v>
      </c>
      <c r="AT782">
        <f>'Bookings and Drivers'!BB259</f>
        <v>0</v>
      </c>
      <c r="AU782">
        <f>'Bookings and Drivers'!BC259</f>
        <v>0</v>
      </c>
      <c r="AV782">
        <f>'Bookings and Drivers'!BD259</f>
        <v>0</v>
      </c>
      <c r="AW782">
        <f>'Bookings and Drivers'!BE259</f>
        <v>0</v>
      </c>
      <c r="AX782">
        <f>'Bookings and Drivers'!BF259</f>
        <v>0</v>
      </c>
      <c r="AY782">
        <f>'Bookings and Drivers'!BG259</f>
        <v>0</v>
      </c>
      <c r="AZ782">
        <f>'Bookings and Drivers'!BH259</f>
        <v>0</v>
      </c>
      <c r="BA782">
        <f>'Bookings and Drivers'!BI259</f>
        <v>0</v>
      </c>
      <c r="BB782">
        <f>'Bookings and Drivers'!BJ259</f>
        <v>0</v>
      </c>
      <c r="BC782">
        <f>'Bookings and Drivers'!BK259</f>
        <v>0</v>
      </c>
      <c r="BD782">
        <f>'Bookings and Drivers'!BL259</f>
        <v>0</v>
      </c>
      <c r="BE782">
        <f>'Bookings and Drivers'!BM259</f>
        <v>0</v>
      </c>
      <c r="BF782">
        <f>'Bookings and Drivers'!BN259</f>
        <v>0</v>
      </c>
      <c r="BG782">
        <f>'Bookings and Drivers'!BO259</f>
        <v>0</v>
      </c>
      <c r="BH782">
        <f>'Bookings and Drivers'!BP259</f>
        <v>0</v>
      </c>
      <c r="BI782">
        <f>'Bookings and Drivers'!BQ259</f>
        <v>0</v>
      </c>
      <c r="BJ782">
        <f>'Bookings and Drivers'!BR259</f>
        <v>0</v>
      </c>
      <c r="BK782">
        <f>'Bookings and Drivers'!BS259</f>
        <v>0</v>
      </c>
      <c r="BL782">
        <f>'Bookings and Drivers'!BT259</f>
        <v>0</v>
      </c>
      <c r="BM782">
        <f>'Bookings and Drivers'!BU259</f>
        <v>0</v>
      </c>
      <c r="BN782">
        <f>'Bookings and Drivers'!BV259</f>
        <v>0</v>
      </c>
      <c r="BO782">
        <f>'Bookings and Drivers'!BW259</f>
        <v>0</v>
      </c>
      <c r="BP782">
        <f>'Bookings and Drivers'!BX259</f>
        <v>0</v>
      </c>
      <c r="BQ782">
        <f>'Bookings and Drivers'!BY259</f>
        <v>0</v>
      </c>
      <c r="BR782">
        <f>'Bookings and Drivers'!BZ259</f>
        <v>0</v>
      </c>
      <c r="BS782">
        <f>'Bookings and Drivers'!CA259</f>
        <v>0</v>
      </c>
      <c r="BT782">
        <f>'Bookings and Drivers'!CB259</f>
        <v>0</v>
      </c>
      <c r="BU782">
        <f>'Bookings and Drivers'!CC259</f>
        <v>0</v>
      </c>
      <c r="BV782">
        <f>'Bookings and Drivers'!CD259</f>
        <v>0</v>
      </c>
      <c r="BW782">
        <f>'Bookings and Drivers'!CE259</f>
        <v>0</v>
      </c>
      <c r="BX782">
        <f>'Bookings and Drivers'!CF259</f>
        <v>0</v>
      </c>
      <c r="BY782">
        <f>'Bookings and Drivers'!CG259</f>
        <v>0</v>
      </c>
      <c r="BZ782">
        <f>'Bookings and Drivers'!CH259</f>
        <v>0</v>
      </c>
      <c r="CA782">
        <f>'Bookings and Drivers'!CI259</f>
        <v>0</v>
      </c>
      <c r="CB782">
        <f>'Bookings and Drivers'!CJ259</f>
        <v>0</v>
      </c>
      <c r="CC782">
        <f>'Bookings and Drivers'!CK259</f>
        <v>0</v>
      </c>
      <c r="CD782">
        <f>'Bookings and Drivers'!CL259</f>
        <v>0</v>
      </c>
      <c r="CE782">
        <f>'Bookings and Drivers'!CM259</f>
        <v>0</v>
      </c>
      <c r="CF782">
        <f>'Bookings and Drivers'!CN259</f>
        <v>0</v>
      </c>
      <c r="CG782">
        <f>'Bookings and Drivers'!CO259</f>
        <v>0</v>
      </c>
      <c r="CH782">
        <f>'Bookings and Drivers'!CP259</f>
        <v>0</v>
      </c>
      <c r="CI782">
        <f>'Bookings and Drivers'!CQ259</f>
        <v>0.88944989524029894</v>
      </c>
      <c r="CJ782">
        <f>'Bookings and Drivers'!CR259</f>
        <v>1.3068611928547842</v>
      </c>
      <c r="CK782">
        <f>'Bookings and Drivers'!CS259</f>
        <v>1.1417647317773856</v>
      </c>
      <c r="CL782">
        <f>'Bookings and Drivers'!CT259</f>
        <v>0.88427687607867722</v>
      </c>
      <c r="CM782">
        <f>'Bookings and Drivers'!CU259</f>
        <v>0.49008149068632401</v>
      </c>
      <c r="CN782">
        <f>'Bookings and Drivers'!CV259</f>
        <v>0.22939883756924329</v>
      </c>
      <c r="CO782">
        <f>'Bookings and Drivers'!CW259</f>
        <v>0.41495736200370725</v>
      </c>
      <c r="CP782">
        <f>'Bookings and Drivers'!CX259</f>
        <v>0.27535112166491849</v>
      </c>
      <c r="CQ782">
        <f>'Bookings and Drivers'!CY259</f>
        <v>0.29136722735622156</v>
      </c>
      <c r="CR782">
        <f>'Bookings and Drivers'!CZ259</f>
        <v>0</v>
      </c>
      <c r="CS782">
        <f>'Bookings and Drivers'!DA259</f>
        <v>0</v>
      </c>
      <c r="CT782">
        <f>'Bookings and Drivers'!DB259</f>
        <v>0</v>
      </c>
      <c r="CU782">
        <f>'Bookings and Drivers'!DC259</f>
        <v>0</v>
      </c>
      <c r="CV782">
        <f>'Bookings and Drivers'!DD259</f>
        <v>0</v>
      </c>
      <c r="CW782">
        <f>'Bookings and Drivers'!DE259</f>
        <v>0</v>
      </c>
      <c r="CX782">
        <f>'Bookings and Drivers'!DF259</f>
        <v>0</v>
      </c>
    </row>
    <row r="783" spans="1:102">
      <c r="A783" t="str">
        <f>'Bookings and Drivers'!I260</f>
        <v>APAC</v>
      </c>
      <c r="B783">
        <f>'Bookings and Drivers'!J260</f>
        <v>0</v>
      </c>
      <c r="C783">
        <f>'Bookings and Drivers'!K260</f>
        <v>0</v>
      </c>
      <c r="D783">
        <f>'Bookings and Drivers'!L260</f>
        <v>0</v>
      </c>
      <c r="E783">
        <f>'Bookings and Drivers'!M260</f>
        <v>0</v>
      </c>
      <c r="F783">
        <f>'Bookings and Drivers'!N260</f>
        <v>0</v>
      </c>
      <c r="G783">
        <f>'Bookings and Drivers'!O260</f>
        <v>0</v>
      </c>
      <c r="H783">
        <f>'Bookings and Drivers'!P260</f>
        <v>0</v>
      </c>
      <c r="I783">
        <f>'Bookings and Drivers'!Q260</f>
        <v>0</v>
      </c>
      <c r="J783">
        <f>'Bookings and Drivers'!R260</f>
        <v>0</v>
      </c>
      <c r="K783">
        <f>'Bookings and Drivers'!S260</f>
        <v>0</v>
      </c>
      <c r="L783">
        <f>'Bookings and Drivers'!T260</f>
        <v>0</v>
      </c>
      <c r="M783">
        <f>'Bookings and Drivers'!U260</f>
        <v>0</v>
      </c>
      <c r="N783">
        <f>'Bookings and Drivers'!V260</f>
        <v>0</v>
      </c>
      <c r="O783">
        <f>'Bookings and Drivers'!W260</f>
        <v>0</v>
      </c>
      <c r="P783">
        <f>'Bookings and Drivers'!X260</f>
        <v>0</v>
      </c>
      <c r="Q783">
        <f>'Bookings and Drivers'!Y260</f>
        <v>0</v>
      </c>
      <c r="R783">
        <f>'Bookings and Drivers'!Z260</f>
        <v>0</v>
      </c>
      <c r="S783">
        <f>'Bookings and Drivers'!AA260</f>
        <v>0</v>
      </c>
      <c r="T783">
        <f>'Bookings and Drivers'!AB260</f>
        <v>0</v>
      </c>
      <c r="U783">
        <f>'Bookings and Drivers'!AC260</f>
        <v>0</v>
      </c>
      <c r="V783">
        <f>'Bookings and Drivers'!AD260</f>
        <v>0</v>
      </c>
      <c r="W783">
        <f>'Bookings and Drivers'!AE260</f>
        <v>0</v>
      </c>
      <c r="X783">
        <f>'Bookings and Drivers'!AF260</f>
        <v>0</v>
      </c>
      <c r="Y783">
        <f>'Bookings and Drivers'!AG260</f>
        <v>0</v>
      </c>
      <c r="Z783">
        <f>'Bookings and Drivers'!AH260</f>
        <v>0</v>
      </c>
      <c r="AA783">
        <f>'Bookings and Drivers'!AI260</f>
        <v>0</v>
      </c>
      <c r="AB783">
        <f>'Bookings and Drivers'!AJ260</f>
        <v>0</v>
      </c>
      <c r="AC783">
        <f>'Bookings and Drivers'!AK260</f>
        <v>0</v>
      </c>
      <c r="AD783">
        <f>'Bookings and Drivers'!AL260</f>
        <v>0</v>
      </c>
      <c r="AE783">
        <f>'Bookings and Drivers'!AM260</f>
        <v>0</v>
      </c>
      <c r="AF783">
        <f>'Bookings and Drivers'!AN260</f>
        <v>0</v>
      </c>
      <c r="AG783">
        <f>'Bookings and Drivers'!AO260</f>
        <v>0</v>
      </c>
      <c r="AH783">
        <f>'Bookings and Drivers'!AP260</f>
        <v>0</v>
      </c>
      <c r="AI783">
        <f>'Bookings and Drivers'!AQ260</f>
        <v>0</v>
      </c>
      <c r="AJ783">
        <f>'Bookings and Drivers'!AR260</f>
        <v>0</v>
      </c>
      <c r="AK783">
        <f>'Bookings and Drivers'!AS260</f>
        <v>0</v>
      </c>
      <c r="AL783">
        <f>'Bookings and Drivers'!AT260</f>
        <v>0</v>
      </c>
      <c r="AM783">
        <f>'Bookings and Drivers'!AU260</f>
        <v>0</v>
      </c>
      <c r="AN783">
        <f>'Bookings and Drivers'!AV260</f>
        <v>0</v>
      </c>
      <c r="AO783">
        <f>'Bookings and Drivers'!AW260</f>
        <v>0</v>
      </c>
      <c r="AP783">
        <f>'Bookings and Drivers'!AX260</f>
        <v>0</v>
      </c>
      <c r="AQ783">
        <f>'Bookings and Drivers'!AY260</f>
        <v>0</v>
      </c>
      <c r="AR783">
        <f>'Bookings and Drivers'!AZ260</f>
        <v>0</v>
      </c>
      <c r="AS783">
        <f>'Bookings and Drivers'!BA260</f>
        <v>0</v>
      </c>
      <c r="AT783">
        <f>'Bookings and Drivers'!BB260</f>
        <v>0</v>
      </c>
      <c r="AU783">
        <f>'Bookings and Drivers'!BC260</f>
        <v>0</v>
      </c>
      <c r="AV783">
        <f>'Bookings and Drivers'!BD260</f>
        <v>0</v>
      </c>
      <c r="AW783">
        <f>'Bookings and Drivers'!BE260</f>
        <v>0</v>
      </c>
      <c r="AX783">
        <f>'Bookings and Drivers'!BF260</f>
        <v>0</v>
      </c>
      <c r="AY783">
        <f>'Bookings and Drivers'!BG260</f>
        <v>0</v>
      </c>
      <c r="AZ783">
        <f>'Bookings and Drivers'!BH260</f>
        <v>0</v>
      </c>
      <c r="BA783">
        <f>'Bookings and Drivers'!BI260</f>
        <v>0</v>
      </c>
      <c r="BB783">
        <f>'Bookings and Drivers'!BJ260</f>
        <v>0</v>
      </c>
      <c r="BC783">
        <f>'Bookings and Drivers'!BK260</f>
        <v>0</v>
      </c>
      <c r="BD783">
        <f>'Bookings and Drivers'!BL260</f>
        <v>0</v>
      </c>
      <c r="BE783">
        <f>'Bookings and Drivers'!BM260</f>
        <v>0</v>
      </c>
      <c r="BF783">
        <f>'Bookings and Drivers'!BN260</f>
        <v>0</v>
      </c>
      <c r="BG783">
        <f>'Bookings and Drivers'!BO260</f>
        <v>0</v>
      </c>
      <c r="BH783">
        <f>'Bookings and Drivers'!BP260</f>
        <v>0</v>
      </c>
      <c r="BI783">
        <f>'Bookings and Drivers'!BQ260</f>
        <v>0</v>
      </c>
      <c r="BJ783">
        <f>'Bookings and Drivers'!BR260</f>
        <v>0</v>
      </c>
      <c r="BK783">
        <f>'Bookings and Drivers'!BS260</f>
        <v>0</v>
      </c>
      <c r="BL783">
        <f>'Bookings and Drivers'!BT260</f>
        <v>0</v>
      </c>
      <c r="BM783">
        <f>'Bookings and Drivers'!BU260</f>
        <v>0</v>
      </c>
      <c r="BN783">
        <f>'Bookings and Drivers'!BV260</f>
        <v>0</v>
      </c>
      <c r="BO783">
        <f>'Bookings and Drivers'!BW260</f>
        <v>0</v>
      </c>
      <c r="BP783">
        <f>'Bookings and Drivers'!BX260</f>
        <v>0</v>
      </c>
      <c r="BQ783">
        <f>'Bookings and Drivers'!BY260</f>
        <v>0</v>
      </c>
      <c r="BR783">
        <f>'Bookings and Drivers'!BZ260</f>
        <v>0</v>
      </c>
      <c r="BS783">
        <f>'Bookings and Drivers'!CA260</f>
        <v>0</v>
      </c>
      <c r="BT783">
        <f>'Bookings and Drivers'!CB260</f>
        <v>0</v>
      </c>
      <c r="BU783">
        <f>'Bookings and Drivers'!CC260</f>
        <v>0</v>
      </c>
      <c r="BV783">
        <f>'Bookings and Drivers'!CD260</f>
        <v>0</v>
      </c>
      <c r="BW783">
        <f>'Bookings and Drivers'!CE260</f>
        <v>0</v>
      </c>
      <c r="BX783">
        <f>'Bookings and Drivers'!CF260</f>
        <v>0</v>
      </c>
      <c r="BY783">
        <f>'Bookings and Drivers'!CG260</f>
        <v>0</v>
      </c>
      <c r="BZ783">
        <f>'Bookings and Drivers'!CH260</f>
        <v>0</v>
      </c>
      <c r="CA783">
        <f>'Bookings and Drivers'!CI260</f>
        <v>0</v>
      </c>
      <c r="CB783">
        <f>'Bookings and Drivers'!CJ260</f>
        <v>0</v>
      </c>
      <c r="CC783">
        <f>'Bookings and Drivers'!CK260</f>
        <v>0</v>
      </c>
      <c r="CD783">
        <f>'Bookings and Drivers'!CL260</f>
        <v>0</v>
      </c>
      <c r="CE783">
        <f>'Bookings and Drivers'!CM260</f>
        <v>0</v>
      </c>
      <c r="CF783">
        <f>'Bookings and Drivers'!CN260</f>
        <v>0</v>
      </c>
      <c r="CG783">
        <f>'Bookings and Drivers'!CO260</f>
        <v>0</v>
      </c>
      <c r="CH783">
        <f>'Bookings and Drivers'!CP260</f>
        <v>0</v>
      </c>
      <c r="CI783">
        <f>'Bookings and Drivers'!CQ260</f>
        <v>0</v>
      </c>
      <c r="CJ783">
        <f>'Bookings and Drivers'!CR260</f>
        <v>1.2653474622661056</v>
      </c>
      <c r="CK783">
        <f>'Bookings and Drivers'!CS260</f>
        <v>0.60000000000000009</v>
      </c>
      <c r="CL783">
        <f>'Bookings and Drivers'!CT260</f>
        <v>0.60000000000000031</v>
      </c>
      <c r="CM783">
        <f>'Bookings and Drivers'!CU260</f>
        <v>0.44999999999999996</v>
      </c>
      <c r="CN783">
        <f>'Bookings and Drivers'!CV260</f>
        <v>0.35000000000000009</v>
      </c>
      <c r="CO783">
        <f>'Bookings and Drivers'!CW260</f>
        <v>0.29096269738879177</v>
      </c>
      <c r="CP783">
        <f>'Bookings and Drivers'!CX260</f>
        <v>0.28000000000000003</v>
      </c>
      <c r="CQ783">
        <f>'Bookings and Drivers'!CY260</f>
        <v>0.19999999999999996</v>
      </c>
      <c r="CR783">
        <f>'Bookings and Drivers'!CZ260</f>
        <v>0</v>
      </c>
      <c r="CS783">
        <f>'Bookings and Drivers'!DA260</f>
        <v>0</v>
      </c>
      <c r="CT783">
        <f>'Bookings and Drivers'!DB260</f>
        <v>0</v>
      </c>
      <c r="CU783">
        <f>'Bookings and Drivers'!DC260</f>
        <v>0</v>
      </c>
      <c r="CV783">
        <f>'Bookings and Drivers'!DD260</f>
        <v>0</v>
      </c>
      <c r="CW783">
        <f>'Bookings and Drivers'!DE260</f>
        <v>0</v>
      </c>
      <c r="CX783">
        <f>'Bookings and Drivers'!DF260</f>
        <v>0</v>
      </c>
    </row>
    <row r="784" spans="1:102">
      <c r="A784" t="str">
        <f>'Bookings and Drivers'!I261</f>
        <v>South America</v>
      </c>
      <c r="B784">
        <f>'Bookings and Drivers'!J261</f>
        <v>0</v>
      </c>
      <c r="C784">
        <f>'Bookings and Drivers'!K261</f>
        <v>0</v>
      </c>
      <c r="D784">
        <f>'Bookings and Drivers'!L261</f>
        <v>0</v>
      </c>
      <c r="E784">
        <f>'Bookings and Drivers'!M261</f>
        <v>0</v>
      </c>
      <c r="F784">
        <f>'Bookings and Drivers'!N261</f>
        <v>0</v>
      </c>
      <c r="G784">
        <f>'Bookings and Drivers'!O261</f>
        <v>0</v>
      </c>
      <c r="H784">
        <f>'Bookings and Drivers'!P261</f>
        <v>0</v>
      </c>
      <c r="I784">
        <f>'Bookings and Drivers'!Q261</f>
        <v>0</v>
      </c>
      <c r="J784">
        <f>'Bookings and Drivers'!R261</f>
        <v>0</v>
      </c>
      <c r="K784">
        <f>'Bookings and Drivers'!S261</f>
        <v>0</v>
      </c>
      <c r="L784">
        <f>'Bookings and Drivers'!T261</f>
        <v>0</v>
      </c>
      <c r="M784">
        <f>'Bookings and Drivers'!U261</f>
        <v>0</v>
      </c>
      <c r="N784">
        <f>'Bookings and Drivers'!V261</f>
        <v>0</v>
      </c>
      <c r="O784">
        <f>'Bookings and Drivers'!W261</f>
        <v>0</v>
      </c>
      <c r="P784">
        <f>'Bookings and Drivers'!X261</f>
        <v>0</v>
      </c>
      <c r="Q784">
        <f>'Bookings and Drivers'!Y261</f>
        <v>0</v>
      </c>
      <c r="R784">
        <f>'Bookings and Drivers'!Z261</f>
        <v>0</v>
      </c>
      <c r="S784">
        <f>'Bookings and Drivers'!AA261</f>
        <v>0</v>
      </c>
      <c r="T784">
        <f>'Bookings and Drivers'!AB261</f>
        <v>0</v>
      </c>
      <c r="U784">
        <f>'Bookings and Drivers'!AC261</f>
        <v>0</v>
      </c>
      <c r="V784">
        <f>'Bookings and Drivers'!AD261</f>
        <v>0</v>
      </c>
      <c r="W784">
        <f>'Bookings and Drivers'!AE261</f>
        <v>0</v>
      </c>
      <c r="X784">
        <f>'Bookings and Drivers'!AF261</f>
        <v>0</v>
      </c>
      <c r="Y784">
        <f>'Bookings and Drivers'!AG261</f>
        <v>0</v>
      </c>
      <c r="Z784">
        <f>'Bookings and Drivers'!AH261</f>
        <v>0</v>
      </c>
      <c r="AA784">
        <f>'Bookings and Drivers'!AI261</f>
        <v>0</v>
      </c>
      <c r="AB784">
        <f>'Bookings and Drivers'!AJ261</f>
        <v>0</v>
      </c>
      <c r="AC784">
        <f>'Bookings and Drivers'!AK261</f>
        <v>0</v>
      </c>
      <c r="AD784">
        <f>'Bookings and Drivers'!AL261</f>
        <v>0</v>
      </c>
      <c r="AE784">
        <f>'Bookings and Drivers'!AM261</f>
        <v>0</v>
      </c>
      <c r="AF784">
        <f>'Bookings and Drivers'!AN261</f>
        <v>0</v>
      </c>
      <c r="AG784">
        <f>'Bookings and Drivers'!AO261</f>
        <v>0</v>
      </c>
      <c r="AH784">
        <f>'Bookings and Drivers'!AP261</f>
        <v>0</v>
      </c>
      <c r="AI784">
        <f>'Bookings and Drivers'!AQ261</f>
        <v>0</v>
      </c>
      <c r="AJ784">
        <f>'Bookings and Drivers'!AR261</f>
        <v>0</v>
      </c>
      <c r="AK784">
        <f>'Bookings and Drivers'!AS261</f>
        <v>0</v>
      </c>
      <c r="AL784">
        <f>'Bookings and Drivers'!AT261</f>
        <v>0</v>
      </c>
      <c r="AM784">
        <f>'Bookings and Drivers'!AU261</f>
        <v>0</v>
      </c>
      <c r="AN784">
        <f>'Bookings and Drivers'!AV261</f>
        <v>0</v>
      </c>
      <c r="AO784">
        <f>'Bookings and Drivers'!AW261</f>
        <v>0</v>
      </c>
      <c r="AP784">
        <f>'Bookings and Drivers'!AX261</f>
        <v>0</v>
      </c>
      <c r="AQ784">
        <f>'Bookings and Drivers'!AY261</f>
        <v>0</v>
      </c>
      <c r="AR784">
        <f>'Bookings and Drivers'!AZ261</f>
        <v>0</v>
      </c>
      <c r="AS784">
        <f>'Bookings and Drivers'!BA261</f>
        <v>0</v>
      </c>
      <c r="AT784">
        <f>'Bookings and Drivers'!BB261</f>
        <v>0</v>
      </c>
      <c r="AU784">
        <f>'Bookings and Drivers'!BC261</f>
        <v>0</v>
      </c>
      <c r="AV784">
        <f>'Bookings and Drivers'!BD261</f>
        <v>0</v>
      </c>
      <c r="AW784">
        <f>'Bookings and Drivers'!BE261</f>
        <v>0</v>
      </c>
      <c r="AX784">
        <f>'Bookings and Drivers'!BF261</f>
        <v>0</v>
      </c>
      <c r="AY784">
        <f>'Bookings and Drivers'!BG261</f>
        <v>0</v>
      </c>
      <c r="AZ784">
        <f>'Bookings and Drivers'!BH261</f>
        <v>0</v>
      </c>
      <c r="BA784">
        <f>'Bookings and Drivers'!BI261</f>
        <v>0</v>
      </c>
      <c r="BB784">
        <f>'Bookings and Drivers'!BJ261</f>
        <v>0</v>
      </c>
      <c r="BC784">
        <f>'Bookings and Drivers'!BK261</f>
        <v>0</v>
      </c>
      <c r="BD784">
        <f>'Bookings and Drivers'!BL261</f>
        <v>0</v>
      </c>
      <c r="BE784">
        <f>'Bookings and Drivers'!BM261</f>
        <v>0</v>
      </c>
      <c r="BF784">
        <f>'Bookings and Drivers'!BN261</f>
        <v>0</v>
      </c>
      <c r="BG784">
        <f>'Bookings and Drivers'!BO261</f>
        <v>0</v>
      </c>
      <c r="BH784">
        <f>'Bookings and Drivers'!BP261</f>
        <v>0</v>
      </c>
      <c r="BI784">
        <f>'Bookings and Drivers'!BQ261</f>
        <v>0</v>
      </c>
      <c r="BJ784">
        <f>'Bookings and Drivers'!BR261</f>
        <v>0</v>
      </c>
      <c r="BK784">
        <f>'Bookings and Drivers'!BS261</f>
        <v>0</v>
      </c>
      <c r="BL784">
        <f>'Bookings and Drivers'!BT261</f>
        <v>0</v>
      </c>
      <c r="BM784">
        <f>'Bookings and Drivers'!BU261</f>
        <v>0</v>
      </c>
      <c r="BN784">
        <f>'Bookings and Drivers'!BV261</f>
        <v>0</v>
      </c>
      <c r="BO784">
        <f>'Bookings and Drivers'!BW261</f>
        <v>0</v>
      </c>
      <c r="BP784">
        <f>'Bookings and Drivers'!BX261</f>
        <v>0</v>
      </c>
      <c r="BQ784">
        <f>'Bookings and Drivers'!BY261</f>
        <v>0</v>
      </c>
      <c r="BR784">
        <f>'Bookings and Drivers'!BZ261</f>
        <v>0</v>
      </c>
      <c r="BS784">
        <f>'Bookings and Drivers'!CA261</f>
        <v>0</v>
      </c>
      <c r="BT784">
        <f>'Bookings and Drivers'!CB261</f>
        <v>0</v>
      </c>
      <c r="BU784">
        <f>'Bookings and Drivers'!CC261</f>
        <v>0</v>
      </c>
      <c r="BV784">
        <f>'Bookings and Drivers'!CD261</f>
        <v>0</v>
      </c>
      <c r="BW784">
        <f>'Bookings and Drivers'!CE261</f>
        <v>0</v>
      </c>
      <c r="BX784">
        <f>'Bookings and Drivers'!CF261</f>
        <v>0</v>
      </c>
      <c r="BY784">
        <f>'Bookings and Drivers'!CG261</f>
        <v>0</v>
      </c>
      <c r="BZ784">
        <f>'Bookings and Drivers'!CH261</f>
        <v>0</v>
      </c>
      <c r="CA784">
        <f>'Bookings and Drivers'!CI261</f>
        <v>0</v>
      </c>
      <c r="CB784">
        <f>'Bookings and Drivers'!CJ261</f>
        <v>0</v>
      </c>
      <c r="CC784">
        <f>'Bookings and Drivers'!CK261</f>
        <v>0</v>
      </c>
      <c r="CD784">
        <f>'Bookings and Drivers'!CL261</f>
        <v>0</v>
      </c>
      <c r="CE784">
        <f>'Bookings and Drivers'!CM261</f>
        <v>0</v>
      </c>
      <c r="CF784">
        <f>'Bookings and Drivers'!CN261</f>
        <v>0</v>
      </c>
      <c r="CG784">
        <f>'Bookings and Drivers'!CO261</f>
        <v>0</v>
      </c>
      <c r="CH784">
        <f>'Bookings and Drivers'!CP261</f>
        <v>0</v>
      </c>
      <c r="CI784">
        <f>'Bookings and Drivers'!CQ261</f>
        <v>0</v>
      </c>
      <c r="CJ784">
        <f>'Bookings and Drivers'!CR261</f>
        <v>1</v>
      </c>
      <c r="CK784">
        <f>'Bookings and Drivers'!CS261</f>
        <v>1.5</v>
      </c>
      <c r="CL784">
        <f>'Bookings and Drivers'!CT261</f>
        <v>0.64999999999999991</v>
      </c>
      <c r="CM784">
        <f>'Bookings and Drivers'!CU261</f>
        <v>0.55000000000000004</v>
      </c>
      <c r="CN784">
        <f>'Bookings and Drivers'!CV261</f>
        <v>0.25</v>
      </c>
      <c r="CO784">
        <f>'Bookings and Drivers'!CW261</f>
        <v>0.32000000000000006</v>
      </c>
      <c r="CP784">
        <f>'Bookings and Drivers'!CX261</f>
        <v>0.17999999999999994</v>
      </c>
      <c r="CQ784">
        <f>'Bookings and Drivers'!CY261</f>
        <v>0.14000000000000012</v>
      </c>
      <c r="CR784">
        <f>'Bookings and Drivers'!CZ261</f>
        <v>0</v>
      </c>
      <c r="CS784">
        <f>'Bookings and Drivers'!DA261</f>
        <v>0</v>
      </c>
      <c r="CT784">
        <f>'Bookings and Drivers'!DB261</f>
        <v>0</v>
      </c>
      <c r="CU784">
        <f>'Bookings and Drivers'!DC261</f>
        <v>0</v>
      </c>
      <c r="CV784">
        <f>'Bookings and Drivers'!DD261</f>
        <v>0</v>
      </c>
      <c r="CW784">
        <f>'Bookings and Drivers'!DE261</f>
        <v>0</v>
      </c>
      <c r="CX784">
        <f>'Bookings and Drivers'!DF261</f>
        <v>0</v>
      </c>
    </row>
    <row r="785" spans="1:102">
      <c r="A785" t="str">
        <f>'Bookings and Drivers'!I262</f>
        <v>US/Other</v>
      </c>
      <c r="B785">
        <f>'Bookings and Drivers'!J262</f>
        <v>0</v>
      </c>
      <c r="C785">
        <f>'Bookings and Drivers'!K262</f>
        <v>0</v>
      </c>
      <c r="D785">
        <f>'Bookings and Drivers'!L262</f>
        <v>0</v>
      </c>
      <c r="E785">
        <f>'Bookings and Drivers'!M262</f>
        <v>0</v>
      </c>
      <c r="F785">
        <f>'Bookings and Drivers'!N262</f>
        <v>0</v>
      </c>
      <c r="G785">
        <f>'Bookings and Drivers'!O262</f>
        <v>0</v>
      </c>
      <c r="H785">
        <f>'Bookings and Drivers'!P262</f>
        <v>0</v>
      </c>
      <c r="I785">
        <f>'Bookings and Drivers'!Q262</f>
        <v>0</v>
      </c>
      <c r="J785">
        <f>'Bookings and Drivers'!R262</f>
        <v>0</v>
      </c>
      <c r="K785">
        <f>'Bookings and Drivers'!S262</f>
        <v>0</v>
      </c>
      <c r="L785">
        <f>'Bookings and Drivers'!T262</f>
        <v>0</v>
      </c>
      <c r="M785">
        <f>'Bookings and Drivers'!U262</f>
        <v>0</v>
      </c>
      <c r="N785">
        <f>'Bookings and Drivers'!V262</f>
        <v>0</v>
      </c>
      <c r="O785">
        <f>'Bookings and Drivers'!W262</f>
        <v>0</v>
      </c>
      <c r="P785">
        <f>'Bookings and Drivers'!X262</f>
        <v>0</v>
      </c>
      <c r="Q785">
        <f>'Bookings and Drivers'!Y262</f>
        <v>0</v>
      </c>
      <c r="R785">
        <f>'Bookings and Drivers'!Z262</f>
        <v>0</v>
      </c>
      <c r="S785">
        <f>'Bookings and Drivers'!AA262</f>
        <v>0</v>
      </c>
      <c r="T785">
        <f>'Bookings and Drivers'!AB262</f>
        <v>0</v>
      </c>
      <c r="U785">
        <f>'Bookings and Drivers'!AC262</f>
        <v>0</v>
      </c>
      <c r="V785">
        <f>'Bookings and Drivers'!AD262</f>
        <v>0</v>
      </c>
      <c r="W785">
        <f>'Bookings and Drivers'!AE262</f>
        <v>0</v>
      </c>
      <c r="X785">
        <f>'Bookings and Drivers'!AF262</f>
        <v>0</v>
      </c>
      <c r="Y785">
        <f>'Bookings and Drivers'!AG262</f>
        <v>0</v>
      </c>
      <c r="Z785">
        <f>'Bookings and Drivers'!AH262</f>
        <v>0</v>
      </c>
      <c r="AA785">
        <f>'Bookings and Drivers'!AI262</f>
        <v>0</v>
      </c>
      <c r="AB785">
        <f>'Bookings and Drivers'!AJ262</f>
        <v>0</v>
      </c>
      <c r="AC785">
        <f>'Bookings and Drivers'!AK262</f>
        <v>0</v>
      </c>
      <c r="AD785">
        <f>'Bookings and Drivers'!AL262</f>
        <v>0</v>
      </c>
      <c r="AE785">
        <f>'Bookings and Drivers'!AM262</f>
        <v>0</v>
      </c>
      <c r="AF785">
        <f>'Bookings and Drivers'!AN262</f>
        <v>0</v>
      </c>
      <c r="AG785">
        <f>'Bookings and Drivers'!AO262</f>
        <v>0</v>
      </c>
      <c r="AH785">
        <f>'Bookings and Drivers'!AP262</f>
        <v>0</v>
      </c>
      <c r="AI785">
        <f>'Bookings and Drivers'!AQ262</f>
        <v>0</v>
      </c>
      <c r="AJ785">
        <f>'Bookings and Drivers'!AR262</f>
        <v>0</v>
      </c>
      <c r="AK785">
        <f>'Bookings and Drivers'!AS262</f>
        <v>0</v>
      </c>
      <c r="AL785">
        <f>'Bookings and Drivers'!AT262</f>
        <v>0</v>
      </c>
      <c r="AM785">
        <f>'Bookings and Drivers'!AU262</f>
        <v>0</v>
      </c>
      <c r="AN785">
        <f>'Bookings and Drivers'!AV262</f>
        <v>0</v>
      </c>
      <c r="AO785">
        <f>'Bookings and Drivers'!AW262</f>
        <v>0</v>
      </c>
      <c r="AP785">
        <f>'Bookings and Drivers'!AX262</f>
        <v>0</v>
      </c>
      <c r="AQ785">
        <f>'Bookings and Drivers'!AY262</f>
        <v>0</v>
      </c>
      <c r="AR785">
        <f>'Bookings and Drivers'!AZ262</f>
        <v>0</v>
      </c>
      <c r="AS785">
        <f>'Bookings and Drivers'!BA262</f>
        <v>0</v>
      </c>
      <c r="AT785">
        <f>'Bookings and Drivers'!BB262</f>
        <v>0</v>
      </c>
      <c r="AU785">
        <f>'Bookings and Drivers'!BC262</f>
        <v>0</v>
      </c>
      <c r="AV785">
        <f>'Bookings and Drivers'!BD262</f>
        <v>0</v>
      </c>
      <c r="AW785">
        <f>'Bookings and Drivers'!BE262</f>
        <v>0</v>
      </c>
      <c r="AX785">
        <f>'Bookings and Drivers'!BF262</f>
        <v>0</v>
      </c>
      <c r="AY785">
        <f>'Bookings and Drivers'!BG262</f>
        <v>0</v>
      </c>
      <c r="AZ785">
        <f>'Bookings and Drivers'!BH262</f>
        <v>0</v>
      </c>
      <c r="BA785">
        <f>'Bookings and Drivers'!BI262</f>
        <v>0</v>
      </c>
      <c r="BB785">
        <f>'Bookings and Drivers'!BJ262</f>
        <v>0</v>
      </c>
      <c r="BC785">
        <f>'Bookings and Drivers'!BK262</f>
        <v>0</v>
      </c>
      <c r="BD785">
        <f>'Bookings and Drivers'!BL262</f>
        <v>0</v>
      </c>
      <c r="BE785">
        <f>'Bookings and Drivers'!BM262</f>
        <v>0</v>
      </c>
      <c r="BF785">
        <f>'Bookings and Drivers'!BN262</f>
        <v>0</v>
      </c>
      <c r="BG785">
        <f>'Bookings and Drivers'!BO262</f>
        <v>0</v>
      </c>
      <c r="BH785">
        <f>'Bookings and Drivers'!BP262</f>
        <v>0</v>
      </c>
      <c r="BI785">
        <f>'Bookings and Drivers'!BQ262</f>
        <v>0</v>
      </c>
      <c r="BJ785">
        <f>'Bookings and Drivers'!BR262</f>
        <v>0</v>
      </c>
      <c r="BK785">
        <f>'Bookings and Drivers'!BS262</f>
        <v>0</v>
      </c>
      <c r="BL785">
        <f>'Bookings and Drivers'!BT262</f>
        <v>0</v>
      </c>
      <c r="BM785">
        <f>'Bookings and Drivers'!BU262</f>
        <v>0</v>
      </c>
      <c r="BN785">
        <f>'Bookings and Drivers'!BV262</f>
        <v>0</v>
      </c>
      <c r="BO785">
        <f>'Bookings and Drivers'!BW262</f>
        <v>0</v>
      </c>
      <c r="BP785">
        <f>'Bookings and Drivers'!BX262</f>
        <v>0</v>
      </c>
      <c r="BQ785">
        <f>'Bookings and Drivers'!BY262</f>
        <v>0</v>
      </c>
      <c r="BR785">
        <f>'Bookings and Drivers'!BZ262</f>
        <v>0</v>
      </c>
      <c r="BS785">
        <f>'Bookings and Drivers'!CA262</f>
        <v>0</v>
      </c>
      <c r="BT785">
        <f>'Bookings and Drivers'!CB262</f>
        <v>0</v>
      </c>
      <c r="BU785">
        <f>'Bookings and Drivers'!CC262</f>
        <v>0</v>
      </c>
      <c r="BV785">
        <f>'Bookings and Drivers'!CD262</f>
        <v>0</v>
      </c>
      <c r="BW785">
        <f>'Bookings and Drivers'!CE262</f>
        <v>0</v>
      </c>
      <c r="BX785">
        <f>'Bookings and Drivers'!CF262</f>
        <v>0</v>
      </c>
      <c r="BY785">
        <f>'Bookings and Drivers'!CG262</f>
        <v>0</v>
      </c>
      <c r="BZ785">
        <f>'Bookings and Drivers'!CH262</f>
        <v>0</v>
      </c>
      <c r="CA785">
        <f>'Bookings and Drivers'!CI262</f>
        <v>0</v>
      </c>
      <c r="CB785">
        <f>'Bookings and Drivers'!CJ262</f>
        <v>0</v>
      </c>
      <c r="CC785">
        <f>'Bookings and Drivers'!CK262</f>
        <v>0</v>
      </c>
      <c r="CD785">
        <f>'Bookings and Drivers'!CL262</f>
        <v>0</v>
      </c>
      <c r="CE785">
        <f>'Bookings and Drivers'!CM262</f>
        <v>0</v>
      </c>
      <c r="CF785">
        <f>'Bookings and Drivers'!CN262</f>
        <v>535.0082000000001</v>
      </c>
      <c r="CG785">
        <f>'Bookings and Drivers'!CO262</f>
        <v>802.5123000000001</v>
      </c>
      <c r="CH785">
        <f>'Bookings and Drivers'!CP262</f>
        <v>0</v>
      </c>
      <c r="CI785">
        <f>'Bookings and Drivers'!CQ262</f>
        <v>0</v>
      </c>
      <c r="CJ785">
        <f>'Bookings and Drivers'!CR262</f>
        <v>1.5233727261454613</v>
      </c>
      <c r="CK785">
        <f>'Bookings and Drivers'!CS262</f>
        <v>0.27004443783582821</v>
      </c>
      <c r="CL785">
        <f>'Bookings and Drivers'!CT262</f>
        <v>0.28261799371370944</v>
      </c>
      <c r="CM785">
        <f>'Bookings and Drivers'!CU262</f>
        <v>0.23385200208286872</v>
      </c>
      <c r="CN785">
        <f>'Bookings and Drivers'!CV262</f>
        <v>6.3033174152907323E-2</v>
      </c>
      <c r="CO785">
        <f>'Bookings and Drivers'!CW262</f>
        <v>0.3017765128771448</v>
      </c>
      <c r="CP785">
        <f>'Bookings and Drivers'!CX262</f>
        <v>0.24703554710074349</v>
      </c>
      <c r="CQ785">
        <f>'Bookings and Drivers'!CY262</f>
        <v>0.28263474692519752</v>
      </c>
      <c r="CR785">
        <f>'Bookings and Drivers'!CZ262</f>
        <v>0</v>
      </c>
      <c r="CS785">
        <f>'Bookings and Drivers'!DA262</f>
        <v>0</v>
      </c>
      <c r="CT785">
        <f>'Bookings and Drivers'!DB262</f>
        <v>0</v>
      </c>
      <c r="CU785">
        <f>'Bookings and Drivers'!DC262</f>
        <v>0</v>
      </c>
      <c r="CV785">
        <f>'Bookings and Drivers'!DD262</f>
        <v>0</v>
      </c>
      <c r="CW785">
        <f>'Bookings and Drivers'!DE262</f>
        <v>0</v>
      </c>
      <c r="CX785">
        <f>'Bookings and Drivers'!DF262</f>
        <v>0</v>
      </c>
    </row>
    <row r="786" spans="1:102">
      <c r="A786">
        <f>'Bookings and Drivers'!I263</f>
        <v>0</v>
      </c>
      <c r="B786">
        <f>'Bookings and Drivers'!J263</f>
        <v>0</v>
      </c>
      <c r="C786">
        <f>'Bookings and Drivers'!K263</f>
        <v>0</v>
      </c>
      <c r="D786">
        <f>'Bookings and Drivers'!L263</f>
        <v>0</v>
      </c>
      <c r="E786">
        <f>'Bookings and Drivers'!M263</f>
        <v>0</v>
      </c>
      <c r="F786">
        <f>'Bookings and Drivers'!N263</f>
        <v>0</v>
      </c>
      <c r="G786">
        <f>'Bookings and Drivers'!O263</f>
        <v>0</v>
      </c>
      <c r="H786">
        <f>'Bookings and Drivers'!P263</f>
        <v>0</v>
      </c>
      <c r="I786">
        <f>'Bookings and Drivers'!Q263</f>
        <v>0</v>
      </c>
      <c r="J786">
        <f>'Bookings and Drivers'!R263</f>
        <v>0</v>
      </c>
      <c r="K786">
        <f>'Bookings and Drivers'!S263</f>
        <v>0</v>
      </c>
      <c r="L786">
        <f>'Bookings and Drivers'!T263</f>
        <v>0</v>
      </c>
      <c r="M786">
        <f>'Bookings and Drivers'!U263</f>
        <v>0</v>
      </c>
      <c r="N786">
        <f>'Bookings and Drivers'!V263</f>
        <v>0</v>
      </c>
      <c r="O786">
        <f>'Bookings and Drivers'!W263</f>
        <v>0</v>
      </c>
      <c r="P786">
        <f>'Bookings and Drivers'!X263</f>
        <v>0</v>
      </c>
      <c r="Q786">
        <f>'Bookings and Drivers'!Y263</f>
        <v>0</v>
      </c>
      <c r="R786">
        <f>'Bookings and Drivers'!Z263</f>
        <v>0</v>
      </c>
      <c r="S786">
        <f>'Bookings and Drivers'!AA263</f>
        <v>0</v>
      </c>
      <c r="T786">
        <f>'Bookings and Drivers'!AB263</f>
        <v>0</v>
      </c>
      <c r="U786">
        <f>'Bookings and Drivers'!AC263</f>
        <v>0</v>
      </c>
      <c r="V786">
        <f>'Bookings and Drivers'!AD263</f>
        <v>0</v>
      </c>
      <c r="W786">
        <f>'Bookings and Drivers'!AE263</f>
        <v>0</v>
      </c>
      <c r="X786">
        <f>'Bookings and Drivers'!AF263</f>
        <v>0</v>
      </c>
      <c r="Y786">
        <f>'Bookings and Drivers'!AG263</f>
        <v>0</v>
      </c>
      <c r="Z786">
        <f>'Bookings and Drivers'!AH263</f>
        <v>0</v>
      </c>
      <c r="AA786">
        <f>'Bookings and Drivers'!AI263</f>
        <v>0</v>
      </c>
      <c r="AB786">
        <f>'Bookings and Drivers'!AJ263</f>
        <v>0</v>
      </c>
      <c r="AC786">
        <f>'Bookings and Drivers'!AK263</f>
        <v>0</v>
      </c>
      <c r="AD786">
        <f>'Bookings and Drivers'!AL263</f>
        <v>0</v>
      </c>
      <c r="AE786">
        <f>'Bookings and Drivers'!AM263</f>
        <v>0</v>
      </c>
      <c r="AF786">
        <f>'Bookings and Drivers'!AN263</f>
        <v>0</v>
      </c>
      <c r="AG786">
        <f>'Bookings and Drivers'!AO263</f>
        <v>0</v>
      </c>
      <c r="AH786">
        <f>'Bookings and Drivers'!AP263</f>
        <v>0</v>
      </c>
      <c r="AI786">
        <f>'Bookings and Drivers'!AQ263</f>
        <v>0</v>
      </c>
      <c r="AJ786">
        <f>'Bookings and Drivers'!AR263</f>
        <v>0</v>
      </c>
      <c r="AK786">
        <f>'Bookings and Drivers'!AS263</f>
        <v>0</v>
      </c>
      <c r="AL786">
        <f>'Bookings and Drivers'!AT263</f>
        <v>0</v>
      </c>
      <c r="AM786">
        <f>'Bookings and Drivers'!AU263</f>
        <v>0</v>
      </c>
      <c r="AN786">
        <f>'Bookings and Drivers'!AV263</f>
        <v>0</v>
      </c>
      <c r="AO786">
        <f>'Bookings and Drivers'!AW263</f>
        <v>0</v>
      </c>
      <c r="AP786">
        <f>'Bookings and Drivers'!AX263</f>
        <v>0</v>
      </c>
      <c r="AQ786">
        <f>'Bookings and Drivers'!AY263</f>
        <v>0</v>
      </c>
      <c r="AR786">
        <f>'Bookings and Drivers'!AZ263</f>
        <v>0</v>
      </c>
      <c r="AS786">
        <f>'Bookings and Drivers'!BA263</f>
        <v>0</v>
      </c>
      <c r="AT786">
        <f>'Bookings and Drivers'!BB263</f>
        <v>0</v>
      </c>
      <c r="AU786">
        <f>'Bookings and Drivers'!BC263</f>
        <v>0</v>
      </c>
      <c r="AV786">
        <f>'Bookings and Drivers'!BD263</f>
        <v>0</v>
      </c>
      <c r="AW786">
        <f>'Bookings and Drivers'!BE263</f>
        <v>0</v>
      </c>
      <c r="AX786">
        <f>'Bookings and Drivers'!BF263</f>
        <v>0</v>
      </c>
      <c r="AY786">
        <f>'Bookings and Drivers'!BG263</f>
        <v>0</v>
      </c>
      <c r="AZ786">
        <f>'Bookings and Drivers'!BH263</f>
        <v>0</v>
      </c>
      <c r="BA786">
        <f>'Bookings and Drivers'!BI263</f>
        <v>0</v>
      </c>
      <c r="BB786">
        <f>'Bookings and Drivers'!BJ263</f>
        <v>0</v>
      </c>
      <c r="BC786">
        <f>'Bookings and Drivers'!BK263</f>
        <v>0</v>
      </c>
      <c r="BD786">
        <f>'Bookings and Drivers'!BL263</f>
        <v>0</v>
      </c>
      <c r="BE786">
        <f>'Bookings and Drivers'!BM263</f>
        <v>0</v>
      </c>
      <c r="BF786">
        <f>'Bookings and Drivers'!BN263</f>
        <v>0</v>
      </c>
      <c r="BG786">
        <f>'Bookings and Drivers'!BO263</f>
        <v>0</v>
      </c>
      <c r="BH786">
        <f>'Bookings and Drivers'!BP263</f>
        <v>0</v>
      </c>
      <c r="BI786">
        <f>'Bookings and Drivers'!BQ263</f>
        <v>0</v>
      </c>
      <c r="BJ786">
        <f>'Bookings and Drivers'!BR263</f>
        <v>0</v>
      </c>
      <c r="BK786">
        <f>'Bookings and Drivers'!BS263</f>
        <v>0</v>
      </c>
      <c r="BL786">
        <f>'Bookings and Drivers'!BT263</f>
        <v>0</v>
      </c>
      <c r="BM786">
        <f>'Bookings and Drivers'!BU263</f>
        <v>0</v>
      </c>
      <c r="BN786">
        <f>'Bookings and Drivers'!BV263</f>
        <v>0</v>
      </c>
      <c r="BO786">
        <f>'Bookings and Drivers'!BW263</f>
        <v>0</v>
      </c>
      <c r="BP786">
        <f>'Bookings and Drivers'!BX263</f>
        <v>0</v>
      </c>
      <c r="BQ786">
        <f>'Bookings and Drivers'!BY263</f>
        <v>0</v>
      </c>
      <c r="BR786">
        <f>'Bookings and Drivers'!BZ263</f>
        <v>0</v>
      </c>
      <c r="BS786">
        <f>'Bookings and Drivers'!CA263</f>
        <v>0</v>
      </c>
      <c r="BT786">
        <f>'Bookings and Drivers'!CB263</f>
        <v>0</v>
      </c>
      <c r="BU786">
        <f>'Bookings and Drivers'!CC263</f>
        <v>0</v>
      </c>
      <c r="BV786">
        <f>'Bookings and Drivers'!CD263</f>
        <v>0</v>
      </c>
      <c r="BW786">
        <f>'Bookings and Drivers'!CE263</f>
        <v>0</v>
      </c>
      <c r="BX786">
        <f>'Bookings and Drivers'!CF263</f>
        <v>0</v>
      </c>
      <c r="BY786">
        <f>'Bookings and Drivers'!CG263</f>
        <v>0</v>
      </c>
      <c r="BZ786">
        <f>'Bookings and Drivers'!CH263</f>
        <v>0</v>
      </c>
      <c r="CA786">
        <f>'Bookings and Drivers'!CI263</f>
        <v>0</v>
      </c>
      <c r="CB786">
        <f>'Bookings and Drivers'!CJ263</f>
        <v>0</v>
      </c>
      <c r="CC786">
        <f>'Bookings and Drivers'!CK263</f>
        <v>0</v>
      </c>
      <c r="CD786">
        <f>'Bookings and Drivers'!CL263</f>
        <v>0</v>
      </c>
      <c r="CE786">
        <f>'Bookings and Drivers'!CM263</f>
        <v>0</v>
      </c>
      <c r="CF786">
        <f>'Bookings and Drivers'!CN263</f>
        <v>0</v>
      </c>
      <c r="CG786">
        <f>'Bookings and Drivers'!CO263</f>
        <v>0</v>
      </c>
      <c r="CH786">
        <f>'Bookings and Drivers'!CP263</f>
        <v>0</v>
      </c>
      <c r="CI786">
        <f>'Bookings and Drivers'!CQ263</f>
        <v>0</v>
      </c>
      <c r="CJ786">
        <f>'Bookings and Drivers'!CR263</f>
        <v>0</v>
      </c>
      <c r="CK786">
        <f>'Bookings and Drivers'!CS263</f>
        <v>0</v>
      </c>
      <c r="CL786">
        <f>'Bookings and Drivers'!CT263</f>
        <v>0</v>
      </c>
      <c r="CM786">
        <f>'Bookings and Drivers'!CU263</f>
        <v>0</v>
      </c>
      <c r="CN786">
        <f>'Bookings and Drivers'!CV263</f>
        <v>0</v>
      </c>
      <c r="CO786">
        <f>'Bookings and Drivers'!CW263</f>
        <v>0</v>
      </c>
      <c r="CP786">
        <f>'Bookings and Drivers'!CX263</f>
        <v>0</v>
      </c>
      <c r="CQ786">
        <f>'Bookings and Drivers'!CY263</f>
        <v>0</v>
      </c>
      <c r="CR786">
        <f>'Bookings and Drivers'!CZ263</f>
        <v>0</v>
      </c>
      <c r="CS786">
        <f>'Bookings and Drivers'!DA263</f>
        <v>0</v>
      </c>
      <c r="CT786">
        <f>'Bookings and Drivers'!DB263</f>
        <v>0</v>
      </c>
      <c r="CU786">
        <f>'Bookings and Drivers'!DC263</f>
        <v>0</v>
      </c>
      <c r="CV786">
        <f>'Bookings and Drivers'!DD263</f>
        <v>0</v>
      </c>
      <c r="CW786">
        <f>'Bookings and Drivers'!DE263</f>
        <v>0</v>
      </c>
      <c r="CX786">
        <f>'Bookings and Drivers'!DF263</f>
        <v>0</v>
      </c>
    </row>
    <row r="787" spans="1:102">
      <c r="A787" t="str">
        <f>'Bookings and Drivers'!I264</f>
        <v>Period-to-period change Y/Y</v>
      </c>
      <c r="B787">
        <f>'Bookings and Drivers'!J264</f>
        <v>0</v>
      </c>
      <c r="C787">
        <f>'Bookings and Drivers'!K264</f>
        <v>0</v>
      </c>
      <c r="D787">
        <f>'Bookings and Drivers'!L264</f>
        <v>0</v>
      </c>
      <c r="E787">
        <f>'Bookings and Drivers'!M264</f>
        <v>0</v>
      </c>
      <c r="F787">
        <f>'Bookings and Drivers'!N264</f>
        <v>0</v>
      </c>
      <c r="G787">
        <f>'Bookings and Drivers'!O264</f>
        <v>0</v>
      </c>
      <c r="H787">
        <f>'Bookings and Drivers'!P264</f>
        <v>0</v>
      </c>
      <c r="I787">
        <f>'Bookings and Drivers'!Q264</f>
        <v>0</v>
      </c>
      <c r="J787">
        <f>'Bookings and Drivers'!R264</f>
        <v>0</v>
      </c>
      <c r="K787">
        <f>'Bookings and Drivers'!S264</f>
        <v>0</v>
      </c>
      <c r="L787">
        <f>'Bookings and Drivers'!T264</f>
        <v>0</v>
      </c>
      <c r="M787">
        <f>'Bookings and Drivers'!U264</f>
        <v>0</v>
      </c>
      <c r="N787">
        <f>'Bookings and Drivers'!V264</f>
        <v>0</v>
      </c>
      <c r="O787">
        <f>'Bookings and Drivers'!W264</f>
        <v>0</v>
      </c>
      <c r="P787">
        <f>'Bookings and Drivers'!X264</f>
        <v>0</v>
      </c>
      <c r="Q787">
        <f>'Bookings and Drivers'!Y264</f>
        <v>0</v>
      </c>
      <c r="R787">
        <f>'Bookings and Drivers'!Z264</f>
        <v>0</v>
      </c>
      <c r="S787">
        <f>'Bookings and Drivers'!AA264</f>
        <v>0</v>
      </c>
      <c r="T787">
        <f>'Bookings and Drivers'!AB264</f>
        <v>0</v>
      </c>
      <c r="U787">
        <f>'Bookings and Drivers'!AC264</f>
        <v>0</v>
      </c>
      <c r="V787">
        <f>'Bookings and Drivers'!AD264</f>
        <v>0</v>
      </c>
      <c r="W787">
        <f>'Bookings and Drivers'!AE264</f>
        <v>0</v>
      </c>
      <c r="X787">
        <f>'Bookings and Drivers'!AF264</f>
        <v>0</v>
      </c>
      <c r="Y787">
        <f>'Bookings and Drivers'!AG264</f>
        <v>0</v>
      </c>
      <c r="Z787">
        <f>'Bookings and Drivers'!AH264</f>
        <v>0</v>
      </c>
      <c r="AA787">
        <f>'Bookings and Drivers'!AI264</f>
        <v>0</v>
      </c>
      <c r="AB787">
        <f>'Bookings and Drivers'!AJ264</f>
        <v>0</v>
      </c>
      <c r="AC787">
        <f>'Bookings and Drivers'!AK264</f>
        <v>0</v>
      </c>
      <c r="AD787">
        <f>'Bookings and Drivers'!AL264</f>
        <v>0</v>
      </c>
      <c r="AE787">
        <f>'Bookings and Drivers'!AM264</f>
        <v>0</v>
      </c>
      <c r="AF787">
        <f>'Bookings and Drivers'!AN264</f>
        <v>0</v>
      </c>
      <c r="AG787">
        <f>'Bookings and Drivers'!AO264</f>
        <v>0</v>
      </c>
      <c r="AH787">
        <f>'Bookings and Drivers'!AP264</f>
        <v>0</v>
      </c>
      <c r="AI787">
        <f>'Bookings and Drivers'!AQ264</f>
        <v>0</v>
      </c>
      <c r="AJ787">
        <f>'Bookings and Drivers'!AR264</f>
        <v>0</v>
      </c>
      <c r="AK787">
        <f>'Bookings and Drivers'!AS264</f>
        <v>0</v>
      </c>
      <c r="AL787">
        <f>'Bookings and Drivers'!AT264</f>
        <v>0</v>
      </c>
      <c r="AM787">
        <f>'Bookings and Drivers'!AU264</f>
        <v>0</v>
      </c>
      <c r="AN787">
        <f>'Bookings and Drivers'!AV264</f>
        <v>0</v>
      </c>
      <c r="AO787">
        <f>'Bookings and Drivers'!AW264</f>
        <v>0</v>
      </c>
      <c r="AP787">
        <f>'Bookings and Drivers'!AX264</f>
        <v>0</v>
      </c>
      <c r="AQ787">
        <f>'Bookings and Drivers'!AY264</f>
        <v>0</v>
      </c>
      <c r="AR787">
        <f>'Bookings and Drivers'!AZ264</f>
        <v>0</v>
      </c>
      <c r="AS787">
        <f>'Bookings and Drivers'!BA264</f>
        <v>0</v>
      </c>
      <c r="AT787">
        <f>'Bookings and Drivers'!BB264</f>
        <v>0</v>
      </c>
      <c r="AU787">
        <f>'Bookings and Drivers'!BC264</f>
        <v>0</v>
      </c>
      <c r="AV787">
        <f>'Bookings and Drivers'!BD264</f>
        <v>0</v>
      </c>
      <c r="AW787">
        <f>'Bookings and Drivers'!BE264</f>
        <v>0</v>
      </c>
      <c r="AX787">
        <f>'Bookings and Drivers'!BF264</f>
        <v>0</v>
      </c>
      <c r="AY787">
        <f>'Bookings and Drivers'!BG264</f>
        <v>0</v>
      </c>
      <c r="AZ787">
        <f>'Bookings and Drivers'!BH264</f>
        <v>0</v>
      </c>
      <c r="BA787">
        <f>'Bookings and Drivers'!BI264</f>
        <v>0</v>
      </c>
      <c r="BB787">
        <f>'Bookings and Drivers'!BJ264</f>
        <v>0</v>
      </c>
      <c r="BC787">
        <f>'Bookings and Drivers'!BK264</f>
        <v>0</v>
      </c>
      <c r="BD787">
        <f>'Bookings and Drivers'!BL264</f>
        <v>0</v>
      </c>
      <c r="BE787">
        <f>'Bookings and Drivers'!BM264</f>
        <v>0</v>
      </c>
      <c r="BF787">
        <f>'Bookings and Drivers'!BN264</f>
        <v>0</v>
      </c>
      <c r="BG787">
        <f>'Bookings and Drivers'!BO264</f>
        <v>0</v>
      </c>
      <c r="BH787">
        <f>'Bookings and Drivers'!BP264</f>
        <v>0</v>
      </c>
      <c r="BI787">
        <f>'Bookings and Drivers'!BQ264</f>
        <v>0</v>
      </c>
      <c r="BJ787">
        <f>'Bookings and Drivers'!BR264</f>
        <v>0</v>
      </c>
      <c r="BK787">
        <f>'Bookings and Drivers'!BS264</f>
        <v>0</v>
      </c>
      <c r="BL787">
        <f>'Bookings and Drivers'!BT264</f>
        <v>0</v>
      </c>
      <c r="BM787">
        <f>'Bookings and Drivers'!BU264</f>
        <v>0</v>
      </c>
      <c r="BN787">
        <f>'Bookings and Drivers'!BV264</f>
        <v>0</v>
      </c>
      <c r="BO787">
        <f>'Bookings and Drivers'!BW264</f>
        <v>0</v>
      </c>
      <c r="BP787">
        <f>'Bookings and Drivers'!BX264</f>
        <v>0</v>
      </c>
      <c r="BQ787">
        <f>'Bookings and Drivers'!BY264</f>
        <v>0</v>
      </c>
      <c r="BR787">
        <f>'Bookings and Drivers'!BZ264</f>
        <v>0</v>
      </c>
      <c r="BS787">
        <f>'Bookings and Drivers'!CA264</f>
        <v>0</v>
      </c>
      <c r="BT787">
        <f>'Bookings and Drivers'!CB264</f>
        <v>0</v>
      </c>
      <c r="BU787">
        <f>'Bookings and Drivers'!CC264</f>
        <v>0</v>
      </c>
      <c r="BV787">
        <f>'Bookings and Drivers'!CD264</f>
        <v>0</v>
      </c>
      <c r="BW787">
        <f>'Bookings and Drivers'!CE264</f>
        <v>0</v>
      </c>
      <c r="BX787">
        <f>'Bookings and Drivers'!CF264</f>
        <v>0</v>
      </c>
      <c r="BY787">
        <f>'Bookings and Drivers'!CG264</f>
        <v>0</v>
      </c>
      <c r="BZ787">
        <f>'Bookings and Drivers'!CH264</f>
        <v>0</v>
      </c>
      <c r="CA787">
        <f>'Bookings and Drivers'!CI264</f>
        <v>0</v>
      </c>
      <c r="CB787">
        <f>'Bookings and Drivers'!CJ264</f>
        <v>0</v>
      </c>
      <c r="CC787">
        <f>'Bookings and Drivers'!CK264</f>
        <v>0</v>
      </c>
      <c r="CD787">
        <f>'Bookings and Drivers'!CL264</f>
        <v>0</v>
      </c>
      <c r="CE787">
        <f>'Bookings and Drivers'!CM264</f>
        <v>0</v>
      </c>
      <c r="CF787">
        <f>'Bookings and Drivers'!CN264</f>
        <v>0</v>
      </c>
      <c r="CG787">
        <f>'Bookings and Drivers'!CO264</f>
        <v>0</v>
      </c>
      <c r="CH787">
        <f>'Bookings and Drivers'!CP264</f>
        <v>0</v>
      </c>
      <c r="CI787">
        <f>'Bookings and Drivers'!CQ264</f>
        <v>0</v>
      </c>
      <c r="CJ787">
        <f>'Bookings and Drivers'!CR264</f>
        <v>0</v>
      </c>
      <c r="CK787">
        <f>'Bookings and Drivers'!CS264</f>
        <v>0</v>
      </c>
      <c r="CL787">
        <f>'Bookings and Drivers'!CT264</f>
        <v>0</v>
      </c>
      <c r="CM787">
        <f>'Bookings and Drivers'!CU264</f>
        <v>0</v>
      </c>
      <c r="CN787">
        <f>'Bookings and Drivers'!CV264</f>
        <v>0</v>
      </c>
      <c r="CO787">
        <f>'Bookings and Drivers'!CW264</f>
        <v>0</v>
      </c>
      <c r="CP787">
        <f>'Bookings and Drivers'!CX264</f>
        <v>0</v>
      </c>
      <c r="CQ787">
        <f>'Bookings and Drivers'!CY264</f>
        <v>0</v>
      </c>
      <c r="CR787">
        <f>'Bookings and Drivers'!CZ264</f>
        <v>0</v>
      </c>
      <c r="CS787">
        <f>'Bookings and Drivers'!DA264</f>
        <v>0</v>
      </c>
      <c r="CT787">
        <f>'Bookings and Drivers'!DB264</f>
        <v>0</v>
      </c>
      <c r="CU787">
        <f>'Bookings and Drivers'!DC264</f>
        <v>0</v>
      </c>
      <c r="CV787">
        <f>'Bookings and Drivers'!DD264</f>
        <v>0</v>
      </c>
      <c r="CW787">
        <f>'Bookings and Drivers'!DE264</f>
        <v>0</v>
      </c>
      <c r="CX787">
        <f>'Bookings and Drivers'!DF264</f>
        <v>0</v>
      </c>
    </row>
    <row r="788" spans="1:102">
      <c r="A788" t="str">
        <f>'Bookings and Drivers'!I265</f>
        <v>Europe</v>
      </c>
      <c r="B788">
        <f>'Bookings and Drivers'!J265</f>
        <v>0</v>
      </c>
      <c r="C788">
        <f>'Bookings and Drivers'!K265</f>
        <v>0</v>
      </c>
      <c r="D788">
        <f>'Bookings and Drivers'!L265</f>
        <v>0</v>
      </c>
      <c r="E788">
        <f>'Bookings and Drivers'!M265</f>
        <v>0</v>
      </c>
      <c r="F788">
        <f>'Bookings and Drivers'!N265</f>
        <v>0</v>
      </c>
      <c r="G788">
        <f>'Bookings and Drivers'!O265</f>
        <v>0</v>
      </c>
      <c r="H788">
        <f>'Bookings and Drivers'!P265</f>
        <v>0</v>
      </c>
      <c r="I788">
        <f>'Bookings and Drivers'!Q265</f>
        <v>0</v>
      </c>
      <c r="J788">
        <f>'Bookings and Drivers'!R265</f>
        <v>0</v>
      </c>
      <c r="K788">
        <f>'Bookings and Drivers'!S265</f>
        <v>0</v>
      </c>
      <c r="L788">
        <f>'Bookings and Drivers'!T265</f>
        <v>0</v>
      </c>
      <c r="M788">
        <f>'Bookings and Drivers'!U265</f>
        <v>0</v>
      </c>
      <c r="N788">
        <f>'Bookings and Drivers'!V265</f>
        <v>0</v>
      </c>
      <c r="O788">
        <f>'Bookings and Drivers'!W265</f>
        <v>0</v>
      </c>
      <c r="P788">
        <f>'Bookings and Drivers'!X265</f>
        <v>0</v>
      </c>
      <c r="Q788">
        <f>'Bookings and Drivers'!Y265</f>
        <v>0</v>
      </c>
      <c r="R788">
        <f>'Bookings and Drivers'!Z265</f>
        <v>0</v>
      </c>
      <c r="S788">
        <f>'Bookings and Drivers'!AA265</f>
        <v>0</v>
      </c>
      <c r="T788">
        <f>'Bookings and Drivers'!AB265</f>
        <v>0</v>
      </c>
      <c r="U788">
        <f>'Bookings and Drivers'!AC265</f>
        <v>0</v>
      </c>
      <c r="V788">
        <f>'Bookings and Drivers'!AD265</f>
        <v>0</v>
      </c>
      <c r="W788">
        <f>'Bookings and Drivers'!AE265</f>
        <v>0</v>
      </c>
      <c r="X788">
        <f>'Bookings and Drivers'!AF265</f>
        <v>0</v>
      </c>
      <c r="Y788">
        <f>'Bookings and Drivers'!AG265</f>
        <v>0</v>
      </c>
      <c r="Z788">
        <f>'Bookings and Drivers'!AH265</f>
        <v>0</v>
      </c>
      <c r="AA788">
        <f>'Bookings and Drivers'!AI265</f>
        <v>0</v>
      </c>
      <c r="AB788">
        <f>'Bookings and Drivers'!AJ265</f>
        <v>0</v>
      </c>
      <c r="AC788">
        <f>'Bookings and Drivers'!AK265</f>
        <v>0</v>
      </c>
      <c r="AD788">
        <f>'Bookings and Drivers'!AL265</f>
        <v>0</v>
      </c>
      <c r="AE788">
        <f>'Bookings and Drivers'!AM265</f>
        <v>0</v>
      </c>
      <c r="AF788">
        <f>'Bookings and Drivers'!AN265</f>
        <v>0</v>
      </c>
      <c r="AG788">
        <f>'Bookings and Drivers'!AO265</f>
        <v>0</v>
      </c>
      <c r="AH788">
        <f>'Bookings and Drivers'!AP265</f>
        <v>0</v>
      </c>
      <c r="AI788">
        <f>'Bookings and Drivers'!AQ265</f>
        <v>0</v>
      </c>
      <c r="AJ788">
        <f>'Bookings and Drivers'!AR265</f>
        <v>0</v>
      </c>
      <c r="AK788">
        <f>'Bookings and Drivers'!AS265</f>
        <v>0</v>
      </c>
      <c r="AL788">
        <f>'Bookings and Drivers'!AT265</f>
        <v>0</v>
      </c>
      <c r="AM788">
        <f>'Bookings and Drivers'!AU265</f>
        <v>0</v>
      </c>
      <c r="AN788">
        <f>'Bookings and Drivers'!AV265</f>
        <v>0</v>
      </c>
      <c r="AO788">
        <f>'Bookings and Drivers'!AW265</f>
        <v>0</v>
      </c>
      <c r="AP788">
        <f>'Bookings and Drivers'!AX265</f>
        <v>0</v>
      </c>
      <c r="AQ788">
        <f>'Bookings and Drivers'!AY265</f>
        <v>0</v>
      </c>
      <c r="AR788">
        <f>'Bookings and Drivers'!AZ265</f>
        <v>0</v>
      </c>
      <c r="AS788">
        <f>'Bookings and Drivers'!BA265</f>
        <v>0</v>
      </c>
      <c r="AT788">
        <f>'Bookings and Drivers'!BB265</f>
        <v>0</v>
      </c>
      <c r="AU788">
        <f>'Bookings and Drivers'!BC265</f>
        <v>0</v>
      </c>
      <c r="AV788">
        <f>'Bookings and Drivers'!BD265</f>
        <v>0</v>
      </c>
      <c r="AW788">
        <f>'Bookings and Drivers'!BE265</f>
        <v>0</v>
      </c>
      <c r="AX788">
        <f>'Bookings and Drivers'!BF265</f>
        <v>0</v>
      </c>
      <c r="AY788">
        <f>'Bookings and Drivers'!BG265</f>
        <v>0</v>
      </c>
      <c r="AZ788">
        <f>'Bookings and Drivers'!BH265</f>
        <v>0</v>
      </c>
      <c r="BA788">
        <f>'Bookings and Drivers'!BI265</f>
        <v>0</v>
      </c>
      <c r="BB788">
        <f>'Bookings and Drivers'!BJ265</f>
        <v>0</v>
      </c>
      <c r="BC788">
        <f>'Bookings and Drivers'!BK265</f>
        <v>0</v>
      </c>
      <c r="BD788">
        <f>'Bookings and Drivers'!BL265</f>
        <v>0</v>
      </c>
      <c r="BE788">
        <f>'Bookings and Drivers'!BM265</f>
        <v>0</v>
      </c>
      <c r="BF788">
        <f>'Bookings and Drivers'!BN265</f>
        <v>0</v>
      </c>
      <c r="BG788">
        <f>'Bookings and Drivers'!BO265</f>
        <v>0</v>
      </c>
      <c r="BH788">
        <f>'Bookings and Drivers'!BP265</f>
        <v>0</v>
      </c>
      <c r="BI788">
        <f>'Bookings and Drivers'!BQ265</f>
        <v>0</v>
      </c>
      <c r="BJ788">
        <f>'Bookings and Drivers'!BR265</f>
        <v>0</v>
      </c>
      <c r="BK788">
        <f>'Bookings and Drivers'!BS265</f>
        <v>0</v>
      </c>
      <c r="BL788">
        <f>'Bookings and Drivers'!BT265</f>
        <v>0</v>
      </c>
      <c r="BM788">
        <f>'Bookings and Drivers'!BU265</f>
        <v>0</v>
      </c>
      <c r="BN788">
        <f>'Bookings and Drivers'!BV265</f>
        <v>0</v>
      </c>
      <c r="BO788">
        <f>'Bookings and Drivers'!BW265</f>
        <v>0</v>
      </c>
      <c r="BP788">
        <f>'Bookings and Drivers'!BX265</f>
        <v>0</v>
      </c>
      <c r="BQ788">
        <f>'Bookings and Drivers'!BY265</f>
        <v>0</v>
      </c>
      <c r="BR788">
        <f>'Bookings and Drivers'!BZ265</f>
        <v>0</v>
      </c>
      <c r="BS788">
        <f>'Bookings and Drivers'!CA265</f>
        <v>0</v>
      </c>
      <c r="BT788">
        <f>'Bookings and Drivers'!CB265</f>
        <v>0</v>
      </c>
      <c r="BU788">
        <f>'Bookings and Drivers'!CC265</f>
        <v>0</v>
      </c>
      <c r="BV788">
        <f>'Bookings and Drivers'!CD265</f>
        <v>0</v>
      </c>
      <c r="BW788">
        <f>'Bookings and Drivers'!CE265</f>
        <v>0</v>
      </c>
      <c r="BX788">
        <f>'Bookings and Drivers'!CF265</f>
        <v>0</v>
      </c>
      <c r="BY788">
        <f>'Bookings and Drivers'!CG265</f>
        <v>0</v>
      </c>
      <c r="BZ788">
        <f>'Bookings and Drivers'!CH265</f>
        <v>0</v>
      </c>
      <c r="CA788">
        <f>'Bookings and Drivers'!CI265</f>
        <v>0</v>
      </c>
      <c r="CB788">
        <f>'Bookings and Drivers'!CJ265</f>
        <v>0</v>
      </c>
      <c r="CC788">
        <f>'Bookings and Drivers'!CK265</f>
        <v>0</v>
      </c>
      <c r="CD788">
        <f>'Bookings and Drivers'!CL265</f>
        <v>0</v>
      </c>
      <c r="CE788">
        <f>'Bookings and Drivers'!CM265</f>
        <v>0</v>
      </c>
      <c r="CF788">
        <f>'Bookings and Drivers'!CN265</f>
        <v>0</v>
      </c>
      <c r="CG788">
        <f>'Bookings and Drivers'!CO265</f>
        <v>0</v>
      </c>
      <c r="CH788">
        <f>'Bookings and Drivers'!CP265</f>
        <v>0</v>
      </c>
      <c r="CI788">
        <f>'Bookings and Drivers'!CQ265</f>
        <v>2719.4592155258924</v>
      </c>
      <c r="CJ788">
        <f>'Bookings and Drivers'!CR265</f>
        <v>5015.5997776263221</v>
      </c>
      <c r="CK788">
        <f>'Bookings and Drivers'!CS265</f>
        <v>2575.8590531844966</v>
      </c>
      <c r="CL788">
        <f>'Bookings and Drivers'!CT265</f>
        <v>4293.2082374931797</v>
      </c>
      <c r="CM788">
        <f>'Bookings and Drivers'!CU265</f>
        <v>4556.386596563214</v>
      </c>
      <c r="CN788">
        <f>'Bookings and Drivers'!CV265</f>
        <v>1515.3456993154759</v>
      </c>
      <c r="CO788">
        <f>'Bookings and Drivers'!CW265</f>
        <v>3769.2721828337635</v>
      </c>
      <c r="CP788">
        <f>'Bookings and Drivers'!CX265</f>
        <v>4611.3368092706551</v>
      </c>
      <c r="CQ788">
        <f>'Bookings and Drivers'!CY265</f>
        <v>5238.8055453719644</v>
      </c>
      <c r="CR788">
        <f>'Bookings and Drivers'!CZ265</f>
        <v>0</v>
      </c>
      <c r="CS788">
        <f>'Bookings and Drivers'!DA265</f>
        <v>0</v>
      </c>
      <c r="CT788">
        <f>'Bookings and Drivers'!DB265</f>
        <v>0</v>
      </c>
      <c r="CU788">
        <f>'Bookings and Drivers'!DC265</f>
        <v>0</v>
      </c>
      <c r="CV788">
        <f>'Bookings and Drivers'!DD265</f>
        <v>0</v>
      </c>
      <c r="CW788">
        <f>'Bookings and Drivers'!DE265</f>
        <v>0</v>
      </c>
      <c r="CX788">
        <f>'Bookings and Drivers'!DF265</f>
        <v>0</v>
      </c>
    </row>
    <row r="789" spans="1:102">
      <c r="A789" t="str">
        <f>'Bookings and Drivers'!I266</f>
        <v>APAC</v>
      </c>
      <c r="B789">
        <f>'Bookings and Drivers'!J266</f>
        <v>0</v>
      </c>
      <c r="C789">
        <f>'Bookings and Drivers'!K266</f>
        <v>0</v>
      </c>
      <c r="D789">
        <f>'Bookings and Drivers'!L266</f>
        <v>0</v>
      </c>
      <c r="E789">
        <f>'Bookings and Drivers'!M266</f>
        <v>0</v>
      </c>
      <c r="F789">
        <f>'Bookings and Drivers'!N266</f>
        <v>0</v>
      </c>
      <c r="G789">
        <f>'Bookings and Drivers'!O266</f>
        <v>0</v>
      </c>
      <c r="H789">
        <f>'Bookings and Drivers'!P266</f>
        <v>0</v>
      </c>
      <c r="I789">
        <f>'Bookings and Drivers'!Q266</f>
        <v>0</v>
      </c>
      <c r="J789">
        <f>'Bookings and Drivers'!R266</f>
        <v>0</v>
      </c>
      <c r="K789">
        <f>'Bookings and Drivers'!S266</f>
        <v>0</v>
      </c>
      <c r="L789">
        <f>'Bookings and Drivers'!T266</f>
        <v>0</v>
      </c>
      <c r="M789">
        <f>'Bookings and Drivers'!U266</f>
        <v>0</v>
      </c>
      <c r="N789">
        <f>'Bookings and Drivers'!V266</f>
        <v>0</v>
      </c>
      <c r="O789">
        <f>'Bookings and Drivers'!W266</f>
        <v>0</v>
      </c>
      <c r="P789">
        <f>'Bookings and Drivers'!X266</f>
        <v>0</v>
      </c>
      <c r="Q789">
        <f>'Bookings and Drivers'!Y266</f>
        <v>0</v>
      </c>
      <c r="R789">
        <f>'Bookings and Drivers'!Z266</f>
        <v>0</v>
      </c>
      <c r="S789">
        <f>'Bookings and Drivers'!AA266</f>
        <v>0</v>
      </c>
      <c r="T789">
        <f>'Bookings and Drivers'!AB266</f>
        <v>0</v>
      </c>
      <c r="U789">
        <f>'Bookings and Drivers'!AC266</f>
        <v>0</v>
      </c>
      <c r="V789">
        <f>'Bookings and Drivers'!AD266</f>
        <v>0</v>
      </c>
      <c r="W789">
        <f>'Bookings and Drivers'!AE266</f>
        <v>0</v>
      </c>
      <c r="X789">
        <f>'Bookings and Drivers'!AF266</f>
        <v>0</v>
      </c>
      <c r="Y789">
        <f>'Bookings and Drivers'!AG266</f>
        <v>0</v>
      </c>
      <c r="Z789">
        <f>'Bookings and Drivers'!AH266</f>
        <v>0</v>
      </c>
      <c r="AA789">
        <f>'Bookings and Drivers'!AI266</f>
        <v>0</v>
      </c>
      <c r="AB789">
        <f>'Bookings and Drivers'!AJ266</f>
        <v>0</v>
      </c>
      <c r="AC789">
        <f>'Bookings and Drivers'!AK266</f>
        <v>0</v>
      </c>
      <c r="AD789">
        <f>'Bookings and Drivers'!AL266</f>
        <v>0</v>
      </c>
      <c r="AE789">
        <f>'Bookings and Drivers'!AM266</f>
        <v>0</v>
      </c>
      <c r="AF789">
        <f>'Bookings and Drivers'!AN266</f>
        <v>0</v>
      </c>
      <c r="AG789">
        <f>'Bookings and Drivers'!AO266</f>
        <v>0</v>
      </c>
      <c r="AH789">
        <f>'Bookings and Drivers'!AP266</f>
        <v>0</v>
      </c>
      <c r="AI789">
        <f>'Bookings and Drivers'!AQ266</f>
        <v>0</v>
      </c>
      <c r="AJ789">
        <f>'Bookings and Drivers'!AR266</f>
        <v>0</v>
      </c>
      <c r="AK789">
        <f>'Bookings and Drivers'!AS266</f>
        <v>0</v>
      </c>
      <c r="AL789">
        <f>'Bookings and Drivers'!AT266</f>
        <v>0</v>
      </c>
      <c r="AM789">
        <f>'Bookings and Drivers'!AU266</f>
        <v>0</v>
      </c>
      <c r="AN789">
        <f>'Bookings and Drivers'!AV266</f>
        <v>0</v>
      </c>
      <c r="AO789">
        <f>'Bookings and Drivers'!AW266</f>
        <v>0</v>
      </c>
      <c r="AP789">
        <f>'Bookings and Drivers'!AX266</f>
        <v>0</v>
      </c>
      <c r="AQ789">
        <f>'Bookings and Drivers'!AY266</f>
        <v>0</v>
      </c>
      <c r="AR789">
        <f>'Bookings and Drivers'!AZ266</f>
        <v>0</v>
      </c>
      <c r="AS789">
        <f>'Bookings and Drivers'!BA266</f>
        <v>0</v>
      </c>
      <c r="AT789">
        <f>'Bookings and Drivers'!BB266</f>
        <v>0</v>
      </c>
      <c r="AU789">
        <f>'Bookings and Drivers'!BC266</f>
        <v>0</v>
      </c>
      <c r="AV789">
        <f>'Bookings and Drivers'!BD266</f>
        <v>0</v>
      </c>
      <c r="AW789">
        <f>'Bookings and Drivers'!BE266</f>
        <v>0</v>
      </c>
      <c r="AX789">
        <f>'Bookings and Drivers'!BF266</f>
        <v>0</v>
      </c>
      <c r="AY789">
        <f>'Bookings and Drivers'!BG266</f>
        <v>0</v>
      </c>
      <c r="AZ789">
        <f>'Bookings and Drivers'!BH266</f>
        <v>0</v>
      </c>
      <c r="BA789">
        <f>'Bookings and Drivers'!BI266</f>
        <v>0</v>
      </c>
      <c r="BB789">
        <f>'Bookings and Drivers'!BJ266</f>
        <v>0</v>
      </c>
      <c r="BC789">
        <f>'Bookings and Drivers'!BK266</f>
        <v>0</v>
      </c>
      <c r="BD789">
        <f>'Bookings and Drivers'!BL266</f>
        <v>0</v>
      </c>
      <c r="BE789">
        <f>'Bookings and Drivers'!BM266</f>
        <v>0</v>
      </c>
      <c r="BF789">
        <f>'Bookings and Drivers'!BN266</f>
        <v>0</v>
      </c>
      <c r="BG789">
        <f>'Bookings and Drivers'!BO266</f>
        <v>0</v>
      </c>
      <c r="BH789">
        <f>'Bookings and Drivers'!BP266</f>
        <v>0</v>
      </c>
      <c r="BI789">
        <f>'Bookings and Drivers'!BQ266</f>
        <v>0</v>
      </c>
      <c r="BJ789">
        <f>'Bookings and Drivers'!BR266</f>
        <v>0</v>
      </c>
      <c r="BK789">
        <f>'Bookings and Drivers'!BS266</f>
        <v>0</v>
      </c>
      <c r="BL789">
        <f>'Bookings and Drivers'!BT266</f>
        <v>0</v>
      </c>
      <c r="BM789">
        <f>'Bookings and Drivers'!BU266</f>
        <v>0</v>
      </c>
      <c r="BN789">
        <f>'Bookings and Drivers'!BV266</f>
        <v>0</v>
      </c>
      <c r="BO789">
        <f>'Bookings and Drivers'!BW266</f>
        <v>0</v>
      </c>
      <c r="BP789">
        <f>'Bookings and Drivers'!BX266</f>
        <v>0</v>
      </c>
      <c r="BQ789">
        <f>'Bookings and Drivers'!BY266</f>
        <v>0</v>
      </c>
      <c r="BR789">
        <f>'Bookings and Drivers'!BZ266</f>
        <v>0</v>
      </c>
      <c r="BS789">
        <f>'Bookings and Drivers'!CA266</f>
        <v>0</v>
      </c>
      <c r="BT789">
        <f>'Bookings and Drivers'!CB266</f>
        <v>0</v>
      </c>
      <c r="BU789">
        <f>'Bookings and Drivers'!CC266</f>
        <v>0</v>
      </c>
      <c r="BV789">
        <f>'Bookings and Drivers'!CD266</f>
        <v>0</v>
      </c>
      <c r="BW789">
        <f>'Bookings and Drivers'!CE266</f>
        <v>0</v>
      </c>
      <c r="BX789">
        <f>'Bookings and Drivers'!CF266</f>
        <v>0</v>
      </c>
      <c r="BY789">
        <f>'Bookings and Drivers'!CG266</f>
        <v>0</v>
      </c>
      <c r="BZ789">
        <f>'Bookings and Drivers'!CH266</f>
        <v>0</v>
      </c>
      <c r="CA789">
        <f>'Bookings and Drivers'!CI266</f>
        <v>0</v>
      </c>
      <c r="CB789">
        <f>'Bookings and Drivers'!CJ266</f>
        <v>0</v>
      </c>
      <c r="CC789">
        <f>'Bookings and Drivers'!CK266</f>
        <v>0</v>
      </c>
      <c r="CD789">
        <f>'Bookings and Drivers'!CL266</f>
        <v>0</v>
      </c>
      <c r="CE789">
        <f>'Bookings and Drivers'!CM266</f>
        <v>0</v>
      </c>
      <c r="CF789">
        <f>'Bookings and Drivers'!CN266</f>
        <v>0</v>
      </c>
      <c r="CG789">
        <f>'Bookings and Drivers'!CO266</f>
        <v>0</v>
      </c>
      <c r="CH789">
        <f>'Bookings and Drivers'!CP266</f>
        <v>0</v>
      </c>
      <c r="CI789">
        <f>'Bookings and Drivers'!CQ266</f>
        <v>116.64008447410635</v>
      </c>
      <c r="CJ789">
        <f>'Bookings and Drivers'!CR266</f>
        <v>286.61220560822204</v>
      </c>
      <c r="CK789">
        <f>'Bookings and Drivers'!CS266</f>
        <v>307.87254188645909</v>
      </c>
      <c r="CL789">
        <f>'Bookings and Drivers'!CT266</f>
        <v>492.59606701833468</v>
      </c>
      <c r="CM789">
        <f>'Bookings and Drivers'!CU266</f>
        <v>591.11528042200143</v>
      </c>
      <c r="CN789">
        <f>'Bookings and Drivers'!CV266</f>
        <v>666.64667736481306</v>
      </c>
      <c r="CO789">
        <f>'Bookings and Drivers'!CW266</f>
        <v>748.16735959803191</v>
      </c>
      <c r="CP789">
        <f>'Bookings and Drivers'!CX266</f>
        <v>929.46527224144666</v>
      </c>
      <c r="CQ789">
        <f>'Bookings and Drivers'!CY266</f>
        <v>849.7968203350365</v>
      </c>
      <c r="CR789">
        <f>'Bookings and Drivers'!CZ266</f>
        <v>0</v>
      </c>
      <c r="CS789">
        <f>'Bookings and Drivers'!DA266</f>
        <v>0</v>
      </c>
      <c r="CT789">
        <f>'Bookings and Drivers'!DB266</f>
        <v>0</v>
      </c>
      <c r="CU789">
        <f>'Bookings and Drivers'!DC266</f>
        <v>0</v>
      </c>
      <c r="CV789">
        <f>'Bookings and Drivers'!DD266</f>
        <v>0</v>
      </c>
      <c r="CW789">
        <f>'Bookings and Drivers'!DE266</f>
        <v>0</v>
      </c>
      <c r="CX789">
        <f>'Bookings and Drivers'!DF266</f>
        <v>0</v>
      </c>
    </row>
    <row r="790" spans="1:102">
      <c r="A790" t="str">
        <f>'Bookings and Drivers'!I267</f>
        <v>South America</v>
      </c>
      <c r="B790">
        <f>'Bookings and Drivers'!J267</f>
        <v>0</v>
      </c>
      <c r="C790">
        <f>'Bookings and Drivers'!K267</f>
        <v>0</v>
      </c>
      <c r="D790">
        <f>'Bookings and Drivers'!L267</f>
        <v>0</v>
      </c>
      <c r="E790">
        <f>'Bookings and Drivers'!M267</f>
        <v>0</v>
      </c>
      <c r="F790">
        <f>'Bookings and Drivers'!N267</f>
        <v>0</v>
      </c>
      <c r="G790">
        <f>'Bookings and Drivers'!O267</f>
        <v>0</v>
      </c>
      <c r="H790">
        <f>'Bookings and Drivers'!P267</f>
        <v>0</v>
      </c>
      <c r="I790">
        <f>'Bookings and Drivers'!Q267</f>
        <v>0</v>
      </c>
      <c r="J790">
        <f>'Bookings and Drivers'!R267</f>
        <v>0</v>
      </c>
      <c r="K790">
        <f>'Bookings and Drivers'!S267</f>
        <v>0</v>
      </c>
      <c r="L790">
        <f>'Bookings and Drivers'!T267</f>
        <v>0</v>
      </c>
      <c r="M790">
        <f>'Bookings and Drivers'!U267</f>
        <v>0</v>
      </c>
      <c r="N790">
        <f>'Bookings and Drivers'!V267</f>
        <v>0</v>
      </c>
      <c r="O790">
        <f>'Bookings and Drivers'!W267</f>
        <v>0</v>
      </c>
      <c r="P790">
        <f>'Bookings and Drivers'!X267</f>
        <v>0</v>
      </c>
      <c r="Q790">
        <f>'Bookings and Drivers'!Y267</f>
        <v>0</v>
      </c>
      <c r="R790">
        <f>'Bookings and Drivers'!Z267</f>
        <v>0</v>
      </c>
      <c r="S790">
        <f>'Bookings and Drivers'!AA267</f>
        <v>0</v>
      </c>
      <c r="T790">
        <f>'Bookings and Drivers'!AB267</f>
        <v>0</v>
      </c>
      <c r="U790">
        <f>'Bookings and Drivers'!AC267</f>
        <v>0</v>
      </c>
      <c r="V790">
        <f>'Bookings and Drivers'!AD267</f>
        <v>0</v>
      </c>
      <c r="W790">
        <f>'Bookings and Drivers'!AE267</f>
        <v>0</v>
      </c>
      <c r="X790">
        <f>'Bookings and Drivers'!AF267</f>
        <v>0</v>
      </c>
      <c r="Y790">
        <f>'Bookings and Drivers'!AG267</f>
        <v>0</v>
      </c>
      <c r="Z790">
        <f>'Bookings and Drivers'!AH267</f>
        <v>0</v>
      </c>
      <c r="AA790">
        <f>'Bookings and Drivers'!AI267</f>
        <v>0</v>
      </c>
      <c r="AB790">
        <f>'Bookings and Drivers'!AJ267</f>
        <v>0</v>
      </c>
      <c r="AC790">
        <f>'Bookings and Drivers'!AK267</f>
        <v>0</v>
      </c>
      <c r="AD790">
        <f>'Bookings and Drivers'!AL267</f>
        <v>0</v>
      </c>
      <c r="AE790">
        <f>'Bookings and Drivers'!AM267</f>
        <v>0</v>
      </c>
      <c r="AF790">
        <f>'Bookings and Drivers'!AN267</f>
        <v>0</v>
      </c>
      <c r="AG790">
        <f>'Bookings and Drivers'!AO267</f>
        <v>0</v>
      </c>
      <c r="AH790">
        <f>'Bookings and Drivers'!AP267</f>
        <v>0</v>
      </c>
      <c r="AI790">
        <f>'Bookings and Drivers'!AQ267</f>
        <v>0</v>
      </c>
      <c r="AJ790">
        <f>'Bookings and Drivers'!AR267</f>
        <v>0</v>
      </c>
      <c r="AK790">
        <f>'Bookings and Drivers'!AS267</f>
        <v>0</v>
      </c>
      <c r="AL790">
        <f>'Bookings and Drivers'!AT267</f>
        <v>0</v>
      </c>
      <c r="AM790">
        <f>'Bookings and Drivers'!AU267</f>
        <v>0</v>
      </c>
      <c r="AN790">
        <f>'Bookings and Drivers'!AV267</f>
        <v>0</v>
      </c>
      <c r="AO790">
        <f>'Bookings and Drivers'!AW267</f>
        <v>0</v>
      </c>
      <c r="AP790">
        <f>'Bookings and Drivers'!AX267</f>
        <v>0</v>
      </c>
      <c r="AQ790">
        <f>'Bookings and Drivers'!AY267</f>
        <v>0</v>
      </c>
      <c r="AR790">
        <f>'Bookings and Drivers'!AZ267</f>
        <v>0</v>
      </c>
      <c r="AS790">
        <f>'Bookings and Drivers'!BA267</f>
        <v>0</v>
      </c>
      <c r="AT790">
        <f>'Bookings and Drivers'!BB267</f>
        <v>0</v>
      </c>
      <c r="AU790">
        <f>'Bookings and Drivers'!BC267</f>
        <v>0</v>
      </c>
      <c r="AV790">
        <f>'Bookings and Drivers'!BD267</f>
        <v>0</v>
      </c>
      <c r="AW790">
        <f>'Bookings and Drivers'!BE267</f>
        <v>0</v>
      </c>
      <c r="AX790">
        <f>'Bookings and Drivers'!BF267</f>
        <v>0</v>
      </c>
      <c r="AY790">
        <f>'Bookings and Drivers'!BG267</f>
        <v>0</v>
      </c>
      <c r="AZ790">
        <f>'Bookings and Drivers'!BH267</f>
        <v>0</v>
      </c>
      <c r="BA790">
        <f>'Bookings and Drivers'!BI267</f>
        <v>0</v>
      </c>
      <c r="BB790">
        <f>'Bookings and Drivers'!BJ267</f>
        <v>0</v>
      </c>
      <c r="BC790">
        <f>'Bookings and Drivers'!BK267</f>
        <v>0</v>
      </c>
      <c r="BD790">
        <f>'Bookings and Drivers'!BL267</f>
        <v>0</v>
      </c>
      <c r="BE790">
        <f>'Bookings and Drivers'!BM267</f>
        <v>0</v>
      </c>
      <c r="BF790">
        <f>'Bookings and Drivers'!BN267</f>
        <v>0</v>
      </c>
      <c r="BG790">
        <f>'Bookings and Drivers'!BO267</f>
        <v>0</v>
      </c>
      <c r="BH790">
        <f>'Bookings and Drivers'!BP267</f>
        <v>0</v>
      </c>
      <c r="BI790">
        <f>'Bookings and Drivers'!BQ267</f>
        <v>0</v>
      </c>
      <c r="BJ790">
        <f>'Bookings and Drivers'!BR267</f>
        <v>0</v>
      </c>
      <c r="BK790">
        <f>'Bookings and Drivers'!BS267</f>
        <v>0</v>
      </c>
      <c r="BL790">
        <f>'Bookings and Drivers'!BT267</f>
        <v>0</v>
      </c>
      <c r="BM790">
        <f>'Bookings and Drivers'!BU267</f>
        <v>0</v>
      </c>
      <c r="BN790">
        <f>'Bookings and Drivers'!BV267</f>
        <v>0</v>
      </c>
      <c r="BO790">
        <f>'Bookings and Drivers'!BW267</f>
        <v>0</v>
      </c>
      <c r="BP790">
        <f>'Bookings and Drivers'!BX267</f>
        <v>0</v>
      </c>
      <c r="BQ790">
        <f>'Bookings and Drivers'!BY267</f>
        <v>0</v>
      </c>
      <c r="BR790">
        <f>'Bookings and Drivers'!BZ267</f>
        <v>0</v>
      </c>
      <c r="BS790">
        <f>'Bookings and Drivers'!CA267</f>
        <v>0</v>
      </c>
      <c r="BT790">
        <f>'Bookings and Drivers'!CB267</f>
        <v>0</v>
      </c>
      <c r="BU790">
        <f>'Bookings and Drivers'!CC267</f>
        <v>0</v>
      </c>
      <c r="BV790">
        <f>'Bookings and Drivers'!CD267</f>
        <v>0</v>
      </c>
      <c r="BW790">
        <f>'Bookings and Drivers'!CE267</f>
        <v>0</v>
      </c>
      <c r="BX790">
        <f>'Bookings and Drivers'!CF267</f>
        <v>0</v>
      </c>
      <c r="BY790">
        <f>'Bookings and Drivers'!CG267</f>
        <v>0</v>
      </c>
      <c r="BZ790">
        <f>'Bookings and Drivers'!CH267</f>
        <v>0</v>
      </c>
      <c r="CA790">
        <f>'Bookings and Drivers'!CI267</f>
        <v>0</v>
      </c>
      <c r="CB790">
        <f>'Bookings and Drivers'!CJ267</f>
        <v>0</v>
      </c>
      <c r="CC790">
        <f>'Bookings and Drivers'!CK267</f>
        <v>0</v>
      </c>
      <c r="CD790">
        <f>'Bookings and Drivers'!CL267</f>
        <v>0</v>
      </c>
      <c r="CE790">
        <f>'Bookings and Drivers'!CM267</f>
        <v>0</v>
      </c>
      <c r="CF790">
        <f>'Bookings and Drivers'!CN267</f>
        <v>0</v>
      </c>
      <c r="CG790">
        <f>'Bookings and Drivers'!CO267</f>
        <v>0</v>
      </c>
      <c r="CH790">
        <f>'Bookings and Drivers'!CP267</f>
        <v>0</v>
      </c>
      <c r="CI790">
        <f>'Bookings and Drivers'!CQ267</f>
        <v>186.86250000000001</v>
      </c>
      <c r="CJ790">
        <f>'Bookings and Drivers'!CR267</f>
        <v>286.86250000000001</v>
      </c>
      <c r="CK790">
        <f>'Bookings and Drivers'!CS267</f>
        <v>860.58749999999998</v>
      </c>
      <c r="CL790">
        <f>'Bookings and Drivers'!CT267</f>
        <v>932.30312499999991</v>
      </c>
      <c r="CM790">
        <f>'Bookings and Drivers'!CU267</f>
        <v>1301.6385937499999</v>
      </c>
      <c r="CN790">
        <f>'Bookings and Drivers'!CV267</f>
        <v>917.06355468749962</v>
      </c>
      <c r="CO790">
        <f>'Bookings and Drivers'!CW267</f>
        <v>1467.3016875000003</v>
      </c>
      <c r="CP790">
        <f>'Bookings and Drivers'!CX267</f>
        <v>1089.4715029687495</v>
      </c>
      <c r="CQ790">
        <f>'Bookings and Drivers'!CY267</f>
        <v>999.89273494687586</v>
      </c>
      <c r="CR790">
        <f>'Bookings and Drivers'!CZ267</f>
        <v>0</v>
      </c>
      <c r="CS790">
        <f>'Bookings and Drivers'!DA267</f>
        <v>0</v>
      </c>
      <c r="CT790">
        <f>'Bookings and Drivers'!DB267</f>
        <v>0</v>
      </c>
      <c r="CU790">
        <f>'Bookings and Drivers'!DC267</f>
        <v>0</v>
      </c>
      <c r="CV790">
        <f>'Bookings and Drivers'!DD267</f>
        <v>0</v>
      </c>
      <c r="CW790">
        <f>'Bookings and Drivers'!DE267</f>
        <v>0</v>
      </c>
      <c r="CX790">
        <f>'Bookings and Drivers'!DF267</f>
        <v>0</v>
      </c>
    </row>
    <row r="791" spans="1:102">
      <c r="A791" t="str">
        <f>'Bookings and Drivers'!I268</f>
        <v>US/Other</v>
      </c>
      <c r="B791">
        <f>'Bookings and Drivers'!J268</f>
        <v>0</v>
      </c>
      <c r="C791">
        <f>'Bookings and Drivers'!K268</f>
        <v>0</v>
      </c>
      <c r="D791">
        <f>'Bookings and Drivers'!L268</f>
        <v>0</v>
      </c>
      <c r="E791">
        <f>'Bookings and Drivers'!M268</f>
        <v>0</v>
      </c>
      <c r="F791">
        <f>'Bookings and Drivers'!N268</f>
        <v>0</v>
      </c>
      <c r="G791">
        <f>'Bookings and Drivers'!O268</f>
        <v>0</v>
      </c>
      <c r="H791">
        <f>'Bookings and Drivers'!P268</f>
        <v>0</v>
      </c>
      <c r="I791">
        <f>'Bookings and Drivers'!Q268</f>
        <v>0</v>
      </c>
      <c r="J791">
        <f>'Bookings and Drivers'!R268</f>
        <v>0</v>
      </c>
      <c r="K791">
        <f>'Bookings and Drivers'!S268</f>
        <v>0</v>
      </c>
      <c r="L791">
        <f>'Bookings and Drivers'!T268</f>
        <v>0</v>
      </c>
      <c r="M791">
        <f>'Bookings and Drivers'!U268</f>
        <v>0</v>
      </c>
      <c r="N791">
        <f>'Bookings and Drivers'!V268</f>
        <v>0</v>
      </c>
      <c r="O791">
        <f>'Bookings and Drivers'!W268</f>
        <v>0</v>
      </c>
      <c r="P791">
        <f>'Bookings and Drivers'!X268</f>
        <v>0</v>
      </c>
      <c r="Q791">
        <f>'Bookings and Drivers'!Y268</f>
        <v>0</v>
      </c>
      <c r="R791">
        <f>'Bookings and Drivers'!Z268</f>
        <v>0</v>
      </c>
      <c r="S791">
        <f>'Bookings and Drivers'!AA268</f>
        <v>0</v>
      </c>
      <c r="T791">
        <f>'Bookings and Drivers'!AB268</f>
        <v>0</v>
      </c>
      <c r="U791">
        <f>'Bookings and Drivers'!AC268</f>
        <v>0</v>
      </c>
      <c r="V791">
        <f>'Bookings and Drivers'!AD268</f>
        <v>0</v>
      </c>
      <c r="W791">
        <f>'Bookings and Drivers'!AE268</f>
        <v>0</v>
      </c>
      <c r="X791">
        <f>'Bookings and Drivers'!AF268</f>
        <v>0</v>
      </c>
      <c r="Y791">
        <f>'Bookings and Drivers'!AG268</f>
        <v>0</v>
      </c>
      <c r="Z791">
        <f>'Bookings and Drivers'!AH268</f>
        <v>0</v>
      </c>
      <c r="AA791">
        <f>'Bookings and Drivers'!AI268</f>
        <v>0</v>
      </c>
      <c r="AB791">
        <f>'Bookings and Drivers'!AJ268</f>
        <v>0</v>
      </c>
      <c r="AC791">
        <f>'Bookings and Drivers'!AK268</f>
        <v>0</v>
      </c>
      <c r="AD791">
        <f>'Bookings and Drivers'!AL268</f>
        <v>0</v>
      </c>
      <c r="AE791">
        <f>'Bookings and Drivers'!AM268</f>
        <v>0</v>
      </c>
      <c r="AF791">
        <f>'Bookings and Drivers'!AN268</f>
        <v>0</v>
      </c>
      <c r="AG791">
        <f>'Bookings and Drivers'!AO268</f>
        <v>0</v>
      </c>
      <c r="AH791">
        <f>'Bookings and Drivers'!AP268</f>
        <v>0</v>
      </c>
      <c r="AI791">
        <f>'Bookings and Drivers'!AQ268</f>
        <v>0</v>
      </c>
      <c r="AJ791">
        <f>'Bookings and Drivers'!AR268</f>
        <v>0</v>
      </c>
      <c r="AK791">
        <f>'Bookings and Drivers'!AS268</f>
        <v>0</v>
      </c>
      <c r="AL791">
        <f>'Bookings and Drivers'!AT268</f>
        <v>0</v>
      </c>
      <c r="AM791">
        <f>'Bookings and Drivers'!AU268</f>
        <v>0</v>
      </c>
      <c r="AN791">
        <f>'Bookings and Drivers'!AV268</f>
        <v>0</v>
      </c>
      <c r="AO791">
        <f>'Bookings and Drivers'!AW268</f>
        <v>0</v>
      </c>
      <c r="AP791">
        <f>'Bookings and Drivers'!AX268</f>
        <v>0</v>
      </c>
      <c r="AQ791">
        <f>'Bookings and Drivers'!AY268</f>
        <v>0</v>
      </c>
      <c r="AR791">
        <f>'Bookings and Drivers'!AZ268</f>
        <v>0</v>
      </c>
      <c r="AS791">
        <f>'Bookings and Drivers'!BA268</f>
        <v>0</v>
      </c>
      <c r="AT791">
        <f>'Bookings and Drivers'!BB268</f>
        <v>0</v>
      </c>
      <c r="AU791">
        <f>'Bookings and Drivers'!BC268</f>
        <v>0</v>
      </c>
      <c r="AV791">
        <f>'Bookings and Drivers'!BD268</f>
        <v>0</v>
      </c>
      <c r="AW791">
        <f>'Bookings and Drivers'!BE268</f>
        <v>0</v>
      </c>
      <c r="AX791">
        <f>'Bookings and Drivers'!BF268</f>
        <v>0</v>
      </c>
      <c r="AY791">
        <f>'Bookings and Drivers'!BG268</f>
        <v>0</v>
      </c>
      <c r="AZ791">
        <f>'Bookings and Drivers'!BH268</f>
        <v>0</v>
      </c>
      <c r="BA791">
        <f>'Bookings and Drivers'!BI268</f>
        <v>0</v>
      </c>
      <c r="BB791">
        <f>'Bookings and Drivers'!BJ268</f>
        <v>0</v>
      </c>
      <c r="BC791">
        <f>'Bookings and Drivers'!BK268</f>
        <v>0</v>
      </c>
      <c r="BD791">
        <f>'Bookings and Drivers'!BL268</f>
        <v>0</v>
      </c>
      <c r="BE791">
        <f>'Bookings and Drivers'!BM268</f>
        <v>0</v>
      </c>
      <c r="BF791">
        <f>'Bookings and Drivers'!BN268</f>
        <v>0</v>
      </c>
      <c r="BG791">
        <f>'Bookings and Drivers'!BO268</f>
        <v>0</v>
      </c>
      <c r="BH791">
        <f>'Bookings and Drivers'!BP268</f>
        <v>0</v>
      </c>
      <c r="BI791">
        <f>'Bookings and Drivers'!BQ268</f>
        <v>0</v>
      </c>
      <c r="BJ791">
        <f>'Bookings and Drivers'!BR268</f>
        <v>0</v>
      </c>
      <c r="BK791">
        <f>'Bookings and Drivers'!BS268</f>
        <v>0</v>
      </c>
      <c r="BL791">
        <f>'Bookings and Drivers'!BT268</f>
        <v>0</v>
      </c>
      <c r="BM791">
        <f>'Bookings and Drivers'!BU268</f>
        <v>0</v>
      </c>
      <c r="BN791">
        <f>'Bookings and Drivers'!BV268</f>
        <v>0</v>
      </c>
      <c r="BO791">
        <f>'Bookings and Drivers'!BW268</f>
        <v>0</v>
      </c>
      <c r="BP791">
        <f>'Bookings and Drivers'!BX268</f>
        <v>0</v>
      </c>
      <c r="BQ791">
        <f>'Bookings and Drivers'!BY268</f>
        <v>0</v>
      </c>
      <c r="BR791">
        <f>'Bookings and Drivers'!BZ268</f>
        <v>0</v>
      </c>
      <c r="BS791">
        <f>'Bookings and Drivers'!CA268</f>
        <v>0</v>
      </c>
      <c r="BT791">
        <f>'Bookings and Drivers'!CB268</f>
        <v>0</v>
      </c>
      <c r="BU791">
        <f>'Bookings and Drivers'!CC268</f>
        <v>0</v>
      </c>
      <c r="BV791">
        <f>'Bookings and Drivers'!CD268</f>
        <v>0</v>
      </c>
      <c r="BW791">
        <f>'Bookings and Drivers'!CE268</f>
        <v>0</v>
      </c>
      <c r="BX791">
        <f>'Bookings and Drivers'!CF268</f>
        <v>0</v>
      </c>
      <c r="BY791">
        <f>'Bookings and Drivers'!CG268</f>
        <v>0</v>
      </c>
      <c r="BZ791">
        <f>'Bookings and Drivers'!CH268</f>
        <v>0</v>
      </c>
      <c r="CA791">
        <f>'Bookings and Drivers'!CI268</f>
        <v>0</v>
      </c>
      <c r="CB791">
        <f>'Bookings and Drivers'!CJ268</f>
        <v>0</v>
      </c>
      <c r="CC791">
        <f>'Bookings and Drivers'!CK268</f>
        <v>0</v>
      </c>
      <c r="CD791">
        <f>'Bookings and Drivers'!CL268</f>
        <v>0</v>
      </c>
      <c r="CE791">
        <f>'Bookings and Drivers'!CM268</f>
        <v>0</v>
      </c>
      <c r="CF791">
        <f>'Bookings and Drivers'!CN268</f>
        <v>0</v>
      </c>
      <c r="CG791">
        <f>'Bookings and Drivers'!CO268</f>
        <v>0</v>
      </c>
      <c r="CH791">
        <f>'Bookings and Drivers'!CP268</f>
        <v>0</v>
      </c>
      <c r="CI791">
        <f>'Bookings and Drivers'!CQ268</f>
        <v>150</v>
      </c>
      <c r="CJ791">
        <f>'Bookings and Drivers'!CR268</f>
        <v>685.51772676545761</v>
      </c>
      <c r="CK791">
        <f>'Bookings and Drivers'!CS268</f>
        <v>306.64024617699556</v>
      </c>
      <c r="CL791">
        <f>'Bookings and Drivers'!CT268</f>
        <v>407.57979293122617</v>
      </c>
      <c r="CM791">
        <f>'Bookings and Drivers'!CU268</f>
        <v>432.56487987785272</v>
      </c>
      <c r="CN791">
        <f>'Bookings and Drivers'!CV268</f>
        <v>143.86078013929728</v>
      </c>
      <c r="CO791">
        <f>'Bookings and Drivers'!CW268</f>
        <v>732.15913833540162</v>
      </c>
      <c r="CP791">
        <f>'Bookings and Drivers'!CX268</f>
        <v>780.21794257424972</v>
      </c>
      <c r="CQ791">
        <f>'Bookings and Drivers'!CY268</f>
        <v>1113.1683993941929</v>
      </c>
      <c r="CR791">
        <f>'Bookings and Drivers'!CZ268</f>
        <v>0</v>
      </c>
      <c r="CS791">
        <f>'Bookings and Drivers'!DA268</f>
        <v>0</v>
      </c>
      <c r="CT791">
        <f>'Bookings and Drivers'!DB268</f>
        <v>0</v>
      </c>
      <c r="CU791">
        <f>'Bookings and Drivers'!DC268</f>
        <v>0</v>
      </c>
      <c r="CV791">
        <f>'Bookings and Drivers'!DD268</f>
        <v>0</v>
      </c>
      <c r="CW791">
        <f>'Bookings and Drivers'!DE268</f>
        <v>0</v>
      </c>
      <c r="CX791">
        <f>'Bookings and Drivers'!DF268</f>
        <v>0</v>
      </c>
    </row>
    <row r="792" spans="1:102">
      <c r="A792">
        <f>'Bookings and Drivers'!I269</f>
        <v>0</v>
      </c>
      <c r="B792">
        <f>'Bookings and Drivers'!J269</f>
        <v>0</v>
      </c>
      <c r="C792">
        <f>'Bookings and Drivers'!K269</f>
        <v>0</v>
      </c>
      <c r="D792">
        <f>'Bookings and Drivers'!L269</f>
        <v>0</v>
      </c>
      <c r="E792">
        <f>'Bookings and Drivers'!M269</f>
        <v>0</v>
      </c>
      <c r="F792">
        <f>'Bookings and Drivers'!N269</f>
        <v>0</v>
      </c>
      <c r="G792">
        <f>'Bookings and Drivers'!O269</f>
        <v>0</v>
      </c>
      <c r="H792">
        <f>'Bookings and Drivers'!P269</f>
        <v>0</v>
      </c>
      <c r="I792">
        <f>'Bookings and Drivers'!Q269</f>
        <v>0</v>
      </c>
      <c r="J792">
        <f>'Bookings and Drivers'!R269</f>
        <v>0</v>
      </c>
      <c r="K792">
        <f>'Bookings and Drivers'!S269</f>
        <v>0</v>
      </c>
      <c r="L792">
        <f>'Bookings and Drivers'!T269</f>
        <v>0</v>
      </c>
      <c r="M792">
        <f>'Bookings and Drivers'!U269</f>
        <v>0</v>
      </c>
      <c r="N792">
        <f>'Bookings and Drivers'!V269</f>
        <v>0</v>
      </c>
      <c r="O792">
        <f>'Bookings and Drivers'!W269</f>
        <v>0</v>
      </c>
      <c r="P792">
        <f>'Bookings and Drivers'!X269</f>
        <v>0</v>
      </c>
      <c r="Q792">
        <f>'Bookings and Drivers'!Y269</f>
        <v>0</v>
      </c>
      <c r="R792">
        <f>'Bookings and Drivers'!Z269</f>
        <v>0</v>
      </c>
      <c r="S792">
        <f>'Bookings and Drivers'!AA269</f>
        <v>0</v>
      </c>
      <c r="T792">
        <f>'Bookings and Drivers'!AB269</f>
        <v>0</v>
      </c>
      <c r="U792">
        <f>'Bookings and Drivers'!AC269</f>
        <v>0</v>
      </c>
      <c r="V792">
        <f>'Bookings and Drivers'!AD269</f>
        <v>0</v>
      </c>
      <c r="W792">
        <f>'Bookings and Drivers'!AE269</f>
        <v>0</v>
      </c>
      <c r="X792">
        <f>'Bookings and Drivers'!AF269</f>
        <v>0</v>
      </c>
      <c r="Y792">
        <f>'Bookings and Drivers'!AG269</f>
        <v>0</v>
      </c>
      <c r="Z792">
        <f>'Bookings and Drivers'!AH269</f>
        <v>0</v>
      </c>
      <c r="AA792">
        <f>'Bookings and Drivers'!AI269</f>
        <v>0</v>
      </c>
      <c r="AB792">
        <f>'Bookings and Drivers'!AJ269</f>
        <v>0</v>
      </c>
      <c r="AC792">
        <f>'Bookings and Drivers'!AK269</f>
        <v>0</v>
      </c>
      <c r="AD792">
        <f>'Bookings and Drivers'!AL269</f>
        <v>0</v>
      </c>
      <c r="AE792">
        <f>'Bookings and Drivers'!AM269</f>
        <v>0</v>
      </c>
      <c r="AF792">
        <f>'Bookings and Drivers'!AN269</f>
        <v>0</v>
      </c>
      <c r="AG792">
        <f>'Bookings and Drivers'!AO269</f>
        <v>0</v>
      </c>
      <c r="AH792">
        <f>'Bookings and Drivers'!AP269</f>
        <v>0</v>
      </c>
      <c r="AI792">
        <f>'Bookings and Drivers'!AQ269</f>
        <v>0</v>
      </c>
      <c r="AJ792">
        <f>'Bookings and Drivers'!AR269</f>
        <v>0</v>
      </c>
      <c r="AK792">
        <f>'Bookings and Drivers'!AS269</f>
        <v>0</v>
      </c>
      <c r="AL792">
        <f>'Bookings and Drivers'!AT269</f>
        <v>0</v>
      </c>
      <c r="AM792">
        <f>'Bookings and Drivers'!AU269</f>
        <v>0</v>
      </c>
      <c r="AN792">
        <f>'Bookings and Drivers'!AV269</f>
        <v>0</v>
      </c>
      <c r="AO792">
        <f>'Bookings and Drivers'!AW269</f>
        <v>0</v>
      </c>
      <c r="AP792">
        <f>'Bookings and Drivers'!AX269</f>
        <v>0</v>
      </c>
      <c r="AQ792">
        <f>'Bookings and Drivers'!AY269</f>
        <v>0</v>
      </c>
      <c r="AR792">
        <f>'Bookings and Drivers'!AZ269</f>
        <v>0</v>
      </c>
      <c r="AS792">
        <f>'Bookings and Drivers'!BA269</f>
        <v>0</v>
      </c>
      <c r="AT792">
        <f>'Bookings and Drivers'!BB269</f>
        <v>0</v>
      </c>
      <c r="AU792">
        <f>'Bookings and Drivers'!BC269</f>
        <v>0</v>
      </c>
      <c r="AV792">
        <f>'Bookings and Drivers'!BD269</f>
        <v>0</v>
      </c>
      <c r="AW792">
        <f>'Bookings and Drivers'!BE269</f>
        <v>0</v>
      </c>
      <c r="AX792">
        <f>'Bookings and Drivers'!BF269</f>
        <v>0</v>
      </c>
      <c r="AY792">
        <f>'Bookings and Drivers'!BG269</f>
        <v>0</v>
      </c>
      <c r="AZ792">
        <f>'Bookings and Drivers'!BH269</f>
        <v>0</v>
      </c>
      <c r="BA792">
        <f>'Bookings and Drivers'!BI269</f>
        <v>0</v>
      </c>
      <c r="BB792">
        <f>'Bookings and Drivers'!BJ269</f>
        <v>0</v>
      </c>
      <c r="BC792">
        <f>'Bookings and Drivers'!BK269</f>
        <v>0</v>
      </c>
      <c r="BD792">
        <f>'Bookings and Drivers'!BL269</f>
        <v>0</v>
      </c>
      <c r="BE792">
        <f>'Bookings and Drivers'!BM269</f>
        <v>0</v>
      </c>
      <c r="BF792">
        <f>'Bookings and Drivers'!BN269</f>
        <v>0</v>
      </c>
      <c r="BG792">
        <f>'Bookings and Drivers'!BO269</f>
        <v>0</v>
      </c>
      <c r="BH792">
        <f>'Bookings and Drivers'!BP269</f>
        <v>0</v>
      </c>
      <c r="BI792">
        <f>'Bookings and Drivers'!BQ269</f>
        <v>0</v>
      </c>
      <c r="BJ792">
        <f>'Bookings and Drivers'!BR269</f>
        <v>0</v>
      </c>
      <c r="BK792">
        <f>'Bookings and Drivers'!BS269</f>
        <v>0</v>
      </c>
      <c r="BL792">
        <f>'Bookings and Drivers'!BT269</f>
        <v>0</v>
      </c>
      <c r="BM792">
        <f>'Bookings and Drivers'!BU269</f>
        <v>0</v>
      </c>
      <c r="BN792">
        <f>'Bookings and Drivers'!BV269</f>
        <v>0</v>
      </c>
      <c r="BO792">
        <f>'Bookings and Drivers'!BW269</f>
        <v>0</v>
      </c>
      <c r="BP792">
        <f>'Bookings and Drivers'!BX269</f>
        <v>0</v>
      </c>
      <c r="BQ792">
        <f>'Bookings and Drivers'!BY269</f>
        <v>0</v>
      </c>
      <c r="BR792">
        <f>'Bookings and Drivers'!BZ269</f>
        <v>0</v>
      </c>
      <c r="BS792">
        <f>'Bookings and Drivers'!CA269</f>
        <v>0</v>
      </c>
      <c r="BT792">
        <f>'Bookings and Drivers'!CB269</f>
        <v>0</v>
      </c>
      <c r="BU792">
        <f>'Bookings and Drivers'!CC269</f>
        <v>0</v>
      </c>
      <c r="BV792">
        <f>'Bookings and Drivers'!CD269</f>
        <v>0</v>
      </c>
      <c r="BW792">
        <f>'Bookings and Drivers'!CE269</f>
        <v>0</v>
      </c>
      <c r="BX792">
        <f>'Bookings and Drivers'!CF269</f>
        <v>0</v>
      </c>
      <c r="BY792">
        <f>'Bookings and Drivers'!CG269</f>
        <v>0</v>
      </c>
      <c r="BZ792">
        <f>'Bookings and Drivers'!CH269</f>
        <v>0</v>
      </c>
      <c r="CA792">
        <f>'Bookings and Drivers'!CI269</f>
        <v>0</v>
      </c>
      <c r="CB792">
        <f>'Bookings and Drivers'!CJ269</f>
        <v>0</v>
      </c>
      <c r="CC792">
        <f>'Bookings and Drivers'!CK269</f>
        <v>0</v>
      </c>
      <c r="CD792">
        <f>'Bookings and Drivers'!CL269</f>
        <v>0</v>
      </c>
      <c r="CE792">
        <f>'Bookings and Drivers'!CM276</f>
        <v>0</v>
      </c>
      <c r="CF792">
        <f>'Bookings and Drivers'!CN276</f>
        <v>0</v>
      </c>
      <c r="CG792">
        <f>'Bookings and Drivers'!CO276</f>
        <v>0</v>
      </c>
      <c r="CH792">
        <f>'Bookings and Drivers'!CP276</f>
        <v>0</v>
      </c>
      <c r="CI792">
        <f>'Bookings and Drivers'!CQ276</f>
        <v>0</v>
      </c>
      <c r="CJ792">
        <f>'Bookings and Drivers'!CR276</f>
        <v>0</v>
      </c>
      <c r="CK792">
        <f>'Bookings and Drivers'!CS276</f>
        <v>0</v>
      </c>
      <c r="CL792">
        <f>'Bookings and Drivers'!CT276</f>
        <v>0</v>
      </c>
      <c r="CM792">
        <f>'Bookings and Drivers'!CU276</f>
        <v>0</v>
      </c>
      <c r="CN792">
        <f>'Bookings and Drivers'!CV276</f>
        <v>0</v>
      </c>
      <c r="CO792">
        <f>'Bookings and Drivers'!CW276</f>
        <v>0</v>
      </c>
      <c r="CP792">
        <f>'Bookings and Drivers'!CX269</f>
        <v>0</v>
      </c>
      <c r="CQ792">
        <f>'Bookings and Drivers'!CY269</f>
        <v>0</v>
      </c>
      <c r="CR792">
        <f>'Bookings and Drivers'!CZ269</f>
        <v>0</v>
      </c>
      <c r="CS792">
        <f>'Bookings and Drivers'!DA269</f>
        <v>0</v>
      </c>
      <c r="CT792">
        <f>'Bookings and Drivers'!DB269</f>
        <v>0</v>
      </c>
      <c r="CU792">
        <f>'Bookings and Drivers'!DC269</f>
        <v>0</v>
      </c>
      <c r="CV792">
        <f>'Bookings and Drivers'!DD269</f>
        <v>0</v>
      </c>
      <c r="CW792">
        <f>'Bookings and Drivers'!DE269</f>
        <v>0</v>
      </c>
      <c r="CX792">
        <f>'Bookings and Drivers'!DF269</f>
        <v>0</v>
      </c>
    </row>
    <row r="793" spans="1:102">
      <c r="A793" t="str">
        <f>'Bookings and Drivers'!I270</f>
        <v>Total European Hotel Market (Euros, bn)</v>
      </c>
      <c r="B793">
        <f>'Bookings and Drivers'!J270</f>
        <v>0</v>
      </c>
      <c r="C793">
        <f>'Bookings and Drivers'!K270</f>
        <v>0</v>
      </c>
      <c r="D793">
        <f>'Bookings and Drivers'!L270</f>
        <v>0</v>
      </c>
      <c r="E793">
        <f>'Bookings and Drivers'!M270</f>
        <v>0</v>
      </c>
      <c r="F793">
        <f>'Bookings and Drivers'!N270</f>
        <v>0</v>
      </c>
      <c r="G793">
        <f>'Bookings and Drivers'!O270</f>
        <v>0</v>
      </c>
      <c r="H793">
        <f>'Bookings and Drivers'!P270</f>
        <v>0</v>
      </c>
      <c r="I793">
        <f>'Bookings and Drivers'!Q270</f>
        <v>0</v>
      </c>
      <c r="J793">
        <f>'Bookings and Drivers'!R270</f>
        <v>0</v>
      </c>
      <c r="K793">
        <f>'Bookings and Drivers'!S270</f>
        <v>0</v>
      </c>
      <c r="L793">
        <f>'Bookings and Drivers'!T270</f>
        <v>0</v>
      </c>
      <c r="M793">
        <f>'Bookings and Drivers'!U270</f>
        <v>0</v>
      </c>
      <c r="N793">
        <f>'Bookings and Drivers'!V270</f>
        <v>0</v>
      </c>
      <c r="O793">
        <f>'Bookings and Drivers'!W270</f>
        <v>0</v>
      </c>
      <c r="P793">
        <f>'Bookings and Drivers'!X270</f>
        <v>0</v>
      </c>
      <c r="Q793">
        <f>'Bookings and Drivers'!Y270</f>
        <v>0</v>
      </c>
      <c r="R793">
        <f>'Bookings and Drivers'!Z270</f>
        <v>0</v>
      </c>
      <c r="S793">
        <f>'Bookings and Drivers'!AA270</f>
        <v>0</v>
      </c>
      <c r="T793">
        <f>'Bookings and Drivers'!AB270</f>
        <v>0</v>
      </c>
      <c r="U793">
        <f>'Bookings and Drivers'!AC270</f>
        <v>0</v>
      </c>
      <c r="V793">
        <f>'Bookings and Drivers'!AD270</f>
        <v>0</v>
      </c>
      <c r="W793">
        <f>'Bookings and Drivers'!AE270</f>
        <v>0</v>
      </c>
      <c r="X793">
        <f>'Bookings and Drivers'!AF270</f>
        <v>0</v>
      </c>
      <c r="Y793">
        <f>'Bookings and Drivers'!AG270</f>
        <v>0</v>
      </c>
      <c r="Z793">
        <f>'Bookings and Drivers'!AH270</f>
        <v>0</v>
      </c>
      <c r="AA793">
        <f>'Bookings and Drivers'!AI270</f>
        <v>0</v>
      </c>
      <c r="AB793">
        <f>'Bookings and Drivers'!AJ270</f>
        <v>0</v>
      </c>
      <c r="AC793">
        <f>'Bookings and Drivers'!AK270</f>
        <v>0</v>
      </c>
      <c r="AD793">
        <f>'Bookings and Drivers'!AL270</f>
        <v>0</v>
      </c>
      <c r="AE793">
        <f>'Bookings and Drivers'!AM270</f>
        <v>0</v>
      </c>
      <c r="AF793">
        <f>'Bookings and Drivers'!AN270</f>
        <v>0</v>
      </c>
      <c r="AG793">
        <f>'Bookings and Drivers'!AO270</f>
        <v>0</v>
      </c>
      <c r="AH793">
        <f>'Bookings and Drivers'!AP270</f>
        <v>0</v>
      </c>
      <c r="AI793">
        <f>'Bookings and Drivers'!AQ270</f>
        <v>0</v>
      </c>
      <c r="AJ793">
        <f>'Bookings and Drivers'!AR270</f>
        <v>0</v>
      </c>
      <c r="AK793">
        <f>'Bookings and Drivers'!AS270</f>
        <v>0</v>
      </c>
      <c r="AL793">
        <f>'Bookings and Drivers'!AT270</f>
        <v>0</v>
      </c>
      <c r="AM793">
        <f>'Bookings and Drivers'!AU270</f>
        <v>0</v>
      </c>
      <c r="AN793">
        <f>'Bookings and Drivers'!AV270</f>
        <v>0</v>
      </c>
      <c r="AO793">
        <f>'Bookings and Drivers'!AW270</f>
        <v>0</v>
      </c>
      <c r="AP793">
        <f>'Bookings and Drivers'!AX270</f>
        <v>0</v>
      </c>
      <c r="AQ793">
        <f>'Bookings and Drivers'!AY270</f>
        <v>0</v>
      </c>
      <c r="AR793">
        <f>'Bookings and Drivers'!AZ270</f>
        <v>0</v>
      </c>
      <c r="AS793">
        <f>'Bookings and Drivers'!BA270</f>
        <v>0</v>
      </c>
      <c r="AT793">
        <f>'Bookings and Drivers'!BB270</f>
        <v>0</v>
      </c>
      <c r="AU793">
        <f>'Bookings and Drivers'!BC270</f>
        <v>0</v>
      </c>
      <c r="AV793">
        <f>'Bookings and Drivers'!BD270</f>
        <v>0</v>
      </c>
      <c r="AW793">
        <f>'Bookings and Drivers'!BE270</f>
        <v>0</v>
      </c>
      <c r="AX793">
        <f>'Bookings and Drivers'!BF270</f>
        <v>0</v>
      </c>
      <c r="AY793">
        <f>'Bookings and Drivers'!BG270</f>
        <v>0</v>
      </c>
      <c r="AZ793">
        <f>'Bookings and Drivers'!BH270</f>
        <v>0</v>
      </c>
      <c r="BA793">
        <f>'Bookings and Drivers'!BI270</f>
        <v>0</v>
      </c>
      <c r="BB793">
        <f>'Bookings and Drivers'!BJ270</f>
        <v>0</v>
      </c>
      <c r="BC793">
        <f>'Bookings and Drivers'!BK270</f>
        <v>0</v>
      </c>
      <c r="BD793">
        <f>'Bookings and Drivers'!BL270</f>
        <v>0</v>
      </c>
      <c r="BE793">
        <f>'Bookings and Drivers'!BM270</f>
        <v>0</v>
      </c>
      <c r="BF793">
        <f>'Bookings and Drivers'!BN270</f>
        <v>0</v>
      </c>
      <c r="BG793">
        <f>'Bookings and Drivers'!BO270</f>
        <v>0</v>
      </c>
      <c r="BH793">
        <f>'Bookings and Drivers'!BP270</f>
        <v>0</v>
      </c>
      <c r="BI793">
        <f>'Bookings and Drivers'!BQ270</f>
        <v>0</v>
      </c>
      <c r="BJ793">
        <f>'Bookings and Drivers'!BR270</f>
        <v>0</v>
      </c>
      <c r="BK793">
        <f>'Bookings and Drivers'!BS270</f>
        <v>0</v>
      </c>
      <c r="BL793">
        <f>'Bookings and Drivers'!BT270</f>
        <v>0</v>
      </c>
      <c r="BM793">
        <f>'Bookings and Drivers'!BU270</f>
        <v>0</v>
      </c>
      <c r="BN793">
        <f>'Bookings and Drivers'!BV270</f>
        <v>0</v>
      </c>
      <c r="BO793">
        <f>'Bookings and Drivers'!BW270</f>
        <v>0</v>
      </c>
      <c r="BP793">
        <f>'Bookings and Drivers'!BX270</f>
        <v>0</v>
      </c>
      <c r="BQ793">
        <f>'Bookings and Drivers'!BY270</f>
        <v>0</v>
      </c>
      <c r="BR793">
        <f>'Bookings and Drivers'!BZ270</f>
        <v>0</v>
      </c>
      <c r="BS793">
        <f>'Bookings and Drivers'!CA270</f>
        <v>0</v>
      </c>
      <c r="BT793">
        <f>'Bookings and Drivers'!CB270</f>
        <v>0</v>
      </c>
      <c r="BU793">
        <f>'Bookings and Drivers'!CC270</f>
        <v>0</v>
      </c>
      <c r="BV793">
        <f>'Bookings and Drivers'!CD270</f>
        <v>0</v>
      </c>
      <c r="BW793">
        <f>'Bookings and Drivers'!CE270</f>
        <v>0</v>
      </c>
      <c r="BX793">
        <f>'Bookings and Drivers'!CF270</f>
        <v>0</v>
      </c>
      <c r="BY793">
        <f>'Bookings and Drivers'!CG270</f>
        <v>0</v>
      </c>
      <c r="BZ793">
        <f>'Bookings and Drivers'!CH270</f>
        <v>0</v>
      </c>
      <c r="CA793">
        <f>'Bookings and Drivers'!CI270</f>
        <v>0</v>
      </c>
      <c r="CB793">
        <f>'Bookings and Drivers'!CJ270</f>
        <v>0</v>
      </c>
      <c r="CC793">
        <f>'Bookings and Drivers'!CK270</f>
        <v>0</v>
      </c>
      <c r="CD793">
        <f>'Bookings and Drivers'!CL270</f>
        <v>0</v>
      </c>
      <c r="CE793">
        <f>'Bookings and Drivers'!CM270</f>
        <v>81.7</v>
      </c>
      <c r="CF793">
        <f>'Bookings and Drivers'!CN270</f>
        <v>83.7</v>
      </c>
      <c r="CG793">
        <f>'Bookings and Drivers'!CO270</f>
        <v>84.2</v>
      </c>
      <c r="CH793">
        <f>'Bookings and Drivers'!CP270</f>
        <v>74.900000000000006</v>
      </c>
      <c r="CI793">
        <f>'Bookings and Drivers'!CQ270</f>
        <v>76.099999999999994</v>
      </c>
      <c r="CJ793">
        <f>'Bookings and Drivers'!CR270</f>
        <v>78.900000000000006</v>
      </c>
      <c r="CK793">
        <f>'Bookings and Drivers'!CS270</f>
        <v>79.599999999999994</v>
      </c>
      <c r="CL793">
        <f>'Bookings and Drivers'!CT270</f>
        <v>80.900000000000006</v>
      </c>
      <c r="CM793">
        <f>'Bookings and Drivers'!CU270</f>
        <v>83.2</v>
      </c>
      <c r="CN793">
        <f>'Bookings and Drivers'!CV270</f>
        <v>85.9</v>
      </c>
      <c r="CO793">
        <f>'Bookings and Drivers'!CW270</f>
        <v>88.3</v>
      </c>
      <c r="CP793">
        <f>'Bookings and Drivers'!CX270</f>
        <v>90.948999999999998</v>
      </c>
      <c r="CQ793">
        <f>'Bookings and Drivers'!CY270</f>
        <v>93.67747</v>
      </c>
      <c r="CR793">
        <f>'Bookings and Drivers'!CZ270</f>
        <v>0</v>
      </c>
      <c r="CS793">
        <f>'Bookings and Drivers'!DA270</f>
        <v>0</v>
      </c>
      <c r="CT793">
        <f>'Bookings and Drivers'!DB270</f>
        <v>0</v>
      </c>
      <c r="CU793">
        <f>'Bookings and Drivers'!DC270</f>
        <v>0</v>
      </c>
      <c r="CV793">
        <f>'Bookings and Drivers'!DD270</f>
        <v>0</v>
      </c>
      <c r="CW793">
        <f>'Bookings and Drivers'!DE270</f>
        <v>0</v>
      </c>
      <c r="CX793">
        <f>'Bookings and Drivers'!DF270</f>
        <v>0</v>
      </c>
    </row>
    <row r="794" spans="1:102">
      <c r="A794" t="str">
        <f>'Bookings and Drivers'!I272</f>
        <v>Total European Hotel Market (USD, mn)</v>
      </c>
      <c r="B794">
        <f>'Bookings and Drivers'!J272</f>
        <v>0</v>
      </c>
      <c r="C794">
        <f>'Bookings and Drivers'!K272</f>
        <v>0</v>
      </c>
      <c r="D794">
        <f>'Bookings and Drivers'!L272</f>
        <v>0</v>
      </c>
      <c r="E794">
        <f>'Bookings and Drivers'!M272</f>
        <v>0</v>
      </c>
      <c r="F794">
        <f>'Bookings and Drivers'!N272</f>
        <v>0</v>
      </c>
      <c r="G794">
        <f>'Bookings and Drivers'!O272</f>
        <v>0</v>
      </c>
      <c r="H794">
        <f>'Bookings and Drivers'!P272</f>
        <v>0</v>
      </c>
      <c r="I794">
        <f>'Bookings and Drivers'!Q272</f>
        <v>0</v>
      </c>
      <c r="J794">
        <f>'Bookings and Drivers'!R272</f>
        <v>0</v>
      </c>
      <c r="K794">
        <f>'Bookings and Drivers'!S272</f>
        <v>0</v>
      </c>
      <c r="L794">
        <f>'Bookings and Drivers'!T272</f>
        <v>0</v>
      </c>
      <c r="M794">
        <f>'Bookings and Drivers'!U272</f>
        <v>0</v>
      </c>
      <c r="N794">
        <f>'Bookings and Drivers'!V272</f>
        <v>0</v>
      </c>
      <c r="O794">
        <f>'Bookings and Drivers'!W272</f>
        <v>0</v>
      </c>
      <c r="P794">
        <f>'Bookings and Drivers'!X272</f>
        <v>0</v>
      </c>
      <c r="Q794">
        <f>'Bookings and Drivers'!Y272</f>
        <v>0</v>
      </c>
      <c r="R794">
        <f>'Bookings and Drivers'!Z272</f>
        <v>0</v>
      </c>
      <c r="S794">
        <f>'Bookings and Drivers'!AA272</f>
        <v>0</v>
      </c>
      <c r="T794">
        <f>'Bookings and Drivers'!AB272</f>
        <v>0</v>
      </c>
      <c r="U794">
        <f>'Bookings and Drivers'!AC272</f>
        <v>0</v>
      </c>
      <c r="V794">
        <f>'Bookings and Drivers'!AD272</f>
        <v>0</v>
      </c>
      <c r="W794">
        <f>'Bookings and Drivers'!AE272</f>
        <v>0</v>
      </c>
      <c r="X794">
        <f>'Bookings and Drivers'!AF272</f>
        <v>0</v>
      </c>
      <c r="Y794">
        <f>'Bookings and Drivers'!AG272</f>
        <v>0</v>
      </c>
      <c r="Z794">
        <f>'Bookings and Drivers'!AH272</f>
        <v>0</v>
      </c>
      <c r="AA794">
        <f>'Bookings and Drivers'!AI272</f>
        <v>0</v>
      </c>
      <c r="AB794">
        <f>'Bookings and Drivers'!AJ272</f>
        <v>0</v>
      </c>
      <c r="AC794">
        <f>'Bookings and Drivers'!AK272</f>
        <v>0</v>
      </c>
      <c r="AD794">
        <f>'Bookings and Drivers'!AL272</f>
        <v>0</v>
      </c>
      <c r="AE794">
        <f>'Bookings and Drivers'!AM272</f>
        <v>0</v>
      </c>
      <c r="AF794">
        <f>'Bookings and Drivers'!AN272</f>
        <v>0</v>
      </c>
      <c r="AG794">
        <f>'Bookings and Drivers'!AO272</f>
        <v>0</v>
      </c>
      <c r="AH794">
        <f>'Bookings and Drivers'!AP272</f>
        <v>0</v>
      </c>
      <c r="AI794">
        <f>'Bookings and Drivers'!AQ272</f>
        <v>0</v>
      </c>
      <c r="AJ794">
        <f>'Bookings and Drivers'!AR272</f>
        <v>0</v>
      </c>
      <c r="AK794">
        <f>'Bookings and Drivers'!AS272</f>
        <v>0</v>
      </c>
      <c r="AL794">
        <f>'Bookings and Drivers'!AT272</f>
        <v>0</v>
      </c>
      <c r="AM794">
        <f>'Bookings and Drivers'!AU272</f>
        <v>0</v>
      </c>
      <c r="AN794">
        <f>'Bookings and Drivers'!AV272</f>
        <v>0</v>
      </c>
      <c r="AO794">
        <f>'Bookings and Drivers'!AW272</f>
        <v>0</v>
      </c>
      <c r="AP794">
        <f>'Bookings and Drivers'!AX272</f>
        <v>0</v>
      </c>
      <c r="AQ794">
        <f>'Bookings and Drivers'!AY272</f>
        <v>0</v>
      </c>
      <c r="AR794">
        <f>'Bookings and Drivers'!AZ272</f>
        <v>0</v>
      </c>
      <c r="AS794">
        <f>'Bookings and Drivers'!BA272</f>
        <v>0</v>
      </c>
      <c r="AT794">
        <f>'Bookings and Drivers'!BB272</f>
        <v>0</v>
      </c>
      <c r="AU794">
        <f>'Bookings and Drivers'!BC272</f>
        <v>0</v>
      </c>
      <c r="AV794">
        <f>'Bookings and Drivers'!BD272</f>
        <v>0</v>
      </c>
      <c r="AW794">
        <f>'Bookings and Drivers'!BE272</f>
        <v>0</v>
      </c>
      <c r="AX794">
        <f>'Bookings and Drivers'!BF272</f>
        <v>0</v>
      </c>
      <c r="AY794">
        <f>'Bookings and Drivers'!BG272</f>
        <v>0</v>
      </c>
      <c r="AZ794">
        <f>'Bookings and Drivers'!BH272</f>
        <v>0</v>
      </c>
      <c r="BA794">
        <f>'Bookings and Drivers'!BI272</f>
        <v>0</v>
      </c>
      <c r="BB794">
        <f>'Bookings and Drivers'!BJ272</f>
        <v>0</v>
      </c>
      <c r="BC794">
        <f>'Bookings and Drivers'!BK272</f>
        <v>0</v>
      </c>
      <c r="BD794">
        <f>'Bookings and Drivers'!BL272</f>
        <v>0</v>
      </c>
      <c r="BE794">
        <f>'Bookings and Drivers'!BM272</f>
        <v>0</v>
      </c>
      <c r="BF794">
        <f>'Bookings and Drivers'!BN272</f>
        <v>0</v>
      </c>
      <c r="BG794">
        <f>'Bookings and Drivers'!BO272</f>
        <v>0</v>
      </c>
      <c r="BH794">
        <f>'Bookings and Drivers'!BP272</f>
        <v>0</v>
      </c>
      <c r="BI794">
        <f>'Bookings and Drivers'!BQ272</f>
        <v>0</v>
      </c>
      <c r="BJ794">
        <f>'Bookings and Drivers'!BR272</f>
        <v>0</v>
      </c>
      <c r="BK794">
        <f>'Bookings and Drivers'!BS272</f>
        <v>0</v>
      </c>
      <c r="BL794">
        <f>'Bookings and Drivers'!BT272</f>
        <v>0</v>
      </c>
      <c r="BM794">
        <f>'Bookings and Drivers'!BU272</f>
        <v>0</v>
      </c>
      <c r="BN794">
        <f>'Bookings and Drivers'!BV272</f>
        <v>0</v>
      </c>
      <c r="BO794">
        <f>'Bookings and Drivers'!BW272</f>
        <v>0</v>
      </c>
      <c r="BP794">
        <f>'Bookings and Drivers'!BX272</f>
        <v>0</v>
      </c>
      <c r="BQ794">
        <f>'Bookings and Drivers'!BY272</f>
        <v>0</v>
      </c>
      <c r="BR794">
        <f>'Bookings and Drivers'!BZ272</f>
        <v>0</v>
      </c>
      <c r="BS794">
        <f>'Bookings and Drivers'!CA272</f>
        <v>0</v>
      </c>
      <c r="BT794">
        <f>'Bookings and Drivers'!CB272</f>
        <v>0</v>
      </c>
      <c r="BU794">
        <f>'Bookings and Drivers'!CC272</f>
        <v>0</v>
      </c>
      <c r="BV794">
        <f>'Bookings and Drivers'!CD272</f>
        <v>0</v>
      </c>
      <c r="BW794">
        <f>'Bookings and Drivers'!CE272</f>
        <v>0</v>
      </c>
      <c r="BX794">
        <f>'Bookings and Drivers'!CF272</f>
        <v>0</v>
      </c>
      <c r="BY794">
        <f>'Bookings and Drivers'!CG272</f>
        <v>0</v>
      </c>
      <c r="BZ794">
        <f>'Bookings and Drivers'!CH272</f>
        <v>0</v>
      </c>
      <c r="CA794">
        <f>'Bookings and Drivers'!CI272</f>
        <v>0</v>
      </c>
      <c r="CB794">
        <f>'Bookings and Drivers'!CJ272</f>
        <v>0</v>
      </c>
      <c r="CC794">
        <f>'Bookings and Drivers'!CK272</f>
        <v>0</v>
      </c>
      <c r="CD794">
        <f>'Bookings and Drivers'!CL272</f>
        <v>0</v>
      </c>
      <c r="CE794">
        <f>'Bookings and Drivers'!CM272</f>
        <v>102631.44887652059</v>
      </c>
      <c r="CF794">
        <f>'Bookings and Drivers'!CN272</f>
        <v>114740.03731364374</v>
      </c>
      <c r="CG794">
        <f>'Bookings and Drivers'!CO272</f>
        <v>123824.19585300532</v>
      </c>
      <c r="CH794">
        <f>'Bookings and Drivers'!CP272</f>
        <v>104414.28306898629</v>
      </c>
      <c r="CI794">
        <f>'Bookings and Drivers'!CQ272</f>
        <v>100968.52998010963</v>
      </c>
      <c r="CJ794">
        <f>'Bookings and Drivers'!CR272</f>
        <v>109847.83111232879</v>
      </c>
      <c r="CK794">
        <f>'Bookings and Drivers'!CS272</f>
        <v>102340.4039031694</v>
      </c>
      <c r="CL794">
        <f>'Bookings and Drivers'!CT272</f>
        <v>107438.12403630141</v>
      </c>
      <c r="CM794">
        <f>'Bookings and Drivers'!CU272</f>
        <v>110531.48598005486</v>
      </c>
      <c r="CN794">
        <f>'Bookings and Drivers'!CV272</f>
        <v>95348.26824967112</v>
      </c>
      <c r="CO794">
        <f>'Bookings and Drivers'!CW272</f>
        <v>97705.454911857945</v>
      </c>
      <c r="CP794">
        <f>'Bookings and Drivers'!CX272</f>
        <v>100636.61855921369</v>
      </c>
      <c r="CQ794">
        <f>'Bookings and Drivers'!CY272</f>
        <v>103655.71711599009</v>
      </c>
      <c r="CR794">
        <f>'Bookings and Drivers'!CZ272</f>
        <v>0</v>
      </c>
      <c r="CS794">
        <f>'Bookings and Drivers'!DA272</f>
        <v>0</v>
      </c>
      <c r="CT794">
        <f>'Bookings and Drivers'!DB272</f>
        <v>0</v>
      </c>
      <c r="CU794">
        <f>'Bookings and Drivers'!DC272</f>
        <v>0</v>
      </c>
      <c r="CV794">
        <f>'Bookings and Drivers'!DD272</f>
        <v>0</v>
      </c>
      <c r="CW794">
        <f>'Bookings and Drivers'!DE272</f>
        <v>0</v>
      </c>
      <c r="CX794">
        <f>'Bookings and Drivers'!DF272</f>
        <v>0</v>
      </c>
    </row>
    <row r="795" spans="1:102">
      <c r="A795" t="str">
        <f>'Bookings and Drivers'!I273</f>
        <v>Booking.com Share</v>
      </c>
      <c r="B795">
        <f>'Bookings and Drivers'!J273</f>
        <v>0</v>
      </c>
      <c r="C795">
        <f>'Bookings and Drivers'!K273</f>
        <v>0</v>
      </c>
      <c r="D795">
        <f>'Bookings and Drivers'!L273</f>
        <v>0</v>
      </c>
      <c r="E795">
        <f>'Bookings and Drivers'!M273</f>
        <v>0</v>
      </c>
      <c r="F795">
        <f>'Bookings and Drivers'!N273</f>
        <v>0</v>
      </c>
      <c r="G795">
        <f>'Bookings and Drivers'!O273</f>
        <v>0</v>
      </c>
      <c r="H795">
        <f>'Bookings and Drivers'!P273</f>
        <v>0</v>
      </c>
      <c r="I795">
        <f>'Bookings and Drivers'!Q273</f>
        <v>0</v>
      </c>
      <c r="J795">
        <f>'Bookings and Drivers'!R273</f>
        <v>0</v>
      </c>
      <c r="K795">
        <f>'Bookings and Drivers'!S273</f>
        <v>0</v>
      </c>
      <c r="L795">
        <f>'Bookings and Drivers'!T273</f>
        <v>0</v>
      </c>
      <c r="M795">
        <f>'Bookings and Drivers'!U273</f>
        <v>0</v>
      </c>
      <c r="N795">
        <f>'Bookings and Drivers'!V273</f>
        <v>0</v>
      </c>
      <c r="O795">
        <f>'Bookings and Drivers'!W273</f>
        <v>0</v>
      </c>
      <c r="P795">
        <f>'Bookings and Drivers'!X273</f>
        <v>0</v>
      </c>
      <c r="Q795">
        <f>'Bookings and Drivers'!Y273</f>
        <v>0</v>
      </c>
      <c r="R795">
        <f>'Bookings and Drivers'!Z273</f>
        <v>0</v>
      </c>
      <c r="S795">
        <f>'Bookings and Drivers'!AA273</f>
        <v>0</v>
      </c>
      <c r="T795">
        <f>'Bookings and Drivers'!AB273</f>
        <v>0</v>
      </c>
      <c r="U795">
        <f>'Bookings and Drivers'!AC273</f>
        <v>0</v>
      </c>
      <c r="V795">
        <f>'Bookings and Drivers'!AD273</f>
        <v>0</v>
      </c>
      <c r="W795">
        <f>'Bookings and Drivers'!AE273</f>
        <v>0</v>
      </c>
      <c r="X795">
        <f>'Bookings and Drivers'!AF273</f>
        <v>0</v>
      </c>
      <c r="Y795">
        <f>'Bookings and Drivers'!AG273</f>
        <v>0</v>
      </c>
      <c r="Z795">
        <f>'Bookings and Drivers'!AH273</f>
        <v>0</v>
      </c>
      <c r="AA795">
        <f>'Bookings and Drivers'!AI273</f>
        <v>0</v>
      </c>
      <c r="AB795">
        <f>'Bookings and Drivers'!AJ273</f>
        <v>0</v>
      </c>
      <c r="AC795">
        <f>'Bookings and Drivers'!AK273</f>
        <v>0</v>
      </c>
      <c r="AD795">
        <f>'Bookings and Drivers'!AL273</f>
        <v>0</v>
      </c>
      <c r="AE795">
        <f>'Bookings and Drivers'!AM273</f>
        <v>0</v>
      </c>
      <c r="AF795">
        <f>'Bookings and Drivers'!AN273</f>
        <v>0</v>
      </c>
      <c r="AG795">
        <f>'Bookings and Drivers'!AO273</f>
        <v>0</v>
      </c>
      <c r="AH795">
        <f>'Bookings and Drivers'!AP273</f>
        <v>0</v>
      </c>
      <c r="AI795">
        <f>'Bookings and Drivers'!AQ273</f>
        <v>0</v>
      </c>
      <c r="AJ795">
        <f>'Bookings and Drivers'!AR273</f>
        <v>0</v>
      </c>
      <c r="AK795">
        <f>'Bookings and Drivers'!AS273</f>
        <v>0</v>
      </c>
      <c r="AL795">
        <f>'Bookings and Drivers'!AT273</f>
        <v>0</v>
      </c>
      <c r="AM795">
        <f>'Bookings and Drivers'!AU273</f>
        <v>0</v>
      </c>
      <c r="AN795">
        <f>'Bookings and Drivers'!AV273</f>
        <v>0</v>
      </c>
      <c r="AO795">
        <f>'Bookings and Drivers'!AW273</f>
        <v>0</v>
      </c>
      <c r="AP795">
        <f>'Bookings and Drivers'!AX273</f>
        <v>0</v>
      </c>
      <c r="AQ795">
        <f>'Bookings and Drivers'!AY273</f>
        <v>0</v>
      </c>
      <c r="AR795">
        <f>'Bookings and Drivers'!AZ273</f>
        <v>0</v>
      </c>
      <c r="AS795">
        <f>'Bookings and Drivers'!BA273</f>
        <v>0</v>
      </c>
      <c r="AT795">
        <f>'Bookings and Drivers'!BB273</f>
        <v>0</v>
      </c>
      <c r="AU795">
        <f>'Bookings and Drivers'!BC273</f>
        <v>0</v>
      </c>
      <c r="AV795">
        <f>'Bookings and Drivers'!BD273</f>
        <v>0</v>
      </c>
      <c r="AW795">
        <f>'Bookings and Drivers'!BE273</f>
        <v>0</v>
      </c>
      <c r="AX795">
        <f>'Bookings and Drivers'!BF273</f>
        <v>0</v>
      </c>
      <c r="AY795">
        <f>'Bookings and Drivers'!BG273</f>
        <v>0</v>
      </c>
      <c r="AZ795">
        <f>'Bookings and Drivers'!BH273</f>
        <v>0</v>
      </c>
      <c r="BA795">
        <f>'Bookings and Drivers'!BI273</f>
        <v>0</v>
      </c>
      <c r="BB795">
        <f>'Bookings and Drivers'!BJ273</f>
        <v>0</v>
      </c>
      <c r="BC795">
        <f>'Bookings and Drivers'!BK273</f>
        <v>0</v>
      </c>
      <c r="BD795">
        <f>'Bookings and Drivers'!BL273</f>
        <v>0</v>
      </c>
      <c r="BE795">
        <f>'Bookings and Drivers'!BM273</f>
        <v>0</v>
      </c>
      <c r="BF795">
        <f>'Bookings and Drivers'!BN273</f>
        <v>0</v>
      </c>
      <c r="BG795">
        <f>'Bookings and Drivers'!BO273</f>
        <v>0</v>
      </c>
      <c r="BH795">
        <f>'Bookings and Drivers'!BP273</f>
        <v>0</v>
      </c>
      <c r="BI795">
        <f>'Bookings and Drivers'!BQ273</f>
        <v>0</v>
      </c>
      <c r="BJ795">
        <f>'Bookings and Drivers'!BR273</f>
        <v>0</v>
      </c>
      <c r="BK795">
        <f>'Bookings and Drivers'!BS273</f>
        <v>0</v>
      </c>
      <c r="BL795">
        <f>'Bookings and Drivers'!BT273</f>
        <v>0</v>
      </c>
      <c r="BM795">
        <f>'Bookings and Drivers'!BU273</f>
        <v>0</v>
      </c>
      <c r="BN795">
        <f>'Bookings and Drivers'!BV273</f>
        <v>0</v>
      </c>
      <c r="BO795">
        <f>'Bookings and Drivers'!BW273</f>
        <v>0</v>
      </c>
      <c r="BP795">
        <f>'Bookings and Drivers'!BX273</f>
        <v>0</v>
      </c>
      <c r="BQ795">
        <f>'Bookings and Drivers'!BY273</f>
        <v>0</v>
      </c>
      <c r="BR795">
        <f>'Bookings and Drivers'!BZ273</f>
        <v>0</v>
      </c>
      <c r="BS795">
        <f>'Bookings and Drivers'!CA273</f>
        <v>0</v>
      </c>
      <c r="BT795">
        <f>'Bookings and Drivers'!CB273</f>
        <v>0</v>
      </c>
      <c r="BU795">
        <f>'Bookings and Drivers'!CC273</f>
        <v>0</v>
      </c>
      <c r="BV795">
        <f>'Bookings and Drivers'!CD273</f>
        <v>0</v>
      </c>
      <c r="BW795">
        <f>'Bookings and Drivers'!CE273</f>
        <v>0</v>
      </c>
      <c r="BX795">
        <f>'Bookings and Drivers'!CF273</f>
        <v>0</v>
      </c>
      <c r="BY795">
        <f>'Bookings and Drivers'!CG273</f>
        <v>0</v>
      </c>
      <c r="BZ795">
        <f>'Bookings and Drivers'!CH273</f>
        <v>0</v>
      </c>
      <c r="CA795">
        <f>'Bookings and Drivers'!CI273</f>
        <v>0</v>
      </c>
      <c r="CB795">
        <f>'Bookings and Drivers'!CJ273</f>
        <v>0</v>
      </c>
      <c r="CC795">
        <f>'Bookings and Drivers'!CK273</f>
        <v>0</v>
      </c>
      <c r="CD795">
        <f>'Bookings and Drivers'!CL273</f>
        <v>0</v>
      </c>
      <c r="CE795">
        <f>'Bookings and Drivers'!CM273</f>
        <v>1.3124232530523588E-2</v>
      </c>
      <c r="CF795">
        <f>'Bookings and Drivers'!CN273</f>
        <v>1.8534356880038436E-2</v>
      </c>
      <c r="CG795">
        <f>'Bookings and Drivers'!CO273</f>
        <v>2.743528982035822E-2</v>
      </c>
      <c r="CH795">
        <f>'Bookings and Drivers'!CP273</f>
        <v>0</v>
      </c>
      <c r="CI795">
        <f>'Bookings and Drivers'!CQ273</f>
        <v>7.5264972204321212E-2</v>
      </c>
      <c r="CJ795">
        <f>'Bookings and Drivers'!CR273</f>
        <v>0.11484062318163149</v>
      </c>
      <c r="CK795">
        <f>'Bookings and Drivers'!CS273</f>
        <v>0.14843455618611737</v>
      </c>
      <c r="CL795">
        <f>'Bookings and Drivers'!CT273</f>
        <v>0.18135146015938261</v>
      </c>
      <c r="CM795">
        <f>'Bookings and Drivers'!CU273</f>
        <v>0.21749863447659951</v>
      </c>
      <c r="CN795">
        <f>'Bookings and Drivers'!CV273</f>
        <v>0.26802576948464885</v>
      </c>
      <c r="CO795">
        <f>'Bookings and Drivers'!CW273</f>
        <v>0.30013744039097207</v>
      </c>
      <c r="CP795">
        <f>'Bookings and Drivers'!CX273</f>
        <v>0.33721723210307741</v>
      </c>
      <c r="CQ795">
        <f>'Bookings and Drivers'!CY273</f>
        <v>0.3779358109141861</v>
      </c>
      <c r="CR795">
        <f>'Bookings and Drivers'!CZ273</f>
        <v>0</v>
      </c>
      <c r="CS795">
        <f>'Bookings and Drivers'!DA273</f>
        <v>0</v>
      </c>
      <c r="CT795">
        <f>'Bookings and Drivers'!DB273</f>
        <v>0</v>
      </c>
      <c r="CU795">
        <f>'Bookings and Drivers'!DC273</f>
        <v>0</v>
      </c>
      <c r="CV795">
        <f>'Bookings and Drivers'!DD273</f>
        <v>0</v>
      </c>
      <c r="CW795">
        <f>'Bookings and Drivers'!DE273</f>
        <v>0</v>
      </c>
      <c r="CX795">
        <f>'Bookings and Drivers'!DF273</f>
        <v>0</v>
      </c>
    </row>
    <row r="796" spans="1:102">
      <c r="A796" t="str">
        <f>'Bookings and Drivers'!I274</f>
        <v>% change Y/Y (in bp)</v>
      </c>
      <c r="B796">
        <f>'Bookings and Drivers'!J274</f>
        <v>0</v>
      </c>
      <c r="C796">
        <f>'Bookings and Drivers'!K274</f>
        <v>0</v>
      </c>
      <c r="D796">
        <f>'Bookings and Drivers'!L274</f>
        <v>0</v>
      </c>
      <c r="E796">
        <f>'Bookings and Drivers'!M274</f>
        <v>0</v>
      </c>
      <c r="F796">
        <f>'Bookings and Drivers'!N274</f>
        <v>0</v>
      </c>
      <c r="G796">
        <f>'Bookings and Drivers'!O274</f>
        <v>0</v>
      </c>
      <c r="H796">
        <f>'Bookings and Drivers'!P274</f>
        <v>0</v>
      </c>
      <c r="I796">
        <f>'Bookings and Drivers'!Q274</f>
        <v>0</v>
      </c>
      <c r="J796">
        <f>'Bookings and Drivers'!R274</f>
        <v>0</v>
      </c>
      <c r="K796">
        <f>'Bookings and Drivers'!S274</f>
        <v>0</v>
      </c>
      <c r="L796">
        <f>'Bookings and Drivers'!T274</f>
        <v>0</v>
      </c>
      <c r="M796">
        <f>'Bookings and Drivers'!U274</f>
        <v>0</v>
      </c>
      <c r="N796">
        <f>'Bookings and Drivers'!V274</f>
        <v>0</v>
      </c>
      <c r="O796">
        <f>'Bookings and Drivers'!W274</f>
        <v>0</v>
      </c>
      <c r="P796">
        <f>'Bookings and Drivers'!X274</f>
        <v>0</v>
      </c>
      <c r="Q796">
        <f>'Bookings and Drivers'!Y274</f>
        <v>0</v>
      </c>
      <c r="R796">
        <f>'Bookings and Drivers'!Z274</f>
        <v>0</v>
      </c>
      <c r="S796">
        <f>'Bookings and Drivers'!AA274</f>
        <v>0</v>
      </c>
      <c r="T796">
        <f>'Bookings and Drivers'!AB274</f>
        <v>0</v>
      </c>
      <c r="U796">
        <f>'Bookings and Drivers'!AC274</f>
        <v>0</v>
      </c>
      <c r="V796">
        <f>'Bookings and Drivers'!AD274</f>
        <v>0</v>
      </c>
      <c r="W796">
        <f>'Bookings and Drivers'!AE274</f>
        <v>0</v>
      </c>
      <c r="X796">
        <f>'Bookings and Drivers'!AF274</f>
        <v>0</v>
      </c>
      <c r="Y796">
        <f>'Bookings and Drivers'!AG274</f>
        <v>0</v>
      </c>
      <c r="Z796">
        <f>'Bookings and Drivers'!AH274</f>
        <v>0</v>
      </c>
      <c r="AA796">
        <f>'Bookings and Drivers'!AI274</f>
        <v>0</v>
      </c>
      <c r="AB796">
        <f>'Bookings and Drivers'!AJ274</f>
        <v>0</v>
      </c>
      <c r="AC796">
        <f>'Bookings and Drivers'!AK274</f>
        <v>0</v>
      </c>
      <c r="AD796">
        <f>'Bookings and Drivers'!AL274</f>
        <v>0</v>
      </c>
      <c r="AE796">
        <f>'Bookings and Drivers'!AM274</f>
        <v>0</v>
      </c>
      <c r="AF796">
        <f>'Bookings and Drivers'!AN274</f>
        <v>0</v>
      </c>
      <c r="AG796">
        <f>'Bookings and Drivers'!AO274</f>
        <v>0</v>
      </c>
      <c r="AH796">
        <f>'Bookings and Drivers'!AP274</f>
        <v>0</v>
      </c>
      <c r="AI796">
        <f>'Bookings and Drivers'!AQ274</f>
        <v>0</v>
      </c>
      <c r="AJ796">
        <f>'Bookings and Drivers'!AR274</f>
        <v>0</v>
      </c>
      <c r="AK796">
        <f>'Bookings and Drivers'!AS274</f>
        <v>0</v>
      </c>
      <c r="AL796">
        <f>'Bookings and Drivers'!AT274</f>
        <v>0</v>
      </c>
      <c r="AM796">
        <f>'Bookings and Drivers'!AU274</f>
        <v>0</v>
      </c>
      <c r="AN796">
        <f>'Bookings and Drivers'!AV274</f>
        <v>0</v>
      </c>
      <c r="AO796">
        <f>'Bookings and Drivers'!AW274</f>
        <v>0</v>
      </c>
      <c r="AP796">
        <f>'Bookings and Drivers'!AX274</f>
        <v>0</v>
      </c>
      <c r="AQ796">
        <f>'Bookings and Drivers'!AY274</f>
        <v>0</v>
      </c>
      <c r="AR796">
        <f>'Bookings and Drivers'!AZ274</f>
        <v>0</v>
      </c>
      <c r="AS796">
        <f>'Bookings and Drivers'!BA274</f>
        <v>0</v>
      </c>
      <c r="AT796">
        <f>'Bookings and Drivers'!BB274</f>
        <v>0</v>
      </c>
      <c r="AU796">
        <f>'Bookings and Drivers'!BC274</f>
        <v>0</v>
      </c>
      <c r="AV796">
        <f>'Bookings and Drivers'!BD274</f>
        <v>0</v>
      </c>
      <c r="AW796">
        <f>'Bookings and Drivers'!BE274</f>
        <v>0</v>
      </c>
      <c r="AX796">
        <f>'Bookings and Drivers'!BF274</f>
        <v>0</v>
      </c>
      <c r="AY796">
        <f>'Bookings and Drivers'!BG274</f>
        <v>0</v>
      </c>
      <c r="AZ796">
        <f>'Bookings and Drivers'!BH274</f>
        <v>0</v>
      </c>
      <c r="BA796">
        <f>'Bookings and Drivers'!BI274</f>
        <v>0</v>
      </c>
      <c r="BB796">
        <f>'Bookings and Drivers'!BJ274</f>
        <v>0</v>
      </c>
      <c r="BC796">
        <f>'Bookings and Drivers'!BK274</f>
        <v>0</v>
      </c>
      <c r="BD796">
        <f>'Bookings and Drivers'!BL274</f>
        <v>0</v>
      </c>
      <c r="BE796">
        <f>'Bookings and Drivers'!BM274</f>
        <v>0</v>
      </c>
      <c r="BF796">
        <f>'Bookings and Drivers'!BN274</f>
        <v>0</v>
      </c>
      <c r="BG796">
        <f>'Bookings and Drivers'!BO274</f>
        <v>0</v>
      </c>
      <c r="BH796">
        <f>'Bookings and Drivers'!BP274</f>
        <v>0</v>
      </c>
      <c r="BI796">
        <f>'Bookings and Drivers'!BQ274</f>
        <v>0</v>
      </c>
      <c r="BJ796">
        <f>'Bookings and Drivers'!BR274</f>
        <v>0</v>
      </c>
      <c r="BK796">
        <f>'Bookings and Drivers'!BS274</f>
        <v>0</v>
      </c>
      <c r="BL796">
        <f>'Bookings and Drivers'!BT274</f>
        <v>0</v>
      </c>
      <c r="BM796">
        <f>'Bookings and Drivers'!BU274</f>
        <v>0</v>
      </c>
      <c r="BN796">
        <f>'Bookings and Drivers'!BV274</f>
        <v>0</v>
      </c>
      <c r="BO796">
        <f>'Bookings and Drivers'!BW274</f>
        <v>0</v>
      </c>
      <c r="BP796">
        <f>'Bookings and Drivers'!BX274</f>
        <v>0</v>
      </c>
      <c r="BQ796">
        <f>'Bookings and Drivers'!BY274</f>
        <v>0</v>
      </c>
      <c r="BR796">
        <f>'Bookings and Drivers'!BZ274</f>
        <v>0</v>
      </c>
      <c r="BS796">
        <f>'Bookings and Drivers'!CA274</f>
        <v>0</v>
      </c>
      <c r="BT796">
        <f>'Bookings and Drivers'!CB274</f>
        <v>0</v>
      </c>
      <c r="BU796">
        <f>'Bookings and Drivers'!CC274</f>
        <v>0</v>
      </c>
      <c r="BV796">
        <f>'Bookings and Drivers'!CD274</f>
        <v>0</v>
      </c>
      <c r="BW796">
        <f>'Bookings and Drivers'!CE274</f>
        <v>0</v>
      </c>
      <c r="BX796">
        <f>'Bookings and Drivers'!CF274</f>
        <v>0</v>
      </c>
      <c r="BY796">
        <f>'Bookings and Drivers'!CG274</f>
        <v>0</v>
      </c>
      <c r="BZ796">
        <f>'Bookings and Drivers'!CH274</f>
        <v>0</v>
      </c>
      <c r="CA796">
        <f>'Bookings and Drivers'!CI274</f>
        <v>0</v>
      </c>
      <c r="CB796">
        <f>'Bookings and Drivers'!CJ274</f>
        <v>0</v>
      </c>
      <c r="CC796">
        <f>'Bookings and Drivers'!CK274</f>
        <v>0</v>
      </c>
      <c r="CD796">
        <f>'Bookings and Drivers'!CL274</f>
        <v>0</v>
      </c>
      <c r="CE796">
        <f>'Bookings and Drivers'!CM274</f>
        <v>0</v>
      </c>
      <c r="CF796">
        <f>'Bookings and Drivers'!CN274</f>
        <v>54.101243495148481</v>
      </c>
      <c r="CG796">
        <f>'Bookings and Drivers'!CO274</f>
        <v>89.009329403197839</v>
      </c>
      <c r="CH796">
        <f>'Bookings and Drivers'!CP274</f>
        <v>-274.35289820358219</v>
      </c>
      <c r="CI796">
        <f>'Bookings and Drivers'!CQ274</f>
        <v>752.64972204321214</v>
      </c>
      <c r="CJ796">
        <f>'Bookings and Drivers'!CR274</f>
        <v>395.75650977310278</v>
      </c>
      <c r="CK796">
        <f>'Bookings and Drivers'!CS274</f>
        <v>335.93933004485876</v>
      </c>
      <c r="CL796">
        <f>'Bookings and Drivers'!CT274</f>
        <v>329.16903973265244</v>
      </c>
      <c r="CM796">
        <f>'Bookings and Drivers'!CU274</f>
        <v>361.47174317216894</v>
      </c>
      <c r="CN796">
        <f>'Bookings and Drivers'!CV274</f>
        <v>505.27135008049339</v>
      </c>
      <c r="CO796">
        <f>'Bookings and Drivers'!CW274</f>
        <v>321.11670906323218</v>
      </c>
      <c r="CP796">
        <f>'Bookings and Drivers'!CX274</f>
        <v>370.7979171210535</v>
      </c>
      <c r="CQ796">
        <f>'Bookings and Drivers'!CY274</f>
        <v>407.18578811108688</v>
      </c>
      <c r="CR796">
        <f>'Bookings and Drivers'!CZ274</f>
        <v>0</v>
      </c>
      <c r="CS796">
        <f>'Bookings and Drivers'!DA274</f>
        <v>0</v>
      </c>
      <c r="CT796">
        <f>'Bookings and Drivers'!DB274</f>
        <v>0</v>
      </c>
      <c r="CU796">
        <f>'Bookings and Drivers'!DC274</f>
        <v>0</v>
      </c>
      <c r="CV796">
        <f>'Bookings and Drivers'!DD274</f>
        <v>0</v>
      </c>
      <c r="CW796">
        <f>'Bookings and Drivers'!DE274</f>
        <v>0</v>
      </c>
      <c r="CX796">
        <f>'Bookings and Drivers'!DF274</f>
        <v>0</v>
      </c>
    </row>
    <row r="797" spans="1:102">
      <c r="A797" t="str">
        <f>'Bookings and Drivers'!I275</f>
        <v>Abs Change</v>
      </c>
      <c r="B797">
        <f>'Bookings and Drivers'!J275</f>
        <v>0</v>
      </c>
      <c r="C797">
        <f>'Bookings and Drivers'!K275</f>
        <v>0</v>
      </c>
      <c r="D797">
        <f>'Bookings and Drivers'!L275</f>
        <v>0</v>
      </c>
      <c r="E797">
        <f>'Bookings and Drivers'!M275</f>
        <v>0</v>
      </c>
      <c r="F797">
        <f>'Bookings and Drivers'!N275</f>
        <v>0</v>
      </c>
      <c r="G797">
        <f>'Bookings and Drivers'!O275</f>
        <v>0</v>
      </c>
      <c r="H797">
        <f>'Bookings and Drivers'!P275</f>
        <v>0</v>
      </c>
      <c r="I797">
        <f>'Bookings and Drivers'!Q275</f>
        <v>0</v>
      </c>
      <c r="J797">
        <f>'Bookings and Drivers'!R275</f>
        <v>0</v>
      </c>
      <c r="K797">
        <f>'Bookings and Drivers'!S275</f>
        <v>0</v>
      </c>
      <c r="L797">
        <f>'Bookings and Drivers'!T275</f>
        <v>0</v>
      </c>
      <c r="M797">
        <f>'Bookings and Drivers'!U275</f>
        <v>0</v>
      </c>
      <c r="N797">
        <f>'Bookings and Drivers'!V275</f>
        <v>0</v>
      </c>
      <c r="O797">
        <f>'Bookings and Drivers'!W275</f>
        <v>0</v>
      </c>
      <c r="P797">
        <f>'Bookings and Drivers'!X275</f>
        <v>0</v>
      </c>
      <c r="Q797">
        <f>'Bookings and Drivers'!Y275</f>
        <v>0</v>
      </c>
      <c r="R797">
        <f>'Bookings and Drivers'!Z275</f>
        <v>0</v>
      </c>
      <c r="S797">
        <f>'Bookings and Drivers'!AA275</f>
        <v>0</v>
      </c>
      <c r="T797">
        <f>'Bookings and Drivers'!AB275</f>
        <v>0</v>
      </c>
      <c r="U797">
        <f>'Bookings and Drivers'!AC275</f>
        <v>0</v>
      </c>
      <c r="V797">
        <f>'Bookings and Drivers'!AD275</f>
        <v>0</v>
      </c>
      <c r="W797">
        <f>'Bookings and Drivers'!AE275</f>
        <v>0</v>
      </c>
      <c r="X797">
        <f>'Bookings and Drivers'!AF275</f>
        <v>0</v>
      </c>
      <c r="Y797">
        <f>'Bookings and Drivers'!AG275</f>
        <v>0</v>
      </c>
      <c r="Z797">
        <f>'Bookings and Drivers'!AH275</f>
        <v>0</v>
      </c>
      <c r="AA797">
        <f>'Bookings and Drivers'!AI275</f>
        <v>0</v>
      </c>
      <c r="AB797">
        <f>'Bookings and Drivers'!AJ275</f>
        <v>0</v>
      </c>
      <c r="AC797">
        <f>'Bookings and Drivers'!AK275</f>
        <v>0</v>
      </c>
      <c r="AD797">
        <f>'Bookings and Drivers'!AL275</f>
        <v>0</v>
      </c>
      <c r="AE797">
        <f>'Bookings and Drivers'!AM275</f>
        <v>0</v>
      </c>
      <c r="AF797">
        <f>'Bookings and Drivers'!AN275</f>
        <v>0</v>
      </c>
      <c r="AG797">
        <f>'Bookings and Drivers'!AO275</f>
        <v>0</v>
      </c>
      <c r="AH797">
        <f>'Bookings and Drivers'!AP275</f>
        <v>0</v>
      </c>
      <c r="AI797">
        <f>'Bookings and Drivers'!AQ275</f>
        <v>0</v>
      </c>
      <c r="AJ797">
        <f>'Bookings and Drivers'!AR275</f>
        <v>0</v>
      </c>
      <c r="AK797">
        <f>'Bookings and Drivers'!AS275</f>
        <v>0</v>
      </c>
      <c r="AL797">
        <f>'Bookings and Drivers'!AT275</f>
        <v>0</v>
      </c>
      <c r="AM797">
        <f>'Bookings and Drivers'!AU275</f>
        <v>0</v>
      </c>
      <c r="AN797">
        <f>'Bookings and Drivers'!AV275</f>
        <v>0</v>
      </c>
      <c r="AO797">
        <f>'Bookings and Drivers'!AW275</f>
        <v>0</v>
      </c>
      <c r="AP797">
        <f>'Bookings and Drivers'!AX275</f>
        <v>0</v>
      </c>
      <c r="AQ797">
        <f>'Bookings and Drivers'!AY275</f>
        <v>0</v>
      </c>
      <c r="AR797">
        <f>'Bookings and Drivers'!AZ275</f>
        <v>0</v>
      </c>
      <c r="AS797">
        <f>'Bookings and Drivers'!BA275</f>
        <v>0</v>
      </c>
      <c r="AT797">
        <f>'Bookings and Drivers'!BB275</f>
        <v>0</v>
      </c>
      <c r="AU797">
        <f>'Bookings and Drivers'!BC275</f>
        <v>0</v>
      </c>
      <c r="AV797">
        <f>'Bookings and Drivers'!BD275</f>
        <v>0</v>
      </c>
      <c r="AW797">
        <f>'Bookings and Drivers'!BE275</f>
        <v>0</v>
      </c>
      <c r="AX797">
        <f>'Bookings and Drivers'!BF275</f>
        <v>0</v>
      </c>
      <c r="AY797">
        <f>'Bookings and Drivers'!BG275</f>
        <v>0</v>
      </c>
      <c r="AZ797">
        <f>'Bookings and Drivers'!BH275</f>
        <v>0</v>
      </c>
      <c r="BA797">
        <f>'Bookings and Drivers'!BI275</f>
        <v>0</v>
      </c>
      <c r="BB797">
        <f>'Bookings and Drivers'!BJ275</f>
        <v>0</v>
      </c>
      <c r="BC797">
        <f>'Bookings and Drivers'!BK275</f>
        <v>0</v>
      </c>
      <c r="BD797">
        <f>'Bookings and Drivers'!BL275</f>
        <v>0</v>
      </c>
      <c r="BE797">
        <f>'Bookings and Drivers'!BM275</f>
        <v>0</v>
      </c>
      <c r="BF797">
        <f>'Bookings and Drivers'!BN275</f>
        <v>0</v>
      </c>
      <c r="BG797">
        <f>'Bookings and Drivers'!BO275</f>
        <v>0</v>
      </c>
      <c r="BH797">
        <f>'Bookings and Drivers'!BP275</f>
        <v>0</v>
      </c>
      <c r="BI797">
        <f>'Bookings and Drivers'!BQ275</f>
        <v>0</v>
      </c>
      <c r="BJ797">
        <f>'Bookings and Drivers'!BR275</f>
        <v>0</v>
      </c>
      <c r="BK797">
        <f>'Bookings and Drivers'!BS275</f>
        <v>0</v>
      </c>
      <c r="BL797">
        <f>'Bookings and Drivers'!BT275</f>
        <v>0</v>
      </c>
      <c r="BM797">
        <f>'Bookings and Drivers'!BU275</f>
        <v>0</v>
      </c>
      <c r="BN797">
        <f>'Bookings and Drivers'!BV275</f>
        <v>0</v>
      </c>
      <c r="BO797">
        <f>'Bookings and Drivers'!BW275</f>
        <v>0</v>
      </c>
      <c r="BP797">
        <f>'Bookings and Drivers'!BX275</f>
        <v>0</v>
      </c>
      <c r="BQ797">
        <f>'Bookings and Drivers'!BY275</f>
        <v>0</v>
      </c>
      <c r="BR797">
        <f>'Bookings and Drivers'!BZ275</f>
        <v>0</v>
      </c>
      <c r="BS797">
        <f>'Bookings and Drivers'!CA275</f>
        <v>0</v>
      </c>
      <c r="BT797">
        <f>'Bookings and Drivers'!CB275</f>
        <v>0</v>
      </c>
      <c r="BU797">
        <f>'Bookings and Drivers'!CC275</f>
        <v>0</v>
      </c>
      <c r="BV797">
        <f>'Bookings and Drivers'!CD275</f>
        <v>0</v>
      </c>
      <c r="BW797">
        <f>'Bookings and Drivers'!CE275</f>
        <v>0</v>
      </c>
      <c r="BX797">
        <f>'Bookings and Drivers'!CF275</f>
        <v>0</v>
      </c>
      <c r="BY797">
        <f>'Bookings and Drivers'!CG275</f>
        <v>0</v>
      </c>
      <c r="BZ797">
        <f>'Bookings and Drivers'!CH275</f>
        <v>0</v>
      </c>
      <c r="CA797">
        <f>'Bookings and Drivers'!CI275</f>
        <v>0</v>
      </c>
      <c r="CB797">
        <f>'Bookings and Drivers'!CJ275</f>
        <v>0</v>
      </c>
      <c r="CC797">
        <f>'Bookings and Drivers'!CK275</f>
        <v>0</v>
      </c>
      <c r="CD797">
        <f>'Bookings and Drivers'!CL275</f>
        <v>0</v>
      </c>
      <c r="CE797">
        <f>'Bookings and Drivers'!CM275</f>
        <v>0</v>
      </c>
      <c r="CF797">
        <f>'Bookings and Drivers'!CN275</f>
        <v>0</v>
      </c>
      <c r="CG797">
        <f>'Bookings and Drivers'!CO275</f>
        <v>0</v>
      </c>
      <c r="CH797">
        <f>'Bookings and Drivers'!CP275</f>
        <v>0</v>
      </c>
      <c r="CI797">
        <f>'Bookings and Drivers'!CQ275</f>
        <v>2719.4592155258924</v>
      </c>
      <c r="CJ797">
        <f>'Bookings and Drivers'!CR275</f>
        <v>5015.5997776263221</v>
      </c>
      <c r="CK797">
        <f>'Bookings and Drivers'!CS275</f>
        <v>2575.8590531844966</v>
      </c>
      <c r="CL797">
        <f>'Bookings and Drivers'!CT275</f>
        <v>4293.2082374931797</v>
      </c>
      <c r="CM797">
        <f>'Bookings and Drivers'!CU275</f>
        <v>4556.386596563214</v>
      </c>
      <c r="CN797">
        <f>'Bookings and Drivers'!CV275</f>
        <v>1515.3456993154759</v>
      </c>
      <c r="CO797">
        <f>'Bookings and Drivers'!CW275</f>
        <v>3769.2721828337635</v>
      </c>
      <c r="CP797">
        <f>'Bookings and Drivers'!CX275</f>
        <v>4611.3368092706551</v>
      </c>
      <c r="CQ797">
        <f>'Bookings and Drivers'!CY275</f>
        <v>5238.8055453719644</v>
      </c>
      <c r="CR797">
        <f>'Bookings and Drivers'!CZ275</f>
        <v>0</v>
      </c>
      <c r="CS797">
        <f>'Bookings and Drivers'!DA275</f>
        <v>0</v>
      </c>
      <c r="CT797">
        <f>'Bookings and Drivers'!DB275</f>
        <v>0</v>
      </c>
      <c r="CU797">
        <f>'Bookings and Drivers'!DC275</f>
        <v>0</v>
      </c>
      <c r="CV797">
        <f>'Bookings and Drivers'!DD275</f>
        <v>0</v>
      </c>
      <c r="CW797">
        <f>'Bookings and Drivers'!DE275</f>
        <v>0</v>
      </c>
      <c r="CX797">
        <f>'Bookings and Drivers'!DF275</f>
        <v>0</v>
      </c>
    </row>
    <row r="798" spans="1:102">
      <c r="A798">
        <f>'Bookings and Drivers'!I276</f>
        <v>0</v>
      </c>
      <c r="B798">
        <f>'Bookings and Drivers'!J276</f>
        <v>0</v>
      </c>
      <c r="C798">
        <f>'Bookings and Drivers'!K276</f>
        <v>0</v>
      </c>
      <c r="D798">
        <f>'Bookings and Drivers'!L276</f>
        <v>0</v>
      </c>
      <c r="E798">
        <f>'Bookings and Drivers'!M276</f>
        <v>0</v>
      </c>
      <c r="F798">
        <f>'Bookings and Drivers'!N276</f>
        <v>0</v>
      </c>
      <c r="G798">
        <f>'Bookings and Drivers'!O276</f>
        <v>0</v>
      </c>
      <c r="H798">
        <f>'Bookings and Drivers'!P276</f>
        <v>0</v>
      </c>
      <c r="I798">
        <f>'Bookings and Drivers'!Q276</f>
        <v>0</v>
      </c>
      <c r="J798">
        <f>'Bookings and Drivers'!R276</f>
        <v>0</v>
      </c>
      <c r="K798">
        <f>'Bookings and Drivers'!S276</f>
        <v>0</v>
      </c>
      <c r="L798">
        <f>'Bookings and Drivers'!T276</f>
        <v>0</v>
      </c>
      <c r="M798">
        <f>'Bookings and Drivers'!U276</f>
        <v>0</v>
      </c>
      <c r="N798">
        <f>'Bookings and Drivers'!V276</f>
        <v>0</v>
      </c>
      <c r="O798">
        <f>'Bookings and Drivers'!W276</f>
        <v>0</v>
      </c>
      <c r="P798">
        <f>'Bookings and Drivers'!X276</f>
        <v>0</v>
      </c>
      <c r="Q798">
        <f>'Bookings and Drivers'!Y276</f>
        <v>0</v>
      </c>
      <c r="R798">
        <f>'Bookings and Drivers'!Z276</f>
        <v>0</v>
      </c>
      <c r="S798">
        <f>'Bookings and Drivers'!AA276</f>
        <v>0</v>
      </c>
      <c r="T798">
        <f>'Bookings and Drivers'!AB276</f>
        <v>0</v>
      </c>
      <c r="U798">
        <f>'Bookings and Drivers'!AC276</f>
        <v>0</v>
      </c>
      <c r="V798">
        <f>'Bookings and Drivers'!AD276</f>
        <v>0</v>
      </c>
      <c r="W798">
        <f>'Bookings and Drivers'!AE276</f>
        <v>0</v>
      </c>
      <c r="X798">
        <f>'Bookings and Drivers'!AF276</f>
        <v>0</v>
      </c>
      <c r="Y798">
        <f>'Bookings and Drivers'!AG276</f>
        <v>0</v>
      </c>
      <c r="Z798">
        <f>'Bookings and Drivers'!AH276</f>
        <v>0</v>
      </c>
      <c r="AA798">
        <f>'Bookings and Drivers'!AI276</f>
        <v>0</v>
      </c>
      <c r="AB798">
        <f>'Bookings and Drivers'!AJ276</f>
        <v>0</v>
      </c>
      <c r="AC798">
        <f>'Bookings and Drivers'!AK276</f>
        <v>0</v>
      </c>
      <c r="AD798">
        <f>'Bookings and Drivers'!AL276</f>
        <v>0</v>
      </c>
      <c r="AE798">
        <f>'Bookings and Drivers'!AM276</f>
        <v>0</v>
      </c>
      <c r="AF798">
        <f>'Bookings and Drivers'!AN276</f>
        <v>0</v>
      </c>
      <c r="AG798">
        <f>'Bookings and Drivers'!AO276</f>
        <v>0</v>
      </c>
      <c r="AH798">
        <f>'Bookings and Drivers'!AP276</f>
        <v>0</v>
      </c>
      <c r="AI798">
        <f>'Bookings and Drivers'!AQ276</f>
        <v>0</v>
      </c>
      <c r="AJ798">
        <f>'Bookings and Drivers'!AR276</f>
        <v>0</v>
      </c>
      <c r="AK798">
        <f>'Bookings and Drivers'!AS276</f>
        <v>0</v>
      </c>
      <c r="AL798">
        <f>'Bookings and Drivers'!AT276</f>
        <v>0</v>
      </c>
      <c r="AM798">
        <f>'Bookings and Drivers'!AU276</f>
        <v>0</v>
      </c>
      <c r="AN798">
        <f>'Bookings and Drivers'!AV276</f>
        <v>0</v>
      </c>
      <c r="AO798">
        <f>'Bookings and Drivers'!AW276</f>
        <v>0</v>
      </c>
      <c r="AP798">
        <f>'Bookings and Drivers'!AX276</f>
        <v>0</v>
      </c>
      <c r="AQ798">
        <f>'Bookings and Drivers'!AY276</f>
        <v>0</v>
      </c>
      <c r="AR798">
        <f>'Bookings and Drivers'!AZ276</f>
        <v>0</v>
      </c>
      <c r="AS798">
        <f>'Bookings and Drivers'!BA276</f>
        <v>0</v>
      </c>
      <c r="AT798">
        <f>'Bookings and Drivers'!BB276</f>
        <v>0</v>
      </c>
      <c r="AU798">
        <f>'Bookings and Drivers'!BC276</f>
        <v>0</v>
      </c>
      <c r="AV798">
        <f>'Bookings and Drivers'!BD276</f>
        <v>0</v>
      </c>
      <c r="AW798">
        <f>'Bookings and Drivers'!BE276</f>
        <v>0</v>
      </c>
      <c r="AX798">
        <f>'Bookings and Drivers'!BF276</f>
        <v>0</v>
      </c>
      <c r="AY798">
        <f>'Bookings and Drivers'!BG276</f>
        <v>0</v>
      </c>
      <c r="AZ798">
        <f>'Bookings and Drivers'!BH276</f>
        <v>0</v>
      </c>
      <c r="BA798">
        <f>'Bookings and Drivers'!BI276</f>
        <v>0</v>
      </c>
      <c r="BB798">
        <f>'Bookings and Drivers'!BJ276</f>
        <v>0</v>
      </c>
      <c r="BC798">
        <f>'Bookings and Drivers'!BK276</f>
        <v>0</v>
      </c>
      <c r="BD798">
        <f>'Bookings and Drivers'!BL276</f>
        <v>0</v>
      </c>
      <c r="BE798">
        <f>'Bookings and Drivers'!BM276</f>
        <v>0</v>
      </c>
      <c r="BF798">
        <f>'Bookings and Drivers'!BN276</f>
        <v>0</v>
      </c>
      <c r="BG798">
        <f>'Bookings and Drivers'!BO276</f>
        <v>0</v>
      </c>
      <c r="BH798">
        <f>'Bookings and Drivers'!BP276</f>
        <v>0</v>
      </c>
      <c r="BI798">
        <f>'Bookings and Drivers'!BQ276</f>
        <v>0</v>
      </c>
      <c r="BJ798">
        <f>'Bookings and Drivers'!BR276</f>
        <v>0</v>
      </c>
      <c r="BK798">
        <f>'Bookings and Drivers'!BS276</f>
        <v>0</v>
      </c>
      <c r="BL798">
        <f>'Bookings and Drivers'!BT276</f>
        <v>0</v>
      </c>
      <c r="BM798">
        <f>'Bookings and Drivers'!BU276</f>
        <v>0</v>
      </c>
      <c r="BN798">
        <f>'Bookings and Drivers'!BV276</f>
        <v>0</v>
      </c>
      <c r="BO798">
        <f>'Bookings and Drivers'!BW276</f>
        <v>0</v>
      </c>
      <c r="BP798">
        <f>'Bookings and Drivers'!BX276</f>
        <v>0</v>
      </c>
      <c r="BQ798">
        <f>'Bookings and Drivers'!BY276</f>
        <v>0</v>
      </c>
      <c r="BR798">
        <f>'Bookings and Drivers'!BZ276</f>
        <v>0</v>
      </c>
      <c r="BS798">
        <f>'Bookings and Drivers'!CA276</f>
        <v>0</v>
      </c>
      <c r="BT798">
        <f>'Bookings and Drivers'!CB276</f>
        <v>0</v>
      </c>
      <c r="BU798">
        <f>'Bookings and Drivers'!CC276</f>
        <v>0</v>
      </c>
      <c r="BV798">
        <f>'Bookings and Drivers'!CD276</f>
        <v>0</v>
      </c>
      <c r="BW798">
        <f>'Bookings and Drivers'!CE276</f>
        <v>0</v>
      </c>
      <c r="BX798">
        <f>'Bookings and Drivers'!CF276</f>
        <v>0</v>
      </c>
      <c r="BY798">
        <f>'Bookings and Drivers'!CG276</f>
        <v>0</v>
      </c>
      <c r="BZ798">
        <f>'Bookings and Drivers'!CH276</f>
        <v>0</v>
      </c>
      <c r="CA798">
        <f>'Bookings and Drivers'!CI276</f>
        <v>0</v>
      </c>
      <c r="CB798">
        <f>'Bookings and Drivers'!CJ276</f>
        <v>0</v>
      </c>
      <c r="CC798">
        <f>'Bookings and Drivers'!CK276</f>
        <v>0</v>
      </c>
      <c r="CD798">
        <f>'Bookings and Drivers'!CL276</f>
        <v>0</v>
      </c>
      <c r="CP798">
        <f>'Bookings and Drivers'!CX276</f>
        <v>0</v>
      </c>
      <c r="CQ798">
        <f>'Bookings and Drivers'!CY276</f>
        <v>0</v>
      </c>
      <c r="CR798">
        <f>'Bookings and Drivers'!CZ276</f>
        <v>0</v>
      </c>
      <c r="CS798">
        <f>'Bookings and Drivers'!DA276</f>
        <v>0</v>
      </c>
      <c r="CT798">
        <f>'Bookings and Drivers'!DB276</f>
        <v>0</v>
      </c>
      <c r="CU798">
        <f>'Bookings and Drivers'!DC276</f>
        <v>0</v>
      </c>
      <c r="CV798">
        <f>'Bookings and Drivers'!DD276</f>
        <v>0</v>
      </c>
      <c r="CW798">
        <f>'Bookings and Drivers'!DE276</f>
        <v>0</v>
      </c>
      <c r="CX798">
        <f>'Bookings and Drivers'!DF276</f>
        <v>0</v>
      </c>
    </row>
    <row r="799" spans="1:102">
      <c r="A799" t="str">
        <f>'Bookings and Drivers'!I277</f>
        <v>Historical Europe Driver</v>
      </c>
      <c r="B799">
        <f>'Bookings and Drivers'!J277</f>
        <v>0</v>
      </c>
      <c r="C799">
        <f>'Bookings and Drivers'!K277</f>
        <v>0</v>
      </c>
      <c r="D799">
        <f>'Bookings and Drivers'!L277</f>
        <v>0</v>
      </c>
      <c r="E799">
        <f>'Bookings and Drivers'!M277</f>
        <v>0</v>
      </c>
      <c r="F799">
        <f>'Bookings and Drivers'!N277</f>
        <v>0</v>
      </c>
      <c r="G799">
        <f>'Bookings and Drivers'!O277</f>
        <v>0</v>
      </c>
      <c r="H799">
        <f>'Bookings and Drivers'!P277</f>
        <v>0</v>
      </c>
      <c r="I799">
        <f>'Bookings and Drivers'!Q277</f>
        <v>0</v>
      </c>
      <c r="J799">
        <f>'Bookings and Drivers'!R277</f>
        <v>0</v>
      </c>
      <c r="K799">
        <f>'Bookings and Drivers'!S277</f>
        <v>0</v>
      </c>
      <c r="L799">
        <f>'Bookings and Drivers'!T277</f>
        <v>0</v>
      </c>
      <c r="M799">
        <f>'Bookings and Drivers'!U277</f>
        <v>0</v>
      </c>
      <c r="N799">
        <f>'Bookings and Drivers'!V277</f>
        <v>0</v>
      </c>
      <c r="O799">
        <f>'Bookings and Drivers'!W277</f>
        <v>0</v>
      </c>
      <c r="P799">
        <f>'Bookings and Drivers'!X277</f>
        <v>0</v>
      </c>
      <c r="Q799">
        <f>'Bookings and Drivers'!Y277</f>
        <v>0</v>
      </c>
      <c r="R799">
        <f>'Bookings and Drivers'!Z277</f>
        <v>0</v>
      </c>
      <c r="S799">
        <f>'Bookings and Drivers'!AA277</f>
        <v>0</v>
      </c>
      <c r="T799">
        <f>'Bookings and Drivers'!AB277</f>
        <v>0</v>
      </c>
      <c r="U799">
        <f>'Bookings and Drivers'!AC277</f>
        <v>0</v>
      </c>
      <c r="V799">
        <f>'Bookings and Drivers'!AD277</f>
        <v>0</v>
      </c>
      <c r="W799">
        <f>'Bookings and Drivers'!AE277</f>
        <v>0</v>
      </c>
      <c r="X799">
        <f>'Bookings and Drivers'!AF277</f>
        <v>0</v>
      </c>
      <c r="Y799">
        <f>'Bookings and Drivers'!AG277</f>
        <v>0</v>
      </c>
      <c r="Z799">
        <f>'Bookings and Drivers'!AH277</f>
        <v>0</v>
      </c>
      <c r="AA799">
        <f>'Bookings and Drivers'!AI277</f>
        <v>0</v>
      </c>
      <c r="AB799">
        <f>'Bookings and Drivers'!AJ277</f>
        <v>0</v>
      </c>
      <c r="AC799">
        <f>'Bookings and Drivers'!AK277</f>
        <v>0</v>
      </c>
      <c r="AD799">
        <f>'Bookings and Drivers'!AL277</f>
        <v>0</v>
      </c>
      <c r="AE799">
        <f>'Bookings and Drivers'!AM277</f>
        <v>0</v>
      </c>
      <c r="AF799">
        <f>'Bookings and Drivers'!AN277</f>
        <v>0</v>
      </c>
      <c r="AG799">
        <f>'Bookings and Drivers'!AO277</f>
        <v>0</v>
      </c>
      <c r="AH799">
        <f>'Bookings and Drivers'!AP277</f>
        <v>0</v>
      </c>
      <c r="AI799">
        <f>'Bookings and Drivers'!AQ277</f>
        <v>0</v>
      </c>
      <c r="AJ799">
        <f>'Bookings and Drivers'!AR277</f>
        <v>0</v>
      </c>
      <c r="AK799">
        <f>'Bookings and Drivers'!AS277</f>
        <v>0</v>
      </c>
      <c r="AL799">
        <f>'Bookings and Drivers'!AT277</f>
        <v>0</v>
      </c>
      <c r="AM799">
        <f>'Bookings and Drivers'!AU277</f>
        <v>0</v>
      </c>
      <c r="AN799">
        <f>'Bookings and Drivers'!AV277</f>
        <v>0</v>
      </c>
      <c r="AO799">
        <f>'Bookings and Drivers'!AW277</f>
        <v>0</v>
      </c>
      <c r="AP799">
        <f>'Bookings and Drivers'!AX277</f>
        <v>0</v>
      </c>
      <c r="AQ799">
        <f>'Bookings and Drivers'!AY277</f>
        <v>0</v>
      </c>
      <c r="AR799">
        <f>'Bookings and Drivers'!AZ277</f>
        <v>0</v>
      </c>
      <c r="AS799">
        <f>'Bookings and Drivers'!BA277</f>
        <v>0</v>
      </c>
      <c r="AT799">
        <f>'Bookings and Drivers'!BB277</f>
        <v>0</v>
      </c>
      <c r="AU799">
        <f>'Bookings and Drivers'!BC277</f>
        <v>0</v>
      </c>
      <c r="AV799">
        <f>'Bookings and Drivers'!BD277</f>
        <v>0</v>
      </c>
      <c r="AW799">
        <f>'Bookings and Drivers'!BE277</f>
        <v>0</v>
      </c>
      <c r="AX799">
        <f>'Bookings and Drivers'!BF277</f>
        <v>0</v>
      </c>
      <c r="AY799">
        <f>'Bookings and Drivers'!BG277</f>
        <v>0</v>
      </c>
      <c r="AZ799">
        <f>'Bookings and Drivers'!BH277</f>
        <v>0</v>
      </c>
      <c r="BA799">
        <f>'Bookings and Drivers'!BI277</f>
        <v>0</v>
      </c>
      <c r="BB799">
        <f>'Bookings and Drivers'!BJ277</f>
        <v>0</v>
      </c>
      <c r="BC799">
        <f>'Bookings and Drivers'!BK277</f>
        <v>0</v>
      </c>
      <c r="BD799">
        <f>'Bookings and Drivers'!BL277</f>
        <v>0</v>
      </c>
      <c r="BE799">
        <f>'Bookings and Drivers'!BM277</f>
        <v>0</v>
      </c>
      <c r="BF799">
        <f>'Bookings and Drivers'!BN277</f>
        <v>0</v>
      </c>
      <c r="BG799">
        <f>'Bookings and Drivers'!BO277</f>
        <v>0</v>
      </c>
      <c r="BH799">
        <f>'Bookings and Drivers'!BP277</f>
        <v>0</v>
      </c>
      <c r="BI799">
        <f>'Bookings and Drivers'!BQ277</f>
        <v>0</v>
      </c>
      <c r="BJ799">
        <f>'Bookings and Drivers'!BR277</f>
        <v>0</v>
      </c>
      <c r="BK799">
        <f>'Bookings and Drivers'!BS277</f>
        <v>0</v>
      </c>
      <c r="BL799">
        <f>'Bookings and Drivers'!BT277</f>
        <v>0</v>
      </c>
      <c r="BM799">
        <f>'Bookings and Drivers'!BU277</f>
        <v>0</v>
      </c>
      <c r="BN799">
        <f>'Bookings and Drivers'!BV277</f>
        <v>0</v>
      </c>
      <c r="BO799">
        <f>'Bookings and Drivers'!BW277</f>
        <v>0</v>
      </c>
      <c r="BP799">
        <f>'Bookings and Drivers'!BX277</f>
        <v>0</v>
      </c>
      <c r="BQ799">
        <f>'Bookings and Drivers'!BY277</f>
        <v>0</v>
      </c>
      <c r="BR799">
        <f>'Bookings and Drivers'!BZ277</f>
        <v>0</v>
      </c>
      <c r="BS799">
        <f>'Bookings and Drivers'!CA277</f>
        <v>0</v>
      </c>
      <c r="BT799">
        <f>'Bookings and Drivers'!CB277</f>
        <v>0</v>
      </c>
      <c r="BU799">
        <f>'Bookings and Drivers'!CC277</f>
        <v>0</v>
      </c>
      <c r="BV799">
        <f>'Bookings and Drivers'!CD277</f>
        <v>0</v>
      </c>
      <c r="BW799">
        <f>'Bookings and Drivers'!CE277</f>
        <v>0</v>
      </c>
      <c r="BX799">
        <f>'Bookings and Drivers'!CF277</f>
        <v>0</v>
      </c>
      <c r="BY799">
        <f>'Bookings and Drivers'!CG277</f>
        <v>0</v>
      </c>
      <c r="BZ799">
        <f>'Bookings and Drivers'!CH277</f>
        <v>0</v>
      </c>
      <c r="CA799">
        <f>'Bookings and Drivers'!CI277</f>
        <v>0</v>
      </c>
      <c r="CB799">
        <f>'Bookings and Drivers'!CJ277</f>
        <v>0</v>
      </c>
      <c r="CC799">
        <f>'Bookings and Drivers'!CK277</f>
        <v>0</v>
      </c>
      <c r="CD799">
        <f>'Bookings and Drivers'!CL277</f>
        <v>0</v>
      </c>
      <c r="CE799">
        <f>'Bookings and Drivers'!CM277</f>
        <v>0</v>
      </c>
      <c r="CF799">
        <f>'Bookings and Drivers'!CN277</f>
        <v>0</v>
      </c>
      <c r="CG799">
        <f>'Bookings and Drivers'!CO277</f>
        <v>0</v>
      </c>
      <c r="CH799">
        <f>'Bookings and Drivers'!CP277</f>
        <v>0</v>
      </c>
      <c r="CI799">
        <f>'Bookings and Drivers'!CQ277</f>
        <v>0</v>
      </c>
      <c r="CJ799">
        <f>'Bookings and Drivers'!CR277</f>
        <v>0</v>
      </c>
      <c r="CK799">
        <f>'Bookings and Drivers'!CS277</f>
        <v>0</v>
      </c>
      <c r="CL799">
        <f>'Bookings and Drivers'!CT277</f>
        <v>0</v>
      </c>
      <c r="CM799">
        <f>'Bookings and Drivers'!CU277</f>
        <v>0</v>
      </c>
      <c r="CN799">
        <f>'Bookings and Drivers'!CV277</f>
        <v>0</v>
      </c>
      <c r="CO799">
        <f>'Bookings and Drivers'!CW277</f>
        <v>0</v>
      </c>
      <c r="CP799">
        <f>'Bookings and Drivers'!CX277</f>
        <v>0</v>
      </c>
      <c r="CQ799">
        <f>'Bookings and Drivers'!CY277</f>
        <v>0</v>
      </c>
      <c r="CR799">
        <f>'Bookings and Drivers'!CZ277</f>
        <v>0</v>
      </c>
      <c r="CS799">
        <f>'Bookings and Drivers'!DA277</f>
        <v>0</v>
      </c>
      <c r="CT799">
        <f>'Bookings and Drivers'!DB277</f>
        <v>0</v>
      </c>
      <c r="CU799">
        <f>'Bookings and Drivers'!DC277</f>
        <v>0</v>
      </c>
      <c r="CV799">
        <f>'Bookings and Drivers'!DD277</f>
        <v>0</v>
      </c>
      <c r="CW799">
        <f>'Bookings and Drivers'!DE277</f>
        <v>0</v>
      </c>
      <c r="CX799">
        <f>'Bookings and Drivers'!DF277</f>
        <v>0</v>
      </c>
    </row>
    <row r="800" spans="1:102">
      <c r="A800" t="str">
        <f>'Bookings and Drivers'!I278</f>
        <v>Active Hotels</v>
      </c>
      <c r="B800">
        <f>'Bookings and Drivers'!J278</f>
        <v>0</v>
      </c>
      <c r="C800">
        <f>'Bookings and Drivers'!K278</f>
        <v>0</v>
      </c>
      <c r="D800">
        <f>'Bookings and Drivers'!L278</f>
        <v>0</v>
      </c>
      <c r="E800">
        <f>'Bookings and Drivers'!M278</f>
        <v>0</v>
      </c>
      <c r="F800">
        <f>'Bookings and Drivers'!N278</f>
        <v>0</v>
      </c>
      <c r="G800">
        <f>'Bookings and Drivers'!O278</f>
        <v>0</v>
      </c>
      <c r="H800">
        <f>'Bookings and Drivers'!P278</f>
        <v>0</v>
      </c>
      <c r="I800">
        <f>'Bookings and Drivers'!Q278</f>
        <v>0</v>
      </c>
      <c r="J800">
        <f>'Bookings and Drivers'!R278</f>
        <v>0</v>
      </c>
      <c r="K800">
        <f>'Bookings and Drivers'!S278</f>
        <v>0</v>
      </c>
      <c r="L800">
        <f>'Bookings and Drivers'!T278</f>
        <v>0</v>
      </c>
      <c r="M800">
        <f>'Bookings and Drivers'!U278</f>
        <v>0</v>
      </c>
      <c r="N800">
        <f>'Bookings and Drivers'!V278</f>
        <v>0</v>
      </c>
      <c r="O800">
        <f>'Bookings and Drivers'!W278</f>
        <v>0</v>
      </c>
      <c r="P800">
        <f>'Bookings and Drivers'!X278</f>
        <v>0</v>
      </c>
      <c r="Q800">
        <f>'Bookings and Drivers'!Y278</f>
        <v>0</v>
      </c>
      <c r="R800">
        <f>'Bookings and Drivers'!Z278</f>
        <v>0</v>
      </c>
      <c r="S800">
        <f>'Bookings and Drivers'!AA278</f>
        <v>0</v>
      </c>
      <c r="T800">
        <f>'Bookings and Drivers'!AB278</f>
        <v>0</v>
      </c>
      <c r="U800">
        <f>'Bookings and Drivers'!AC278</f>
        <v>0</v>
      </c>
      <c r="V800">
        <f>'Bookings and Drivers'!AD278</f>
        <v>0</v>
      </c>
      <c r="W800">
        <f>'Bookings and Drivers'!AE278</f>
        <v>0</v>
      </c>
      <c r="X800">
        <f>'Bookings and Drivers'!AF278</f>
        <v>0</v>
      </c>
      <c r="Y800">
        <f>'Bookings and Drivers'!AG278</f>
        <v>0</v>
      </c>
      <c r="Z800">
        <f>'Bookings and Drivers'!AH278</f>
        <v>0</v>
      </c>
      <c r="AA800">
        <f>'Bookings and Drivers'!AI278</f>
        <v>0</v>
      </c>
      <c r="AB800">
        <f>'Bookings and Drivers'!AJ278</f>
        <v>0</v>
      </c>
      <c r="AC800">
        <f>'Bookings and Drivers'!AK278</f>
        <v>0</v>
      </c>
      <c r="AD800">
        <f>'Bookings and Drivers'!AL278</f>
        <v>0</v>
      </c>
      <c r="AE800">
        <f>'Bookings and Drivers'!AM278</f>
        <v>0</v>
      </c>
      <c r="AF800">
        <f>'Bookings and Drivers'!AN278</f>
        <v>0</v>
      </c>
      <c r="AG800">
        <f>'Bookings and Drivers'!AO278</f>
        <v>0</v>
      </c>
      <c r="AH800">
        <f>'Bookings and Drivers'!AP278</f>
        <v>0</v>
      </c>
      <c r="AI800">
        <f>'Bookings and Drivers'!AQ278</f>
        <v>0</v>
      </c>
      <c r="AJ800">
        <f>'Bookings and Drivers'!AR278</f>
        <v>0</v>
      </c>
      <c r="AK800">
        <f>'Bookings and Drivers'!AS278</f>
        <v>0</v>
      </c>
      <c r="AL800">
        <f>'Bookings and Drivers'!AT278</f>
        <v>0</v>
      </c>
      <c r="AM800">
        <f>'Bookings and Drivers'!AU278</f>
        <v>0</v>
      </c>
      <c r="AN800">
        <f>'Bookings and Drivers'!AV278</f>
        <v>0</v>
      </c>
      <c r="AO800">
        <f>'Bookings and Drivers'!AW278</f>
        <v>0</v>
      </c>
      <c r="AP800">
        <f>'Bookings and Drivers'!AX278</f>
        <v>0</v>
      </c>
      <c r="AQ800">
        <f>'Bookings and Drivers'!AY278</f>
        <v>0</v>
      </c>
      <c r="AR800">
        <f>'Bookings and Drivers'!AZ278</f>
        <v>0</v>
      </c>
      <c r="AS800">
        <f>'Bookings and Drivers'!BA278</f>
        <v>0</v>
      </c>
      <c r="AT800">
        <f>'Bookings and Drivers'!BB278</f>
        <v>0</v>
      </c>
      <c r="AU800">
        <f>'Bookings and Drivers'!BC278</f>
        <v>0</v>
      </c>
      <c r="AV800">
        <f>'Bookings and Drivers'!BD278</f>
        <v>0</v>
      </c>
      <c r="AW800">
        <f>'Bookings and Drivers'!BE278</f>
        <v>0</v>
      </c>
      <c r="AX800">
        <f>'Bookings and Drivers'!BF278</f>
        <v>0</v>
      </c>
      <c r="AY800">
        <f>'Bookings and Drivers'!BG278</f>
        <v>0</v>
      </c>
      <c r="AZ800">
        <f>'Bookings and Drivers'!BH278</f>
        <v>0</v>
      </c>
      <c r="BA800">
        <f>'Bookings and Drivers'!BI278</f>
        <v>0</v>
      </c>
      <c r="BB800">
        <f>'Bookings and Drivers'!BJ278</f>
        <v>0</v>
      </c>
      <c r="BC800">
        <f>'Bookings and Drivers'!BK278</f>
        <v>0</v>
      </c>
      <c r="BD800">
        <f>'Bookings and Drivers'!BL278</f>
        <v>0</v>
      </c>
      <c r="BE800">
        <f>'Bookings and Drivers'!BM278</f>
        <v>0</v>
      </c>
      <c r="BF800">
        <f>'Bookings and Drivers'!BN278</f>
        <v>0</v>
      </c>
      <c r="BG800">
        <f>'Bookings and Drivers'!BO278</f>
        <v>0</v>
      </c>
      <c r="BH800">
        <f>'Bookings and Drivers'!BP278</f>
        <v>0</v>
      </c>
      <c r="BI800">
        <f>'Bookings and Drivers'!BQ278</f>
        <v>0</v>
      </c>
      <c r="BJ800">
        <f>'Bookings and Drivers'!BR278</f>
        <v>0</v>
      </c>
      <c r="BK800">
        <f>'Bookings and Drivers'!BS278</f>
        <v>0</v>
      </c>
      <c r="BL800">
        <f>'Bookings and Drivers'!BT278</f>
        <v>0</v>
      </c>
      <c r="BM800">
        <f>'Bookings and Drivers'!BU278</f>
        <v>0</v>
      </c>
      <c r="BN800">
        <f>'Bookings and Drivers'!BV278</f>
        <v>0</v>
      </c>
      <c r="BO800">
        <f>'Bookings and Drivers'!BW278</f>
        <v>0</v>
      </c>
      <c r="BP800">
        <f>'Bookings and Drivers'!BX278</f>
        <v>0</v>
      </c>
      <c r="BQ800">
        <f>'Bookings and Drivers'!BY278</f>
        <v>0</v>
      </c>
      <c r="BR800">
        <f>'Bookings and Drivers'!BZ278</f>
        <v>0</v>
      </c>
      <c r="BS800">
        <f>'Bookings and Drivers'!CA278</f>
        <v>0</v>
      </c>
      <c r="BT800">
        <f>'Bookings and Drivers'!CB278</f>
        <v>0</v>
      </c>
      <c r="BU800">
        <f>'Bookings and Drivers'!CC278</f>
        <v>0</v>
      </c>
      <c r="BV800">
        <f>'Bookings and Drivers'!CD278</f>
        <v>0</v>
      </c>
      <c r="BW800">
        <f>'Bookings and Drivers'!CE278</f>
        <v>0</v>
      </c>
      <c r="BX800">
        <f>'Bookings and Drivers'!CF278</f>
        <v>0</v>
      </c>
      <c r="BY800">
        <f>'Bookings and Drivers'!CG278</f>
        <v>0</v>
      </c>
      <c r="BZ800">
        <f>'Bookings and Drivers'!CH278</f>
        <v>0</v>
      </c>
      <c r="CA800">
        <f>'Bookings and Drivers'!CI278</f>
        <v>0</v>
      </c>
      <c r="CB800">
        <f>'Bookings and Drivers'!CJ278</f>
        <v>80</v>
      </c>
      <c r="CC800">
        <f>'Bookings and Drivers'!CK278</f>
        <v>160</v>
      </c>
      <c r="CD800">
        <f>'Bookings and Drivers'!CL278</f>
        <v>303.97000000000003</v>
      </c>
      <c r="CE800">
        <f>'Bookings and Drivers'!CM278</f>
        <v>617.25800000000004</v>
      </c>
      <c r="CF800">
        <f>'Bookings and Drivers'!CN278</f>
        <v>0</v>
      </c>
      <c r="CG800">
        <f>'Bookings and Drivers'!CO278</f>
        <v>0</v>
      </c>
      <c r="CH800">
        <f>'Bookings and Drivers'!CP278</f>
        <v>0</v>
      </c>
      <c r="CI800">
        <f>'Bookings and Drivers'!CQ278</f>
        <v>0</v>
      </c>
      <c r="CJ800">
        <f>'Bookings and Drivers'!CR278</f>
        <v>0</v>
      </c>
      <c r="CK800">
        <f>'Bookings and Drivers'!CS278</f>
        <v>0</v>
      </c>
      <c r="CL800">
        <f>'Bookings and Drivers'!CT278</f>
        <v>0</v>
      </c>
      <c r="CM800">
        <f>'Bookings and Drivers'!CU278</f>
        <v>0</v>
      </c>
      <c r="CN800">
        <f>'Bookings and Drivers'!CV278</f>
        <v>0</v>
      </c>
      <c r="CO800">
        <f>'Bookings and Drivers'!CW278</f>
        <v>0</v>
      </c>
      <c r="CP800">
        <f>'Bookings and Drivers'!CX278</f>
        <v>0</v>
      </c>
      <c r="CQ800">
        <f>'Bookings and Drivers'!CY278</f>
        <v>0</v>
      </c>
      <c r="CR800">
        <f>'Bookings and Drivers'!CZ278</f>
        <v>0</v>
      </c>
      <c r="CS800">
        <f>'Bookings and Drivers'!DA278</f>
        <v>0</v>
      </c>
      <c r="CT800">
        <f>'Bookings and Drivers'!DB278</f>
        <v>0</v>
      </c>
      <c r="CU800">
        <f>'Bookings and Drivers'!DC278</f>
        <v>0</v>
      </c>
      <c r="CV800">
        <f>'Bookings and Drivers'!DD278</f>
        <v>0</v>
      </c>
      <c r="CW800">
        <f>'Bookings and Drivers'!DE278</f>
        <v>0</v>
      </c>
      <c r="CX800">
        <f>'Bookings and Drivers'!DF278</f>
        <v>0</v>
      </c>
    </row>
    <row r="801" spans="1:102">
      <c r="A801" t="str">
        <f>'Bookings and Drivers'!I279</f>
        <v>Bookings BV</v>
      </c>
      <c r="B801">
        <f>'Bookings and Drivers'!J279</f>
        <v>0</v>
      </c>
      <c r="C801">
        <f>'Bookings and Drivers'!K279</f>
        <v>0</v>
      </c>
      <c r="D801">
        <f>'Bookings and Drivers'!L279</f>
        <v>0</v>
      </c>
      <c r="E801">
        <f>'Bookings and Drivers'!M279</f>
        <v>0</v>
      </c>
      <c r="F801">
        <f>'Bookings and Drivers'!N279</f>
        <v>0</v>
      </c>
      <c r="G801">
        <f>'Bookings and Drivers'!O279</f>
        <v>0</v>
      </c>
      <c r="H801">
        <f>'Bookings and Drivers'!P279</f>
        <v>0</v>
      </c>
      <c r="I801">
        <f>'Bookings and Drivers'!Q279</f>
        <v>0</v>
      </c>
      <c r="J801">
        <f>'Bookings and Drivers'!R279</f>
        <v>0</v>
      </c>
      <c r="K801">
        <f>'Bookings and Drivers'!S279</f>
        <v>0</v>
      </c>
      <c r="L801">
        <f>'Bookings and Drivers'!T279</f>
        <v>0</v>
      </c>
      <c r="M801">
        <f>'Bookings and Drivers'!U279</f>
        <v>0</v>
      </c>
      <c r="N801">
        <f>'Bookings and Drivers'!V279</f>
        <v>0</v>
      </c>
      <c r="O801">
        <f>'Bookings and Drivers'!W279</f>
        <v>0</v>
      </c>
      <c r="P801">
        <f>'Bookings and Drivers'!X279</f>
        <v>0</v>
      </c>
      <c r="Q801">
        <f>'Bookings and Drivers'!Y279</f>
        <v>0</v>
      </c>
      <c r="R801">
        <f>'Bookings and Drivers'!Z279</f>
        <v>0</v>
      </c>
      <c r="S801">
        <f>'Bookings and Drivers'!AA279</f>
        <v>0</v>
      </c>
      <c r="T801">
        <f>'Bookings and Drivers'!AB279</f>
        <v>0</v>
      </c>
      <c r="U801">
        <f>'Bookings and Drivers'!AC279</f>
        <v>0</v>
      </c>
      <c r="V801">
        <f>'Bookings and Drivers'!AD279</f>
        <v>0</v>
      </c>
      <c r="W801">
        <f>'Bookings and Drivers'!AE279</f>
        <v>0</v>
      </c>
      <c r="X801">
        <f>'Bookings and Drivers'!AF279</f>
        <v>0</v>
      </c>
      <c r="Y801">
        <f>'Bookings and Drivers'!AG279</f>
        <v>0</v>
      </c>
      <c r="Z801">
        <f>'Bookings and Drivers'!AH279</f>
        <v>0</v>
      </c>
      <c r="AA801">
        <f>'Bookings and Drivers'!AI279</f>
        <v>0</v>
      </c>
      <c r="AB801">
        <f>'Bookings and Drivers'!AJ279</f>
        <v>0</v>
      </c>
      <c r="AC801">
        <f>'Bookings and Drivers'!AK279</f>
        <v>0</v>
      </c>
      <c r="AD801">
        <f>'Bookings and Drivers'!AL279</f>
        <v>0</v>
      </c>
      <c r="AE801">
        <f>'Bookings and Drivers'!AM279</f>
        <v>0</v>
      </c>
      <c r="AF801">
        <f>'Bookings and Drivers'!AN279</f>
        <v>0</v>
      </c>
      <c r="AG801">
        <f>'Bookings and Drivers'!AO279</f>
        <v>0</v>
      </c>
      <c r="AH801">
        <f>'Bookings and Drivers'!AP279</f>
        <v>0</v>
      </c>
      <c r="AI801">
        <f>'Bookings and Drivers'!AQ279</f>
        <v>0</v>
      </c>
      <c r="AJ801">
        <f>'Bookings and Drivers'!AR279</f>
        <v>0</v>
      </c>
      <c r="AK801">
        <f>'Bookings and Drivers'!AS279</f>
        <v>0</v>
      </c>
      <c r="AL801">
        <f>'Bookings and Drivers'!AT279</f>
        <v>0</v>
      </c>
      <c r="AM801">
        <f>'Bookings and Drivers'!AU279</f>
        <v>0</v>
      </c>
      <c r="AN801">
        <f>'Bookings and Drivers'!AV279</f>
        <v>0</v>
      </c>
      <c r="AO801">
        <f>'Bookings and Drivers'!AW279</f>
        <v>0</v>
      </c>
      <c r="AP801">
        <f>'Bookings and Drivers'!AX279</f>
        <v>0</v>
      </c>
      <c r="AQ801">
        <f>'Bookings and Drivers'!AY279</f>
        <v>0</v>
      </c>
      <c r="AR801">
        <f>'Bookings and Drivers'!AZ279</f>
        <v>0</v>
      </c>
      <c r="AS801">
        <f>'Bookings and Drivers'!BA279</f>
        <v>0</v>
      </c>
      <c r="AT801">
        <f>'Bookings and Drivers'!BB279</f>
        <v>0</v>
      </c>
      <c r="AU801">
        <f>'Bookings and Drivers'!BC279</f>
        <v>0</v>
      </c>
      <c r="AV801">
        <f>'Bookings and Drivers'!BD279</f>
        <v>0</v>
      </c>
      <c r="AW801">
        <f>'Bookings and Drivers'!BE279</f>
        <v>0</v>
      </c>
      <c r="AX801">
        <f>'Bookings and Drivers'!BF279</f>
        <v>0</v>
      </c>
      <c r="AY801">
        <f>'Bookings and Drivers'!BG279</f>
        <v>0</v>
      </c>
      <c r="AZ801">
        <f>'Bookings and Drivers'!BH279</f>
        <v>0</v>
      </c>
      <c r="BA801">
        <f>'Bookings and Drivers'!BI279</f>
        <v>0</v>
      </c>
      <c r="BB801">
        <f>'Bookings and Drivers'!BJ279</f>
        <v>0</v>
      </c>
      <c r="BC801">
        <f>'Bookings and Drivers'!BK279</f>
        <v>0</v>
      </c>
      <c r="BD801">
        <f>'Bookings and Drivers'!BL279</f>
        <v>0</v>
      </c>
      <c r="BE801">
        <f>'Bookings and Drivers'!BM279</f>
        <v>0</v>
      </c>
      <c r="BF801">
        <f>'Bookings and Drivers'!BN279</f>
        <v>0</v>
      </c>
      <c r="BG801">
        <f>'Bookings and Drivers'!BO279</f>
        <v>0</v>
      </c>
      <c r="BH801">
        <f>'Bookings and Drivers'!BP279</f>
        <v>0</v>
      </c>
      <c r="BI801">
        <f>'Bookings and Drivers'!BQ279</f>
        <v>0</v>
      </c>
      <c r="BJ801">
        <f>'Bookings and Drivers'!BR279</f>
        <v>0</v>
      </c>
      <c r="BK801">
        <f>'Bookings and Drivers'!BS279</f>
        <v>0</v>
      </c>
      <c r="BL801">
        <f>'Bookings and Drivers'!BT279</f>
        <v>0</v>
      </c>
      <c r="BM801">
        <f>'Bookings and Drivers'!BU279</f>
        <v>0</v>
      </c>
      <c r="BN801">
        <f>'Bookings and Drivers'!BV279</f>
        <v>0</v>
      </c>
      <c r="BO801">
        <f>'Bookings and Drivers'!BW279</f>
        <v>0</v>
      </c>
      <c r="BP801">
        <f>'Bookings and Drivers'!BX279</f>
        <v>0</v>
      </c>
      <c r="BQ801">
        <f>'Bookings and Drivers'!BY279</f>
        <v>0</v>
      </c>
      <c r="BR801">
        <f>'Bookings and Drivers'!BZ279</f>
        <v>0</v>
      </c>
      <c r="BS801">
        <f>'Bookings and Drivers'!CA279</f>
        <v>0</v>
      </c>
      <c r="BT801">
        <f>'Bookings and Drivers'!CB279</f>
        <v>0</v>
      </c>
      <c r="BU801">
        <f>'Bookings and Drivers'!CC279</f>
        <v>0</v>
      </c>
      <c r="BV801">
        <f>'Bookings and Drivers'!CD279</f>
        <v>0</v>
      </c>
      <c r="BW801">
        <f>'Bookings and Drivers'!CE279</f>
        <v>0</v>
      </c>
      <c r="BX801">
        <f>'Bookings and Drivers'!CF279</f>
        <v>0</v>
      </c>
      <c r="BY801">
        <f>'Bookings and Drivers'!CG279</f>
        <v>0</v>
      </c>
      <c r="BZ801">
        <f>'Bookings and Drivers'!CH279</f>
        <v>0</v>
      </c>
      <c r="CA801">
        <f>'Bookings and Drivers'!CI279</f>
        <v>0</v>
      </c>
      <c r="CB801">
        <f>'Bookings and Drivers'!CJ279</f>
        <v>0</v>
      </c>
      <c r="CC801">
        <f>'Bookings and Drivers'!CK279</f>
        <v>293.63636363636363</v>
      </c>
      <c r="CD801">
        <f>'Bookings and Drivers'!CL279</f>
        <v>323</v>
      </c>
      <c r="CE801">
        <f>'Bookings and Drivers'!CM279</f>
        <v>729.70100000000002</v>
      </c>
      <c r="CF801">
        <f>'Bookings and Drivers'!CN279</f>
        <v>0</v>
      </c>
      <c r="CG801">
        <f>'Bookings and Drivers'!CO279</f>
        <v>0</v>
      </c>
      <c r="CH801">
        <f>'Bookings and Drivers'!CP279</f>
        <v>0</v>
      </c>
      <c r="CI801">
        <f>'Bookings and Drivers'!CQ279</f>
        <v>0</v>
      </c>
      <c r="CJ801">
        <f>'Bookings and Drivers'!CR279</f>
        <v>0</v>
      </c>
      <c r="CK801">
        <f>'Bookings and Drivers'!CS279</f>
        <v>0</v>
      </c>
      <c r="CL801">
        <f>'Bookings and Drivers'!CT279</f>
        <v>0</v>
      </c>
      <c r="CM801">
        <f>'Bookings and Drivers'!CU279</f>
        <v>0</v>
      </c>
      <c r="CN801">
        <f>'Bookings and Drivers'!CV279</f>
        <v>0</v>
      </c>
      <c r="CO801">
        <f>'Bookings and Drivers'!CW279</f>
        <v>0</v>
      </c>
      <c r="CP801">
        <f>'Bookings and Drivers'!CX279</f>
        <v>0</v>
      </c>
      <c r="CQ801">
        <f>'Bookings and Drivers'!CY279</f>
        <v>0</v>
      </c>
      <c r="CR801">
        <f>'Bookings and Drivers'!CZ279</f>
        <v>0</v>
      </c>
      <c r="CS801">
        <f>'Bookings and Drivers'!DA279</f>
        <v>0</v>
      </c>
      <c r="CT801">
        <f>'Bookings and Drivers'!DB279</f>
        <v>0</v>
      </c>
      <c r="CU801">
        <f>'Bookings and Drivers'!DC279</f>
        <v>0</v>
      </c>
      <c r="CV801">
        <f>'Bookings and Drivers'!DD279</f>
        <v>0</v>
      </c>
      <c r="CW801">
        <f>'Bookings and Drivers'!DE279</f>
        <v>0</v>
      </c>
      <c r="CX801">
        <f>'Bookings and Drivers'!DF279</f>
        <v>0</v>
      </c>
    </row>
    <row r="802" spans="1:102">
      <c r="A802" t="str">
        <f>'Bookings and Drivers'!I280</f>
        <v>Total Booking.com Europe</v>
      </c>
      <c r="B802">
        <f>'Bookings and Drivers'!J280</f>
        <v>0</v>
      </c>
      <c r="C802">
        <f>'Bookings and Drivers'!K280</f>
        <v>0</v>
      </c>
      <c r="D802">
        <f>'Bookings and Drivers'!L280</f>
        <v>0</v>
      </c>
      <c r="E802">
        <f>'Bookings and Drivers'!M280</f>
        <v>0</v>
      </c>
      <c r="F802">
        <f>'Bookings and Drivers'!N280</f>
        <v>0</v>
      </c>
      <c r="G802">
        <f>'Bookings and Drivers'!O280</f>
        <v>0</v>
      </c>
      <c r="H802">
        <f>'Bookings and Drivers'!P280</f>
        <v>0</v>
      </c>
      <c r="I802">
        <f>'Bookings and Drivers'!Q280</f>
        <v>0</v>
      </c>
      <c r="J802">
        <f>'Bookings and Drivers'!R280</f>
        <v>0</v>
      </c>
      <c r="K802">
        <f>'Bookings and Drivers'!S280</f>
        <v>0</v>
      </c>
      <c r="L802">
        <f>'Bookings and Drivers'!T280</f>
        <v>0</v>
      </c>
      <c r="M802">
        <f>'Bookings and Drivers'!U280</f>
        <v>0</v>
      </c>
      <c r="N802">
        <f>'Bookings and Drivers'!V280</f>
        <v>0</v>
      </c>
      <c r="O802">
        <f>'Bookings and Drivers'!W280</f>
        <v>0</v>
      </c>
      <c r="P802">
        <f>'Bookings and Drivers'!X280</f>
        <v>0</v>
      </c>
      <c r="Q802">
        <f>'Bookings and Drivers'!Y280</f>
        <v>0</v>
      </c>
      <c r="R802">
        <f>'Bookings and Drivers'!Z280</f>
        <v>0</v>
      </c>
      <c r="S802">
        <f>'Bookings and Drivers'!AA280</f>
        <v>0</v>
      </c>
      <c r="T802">
        <f>'Bookings and Drivers'!AB280</f>
        <v>0</v>
      </c>
      <c r="U802">
        <f>'Bookings and Drivers'!AC280</f>
        <v>0</v>
      </c>
      <c r="V802">
        <f>'Bookings and Drivers'!AD280</f>
        <v>0</v>
      </c>
      <c r="W802">
        <f>'Bookings and Drivers'!AE280</f>
        <v>0</v>
      </c>
      <c r="X802">
        <f>'Bookings and Drivers'!AF280</f>
        <v>0</v>
      </c>
      <c r="Y802">
        <f>'Bookings and Drivers'!AG280</f>
        <v>0</v>
      </c>
      <c r="Z802">
        <f>'Bookings and Drivers'!AH280</f>
        <v>0</v>
      </c>
      <c r="AA802">
        <f>'Bookings and Drivers'!AI280</f>
        <v>0</v>
      </c>
      <c r="AB802">
        <f>'Bookings and Drivers'!AJ280</f>
        <v>0</v>
      </c>
      <c r="AC802">
        <f>'Bookings and Drivers'!AK280</f>
        <v>0</v>
      </c>
      <c r="AD802">
        <f>'Bookings and Drivers'!AL280</f>
        <v>0</v>
      </c>
      <c r="AE802">
        <f>'Bookings and Drivers'!AM280</f>
        <v>0</v>
      </c>
      <c r="AF802">
        <f>'Bookings and Drivers'!AN280</f>
        <v>0</v>
      </c>
      <c r="AG802">
        <f>'Bookings and Drivers'!AO280</f>
        <v>0</v>
      </c>
      <c r="AH802">
        <f>'Bookings and Drivers'!AP280</f>
        <v>0</v>
      </c>
      <c r="AI802">
        <f>'Bookings and Drivers'!AQ280</f>
        <v>0</v>
      </c>
      <c r="AJ802">
        <f>'Bookings and Drivers'!AR280</f>
        <v>0</v>
      </c>
      <c r="AK802">
        <f>'Bookings and Drivers'!AS280</f>
        <v>0</v>
      </c>
      <c r="AL802">
        <f>'Bookings and Drivers'!AT280</f>
        <v>0</v>
      </c>
      <c r="AM802">
        <f>'Bookings and Drivers'!AU280</f>
        <v>0</v>
      </c>
      <c r="AN802">
        <f>'Bookings and Drivers'!AV280</f>
        <v>0</v>
      </c>
      <c r="AO802">
        <f>'Bookings and Drivers'!AW280</f>
        <v>0</v>
      </c>
      <c r="AP802">
        <f>'Bookings and Drivers'!AX280</f>
        <v>0</v>
      </c>
      <c r="AQ802">
        <f>'Bookings and Drivers'!AY280</f>
        <v>0</v>
      </c>
      <c r="AR802">
        <f>'Bookings and Drivers'!AZ280</f>
        <v>0</v>
      </c>
      <c r="AS802">
        <f>'Bookings and Drivers'!BA280</f>
        <v>0</v>
      </c>
      <c r="AT802">
        <f>'Bookings and Drivers'!BB280</f>
        <v>0</v>
      </c>
      <c r="AU802">
        <f>'Bookings and Drivers'!BC280</f>
        <v>0</v>
      </c>
      <c r="AV802">
        <f>'Bookings and Drivers'!BD280</f>
        <v>0</v>
      </c>
      <c r="AW802">
        <f>'Bookings and Drivers'!BE280</f>
        <v>0</v>
      </c>
      <c r="AX802">
        <f>'Bookings and Drivers'!BF280</f>
        <v>0</v>
      </c>
      <c r="AY802">
        <f>'Bookings and Drivers'!BG280</f>
        <v>0</v>
      </c>
      <c r="AZ802">
        <f>'Bookings and Drivers'!BH280</f>
        <v>0</v>
      </c>
      <c r="BA802">
        <f>'Bookings and Drivers'!BI280</f>
        <v>0</v>
      </c>
      <c r="BB802">
        <f>'Bookings and Drivers'!BJ280</f>
        <v>0</v>
      </c>
      <c r="BC802">
        <f>'Bookings and Drivers'!BK280</f>
        <v>0</v>
      </c>
      <c r="BD802">
        <f>'Bookings and Drivers'!BL280</f>
        <v>0</v>
      </c>
      <c r="BE802">
        <f>'Bookings and Drivers'!BM280</f>
        <v>0</v>
      </c>
      <c r="BF802">
        <f>'Bookings and Drivers'!BN280</f>
        <v>0</v>
      </c>
      <c r="BG802">
        <f>'Bookings and Drivers'!BO280</f>
        <v>0</v>
      </c>
      <c r="BH802">
        <f>'Bookings and Drivers'!BP280</f>
        <v>0</v>
      </c>
      <c r="BI802">
        <f>'Bookings and Drivers'!BQ280</f>
        <v>0</v>
      </c>
      <c r="BJ802">
        <f>'Bookings and Drivers'!BR280</f>
        <v>0</v>
      </c>
      <c r="BK802">
        <f>'Bookings and Drivers'!BS280</f>
        <v>0</v>
      </c>
      <c r="BL802">
        <f>'Bookings and Drivers'!BT280</f>
        <v>0</v>
      </c>
      <c r="BM802">
        <f>'Bookings and Drivers'!BU280</f>
        <v>0</v>
      </c>
      <c r="BN802">
        <f>'Bookings and Drivers'!BV280</f>
        <v>0</v>
      </c>
      <c r="BO802">
        <f>'Bookings and Drivers'!BW280</f>
        <v>0</v>
      </c>
      <c r="BP802">
        <f>'Bookings and Drivers'!BX280</f>
        <v>0</v>
      </c>
      <c r="BQ802">
        <f>'Bookings and Drivers'!BY280</f>
        <v>0</v>
      </c>
      <c r="BR802">
        <f>'Bookings and Drivers'!BZ280</f>
        <v>0</v>
      </c>
      <c r="BS802">
        <f>'Bookings and Drivers'!CA280</f>
        <v>0</v>
      </c>
      <c r="BT802">
        <f>'Bookings and Drivers'!CB280</f>
        <v>0</v>
      </c>
      <c r="BU802">
        <f>'Bookings and Drivers'!CC280</f>
        <v>0</v>
      </c>
      <c r="BV802">
        <f>'Bookings and Drivers'!CD280</f>
        <v>0</v>
      </c>
      <c r="BW802">
        <f>'Bookings and Drivers'!CE280</f>
        <v>0</v>
      </c>
      <c r="BX802">
        <f>'Bookings and Drivers'!CF280</f>
        <v>0</v>
      </c>
      <c r="BY802">
        <f>'Bookings and Drivers'!CG280</f>
        <v>0</v>
      </c>
      <c r="BZ802">
        <f>'Bookings and Drivers'!CH280</f>
        <v>0</v>
      </c>
      <c r="CA802">
        <f>'Bookings and Drivers'!CI280</f>
        <v>0</v>
      </c>
      <c r="CB802">
        <f>'Bookings and Drivers'!CJ280</f>
        <v>0</v>
      </c>
      <c r="CC802">
        <f>'Bookings and Drivers'!CK280</f>
        <v>0</v>
      </c>
      <c r="CD802">
        <f>'Bookings and Drivers'!CL280</f>
        <v>0</v>
      </c>
      <c r="CE802">
        <f>'Bookings and Drivers'!CM280</f>
        <v>0</v>
      </c>
      <c r="CF802">
        <f>'Bookings and Drivers'!CN280</f>
        <v>0</v>
      </c>
      <c r="CG802">
        <f>'Bookings and Drivers'!CO280</f>
        <v>0</v>
      </c>
      <c r="CH802">
        <f>'Bookings and Drivers'!CP280</f>
        <v>0</v>
      </c>
      <c r="CI802">
        <f>'Bookings and Drivers'!CQ280</f>
        <v>0</v>
      </c>
      <c r="CJ802">
        <f>'Bookings and Drivers'!CR280</f>
        <v>0</v>
      </c>
      <c r="CK802">
        <f>'Bookings and Drivers'!CS280</f>
        <v>0</v>
      </c>
      <c r="CL802">
        <f>'Bookings and Drivers'!CU280</f>
        <v>0</v>
      </c>
      <c r="CM802">
        <f>'Bookings and Drivers'!CV280</f>
        <v>0</v>
      </c>
      <c r="CN802">
        <f>'Bookings and Drivers'!CW280</f>
        <v>0</v>
      </c>
      <c r="CO802">
        <f>'Bookings and Drivers'!CX280</f>
        <v>0</v>
      </c>
      <c r="CP802">
        <f>'Bookings and Drivers'!CY280</f>
        <v>0</v>
      </c>
    </row>
    <row r="803" spans="1:102">
      <c r="A803" t="str">
        <f>'Bookings and Drivers'!I281</f>
        <v>Regional Room Night Check</v>
      </c>
      <c r="B803">
        <f>'Bookings and Drivers'!J281</f>
        <v>0</v>
      </c>
      <c r="C803">
        <f>'Bookings and Drivers'!K281</f>
        <v>0</v>
      </c>
      <c r="D803">
        <f>'Bookings and Drivers'!L281</f>
        <v>0</v>
      </c>
      <c r="E803">
        <f>'Bookings and Drivers'!M281</f>
        <v>0</v>
      </c>
      <c r="F803">
        <f>'Bookings and Drivers'!N281</f>
        <v>0</v>
      </c>
      <c r="G803">
        <f>'Bookings and Drivers'!O281</f>
        <v>0</v>
      </c>
      <c r="H803">
        <f>'Bookings and Drivers'!P281</f>
        <v>0</v>
      </c>
      <c r="I803">
        <f>'Bookings and Drivers'!Q281</f>
        <v>0</v>
      </c>
      <c r="J803">
        <f>'Bookings and Drivers'!R281</f>
        <v>0</v>
      </c>
      <c r="K803">
        <f>'Bookings and Drivers'!S281</f>
        <v>0</v>
      </c>
      <c r="L803">
        <f>'Bookings and Drivers'!T281</f>
        <v>0</v>
      </c>
      <c r="M803">
        <f>'Bookings and Drivers'!U281</f>
        <v>0</v>
      </c>
      <c r="N803">
        <f>'Bookings and Drivers'!V281</f>
        <v>0</v>
      </c>
      <c r="O803">
        <f>'Bookings and Drivers'!W281</f>
        <v>0</v>
      </c>
      <c r="P803">
        <f>'Bookings and Drivers'!X281</f>
        <v>0</v>
      </c>
      <c r="Q803">
        <f>'Bookings and Drivers'!Y281</f>
        <v>0</v>
      </c>
      <c r="R803">
        <f>'Bookings and Drivers'!Z281</f>
        <v>0</v>
      </c>
      <c r="S803">
        <f>'Bookings and Drivers'!AA281</f>
        <v>0</v>
      </c>
      <c r="T803">
        <f>'Bookings and Drivers'!AB281</f>
        <v>0</v>
      </c>
      <c r="U803">
        <f>'Bookings and Drivers'!AC281</f>
        <v>0</v>
      </c>
      <c r="V803">
        <f>'Bookings and Drivers'!AD281</f>
        <v>0</v>
      </c>
      <c r="W803">
        <f>'Bookings and Drivers'!AE281</f>
        <v>0</v>
      </c>
      <c r="X803">
        <f>'Bookings and Drivers'!AF281</f>
        <v>0</v>
      </c>
      <c r="Y803">
        <f>'Bookings and Drivers'!AG281</f>
        <v>0</v>
      </c>
      <c r="Z803">
        <f>'Bookings and Drivers'!AH281</f>
        <v>0</v>
      </c>
      <c r="AA803">
        <f>'Bookings and Drivers'!AI281</f>
        <v>0</v>
      </c>
      <c r="AB803">
        <f>'Bookings and Drivers'!AJ281</f>
        <v>0</v>
      </c>
      <c r="AC803">
        <f>'Bookings and Drivers'!AK281</f>
        <v>0</v>
      </c>
      <c r="AD803">
        <f>'Bookings and Drivers'!AL281</f>
        <v>0</v>
      </c>
      <c r="AE803">
        <f>'Bookings and Drivers'!AM281</f>
        <v>0</v>
      </c>
      <c r="AF803">
        <f>'Bookings and Drivers'!AN281</f>
        <v>0</v>
      </c>
      <c r="AG803">
        <f>'Bookings and Drivers'!AO281</f>
        <v>0</v>
      </c>
      <c r="AH803">
        <f>'Bookings and Drivers'!AP281</f>
        <v>0</v>
      </c>
      <c r="AI803">
        <f>'Bookings and Drivers'!AQ281</f>
        <v>0</v>
      </c>
      <c r="AJ803">
        <f>'Bookings and Drivers'!AR281</f>
        <v>0</v>
      </c>
      <c r="AK803">
        <f>'Bookings and Drivers'!AS281</f>
        <v>0</v>
      </c>
      <c r="AL803">
        <f>'Bookings and Drivers'!AT281</f>
        <v>0</v>
      </c>
      <c r="AM803">
        <f>'Bookings and Drivers'!AU281</f>
        <v>0</v>
      </c>
      <c r="AN803">
        <f>'Bookings and Drivers'!AV281</f>
        <v>0</v>
      </c>
      <c r="AO803">
        <f>'Bookings and Drivers'!AW281</f>
        <v>0</v>
      </c>
      <c r="AP803">
        <f>'Bookings and Drivers'!AX281</f>
        <v>0</v>
      </c>
      <c r="AQ803">
        <f>'Bookings and Drivers'!AY281</f>
        <v>0</v>
      </c>
      <c r="AR803">
        <f>'Bookings and Drivers'!AZ281</f>
        <v>0</v>
      </c>
      <c r="AS803">
        <f>'Bookings and Drivers'!BA281</f>
        <v>0</v>
      </c>
      <c r="AT803">
        <f>'Bookings and Drivers'!BB281</f>
        <v>0</v>
      </c>
      <c r="AU803">
        <f>'Bookings and Drivers'!BC281</f>
        <v>0</v>
      </c>
      <c r="AV803">
        <f>'Bookings and Drivers'!BD281</f>
        <v>0</v>
      </c>
      <c r="AW803">
        <f>'Bookings and Drivers'!BE281</f>
        <v>0</v>
      </c>
      <c r="AX803">
        <f>'Bookings and Drivers'!BF281</f>
        <v>0</v>
      </c>
      <c r="AY803">
        <f>'Bookings and Drivers'!BG281</f>
        <v>0</v>
      </c>
      <c r="AZ803">
        <f>'Bookings and Drivers'!BH281</f>
        <v>0</v>
      </c>
      <c r="BA803">
        <f>'Bookings and Drivers'!BI281</f>
        <v>0</v>
      </c>
      <c r="BB803">
        <f>'Bookings and Drivers'!BJ281</f>
        <v>0</v>
      </c>
      <c r="BC803">
        <f>'Bookings and Drivers'!BK281</f>
        <v>0</v>
      </c>
      <c r="BD803">
        <f>'Bookings and Drivers'!BL281</f>
        <v>0</v>
      </c>
      <c r="BE803">
        <f>'Bookings and Drivers'!BM281</f>
        <v>0</v>
      </c>
      <c r="BF803">
        <f>'Bookings and Drivers'!BN281</f>
        <v>0</v>
      </c>
      <c r="BG803">
        <f>'Bookings and Drivers'!BO281</f>
        <v>0</v>
      </c>
      <c r="BH803">
        <f>'Bookings and Drivers'!BP281</f>
        <v>0</v>
      </c>
      <c r="BI803">
        <f>'Bookings and Drivers'!BQ281</f>
        <v>0</v>
      </c>
      <c r="BJ803">
        <f>'Bookings and Drivers'!BR281</f>
        <v>0</v>
      </c>
      <c r="BK803">
        <f>'Bookings and Drivers'!BS281</f>
        <v>0</v>
      </c>
      <c r="BL803">
        <f>'Bookings and Drivers'!BT281</f>
        <v>0</v>
      </c>
      <c r="BM803">
        <f>'Bookings and Drivers'!BU281</f>
        <v>0</v>
      </c>
      <c r="BN803">
        <f>'Bookings and Drivers'!BV281</f>
        <v>0</v>
      </c>
      <c r="BO803">
        <f>'Bookings and Drivers'!BW281</f>
        <v>0</v>
      </c>
      <c r="BP803">
        <f>'Bookings and Drivers'!BX281</f>
        <v>0</v>
      </c>
      <c r="BQ803">
        <f>'Bookings and Drivers'!BY281</f>
        <v>0</v>
      </c>
      <c r="BR803">
        <f>'Bookings and Drivers'!BZ281</f>
        <v>0</v>
      </c>
      <c r="BS803">
        <f>'Bookings and Drivers'!CA281</f>
        <v>0</v>
      </c>
      <c r="BT803">
        <f>'Bookings and Drivers'!CB281</f>
        <v>0</v>
      </c>
      <c r="BU803">
        <f>'Bookings and Drivers'!CC281</f>
        <v>0</v>
      </c>
      <c r="BV803">
        <f>'Bookings and Drivers'!CD281</f>
        <v>0</v>
      </c>
      <c r="BW803">
        <f>'Bookings and Drivers'!CE281</f>
        <v>0</v>
      </c>
      <c r="BX803">
        <f>'Bookings and Drivers'!CF281</f>
        <v>0</v>
      </c>
      <c r="BY803">
        <f>'Bookings and Drivers'!CG281</f>
        <v>0</v>
      </c>
      <c r="BZ803">
        <f>'Bookings and Drivers'!CH281</f>
        <v>0</v>
      </c>
      <c r="CA803">
        <f>'Bookings and Drivers'!CI281</f>
        <v>0</v>
      </c>
      <c r="CB803">
        <f>'Bookings and Drivers'!CJ281</f>
        <v>0</v>
      </c>
      <c r="CC803">
        <f>'Bookings and Drivers'!CK281</f>
        <v>0</v>
      </c>
      <c r="CD803">
        <f>'Bookings and Drivers'!CL281</f>
        <v>0</v>
      </c>
      <c r="CE803" t="str">
        <f>'Bookings and Drivers'!CM281</f>
        <v>2006</v>
      </c>
      <c r="CF803" t="str">
        <f>'Bookings and Drivers'!CN281</f>
        <v>2007</v>
      </c>
      <c r="CG803" t="str">
        <f>'Bookings and Drivers'!CO281</f>
        <v>2008</v>
      </c>
      <c r="CH803" t="str">
        <f>'Bookings and Drivers'!CP281</f>
        <v>2009</v>
      </c>
      <c r="CI803">
        <f>'Bookings and Drivers'!CQ281</f>
        <v>2010</v>
      </c>
      <c r="CJ803">
        <f>'Bookings and Drivers'!CR281</f>
        <v>2011</v>
      </c>
      <c r="CK803">
        <f>'Bookings and Drivers'!CS281</f>
        <v>2012</v>
      </c>
      <c r="CL803">
        <f>'Bookings and Drivers'!CT281</f>
        <v>2013</v>
      </c>
      <c r="CM803">
        <f>'Bookings and Drivers'!CU281</f>
        <v>2014</v>
      </c>
      <c r="CN803">
        <f>'Bookings and Drivers'!CV281</f>
        <v>2015</v>
      </c>
      <c r="CO803" t="str">
        <f>'Bookings and Drivers'!CW281</f>
        <v>2016E</v>
      </c>
      <c r="CP803" t="str">
        <f>'Bookings and Drivers'!CX281</f>
        <v>2017E</v>
      </c>
      <c r="CQ803" t="str">
        <f>'Bookings and Drivers'!CY281</f>
        <v>2018E</v>
      </c>
      <c r="CR803" t="str">
        <f>'Bookings and Drivers'!CZ281</f>
        <v>2019E</v>
      </c>
      <c r="CS803" t="str">
        <f>'Bookings and Drivers'!DA281</f>
        <v>2020E</v>
      </c>
      <c r="CT803">
        <f>'Bookings and Drivers'!DB281</f>
        <v>0</v>
      </c>
      <c r="CU803">
        <f>'Bookings and Drivers'!DC281</f>
        <v>0</v>
      </c>
      <c r="CV803">
        <f>'Bookings and Drivers'!DD281</f>
        <v>0</v>
      </c>
      <c r="CW803">
        <f>'Bookings and Drivers'!DE281</f>
        <v>0</v>
      </c>
      <c r="CX803">
        <f>'Bookings and Drivers'!DF281</f>
        <v>0</v>
      </c>
    </row>
    <row r="804" spans="1:102">
      <c r="A804">
        <f>'Bookings and Drivers'!I282</f>
        <v>0</v>
      </c>
      <c r="B804">
        <f>'Bookings and Drivers'!J282</f>
        <v>0</v>
      </c>
      <c r="C804">
        <f>'Bookings and Drivers'!K282</f>
        <v>0</v>
      </c>
      <c r="D804">
        <f>'Bookings and Drivers'!L282</f>
        <v>0</v>
      </c>
      <c r="E804">
        <f>'Bookings and Drivers'!M282</f>
        <v>0</v>
      </c>
      <c r="F804">
        <f>'Bookings and Drivers'!N282</f>
        <v>0</v>
      </c>
      <c r="G804">
        <f>'Bookings and Drivers'!O282</f>
        <v>0</v>
      </c>
      <c r="H804">
        <f>'Bookings and Drivers'!P282</f>
        <v>0</v>
      </c>
      <c r="I804">
        <f>'Bookings and Drivers'!Q282</f>
        <v>0</v>
      </c>
      <c r="J804">
        <f>'Bookings and Drivers'!R282</f>
        <v>0</v>
      </c>
      <c r="K804">
        <f>'Bookings and Drivers'!S282</f>
        <v>0</v>
      </c>
      <c r="L804">
        <f>'Bookings and Drivers'!T282</f>
        <v>0</v>
      </c>
      <c r="M804">
        <f>'Bookings and Drivers'!U282</f>
        <v>0</v>
      </c>
      <c r="N804">
        <f>'Bookings and Drivers'!V282</f>
        <v>0</v>
      </c>
      <c r="O804">
        <f>'Bookings and Drivers'!W282</f>
        <v>0</v>
      </c>
      <c r="P804">
        <f>'Bookings and Drivers'!X282</f>
        <v>0</v>
      </c>
      <c r="Q804">
        <f>'Bookings and Drivers'!Y282</f>
        <v>0</v>
      </c>
      <c r="R804">
        <f>'Bookings and Drivers'!Z282</f>
        <v>0</v>
      </c>
      <c r="S804">
        <f>'Bookings and Drivers'!AA282</f>
        <v>0</v>
      </c>
      <c r="T804">
        <f>'Bookings and Drivers'!AB282</f>
        <v>0</v>
      </c>
      <c r="U804">
        <f>'Bookings and Drivers'!AC282</f>
        <v>0</v>
      </c>
      <c r="V804">
        <f>'Bookings and Drivers'!AD282</f>
        <v>0</v>
      </c>
      <c r="W804">
        <f>'Bookings and Drivers'!AE282</f>
        <v>0</v>
      </c>
      <c r="X804">
        <f>'Bookings and Drivers'!AF282</f>
        <v>0</v>
      </c>
      <c r="Y804">
        <f>'Bookings and Drivers'!AG282</f>
        <v>0</v>
      </c>
      <c r="Z804">
        <f>'Bookings and Drivers'!AH282</f>
        <v>0</v>
      </c>
      <c r="AA804">
        <f>'Bookings and Drivers'!AI282</f>
        <v>0</v>
      </c>
      <c r="AB804">
        <f>'Bookings and Drivers'!AJ282</f>
        <v>0</v>
      </c>
      <c r="AC804">
        <f>'Bookings and Drivers'!AK282</f>
        <v>0</v>
      </c>
      <c r="AD804">
        <f>'Bookings and Drivers'!AL282</f>
        <v>0</v>
      </c>
      <c r="AE804">
        <f>'Bookings and Drivers'!AM282</f>
        <v>0</v>
      </c>
      <c r="AF804">
        <f>'Bookings and Drivers'!AN282</f>
        <v>0</v>
      </c>
      <c r="AG804">
        <f>'Bookings and Drivers'!AO282</f>
        <v>0</v>
      </c>
      <c r="AH804">
        <f>'Bookings and Drivers'!AP282</f>
        <v>0</v>
      </c>
      <c r="AI804">
        <f>'Bookings and Drivers'!AQ282</f>
        <v>0</v>
      </c>
      <c r="AJ804">
        <f>'Bookings and Drivers'!AR282</f>
        <v>0</v>
      </c>
      <c r="AK804">
        <f>'Bookings and Drivers'!AS282</f>
        <v>0</v>
      </c>
      <c r="AL804">
        <f>'Bookings and Drivers'!AT282</f>
        <v>0</v>
      </c>
      <c r="AM804">
        <f>'Bookings and Drivers'!AU282</f>
        <v>0</v>
      </c>
      <c r="AN804">
        <f>'Bookings and Drivers'!AV282</f>
        <v>0</v>
      </c>
      <c r="AO804">
        <f>'Bookings and Drivers'!AW282</f>
        <v>0</v>
      </c>
      <c r="AP804">
        <f>'Bookings and Drivers'!AX282</f>
        <v>0</v>
      </c>
      <c r="AQ804">
        <f>'Bookings and Drivers'!AY282</f>
        <v>0</v>
      </c>
      <c r="AR804">
        <f>'Bookings and Drivers'!AZ282</f>
        <v>0</v>
      </c>
      <c r="AS804">
        <f>'Bookings and Drivers'!BA282</f>
        <v>0</v>
      </c>
      <c r="AT804">
        <f>'Bookings and Drivers'!BB282</f>
        <v>0</v>
      </c>
      <c r="AU804">
        <f>'Bookings and Drivers'!BC282</f>
        <v>0</v>
      </c>
      <c r="AV804">
        <f>'Bookings and Drivers'!BD282</f>
        <v>0</v>
      </c>
      <c r="AW804">
        <f>'Bookings and Drivers'!BE282</f>
        <v>0</v>
      </c>
      <c r="AX804">
        <f>'Bookings and Drivers'!BF282</f>
        <v>0</v>
      </c>
      <c r="AY804">
        <f>'Bookings and Drivers'!BG282</f>
        <v>0</v>
      </c>
      <c r="AZ804">
        <f>'Bookings and Drivers'!BH282</f>
        <v>0</v>
      </c>
      <c r="BA804">
        <f>'Bookings and Drivers'!BI282</f>
        <v>0</v>
      </c>
      <c r="BB804">
        <f>'Bookings and Drivers'!BJ282</f>
        <v>0</v>
      </c>
      <c r="BC804">
        <f>'Bookings and Drivers'!BK282</f>
        <v>0</v>
      </c>
      <c r="BD804">
        <f>'Bookings and Drivers'!BL282</f>
        <v>0</v>
      </c>
      <c r="BE804">
        <f>'Bookings and Drivers'!BM282</f>
        <v>0</v>
      </c>
      <c r="BF804">
        <f>'Bookings and Drivers'!BN282</f>
        <v>0</v>
      </c>
      <c r="BG804">
        <f>'Bookings and Drivers'!BO282</f>
        <v>0</v>
      </c>
      <c r="BH804">
        <f>'Bookings and Drivers'!BP282</f>
        <v>0</v>
      </c>
      <c r="BI804">
        <f>'Bookings and Drivers'!BQ282</f>
        <v>0</v>
      </c>
      <c r="BJ804">
        <f>'Bookings and Drivers'!BR282</f>
        <v>0</v>
      </c>
      <c r="BK804">
        <f>'Bookings and Drivers'!BS282</f>
        <v>0</v>
      </c>
      <c r="BL804">
        <f>'Bookings and Drivers'!BT282</f>
        <v>0</v>
      </c>
      <c r="BM804">
        <f>'Bookings and Drivers'!BU282</f>
        <v>0</v>
      </c>
      <c r="BN804">
        <f>'Bookings and Drivers'!BV282</f>
        <v>0</v>
      </c>
      <c r="BO804">
        <f>'Bookings and Drivers'!BW282</f>
        <v>0</v>
      </c>
      <c r="BP804">
        <f>'Bookings and Drivers'!BX282</f>
        <v>0</v>
      </c>
      <c r="BQ804">
        <f>'Bookings and Drivers'!BY282</f>
        <v>0</v>
      </c>
      <c r="BR804">
        <f>'Bookings and Drivers'!BZ282</f>
        <v>0</v>
      </c>
      <c r="BS804">
        <f>'Bookings and Drivers'!CA282</f>
        <v>0</v>
      </c>
      <c r="BT804">
        <f>'Bookings and Drivers'!CB282</f>
        <v>0</v>
      </c>
      <c r="BU804">
        <f>'Bookings and Drivers'!CC282</f>
        <v>0</v>
      </c>
      <c r="BV804">
        <f>'Bookings and Drivers'!CD282</f>
        <v>0</v>
      </c>
      <c r="BW804">
        <f>'Bookings and Drivers'!CE282</f>
        <v>0</v>
      </c>
      <c r="BX804">
        <f>'Bookings and Drivers'!CF282</f>
        <v>0</v>
      </c>
      <c r="BY804">
        <f>'Bookings and Drivers'!CG282</f>
        <v>0</v>
      </c>
      <c r="BZ804">
        <f>'Bookings and Drivers'!CH282</f>
        <v>0</v>
      </c>
      <c r="CA804">
        <f>'Bookings and Drivers'!CI282</f>
        <v>0</v>
      </c>
      <c r="CB804">
        <f>'Bookings and Drivers'!CJ282</f>
        <v>0</v>
      </c>
      <c r="CC804">
        <f>'Bookings and Drivers'!CK282</f>
        <v>0</v>
      </c>
      <c r="CD804">
        <f>'Bookings and Drivers'!CL282</f>
        <v>0</v>
      </c>
      <c r="CE804">
        <f>'Bookings and Drivers'!CM282</f>
        <v>0</v>
      </c>
      <c r="CF804">
        <f>'Bookings and Drivers'!CN282</f>
        <v>0</v>
      </c>
      <c r="CG804">
        <f>'Bookings and Drivers'!CO282</f>
        <v>0</v>
      </c>
      <c r="CH804">
        <f>'Bookings and Drivers'!CP282</f>
        <v>0</v>
      </c>
      <c r="CI804">
        <f>'Bookings and Drivers'!CQ282</f>
        <v>0</v>
      </c>
      <c r="CJ804">
        <f>'Bookings and Drivers'!CR282</f>
        <v>0</v>
      </c>
      <c r="CK804">
        <f>'Bookings and Drivers'!CS282</f>
        <v>0</v>
      </c>
      <c r="CL804">
        <f>'Bookings and Drivers'!CT282</f>
        <v>0</v>
      </c>
      <c r="CM804">
        <f>'Bookings and Drivers'!CU282</f>
        <v>0</v>
      </c>
      <c r="CN804">
        <f>'Bookings and Drivers'!CV282</f>
        <v>0</v>
      </c>
      <c r="CO804">
        <f>'Bookings and Drivers'!CW282</f>
        <v>0</v>
      </c>
      <c r="CP804">
        <f>'Bookings and Drivers'!CX282</f>
        <v>0</v>
      </c>
      <c r="CQ804">
        <f>'Bookings and Drivers'!CY282</f>
        <v>0</v>
      </c>
      <c r="CR804">
        <f>'Bookings and Drivers'!CZ282</f>
        <v>0</v>
      </c>
      <c r="CS804">
        <f>'Bookings and Drivers'!DA282</f>
        <v>0</v>
      </c>
      <c r="CT804">
        <f>'Bookings and Drivers'!DB282</f>
        <v>0</v>
      </c>
      <c r="CU804">
        <f>'Bookings and Drivers'!DC282</f>
        <v>0</v>
      </c>
      <c r="CV804">
        <f>'Bookings and Drivers'!DD282</f>
        <v>0</v>
      </c>
      <c r="CW804">
        <f>'Bookings and Drivers'!DE282</f>
        <v>0</v>
      </c>
      <c r="CX804">
        <f>'Bookings and Drivers'!DF282</f>
        <v>0</v>
      </c>
    </row>
    <row r="805" spans="1:102">
      <c r="A805" t="str">
        <f>'Bookings and Drivers'!I283</f>
        <v>Europe Nights</v>
      </c>
      <c r="B805">
        <f>'Bookings and Drivers'!J283</f>
        <v>0</v>
      </c>
      <c r="C805">
        <f>'Bookings and Drivers'!K283</f>
        <v>0</v>
      </c>
      <c r="D805">
        <f>'Bookings and Drivers'!L283</f>
        <v>0</v>
      </c>
      <c r="E805">
        <f>'Bookings and Drivers'!M283</f>
        <v>0</v>
      </c>
      <c r="F805">
        <f>'Bookings and Drivers'!N283</f>
        <v>0</v>
      </c>
      <c r="G805">
        <f>'Bookings and Drivers'!O283</f>
        <v>0</v>
      </c>
      <c r="H805">
        <f>'Bookings and Drivers'!P283</f>
        <v>0</v>
      </c>
      <c r="I805">
        <f>'Bookings and Drivers'!Q283</f>
        <v>0</v>
      </c>
      <c r="J805">
        <f>'Bookings and Drivers'!R283</f>
        <v>0</v>
      </c>
      <c r="K805">
        <f>'Bookings and Drivers'!S283</f>
        <v>0</v>
      </c>
      <c r="L805">
        <f>'Bookings and Drivers'!T283</f>
        <v>0</v>
      </c>
      <c r="M805">
        <f>'Bookings and Drivers'!U283</f>
        <v>0</v>
      </c>
      <c r="N805">
        <f>'Bookings and Drivers'!V283</f>
        <v>0</v>
      </c>
      <c r="O805">
        <f>'Bookings and Drivers'!W283</f>
        <v>0</v>
      </c>
      <c r="P805">
        <f>'Bookings and Drivers'!X283</f>
        <v>0</v>
      </c>
      <c r="Q805">
        <f>'Bookings and Drivers'!Y283</f>
        <v>0</v>
      </c>
      <c r="R805">
        <f>'Bookings and Drivers'!Z283</f>
        <v>0</v>
      </c>
      <c r="S805">
        <f>'Bookings and Drivers'!AA283</f>
        <v>0</v>
      </c>
      <c r="T805">
        <f>'Bookings and Drivers'!AB283</f>
        <v>0</v>
      </c>
      <c r="U805">
        <f>'Bookings and Drivers'!AC283</f>
        <v>0</v>
      </c>
      <c r="V805">
        <f>'Bookings and Drivers'!AD283</f>
        <v>0</v>
      </c>
      <c r="W805">
        <f>'Bookings and Drivers'!AE283</f>
        <v>0</v>
      </c>
      <c r="X805">
        <f>'Bookings and Drivers'!AF283</f>
        <v>0</v>
      </c>
      <c r="Y805">
        <f>'Bookings and Drivers'!AG283</f>
        <v>0</v>
      </c>
      <c r="Z805">
        <f>'Bookings and Drivers'!AH283</f>
        <v>0</v>
      </c>
      <c r="AA805">
        <f>'Bookings and Drivers'!AI283</f>
        <v>0</v>
      </c>
      <c r="AB805">
        <f>'Bookings and Drivers'!AJ283</f>
        <v>0</v>
      </c>
      <c r="AC805">
        <f>'Bookings and Drivers'!AK283</f>
        <v>0</v>
      </c>
      <c r="AD805">
        <f>'Bookings and Drivers'!AL283</f>
        <v>0</v>
      </c>
      <c r="AE805">
        <f>'Bookings and Drivers'!AM283</f>
        <v>0</v>
      </c>
      <c r="AF805">
        <f>'Bookings and Drivers'!AN283</f>
        <v>0</v>
      </c>
      <c r="AG805">
        <f>'Bookings and Drivers'!AO283</f>
        <v>0</v>
      </c>
      <c r="AH805">
        <f>'Bookings and Drivers'!AP283</f>
        <v>0</v>
      </c>
      <c r="AI805">
        <f>'Bookings and Drivers'!AQ283</f>
        <v>0</v>
      </c>
      <c r="AJ805">
        <f>'Bookings and Drivers'!AR283</f>
        <v>0</v>
      </c>
      <c r="AK805">
        <f>'Bookings and Drivers'!AS283</f>
        <v>0</v>
      </c>
      <c r="AL805">
        <f>'Bookings and Drivers'!AT283</f>
        <v>0</v>
      </c>
      <c r="AM805">
        <f>'Bookings and Drivers'!AU283</f>
        <v>0</v>
      </c>
      <c r="AN805">
        <f>'Bookings and Drivers'!AV283</f>
        <v>0</v>
      </c>
      <c r="AO805">
        <f>'Bookings and Drivers'!AW283</f>
        <v>0</v>
      </c>
      <c r="AP805">
        <f>'Bookings and Drivers'!AX283</f>
        <v>0</v>
      </c>
      <c r="AQ805">
        <f>'Bookings and Drivers'!AY283</f>
        <v>0</v>
      </c>
      <c r="AR805">
        <f>'Bookings and Drivers'!AZ283</f>
        <v>0</v>
      </c>
      <c r="AS805">
        <f>'Bookings and Drivers'!BA283</f>
        <v>18.687857142857141</v>
      </c>
      <c r="AT805">
        <f>'Bookings and Drivers'!BB283</f>
        <v>22.818181818181817</v>
      </c>
      <c r="AU805">
        <f>'Bookings and Drivers'!BC283</f>
        <v>25.662553512969026</v>
      </c>
      <c r="AV805">
        <f>'Bookings and Drivers'!BD283</f>
        <v>26.231400810986756</v>
      </c>
      <c r="AW805">
        <f>'Bookings and Drivers'!BE283</f>
        <v>26.162999999999997</v>
      </c>
      <c r="AX805">
        <f>'Bookings and Drivers'!BF283</f>
        <v>30.12</v>
      </c>
      <c r="AY805">
        <f>'Bookings and Drivers'!BG283</f>
        <v>33.874570637119113</v>
      </c>
      <c r="AZ805">
        <f>'Bookings and Drivers'!BH283</f>
        <v>29.394420767674163</v>
      </c>
      <c r="BA805">
        <f>'Bookings and Drivers'!BI283</f>
        <v>32.703749999999999</v>
      </c>
      <c r="BB805">
        <f>'Bookings and Drivers'!BJ283</f>
        <v>36.143999999999998</v>
      </c>
      <c r="BC805">
        <f>'Bookings and Drivers'!BK283</f>
        <v>44.036941828254847</v>
      </c>
      <c r="BD805">
        <f>'Bookings and Drivers'!BL283</f>
        <v>37.750817341784668</v>
      </c>
      <c r="BE805">
        <f>'Bookings and Drivers'!BM283</f>
        <v>0</v>
      </c>
      <c r="BF805">
        <f>'Bookings and Drivers'!BN283</f>
        <v>0</v>
      </c>
      <c r="BG805">
        <f>'Bookings and Drivers'!BO283</f>
        <v>0</v>
      </c>
      <c r="BH805">
        <f>'Bookings and Drivers'!BP283</f>
        <v>0</v>
      </c>
      <c r="BI805">
        <f>'Bookings and Drivers'!BQ283</f>
        <v>0</v>
      </c>
      <c r="BJ805">
        <f>'Bookings and Drivers'!BR283</f>
        <v>0</v>
      </c>
      <c r="BK805">
        <f>'Bookings and Drivers'!BS283</f>
        <v>0</v>
      </c>
      <c r="BL805">
        <f>'Bookings and Drivers'!BT283</f>
        <v>0</v>
      </c>
      <c r="BM805">
        <f>'Bookings and Drivers'!BU283</f>
        <v>0</v>
      </c>
      <c r="BN805">
        <f>'Bookings and Drivers'!BV283</f>
        <v>0</v>
      </c>
      <c r="BO805">
        <f>'Bookings and Drivers'!BW283</f>
        <v>0</v>
      </c>
      <c r="BP805">
        <f>'Bookings and Drivers'!BX283</f>
        <v>0</v>
      </c>
      <c r="BQ805">
        <f>'Bookings and Drivers'!BY283</f>
        <v>0</v>
      </c>
      <c r="BR805">
        <f>'Bookings and Drivers'!BZ283</f>
        <v>0</v>
      </c>
      <c r="BS805">
        <f>'Bookings and Drivers'!CA283</f>
        <v>0</v>
      </c>
      <c r="BT805">
        <f>'Bookings and Drivers'!CB283</f>
        <v>0</v>
      </c>
      <c r="BU805">
        <f>'Bookings and Drivers'!CC283</f>
        <v>0</v>
      </c>
      <c r="BV805">
        <f>'Bookings and Drivers'!CD283</f>
        <v>0</v>
      </c>
      <c r="BW805">
        <f>'Bookings and Drivers'!CE283</f>
        <v>0</v>
      </c>
      <c r="BX805">
        <f>'Bookings and Drivers'!CF283</f>
        <v>0</v>
      </c>
      <c r="BY805">
        <f>'Bookings and Drivers'!CG283</f>
        <v>0</v>
      </c>
      <c r="BZ805">
        <f>'Bookings and Drivers'!CH283</f>
        <v>0</v>
      </c>
      <c r="CA805">
        <f>'Bookings and Drivers'!CI283</f>
        <v>0</v>
      </c>
      <c r="CB805">
        <f>'Bookings and Drivers'!CJ283</f>
        <v>0</v>
      </c>
      <c r="CC805">
        <f>'Bookings and Drivers'!CK283</f>
        <v>0</v>
      </c>
      <c r="CD805">
        <f>'Bookings and Drivers'!CL283</f>
        <v>0</v>
      </c>
      <c r="CE805">
        <f>'Bookings and Drivers'!CM283</f>
        <v>10.9</v>
      </c>
      <c r="CF805">
        <f>'Bookings and Drivers'!CN283</f>
        <v>15.341402837098348</v>
      </c>
      <c r="CG805">
        <f>'Bookings and Drivers'!CO283</f>
        <v>23.038262964018703</v>
      </c>
      <c r="CH805">
        <f>'Bookings and Drivers'!CP283</f>
        <v>37.978513526497373</v>
      </c>
      <c r="CI805">
        <f>'Bookings and Drivers'!CQ283</f>
        <v>59.951057915969201</v>
      </c>
      <c r="CJ805">
        <f>'Bookings and Drivers'!CR283</f>
        <v>93.399993284994736</v>
      </c>
      <c r="CK805">
        <f>'Bookings and Drivers'!CS283</f>
        <v>119.55199140479327</v>
      </c>
      <c r="CL805">
        <f>'Bookings and Drivers'!CT283</f>
        <v>150.63550917003951</v>
      </c>
      <c r="CM805">
        <f>'Bookings and Drivers'!CU283</f>
        <v>183.77532118744821</v>
      </c>
      <c r="CN805">
        <f>'Bookings and Drivers'!CV283</f>
        <v>220.53038542493786</v>
      </c>
      <c r="CO805">
        <f>'Bookings and Drivers'!CW283</f>
        <v>262.43115865567603</v>
      </c>
      <c r="CP805">
        <f>'Bookings and Drivers'!CX283</f>
        <v>304.42014404058415</v>
      </c>
      <c r="CQ805">
        <f>'Bookings and Drivers'!CY283</f>
        <v>342.47266204565716</v>
      </c>
      <c r="CR805">
        <f>'Bookings and Drivers'!CZ283</f>
        <v>376.71992825022289</v>
      </c>
      <c r="CS805">
        <f>'Bookings and Drivers'!DA283</f>
        <v>406.85752251024076</v>
      </c>
      <c r="CT805">
        <f>'Bookings and Drivers'!DB283</f>
        <v>0</v>
      </c>
      <c r="CU805">
        <f>'Bookings and Drivers'!DC283</f>
        <v>0</v>
      </c>
      <c r="CV805">
        <f>'Bookings and Drivers'!DD283</f>
        <v>0</v>
      </c>
      <c r="CW805">
        <f>'Bookings and Drivers'!DE283</f>
        <v>0</v>
      </c>
      <c r="CX805">
        <f>'Bookings and Drivers'!DF283</f>
        <v>0</v>
      </c>
    </row>
    <row r="806" spans="1:102">
      <c r="A806" t="str">
        <f>'Bookings and Drivers'!I284</f>
        <v>APAC</v>
      </c>
      <c r="B806">
        <f>'Bookings and Drivers'!J284</f>
        <v>0</v>
      </c>
      <c r="C806">
        <f>'Bookings and Drivers'!K284</f>
        <v>0</v>
      </c>
      <c r="D806">
        <f>'Bookings and Drivers'!L284</f>
        <v>0</v>
      </c>
      <c r="E806">
        <f>'Bookings and Drivers'!M284</f>
        <v>0</v>
      </c>
      <c r="F806">
        <f>'Bookings and Drivers'!N284</f>
        <v>0</v>
      </c>
      <c r="G806">
        <f>'Bookings and Drivers'!O284</f>
        <v>0</v>
      </c>
      <c r="H806">
        <f>'Bookings and Drivers'!P284</f>
        <v>0</v>
      </c>
      <c r="I806">
        <f>'Bookings and Drivers'!Q284</f>
        <v>0</v>
      </c>
      <c r="J806">
        <f>'Bookings and Drivers'!R284</f>
        <v>0</v>
      </c>
      <c r="K806">
        <f>'Bookings and Drivers'!S284</f>
        <v>0</v>
      </c>
      <c r="L806">
        <f>'Bookings and Drivers'!T284</f>
        <v>0</v>
      </c>
      <c r="M806">
        <f>'Bookings and Drivers'!U284</f>
        <v>0</v>
      </c>
      <c r="N806">
        <f>'Bookings and Drivers'!V284</f>
        <v>0</v>
      </c>
      <c r="O806">
        <f>'Bookings and Drivers'!W284</f>
        <v>0</v>
      </c>
      <c r="P806">
        <f>'Bookings and Drivers'!X284</f>
        <v>0</v>
      </c>
      <c r="Q806">
        <f>'Bookings and Drivers'!Y284</f>
        <v>0</v>
      </c>
      <c r="R806">
        <f>'Bookings and Drivers'!Z284</f>
        <v>0</v>
      </c>
      <c r="S806">
        <f>'Bookings and Drivers'!AA284</f>
        <v>0</v>
      </c>
      <c r="T806">
        <f>'Bookings and Drivers'!AB284</f>
        <v>0</v>
      </c>
      <c r="U806">
        <f>'Bookings and Drivers'!AC284</f>
        <v>0</v>
      </c>
      <c r="V806">
        <f>'Bookings and Drivers'!AD284</f>
        <v>0</v>
      </c>
      <c r="W806">
        <f>'Bookings and Drivers'!AE284</f>
        <v>0</v>
      </c>
      <c r="X806">
        <f>'Bookings and Drivers'!AF284</f>
        <v>0</v>
      </c>
      <c r="Y806">
        <f>'Bookings and Drivers'!AG284</f>
        <v>0</v>
      </c>
      <c r="Z806">
        <f>'Bookings and Drivers'!AH284</f>
        <v>0</v>
      </c>
      <c r="AA806">
        <f>'Bookings and Drivers'!AI284</f>
        <v>0</v>
      </c>
      <c r="AB806">
        <f>'Bookings and Drivers'!AJ284</f>
        <v>0</v>
      </c>
      <c r="AC806">
        <f>'Bookings and Drivers'!AK284</f>
        <v>0</v>
      </c>
      <c r="AD806">
        <f>'Bookings and Drivers'!AL284</f>
        <v>0</v>
      </c>
      <c r="AE806">
        <f>'Bookings and Drivers'!AM284</f>
        <v>0</v>
      </c>
      <c r="AF806">
        <f>'Bookings and Drivers'!AN284</f>
        <v>0</v>
      </c>
      <c r="AG806">
        <f>'Bookings and Drivers'!AO284</f>
        <v>0</v>
      </c>
      <c r="AH806">
        <f>'Bookings and Drivers'!AP284</f>
        <v>0</v>
      </c>
      <c r="AI806">
        <f>'Bookings and Drivers'!AQ284</f>
        <v>0</v>
      </c>
      <c r="AJ806">
        <f>'Bookings and Drivers'!AR284</f>
        <v>0</v>
      </c>
      <c r="AK806">
        <f>'Bookings and Drivers'!AS284</f>
        <v>0</v>
      </c>
      <c r="AL806">
        <f>'Bookings and Drivers'!AT284</f>
        <v>0</v>
      </c>
      <c r="AM806">
        <f>'Bookings and Drivers'!AU284</f>
        <v>0</v>
      </c>
      <c r="AN806">
        <f>'Bookings and Drivers'!AV284</f>
        <v>0</v>
      </c>
      <c r="AO806">
        <f>'Bookings and Drivers'!AW284</f>
        <v>0</v>
      </c>
      <c r="AP806">
        <f>'Bookings and Drivers'!AX284</f>
        <v>0</v>
      </c>
      <c r="AQ806">
        <f>'Bookings and Drivers'!AY284</f>
        <v>0</v>
      </c>
      <c r="AR806">
        <f>'Bookings and Drivers'!AZ284</f>
        <v>0</v>
      </c>
      <c r="AS806">
        <f>'Bookings and Drivers'!BA284</f>
        <v>0</v>
      </c>
      <c r="AT806">
        <f>'Bookings and Drivers'!BB284</f>
        <v>0</v>
      </c>
      <c r="AU806">
        <f>'Bookings and Drivers'!BC284</f>
        <v>0</v>
      </c>
      <c r="AV806">
        <f>'Bookings and Drivers'!BD284</f>
        <v>0</v>
      </c>
      <c r="AW806">
        <f>'Bookings and Drivers'!BE284</f>
        <v>0</v>
      </c>
      <c r="AX806">
        <f>'Bookings and Drivers'!BF284</f>
        <v>0</v>
      </c>
      <c r="AY806">
        <f>'Bookings and Drivers'!BG284</f>
        <v>0</v>
      </c>
      <c r="AZ806">
        <f>'Bookings and Drivers'!BH284</f>
        <v>0</v>
      </c>
      <c r="BA806">
        <f>'Bookings and Drivers'!BI284</f>
        <v>0</v>
      </c>
      <c r="BB806">
        <f>'Bookings and Drivers'!BJ284</f>
        <v>0</v>
      </c>
      <c r="BC806">
        <f>'Bookings and Drivers'!BK284</f>
        <v>0</v>
      </c>
      <c r="BD806">
        <f>'Bookings and Drivers'!BL284</f>
        <v>0</v>
      </c>
      <c r="BE806">
        <f>'Bookings and Drivers'!BM284</f>
        <v>0.5988958652737284</v>
      </c>
      <c r="BF806">
        <f>'Bookings and Drivers'!BN284</f>
        <v>0</v>
      </c>
      <c r="BG806">
        <f>'Bookings and Drivers'!BO284</f>
        <v>0</v>
      </c>
      <c r="BH806">
        <f>'Bookings and Drivers'!BP284</f>
        <v>0</v>
      </c>
      <c r="BI806">
        <f>'Bookings and Drivers'!BQ284</f>
        <v>0</v>
      </c>
      <c r="BJ806">
        <f>'Bookings and Drivers'!BR284</f>
        <v>0</v>
      </c>
      <c r="BK806">
        <f>'Bookings and Drivers'!BS284</f>
        <v>0</v>
      </c>
      <c r="BL806">
        <f>'Bookings and Drivers'!BT284</f>
        <v>0</v>
      </c>
      <c r="BM806">
        <f>'Bookings and Drivers'!BU284</f>
        <v>0</v>
      </c>
      <c r="BN806">
        <f>'Bookings and Drivers'!BV284</f>
        <v>0</v>
      </c>
      <c r="BO806">
        <f>'Bookings and Drivers'!BW284</f>
        <v>0</v>
      </c>
      <c r="BP806">
        <f>'Bookings and Drivers'!BX284</f>
        <v>0</v>
      </c>
      <c r="BQ806">
        <f>'Bookings and Drivers'!BY284</f>
        <v>0</v>
      </c>
      <c r="BR806">
        <f>'Bookings and Drivers'!BZ284</f>
        <v>0</v>
      </c>
      <c r="BS806">
        <f>'Bookings and Drivers'!CA284</f>
        <v>0</v>
      </c>
      <c r="BT806">
        <f>'Bookings and Drivers'!CB284</f>
        <v>0</v>
      </c>
      <c r="BU806">
        <f>'Bookings and Drivers'!CC284</f>
        <v>0</v>
      </c>
      <c r="BV806">
        <f>'Bookings and Drivers'!CD284</f>
        <v>0</v>
      </c>
      <c r="BW806">
        <f>'Bookings and Drivers'!CE284</f>
        <v>0</v>
      </c>
      <c r="BX806">
        <f>'Bookings and Drivers'!CF284</f>
        <v>0</v>
      </c>
      <c r="BY806">
        <f>'Bookings and Drivers'!CG284</f>
        <v>0</v>
      </c>
      <c r="BZ806">
        <f>'Bookings and Drivers'!CH284</f>
        <v>0</v>
      </c>
      <c r="CA806">
        <f>'Bookings and Drivers'!CI284</f>
        <v>0</v>
      </c>
      <c r="CB806">
        <f>'Bookings and Drivers'!CJ284</f>
        <v>0</v>
      </c>
      <c r="CC806">
        <f>'Bookings and Drivers'!CK284</f>
        <v>0</v>
      </c>
      <c r="CD806">
        <f>'Bookings and Drivers'!CL284</f>
        <v>0</v>
      </c>
      <c r="CE806">
        <f>'Bookings and Drivers'!CM284</f>
        <v>0</v>
      </c>
      <c r="CF806">
        <f>'Bookings and Drivers'!CN284</f>
        <v>0</v>
      </c>
      <c r="CG806">
        <f>'Bookings and Drivers'!CO284</f>
        <v>0</v>
      </c>
      <c r="CH806">
        <f>'Bookings and Drivers'!CP284</f>
        <v>0</v>
      </c>
      <c r="CI806">
        <f>'Bookings and Drivers'!CQ284</f>
        <v>0</v>
      </c>
      <c r="CJ806">
        <f>'Bookings and Drivers'!CR284</f>
        <v>0</v>
      </c>
      <c r="CK806">
        <f>'Bookings and Drivers'!CS284</f>
        <v>0</v>
      </c>
      <c r="CL806">
        <f>'Bookings and Drivers'!CT284</f>
        <v>0</v>
      </c>
      <c r="CM806">
        <f>'Bookings and Drivers'!CU284</f>
        <v>0</v>
      </c>
      <c r="CN806">
        <f>'Bookings and Drivers'!CV284</f>
        <v>0</v>
      </c>
      <c r="CO806">
        <f>'Bookings and Drivers'!CW284</f>
        <v>0</v>
      </c>
      <c r="CP806">
        <f>'Bookings and Drivers'!CX284</f>
        <v>0</v>
      </c>
      <c r="CQ806">
        <f>'Bookings and Drivers'!CY284</f>
        <v>0</v>
      </c>
      <c r="CR806">
        <f>'Bookings and Drivers'!CZ284</f>
        <v>0</v>
      </c>
      <c r="CS806">
        <f>'Bookings and Drivers'!DA284</f>
        <v>0</v>
      </c>
      <c r="CT806">
        <f>'Bookings and Drivers'!DB284</f>
        <v>0</v>
      </c>
      <c r="CU806">
        <f>'Bookings and Drivers'!DC284</f>
        <v>0</v>
      </c>
      <c r="CV806">
        <f>'Bookings and Drivers'!DD284</f>
        <v>0</v>
      </c>
      <c r="CW806">
        <f>'Bookings and Drivers'!DE284</f>
        <v>0</v>
      </c>
      <c r="CX806">
        <f>'Bookings and Drivers'!DF284</f>
        <v>0</v>
      </c>
    </row>
    <row r="807" spans="1:102">
      <c r="A807" t="str">
        <f>'Bookings and Drivers'!I285</f>
        <v>Agoda</v>
      </c>
      <c r="B807">
        <f>'Bookings and Drivers'!J285</f>
        <v>0</v>
      </c>
      <c r="C807">
        <f>'Bookings and Drivers'!K285</f>
        <v>0</v>
      </c>
      <c r="D807">
        <f>'Bookings and Drivers'!L285</f>
        <v>0</v>
      </c>
      <c r="E807">
        <f>'Bookings and Drivers'!M285</f>
        <v>0</v>
      </c>
      <c r="F807">
        <f>'Bookings and Drivers'!N285</f>
        <v>0</v>
      </c>
      <c r="G807">
        <f>'Bookings and Drivers'!O285</f>
        <v>0</v>
      </c>
      <c r="H807">
        <f>'Bookings and Drivers'!P285</f>
        <v>0</v>
      </c>
      <c r="I807">
        <f>'Bookings and Drivers'!Q285</f>
        <v>0</v>
      </c>
      <c r="J807">
        <f>'Bookings and Drivers'!R285</f>
        <v>0</v>
      </c>
      <c r="K807">
        <f>'Bookings and Drivers'!S285</f>
        <v>0</v>
      </c>
      <c r="L807">
        <f>'Bookings and Drivers'!T285</f>
        <v>0</v>
      </c>
      <c r="M807">
        <f>'Bookings and Drivers'!U285</f>
        <v>0</v>
      </c>
      <c r="N807">
        <f>'Bookings and Drivers'!V285</f>
        <v>0</v>
      </c>
      <c r="O807">
        <f>'Bookings and Drivers'!W285</f>
        <v>0</v>
      </c>
      <c r="P807">
        <f>'Bookings and Drivers'!X285</f>
        <v>0</v>
      </c>
      <c r="Q807">
        <f>'Bookings and Drivers'!Y285</f>
        <v>0</v>
      </c>
      <c r="R807">
        <f>'Bookings and Drivers'!Z285</f>
        <v>0</v>
      </c>
      <c r="S807">
        <f>'Bookings and Drivers'!AA285</f>
        <v>0</v>
      </c>
      <c r="T807">
        <f>'Bookings and Drivers'!AB285</f>
        <v>0</v>
      </c>
      <c r="U807">
        <f>'Bookings and Drivers'!AC285</f>
        <v>0</v>
      </c>
      <c r="V807">
        <f>'Bookings and Drivers'!AD285</f>
        <v>0</v>
      </c>
      <c r="W807">
        <f>'Bookings and Drivers'!AE285</f>
        <v>0</v>
      </c>
      <c r="X807">
        <f>'Bookings and Drivers'!AF285</f>
        <v>0</v>
      </c>
      <c r="Y807">
        <f>'Bookings and Drivers'!AG285</f>
        <v>0</v>
      </c>
      <c r="Z807">
        <f>'Bookings and Drivers'!AH285</f>
        <v>0</v>
      </c>
      <c r="AA807">
        <f>'Bookings and Drivers'!AI285</f>
        <v>0</v>
      </c>
      <c r="AB807">
        <f>'Bookings and Drivers'!AJ285</f>
        <v>0</v>
      </c>
      <c r="AC807">
        <f>'Bookings and Drivers'!AK285</f>
        <v>0</v>
      </c>
      <c r="AD807">
        <f>'Bookings and Drivers'!AL285</f>
        <v>0</v>
      </c>
      <c r="AE807">
        <f>'Bookings and Drivers'!AM285</f>
        <v>0</v>
      </c>
      <c r="AF807">
        <f>'Bookings and Drivers'!AN285</f>
        <v>0</v>
      </c>
      <c r="AG807">
        <f>'Bookings and Drivers'!AO285</f>
        <v>0</v>
      </c>
      <c r="AH807">
        <f>'Bookings and Drivers'!AP285</f>
        <v>0</v>
      </c>
      <c r="AI807">
        <f>'Bookings and Drivers'!AQ285</f>
        <v>0</v>
      </c>
      <c r="AJ807">
        <f>'Bookings and Drivers'!AR285</f>
        <v>0</v>
      </c>
      <c r="AK807">
        <f>'Bookings and Drivers'!AS285</f>
        <v>0</v>
      </c>
      <c r="AL807">
        <f>'Bookings and Drivers'!AT285</f>
        <v>0</v>
      </c>
      <c r="AM807">
        <f>'Bookings and Drivers'!AU285</f>
        <v>0</v>
      </c>
      <c r="AN807">
        <f>'Bookings and Drivers'!AV285</f>
        <v>0</v>
      </c>
      <c r="AO807">
        <f>'Bookings and Drivers'!AW285</f>
        <v>0</v>
      </c>
      <c r="AP807">
        <f>'Bookings and Drivers'!AX285</f>
        <v>0</v>
      </c>
      <c r="AQ807">
        <f>'Bookings and Drivers'!AY285</f>
        <v>0</v>
      </c>
      <c r="AR807">
        <f>'Bookings and Drivers'!AZ285</f>
        <v>0</v>
      </c>
      <c r="AS807">
        <f>'Bookings and Drivers'!BA285</f>
        <v>2.3582217665531502</v>
      </c>
      <c r="AT807">
        <f>'Bookings and Drivers'!BB285</f>
        <v>2.5137696550470485</v>
      </c>
      <c r="AU807">
        <f>'Bookings and Drivers'!BC285</f>
        <v>2.8838673722876269</v>
      </c>
      <c r="AV807">
        <f>'Bookings and Drivers'!BD285</f>
        <v>3.0286364077812822</v>
      </c>
      <c r="AW807">
        <f>'Bookings and Drivers'!BE285</f>
        <v>4.0842397468924796</v>
      </c>
      <c r="AX807">
        <f>'Bookings and Drivers'!BF285</f>
        <v>4.8674953658640758</v>
      </c>
      <c r="AY807">
        <f>'Bookings and Drivers'!BG285</f>
        <v>5.496480801736273</v>
      </c>
      <c r="AZ807">
        <f>'Bookings and Drivers'!BH285</f>
        <v>6.2903291400330863</v>
      </c>
      <c r="BA807">
        <f>'Bookings and Drivers'!BI285</f>
        <v>6.9432075697172149</v>
      </c>
      <c r="BB807">
        <f>'Bookings and Drivers'!BJ285</f>
        <v>8.274742121968929</v>
      </c>
      <c r="BC807">
        <f>'Bookings and Drivers'!BK285</f>
        <v>9.3440173629516643</v>
      </c>
      <c r="BD807">
        <f>'Bookings and Drivers'!BL285</f>
        <v>4.5507180581812001</v>
      </c>
      <c r="BE807">
        <f>'Bookings and Drivers'!BM285</f>
        <v>0.11687734275232201</v>
      </c>
      <c r="BF807">
        <f>'Bookings and Drivers'!BN285</f>
        <v>0</v>
      </c>
      <c r="BG807">
        <f>'Bookings and Drivers'!BO285</f>
        <v>0</v>
      </c>
      <c r="BH807">
        <f>'Bookings and Drivers'!BP285</f>
        <v>0</v>
      </c>
      <c r="BI807">
        <f>'Bookings and Drivers'!BQ285</f>
        <v>0</v>
      </c>
      <c r="BJ807">
        <f>'Bookings and Drivers'!BR285</f>
        <v>0</v>
      </c>
      <c r="BK807">
        <f>'Bookings and Drivers'!BS285</f>
        <v>0</v>
      </c>
      <c r="BL807">
        <f>'Bookings and Drivers'!BT285</f>
        <v>0</v>
      </c>
      <c r="BM807">
        <f>'Bookings and Drivers'!BU285</f>
        <v>0</v>
      </c>
      <c r="BN807">
        <f>'Bookings and Drivers'!BV285</f>
        <v>0</v>
      </c>
      <c r="BO807">
        <f>'Bookings and Drivers'!BW285</f>
        <v>0</v>
      </c>
      <c r="BP807">
        <f>'Bookings and Drivers'!BX285</f>
        <v>0</v>
      </c>
      <c r="BQ807">
        <f>'Bookings and Drivers'!BY285</f>
        <v>0</v>
      </c>
      <c r="BR807">
        <f>'Bookings and Drivers'!BZ285</f>
        <v>0</v>
      </c>
      <c r="BS807">
        <f>'Bookings and Drivers'!CA285</f>
        <v>0</v>
      </c>
      <c r="BT807">
        <f>'Bookings and Drivers'!CB285</f>
        <v>0</v>
      </c>
      <c r="BU807">
        <f>'Bookings and Drivers'!CC285</f>
        <v>0</v>
      </c>
      <c r="BV807">
        <f>'Bookings and Drivers'!CD285</f>
        <v>0</v>
      </c>
      <c r="BW807">
        <f>'Bookings and Drivers'!CE285</f>
        <v>0</v>
      </c>
      <c r="BX807">
        <f>'Bookings and Drivers'!CF285</f>
        <v>0</v>
      </c>
      <c r="BY807">
        <f>'Bookings and Drivers'!CG285</f>
        <v>0</v>
      </c>
      <c r="BZ807">
        <f>'Bookings and Drivers'!CH285</f>
        <v>0</v>
      </c>
      <c r="CA807">
        <f>'Bookings and Drivers'!CI285</f>
        <v>0</v>
      </c>
      <c r="CB807">
        <f>'Bookings and Drivers'!CJ285</f>
        <v>0</v>
      </c>
      <c r="CC807">
        <f>'Bookings and Drivers'!CK285</f>
        <v>0</v>
      </c>
      <c r="CD807">
        <f>'Bookings and Drivers'!CL285</f>
        <v>0</v>
      </c>
      <c r="CE807">
        <f>'Bookings and Drivers'!CM285</f>
        <v>0</v>
      </c>
      <c r="CF807">
        <f>'Bookings and Drivers'!CN285</f>
        <v>0</v>
      </c>
      <c r="CG807">
        <f>'Bookings and Drivers'!CO285</f>
        <v>0</v>
      </c>
      <c r="CH807">
        <f>'Bookings and Drivers'!CP285</f>
        <v>2.1397444475737286</v>
      </c>
      <c r="CI807">
        <f>'Bookings and Drivers'!CQ285</f>
        <v>5.7761237043901437</v>
      </c>
      <c r="CJ807">
        <f>'Bookings and Drivers'!CR285</f>
        <v>11.700089584467738</v>
      </c>
      <c r="CK807">
        <f>'Bookings and Drivers'!CS285</f>
        <v>20.738545054525915</v>
      </c>
      <c r="CL807">
        <f>'Bookings and Drivers'!CT285</f>
        <v>29.112685112819008</v>
      </c>
      <c r="CM807">
        <f>'Bookings and Drivers'!CU285</f>
        <v>37.421602032485794</v>
      </c>
      <c r="CN807">
        <f>'Bookings and Drivers'!CV285</f>
        <v>46.316195981548361</v>
      </c>
      <c r="CO807">
        <f>'Bookings and Drivers'!CW285</f>
        <v>61.062729327466116</v>
      </c>
      <c r="CP807">
        <f>'Bookings and Drivers'!CX285</f>
        <v>76.509859559326543</v>
      </c>
      <c r="CQ807">
        <f>'Bookings and Drivers'!CY285</f>
        <v>85.747656049540993</v>
      </c>
      <c r="CR807">
        <f>'Bookings and Drivers'!CZ285</f>
        <v>96.661782427132508</v>
      </c>
      <c r="CS807">
        <f>'Bookings and Drivers'!DA285</f>
        <v>107.13750309767299</v>
      </c>
      <c r="CT807">
        <f>'Bookings and Drivers'!DB285</f>
        <v>0</v>
      </c>
      <c r="CU807">
        <f>'Bookings and Drivers'!DC285</f>
        <v>0</v>
      </c>
      <c r="CV807">
        <f>'Bookings and Drivers'!DD285</f>
        <v>0</v>
      </c>
      <c r="CW807">
        <f>'Bookings and Drivers'!DE285</f>
        <v>0</v>
      </c>
      <c r="CX807">
        <f>'Bookings and Drivers'!DF285</f>
        <v>0</v>
      </c>
    </row>
    <row r="808" spans="1:102">
      <c r="A808" t="str">
        <f>'Bookings and Drivers'!I286</f>
        <v>Booking.com</v>
      </c>
      <c r="B808">
        <f>'Bookings and Drivers'!J286</f>
        <v>0</v>
      </c>
      <c r="C808">
        <f>'Bookings and Drivers'!K286</f>
        <v>0</v>
      </c>
      <c r="D808">
        <f>'Bookings and Drivers'!L286</f>
        <v>0</v>
      </c>
      <c r="E808">
        <f>'Bookings and Drivers'!M286</f>
        <v>0</v>
      </c>
      <c r="F808">
        <f>'Bookings and Drivers'!N286</f>
        <v>0</v>
      </c>
      <c r="G808">
        <f>'Bookings and Drivers'!O286</f>
        <v>0</v>
      </c>
      <c r="H808">
        <f>'Bookings and Drivers'!P286</f>
        <v>0</v>
      </c>
      <c r="I808">
        <f>'Bookings and Drivers'!Q286</f>
        <v>0</v>
      </c>
      <c r="J808">
        <f>'Bookings and Drivers'!R286</f>
        <v>0</v>
      </c>
      <c r="K808">
        <f>'Bookings and Drivers'!S286</f>
        <v>0</v>
      </c>
      <c r="L808">
        <f>'Bookings and Drivers'!T286</f>
        <v>0</v>
      </c>
      <c r="M808">
        <f>'Bookings and Drivers'!U286</f>
        <v>0</v>
      </c>
      <c r="N808">
        <f>'Bookings and Drivers'!V286</f>
        <v>0</v>
      </c>
      <c r="O808">
        <f>'Bookings and Drivers'!W286</f>
        <v>0</v>
      </c>
      <c r="P808">
        <f>'Bookings and Drivers'!X286</f>
        <v>0</v>
      </c>
      <c r="Q808">
        <f>'Bookings and Drivers'!Y286</f>
        <v>0</v>
      </c>
      <c r="R808">
        <f>'Bookings and Drivers'!Z286</f>
        <v>0</v>
      </c>
      <c r="S808">
        <f>'Bookings and Drivers'!AA286</f>
        <v>0</v>
      </c>
      <c r="T808">
        <f>'Bookings and Drivers'!AB286</f>
        <v>0</v>
      </c>
      <c r="U808">
        <f>'Bookings and Drivers'!AC286</f>
        <v>0</v>
      </c>
      <c r="V808">
        <f>'Bookings and Drivers'!AD286</f>
        <v>0</v>
      </c>
      <c r="W808">
        <f>'Bookings and Drivers'!AE286</f>
        <v>0</v>
      </c>
      <c r="X808">
        <f>'Bookings and Drivers'!AF286</f>
        <v>0</v>
      </c>
      <c r="Y808">
        <f>'Bookings and Drivers'!AG286</f>
        <v>0</v>
      </c>
      <c r="Z808">
        <f>'Bookings and Drivers'!AH286</f>
        <v>0</v>
      </c>
      <c r="AA808">
        <f>'Bookings and Drivers'!AI286</f>
        <v>0</v>
      </c>
      <c r="AB808">
        <f>'Bookings and Drivers'!AJ286</f>
        <v>0</v>
      </c>
      <c r="AC808">
        <f>'Bookings and Drivers'!AK286</f>
        <v>0</v>
      </c>
      <c r="AD808">
        <f>'Bookings and Drivers'!AL286</f>
        <v>0</v>
      </c>
      <c r="AE808">
        <f>'Bookings and Drivers'!AM286</f>
        <v>0</v>
      </c>
      <c r="AF808">
        <f>'Bookings and Drivers'!AN286</f>
        <v>0</v>
      </c>
      <c r="AG808">
        <f>'Bookings and Drivers'!AO286</f>
        <v>0</v>
      </c>
      <c r="AH808">
        <f>'Bookings and Drivers'!AP286</f>
        <v>0</v>
      </c>
      <c r="AI808">
        <f>'Bookings and Drivers'!AQ286</f>
        <v>0</v>
      </c>
      <c r="AJ808">
        <f>'Bookings and Drivers'!AR286</f>
        <v>0</v>
      </c>
      <c r="AK808">
        <f>'Bookings and Drivers'!AS286</f>
        <v>0</v>
      </c>
      <c r="AL808">
        <f>'Bookings and Drivers'!AT286</f>
        <v>0</v>
      </c>
      <c r="AM808">
        <f>'Bookings and Drivers'!AU286</f>
        <v>0</v>
      </c>
      <c r="AN808">
        <f>'Bookings and Drivers'!AV286</f>
        <v>0</v>
      </c>
      <c r="AO808">
        <f>'Bookings and Drivers'!AW286</f>
        <v>0</v>
      </c>
      <c r="AP808">
        <f>'Bookings and Drivers'!AX286</f>
        <v>0</v>
      </c>
      <c r="AQ808">
        <f>'Bookings and Drivers'!AY286</f>
        <v>0</v>
      </c>
      <c r="AR808">
        <f>'Bookings and Drivers'!AZ286</f>
        <v>0</v>
      </c>
      <c r="AS808">
        <f>'Bookings and Drivers'!BA286</f>
        <v>0.76693263435369341</v>
      </c>
      <c r="AT808">
        <f>'Bookings and Drivers'!BB286</f>
        <v>0.71864717780684784</v>
      </c>
      <c r="AU808">
        <f>'Bookings and Drivers'!BC286</f>
        <v>1.0238338268552576</v>
      </c>
      <c r="AV808">
        <f>'Bookings and Drivers'!BD286</f>
        <v>1.001211759115616</v>
      </c>
      <c r="AW808">
        <f>'Bookings and Drivers'!BE286</f>
        <v>1.250129096161003</v>
      </c>
      <c r="AX808">
        <f>'Bookings and Drivers'!BF286</f>
        <v>1.3096849986255248</v>
      </c>
      <c r="AY808">
        <f>'Bookings and Drivers'!BG286</f>
        <v>1.8584445475164975</v>
      </c>
      <c r="AZ808">
        <f>'Bookings and Drivers'!BH286</f>
        <v>2.0429588380727428</v>
      </c>
      <c r="BA808">
        <f>'Bookings and Drivers'!BI286</f>
        <v>2.1252194634737052</v>
      </c>
      <c r="BB808">
        <f>'Bookings and Drivers'!BJ286</f>
        <v>2.0300117478695636</v>
      </c>
      <c r="BC808">
        <f>'Bookings and Drivers'!BK286</f>
        <v>2.8805890486505712</v>
      </c>
      <c r="BD808">
        <f>'Bookings and Drivers'!BL286</f>
        <v>3.1198258515365564</v>
      </c>
      <c r="BE808">
        <f>'Bookings and Drivers'!BM286</f>
        <v>4.0771400056327178E-2</v>
      </c>
      <c r="BF808">
        <f>'Bookings and Drivers'!BN286</f>
        <v>0</v>
      </c>
      <c r="BG808">
        <f>'Bookings and Drivers'!BO286</f>
        <v>0</v>
      </c>
      <c r="BH808">
        <f>'Bookings and Drivers'!BP286</f>
        <v>0</v>
      </c>
      <c r="BI808">
        <f>'Bookings and Drivers'!BQ286</f>
        <v>0</v>
      </c>
      <c r="BJ808">
        <f>'Bookings and Drivers'!BR286</f>
        <v>0</v>
      </c>
      <c r="BK808">
        <f>'Bookings and Drivers'!BS286</f>
        <v>0</v>
      </c>
      <c r="BL808">
        <f>'Bookings and Drivers'!BT286</f>
        <v>0</v>
      </c>
      <c r="BM808">
        <f>'Bookings and Drivers'!BU286</f>
        <v>0</v>
      </c>
      <c r="BN808">
        <f>'Bookings and Drivers'!BV286</f>
        <v>0</v>
      </c>
      <c r="BO808">
        <f>'Bookings and Drivers'!BW286</f>
        <v>0</v>
      </c>
      <c r="BP808">
        <f>'Bookings and Drivers'!BX286</f>
        <v>0</v>
      </c>
      <c r="BQ808">
        <f>'Bookings and Drivers'!BY286</f>
        <v>0</v>
      </c>
      <c r="BR808">
        <f>'Bookings and Drivers'!BZ286</f>
        <v>0</v>
      </c>
      <c r="BS808">
        <f>'Bookings and Drivers'!CA286</f>
        <v>0</v>
      </c>
      <c r="BT808">
        <f>'Bookings and Drivers'!CB286</f>
        <v>0</v>
      </c>
      <c r="BU808">
        <f>'Bookings and Drivers'!CC286</f>
        <v>0</v>
      </c>
      <c r="BV808">
        <f>'Bookings and Drivers'!CD286</f>
        <v>0</v>
      </c>
      <c r="BW808">
        <f>'Bookings and Drivers'!CE286</f>
        <v>0</v>
      </c>
      <c r="BX808">
        <f>'Bookings and Drivers'!CF286</f>
        <v>0</v>
      </c>
      <c r="BY808">
        <f>'Bookings and Drivers'!CG286</f>
        <v>0</v>
      </c>
      <c r="BZ808">
        <f>'Bookings and Drivers'!CH286</f>
        <v>0</v>
      </c>
      <c r="CA808">
        <f>'Bookings and Drivers'!CI286</f>
        <v>0</v>
      </c>
      <c r="CB808">
        <f>'Bookings and Drivers'!CJ286</f>
        <v>0</v>
      </c>
      <c r="CC808">
        <f>'Bookings and Drivers'!CK286</f>
        <v>0</v>
      </c>
      <c r="CD808">
        <f>'Bookings and Drivers'!CL286</f>
        <v>0</v>
      </c>
      <c r="CE808">
        <f>'Bookings and Drivers'!CM286</f>
        <v>0</v>
      </c>
      <c r="CF808">
        <f>'Bookings and Drivers'!CN286</f>
        <v>0</v>
      </c>
      <c r="CG808">
        <f>'Bookings and Drivers'!CO286</f>
        <v>0</v>
      </c>
      <c r="CH808">
        <f>'Bookings and Drivers'!CP286</f>
        <v>0.85506203084872645</v>
      </c>
      <c r="CI808">
        <f>'Bookings and Drivers'!CQ286</f>
        <v>1.7869104766518353</v>
      </c>
      <c r="CJ808">
        <f>'Bookings and Drivers'!CR286</f>
        <v>3.7990895012031798</v>
      </c>
      <c r="CK808">
        <f>'Bookings and Drivers'!CS286</f>
        <v>6.461217480375768</v>
      </c>
      <c r="CL808">
        <f>'Bookings and Drivers'!CT286</f>
        <v>10.155646111530396</v>
      </c>
      <c r="CM808">
        <f>'Bookings and Drivers'!CU286</f>
        <v>14.560366997800333</v>
      </c>
      <c r="CN808">
        <f>'Bookings and Drivers'!CV286</f>
        <v>22.189142455721388</v>
      </c>
      <c r="CO808">
        <f>'Bookings and Drivers'!CW286</f>
        <v>29.706504253173321</v>
      </c>
      <c r="CP808">
        <f>'Bookings and Drivers'!CX286</f>
        <v>38.114716870406504</v>
      </c>
      <c r="CQ808">
        <f>'Bookings and Drivers'!CY286</f>
        <v>44.573933025489751</v>
      </c>
      <c r="CR808">
        <f>'Bookings and Drivers'!CZ286</f>
        <v>52.408806457836526</v>
      </c>
      <c r="CS808">
        <f>'Bookings and Drivers'!DA286</f>
        <v>60.249163903928867</v>
      </c>
      <c r="CT808">
        <f>'Bookings and Drivers'!DB286</f>
        <v>0</v>
      </c>
      <c r="CU808">
        <f>'Bookings and Drivers'!DC286</f>
        <v>0</v>
      </c>
      <c r="CV808">
        <f>'Bookings and Drivers'!DD286</f>
        <v>0</v>
      </c>
      <c r="CW808">
        <f>'Bookings and Drivers'!DE286</f>
        <v>0</v>
      </c>
      <c r="CX808">
        <f>'Bookings and Drivers'!DF286</f>
        <v>0</v>
      </c>
    </row>
    <row r="809" spans="1:102">
      <c r="A809" t="str">
        <f>'Bookings and Drivers'!I287</f>
        <v>Latin America</v>
      </c>
      <c r="B809">
        <f>'Bookings and Drivers'!J287</f>
        <v>0</v>
      </c>
      <c r="C809">
        <f>'Bookings and Drivers'!K287</f>
        <v>0</v>
      </c>
      <c r="D809">
        <f>'Bookings and Drivers'!L287</f>
        <v>0</v>
      </c>
      <c r="E809">
        <f>'Bookings and Drivers'!M287</f>
        <v>0</v>
      </c>
      <c r="F809">
        <f>'Bookings and Drivers'!N287</f>
        <v>0</v>
      </c>
      <c r="G809">
        <f>'Bookings and Drivers'!O287</f>
        <v>0</v>
      </c>
      <c r="H809">
        <f>'Bookings and Drivers'!P287</f>
        <v>0</v>
      </c>
      <c r="I809">
        <f>'Bookings and Drivers'!Q287</f>
        <v>0</v>
      </c>
      <c r="J809">
        <f>'Bookings and Drivers'!R287</f>
        <v>0</v>
      </c>
      <c r="K809">
        <f>'Bookings and Drivers'!S287</f>
        <v>0</v>
      </c>
      <c r="L809">
        <f>'Bookings and Drivers'!T287</f>
        <v>0</v>
      </c>
      <c r="M809">
        <f>'Bookings and Drivers'!U287</f>
        <v>0</v>
      </c>
      <c r="N809">
        <f>'Bookings and Drivers'!V287</f>
        <v>0</v>
      </c>
      <c r="O809">
        <f>'Bookings and Drivers'!W287</f>
        <v>0</v>
      </c>
      <c r="P809">
        <f>'Bookings and Drivers'!X287</f>
        <v>0</v>
      </c>
      <c r="Q809">
        <f>'Bookings and Drivers'!Y287</f>
        <v>0</v>
      </c>
      <c r="R809">
        <f>'Bookings and Drivers'!Z287</f>
        <v>0</v>
      </c>
      <c r="S809">
        <f>'Bookings and Drivers'!AA287</f>
        <v>0</v>
      </c>
      <c r="T809">
        <f>'Bookings and Drivers'!AB287</f>
        <v>0</v>
      </c>
      <c r="U809">
        <f>'Bookings and Drivers'!AC287</f>
        <v>0</v>
      </c>
      <c r="V809">
        <f>'Bookings and Drivers'!AD287</f>
        <v>0</v>
      </c>
      <c r="W809">
        <f>'Bookings and Drivers'!AE287</f>
        <v>0</v>
      </c>
      <c r="X809">
        <f>'Bookings and Drivers'!AF287</f>
        <v>0</v>
      </c>
      <c r="Y809">
        <f>'Bookings and Drivers'!AG287</f>
        <v>0</v>
      </c>
      <c r="Z809">
        <f>'Bookings and Drivers'!AH287</f>
        <v>0</v>
      </c>
      <c r="AA809">
        <f>'Bookings and Drivers'!AI287</f>
        <v>0</v>
      </c>
      <c r="AB809">
        <f>'Bookings and Drivers'!AJ287</f>
        <v>0</v>
      </c>
      <c r="AC809">
        <f>'Bookings and Drivers'!AK287</f>
        <v>0</v>
      </c>
      <c r="AD809">
        <f>'Bookings and Drivers'!AL287</f>
        <v>0</v>
      </c>
      <c r="AE809">
        <f>'Bookings and Drivers'!AM287</f>
        <v>0</v>
      </c>
      <c r="AF809">
        <f>'Bookings and Drivers'!AN287</f>
        <v>0</v>
      </c>
      <c r="AG809">
        <f>'Bookings and Drivers'!AO287</f>
        <v>0</v>
      </c>
      <c r="AH809">
        <f>'Bookings and Drivers'!AP287</f>
        <v>0</v>
      </c>
      <c r="AI809">
        <f>'Bookings and Drivers'!AQ287</f>
        <v>0</v>
      </c>
      <c r="AJ809">
        <f>'Bookings and Drivers'!AR287</f>
        <v>0</v>
      </c>
      <c r="AK809">
        <f>'Bookings and Drivers'!AS287</f>
        <v>0</v>
      </c>
      <c r="AL809">
        <f>'Bookings and Drivers'!AT287</f>
        <v>0</v>
      </c>
      <c r="AM809">
        <f>'Bookings and Drivers'!AU287</f>
        <v>0</v>
      </c>
      <c r="AN809">
        <f>'Bookings and Drivers'!AV287</f>
        <v>0</v>
      </c>
      <c r="AO809">
        <f>'Bookings and Drivers'!AW287</f>
        <v>0</v>
      </c>
      <c r="AP809">
        <f>'Bookings and Drivers'!AX287</f>
        <v>0</v>
      </c>
      <c r="AQ809">
        <f>'Bookings and Drivers'!AY287</f>
        <v>0</v>
      </c>
      <c r="AR809">
        <f>'Bookings and Drivers'!AZ287</f>
        <v>0</v>
      </c>
      <c r="AS809">
        <f>'Bookings and Drivers'!BA287</f>
        <v>0</v>
      </c>
      <c r="AT809">
        <f>'Bookings and Drivers'!BB287</f>
        <v>0</v>
      </c>
      <c r="AU809">
        <f>'Bookings and Drivers'!BC287</f>
        <v>0</v>
      </c>
      <c r="AV809">
        <f>'Bookings and Drivers'!BD287</f>
        <v>0</v>
      </c>
      <c r="AW809">
        <f>'Bookings and Drivers'!BE287</f>
        <v>0</v>
      </c>
      <c r="AX809">
        <f>'Bookings and Drivers'!BF287</f>
        <v>0</v>
      </c>
      <c r="AY809">
        <f>'Bookings and Drivers'!BG287</f>
        <v>0</v>
      </c>
      <c r="AZ809">
        <f>'Bookings and Drivers'!BH287</f>
        <v>0</v>
      </c>
      <c r="BA809">
        <f>'Bookings and Drivers'!BI287</f>
        <v>0</v>
      </c>
      <c r="BB809">
        <f>'Bookings and Drivers'!BJ287</f>
        <v>0</v>
      </c>
      <c r="BC809">
        <f>'Bookings and Drivers'!BK287</f>
        <v>0</v>
      </c>
      <c r="BD809">
        <f>'Bookings and Drivers'!BL287</f>
        <v>0</v>
      </c>
      <c r="BE809">
        <f>'Bookings and Drivers'!BM287</f>
        <v>7.3455391917622431E-2</v>
      </c>
      <c r="BF809">
        <f>'Bookings and Drivers'!BN287</f>
        <v>0</v>
      </c>
      <c r="BG809">
        <f>'Bookings and Drivers'!BO287</f>
        <v>0</v>
      </c>
      <c r="BH809">
        <f>'Bookings and Drivers'!BP287</f>
        <v>0</v>
      </c>
      <c r="BI809">
        <f>'Bookings and Drivers'!BQ287</f>
        <v>0</v>
      </c>
      <c r="BJ809">
        <f>'Bookings and Drivers'!BR287</f>
        <v>0</v>
      </c>
      <c r="BK809">
        <f>'Bookings and Drivers'!BS287</f>
        <v>0</v>
      </c>
      <c r="BL809">
        <f>'Bookings and Drivers'!BT287</f>
        <v>0</v>
      </c>
      <c r="BM809">
        <f>'Bookings and Drivers'!BU287</f>
        <v>0</v>
      </c>
      <c r="BN809">
        <f>'Bookings and Drivers'!BV287</f>
        <v>0</v>
      </c>
      <c r="BO809">
        <f>'Bookings and Drivers'!BW287</f>
        <v>0</v>
      </c>
      <c r="BP809">
        <f>'Bookings and Drivers'!BX287</f>
        <v>0</v>
      </c>
      <c r="BQ809">
        <f>'Bookings and Drivers'!BY287</f>
        <v>0</v>
      </c>
      <c r="BR809">
        <f>'Bookings and Drivers'!BZ287</f>
        <v>0</v>
      </c>
      <c r="BS809">
        <f>'Bookings and Drivers'!CA287</f>
        <v>0</v>
      </c>
      <c r="BT809">
        <f>'Bookings and Drivers'!CB287</f>
        <v>0</v>
      </c>
      <c r="BU809">
        <f>'Bookings and Drivers'!CC287</f>
        <v>0</v>
      </c>
      <c r="BV809">
        <f>'Bookings and Drivers'!CD287</f>
        <v>0</v>
      </c>
      <c r="BW809">
        <f>'Bookings and Drivers'!CE287</f>
        <v>0</v>
      </c>
      <c r="BX809">
        <f>'Bookings and Drivers'!CF287</f>
        <v>0</v>
      </c>
      <c r="BY809">
        <f>'Bookings and Drivers'!CG287</f>
        <v>0</v>
      </c>
      <c r="BZ809">
        <f>'Bookings and Drivers'!CH287</f>
        <v>0</v>
      </c>
      <c r="CA809">
        <f>'Bookings and Drivers'!CI287</f>
        <v>0</v>
      </c>
      <c r="CB809">
        <f>'Bookings and Drivers'!CJ287</f>
        <v>0</v>
      </c>
      <c r="CC809">
        <f>'Bookings and Drivers'!CK287</f>
        <v>0</v>
      </c>
      <c r="CD809">
        <f>'Bookings and Drivers'!CL287</f>
        <v>0</v>
      </c>
      <c r="CE809">
        <f>'Bookings and Drivers'!CM287</f>
        <v>0</v>
      </c>
      <c r="CF809">
        <f>'Bookings and Drivers'!CN287</f>
        <v>0</v>
      </c>
      <c r="CG809">
        <f>'Bookings and Drivers'!CO287</f>
        <v>0</v>
      </c>
      <c r="CH809">
        <f>'Bookings and Drivers'!CP287</f>
        <v>0.77825869192323005</v>
      </c>
      <c r="CI809">
        <f>'Bookings and Drivers'!CQ287</f>
        <v>2.2630371909994649</v>
      </c>
      <c r="CJ809">
        <f>'Bookings and Drivers'!CR287</f>
        <v>4.2477954235002073</v>
      </c>
      <c r="CK809">
        <f>'Bookings and Drivers'!CS287</f>
        <v>11.288037746728337</v>
      </c>
      <c r="CL809">
        <f>'Bookings and Drivers'!CT287</f>
        <v>18.296819934280776</v>
      </c>
      <c r="CM809">
        <f>'Bookings and Drivers'!CU287</f>
        <v>28.041682825264132</v>
      </c>
      <c r="CN809">
        <f>'Bookings and Drivers'!CV287</f>
        <v>39.568402248043014</v>
      </c>
      <c r="CO809">
        <f>'Bookings and Drivers'!CW287</f>
        <v>54.165129043672593</v>
      </c>
      <c r="CP809">
        <f>'Bookings and Drivers'!CX287</f>
        <v>64.066790658183834</v>
      </c>
      <c r="CQ809">
        <f>'Bookings and Drivers'!CY287</f>
        <v>71.17784459431634</v>
      </c>
      <c r="CR809">
        <f>'Bookings and Drivers'!CZ287</f>
        <v>79.703766800981029</v>
      </c>
      <c r="CS809">
        <f>'Bookings and Drivers'!DA287</f>
        <v>88.471181149088963</v>
      </c>
      <c r="CT809">
        <f>'Bookings and Drivers'!DB287</f>
        <v>0</v>
      </c>
      <c r="CU809">
        <f>'Bookings and Drivers'!DC287</f>
        <v>0</v>
      </c>
      <c r="CV809">
        <f>'Bookings and Drivers'!DD287</f>
        <v>0</v>
      </c>
      <c r="CW809">
        <f>'Bookings and Drivers'!DE287</f>
        <v>0</v>
      </c>
      <c r="CX809">
        <f>'Bookings and Drivers'!DF287</f>
        <v>0</v>
      </c>
    </row>
    <row r="810" spans="1:102">
      <c r="A810" t="str">
        <f>'Bookings and Drivers'!I288</f>
        <v>United States</v>
      </c>
      <c r="B810">
        <f>'Bookings and Drivers'!J288</f>
        <v>0</v>
      </c>
      <c r="C810">
        <f>'Bookings and Drivers'!K288</f>
        <v>0</v>
      </c>
      <c r="D810">
        <f>'Bookings and Drivers'!L288</f>
        <v>0</v>
      </c>
      <c r="E810">
        <f>'Bookings and Drivers'!M288</f>
        <v>0</v>
      </c>
      <c r="F810">
        <f>'Bookings and Drivers'!N288</f>
        <v>0</v>
      </c>
      <c r="G810">
        <f>'Bookings and Drivers'!O288</f>
        <v>0</v>
      </c>
      <c r="H810">
        <f>'Bookings and Drivers'!P288</f>
        <v>0</v>
      </c>
      <c r="I810">
        <f>'Bookings and Drivers'!Q288</f>
        <v>0</v>
      </c>
      <c r="J810">
        <f>'Bookings and Drivers'!R288</f>
        <v>0</v>
      </c>
      <c r="K810">
        <f>'Bookings and Drivers'!S288</f>
        <v>0</v>
      </c>
      <c r="L810">
        <f>'Bookings and Drivers'!T288</f>
        <v>0</v>
      </c>
      <c r="M810">
        <f>'Bookings and Drivers'!U288</f>
        <v>0</v>
      </c>
      <c r="N810">
        <f>'Bookings and Drivers'!V288</f>
        <v>0</v>
      </c>
      <c r="O810">
        <f>'Bookings and Drivers'!W288</f>
        <v>0</v>
      </c>
      <c r="P810">
        <f>'Bookings and Drivers'!X288</f>
        <v>0</v>
      </c>
      <c r="Q810">
        <f>'Bookings and Drivers'!Y288</f>
        <v>0</v>
      </c>
      <c r="R810">
        <f>'Bookings and Drivers'!Z288</f>
        <v>0</v>
      </c>
      <c r="S810">
        <f>'Bookings and Drivers'!AA288</f>
        <v>0</v>
      </c>
      <c r="T810">
        <f>'Bookings and Drivers'!AB288</f>
        <v>0</v>
      </c>
      <c r="U810">
        <f>'Bookings and Drivers'!AC288</f>
        <v>0</v>
      </c>
      <c r="V810">
        <f>'Bookings and Drivers'!AD288</f>
        <v>0</v>
      </c>
      <c r="W810">
        <f>'Bookings and Drivers'!AE288</f>
        <v>0</v>
      </c>
      <c r="X810">
        <f>'Bookings and Drivers'!AF288</f>
        <v>0</v>
      </c>
      <c r="Y810">
        <f>'Bookings and Drivers'!AG288</f>
        <v>0</v>
      </c>
      <c r="Z810">
        <f>'Bookings and Drivers'!AH288</f>
        <v>0</v>
      </c>
      <c r="AA810">
        <f>'Bookings and Drivers'!AI288</f>
        <v>0</v>
      </c>
      <c r="AB810">
        <f>'Bookings and Drivers'!AJ288</f>
        <v>0</v>
      </c>
      <c r="AC810">
        <f>'Bookings and Drivers'!AK288</f>
        <v>0</v>
      </c>
      <c r="AD810">
        <f>'Bookings and Drivers'!AL288</f>
        <v>0</v>
      </c>
      <c r="AE810">
        <f>'Bookings and Drivers'!AM288</f>
        <v>0</v>
      </c>
      <c r="AF810">
        <f>'Bookings and Drivers'!AN288</f>
        <v>0</v>
      </c>
      <c r="AG810">
        <f>'Bookings and Drivers'!AO288</f>
        <v>0</v>
      </c>
      <c r="AH810">
        <f>'Bookings and Drivers'!AP288</f>
        <v>0</v>
      </c>
      <c r="AI810">
        <f>'Bookings and Drivers'!AQ288</f>
        <v>0</v>
      </c>
      <c r="AJ810">
        <f>'Bookings and Drivers'!AR288</f>
        <v>0</v>
      </c>
      <c r="AK810">
        <f>'Bookings and Drivers'!AS288</f>
        <v>0</v>
      </c>
      <c r="AL810">
        <f>'Bookings and Drivers'!AT288</f>
        <v>0</v>
      </c>
      <c r="AM810">
        <f>'Bookings and Drivers'!AU288</f>
        <v>0</v>
      </c>
      <c r="AN810">
        <f>'Bookings and Drivers'!AV288</f>
        <v>0</v>
      </c>
      <c r="AO810">
        <f>'Bookings and Drivers'!AW288</f>
        <v>0</v>
      </c>
      <c r="AP810">
        <f>'Bookings and Drivers'!AX288</f>
        <v>0</v>
      </c>
      <c r="AQ810">
        <f>'Bookings and Drivers'!AY288</f>
        <v>0</v>
      </c>
      <c r="AR810">
        <f>'Bookings and Drivers'!AZ288</f>
        <v>0</v>
      </c>
      <c r="AS810">
        <f>'Bookings and Drivers'!BA288</f>
        <v>1.8580012857653838</v>
      </c>
      <c r="AT810">
        <f>'Bookings and Drivers'!BB288</f>
        <v>2.2195128481541238</v>
      </c>
      <c r="AU810">
        <f>'Bookings and Drivers'!BC288</f>
        <v>2.3708432696191775</v>
      </c>
      <c r="AV810">
        <f>'Bookings and Drivers'!BD288</f>
        <v>1.9588882334087532</v>
      </c>
      <c r="AW810">
        <f>'Bookings and Drivers'!BE288</f>
        <v>3.0290413320410039</v>
      </c>
      <c r="AX810">
        <f>'Bookings and Drivers'!BF288</f>
        <v>3.5518045999903762</v>
      </c>
      <c r="AY810">
        <f>'Bookings and Drivers'!BG288</f>
        <v>3.8903869363232175</v>
      </c>
      <c r="AZ810">
        <f>'Bookings and Drivers'!BH288</f>
        <v>3.0266300978616894</v>
      </c>
      <c r="BA810">
        <f>'Bookings and Drivers'!BI288</f>
        <v>16.791922966809075</v>
      </c>
      <c r="BB810">
        <f>'Bookings and Drivers'!BJ288</f>
        <v>17.680246130161514</v>
      </c>
      <c r="BC810">
        <f>'Bookings and Drivers'!BK288</f>
        <v>12.576851760142912</v>
      </c>
      <c r="BD810">
        <f>'Bookings and Drivers'!BL288</f>
        <v>12.134638748497572</v>
      </c>
      <c r="BE810">
        <f>'Bookings and Drivers'!BM288</f>
        <v>0.17</v>
      </c>
      <c r="BF810">
        <f>'Bookings and Drivers'!BN288</f>
        <v>0</v>
      </c>
      <c r="BG810">
        <f>'Bookings and Drivers'!BO288</f>
        <v>0</v>
      </c>
      <c r="BH810">
        <f>'Bookings and Drivers'!BP288</f>
        <v>0</v>
      </c>
      <c r="BI810">
        <f>'Bookings and Drivers'!BQ288</f>
        <v>0</v>
      </c>
      <c r="BJ810">
        <f>'Bookings and Drivers'!BR288</f>
        <v>0</v>
      </c>
      <c r="BK810">
        <f>'Bookings and Drivers'!BS288</f>
        <v>0</v>
      </c>
      <c r="BL810">
        <f>'Bookings and Drivers'!BT288</f>
        <v>0</v>
      </c>
      <c r="BM810">
        <f>'Bookings and Drivers'!BU288</f>
        <v>0</v>
      </c>
      <c r="BN810">
        <f>'Bookings and Drivers'!BV288</f>
        <v>0</v>
      </c>
      <c r="BO810">
        <f>'Bookings and Drivers'!BW288</f>
        <v>0</v>
      </c>
      <c r="BP810">
        <f>'Bookings and Drivers'!BX288</f>
        <v>0</v>
      </c>
      <c r="BQ810">
        <f>'Bookings and Drivers'!BY288</f>
        <v>0</v>
      </c>
      <c r="BR810">
        <f>'Bookings and Drivers'!BZ288</f>
        <v>0</v>
      </c>
      <c r="BS810">
        <f>'Bookings and Drivers'!CA288</f>
        <v>0</v>
      </c>
      <c r="BT810">
        <f>'Bookings and Drivers'!CB288</f>
        <v>0</v>
      </c>
      <c r="BU810">
        <f>'Bookings and Drivers'!CC288</f>
        <v>0</v>
      </c>
      <c r="BV810">
        <f>'Bookings and Drivers'!CD288</f>
        <v>0</v>
      </c>
      <c r="BW810">
        <f>'Bookings and Drivers'!CE288</f>
        <v>0</v>
      </c>
      <c r="BX810">
        <f>'Bookings and Drivers'!CF288</f>
        <v>0</v>
      </c>
      <c r="BY810">
        <f>'Bookings and Drivers'!CG288</f>
        <v>0</v>
      </c>
      <c r="BZ810">
        <f>'Bookings and Drivers'!CH288</f>
        <v>0</v>
      </c>
      <c r="CA810">
        <f>'Bookings and Drivers'!CI288</f>
        <v>0</v>
      </c>
      <c r="CB810">
        <f>'Bookings and Drivers'!CJ288</f>
        <v>0</v>
      </c>
      <c r="CC810">
        <f>'Bookings and Drivers'!CK288</f>
        <v>0</v>
      </c>
      <c r="CD810">
        <f>'Bookings and Drivers'!CL288</f>
        <v>0</v>
      </c>
      <c r="CE810">
        <f>'Bookings and Drivers'!CM288</f>
        <v>0</v>
      </c>
      <c r="CF810">
        <f>'Bookings and Drivers'!CN288</f>
        <v>0</v>
      </c>
      <c r="CG810">
        <f>'Bookings and Drivers'!CO288</f>
        <v>0</v>
      </c>
      <c r="CH810">
        <f>'Bookings and Drivers'!CP288</f>
        <v>2.3347760757696903</v>
      </c>
      <c r="CI810">
        <f>'Bookings and Drivers'!CQ288</f>
        <v>3.5500169452255323</v>
      </c>
      <c r="CJ810">
        <f>'Bookings and Drivers'!CR288</f>
        <v>8.4072456369474384</v>
      </c>
      <c r="CK810">
        <f>'Bookings and Drivers'!CS288</f>
        <v>11.349781609879043</v>
      </c>
      <c r="CL810">
        <f>'Bookings and Drivers'!CT288</f>
        <v>14.300724828447596</v>
      </c>
      <c r="CM810">
        <f>'Bookings and Drivers'!CU288</f>
        <v>17.446884290706066</v>
      </c>
      <c r="CN810">
        <f>'Bookings and Drivers'!CV288</f>
        <v>20.936261148847279</v>
      </c>
      <c r="CO810">
        <f>'Bookings and Drivers'!CW288</f>
        <v>28.263952550943831</v>
      </c>
      <c r="CP810">
        <f>'Bookings and Drivers'!CX288</f>
        <v>35.329940688679791</v>
      </c>
      <c r="CQ810">
        <f>'Bookings and Drivers'!CY288</f>
        <v>44.162425860849737</v>
      </c>
      <c r="CR810">
        <f>'Bookings and Drivers'!CZ288</f>
        <v>52.994911033019683</v>
      </c>
      <c r="CS810">
        <f>'Bookings and Drivers'!DA288</f>
        <v>60.944147687972631</v>
      </c>
      <c r="CT810">
        <f>'Bookings and Drivers'!DB288</f>
        <v>0</v>
      </c>
      <c r="CU810">
        <f>'Bookings and Drivers'!DC288</f>
        <v>0</v>
      </c>
      <c r="CV810">
        <f>'Bookings and Drivers'!DD288</f>
        <v>0</v>
      </c>
      <c r="CW810">
        <f>'Bookings and Drivers'!DE288</f>
        <v>0</v>
      </c>
      <c r="CX810">
        <f>'Bookings and Drivers'!DF288</f>
        <v>0</v>
      </c>
    </row>
    <row r="811" spans="1:102">
      <c r="A811" t="str">
        <f>'Bookings and Drivers'!I291</f>
        <v>Total Int'l Room Nights</v>
      </c>
      <c r="B811">
        <f>'Bookings and Drivers'!J291</f>
        <v>0</v>
      </c>
      <c r="C811">
        <f>'Bookings and Drivers'!K291</f>
        <v>0</v>
      </c>
      <c r="D811">
        <f>'Bookings and Drivers'!L291</f>
        <v>0</v>
      </c>
      <c r="E811">
        <f>'Bookings and Drivers'!M291</f>
        <v>0</v>
      </c>
      <c r="F811">
        <f>'Bookings and Drivers'!N291</f>
        <v>0</v>
      </c>
      <c r="G811">
        <f>'Bookings and Drivers'!O291</f>
        <v>0</v>
      </c>
      <c r="H811">
        <f>'Bookings and Drivers'!P291</f>
        <v>0</v>
      </c>
      <c r="I811">
        <f>'Bookings and Drivers'!Q291</f>
        <v>0</v>
      </c>
      <c r="J811">
        <f>'Bookings and Drivers'!R291</f>
        <v>0</v>
      </c>
      <c r="K811">
        <f>'Bookings and Drivers'!S291</f>
        <v>0</v>
      </c>
      <c r="L811">
        <f>'Bookings and Drivers'!T291</f>
        <v>0</v>
      </c>
      <c r="M811">
        <f>'Bookings and Drivers'!U291</f>
        <v>0</v>
      </c>
      <c r="N811">
        <f>'Bookings and Drivers'!V291</f>
        <v>0</v>
      </c>
      <c r="O811">
        <f>'Bookings and Drivers'!W291</f>
        <v>0</v>
      </c>
      <c r="P811">
        <f>'Bookings and Drivers'!X291</f>
        <v>0</v>
      </c>
      <c r="Q811">
        <f>'Bookings and Drivers'!Y291</f>
        <v>0</v>
      </c>
      <c r="R811">
        <f>'Bookings and Drivers'!Z291</f>
        <v>0</v>
      </c>
      <c r="S811">
        <f>'Bookings and Drivers'!AA291</f>
        <v>0</v>
      </c>
      <c r="T811">
        <f>'Bookings and Drivers'!AB291</f>
        <v>0</v>
      </c>
      <c r="U811">
        <f>'Bookings and Drivers'!AC291</f>
        <v>0</v>
      </c>
      <c r="V811">
        <f>'Bookings and Drivers'!AD291</f>
        <v>0</v>
      </c>
      <c r="W811">
        <f>'Bookings and Drivers'!AE291</f>
        <v>0</v>
      </c>
      <c r="X811">
        <f>'Bookings and Drivers'!AF291</f>
        <v>0</v>
      </c>
      <c r="Y811">
        <f>'Bookings and Drivers'!AG291</f>
        <v>0</v>
      </c>
      <c r="Z811">
        <f>'Bookings and Drivers'!AH291</f>
        <v>0</v>
      </c>
      <c r="AA811">
        <f>'Bookings and Drivers'!AI291</f>
        <v>0</v>
      </c>
      <c r="AB811">
        <f>'Bookings and Drivers'!AJ291</f>
        <v>0</v>
      </c>
      <c r="AC811">
        <f>'Bookings and Drivers'!AK291</f>
        <v>0</v>
      </c>
      <c r="AD811">
        <f>'Bookings and Drivers'!AL291</f>
        <v>0</v>
      </c>
      <c r="AE811">
        <f>'Bookings and Drivers'!AM291</f>
        <v>0</v>
      </c>
      <c r="AF811">
        <f>'Bookings and Drivers'!AN291</f>
        <v>0</v>
      </c>
      <c r="AG811">
        <f>'Bookings and Drivers'!AO291</f>
        <v>0</v>
      </c>
      <c r="AH811">
        <f>'Bookings and Drivers'!AP291</f>
        <v>0</v>
      </c>
      <c r="AI811">
        <f>'Bookings and Drivers'!AQ291</f>
        <v>0</v>
      </c>
      <c r="AJ811">
        <f>'Bookings and Drivers'!AR291</f>
        <v>0</v>
      </c>
      <c r="AK811">
        <f>'Bookings and Drivers'!AS291</f>
        <v>0</v>
      </c>
      <c r="AL811">
        <f>'Bookings and Drivers'!AT291</f>
        <v>0</v>
      </c>
      <c r="AM811">
        <f>'Bookings and Drivers'!AU291</f>
        <v>0</v>
      </c>
      <c r="AN811">
        <f>'Bookings and Drivers'!AV291</f>
        <v>0</v>
      </c>
      <c r="AO811">
        <f>'Bookings and Drivers'!AW291</f>
        <v>0</v>
      </c>
      <c r="AP811">
        <f>'Bookings and Drivers'!AX291</f>
        <v>0</v>
      </c>
      <c r="AQ811">
        <f>'Bookings and Drivers'!AY291</f>
        <v>0</v>
      </c>
      <c r="AR811">
        <f>'Bookings and Drivers'!AZ291</f>
        <v>0</v>
      </c>
      <c r="AS811">
        <f>'Bookings and Drivers'!BA291</f>
        <v>0</v>
      </c>
      <c r="AT811">
        <f>'Bookings and Drivers'!BB291</f>
        <v>0</v>
      </c>
      <c r="AU811">
        <f>'Bookings and Drivers'!BC291</f>
        <v>0</v>
      </c>
      <c r="AV811">
        <f>'Bookings and Drivers'!BD291</f>
        <v>0</v>
      </c>
      <c r="AW811">
        <f>'Bookings and Drivers'!BE291</f>
        <v>0</v>
      </c>
      <c r="AX811">
        <f>'Bookings and Drivers'!BF291</f>
        <v>0</v>
      </c>
      <c r="AY811">
        <f>'Bookings and Drivers'!BG291</f>
        <v>0</v>
      </c>
      <c r="AZ811">
        <f>'Bookings and Drivers'!BH291</f>
        <v>0</v>
      </c>
      <c r="BA811">
        <f>'Bookings and Drivers'!BI291</f>
        <v>58.564099999999996</v>
      </c>
      <c r="BB811">
        <f>'Bookings and Drivers'!BJ291</f>
        <v>64.129000000000005</v>
      </c>
      <c r="BC811">
        <f>'Bookings and Drivers'!BK291</f>
        <v>68.838399999999993</v>
      </c>
      <c r="BD811">
        <f>'Bookings and Drivers'!BL291</f>
        <v>57.555999999999997</v>
      </c>
      <c r="BE811">
        <f>'Bookings and Drivers'!BM291</f>
        <v>0</v>
      </c>
      <c r="BF811">
        <f>'Bookings and Drivers'!BN291</f>
        <v>0</v>
      </c>
      <c r="BG811">
        <f>'Bookings and Drivers'!BO291</f>
        <v>0</v>
      </c>
      <c r="BH811">
        <f>'Bookings and Drivers'!BP291</f>
        <v>0</v>
      </c>
      <c r="BI811">
        <f>'Bookings and Drivers'!BQ291</f>
        <v>0</v>
      </c>
      <c r="BJ811">
        <f>'Bookings and Drivers'!BR291</f>
        <v>0</v>
      </c>
      <c r="BK811">
        <f>'Bookings and Drivers'!BS291</f>
        <v>0</v>
      </c>
      <c r="BL811">
        <f>'Bookings and Drivers'!BT291</f>
        <v>0</v>
      </c>
      <c r="BM811">
        <f>'Bookings and Drivers'!BU291</f>
        <v>0</v>
      </c>
      <c r="BN811">
        <f>'Bookings and Drivers'!BV291</f>
        <v>0</v>
      </c>
      <c r="BO811">
        <f>'Bookings and Drivers'!BW291</f>
        <v>0</v>
      </c>
      <c r="BP811">
        <f>'Bookings and Drivers'!BX291</f>
        <v>0</v>
      </c>
      <c r="BQ811">
        <f>'Bookings and Drivers'!BY291</f>
        <v>0</v>
      </c>
      <c r="BR811">
        <f>'Bookings and Drivers'!BZ291</f>
        <v>0</v>
      </c>
      <c r="BS811">
        <f>'Bookings and Drivers'!CA291</f>
        <v>0</v>
      </c>
      <c r="BT811">
        <f>'Bookings and Drivers'!CB291</f>
        <v>0</v>
      </c>
      <c r="BU811">
        <f>'Bookings and Drivers'!CC291</f>
        <v>0</v>
      </c>
      <c r="BV811">
        <f>'Bookings and Drivers'!CD291</f>
        <v>0</v>
      </c>
      <c r="BW811">
        <f>'Bookings and Drivers'!CE291</f>
        <v>0</v>
      </c>
      <c r="BX811">
        <f>'Bookings and Drivers'!CF291</f>
        <v>0</v>
      </c>
      <c r="BY811">
        <f>'Bookings and Drivers'!CG291</f>
        <v>0</v>
      </c>
      <c r="BZ811">
        <f>'Bookings and Drivers'!CH291</f>
        <v>0</v>
      </c>
      <c r="CA811">
        <f>'Bookings and Drivers'!CI291</f>
        <v>0</v>
      </c>
      <c r="CB811">
        <f>'Bookings and Drivers'!CJ291</f>
        <v>0</v>
      </c>
      <c r="CC811">
        <f>'Bookings and Drivers'!CK291</f>
        <v>0</v>
      </c>
      <c r="CD811">
        <f>'Bookings and Drivers'!CL291</f>
        <v>0</v>
      </c>
      <c r="CE811">
        <f>'Bookings and Drivers'!CM291</f>
        <v>0</v>
      </c>
      <c r="CF811">
        <f>'Bookings and Drivers'!CN291</f>
        <v>0</v>
      </c>
      <c r="CG811">
        <f>'Bookings and Drivers'!CO291</f>
        <v>0</v>
      </c>
      <c r="CH811">
        <f>'Bookings and Drivers'!CP291</f>
        <v>44.086354772612751</v>
      </c>
      <c r="CI811">
        <f>'Bookings and Drivers'!CQ291</f>
        <v>73.327146233236178</v>
      </c>
      <c r="CJ811">
        <f>'Bookings and Drivers'!CR291</f>
        <v>121.5542134311133</v>
      </c>
      <c r="CK811">
        <f>'Bookings and Drivers'!CS291</f>
        <v>177.75</v>
      </c>
      <c r="CL811">
        <f>'Bookings and Drivers'!CT291</f>
        <v>249.08750000000001</v>
      </c>
      <c r="CM811">
        <f>'Bookings and Drivers'!CU291</f>
        <v>323.35818999999998</v>
      </c>
      <c r="CN811">
        <f>'Bookings and Drivers'!CV291</f>
        <v>408.62609950000001</v>
      </c>
      <c r="CO811">
        <f>'Bookings and Drivers'!CW291</f>
        <v>531.53740447500002</v>
      </c>
      <c r="CP811">
        <f>'Bookings and Drivers'!CX291</f>
        <v>646.88927469875</v>
      </c>
      <c r="CQ811">
        <f>'Bookings and Drivers'!CY291</f>
        <v>762.93279892024373</v>
      </c>
      <c r="CR811">
        <f>'Bookings and Drivers'!CZ291</f>
        <v>883.36979562180477</v>
      </c>
      <c r="CS811">
        <f>'Bookings and Drivers'!DA291</f>
        <v>1002.5989027487677</v>
      </c>
      <c r="CT811">
        <f>'Bookings and Drivers'!DB291</f>
        <v>0</v>
      </c>
      <c r="CU811">
        <f>'Bookings and Drivers'!DC291</f>
        <v>0</v>
      </c>
      <c r="CV811">
        <f>'Bookings and Drivers'!DD291</f>
        <v>0</v>
      </c>
      <c r="CW811">
        <f>'Bookings and Drivers'!DE291</f>
        <v>0</v>
      </c>
      <c r="CX811">
        <f>'Bookings and Drivers'!DF291</f>
        <v>0</v>
      </c>
    </row>
    <row r="812" spans="1:102">
      <c r="CH812">
        <f>'Bookings and Drivers'!CP290</f>
        <v>0</v>
      </c>
      <c r="CI812">
        <f>'Bookings and Drivers'!CQ290</f>
        <v>0</v>
      </c>
      <c r="CJ812">
        <f>'Bookings and Drivers'!CR290</f>
        <v>0</v>
      </c>
      <c r="CK812">
        <f>'Bookings and Drivers'!CS290</f>
        <v>8.3604267036976694</v>
      </c>
      <c r="CL812">
        <f>'Bookings and Drivers'!CT290</f>
        <v>26.586114842882722</v>
      </c>
      <c r="CM812">
        <f>'Bookings and Drivers'!CU290</f>
        <v>42.112332666295458</v>
      </c>
      <c r="CN812">
        <f>'Bookings and Drivers'!CV290</f>
        <v>59.085712240902126</v>
      </c>
      <c r="CO812">
        <f>'Bookings and Drivers'!CW290</f>
        <v>95.907930644068131</v>
      </c>
      <c r="CP812">
        <f>'Bookings and Drivers'!CX290</f>
        <v>128.44782288156921</v>
      </c>
      <c r="CQ812">
        <f>'Bookings and Drivers'!CY290</f>
        <v>174.7982773443897</v>
      </c>
      <c r="CR812">
        <f>'Bookings and Drivers'!CZ290</f>
        <v>224.8806006526122</v>
      </c>
      <c r="CS812">
        <f>'Bookings and Drivers'!DA290</f>
        <v>278.93938439986357</v>
      </c>
      <c r="CT812">
        <f>'Bookings and Drivers'!DB290</f>
        <v>0</v>
      </c>
      <c r="CU812">
        <f>'Bookings and Drivers'!DC290</f>
        <v>0</v>
      </c>
      <c r="CV812">
        <f>'Bookings and Drivers'!DD290</f>
        <v>0</v>
      </c>
      <c r="CW812">
        <f>'Bookings and Drivers'!DE290</f>
        <v>0</v>
      </c>
      <c r="CX812">
        <f>'Bookings and Drivers'!DF290</f>
        <v>0</v>
      </c>
    </row>
    <row r="813" spans="1:102">
      <c r="CH813">
        <f>'Bookings and Drivers'!CP291</f>
        <v>44.086354772612751</v>
      </c>
      <c r="CI813">
        <f>'Bookings and Drivers'!CQ291</f>
        <v>73.327146233236178</v>
      </c>
      <c r="CJ813">
        <f>'Bookings and Drivers'!CR291</f>
        <v>121.5542134311133</v>
      </c>
      <c r="CK813">
        <f>'Bookings and Drivers'!CS291</f>
        <v>177.75</v>
      </c>
      <c r="CL813">
        <f>'Bookings and Drivers'!CT291</f>
        <v>249.08750000000001</v>
      </c>
      <c r="CM813">
        <f>'Bookings and Drivers'!CU291</f>
        <v>323.35818999999998</v>
      </c>
      <c r="CN813">
        <f>'Bookings and Drivers'!CV291</f>
        <v>408.62609950000001</v>
      </c>
      <c r="CO813">
        <f>'Bookings and Drivers'!CW291</f>
        <v>531.53740447500002</v>
      </c>
      <c r="CP813">
        <f>'Bookings and Drivers'!CX291</f>
        <v>646.88927469875</v>
      </c>
      <c r="CQ813">
        <f>'Bookings and Drivers'!CY291</f>
        <v>762.93279892024373</v>
      </c>
      <c r="CR813">
        <f>'Bookings and Drivers'!CZ291</f>
        <v>883.36979562180477</v>
      </c>
      <c r="CS813">
        <f>'Bookings and Drivers'!DA291</f>
        <v>1002.5989027487677</v>
      </c>
      <c r="CT813">
        <f>'Bookings and Drivers'!DB291</f>
        <v>0</v>
      </c>
      <c r="CU813">
        <f>'Bookings and Drivers'!DC291</f>
        <v>0</v>
      </c>
      <c r="CV813">
        <f>'Bookings and Drivers'!DD291</f>
        <v>0</v>
      </c>
      <c r="CW813">
        <f>'Bookings and Drivers'!DE291</f>
        <v>0</v>
      </c>
      <c r="CX813">
        <f>'Bookings and Drivers'!DF291</f>
        <v>0</v>
      </c>
    </row>
    <row r="814" spans="1:102">
      <c r="A814" t="str">
        <f>'Bookings and Drivers'!I293</f>
        <v>% change Y/Y</v>
      </c>
      <c r="B814">
        <f>'Bookings and Drivers'!J293</f>
        <v>0</v>
      </c>
      <c r="C814">
        <f>'Bookings and Drivers'!K293</f>
        <v>0</v>
      </c>
      <c r="D814">
        <f>'Bookings and Drivers'!L293</f>
        <v>0</v>
      </c>
      <c r="E814">
        <f>'Bookings and Drivers'!M293</f>
        <v>0</v>
      </c>
      <c r="F814">
        <f>'Bookings and Drivers'!N293</f>
        <v>0</v>
      </c>
      <c r="G814">
        <f>'Bookings and Drivers'!O293</f>
        <v>0</v>
      </c>
      <c r="H814">
        <f>'Bookings and Drivers'!P293</f>
        <v>0</v>
      </c>
      <c r="I814">
        <f>'Bookings and Drivers'!Q293</f>
        <v>0</v>
      </c>
      <c r="J814">
        <f>'Bookings and Drivers'!R293</f>
        <v>0</v>
      </c>
      <c r="K814">
        <f>'Bookings and Drivers'!S293</f>
        <v>0</v>
      </c>
      <c r="L814">
        <f>'Bookings and Drivers'!T293</f>
        <v>0</v>
      </c>
      <c r="M814">
        <f>'Bookings and Drivers'!U293</f>
        <v>0</v>
      </c>
      <c r="N814">
        <f>'Bookings and Drivers'!V293</f>
        <v>0</v>
      </c>
      <c r="O814">
        <f>'Bookings and Drivers'!W293</f>
        <v>0</v>
      </c>
      <c r="P814">
        <f>'Bookings and Drivers'!X293</f>
        <v>0</v>
      </c>
      <c r="Q814">
        <f>'Bookings and Drivers'!Y293</f>
        <v>0</v>
      </c>
      <c r="R814">
        <f>'Bookings and Drivers'!Z293</f>
        <v>0</v>
      </c>
      <c r="S814">
        <f>'Bookings and Drivers'!AA293</f>
        <v>0</v>
      </c>
      <c r="T814">
        <f>'Bookings and Drivers'!AB293</f>
        <v>0</v>
      </c>
      <c r="U814">
        <f>'Bookings and Drivers'!AC293</f>
        <v>0</v>
      </c>
      <c r="V814">
        <f>'Bookings and Drivers'!AD293</f>
        <v>0</v>
      </c>
      <c r="W814">
        <f>'Bookings and Drivers'!AE293</f>
        <v>0</v>
      </c>
      <c r="X814">
        <f>'Bookings and Drivers'!AF293</f>
        <v>0</v>
      </c>
      <c r="Y814">
        <f>'Bookings and Drivers'!AG293</f>
        <v>0</v>
      </c>
      <c r="Z814">
        <f>'Bookings and Drivers'!AH293</f>
        <v>0</v>
      </c>
      <c r="AA814">
        <f>'Bookings and Drivers'!AI293</f>
        <v>0</v>
      </c>
      <c r="AB814">
        <f>'Bookings and Drivers'!AJ293</f>
        <v>0</v>
      </c>
      <c r="AC814">
        <f>'Bookings and Drivers'!AK293</f>
        <v>0</v>
      </c>
      <c r="AD814">
        <f>'Bookings and Drivers'!AL293</f>
        <v>0</v>
      </c>
      <c r="AE814">
        <f>'Bookings and Drivers'!AM293</f>
        <v>0</v>
      </c>
      <c r="AF814">
        <f>'Bookings and Drivers'!AN293</f>
        <v>0</v>
      </c>
      <c r="AG814">
        <f>'Bookings and Drivers'!AO293</f>
        <v>0</v>
      </c>
      <c r="AH814">
        <f>'Bookings and Drivers'!AP293</f>
        <v>0</v>
      </c>
      <c r="AI814">
        <f>'Bookings and Drivers'!AQ293</f>
        <v>0</v>
      </c>
      <c r="AJ814">
        <f>'Bookings and Drivers'!AR293</f>
        <v>0</v>
      </c>
      <c r="AK814">
        <f>'Bookings and Drivers'!AS293</f>
        <v>0</v>
      </c>
      <c r="AL814">
        <f>'Bookings and Drivers'!AT293</f>
        <v>0</v>
      </c>
      <c r="AM814">
        <f>'Bookings and Drivers'!AU293</f>
        <v>0</v>
      </c>
      <c r="AN814">
        <f>'Bookings and Drivers'!AV293</f>
        <v>0</v>
      </c>
      <c r="AO814">
        <f>'Bookings and Drivers'!AW293</f>
        <v>0</v>
      </c>
      <c r="AP814">
        <f>'Bookings and Drivers'!AX293</f>
        <v>0</v>
      </c>
      <c r="AQ814">
        <f>'Bookings and Drivers'!AY293</f>
        <v>0</v>
      </c>
      <c r="AR814">
        <f>'Bookings and Drivers'!AZ293</f>
        <v>0</v>
      </c>
      <c r="AS814">
        <f>'Bookings and Drivers'!BA293</f>
        <v>0</v>
      </c>
      <c r="AT814">
        <f>'Bookings and Drivers'!BB293</f>
        <v>0</v>
      </c>
      <c r="AU814">
        <f>'Bookings and Drivers'!BC293</f>
        <v>0</v>
      </c>
      <c r="AV814">
        <f>'Bookings and Drivers'!BD293</f>
        <v>0</v>
      </c>
      <c r="AW814">
        <f>'Bookings and Drivers'!BE293</f>
        <v>0</v>
      </c>
      <c r="AX814">
        <f>'Bookings and Drivers'!BF293</f>
        <v>0</v>
      </c>
      <c r="AY814">
        <f>'Bookings and Drivers'!BG293</f>
        <v>0</v>
      </c>
      <c r="AZ814">
        <f>'Bookings and Drivers'!BH293</f>
        <v>0</v>
      </c>
      <c r="BA814">
        <f>'Bookings and Drivers'!BI293</f>
        <v>0</v>
      </c>
      <c r="BB814">
        <f>'Bookings and Drivers'!BJ293</f>
        <v>0</v>
      </c>
      <c r="BC814">
        <f>'Bookings and Drivers'!BK293</f>
        <v>0</v>
      </c>
      <c r="BD814">
        <f>'Bookings and Drivers'!BL293</f>
        <v>0</v>
      </c>
      <c r="BE814">
        <f>'Bookings and Drivers'!BM293</f>
        <v>0</v>
      </c>
      <c r="BF814">
        <f>'Bookings and Drivers'!BN293</f>
        <v>0</v>
      </c>
      <c r="BG814">
        <f>'Bookings and Drivers'!BO293</f>
        <v>0</v>
      </c>
      <c r="BH814">
        <f>'Bookings and Drivers'!BP293</f>
        <v>0</v>
      </c>
      <c r="BI814">
        <f>'Bookings and Drivers'!BQ293</f>
        <v>0</v>
      </c>
      <c r="BJ814">
        <f>'Bookings and Drivers'!BR293</f>
        <v>0</v>
      </c>
      <c r="BK814">
        <f>'Bookings and Drivers'!BS293</f>
        <v>0</v>
      </c>
      <c r="BL814">
        <f>'Bookings and Drivers'!BT293</f>
        <v>0</v>
      </c>
      <c r="BM814">
        <f>'Bookings and Drivers'!BU293</f>
        <v>0</v>
      </c>
      <c r="BN814">
        <f>'Bookings and Drivers'!BV293</f>
        <v>0</v>
      </c>
      <c r="BO814">
        <f>'Bookings and Drivers'!BW293</f>
        <v>0</v>
      </c>
      <c r="BP814">
        <f>'Bookings and Drivers'!BX293</f>
        <v>0</v>
      </c>
      <c r="BQ814">
        <f>'Bookings and Drivers'!BY293</f>
        <v>0</v>
      </c>
      <c r="BR814">
        <f>'Bookings and Drivers'!BZ293</f>
        <v>0</v>
      </c>
      <c r="BS814">
        <f>'Bookings and Drivers'!CA293</f>
        <v>0</v>
      </c>
      <c r="BT814">
        <f>'Bookings and Drivers'!CB293</f>
        <v>0</v>
      </c>
      <c r="BU814">
        <f>'Bookings and Drivers'!CC293</f>
        <v>0</v>
      </c>
      <c r="BV814">
        <f>'Bookings and Drivers'!CD293</f>
        <v>0</v>
      </c>
      <c r="BW814">
        <f>'Bookings and Drivers'!CE293</f>
        <v>0</v>
      </c>
      <c r="BX814">
        <f>'Bookings and Drivers'!CF293</f>
        <v>0</v>
      </c>
      <c r="BY814">
        <f>'Bookings and Drivers'!CG293</f>
        <v>0</v>
      </c>
      <c r="BZ814">
        <f>'Bookings and Drivers'!CH293</f>
        <v>0</v>
      </c>
      <c r="CA814">
        <f>'Bookings and Drivers'!CI293</f>
        <v>0</v>
      </c>
      <c r="CB814">
        <f>'Bookings and Drivers'!CJ293</f>
        <v>0</v>
      </c>
      <c r="CC814">
        <f>'Bookings and Drivers'!CK293</f>
        <v>0</v>
      </c>
      <c r="CD814">
        <f>'Bookings and Drivers'!CL293</f>
        <v>0</v>
      </c>
      <c r="CE814">
        <f>'Bookings and Drivers'!CM293</f>
        <v>0</v>
      </c>
      <c r="CF814">
        <f>'Bookings and Drivers'!CN293</f>
        <v>0</v>
      </c>
      <c r="CG814">
        <f>'Bookings and Drivers'!CO293</f>
        <v>0</v>
      </c>
      <c r="CH814">
        <f>'Bookings and Drivers'!CP293</f>
        <v>0</v>
      </c>
      <c r="CI814">
        <f>'Bookings and Drivers'!CQ293</f>
        <v>0</v>
      </c>
      <c r="CJ814">
        <f>'Bookings and Drivers'!CR293</f>
        <v>0</v>
      </c>
      <c r="CK814">
        <f>'Bookings and Drivers'!CS293</f>
        <v>2012</v>
      </c>
      <c r="CL814">
        <f>'Bookings and Drivers'!CT293</f>
        <v>2013</v>
      </c>
      <c r="CM814">
        <f>'Bookings and Drivers'!CU293</f>
        <v>2014</v>
      </c>
      <c r="CN814">
        <f>'Bookings and Drivers'!CV293</f>
        <v>2015</v>
      </c>
      <c r="CO814" t="str">
        <f>'Bookings and Drivers'!CW293</f>
        <v>2016E</v>
      </c>
      <c r="CP814" t="str">
        <f>'Bookings and Drivers'!CX293</f>
        <v>2017E</v>
      </c>
      <c r="CQ814" t="str">
        <f>'Bookings and Drivers'!CY293</f>
        <v>2018E</v>
      </c>
      <c r="CR814" t="str">
        <f>'Bookings and Drivers'!CZ293</f>
        <v>2019E</v>
      </c>
      <c r="CS814" t="str">
        <f>'Bookings and Drivers'!DA293</f>
        <v>2020E</v>
      </c>
      <c r="CT814">
        <f>'Bookings and Drivers'!DB293</f>
        <v>0</v>
      </c>
      <c r="CU814">
        <f>'Bookings and Drivers'!DC293</f>
        <v>0</v>
      </c>
      <c r="CV814">
        <f>'Bookings and Drivers'!DD293</f>
        <v>0</v>
      </c>
      <c r="CW814">
        <f>'Bookings and Drivers'!DE293</f>
        <v>0</v>
      </c>
      <c r="CX814">
        <f>'Bookings and Drivers'!DF293</f>
        <v>0</v>
      </c>
    </row>
    <row r="815" spans="1:102">
      <c r="A815" t="str">
        <f>'Bookings and Drivers'!I294</f>
        <v>Europe Nights</v>
      </c>
      <c r="B815">
        <f>'Bookings and Drivers'!J294</f>
        <v>0</v>
      </c>
      <c r="C815">
        <f>'Bookings and Drivers'!K294</f>
        <v>0</v>
      </c>
      <c r="D815">
        <f>'Bookings and Drivers'!L294</f>
        <v>0</v>
      </c>
      <c r="E815">
        <f>'Bookings and Drivers'!M294</f>
        <v>0</v>
      </c>
      <c r="F815">
        <f>'Bookings and Drivers'!N294</f>
        <v>0</v>
      </c>
      <c r="G815">
        <f>'Bookings and Drivers'!O294</f>
        <v>0</v>
      </c>
      <c r="H815">
        <f>'Bookings and Drivers'!P294</f>
        <v>0</v>
      </c>
      <c r="I815">
        <f>'Bookings and Drivers'!Q294</f>
        <v>0</v>
      </c>
      <c r="J815">
        <f>'Bookings and Drivers'!R294</f>
        <v>0</v>
      </c>
      <c r="K815">
        <f>'Bookings and Drivers'!S294</f>
        <v>0</v>
      </c>
      <c r="L815">
        <f>'Bookings and Drivers'!T294</f>
        <v>0</v>
      </c>
      <c r="M815">
        <f>'Bookings and Drivers'!U294</f>
        <v>0</v>
      </c>
      <c r="N815">
        <f>'Bookings and Drivers'!V294</f>
        <v>0</v>
      </c>
      <c r="O815">
        <f>'Bookings and Drivers'!W294</f>
        <v>0</v>
      </c>
      <c r="P815">
        <f>'Bookings and Drivers'!X294</f>
        <v>0</v>
      </c>
      <c r="Q815">
        <f>'Bookings and Drivers'!Y294</f>
        <v>0</v>
      </c>
      <c r="R815">
        <f>'Bookings and Drivers'!Z294</f>
        <v>0</v>
      </c>
      <c r="S815">
        <f>'Bookings and Drivers'!AA294</f>
        <v>0</v>
      </c>
      <c r="T815">
        <f>'Bookings and Drivers'!AB294</f>
        <v>0</v>
      </c>
      <c r="U815">
        <f>'Bookings and Drivers'!AC294</f>
        <v>0</v>
      </c>
      <c r="V815">
        <f>'Bookings and Drivers'!AD294</f>
        <v>0</v>
      </c>
      <c r="W815">
        <f>'Bookings and Drivers'!AE294</f>
        <v>0</v>
      </c>
      <c r="X815">
        <f>'Bookings and Drivers'!AF294</f>
        <v>0</v>
      </c>
      <c r="Y815">
        <f>'Bookings and Drivers'!AG294</f>
        <v>0</v>
      </c>
      <c r="Z815">
        <f>'Bookings and Drivers'!AH294</f>
        <v>0</v>
      </c>
      <c r="AA815">
        <f>'Bookings and Drivers'!AI294</f>
        <v>0</v>
      </c>
      <c r="AB815">
        <f>'Bookings and Drivers'!AJ294</f>
        <v>0</v>
      </c>
      <c r="AC815">
        <f>'Bookings and Drivers'!AK294</f>
        <v>0</v>
      </c>
      <c r="AD815">
        <f>'Bookings and Drivers'!AL294</f>
        <v>0</v>
      </c>
      <c r="AE815">
        <f>'Bookings and Drivers'!AM294</f>
        <v>0</v>
      </c>
      <c r="AF815">
        <f>'Bookings and Drivers'!AN294</f>
        <v>0</v>
      </c>
      <c r="AG815">
        <f>'Bookings and Drivers'!AO294</f>
        <v>0</v>
      </c>
      <c r="AH815">
        <f>'Bookings and Drivers'!AP294</f>
        <v>0</v>
      </c>
      <c r="AI815">
        <f>'Bookings and Drivers'!AQ294</f>
        <v>0</v>
      </c>
      <c r="AJ815">
        <f>'Bookings and Drivers'!AR294</f>
        <v>0</v>
      </c>
      <c r="AK815">
        <f>'Bookings and Drivers'!AS294</f>
        <v>0</v>
      </c>
      <c r="AL815">
        <f>'Bookings and Drivers'!AT294</f>
        <v>0</v>
      </c>
      <c r="AM815">
        <f>'Bookings and Drivers'!AU294</f>
        <v>0</v>
      </c>
      <c r="AN815">
        <f>'Bookings and Drivers'!AV294</f>
        <v>0</v>
      </c>
      <c r="AO815">
        <f>'Bookings and Drivers'!AW294</f>
        <v>0</v>
      </c>
      <c r="AP815">
        <f>'Bookings and Drivers'!AX294</f>
        <v>0</v>
      </c>
      <c r="AQ815">
        <f>'Bookings and Drivers'!AY294</f>
        <v>0</v>
      </c>
      <c r="AR815">
        <f>'Bookings and Drivers'!AZ294</f>
        <v>0</v>
      </c>
      <c r="AS815">
        <f>'Bookings and Drivers'!BA294</f>
        <v>0</v>
      </c>
      <c r="AT815">
        <f>'Bookings and Drivers'!BB294</f>
        <v>0</v>
      </c>
      <c r="AU815">
        <f>'Bookings and Drivers'!BC294</f>
        <v>0</v>
      </c>
      <c r="AV815">
        <f>'Bookings and Drivers'!BD294</f>
        <v>0</v>
      </c>
      <c r="AW815">
        <f>'Bookings and Drivers'!BE294</f>
        <v>0.4</v>
      </c>
      <c r="AX815">
        <f>'Bookings and Drivers'!BF294</f>
        <v>0.32</v>
      </c>
      <c r="AY815">
        <f>'Bookings and Drivers'!BG294</f>
        <v>0.32</v>
      </c>
      <c r="AZ815">
        <f>'Bookings and Drivers'!BH294</f>
        <v>0.12058143518445297</v>
      </c>
      <c r="BA815">
        <f>'Bookings and Drivers'!BI294</f>
        <v>0.25</v>
      </c>
      <c r="BB815">
        <f>'Bookings and Drivers'!BJ294</f>
        <v>0.2</v>
      </c>
      <c r="BC815">
        <f>'Bookings and Drivers'!BK294</f>
        <v>0.3</v>
      </c>
      <c r="BD815">
        <f>'Bookings and Drivers'!BL294</f>
        <v>0.28428512472340528</v>
      </c>
      <c r="BE815">
        <f>'Bookings and Drivers'!BM294</f>
        <v>0</v>
      </c>
      <c r="BF815">
        <f>'Bookings and Drivers'!BN294</f>
        <v>0</v>
      </c>
      <c r="BG815">
        <f>'Bookings and Drivers'!BO294</f>
        <v>0</v>
      </c>
      <c r="BH815">
        <f>'Bookings and Drivers'!BP294</f>
        <v>0</v>
      </c>
      <c r="BI815">
        <f>'Bookings and Drivers'!BQ294</f>
        <v>0</v>
      </c>
      <c r="BJ815">
        <f>'Bookings and Drivers'!BR294</f>
        <v>0</v>
      </c>
      <c r="BK815">
        <f>'Bookings and Drivers'!BS294</f>
        <v>0</v>
      </c>
      <c r="BL815">
        <f>'Bookings and Drivers'!BT294</f>
        <v>0</v>
      </c>
      <c r="BM815">
        <f>'Bookings and Drivers'!BU294</f>
        <v>0</v>
      </c>
      <c r="BN815">
        <f>'Bookings and Drivers'!BV294</f>
        <v>0</v>
      </c>
      <c r="BO815">
        <f>'Bookings and Drivers'!BW294</f>
        <v>0</v>
      </c>
      <c r="BP815">
        <f>'Bookings and Drivers'!BX294</f>
        <v>0</v>
      </c>
      <c r="BQ815">
        <f>'Bookings and Drivers'!BY294</f>
        <v>0</v>
      </c>
      <c r="BR815">
        <f>'Bookings and Drivers'!BZ294</f>
        <v>0</v>
      </c>
      <c r="BS815">
        <f>'Bookings and Drivers'!CA294</f>
        <v>0</v>
      </c>
      <c r="BT815">
        <f>'Bookings and Drivers'!CB294</f>
        <v>0</v>
      </c>
      <c r="BU815">
        <f>'Bookings and Drivers'!CC294</f>
        <v>0</v>
      </c>
      <c r="BV815">
        <f>'Bookings and Drivers'!CD294</f>
        <v>0</v>
      </c>
      <c r="BW815">
        <f>'Bookings and Drivers'!CE294</f>
        <v>0</v>
      </c>
      <c r="BX815">
        <f>'Bookings and Drivers'!CF294</f>
        <v>0</v>
      </c>
      <c r="BY815">
        <f>'Bookings and Drivers'!CG294</f>
        <v>0</v>
      </c>
      <c r="BZ815">
        <f>'Bookings and Drivers'!CH294</f>
        <v>0</v>
      </c>
      <c r="CA815">
        <f>'Bookings and Drivers'!CI294</f>
        <v>0</v>
      </c>
      <c r="CB815">
        <f>'Bookings and Drivers'!CJ294</f>
        <v>0</v>
      </c>
      <c r="CC815">
        <f>'Bookings and Drivers'!CK294</f>
        <v>0</v>
      </c>
      <c r="CD815">
        <f>'Bookings and Drivers'!CL294</f>
        <v>0</v>
      </c>
      <c r="CE815">
        <f>'Bookings and Drivers'!CM294</f>
        <v>10.9</v>
      </c>
      <c r="CF815">
        <f>'Bookings and Drivers'!CN294</f>
        <v>0</v>
      </c>
      <c r="CG815">
        <f>'Bookings and Drivers'!CO294</f>
        <v>0</v>
      </c>
      <c r="CH815">
        <f>'Bookings and Drivers'!CP294</f>
        <v>0</v>
      </c>
      <c r="CI815">
        <f>'Bookings and Drivers'!CQ294</f>
        <v>0</v>
      </c>
      <c r="CJ815">
        <f>'Bookings and Drivers'!CR294</f>
        <v>0.55793736644163072</v>
      </c>
      <c r="CK815">
        <f>'Bookings and Drivers'!CS294</f>
        <v>0.28000000000000003</v>
      </c>
      <c r="CL815">
        <f>'Bookings and Drivers'!CT294</f>
        <v>0.26</v>
      </c>
      <c r="CM815">
        <f>'Bookings and Drivers'!CU294</f>
        <v>0.22</v>
      </c>
      <c r="CN815">
        <f>'Bookings and Drivers'!CV294</f>
        <v>0.2</v>
      </c>
      <c r="CO815">
        <f>'Bookings and Drivers'!CW294</f>
        <v>0.19</v>
      </c>
      <c r="CP815">
        <f>'Bookings and Drivers'!CX294</f>
        <v>0.16</v>
      </c>
      <c r="CQ815">
        <f>'Bookings and Drivers'!CY294</f>
        <v>0.125</v>
      </c>
      <c r="CR815">
        <f>'Bookings and Drivers'!CZ294</f>
        <v>0.1</v>
      </c>
      <c r="CS815">
        <f>'Bookings and Drivers'!DA294</f>
        <v>0.08</v>
      </c>
      <c r="CT815">
        <f>'Bookings and Drivers'!DB294</f>
        <v>0</v>
      </c>
      <c r="CU815">
        <f>'Bookings and Drivers'!DC294</f>
        <v>0</v>
      </c>
      <c r="CV815">
        <f>'Bookings and Drivers'!DD294</f>
        <v>0</v>
      </c>
      <c r="CW815">
        <f>'Bookings and Drivers'!DE294</f>
        <v>0</v>
      </c>
      <c r="CX815">
        <f>'Bookings and Drivers'!DF294</f>
        <v>0</v>
      </c>
    </row>
    <row r="816" spans="1:102">
      <c r="A816" t="str">
        <f>'Bookings and Drivers'!I295</f>
        <v>APAC</v>
      </c>
      <c r="B816">
        <f>'Bookings and Drivers'!J295</f>
        <v>0</v>
      </c>
      <c r="C816">
        <f>'Bookings and Drivers'!K295</f>
        <v>0</v>
      </c>
      <c r="D816">
        <f>'Bookings and Drivers'!L295</f>
        <v>0</v>
      </c>
      <c r="E816">
        <f>'Bookings and Drivers'!M295</f>
        <v>0</v>
      </c>
      <c r="F816">
        <f>'Bookings and Drivers'!N295</f>
        <v>0</v>
      </c>
      <c r="G816">
        <f>'Bookings and Drivers'!O295</f>
        <v>0</v>
      </c>
      <c r="H816">
        <f>'Bookings and Drivers'!P295</f>
        <v>0</v>
      </c>
      <c r="I816">
        <f>'Bookings and Drivers'!Q295</f>
        <v>0</v>
      </c>
      <c r="J816">
        <f>'Bookings and Drivers'!R295</f>
        <v>0</v>
      </c>
      <c r="K816">
        <f>'Bookings and Drivers'!S295</f>
        <v>0</v>
      </c>
      <c r="L816">
        <f>'Bookings and Drivers'!T295</f>
        <v>0</v>
      </c>
      <c r="M816">
        <f>'Bookings and Drivers'!U295</f>
        <v>0</v>
      </c>
      <c r="N816">
        <f>'Bookings and Drivers'!V295</f>
        <v>0</v>
      </c>
      <c r="O816">
        <f>'Bookings and Drivers'!W295</f>
        <v>0</v>
      </c>
      <c r="P816">
        <f>'Bookings and Drivers'!X295</f>
        <v>0</v>
      </c>
      <c r="Q816">
        <f>'Bookings and Drivers'!Y295</f>
        <v>0</v>
      </c>
      <c r="R816">
        <f>'Bookings and Drivers'!Z295</f>
        <v>0</v>
      </c>
      <c r="S816">
        <f>'Bookings and Drivers'!AA295</f>
        <v>0</v>
      </c>
      <c r="T816">
        <f>'Bookings and Drivers'!AB295</f>
        <v>0</v>
      </c>
      <c r="U816">
        <f>'Bookings and Drivers'!AC295</f>
        <v>0</v>
      </c>
      <c r="V816">
        <f>'Bookings and Drivers'!AD295</f>
        <v>0</v>
      </c>
      <c r="W816">
        <f>'Bookings and Drivers'!AE295</f>
        <v>0</v>
      </c>
      <c r="X816">
        <f>'Bookings and Drivers'!AF295</f>
        <v>0</v>
      </c>
      <c r="Y816">
        <f>'Bookings and Drivers'!AG295</f>
        <v>0</v>
      </c>
      <c r="Z816">
        <f>'Bookings and Drivers'!AH295</f>
        <v>0</v>
      </c>
      <c r="AA816">
        <f>'Bookings and Drivers'!AI295</f>
        <v>0</v>
      </c>
      <c r="AB816">
        <f>'Bookings and Drivers'!AJ295</f>
        <v>0</v>
      </c>
      <c r="AC816">
        <f>'Bookings and Drivers'!AK295</f>
        <v>0</v>
      </c>
      <c r="AD816">
        <f>'Bookings and Drivers'!AL295</f>
        <v>0</v>
      </c>
      <c r="AE816">
        <f>'Bookings and Drivers'!AM295</f>
        <v>0</v>
      </c>
      <c r="AF816">
        <f>'Bookings and Drivers'!AN295</f>
        <v>0</v>
      </c>
      <c r="AG816">
        <f>'Bookings and Drivers'!AO295</f>
        <v>0</v>
      </c>
      <c r="AH816">
        <f>'Bookings and Drivers'!AP295</f>
        <v>0</v>
      </c>
      <c r="AI816">
        <f>'Bookings and Drivers'!AQ295</f>
        <v>0</v>
      </c>
      <c r="AJ816">
        <f>'Bookings and Drivers'!AR295</f>
        <v>0</v>
      </c>
      <c r="AK816">
        <f>'Bookings and Drivers'!AS295</f>
        <v>0</v>
      </c>
      <c r="AL816">
        <f>'Bookings and Drivers'!AT295</f>
        <v>0</v>
      </c>
      <c r="AM816">
        <f>'Bookings and Drivers'!AU295</f>
        <v>0</v>
      </c>
      <c r="AN816">
        <f>'Bookings and Drivers'!AV295</f>
        <v>0</v>
      </c>
      <c r="AO816">
        <f>'Bookings and Drivers'!AW295</f>
        <v>0</v>
      </c>
      <c r="AP816">
        <f>'Bookings and Drivers'!AX295</f>
        <v>0</v>
      </c>
      <c r="AQ816">
        <f>'Bookings and Drivers'!AY295</f>
        <v>0</v>
      </c>
      <c r="AR816">
        <f>'Bookings and Drivers'!AZ295</f>
        <v>0</v>
      </c>
      <c r="AS816">
        <f>'Bookings and Drivers'!BA295</f>
        <v>0</v>
      </c>
      <c r="AT816">
        <f>'Bookings and Drivers'!BB295</f>
        <v>0</v>
      </c>
      <c r="AU816">
        <f>'Bookings and Drivers'!BC295</f>
        <v>0</v>
      </c>
      <c r="AV816">
        <f>'Bookings and Drivers'!BD295</f>
        <v>0</v>
      </c>
      <c r="AW816">
        <f>'Bookings and Drivers'!BE295</f>
        <v>0</v>
      </c>
      <c r="AX816">
        <f>'Bookings and Drivers'!BF295</f>
        <v>0</v>
      </c>
      <c r="AY816">
        <f>'Bookings and Drivers'!BG295</f>
        <v>0</v>
      </c>
      <c r="AZ816">
        <f>'Bookings and Drivers'!BH295</f>
        <v>0</v>
      </c>
      <c r="BA816">
        <f>'Bookings and Drivers'!BI295</f>
        <v>0</v>
      </c>
      <c r="BB816">
        <f>'Bookings and Drivers'!BJ295</f>
        <v>0</v>
      </c>
      <c r="BC816">
        <f>'Bookings and Drivers'!BK295</f>
        <v>0</v>
      </c>
      <c r="BD816">
        <f>'Bookings and Drivers'!BL295</f>
        <v>0</v>
      </c>
      <c r="BE816">
        <f>'Bookings and Drivers'!BM295</f>
        <v>0</v>
      </c>
      <c r="BF816">
        <f>'Bookings and Drivers'!BN295</f>
        <v>0</v>
      </c>
      <c r="BG816">
        <f>'Bookings and Drivers'!BO295</f>
        <v>0</v>
      </c>
      <c r="BH816">
        <f>'Bookings and Drivers'!BP295</f>
        <v>0</v>
      </c>
      <c r="BI816">
        <f>'Bookings and Drivers'!BQ295</f>
        <v>0</v>
      </c>
      <c r="BJ816">
        <f>'Bookings and Drivers'!BR295</f>
        <v>0</v>
      </c>
      <c r="BK816">
        <f>'Bookings and Drivers'!BS295</f>
        <v>0</v>
      </c>
      <c r="BL816">
        <f>'Bookings and Drivers'!BT295</f>
        <v>0</v>
      </c>
      <c r="BM816">
        <f>'Bookings and Drivers'!BU295</f>
        <v>0</v>
      </c>
      <c r="BN816">
        <f>'Bookings and Drivers'!BV295</f>
        <v>0</v>
      </c>
      <c r="BO816">
        <f>'Bookings and Drivers'!BW295</f>
        <v>0</v>
      </c>
      <c r="BP816">
        <f>'Bookings and Drivers'!BX295</f>
        <v>0</v>
      </c>
      <c r="BQ816">
        <f>'Bookings and Drivers'!BY295</f>
        <v>0</v>
      </c>
      <c r="BR816">
        <f>'Bookings and Drivers'!BZ295</f>
        <v>0</v>
      </c>
      <c r="BS816">
        <f>'Bookings and Drivers'!CA295</f>
        <v>0</v>
      </c>
      <c r="BT816">
        <f>'Bookings and Drivers'!CB295</f>
        <v>0</v>
      </c>
      <c r="BU816">
        <f>'Bookings and Drivers'!CC295</f>
        <v>0</v>
      </c>
      <c r="BV816">
        <f>'Bookings and Drivers'!CD295</f>
        <v>0</v>
      </c>
      <c r="BW816">
        <f>'Bookings and Drivers'!CE295</f>
        <v>0</v>
      </c>
      <c r="BX816">
        <f>'Bookings and Drivers'!CF295</f>
        <v>0</v>
      </c>
      <c r="BY816">
        <f>'Bookings and Drivers'!CG295</f>
        <v>0</v>
      </c>
      <c r="BZ816">
        <f>'Bookings and Drivers'!CH295</f>
        <v>0</v>
      </c>
      <c r="CA816">
        <f>'Bookings and Drivers'!CI295</f>
        <v>0</v>
      </c>
      <c r="CB816">
        <f>'Bookings and Drivers'!CJ295</f>
        <v>0</v>
      </c>
      <c r="CC816">
        <f>'Bookings and Drivers'!CK295</f>
        <v>0</v>
      </c>
      <c r="CD816">
        <f>'Bookings and Drivers'!CL295</f>
        <v>0</v>
      </c>
      <c r="CE816">
        <f>'Bookings and Drivers'!CM295</f>
        <v>0</v>
      </c>
      <c r="CF816">
        <f>'Bookings and Drivers'!CN295</f>
        <v>0</v>
      </c>
      <c r="CG816">
        <f>'Bookings and Drivers'!CO295</f>
        <v>0</v>
      </c>
      <c r="CH816">
        <f>'Bookings and Drivers'!CP295</f>
        <v>0</v>
      </c>
      <c r="CI816">
        <f>'Bookings and Drivers'!CQ295</f>
        <v>0</v>
      </c>
      <c r="CJ816">
        <f>'Bookings and Drivers'!CR295</f>
        <v>0</v>
      </c>
      <c r="CK816">
        <f>'Bookings and Drivers'!CS295</f>
        <v>0</v>
      </c>
      <c r="CL816">
        <f>'Bookings and Drivers'!CT295</f>
        <v>0</v>
      </c>
      <c r="CM816">
        <f>'Bookings and Drivers'!CU295</f>
        <v>0</v>
      </c>
      <c r="CN816">
        <f>'Bookings and Drivers'!CV295</f>
        <v>0</v>
      </c>
      <c r="CO816">
        <f>'Bookings and Drivers'!CW295</f>
        <v>0</v>
      </c>
      <c r="CP816">
        <f>'Bookings and Drivers'!CX295</f>
        <v>0</v>
      </c>
      <c r="CQ816">
        <f>'Bookings and Drivers'!CY295</f>
        <v>0</v>
      </c>
      <c r="CR816">
        <f>'Bookings and Drivers'!CZ295</f>
        <v>0</v>
      </c>
      <c r="CS816">
        <f>'Bookings and Drivers'!DA295</f>
        <v>0</v>
      </c>
      <c r="CT816">
        <f>'Bookings and Drivers'!DB295</f>
        <v>0</v>
      </c>
      <c r="CU816">
        <f>'Bookings and Drivers'!DC295</f>
        <v>0</v>
      </c>
      <c r="CV816">
        <f>'Bookings and Drivers'!DD295</f>
        <v>0</v>
      </c>
      <c r="CW816">
        <f>'Bookings and Drivers'!DE295</f>
        <v>0</v>
      </c>
      <c r="CX816">
        <f>'Bookings and Drivers'!DF295</f>
        <v>0</v>
      </c>
    </row>
    <row r="817" spans="1:102">
      <c r="A817" t="str">
        <f>'Bookings and Drivers'!I296</f>
        <v>Agoda</v>
      </c>
      <c r="B817">
        <f>'Bookings and Drivers'!J296</f>
        <v>0</v>
      </c>
      <c r="C817">
        <f>'Bookings and Drivers'!K296</f>
        <v>0</v>
      </c>
      <c r="D817">
        <f>'Bookings and Drivers'!L296</f>
        <v>0</v>
      </c>
      <c r="E817">
        <f>'Bookings and Drivers'!M296</f>
        <v>0</v>
      </c>
      <c r="F817">
        <f>'Bookings and Drivers'!N296</f>
        <v>0</v>
      </c>
      <c r="G817">
        <f>'Bookings and Drivers'!O296</f>
        <v>0</v>
      </c>
      <c r="H817">
        <f>'Bookings and Drivers'!P296</f>
        <v>0</v>
      </c>
      <c r="I817">
        <f>'Bookings and Drivers'!Q296</f>
        <v>0</v>
      </c>
      <c r="J817">
        <f>'Bookings and Drivers'!R296</f>
        <v>0</v>
      </c>
      <c r="K817">
        <f>'Bookings and Drivers'!S296</f>
        <v>0</v>
      </c>
      <c r="L817">
        <f>'Bookings and Drivers'!T296</f>
        <v>0</v>
      </c>
      <c r="M817">
        <f>'Bookings and Drivers'!U296</f>
        <v>0</v>
      </c>
      <c r="N817">
        <f>'Bookings and Drivers'!V296</f>
        <v>0</v>
      </c>
      <c r="O817">
        <f>'Bookings and Drivers'!W296</f>
        <v>0</v>
      </c>
      <c r="P817">
        <f>'Bookings and Drivers'!X296</f>
        <v>0</v>
      </c>
      <c r="Q817">
        <f>'Bookings and Drivers'!Y296</f>
        <v>0</v>
      </c>
      <c r="R817">
        <f>'Bookings and Drivers'!Z296</f>
        <v>0</v>
      </c>
      <c r="S817">
        <f>'Bookings and Drivers'!AA296</f>
        <v>0</v>
      </c>
      <c r="T817">
        <f>'Bookings and Drivers'!AB296</f>
        <v>0</v>
      </c>
      <c r="U817">
        <f>'Bookings and Drivers'!AC296</f>
        <v>0</v>
      </c>
      <c r="V817">
        <f>'Bookings and Drivers'!AD296</f>
        <v>0</v>
      </c>
      <c r="W817">
        <f>'Bookings and Drivers'!AE296</f>
        <v>0</v>
      </c>
      <c r="X817">
        <f>'Bookings and Drivers'!AF296</f>
        <v>0</v>
      </c>
      <c r="Y817">
        <f>'Bookings and Drivers'!AG296</f>
        <v>0</v>
      </c>
      <c r="Z817">
        <f>'Bookings and Drivers'!AH296</f>
        <v>0</v>
      </c>
      <c r="AA817">
        <f>'Bookings and Drivers'!AI296</f>
        <v>0</v>
      </c>
      <c r="AB817">
        <f>'Bookings and Drivers'!AJ296</f>
        <v>0</v>
      </c>
      <c r="AC817">
        <f>'Bookings and Drivers'!AK296</f>
        <v>0</v>
      </c>
      <c r="AD817">
        <f>'Bookings and Drivers'!AL296</f>
        <v>0</v>
      </c>
      <c r="AE817">
        <f>'Bookings and Drivers'!AM296</f>
        <v>0</v>
      </c>
      <c r="AF817">
        <f>'Bookings and Drivers'!AN296</f>
        <v>0</v>
      </c>
      <c r="AG817">
        <f>'Bookings and Drivers'!AO296</f>
        <v>0</v>
      </c>
      <c r="AH817">
        <f>'Bookings and Drivers'!AP296</f>
        <v>0</v>
      </c>
      <c r="AI817">
        <f>'Bookings and Drivers'!AQ296</f>
        <v>0</v>
      </c>
      <c r="AJ817">
        <f>'Bookings and Drivers'!AR296</f>
        <v>0</v>
      </c>
      <c r="AK817">
        <f>'Bookings and Drivers'!AS296</f>
        <v>0</v>
      </c>
      <c r="AL817">
        <f>'Bookings and Drivers'!AT296</f>
        <v>0</v>
      </c>
      <c r="AM817">
        <f>'Bookings and Drivers'!AU296</f>
        <v>0</v>
      </c>
      <c r="AN817">
        <f>'Bookings and Drivers'!AV296</f>
        <v>0</v>
      </c>
      <c r="AO817">
        <f>'Bookings and Drivers'!AW296</f>
        <v>0</v>
      </c>
      <c r="AP817">
        <f>'Bookings and Drivers'!AX296</f>
        <v>0</v>
      </c>
      <c r="AQ817">
        <f>'Bookings and Drivers'!AY296</f>
        <v>0</v>
      </c>
      <c r="AR817">
        <f>'Bookings and Drivers'!AZ296</f>
        <v>0</v>
      </c>
      <c r="AS817">
        <f>'Bookings and Drivers'!BA296</f>
        <v>0</v>
      </c>
      <c r="AT817">
        <f>'Bookings and Drivers'!BB296</f>
        <v>0</v>
      </c>
      <c r="AU817">
        <f>'Bookings and Drivers'!BC296</f>
        <v>0</v>
      </c>
      <c r="AV817">
        <f>'Bookings and Drivers'!BD296</f>
        <v>0</v>
      </c>
      <c r="AW817">
        <f>'Bookings and Drivers'!BE296</f>
        <v>0.73191504073941727</v>
      </c>
      <c r="AX817">
        <f>'Bookings and Drivers'!BF296</f>
        <v>0.93633309085870642</v>
      </c>
      <c r="AY817">
        <f>'Bookings and Drivers'!BG296</f>
        <v>0.9059409092645585</v>
      </c>
      <c r="AZ817">
        <f>'Bookings and Drivers'!BH296</f>
        <v>1.0769509089541898</v>
      </c>
      <c r="BA817">
        <f>'Bookings and Drivers'!BI296</f>
        <v>0.7</v>
      </c>
      <c r="BB817">
        <f>'Bookings and Drivers'!BJ296</f>
        <v>0.7</v>
      </c>
      <c r="BC817">
        <f>'Bookings and Drivers'!BK296</f>
        <v>0.7</v>
      </c>
      <c r="BD817">
        <f>'Bookings and Drivers'!BL296</f>
        <v>-0.27655326821940129</v>
      </c>
      <c r="BE817">
        <f>'Bookings and Drivers'!BM296</f>
        <v>0</v>
      </c>
      <c r="BF817">
        <f>'Bookings and Drivers'!BN296</f>
        <v>0</v>
      </c>
      <c r="BG817">
        <f>'Bookings and Drivers'!BO296</f>
        <v>0</v>
      </c>
      <c r="BH817">
        <f>'Bookings and Drivers'!BP296</f>
        <v>0</v>
      </c>
      <c r="BI817">
        <f>'Bookings and Drivers'!BQ296</f>
        <v>0</v>
      </c>
      <c r="BJ817">
        <f>'Bookings and Drivers'!BR296</f>
        <v>0</v>
      </c>
      <c r="BK817">
        <f>'Bookings and Drivers'!BS296</f>
        <v>0</v>
      </c>
      <c r="BL817">
        <f>'Bookings and Drivers'!BT296</f>
        <v>0</v>
      </c>
      <c r="BM817">
        <f>'Bookings and Drivers'!BU296</f>
        <v>0</v>
      </c>
      <c r="BN817">
        <f>'Bookings and Drivers'!BV296</f>
        <v>0</v>
      </c>
      <c r="BO817">
        <f>'Bookings and Drivers'!BW296</f>
        <v>0</v>
      </c>
      <c r="BP817">
        <f>'Bookings and Drivers'!BX296</f>
        <v>0</v>
      </c>
      <c r="BQ817">
        <f>'Bookings and Drivers'!BY296</f>
        <v>0</v>
      </c>
      <c r="BR817">
        <f>'Bookings and Drivers'!BZ296</f>
        <v>0</v>
      </c>
      <c r="BS817">
        <f>'Bookings and Drivers'!CA296</f>
        <v>0</v>
      </c>
      <c r="BT817">
        <f>'Bookings and Drivers'!CB296</f>
        <v>0</v>
      </c>
      <c r="BU817">
        <f>'Bookings and Drivers'!CC296</f>
        <v>0</v>
      </c>
      <c r="BV817">
        <f>'Bookings and Drivers'!CD296</f>
        <v>0</v>
      </c>
      <c r="BW817">
        <f>'Bookings and Drivers'!CE296</f>
        <v>0</v>
      </c>
      <c r="BX817">
        <f>'Bookings and Drivers'!CF296</f>
        <v>0</v>
      </c>
      <c r="BY817">
        <f>'Bookings and Drivers'!CG296</f>
        <v>0</v>
      </c>
      <c r="BZ817">
        <f>'Bookings and Drivers'!CH296</f>
        <v>0</v>
      </c>
      <c r="CA817">
        <f>'Bookings and Drivers'!CI296</f>
        <v>0</v>
      </c>
      <c r="CB817">
        <f>'Bookings and Drivers'!CJ296</f>
        <v>0</v>
      </c>
      <c r="CC817">
        <f>'Bookings and Drivers'!CK296</f>
        <v>0</v>
      </c>
      <c r="CD817">
        <f>'Bookings and Drivers'!CL296</f>
        <v>0</v>
      </c>
      <c r="CE817">
        <f>'Bookings and Drivers'!CM296</f>
        <v>0</v>
      </c>
      <c r="CF817">
        <f>'Bookings and Drivers'!CN296</f>
        <v>0</v>
      </c>
      <c r="CG817">
        <f>'Bookings and Drivers'!CO296</f>
        <v>0</v>
      </c>
      <c r="CH817">
        <f>'Bookings and Drivers'!CP296</f>
        <v>0</v>
      </c>
      <c r="CI817">
        <f>'Bookings and Drivers'!CQ296</f>
        <v>0</v>
      </c>
      <c r="CJ817">
        <f>'Bookings and Drivers'!CR296</f>
        <v>1.0255953963685167</v>
      </c>
      <c r="CK817">
        <f>'Bookings and Drivers'!CS296</f>
        <v>0.77251164658235005</v>
      </c>
      <c r="CL817">
        <f>'Bookings and Drivers'!CT296</f>
        <v>0.40379592860905866</v>
      </c>
      <c r="CM817">
        <f>'Bookings and Drivers'!CU296</f>
        <v>0.28540537870236404</v>
      </c>
      <c r="CN817">
        <f>'Bookings and Drivers'!CV296</f>
        <v>0.23768608146014558</v>
      </c>
      <c r="CO817">
        <f>'Bookings and Drivers'!CW296</f>
        <v>0.31838826642396412</v>
      </c>
      <c r="CP817">
        <f>'Bookings and Drivers'!CX296</f>
        <v>0.252971499996681</v>
      </c>
      <c r="CQ817">
        <f>'Bookings and Drivers'!CY296</f>
        <v>0.12073994833373547</v>
      </c>
      <c r="CR817">
        <f>'Bookings and Drivers'!CZ296</f>
        <v>0.12728192093420998</v>
      </c>
      <c r="CS817">
        <f>'Bookings and Drivers'!DA296</f>
        <v>0.10837499999999989</v>
      </c>
      <c r="CT817">
        <f>'Bookings and Drivers'!DB296</f>
        <v>0</v>
      </c>
      <c r="CU817">
        <f>'Bookings and Drivers'!DC296</f>
        <v>0</v>
      </c>
      <c r="CV817">
        <f>'Bookings and Drivers'!DD296</f>
        <v>0</v>
      </c>
      <c r="CW817">
        <f>'Bookings and Drivers'!DE296</f>
        <v>0</v>
      </c>
      <c r="CX817">
        <f>'Bookings and Drivers'!DF296</f>
        <v>0</v>
      </c>
    </row>
    <row r="818" spans="1:102">
      <c r="A818" t="str">
        <f>'Bookings and Drivers'!I297</f>
        <v>Booking.com</v>
      </c>
      <c r="B818">
        <f>'Bookings and Drivers'!J297</f>
        <v>0</v>
      </c>
      <c r="C818">
        <f>'Bookings and Drivers'!K297</f>
        <v>0</v>
      </c>
      <c r="D818">
        <f>'Bookings and Drivers'!L297</f>
        <v>0</v>
      </c>
      <c r="E818">
        <f>'Bookings and Drivers'!M297</f>
        <v>0</v>
      </c>
      <c r="F818">
        <f>'Bookings and Drivers'!N297</f>
        <v>0</v>
      </c>
      <c r="G818">
        <f>'Bookings and Drivers'!O297</f>
        <v>0</v>
      </c>
      <c r="H818">
        <f>'Bookings and Drivers'!P297</f>
        <v>0</v>
      </c>
      <c r="I818">
        <f>'Bookings and Drivers'!Q297</f>
        <v>0</v>
      </c>
      <c r="J818">
        <f>'Bookings and Drivers'!R297</f>
        <v>0</v>
      </c>
      <c r="K818">
        <f>'Bookings and Drivers'!S297</f>
        <v>0</v>
      </c>
      <c r="L818">
        <f>'Bookings and Drivers'!T297</f>
        <v>0</v>
      </c>
      <c r="M818">
        <f>'Bookings and Drivers'!U297</f>
        <v>0</v>
      </c>
      <c r="N818">
        <f>'Bookings and Drivers'!V297</f>
        <v>0</v>
      </c>
      <c r="O818">
        <f>'Bookings and Drivers'!W297</f>
        <v>0</v>
      </c>
      <c r="P818">
        <f>'Bookings and Drivers'!X297</f>
        <v>0</v>
      </c>
      <c r="Q818">
        <f>'Bookings and Drivers'!Y297</f>
        <v>0</v>
      </c>
      <c r="R818">
        <f>'Bookings and Drivers'!Z297</f>
        <v>0</v>
      </c>
      <c r="S818">
        <f>'Bookings and Drivers'!AA297</f>
        <v>0</v>
      </c>
      <c r="T818">
        <f>'Bookings and Drivers'!AB297</f>
        <v>0</v>
      </c>
      <c r="U818">
        <f>'Bookings and Drivers'!AC297</f>
        <v>0</v>
      </c>
      <c r="V818">
        <f>'Bookings and Drivers'!AD297</f>
        <v>0</v>
      </c>
      <c r="W818">
        <f>'Bookings and Drivers'!AE297</f>
        <v>0</v>
      </c>
      <c r="X818">
        <f>'Bookings and Drivers'!AF297</f>
        <v>0</v>
      </c>
      <c r="Y818">
        <f>'Bookings and Drivers'!AG297</f>
        <v>0</v>
      </c>
      <c r="Z818">
        <f>'Bookings and Drivers'!AH297</f>
        <v>0</v>
      </c>
      <c r="AA818">
        <f>'Bookings and Drivers'!AI297</f>
        <v>0</v>
      </c>
      <c r="AB818">
        <f>'Bookings and Drivers'!AJ297</f>
        <v>0</v>
      </c>
      <c r="AC818">
        <f>'Bookings and Drivers'!AK297</f>
        <v>0</v>
      </c>
      <c r="AD818">
        <f>'Bookings and Drivers'!AL297</f>
        <v>0</v>
      </c>
      <c r="AE818">
        <f>'Bookings and Drivers'!AM297</f>
        <v>0</v>
      </c>
      <c r="AF818">
        <f>'Bookings and Drivers'!AN297</f>
        <v>0</v>
      </c>
      <c r="AG818">
        <f>'Bookings and Drivers'!AO297</f>
        <v>0</v>
      </c>
      <c r="AH818">
        <f>'Bookings and Drivers'!AP297</f>
        <v>0</v>
      </c>
      <c r="AI818">
        <f>'Bookings and Drivers'!AQ297</f>
        <v>0</v>
      </c>
      <c r="AJ818">
        <f>'Bookings and Drivers'!AR297</f>
        <v>0</v>
      </c>
      <c r="AK818">
        <f>'Bookings and Drivers'!AS297</f>
        <v>0</v>
      </c>
      <c r="AL818">
        <f>'Bookings and Drivers'!AT297</f>
        <v>0</v>
      </c>
      <c r="AM818">
        <f>'Bookings and Drivers'!AU297</f>
        <v>0</v>
      </c>
      <c r="AN818">
        <f>'Bookings and Drivers'!AV297</f>
        <v>0</v>
      </c>
      <c r="AO818">
        <f>'Bookings and Drivers'!AW297</f>
        <v>0</v>
      </c>
      <c r="AP818">
        <f>'Bookings and Drivers'!AX297</f>
        <v>0</v>
      </c>
      <c r="AQ818">
        <f>'Bookings and Drivers'!AY297</f>
        <v>0</v>
      </c>
      <c r="AR818">
        <f>'Bookings and Drivers'!AZ297</f>
        <v>0</v>
      </c>
      <c r="AS818">
        <f>'Bookings and Drivers'!BA297</f>
        <v>0</v>
      </c>
      <c r="AT818">
        <f>'Bookings and Drivers'!BB297</f>
        <v>0</v>
      </c>
      <c r="AU818">
        <f>'Bookings and Drivers'!BC297</f>
        <v>0</v>
      </c>
      <c r="AV818">
        <f>'Bookings and Drivers'!BD297</f>
        <v>0</v>
      </c>
      <c r="AW818">
        <f>'Bookings and Drivers'!BE297</f>
        <v>0.6300376854018046</v>
      </c>
      <c r="AX818">
        <f>'Bookings and Drivers'!BF297</f>
        <v>0.822431144337606</v>
      </c>
      <c r="AY818">
        <f>'Bookings and Drivers'!BG297</f>
        <v>0.81518181834719861</v>
      </c>
      <c r="AZ818">
        <f>'Bookings and Drivers'!BH297</f>
        <v>1.0404862602465998</v>
      </c>
      <c r="BA818">
        <f>'Bookings and Drivers'!BI297</f>
        <v>0.7</v>
      </c>
      <c r="BB818">
        <f>'Bookings and Drivers'!BJ297</f>
        <v>0.55000000000000004</v>
      </c>
      <c r="BC818">
        <f>'Bookings and Drivers'!BK297</f>
        <v>0.55000000000000004</v>
      </c>
      <c r="BD818">
        <f>'Bookings and Drivers'!BL297</f>
        <v>0.52711145882884902</v>
      </c>
      <c r="BE818">
        <f>'Bookings and Drivers'!BM297</f>
        <v>0</v>
      </c>
      <c r="BF818">
        <f>'Bookings and Drivers'!BN297</f>
        <v>0</v>
      </c>
      <c r="BG818">
        <f>'Bookings and Drivers'!BO297</f>
        <v>0</v>
      </c>
      <c r="BH818">
        <f>'Bookings and Drivers'!BP297</f>
        <v>0</v>
      </c>
      <c r="BI818">
        <f>'Bookings and Drivers'!BQ297</f>
        <v>0</v>
      </c>
      <c r="BJ818">
        <f>'Bookings and Drivers'!BR297</f>
        <v>0</v>
      </c>
      <c r="BK818">
        <f>'Bookings and Drivers'!BS297</f>
        <v>0</v>
      </c>
      <c r="BL818">
        <f>'Bookings and Drivers'!BT297</f>
        <v>0</v>
      </c>
      <c r="BM818">
        <f>'Bookings and Drivers'!BU297</f>
        <v>0</v>
      </c>
      <c r="BN818">
        <f>'Bookings and Drivers'!BV297</f>
        <v>0</v>
      </c>
      <c r="BO818">
        <f>'Bookings and Drivers'!BW297</f>
        <v>0</v>
      </c>
      <c r="BP818">
        <f>'Bookings and Drivers'!BX297</f>
        <v>0</v>
      </c>
      <c r="BQ818">
        <f>'Bookings and Drivers'!BY297</f>
        <v>0</v>
      </c>
      <c r="BR818">
        <f>'Bookings and Drivers'!BZ297</f>
        <v>0</v>
      </c>
      <c r="BS818">
        <f>'Bookings and Drivers'!CA297</f>
        <v>0</v>
      </c>
      <c r="BT818">
        <f>'Bookings and Drivers'!CB297</f>
        <v>0</v>
      </c>
      <c r="BU818">
        <f>'Bookings and Drivers'!CC297</f>
        <v>0</v>
      </c>
      <c r="BV818">
        <f>'Bookings and Drivers'!CD297</f>
        <v>0</v>
      </c>
      <c r="BW818">
        <f>'Bookings and Drivers'!CE297</f>
        <v>0</v>
      </c>
      <c r="BX818">
        <f>'Bookings and Drivers'!CF297</f>
        <v>0</v>
      </c>
      <c r="BY818">
        <f>'Bookings and Drivers'!CG297</f>
        <v>0</v>
      </c>
      <c r="BZ818">
        <f>'Bookings and Drivers'!CH297</f>
        <v>0</v>
      </c>
      <c r="CA818">
        <f>'Bookings and Drivers'!CI297</f>
        <v>0</v>
      </c>
      <c r="CB818">
        <f>'Bookings and Drivers'!CJ297</f>
        <v>0</v>
      </c>
      <c r="CC818">
        <f>'Bookings and Drivers'!CK297</f>
        <v>0</v>
      </c>
      <c r="CD818">
        <f>'Bookings and Drivers'!CL297</f>
        <v>0</v>
      </c>
      <c r="CE818">
        <f>'Bookings and Drivers'!CM297</f>
        <v>0</v>
      </c>
      <c r="CF818">
        <f>'Bookings and Drivers'!CN297</f>
        <v>0</v>
      </c>
      <c r="CG818">
        <f>'Bookings and Drivers'!CO297</f>
        <v>0</v>
      </c>
      <c r="CH818">
        <f>'Bookings and Drivers'!CP297</f>
        <v>0</v>
      </c>
      <c r="CI818">
        <f>'Bookings and Drivers'!CQ297</f>
        <v>0</v>
      </c>
      <c r="CJ818">
        <f>'Bookings and Drivers'!CR297</f>
        <v>1.1260659394205348</v>
      </c>
      <c r="CK818">
        <f>'Bookings and Drivers'!CS297</f>
        <v>0.70072789238829114</v>
      </c>
      <c r="CL818">
        <f>'Bookings and Drivers'!CT297</f>
        <v>0.57178521577016617</v>
      </c>
      <c r="CM818">
        <f>'Bookings and Drivers'!CU297</f>
        <v>0.43372138393725224</v>
      </c>
      <c r="CN818">
        <f>'Bookings and Drivers'!CV297</f>
        <v>0.52394115196914681</v>
      </c>
      <c r="CO818">
        <f>'Bookings and Drivers'!CW297</f>
        <v>0.3387855935601336</v>
      </c>
      <c r="CP818">
        <f>'Bookings and Drivers'!CX297</f>
        <v>0.28304281599660097</v>
      </c>
      <c r="CQ818">
        <f>'Bookings and Drivers'!CY297</f>
        <v>0.16946777217433273</v>
      </c>
      <c r="CR818">
        <f>'Bookings and Drivers'!CZ297</f>
        <v>0.17577254014956178</v>
      </c>
      <c r="CS818">
        <f>'Bookings and Drivers'!DA297</f>
        <v>0.14959999999999996</v>
      </c>
      <c r="CT818">
        <f>'Bookings and Drivers'!DB297</f>
        <v>0</v>
      </c>
      <c r="CU818">
        <f>'Bookings and Drivers'!DC297</f>
        <v>0</v>
      </c>
      <c r="CV818">
        <f>'Bookings and Drivers'!DD297</f>
        <v>0</v>
      </c>
      <c r="CW818">
        <f>'Bookings and Drivers'!DE297</f>
        <v>0</v>
      </c>
      <c r="CX818">
        <f>'Bookings and Drivers'!DF297</f>
        <v>0</v>
      </c>
    </row>
    <row r="819" spans="1:102">
      <c r="A819" t="str">
        <f>'Bookings and Drivers'!I298</f>
        <v>Latin America</v>
      </c>
      <c r="B819">
        <f>'Bookings and Drivers'!J298</f>
        <v>0</v>
      </c>
      <c r="C819">
        <f>'Bookings and Drivers'!K298</f>
        <v>0</v>
      </c>
      <c r="D819">
        <f>'Bookings and Drivers'!L298</f>
        <v>0</v>
      </c>
      <c r="E819">
        <f>'Bookings and Drivers'!M298</f>
        <v>0</v>
      </c>
      <c r="F819">
        <f>'Bookings and Drivers'!N298</f>
        <v>0</v>
      </c>
      <c r="G819">
        <f>'Bookings and Drivers'!O298</f>
        <v>0</v>
      </c>
      <c r="H819">
        <f>'Bookings and Drivers'!P298</f>
        <v>0</v>
      </c>
      <c r="I819">
        <f>'Bookings and Drivers'!Q298</f>
        <v>0</v>
      </c>
      <c r="J819">
        <f>'Bookings and Drivers'!R298</f>
        <v>0</v>
      </c>
      <c r="K819">
        <f>'Bookings and Drivers'!S298</f>
        <v>0</v>
      </c>
      <c r="L819">
        <f>'Bookings and Drivers'!T298</f>
        <v>0</v>
      </c>
      <c r="M819">
        <f>'Bookings and Drivers'!U298</f>
        <v>0</v>
      </c>
      <c r="N819">
        <f>'Bookings and Drivers'!V298</f>
        <v>0</v>
      </c>
      <c r="O819">
        <f>'Bookings and Drivers'!W298</f>
        <v>0</v>
      </c>
      <c r="P819">
        <f>'Bookings and Drivers'!X298</f>
        <v>0</v>
      </c>
      <c r="Q819">
        <f>'Bookings and Drivers'!Y298</f>
        <v>0</v>
      </c>
      <c r="R819">
        <f>'Bookings and Drivers'!Z298</f>
        <v>0</v>
      </c>
      <c r="S819">
        <f>'Bookings and Drivers'!AA298</f>
        <v>0</v>
      </c>
      <c r="T819">
        <f>'Bookings and Drivers'!AB298</f>
        <v>0</v>
      </c>
      <c r="U819">
        <f>'Bookings and Drivers'!AC298</f>
        <v>0</v>
      </c>
      <c r="V819">
        <f>'Bookings and Drivers'!AD298</f>
        <v>0</v>
      </c>
      <c r="W819">
        <f>'Bookings and Drivers'!AE298</f>
        <v>0</v>
      </c>
      <c r="X819">
        <f>'Bookings and Drivers'!AF298</f>
        <v>0</v>
      </c>
      <c r="Y819">
        <f>'Bookings and Drivers'!AG298</f>
        <v>0</v>
      </c>
      <c r="Z819">
        <f>'Bookings and Drivers'!AH298</f>
        <v>0</v>
      </c>
      <c r="AA819">
        <f>'Bookings and Drivers'!AI298</f>
        <v>0</v>
      </c>
      <c r="AB819">
        <f>'Bookings and Drivers'!AJ298</f>
        <v>0</v>
      </c>
      <c r="AC819">
        <f>'Bookings and Drivers'!AK298</f>
        <v>0</v>
      </c>
      <c r="AD819">
        <f>'Bookings and Drivers'!AL298</f>
        <v>0</v>
      </c>
      <c r="AE819">
        <f>'Bookings and Drivers'!AM298</f>
        <v>0</v>
      </c>
      <c r="AF819">
        <f>'Bookings and Drivers'!AN298</f>
        <v>0</v>
      </c>
      <c r="AG819">
        <f>'Bookings and Drivers'!AO298</f>
        <v>0</v>
      </c>
      <c r="AH819">
        <f>'Bookings and Drivers'!AP298</f>
        <v>0</v>
      </c>
      <c r="AI819">
        <f>'Bookings and Drivers'!AQ298</f>
        <v>0</v>
      </c>
      <c r="AJ819">
        <f>'Bookings and Drivers'!AR298</f>
        <v>0</v>
      </c>
      <c r="AK819">
        <f>'Bookings and Drivers'!AS298</f>
        <v>0</v>
      </c>
      <c r="AL819">
        <f>'Bookings and Drivers'!AT298</f>
        <v>0</v>
      </c>
      <c r="AM819">
        <f>'Bookings and Drivers'!AU298</f>
        <v>0</v>
      </c>
      <c r="AN819">
        <f>'Bookings and Drivers'!AV298</f>
        <v>0</v>
      </c>
      <c r="AO819">
        <f>'Bookings and Drivers'!AW298</f>
        <v>0</v>
      </c>
      <c r="AP819">
        <f>'Bookings and Drivers'!AX298</f>
        <v>0</v>
      </c>
      <c r="AQ819">
        <f>'Bookings and Drivers'!AY298</f>
        <v>0</v>
      </c>
      <c r="AR819">
        <f>'Bookings and Drivers'!AZ298</f>
        <v>0</v>
      </c>
      <c r="AS819">
        <f>'Bookings and Drivers'!BA298</f>
        <v>0</v>
      </c>
      <c r="AT819">
        <f>'Bookings and Drivers'!BB298</f>
        <v>0</v>
      </c>
      <c r="AU819">
        <f>'Bookings and Drivers'!BC298</f>
        <v>0</v>
      </c>
      <c r="AV819">
        <f>'Bookings and Drivers'!BD298</f>
        <v>0</v>
      </c>
      <c r="AW819">
        <f>'Bookings and Drivers'!BE298</f>
        <v>0</v>
      </c>
      <c r="AX819">
        <f>'Bookings and Drivers'!BF298</f>
        <v>0</v>
      </c>
      <c r="AY819">
        <f>'Bookings and Drivers'!BG298</f>
        <v>0</v>
      </c>
      <c r="AZ819">
        <f>'Bookings and Drivers'!BH298</f>
        <v>0</v>
      </c>
      <c r="BA819">
        <f>'Bookings and Drivers'!BI298</f>
        <v>1</v>
      </c>
      <c r="BB819">
        <f>'Bookings and Drivers'!BJ298</f>
        <v>0.62090350376298353</v>
      </c>
      <c r="BC819">
        <f>'Bookings and Drivers'!BK298</f>
        <v>0.62090350376298353</v>
      </c>
      <c r="BD819">
        <f>'Bookings and Drivers'!BL298</f>
        <v>0.62090350376298353</v>
      </c>
      <c r="BE819">
        <f>'Bookings and Drivers'!BM298</f>
        <v>0</v>
      </c>
      <c r="BF819">
        <f>'Bookings and Drivers'!BN298</f>
        <v>0</v>
      </c>
      <c r="BG819">
        <f>'Bookings and Drivers'!BO298</f>
        <v>0</v>
      </c>
      <c r="BH819">
        <f>'Bookings and Drivers'!BP298</f>
        <v>0</v>
      </c>
      <c r="BI819">
        <f>'Bookings and Drivers'!BQ298</f>
        <v>0</v>
      </c>
      <c r="BJ819">
        <f>'Bookings and Drivers'!BR298</f>
        <v>0</v>
      </c>
      <c r="BK819">
        <f>'Bookings and Drivers'!BS298</f>
        <v>0</v>
      </c>
      <c r="BL819">
        <f>'Bookings and Drivers'!BT298</f>
        <v>0</v>
      </c>
      <c r="BM819">
        <f>'Bookings and Drivers'!BU298</f>
        <v>0</v>
      </c>
      <c r="BN819">
        <f>'Bookings and Drivers'!BV298</f>
        <v>0</v>
      </c>
      <c r="BO819">
        <f>'Bookings and Drivers'!BW298</f>
        <v>0</v>
      </c>
      <c r="BP819">
        <f>'Bookings and Drivers'!BX298</f>
        <v>0</v>
      </c>
      <c r="BQ819">
        <f>'Bookings and Drivers'!BY298</f>
        <v>0</v>
      </c>
      <c r="BR819">
        <f>'Bookings and Drivers'!BZ298</f>
        <v>0</v>
      </c>
      <c r="BS819">
        <f>'Bookings and Drivers'!CA298</f>
        <v>0</v>
      </c>
      <c r="BT819">
        <f>'Bookings and Drivers'!CB298</f>
        <v>0</v>
      </c>
      <c r="BU819">
        <f>'Bookings and Drivers'!CC298</f>
        <v>0</v>
      </c>
      <c r="BV819">
        <f>'Bookings and Drivers'!CD298</f>
        <v>0</v>
      </c>
      <c r="BW819">
        <f>'Bookings and Drivers'!CE298</f>
        <v>0</v>
      </c>
      <c r="BX819">
        <f>'Bookings and Drivers'!CF298</f>
        <v>0</v>
      </c>
      <c r="BY819">
        <f>'Bookings and Drivers'!CG298</f>
        <v>0</v>
      </c>
      <c r="BZ819">
        <f>'Bookings and Drivers'!CH298</f>
        <v>0</v>
      </c>
      <c r="CA819">
        <f>'Bookings and Drivers'!CI298</f>
        <v>0</v>
      </c>
      <c r="CB819">
        <f>'Bookings and Drivers'!CJ298</f>
        <v>0</v>
      </c>
      <c r="CC819">
        <f>'Bookings and Drivers'!CK298</f>
        <v>0</v>
      </c>
      <c r="CD819">
        <f>'Bookings and Drivers'!CL298</f>
        <v>0</v>
      </c>
      <c r="CE819">
        <f>'Bookings and Drivers'!CM298</f>
        <v>0</v>
      </c>
      <c r="CF819">
        <f>'Bookings and Drivers'!CN298</f>
        <v>0</v>
      </c>
      <c r="CG819">
        <f>'Bookings and Drivers'!CO298</f>
        <v>0</v>
      </c>
      <c r="CH819">
        <f>'Bookings and Drivers'!CP298</f>
        <v>0</v>
      </c>
      <c r="CI819">
        <f>'Bookings and Drivers'!CQ298</f>
        <v>0</v>
      </c>
      <c r="CJ819">
        <f>'Bookings and Drivers'!CR298</f>
        <v>0.87703297161642269</v>
      </c>
      <c r="CK819">
        <f>'Bookings and Drivers'!CS298</f>
        <v>1.6573873318567047</v>
      </c>
      <c r="CL819">
        <f>'Bookings and Drivers'!CT298</f>
        <v>0.62090350376298353</v>
      </c>
      <c r="CM819">
        <f>'Bookings and Drivers'!CU298</f>
        <v>0.53259872076051096</v>
      </c>
      <c r="CN819">
        <f>'Bookings and Drivers'!CV298</f>
        <v>0.41105662219365424</v>
      </c>
      <c r="CO819">
        <f>'Bookings and Drivers'!CW298</f>
        <v>0.36889856467104409</v>
      </c>
      <c r="CP819">
        <f>'Bookings and Drivers'!CX298</f>
        <v>0.18280509599686678</v>
      </c>
      <c r="CQ819">
        <f>'Bookings and Drivers'!CY298</f>
        <v>0.11099438356561642</v>
      </c>
      <c r="CR819">
        <f>'Bookings and Drivers'!CZ298</f>
        <v>0.11978337157101127</v>
      </c>
      <c r="CS819">
        <f>'Bookings and Drivers'!DA298</f>
        <v>0.11000000000000032</v>
      </c>
      <c r="CT819">
        <f>'Bookings and Drivers'!DB298</f>
        <v>0</v>
      </c>
      <c r="CU819">
        <f>'Bookings and Drivers'!DC298</f>
        <v>0</v>
      </c>
      <c r="CV819">
        <f>'Bookings and Drivers'!DD298</f>
        <v>0</v>
      </c>
      <c r="CW819">
        <f>'Bookings and Drivers'!DE298</f>
        <v>0</v>
      </c>
      <c r="CX819">
        <f>'Bookings and Drivers'!DF298</f>
        <v>0</v>
      </c>
    </row>
    <row r="820" spans="1:102">
      <c r="A820" t="str">
        <f>'Bookings and Drivers'!I299</f>
        <v>United States</v>
      </c>
      <c r="B820">
        <f>'Bookings and Drivers'!J299</f>
        <v>0</v>
      </c>
      <c r="C820">
        <f>'Bookings and Drivers'!K299</f>
        <v>0</v>
      </c>
      <c r="D820">
        <f>'Bookings and Drivers'!L299</f>
        <v>0</v>
      </c>
      <c r="E820">
        <f>'Bookings and Drivers'!M299</f>
        <v>0</v>
      </c>
      <c r="F820">
        <f>'Bookings and Drivers'!N299</f>
        <v>0</v>
      </c>
      <c r="G820">
        <f>'Bookings and Drivers'!O299</f>
        <v>0</v>
      </c>
      <c r="H820">
        <f>'Bookings and Drivers'!P299</f>
        <v>0</v>
      </c>
      <c r="I820">
        <f>'Bookings and Drivers'!Q299</f>
        <v>0</v>
      </c>
      <c r="J820">
        <f>'Bookings and Drivers'!R299</f>
        <v>0</v>
      </c>
      <c r="K820">
        <f>'Bookings and Drivers'!S299</f>
        <v>0</v>
      </c>
      <c r="L820">
        <f>'Bookings and Drivers'!T299</f>
        <v>0</v>
      </c>
      <c r="M820">
        <f>'Bookings and Drivers'!U299</f>
        <v>0</v>
      </c>
      <c r="N820">
        <f>'Bookings and Drivers'!V299</f>
        <v>0</v>
      </c>
      <c r="O820">
        <f>'Bookings and Drivers'!W299</f>
        <v>0</v>
      </c>
      <c r="P820">
        <f>'Bookings and Drivers'!X299</f>
        <v>0</v>
      </c>
      <c r="Q820">
        <f>'Bookings and Drivers'!Y299</f>
        <v>0</v>
      </c>
      <c r="R820">
        <f>'Bookings and Drivers'!Z299</f>
        <v>0</v>
      </c>
      <c r="S820">
        <f>'Bookings and Drivers'!AA299</f>
        <v>0</v>
      </c>
      <c r="T820">
        <f>'Bookings and Drivers'!AB299</f>
        <v>0</v>
      </c>
      <c r="U820">
        <f>'Bookings and Drivers'!AC299</f>
        <v>0</v>
      </c>
      <c r="V820">
        <f>'Bookings and Drivers'!AD299</f>
        <v>0</v>
      </c>
      <c r="W820">
        <f>'Bookings and Drivers'!AE299</f>
        <v>0</v>
      </c>
      <c r="X820">
        <f>'Bookings and Drivers'!AF299</f>
        <v>0</v>
      </c>
      <c r="Y820">
        <f>'Bookings and Drivers'!AG299</f>
        <v>0</v>
      </c>
      <c r="Z820">
        <f>'Bookings and Drivers'!AH299</f>
        <v>0</v>
      </c>
      <c r="AA820">
        <f>'Bookings and Drivers'!AI299</f>
        <v>0</v>
      </c>
      <c r="AB820">
        <f>'Bookings and Drivers'!AJ299</f>
        <v>0</v>
      </c>
      <c r="AC820">
        <f>'Bookings and Drivers'!AK299</f>
        <v>0</v>
      </c>
      <c r="AD820">
        <f>'Bookings and Drivers'!AL299</f>
        <v>0</v>
      </c>
      <c r="AE820">
        <f>'Bookings and Drivers'!AM299</f>
        <v>0</v>
      </c>
      <c r="AF820">
        <f>'Bookings and Drivers'!AN299</f>
        <v>0</v>
      </c>
      <c r="AG820">
        <f>'Bookings and Drivers'!AO299</f>
        <v>0</v>
      </c>
      <c r="AH820">
        <f>'Bookings and Drivers'!AP299</f>
        <v>0</v>
      </c>
      <c r="AI820">
        <f>'Bookings and Drivers'!AQ299</f>
        <v>0</v>
      </c>
      <c r="AJ820">
        <f>'Bookings and Drivers'!AR299</f>
        <v>0</v>
      </c>
      <c r="AK820">
        <f>'Bookings and Drivers'!AS299</f>
        <v>0</v>
      </c>
      <c r="AL820">
        <f>'Bookings and Drivers'!AT299</f>
        <v>0</v>
      </c>
      <c r="AM820">
        <f>'Bookings and Drivers'!AU299</f>
        <v>0</v>
      </c>
      <c r="AN820">
        <f>'Bookings and Drivers'!AV299</f>
        <v>0</v>
      </c>
      <c r="AO820">
        <f>'Bookings and Drivers'!AW299</f>
        <v>0</v>
      </c>
      <c r="AP820">
        <f>'Bookings and Drivers'!AX299</f>
        <v>0</v>
      </c>
      <c r="AQ820">
        <f>'Bookings and Drivers'!AY299</f>
        <v>0</v>
      </c>
      <c r="AR820">
        <f>'Bookings and Drivers'!AZ299</f>
        <v>0</v>
      </c>
      <c r="AS820">
        <f>'Bookings and Drivers'!BA299</f>
        <v>0</v>
      </c>
      <c r="AT820">
        <f>'Bookings and Drivers'!BB299</f>
        <v>0</v>
      </c>
      <c r="AU820">
        <f>'Bookings and Drivers'!BC299</f>
        <v>0</v>
      </c>
      <c r="AV820">
        <f>'Bookings and Drivers'!BD299</f>
        <v>0</v>
      </c>
      <c r="AW820">
        <f>'Bookings and Drivers'!BE299</f>
        <v>0.63026869531644203</v>
      </c>
      <c r="AX820">
        <f>'Bookings and Drivers'!BF299</f>
        <v>0.60026314014999471</v>
      </c>
      <c r="AY820">
        <f>'Bookings and Drivers'!BG299</f>
        <v>0.64092961613110777</v>
      </c>
      <c r="AZ820">
        <f>'Bookings and Drivers'!BH299</f>
        <v>0.54507543934495351</v>
      </c>
      <c r="BA820">
        <f>'Bookings and Drivers'!BI299</f>
        <v>4.5436427324992881</v>
      </c>
      <c r="BB820">
        <f>'Bookings and Drivers'!BJ299</f>
        <v>3.9778206070822195</v>
      </c>
      <c r="BC820">
        <f>'Bookings and Drivers'!BK299</f>
        <v>2.2328022805950565</v>
      </c>
      <c r="BD820">
        <f>'Bookings and Drivers'!BL299</f>
        <v>3.0092903183215816</v>
      </c>
      <c r="BE820">
        <f>'Bookings and Drivers'!BM299</f>
        <v>0</v>
      </c>
      <c r="BF820">
        <f>'Bookings and Drivers'!BN299</f>
        <v>0</v>
      </c>
      <c r="BG820">
        <f>'Bookings and Drivers'!BO299</f>
        <v>0</v>
      </c>
      <c r="BH820">
        <f>'Bookings and Drivers'!BP299</f>
        <v>0</v>
      </c>
      <c r="BI820">
        <f>'Bookings and Drivers'!BQ299</f>
        <v>0</v>
      </c>
      <c r="BJ820">
        <f>'Bookings and Drivers'!BR299</f>
        <v>0</v>
      </c>
      <c r="BK820">
        <f>'Bookings and Drivers'!BS299</f>
        <v>0</v>
      </c>
      <c r="BL820">
        <f>'Bookings and Drivers'!BT299</f>
        <v>0</v>
      </c>
      <c r="BM820">
        <f>'Bookings and Drivers'!BU299</f>
        <v>0</v>
      </c>
      <c r="BN820">
        <f>'Bookings and Drivers'!BV299</f>
        <v>0</v>
      </c>
      <c r="BO820">
        <f>'Bookings and Drivers'!BW299</f>
        <v>0</v>
      </c>
      <c r="BP820">
        <f>'Bookings and Drivers'!BX299</f>
        <v>0</v>
      </c>
      <c r="BQ820">
        <f>'Bookings and Drivers'!BY299</f>
        <v>0</v>
      </c>
      <c r="BR820">
        <f>'Bookings and Drivers'!BZ299</f>
        <v>0</v>
      </c>
      <c r="BS820">
        <f>'Bookings and Drivers'!CA299</f>
        <v>0</v>
      </c>
      <c r="BT820">
        <f>'Bookings and Drivers'!CB299</f>
        <v>0</v>
      </c>
      <c r="BU820">
        <f>'Bookings and Drivers'!CC299</f>
        <v>0</v>
      </c>
      <c r="BV820">
        <f>'Bookings and Drivers'!CD299</f>
        <v>0</v>
      </c>
      <c r="BW820">
        <f>'Bookings and Drivers'!CE299</f>
        <v>0</v>
      </c>
      <c r="BX820">
        <f>'Bookings and Drivers'!CF299</f>
        <v>0</v>
      </c>
      <c r="BY820">
        <f>'Bookings and Drivers'!CG299</f>
        <v>0</v>
      </c>
      <c r="BZ820">
        <f>'Bookings and Drivers'!CH299</f>
        <v>0</v>
      </c>
      <c r="CA820">
        <f>'Bookings and Drivers'!CI299</f>
        <v>0</v>
      </c>
      <c r="CB820">
        <f>'Bookings and Drivers'!CJ299</f>
        <v>0</v>
      </c>
      <c r="CC820">
        <f>'Bookings and Drivers'!CK299</f>
        <v>0</v>
      </c>
      <c r="CD820">
        <f>'Bookings and Drivers'!CL299</f>
        <v>0</v>
      </c>
      <c r="CE820">
        <f>'Bookings and Drivers'!CM299</f>
        <v>0</v>
      </c>
      <c r="CF820">
        <f>'Bookings and Drivers'!CN299</f>
        <v>0</v>
      </c>
      <c r="CG820">
        <f>'Bookings and Drivers'!CO299</f>
        <v>0</v>
      </c>
      <c r="CH820">
        <f>'Bookings and Drivers'!CP299</f>
        <v>0</v>
      </c>
      <c r="CI820">
        <f>'Bookings and Drivers'!CQ299</f>
        <v>0</v>
      </c>
      <c r="CJ820">
        <f>'Bookings and Drivers'!CR299</f>
        <v>1.3682269033263239</v>
      </c>
      <c r="CK820">
        <f>'Bookings and Drivers'!CS299</f>
        <v>0.35</v>
      </c>
      <c r="CL820">
        <f>'Bookings and Drivers'!CT299</f>
        <v>0.26</v>
      </c>
      <c r="CM820">
        <f>'Bookings and Drivers'!CU299</f>
        <v>0.22</v>
      </c>
      <c r="CN820">
        <f>'Bookings and Drivers'!CV299</f>
        <v>0.2</v>
      </c>
      <c r="CO820">
        <f>'Bookings and Drivers'!CW299</f>
        <v>0.35</v>
      </c>
      <c r="CP820">
        <f>'Bookings and Drivers'!CX299</f>
        <v>0.25</v>
      </c>
      <c r="CQ820">
        <f>'Bookings and Drivers'!CY299</f>
        <v>0.25</v>
      </c>
      <c r="CR820">
        <f>'Bookings and Drivers'!CZ299</f>
        <v>0.2</v>
      </c>
      <c r="CS820">
        <f>'Bookings and Drivers'!DA299</f>
        <v>0.15</v>
      </c>
      <c r="CT820">
        <f>'Bookings and Drivers'!DB299</f>
        <v>0</v>
      </c>
      <c r="CU820">
        <f>'Bookings and Drivers'!DC299</f>
        <v>0</v>
      </c>
      <c r="CV820">
        <f>'Bookings and Drivers'!DD299</f>
        <v>0</v>
      </c>
      <c r="CW820">
        <f>'Bookings and Drivers'!DE299</f>
        <v>0</v>
      </c>
      <c r="CX820">
        <f>'Bookings and Drivers'!DF299</f>
        <v>0</v>
      </c>
    </row>
    <row r="821" spans="1:102">
      <c r="A821" t="str">
        <f>'Bookings and Drivers'!I302</f>
        <v>Total Int'l Room Nights</v>
      </c>
      <c r="B821">
        <f>'Bookings and Drivers'!J302</f>
        <v>0</v>
      </c>
      <c r="C821">
        <f>'Bookings and Drivers'!K302</f>
        <v>0</v>
      </c>
      <c r="D821">
        <f>'Bookings and Drivers'!L302</f>
        <v>0</v>
      </c>
      <c r="E821">
        <f>'Bookings and Drivers'!M302</f>
        <v>0</v>
      </c>
      <c r="F821">
        <f>'Bookings and Drivers'!N302</f>
        <v>0</v>
      </c>
      <c r="G821">
        <f>'Bookings and Drivers'!O302</f>
        <v>0</v>
      </c>
      <c r="H821">
        <f>'Bookings and Drivers'!P302</f>
        <v>0</v>
      </c>
      <c r="I821">
        <f>'Bookings and Drivers'!Q302</f>
        <v>0</v>
      </c>
      <c r="J821">
        <f>'Bookings and Drivers'!R302</f>
        <v>0</v>
      </c>
      <c r="K821">
        <f>'Bookings and Drivers'!S302</f>
        <v>0</v>
      </c>
      <c r="L821">
        <f>'Bookings and Drivers'!T302</f>
        <v>0</v>
      </c>
      <c r="M821">
        <f>'Bookings and Drivers'!U302</f>
        <v>0</v>
      </c>
      <c r="N821">
        <f>'Bookings and Drivers'!V302</f>
        <v>0</v>
      </c>
      <c r="O821">
        <f>'Bookings and Drivers'!W302</f>
        <v>0</v>
      </c>
      <c r="P821">
        <f>'Bookings and Drivers'!X302</f>
        <v>0</v>
      </c>
      <c r="Q821">
        <f>'Bookings and Drivers'!Y302</f>
        <v>0</v>
      </c>
      <c r="R821">
        <f>'Bookings and Drivers'!Z302</f>
        <v>0</v>
      </c>
      <c r="S821">
        <f>'Bookings and Drivers'!AA302</f>
        <v>0</v>
      </c>
      <c r="T821">
        <f>'Bookings and Drivers'!AB302</f>
        <v>0</v>
      </c>
      <c r="U821">
        <f>'Bookings and Drivers'!AC302</f>
        <v>0</v>
      </c>
      <c r="V821">
        <f>'Bookings and Drivers'!AD302</f>
        <v>0</v>
      </c>
      <c r="W821">
        <f>'Bookings and Drivers'!AE302</f>
        <v>0</v>
      </c>
      <c r="X821">
        <f>'Bookings and Drivers'!AF302</f>
        <v>0</v>
      </c>
      <c r="Y821">
        <f>'Bookings and Drivers'!AG302</f>
        <v>0</v>
      </c>
      <c r="Z821">
        <f>'Bookings and Drivers'!AH302</f>
        <v>0</v>
      </c>
      <c r="AA821">
        <f>'Bookings and Drivers'!AI302</f>
        <v>0</v>
      </c>
      <c r="AB821">
        <f>'Bookings and Drivers'!AJ302</f>
        <v>0</v>
      </c>
      <c r="AC821">
        <f>'Bookings and Drivers'!AK302</f>
        <v>0</v>
      </c>
      <c r="AD821">
        <f>'Bookings and Drivers'!AL302</f>
        <v>0</v>
      </c>
      <c r="AE821">
        <f>'Bookings and Drivers'!AM302</f>
        <v>0</v>
      </c>
      <c r="AF821">
        <f>'Bookings and Drivers'!AN302</f>
        <v>0</v>
      </c>
      <c r="AG821">
        <f>'Bookings and Drivers'!AO302</f>
        <v>0</v>
      </c>
      <c r="AH821">
        <f>'Bookings and Drivers'!AP302</f>
        <v>0</v>
      </c>
      <c r="AI821">
        <f>'Bookings and Drivers'!AQ302</f>
        <v>0</v>
      </c>
      <c r="AJ821">
        <f>'Bookings and Drivers'!AR302</f>
        <v>0</v>
      </c>
      <c r="AK821">
        <f>'Bookings and Drivers'!AS302</f>
        <v>0</v>
      </c>
      <c r="AL821">
        <f>'Bookings and Drivers'!AT302</f>
        <v>0</v>
      </c>
      <c r="AM821">
        <f>'Bookings and Drivers'!AU302</f>
        <v>0</v>
      </c>
      <c r="AN821">
        <f>'Bookings and Drivers'!AV302</f>
        <v>0</v>
      </c>
      <c r="AO821">
        <f>'Bookings and Drivers'!AW302</f>
        <v>0</v>
      </c>
      <c r="AP821">
        <f>'Bookings and Drivers'!AX302</f>
        <v>0</v>
      </c>
      <c r="AQ821">
        <f>'Bookings and Drivers'!AY302</f>
        <v>0</v>
      </c>
      <c r="AR821">
        <f>'Bookings and Drivers'!AZ302</f>
        <v>0</v>
      </c>
      <c r="AS821">
        <f>'Bookings and Drivers'!BA302</f>
        <v>0</v>
      </c>
      <c r="AT821">
        <f>'Bookings and Drivers'!BB302</f>
        <v>0</v>
      </c>
      <c r="AU821">
        <f>'Bookings and Drivers'!BC302</f>
        <v>0</v>
      </c>
      <c r="AV821">
        <f>'Bookings and Drivers'!BD302</f>
        <v>0</v>
      </c>
      <c r="AW821">
        <f>'Bookings and Drivers'!BE302</f>
        <v>0</v>
      </c>
      <c r="AX821">
        <f>'Bookings and Drivers'!BF302</f>
        <v>0</v>
      </c>
      <c r="AY821">
        <f>'Bookings and Drivers'!BG302</f>
        <v>0</v>
      </c>
      <c r="AZ821">
        <f>'Bookings and Drivers'!BH302</f>
        <v>0</v>
      </c>
      <c r="BA821">
        <f>'Bookings and Drivers'!BI302</f>
        <v>0</v>
      </c>
      <c r="BB821">
        <f>'Bookings and Drivers'!BJ302</f>
        <v>0</v>
      </c>
      <c r="BC821">
        <f>'Bookings and Drivers'!BK302</f>
        <v>0</v>
      </c>
      <c r="BD821">
        <f>'Bookings and Drivers'!BL302</f>
        <v>0</v>
      </c>
      <c r="BE821">
        <f>'Bookings and Drivers'!BM302</f>
        <v>0</v>
      </c>
      <c r="BF821">
        <f>'Bookings and Drivers'!BN302</f>
        <v>0</v>
      </c>
      <c r="BG821">
        <f>'Bookings and Drivers'!BO302</f>
        <v>0</v>
      </c>
      <c r="BH821">
        <f>'Bookings and Drivers'!BP302</f>
        <v>0</v>
      </c>
      <c r="BI821">
        <f>'Bookings and Drivers'!BQ302</f>
        <v>0</v>
      </c>
      <c r="BJ821">
        <f>'Bookings and Drivers'!BR302</f>
        <v>0</v>
      </c>
      <c r="BK821">
        <f>'Bookings and Drivers'!BS302</f>
        <v>0</v>
      </c>
      <c r="BL821">
        <f>'Bookings and Drivers'!BT302</f>
        <v>0</v>
      </c>
      <c r="BM821">
        <f>'Bookings and Drivers'!BU302</f>
        <v>0</v>
      </c>
      <c r="BN821">
        <f>'Bookings and Drivers'!BV302</f>
        <v>0</v>
      </c>
      <c r="BO821">
        <f>'Bookings and Drivers'!BW302</f>
        <v>0</v>
      </c>
      <c r="BP821">
        <f>'Bookings and Drivers'!BX302</f>
        <v>0</v>
      </c>
      <c r="BQ821">
        <f>'Bookings and Drivers'!BY302</f>
        <v>0</v>
      </c>
      <c r="BR821">
        <f>'Bookings and Drivers'!BZ302</f>
        <v>0</v>
      </c>
      <c r="BS821">
        <f>'Bookings and Drivers'!CA302</f>
        <v>0</v>
      </c>
      <c r="BT821">
        <f>'Bookings and Drivers'!CB302</f>
        <v>0</v>
      </c>
      <c r="BU821">
        <f>'Bookings and Drivers'!CC302</f>
        <v>0</v>
      </c>
      <c r="BV821">
        <f>'Bookings and Drivers'!CD302</f>
        <v>0</v>
      </c>
      <c r="BW821">
        <f>'Bookings and Drivers'!CE302</f>
        <v>0</v>
      </c>
      <c r="BX821">
        <f>'Bookings and Drivers'!CF302</f>
        <v>0</v>
      </c>
      <c r="BY821">
        <f>'Bookings and Drivers'!CG302</f>
        <v>0</v>
      </c>
      <c r="BZ821">
        <f>'Bookings and Drivers'!CH302</f>
        <v>0</v>
      </c>
      <c r="CA821">
        <f>'Bookings and Drivers'!CI302</f>
        <v>0</v>
      </c>
      <c r="CB821">
        <f>'Bookings and Drivers'!CJ302</f>
        <v>0</v>
      </c>
      <c r="CC821">
        <f>'Bookings and Drivers'!CK302</f>
        <v>0</v>
      </c>
      <c r="CD821">
        <f>'Bookings and Drivers'!CL302</f>
        <v>0</v>
      </c>
      <c r="CE821">
        <f>'Bookings and Drivers'!CM302</f>
        <v>0</v>
      </c>
      <c r="CF821">
        <f>'Bookings and Drivers'!CN302</f>
        <v>0</v>
      </c>
      <c r="CG821">
        <f>'Bookings and Drivers'!CO302</f>
        <v>0</v>
      </c>
      <c r="CH821">
        <f>'Bookings and Drivers'!CP302</f>
        <v>0</v>
      </c>
      <c r="CI821">
        <f>'Bookings and Drivers'!CQ302</f>
        <v>0</v>
      </c>
      <c r="CJ821">
        <f>'Bookings and Drivers'!CR302</f>
        <v>0.65769731504998585</v>
      </c>
      <c r="CK821">
        <f>'Bookings and Drivers'!CS302</f>
        <v>0.46231047844946782</v>
      </c>
      <c r="CL821">
        <f>'Bookings and Drivers'!CT302</f>
        <v>0.40133614627285508</v>
      </c>
      <c r="CM821">
        <f>'Bookings and Drivers'!CU302</f>
        <v>0.29817108445827256</v>
      </c>
      <c r="CN821">
        <f>'Bookings and Drivers'!CV302</f>
        <v>0.26369491213443541</v>
      </c>
      <c r="CO821">
        <f>'Bookings and Drivers'!CW302</f>
        <v>0.3007916164077522</v>
      </c>
      <c r="CP821">
        <f>'Bookings and Drivers'!CX302</f>
        <v>0.21701552751058628</v>
      </c>
      <c r="CQ821">
        <f>'Bookings and Drivers'!CY302</f>
        <v>0.17938699675540937</v>
      </c>
      <c r="CR821">
        <f>'Bookings and Drivers'!CZ302</f>
        <v>0.15786055714476022</v>
      </c>
      <c r="CS821">
        <f>'Bookings and Drivers'!DA302</f>
        <v>0.13497077635876997</v>
      </c>
      <c r="CT821">
        <f>'Bookings and Drivers'!DB302</f>
        <v>0</v>
      </c>
      <c r="CU821">
        <f>'Bookings and Drivers'!DC302</f>
        <v>0</v>
      </c>
      <c r="CV821">
        <f>'Bookings and Drivers'!DD302</f>
        <v>0</v>
      </c>
      <c r="CW821">
        <f>'Bookings and Drivers'!DE302</f>
        <v>0</v>
      </c>
      <c r="CX821">
        <f>'Bookings and Drivers'!DF302</f>
        <v>0</v>
      </c>
    </row>
    <row r="822" spans="1:102">
      <c r="A822">
        <f>'Bookings and Drivers'!I303</f>
        <v>0</v>
      </c>
      <c r="B822">
        <f>'Bookings and Drivers'!J303</f>
        <v>0</v>
      </c>
      <c r="C822">
        <f>'Bookings and Drivers'!K303</f>
        <v>0</v>
      </c>
      <c r="D822">
        <f>'Bookings and Drivers'!L303</f>
        <v>0</v>
      </c>
      <c r="E822">
        <f>'Bookings and Drivers'!M303</f>
        <v>0</v>
      </c>
      <c r="F822">
        <f>'Bookings and Drivers'!N303</f>
        <v>0</v>
      </c>
      <c r="G822">
        <f>'Bookings and Drivers'!O303</f>
        <v>0</v>
      </c>
      <c r="H822">
        <f>'Bookings and Drivers'!P303</f>
        <v>0</v>
      </c>
      <c r="I822">
        <f>'Bookings and Drivers'!Q303</f>
        <v>0</v>
      </c>
      <c r="J822">
        <f>'Bookings and Drivers'!R303</f>
        <v>0</v>
      </c>
      <c r="K822">
        <f>'Bookings and Drivers'!S303</f>
        <v>0</v>
      </c>
      <c r="L822">
        <f>'Bookings and Drivers'!T303</f>
        <v>0</v>
      </c>
      <c r="M822">
        <f>'Bookings and Drivers'!U303</f>
        <v>0</v>
      </c>
      <c r="N822">
        <f>'Bookings and Drivers'!V303</f>
        <v>0</v>
      </c>
      <c r="O822">
        <f>'Bookings and Drivers'!W303</f>
        <v>0</v>
      </c>
      <c r="P822">
        <f>'Bookings and Drivers'!X303</f>
        <v>0</v>
      </c>
      <c r="Q822">
        <f>'Bookings and Drivers'!Y303</f>
        <v>0</v>
      </c>
      <c r="R822">
        <f>'Bookings and Drivers'!Z303</f>
        <v>0</v>
      </c>
      <c r="S822">
        <f>'Bookings and Drivers'!AA303</f>
        <v>0</v>
      </c>
      <c r="T822">
        <f>'Bookings and Drivers'!AB303</f>
        <v>0</v>
      </c>
      <c r="U822">
        <f>'Bookings and Drivers'!AC303</f>
        <v>0</v>
      </c>
      <c r="V822">
        <f>'Bookings and Drivers'!AD303</f>
        <v>0</v>
      </c>
      <c r="W822">
        <f>'Bookings and Drivers'!AE303</f>
        <v>0</v>
      </c>
      <c r="X822">
        <f>'Bookings and Drivers'!AF303</f>
        <v>0</v>
      </c>
      <c r="Y822">
        <f>'Bookings and Drivers'!AG303</f>
        <v>0</v>
      </c>
      <c r="Z822">
        <f>'Bookings and Drivers'!AH303</f>
        <v>0</v>
      </c>
      <c r="AA822">
        <f>'Bookings and Drivers'!AI303</f>
        <v>0</v>
      </c>
      <c r="AB822">
        <f>'Bookings and Drivers'!AJ303</f>
        <v>0</v>
      </c>
      <c r="AC822">
        <f>'Bookings and Drivers'!AK303</f>
        <v>0</v>
      </c>
      <c r="AD822">
        <f>'Bookings and Drivers'!AL303</f>
        <v>0</v>
      </c>
      <c r="AE822">
        <f>'Bookings and Drivers'!AM303</f>
        <v>0</v>
      </c>
      <c r="AF822">
        <f>'Bookings and Drivers'!AN303</f>
        <v>0</v>
      </c>
      <c r="AG822">
        <f>'Bookings and Drivers'!AO303</f>
        <v>0</v>
      </c>
      <c r="AH822">
        <f>'Bookings and Drivers'!AP303</f>
        <v>0</v>
      </c>
      <c r="AI822">
        <f>'Bookings and Drivers'!AQ303</f>
        <v>0</v>
      </c>
      <c r="AJ822">
        <f>'Bookings and Drivers'!AR303</f>
        <v>0</v>
      </c>
      <c r="AK822">
        <f>'Bookings and Drivers'!AS303</f>
        <v>0</v>
      </c>
      <c r="AL822">
        <f>'Bookings and Drivers'!AT303</f>
        <v>0</v>
      </c>
      <c r="AM822">
        <f>'Bookings and Drivers'!AU303</f>
        <v>0</v>
      </c>
      <c r="AN822">
        <f>'Bookings and Drivers'!AV303</f>
        <v>0</v>
      </c>
      <c r="AO822">
        <f>'Bookings and Drivers'!AW303</f>
        <v>0</v>
      </c>
      <c r="AP822">
        <f>'Bookings and Drivers'!AX303</f>
        <v>0</v>
      </c>
      <c r="AQ822">
        <f>'Bookings and Drivers'!AY303</f>
        <v>0</v>
      </c>
      <c r="AR822">
        <f>'Bookings and Drivers'!AZ303</f>
        <v>0</v>
      </c>
      <c r="AS822">
        <f>'Bookings and Drivers'!BA303</f>
        <v>0</v>
      </c>
      <c r="AT822">
        <f>'Bookings and Drivers'!BB303</f>
        <v>0</v>
      </c>
      <c r="AU822">
        <f>'Bookings and Drivers'!BC303</f>
        <v>0</v>
      </c>
      <c r="AV822">
        <f>'Bookings and Drivers'!BD303</f>
        <v>0</v>
      </c>
      <c r="AW822">
        <f>'Bookings and Drivers'!BE303</f>
        <v>0</v>
      </c>
      <c r="AX822">
        <f>'Bookings and Drivers'!BF303</f>
        <v>0</v>
      </c>
      <c r="AY822">
        <f>'Bookings and Drivers'!BG303</f>
        <v>0</v>
      </c>
      <c r="AZ822">
        <f>'Bookings and Drivers'!BH303</f>
        <v>0</v>
      </c>
      <c r="BA822">
        <f>'Bookings and Drivers'!BI303</f>
        <v>0</v>
      </c>
      <c r="BB822">
        <f>'Bookings and Drivers'!BJ303</f>
        <v>0</v>
      </c>
      <c r="BC822">
        <f>'Bookings and Drivers'!BK303</f>
        <v>0</v>
      </c>
      <c r="BD822">
        <f>'Bookings and Drivers'!BL303</f>
        <v>0</v>
      </c>
      <c r="BE822">
        <f>'Bookings and Drivers'!BM303</f>
        <v>0</v>
      </c>
      <c r="BF822">
        <f>'Bookings and Drivers'!BN303</f>
        <v>0</v>
      </c>
      <c r="BG822">
        <f>'Bookings and Drivers'!BO303</f>
        <v>0</v>
      </c>
      <c r="BH822">
        <f>'Bookings and Drivers'!BP303</f>
        <v>0</v>
      </c>
      <c r="BI822">
        <f>'Bookings and Drivers'!BQ303</f>
        <v>0</v>
      </c>
      <c r="BJ822">
        <f>'Bookings and Drivers'!BR303</f>
        <v>0</v>
      </c>
      <c r="BK822">
        <f>'Bookings and Drivers'!BS303</f>
        <v>0</v>
      </c>
      <c r="BL822">
        <f>'Bookings and Drivers'!BT303</f>
        <v>0</v>
      </c>
      <c r="BM822">
        <f>'Bookings and Drivers'!BU303</f>
        <v>0</v>
      </c>
      <c r="BN822">
        <f>'Bookings and Drivers'!BV303</f>
        <v>0</v>
      </c>
      <c r="BO822">
        <f>'Bookings and Drivers'!BW303</f>
        <v>0</v>
      </c>
      <c r="BP822">
        <f>'Bookings and Drivers'!BX303</f>
        <v>0</v>
      </c>
      <c r="BQ822">
        <f>'Bookings and Drivers'!BY303</f>
        <v>0</v>
      </c>
      <c r="BR822">
        <f>'Bookings and Drivers'!BZ303</f>
        <v>0</v>
      </c>
      <c r="BS822">
        <f>'Bookings and Drivers'!CA303</f>
        <v>0</v>
      </c>
      <c r="BT822">
        <f>'Bookings and Drivers'!CB303</f>
        <v>0</v>
      </c>
      <c r="BU822">
        <f>'Bookings and Drivers'!CC303</f>
        <v>0</v>
      </c>
      <c r="BV822">
        <f>'Bookings and Drivers'!CD303</f>
        <v>0</v>
      </c>
      <c r="BW822">
        <f>'Bookings and Drivers'!CE303</f>
        <v>0</v>
      </c>
      <c r="BX822">
        <f>'Bookings and Drivers'!CF303</f>
        <v>0</v>
      </c>
      <c r="BY822">
        <f>'Bookings and Drivers'!CG303</f>
        <v>0</v>
      </c>
      <c r="BZ822">
        <f>'Bookings and Drivers'!CH303</f>
        <v>0</v>
      </c>
      <c r="CA822">
        <f>'Bookings and Drivers'!CI303</f>
        <v>0</v>
      </c>
      <c r="CB822">
        <f>'Bookings and Drivers'!CJ303</f>
        <v>0</v>
      </c>
      <c r="CC822">
        <f>'Bookings and Drivers'!CK303</f>
        <v>0</v>
      </c>
      <c r="CD822">
        <f>'Bookings and Drivers'!CL303</f>
        <v>0</v>
      </c>
      <c r="CE822">
        <f>'Bookings and Drivers'!CM303</f>
        <v>0</v>
      </c>
      <c r="CF822">
        <f>'Bookings and Drivers'!CN303</f>
        <v>0</v>
      </c>
      <c r="CG822">
        <f>'Bookings and Drivers'!CO303</f>
        <v>0</v>
      </c>
      <c r="CH822">
        <f>'Bookings and Drivers'!CP303</f>
        <v>0</v>
      </c>
      <c r="CI822">
        <f>'Bookings and Drivers'!CQ303</f>
        <v>0</v>
      </c>
      <c r="CJ822">
        <f>'Bookings and Drivers'!CR303</f>
        <v>0</v>
      </c>
      <c r="CK822">
        <f>'Bookings and Drivers'!CS303</f>
        <v>0</v>
      </c>
      <c r="CL822">
        <f>'Bookings and Drivers'!CT303</f>
        <v>0</v>
      </c>
      <c r="CM822">
        <f>'Bookings and Drivers'!CU303</f>
        <v>0</v>
      </c>
      <c r="CN822">
        <f>'Bookings and Drivers'!CV303</f>
        <v>0</v>
      </c>
      <c r="CO822">
        <f>'Bookings and Drivers'!CW303</f>
        <v>0</v>
      </c>
      <c r="CP822">
        <f>'Bookings and Drivers'!CX303</f>
        <v>0</v>
      </c>
      <c r="CQ822">
        <f>'Bookings and Drivers'!CY303</f>
        <v>0</v>
      </c>
      <c r="CR822">
        <f>'Bookings and Drivers'!CZ303</f>
        <v>0</v>
      </c>
      <c r="CS822">
        <f>'Bookings and Drivers'!DA303</f>
        <v>0</v>
      </c>
      <c r="CT822">
        <f>'Bookings and Drivers'!DB303</f>
        <v>0</v>
      </c>
      <c r="CU822">
        <f>'Bookings and Drivers'!DC303</f>
        <v>0</v>
      </c>
      <c r="CV822">
        <f>'Bookings and Drivers'!DD303</f>
        <v>0</v>
      </c>
      <c r="CW822">
        <f>'Bookings and Drivers'!DE303</f>
        <v>0</v>
      </c>
      <c r="CX822">
        <f>'Bookings and Drivers'!DF303</f>
        <v>0</v>
      </c>
    </row>
    <row r="837" spans="1:102">
      <c r="A837" t="str">
        <f>'Bookings and Drivers'!I304</f>
        <v>Period-to-period change Y/Y</v>
      </c>
      <c r="B837">
        <f>'Bookings and Drivers'!J304</f>
        <v>0</v>
      </c>
      <c r="C837">
        <f>'Bookings and Drivers'!K304</f>
        <v>0</v>
      </c>
      <c r="D837">
        <f>'Bookings and Drivers'!L304</f>
        <v>0</v>
      </c>
      <c r="E837">
        <f>'Bookings and Drivers'!M304</f>
        <v>0</v>
      </c>
      <c r="F837">
        <f>'Bookings and Drivers'!N304</f>
        <v>0</v>
      </c>
      <c r="G837">
        <f>'Bookings and Drivers'!O304</f>
        <v>0</v>
      </c>
      <c r="H837">
        <f>'Bookings and Drivers'!P304</f>
        <v>0</v>
      </c>
      <c r="I837">
        <f>'Bookings and Drivers'!Q304</f>
        <v>0</v>
      </c>
      <c r="J837">
        <f>'Bookings and Drivers'!R304</f>
        <v>0</v>
      </c>
      <c r="K837">
        <f>'Bookings and Drivers'!S304</f>
        <v>0</v>
      </c>
      <c r="L837">
        <f>'Bookings and Drivers'!T304</f>
        <v>0</v>
      </c>
      <c r="M837">
        <f>'Bookings and Drivers'!U304</f>
        <v>0</v>
      </c>
      <c r="N837">
        <f>'Bookings and Drivers'!V304</f>
        <v>0</v>
      </c>
      <c r="O837">
        <f>'Bookings and Drivers'!W304</f>
        <v>0</v>
      </c>
      <c r="P837">
        <f>'Bookings and Drivers'!X304</f>
        <v>0</v>
      </c>
      <c r="Q837">
        <f>'Bookings and Drivers'!Y304</f>
        <v>0</v>
      </c>
      <c r="R837">
        <f>'Bookings and Drivers'!Z304</f>
        <v>0</v>
      </c>
      <c r="S837">
        <f>'Bookings and Drivers'!AA304</f>
        <v>0</v>
      </c>
      <c r="T837">
        <f>'Bookings and Drivers'!AB304</f>
        <v>0</v>
      </c>
      <c r="U837">
        <f>'Bookings and Drivers'!AC304</f>
        <v>0</v>
      </c>
      <c r="V837">
        <f>'Bookings and Drivers'!AD304</f>
        <v>0</v>
      </c>
      <c r="W837">
        <f>'Bookings and Drivers'!AE304</f>
        <v>0</v>
      </c>
      <c r="X837">
        <f>'Bookings and Drivers'!AF304</f>
        <v>0</v>
      </c>
      <c r="Y837">
        <f>'Bookings and Drivers'!AG304</f>
        <v>0</v>
      </c>
      <c r="Z837">
        <f>'Bookings and Drivers'!AH304</f>
        <v>0</v>
      </c>
      <c r="AA837">
        <f>'Bookings and Drivers'!AI304</f>
        <v>0</v>
      </c>
      <c r="AB837">
        <f>'Bookings and Drivers'!AJ304</f>
        <v>0</v>
      </c>
      <c r="AC837">
        <f>'Bookings and Drivers'!AK304</f>
        <v>0</v>
      </c>
      <c r="AD837">
        <f>'Bookings and Drivers'!AL304</f>
        <v>0</v>
      </c>
      <c r="AE837">
        <f>'Bookings and Drivers'!AM304</f>
        <v>0</v>
      </c>
      <c r="AF837">
        <f>'Bookings and Drivers'!AN304</f>
        <v>0</v>
      </c>
      <c r="AG837">
        <f>'Bookings and Drivers'!AO304</f>
        <v>0</v>
      </c>
      <c r="AH837">
        <f>'Bookings and Drivers'!AP304</f>
        <v>0</v>
      </c>
      <c r="AI837">
        <f>'Bookings and Drivers'!AQ304</f>
        <v>0</v>
      </c>
      <c r="AJ837">
        <f>'Bookings and Drivers'!AR304</f>
        <v>0</v>
      </c>
      <c r="AK837">
        <f>'Bookings and Drivers'!AS304</f>
        <v>0</v>
      </c>
      <c r="AL837">
        <f>'Bookings and Drivers'!AT304</f>
        <v>0</v>
      </c>
      <c r="AM837">
        <f>'Bookings and Drivers'!AU304</f>
        <v>0</v>
      </c>
      <c r="AN837">
        <f>'Bookings and Drivers'!AV304</f>
        <v>0</v>
      </c>
      <c r="AO837">
        <f>'Bookings and Drivers'!AW304</f>
        <v>0</v>
      </c>
      <c r="AP837">
        <f>'Bookings and Drivers'!AX304</f>
        <v>0</v>
      </c>
      <c r="AQ837">
        <f>'Bookings and Drivers'!AY304</f>
        <v>0</v>
      </c>
      <c r="AR837">
        <f>'Bookings and Drivers'!AZ304</f>
        <v>0</v>
      </c>
      <c r="AS837">
        <f>'Bookings and Drivers'!BA304</f>
        <v>0</v>
      </c>
      <c r="AT837">
        <f>'Bookings and Drivers'!BB304</f>
        <v>0</v>
      </c>
      <c r="AU837">
        <f>'Bookings and Drivers'!BC304</f>
        <v>0</v>
      </c>
      <c r="AV837">
        <f>'Bookings and Drivers'!BD304</f>
        <v>0</v>
      </c>
      <c r="AW837">
        <f>'Bookings and Drivers'!BE304</f>
        <v>0</v>
      </c>
      <c r="AX837">
        <f>'Bookings and Drivers'!BF304</f>
        <v>0</v>
      </c>
      <c r="AY837">
        <f>'Bookings and Drivers'!BG304</f>
        <v>0</v>
      </c>
      <c r="AZ837">
        <f>'Bookings and Drivers'!BH304</f>
        <v>0</v>
      </c>
      <c r="BA837">
        <f>'Bookings and Drivers'!BI304</f>
        <v>0</v>
      </c>
      <c r="BB837">
        <f>'Bookings and Drivers'!BJ304</f>
        <v>0</v>
      </c>
      <c r="BC837">
        <f>'Bookings and Drivers'!BK304</f>
        <v>0</v>
      </c>
      <c r="BD837">
        <f>'Bookings and Drivers'!BL304</f>
        <v>0</v>
      </c>
      <c r="BE837">
        <f>'Bookings and Drivers'!BM304</f>
        <v>0</v>
      </c>
      <c r="BF837">
        <f>'Bookings and Drivers'!BN304</f>
        <v>0</v>
      </c>
      <c r="BG837">
        <f>'Bookings and Drivers'!BO304</f>
        <v>0</v>
      </c>
      <c r="BH837">
        <f>'Bookings and Drivers'!BP304</f>
        <v>0</v>
      </c>
      <c r="BI837">
        <f>'Bookings and Drivers'!BQ304</f>
        <v>0</v>
      </c>
      <c r="BJ837">
        <f>'Bookings and Drivers'!BR304</f>
        <v>0</v>
      </c>
      <c r="BK837">
        <f>'Bookings and Drivers'!BS304</f>
        <v>0</v>
      </c>
      <c r="BL837">
        <f>'Bookings and Drivers'!BT304</f>
        <v>0</v>
      </c>
      <c r="BM837">
        <f>'Bookings and Drivers'!BU304</f>
        <v>0</v>
      </c>
      <c r="BN837">
        <f>'Bookings and Drivers'!BV304</f>
        <v>0</v>
      </c>
      <c r="BO837">
        <f>'Bookings and Drivers'!BW304</f>
        <v>0</v>
      </c>
      <c r="BP837">
        <f>'Bookings and Drivers'!BX304</f>
        <v>0</v>
      </c>
      <c r="BQ837">
        <f>'Bookings and Drivers'!BY304</f>
        <v>0</v>
      </c>
      <c r="BR837">
        <f>'Bookings and Drivers'!BZ304</f>
        <v>0</v>
      </c>
      <c r="BS837">
        <f>'Bookings and Drivers'!CA304</f>
        <v>0</v>
      </c>
      <c r="BT837">
        <f>'Bookings and Drivers'!CB304</f>
        <v>0</v>
      </c>
      <c r="BU837">
        <f>'Bookings and Drivers'!CC304</f>
        <v>0</v>
      </c>
      <c r="BV837">
        <f>'Bookings and Drivers'!CD304</f>
        <v>0</v>
      </c>
      <c r="BW837">
        <f>'Bookings and Drivers'!CE304</f>
        <v>0</v>
      </c>
      <c r="BX837">
        <f>'Bookings and Drivers'!CF304</f>
        <v>0</v>
      </c>
      <c r="BY837">
        <f>'Bookings and Drivers'!CG304</f>
        <v>0</v>
      </c>
      <c r="BZ837">
        <f>'Bookings and Drivers'!CH304</f>
        <v>0</v>
      </c>
      <c r="CA837">
        <f>'Bookings and Drivers'!CI304</f>
        <v>0</v>
      </c>
      <c r="CB837">
        <f>'Bookings and Drivers'!CJ304</f>
        <v>0</v>
      </c>
      <c r="CC837">
        <f>'Bookings and Drivers'!CK304</f>
        <v>0</v>
      </c>
      <c r="CD837">
        <f>'Bookings and Drivers'!CL304</f>
        <v>0</v>
      </c>
      <c r="CE837">
        <f>'Bookings and Drivers'!CM304</f>
        <v>0</v>
      </c>
      <c r="CF837">
        <f>'Bookings and Drivers'!CN304</f>
        <v>0</v>
      </c>
      <c r="CG837">
        <f>'Bookings and Drivers'!CO304</f>
        <v>0</v>
      </c>
      <c r="CH837">
        <f>'Bookings and Drivers'!CP304</f>
        <v>0</v>
      </c>
      <c r="CI837">
        <f>'Bookings and Drivers'!CQ304</f>
        <v>2010</v>
      </c>
      <c r="CJ837">
        <f>'Bookings and Drivers'!CR304</f>
        <v>2011</v>
      </c>
      <c r="CK837">
        <f>'Bookings and Drivers'!CS304</f>
        <v>2012</v>
      </c>
      <c r="CL837">
        <f>'Bookings and Drivers'!CT304</f>
        <v>2013</v>
      </c>
      <c r="CM837">
        <f>'Bookings and Drivers'!CU304</f>
        <v>2014</v>
      </c>
      <c r="CN837">
        <f>'Bookings and Drivers'!CV304</f>
        <v>2015</v>
      </c>
      <c r="CO837" t="str">
        <f>'Bookings and Drivers'!CW304</f>
        <v>2016E</v>
      </c>
      <c r="CP837" t="str">
        <f>'Bookings and Drivers'!CX304</f>
        <v>2017E</v>
      </c>
      <c r="CQ837" t="str">
        <f>'Bookings and Drivers'!CY304</f>
        <v>2018E</v>
      </c>
      <c r="CR837" t="str">
        <f>'Bookings and Drivers'!CZ304</f>
        <v>2019E</v>
      </c>
      <c r="CS837" t="str">
        <f>'Bookings and Drivers'!DA304</f>
        <v>2020E</v>
      </c>
      <c r="CT837">
        <f>'Bookings and Drivers'!DB304</f>
        <v>0</v>
      </c>
      <c r="CU837">
        <f>'Bookings and Drivers'!DC304</f>
        <v>0</v>
      </c>
      <c r="CV837">
        <f>'Bookings and Drivers'!DD304</f>
        <v>0</v>
      </c>
      <c r="CW837">
        <f>'Bookings and Drivers'!DE304</f>
        <v>0</v>
      </c>
      <c r="CX837">
        <f>'Bookings and Drivers'!DF304</f>
        <v>0</v>
      </c>
    </row>
    <row r="838" spans="1:102">
      <c r="A838" t="str">
        <f>'Bookings and Drivers'!I305</f>
        <v>Europe Nights</v>
      </c>
      <c r="B838">
        <f>'Bookings and Drivers'!J305</f>
        <v>0</v>
      </c>
      <c r="C838">
        <f>'Bookings and Drivers'!K305</f>
        <v>0</v>
      </c>
      <c r="D838">
        <f>'Bookings and Drivers'!L305</f>
        <v>0</v>
      </c>
      <c r="E838">
        <f>'Bookings and Drivers'!M305</f>
        <v>0</v>
      </c>
      <c r="F838">
        <f>'Bookings and Drivers'!N305</f>
        <v>0</v>
      </c>
      <c r="G838">
        <f>'Bookings and Drivers'!O305</f>
        <v>0</v>
      </c>
      <c r="H838">
        <f>'Bookings and Drivers'!P305</f>
        <v>0</v>
      </c>
      <c r="I838">
        <f>'Bookings and Drivers'!Q305</f>
        <v>0</v>
      </c>
      <c r="J838">
        <f>'Bookings and Drivers'!R305</f>
        <v>0</v>
      </c>
      <c r="K838">
        <f>'Bookings and Drivers'!S305</f>
        <v>0</v>
      </c>
      <c r="L838">
        <f>'Bookings and Drivers'!T305</f>
        <v>0</v>
      </c>
      <c r="M838">
        <f>'Bookings and Drivers'!U305</f>
        <v>0</v>
      </c>
      <c r="N838">
        <f>'Bookings and Drivers'!V305</f>
        <v>0</v>
      </c>
      <c r="O838">
        <f>'Bookings and Drivers'!W305</f>
        <v>0</v>
      </c>
      <c r="P838">
        <f>'Bookings and Drivers'!X305</f>
        <v>0</v>
      </c>
      <c r="Q838">
        <f>'Bookings and Drivers'!Y305</f>
        <v>0</v>
      </c>
      <c r="R838">
        <f>'Bookings and Drivers'!Z305</f>
        <v>0</v>
      </c>
      <c r="S838">
        <f>'Bookings and Drivers'!AA305</f>
        <v>0</v>
      </c>
      <c r="T838">
        <f>'Bookings and Drivers'!AB305</f>
        <v>0</v>
      </c>
      <c r="U838">
        <f>'Bookings and Drivers'!AC305</f>
        <v>0</v>
      </c>
      <c r="V838">
        <f>'Bookings and Drivers'!AD305</f>
        <v>0</v>
      </c>
      <c r="W838">
        <f>'Bookings and Drivers'!AE305</f>
        <v>0</v>
      </c>
      <c r="X838">
        <f>'Bookings and Drivers'!AF305</f>
        <v>0</v>
      </c>
      <c r="Y838">
        <f>'Bookings and Drivers'!AG305</f>
        <v>0</v>
      </c>
      <c r="Z838">
        <f>'Bookings and Drivers'!AH305</f>
        <v>0</v>
      </c>
      <c r="AA838">
        <f>'Bookings and Drivers'!AI305</f>
        <v>0</v>
      </c>
      <c r="AB838">
        <f>'Bookings and Drivers'!AJ305</f>
        <v>0</v>
      </c>
      <c r="AC838">
        <f>'Bookings and Drivers'!AK305</f>
        <v>0</v>
      </c>
      <c r="AD838">
        <f>'Bookings and Drivers'!AL305</f>
        <v>0</v>
      </c>
      <c r="AE838">
        <f>'Bookings and Drivers'!AM305</f>
        <v>0</v>
      </c>
      <c r="AF838">
        <f>'Bookings and Drivers'!AN305</f>
        <v>0</v>
      </c>
      <c r="AG838">
        <f>'Bookings and Drivers'!AO305</f>
        <v>0</v>
      </c>
      <c r="AH838">
        <f>'Bookings and Drivers'!AP305</f>
        <v>0</v>
      </c>
      <c r="AI838">
        <f>'Bookings and Drivers'!AQ305</f>
        <v>0</v>
      </c>
      <c r="AJ838">
        <f>'Bookings and Drivers'!AR305</f>
        <v>0</v>
      </c>
      <c r="AK838">
        <f>'Bookings and Drivers'!AS305</f>
        <v>0</v>
      </c>
      <c r="AL838">
        <f>'Bookings and Drivers'!AT305</f>
        <v>0</v>
      </c>
      <c r="AM838">
        <f>'Bookings and Drivers'!AU305</f>
        <v>0</v>
      </c>
      <c r="AN838">
        <f>'Bookings and Drivers'!AV305</f>
        <v>0</v>
      </c>
      <c r="AO838">
        <f>'Bookings and Drivers'!AW305</f>
        <v>0</v>
      </c>
      <c r="AP838">
        <f>'Bookings and Drivers'!AX305</f>
        <v>0</v>
      </c>
      <c r="AQ838">
        <f>'Bookings and Drivers'!AY305</f>
        <v>0</v>
      </c>
      <c r="AR838">
        <f>'Bookings and Drivers'!AZ305</f>
        <v>0</v>
      </c>
      <c r="AS838">
        <f>'Bookings and Drivers'!BA305</f>
        <v>0</v>
      </c>
      <c r="AT838">
        <f>'Bookings and Drivers'!BB305</f>
        <v>0</v>
      </c>
      <c r="AU838">
        <f>'Bookings and Drivers'!BC305</f>
        <v>0</v>
      </c>
      <c r="AV838">
        <f>'Bookings and Drivers'!BD305</f>
        <v>0</v>
      </c>
      <c r="AW838">
        <f>'Bookings and Drivers'!BE305</f>
        <v>0</v>
      </c>
      <c r="AX838">
        <f>'Bookings and Drivers'!BF305</f>
        <v>0</v>
      </c>
      <c r="AY838">
        <f>'Bookings and Drivers'!BG305</f>
        <v>0</v>
      </c>
      <c r="AZ838">
        <f>'Bookings and Drivers'!BH305</f>
        <v>0</v>
      </c>
      <c r="BA838">
        <f>'Bookings and Drivers'!BI305</f>
        <v>0</v>
      </c>
      <c r="BB838">
        <f>'Bookings and Drivers'!BJ305</f>
        <v>0</v>
      </c>
      <c r="BC838">
        <f>'Bookings and Drivers'!BK305</f>
        <v>0</v>
      </c>
      <c r="BD838">
        <f>'Bookings and Drivers'!BL305</f>
        <v>0</v>
      </c>
      <c r="BE838">
        <f>'Bookings and Drivers'!BM305</f>
        <v>0</v>
      </c>
      <c r="BF838">
        <f>'Bookings and Drivers'!BN305</f>
        <v>0</v>
      </c>
      <c r="BG838">
        <f>'Bookings and Drivers'!BO305</f>
        <v>0</v>
      </c>
      <c r="BH838">
        <f>'Bookings and Drivers'!BP305</f>
        <v>0</v>
      </c>
      <c r="BI838">
        <f>'Bookings and Drivers'!BQ305</f>
        <v>0</v>
      </c>
      <c r="BJ838">
        <f>'Bookings and Drivers'!BR305</f>
        <v>0</v>
      </c>
      <c r="BK838">
        <f>'Bookings and Drivers'!BS305</f>
        <v>0</v>
      </c>
      <c r="BL838">
        <f>'Bookings and Drivers'!BT305</f>
        <v>0</v>
      </c>
      <c r="BM838">
        <f>'Bookings and Drivers'!BU305</f>
        <v>0</v>
      </c>
      <c r="BN838">
        <f>'Bookings and Drivers'!BV305</f>
        <v>0</v>
      </c>
      <c r="BO838">
        <f>'Bookings and Drivers'!BW305</f>
        <v>0</v>
      </c>
      <c r="BP838">
        <f>'Bookings and Drivers'!BX305</f>
        <v>0</v>
      </c>
      <c r="BQ838">
        <f>'Bookings and Drivers'!BY305</f>
        <v>0</v>
      </c>
      <c r="BR838">
        <f>'Bookings and Drivers'!BZ305</f>
        <v>0</v>
      </c>
      <c r="BS838">
        <f>'Bookings and Drivers'!CA305</f>
        <v>0</v>
      </c>
      <c r="BT838">
        <f>'Bookings and Drivers'!CB305</f>
        <v>0</v>
      </c>
      <c r="BU838">
        <f>'Bookings and Drivers'!CC305</f>
        <v>0</v>
      </c>
      <c r="BV838">
        <f>'Bookings and Drivers'!CD305</f>
        <v>0</v>
      </c>
      <c r="BW838">
        <f>'Bookings and Drivers'!CE305</f>
        <v>0</v>
      </c>
      <c r="BX838">
        <f>'Bookings and Drivers'!CF305</f>
        <v>0</v>
      </c>
      <c r="BY838">
        <f>'Bookings and Drivers'!CG305</f>
        <v>0</v>
      </c>
      <c r="BZ838">
        <f>'Bookings and Drivers'!CH305</f>
        <v>0</v>
      </c>
      <c r="CA838">
        <f>'Bookings and Drivers'!CI305</f>
        <v>0</v>
      </c>
      <c r="CB838">
        <f>'Bookings and Drivers'!CJ305</f>
        <v>0</v>
      </c>
      <c r="CC838">
        <f>'Bookings and Drivers'!CK305</f>
        <v>0</v>
      </c>
      <c r="CD838">
        <f>'Bookings and Drivers'!CL305</f>
        <v>0</v>
      </c>
      <c r="CE838">
        <f>'Bookings and Drivers'!CM305</f>
        <v>0</v>
      </c>
      <c r="CF838">
        <f>'Bookings and Drivers'!CN305</f>
        <v>0</v>
      </c>
      <c r="CG838">
        <f>'Bookings and Drivers'!CO305</f>
        <v>0</v>
      </c>
      <c r="CH838">
        <f>'Bookings and Drivers'!CP305</f>
        <v>0</v>
      </c>
      <c r="CI838">
        <f>'Bookings and Drivers'!CQ305</f>
        <v>21.972544389471828</v>
      </c>
      <c r="CJ838">
        <f>'Bookings and Drivers'!CR305</f>
        <v>33.448935369025534</v>
      </c>
      <c r="CK838">
        <f>'Bookings and Drivers'!CS305</f>
        <v>26.151998119798535</v>
      </c>
      <c r="CL838">
        <f>'Bookings and Drivers'!CT305</f>
        <v>31.083517765246242</v>
      </c>
      <c r="CM838">
        <f>'Bookings and Drivers'!CU305</f>
        <v>33.139812017408701</v>
      </c>
      <c r="CN838">
        <f>'Bookings and Drivers'!CV305</f>
        <v>36.755064237489648</v>
      </c>
      <c r="CO838">
        <f>'Bookings and Drivers'!CW305</f>
        <v>41.900773230738167</v>
      </c>
      <c r="CP838">
        <f>'Bookings and Drivers'!CX305</f>
        <v>41.988985384908119</v>
      </c>
      <c r="CQ838">
        <f>'Bookings and Drivers'!CY305</f>
        <v>38.052518005073011</v>
      </c>
      <c r="CR838">
        <f>'Bookings and Drivers'!CZ305</f>
        <v>34.247266204565733</v>
      </c>
      <c r="CS838">
        <f>'Bookings and Drivers'!DA305</f>
        <v>30.137594260017863</v>
      </c>
      <c r="CT838">
        <f>'Bookings and Drivers'!DB305</f>
        <v>0</v>
      </c>
      <c r="CU838">
        <f>'Bookings and Drivers'!DC305</f>
        <v>0</v>
      </c>
      <c r="CV838">
        <f>'Bookings and Drivers'!DD305</f>
        <v>0</v>
      </c>
      <c r="CW838">
        <f>'Bookings and Drivers'!DE305</f>
        <v>0</v>
      </c>
      <c r="CX838">
        <f>'Bookings and Drivers'!DF305</f>
        <v>0</v>
      </c>
    </row>
    <row r="839" spans="1:102">
      <c r="A839" t="str">
        <f>'Bookings and Drivers'!I306</f>
        <v>APAC</v>
      </c>
      <c r="B839">
        <f>'Bookings and Drivers'!J306</f>
        <v>0</v>
      </c>
      <c r="C839">
        <f>'Bookings and Drivers'!K306</f>
        <v>0</v>
      </c>
      <c r="D839">
        <f>'Bookings and Drivers'!L306</f>
        <v>0</v>
      </c>
      <c r="E839">
        <f>'Bookings and Drivers'!M306</f>
        <v>0</v>
      </c>
      <c r="F839">
        <f>'Bookings and Drivers'!N306</f>
        <v>0</v>
      </c>
      <c r="G839">
        <f>'Bookings and Drivers'!O306</f>
        <v>0</v>
      </c>
      <c r="H839">
        <f>'Bookings and Drivers'!P306</f>
        <v>0</v>
      </c>
      <c r="I839">
        <f>'Bookings and Drivers'!Q306</f>
        <v>0</v>
      </c>
      <c r="J839">
        <f>'Bookings and Drivers'!R306</f>
        <v>0</v>
      </c>
      <c r="K839">
        <f>'Bookings and Drivers'!S306</f>
        <v>0</v>
      </c>
      <c r="L839">
        <f>'Bookings and Drivers'!T306</f>
        <v>0</v>
      </c>
      <c r="M839">
        <f>'Bookings and Drivers'!U306</f>
        <v>0</v>
      </c>
      <c r="N839">
        <f>'Bookings and Drivers'!V306</f>
        <v>0</v>
      </c>
      <c r="O839">
        <f>'Bookings and Drivers'!W306</f>
        <v>0</v>
      </c>
      <c r="P839">
        <f>'Bookings and Drivers'!X306</f>
        <v>0</v>
      </c>
      <c r="Q839">
        <f>'Bookings and Drivers'!Y306</f>
        <v>0</v>
      </c>
      <c r="R839">
        <f>'Bookings and Drivers'!Z306</f>
        <v>0</v>
      </c>
      <c r="S839">
        <f>'Bookings and Drivers'!AA306</f>
        <v>0</v>
      </c>
      <c r="T839">
        <f>'Bookings and Drivers'!AB306</f>
        <v>0</v>
      </c>
      <c r="U839">
        <f>'Bookings and Drivers'!AC306</f>
        <v>0</v>
      </c>
      <c r="V839">
        <f>'Bookings and Drivers'!AD306</f>
        <v>0</v>
      </c>
      <c r="W839">
        <f>'Bookings and Drivers'!AE306</f>
        <v>0</v>
      </c>
      <c r="X839">
        <f>'Bookings and Drivers'!AF306</f>
        <v>0</v>
      </c>
      <c r="Y839">
        <f>'Bookings and Drivers'!AG306</f>
        <v>0</v>
      </c>
      <c r="Z839">
        <f>'Bookings and Drivers'!AH306</f>
        <v>0</v>
      </c>
      <c r="AA839">
        <f>'Bookings and Drivers'!AI306</f>
        <v>0</v>
      </c>
      <c r="AB839">
        <f>'Bookings and Drivers'!AJ306</f>
        <v>0</v>
      </c>
      <c r="AC839">
        <f>'Bookings and Drivers'!AK306</f>
        <v>0</v>
      </c>
      <c r="AD839">
        <f>'Bookings and Drivers'!AL306</f>
        <v>0</v>
      </c>
      <c r="AE839">
        <f>'Bookings and Drivers'!AM306</f>
        <v>0</v>
      </c>
      <c r="AF839">
        <f>'Bookings and Drivers'!AN306</f>
        <v>0</v>
      </c>
      <c r="AG839">
        <f>'Bookings and Drivers'!AO306</f>
        <v>0</v>
      </c>
      <c r="AH839">
        <f>'Bookings and Drivers'!AP306</f>
        <v>0</v>
      </c>
      <c r="AI839">
        <f>'Bookings and Drivers'!AQ306</f>
        <v>0</v>
      </c>
      <c r="AJ839">
        <f>'Bookings and Drivers'!AR306</f>
        <v>0</v>
      </c>
      <c r="AK839">
        <f>'Bookings and Drivers'!AS306</f>
        <v>0</v>
      </c>
      <c r="AL839">
        <f>'Bookings and Drivers'!AT306</f>
        <v>0</v>
      </c>
      <c r="AM839">
        <f>'Bookings and Drivers'!AU306</f>
        <v>0</v>
      </c>
      <c r="AN839">
        <f>'Bookings and Drivers'!AV306</f>
        <v>0</v>
      </c>
      <c r="AO839">
        <f>'Bookings and Drivers'!AW306</f>
        <v>0</v>
      </c>
      <c r="AP839">
        <f>'Bookings and Drivers'!AX306</f>
        <v>0</v>
      </c>
      <c r="AQ839">
        <f>'Bookings and Drivers'!AY306</f>
        <v>0</v>
      </c>
      <c r="AR839">
        <f>'Bookings and Drivers'!AZ306</f>
        <v>0</v>
      </c>
      <c r="AS839">
        <f>'Bookings and Drivers'!BA306</f>
        <v>0</v>
      </c>
      <c r="AT839">
        <f>'Bookings and Drivers'!BB306</f>
        <v>0</v>
      </c>
      <c r="AU839">
        <f>'Bookings and Drivers'!BC306</f>
        <v>0</v>
      </c>
      <c r="AV839">
        <f>'Bookings and Drivers'!BD306</f>
        <v>0</v>
      </c>
      <c r="AW839">
        <f>'Bookings and Drivers'!BE306</f>
        <v>0</v>
      </c>
      <c r="AX839">
        <f>'Bookings and Drivers'!BF306</f>
        <v>0</v>
      </c>
      <c r="AY839">
        <f>'Bookings and Drivers'!BG306</f>
        <v>0</v>
      </c>
      <c r="AZ839">
        <f>'Bookings and Drivers'!BH306</f>
        <v>0</v>
      </c>
      <c r="BA839">
        <f>'Bookings and Drivers'!BI306</f>
        <v>0</v>
      </c>
      <c r="BB839">
        <f>'Bookings and Drivers'!BJ306</f>
        <v>0</v>
      </c>
      <c r="BC839">
        <f>'Bookings and Drivers'!BK306</f>
        <v>0</v>
      </c>
      <c r="BD839">
        <f>'Bookings and Drivers'!BL306</f>
        <v>0</v>
      </c>
      <c r="BE839">
        <f>'Bookings and Drivers'!BM306</f>
        <v>0</v>
      </c>
      <c r="BF839">
        <f>'Bookings and Drivers'!BN306</f>
        <v>0</v>
      </c>
      <c r="BG839">
        <f>'Bookings and Drivers'!BO306</f>
        <v>0</v>
      </c>
      <c r="BH839">
        <f>'Bookings and Drivers'!BP306</f>
        <v>0</v>
      </c>
      <c r="BI839">
        <f>'Bookings and Drivers'!BQ306</f>
        <v>0</v>
      </c>
      <c r="BJ839">
        <f>'Bookings and Drivers'!BR306</f>
        <v>0</v>
      </c>
      <c r="BK839">
        <f>'Bookings and Drivers'!BS306</f>
        <v>0</v>
      </c>
      <c r="BL839">
        <f>'Bookings and Drivers'!BT306</f>
        <v>0</v>
      </c>
      <c r="BM839">
        <f>'Bookings and Drivers'!BU306</f>
        <v>0</v>
      </c>
      <c r="BN839">
        <f>'Bookings and Drivers'!BV306</f>
        <v>0</v>
      </c>
      <c r="BO839">
        <f>'Bookings and Drivers'!BW306</f>
        <v>0</v>
      </c>
      <c r="BP839">
        <f>'Bookings and Drivers'!BX306</f>
        <v>0</v>
      </c>
      <c r="BQ839">
        <f>'Bookings and Drivers'!BY306</f>
        <v>0</v>
      </c>
      <c r="BR839">
        <f>'Bookings and Drivers'!BZ306</f>
        <v>0</v>
      </c>
      <c r="BS839">
        <f>'Bookings and Drivers'!CA306</f>
        <v>0</v>
      </c>
      <c r="BT839">
        <f>'Bookings and Drivers'!CB306</f>
        <v>0</v>
      </c>
      <c r="BU839">
        <f>'Bookings and Drivers'!CC306</f>
        <v>0</v>
      </c>
      <c r="BV839">
        <f>'Bookings and Drivers'!CD306</f>
        <v>0</v>
      </c>
      <c r="BW839">
        <f>'Bookings and Drivers'!CE306</f>
        <v>0</v>
      </c>
      <c r="BX839">
        <f>'Bookings and Drivers'!CF306</f>
        <v>0</v>
      </c>
      <c r="BY839">
        <f>'Bookings and Drivers'!CG306</f>
        <v>0</v>
      </c>
      <c r="BZ839">
        <f>'Bookings and Drivers'!CH306</f>
        <v>0</v>
      </c>
      <c r="CA839">
        <f>'Bookings and Drivers'!CI306</f>
        <v>0</v>
      </c>
      <c r="CB839">
        <f>'Bookings and Drivers'!CJ306</f>
        <v>0</v>
      </c>
      <c r="CC839">
        <f>'Bookings and Drivers'!CK306</f>
        <v>0</v>
      </c>
      <c r="CD839">
        <f>'Bookings and Drivers'!CL306</f>
        <v>0</v>
      </c>
      <c r="CE839">
        <f>'Bookings and Drivers'!CM306</f>
        <v>0</v>
      </c>
      <c r="CF839">
        <f>'Bookings and Drivers'!CN306</f>
        <v>0</v>
      </c>
      <c r="CG839">
        <f>'Bookings and Drivers'!CO306</f>
        <v>0</v>
      </c>
      <c r="CH839">
        <f>'Bookings and Drivers'!CP306</f>
        <v>0</v>
      </c>
      <c r="CI839">
        <f>'Bookings and Drivers'!CQ306</f>
        <v>0</v>
      </c>
      <c r="CJ839">
        <f>'Bookings and Drivers'!CR306</f>
        <v>0</v>
      </c>
      <c r="CK839">
        <f>'Bookings and Drivers'!CS306</f>
        <v>0</v>
      </c>
      <c r="CL839">
        <f>'Bookings and Drivers'!CT306</f>
        <v>0</v>
      </c>
      <c r="CM839">
        <f>'Bookings and Drivers'!CU306</f>
        <v>0</v>
      </c>
      <c r="CN839">
        <f>'Bookings and Drivers'!CV306</f>
        <v>0</v>
      </c>
      <c r="CO839">
        <f>'Bookings and Drivers'!CW306</f>
        <v>0</v>
      </c>
      <c r="CP839">
        <f>'Bookings and Drivers'!CX306</f>
        <v>0</v>
      </c>
      <c r="CQ839">
        <f>'Bookings and Drivers'!CY306</f>
        <v>0</v>
      </c>
      <c r="CR839">
        <f>'Bookings and Drivers'!CZ306</f>
        <v>0</v>
      </c>
      <c r="CS839">
        <f>'Bookings and Drivers'!DA306</f>
        <v>0</v>
      </c>
      <c r="CT839">
        <f>'Bookings and Drivers'!DB306</f>
        <v>0</v>
      </c>
      <c r="CU839">
        <f>'Bookings and Drivers'!DC306</f>
        <v>0</v>
      </c>
      <c r="CV839">
        <f>'Bookings and Drivers'!DD306</f>
        <v>0</v>
      </c>
      <c r="CW839">
        <f>'Bookings and Drivers'!DE306</f>
        <v>0</v>
      </c>
      <c r="CX839">
        <f>'Bookings and Drivers'!DF306</f>
        <v>0</v>
      </c>
    </row>
    <row r="840" spans="1:102">
      <c r="A840" t="str">
        <f>'Bookings and Drivers'!I307</f>
        <v>Agoda</v>
      </c>
      <c r="B840">
        <f>'Bookings and Drivers'!J307</f>
        <v>0</v>
      </c>
      <c r="C840">
        <f>'Bookings and Drivers'!K307</f>
        <v>0</v>
      </c>
      <c r="D840">
        <f>'Bookings and Drivers'!L307</f>
        <v>0</v>
      </c>
      <c r="E840">
        <f>'Bookings and Drivers'!M307</f>
        <v>0</v>
      </c>
      <c r="F840">
        <f>'Bookings and Drivers'!N307</f>
        <v>0</v>
      </c>
      <c r="G840">
        <f>'Bookings and Drivers'!O307</f>
        <v>0</v>
      </c>
      <c r="H840">
        <f>'Bookings and Drivers'!P307</f>
        <v>0</v>
      </c>
      <c r="I840">
        <f>'Bookings and Drivers'!Q307</f>
        <v>0</v>
      </c>
      <c r="J840">
        <f>'Bookings and Drivers'!R307</f>
        <v>0</v>
      </c>
      <c r="K840">
        <f>'Bookings and Drivers'!S307</f>
        <v>0</v>
      </c>
      <c r="L840">
        <f>'Bookings and Drivers'!T307</f>
        <v>0</v>
      </c>
      <c r="M840">
        <f>'Bookings and Drivers'!U307</f>
        <v>0</v>
      </c>
      <c r="N840">
        <f>'Bookings and Drivers'!V307</f>
        <v>0</v>
      </c>
      <c r="O840">
        <f>'Bookings and Drivers'!W307</f>
        <v>0</v>
      </c>
      <c r="P840">
        <f>'Bookings and Drivers'!X307</f>
        <v>0</v>
      </c>
      <c r="Q840">
        <f>'Bookings and Drivers'!Y307</f>
        <v>0</v>
      </c>
      <c r="R840">
        <f>'Bookings and Drivers'!Z307</f>
        <v>0</v>
      </c>
      <c r="S840">
        <f>'Bookings and Drivers'!AA307</f>
        <v>0</v>
      </c>
      <c r="T840">
        <f>'Bookings and Drivers'!AB307</f>
        <v>0</v>
      </c>
      <c r="U840">
        <f>'Bookings and Drivers'!AC307</f>
        <v>0</v>
      </c>
      <c r="V840">
        <f>'Bookings and Drivers'!AD307</f>
        <v>0</v>
      </c>
      <c r="W840">
        <f>'Bookings and Drivers'!AE307</f>
        <v>0</v>
      </c>
      <c r="X840">
        <f>'Bookings and Drivers'!AF307</f>
        <v>0</v>
      </c>
      <c r="Y840">
        <f>'Bookings and Drivers'!AG307</f>
        <v>0</v>
      </c>
      <c r="Z840">
        <f>'Bookings and Drivers'!AH307</f>
        <v>0</v>
      </c>
      <c r="AA840">
        <f>'Bookings and Drivers'!AI307</f>
        <v>0</v>
      </c>
      <c r="AB840">
        <f>'Bookings and Drivers'!AJ307</f>
        <v>0</v>
      </c>
      <c r="AC840">
        <f>'Bookings and Drivers'!AK307</f>
        <v>0</v>
      </c>
      <c r="AD840">
        <f>'Bookings and Drivers'!AL307</f>
        <v>0</v>
      </c>
      <c r="AE840">
        <f>'Bookings and Drivers'!AM307</f>
        <v>0</v>
      </c>
      <c r="AF840">
        <f>'Bookings and Drivers'!AN307</f>
        <v>0</v>
      </c>
      <c r="AG840">
        <f>'Bookings and Drivers'!AO307</f>
        <v>0</v>
      </c>
      <c r="AH840">
        <f>'Bookings and Drivers'!AP307</f>
        <v>0</v>
      </c>
      <c r="AI840">
        <f>'Bookings and Drivers'!AQ307</f>
        <v>0</v>
      </c>
      <c r="AJ840">
        <f>'Bookings and Drivers'!AR307</f>
        <v>0</v>
      </c>
      <c r="AK840">
        <f>'Bookings and Drivers'!AS307</f>
        <v>0</v>
      </c>
      <c r="AL840">
        <f>'Bookings and Drivers'!AT307</f>
        <v>0</v>
      </c>
      <c r="AM840">
        <f>'Bookings and Drivers'!AU307</f>
        <v>0</v>
      </c>
      <c r="AN840">
        <f>'Bookings and Drivers'!AV307</f>
        <v>0</v>
      </c>
      <c r="AO840">
        <f>'Bookings and Drivers'!AW307</f>
        <v>0</v>
      </c>
      <c r="AP840">
        <f>'Bookings and Drivers'!AX307</f>
        <v>0</v>
      </c>
      <c r="AQ840">
        <f>'Bookings and Drivers'!AY307</f>
        <v>0</v>
      </c>
      <c r="AR840">
        <f>'Bookings and Drivers'!AZ307</f>
        <v>0</v>
      </c>
      <c r="AS840">
        <f>'Bookings and Drivers'!BA307</f>
        <v>0</v>
      </c>
      <c r="AT840">
        <f>'Bookings and Drivers'!BB307</f>
        <v>0</v>
      </c>
      <c r="AU840">
        <f>'Bookings and Drivers'!BC307</f>
        <v>0</v>
      </c>
      <c r="AV840">
        <f>'Bookings and Drivers'!BD307</f>
        <v>0</v>
      </c>
      <c r="AW840">
        <f>'Bookings and Drivers'!BE307</f>
        <v>0</v>
      </c>
      <c r="AX840">
        <f>'Bookings and Drivers'!BF307</f>
        <v>0</v>
      </c>
      <c r="AY840">
        <f>'Bookings and Drivers'!BG307</f>
        <v>0</v>
      </c>
      <c r="AZ840">
        <f>'Bookings and Drivers'!BH307</f>
        <v>0</v>
      </c>
      <c r="BA840">
        <f>'Bookings and Drivers'!BI307</f>
        <v>0</v>
      </c>
      <c r="BB840">
        <f>'Bookings and Drivers'!BJ307</f>
        <v>0</v>
      </c>
      <c r="BC840">
        <f>'Bookings and Drivers'!BK307</f>
        <v>0</v>
      </c>
      <c r="BD840">
        <f>'Bookings and Drivers'!BL307</f>
        <v>0</v>
      </c>
      <c r="BE840">
        <f>'Bookings and Drivers'!BM307</f>
        <v>0</v>
      </c>
      <c r="BF840">
        <f>'Bookings and Drivers'!BN307</f>
        <v>0</v>
      </c>
      <c r="BG840">
        <f>'Bookings and Drivers'!BO307</f>
        <v>0</v>
      </c>
      <c r="BH840">
        <f>'Bookings and Drivers'!BP307</f>
        <v>0</v>
      </c>
      <c r="BI840">
        <f>'Bookings and Drivers'!BQ307</f>
        <v>0</v>
      </c>
      <c r="BJ840">
        <f>'Bookings and Drivers'!BR307</f>
        <v>0</v>
      </c>
      <c r="BK840">
        <f>'Bookings and Drivers'!BS307</f>
        <v>0</v>
      </c>
      <c r="BL840">
        <f>'Bookings and Drivers'!BT307</f>
        <v>0</v>
      </c>
      <c r="BM840">
        <f>'Bookings and Drivers'!BU307</f>
        <v>0</v>
      </c>
      <c r="BN840">
        <f>'Bookings and Drivers'!BV307</f>
        <v>0</v>
      </c>
      <c r="BO840">
        <f>'Bookings and Drivers'!BW307</f>
        <v>0</v>
      </c>
      <c r="BP840">
        <f>'Bookings and Drivers'!BX307</f>
        <v>0</v>
      </c>
      <c r="BQ840">
        <f>'Bookings and Drivers'!BY307</f>
        <v>0</v>
      </c>
      <c r="BR840">
        <f>'Bookings and Drivers'!BZ307</f>
        <v>0</v>
      </c>
      <c r="BS840">
        <f>'Bookings and Drivers'!CA307</f>
        <v>0</v>
      </c>
      <c r="BT840">
        <f>'Bookings and Drivers'!CB307</f>
        <v>0</v>
      </c>
      <c r="BU840">
        <f>'Bookings and Drivers'!CC307</f>
        <v>0</v>
      </c>
      <c r="BV840">
        <f>'Bookings and Drivers'!CD307</f>
        <v>0</v>
      </c>
      <c r="BW840">
        <f>'Bookings and Drivers'!CE307</f>
        <v>0</v>
      </c>
      <c r="BX840">
        <f>'Bookings and Drivers'!CF307</f>
        <v>0</v>
      </c>
      <c r="BY840">
        <f>'Bookings and Drivers'!CG307</f>
        <v>0</v>
      </c>
      <c r="BZ840">
        <f>'Bookings and Drivers'!CH307</f>
        <v>0</v>
      </c>
      <c r="CA840">
        <f>'Bookings and Drivers'!CI307</f>
        <v>0</v>
      </c>
      <c r="CB840">
        <f>'Bookings and Drivers'!CJ307</f>
        <v>0</v>
      </c>
      <c r="CC840">
        <f>'Bookings and Drivers'!CK307</f>
        <v>0</v>
      </c>
      <c r="CD840">
        <f>'Bookings and Drivers'!CL307</f>
        <v>0</v>
      </c>
      <c r="CE840">
        <f>'Bookings and Drivers'!CM307</f>
        <v>0</v>
      </c>
      <c r="CF840">
        <f>'Bookings and Drivers'!CN307</f>
        <v>0</v>
      </c>
      <c r="CG840">
        <f>'Bookings and Drivers'!CO307</f>
        <v>0</v>
      </c>
      <c r="CH840">
        <f>'Bookings and Drivers'!CP307</f>
        <v>0</v>
      </c>
      <c r="CI840">
        <f>'Bookings and Drivers'!CQ307</f>
        <v>3.6363792568164151</v>
      </c>
      <c r="CJ840">
        <f>'Bookings and Drivers'!CR307</f>
        <v>5.9239658800775947</v>
      </c>
      <c r="CK840">
        <f>'Bookings and Drivers'!CS307</f>
        <v>9.0384554700581763</v>
      </c>
      <c r="CL840">
        <f>'Bookings and Drivers'!CT307</f>
        <v>8.3741400582930936</v>
      </c>
      <c r="CM840">
        <f>'Bookings and Drivers'!CU307</f>
        <v>8.3089169196667854</v>
      </c>
      <c r="CN840">
        <f>'Bookings and Drivers'!CV307</f>
        <v>8.8945939490625676</v>
      </c>
      <c r="CO840">
        <f>'Bookings and Drivers'!CW307</f>
        <v>14.746533345917754</v>
      </c>
      <c r="CP840">
        <f>'Bookings and Drivers'!CX307</f>
        <v>15.447130231860427</v>
      </c>
      <c r="CQ840">
        <f>'Bookings and Drivers'!CY307</f>
        <v>9.2377964902144498</v>
      </c>
      <c r="CR840">
        <f>'Bookings and Drivers'!CZ307</f>
        <v>10.914126377591515</v>
      </c>
      <c r="CS840">
        <f>'Bookings and Drivers'!DA307</f>
        <v>10.475720670540483</v>
      </c>
      <c r="CT840">
        <f>'Bookings and Drivers'!DB307</f>
        <v>0</v>
      </c>
      <c r="CU840">
        <f>'Bookings and Drivers'!DC307</f>
        <v>0</v>
      </c>
      <c r="CV840">
        <f>'Bookings and Drivers'!DD307</f>
        <v>0</v>
      </c>
      <c r="CW840">
        <f>'Bookings and Drivers'!DE307</f>
        <v>0</v>
      </c>
      <c r="CX840">
        <f>'Bookings and Drivers'!DF307</f>
        <v>0</v>
      </c>
    </row>
    <row r="841" spans="1:102">
      <c r="A841" t="str">
        <f>'Bookings and Drivers'!I308</f>
        <v>Booking.com</v>
      </c>
      <c r="B841">
        <f>'Bookings and Drivers'!J308</f>
        <v>0</v>
      </c>
      <c r="C841">
        <f>'Bookings and Drivers'!K308</f>
        <v>0</v>
      </c>
      <c r="D841">
        <f>'Bookings and Drivers'!L308</f>
        <v>0</v>
      </c>
      <c r="E841">
        <f>'Bookings and Drivers'!M308</f>
        <v>0</v>
      </c>
      <c r="F841">
        <f>'Bookings and Drivers'!N308</f>
        <v>0</v>
      </c>
      <c r="G841">
        <f>'Bookings and Drivers'!O308</f>
        <v>0</v>
      </c>
      <c r="H841">
        <f>'Bookings and Drivers'!P308</f>
        <v>0</v>
      </c>
      <c r="I841">
        <f>'Bookings and Drivers'!Q308</f>
        <v>0</v>
      </c>
      <c r="J841">
        <f>'Bookings and Drivers'!R308</f>
        <v>0</v>
      </c>
      <c r="K841">
        <f>'Bookings and Drivers'!S308</f>
        <v>0</v>
      </c>
      <c r="L841">
        <f>'Bookings and Drivers'!T308</f>
        <v>0</v>
      </c>
      <c r="M841">
        <f>'Bookings and Drivers'!U308</f>
        <v>0</v>
      </c>
      <c r="N841">
        <f>'Bookings and Drivers'!V308</f>
        <v>0</v>
      </c>
      <c r="O841">
        <f>'Bookings and Drivers'!W308</f>
        <v>0</v>
      </c>
      <c r="P841">
        <f>'Bookings and Drivers'!X308</f>
        <v>0</v>
      </c>
      <c r="Q841">
        <f>'Bookings and Drivers'!Y308</f>
        <v>0</v>
      </c>
      <c r="R841">
        <f>'Bookings and Drivers'!Z308</f>
        <v>0</v>
      </c>
      <c r="S841">
        <f>'Bookings and Drivers'!AA308</f>
        <v>0</v>
      </c>
      <c r="T841">
        <f>'Bookings and Drivers'!AB308</f>
        <v>0</v>
      </c>
      <c r="U841">
        <f>'Bookings and Drivers'!AC308</f>
        <v>0</v>
      </c>
      <c r="V841">
        <f>'Bookings and Drivers'!AD308</f>
        <v>0</v>
      </c>
      <c r="W841">
        <f>'Bookings and Drivers'!AE308</f>
        <v>0</v>
      </c>
      <c r="X841">
        <f>'Bookings and Drivers'!AF308</f>
        <v>0</v>
      </c>
      <c r="Y841">
        <f>'Bookings and Drivers'!AG308</f>
        <v>0</v>
      </c>
      <c r="Z841">
        <f>'Bookings and Drivers'!AH308</f>
        <v>0</v>
      </c>
      <c r="AA841">
        <f>'Bookings and Drivers'!AI308</f>
        <v>0</v>
      </c>
      <c r="AB841">
        <f>'Bookings and Drivers'!AJ308</f>
        <v>0</v>
      </c>
      <c r="AC841">
        <f>'Bookings and Drivers'!AK308</f>
        <v>0</v>
      </c>
      <c r="AD841">
        <f>'Bookings and Drivers'!AL308</f>
        <v>0</v>
      </c>
      <c r="AE841">
        <f>'Bookings and Drivers'!AM308</f>
        <v>0</v>
      </c>
      <c r="AF841">
        <f>'Bookings and Drivers'!AN308</f>
        <v>0</v>
      </c>
      <c r="AG841">
        <f>'Bookings and Drivers'!AO308</f>
        <v>0</v>
      </c>
      <c r="AH841">
        <f>'Bookings and Drivers'!AP308</f>
        <v>0</v>
      </c>
      <c r="AI841">
        <f>'Bookings and Drivers'!AQ308</f>
        <v>0</v>
      </c>
      <c r="AJ841">
        <f>'Bookings and Drivers'!AR308</f>
        <v>0</v>
      </c>
      <c r="AK841">
        <f>'Bookings and Drivers'!AS308</f>
        <v>0</v>
      </c>
      <c r="AL841">
        <f>'Bookings and Drivers'!AT308</f>
        <v>0</v>
      </c>
      <c r="AM841">
        <f>'Bookings and Drivers'!AU308</f>
        <v>0</v>
      </c>
      <c r="AN841">
        <f>'Bookings and Drivers'!AV308</f>
        <v>0</v>
      </c>
      <c r="AO841">
        <f>'Bookings and Drivers'!AW308</f>
        <v>0</v>
      </c>
      <c r="AP841">
        <f>'Bookings and Drivers'!AX308</f>
        <v>0</v>
      </c>
      <c r="AQ841">
        <f>'Bookings and Drivers'!AY308</f>
        <v>0</v>
      </c>
      <c r="AR841">
        <f>'Bookings and Drivers'!AZ308</f>
        <v>0</v>
      </c>
      <c r="AS841">
        <f>'Bookings and Drivers'!BA308</f>
        <v>0</v>
      </c>
      <c r="AT841">
        <f>'Bookings and Drivers'!BB308</f>
        <v>0</v>
      </c>
      <c r="AU841">
        <f>'Bookings and Drivers'!BC308</f>
        <v>0</v>
      </c>
      <c r="AV841">
        <f>'Bookings and Drivers'!BD308</f>
        <v>0</v>
      </c>
      <c r="AW841">
        <f>'Bookings and Drivers'!BE308</f>
        <v>0</v>
      </c>
      <c r="AX841">
        <f>'Bookings and Drivers'!BF308</f>
        <v>0</v>
      </c>
      <c r="AY841">
        <f>'Bookings and Drivers'!BG308</f>
        <v>0</v>
      </c>
      <c r="AZ841">
        <f>'Bookings and Drivers'!BH308</f>
        <v>0</v>
      </c>
      <c r="BA841">
        <f>'Bookings and Drivers'!BI308</f>
        <v>0</v>
      </c>
      <c r="BB841">
        <f>'Bookings and Drivers'!BJ308</f>
        <v>0</v>
      </c>
      <c r="BC841">
        <f>'Bookings and Drivers'!BK308</f>
        <v>0</v>
      </c>
      <c r="BD841">
        <f>'Bookings and Drivers'!BL308</f>
        <v>0</v>
      </c>
      <c r="BE841">
        <f>'Bookings and Drivers'!BM308</f>
        <v>0</v>
      </c>
      <c r="BF841">
        <f>'Bookings and Drivers'!BN308</f>
        <v>0</v>
      </c>
      <c r="BG841">
        <f>'Bookings and Drivers'!BO308</f>
        <v>0</v>
      </c>
      <c r="BH841">
        <f>'Bookings and Drivers'!BP308</f>
        <v>0</v>
      </c>
      <c r="BI841">
        <f>'Bookings and Drivers'!BQ308</f>
        <v>0</v>
      </c>
      <c r="BJ841">
        <f>'Bookings and Drivers'!BR308</f>
        <v>0</v>
      </c>
      <c r="BK841">
        <f>'Bookings and Drivers'!BS308</f>
        <v>0</v>
      </c>
      <c r="BL841">
        <f>'Bookings and Drivers'!BT308</f>
        <v>0</v>
      </c>
      <c r="BM841">
        <f>'Bookings and Drivers'!BU308</f>
        <v>0</v>
      </c>
      <c r="BN841">
        <f>'Bookings and Drivers'!BV308</f>
        <v>0</v>
      </c>
      <c r="BO841">
        <f>'Bookings and Drivers'!BW308</f>
        <v>0</v>
      </c>
      <c r="BP841">
        <f>'Bookings and Drivers'!BX308</f>
        <v>0</v>
      </c>
      <c r="BQ841">
        <f>'Bookings and Drivers'!BY308</f>
        <v>0</v>
      </c>
      <c r="BR841">
        <f>'Bookings and Drivers'!BZ308</f>
        <v>0</v>
      </c>
      <c r="BS841">
        <f>'Bookings and Drivers'!CA308</f>
        <v>0</v>
      </c>
      <c r="BT841">
        <f>'Bookings and Drivers'!CB308</f>
        <v>0</v>
      </c>
      <c r="BU841">
        <f>'Bookings and Drivers'!CC308</f>
        <v>0</v>
      </c>
      <c r="BV841">
        <f>'Bookings and Drivers'!CD308</f>
        <v>0</v>
      </c>
      <c r="BW841">
        <f>'Bookings and Drivers'!CE308</f>
        <v>0</v>
      </c>
      <c r="BX841">
        <f>'Bookings and Drivers'!CF308</f>
        <v>0</v>
      </c>
      <c r="BY841">
        <f>'Bookings and Drivers'!CG308</f>
        <v>0</v>
      </c>
      <c r="BZ841">
        <f>'Bookings and Drivers'!CH308</f>
        <v>0</v>
      </c>
      <c r="CA841">
        <f>'Bookings and Drivers'!CI308</f>
        <v>0</v>
      </c>
      <c r="CB841">
        <f>'Bookings and Drivers'!CJ308</f>
        <v>0</v>
      </c>
      <c r="CC841">
        <f>'Bookings and Drivers'!CK308</f>
        <v>0</v>
      </c>
      <c r="CD841">
        <f>'Bookings and Drivers'!CL308</f>
        <v>0</v>
      </c>
      <c r="CE841">
        <f>'Bookings and Drivers'!CM308</f>
        <v>0</v>
      </c>
      <c r="CF841">
        <f>'Bookings and Drivers'!CN308</f>
        <v>0</v>
      </c>
      <c r="CG841">
        <f>'Bookings and Drivers'!CO308</f>
        <v>0</v>
      </c>
      <c r="CH841">
        <f>'Bookings and Drivers'!CP308</f>
        <v>0</v>
      </c>
      <c r="CI841">
        <f>'Bookings and Drivers'!CQ308</f>
        <v>0.93184844580310888</v>
      </c>
      <c r="CJ841">
        <f>'Bookings and Drivers'!CR308</f>
        <v>2.0121790245513447</v>
      </c>
      <c r="CK841">
        <f>'Bookings and Drivers'!CS308</f>
        <v>2.6621279791725883</v>
      </c>
      <c r="CL841">
        <f>'Bookings and Drivers'!CT308</f>
        <v>3.6944286311546284</v>
      </c>
      <c r="CM841">
        <f>'Bookings and Drivers'!CU308</f>
        <v>4.4047208862699367</v>
      </c>
      <c r="CN841">
        <f>'Bookings and Drivers'!CV308</f>
        <v>7.6287754579210549</v>
      </c>
      <c r="CO841">
        <f>'Bookings and Drivers'!CW308</f>
        <v>7.5173617974519331</v>
      </c>
      <c r="CP841">
        <f>'Bookings and Drivers'!CX308</f>
        <v>8.4082126172331826</v>
      </c>
      <c r="CQ841">
        <f>'Bookings and Drivers'!CY308</f>
        <v>6.4592161550832472</v>
      </c>
      <c r="CR841">
        <f>'Bookings and Drivers'!CZ308</f>
        <v>7.8348734323467752</v>
      </c>
      <c r="CS841">
        <f>'Bookings and Drivers'!DA308</f>
        <v>7.8403574460923409</v>
      </c>
      <c r="CT841">
        <f>'Bookings and Drivers'!DB308</f>
        <v>0</v>
      </c>
      <c r="CU841">
        <f>'Bookings and Drivers'!DC308</f>
        <v>0</v>
      </c>
      <c r="CV841">
        <f>'Bookings and Drivers'!DD308</f>
        <v>0</v>
      </c>
      <c r="CW841">
        <f>'Bookings and Drivers'!DE308</f>
        <v>0</v>
      </c>
      <c r="CX841">
        <f>'Bookings and Drivers'!DF308</f>
        <v>0</v>
      </c>
    </row>
    <row r="842" spans="1:102">
      <c r="A842" t="str">
        <f>'Bookings and Drivers'!I309</f>
        <v>Latin America</v>
      </c>
      <c r="B842">
        <f>'Bookings and Drivers'!J309</f>
        <v>0</v>
      </c>
      <c r="C842">
        <f>'Bookings and Drivers'!K309</f>
        <v>0</v>
      </c>
      <c r="D842">
        <f>'Bookings and Drivers'!L309</f>
        <v>0</v>
      </c>
      <c r="E842">
        <f>'Bookings and Drivers'!M309</f>
        <v>0</v>
      </c>
      <c r="F842">
        <f>'Bookings and Drivers'!N309</f>
        <v>0</v>
      </c>
      <c r="G842">
        <f>'Bookings and Drivers'!O309</f>
        <v>0</v>
      </c>
      <c r="H842">
        <f>'Bookings and Drivers'!P309</f>
        <v>0</v>
      </c>
      <c r="I842">
        <f>'Bookings and Drivers'!Q309</f>
        <v>0</v>
      </c>
      <c r="J842">
        <f>'Bookings and Drivers'!R309</f>
        <v>0</v>
      </c>
      <c r="K842">
        <f>'Bookings and Drivers'!S309</f>
        <v>0</v>
      </c>
      <c r="L842">
        <f>'Bookings and Drivers'!T309</f>
        <v>0</v>
      </c>
      <c r="M842">
        <f>'Bookings and Drivers'!U309</f>
        <v>0</v>
      </c>
      <c r="N842">
        <f>'Bookings and Drivers'!V309</f>
        <v>0</v>
      </c>
      <c r="O842">
        <f>'Bookings and Drivers'!W309</f>
        <v>0</v>
      </c>
      <c r="P842">
        <f>'Bookings and Drivers'!X309</f>
        <v>0</v>
      </c>
      <c r="Q842">
        <f>'Bookings and Drivers'!Y309</f>
        <v>0</v>
      </c>
      <c r="R842">
        <f>'Bookings and Drivers'!Z309</f>
        <v>0</v>
      </c>
      <c r="S842">
        <f>'Bookings and Drivers'!AA309</f>
        <v>0</v>
      </c>
      <c r="T842">
        <f>'Bookings and Drivers'!AB309</f>
        <v>0</v>
      </c>
      <c r="U842">
        <f>'Bookings and Drivers'!AC309</f>
        <v>0</v>
      </c>
      <c r="V842">
        <f>'Bookings and Drivers'!AD309</f>
        <v>0</v>
      </c>
      <c r="W842">
        <f>'Bookings and Drivers'!AE309</f>
        <v>0</v>
      </c>
      <c r="X842">
        <f>'Bookings and Drivers'!AF309</f>
        <v>0</v>
      </c>
      <c r="Y842">
        <f>'Bookings and Drivers'!AG309</f>
        <v>0</v>
      </c>
      <c r="Z842">
        <f>'Bookings and Drivers'!AH309</f>
        <v>0</v>
      </c>
      <c r="AA842">
        <f>'Bookings and Drivers'!AI309</f>
        <v>0</v>
      </c>
      <c r="AB842">
        <f>'Bookings and Drivers'!AJ309</f>
        <v>0</v>
      </c>
      <c r="AC842">
        <f>'Bookings and Drivers'!AK309</f>
        <v>0</v>
      </c>
      <c r="AD842">
        <f>'Bookings and Drivers'!AL309</f>
        <v>0</v>
      </c>
      <c r="AE842">
        <f>'Bookings and Drivers'!AM309</f>
        <v>0</v>
      </c>
      <c r="AF842">
        <f>'Bookings and Drivers'!AN309</f>
        <v>0</v>
      </c>
      <c r="AG842">
        <f>'Bookings and Drivers'!AO309</f>
        <v>0</v>
      </c>
      <c r="AH842">
        <f>'Bookings and Drivers'!AP309</f>
        <v>0</v>
      </c>
      <c r="AI842">
        <f>'Bookings and Drivers'!AQ309</f>
        <v>0</v>
      </c>
      <c r="AJ842">
        <f>'Bookings and Drivers'!AR309</f>
        <v>0</v>
      </c>
      <c r="AK842">
        <f>'Bookings and Drivers'!AS309</f>
        <v>0</v>
      </c>
      <c r="AL842">
        <f>'Bookings and Drivers'!AT309</f>
        <v>0</v>
      </c>
      <c r="AM842">
        <f>'Bookings and Drivers'!AU309</f>
        <v>0</v>
      </c>
      <c r="AN842">
        <f>'Bookings and Drivers'!AV309</f>
        <v>0</v>
      </c>
      <c r="AO842">
        <f>'Bookings and Drivers'!AW309</f>
        <v>0</v>
      </c>
      <c r="AP842">
        <f>'Bookings and Drivers'!AX309</f>
        <v>0</v>
      </c>
      <c r="AQ842">
        <f>'Bookings and Drivers'!AY309</f>
        <v>0</v>
      </c>
      <c r="AR842">
        <f>'Bookings and Drivers'!AZ309</f>
        <v>0</v>
      </c>
      <c r="AS842">
        <f>'Bookings and Drivers'!BA309</f>
        <v>0</v>
      </c>
      <c r="AT842">
        <f>'Bookings and Drivers'!BB309</f>
        <v>0</v>
      </c>
      <c r="AU842">
        <f>'Bookings and Drivers'!BC309</f>
        <v>0</v>
      </c>
      <c r="AV842">
        <f>'Bookings and Drivers'!BD309</f>
        <v>0</v>
      </c>
      <c r="AW842">
        <f>'Bookings and Drivers'!BE309</f>
        <v>0</v>
      </c>
      <c r="AX842">
        <f>'Bookings and Drivers'!BF309</f>
        <v>0</v>
      </c>
      <c r="AY842">
        <f>'Bookings and Drivers'!BG309</f>
        <v>0</v>
      </c>
      <c r="AZ842">
        <f>'Bookings and Drivers'!BH309</f>
        <v>0</v>
      </c>
      <c r="BA842">
        <f>'Bookings and Drivers'!BI309</f>
        <v>0</v>
      </c>
      <c r="BB842">
        <f>'Bookings and Drivers'!BJ309</f>
        <v>0</v>
      </c>
      <c r="BC842">
        <f>'Bookings and Drivers'!BK309</f>
        <v>0</v>
      </c>
      <c r="BD842">
        <f>'Bookings and Drivers'!BL309</f>
        <v>0</v>
      </c>
      <c r="BE842">
        <f>'Bookings and Drivers'!BM309</f>
        <v>0</v>
      </c>
      <c r="BF842">
        <f>'Bookings and Drivers'!BN309</f>
        <v>0</v>
      </c>
      <c r="BG842">
        <f>'Bookings and Drivers'!BO309</f>
        <v>0</v>
      </c>
      <c r="BH842">
        <f>'Bookings and Drivers'!BP309</f>
        <v>0</v>
      </c>
      <c r="BI842">
        <f>'Bookings and Drivers'!BQ309</f>
        <v>0</v>
      </c>
      <c r="BJ842">
        <f>'Bookings and Drivers'!BR309</f>
        <v>0</v>
      </c>
      <c r="BK842">
        <f>'Bookings and Drivers'!BS309</f>
        <v>0</v>
      </c>
      <c r="BL842">
        <f>'Bookings and Drivers'!BT309</f>
        <v>0</v>
      </c>
      <c r="BM842">
        <f>'Bookings and Drivers'!BU309</f>
        <v>0</v>
      </c>
      <c r="BN842">
        <f>'Bookings and Drivers'!BV309</f>
        <v>0</v>
      </c>
      <c r="BO842">
        <f>'Bookings and Drivers'!BW309</f>
        <v>0</v>
      </c>
      <c r="BP842">
        <f>'Bookings and Drivers'!BX309</f>
        <v>0</v>
      </c>
      <c r="BQ842">
        <f>'Bookings and Drivers'!BY309</f>
        <v>0</v>
      </c>
      <c r="BR842">
        <f>'Bookings and Drivers'!BZ309</f>
        <v>0</v>
      </c>
      <c r="BS842">
        <f>'Bookings and Drivers'!CA309</f>
        <v>0</v>
      </c>
      <c r="BT842">
        <f>'Bookings and Drivers'!CB309</f>
        <v>0</v>
      </c>
      <c r="BU842">
        <f>'Bookings and Drivers'!CC309</f>
        <v>0</v>
      </c>
      <c r="BV842">
        <f>'Bookings and Drivers'!CD309</f>
        <v>0</v>
      </c>
      <c r="BW842">
        <f>'Bookings and Drivers'!CE309</f>
        <v>0</v>
      </c>
      <c r="BX842">
        <f>'Bookings and Drivers'!CF309</f>
        <v>0</v>
      </c>
      <c r="BY842">
        <f>'Bookings and Drivers'!CG309</f>
        <v>0</v>
      </c>
      <c r="BZ842">
        <f>'Bookings and Drivers'!CH309</f>
        <v>0</v>
      </c>
      <c r="CA842">
        <f>'Bookings and Drivers'!CI309</f>
        <v>0</v>
      </c>
      <c r="CB842">
        <f>'Bookings and Drivers'!CJ309</f>
        <v>0</v>
      </c>
      <c r="CC842">
        <f>'Bookings and Drivers'!CK309</f>
        <v>0</v>
      </c>
      <c r="CD842">
        <f>'Bookings and Drivers'!CL309</f>
        <v>0</v>
      </c>
      <c r="CE842">
        <f>'Bookings and Drivers'!CM309</f>
        <v>0</v>
      </c>
      <c r="CF842">
        <f>'Bookings and Drivers'!CN309</f>
        <v>0</v>
      </c>
      <c r="CG842">
        <f>'Bookings and Drivers'!CO309</f>
        <v>0</v>
      </c>
      <c r="CH842">
        <f>'Bookings and Drivers'!CP309</f>
        <v>0</v>
      </c>
      <c r="CI842">
        <f>'Bookings and Drivers'!CQ309</f>
        <v>1.4847784990762349</v>
      </c>
      <c r="CJ842">
        <f>'Bookings and Drivers'!CR309</f>
        <v>1.9847582325007425</v>
      </c>
      <c r="CK842">
        <f>'Bookings and Drivers'!CS309</f>
        <v>7.0402423232281297</v>
      </c>
      <c r="CL842">
        <f>'Bookings and Drivers'!CT309</f>
        <v>7.0087821875524394</v>
      </c>
      <c r="CM842">
        <f>'Bookings and Drivers'!CU309</f>
        <v>9.7448628909833559</v>
      </c>
      <c r="CN842">
        <f>'Bookings and Drivers'!CV309</f>
        <v>11.526719422778882</v>
      </c>
      <c r="CO842">
        <f>'Bookings and Drivers'!CW309</f>
        <v>14.596726795629579</v>
      </c>
      <c r="CP842">
        <f>'Bookings and Drivers'!CX309</f>
        <v>9.9016616145112408</v>
      </c>
      <c r="CQ842">
        <f>'Bookings and Drivers'!CY309</f>
        <v>7.1110539361325067</v>
      </c>
      <c r="CR842">
        <f>'Bookings and Drivers'!CZ309</f>
        <v>8.5259222066646885</v>
      </c>
      <c r="CS842">
        <f>'Bookings and Drivers'!DA309</f>
        <v>8.7674143481079341</v>
      </c>
      <c r="CT842">
        <f>'Bookings and Drivers'!DB309</f>
        <v>0</v>
      </c>
      <c r="CU842">
        <f>'Bookings and Drivers'!DC309</f>
        <v>0</v>
      </c>
      <c r="CV842">
        <f>'Bookings and Drivers'!DD309</f>
        <v>0</v>
      </c>
      <c r="CW842">
        <f>'Bookings and Drivers'!DE309</f>
        <v>0</v>
      </c>
      <c r="CX842">
        <f>'Bookings and Drivers'!DF309</f>
        <v>0</v>
      </c>
    </row>
    <row r="843" spans="1:102">
      <c r="A843" t="str">
        <f>'Bookings and Drivers'!I310</f>
        <v>United States</v>
      </c>
      <c r="B843">
        <f>'Bookings and Drivers'!J310</f>
        <v>0</v>
      </c>
      <c r="C843">
        <f>'Bookings and Drivers'!K310</f>
        <v>0</v>
      </c>
      <c r="D843">
        <f>'Bookings and Drivers'!L310</f>
        <v>0</v>
      </c>
      <c r="E843">
        <f>'Bookings and Drivers'!M310</f>
        <v>0</v>
      </c>
      <c r="F843">
        <f>'Bookings and Drivers'!N310</f>
        <v>0</v>
      </c>
      <c r="G843">
        <f>'Bookings and Drivers'!O310</f>
        <v>0</v>
      </c>
      <c r="H843">
        <f>'Bookings and Drivers'!P310</f>
        <v>0</v>
      </c>
      <c r="I843">
        <f>'Bookings and Drivers'!Q310</f>
        <v>0</v>
      </c>
      <c r="J843">
        <f>'Bookings and Drivers'!R310</f>
        <v>0</v>
      </c>
      <c r="K843">
        <f>'Bookings and Drivers'!S310</f>
        <v>0</v>
      </c>
      <c r="L843">
        <f>'Bookings and Drivers'!T310</f>
        <v>0</v>
      </c>
      <c r="M843">
        <f>'Bookings and Drivers'!U310</f>
        <v>0</v>
      </c>
      <c r="N843">
        <f>'Bookings and Drivers'!V310</f>
        <v>0</v>
      </c>
      <c r="O843">
        <f>'Bookings and Drivers'!W310</f>
        <v>0</v>
      </c>
      <c r="P843">
        <f>'Bookings and Drivers'!X310</f>
        <v>0</v>
      </c>
      <c r="Q843">
        <f>'Bookings and Drivers'!Y310</f>
        <v>0</v>
      </c>
      <c r="R843">
        <f>'Bookings and Drivers'!Z310</f>
        <v>0</v>
      </c>
      <c r="S843">
        <f>'Bookings and Drivers'!AA310</f>
        <v>0</v>
      </c>
      <c r="T843">
        <f>'Bookings and Drivers'!AB310</f>
        <v>0</v>
      </c>
      <c r="U843">
        <f>'Bookings and Drivers'!AC310</f>
        <v>0</v>
      </c>
      <c r="V843">
        <f>'Bookings and Drivers'!AD310</f>
        <v>0</v>
      </c>
      <c r="W843">
        <f>'Bookings and Drivers'!AE310</f>
        <v>0</v>
      </c>
      <c r="X843">
        <f>'Bookings and Drivers'!AF310</f>
        <v>0</v>
      </c>
      <c r="Y843">
        <f>'Bookings and Drivers'!AG310</f>
        <v>0</v>
      </c>
      <c r="Z843">
        <f>'Bookings and Drivers'!AH310</f>
        <v>0</v>
      </c>
      <c r="AA843">
        <f>'Bookings and Drivers'!AI310</f>
        <v>0</v>
      </c>
      <c r="AB843">
        <f>'Bookings and Drivers'!AJ310</f>
        <v>0</v>
      </c>
      <c r="AC843">
        <f>'Bookings and Drivers'!AK310</f>
        <v>0</v>
      </c>
      <c r="AD843">
        <f>'Bookings and Drivers'!AL310</f>
        <v>0</v>
      </c>
      <c r="AE843">
        <f>'Bookings and Drivers'!AM310</f>
        <v>0</v>
      </c>
      <c r="AF843">
        <f>'Bookings and Drivers'!AN310</f>
        <v>0</v>
      </c>
      <c r="AG843">
        <f>'Bookings and Drivers'!AO310</f>
        <v>0</v>
      </c>
      <c r="AH843">
        <f>'Bookings and Drivers'!AP310</f>
        <v>0</v>
      </c>
      <c r="AI843">
        <f>'Bookings and Drivers'!AQ310</f>
        <v>0</v>
      </c>
      <c r="AJ843">
        <f>'Bookings and Drivers'!AR310</f>
        <v>0</v>
      </c>
      <c r="AK843">
        <f>'Bookings and Drivers'!AS310</f>
        <v>0</v>
      </c>
      <c r="AL843">
        <f>'Bookings and Drivers'!AT310</f>
        <v>0</v>
      </c>
      <c r="AM843">
        <f>'Bookings and Drivers'!AU310</f>
        <v>0</v>
      </c>
      <c r="AN843">
        <f>'Bookings and Drivers'!AV310</f>
        <v>0</v>
      </c>
      <c r="AO843">
        <f>'Bookings and Drivers'!AW310</f>
        <v>0</v>
      </c>
      <c r="AP843">
        <f>'Bookings and Drivers'!AX310</f>
        <v>0</v>
      </c>
      <c r="AQ843">
        <f>'Bookings and Drivers'!AY310</f>
        <v>0</v>
      </c>
      <c r="AR843">
        <f>'Bookings and Drivers'!AZ310</f>
        <v>0</v>
      </c>
      <c r="AS843">
        <f>'Bookings and Drivers'!BA310</f>
        <v>0</v>
      </c>
      <c r="AT843">
        <f>'Bookings and Drivers'!BB310</f>
        <v>0</v>
      </c>
      <c r="AU843">
        <f>'Bookings and Drivers'!BC310</f>
        <v>0</v>
      </c>
      <c r="AV843">
        <f>'Bookings and Drivers'!BD310</f>
        <v>0</v>
      </c>
      <c r="AW843">
        <f>'Bookings and Drivers'!BE310</f>
        <v>0</v>
      </c>
      <c r="AX843">
        <f>'Bookings and Drivers'!BF310</f>
        <v>0</v>
      </c>
      <c r="AY843">
        <f>'Bookings and Drivers'!BG310</f>
        <v>0</v>
      </c>
      <c r="AZ843">
        <f>'Bookings and Drivers'!BH310</f>
        <v>0</v>
      </c>
      <c r="BA843">
        <f>'Bookings and Drivers'!BI310</f>
        <v>0</v>
      </c>
      <c r="BB843">
        <f>'Bookings and Drivers'!BJ310</f>
        <v>0</v>
      </c>
      <c r="BC843">
        <f>'Bookings and Drivers'!BK310</f>
        <v>0</v>
      </c>
      <c r="BD843">
        <f>'Bookings and Drivers'!BL310</f>
        <v>0</v>
      </c>
      <c r="BE843">
        <f>'Bookings and Drivers'!BM310</f>
        <v>0</v>
      </c>
      <c r="BF843">
        <f>'Bookings and Drivers'!BN310</f>
        <v>0</v>
      </c>
      <c r="BG843">
        <f>'Bookings and Drivers'!BO310</f>
        <v>0</v>
      </c>
      <c r="BH843">
        <f>'Bookings and Drivers'!BP310</f>
        <v>0</v>
      </c>
      <c r="BI843">
        <f>'Bookings and Drivers'!BQ310</f>
        <v>0</v>
      </c>
      <c r="BJ843">
        <f>'Bookings and Drivers'!BR310</f>
        <v>0</v>
      </c>
      <c r="BK843">
        <f>'Bookings and Drivers'!BS310</f>
        <v>0</v>
      </c>
      <c r="BL843">
        <f>'Bookings and Drivers'!BT310</f>
        <v>0</v>
      </c>
      <c r="BM843">
        <f>'Bookings and Drivers'!BU310</f>
        <v>0</v>
      </c>
      <c r="BN843">
        <f>'Bookings and Drivers'!BV310</f>
        <v>0</v>
      </c>
      <c r="BO843">
        <f>'Bookings and Drivers'!BW310</f>
        <v>0</v>
      </c>
      <c r="BP843">
        <f>'Bookings and Drivers'!BX310</f>
        <v>0</v>
      </c>
      <c r="BQ843">
        <f>'Bookings and Drivers'!BY310</f>
        <v>0</v>
      </c>
      <c r="BR843">
        <f>'Bookings and Drivers'!BZ310</f>
        <v>0</v>
      </c>
      <c r="BS843">
        <f>'Bookings and Drivers'!CA310</f>
        <v>0</v>
      </c>
      <c r="BT843">
        <f>'Bookings and Drivers'!CB310</f>
        <v>0</v>
      </c>
      <c r="BU843">
        <f>'Bookings and Drivers'!CC310</f>
        <v>0</v>
      </c>
      <c r="BV843">
        <f>'Bookings and Drivers'!CD310</f>
        <v>0</v>
      </c>
      <c r="BW843">
        <f>'Bookings and Drivers'!CE310</f>
        <v>0</v>
      </c>
      <c r="BX843">
        <f>'Bookings and Drivers'!CF310</f>
        <v>0</v>
      </c>
      <c r="BY843">
        <f>'Bookings and Drivers'!CG310</f>
        <v>0</v>
      </c>
      <c r="BZ843">
        <f>'Bookings and Drivers'!CH310</f>
        <v>0</v>
      </c>
      <c r="CA843">
        <f>'Bookings and Drivers'!CI310</f>
        <v>0</v>
      </c>
      <c r="CB843">
        <f>'Bookings and Drivers'!CJ310</f>
        <v>0</v>
      </c>
      <c r="CC843">
        <f>'Bookings and Drivers'!CK310</f>
        <v>0</v>
      </c>
      <c r="CD843">
        <f>'Bookings and Drivers'!CL310</f>
        <v>0</v>
      </c>
      <c r="CE843">
        <f>'Bookings and Drivers'!CM310</f>
        <v>0</v>
      </c>
      <c r="CF843">
        <f>'Bookings and Drivers'!CN310</f>
        <v>0</v>
      </c>
      <c r="CG843">
        <f>'Bookings and Drivers'!CO310</f>
        <v>0</v>
      </c>
      <c r="CH843">
        <f>'Bookings and Drivers'!CP310</f>
        <v>0</v>
      </c>
      <c r="CI843">
        <f>'Bookings and Drivers'!CQ310</f>
        <v>1.2152408694558421</v>
      </c>
      <c r="CJ843">
        <f>'Bookings and Drivers'!CR310</f>
        <v>4.8572286917219056</v>
      </c>
      <c r="CK843">
        <f>'Bookings and Drivers'!CS310</f>
        <v>2.942535972931605</v>
      </c>
      <c r="CL843">
        <f>'Bookings and Drivers'!CT310</f>
        <v>2.9509432185685522</v>
      </c>
      <c r="CM843">
        <f>'Bookings and Drivers'!CU310</f>
        <v>3.1461594622584705</v>
      </c>
      <c r="CN843">
        <f>'Bookings and Drivers'!CV310</f>
        <v>3.4893768581412132</v>
      </c>
      <c r="CO843">
        <f>'Bookings and Drivers'!CW310</f>
        <v>7.3276914020965513</v>
      </c>
      <c r="CP843">
        <f>'Bookings and Drivers'!CX310</f>
        <v>7.0659881377359604</v>
      </c>
      <c r="CQ843">
        <f>'Bookings and Drivers'!CY310</f>
        <v>8.832485172169946</v>
      </c>
      <c r="CR843">
        <f>'Bookings and Drivers'!CZ310</f>
        <v>8.832485172169946</v>
      </c>
      <c r="CS843">
        <f>'Bookings and Drivers'!DA310</f>
        <v>7.9492366549529478</v>
      </c>
      <c r="CT843">
        <f>'Bookings and Drivers'!DB310</f>
        <v>0</v>
      </c>
      <c r="CU843">
        <f>'Bookings and Drivers'!DC310</f>
        <v>0</v>
      </c>
      <c r="CV843">
        <f>'Bookings and Drivers'!DD310</f>
        <v>0</v>
      </c>
      <c r="CW843">
        <f>'Bookings and Drivers'!DE310</f>
        <v>0</v>
      </c>
      <c r="CX843">
        <f>'Bookings and Drivers'!DF310</f>
        <v>0</v>
      </c>
    </row>
    <row r="844" spans="1:102">
      <c r="A844" t="str">
        <f>'Bookings and Drivers'!I313</f>
        <v>Total Int'l Room Nights</v>
      </c>
      <c r="B844">
        <f>'Bookings and Drivers'!J313</f>
        <v>0</v>
      </c>
      <c r="C844">
        <f>'Bookings and Drivers'!K313</f>
        <v>0</v>
      </c>
      <c r="D844">
        <f>'Bookings and Drivers'!L313</f>
        <v>0</v>
      </c>
      <c r="E844">
        <f>'Bookings and Drivers'!M313</f>
        <v>0</v>
      </c>
      <c r="F844">
        <f>'Bookings and Drivers'!N313</f>
        <v>0</v>
      </c>
      <c r="G844">
        <f>'Bookings and Drivers'!O313</f>
        <v>0</v>
      </c>
      <c r="H844">
        <f>'Bookings and Drivers'!P313</f>
        <v>0</v>
      </c>
      <c r="I844">
        <f>'Bookings and Drivers'!Q313</f>
        <v>0</v>
      </c>
      <c r="J844">
        <f>'Bookings and Drivers'!R313</f>
        <v>0</v>
      </c>
      <c r="K844">
        <f>'Bookings and Drivers'!S313</f>
        <v>0</v>
      </c>
      <c r="L844">
        <f>'Bookings and Drivers'!T313</f>
        <v>0</v>
      </c>
      <c r="M844">
        <f>'Bookings and Drivers'!U313</f>
        <v>0</v>
      </c>
      <c r="N844">
        <f>'Bookings and Drivers'!V313</f>
        <v>0</v>
      </c>
      <c r="O844">
        <f>'Bookings and Drivers'!W313</f>
        <v>0</v>
      </c>
      <c r="P844">
        <f>'Bookings and Drivers'!X313</f>
        <v>0</v>
      </c>
      <c r="Q844">
        <f>'Bookings and Drivers'!Y313</f>
        <v>0</v>
      </c>
      <c r="R844">
        <f>'Bookings and Drivers'!Z313</f>
        <v>0</v>
      </c>
      <c r="S844">
        <f>'Bookings and Drivers'!AA313</f>
        <v>0</v>
      </c>
      <c r="T844">
        <f>'Bookings and Drivers'!AB313</f>
        <v>0</v>
      </c>
      <c r="U844">
        <f>'Bookings and Drivers'!AC313</f>
        <v>0</v>
      </c>
      <c r="V844">
        <f>'Bookings and Drivers'!AD313</f>
        <v>0</v>
      </c>
      <c r="W844">
        <f>'Bookings and Drivers'!AE313</f>
        <v>0</v>
      </c>
      <c r="X844">
        <f>'Bookings and Drivers'!AF313</f>
        <v>0</v>
      </c>
      <c r="Y844">
        <f>'Bookings and Drivers'!AG313</f>
        <v>0</v>
      </c>
      <c r="Z844">
        <f>'Bookings and Drivers'!AH313</f>
        <v>0</v>
      </c>
      <c r="AA844">
        <f>'Bookings and Drivers'!AI313</f>
        <v>0</v>
      </c>
      <c r="AB844">
        <f>'Bookings and Drivers'!AJ313</f>
        <v>0</v>
      </c>
      <c r="AC844">
        <f>'Bookings and Drivers'!AK313</f>
        <v>0</v>
      </c>
      <c r="AD844">
        <f>'Bookings and Drivers'!AL313</f>
        <v>0</v>
      </c>
      <c r="AE844">
        <f>'Bookings and Drivers'!AM313</f>
        <v>0</v>
      </c>
      <c r="AF844">
        <f>'Bookings and Drivers'!AN313</f>
        <v>0</v>
      </c>
      <c r="AG844">
        <f>'Bookings and Drivers'!AO313</f>
        <v>0</v>
      </c>
      <c r="AH844">
        <f>'Bookings and Drivers'!AP313</f>
        <v>0</v>
      </c>
      <c r="AI844">
        <f>'Bookings and Drivers'!AQ313</f>
        <v>0</v>
      </c>
      <c r="AJ844">
        <f>'Bookings and Drivers'!AR313</f>
        <v>0</v>
      </c>
      <c r="AK844">
        <f>'Bookings and Drivers'!AS313</f>
        <v>0</v>
      </c>
      <c r="AL844">
        <f>'Bookings and Drivers'!AT313</f>
        <v>0</v>
      </c>
      <c r="AM844">
        <f>'Bookings and Drivers'!AU313</f>
        <v>0</v>
      </c>
      <c r="AN844">
        <f>'Bookings and Drivers'!AV313</f>
        <v>0</v>
      </c>
      <c r="AO844">
        <f>'Bookings and Drivers'!AW313</f>
        <v>0</v>
      </c>
      <c r="AP844">
        <f>'Bookings and Drivers'!AX313</f>
        <v>0</v>
      </c>
      <c r="AQ844">
        <f>'Bookings and Drivers'!AY313</f>
        <v>0</v>
      </c>
      <c r="AR844">
        <f>'Bookings and Drivers'!AZ313</f>
        <v>0</v>
      </c>
      <c r="AS844">
        <f>'Bookings and Drivers'!BA313</f>
        <v>0</v>
      </c>
      <c r="AT844">
        <f>'Bookings and Drivers'!BB313</f>
        <v>0</v>
      </c>
      <c r="AU844">
        <f>'Bookings and Drivers'!BC313</f>
        <v>0</v>
      </c>
      <c r="AV844">
        <f>'Bookings and Drivers'!BD313</f>
        <v>0</v>
      </c>
      <c r="AW844">
        <f>'Bookings and Drivers'!BE313</f>
        <v>0</v>
      </c>
      <c r="AX844">
        <f>'Bookings and Drivers'!BF313</f>
        <v>0</v>
      </c>
      <c r="AY844">
        <f>'Bookings and Drivers'!BG313</f>
        <v>0</v>
      </c>
      <c r="AZ844">
        <f>'Bookings and Drivers'!BH313</f>
        <v>0</v>
      </c>
      <c r="BA844">
        <f>'Bookings and Drivers'!BI313</f>
        <v>0</v>
      </c>
      <c r="BB844">
        <f>'Bookings and Drivers'!BJ313</f>
        <v>0</v>
      </c>
      <c r="BC844">
        <f>'Bookings and Drivers'!BK313</f>
        <v>0</v>
      </c>
      <c r="BD844">
        <f>'Bookings and Drivers'!BL313</f>
        <v>0</v>
      </c>
      <c r="BE844">
        <f>'Bookings and Drivers'!BM313</f>
        <v>0</v>
      </c>
      <c r="BF844">
        <f>'Bookings and Drivers'!BN313</f>
        <v>0</v>
      </c>
      <c r="BG844">
        <f>'Bookings and Drivers'!BO313</f>
        <v>0</v>
      </c>
      <c r="BH844">
        <f>'Bookings and Drivers'!BP313</f>
        <v>0</v>
      </c>
      <c r="BI844">
        <f>'Bookings and Drivers'!BQ313</f>
        <v>0</v>
      </c>
      <c r="BJ844">
        <f>'Bookings and Drivers'!BR313</f>
        <v>0</v>
      </c>
      <c r="BK844">
        <f>'Bookings and Drivers'!BS313</f>
        <v>0</v>
      </c>
      <c r="BL844">
        <f>'Bookings and Drivers'!BT313</f>
        <v>0</v>
      </c>
      <c r="BM844">
        <f>'Bookings and Drivers'!BU313</f>
        <v>0</v>
      </c>
      <c r="BN844">
        <f>'Bookings and Drivers'!BV313</f>
        <v>0</v>
      </c>
      <c r="BO844">
        <f>'Bookings and Drivers'!BW313</f>
        <v>0</v>
      </c>
      <c r="BP844">
        <f>'Bookings and Drivers'!BX313</f>
        <v>0</v>
      </c>
      <c r="BQ844">
        <f>'Bookings and Drivers'!BY313</f>
        <v>0</v>
      </c>
      <c r="BR844">
        <f>'Bookings and Drivers'!BZ313</f>
        <v>0</v>
      </c>
      <c r="BS844">
        <f>'Bookings and Drivers'!CA313</f>
        <v>0</v>
      </c>
      <c r="BT844">
        <f>'Bookings and Drivers'!CB313</f>
        <v>0</v>
      </c>
      <c r="BU844">
        <f>'Bookings and Drivers'!CC313</f>
        <v>0</v>
      </c>
      <c r="BV844">
        <f>'Bookings and Drivers'!CD313</f>
        <v>0</v>
      </c>
      <c r="BW844">
        <f>'Bookings and Drivers'!CE313</f>
        <v>0</v>
      </c>
      <c r="BX844">
        <f>'Bookings and Drivers'!CF313</f>
        <v>0</v>
      </c>
      <c r="BY844">
        <f>'Bookings and Drivers'!CG313</f>
        <v>0</v>
      </c>
      <c r="BZ844">
        <f>'Bookings and Drivers'!CH313</f>
        <v>0</v>
      </c>
      <c r="CA844">
        <f>'Bookings and Drivers'!CI313</f>
        <v>0</v>
      </c>
      <c r="CB844">
        <f>'Bookings and Drivers'!CJ313</f>
        <v>0</v>
      </c>
      <c r="CC844">
        <f>'Bookings and Drivers'!CK313</f>
        <v>0</v>
      </c>
      <c r="CD844">
        <f>'Bookings and Drivers'!CL313</f>
        <v>0</v>
      </c>
      <c r="CE844">
        <f>'Bookings and Drivers'!CM313</f>
        <v>0</v>
      </c>
      <c r="CF844">
        <f>'Bookings and Drivers'!CN313</f>
        <v>0</v>
      </c>
      <c r="CG844">
        <f>'Bookings and Drivers'!CO313</f>
        <v>0</v>
      </c>
      <c r="CH844">
        <f>'Bookings and Drivers'!CP313</f>
        <v>0</v>
      </c>
      <c r="CI844">
        <f>'Bookings and Drivers'!CQ313</f>
        <v>29.240791460623427</v>
      </c>
      <c r="CJ844">
        <f>'Bookings and Drivers'!CR313</f>
        <v>48.227067197877119</v>
      </c>
      <c r="CK844">
        <f>'Bookings and Drivers'!CS313</f>
        <v>56.195786568886703</v>
      </c>
      <c r="CL844">
        <f>'Bookings and Drivers'!CT313</f>
        <v>71.337500000000006</v>
      </c>
      <c r="CM844">
        <f>'Bookings and Drivers'!CU313</f>
        <v>74.270689999999973</v>
      </c>
      <c r="CN844">
        <f>'Bookings and Drivers'!CV313</f>
        <v>85.26790950000003</v>
      </c>
      <c r="CO844">
        <f>'Bookings and Drivers'!CW313</f>
        <v>122.91130497500001</v>
      </c>
      <c r="CP844">
        <f>'Bookings and Drivers'!CX313</f>
        <v>115.35187022374998</v>
      </c>
      <c r="CQ844">
        <f>'Bookings and Drivers'!CY313</f>
        <v>116.04352422149373</v>
      </c>
      <c r="CR844">
        <f>'Bookings and Drivers'!CZ313</f>
        <v>120.43699670156104</v>
      </c>
      <c r="CS844">
        <f>'Bookings and Drivers'!DA313</f>
        <v>119.22910712696296</v>
      </c>
      <c r="CT844">
        <f>'Bookings and Drivers'!DB313</f>
        <v>0</v>
      </c>
      <c r="CU844">
        <f>'Bookings and Drivers'!DC313</f>
        <v>0</v>
      </c>
      <c r="CV844">
        <f>'Bookings and Drivers'!DD313</f>
        <v>0</v>
      </c>
      <c r="CW844">
        <f>'Bookings and Drivers'!DE313</f>
        <v>0</v>
      </c>
      <c r="CX844">
        <f>'Bookings and Drivers'!DF313</f>
        <v>0</v>
      </c>
    </row>
    <row r="847" spans="1:102">
      <c r="A847">
        <f>'Bookings and Drivers'!I314</f>
        <v>0</v>
      </c>
      <c r="B847">
        <f>'Bookings and Drivers'!J314</f>
        <v>0</v>
      </c>
      <c r="C847">
        <f>'Bookings and Drivers'!K314</f>
        <v>0</v>
      </c>
      <c r="D847">
        <f>'Bookings and Drivers'!L314</f>
        <v>0</v>
      </c>
      <c r="E847">
        <f>'Bookings and Drivers'!M314</f>
        <v>0</v>
      </c>
      <c r="F847">
        <f>'Bookings and Drivers'!N314</f>
        <v>0</v>
      </c>
      <c r="G847">
        <f>'Bookings and Drivers'!O314</f>
        <v>0</v>
      </c>
      <c r="H847">
        <f>'Bookings and Drivers'!P314</f>
        <v>0</v>
      </c>
      <c r="I847">
        <f>'Bookings and Drivers'!Q314</f>
        <v>0</v>
      </c>
      <c r="J847">
        <f>'Bookings and Drivers'!R314</f>
        <v>0</v>
      </c>
      <c r="K847">
        <f>'Bookings and Drivers'!S314</f>
        <v>0</v>
      </c>
      <c r="L847">
        <f>'Bookings and Drivers'!T314</f>
        <v>0</v>
      </c>
      <c r="M847">
        <f>'Bookings and Drivers'!U314</f>
        <v>0</v>
      </c>
      <c r="N847">
        <f>'Bookings and Drivers'!V314</f>
        <v>0</v>
      </c>
      <c r="O847">
        <f>'Bookings and Drivers'!W314</f>
        <v>0</v>
      </c>
      <c r="P847">
        <f>'Bookings and Drivers'!X314</f>
        <v>0</v>
      </c>
      <c r="Q847">
        <f>'Bookings and Drivers'!Y314</f>
        <v>0</v>
      </c>
      <c r="R847">
        <f>'Bookings and Drivers'!Z314</f>
        <v>0</v>
      </c>
      <c r="S847">
        <f>'Bookings and Drivers'!AA314</f>
        <v>0</v>
      </c>
      <c r="T847">
        <f>'Bookings and Drivers'!AB314</f>
        <v>0</v>
      </c>
      <c r="U847">
        <f>'Bookings and Drivers'!AC314</f>
        <v>0</v>
      </c>
      <c r="V847">
        <f>'Bookings and Drivers'!AD314</f>
        <v>0</v>
      </c>
      <c r="W847">
        <f>'Bookings and Drivers'!AE314</f>
        <v>0</v>
      </c>
      <c r="X847">
        <f>'Bookings and Drivers'!AF314</f>
        <v>0</v>
      </c>
      <c r="Y847">
        <f>'Bookings and Drivers'!AG314</f>
        <v>0</v>
      </c>
      <c r="Z847">
        <f>'Bookings and Drivers'!AH314</f>
        <v>0</v>
      </c>
      <c r="AA847">
        <f>'Bookings and Drivers'!AI314</f>
        <v>0</v>
      </c>
      <c r="AB847">
        <f>'Bookings and Drivers'!AJ314</f>
        <v>0</v>
      </c>
      <c r="AC847">
        <f>'Bookings and Drivers'!AK314</f>
        <v>0</v>
      </c>
      <c r="AD847">
        <f>'Bookings and Drivers'!AL314</f>
        <v>0</v>
      </c>
      <c r="AE847">
        <f>'Bookings and Drivers'!AM314</f>
        <v>0</v>
      </c>
      <c r="AF847">
        <f>'Bookings and Drivers'!AN314</f>
        <v>0</v>
      </c>
      <c r="AG847">
        <f>'Bookings and Drivers'!AO314</f>
        <v>0</v>
      </c>
      <c r="AH847">
        <f>'Bookings and Drivers'!AP314</f>
        <v>0</v>
      </c>
      <c r="AI847">
        <f>'Bookings and Drivers'!AQ314</f>
        <v>0</v>
      </c>
      <c r="AJ847">
        <f>'Bookings and Drivers'!AR314</f>
        <v>0</v>
      </c>
      <c r="AK847">
        <f>'Bookings and Drivers'!AS314</f>
        <v>0</v>
      </c>
      <c r="AL847">
        <f>'Bookings and Drivers'!AT314</f>
        <v>0</v>
      </c>
      <c r="AM847">
        <f>'Bookings and Drivers'!AU314</f>
        <v>0</v>
      </c>
      <c r="AN847">
        <f>'Bookings and Drivers'!AV314</f>
        <v>0</v>
      </c>
      <c r="AO847">
        <f>'Bookings and Drivers'!AW314</f>
        <v>0</v>
      </c>
      <c r="AP847">
        <f>'Bookings and Drivers'!AX314</f>
        <v>0</v>
      </c>
      <c r="AQ847">
        <f>'Bookings and Drivers'!AY314</f>
        <v>0</v>
      </c>
      <c r="AR847">
        <f>'Bookings and Drivers'!AZ314</f>
        <v>0</v>
      </c>
      <c r="AS847">
        <f>'Bookings and Drivers'!BA314</f>
        <v>0</v>
      </c>
      <c r="AT847">
        <f>'Bookings and Drivers'!BB314</f>
        <v>0</v>
      </c>
      <c r="AU847">
        <f>'Bookings and Drivers'!BC314</f>
        <v>0</v>
      </c>
      <c r="AV847">
        <f>'Bookings and Drivers'!BD314</f>
        <v>0</v>
      </c>
      <c r="AW847">
        <f>'Bookings and Drivers'!BE314</f>
        <v>0</v>
      </c>
      <c r="AX847">
        <f>'Bookings and Drivers'!BF314</f>
        <v>0</v>
      </c>
      <c r="AY847">
        <f>'Bookings and Drivers'!BG314</f>
        <v>0</v>
      </c>
      <c r="AZ847">
        <f>'Bookings and Drivers'!BH314</f>
        <v>0</v>
      </c>
      <c r="BA847">
        <f>'Bookings and Drivers'!BI314</f>
        <v>0</v>
      </c>
      <c r="BB847">
        <f>'Bookings and Drivers'!BJ314</f>
        <v>0</v>
      </c>
      <c r="BC847">
        <f>'Bookings and Drivers'!BK314</f>
        <v>0</v>
      </c>
      <c r="BD847">
        <f>'Bookings and Drivers'!BL314</f>
        <v>0</v>
      </c>
      <c r="BE847">
        <f>'Bookings and Drivers'!BM314</f>
        <v>0</v>
      </c>
      <c r="BF847">
        <f>'Bookings and Drivers'!BN314</f>
        <v>0</v>
      </c>
      <c r="BG847">
        <f>'Bookings and Drivers'!BO314</f>
        <v>0</v>
      </c>
      <c r="BH847">
        <f>'Bookings and Drivers'!BP314</f>
        <v>0</v>
      </c>
      <c r="BI847">
        <f>'Bookings and Drivers'!BQ314</f>
        <v>0</v>
      </c>
      <c r="BJ847">
        <f>'Bookings and Drivers'!BR314</f>
        <v>0</v>
      </c>
      <c r="BK847">
        <f>'Bookings and Drivers'!BS314</f>
        <v>0</v>
      </c>
      <c r="BL847">
        <f>'Bookings and Drivers'!BT314</f>
        <v>0</v>
      </c>
      <c r="BM847">
        <f>'Bookings and Drivers'!BU314</f>
        <v>0</v>
      </c>
      <c r="BN847">
        <f>'Bookings and Drivers'!BV314</f>
        <v>0</v>
      </c>
      <c r="BO847">
        <f>'Bookings and Drivers'!BW314</f>
        <v>0</v>
      </c>
      <c r="BP847">
        <f>'Bookings and Drivers'!BX314</f>
        <v>0</v>
      </c>
      <c r="BQ847">
        <f>'Bookings and Drivers'!BY314</f>
        <v>0</v>
      </c>
      <c r="BR847">
        <f>'Bookings and Drivers'!BZ314</f>
        <v>0</v>
      </c>
      <c r="BS847">
        <f>'Bookings and Drivers'!CA314</f>
        <v>0</v>
      </c>
      <c r="BT847">
        <f>'Bookings and Drivers'!CB314</f>
        <v>0</v>
      </c>
      <c r="BU847">
        <f>'Bookings and Drivers'!CC314</f>
        <v>0</v>
      </c>
      <c r="BV847">
        <f>'Bookings and Drivers'!CD314</f>
        <v>0</v>
      </c>
      <c r="BW847">
        <f>'Bookings and Drivers'!CE314</f>
        <v>0</v>
      </c>
      <c r="BX847">
        <f>'Bookings and Drivers'!CF314</f>
        <v>0</v>
      </c>
      <c r="BY847">
        <f>'Bookings and Drivers'!CG314</f>
        <v>0</v>
      </c>
      <c r="BZ847">
        <f>'Bookings and Drivers'!CH314</f>
        <v>0</v>
      </c>
      <c r="CA847">
        <f>'Bookings and Drivers'!CI314</f>
        <v>0</v>
      </c>
      <c r="CB847">
        <f>'Bookings and Drivers'!CJ314</f>
        <v>0</v>
      </c>
      <c r="CC847">
        <f>'Bookings and Drivers'!CK314</f>
        <v>0</v>
      </c>
      <c r="CD847">
        <f>'Bookings and Drivers'!CL314</f>
        <v>0</v>
      </c>
      <c r="CE847">
        <f>'Bookings and Drivers'!CM314</f>
        <v>0</v>
      </c>
      <c r="CF847">
        <f>'Bookings and Drivers'!CN314</f>
        <v>0</v>
      </c>
      <c r="CG847">
        <f>'Bookings and Drivers'!CO314</f>
        <v>0</v>
      </c>
      <c r="CH847">
        <f>'Bookings and Drivers'!CP314</f>
        <v>0</v>
      </c>
      <c r="CI847">
        <f>'Bookings and Drivers'!CQ314</f>
        <v>0</v>
      </c>
      <c r="CJ847">
        <f>'Bookings and Drivers'!CR314</f>
        <v>0</v>
      </c>
      <c r="CK847">
        <f>'Bookings and Drivers'!CS314</f>
        <v>0</v>
      </c>
      <c r="CL847">
        <f>'Bookings and Drivers'!CT314</f>
        <v>0</v>
      </c>
      <c r="CM847">
        <f>'Bookings and Drivers'!CU314</f>
        <v>0</v>
      </c>
      <c r="CN847">
        <f>'Bookings and Drivers'!CV314</f>
        <v>0</v>
      </c>
      <c r="CO847">
        <f>'Bookings and Drivers'!CW314</f>
        <v>0</v>
      </c>
      <c r="CP847">
        <f>'Bookings and Drivers'!CX314</f>
        <v>0</v>
      </c>
      <c r="CQ847">
        <f>'Bookings and Drivers'!CY314</f>
        <v>0</v>
      </c>
      <c r="CR847">
        <f>'Bookings and Drivers'!CZ314</f>
        <v>0</v>
      </c>
      <c r="CS847">
        <f>'Bookings and Drivers'!DA314</f>
        <v>0</v>
      </c>
      <c r="CT847">
        <f>'Bookings and Drivers'!DB314</f>
        <v>0</v>
      </c>
      <c r="CU847">
        <f>'Bookings and Drivers'!DC314</f>
        <v>0</v>
      </c>
      <c r="CV847">
        <f>'Bookings and Drivers'!DD314</f>
        <v>0</v>
      </c>
      <c r="CW847">
        <f>'Bookings and Drivers'!DE314</f>
        <v>0</v>
      </c>
      <c r="CX847">
        <f>'Bookings and Drivers'!DF314</f>
        <v>0</v>
      </c>
    </row>
    <row r="848" spans="1:102">
      <c r="A848" t="str">
        <f>'Bookings and Drivers'!I315</f>
        <v>Total U.S. Room Nights</v>
      </c>
      <c r="B848">
        <f>'Bookings and Drivers'!J315</f>
        <v>0</v>
      </c>
      <c r="C848">
        <f>'Bookings and Drivers'!K315</f>
        <v>0</v>
      </c>
      <c r="D848">
        <f>'Bookings and Drivers'!L315</f>
        <v>0</v>
      </c>
      <c r="E848">
        <f>'Bookings and Drivers'!M315</f>
        <v>0</v>
      </c>
      <c r="F848">
        <f>'Bookings and Drivers'!N315</f>
        <v>0</v>
      </c>
      <c r="G848">
        <f>'Bookings and Drivers'!O315</f>
        <v>0</v>
      </c>
      <c r="H848">
        <f>'Bookings and Drivers'!P315</f>
        <v>0</v>
      </c>
      <c r="I848">
        <f>'Bookings and Drivers'!Q315</f>
        <v>0</v>
      </c>
      <c r="J848">
        <f>'Bookings and Drivers'!R315</f>
        <v>0</v>
      </c>
      <c r="K848">
        <f>'Bookings and Drivers'!S315</f>
        <v>0</v>
      </c>
      <c r="L848">
        <f>'Bookings and Drivers'!T315</f>
        <v>0</v>
      </c>
      <c r="M848">
        <f>'Bookings and Drivers'!U315</f>
        <v>0</v>
      </c>
      <c r="N848">
        <f>'Bookings and Drivers'!V315</f>
        <v>0</v>
      </c>
      <c r="O848">
        <f>'Bookings and Drivers'!W315</f>
        <v>0</v>
      </c>
      <c r="P848">
        <f>'Bookings and Drivers'!X315</f>
        <v>0</v>
      </c>
      <c r="Q848">
        <f>'Bookings and Drivers'!Y315</f>
        <v>0</v>
      </c>
      <c r="R848">
        <f>'Bookings and Drivers'!Z315</f>
        <v>0</v>
      </c>
      <c r="S848">
        <f>'Bookings and Drivers'!AA315</f>
        <v>0</v>
      </c>
      <c r="T848">
        <f>'Bookings and Drivers'!AB315</f>
        <v>0</v>
      </c>
      <c r="U848">
        <f>'Bookings and Drivers'!AC315</f>
        <v>0</v>
      </c>
      <c r="V848">
        <f>'Bookings and Drivers'!AD315</f>
        <v>0</v>
      </c>
      <c r="W848">
        <f>'Bookings and Drivers'!AE315</f>
        <v>0</v>
      </c>
      <c r="X848">
        <f>'Bookings and Drivers'!AF315</f>
        <v>0</v>
      </c>
      <c r="Y848">
        <f>'Bookings and Drivers'!AG315</f>
        <v>0</v>
      </c>
      <c r="Z848">
        <f>'Bookings and Drivers'!AH315</f>
        <v>0</v>
      </c>
      <c r="AA848">
        <f>'Bookings and Drivers'!AI315</f>
        <v>0</v>
      </c>
      <c r="AB848">
        <f>'Bookings and Drivers'!AJ315</f>
        <v>0</v>
      </c>
      <c r="AC848">
        <f>'Bookings and Drivers'!AK315</f>
        <v>0</v>
      </c>
      <c r="AD848">
        <f>'Bookings and Drivers'!AL315</f>
        <v>0</v>
      </c>
      <c r="AE848">
        <f>'Bookings and Drivers'!AM315</f>
        <v>0</v>
      </c>
      <c r="AF848">
        <f>'Bookings and Drivers'!AN315</f>
        <v>0</v>
      </c>
      <c r="AG848">
        <f>'Bookings and Drivers'!AO315</f>
        <v>0</v>
      </c>
      <c r="AH848">
        <f>'Bookings and Drivers'!AP315</f>
        <v>0</v>
      </c>
      <c r="AI848">
        <f>'Bookings and Drivers'!AQ315</f>
        <v>0</v>
      </c>
      <c r="AJ848">
        <f>'Bookings and Drivers'!AR315</f>
        <v>0</v>
      </c>
      <c r="AK848">
        <f>'Bookings and Drivers'!AS315</f>
        <v>0</v>
      </c>
      <c r="AL848">
        <f>'Bookings and Drivers'!AT315</f>
        <v>0</v>
      </c>
      <c r="AM848">
        <f>'Bookings and Drivers'!AU315</f>
        <v>0</v>
      </c>
      <c r="AN848">
        <f>'Bookings and Drivers'!AV315</f>
        <v>0</v>
      </c>
      <c r="AO848">
        <f>'Bookings and Drivers'!AW315</f>
        <v>0</v>
      </c>
      <c r="AP848">
        <f>'Bookings and Drivers'!AX315</f>
        <v>0</v>
      </c>
      <c r="AQ848">
        <f>'Bookings and Drivers'!AY315</f>
        <v>0</v>
      </c>
      <c r="AR848">
        <f>'Bookings and Drivers'!AZ315</f>
        <v>0</v>
      </c>
      <c r="AS848">
        <f>'Bookings and Drivers'!BA315</f>
        <v>0</v>
      </c>
      <c r="AT848">
        <f>'Bookings and Drivers'!BB315</f>
        <v>0</v>
      </c>
      <c r="AU848">
        <f>'Bookings and Drivers'!BC315</f>
        <v>0</v>
      </c>
      <c r="AV848">
        <f>'Bookings and Drivers'!BD315</f>
        <v>0</v>
      </c>
      <c r="AW848">
        <f>'Bookings and Drivers'!BE315</f>
        <v>0</v>
      </c>
      <c r="AX848">
        <f>'Bookings and Drivers'!BF315</f>
        <v>0</v>
      </c>
      <c r="AY848">
        <f>'Bookings and Drivers'!BG315</f>
        <v>0</v>
      </c>
      <c r="AZ848">
        <f>'Bookings and Drivers'!BH315</f>
        <v>0</v>
      </c>
      <c r="BA848">
        <f>'Bookings and Drivers'!BI315</f>
        <v>0</v>
      </c>
      <c r="BB848">
        <f>'Bookings and Drivers'!BJ315</f>
        <v>0</v>
      </c>
      <c r="BC848">
        <f>'Bookings and Drivers'!BK315</f>
        <v>0</v>
      </c>
      <c r="BD848">
        <f>'Bookings and Drivers'!BL315</f>
        <v>0</v>
      </c>
      <c r="BE848">
        <f>'Bookings and Drivers'!BM315</f>
        <v>0</v>
      </c>
      <c r="BF848">
        <f>'Bookings and Drivers'!BN315</f>
        <v>0</v>
      </c>
      <c r="BG848">
        <f>'Bookings and Drivers'!BO315</f>
        <v>0</v>
      </c>
      <c r="BH848">
        <f>'Bookings and Drivers'!BP315</f>
        <v>0</v>
      </c>
      <c r="BI848">
        <f>'Bookings and Drivers'!BQ315</f>
        <v>0</v>
      </c>
      <c r="BJ848">
        <f>'Bookings and Drivers'!BR315</f>
        <v>0</v>
      </c>
      <c r="BK848">
        <f>'Bookings and Drivers'!BS315</f>
        <v>0</v>
      </c>
      <c r="BL848">
        <f>'Bookings and Drivers'!BT315</f>
        <v>0</v>
      </c>
      <c r="BM848">
        <f>'Bookings and Drivers'!BU315</f>
        <v>0</v>
      </c>
      <c r="BN848">
        <f>'Bookings and Drivers'!BV315</f>
        <v>0</v>
      </c>
      <c r="BO848">
        <f>'Bookings and Drivers'!BW315</f>
        <v>0</v>
      </c>
      <c r="BP848">
        <f>'Bookings and Drivers'!BX315</f>
        <v>0</v>
      </c>
      <c r="BQ848">
        <f>'Bookings and Drivers'!BY315</f>
        <v>0</v>
      </c>
      <c r="BR848">
        <f>'Bookings and Drivers'!BZ315</f>
        <v>0</v>
      </c>
      <c r="BS848">
        <f>'Bookings and Drivers'!CA315</f>
        <v>0</v>
      </c>
      <c r="BT848">
        <f>'Bookings and Drivers'!CB315</f>
        <v>0</v>
      </c>
      <c r="BU848">
        <f>'Bookings and Drivers'!CC315</f>
        <v>0</v>
      </c>
      <c r="BV848">
        <f>'Bookings and Drivers'!CD315</f>
        <v>0</v>
      </c>
      <c r="BW848">
        <f>'Bookings and Drivers'!CE315</f>
        <v>0</v>
      </c>
      <c r="BX848">
        <f>'Bookings and Drivers'!CF315</f>
        <v>0</v>
      </c>
      <c r="BY848">
        <f>'Bookings and Drivers'!CG315</f>
        <v>0</v>
      </c>
      <c r="BZ848">
        <f>'Bookings and Drivers'!CH315</f>
        <v>0</v>
      </c>
      <c r="CA848">
        <f>'Bookings and Drivers'!CI315</f>
        <v>0</v>
      </c>
      <c r="CB848">
        <f>'Bookings and Drivers'!CJ315</f>
        <v>0</v>
      </c>
      <c r="CC848">
        <f>'Bookings and Drivers'!CK315</f>
        <v>0</v>
      </c>
      <c r="CD848">
        <f>'Bookings and Drivers'!CL315</f>
        <v>0</v>
      </c>
      <c r="CE848">
        <f>'Bookings and Drivers'!CM315</f>
        <v>0</v>
      </c>
      <c r="CF848">
        <f>'Bookings and Drivers'!CN315</f>
        <v>0</v>
      </c>
      <c r="CG848">
        <f>'Bookings and Drivers'!CO315</f>
        <v>0</v>
      </c>
      <c r="CH848">
        <f>'Bookings and Drivers'!CP315</f>
        <v>0</v>
      </c>
      <c r="CI848">
        <f>'Bookings and Drivers'!CQ315</f>
        <v>0</v>
      </c>
      <c r="CJ848">
        <f>'Bookings and Drivers'!CR315</f>
        <v>0</v>
      </c>
      <c r="CK848">
        <f>'Bookings and Drivers'!CS315</f>
        <v>0</v>
      </c>
      <c r="CL848">
        <f>'Bookings and Drivers'!CT315</f>
        <v>0</v>
      </c>
      <c r="CM848">
        <f>'Bookings and Drivers'!CU315</f>
        <v>0</v>
      </c>
      <c r="CN848">
        <f>'Bookings and Drivers'!CV315</f>
        <v>0</v>
      </c>
      <c r="CO848">
        <f>'Bookings and Drivers'!CW315</f>
        <v>0</v>
      </c>
      <c r="CP848">
        <f>'Bookings and Drivers'!CX315</f>
        <v>0</v>
      </c>
      <c r="CQ848">
        <f>'Bookings and Drivers'!CY315</f>
        <v>0</v>
      </c>
      <c r="CR848">
        <f>'Bookings and Drivers'!CZ315</f>
        <v>0</v>
      </c>
      <c r="CS848">
        <f>'Bookings and Drivers'!DA315</f>
        <v>0</v>
      </c>
      <c r="CT848">
        <f>'Bookings and Drivers'!DB315</f>
        <v>0</v>
      </c>
      <c r="CU848">
        <f>'Bookings and Drivers'!DC315</f>
        <v>0</v>
      </c>
      <c r="CV848">
        <f>'Bookings and Drivers'!DD315</f>
        <v>0</v>
      </c>
      <c r="CW848">
        <f>'Bookings and Drivers'!DE315</f>
        <v>0</v>
      </c>
      <c r="CX848">
        <f>'Bookings and Drivers'!DF315</f>
        <v>0</v>
      </c>
    </row>
    <row r="849" spans="1:102">
      <c r="A849" t="str">
        <f>'Bookings and Drivers'!I316</f>
        <v>Domestic Priceline.com Room Nights</v>
      </c>
      <c r="B849">
        <f>'Bookings and Drivers'!J316</f>
        <v>0</v>
      </c>
      <c r="C849">
        <f>'Bookings and Drivers'!K316</f>
        <v>0</v>
      </c>
      <c r="D849">
        <f>'Bookings and Drivers'!L316</f>
        <v>0</v>
      </c>
      <c r="E849">
        <f>'Bookings and Drivers'!M316</f>
        <v>0</v>
      </c>
      <c r="F849">
        <f>'Bookings and Drivers'!N316</f>
        <v>0</v>
      </c>
      <c r="G849">
        <f>'Bookings and Drivers'!O316</f>
        <v>0</v>
      </c>
      <c r="H849">
        <f>'Bookings and Drivers'!P316</f>
        <v>0</v>
      </c>
      <c r="I849">
        <f>'Bookings and Drivers'!Q316</f>
        <v>0</v>
      </c>
      <c r="J849">
        <f>'Bookings and Drivers'!R316</f>
        <v>0</v>
      </c>
      <c r="K849">
        <f>'Bookings and Drivers'!S316</f>
        <v>0</v>
      </c>
      <c r="L849">
        <f>'Bookings and Drivers'!T316</f>
        <v>0</v>
      </c>
      <c r="M849">
        <f>'Bookings and Drivers'!U316</f>
        <v>0</v>
      </c>
      <c r="N849">
        <f>'Bookings and Drivers'!V316</f>
        <v>0</v>
      </c>
      <c r="O849">
        <f>'Bookings and Drivers'!W316</f>
        <v>0</v>
      </c>
      <c r="P849">
        <f>'Bookings and Drivers'!X316</f>
        <v>0</v>
      </c>
      <c r="Q849">
        <f>'Bookings and Drivers'!Y316</f>
        <v>0</v>
      </c>
      <c r="R849">
        <f>'Bookings and Drivers'!Z316</f>
        <v>0</v>
      </c>
      <c r="S849">
        <f>'Bookings and Drivers'!AA316</f>
        <v>0</v>
      </c>
      <c r="T849">
        <f>'Bookings and Drivers'!AB316</f>
        <v>0</v>
      </c>
      <c r="U849">
        <f>'Bookings and Drivers'!AC316</f>
        <v>0</v>
      </c>
      <c r="V849">
        <f>'Bookings and Drivers'!AD316</f>
        <v>0</v>
      </c>
      <c r="W849">
        <f>'Bookings and Drivers'!AE316</f>
        <v>0</v>
      </c>
      <c r="X849">
        <f>'Bookings and Drivers'!AF316</f>
        <v>0</v>
      </c>
      <c r="Y849">
        <f>'Bookings and Drivers'!AG316</f>
        <v>0</v>
      </c>
      <c r="Z849">
        <f>'Bookings and Drivers'!AH316</f>
        <v>0</v>
      </c>
      <c r="AA849">
        <f>'Bookings and Drivers'!AI316</f>
        <v>0</v>
      </c>
      <c r="AB849">
        <f>'Bookings and Drivers'!AJ316</f>
        <v>0</v>
      </c>
      <c r="AC849">
        <f>'Bookings and Drivers'!AK316</f>
        <v>0</v>
      </c>
      <c r="AD849">
        <f>'Bookings and Drivers'!AL316</f>
        <v>0</v>
      </c>
      <c r="AE849">
        <f>'Bookings and Drivers'!AM316</f>
        <v>0</v>
      </c>
      <c r="AF849">
        <f>'Bookings and Drivers'!AN316</f>
        <v>0</v>
      </c>
      <c r="AG849">
        <f>'Bookings and Drivers'!AO316</f>
        <v>0</v>
      </c>
      <c r="AH849">
        <f>'Bookings and Drivers'!AP316</f>
        <v>0</v>
      </c>
      <c r="AI849">
        <f>'Bookings and Drivers'!AQ316</f>
        <v>0</v>
      </c>
      <c r="AJ849">
        <f>'Bookings and Drivers'!AR316</f>
        <v>0</v>
      </c>
      <c r="AK849">
        <f>'Bookings and Drivers'!AS316</f>
        <v>0</v>
      </c>
      <c r="AL849">
        <f>'Bookings and Drivers'!AT316</f>
        <v>0</v>
      </c>
      <c r="AM849">
        <f>'Bookings and Drivers'!AU316</f>
        <v>0</v>
      </c>
      <c r="AN849">
        <f>'Bookings and Drivers'!AV316</f>
        <v>0</v>
      </c>
      <c r="AO849">
        <f>'Bookings and Drivers'!AW316</f>
        <v>0</v>
      </c>
      <c r="AP849">
        <f>'Bookings and Drivers'!AX316</f>
        <v>0</v>
      </c>
      <c r="AQ849">
        <f>'Bookings and Drivers'!AY316</f>
        <v>0</v>
      </c>
      <c r="AR849">
        <f>'Bookings and Drivers'!AZ316</f>
        <v>0</v>
      </c>
      <c r="AS849">
        <f>'Bookings and Drivers'!BA316</f>
        <v>4.5445544554455441</v>
      </c>
      <c r="AT849">
        <f>'Bookings and Drivers'!BB316</f>
        <v>5.1068158697863684</v>
      </c>
      <c r="AU849">
        <f>'Bookings and Drivers'!BC316</f>
        <v>5.6040609137055837</v>
      </c>
      <c r="AV849">
        <f>'Bookings and Drivers'!BD316</f>
        <v>4.6903553299492389</v>
      </c>
      <c r="AW849">
        <f>'Bookings and Drivers'!BE316</f>
        <v>4.59</v>
      </c>
      <c r="AX849">
        <f>'Bookings and Drivers'!BF316</f>
        <v>5.0199999999999996</v>
      </c>
      <c r="AY849">
        <f>'Bookings and Drivers'!BG316</f>
        <v>5.52</v>
      </c>
      <c r="AZ849">
        <f>'Bookings and Drivers'!BH316</f>
        <v>4.62</v>
      </c>
      <c r="BA849">
        <f>'Bookings and Drivers'!BI316</f>
        <v>4.6358999999999995</v>
      </c>
      <c r="BB849">
        <f>'Bookings and Drivers'!BJ316</f>
        <v>5.2709999999999999</v>
      </c>
      <c r="BC849">
        <f>'Bookings and Drivers'!BK316</f>
        <v>5.9616000000000007</v>
      </c>
      <c r="BD849">
        <f>'Bookings and Drivers'!BL316</f>
        <v>5.5439999999999996</v>
      </c>
      <c r="BE849">
        <f>'Bookings and Drivers'!BM316</f>
        <v>0</v>
      </c>
      <c r="BF849">
        <f>'Bookings and Drivers'!BN316</f>
        <v>0</v>
      </c>
      <c r="BG849">
        <f>'Bookings and Drivers'!BO316</f>
        <v>0</v>
      </c>
      <c r="BH849">
        <f>'Bookings and Drivers'!BP316</f>
        <v>0</v>
      </c>
      <c r="BI849">
        <f>'Bookings and Drivers'!BQ316</f>
        <v>0</v>
      </c>
      <c r="BJ849">
        <f>'Bookings and Drivers'!BR316</f>
        <v>0</v>
      </c>
      <c r="BK849">
        <f>'Bookings and Drivers'!BS316</f>
        <v>0</v>
      </c>
      <c r="BL849">
        <f>'Bookings and Drivers'!BT316</f>
        <v>0</v>
      </c>
      <c r="BM849">
        <f>'Bookings and Drivers'!BU316</f>
        <v>0</v>
      </c>
      <c r="BN849">
        <f>'Bookings and Drivers'!BV316</f>
        <v>0</v>
      </c>
      <c r="BO849">
        <f>'Bookings and Drivers'!BW316</f>
        <v>0</v>
      </c>
      <c r="BP849">
        <f>'Bookings and Drivers'!BX316</f>
        <v>0</v>
      </c>
      <c r="BQ849">
        <f>'Bookings and Drivers'!BY316</f>
        <v>0</v>
      </c>
      <c r="BR849">
        <f>'Bookings and Drivers'!BZ316</f>
        <v>0</v>
      </c>
      <c r="BS849">
        <f>'Bookings and Drivers'!CA316</f>
        <v>0</v>
      </c>
      <c r="BT849">
        <f>'Bookings and Drivers'!CB316</f>
        <v>0</v>
      </c>
      <c r="BU849">
        <f>'Bookings and Drivers'!CC316</f>
        <v>0</v>
      </c>
      <c r="BV849">
        <f>'Bookings and Drivers'!CD316</f>
        <v>0</v>
      </c>
      <c r="BW849">
        <f>'Bookings and Drivers'!CE316</f>
        <v>0</v>
      </c>
      <c r="BX849">
        <f>'Bookings and Drivers'!CF316</f>
        <v>0</v>
      </c>
      <c r="BY849">
        <f>'Bookings and Drivers'!CG316</f>
        <v>0</v>
      </c>
      <c r="BZ849">
        <f>'Bookings and Drivers'!CH316</f>
        <v>0</v>
      </c>
      <c r="CA849">
        <f>'Bookings and Drivers'!CI316</f>
        <v>0</v>
      </c>
      <c r="CB849">
        <f>'Bookings and Drivers'!CJ316</f>
        <v>0</v>
      </c>
      <c r="CC849">
        <f>'Bookings and Drivers'!CK316</f>
        <v>0</v>
      </c>
      <c r="CD849">
        <f>'Bookings and Drivers'!CL316</f>
        <v>0</v>
      </c>
      <c r="CE849">
        <f>'Bookings and Drivers'!CM316</f>
        <v>7.7860339224035418</v>
      </c>
      <c r="CF849">
        <f>'Bookings and Drivers'!CN316</f>
        <v>8.4794129474752697</v>
      </c>
      <c r="CG849">
        <f>'Bookings and Drivers'!CO316</f>
        <v>11.528407849663447</v>
      </c>
      <c r="CH849">
        <f>'Bookings and Drivers'!CP316</f>
        <v>16.825645227387255</v>
      </c>
      <c r="CI849">
        <f>'Bookings and Drivers'!CQ316</f>
        <v>19.414853766763823</v>
      </c>
      <c r="CJ849">
        <f>'Bookings and Drivers'!CR316</f>
        <v>19.945786568886735</v>
      </c>
      <c r="CK849">
        <f>'Bookings and Drivers'!CS316</f>
        <v>19.75</v>
      </c>
      <c r="CL849">
        <f>'Bookings and Drivers'!CT316</f>
        <v>21.412500000000001</v>
      </c>
      <c r="CM849">
        <f>'Bookings and Drivers'!CU316</f>
        <v>22.64181</v>
      </c>
      <c r="CN849">
        <f>'Bookings and Drivers'!CV316</f>
        <v>23.773900500000003</v>
      </c>
      <c r="CO849">
        <f>'Bookings and Drivers'!CW316</f>
        <v>24.962595525000001</v>
      </c>
      <c r="CP849">
        <f>'Bookings and Drivers'!CX316</f>
        <v>26.210725301250005</v>
      </c>
      <c r="CQ849">
        <f>'Bookings and Drivers'!CY316</f>
        <v>27.521261566312504</v>
      </c>
      <c r="CR849">
        <f>'Bookings and Drivers'!CZ316</f>
        <v>28.622112028965006</v>
      </c>
      <c r="CS849">
        <f>'Bookings and Drivers'!DA316</f>
        <v>29.766996510123608</v>
      </c>
      <c r="CT849">
        <f>'Bookings and Drivers'!DB316</f>
        <v>0</v>
      </c>
      <c r="CU849">
        <f>'Bookings and Drivers'!DC316</f>
        <v>0</v>
      </c>
      <c r="CV849">
        <f>'Bookings and Drivers'!DD316</f>
        <v>0</v>
      </c>
      <c r="CW849">
        <f>'Bookings and Drivers'!DE316</f>
        <v>0</v>
      </c>
      <c r="CX849">
        <f>'Bookings and Drivers'!DF316</f>
        <v>0</v>
      </c>
    </row>
    <row r="850" spans="1:102">
      <c r="A850" t="str">
        <f>'Bookings and Drivers'!I317</f>
        <v>Agency (Booking.com)</v>
      </c>
      <c r="B850">
        <f>'Bookings and Drivers'!J317</f>
        <v>0</v>
      </c>
      <c r="C850">
        <f>'Bookings and Drivers'!K317</f>
        <v>0</v>
      </c>
      <c r="D850">
        <f>'Bookings and Drivers'!L317</f>
        <v>0</v>
      </c>
      <c r="E850">
        <f>'Bookings and Drivers'!M317</f>
        <v>0</v>
      </c>
      <c r="F850">
        <f>'Bookings and Drivers'!N317</f>
        <v>0</v>
      </c>
      <c r="G850">
        <f>'Bookings and Drivers'!O317</f>
        <v>0</v>
      </c>
      <c r="H850">
        <f>'Bookings and Drivers'!P317</f>
        <v>0</v>
      </c>
      <c r="I850">
        <f>'Bookings and Drivers'!Q317</f>
        <v>0</v>
      </c>
      <c r="J850">
        <f>'Bookings and Drivers'!R317</f>
        <v>0</v>
      </c>
      <c r="K850">
        <f>'Bookings and Drivers'!S317</f>
        <v>0</v>
      </c>
      <c r="L850">
        <f>'Bookings and Drivers'!T317</f>
        <v>0</v>
      </c>
      <c r="M850">
        <f>'Bookings and Drivers'!U317</f>
        <v>0</v>
      </c>
      <c r="N850">
        <f>'Bookings and Drivers'!V317</f>
        <v>0</v>
      </c>
      <c r="O850">
        <f>'Bookings and Drivers'!W317</f>
        <v>0</v>
      </c>
      <c r="P850">
        <f>'Bookings and Drivers'!X317</f>
        <v>0</v>
      </c>
      <c r="Q850">
        <f>'Bookings and Drivers'!Y317</f>
        <v>0</v>
      </c>
      <c r="R850">
        <f>'Bookings and Drivers'!Z317</f>
        <v>0</v>
      </c>
      <c r="S850">
        <f>'Bookings and Drivers'!AA317</f>
        <v>0</v>
      </c>
      <c r="T850">
        <f>'Bookings and Drivers'!AB317</f>
        <v>0</v>
      </c>
      <c r="U850">
        <f>'Bookings and Drivers'!AC317</f>
        <v>0</v>
      </c>
      <c r="V850">
        <f>'Bookings and Drivers'!AD317</f>
        <v>0</v>
      </c>
      <c r="W850">
        <f>'Bookings and Drivers'!AE317</f>
        <v>0</v>
      </c>
      <c r="X850">
        <f>'Bookings and Drivers'!AF317</f>
        <v>0</v>
      </c>
      <c r="Y850">
        <f>'Bookings and Drivers'!AG317</f>
        <v>0</v>
      </c>
      <c r="Z850">
        <f>'Bookings and Drivers'!AH317</f>
        <v>0</v>
      </c>
      <c r="AA850">
        <f>'Bookings and Drivers'!AI317</f>
        <v>0</v>
      </c>
      <c r="AB850">
        <f>'Bookings and Drivers'!AJ317</f>
        <v>0</v>
      </c>
      <c r="AC850">
        <f>'Bookings and Drivers'!AK317</f>
        <v>0</v>
      </c>
      <c r="AD850">
        <f>'Bookings and Drivers'!AL317</f>
        <v>0</v>
      </c>
      <c r="AE850">
        <f>'Bookings and Drivers'!AM317</f>
        <v>0</v>
      </c>
      <c r="AF850">
        <f>'Bookings and Drivers'!AN317</f>
        <v>0</v>
      </c>
      <c r="AG850">
        <f>'Bookings and Drivers'!AO317</f>
        <v>0</v>
      </c>
      <c r="AH850">
        <f>'Bookings and Drivers'!AP317</f>
        <v>0</v>
      </c>
      <c r="AI850">
        <f>'Bookings and Drivers'!AQ317</f>
        <v>0</v>
      </c>
      <c r="AJ850">
        <f>'Bookings and Drivers'!AR317</f>
        <v>0</v>
      </c>
      <c r="AK850">
        <f>'Bookings and Drivers'!AS317</f>
        <v>0</v>
      </c>
      <c r="AL850">
        <f>'Bookings and Drivers'!AT317</f>
        <v>0</v>
      </c>
      <c r="AM850">
        <f>'Bookings and Drivers'!AU317</f>
        <v>0</v>
      </c>
      <c r="AN850">
        <f>'Bookings and Drivers'!AV317</f>
        <v>0</v>
      </c>
      <c r="AO850">
        <f>'Bookings and Drivers'!AW317</f>
        <v>0</v>
      </c>
      <c r="AP850">
        <f>'Bookings and Drivers'!AX317</f>
        <v>0</v>
      </c>
      <c r="AQ850">
        <f>'Bookings and Drivers'!AY317</f>
        <v>0</v>
      </c>
      <c r="AR850">
        <f>'Bookings and Drivers'!AZ317</f>
        <v>0</v>
      </c>
      <c r="AS850">
        <f>'Bookings and Drivers'!BA317</f>
        <v>1.8580012857653836</v>
      </c>
      <c r="AT850">
        <f>'Bookings and Drivers'!BB317</f>
        <v>2.2195128481541238</v>
      </c>
      <c r="AU850">
        <f>'Bookings and Drivers'!BC317</f>
        <v>2.3708432696191775</v>
      </c>
      <c r="AV850">
        <f>'Bookings and Drivers'!BD317</f>
        <v>1.9588882334087527</v>
      </c>
      <c r="AW850">
        <f>'Bookings and Drivers'!BE317</f>
        <v>3.0290413320410039</v>
      </c>
      <c r="AX850">
        <f>'Bookings and Drivers'!BF317</f>
        <v>3.5518045999903762</v>
      </c>
      <c r="AY850">
        <f>'Bookings and Drivers'!BG317</f>
        <v>3.8903869363232175</v>
      </c>
      <c r="AZ850">
        <f>'Bookings and Drivers'!BH317</f>
        <v>3.0266300978616894</v>
      </c>
      <c r="BA850">
        <f>'Bookings and Drivers'!BI317</f>
        <v>0</v>
      </c>
      <c r="BB850">
        <f>'Bookings and Drivers'!BJ317</f>
        <v>0</v>
      </c>
      <c r="BC850">
        <f>'Bookings and Drivers'!BK317</f>
        <v>0</v>
      </c>
      <c r="BD850">
        <f>'Bookings and Drivers'!BL317</f>
        <v>0</v>
      </c>
      <c r="BE850">
        <f>'Bookings and Drivers'!BM317</f>
        <v>0</v>
      </c>
      <c r="BF850">
        <f>'Bookings and Drivers'!BN317</f>
        <v>0</v>
      </c>
      <c r="BG850">
        <f>'Bookings and Drivers'!BO317</f>
        <v>0</v>
      </c>
      <c r="BH850">
        <f>'Bookings and Drivers'!BP317</f>
        <v>0</v>
      </c>
      <c r="BI850">
        <f>'Bookings and Drivers'!BQ317</f>
        <v>0</v>
      </c>
      <c r="BJ850">
        <f>'Bookings and Drivers'!BR317</f>
        <v>0</v>
      </c>
      <c r="BK850">
        <f>'Bookings and Drivers'!BS317</f>
        <v>0</v>
      </c>
      <c r="BL850">
        <f>'Bookings and Drivers'!BT317</f>
        <v>0</v>
      </c>
      <c r="BM850">
        <f>'Bookings and Drivers'!BU317</f>
        <v>0</v>
      </c>
      <c r="BN850">
        <f>'Bookings and Drivers'!BV317</f>
        <v>0</v>
      </c>
      <c r="BO850">
        <f>'Bookings and Drivers'!BW317</f>
        <v>0</v>
      </c>
      <c r="BP850">
        <f>'Bookings and Drivers'!BX317</f>
        <v>0</v>
      </c>
      <c r="BQ850">
        <f>'Bookings and Drivers'!BY317</f>
        <v>0</v>
      </c>
      <c r="BR850">
        <f>'Bookings and Drivers'!BZ317</f>
        <v>0</v>
      </c>
      <c r="BS850">
        <f>'Bookings and Drivers'!CA317</f>
        <v>0</v>
      </c>
      <c r="BT850">
        <f>'Bookings and Drivers'!CB317</f>
        <v>0</v>
      </c>
      <c r="BU850">
        <f>'Bookings and Drivers'!CC317</f>
        <v>0</v>
      </c>
      <c r="BV850">
        <f>'Bookings and Drivers'!CD317</f>
        <v>0</v>
      </c>
      <c r="BW850">
        <f>'Bookings and Drivers'!CE317</f>
        <v>0</v>
      </c>
      <c r="BX850">
        <f>'Bookings and Drivers'!CF317</f>
        <v>0</v>
      </c>
      <c r="BY850">
        <f>'Bookings and Drivers'!CG317</f>
        <v>0</v>
      </c>
      <c r="BZ850">
        <f>'Bookings and Drivers'!CH317</f>
        <v>0</v>
      </c>
      <c r="CA850">
        <f>'Bookings and Drivers'!CI317</f>
        <v>0</v>
      </c>
      <c r="CB850">
        <f>'Bookings and Drivers'!CJ317</f>
        <v>0</v>
      </c>
      <c r="CC850">
        <f>'Bookings and Drivers'!CK317</f>
        <v>0</v>
      </c>
      <c r="CD850">
        <f>'Bookings and Drivers'!CL317</f>
        <v>0</v>
      </c>
      <c r="CE850">
        <f>'Bookings and Drivers'!CM317</f>
        <v>0</v>
      </c>
      <c r="CF850">
        <f>'Bookings and Drivers'!CN317</f>
        <v>0</v>
      </c>
      <c r="CG850">
        <f>'Bookings and Drivers'!CO317</f>
        <v>0</v>
      </c>
      <c r="CH850">
        <f>'Bookings and Drivers'!CP317</f>
        <v>2.3347760757696889</v>
      </c>
      <c r="CI850">
        <f>'Bookings and Drivers'!CQ317</f>
        <v>3.5500169452255328</v>
      </c>
      <c r="CJ850">
        <f>'Bookings and Drivers'!CR317</f>
        <v>8.4072456369474402</v>
      </c>
      <c r="CK850">
        <f>'Bookings and Drivers'!CS317</f>
        <v>11.349781609879045</v>
      </c>
      <c r="CL850">
        <f>'Bookings and Drivers'!CT317</f>
        <v>14.300724828447592</v>
      </c>
      <c r="CM850">
        <f>'Bookings and Drivers'!CU317</f>
        <v>17.446884290706066</v>
      </c>
      <c r="CN850">
        <f>'Bookings and Drivers'!CV317</f>
        <v>20.936261148847279</v>
      </c>
      <c r="CO850">
        <f>'Bookings and Drivers'!CW317</f>
        <v>28.263952550943831</v>
      </c>
      <c r="CP850">
        <f>'Bookings and Drivers'!CX317</f>
        <v>35.329940688679784</v>
      </c>
      <c r="CQ850">
        <f>'Bookings and Drivers'!CY317</f>
        <v>44.162425860849737</v>
      </c>
      <c r="CR850">
        <f>'Bookings and Drivers'!CZ317</f>
        <v>52.99491103301969</v>
      </c>
      <c r="CS850">
        <f>'Bookings and Drivers'!DA317</f>
        <v>60.944147687972631</v>
      </c>
      <c r="CT850">
        <f>'Bookings and Drivers'!DB317</f>
        <v>0</v>
      </c>
      <c r="CU850">
        <f>'Bookings and Drivers'!DC317</f>
        <v>0</v>
      </c>
      <c r="CV850">
        <f>'Bookings and Drivers'!DD317</f>
        <v>0</v>
      </c>
      <c r="CW850">
        <f>'Bookings and Drivers'!DE317</f>
        <v>0</v>
      </c>
      <c r="CX850">
        <f>'Bookings and Drivers'!DF317</f>
        <v>0</v>
      </c>
    </row>
    <row r="851" spans="1:102">
      <c r="A851" t="str">
        <f>'Bookings and Drivers'!I318</f>
        <v>Total U.S. Room Nights</v>
      </c>
      <c r="B851">
        <f>'Bookings and Drivers'!J318</f>
        <v>0</v>
      </c>
      <c r="C851">
        <f>'Bookings and Drivers'!K318</f>
        <v>0</v>
      </c>
      <c r="D851">
        <f>'Bookings and Drivers'!L318</f>
        <v>0</v>
      </c>
      <c r="E851">
        <f>'Bookings and Drivers'!M318</f>
        <v>0</v>
      </c>
      <c r="F851">
        <f>'Bookings and Drivers'!N318</f>
        <v>0</v>
      </c>
      <c r="G851">
        <f>'Bookings and Drivers'!O318</f>
        <v>0</v>
      </c>
      <c r="H851">
        <f>'Bookings and Drivers'!P318</f>
        <v>0</v>
      </c>
      <c r="I851">
        <f>'Bookings and Drivers'!Q318</f>
        <v>0</v>
      </c>
      <c r="J851">
        <f>'Bookings and Drivers'!R318</f>
        <v>0</v>
      </c>
      <c r="K851">
        <f>'Bookings and Drivers'!S318</f>
        <v>0</v>
      </c>
      <c r="L851">
        <f>'Bookings and Drivers'!T318</f>
        <v>0</v>
      </c>
      <c r="M851">
        <f>'Bookings and Drivers'!U318</f>
        <v>0</v>
      </c>
      <c r="N851">
        <f>'Bookings and Drivers'!V318</f>
        <v>0</v>
      </c>
      <c r="O851">
        <f>'Bookings and Drivers'!W318</f>
        <v>0</v>
      </c>
      <c r="P851">
        <f>'Bookings and Drivers'!X318</f>
        <v>0</v>
      </c>
      <c r="Q851">
        <f>'Bookings and Drivers'!Y318</f>
        <v>0</v>
      </c>
      <c r="R851">
        <f>'Bookings and Drivers'!Z318</f>
        <v>0</v>
      </c>
      <c r="S851">
        <f>'Bookings and Drivers'!AA318</f>
        <v>0</v>
      </c>
      <c r="T851">
        <f>'Bookings and Drivers'!AB318</f>
        <v>0</v>
      </c>
      <c r="U851">
        <f>'Bookings and Drivers'!AC318</f>
        <v>0</v>
      </c>
      <c r="V851">
        <f>'Bookings and Drivers'!AD318</f>
        <v>0</v>
      </c>
      <c r="W851">
        <f>'Bookings and Drivers'!AE318</f>
        <v>0</v>
      </c>
      <c r="X851">
        <f>'Bookings and Drivers'!AF318</f>
        <v>0</v>
      </c>
      <c r="Y851">
        <f>'Bookings and Drivers'!AG318</f>
        <v>0</v>
      </c>
      <c r="Z851">
        <f>'Bookings and Drivers'!AH318</f>
        <v>0</v>
      </c>
      <c r="AA851">
        <f>'Bookings and Drivers'!AI318</f>
        <v>0</v>
      </c>
      <c r="AB851">
        <f>'Bookings and Drivers'!AJ318</f>
        <v>0</v>
      </c>
      <c r="AC851">
        <f>'Bookings and Drivers'!AK318</f>
        <v>0</v>
      </c>
      <c r="AD851">
        <f>'Bookings and Drivers'!AL318</f>
        <v>0</v>
      </c>
      <c r="AE851">
        <f>'Bookings and Drivers'!AM318</f>
        <v>0</v>
      </c>
      <c r="AF851">
        <f>'Bookings and Drivers'!AN318</f>
        <v>0</v>
      </c>
      <c r="AG851">
        <f>'Bookings and Drivers'!AO318</f>
        <v>0</v>
      </c>
      <c r="AH851">
        <f>'Bookings and Drivers'!AP318</f>
        <v>0</v>
      </c>
      <c r="AI851">
        <f>'Bookings and Drivers'!AQ318</f>
        <v>0</v>
      </c>
      <c r="AJ851">
        <f>'Bookings and Drivers'!AR318</f>
        <v>0</v>
      </c>
      <c r="AK851">
        <f>'Bookings and Drivers'!AS318</f>
        <v>0</v>
      </c>
      <c r="AL851">
        <f>'Bookings and Drivers'!AT318</f>
        <v>0</v>
      </c>
      <c r="AM851">
        <f>'Bookings and Drivers'!AU318</f>
        <v>0</v>
      </c>
      <c r="AN851">
        <f>'Bookings and Drivers'!AV318</f>
        <v>0</v>
      </c>
      <c r="AO851">
        <f>'Bookings and Drivers'!AW318</f>
        <v>0</v>
      </c>
      <c r="AP851">
        <f>'Bookings and Drivers'!AX318</f>
        <v>0</v>
      </c>
      <c r="AQ851">
        <f>'Bookings and Drivers'!AY318</f>
        <v>0</v>
      </c>
      <c r="AR851">
        <f>'Bookings and Drivers'!AZ318</f>
        <v>0</v>
      </c>
      <c r="AS851">
        <f>'Bookings and Drivers'!BA318</f>
        <v>6.4025557412109277</v>
      </c>
      <c r="AT851">
        <f>'Bookings and Drivers'!BB318</f>
        <v>7.3263287179404921</v>
      </c>
      <c r="AU851">
        <f>'Bookings and Drivers'!BC318</f>
        <v>7.9749041833247611</v>
      </c>
      <c r="AV851">
        <f>'Bookings and Drivers'!BD318</f>
        <v>6.6492435633579916</v>
      </c>
      <c r="AW851">
        <f>'Bookings and Drivers'!BE318</f>
        <v>7.6190413320410038</v>
      </c>
      <c r="AX851">
        <f>'Bookings and Drivers'!BF318</f>
        <v>8.5718045999903758</v>
      </c>
      <c r="AY851">
        <f>'Bookings and Drivers'!BG318</f>
        <v>9.4103869363232171</v>
      </c>
      <c r="AZ851">
        <f>'Bookings and Drivers'!BH318</f>
        <v>7.6466300978616895</v>
      </c>
      <c r="BA851">
        <f>'Bookings and Drivers'!BI318</f>
        <v>0</v>
      </c>
      <c r="BB851">
        <f>'Bookings and Drivers'!BJ318</f>
        <v>0</v>
      </c>
      <c r="BC851">
        <f>'Bookings and Drivers'!BK318</f>
        <v>0</v>
      </c>
      <c r="BD851">
        <f>'Bookings and Drivers'!BL318</f>
        <v>0</v>
      </c>
      <c r="BE851">
        <f>'Bookings and Drivers'!BM318</f>
        <v>0</v>
      </c>
      <c r="BF851">
        <f>'Bookings and Drivers'!BN318</f>
        <v>0</v>
      </c>
      <c r="BG851">
        <f>'Bookings and Drivers'!BO318</f>
        <v>0</v>
      </c>
      <c r="BH851">
        <f>'Bookings and Drivers'!BP318</f>
        <v>0</v>
      </c>
      <c r="BI851">
        <f>'Bookings and Drivers'!BQ318</f>
        <v>0</v>
      </c>
      <c r="BJ851">
        <f>'Bookings and Drivers'!BR318</f>
        <v>0</v>
      </c>
      <c r="BK851">
        <f>'Bookings and Drivers'!BS318</f>
        <v>0</v>
      </c>
      <c r="BL851">
        <f>'Bookings and Drivers'!BT318</f>
        <v>0</v>
      </c>
      <c r="BM851">
        <f>'Bookings and Drivers'!BU318</f>
        <v>0</v>
      </c>
      <c r="BN851">
        <f>'Bookings and Drivers'!BV318</f>
        <v>0</v>
      </c>
      <c r="BO851">
        <f>'Bookings and Drivers'!BW318</f>
        <v>0</v>
      </c>
      <c r="BP851">
        <f>'Bookings and Drivers'!BX318</f>
        <v>0</v>
      </c>
      <c r="BQ851">
        <f>'Bookings and Drivers'!BY318</f>
        <v>0</v>
      </c>
      <c r="BR851">
        <f>'Bookings and Drivers'!BZ318</f>
        <v>0</v>
      </c>
      <c r="BS851">
        <f>'Bookings and Drivers'!CA318</f>
        <v>0</v>
      </c>
      <c r="BT851">
        <f>'Bookings and Drivers'!CB318</f>
        <v>0</v>
      </c>
      <c r="BU851">
        <f>'Bookings and Drivers'!CC318</f>
        <v>0</v>
      </c>
      <c r="BV851">
        <f>'Bookings and Drivers'!CD318</f>
        <v>0</v>
      </c>
      <c r="BW851">
        <f>'Bookings and Drivers'!CE318</f>
        <v>0</v>
      </c>
      <c r="BX851">
        <f>'Bookings and Drivers'!CF318</f>
        <v>0</v>
      </c>
      <c r="BY851">
        <f>'Bookings and Drivers'!CG318</f>
        <v>0</v>
      </c>
      <c r="BZ851">
        <f>'Bookings and Drivers'!CH318</f>
        <v>0</v>
      </c>
      <c r="CA851">
        <f>'Bookings and Drivers'!CI318</f>
        <v>0</v>
      </c>
      <c r="CB851">
        <f>'Bookings and Drivers'!CJ318</f>
        <v>0</v>
      </c>
      <c r="CC851">
        <f>'Bookings and Drivers'!CK318</f>
        <v>0</v>
      </c>
      <c r="CD851">
        <f>'Bookings and Drivers'!CL318</f>
        <v>0</v>
      </c>
      <c r="CE851">
        <f>'Bookings and Drivers'!CM318</f>
        <v>0</v>
      </c>
      <c r="CF851">
        <f>'Bookings and Drivers'!CN318</f>
        <v>0</v>
      </c>
      <c r="CG851">
        <f>'Bookings and Drivers'!CO318</f>
        <v>0</v>
      </c>
      <c r="CH851">
        <f>'Bookings and Drivers'!CP318</f>
        <v>19.160421303156944</v>
      </c>
      <c r="CI851">
        <f>'Bookings and Drivers'!CQ318</f>
        <v>22.964870711989356</v>
      </c>
      <c r="CJ851">
        <f>'Bookings and Drivers'!CR318</f>
        <v>28.353032205834175</v>
      </c>
      <c r="CK851">
        <f>'Bookings and Drivers'!CS318</f>
        <v>31.099781609879045</v>
      </c>
      <c r="CL851">
        <f>'Bookings and Drivers'!CT318</f>
        <v>35.713224828447593</v>
      </c>
      <c r="CM851">
        <f>'Bookings and Drivers'!CU318</f>
        <v>40.088694290706066</v>
      </c>
      <c r="CN851">
        <f>'Bookings and Drivers'!CV318</f>
        <v>44.710161648847283</v>
      </c>
      <c r="CO851">
        <f>'Bookings and Drivers'!CW318</f>
        <v>53.226548075943832</v>
      </c>
      <c r="CP851">
        <f>'Bookings and Drivers'!CX318</f>
        <v>61.540665989929792</v>
      </c>
      <c r="CQ851">
        <f>'Bookings and Drivers'!CY318</f>
        <v>71.683687427162241</v>
      </c>
      <c r="CR851">
        <f>'Bookings and Drivers'!CZ318</f>
        <v>81.617023061984696</v>
      </c>
      <c r="CS851">
        <f>'Bookings and Drivers'!DA318</f>
        <v>90.711144198096235</v>
      </c>
      <c r="CT851">
        <f>'Bookings and Drivers'!DB318</f>
        <v>0</v>
      </c>
      <c r="CU851">
        <f>'Bookings and Drivers'!DC318</f>
        <v>0</v>
      </c>
      <c r="CV851">
        <f>'Bookings and Drivers'!DD318</f>
        <v>0</v>
      </c>
      <c r="CW851">
        <f>'Bookings and Drivers'!DE318</f>
        <v>0</v>
      </c>
      <c r="CX851">
        <f>'Bookings and Drivers'!DF318</f>
        <v>0</v>
      </c>
    </row>
    <row r="852" spans="1:102">
      <c r="A852" t="str">
        <f>'Bookings and Drivers'!I319</f>
        <v>% change Y/Y</v>
      </c>
      <c r="B852">
        <f>'Bookings and Drivers'!J319</f>
        <v>0</v>
      </c>
      <c r="C852">
        <f>'Bookings and Drivers'!K319</f>
        <v>0</v>
      </c>
      <c r="D852">
        <f>'Bookings and Drivers'!L319</f>
        <v>0</v>
      </c>
      <c r="E852">
        <f>'Bookings and Drivers'!M319</f>
        <v>0</v>
      </c>
      <c r="F852">
        <f>'Bookings and Drivers'!N319</f>
        <v>0</v>
      </c>
      <c r="G852">
        <f>'Bookings and Drivers'!O319</f>
        <v>0</v>
      </c>
      <c r="H852">
        <f>'Bookings and Drivers'!P319</f>
        <v>0</v>
      </c>
      <c r="I852">
        <f>'Bookings and Drivers'!Q319</f>
        <v>0</v>
      </c>
      <c r="J852">
        <f>'Bookings and Drivers'!R319</f>
        <v>0</v>
      </c>
      <c r="K852">
        <f>'Bookings and Drivers'!S319</f>
        <v>0</v>
      </c>
      <c r="L852">
        <f>'Bookings and Drivers'!T319</f>
        <v>0</v>
      </c>
      <c r="M852">
        <f>'Bookings and Drivers'!U319</f>
        <v>0</v>
      </c>
      <c r="N852">
        <f>'Bookings and Drivers'!V319</f>
        <v>0</v>
      </c>
      <c r="O852">
        <f>'Bookings and Drivers'!W319</f>
        <v>0</v>
      </c>
      <c r="P852">
        <f>'Bookings and Drivers'!X319</f>
        <v>0</v>
      </c>
      <c r="Q852">
        <f>'Bookings and Drivers'!Y319</f>
        <v>0</v>
      </c>
      <c r="R852">
        <f>'Bookings and Drivers'!Z319</f>
        <v>0</v>
      </c>
      <c r="S852">
        <f>'Bookings and Drivers'!AA319</f>
        <v>0</v>
      </c>
      <c r="T852">
        <f>'Bookings and Drivers'!AB319</f>
        <v>0</v>
      </c>
      <c r="U852">
        <f>'Bookings and Drivers'!AC319</f>
        <v>0</v>
      </c>
      <c r="V852">
        <f>'Bookings and Drivers'!AD319</f>
        <v>0</v>
      </c>
      <c r="W852">
        <f>'Bookings and Drivers'!AE319</f>
        <v>0</v>
      </c>
      <c r="X852">
        <f>'Bookings and Drivers'!AF319</f>
        <v>0</v>
      </c>
      <c r="Y852">
        <f>'Bookings and Drivers'!AG319</f>
        <v>0</v>
      </c>
      <c r="Z852">
        <f>'Bookings and Drivers'!AH319</f>
        <v>0</v>
      </c>
      <c r="AA852">
        <f>'Bookings and Drivers'!AI319</f>
        <v>0</v>
      </c>
      <c r="AB852">
        <f>'Bookings and Drivers'!AJ319</f>
        <v>0</v>
      </c>
      <c r="AC852">
        <f>'Bookings and Drivers'!AK319</f>
        <v>0</v>
      </c>
      <c r="AD852">
        <f>'Bookings and Drivers'!AL319</f>
        <v>0</v>
      </c>
      <c r="AE852">
        <f>'Bookings and Drivers'!AM319</f>
        <v>0</v>
      </c>
      <c r="AF852">
        <f>'Bookings and Drivers'!AN319</f>
        <v>0</v>
      </c>
      <c r="AG852">
        <f>'Bookings and Drivers'!AO319</f>
        <v>0</v>
      </c>
      <c r="AH852">
        <f>'Bookings and Drivers'!AP319</f>
        <v>0</v>
      </c>
      <c r="AI852">
        <f>'Bookings and Drivers'!AQ319</f>
        <v>0</v>
      </c>
      <c r="AJ852">
        <f>'Bookings and Drivers'!AR319</f>
        <v>0</v>
      </c>
      <c r="AK852">
        <f>'Bookings and Drivers'!AS319</f>
        <v>0</v>
      </c>
      <c r="AL852">
        <f>'Bookings and Drivers'!AT319</f>
        <v>0</v>
      </c>
      <c r="AM852">
        <f>'Bookings and Drivers'!AU319</f>
        <v>0</v>
      </c>
      <c r="AN852">
        <f>'Bookings and Drivers'!AV319</f>
        <v>0</v>
      </c>
      <c r="AO852">
        <f>'Bookings and Drivers'!AW319</f>
        <v>0</v>
      </c>
      <c r="AP852">
        <f>'Bookings and Drivers'!AX319</f>
        <v>0</v>
      </c>
      <c r="AQ852">
        <f>'Bookings and Drivers'!AY319</f>
        <v>0</v>
      </c>
      <c r="AR852">
        <f>'Bookings and Drivers'!AZ319</f>
        <v>0</v>
      </c>
      <c r="AS852">
        <f>'Bookings and Drivers'!BA319</f>
        <v>0</v>
      </c>
      <c r="AT852">
        <f>'Bookings and Drivers'!BB319</f>
        <v>0</v>
      </c>
      <c r="AU852">
        <f>'Bookings and Drivers'!BC319</f>
        <v>0</v>
      </c>
      <c r="AV852">
        <f>'Bookings and Drivers'!BD319</f>
        <v>0</v>
      </c>
      <c r="AW852">
        <f>'Bookings and Drivers'!BE319</f>
        <v>0.19</v>
      </c>
      <c r="AX852">
        <f>'Bookings and Drivers'!BF319</f>
        <v>0.17</v>
      </c>
      <c r="AY852">
        <f>'Bookings and Drivers'!BG319</f>
        <v>0.18</v>
      </c>
      <c r="AZ852">
        <f>'Bookings and Drivers'!BH319</f>
        <v>0.15</v>
      </c>
      <c r="BA852">
        <f>'Bookings and Drivers'!BI319</f>
        <v>0</v>
      </c>
      <c r="BB852">
        <f>'Bookings and Drivers'!BJ319</f>
        <v>0</v>
      </c>
      <c r="BC852">
        <f>'Bookings and Drivers'!BK319</f>
        <v>0</v>
      </c>
      <c r="BD852">
        <f>'Bookings and Drivers'!BL319</f>
        <v>0</v>
      </c>
      <c r="BE852">
        <f>'Bookings and Drivers'!BM319</f>
        <v>0</v>
      </c>
      <c r="BF852">
        <f>'Bookings and Drivers'!BN319</f>
        <v>0</v>
      </c>
      <c r="BG852">
        <f>'Bookings and Drivers'!BO319</f>
        <v>0</v>
      </c>
      <c r="BH852">
        <f>'Bookings and Drivers'!BP319</f>
        <v>0</v>
      </c>
      <c r="BI852">
        <f>'Bookings and Drivers'!BQ319</f>
        <v>0</v>
      </c>
      <c r="BJ852">
        <f>'Bookings and Drivers'!BR319</f>
        <v>0</v>
      </c>
      <c r="BK852">
        <f>'Bookings and Drivers'!BS319</f>
        <v>0</v>
      </c>
      <c r="BL852">
        <f>'Bookings and Drivers'!BT319</f>
        <v>0</v>
      </c>
      <c r="BM852">
        <f>'Bookings and Drivers'!BU319</f>
        <v>0</v>
      </c>
      <c r="BN852">
        <f>'Bookings and Drivers'!BV319</f>
        <v>0</v>
      </c>
      <c r="BO852">
        <f>'Bookings and Drivers'!BW319</f>
        <v>0</v>
      </c>
      <c r="BP852">
        <f>'Bookings and Drivers'!BX319</f>
        <v>0</v>
      </c>
      <c r="BQ852">
        <f>'Bookings and Drivers'!BY319</f>
        <v>0</v>
      </c>
      <c r="BR852">
        <f>'Bookings and Drivers'!BZ319</f>
        <v>0</v>
      </c>
      <c r="BS852">
        <f>'Bookings and Drivers'!CA319</f>
        <v>0</v>
      </c>
      <c r="BT852">
        <f>'Bookings and Drivers'!CB319</f>
        <v>0</v>
      </c>
      <c r="BU852">
        <f>'Bookings and Drivers'!CC319</f>
        <v>0</v>
      </c>
      <c r="BV852">
        <f>'Bookings and Drivers'!CD319</f>
        <v>0</v>
      </c>
      <c r="BW852">
        <f>'Bookings and Drivers'!CE319</f>
        <v>0</v>
      </c>
      <c r="BX852">
        <f>'Bookings and Drivers'!CF319</f>
        <v>0</v>
      </c>
      <c r="BY852">
        <f>'Bookings and Drivers'!CG319</f>
        <v>0</v>
      </c>
      <c r="BZ852">
        <f>'Bookings and Drivers'!CH319</f>
        <v>0</v>
      </c>
      <c r="CA852">
        <f>'Bookings and Drivers'!CI319</f>
        <v>0</v>
      </c>
      <c r="CB852">
        <f>'Bookings and Drivers'!CJ319</f>
        <v>0</v>
      </c>
      <c r="CC852">
        <f>'Bookings and Drivers'!CK319</f>
        <v>0</v>
      </c>
      <c r="CD852">
        <f>'Bookings and Drivers'!CL319</f>
        <v>0</v>
      </c>
      <c r="CE852">
        <f>'Bookings and Drivers'!CM319</f>
        <v>0</v>
      </c>
      <c r="CF852">
        <f>'Bookings and Drivers'!CN319</f>
        <v>0</v>
      </c>
      <c r="CG852">
        <f>'Bookings and Drivers'!CO319</f>
        <v>0</v>
      </c>
      <c r="CH852">
        <f>'Bookings and Drivers'!CP319</f>
        <v>0</v>
      </c>
      <c r="CI852">
        <f>'Bookings and Drivers'!CQ319</f>
        <v>0.19855771168275793</v>
      </c>
      <c r="CJ852">
        <f>'Bookings and Drivers'!CR319</f>
        <v>0.23462624986744651</v>
      </c>
      <c r="CK852">
        <f>'Bookings and Drivers'!CS319</f>
        <v>9.6876742639176117E-2</v>
      </c>
      <c r="CL852">
        <f>'Bookings and Drivers'!CT319</f>
        <v>0.14834326737211101</v>
      </c>
      <c r="CM852">
        <f>'Bookings and Drivers'!CU319</f>
        <v>0.12251678428023571</v>
      </c>
      <c r="CN852">
        <f>'Bookings and Drivers'!CV319</f>
        <v>0.11528106464701282</v>
      </c>
      <c r="CO852">
        <f>'Bookings and Drivers'!CW319</f>
        <v>0.19047988450554221</v>
      </c>
      <c r="CP852">
        <f>'Bookings and Drivers'!CX319</f>
        <v>0.15620246314157638</v>
      </c>
      <c r="CQ852">
        <f>'Bookings and Drivers'!CY319</f>
        <v>0.16481819418223709</v>
      </c>
      <c r="CR852">
        <f>'Bookings and Drivers'!CZ319</f>
        <v>0.13857177262143106</v>
      </c>
      <c r="CS852">
        <f>'Bookings and Drivers'!DA319</f>
        <v>0.11142431805194541</v>
      </c>
      <c r="CT852">
        <f>'Bookings and Drivers'!DB319</f>
        <v>0</v>
      </c>
      <c r="CU852">
        <f>'Bookings and Drivers'!DC319</f>
        <v>0</v>
      </c>
      <c r="CV852">
        <f>'Bookings and Drivers'!DD319</f>
        <v>0</v>
      </c>
      <c r="CW852">
        <f>'Bookings and Drivers'!DE319</f>
        <v>0</v>
      </c>
      <c r="CX852">
        <f>'Bookings and Drivers'!DF319</f>
        <v>0</v>
      </c>
    </row>
    <row r="853" spans="1:102">
      <c r="A853" t="str">
        <f>'Bookings and Drivers'!I320</f>
        <v>YoY Abs Growth</v>
      </c>
      <c r="B853">
        <f>'Bookings and Drivers'!J320</f>
        <v>0</v>
      </c>
      <c r="C853">
        <f>'Bookings and Drivers'!K320</f>
        <v>0</v>
      </c>
      <c r="D853">
        <f>'Bookings and Drivers'!L320</f>
        <v>0</v>
      </c>
      <c r="E853">
        <f>'Bookings and Drivers'!M320</f>
        <v>0</v>
      </c>
      <c r="F853">
        <f>'Bookings and Drivers'!N320</f>
        <v>0</v>
      </c>
      <c r="G853">
        <f>'Bookings and Drivers'!O320</f>
        <v>0</v>
      </c>
      <c r="H853">
        <f>'Bookings and Drivers'!P320</f>
        <v>0</v>
      </c>
      <c r="I853">
        <f>'Bookings and Drivers'!Q320</f>
        <v>0</v>
      </c>
      <c r="J853">
        <f>'Bookings and Drivers'!R320</f>
        <v>0</v>
      </c>
      <c r="K853">
        <f>'Bookings and Drivers'!S320</f>
        <v>0</v>
      </c>
      <c r="L853">
        <f>'Bookings and Drivers'!T320</f>
        <v>0</v>
      </c>
      <c r="M853">
        <f>'Bookings and Drivers'!U320</f>
        <v>0</v>
      </c>
      <c r="N853">
        <f>'Bookings and Drivers'!V320</f>
        <v>0</v>
      </c>
      <c r="O853">
        <f>'Bookings and Drivers'!W320</f>
        <v>0</v>
      </c>
      <c r="P853">
        <f>'Bookings and Drivers'!X320</f>
        <v>0</v>
      </c>
      <c r="Q853">
        <f>'Bookings and Drivers'!Y320</f>
        <v>0</v>
      </c>
      <c r="R853">
        <f>'Bookings and Drivers'!Z320</f>
        <v>0</v>
      </c>
      <c r="S853">
        <f>'Bookings and Drivers'!AA320</f>
        <v>0</v>
      </c>
      <c r="T853">
        <f>'Bookings and Drivers'!AB320</f>
        <v>0</v>
      </c>
      <c r="U853">
        <f>'Bookings and Drivers'!AC320</f>
        <v>0</v>
      </c>
      <c r="V853">
        <f>'Bookings and Drivers'!AD320</f>
        <v>0</v>
      </c>
      <c r="W853">
        <f>'Bookings and Drivers'!AE320</f>
        <v>0</v>
      </c>
      <c r="X853">
        <f>'Bookings and Drivers'!AF320</f>
        <v>0</v>
      </c>
      <c r="Y853">
        <f>'Bookings and Drivers'!AG320</f>
        <v>0</v>
      </c>
      <c r="Z853">
        <f>'Bookings and Drivers'!AH320</f>
        <v>0</v>
      </c>
      <c r="AA853">
        <f>'Bookings and Drivers'!AI320</f>
        <v>0</v>
      </c>
      <c r="AB853">
        <f>'Bookings and Drivers'!AJ320</f>
        <v>0</v>
      </c>
      <c r="AC853">
        <f>'Bookings and Drivers'!AK320</f>
        <v>0</v>
      </c>
      <c r="AD853">
        <f>'Bookings and Drivers'!AL320</f>
        <v>0</v>
      </c>
      <c r="AE853">
        <f>'Bookings and Drivers'!AM320</f>
        <v>0</v>
      </c>
      <c r="AF853">
        <f>'Bookings and Drivers'!AN320</f>
        <v>0</v>
      </c>
      <c r="AG853">
        <f>'Bookings and Drivers'!AO320</f>
        <v>0</v>
      </c>
      <c r="AH853">
        <f>'Bookings and Drivers'!AP320</f>
        <v>0</v>
      </c>
      <c r="AI853">
        <f>'Bookings and Drivers'!AQ320</f>
        <v>0</v>
      </c>
      <c r="AJ853">
        <f>'Bookings and Drivers'!AR320</f>
        <v>0</v>
      </c>
      <c r="AK853">
        <f>'Bookings and Drivers'!AS320</f>
        <v>0</v>
      </c>
      <c r="AL853">
        <f>'Bookings and Drivers'!AT320</f>
        <v>0</v>
      </c>
      <c r="AM853">
        <f>'Bookings and Drivers'!AU320</f>
        <v>0</v>
      </c>
      <c r="AN853">
        <f>'Bookings and Drivers'!AV320</f>
        <v>0</v>
      </c>
      <c r="AO853">
        <f>'Bookings and Drivers'!AW320</f>
        <v>0</v>
      </c>
      <c r="AP853">
        <f>'Bookings and Drivers'!AX320</f>
        <v>0</v>
      </c>
      <c r="AQ853">
        <f>'Bookings and Drivers'!AY320</f>
        <v>0</v>
      </c>
      <c r="AR853">
        <f>'Bookings and Drivers'!AZ320</f>
        <v>0</v>
      </c>
      <c r="AS853">
        <f>'Bookings and Drivers'!BA320</f>
        <v>0</v>
      </c>
      <c r="AT853">
        <f>'Bookings and Drivers'!BB320</f>
        <v>0</v>
      </c>
      <c r="AU853">
        <f>'Bookings and Drivers'!BC320</f>
        <v>0</v>
      </c>
      <c r="AV853">
        <f>'Bookings and Drivers'!BD320</f>
        <v>0</v>
      </c>
      <c r="AW853">
        <f>'Bookings and Drivers'!BE320</f>
        <v>0</v>
      </c>
      <c r="AX853">
        <f>'Bookings and Drivers'!BF320</f>
        <v>0</v>
      </c>
      <c r="AY853">
        <f>'Bookings and Drivers'!BG320</f>
        <v>0</v>
      </c>
      <c r="AZ853">
        <f>'Bookings and Drivers'!BH320</f>
        <v>0</v>
      </c>
      <c r="BA853">
        <f>'Bookings and Drivers'!BI320</f>
        <v>0</v>
      </c>
      <c r="BB853">
        <f>'Bookings and Drivers'!BJ320</f>
        <v>0</v>
      </c>
      <c r="BC853">
        <f>'Bookings and Drivers'!BK320</f>
        <v>0</v>
      </c>
      <c r="BD853">
        <f>'Bookings and Drivers'!BL320</f>
        <v>0</v>
      </c>
      <c r="BE853">
        <f>'Bookings and Drivers'!BM320</f>
        <v>0</v>
      </c>
      <c r="BF853">
        <f>'Bookings and Drivers'!BN320</f>
        <v>0</v>
      </c>
      <c r="BG853">
        <f>'Bookings and Drivers'!BO320</f>
        <v>0</v>
      </c>
      <c r="BH853">
        <f>'Bookings and Drivers'!BP320</f>
        <v>0</v>
      </c>
      <c r="BI853">
        <f>'Bookings and Drivers'!BQ320</f>
        <v>0</v>
      </c>
      <c r="BJ853">
        <f>'Bookings and Drivers'!BR320</f>
        <v>0</v>
      </c>
      <c r="BK853">
        <f>'Bookings and Drivers'!BS320</f>
        <v>0</v>
      </c>
      <c r="BL853">
        <f>'Bookings and Drivers'!BT320</f>
        <v>0</v>
      </c>
      <c r="BM853">
        <f>'Bookings and Drivers'!BU320</f>
        <v>0</v>
      </c>
      <c r="BN853">
        <f>'Bookings and Drivers'!BV320</f>
        <v>0</v>
      </c>
      <c r="BO853">
        <f>'Bookings and Drivers'!BW320</f>
        <v>0</v>
      </c>
      <c r="BP853">
        <f>'Bookings and Drivers'!BX320</f>
        <v>0</v>
      </c>
      <c r="BQ853">
        <f>'Bookings and Drivers'!BY320</f>
        <v>0</v>
      </c>
      <c r="BR853">
        <f>'Bookings and Drivers'!BZ320</f>
        <v>0</v>
      </c>
      <c r="BS853">
        <f>'Bookings and Drivers'!CA320</f>
        <v>0</v>
      </c>
      <c r="BT853">
        <f>'Bookings and Drivers'!CB320</f>
        <v>0</v>
      </c>
      <c r="BU853">
        <f>'Bookings and Drivers'!CC320</f>
        <v>0</v>
      </c>
      <c r="BV853">
        <f>'Bookings and Drivers'!CD320</f>
        <v>0</v>
      </c>
      <c r="BW853">
        <f>'Bookings and Drivers'!CE320</f>
        <v>0</v>
      </c>
      <c r="BX853">
        <f>'Bookings and Drivers'!CF320</f>
        <v>0</v>
      </c>
      <c r="BY853">
        <f>'Bookings and Drivers'!CG320</f>
        <v>0</v>
      </c>
      <c r="BZ853">
        <f>'Bookings and Drivers'!CH320</f>
        <v>0</v>
      </c>
      <c r="CA853">
        <f>'Bookings and Drivers'!CI320</f>
        <v>0</v>
      </c>
      <c r="CB853">
        <f>'Bookings and Drivers'!CJ320</f>
        <v>0</v>
      </c>
      <c r="CC853">
        <f>'Bookings and Drivers'!CK320</f>
        <v>0</v>
      </c>
      <c r="CD853">
        <f>'Bookings and Drivers'!CL320</f>
        <v>0</v>
      </c>
      <c r="CE853">
        <f>'Bookings and Drivers'!CM320</f>
        <v>0</v>
      </c>
      <c r="CF853">
        <f>'Bookings and Drivers'!CN320</f>
        <v>0</v>
      </c>
      <c r="CG853">
        <f>'Bookings and Drivers'!CO320</f>
        <v>0</v>
      </c>
      <c r="CH853">
        <f>'Bookings and Drivers'!CP320</f>
        <v>0</v>
      </c>
      <c r="CI853">
        <f>'Bookings and Drivers'!CQ320</f>
        <v>3.8044494088324115</v>
      </c>
      <c r="CJ853">
        <f>'Bookings and Drivers'!CR320</f>
        <v>5.3881614938448195</v>
      </c>
      <c r="CK853">
        <f>'Bookings and Drivers'!CS320</f>
        <v>2.7467494040448699</v>
      </c>
      <c r="CL853">
        <f>'Bookings and Drivers'!CT320</f>
        <v>4.6134432185685483</v>
      </c>
      <c r="CM853">
        <f>'Bookings and Drivers'!CU320</f>
        <v>4.3754694622584722</v>
      </c>
      <c r="CN853">
        <f>'Bookings and Drivers'!CV320</f>
        <v>4.6214673581412171</v>
      </c>
      <c r="CO853">
        <f>'Bookings and Drivers'!CW320</f>
        <v>8.516386427096549</v>
      </c>
      <c r="CP853">
        <f>'Bookings and Drivers'!CX320</f>
        <v>8.3141179139859602</v>
      </c>
      <c r="CQ853">
        <f>'Bookings and Drivers'!CY320</f>
        <v>10.143021437232449</v>
      </c>
      <c r="CR853">
        <f>'Bookings and Drivers'!CZ320</f>
        <v>9.9333356348224555</v>
      </c>
      <c r="CS853">
        <f>'Bookings and Drivers'!DA320</f>
        <v>9.0941211361115393</v>
      </c>
      <c r="CT853">
        <f>'Bookings and Drivers'!DB320</f>
        <v>0</v>
      </c>
      <c r="CU853">
        <f>'Bookings and Drivers'!DC320</f>
        <v>0</v>
      </c>
      <c r="CV853">
        <f>'Bookings and Drivers'!DD320</f>
        <v>0</v>
      </c>
      <c r="CW853">
        <f>'Bookings and Drivers'!DE320</f>
        <v>0</v>
      </c>
      <c r="CX853">
        <f>'Bookings and Drivers'!DF320</f>
        <v>0</v>
      </c>
    </row>
    <row r="854" spans="1:102">
      <c r="A854">
        <f>'Bookings and Drivers'!I321</f>
        <v>0</v>
      </c>
      <c r="B854">
        <f>'Bookings and Drivers'!J321</f>
        <v>0</v>
      </c>
      <c r="C854">
        <f>'Bookings and Drivers'!K321</f>
        <v>0</v>
      </c>
      <c r="D854">
        <f>'Bookings and Drivers'!L321</f>
        <v>0</v>
      </c>
      <c r="E854">
        <f>'Bookings and Drivers'!M321</f>
        <v>0</v>
      </c>
      <c r="F854">
        <f>'Bookings and Drivers'!N321</f>
        <v>0</v>
      </c>
      <c r="G854">
        <f>'Bookings and Drivers'!O321</f>
        <v>0</v>
      </c>
      <c r="H854">
        <f>'Bookings and Drivers'!P321</f>
        <v>0</v>
      </c>
      <c r="I854">
        <f>'Bookings and Drivers'!Q321</f>
        <v>0</v>
      </c>
      <c r="J854">
        <f>'Bookings and Drivers'!R321</f>
        <v>0</v>
      </c>
      <c r="K854">
        <f>'Bookings and Drivers'!S321</f>
        <v>0</v>
      </c>
      <c r="L854">
        <f>'Bookings and Drivers'!T321</f>
        <v>0</v>
      </c>
      <c r="M854">
        <f>'Bookings and Drivers'!U321</f>
        <v>0</v>
      </c>
      <c r="N854">
        <f>'Bookings and Drivers'!V321</f>
        <v>0</v>
      </c>
      <c r="O854">
        <f>'Bookings and Drivers'!W321</f>
        <v>0</v>
      </c>
      <c r="P854">
        <f>'Bookings and Drivers'!X321</f>
        <v>0</v>
      </c>
      <c r="Q854">
        <f>'Bookings and Drivers'!Y321</f>
        <v>0</v>
      </c>
      <c r="R854">
        <f>'Bookings and Drivers'!Z321</f>
        <v>0</v>
      </c>
      <c r="S854">
        <f>'Bookings and Drivers'!AA321</f>
        <v>0</v>
      </c>
      <c r="T854">
        <f>'Bookings and Drivers'!AB321</f>
        <v>0</v>
      </c>
      <c r="U854">
        <f>'Bookings and Drivers'!AC321</f>
        <v>0</v>
      </c>
      <c r="V854">
        <f>'Bookings and Drivers'!AD321</f>
        <v>0</v>
      </c>
      <c r="W854">
        <f>'Bookings and Drivers'!AE321</f>
        <v>0</v>
      </c>
      <c r="X854">
        <f>'Bookings and Drivers'!AF321</f>
        <v>0</v>
      </c>
      <c r="Y854">
        <f>'Bookings and Drivers'!AG321</f>
        <v>0</v>
      </c>
      <c r="Z854">
        <f>'Bookings and Drivers'!AH321</f>
        <v>0</v>
      </c>
      <c r="AA854">
        <f>'Bookings and Drivers'!AI321</f>
        <v>0</v>
      </c>
      <c r="AB854">
        <f>'Bookings and Drivers'!AJ321</f>
        <v>0</v>
      </c>
      <c r="AC854">
        <f>'Bookings and Drivers'!AK321</f>
        <v>0</v>
      </c>
      <c r="AD854">
        <f>'Bookings and Drivers'!AL321</f>
        <v>0</v>
      </c>
      <c r="AE854">
        <f>'Bookings and Drivers'!AM321</f>
        <v>0</v>
      </c>
      <c r="AF854">
        <f>'Bookings and Drivers'!AN321</f>
        <v>0</v>
      </c>
      <c r="AG854">
        <f>'Bookings and Drivers'!AO321</f>
        <v>0</v>
      </c>
      <c r="AH854">
        <f>'Bookings and Drivers'!AP321</f>
        <v>0</v>
      </c>
      <c r="AI854">
        <f>'Bookings and Drivers'!AQ321</f>
        <v>0</v>
      </c>
      <c r="AJ854">
        <f>'Bookings and Drivers'!AR321</f>
        <v>0</v>
      </c>
      <c r="AK854">
        <f>'Bookings and Drivers'!AS321</f>
        <v>0</v>
      </c>
      <c r="AL854">
        <f>'Bookings and Drivers'!AT321</f>
        <v>0</v>
      </c>
      <c r="AM854">
        <f>'Bookings and Drivers'!AU321</f>
        <v>0</v>
      </c>
      <c r="AN854">
        <f>'Bookings and Drivers'!AV321</f>
        <v>0</v>
      </c>
      <c r="AO854">
        <f>'Bookings and Drivers'!AW321</f>
        <v>0</v>
      </c>
      <c r="AP854">
        <f>'Bookings and Drivers'!AX321</f>
        <v>0</v>
      </c>
      <c r="AQ854">
        <f>'Bookings and Drivers'!AY321</f>
        <v>0</v>
      </c>
      <c r="AR854">
        <f>'Bookings and Drivers'!AZ321</f>
        <v>0</v>
      </c>
      <c r="AS854">
        <f>'Bookings and Drivers'!BA321</f>
        <v>0</v>
      </c>
      <c r="AT854">
        <f>'Bookings and Drivers'!BB321</f>
        <v>0</v>
      </c>
      <c r="AU854">
        <f>'Bookings and Drivers'!BC321</f>
        <v>0</v>
      </c>
      <c r="AV854">
        <f>'Bookings and Drivers'!BD321</f>
        <v>0</v>
      </c>
      <c r="AW854">
        <f>'Bookings and Drivers'!BE321</f>
        <v>0</v>
      </c>
      <c r="AX854">
        <f>'Bookings and Drivers'!BF321</f>
        <v>0</v>
      </c>
      <c r="AY854">
        <f>'Bookings and Drivers'!BG321</f>
        <v>0</v>
      </c>
      <c r="AZ854">
        <f>'Bookings and Drivers'!BH321</f>
        <v>0</v>
      </c>
      <c r="BA854">
        <f>'Bookings and Drivers'!BI321</f>
        <v>0</v>
      </c>
      <c r="BB854">
        <f>'Bookings and Drivers'!BJ321</f>
        <v>0</v>
      </c>
      <c r="BC854">
        <f>'Bookings and Drivers'!BK321</f>
        <v>0</v>
      </c>
      <c r="BD854">
        <f>'Bookings and Drivers'!BL321</f>
        <v>0</v>
      </c>
      <c r="BE854">
        <f>'Bookings and Drivers'!BM321</f>
        <v>0</v>
      </c>
      <c r="BF854">
        <f>'Bookings and Drivers'!BN321</f>
        <v>0</v>
      </c>
      <c r="BG854">
        <f>'Bookings and Drivers'!BO321</f>
        <v>0</v>
      </c>
      <c r="BH854">
        <f>'Bookings and Drivers'!BP321</f>
        <v>0</v>
      </c>
      <c r="BI854">
        <f>'Bookings and Drivers'!BQ321</f>
        <v>0</v>
      </c>
      <c r="BJ854">
        <f>'Bookings and Drivers'!BR321</f>
        <v>0</v>
      </c>
      <c r="BK854">
        <f>'Bookings and Drivers'!BS321</f>
        <v>0</v>
      </c>
      <c r="BL854">
        <f>'Bookings and Drivers'!BT321</f>
        <v>0</v>
      </c>
      <c r="BM854">
        <f>'Bookings and Drivers'!BU321</f>
        <v>0</v>
      </c>
      <c r="BN854">
        <f>'Bookings and Drivers'!BV321</f>
        <v>0</v>
      </c>
      <c r="BO854">
        <f>'Bookings and Drivers'!BW321</f>
        <v>0</v>
      </c>
      <c r="BP854">
        <f>'Bookings and Drivers'!BX321</f>
        <v>0</v>
      </c>
      <c r="BQ854">
        <f>'Bookings and Drivers'!BY321</f>
        <v>0</v>
      </c>
      <c r="BR854">
        <f>'Bookings and Drivers'!BZ321</f>
        <v>0</v>
      </c>
      <c r="BS854">
        <f>'Bookings and Drivers'!CA321</f>
        <v>0</v>
      </c>
      <c r="BT854">
        <f>'Bookings and Drivers'!CB321</f>
        <v>0</v>
      </c>
      <c r="BU854">
        <f>'Bookings and Drivers'!CC321</f>
        <v>0</v>
      </c>
      <c r="BV854">
        <f>'Bookings and Drivers'!CD321</f>
        <v>0</v>
      </c>
      <c r="BW854">
        <f>'Bookings and Drivers'!CE321</f>
        <v>0</v>
      </c>
      <c r="BX854">
        <f>'Bookings and Drivers'!CF321</f>
        <v>0</v>
      </c>
      <c r="BY854">
        <f>'Bookings and Drivers'!CG321</f>
        <v>0</v>
      </c>
      <c r="BZ854">
        <f>'Bookings and Drivers'!CH321</f>
        <v>0</v>
      </c>
      <c r="CA854">
        <f>'Bookings and Drivers'!CI321</f>
        <v>0</v>
      </c>
      <c r="CB854">
        <f>'Bookings and Drivers'!CJ321</f>
        <v>0</v>
      </c>
      <c r="CC854">
        <f>'Bookings and Drivers'!CK321</f>
        <v>0</v>
      </c>
      <c r="CD854">
        <f>'Bookings and Drivers'!CL321</f>
        <v>0</v>
      </c>
      <c r="CE854">
        <f>'Bookings and Drivers'!CM321</f>
        <v>0</v>
      </c>
      <c r="CF854">
        <f>'Bookings and Drivers'!CN321</f>
        <v>0</v>
      </c>
      <c r="CG854">
        <f>'Bookings and Drivers'!CO321</f>
        <v>0</v>
      </c>
      <c r="CH854">
        <f>'Bookings and Drivers'!CP321</f>
        <v>0</v>
      </c>
      <c r="CI854">
        <f>'Bookings and Drivers'!CQ321</f>
        <v>0</v>
      </c>
      <c r="CJ854">
        <f>'Bookings and Drivers'!CR321</f>
        <v>0</v>
      </c>
      <c r="CK854">
        <f>'Bookings and Drivers'!CS321</f>
        <v>0</v>
      </c>
      <c r="CL854">
        <f>'Bookings and Drivers'!CT321</f>
        <v>0</v>
      </c>
      <c r="CM854">
        <f>'Bookings and Drivers'!CU321</f>
        <v>0</v>
      </c>
      <c r="CN854">
        <f>'Bookings and Drivers'!CV321</f>
        <v>0</v>
      </c>
      <c r="CO854">
        <f>'Bookings and Drivers'!CW321</f>
        <v>0</v>
      </c>
      <c r="CP854">
        <f>'Bookings and Drivers'!CX321</f>
        <v>0</v>
      </c>
      <c r="CQ854">
        <f>'Bookings and Drivers'!CY321</f>
        <v>0</v>
      </c>
      <c r="CR854">
        <f>'Bookings and Drivers'!CZ321</f>
        <v>0</v>
      </c>
      <c r="CS854">
        <f>'Bookings and Drivers'!DA321</f>
        <v>0</v>
      </c>
      <c r="CT854">
        <f>'Bookings and Drivers'!DB321</f>
        <v>0</v>
      </c>
      <c r="CU854">
        <f>'Bookings and Drivers'!DC321</f>
        <v>0</v>
      </c>
      <c r="CV854">
        <f>'Bookings and Drivers'!DD321</f>
        <v>0</v>
      </c>
      <c r="CW854">
        <f>'Bookings and Drivers'!DE321</f>
        <v>0</v>
      </c>
      <c r="CX854">
        <f>'Bookings and Drivers'!DF321</f>
        <v>0</v>
      </c>
    </row>
    <row r="856" spans="1:102">
      <c r="A856" t="str">
        <f>'Bookings and Drivers'!I322</f>
        <v>Air Business</v>
      </c>
      <c r="B856">
        <f>'Bookings and Drivers'!J322</f>
        <v>0</v>
      </c>
      <c r="C856">
        <f>'Bookings and Drivers'!K322</f>
        <v>0</v>
      </c>
      <c r="D856">
        <f>'Bookings and Drivers'!L322</f>
        <v>0</v>
      </c>
      <c r="E856">
        <f>'Bookings and Drivers'!M322</f>
        <v>0</v>
      </c>
      <c r="F856">
        <f>'Bookings and Drivers'!N322</f>
        <v>0</v>
      </c>
      <c r="G856">
        <f>'Bookings and Drivers'!O322</f>
        <v>0</v>
      </c>
      <c r="H856">
        <f>'Bookings and Drivers'!P322</f>
        <v>0</v>
      </c>
      <c r="I856">
        <f>'Bookings and Drivers'!Q322</f>
        <v>0</v>
      </c>
      <c r="J856">
        <f>'Bookings and Drivers'!R322</f>
        <v>0</v>
      </c>
      <c r="K856">
        <f>'Bookings and Drivers'!S322</f>
        <v>0</v>
      </c>
      <c r="L856">
        <f>'Bookings and Drivers'!T322</f>
        <v>0</v>
      </c>
      <c r="M856">
        <f>'Bookings and Drivers'!U322</f>
        <v>0</v>
      </c>
      <c r="N856">
        <f>'Bookings and Drivers'!V322</f>
        <v>0</v>
      </c>
      <c r="O856">
        <f>'Bookings and Drivers'!W322</f>
        <v>0</v>
      </c>
      <c r="P856">
        <f>'Bookings and Drivers'!X322</f>
        <v>0</v>
      </c>
      <c r="Q856">
        <f>'Bookings and Drivers'!Y322</f>
        <v>0</v>
      </c>
      <c r="R856">
        <f>'Bookings and Drivers'!Z322</f>
        <v>0</v>
      </c>
      <c r="S856">
        <f>'Bookings and Drivers'!AA322</f>
        <v>0</v>
      </c>
      <c r="T856">
        <f>'Bookings and Drivers'!AB322</f>
        <v>0</v>
      </c>
      <c r="U856">
        <f>'Bookings and Drivers'!AC322</f>
        <v>0</v>
      </c>
      <c r="V856">
        <f>'Bookings and Drivers'!AD322</f>
        <v>0</v>
      </c>
      <c r="W856">
        <f>'Bookings and Drivers'!AE322</f>
        <v>0</v>
      </c>
      <c r="X856">
        <f>'Bookings and Drivers'!AF322</f>
        <v>0</v>
      </c>
      <c r="Y856">
        <f>'Bookings and Drivers'!AG322</f>
        <v>0</v>
      </c>
      <c r="Z856">
        <f>'Bookings and Drivers'!AH322</f>
        <v>0</v>
      </c>
      <c r="AA856">
        <f>'Bookings and Drivers'!AI322</f>
        <v>0</v>
      </c>
      <c r="AB856">
        <f>'Bookings and Drivers'!AJ322</f>
        <v>0</v>
      </c>
      <c r="AC856">
        <f>'Bookings and Drivers'!AK322</f>
        <v>0</v>
      </c>
      <c r="AD856">
        <f>'Bookings and Drivers'!AL322</f>
        <v>0</v>
      </c>
      <c r="AE856">
        <f>'Bookings and Drivers'!AM322</f>
        <v>0</v>
      </c>
      <c r="AF856">
        <f>'Bookings and Drivers'!AN322</f>
        <v>0</v>
      </c>
      <c r="AG856">
        <f>'Bookings and Drivers'!AO322</f>
        <v>0</v>
      </c>
      <c r="AH856">
        <f>'Bookings and Drivers'!AP322</f>
        <v>0</v>
      </c>
      <c r="AI856">
        <f>'Bookings and Drivers'!AQ322</f>
        <v>0</v>
      </c>
      <c r="AJ856">
        <f>'Bookings and Drivers'!AR322</f>
        <v>0</v>
      </c>
      <c r="AK856">
        <f>'Bookings and Drivers'!AS322</f>
        <v>0</v>
      </c>
      <c r="AL856">
        <f>'Bookings and Drivers'!AT322</f>
        <v>0</v>
      </c>
      <c r="AM856">
        <f>'Bookings and Drivers'!AU322</f>
        <v>0</v>
      </c>
      <c r="AN856">
        <f>'Bookings and Drivers'!AV322</f>
        <v>0</v>
      </c>
      <c r="AO856">
        <f>'Bookings and Drivers'!AW322</f>
        <v>0</v>
      </c>
      <c r="AP856">
        <f>'Bookings and Drivers'!AX322</f>
        <v>0</v>
      </c>
      <c r="AQ856">
        <f>'Bookings and Drivers'!AY322</f>
        <v>0</v>
      </c>
      <c r="AR856">
        <f>'Bookings and Drivers'!AZ322</f>
        <v>0</v>
      </c>
      <c r="AS856">
        <f>'Bookings and Drivers'!BA322</f>
        <v>0</v>
      </c>
      <c r="AT856">
        <f>'Bookings and Drivers'!BB322</f>
        <v>0</v>
      </c>
      <c r="AU856">
        <f>'Bookings and Drivers'!BC322</f>
        <v>0</v>
      </c>
      <c r="AV856">
        <f>'Bookings and Drivers'!BD322</f>
        <v>0</v>
      </c>
      <c r="AW856">
        <f>'Bookings and Drivers'!BE322</f>
        <v>0</v>
      </c>
      <c r="AX856">
        <f>'Bookings and Drivers'!BF322</f>
        <v>0</v>
      </c>
      <c r="AY856">
        <f>'Bookings and Drivers'!BG322</f>
        <v>0</v>
      </c>
      <c r="AZ856">
        <f>'Bookings and Drivers'!BH322</f>
        <v>0</v>
      </c>
      <c r="BA856">
        <f>'Bookings and Drivers'!BI322</f>
        <v>0</v>
      </c>
      <c r="BB856">
        <f>'Bookings and Drivers'!BJ322</f>
        <v>0</v>
      </c>
      <c r="BC856">
        <f>'Bookings and Drivers'!BK322</f>
        <v>0</v>
      </c>
      <c r="BD856">
        <f>'Bookings and Drivers'!BL322</f>
        <v>0</v>
      </c>
      <c r="BE856">
        <f>'Bookings and Drivers'!BM322</f>
        <v>0</v>
      </c>
      <c r="BF856">
        <f>'Bookings and Drivers'!BN322</f>
        <v>0</v>
      </c>
      <c r="BG856">
        <f>'Bookings and Drivers'!BO322</f>
        <v>0</v>
      </c>
      <c r="BH856">
        <f>'Bookings and Drivers'!BP322</f>
        <v>0</v>
      </c>
      <c r="BI856">
        <f>'Bookings and Drivers'!BQ322</f>
        <v>0</v>
      </c>
      <c r="BJ856">
        <f>'Bookings and Drivers'!BR322</f>
        <v>0</v>
      </c>
      <c r="BK856">
        <f>'Bookings and Drivers'!BS322</f>
        <v>0</v>
      </c>
      <c r="BL856">
        <f>'Bookings and Drivers'!BT322</f>
        <v>0</v>
      </c>
      <c r="BM856">
        <f>'Bookings and Drivers'!BU322</f>
        <v>0</v>
      </c>
      <c r="BN856">
        <f>'Bookings and Drivers'!BV322</f>
        <v>0</v>
      </c>
      <c r="BO856">
        <f>'Bookings and Drivers'!BW322</f>
        <v>0</v>
      </c>
      <c r="BP856">
        <f>'Bookings and Drivers'!BX322</f>
        <v>0</v>
      </c>
      <c r="BQ856">
        <f>'Bookings and Drivers'!BY322</f>
        <v>0</v>
      </c>
      <c r="BR856">
        <f>'Bookings and Drivers'!BZ322</f>
        <v>0</v>
      </c>
      <c r="BS856">
        <f>'Bookings and Drivers'!CA322</f>
        <v>0</v>
      </c>
      <c r="BT856">
        <f>'Bookings and Drivers'!CB322</f>
        <v>0</v>
      </c>
      <c r="BU856">
        <f>'Bookings and Drivers'!CC322</f>
        <v>0</v>
      </c>
      <c r="BV856">
        <f>'Bookings and Drivers'!CD322</f>
        <v>0</v>
      </c>
      <c r="BW856">
        <f>'Bookings and Drivers'!CE322</f>
        <v>0</v>
      </c>
      <c r="BX856">
        <f>'Bookings and Drivers'!CF322</f>
        <v>0</v>
      </c>
      <c r="BY856">
        <f>'Bookings and Drivers'!CG322</f>
        <v>0</v>
      </c>
      <c r="BZ856">
        <f>'Bookings and Drivers'!CH322</f>
        <v>0</v>
      </c>
      <c r="CA856">
        <f>'Bookings and Drivers'!CI322</f>
        <v>0</v>
      </c>
      <c r="CB856">
        <f>'Bookings and Drivers'!CJ322</f>
        <v>0</v>
      </c>
      <c r="CC856">
        <f>'Bookings and Drivers'!CK322</f>
        <v>0</v>
      </c>
      <c r="CD856">
        <f>'Bookings and Drivers'!CL322</f>
        <v>0</v>
      </c>
      <c r="CE856">
        <f>'Bookings and Drivers'!CM322</f>
        <v>0</v>
      </c>
      <c r="CF856">
        <f>'Bookings and Drivers'!CN322</f>
        <v>0</v>
      </c>
      <c r="CG856">
        <f>'Bookings and Drivers'!CO322</f>
        <v>0</v>
      </c>
      <c r="CH856">
        <f>'Bookings and Drivers'!CP322</f>
        <v>0</v>
      </c>
      <c r="CI856">
        <f>'Bookings and Drivers'!CQ322</f>
        <v>0</v>
      </c>
      <c r="CJ856">
        <f>'Bookings and Drivers'!CR322</f>
        <v>0</v>
      </c>
      <c r="CK856">
        <f>'Bookings and Drivers'!CS322</f>
        <v>0</v>
      </c>
      <c r="CL856">
        <f>'Bookings and Drivers'!CT322</f>
        <v>0</v>
      </c>
      <c r="CM856">
        <f>'Bookings and Drivers'!CU322</f>
        <v>0</v>
      </c>
      <c r="CN856">
        <f>'Bookings and Drivers'!CV322</f>
        <v>0</v>
      </c>
      <c r="CO856">
        <f>'Bookings and Drivers'!CW322</f>
        <v>0</v>
      </c>
      <c r="CP856">
        <f>'Bookings and Drivers'!CX322</f>
        <v>0</v>
      </c>
      <c r="CQ856">
        <f>'Bookings and Drivers'!CY322</f>
        <v>0</v>
      </c>
      <c r="CR856">
        <f>'Bookings and Drivers'!CZ322</f>
        <v>0</v>
      </c>
      <c r="CS856">
        <f>'Bookings and Drivers'!DA322</f>
        <v>0</v>
      </c>
      <c r="CT856">
        <f>'Bookings and Drivers'!DB322</f>
        <v>0</v>
      </c>
      <c r="CU856">
        <f>'Bookings and Drivers'!DC322</f>
        <v>0</v>
      </c>
      <c r="CV856">
        <f>'Bookings and Drivers'!DD322</f>
        <v>0</v>
      </c>
      <c r="CW856">
        <f>'Bookings and Drivers'!DE322</f>
        <v>0</v>
      </c>
      <c r="CX856">
        <f>'Bookings and Drivers'!DF322</f>
        <v>0</v>
      </c>
    </row>
    <row r="857" spans="1:102">
      <c r="A857" t="str">
        <f>'Bookings and Drivers'!I323</f>
        <v>Airline Bookings</v>
      </c>
      <c r="B857">
        <f>'Bookings and Drivers'!J323</f>
        <v>0</v>
      </c>
      <c r="C857">
        <f>'Bookings and Drivers'!K323</f>
        <v>0</v>
      </c>
      <c r="D857">
        <f>'Bookings and Drivers'!L323</f>
        <v>0</v>
      </c>
      <c r="E857">
        <f>'Bookings and Drivers'!M323</f>
        <v>0</v>
      </c>
      <c r="F857">
        <f>'Bookings and Drivers'!N323</f>
        <v>0</v>
      </c>
      <c r="G857">
        <f>'Bookings and Drivers'!O323</f>
        <v>0</v>
      </c>
      <c r="H857">
        <f>'Bookings and Drivers'!P323</f>
        <v>0</v>
      </c>
      <c r="I857">
        <f>'Bookings and Drivers'!Q323</f>
        <v>0</v>
      </c>
      <c r="J857">
        <f>'Bookings and Drivers'!R323</f>
        <v>0</v>
      </c>
      <c r="K857">
        <f>'Bookings and Drivers'!S323</f>
        <v>0</v>
      </c>
      <c r="L857">
        <f>'Bookings and Drivers'!T323</f>
        <v>0</v>
      </c>
      <c r="M857">
        <f>'Bookings and Drivers'!U323</f>
        <v>0</v>
      </c>
      <c r="N857">
        <f>'Bookings and Drivers'!V323</f>
        <v>0</v>
      </c>
      <c r="O857">
        <f>'Bookings and Drivers'!W323</f>
        <v>0</v>
      </c>
      <c r="P857">
        <f>'Bookings and Drivers'!X323</f>
        <v>0</v>
      </c>
      <c r="Q857">
        <f>'Bookings and Drivers'!Y323</f>
        <v>0</v>
      </c>
      <c r="R857">
        <f>'Bookings and Drivers'!Z323</f>
        <v>0</v>
      </c>
      <c r="S857">
        <f>'Bookings and Drivers'!AA323</f>
        <v>0</v>
      </c>
      <c r="T857">
        <f>'Bookings and Drivers'!AB323</f>
        <v>0</v>
      </c>
      <c r="U857">
        <f>'Bookings and Drivers'!AC323</f>
        <v>0</v>
      </c>
      <c r="V857">
        <f>'Bookings and Drivers'!AD323</f>
        <v>0</v>
      </c>
      <c r="W857">
        <f>'Bookings and Drivers'!AE323</f>
        <v>0</v>
      </c>
      <c r="X857">
        <f>'Bookings and Drivers'!AF323</f>
        <v>0</v>
      </c>
      <c r="Y857">
        <f>'Bookings and Drivers'!AG323</f>
        <v>0</v>
      </c>
      <c r="Z857">
        <f>'Bookings and Drivers'!AH323</f>
        <v>0</v>
      </c>
      <c r="AA857">
        <f>'Bookings and Drivers'!AI323</f>
        <v>0</v>
      </c>
      <c r="AB857">
        <f>'Bookings and Drivers'!AJ323</f>
        <v>0</v>
      </c>
      <c r="AC857">
        <f>'Bookings and Drivers'!AK323</f>
        <v>0</v>
      </c>
      <c r="AD857">
        <f>'Bookings and Drivers'!AL323</f>
        <v>0</v>
      </c>
      <c r="AE857">
        <f>'Bookings and Drivers'!AM323</f>
        <v>0</v>
      </c>
      <c r="AF857">
        <f>'Bookings and Drivers'!AN323</f>
        <v>0</v>
      </c>
      <c r="AG857">
        <f>'Bookings and Drivers'!AO323</f>
        <v>0</v>
      </c>
      <c r="AH857">
        <f>'Bookings and Drivers'!AP323</f>
        <v>0</v>
      </c>
      <c r="AI857">
        <f>'Bookings and Drivers'!AQ323</f>
        <v>0</v>
      </c>
      <c r="AJ857">
        <f>'Bookings and Drivers'!AR323</f>
        <v>0</v>
      </c>
      <c r="AK857">
        <f>'Bookings and Drivers'!AS323</f>
        <v>0</v>
      </c>
      <c r="AL857">
        <f>'Bookings and Drivers'!AT323</f>
        <v>0</v>
      </c>
      <c r="AM857">
        <f>'Bookings and Drivers'!AU323</f>
        <v>0</v>
      </c>
      <c r="AN857">
        <f>'Bookings and Drivers'!AV323</f>
        <v>0</v>
      </c>
      <c r="AO857">
        <f>'Bookings and Drivers'!AW323</f>
        <v>0</v>
      </c>
      <c r="AP857">
        <f>'Bookings and Drivers'!AX323</f>
        <v>0</v>
      </c>
      <c r="AQ857">
        <f>'Bookings and Drivers'!AY323</f>
        <v>0</v>
      </c>
      <c r="AR857">
        <f>'Bookings and Drivers'!AZ323</f>
        <v>0</v>
      </c>
      <c r="AS857">
        <f>'Bookings and Drivers'!BA323</f>
        <v>0</v>
      </c>
      <c r="AT857">
        <f>'Bookings and Drivers'!BB323</f>
        <v>0</v>
      </c>
      <c r="AU857">
        <f>'Bookings and Drivers'!BC323</f>
        <v>0</v>
      </c>
      <c r="AV857">
        <f>'Bookings and Drivers'!BD323</f>
        <v>0</v>
      </c>
      <c r="AW857">
        <f>'Bookings and Drivers'!BE323</f>
        <v>0</v>
      </c>
      <c r="AX857">
        <f>'Bookings and Drivers'!BF323</f>
        <v>0</v>
      </c>
      <c r="AY857">
        <f>'Bookings and Drivers'!BG323</f>
        <v>0</v>
      </c>
      <c r="AZ857">
        <f>'Bookings and Drivers'!BH323</f>
        <v>0</v>
      </c>
      <c r="BA857">
        <f>'Bookings and Drivers'!BI323</f>
        <v>0</v>
      </c>
      <c r="BB857">
        <f>'Bookings and Drivers'!BJ323</f>
        <v>0</v>
      </c>
      <c r="BC857">
        <f>'Bookings and Drivers'!BK323</f>
        <v>0</v>
      </c>
      <c r="BD857">
        <f>'Bookings and Drivers'!BL323</f>
        <v>0</v>
      </c>
      <c r="BE857">
        <f>'Bookings and Drivers'!BM323</f>
        <v>0</v>
      </c>
      <c r="BF857">
        <f>'Bookings and Drivers'!BN323</f>
        <v>0</v>
      </c>
      <c r="BG857">
        <f>'Bookings and Drivers'!BO323</f>
        <v>0</v>
      </c>
      <c r="BH857">
        <f>'Bookings and Drivers'!BP323</f>
        <v>0</v>
      </c>
      <c r="BI857">
        <f>'Bookings and Drivers'!BQ323</f>
        <v>0</v>
      </c>
      <c r="BJ857">
        <f>'Bookings and Drivers'!BR323</f>
        <v>0</v>
      </c>
      <c r="BK857">
        <f>'Bookings and Drivers'!BS323</f>
        <v>0</v>
      </c>
      <c r="BL857">
        <f>'Bookings and Drivers'!BT323</f>
        <v>0</v>
      </c>
      <c r="BM857">
        <f>'Bookings and Drivers'!BU323</f>
        <v>0</v>
      </c>
      <c r="BN857">
        <f>'Bookings and Drivers'!BV323</f>
        <v>0</v>
      </c>
      <c r="BO857">
        <f>'Bookings and Drivers'!BW323</f>
        <v>0</v>
      </c>
      <c r="BP857">
        <f>'Bookings and Drivers'!BX323</f>
        <v>0</v>
      </c>
      <c r="BQ857">
        <f>'Bookings and Drivers'!BY323</f>
        <v>0</v>
      </c>
      <c r="BR857">
        <f>'Bookings and Drivers'!BZ323</f>
        <v>0</v>
      </c>
      <c r="BS857">
        <f>'Bookings and Drivers'!CA323</f>
        <v>0</v>
      </c>
      <c r="BT857">
        <f>'Bookings and Drivers'!CB323</f>
        <v>0</v>
      </c>
      <c r="BU857">
        <f>'Bookings and Drivers'!CC323</f>
        <v>0</v>
      </c>
      <c r="BV857">
        <f>'Bookings and Drivers'!CD323</f>
        <v>0</v>
      </c>
      <c r="BW857">
        <f>'Bookings and Drivers'!CE323</f>
        <v>0</v>
      </c>
      <c r="BX857">
        <f>'Bookings and Drivers'!CF323</f>
        <v>0</v>
      </c>
      <c r="BY857">
        <f>'Bookings and Drivers'!CG323</f>
        <v>0</v>
      </c>
      <c r="BZ857">
        <f>'Bookings and Drivers'!CH323</f>
        <v>0</v>
      </c>
      <c r="CA857">
        <f>'Bookings and Drivers'!CI323</f>
        <v>0</v>
      </c>
      <c r="CB857">
        <f>'Bookings and Drivers'!CJ323</f>
        <v>0</v>
      </c>
      <c r="CC857">
        <f>'Bookings and Drivers'!CK323</f>
        <v>0</v>
      </c>
      <c r="CD857">
        <f>'Bookings and Drivers'!CL323</f>
        <v>0</v>
      </c>
      <c r="CE857">
        <f>'Bookings and Drivers'!CM323</f>
        <v>0</v>
      </c>
      <c r="CF857">
        <f>'Bookings and Drivers'!CN323</f>
        <v>0</v>
      </c>
      <c r="CG857">
        <f>'Bookings and Drivers'!CO323</f>
        <v>0</v>
      </c>
      <c r="CH857">
        <f>'Bookings and Drivers'!CP323</f>
        <v>0</v>
      </c>
      <c r="CI857">
        <f>'Bookings and Drivers'!CQ323</f>
        <v>0</v>
      </c>
      <c r="CJ857">
        <f>'Bookings and Drivers'!CR323</f>
        <v>0</v>
      </c>
      <c r="CK857">
        <f>'Bookings and Drivers'!CS323</f>
        <v>0</v>
      </c>
      <c r="CL857">
        <f>'Bookings and Drivers'!CT323</f>
        <v>0</v>
      </c>
      <c r="CM857">
        <f>'Bookings and Drivers'!CU323</f>
        <v>0</v>
      </c>
      <c r="CN857">
        <f>'Bookings and Drivers'!CV323</f>
        <v>0</v>
      </c>
      <c r="CO857">
        <f>'Bookings and Drivers'!CW323</f>
        <v>0</v>
      </c>
      <c r="CP857">
        <f>'Bookings and Drivers'!CX323</f>
        <v>0</v>
      </c>
      <c r="CQ857">
        <f>'Bookings and Drivers'!CY323</f>
        <v>0</v>
      </c>
      <c r="CR857">
        <f>'Bookings and Drivers'!CZ323</f>
        <v>0</v>
      </c>
      <c r="CS857">
        <f>'Bookings and Drivers'!DA323</f>
        <v>0</v>
      </c>
      <c r="CT857">
        <f>'Bookings and Drivers'!DB323</f>
        <v>0</v>
      </c>
      <c r="CU857">
        <f>'Bookings and Drivers'!DC323</f>
        <v>0</v>
      </c>
      <c r="CV857">
        <f>'Bookings and Drivers'!DD323</f>
        <v>0</v>
      </c>
      <c r="CW857">
        <f>'Bookings and Drivers'!DE323</f>
        <v>0</v>
      </c>
      <c r="CX857">
        <f>'Bookings and Drivers'!DF323</f>
        <v>0</v>
      </c>
    </row>
    <row r="858" spans="1:102">
      <c r="A858" t="str">
        <f>'Bookings and Drivers'!I324</f>
        <v>Airline Tickets Sold (in 000)</v>
      </c>
      <c r="B858">
        <f>'Bookings and Drivers'!J324</f>
        <v>0</v>
      </c>
      <c r="C858">
        <f>'Bookings and Drivers'!K324</f>
        <v>0</v>
      </c>
      <c r="D858">
        <f>'Bookings and Drivers'!L324</f>
        <v>0</v>
      </c>
      <c r="E858">
        <f>'Bookings and Drivers'!M324</f>
        <v>0</v>
      </c>
      <c r="F858">
        <f>'Bookings and Drivers'!N324</f>
        <v>0</v>
      </c>
      <c r="G858">
        <f>'Bookings and Drivers'!O324</f>
        <v>0</v>
      </c>
      <c r="H858">
        <f>'Bookings and Drivers'!P324</f>
        <v>0</v>
      </c>
      <c r="I858">
        <f>'Bookings and Drivers'!Q324</f>
        <v>0</v>
      </c>
      <c r="J858">
        <f>'Bookings and Drivers'!R324</f>
        <v>0</v>
      </c>
      <c r="K858">
        <f>'Bookings and Drivers'!S324</f>
        <v>0</v>
      </c>
      <c r="L858">
        <f>'Bookings and Drivers'!T324</f>
        <v>0</v>
      </c>
      <c r="M858">
        <f>'Bookings and Drivers'!U324</f>
        <v>0</v>
      </c>
      <c r="N858">
        <f>'Bookings and Drivers'!V324</f>
        <v>0</v>
      </c>
      <c r="O858">
        <f>'Bookings and Drivers'!W324</f>
        <v>0</v>
      </c>
      <c r="P858">
        <f>'Bookings and Drivers'!X324</f>
        <v>0</v>
      </c>
      <c r="Q858">
        <f>'Bookings and Drivers'!Y324</f>
        <v>0</v>
      </c>
      <c r="R858">
        <f>'Bookings and Drivers'!Z324</f>
        <v>0</v>
      </c>
      <c r="S858">
        <f>'Bookings and Drivers'!AA324</f>
        <v>0</v>
      </c>
      <c r="T858">
        <f>'Bookings and Drivers'!AB324</f>
        <v>0</v>
      </c>
      <c r="U858">
        <f>'Bookings and Drivers'!AC324</f>
        <v>747</v>
      </c>
      <c r="V858">
        <f>'Bookings and Drivers'!AD324</f>
        <v>789</v>
      </c>
      <c r="W858">
        <f>'Bookings and Drivers'!AE324</f>
        <v>680</v>
      </c>
      <c r="X858">
        <f>'Bookings and Drivers'!AF324</f>
        <v>582</v>
      </c>
      <c r="Y858">
        <f>'Bookings and Drivers'!AG324</f>
        <v>728</v>
      </c>
      <c r="Z858">
        <f>'Bookings and Drivers'!AH324</f>
        <v>821</v>
      </c>
      <c r="AA858">
        <f>'Bookings and Drivers'!AI324</f>
        <v>666</v>
      </c>
      <c r="AB858">
        <f>'Bookings and Drivers'!AJ324</f>
        <v>588</v>
      </c>
      <c r="AC858">
        <f>'Bookings and Drivers'!AK324</f>
        <v>639</v>
      </c>
      <c r="AD858">
        <f>'Bookings and Drivers'!AL324</f>
        <v>687</v>
      </c>
      <c r="AE858">
        <f>'Bookings and Drivers'!AM324</f>
        <v>819</v>
      </c>
      <c r="AF858">
        <f>'Bookings and Drivers'!AN324</f>
        <v>790</v>
      </c>
      <c r="AG858">
        <f>'Bookings and Drivers'!AO324</f>
        <v>1169</v>
      </c>
      <c r="AH858">
        <f>'Bookings and Drivers'!AP324</f>
        <v>1362</v>
      </c>
      <c r="AI858">
        <f>'Bookings and Drivers'!AQ324</f>
        <v>1186</v>
      </c>
      <c r="AJ858">
        <f>'Bookings and Drivers'!AR324</f>
        <v>1135</v>
      </c>
      <c r="AK858">
        <f>'Bookings and Drivers'!AS324</f>
        <v>1496</v>
      </c>
      <c r="AL858">
        <f>'Bookings and Drivers'!AT324</f>
        <v>1551</v>
      </c>
      <c r="AM858">
        <f>'Bookings and Drivers'!AU324</f>
        <v>1544</v>
      </c>
      <c r="AN858">
        <f>'Bookings and Drivers'!AV324</f>
        <v>1318</v>
      </c>
      <c r="AO858">
        <f>'Bookings and Drivers'!AW324</f>
        <v>1538</v>
      </c>
      <c r="AP858">
        <f>'Bookings and Drivers'!AX324</f>
        <v>1600</v>
      </c>
      <c r="AQ858">
        <f>'Bookings and Drivers'!AY324</f>
        <v>1500</v>
      </c>
      <c r="AR858">
        <f>'Bookings and Drivers'!AZ324</f>
        <v>1300</v>
      </c>
      <c r="AS858">
        <f>'Bookings and Drivers'!BA324</f>
        <v>1600</v>
      </c>
      <c r="AT858">
        <f>'Bookings and Drivers'!BB324</f>
        <v>1700</v>
      </c>
      <c r="AU858">
        <f>'Bookings and Drivers'!BC324</f>
        <v>1600</v>
      </c>
      <c r="AV858">
        <f>'Bookings and Drivers'!BD324</f>
        <v>1400</v>
      </c>
      <c r="AW858">
        <f>'Bookings and Drivers'!BE324</f>
        <v>1600</v>
      </c>
      <c r="AX858">
        <f>'Bookings and Drivers'!BF324</f>
        <v>1700</v>
      </c>
      <c r="AY858">
        <f>'Bookings and Drivers'!BG324</f>
        <v>1700</v>
      </c>
      <c r="AZ858">
        <f>'Bookings and Drivers'!BH324</f>
        <v>1400</v>
      </c>
      <c r="BA858">
        <f>'Bookings and Drivers'!BI324</f>
        <v>1700</v>
      </c>
      <c r="BB858">
        <f>'Bookings and Drivers'!BJ324</f>
        <v>1700</v>
      </c>
      <c r="BC858">
        <f>'Bookings and Drivers'!BK324</f>
        <v>1800</v>
      </c>
      <c r="BD858">
        <f>'Bookings and Drivers'!BL324</f>
        <v>1800</v>
      </c>
      <c r="BE858">
        <f>'Bookings and Drivers'!BM324</f>
        <v>2000</v>
      </c>
      <c r="BF858">
        <f>'Bookings and Drivers'!BN324</f>
        <v>2100</v>
      </c>
      <c r="BG858">
        <f>'Bookings and Drivers'!BO324</f>
        <v>2000</v>
      </c>
      <c r="BH858">
        <f>'Bookings and Drivers'!BP324</f>
        <v>1700</v>
      </c>
      <c r="BI858">
        <f>'Bookings and Drivers'!BQ324</f>
        <v>2000</v>
      </c>
      <c r="BJ858">
        <f>'Bookings and Drivers'!BR324</f>
        <v>2100</v>
      </c>
      <c r="BK858">
        <f>'Bookings and Drivers'!BS324</f>
        <v>2000</v>
      </c>
      <c r="BL858">
        <f>'Bookings and Drivers'!BT324</f>
        <v>1700</v>
      </c>
      <c r="BM858">
        <f>'Bookings and Drivers'!BU324</f>
        <v>1800</v>
      </c>
      <c r="BN858">
        <f>'Bookings and Drivers'!BV324</f>
        <v>2000</v>
      </c>
      <c r="BO858">
        <f>'Bookings and Drivers'!BW324</f>
        <v>1900</v>
      </c>
      <c r="BP858">
        <f>'Bookings and Drivers'!BX324</f>
        <v>1600</v>
      </c>
      <c r="BQ858">
        <f>'Bookings and Drivers'!BY324</f>
        <v>1800</v>
      </c>
      <c r="BR858">
        <f>'Bookings and Drivers'!BZ324</f>
        <v>1800</v>
      </c>
      <c r="BS858">
        <f>'Bookings and Drivers'!CA324</f>
        <v>1700</v>
      </c>
      <c r="BT858">
        <f>'Bookings and Drivers'!CB324</f>
        <v>1600</v>
      </c>
      <c r="BU858">
        <f>'Bookings and Drivers'!CC324</f>
        <v>1836</v>
      </c>
      <c r="BV858">
        <f>'Bookings and Drivers'!CD324</f>
        <v>1836</v>
      </c>
      <c r="BW858">
        <f>'Bookings and Drivers'!CE324</f>
        <v>1734</v>
      </c>
      <c r="BX858">
        <f>'Bookings and Drivers'!CF324</f>
        <v>1632</v>
      </c>
      <c r="BY858">
        <f>'Bookings and Drivers'!CG324</f>
        <v>0</v>
      </c>
      <c r="BZ858">
        <f>'Bookings and Drivers'!CH324</f>
        <v>0</v>
      </c>
      <c r="CA858">
        <f>'Bookings and Drivers'!CI324</f>
        <v>0</v>
      </c>
      <c r="CB858">
        <f>'Bookings and Drivers'!CJ324</f>
        <v>0</v>
      </c>
      <c r="CC858">
        <f>'Bookings and Drivers'!CK324</f>
        <v>0</v>
      </c>
      <c r="CD858">
        <f>'Bookings and Drivers'!CL324</f>
        <v>2798</v>
      </c>
      <c r="CE858">
        <f>'Bookings and Drivers'!CM324</f>
        <v>2803</v>
      </c>
      <c r="CF858">
        <f>'Bookings and Drivers'!CN324</f>
        <v>2935</v>
      </c>
      <c r="CG858">
        <f>'Bookings and Drivers'!CO324</f>
        <v>4852</v>
      </c>
      <c r="CH858">
        <f>'Bookings and Drivers'!CP324</f>
        <v>5909</v>
      </c>
      <c r="CI858">
        <f>'Bookings and Drivers'!CQ324</f>
        <v>5938</v>
      </c>
      <c r="CJ858">
        <f>'Bookings and Drivers'!CR324</f>
        <v>6300</v>
      </c>
      <c r="CK858">
        <f>'Bookings and Drivers'!CS324</f>
        <v>6400</v>
      </c>
      <c r="CL858">
        <f>'Bookings and Drivers'!CT324</f>
        <v>7000</v>
      </c>
      <c r="CM858">
        <f>'Bookings and Drivers'!CU324</f>
        <v>7800</v>
      </c>
      <c r="CN858">
        <f>'Bookings and Drivers'!CV324</f>
        <v>7800</v>
      </c>
      <c r="CO858">
        <f>'Bookings and Drivers'!CW324</f>
        <v>7300</v>
      </c>
      <c r="CP858">
        <f>'Bookings and Drivers'!CX324</f>
        <v>6900</v>
      </c>
      <c r="CQ858">
        <f>'Bookings and Drivers'!CY324</f>
        <v>7038</v>
      </c>
      <c r="CR858">
        <f>'Bookings and Drivers'!CZ324</f>
        <v>7178.76</v>
      </c>
      <c r="CS858">
        <f>'Bookings and Drivers'!DA324</f>
        <v>7322.3352000000004</v>
      </c>
      <c r="CT858">
        <f>'Bookings and Drivers'!DB324</f>
        <v>7468.7819040000004</v>
      </c>
      <c r="CU858">
        <f>'Bookings and Drivers'!DC324</f>
        <v>7618.1575420800009</v>
      </c>
      <c r="CV858">
        <f>'Bookings and Drivers'!DD324</f>
        <v>7770.520692921601</v>
      </c>
      <c r="CW858">
        <f>'Bookings and Drivers'!DE324</f>
        <v>7925.9311067800336</v>
      </c>
      <c r="CX858">
        <f>'Bookings and Drivers'!DF324</f>
        <v>8084.4497289156343</v>
      </c>
    </row>
    <row r="859" spans="1:102">
      <c r="A859" t="str">
        <f>'Bookings and Drivers'!I325</f>
        <v>% change Y/Y</v>
      </c>
      <c r="B859">
        <f>'Bookings and Drivers'!J325</f>
        <v>0</v>
      </c>
      <c r="C859">
        <f>'Bookings and Drivers'!K325</f>
        <v>0</v>
      </c>
      <c r="D859">
        <f>'Bookings and Drivers'!L325</f>
        <v>0</v>
      </c>
      <c r="E859">
        <f>'Bookings and Drivers'!M325</f>
        <v>0</v>
      </c>
      <c r="F859">
        <f>'Bookings and Drivers'!N325</f>
        <v>0</v>
      </c>
      <c r="G859">
        <f>'Bookings and Drivers'!O325</f>
        <v>0</v>
      </c>
      <c r="H859">
        <f>'Bookings and Drivers'!P325</f>
        <v>0</v>
      </c>
      <c r="I859">
        <f>'Bookings and Drivers'!Q325</f>
        <v>0</v>
      </c>
      <c r="J859">
        <f>'Bookings and Drivers'!R325</f>
        <v>0</v>
      </c>
      <c r="K859">
        <f>'Bookings and Drivers'!S325</f>
        <v>0</v>
      </c>
      <c r="L859">
        <f>'Bookings and Drivers'!T325</f>
        <v>0</v>
      </c>
      <c r="M859">
        <f>'Bookings and Drivers'!U325</f>
        <v>0</v>
      </c>
      <c r="N859">
        <f>'Bookings and Drivers'!V325</f>
        <v>0</v>
      </c>
      <c r="O859">
        <f>'Bookings and Drivers'!W325</f>
        <v>0</v>
      </c>
      <c r="P859">
        <f>'Bookings and Drivers'!X325</f>
        <v>0</v>
      </c>
      <c r="Q859">
        <f>'Bookings and Drivers'!Y325</f>
        <v>0</v>
      </c>
      <c r="R859">
        <f>'Bookings and Drivers'!Z325</f>
        <v>0</v>
      </c>
      <c r="S859">
        <f>'Bookings and Drivers'!AA325</f>
        <v>0</v>
      </c>
      <c r="T859">
        <f>'Bookings and Drivers'!AB325</f>
        <v>0</v>
      </c>
      <c r="U859">
        <f>'Bookings and Drivers'!AC325</f>
        <v>0</v>
      </c>
      <c r="V859">
        <f>'Bookings and Drivers'!AD325</f>
        <v>0</v>
      </c>
      <c r="W859">
        <f>'Bookings and Drivers'!AE325</f>
        <v>0</v>
      </c>
      <c r="X859">
        <f>'Bookings and Drivers'!AF325</f>
        <v>0</v>
      </c>
      <c r="Y859">
        <f>'Bookings and Drivers'!AG325</f>
        <v>0</v>
      </c>
      <c r="Z859">
        <f>'Bookings and Drivers'!AH325</f>
        <v>0</v>
      </c>
      <c r="AA859">
        <f>'Bookings and Drivers'!AI325</f>
        <v>0</v>
      </c>
      <c r="AB859">
        <f>'Bookings and Drivers'!AJ325</f>
        <v>0</v>
      </c>
      <c r="AC859">
        <f>'Bookings and Drivers'!AK325</f>
        <v>-0.12225274725274726</v>
      </c>
      <c r="AD859">
        <f>'Bookings and Drivers'!AL325</f>
        <v>-0.1632155907429963</v>
      </c>
      <c r="AE859">
        <f>'Bookings and Drivers'!AM325</f>
        <v>0.22972972972972983</v>
      </c>
      <c r="AF859">
        <f>'Bookings and Drivers'!AN325</f>
        <v>0.34353741496598644</v>
      </c>
      <c r="AG859">
        <f>'Bookings and Drivers'!AO325</f>
        <v>0.82942097026604067</v>
      </c>
      <c r="AH859">
        <f>'Bookings and Drivers'!AP325</f>
        <v>0.98253275109170302</v>
      </c>
      <c r="AI859">
        <f>'Bookings and Drivers'!AQ325</f>
        <v>0.44810744810744807</v>
      </c>
      <c r="AJ859">
        <f>'Bookings and Drivers'!AR325</f>
        <v>0.43670886075949378</v>
      </c>
      <c r="AK859">
        <f>'Bookings and Drivers'!AS325</f>
        <v>0.27972626176218984</v>
      </c>
      <c r="AL859">
        <f>'Bookings and Drivers'!AT325</f>
        <v>0.13876651982378863</v>
      </c>
      <c r="AM859">
        <f>'Bookings and Drivers'!AU325</f>
        <v>0.30185497470489042</v>
      </c>
      <c r="AN859">
        <f>'Bookings and Drivers'!AV325</f>
        <v>0.16123348017621142</v>
      </c>
      <c r="AO859">
        <f>'Bookings and Drivers'!AW325</f>
        <v>2.8074866310160429E-2</v>
      </c>
      <c r="AP859">
        <f>'Bookings and Drivers'!AX325</f>
        <v>3.1592520954223158E-2</v>
      </c>
      <c r="AQ859">
        <f>'Bookings and Drivers'!AY325</f>
        <v>-2.8497409326424861E-2</v>
      </c>
      <c r="AR859">
        <f>'Bookings and Drivers'!AZ325</f>
        <v>-1.365705614567525E-2</v>
      </c>
      <c r="AS859">
        <f>'Bookings and Drivers'!BA325</f>
        <v>4.0312093628088519E-2</v>
      </c>
      <c r="AT859">
        <f>'Bookings and Drivers'!BB325</f>
        <v>6.25E-2</v>
      </c>
      <c r="AU859">
        <f>'Bookings and Drivers'!BC325</f>
        <v>6.6666666666666652E-2</v>
      </c>
      <c r="AV859">
        <f>'Bookings and Drivers'!BD325</f>
        <v>7.6923076923076872E-2</v>
      </c>
      <c r="AW859">
        <f>'Bookings and Drivers'!BE325</f>
        <v>0</v>
      </c>
      <c r="AX859">
        <f>'Bookings and Drivers'!BF325</f>
        <v>0</v>
      </c>
      <c r="AY859">
        <f>'Bookings and Drivers'!BG325</f>
        <v>6.25E-2</v>
      </c>
      <c r="AZ859">
        <f>'Bookings and Drivers'!BH325</f>
        <v>0</v>
      </c>
      <c r="BA859">
        <f>'Bookings and Drivers'!BI325</f>
        <v>6.25E-2</v>
      </c>
      <c r="BB859">
        <f>'Bookings and Drivers'!BJ325</f>
        <v>0</v>
      </c>
      <c r="BC859">
        <f>'Bookings and Drivers'!BK325</f>
        <v>5.8823529411764719E-2</v>
      </c>
      <c r="BD859">
        <f>'Bookings and Drivers'!BL325</f>
        <v>0.28571428571428581</v>
      </c>
      <c r="BE859">
        <f>'Bookings and Drivers'!BM325</f>
        <v>0.17647058823529416</v>
      </c>
      <c r="BF859">
        <f>'Bookings and Drivers'!BN325</f>
        <v>0.23529411764705888</v>
      </c>
      <c r="BG859">
        <f>'Bookings and Drivers'!BO325</f>
        <v>0.11111111111111116</v>
      </c>
      <c r="BH859">
        <f>'Bookings and Drivers'!BP325</f>
        <v>-5.555555555555558E-2</v>
      </c>
      <c r="BI859">
        <f>'Bookings and Drivers'!BQ325</f>
        <v>0</v>
      </c>
      <c r="BJ859">
        <f>'Bookings and Drivers'!BR325</f>
        <v>0</v>
      </c>
      <c r="BK859">
        <f>'Bookings and Drivers'!BS325</f>
        <v>0</v>
      </c>
      <c r="BL859">
        <f>'Bookings and Drivers'!BT325</f>
        <v>0</v>
      </c>
      <c r="BM859">
        <f>'Bookings and Drivers'!BU325</f>
        <v>-9.9999999999999978E-2</v>
      </c>
      <c r="BN859">
        <f>'Bookings and Drivers'!BV325</f>
        <v>-4.7619047619047672E-2</v>
      </c>
      <c r="BO859">
        <f>'Bookings and Drivers'!BW325</f>
        <v>-5.0000000000000044E-2</v>
      </c>
      <c r="BP859">
        <f>'Bookings and Drivers'!BX325</f>
        <v>-5.8823529411764719E-2</v>
      </c>
      <c r="BQ859">
        <f>'Bookings and Drivers'!BY325</f>
        <v>0</v>
      </c>
      <c r="BR859">
        <f>'Bookings and Drivers'!BZ325</f>
        <v>-9.9999999999999978E-2</v>
      </c>
      <c r="BS859">
        <f>'Bookings and Drivers'!CA325</f>
        <v>-0.10526315789473684</v>
      </c>
      <c r="BT859">
        <f>'Bookings and Drivers'!CB325</f>
        <v>0</v>
      </c>
      <c r="BU859">
        <f>'Bookings and Drivers'!CC325</f>
        <v>0.02</v>
      </c>
      <c r="BV859">
        <f>'Bookings and Drivers'!CD325</f>
        <v>0.02</v>
      </c>
      <c r="BW859">
        <f>'Bookings and Drivers'!CE325</f>
        <v>0.02</v>
      </c>
      <c r="BX859">
        <f>'Bookings and Drivers'!CF325</f>
        <v>0.02</v>
      </c>
      <c r="BY859">
        <f>'Bookings and Drivers'!CG325</f>
        <v>0</v>
      </c>
      <c r="BZ859">
        <f>'Bookings and Drivers'!CH325</f>
        <v>0</v>
      </c>
      <c r="CA859">
        <f>'Bookings and Drivers'!CI325</f>
        <v>0</v>
      </c>
      <c r="CB859">
        <f>'Bookings and Drivers'!CJ325</f>
        <v>0</v>
      </c>
      <c r="CC859">
        <f>'Bookings and Drivers'!CK325</f>
        <v>0</v>
      </c>
      <c r="CD859">
        <f>'Bookings and Drivers'!CL325</f>
        <v>0</v>
      </c>
      <c r="CE859">
        <f>'Bookings and Drivers'!CM325</f>
        <v>0</v>
      </c>
      <c r="CF859">
        <f>'Bookings and Drivers'!CN325</f>
        <v>4.7092400998929751E-2</v>
      </c>
      <c r="CG859">
        <f>'Bookings and Drivers'!CO325</f>
        <v>0.65315161839863722</v>
      </c>
      <c r="CH859">
        <f>'Bookings and Drivers'!CP325</f>
        <v>0.21784830997526794</v>
      </c>
      <c r="CI859">
        <f>'Bookings and Drivers'!CQ325</f>
        <v>4.9077678118125689E-3</v>
      </c>
      <c r="CJ859">
        <f>'Bookings and Drivers'!CR325</f>
        <v>6.0963287302121971E-2</v>
      </c>
      <c r="CK859">
        <f>'Bookings and Drivers'!CS325</f>
        <v>1.5873015873015817E-2</v>
      </c>
      <c r="CL859">
        <f>'Bookings and Drivers'!CT325</f>
        <v>9.375E-2</v>
      </c>
      <c r="CM859">
        <f>'Bookings and Drivers'!CU325</f>
        <v>0.11428571428571432</v>
      </c>
      <c r="CN859">
        <f>'Bookings and Drivers'!CV325</f>
        <v>0</v>
      </c>
      <c r="CO859">
        <f>'Bookings and Drivers'!CW325</f>
        <v>-6.4102564102564097E-2</v>
      </c>
      <c r="CP859">
        <f>'Bookings and Drivers'!CX325</f>
        <v>-5.4794520547945202E-2</v>
      </c>
      <c r="CQ859">
        <f>'Bookings and Drivers'!CY325</f>
        <v>2.0000000000000018E-2</v>
      </c>
      <c r="CR859">
        <f>'Bookings and Drivers'!CZ325</f>
        <v>2.0000000000000018E-2</v>
      </c>
      <c r="CS859">
        <f>'Bookings and Drivers'!DA325</f>
        <v>2.0000000000000018E-2</v>
      </c>
      <c r="CT859">
        <f>'Bookings and Drivers'!DB325</f>
        <v>2.0000000000000018E-2</v>
      </c>
      <c r="CU859">
        <f>'Bookings and Drivers'!DC325</f>
        <v>2.0000000000000018E-2</v>
      </c>
      <c r="CV859">
        <f>'Bookings and Drivers'!DD325</f>
        <v>2.0000000000000018E-2</v>
      </c>
      <c r="CW859">
        <f>'Bookings and Drivers'!DE325</f>
        <v>2.0000000000000018E-2</v>
      </c>
      <c r="CX859">
        <f>'Bookings and Drivers'!DF325</f>
        <v>2.0000000000000018E-2</v>
      </c>
    </row>
    <row r="860" spans="1:102">
      <c r="A860" t="str">
        <f>'Bookings and Drivers'!I326</f>
        <v>Two Year Growth</v>
      </c>
      <c r="B860">
        <f>'Bookings and Drivers'!J326</f>
        <v>0</v>
      </c>
      <c r="C860">
        <f>'Bookings and Drivers'!K326</f>
        <v>0</v>
      </c>
      <c r="D860">
        <f>'Bookings and Drivers'!L326</f>
        <v>0</v>
      </c>
      <c r="E860">
        <f>'Bookings and Drivers'!M326</f>
        <v>0</v>
      </c>
      <c r="F860">
        <f>'Bookings and Drivers'!N326</f>
        <v>0</v>
      </c>
      <c r="G860">
        <f>'Bookings and Drivers'!O326</f>
        <v>0</v>
      </c>
      <c r="H860">
        <f>'Bookings and Drivers'!P326</f>
        <v>0</v>
      </c>
      <c r="I860">
        <f>'Bookings and Drivers'!Q326</f>
        <v>0</v>
      </c>
      <c r="J860">
        <f>'Bookings and Drivers'!R326</f>
        <v>0</v>
      </c>
      <c r="K860">
        <f>'Bookings and Drivers'!S326</f>
        <v>0</v>
      </c>
      <c r="L860">
        <f>'Bookings and Drivers'!T326</f>
        <v>0</v>
      </c>
      <c r="M860">
        <f>'Bookings and Drivers'!U326</f>
        <v>0</v>
      </c>
      <c r="N860">
        <f>'Bookings and Drivers'!V326</f>
        <v>0</v>
      </c>
      <c r="O860">
        <f>'Bookings and Drivers'!W326</f>
        <v>0</v>
      </c>
      <c r="P860">
        <f>'Bookings and Drivers'!X326</f>
        <v>0</v>
      </c>
      <c r="Q860">
        <f>'Bookings and Drivers'!Y326</f>
        <v>0</v>
      </c>
      <c r="R860">
        <f>'Bookings and Drivers'!Z326</f>
        <v>0</v>
      </c>
      <c r="S860">
        <f>'Bookings and Drivers'!AA326</f>
        <v>0</v>
      </c>
      <c r="T860">
        <f>'Bookings and Drivers'!AB326</f>
        <v>0</v>
      </c>
      <c r="U860">
        <f>'Bookings and Drivers'!AC326</f>
        <v>0</v>
      </c>
      <c r="V860">
        <f>'Bookings and Drivers'!AD326</f>
        <v>0</v>
      </c>
      <c r="W860">
        <f>'Bookings and Drivers'!AE326</f>
        <v>0</v>
      </c>
      <c r="X860">
        <f>'Bookings and Drivers'!AF326</f>
        <v>0</v>
      </c>
      <c r="Y860">
        <f>'Bookings and Drivers'!AG326</f>
        <v>0</v>
      </c>
      <c r="Z860">
        <f>'Bookings and Drivers'!AH326</f>
        <v>0</v>
      </c>
      <c r="AA860">
        <f>'Bookings and Drivers'!AI326</f>
        <v>0</v>
      </c>
      <c r="AB860">
        <f>'Bookings and Drivers'!AJ326</f>
        <v>0</v>
      </c>
      <c r="AC860">
        <f>'Bookings and Drivers'!AK326</f>
        <v>0</v>
      </c>
      <c r="AD860">
        <f>'Bookings and Drivers'!AL326</f>
        <v>0</v>
      </c>
      <c r="AE860">
        <f>'Bookings and Drivers'!AM326</f>
        <v>0</v>
      </c>
      <c r="AF860">
        <f>'Bookings and Drivers'!AN326</f>
        <v>0</v>
      </c>
      <c r="AG860">
        <f>'Bookings and Drivers'!AO326</f>
        <v>0.70716822301329341</v>
      </c>
      <c r="AH860">
        <f>'Bookings and Drivers'!AP326</f>
        <v>0.81931716034870672</v>
      </c>
      <c r="AI860">
        <f>'Bookings and Drivers'!AQ326</f>
        <v>0.6778371778371779</v>
      </c>
      <c r="AJ860">
        <f>'Bookings and Drivers'!AR326</f>
        <v>0.78024627572548022</v>
      </c>
      <c r="AK860">
        <f>'Bookings and Drivers'!AS326</f>
        <v>1.1091472320282305</v>
      </c>
      <c r="AL860">
        <f>'Bookings and Drivers'!AT326</f>
        <v>1.1212992709154916</v>
      </c>
      <c r="AM860">
        <f>'Bookings and Drivers'!AU326</f>
        <v>0.74996242281233849</v>
      </c>
      <c r="AN860">
        <f>'Bookings and Drivers'!AV326</f>
        <v>0.5979423409357052</v>
      </c>
      <c r="AO860">
        <f>'Bookings and Drivers'!AW326</f>
        <v>0.30780112807235027</v>
      </c>
      <c r="AP860">
        <f>'Bookings and Drivers'!AX326</f>
        <v>0.17035904077801178</v>
      </c>
      <c r="AQ860">
        <f>'Bookings and Drivers'!AY326</f>
        <v>0.27335756537846556</v>
      </c>
      <c r="AR860">
        <f>'Bookings and Drivers'!AZ326</f>
        <v>0.14757642403053617</v>
      </c>
      <c r="AS860">
        <f>'Bookings and Drivers'!BA326</f>
        <v>6.8386959938248948E-2</v>
      </c>
      <c r="AT860">
        <f>'Bookings and Drivers'!BB326</f>
        <v>9.4092520954223158E-2</v>
      </c>
      <c r="AU860">
        <f>'Bookings and Drivers'!BC326</f>
        <v>3.8169257340241791E-2</v>
      </c>
      <c r="AV860">
        <f>'Bookings and Drivers'!BD326</f>
        <v>6.3266020777401621E-2</v>
      </c>
      <c r="AW860">
        <f>'Bookings and Drivers'!BE326</f>
        <v>4.0312093628088519E-2</v>
      </c>
      <c r="AX860">
        <f>'Bookings and Drivers'!BF326</f>
        <v>6.25E-2</v>
      </c>
      <c r="AY860">
        <f>'Bookings and Drivers'!BG326</f>
        <v>0.12916666666666665</v>
      </c>
      <c r="AZ860">
        <f>'Bookings and Drivers'!BH326</f>
        <v>7.6923076923076872E-2</v>
      </c>
      <c r="BA860">
        <f>'Bookings and Drivers'!BI326</f>
        <v>6.25E-2</v>
      </c>
      <c r="BB860">
        <f>'Bookings and Drivers'!BJ326</f>
        <v>0</v>
      </c>
      <c r="BC860">
        <f>'Bookings and Drivers'!BK326</f>
        <v>0.12132352941176472</v>
      </c>
      <c r="BD860">
        <f>'Bookings and Drivers'!BL326</f>
        <v>0.28571428571428581</v>
      </c>
      <c r="BE860">
        <f>'Bookings and Drivers'!BM326</f>
        <v>0.23897058823529416</v>
      </c>
      <c r="BF860">
        <f>'Bookings and Drivers'!BN326</f>
        <v>0.23529411764705888</v>
      </c>
      <c r="BG860">
        <f>'Bookings and Drivers'!BO326</f>
        <v>0.16993464052287588</v>
      </c>
      <c r="BH860">
        <f>'Bookings and Drivers'!BP326</f>
        <v>0.23015873015873023</v>
      </c>
      <c r="BI860">
        <f>'Bookings and Drivers'!BQ326</f>
        <v>0.17647058823529416</v>
      </c>
      <c r="BJ860">
        <f>'Bookings and Drivers'!BR326</f>
        <v>0.23529411764705888</v>
      </c>
      <c r="BK860">
        <f>'Bookings and Drivers'!BS326</f>
        <v>0.11111111111111116</v>
      </c>
      <c r="BL860">
        <f>'Bookings and Drivers'!BT326</f>
        <v>-5.555555555555558E-2</v>
      </c>
      <c r="BM860">
        <f>'Bookings and Drivers'!BU326</f>
        <v>-9.9999999999999978E-2</v>
      </c>
      <c r="BN860">
        <f>'Bookings and Drivers'!BV326</f>
        <v>-4.7619047619047672E-2</v>
      </c>
      <c r="BO860">
        <f>'Bookings and Drivers'!BW326</f>
        <v>-5.0000000000000044E-2</v>
      </c>
      <c r="BP860">
        <f>'Bookings and Drivers'!BX326</f>
        <v>-5.8823529411764719E-2</v>
      </c>
      <c r="BQ860">
        <f>'Bookings and Drivers'!BY326</f>
        <v>-9.9999999999999978E-2</v>
      </c>
      <c r="BR860">
        <f>'Bookings and Drivers'!BZ326</f>
        <v>-0.14761904761904765</v>
      </c>
      <c r="BS860">
        <f>'Bookings and Drivers'!CA326</f>
        <v>-0.15526315789473688</v>
      </c>
      <c r="BT860">
        <f>'Bookings and Drivers'!CB326</f>
        <v>-5.8823529411764719E-2</v>
      </c>
      <c r="BU860">
        <f>'Bookings and Drivers'!CC326</f>
        <v>0.02</v>
      </c>
      <c r="BV860">
        <f>'Bookings and Drivers'!CD326</f>
        <v>-7.9999999999999974E-2</v>
      </c>
      <c r="BW860">
        <f>'Bookings and Drivers'!CE326</f>
        <v>-8.5263157894736832E-2</v>
      </c>
      <c r="BX860">
        <f>'Bookings and Drivers'!CF326</f>
        <v>0.02</v>
      </c>
      <c r="BY860">
        <f>'Bookings and Drivers'!CG326</f>
        <v>0</v>
      </c>
      <c r="BZ860">
        <f>'Bookings and Drivers'!CH326</f>
        <v>0</v>
      </c>
      <c r="CA860">
        <f>'Bookings and Drivers'!CI326</f>
        <v>0</v>
      </c>
      <c r="CB860">
        <f>'Bookings and Drivers'!CJ326</f>
        <v>0</v>
      </c>
      <c r="CC860">
        <f>'Bookings and Drivers'!CK326</f>
        <v>0</v>
      </c>
      <c r="CD860">
        <f>'Bookings and Drivers'!CL326</f>
        <v>0</v>
      </c>
      <c r="CE860">
        <f>'Bookings and Drivers'!CM326</f>
        <v>0</v>
      </c>
      <c r="CF860">
        <f>'Bookings and Drivers'!CN326</f>
        <v>0</v>
      </c>
      <c r="CG860">
        <f>'Bookings and Drivers'!CO326</f>
        <v>0.70024401939756697</v>
      </c>
      <c r="CH860">
        <f>'Bookings and Drivers'!CP326</f>
        <v>0.87099992837390516</v>
      </c>
      <c r="CI860">
        <f>'Bookings and Drivers'!CQ326</f>
        <v>0.22275607778708051</v>
      </c>
      <c r="CJ860">
        <f>'Bookings and Drivers'!CR326</f>
        <v>6.587105511393454E-2</v>
      </c>
      <c r="CK860">
        <f>'Bookings and Drivers'!CS326</f>
        <v>7.6836303175137788E-2</v>
      </c>
      <c r="CL860">
        <f>'Bookings and Drivers'!CT326</f>
        <v>0.10962301587301582</v>
      </c>
      <c r="CM860">
        <f>'Bookings and Drivers'!CU326</f>
        <v>0.20803571428571432</v>
      </c>
      <c r="CN860">
        <f>'Bookings and Drivers'!CV326</f>
        <v>0.11428571428571432</v>
      </c>
      <c r="CO860">
        <f>'Bookings and Drivers'!CW326</f>
        <v>-6.4102564102564097E-2</v>
      </c>
      <c r="CP860">
        <f>'Bookings and Drivers'!CX326</f>
        <v>-0.1188970846505093</v>
      </c>
      <c r="CQ860">
        <f>'Bookings and Drivers'!CY326</f>
        <v>-3.4794520547945185E-2</v>
      </c>
      <c r="CR860">
        <f>'Bookings and Drivers'!CZ326</f>
        <v>4.0000000000000036E-2</v>
      </c>
      <c r="CS860">
        <f>'Bookings and Drivers'!DA326</f>
        <v>4.0000000000000036E-2</v>
      </c>
      <c r="CT860">
        <f>'Bookings and Drivers'!DB326</f>
        <v>4.0000000000000036E-2</v>
      </c>
      <c r="CU860">
        <f>'Bookings and Drivers'!DC326</f>
        <v>4.0000000000000036E-2</v>
      </c>
      <c r="CV860">
        <f>'Bookings and Drivers'!DD326</f>
        <v>4.0000000000000036E-2</v>
      </c>
      <c r="CW860">
        <f>'Bookings and Drivers'!DE326</f>
        <v>4.0000000000000036E-2</v>
      </c>
      <c r="CX860">
        <f>'Bookings and Drivers'!DF326</f>
        <v>4.0000000000000036E-2</v>
      </c>
    </row>
    <row r="861" spans="1:102">
      <c r="A861" t="str">
        <f>'Bookings and Drivers'!I327</f>
        <v>Period-to-period change Y/Y</v>
      </c>
      <c r="B861">
        <f>'Bookings and Drivers'!J327</f>
        <v>0</v>
      </c>
      <c r="C861">
        <f>'Bookings and Drivers'!K327</f>
        <v>0</v>
      </c>
      <c r="D861">
        <f>'Bookings and Drivers'!L327</f>
        <v>0</v>
      </c>
      <c r="E861">
        <f>'Bookings and Drivers'!M327</f>
        <v>0</v>
      </c>
      <c r="F861">
        <f>'Bookings and Drivers'!N327</f>
        <v>0</v>
      </c>
      <c r="G861">
        <f>'Bookings and Drivers'!O327</f>
        <v>0</v>
      </c>
      <c r="H861">
        <f>'Bookings and Drivers'!P327</f>
        <v>0</v>
      </c>
      <c r="I861">
        <f>'Bookings and Drivers'!Q327</f>
        <v>0</v>
      </c>
      <c r="J861">
        <f>'Bookings and Drivers'!R327</f>
        <v>0</v>
      </c>
      <c r="K861">
        <f>'Bookings and Drivers'!S327</f>
        <v>0</v>
      </c>
      <c r="L861">
        <f>'Bookings and Drivers'!T327</f>
        <v>0</v>
      </c>
      <c r="M861">
        <f>'Bookings and Drivers'!U327</f>
        <v>0</v>
      </c>
      <c r="N861">
        <f>'Bookings and Drivers'!V327</f>
        <v>0</v>
      </c>
      <c r="O861">
        <f>'Bookings and Drivers'!W327</f>
        <v>0</v>
      </c>
      <c r="P861">
        <f>'Bookings and Drivers'!X327</f>
        <v>0</v>
      </c>
      <c r="Q861">
        <f>'Bookings and Drivers'!Y327</f>
        <v>0</v>
      </c>
      <c r="R861">
        <f>'Bookings and Drivers'!Z327</f>
        <v>0</v>
      </c>
      <c r="S861">
        <f>'Bookings and Drivers'!AA327</f>
        <v>0</v>
      </c>
      <c r="T861">
        <f>'Bookings and Drivers'!AB327</f>
        <v>0</v>
      </c>
      <c r="U861">
        <f>'Bookings and Drivers'!AC327</f>
        <v>0</v>
      </c>
      <c r="V861">
        <f>'Bookings and Drivers'!AD327</f>
        <v>0</v>
      </c>
      <c r="W861">
        <f>'Bookings and Drivers'!AE327</f>
        <v>0</v>
      </c>
      <c r="X861">
        <f>'Bookings and Drivers'!AF327</f>
        <v>0</v>
      </c>
      <c r="Y861">
        <f>'Bookings and Drivers'!AG327</f>
        <v>0</v>
      </c>
      <c r="Z861">
        <f>'Bookings and Drivers'!AH327</f>
        <v>0</v>
      </c>
      <c r="AA861">
        <f>'Bookings and Drivers'!AI327</f>
        <v>0</v>
      </c>
      <c r="AB861">
        <f>'Bookings and Drivers'!AJ327</f>
        <v>0</v>
      </c>
      <c r="AC861">
        <f>'Bookings and Drivers'!AK327</f>
        <v>-89</v>
      </c>
      <c r="AD861">
        <f>'Bookings and Drivers'!AL327</f>
        <v>-134</v>
      </c>
      <c r="AE861">
        <f>'Bookings and Drivers'!AM327</f>
        <v>153</v>
      </c>
      <c r="AF861">
        <f>'Bookings and Drivers'!AN327</f>
        <v>202</v>
      </c>
      <c r="AG861">
        <f>'Bookings and Drivers'!AO327</f>
        <v>530</v>
      </c>
      <c r="AH861">
        <f>'Bookings and Drivers'!AP327</f>
        <v>675</v>
      </c>
      <c r="AI861">
        <f>'Bookings and Drivers'!AQ327</f>
        <v>367</v>
      </c>
      <c r="AJ861">
        <f>'Bookings and Drivers'!AR327</f>
        <v>345</v>
      </c>
      <c r="AK861">
        <f>'Bookings and Drivers'!AS327</f>
        <v>327</v>
      </c>
      <c r="AL861">
        <f>'Bookings and Drivers'!AT327</f>
        <v>189</v>
      </c>
      <c r="AM861">
        <f>'Bookings and Drivers'!AU327</f>
        <v>358</v>
      </c>
      <c r="AN861">
        <f>'Bookings and Drivers'!AV327</f>
        <v>183</v>
      </c>
      <c r="AO861">
        <f>'Bookings and Drivers'!AW327</f>
        <v>42</v>
      </c>
      <c r="AP861">
        <f>'Bookings and Drivers'!AX327</f>
        <v>49</v>
      </c>
      <c r="AQ861">
        <f>'Bookings and Drivers'!AY327</f>
        <v>-44</v>
      </c>
      <c r="AR861">
        <f>'Bookings and Drivers'!AZ327</f>
        <v>-18</v>
      </c>
      <c r="AS861">
        <f>'Bookings and Drivers'!BA327</f>
        <v>62</v>
      </c>
      <c r="AT861">
        <f>'Bookings and Drivers'!BB327</f>
        <v>100</v>
      </c>
      <c r="AU861">
        <f>'Bookings and Drivers'!BC327</f>
        <v>100</v>
      </c>
      <c r="AV861">
        <f>'Bookings and Drivers'!BD327</f>
        <v>100</v>
      </c>
      <c r="AW861">
        <f>'Bookings and Drivers'!BE327</f>
        <v>0</v>
      </c>
      <c r="AX861">
        <f>'Bookings and Drivers'!BF327</f>
        <v>0</v>
      </c>
      <c r="AY861">
        <f>'Bookings and Drivers'!BG327</f>
        <v>100</v>
      </c>
      <c r="AZ861">
        <f>'Bookings and Drivers'!BH327</f>
        <v>0</v>
      </c>
      <c r="BA861">
        <f>'Bookings and Drivers'!BI327</f>
        <v>100</v>
      </c>
      <c r="BB861">
        <f>'Bookings and Drivers'!BJ327</f>
        <v>0</v>
      </c>
      <c r="BC861">
        <f>'Bookings and Drivers'!BK327</f>
        <v>100</v>
      </c>
      <c r="BD861">
        <f>'Bookings and Drivers'!BL327</f>
        <v>400</v>
      </c>
      <c r="BE861">
        <f>'Bookings and Drivers'!BM327</f>
        <v>300</v>
      </c>
      <c r="BF861">
        <f>'Bookings and Drivers'!BN327</f>
        <v>400</v>
      </c>
      <c r="BG861">
        <f>'Bookings and Drivers'!BO327</f>
        <v>200</v>
      </c>
      <c r="BH861">
        <f>'Bookings and Drivers'!BP327</f>
        <v>-100</v>
      </c>
      <c r="BI861">
        <f>'Bookings and Drivers'!BQ327</f>
        <v>0</v>
      </c>
      <c r="BJ861">
        <f>'Bookings and Drivers'!BR327</f>
        <v>0</v>
      </c>
      <c r="BK861">
        <f>'Bookings and Drivers'!BS327</f>
        <v>0</v>
      </c>
      <c r="BL861">
        <f>'Bookings and Drivers'!BT327</f>
        <v>0</v>
      </c>
      <c r="BM861">
        <f>'Bookings and Drivers'!BU327</f>
        <v>-200</v>
      </c>
      <c r="BN861">
        <f>'Bookings and Drivers'!BV327</f>
        <v>-100</v>
      </c>
      <c r="BO861">
        <f>'Bookings and Drivers'!BW327</f>
        <v>-100</v>
      </c>
      <c r="BP861">
        <f>'Bookings and Drivers'!BX327</f>
        <v>-100</v>
      </c>
      <c r="BQ861">
        <f>'Bookings and Drivers'!BY327</f>
        <v>0</v>
      </c>
      <c r="BR861">
        <f>'Bookings and Drivers'!BZ327</f>
        <v>-200</v>
      </c>
      <c r="BS861">
        <f>'Bookings and Drivers'!CA327</f>
        <v>-200</v>
      </c>
      <c r="BT861">
        <f>'Bookings and Drivers'!CB327</f>
        <v>0</v>
      </c>
      <c r="BU861">
        <f>'Bookings and Drivers'!CC327</f>
        <v>36</v>
      </c>
      <c r="BV861">
        <f>'Bookings and Drivers'!CD327</f>
        <v>36</v>
      </c>
      <c r="BW861">
        <f>'Bookings and Drivers'!CE327</f>
        <v>34</v>
      </c>
      <c r="BX861">
        <f>'Bookings and Drivers'!CF327</f>
        <v>32</v>
      </c>
      <c r="BY861">
        <f>'Bookings and Drivers'!CG327</f>
        <v>0</v>
      </c>
      <c r="BZ861">
        <f>'Bookings and Drivers'!CH327</f>
        <v>0</v>
      </c>
      <c r="CA861">
        <f>'Bookings and Drivers'!CI327</f>
        <v>0</v>
      </c>
      <c r="CB861">
        <f>'Bookings and Drivers'!CJ327</f>
        <v>0</v>
      </c>
      <c r="CC861">
        <f>'Bookings and Drivers'!CK327</f>
        <v>0</v>
      </c>
      <c r="CD861">
        <f>'Bookings and Drivers'!CL327</f>
        <v>0</v>
      </c>
      <c r="CE861">
        <f>'Bookings and Drivers'!CM327</f>
        <v>0</v>
      </c>
      <c r="CF861">
        <f>'Bookings and Drivers'!CN327</f>
        <v>132</v>
      </c>
      <c r="CG861">
        <f>'Bookings and Drivers'!CO327</f>
        <v>1917</v>
      </c>
      <c r="CH861">
        <f>'Bookings and Drivers'!CP327</f>
        <v>1057</v>
      </c>
      <c r="CI861">
        <f>'Bookings and Drivers'!CQ327</f>
        <v>29</v>
      </c>
      <c r="CJ861">
        <f>'Bookings and Drivers'!CR327</f>
        <v>362</v>
      </c>
      <c r="CK861">
        <f>'Bookings and Drivers'!CS327</f>
        <v>100</v>
      </c>
      <c r="CL861">
        <f>'Bookings and Drivers'!CT327</f>
        <v>600</v>
      </c>
      <c r="CM861">
        <f>'Bookings and Drivers'!CU327</f>
        <v>800</v>
      </c>
      <c r="CN861">
        <f>'Bookings and Drivers'!CV327</f>
        <v>0</v>
      </c>
      <c r="CO861">
        <f>'Bookings and Drivers'!CW327</f>
        <v>-500</v>
      </c>
      <c r="CP861">
        <f>'Bookings and Drivers'!CX327</f>
        <v>-400</v>
      </c>
      <c r="CQ861">
        <f>'Bookings and Drivers'!CY327</f>
        <v>138</v>
      </c>
      <c r="CR861">
        <f>'Bookings and Drivers'!CZ327</f>
        <v>140.76000000000022</v>
      </c>
      <c r="CS861">
        <f>'Bookings and Drivers'!DA327</f>
        <v>143.57520000000022</v>
      </c>
      <c r="CT861">
        <f>'Bookings and Drivers'!DB327</f>
        <v>146.44670399999995</v>
      </c>
      <c r="CU861">
        <f>'Bookings and Drivers'!DC327</f>
        <v>149.3756380800005</v>
      </c>
      <c r="CV861">
        <f>'Bookings and Drivers'!DD327</f>
        <v>152.36315084160015</v>
      </c>
      <c r="CW861">
        <f>'Bookings and Drivers'!DE327</f>
        <v>155.41041385843255</v>
      </c>
      <c r="CX861">
        <f>'Bookings and Drivers'!DF327</f>
        <v>158.51862213560071</v>
      </c>
    </row>
    <row r="862" spans="1:102">
      <c r="A862" t="str">
        <f>'Bookings and Drivers'!I328</f>
        <v>% change Y/Y (in bp)</v>
      </c>
      <c r="B862">
        <f>'Bookings and Drivers'!J328</f>
        <v>0</v>
      </c>
      <c r="C862">
        <f>'Bookings and Drivers'!K328</f>
        <v>0</v>
      </c>
      <c r="D862">
        <f>'Bookings and Drivers'!L328</f>
        <v>0</v>
      </c>
      <c r="E862">
        <f>'Bookings and Drivers'!M328</f>
        <v>0</v>
      </c>
      <c r="F862">
        <f>'Bookings and Drivers'!N328</f>
        <v>0</v>
      </c>
      <c r="G862">
        <f>'Bookings and Drivers'!O328</f>
        <v>0</v>
      </c>
      <c r="H862">
        <f>'Bookings and Drivers'!P328</f>
        <v>0</v>
      </c>
      <c r="I862">
        <f>'Bookings and Drivers'!Q328</f>
        <v>0</v>
      </c>
      <c r="J862">
        <f>'Bookings and Drivers'!R328</f>
        <v>0</v>
      </c>
      <c r="K862">
        <f>'Bookings and Drivers'!S328</f>
        <v>0</v>
      </c>
      <c r="L862">
        <f>'Bookings and Drivers'!T328</f>
        <v>0</v>
      </c>
      <c r="M862">
        <f>'Bookings and Drivers'!U328</f>
        <v>0</v>
      </c>
      <c r="N862">
        <f>'Bookings and Drivers'!V328</f>
        <v>0</v>
      </c>
      <c r="O862">
        <f>'Bookings and Drivers'!W328</f>
        <v>0</v>
      </c>
      <c r="P862">
        <f>'Bookings and Drivers'!X328</f>
        <v>0</v>
      </c>
      <c r="Q862">
        <f>'Bookings and Drivers'!Y328</f>
        <v>0</v>
      </c>
      <c r="R862">
        <f>'Bookings and Drivers'!Z328</f>
        <v>0</v>
      </c>
      <c r="S862">
        <f>'Bookings and Drivers'!AA328</f>
        <v>0</v>
      </c>
      <c r="T862">
        <f>'Bookings and Drivers'!AB328</f>
        <v>0</v>
      </c>
      <c r="U862">
        <f>'Bookings and Drivers'!AC328</f>
        <v>0</v>
      </c>
      <c r="V862">
        <f>'Bookings and Drivers'!AD328</f>
        <v>0</v>
      </c>
      <c r="W862">
        <f>'Bookings and Drivers'!AE328</f>
        <v>0</v>
      </c>
      <c r="X862">
        <f>'Bookings and Drivers'!AF328</f>
        <v>0</v>
      </c>
      <c r="Y862">
        <f>'Bookings and Drivers'!AG328</f>
        <v>0</v>
      </c>
      <c r="Z862">
        <f>'Bookings and Drivers'!AH328</f>
        <v>0</v>
      </c>
      <c r="AA862">
        <f>'Bookings and Drivers'!AI328</f>
        <v>0</v>
      </c>
      <c r="AB862">
        <f>'Bookings and Drivers'!AJ328</f>
        <v>0</v>
      </c>
      <c r="AC862">
        <f>'Bookings and Drivers'!AK328</f>
        <v>-1222.5274725274726</v>
      </c>
      <c r="AD862">
        <f>'Bookings and Drivers'!AL328</f>
        <v>-1632.155907429963</v>
      </c>
      <c r="AE862">
        <f>'Bookings and Drivers'!AM328</f>
        <v>2297.2972972972984</v>
      </c>
      <c r="AF862">
        <f>'Bookings and Drivers'!AN328</f>
        <v>3435.3741496598645</v>
      </c>
      <c r="AG862">
        <f>'Bookings and Drivers'!AO328</f>
        <v>9516.73717518788</v>
      </c>
      <c r="AH862">
        <f>'Bookings and Drivers'!AP328</f>
        <v>11457.483418346994</v>
      </c>
      <c r="AI862">
        <f>'Bookings and Drivers'!AQ328</f>
        <v>2183.7771837771825</v>
      </c>
      <c r="AJ862">
        <f>'Bookings and Drivers'!AR328</f>
        <v>931.71445793507337</v>
      </c>
      <c r="AK862">
        <f>'Bookings and Drivers'!AS328</f>
        <v>-5496.9470850385087</v>
      </c>
      <c r="AL862">
        <f>'Bookings and Drivers'!AT328</f>
        <v>-8437.6623126791437</v>
      </c>
      <c r="AM862">
        <f>'Bookings and Drivers'!AU328</f>
        <v>-1462.5247340255764</v>
      </c>
      <c r="AN862">
        <f>'Bookings and Drivers'!AV328</f>
        <v>-2754.7538058328237</v>
      </c>
      <c r="AO862">
        <f>'Bookings and Drivers'!AW328</f>
        <v>-2516.5139545202942</v>
      </c>
      <c r="AP862">
        <f>'Bookings and Drivers'!AX328</f>
        <v>-1071.7399886956546</v>
      </c>
      <c r="AQ862">
        <f>'Bookings and Drivers'!AY328</f>
        <v>-3303.523840313153</v>
      </c>
      <c r="AR862">
        <f>'Bookings and Drivers'!AZ328</f>
        <v>-1748.9053632188668</v>
      </c>
      <c r="AS862">
        <f>'Bookings and Drivers'!BA328</f>
        <v>122.3722731792809</v>
      </c>
      <c r="AT862">
        <f>'Bookings and Drivers'!BB328</f>
        <v>309.07479045776842</v>
      </c>
      <c r="AU862">
        <f>'Bookings and Drivers'!BC328</f>
        <v>951.64075993091512</v>
      </c>
      <c r="AV862">
        <f>'Bookings and Drivers'!BD328</f>
        <v>905.80133068752127</v>
      </c>
      <c r="AW862">
        <f>'Bookings and Drivers'!BE328</f>
        <v>-403.12093628088519</v>
      </c>
      <c r="AX862">
        <f>'Bookings and Drivers'!BF328</f>
        <v>-625</v>
      </c>
      <c r="AY862">
        <f>'Bookings and Drivers'!BG328</f>
        <v>-41.666666666666515</v>
      </c>
      <c r="AZ862">
        <f>'Bookings and Drivers'!BH328</f>
        <v>-769.23076923076871</v>
      </c>
      <c r="BA862">
        <f>'Bookings and Drivers'!BI328</f>
        <v>625</v>
      </c>
      <c r="BB862">
        <f>'Bookings and Drivers'!BJ328</f>
        <v>0</v>
      </c>
      <c r="BC862">
        <f>'Bookings and Drivers'!BK328</f>
        <v>-36.764705882352814</v>
      </c>
      <c r="BD862">
        <f>'Bookings and Drivers'!BL328</f>
        <v>2857.1428571428582</v>
      </c>
      <c r="BE862">
        <f>'Bookings and Drivers'!BM328</f>
        <v>1139.7058823529417</v>
      </c>
      <c r="BF862">
        <f>'Bookings and Drivers'!BN328</f>
        <v>2352.9411764705887</v>
      </c>
      <c r="BG862">
        <f>'Bookings and Drivers'!BO328</f>
        <v>522.87581699346447</v>
      </c>
      <c r="BH862">
        <f>'Bookings and Drivers'!BP328</f>
        <v>-3412.6984126984139</v>
      </c>
      <c r="BI862">
        <f>'Bookings and Drivers'!BQ328</f>
        <v>-1764.7058823529417</v>
      </c>
      <c r="BJ862">
        <f>'Bookings and Drivers'!BR328</f>
        <v>-2352.9411764705887</v>
      </c>
      <c r="BK862">
        <f>'Bookings and Drivers'!BS328</f>
        <v>-1111.1111111111115</v>
      </c>
      <c r="BL862">
        <f>'Bookings and Drivers'!BT328</f>
        <v>555.55555555555577</v>
      </c>
      <c r="BM862">
        <f>'Bookings and Drivers'!BU328</f>
        <v>-999.99999999999977</v>
      </c>
      <c r="BN862">
        <f>'Bookings and Drivers'!BV328</f>
        <v>-476.19047619047672</v>
      </c>
      <c r="BO862">
        <f>'Bookings and Drivers'!BW328</f>
        <v>-500.00000000000045</v>
      </c>
      <c r="BP862">
        <f>'Bookings and Drivers'!BX328</f>
        <v>-588.23529411764719</v>
      </c>
      <c r="BQ862">
        <f>'Bookings and Drivers'!BY328</f>
        <v>999.99999999999977</v>
      </c>
      <c r="BR862">
        <f>'Bookings and Drivers'!BZ328</f>
        <v>-523.80952380952306</v>
      </c>
      <c r="BS862">
        <f>'Bookings and Drivers'!CA328</f>
        <v>-552.63157894736787</v>
      </c>
      <c r="BT862">
        <f>'Bookings and Drivers'!CB328</f>
        <v>588.23529411764719</v>
      </c>
      <c r="BU862">
        <f>'Bookings and Drivers'!CC328</f>
        <v>200</v>
      </c>
      <c r="BV862">
        <f>'Bookings and Drivers'!CD328</f>
        <v>1199.9999999999998</v>
      </c>
      <c r="BW862">
        <f>'Bookings and Drivers'!CE328</f>
        <v>1252.6315789473683</v>
      </c>
      <c r="BX862">
        <f>'Bookings and Drivers'!CF328</f>
        <v>200</v>
      </c>
      <c r="BY862">
        <f>'Bookings and Drivers'!CG328</f>
        <v>0</v>
      </c>
      <c r="BZ862">
        <f>'Bookings and Drivers'!CH328</f>
        <v>0</v>
      </c>
      <c r="CA862">
        <f>'Bookings and Drivers'!CI328</f>
        <v>0</v>
      </c>
      <c r="CB862">
        <f>'Bookings and Drivers'!CJ328</f>
        <v>0</v>
      </c>
      <c r="CC862">
        <f>'Bookings and Drivers'!CK328</f>
        <v>0</v>
      </c>
      <c r="CD862">
        <f>'Bookings and Drivers'!CL328</f>
        <v>0</v>
      </c>
      <c r="CE862">
        <f>'Bookings and Drivers'!CM328</f>
        <v>0</v>
      </c>
      <c r="CF862">
        <f>'Bookings and Drivers'!CN328</f>
        <v>470.92400998929753</v>
      </c>
      <c r="CG862">
        <f>'Bookings and Drivers'!CO328</f>
        <v>6060.5921739970745</v>
      </c>
      <c r="CH862">
        <f>'Bookings and Drivers'!CP328</f>
        <v>-4353.0330842336925</v>
      </c>
      <c r="CI862">
        <f>'Bookings and Drivers'!CQ328</f>
        <v>-2129.4054216345539</v>
      </c>
      <c r="CJ862">
        <f>'Bookings and Drivers'!CR328</f>
        <v>560.55519490309405</v>
      </c>
      <c r="CK862">
        <f>'Bookings and Drivers'!CS328</f>
        <v>-450.90271429106156</v>
      </c>
      <c r="CL862">
        <f>'Bookings and Drivers'!CT328</f>
        <v>778.76984126984189</v>
      </c>
      <c r="CM862">
        <f>'Bookings and Drivers'!CU328</f>
        <v>205.35714285714323</v>
      </c>
      <c r="CN862">
        <f>'Bookings and Drivers'!CV328</f>
        <v>-1142.8571428571433</v>
      </c>
      <c r="CO862">
        <f>'Bookings and Drivers'!CW328</f>
        <v>-641.02564102564099</v>
      </c>
      <c r="CP862">
        <f>'Bookings and Drivers'!CX328</f>
        <v>93.080435546188937</v>
      </c>
      <c r="CQ862">
        <f>'Bookings and Drivers'!CY328</f>
        <v>747.94520547945217</v>
      </c>
      <c r="CR862">
        <f>'Bookings and Drivers'!CZ328</f>
        <v>0</v>
      </c>
      <c r="CS862">
        <f>'Bookings and Drivers'!DA328</f>
        <v>0</v>
      </c>
      <c r="CT862">
        <f>'Bookings and Drivers'!DB328</f>
        <v>0</v>
      </c>
      <c r="CU862">
        <f>'Bookings and Drivers'!DC328</f>
        <v>0</v>
      </c>
      <c r="CV862">
        <f>'Bookings and Drivers'!DD328</f>
        <v>0</v>
      </c>
      <c r="CW862">
        <f>'Bookings and Drivers'!DE328</f>
        <v>0</v>
      </c>
      <c r="CX862">
        <f>'Bookings and Drivers'!DF328</f>
        <v>0</v>
      </c>
    </row>
    <row r="863" spans="1:102">
      <c r="A863">
        <f>'Bookings and Drivers'!I329</f>
        <v>0</v>
      </c>
      <c r="B863">
        <f>'Bookings and Drivers'!J329</f>
        <v>0</v>
      </c>
      <c r="C863">
        <f>'Bookings and Drivers'!K329</f>
        <v>0</v>
      </c>
      <c r="D863">
        <f>'Bookings and Drivers'!L329</f>
        <v>0</v>
      </c>
      <c r="E863">
        <f>'Bookings and Drivers'!M329</f>
        <v>0</v>
      </c>
      <c r="F863">
        <f>'Bookings and Drivers'!N329</f>
        <v>0</v>
      </c>
      <c r="G863">
        <f>'Bookings and Drivers'!O329</f>
        <v>0</v>
      </c>
      <c r="H863">
        <f>'Bookings and Drivers'!P329</f>
        <v>0</v>
      </c>
      <c r="I863">
        <f>'Bookings and Drivers'!Q329</f>
        <v>0</v>
      </c>
      <c r="J863">
        <f>'Bookings and Drivers'!R329</f>
        <v>0</v>
      </c>
      <c r="K863">
        <f>'Bookings and Drivers'!S329</f>
        <v>0</v>
      </c>
      <c r="L863">
        <f>'Bookings and Drivers'!T329</f>
        <v>0</v>
      </c>
      <c r="M863">
        <f>'Bookings and Drivers'!U329</f>
        <v>0</v>
      </c>
      <c r="N863">
        <f>'Bookings and Drivers'!V329</f>
        <v>0</v>
      </c>
      <c r="O863">
        <f>'Bookings and Drivers'!W329</f>
        <v>0</v>
      </c>
      <c r="P863">
        <f>'Bookings and Drivers'!X329</f>
        <v>0</v>
      </c>
      <c r="Q863">
        <f>'Bookings and Drivers'!Y329</f>
        <v>0</v>
      </c>
      <c r="R863">
        <f>'Bookings and Drivers'!Z329</f>
        <v>0</v>
      </c>
      <c r="S863">
        <f>'Bookings and Drivers'!AA329</f>
        <v>0</v>
      </c>
      <c r="T863">
        <f>'Bookings and Drivers'!AB329</f>
        <v>0</v>
      </c>
      <c r="U863">
        <f>'Bookings and Drivers'!AC329</f>
        <v>0</v>
      </c>
      <c r="V863">
        <f>'Bookings and Drivers'!AD329</f>
        <v>0</v>
      </c>
      <c r="W863">
        <f>'Bookings and Drivers'!AE329</f>
        <v>0</v>
      </c>
      <c r="X863">
        <f>'Bookings and Drivers'!AF329</f>
        <v>0</v>
      </c>
      <c r="Y863">
        <f>'Bookings and Drivers'!AG329</f>
        <v>0</v>
      </c>
      <c r="Z863">
        <f>'Bookings and Drivers'!AH329</f>
        <v>0</v>
      </c>
      <c r="AA863">
        <f>'Bookings and Drivers'!AI329</f>
        <v>0</v>
      </c>
      <c r="AB863">
        <f>'Bookings and Drivers'!AJ329</f>
        <v>0</v>
      </c>
      <c r="AC863">
        <f>'Bookings and Drivers'!AK329</f>
        <v>0</v>
      </c>
      <c r="AD863">
        <f>'Bookings and Drivers'!AL329</f>
        <v>0</v>
      </c>
      <c r="AE863">
        <f>'Bookings and Drivers'!AM329</f>
        <v>0</v>
      </c>
      <c r="AF863">
        <f>'Bookings and Drivers'!AN329</f>
        <v>0</v>
      </c>
      <c r="AG863">
        <f>'Bookings and Drivers'!AO329</f>
        <v>0</v>
      </c>
      <c r="AH863">
        <f>'Bookings and Drivers'!AP329</f>
        <v>0</v>
      </c>
      <c r="AI863">
        <f>'Bookings and Drivers'!AQ329</f>
        <v>0</v>
      </c>
      <c r="AJ863">
        <f>'Bookings and Drivers'!AR329</f>
        <v>0</v>
      </c>
      <c r="AK863">
        <f>'Bookings and Drivers'!AS329</f>
        <v>0</v>
      </c>
      <c r="AL863">
        <f>'Bookings and Drivers'!AT329</f>
        <v>0</v>
      </c>
      <c r="AM863">
        <f>'Bookings and Drivers'!AU329</f>
        <v>0</v>
      </c>
      <c r="AN863">
        <f>'Bookings and Drivers'!AV329</f>
        <v>0</v>
      </c>
      <c r="AO863">
        <f>'Bookings and Drivers'!AW329</f>
        <v>0</v>
      </c>
      <c r="AP863">
        <f>'Bookings and Drivers'!AX329</f>
        <v>0</v>
      </c>
      <c r="AQ863">
        <f>'Bookings and Drivers'!AY329</f>
        <v>0</v>
      </c>
      <c r="AR863">
        <f>'Bookings and Drivers'!AZ329</f>
        <v>0</v>
      </c>
      <c r="AS863">
        <f>'Bookings and Drivers'!BA329</f>
        <v>0</v>
      </c>
      <c r="AT863">
        <f>'Bookings and Drivers'!BB329</f>
        <v>0</v>
      </c>
      <c r="AU863">
        <f>'Bookings and Drivers'!BC329</f>
        <v>0</v>
      </c>
      <c r="AV863">
        <f>'Bookings and Drivers'!BD329</f>
        <v>0</v>
      </c>
      <c r="AW863">
        <f>'Bookings and Drivers'!BE329</f>
        <v>0</v>
      </c>
      <c r="AX863">
        <f>'Bookings and Drivers'!BF329</f>
        <v>0</v>
      </c>
      <c r="AY863">
        <f>'Bookings and Drivers'!BG329</f>
        <v>0</v>
      </c>
      <c r="AZ863">
        <f>'Bookings and Drivers'!BH329</f>
        <v>0</v>
      </c>
      <c r="BA863">
        <f>'Bookings and Drivers'!BI329</f>
        <v>0</v>
      </c>
      <c r="BB863">
        <f>'Bookings and Drivers'!BJ329</f>
        <v>0</v>
      </c>
      <c r="BC863">
        <f>'Bookings and Drivers'!BK329</f>
        <v>0</v>
      </c>
      <c r="BD863">
        <f>'Bookings and Drivers'!BL329</f>
        <v>0</v>
      </c>
      <c r="BE863">
        <f>'Bookings and Drivers'!BM329</f>
        <v>0</v>
      </c>
      <c r="BF863">
        <f>'Bookings and Drivers'!BN329</f>
        <v>0</v>
      </c>
      <c r="BG863">
        <f>'Bookings and Drivers'!BO329</f>
        <v>0</v>
      </c>
      <c r="BH863">
        <f>'Bookings and Drivers'!BP329</f>
        <v>0</v>
      </c>
      <c r="BI863">
        <f>'Bookings and Drivers'!BQ329</f>
        <v>0</v>
      </c>
      <c r="BJ863">
        <f>'Bookings and Drivers'!BR329</f>
        <v>0</v>
      </c>
      <c r="BK863">
        <f>'Bookings and Drivers'!BS329</f>
        <v>0</v>
      </c>
      <c r="BL863">
        <f>'Bookings and Drivers'!BT329</f>
        <v>0</v>
      </c>
      <c r="BM863">
        <f>'Bookings and Drivers'!BU329</f>
        <v>0</v>
      </c>
      <c r="BN863">
        <f>'Bookings and Drivers'!BV329</f>
        <v>0</v>
      </c>
      <c r="BO863">
        <f>'Bookings and Drivers'!BW329</f>
        <v>0</v>
      </c>
      <c r="BP863">
        <f>'Bookings and Drivers'!BX329</f>
        <v>0</v>
      </c>
      <c r="BQ863">
        <f>'Bookings and Drivers'!BY329</f>
        <v>0</v>
      </c>
      <c r="BR863">
        <f>'Bookings and Drivers'!BZ329</f>
        <v>0</v>
      </c>
      <c r="BS863">
        <f>'Bookings and Drivers'!CA329</f>
        <v>0</v>
      </c>
      <c r="BT863">
        <f>'Bookings and Drivers'!CB329</f>
        <v>0</v>
      </c>
      <c r="BU863">
        <f>'Bookings and Drivers'!CC329</f>
        <v>0</v>
      </c>
      <c r="BV863">
        <f>'Bookings and Drivers'!CD329</f>
        <v>0</v>
      </c>
      <c r="BW863">
        <f>'Bookings and Drivers'!CE329</f>
        <v>0</v>
      </c>
      <c r="BX863">
        <f>'Bookings and Drivers'!CF329</f>
        <v>0</v>
      </c>
      <c r="BY863">
        <f>'Bookings and Drivers'!CG329</f>
        <v>0</v>
      </c>
      <c r="BZ863">
        <f>'Bookings and Drivers'!CH329</f>
        <v>0</v>
      </c>
      <c r="CA863">
        <f>'Bookings and Drivers'!CI329</f>
        <v>0</v>
      </c>
      <c r="CB863">
        <f>'Bookings and Drivers'!CJ329</f>
        <v>0</v>
      </c>
      <c r="CC863">
        <f>'Bookings and Drivers'!CK329</f>
        <v>0</v>
      </c>
      <c r="CD863">
        <f>'Bookings and Drivers'!CL329</f>
        <v>0</v>
      </c>
      <c r="CE863">
        <f>'Bookings and Drivers'!CM329</f>
        <v>0</v>
      </c>
      <c r="CF863">
        <f>'Bookings and Drivers'!CN329</f>
        <v>0</v>
      </c>
      <c r="CG863">
        <f>'Bookings and Drivers'!CO329</f>
        <v>0</v>
      </c>
      <c r="CH863">
        <f>'Bookings and Drivers'!CP329</f>
        <v>0</v>
      </c>
      <c r="CI863">
        <f>'Bookings and Drivers'!CQ329</f>
        <v>0</v>
      </c>
      <c r="CJ863">
        <f>'Bookings and Drivers'!CR329</f>
        <v>0</v>
      </c>
      <c r="CK863">
        <f>'Bookings and Drivers'!CS329</f>
        <v>0</v>
      </c>
      <c r="CL863">
        <f>'Bookings and Drivers'!CT329</f>
        <v>0</v>
      </c>
      <c r="CM863">
        <f>'Bookings and Drivers'!CU329</f>
        <v>0</v>
      </c>
      <c r="CN863">
        <f>'Bookings and Drivers'!CV329</f>
        <v>0</v>
      </c>
      <c r="CO863">
        <f>'Bookings and Drivers'!CW329</f>
        <v>0</v>
      </c>
      <c r="CP863">
        <f>'Bookings and Drivers'!CX329</f>
        <v>0</v>
      </c>
      <c r="CQ863">
        <f>'Bookings and Drivers'!CY329</f>
        <v>0</v>
      </c>
      <c r="CR863">
        <f>'Bookings and Drivers'!CZ329</f>
        <v>0</v>
      </c>
      <c r="CS863">
        <f>'Bookings and Drivers'!DA329</f>
        <v>0</v>
      </c>
      <c r="CT863">
        <f>'Bookings and Drivers'!DB329</f>
        <v>0</v>
      </c>
      <c r="CU863">
        <f>'Bookings and Drivers'!DC329</f>
        <v>0</v>
      </c>
      <c r="CV863">
        <f>'Bookings and Drivers'!DD329</f>
        <v>0</v>
      </c>
      <c r="CW863">
        <f>'Bookings and Drivers'!DE329</f>
        <v>0</v>
      </c>
      <c r="CX863">
        <f>'Bookings and Drivers'!DF329</f>
        <v>0</v>
      </c>
    </row>
    <row r="864" spans="1:102">
      <c r="A864" t="str">
        <f>'Bookings and Drivers'!I330</f>
        <v>Avg Ticket Price Rate</v>
      </c>
      <c r="B864">
        <f>'Bookings and Drivers'!J330</f>
        <v>0</v>
      </c>
      <c r="C864">
        <f>'Bookings and Drivers'!K330</f>
        <v>0</v>
      </c>
      <c r="D864">
        <f>'Bookings and Drivers'!L330</f>
        <v>0</v>
      </c>
      <c r="E864">
        <f>'Bookings and Drivers'!M330</f>
        <v>0</v>
      </c>
      <c r="F864">
        <f>'Bookings and Drivers'!N330</f>
        <v>0</v>
      </c>
      <c r="G864">
        <f>'Bookings and Drivers'!O330</f>
        <v>0</v>
      </c>
      <c r="H864">
        <f>'Bookings and Drivers'!P330</f>
        <v>0</v>
      </c>
      <c r="I864">
        <f>'Bookings and Drivers'!Q330</f>
        <v>0</v>
      </c>
      <c r="J864">
        <f>'Bookings and Drivers'!R330</f>
        <v>0</v>
      </c>
      <c r="K864">
        <f>'Bookings and Drivers'!S330</f>
        <v>0</v>
      </c>
      <c r="L864">
        <f>'Bookings and Drivers'!T330</f>
        <v>0</v>
      </c>
      <c r="M864">
        <f>'Bookings and Drivers'!U330</f>
        <v>0</v>
      </c>
      <c r="N864">
        <f>'Bookings and Drivers'!V330</f>
        <v>0</v>
      </c>
      <c r="O864">
        <f>'Bookings and Drivers'!W330</f>
        <v>0</v>
      </c>
      <c r="P864">
        <f>'Bookings and Drivers'!X330</f>
        <v>0</v>
      </c>
      <c r="Q864">
        <f>'Bookings and Drivers'!Y330</f>
        <v>0</v>
      </c>
      <c r="R864">
        <f>'Bookings and Drivers'!Z330</f>
        <v>0</v>
      </c>
      <c r="S864">
        <f>'Bookings and Drivers'!AA330</f>
        <v>0</v>
      </c>
      <c r="T864">
        <f>'Bookings and Drivers'!AB330</f>
        <v>0</v>
      </c>
      <c r="U864">
        <f>'Bookings and Drivers'!AC330</f>
        <v>0</v>
      </c>
      <c r="V864">
        <f>'Bookings and Drivers'!AD330</f>
        <v>0</v>
      </c>
      <c r="W864">
        <f>'Bookings and Drivers'!AE330</f>
        <v>0</v>
      </c>
      <c r="X864">
        <f>'Bookings and Drivers'!AF330</f>
        <v>0</v>
      </c>
      <c r="Y864">
        <f>'Bookings and Drivers'!AG330</f>
        <v>275</v>
      </c>
      <c r="Z864">
        <f>'Bookings and Drivers'!AH330</f>
        <v>290</v>
      </c>
      <c r="AA864">
        <f>'Bookings and Drivers'!AI330</f>
        <v>285</v>
      </c>
      <c r="AB864">
        <f>'Bookings and Drivers'!AJ330</f>
        <v>260</v>
      </c>
      <c r="AC864">
        <f>'Bookings and Drivers'!AK330</f>
        <v>280.5</v>
      </c>
      <c r="AD864">
        <f>'Bookings and Drivers'!AL330</f>
        <v>319</v>
      </c>
      <c r="AE864">
        <f>'Bookings and Drivers'!AM330</f>
        <v>290.7</v>
      </c>
      <c r="AF864">
        <f>'Bookings and Drivers'!AN330</f>
        <v>275.60000000000002</v>
      </c>
      <c r="AG864">
        <f>'Bookings and Drivers'!AO330</f>
        <v>293.73113207547175</v>
      </c>
      <c r="AH864">
        <f>'Bookings and Drivers'!AP330</f>
        <v>339.54907975460122</v>
      </c>
      <c r="AI864">
        <f>'Bookings and Drivers'!AQ330</f>
        <v>318.17469512195117</v>
      </c>
      <c r="AJ864">
        <f>'Bookings and Drivers'!AR330</f>
        <v>288.12727272727273</v>
      </c>
      <c r="AK864">
        <f>'Bookings and Drivers'!AS330</f>
        <v>276.97169811320759</v>
      </c>
      <c r="AL864">
        <f>'Bookings and Drivers'!AT330</f>
        <v>295.51533742331287</v>
      </c>
      <c r="AM864">
        <f>'Bookings and Drivers'!AU330</f>
        <v>272.08810975609754</v>
      </c>
      <c r="AN864">
        <f>'Bookings and Drivers'!AV330</f>
        <v>267.24848484848485</v>
      </c>
      <c r="AO864">
        <f>'Bookings and Drivers'!AW330</f>
        <v>289.32075471698118</v>
      </c>
      <c r="AP864">
        <f>'Bookings and Drivers'!AX330</f>
        <v>333.67791411042947</v>
      </c>
      <c r="AQ864">
        <f>'Bookings and Drivers'!AY330</f>
        <v>301.33536585365852</v>
      </c>
      <c r="AR864">
        <f>'Bookings and Drivers'!AZ330</f>
        <v>283.28339393939393</v>
      </c>
      <c r="AS864">
        <f>'Bookings and Drivers'!BA330</f>
        <v>324.03924528301894</v>
      </c>
      <c r="AT864">
        <f>'Bookings and Drivers'!BB330</f>
        <v>347.02503067484668</v>
      </c>
      <c r="AU864">
        <f>'Bookings and Drivers'!BC330</f>
        <v>322.42884146341464</v>
      </c>
      <c r="AV864">
        <f>'Bookings and Drivers'!BD330</f>
        <v>314.44456727272728</v>
      </c>
      <c r="AW864">
        <f>'Bookings and Drivers'!BE330</f>
        <v>340.24120754716989</v>
      </c>
      <c r="AX864">
        <f>'Bookings and Drivers'!BF330</f>
        <v>371.31678282208594</v>
      </c>
      <c r="AY864">
        <f>'Bookings and Drivers'!BG330</f>
        <v>338.55028353658537</v>
      </c>
      <c r="AZ864">
        <f>'Bookings and Drivers'!BH330</f>
        <v>327.02234996363637</v>
      </c>
      <c r="BA864">
        <f>'Bookings and Drivers'!BI330</f>
        <v>350.44844377358498</v>
      </c>
      <c r="BB864">
        <f>'Bookings and Drivers'!BJ330</f>
        <v>397.308957619632</v>
      </c>
      <c r="BC864">
        <f>'Bookings and Drivers'!BK330</f>
        <v>355.47779771341465</v>
      </c>
      <c r="BD864">
        <f>'Bookings and Drivers'!BL330</f>
        <v>340.10324396218186</v>
      </c>
      <c r="BE864">
        <f>'Bookings and Drivers'!BM330</f>
        <v>360.96189708679253</v>
      </c>
      <c r="BF864">
        <f>'Bookings and Drivers'!BN330</f>
        <v>425.12058465300623</v>
      </c>
      <c r="BG864">
        <f>'Bookings and Drivers'!BO330</f>
        <v>373.25168759908541</v>
      </c>
      <c r="BH864">
        <f>'Bookings and Drivers'!BP330</f>
        <v>353.70737372066912</v>
      </c>
      <c r="BI864">
        <f>'Bookings and Drivers'!BQ330</f>
        <v>371.79075399939632</v>
      </c>
      <c r="BJ864">
        <f>'Bookings and Drivers'!BR330</f>
        <v>454.87902557871672</v>
      </c>
      <c r="BK864">
        <f>'Bookings and Drivers'!BS330</f>
        <v>391.91427197903971</v>
      </c>
      <c r="BL864">
        <f>'Bookings and Drivers'!BT330</f>
        <v>367.85566866949591</v>
      </c>
      <c r="BM864">
        <f>'Bookings and Drivers'!BU330</f>
        <v>382.94447661937824</v>
      </c>
      <c r="BN864">
        <f>'Bookings and Drivers'!BV330</f>
        <v>486.72055736922692</v>
      </c>
      <c r="BO864">
        <f>'Bookings and Drivers'!BW330</f>
        <v>411.5099855779917</v>
      </c>
      <c r="BP864">
        <f>'Bookings and Drivers'!BX330</f>
        <v>382.56989541627576</v>
      </c>
      <c r="BQ864">
        <f>'Bookings and Drivers'!BY330</f>
        <v>394.43281091795961</v>
      </c>
      <c r="BR864">
        <f>'Bookings and Drivers'!BZ330</f>
        <v>520.79099638507284</v>
      </c>
      <c r="BS864">
        <f>'Bookings and Drivers'!CA330</f>
        <v>432.0854848568913</v>
      </c>
      <c r="BT864">
        <f>'Bookings and Drivers'!CB330</f>
        <v>397.8726912329268</v>
      </c>
      <c r="BU864">
        <f>'Bookings and Drivers'!CC330</f>
        <v>406.2657952454984</v>
      </c>
      <c r="BV864">
        <f>'Bookings and Drivers'!CD330</f>
        <v>557.24636613202802</v>
      </c>
      <c r="BW864">
        <f>'Bookings and Drivers'!CE330</f>
        <v>453.68975909973591</v>
      </c>
      <c r="BX864">
        <f>'Bookings and Drivers'!CF330</f>
        <v>413.78759888224386</v>
      </c>
      <c r="BY864">
        <f>'Bookings and Drivers'!CG330</f>
        <v>0</v>
      </c>
      <c r="BZ864">
        <f>'Bookings and Drivers'!CH330</f>
        <v>0</v>
      </c>
      <c r="CA864">
        <f>'Bookings and Drivers'!CI330</f>
        <v>0</v>
      </c>
      <c r="CB864">
        <f>'Bookings and Drivers'!CJ330</f>
        <v>0</v>
      </c>
      <c r="CC864">
        <f>'Bookings and Drivers'!CK330</f>
        <v>0</v>
      </c>
      <c r="CD864">
        <f>'Bookings and Drivers'!CL330</f>
        <v>0</v>
      </c>
      <c r="CE864">
        <f>'Bookings and Drivers'!CM330</f>
        <v>278.62290403139491</v>
      </c>
      <c r="CF864">
        <f>'Bookings and Drivers'!CN330</f>
        <v>291.03911413969331</v>
      </c>
      <c r="CG864">
        <f>'Bookings and Drivers'!CO330</f>
        <v>301.3187757625721</v>
      </c>
      <c r="CH864">
        <f>'Bookings and Drivers'!CP330</f>
        <v>274.40739549839219</v>
      </c>
      <c r="CI864">
        <f>'Bookings and Drivers'!CQ330</f>
        <v>336.28977433479298</v>
      </c>
      <c r="CJ864">
        <f>'Bookings and Drivers'!CR330</f>
        <v>327.70061668624629</v>
      </c>
      <c r="CK864">
        <f>'Bookings and Drivers'!CS330</f>
        <v>345.15488044286002</v>
      </c>
      <c r="CL864">
        <f>'Bookings and Drivers'!CT330</f>
        <v>360.46192248350604</v>
      </c>
      <c r="CM864">
        <f>'Bookings and Drivers'!CU330</f>
        <v>379.80550416259064</v>
      </c>
      <c r="CN864">
        <f>'Bookings and Drivers'!CV330</f>
        <v>398.46290287311803</v>
      </c>
      <c r="CO864">
        <f>'Bookings and Drivers'!CW330</f>
        <v>418.72903807089864</v>
      </c>
      <c r="CP864">
        <f>'Bookings and Drivers'!CX330</f>
        <v>437.47021498186331</v>
      </c>
      <c r="CQ864">
        <f>'Bookings and Drivers'!CY330</f>
        <v>459.08038248705634</v>
      </c>
      <c r="CR864">
        <f>'Bookings and Drivers'!CZ330</f>
        <v>481.75804972962436</v>
      </c>
      <c r="CS864">
        <f>'Bookings and Drivers'!DA330</f>
        <v>505.55594909533073</v>
      </c>
      <c r="CT864">
        <f>'Bookings and Drivers'!DB330</f>
        <v>530.52941784599727</v>
      </c>
      <c r="CU864">
        <f>'Bookings and Drivers'!DC330</f>
        <v>556.73652679525424</v>
      </c>
      <c r="CV864">
        <f>'Bookings and Drivers'!DD330</f>
        <v>584.23821534061869</v>
      </c>
      <c r="CW864">
        <f>'Bookings and Drivers'!DE330</f>
        <v>613.09843316589229</v>
      </c>
      <c r="CX864">
        <f>'Bookings and Drivers'!DF330</f>
        <v>643.3842889433779</v>
      </c>
    </row>
    <row r="865" spans="1:102">
      <c r="A865" t="str">
        <f>'Bookings and Drivers'!I331</f>
        <v>% change Y/Y</v>
      </c>
      <c r="B865">
        <f>'Bookings and Drivers'!J331</f>
        <v>0</v>
      </c>
      <c r="C865">
        <f>'Bookings and Drivers'!K331</f>
        <v>0</v>
      </c>
      <c r="D865">
        <f>'Bookings and Drivers'!L331</f>
        <v>0</v>
      </c>
      <c r="E865">
        <f>'Bookings and Drivers'!M331</f>
        <v>0</v>
      </c>
      <c r="F865">
        <f>'Bookings and Drivers'!N331</f>
        <v>0</v>
      </c>
      <c r="G865">
        <f>'Bookings and Drivers'!O331</f>
        <v>0</v>
      </c>
      <c r="H865">
        <f>'Bookings and Drivers'!P331</f>
        <v>0</v>
      </c>
      <c r="I865">
        <f>'Bookings and Drivers'!Q331</f>
        <v>0</v>
      </c>
      <c r="J865">
        <f>'Bookings and Drivers'!R331</f>
        <v>0</v>
      </c>
      <c r="K865">
        <f>'Bookings and Drivers'!S331</f>
        <v>0</v>
      </c>
      <c r="L865">
        <f>'Bookings and Drivers'!T331</f>
        <v>0</v>
      </c>
      <c r="M865">
        <f>'Bookings and Drivers'!U331</f>
        <v>0</v>
      </c>
      <c r="N865">
        <f>'Bookings and Drivers'!V331</f>
        <v>0</v>
      </c>
      <c r="O865">
        <f>'Bookings and Drivers'!W331</f>
        <v>0</v>
      </c>
      <c r="P865">
        <f>'Bookings and Drivers'!X331</f>
        <v>0</v>
      </c>
      <c r="Q865">
        <f>'Bookings and Drivers'!Y331</f>
        <v>0</v>
      </c>
      <c r="R865">
        <f>'Bookings and Drivers'!Z331</f>
        <v>0</v>
      </c>
      <c r="S865">
        <f>'Bookings and Drivers'!AA331</f>
        <v>0</v>
      </c>
      <c r="T865">
        <f>'Bookings and Drivers'!AB331</f>
        <v>0</v>
      </c>
      <c r="U865">
        <f>'Bookings and Drivers'!AC331</f>
        <v>0</v>
      </c>
      <c r="V865">
        <f>'Bookings and Drivers'!AD331</f>
        <v>0</v>
      </c>
      <c r="W865">
        <f>'Bookings and Drivers'!AE331</f>
        <v>0</v>
      </c>
      <c r="X865">
        <f>'Bookings and Drivers'!AF331</f>
        <v>0</v>
      </c>
      <c r="Y865">
        <f>'Bookings and Drivers'!AG331</f>
        <v>0</v>
      </c>
      <c r="Z865">
        <f>'Bookings and Drivers'!AH331</f>
        <v>0</v>
      </c>
      <c r="AA865">
        <f>'Bookings and Drivers'!AI331</f>
        <v>0</v>
      </c>
      <c r="AB865">
        <f>'Bookings and Drivers'!AJ331</f>
        <v>0</v>
      </c>
      <c r="AC865">
        <f>'Bookings and Drivers'!AK331</f>
        <v>0.02</v>
      </c>
      <c r="AD865">
        <f>'Bookings and Drivers'!AL331</f>
        <v>0.1</v>
      </c>
      <c r="AE865">
        <f>'Bookings and Drivers'!AM331</f>
        <v>0.02</v>
      </c>
      <c r="AF865">
        <f>'Bookings and Drivers'!AN331</f>
        <v>0.06</v>
      </c>
      <c r="AG865">
        <f>'Bookings and Drivers'!AO331</f>
        <v>4.7169811320754818E-2</v>
      </c>
      <c r="AH865">
        <f>'Bookings and Drivers'!AP331</f>
        <v>6.4417177914110502E-2</v>
      </c>
      <c r="AI865">
        <f>'Bookings and Drivers'!AQ331</f>
        <v>9.4512195121951192E-2</v>
      </c>
      <c r="AJ865">
        <f>'Bookings and Drivers'!AR331</f>
        <v>4.5454545454545414E-2</v>
      </c>
      <c r="AK865">
        <f>'Bookings and Drivers'!AS331</f>
        <v>-5.7057057057057103E-2</v>
      </c>
      <c r="AL865">
        <f>'Bookings and Drivers'!AT331</f>
        <v>-0.12968299711815567</v>
      </c>
      <c r="AM865">
        <f>'Bookings and Drivers'!AU331</f>
        <v>-0.14484679665738154</v>
      </c>
      <c r="AN865">
        <f>'Bookings and Drivers'!AV331</f>
        <v>-7.2463768115942018E-2</v>
      </c>
      <c r="AO865">
        <f>'Bookings and Drivers'!AW331</f>
        <v>4.4585987261146487E-2</v>
      </c>
      <c r="AP865">
        <f>'Bookings and Drivers'!AX331</f>
        <v>0.12913907284768222</v>
      </c>
      <c r="AQ865">
        <f>'Bookings and Drivers'!AY331</f>
        <v>0.10749185667752448</v>
      </c>
      <c r="AR865">
        <f>'Bookings and Drivers'!AZ331</f>
        <v>0.06</v>
      </c>
      <c r="AS865">
        <f>'Bookings and Drivers'!BA331</f>
        <v>0.12</v>
      </c>
      <c r="AT865">
        <f>'Bookings and Drivers'!BB331</f>
        <v>0.04</v>
      </c>
      <c r="AU865">
        <f>'Bookings and Drivers'!BC331</f>
        <v>7.0000000000000007E-2</v>
      </c>
      <c r="AV865">
        <f>'Bookings and Drivers'!BD331</f>
        <v>0.11</v>
      </c>
      <c r="AW865">
        <f>'Bookings and Drivers'!BE331</f>
        <v>0.05</v>
      </c>
      <c r="AX865">
        <f>'Bookings and Drivers'!BF331</f>
        <v>7.0000000000000007E-2</v>
      </c>
      <c r="AY865">
        <f>'Bookings and Drivers'!BG331</f>
        <v>0.05</v>
      </c>
      <c r="AZ865">
        <f>'Bookings and Drivers'!BH331</f>
        <v>0.04</v>
      </c>
      <c r="BA865">
        <f>'Bookings and Drivers'!BI331</f>
        <v>0.03</v>
      </c>
      <c r="BB865">
        <f>'Bookings and Drivers'!BJ331</f>
        <v>7.0000000000000007E-2</v>
      </c>
      <c r="BC865">
        <f>'Bookings and Drivers'!BK331</f>
        <v>0.05</v>
      </c>
      <c r="BD865">
        <f>'Bookings and Drivers'!BL331</f>
        <v>0.04</v>
      </c>
      <c r="BE865">
        <f>'Bookings and Drivers'!BM331</f>
        <v>0.03</v>
      </c>
      <c r="BF865">
        <f>'Bookings and Drivers'!BN331</f>
        <v>7.0000000000000007E-2</v>
      </c>
      <c r="BG865">
        <f>'Bookings and Drivers'!BO331</f>
        <v>0.05</v>
      </c>
      <c r="BH865">
        <f>'Bookings and Drivers'!BP331</f>
        <v>0.04</v>
      </c>
      <c r="BI865">
        <f>'Bookings and Drivers'!BQ331</f>
        <v>0.03</v>
      </c>
      <c r="BJ865">
        <f>'Bookings and Drivers'!BR331</f>
        <v>7.0000000000000007E-2</v>
      </c>
      <c r="BK865">
        <f>'Bookings and Drivers'!BS331</f>
        <v>0.05</v>
      </c>
      <c r="BL865">
        <f>'Bookings and Drivers'!BT331</f>
        <v>0.04</v>
      </c>
      <c r="BM865">
        <f>'Bookings and Drivers'!BU331</f>
        <v>0.03</v>
      </c>
      <c r="BN865">
        <f>'Bookings and Drivers'!BV331</f>
        <v>7.0000000000000007E-2</v>
      </c>
      <c r="BO865">
        <f>'Bookings and Drivers'!BW331</f>
        <v>0.05</v>
      </c>
      <c r="BP865">
        <f>'Bookings and Drivers'!BX331</f>
        <v>0.04</v>
      </c>
      <c r="BQ865">
        <f>'Bookings and Drivers'!BY331</f>
        <v>0.03</v>
      </c>
      <c r="BR865">
        <f>'Bookings and Drivers'!BZ331</f>
        <v>7.0000000000000007E-2</v>
      </c>
      <c r="BS865">
        <f>'Bookings and Drivers'!CA331</f>
        <v>0.05</v>
      </c>
      <c r="BT865">
        <f>'Bookings and Drivers'!CB331</f>
        <v>0.04</v>
      </c>
      <c r="BU865">
        <f>'Bookings and Drivers'!CC331</f>
        <v>0.03</v>
      </c>
      <c r="BV865">
        <f>'Bookings and Drivers'!CD331</f>
        <v>7.0000000000000007E-2</v>
      </c>
      <c r="BW865">
        <f>'Bookings and Drivers'!CE331</f>
        <v>0.05</v>
      </c>
      <c r="BX865">
        <f>'Bookings and Drivers'!CF331</f>
        <v>0.04</v>
      </c>
      <c r="BY865">
        <f>'Bookings and Drivers'!CG331</f>
        <v>0</v>
      </c>
      <c r="BZ865">
        <f>'Bookings and Drivers'!CH331</f>
        <v>0</v>
      </c>
      <c r="CA865">
        <f>'Bookings and Drivers'!CI331</f>
        <v>0</v>
      </c>
      <c r="CB865">
        <f>'Bookings and Drivers'!CJ331</f>
        <v>0</v>
      </c>
      <c r="CC865">
        <f>'Bookings and Drivers'!CK331</f>
        <v>0</v>
      </c>
      <c r="CD865">
        <f>'Bookings and Drivers'!CL331</f>
        <v>0</v>
      </c>
      <c r="CE865">
        <f>'Bookings and Drivers'!CM331</f>
        <v>0</v>
      </c>
      <c r="CF865">
        <f>'Bookings and Drivers'!CN331</f>
        <v>4.4562776170401719E-2</v>
      </c>
      <c r="CG865">
        <f>'Bookings and Drivers'!CO331</f>
        <v>3.5320550137273754E-2</v>
      </c>
      <c r="CH865">
        <f>'Bookings and Drivers'!CP331</f>
        <v>-8.9311992576875054E-2</v>
      </c>
      <c r="CI865">
        <f>'Bookings and Drivers'!CQ331</f>
        <v>0.22551279539681124</v>
      </c>
      <c r="CJ865">
        <f>'Bookings and Drivers'!CR331</f>
        <v>-2.5540942080492068E-2</v>
      </c>
      <c r="CK865">
        <f>'Bookings and Drivers'!CS331</f>
        <v>5.3262834635813716E-2</v>
      </c>
      <c r="CL865">
        <f>'Bookings and Drivers'!CT331</f>
        <v>4.4348328556171435E-2</v>
      </c>
      <c r="CM865">
        <f>'Bookings and Drivers'!CU331</f>
        <v>5.3663314964896847E-2</v>
      </c>
      <c r="CN865">
        <f>'Bookings and Drivers'!CV331</f>
        <v>4.9123560627863716E-2</v>
      </c>
      <c r="CO865">
        <f>'Bookings and Drivers'!CW331</f>
        <v>5.0860782902627966E-2</v>
      </c>
      <c r="CP865">
        <f>'Bookings and Drivers'!CX331</f>
        <v>4.475728981516558E-2</v>
      </c>
      <c r="CQ865">
        <f>'Bookings and Drivers'!CY331</f>
        <v>4.9398031603337778E-2</v>
      </c>
      <c r="CR865">
        <f>'Bookings and Drivers'!CZ331</f>
        <v>4.9398031603337778E-2</v>
      </c>
      <c r="CS865">
        <f>'Bookings and Drivers'!DA331</f>
        <v>4.9398031603337778E-2</v>
      </c>
      <c r="CT865">
        <f>'Bookings and Drivers'!DB331</f>
        <v>4.9398031603337778E-2</v>
      </c>
      <c r="CU865">
        <f>'Bookings and Drivers'!DC331</f>
        <v>4.9398031603337778E-2</v>
      </c>
      <c r="CV865">
        <f>'Bookings and Drivers'!DD331</f>
        <v>4.9398031603337778E-2</v>
      </c>
      <c r="CW865">
        <f>'Bookings and Drivers'!DE331</f>
        <v>4.9398031603337778E-2</v>
      </c>
      <c r="CX865">
        <f>'Bookings and Drivers'!DF331</f>
        <v>4.9398031603337778E-2</v>
      </c>
    </row>
    <row r="866" spans="1:102">
      <c r="A866" t="str">
        <f>'Bookings and Drivers'!I332</f>
        <v>% change Y/Y (in bp)</v>
      </c>
      <c r="B866">
        <f>'Bookings and Drivers'!J332</f>
        <v>0</v>
      </c>
      <c r="C866">
        <f>'Bookings and Drivers'!K332</f>
        <v>0</v>
      </c>
      <c r="D866">
        <f>'Bookings and Drivers'!L332</f>
        <v>0</v>
      </c>
      <c r="E866">
        <f>'Bookings and Drivers'!M332</f>
        <v>0</v>
      </c>
      <c r="F866">
        <f>'Bookings and Drivers'!N332</f>
        <v>0</v>
      </c>
      <c r="G866">
        <f>'Bookings and Drivers'!O332</f>
        <v>0</v>
      </c>
      <c r="H866">
        <f>'Bookings and Drivers'!P332</f>
        <v>0</v>
      </c>
      <c r="I866">
        <f>'Bookings and Drivers'!Q332</f>
        <v>0</v>
      </c>
      <c r="J866">
        <f>'Bookings and Drivers'!R332</f>
        <v>0</v>
      </c>
      <c r="K866">
        <f>'Bookings and Drivers'!S332</f>
        <v>0</v>
      </c>
      <c r="L866">
        <f>'Bookings and Drivers'!T332</f>
        <v>0</v>
      </c>
      <c r="M866">
        <f>'Bookings and Drivers'!U332</f>
        <v>0</v>
      </c>
      <c r="N866">
        <f>'Bookings and Drivers'!V332</f>
        <v>0</v>
      </c>
      <c r="O866">
        <f>'Bookings and Drivers'!W332</f>
        <v>0</v>
      </c>
      <c r="P866">
        <f>'Bookings and Drivers'!X332</f>
        <v>0</v>
      </c>
      <c r="Q866">
        <f>'Bookings and Drivers'!Y332</f>
        <v>0</v>
      </c>
      <c r="R866">
        <f>'Bookings and Drivers'!Z332</f>
        <v>0</v>
      </c>
      <c r="S866">
        <f>'Bookings and Drivers'!AA332</f>
        <v>0</v>
      </c>
      <c r="T866">
        <f>'Bookings and Drivers'!AB332</f>
        <v>0</v>
      </c>
      <c r="U866">
        <f>'Bookings and Drivers'!AC332</f>
        <v>0</v>
      </c>
      <c r="V866">
        <f>'Bookings and Drivers'!AD332</f>
        <v>0</v>
      </c>
      <c r="W866">
        <f>'Bookings and Drivers'!AE332</f>
        <v>0</v>
      </c>
      <c r="X866">
        <f>'Bookings and Drivers'!AF332</f>
        <v>0</v>
      </c>
      <c r="Y866">
        <f>'Bookings and Drivers'!AG332</f>
        <v>0</v>
      </c>
      <c r="Z866">
        <f>'Bookings and Drivers'!AH332</f>
        <v>0</v>
      </c>
      <c r="AA866">
        <f>'Bookings and Drivers'!AI332</f>
        <v>0</v>
      </c>
      <c r="AB866">
        <f>'Bookings and Drivers'!AJ332</f>
        <v>0</v>
      </c>
      <c r="AC866">
        <f>'Bookings and Drivers'!AK332</f>
        <v>200</v>
      </c>
      <c r="AD866">
        <f>'Bookings and Drivers'!AL332</f>
        <v>1000</v>
      </c>
      <c r="AE866">
        <f>'Bookings and Drivers'!AM332</f>
        <v>200</v>
      </c>
      <c r="AF866">
        <f>'Bookings and Drivers'!AN332</f>
        <v>600</v>
      </c>
      <c r="AG866">
        <f>'Bookings and Drivers'!AO332</f>
        <v>271.69811320754815</v>
      </c>
      <c r="AH866">
        <f>'Bookings and Drivers'!AP332</f>
        <v>-355.82822085889507</v>
      </c>
      <c r="AI866">
        <f>'Bookings and Drivers'!AQ332</f>
        <v>745.12195121951186</v>
      </c>
      <c r="AJ866">
        <f>'Bookings and Drivers'!AR332</f>
        <v>-145.45454545454584</v>
      </c>
      <c r="AK866">
        <f>'Bookings and Drivers'!AS332</f>
        <v>-1042.2686837781191</v>
      </c>
      <c r="AL866">
        <f>'Bookings and Drivers'!AT332</f>
        <v>-1941.0017503226618</v>
      </c>
      <c r="AM866">
        <f>'Bookings and Drivers'!AU332</f>
        <v>-2393.5899177933275</v>
      </c>
      <c r="AN866">
        <f>'Bookings and Drivers'!AV332</f>
        <v>-1179.1831357048743</v>
      </c>
      <c r="AO866">
        <f>'Bookings and Drivers'!AW332</f>
        <v>1016.4304431820359</v>
      </c>
      <c r="AP866">
        <f>'Bookings and Drivers'!AX332</f>
        <v>2588.2206996583791</v>
      </c>
      <c r="AQ866">
        <f>'Bookings and Drivers'!AY332</f>
        <v>2523.3865333490603</v>
      </c>
      <c r="AR866">
        <f>'Bookings and Drivers'!AZ332</f>
        <v>1324.6376811594203</v>
      </c>
      <c r="AS866">
        <f>'Bookings and Drivers'!BA332</f>
        <v>754.14012738853512</v>
      </c>
      <c r="AT866">
        <f>'Bookings and Drivers'!BB332</f>
        <v>-891.39072847682212</v>
      </c>
      <c r="AU866">
        <f>'Bookings and Drivers'!BC332</f>
        <v>-374.9185667752447</v>
      </c>
      <c r="AV866">
        <f>'Bookings and Drivers'!BD332</f>
        <v>500</v>
      </c>
      <c r="AW866">
        <f>'Bookings and Drivers'!BE332</f>
        <v>-699.99999999999989</v>
      </c>
      <c r="AX866">
        <f>'Bookings and Drivers'!BF332</f>
        <v>300.00000000000006</v>
      </c>
      <c r="AY866">
        <f>'Bookings and Drivers'!BG332</f>
        <v>-200.00000000000003</v>
      </c>
      <c r="AZ866">
        <f>'Bookings and Drivers'!BH332</f>
        <v>-700.00000000000011</v>
      </c>
      <c r="BA866">
        <f>'Bookings and Drivers'!BI332</f>
        <v>-200.00000000000003</v>
      </c>
      <c r="BB866">
        <f>'Bookings and Drivers'!BJ332</f>
        <v>0</v>
      </c>
      <c r="BC866">
        <f>'Bookings and Drivers'!BK332</f>
        <v>0</v>
      </c>
      <c r="BD866">
        <f>'Bookings and Drivers'!BL332</f>
        <v>0</v>
      </c>
      <c r="BE866">
        <f>'Bookings and Drivers'!BM332</f>
        <v>0</v>
      </c>
      <c r="BF866">
        <f>'Bookings and Drivers'!BN332</f>
        <v>0</v>
      </c>
      <c r="BG866">
        <f>'Bookings and Drivers'!BO332</f>
        <v>0</v>
      </c>
      <c r="BH866">
        <f>'Bookings and Drivers'!BP332</f>
        <v>0</v>
      </c>
      <c r="BI866">
        <f>'Bookings and Drivers'!BQ332</f>
        <v>0</v>
      </c>
      <c r="BJ866">
        <f>'Bookings and Drivers'!BR332</f>
        <v>0</v>
      </c>
      <c r="BK866">
        <f>'Bookings and Drivers'!BS332</f>
        <v>0</v>
      </c>
      <c r="BL866">
        <f>'Bookings and Drivers'!BT332</f>
        <v>0</v>
      </c>
      <c r="BM866">
        <f>'Bookings and Drivers'!BU332</f>
        <v>0</v>
      </c>
      <c r="BN866">
        <f>'Bookings and Drivers'!BV332</f>
        <v>0</v>
      </c>
      <c r="BO866">
        <f>'Bookings and Drivers'!BW332</f>
        <v>0</v>
      </c>
      <c r="BP866">
        <f>'Bookings and Drivers'!BX332</f>
        <v>0</v>
      </c>
      <c r="BQ866">
        <f>'Bookings and Drivers'!BY332</f>
        <v>0</v>
      </c>
      <c r="BR866">
        <f>'Bookings and Drivers'!BZ332</f>
        <v>0</v>
      </c>
      <c r="BS866">
        <f>'Bookings and Drivers'!CA332</f>
        <v>0</v>
      </c>
      <c r="BT866">
        <f>'Bookings and Drivers'!CB332</f>
        <v>0</v>
      </c>
      <c r="BU866">
        <f>'Bookings and Drivers'!CC332</f>
        <v>0</v>
      </c>
      <c r="BV866">
        <f>'Bookings and Drivers'!CD332</f>
        <v>0</v>
      </c>
      <c r="BW866">
        <f>'Bookings and Drivers'!CE332</f>
        <v>0</v>
      </c>
      <c r="BX866">
        <f>'Bookings and Drivers'!CF332</f>
        <v>0</v>
      </c>
      <c r="BY866">
        <f>'Bookings and Drivers'!CG332</f>
        <v>0</v>
      </c>
      <c r="BZ866">
        <f>'Bookings and Drivers'!CH332</f>
        <v>0</v>
      </c>
      <c r="CA866">
        <f>'Bookings and Drivers'!CI332</f>
        <v>0</v>
      </c>
      <c r="CB866">
        <f>'Bookings and Drivers'!CJ332</f>
        <v>0</v>
      </c>
      <c r="CC866">
        <f>'Bookings and Drivers'!CK332</f>
        <v>0</v>
      </c>
      <c r="CD866">
        <f>'Bookings and Drivers'!CL332</f>
        <v>0</v>
      </c>
      <c r="CE866">
        <f>'Bookings and Drivers'!CM332</f>
        <v>0</v>
      </c>
      <c r="CF866">
        <f>'Bookings and Drivers'!CN332</f>
        <v>445.62776170401719</v>
      </c>
      <c r="CG866">
        <f>'Bookings and Drivers'!CO332</f>
        <v>-92.422260331279645</v>
      </c>
      <c r="CH866">
        <f>'Bookings and Drivers'!CP332</f>
        <v>-1246.325427141488</v>
      </c>
      <c r="CI866">
        <f>'Bookings and Drivers'!CQ332</f>
        <v>3148.2478797368631</v>
      </c>
      <c r="CJ866">
        <f>'Bookings and Drivers'!CR332</f>
        <v>-2510.5373747730332</v>
      </c>
      <c r="CK866">
        <f>'Bookings and Drivers'!CS332</f>
        <v>788.03776716305788</v>
      </c>
      <c r="CL866">
        <f>'Bookings and Drivers'!CT332</f>
        <v>-89.145060796422811</v>
      </c>
      <c r="CM866">
        <f>'Bookings and Drivers'!CU332</f>
        <v>93.149864087254116</v>
      </c>
      <c r="CN866">
        <f>'Bookings and Drivers'!CV332</f>
        <v>-45.397543370331306</v>
      </c>
      <c r="CO866">
        <f>'Bookings and Drivers'!CW332</f>
        <v>17.372222747642496</v>
      </c>
      <c r="CP866">
        <f>'Bookings and Drivers'!CX332</f>
        <v>-61.034930874623861</v>
      </c>
      <c r="CQ866">
        <f>'Bookings and Drivers'!CY332</f>
        <v>46.407417881721983</v>
      </c>
      <c r="CR866">
        <f>'Bookings and Drivers'!CZ332</f>
        <v>0</v>
      </c>
      <c r="CS866">
        <f>'Bookings and Drivers'!DA332</f>
        <v>0</v>
      </c>
      <c r="CT866">
        <f>'Bookings and Drivers'!DB332</f>
        <v>0</v>
      </c>
      <c r="CU866">
        <f>'Bookings and Drivers'!DC332</f>
        <v>0</v>
      </c>
      <c r="CV866">
        <f>'Bookings and Drivers'!DD332</f>
        <v>0</v>
      </c>
      <c r="CW866">
        <f>'Bookings and Drivers'!DE332</f>
        <v>0</v>
      </c>
      <c r="CX866">
        <f>'Bookings and Drivers'!DF332</f>
        <v>0</v>
      </c>
    </row>
    <row r="867" spans="1:102">
      <c r="A867" t="str">
        <f>'Bookings and Drivers'!I333</f>
        <v>Two Year Growth</v>
      </c>
      <c r="B867">
        <f>'Bookings and Drivers'!J333</f>
        <v>0</v>
      </c>
      <c r="C867">
        <f>'Bookings and Drivers'!K333</f>
        <v>0</v>
      </c>
      <c r="D867">
        <f>'Bookings and Drivers'!L333</f>
        <v>0</v>
      </c>
      <c r="E867">
        <f>'Bookings and Drivers'!M333</f>
        <v>0</v>
      </c>
      <c r="F867">
        <f>'Bookings and Drivers'!N333</f>
        <v>0</v>
      </c>
      <c r="G867">
        <f>'Bookings and Drivers'!O333</f>
        <v>0</v>
      </c>
      <c r="H867">
        <f>'Bookings and Drivers'!P333</f>
        <v>0</v>
      </c>
      <c r="I867">
        <f>'Bookings and Drivers'!Q333</f>
        <v>0</v>
      </c>
      <c r="J867">
        <f>'Bookings and Drivers'!R333</f>
        <v>0</v>
      </c>
      <c r="K867">
        <f>'Bookings and Drivers'!S333</f>
        <v>0</v>
      </c>
      <c r="L867">
        <f>'Bookings and Drivers'!T333</f>
        <v>0</v>
      </c>
      <c r="M867">
        <f>'Bookings and Drivers'!U333</f>
        <v>0</v>
      </c>
      <c r="N867">
        <f>'Bookings and Drivers'!V333</f>
        <v>0</v>
      </c>
      <c r="O867">
        <f>'Bookings and Drivers'!W333</f>
        <v>0</v>
      </c>
      <c r="P867">
        <f>'Bookings and Drivers'!X333</f>
        <v>0</v>
      </c>
      <c r="Q867">
        <f>'Bookings and Drivers'!Y333</f>
        <v>0</v>
      </c>
      <c r="R867">
        <f>'Bookings and Drivers'!Z333</f>
        <v>0</v>
      </c>
      <c r="S867">
        <f>'Bookings and Drivers'!AA333</f>
        <v>0</v>
      </c>
      <c r="T867">
        <f>'Bookings and Drivers'!AB333</f>
        <v>0</v>
      </c>
      <c r="U867">
        <f>'Bookings and Drivers'!AC333</f>
        <v>0</v>
      </c>
      <c r="V867">
        <f>'Bookings and Drivers'!AD333</f>
        <v>0</v>
      </c>
      <c r="W867">
        <f>'Bookings and Drivers'!AE333</f>
        <v>0</v>
      </c>
      <c r="X867">
        <f>'Bookings and Drivers'!AF333</f>
        <v>0</v>
      </c>
      <c r="Y867">
        <f>'Bookings and Drivers'!AG333</f>
        <v>0</v>
      </c>
      <c r="Z867">
        <f>'Bookings and Drivers'!AH333</f>
        <v>0</v>
      </c>
      <c r="AA867">
        <f>'Bookings and Drivers'!AI333</f>
        <v>0</v>
      </c>
      <c r="AB867">
        <f>'Bookings and Drivers'!AJ333</f>
        <v>0</v>
      </c>
      <c r="AC867">
        <f>'Bookings and Drivers'!AK333</f>
        <v>0</v>
      </c>
      <c r="AD867">
        <f>'Bookings and Drivers'!AL333</f>
        <v>0</v>
      </c>
      <c r="AE867">
        <f>'Bookings and Drivers'!AM333</f>
        <v>0</v>
      </c>
      <c r="AF867">
        <f>'Bookings and Drivers'!AN333</f>
        <v>0</v>
      </c>
      <c r="AG867">
        <f>'Bookings and Drivers'!AO333</f>
        <v>6.7169811320754821E-2</v>
      </c>
      <c r="AH867">
        <f>'Bookings and Drivers'!AP333</f>
        <v>0.16441717791411051</v>
      </c>
      <c r="AI867">
        <f>'Bookings and Drivers'!AQ333</f>
        <v>0.1145121951219512</v>
      </c>
      <c r="AJ867">
        <f>'Bookings and Drivers'!AR333</f>
        <v>0.10545454545454541</v>
      </c>
      <c r="AK867">
        <f>'Bookings and Drivers'!AS333</f>
        <v>-9.8872457363022859E-3</v>
      </c>
      <c r="AL867">
        <f>'Bookings and Drivers'!AT333</f>
        <v>-6.5265819204045172E-2</v>
      </c>
      <c r="AM867">
        <f>'Bookings and Drivers'!AU333</f>
        <v>-5.0334601535430346E-2</v>
      </c>
      <c r="AN867">
        <f>'Bookings and Drivers'!AV333</f>
        <v>-2.7009222661396604E-2</v>
      </c>
      <c r="AO867">
        <f>'Bookings and Drivers'!AW333</f>
        <v>-1.2471069795910616E-2</v>
      </c>
      <c r="AP867">
        <f>'Bookings and Drivers'!AX333</f>
        <v>-5.4392427047345038E-4</v>
      </c>
      <c r="AQ867">
        <f>'Bookings and Drivers'!AY333</f>
        <v>-3.735493997985706E-2</v>
      </c>
      <c r="AR867">
        <f>'Bookings and Drivers'!AZ333</f>
        <v>-1.246376811594202E-2</v>
      </c>
      <c r="AS867">
        <f>'Bookings and Drivers'!BA333</f>
        <v>0.16458598726114648</v>
      </c>
      <c r="AT867">
        <f>'Bookings and Drivers'!BB333</f>
        <v>0.16913907284768223</v>
      </c>
      <c r="AU867">
        <f>'Bookings and Drivers'!BC333</f>
        <v>0.17749185667752448</v>
      </c>
      <c r="AV867">
        <f>'Bookings and Drivers'!BD333</f>
        <v>0.16999999999999998</v>
      </c>
      <c r="AW867">
        <f>'Bookings and Drivers'!BE333</f>
        <v>0.16999999999999998</v>
      </c>
      <c r="AX867">
        <f>'Bookings and Drivers'!BF333</f>
        <v>0.11000000000000001</v>
      </c>
      <c r="AY867">
        <f>'Bookings and Drivers'!BG333</f>
        <v>0.12000000000000001</v>
      </c>
      <c r="AZ867">
        <f>'Bookings and Drivers'!BH333</f>
        <v>0.15</v>
      </c>
      <c r="BA867">
        <f>'Bookings and Drivers'!BI333</f>
        <v>0.08</v>
      </c>
      <c r="BB867">
        <f>'Bookings and Drivers'!BJ333</f>
        <v>0.14000000000000001</v>
      </c>
      <c r="BC867">
        <f>'Bookings and Drivers'!BK333</f>
        <v>0.1</v>
      </c>
      <c r="BD867">
        <f>'Bookings and Drivers'!BL333</f>
        <v>0.08</v>
      </c>
      <c r="BE867">
        <f>'Bookings and Drivers'!BM333</f>
        <v>0.06</v>
      </c>
      <c r="BF867">
        <f>'Bookings and Drivers'!BN333</f>
        <v>0.14000000000000001</v>
      </c>
      <c r="BG867">
        <f>'Bookings and Drivers'!BO333</f>
        <v>0.1</v>
      </c>
      <c r="BH867">
        <f>'Bookings and Drivers'!BP333</f>
        <v>0.08</v>
      </c>
      <c r="BI867">
        <f>'Bookings and Drivers'!BQ333</f>
        <v>0.06</v>
      </c>
      <c r="BJ867">
        <f>'Bookings and Drivers'!BR333</f>
        <v>0.14000000000000001</v>
      </c>
      <c r="BK867">
        <f>'Bookings and Drivers'!BS333</f>
        <v>0.1</v>
      </c>
      <c r="BL867">
        <f>'Bookings and Drivers'!BT333</f>
        <v>0.08</v>
      </c>
      <c r="BM867">
        <f>'Bookings and Drivers'!BU333</f>
        <v>0.06</v>
      </c>
      <c r="BN867">
        <f>'Bookings and Drivers'!BV333</f>
        <v>0.14000000000000001</v>
      </c>
      <c r="BO867">
        <f>'Bookings and Drivers'!BW333</f>
        <v>0.1</v>
      </c>
      <c r="BP867">
        <f>'Bookings and Drivers'!BX333</f>
        <v>0.08</v>
      </c>
      <c r="BQ867">
        <f>'Bookings and Drivers'!BY333</f>
        <v>0.06</v>
      </c>
      <c r="BR867">
        <f>'Bookings and Drivers'!BZ333</f>
        <v>0.14000000000000001</v>
      </c>
      <c r="BS867">
        <f>'Bookings and Drivers'!CA333</f>
        <v>0.1</v>
      </c>
      <c r="BT867">
        <f>'Bookings and Drivers'!CB333</f>
        <v>0.08</v>
      </c>
      <c r="BU867">
        <f>'Bookings and Drivers'!CC333</f>
        <v>0.06</v>
      </c>
      <c r="BV867">
        <f>'Bookings and Drivers'!CD333</f>
        <v>0.14000000000000001</v>
      </c>
      <c r="BW867">
        <f>'Bookings and Drivers'!CE333</f>
        <v>0.1</v>
      </c>
      <c r="BX867">
        <f>'Bookings and Drivers'!CF333</f>
        <v>0.08</v>
      </c>
      <c r="BY867">
        <f>'Bookings and Drivers'!CG333</f>
        <v>0</v>
      </c>
      <c r="BZ867">
        <f>'Bookings and Drivers'!CH333</f>
        <v>0</v>
      </c>
      <c r="CA867">
        <f>'Bookings and Drivers'!CI333</f>
        <v>0</v>
      </c>
      <c r="CB867">
        <f>'Bookings and Drivers'!CJ333</f>
        <v>0</v>
      </c>
      <c r="CC867">
        <f>'Bookings and Drivers'!CK333</f>
        <v>0</v>
      </c>
      <c r="CD867">
        <f>'Bookings and Drivers'!CL333</f>
        <v>0</v>
      </c>
      <c r="CE867">
        <f>'Bookings and Drivers'!CM333</f>
        <v>0</v>
      </c>
      <c r="CF867">
        <f>'Bookings and Drivers'!CN333</f>
        <v>0</v>
      </c>
      <c r="CG867">
        <f>'Bookings and Drivers'!CO333</f>
        <v>7.9883326307675473E-2</v>
      </c>
      <c r="CH867">
        <f>'Bookings and Drivers'!CP333</f>
        <v>-5.39914424396013E-2</v>
      </c>
      <c r="CI867">
        <f>'Bookings and Drivers'!CQ333</f>
        <v>0.13620080281993618</v>
      </c>
      <c r="CJ867">
        <f>'Bookings and Drivers'!CR333</f>
        <v>0.19997185331631917</v>
      </c>
      <c r="CK867">
        <f>'Bookings and Drivers'!CS333</f>
        <v>2.7721892555321648E-2</v>
      </c>
      <c r="CL867">
        <f>'Bookings and Drivers'!CT333</f>
        <v>9.7611163191985151E-2</v>
      </c>
      <c r="CM867">
        <f>'Bookings and Drivers'!CU333</f>
        <v>9.8011643521068281E-2</v>
      </c>
      <c r="CN867">
        <f>'Bookings and Drivers'!CV333</f>
        <v>0.10278687559276056</v>
      </c>
      <c r="CO867">
        <f>'Bookings and Drivers'!CW333</f>
        <v>9.9984343530491682E-2</v>
      </c>
      <c r="CP867">
        <f>'Bookings and Drivers'!CX333</f>
        <v>9.5618072717793545E-2</v>
      </c>
      <c r="CQ867">
        <f>'Bookings and Drivers'!CY333</f>
        <v>9.4155321418503357E-2</v>
      </c>
      <c r="CR867">
        <f>'Bookings and Drivers'!CZ333</f>
        <v>9.8796063206675555E-2</v>
      </c>
      <c r="CS867">
        <f>'Bookings and Drivers'!DA333</f>
        <v>9.8796063206675555E-2</v>
      </c>
      <c r="CT867">
        <f>'Bookings and Drivers'!DB333</f>
        <v>9.8796063206675555E-2</v>
      </c>
      <c r="CU867">
        <f>'Bookings and Drivers'!DC333</f>
        <v>9.8796063206675555E-2</v>
      </c>
      <c r="CV867">
        <f>'Bookings and Drivers'!DD333</f>
        <v>9.8796063206675555E-2</v>
      </c>
      <c r="CW867">
        <f>'Bookings and Drivers'!DE333</f>
        <v>9.8796063206675555E-2</v>
      </c>
      <c r="CX867">
        <f>'Bookings and Drivers'!DF333</f>
        <v>9.8796063206675555E-2</v>
      </c>
    </row>
    <row r="868" spans="1:102">
      <c r="A868">
        <f>'Bookings and Drivers'!I334</f>
        <v>0</v>
      </c>
      <c r="B868">
        <f>'Bookings and Drivers'!J334</f>
        <v>0</v>
      </c>
      <c r="C868">
        <f>'Bookings and Drivers'!K334</f>
        <v>0</v>
      </c>
      <c r="D868">
        <f>'Bookings and Drivers'!L334</f>
        <v>0</v>
      </c>
      <c r="E868">
        <f>'Bookings and Drivers'!M334</f>
        <v>0</v>
      </c>
      <c r="F868">
        <f>'Bookings and Drivers'!N334</f>
        <v>0</v>
      </c>
      <c r="G868">
        <f>'Bookings and Drivers'!O334</f>
        <v>0</v>
      </c>
      <c r="H868">
        <f>'Bookings and Drivers'!P334</f>
        <v>0</v>
      </c>
      <c r="I868">
        <f>'Bookings and Drivers'!Q334</f>
        <v>0</v>
      </c>
      <c r="J868">
        <f>'Bookings and Drivers'!R334</f>
        <v>0</v>
      </c>
      <c r="K868">
        <f>'Bookings and Drivers'!S334</f>
        <v>0</v>
      </c>
      <c r="L868">
        <f>'Bookings and Drivers'!T334</f>
        <v>0</v>
      </c>
      <c r="M868">
        <f>'Bookings and Drivers'!U334</f>
        <v>0</v>
      </c>
      <c r="N868">
        <f>'Bookings and Drivers'!V334</f>
        <v>0</v>
      </c>
      <c r="O868">
        <f>'Bookings and Drivers'!W334</f>
        <v>0</v>
      </c>
      <c r="P868">
        <f>'Bookings and Drivers'!X334</f>
        <v>0</v>
      </c>
      <c r="Q868">
        <f>'Bookings and Drivers'!Y334</f>
        <v>0</v>
      </c>
      <c r="R868">
        <f>'Bookings and Drivers'!Z334</f>
        <v>0</v>
      </c>
      <c r="S868">
        <f>'Bookings and Drivers'!AA334</f>
        <v>0</v>
      </c>
      <c r="T868">
        <f>'Bookings and Drivers'!AB334</f>
        <v>0</v>
      </c>
      <c r="U868">
        <f>'Bookings and Drivers'!AC334</f>
        <v>0</v>
      </c>
      <c r="V868">
        <f>'Bookings and Drivers'!AD334</f>
        <v>0</v>
      </c>
      <c r="W868">
        <f>'Bookings and Drivers'!AE334</f>
        <v>0</v>
      </c>
      <c r="X868">
        <f>'Bookings and Drivers'!AF334</f>
        <v>0</v>
      </c>
      <c r="Y868">
        <f>'Bookings and Drivers'!AG334</f>
        <v>0</v>
      </c>
      <c r="Z868">
        <f>'Bookings and Drivers'!AH334</f>
        <v>0</v>
      </c>
      <c r="AA868">
        <f>'Bookings and Drivers'!AI334</f>
        <v>0</v>
      </c>
      <c r="AB868">
        <f>'Bookings and Drivers'!AJ334</f>
        <v>0</v>
      </c>
      <c r="AC868">
        <f>'Bookings and Drivers'!AK334</f>
        <v>0</v>
      </c>
      <c r="AD868">
        <f>'Bookings and Drivers'!AL334</f>
        <v>0</v>
      </c>
      <c r="AE868">
        <f>'Bookings and Drivers'!AM334</f>
        <v>0</v>
      </c>
      <c r="AF868">
        <f>'Bookings and Drivers'!AN334</f>
        <v>0</v>
      </c>
      <c r="AG868">
        <f>'Bookings and Drivers'!AO334</f>
        <v>0</v>
      </c>
      <c r="AH868">
        <f>'Bookings and Drivers'!AP334</f>
        <v>0</v>
      </c>
      <c r="AI868">
        <f>'Bookings and Drivers'!AQ334</f>
        <v>0</v>
      </c>
      <c r="AJ868">
        <f>'Bookings and Drivers'!AR334</f>
        <v>0</v>
      </c>
      <c r="AK868">
        <f>'Bookings and Drivers'!AS334</f>
        <v>0</v>
      </c>
      <c r="AL868">
        <f>'Bookings and Drivers'!AT334</f>
        <v>0</v>
      </c>
      <c r="AM868">
        <f>'Bookings and Drivers'!AU334</f>
        <v>0</v>
      </c>
      <c r="AN868">
        <f>'Bookings and Drivers'!AV334</f>
        <v>0</v>
      </c>
      <c r="AO868">
        <f>'Bookings and Drivers'!AW334</f>
        <v>0</v>
      </c>
      <c r="AP868">
        <f>'Bookings and Drivers'!AX334</f>
        <v>0</v>
      </c>
      <c r="AQ868">
        <f>'Bookings and Drivers'!AY334</f>
        <v>0</v>
      </c>
      <c r="AR868">
        <f>'Bookings and Drivers'!AZ334</f>
        <v>0</v>
      </c>
      <c r="AS868">
        <f>'Bookings and Drivers'!BA334</f>
        <v>0</v>
      </c>
      <c r="AT868">
        <f>'Bookings and Drivers'!BB334</f>
        <v>0</v>
      </c>
      <c r="AU868">
        <f>'Bookings and Drivers'!BC334</f>
        <v>0</v>
      </c>
      <c r="AV868">
        <f>'Bookings and Drivers'!BD334</f>
        <v>0</v>
      </c>
      <c r="AW868">
        <f>'Bookings and Drivers'!BE334</f>
        <v>0</v>
      </c>
      <c r="AX868">
        <f>'Bookings and Drivers'!BF334</f>
        <v>0</v>
      </c>
      <c r="AY868">
        <f>'Bookings and Drivers'!BG334</f>
        <v>0</v>
      </c>
      <c r="AZ868">
        <f>'Bookings and Drivers'!BH334</f>
        <v>0</v>
      </c>
      <c r="BA868">
        <f>'Bookings and Drivers'!BI334</f>
        <v>0</v>
      </c>
      <c r="BB868">
        <f>'Bookings and Drivers'!BJ334</f>
        <v>0</v>
      </c>
      <c r="BC868">
        <f>'Bookings and Drivers'!BK334</f>
        <v>0</v>
      </c>
      <c r="BD868">
        <f>'Bookings and Drivers'!BL334</f>
        <v>0</v>
      </c>
      <c r="BE868">
        <f>'Bookings and Drivers'!BM334</f>
        <v>0</v>
      </c>
      <c r="BF868">
        <f>'Bookings and Drivers'!BN334</f>
        <v>0</v>
      </c>
      <c r="BG868">
        <f>'Bookings and Drivers'!BO334</f>
        <v>0</v>
      </c>
      <c r="BH868">
        <f>'Bookings and Drivers'!BP334</f>
        <v>0</v>
      </c>
      <c r="BI868">
        <f>'Bookings and Drivers'!BQ334</f>
        <v>0</v>
      </c>
      <c r="BJ868">
        <f>'Bookings and Drivers'!BR334</f>
        <v>0</v>
      </c>
      <c r="BK868">
        <f>'Bookings and Drivers'!BS334</f>
        <v>0</v>
      </c>
      <c r="BL868">
        <f>'Bookings and Drivers'!BT334</f>
        <v>0</v>
      </c>
      <c r="BM868">
        <f>'Bookings and Drivers'!BU334</f>
        <v>0</v>
      </c>
      <c r="BN868">
        <f>'Bookings and Drivers'!BV334</f>
        <v>0</v>
      </c>
      <c r="BO868">
        <f>'Bookings and Drivers'!BW334</f>
        <v>0</v>
      </c>
      <c r="BP868">
        <f>'Bookings and Drivers'!BX334</f>
        <v>0</v>
      </c>
      <c r="BQ868">
        <f>'Bookings and Drivers'!BY334</f>
        <v>0</v>
      </c>
      <c r="BR868">
        <f>'Bookings and Drivers'!BZ334</f>
        <v>0</v>
      </c>
      <c r="BS868">
        <f>'Bookings and Drivers'!CA334</f>
        <v>0</v>
      </c>
      <c r="BT868">
        <f>'Bookings and Drivers'!CB334</f>
        <v>0</v>
      </c>
      <c r="BU868">
        <f>'Bookings and Drivers'!CC334</f>
        <v>0</v>
      </c>
      <c r="BV868">
        <f>'Bookings and Drivers'!CD334</f>
        <v>0</v>
      </c>
      <c r="BW868">
        <f>'Bookings and Drivers'!CE334</f>
        <v>0</v>
      </c>
      <c r="BX868">
        <f>'Bookings and Drivers'!CF334</f>
        <v>0</v>
      </c>
      <c r="BY868">
        <f>'Bookings and Drivers'!CG334</f>
        <v>0</v>
      </c>
      <c r="BZ868">
        <f>'Bookings and Drivers'!CH334</f>
        <v>0</v>
      </c>
      <c r="CA868">
        <f>'Bookings and Drivers'!CI334</f>
        <v>0</v>
      </c>
      <c r="CB868">
        <f>'Bookings and Drivers'!CJ334</f>
        <v>0</v>
      </c>
      <c r="CC868">
        <f>'Bookings and Drivers'!CK334</f>
        <v>0</v>
      </c>
      <c r="CD868">
        <f>'Bookings and Drivers'!CL334</f>
        <v>0</v>
      </c>
      <c r="CE868">
        <f>'Bookings and Drivers'!CM334</f>
        <v>0</v>
      </c>
      <c r="CF868">
        <f>'Bookings and Drivers'!CN334</f>
        <v>0</v>
      </c>
      <c r="CG868">
        <f>'Bookings and Drivers'!CO334</f>
        <v>0</v>
      </c>
      <c r="CH868">
        <f>'Bookings and Drivers'!CP334</f>
        <v>0</v>
      </c>
      <c r="CI868">
        <f>'Bookings and Drivers'!CQ334</f>
        <v>0</v>
      </c>
      <c r="CJ868">
        <f>'Bookings and Drivers'!CR334</f>
        <v>0</v>
      </c>
      <c r="CK868">
        <f>'Bookings and Drivers'!CS334</f>
        <v>0</v>
      </c>
      <c r="CL868">
        <f>'Bookings and Drivers'!CT334</f>
        <v>0</v>
      </c>
      <c r="CM868">
        <f>'Bookings and Drivers'!CU334</f>
        <v>0</v>
      </c>
      <c r="CN868">
        <f>'Bookings and Drivers'!CV334</f>
        <v>0</v>
      </c>
      <c r="CO868">
        <f>'Bookings and Drivers'!CW334</f>
        <v>0</v>
      </c>
      <c r="CP868">
        <f>'Bookings and Drivers'!CX334</f>
        <v>0</v>
      </c>
      <c r="CQ868">
        <f>'Bookings and Drivers'!CY334</f>
        <v>0</v>
      </c>
      <c r="CR868">
        <f>'Bookings and Drivers'!CZ334</f>
        <v>0</v>
      </c>
      <c r="CS868">
        <f>'Bookings and Drivers'!DA334</f>
        <v>0</v>
      </c>
      <c r="CT868">
        <f>'Bookings and Drivers'!DB334</f>
        <v>0</v>
      </c>
      <c r="CU868">
        <f>'Bookings and Drivers'!DC334</f>
        <v>0</v>
      </c>
      <c r="CV868">
        <f>'Bookings and Drivers'!DD334</f>
        <v>0</v>
      </c>
      <c r="CW868">
        <f>'Bookings and Drivers'!DE334</f>
        <v>0</v>
      </c>
      <c r="CX868">
        <f>'Bookings and Drivers'!DF334</f>
        <v>0</v>
      </c>
    </row>
    <row r="869" spans="1:102">
      <c r="A869" t="str">
        <f>'Bookings and Drivers'!I335</f>
        <v>Total Airline Bookings</v>
      </c>
      <c r="B869">
        <f>'Bookings and Drivers'!J335</f>
        <v>0</v>
      </c>
      <c r="C869">
        <f>'Bookings and Drivers'!K335</f>
        <v>0</v>
      </c>
      <c r="D869">
        <f>'Bookings and Drivers'!L335</f>
        <v>0</v>
      </c>
      <c r="E869">
        <f>'Bookings and Drivers'!M335</f>
        <v>0</v>
      </c>
      <c r="F869">
        <f>'Bookings and Drivers'!N335</f>
        <v>0</v>
      </c>
      <c r="G869">
        <f>'Bookings and Drivers'!O335</f>
        <v>0</v>
      </c>
      <c r="H869">
        <f>'Bookings and Drivers'!P335</f>
        <v>0</v>
      </c>
      <c r="I869">
        <f>'Bookings and Drivers'!Q335</f>
        <v>0</v>
      </c>
      <c r="J869">
        <f>'Bookings and Drivers'!R335</f>
        <v>0</v>
      </c>
      <c r="K869">
        <f>'Bookings and Drivers'!S335</f>
        <v>0</v>
      </c>
      <c r="L869">
        <f>'Bookings and Drivers'!T335</f>
        <v>0</v>
      </c>
      <c r="M869">
        <f>'Bookings and Drivers'!U335</f>
        <v>0</v>
      </c>
      <c r="N869">
        <f>'Bookings and Drivers'!V335</f>
        <v>0</v>
      </c>
      <c r="O869">
        <f>'Bookings and Drivers'!W335</f>
        <v>0</v>
      </c>
      <c r="P869">
        <f>'Bookings and Drivers'!X335</f>
        <v>0</v>
      </c>
      <c r="Q869">
        <f>'Bookings and Drivers'!Y335</f>
        <v>0</v>
      </c>
      <c r="R869">
        <f>'Bookings and Drivers'!Z335</f>
        <v>0</v>
      </c>
      <c r="S869">
        <f>'Bookings and Drivers'!AA335</f>
        <v>0</v>
      </c>
      <c r="T869">
        <f>'Bookings and Drivers'!AB335</f>
        <v>0</v>
      </c>
      <c r="U869">
        <f>'Bookings and Drivers'!AC335</f>
        <v>0</v>
      </c>
      <c r="V869">
        <f>'Bookings and Drivers'!AD335</f>
        <v>0</v>
      </c>
      <c r="W869">
        <f>'Bookings and Drivers'!AE335</f>
        <v>0</v>
      </c>
      <c r="X869">
        <f>'Bookings and Drivers'!AF335</f>
        <v>0</v>
      </c>
      <c r="Y869">
        <f>'Bookings and Drivers'!AG335</f>
        <v>200.2</v>
      </c>
      <c r="Z869">
        <f>'Bookings and Drivers'!AH335</f>
        <v>238.09</v>
      </c>
      <c r="AA869">
        <f>'Bookings and Drivers'!AI335</f>
        <v>189.81</v>
      </c>
      <c r="AB869">
        <f>'Bookings and Drivers'!AJ335</f>
        <v>152.88</v>
      </c>
      <c r="AC869">
        <f>'Bookings and Drivers'!AK335</f>
        <v>179.23949999999999</v>
      </c>
      <c r="AD869">
        <f>'Bookings and Drivers'!AL335</f>
        <v>219.15299999999999</v>
      </c>
      <c r="AE869">
        <f>'Bookings and Drivers'!AM335</f>
        <v>238.08329999999998</v>
      </c>
      <c r="AF869">
        <f>'Bookings and Drivers'!AN335</f>
        <v>217.72400000000002</v>
      </c>
      <c r="AG869">
        <f>'Bookings and Drivers'!AO335</f>
        <v>339.22124999999994</v>
      </c>
      <c r="AH869">
        <f>'Bookings and Drivers'!AP335</f>
        <v>421.12930000000006</v>
      </c>
      <c r="AI869">
        <f>'Bookings and Drivers'!AQ335</f>
        <v>365.98085000000015</v>
      </c>
      <c r="AJ869">
        <f>'Bookings and Drivers'!AR335</f>
        <v>335.66729999999984</v>
      </c>
      <c r="AK869">
        <f>'Bookings and Drivers'!AS335</f>
        <v>391.80509999999998</v>
      </c>
      <c r="AL869">
        <f>'Bookings and Drivers'!AT335</f>
        <v>420.09659999999991</v>
      </c>
      <c r="AM869">
        <f>'Bookings and Drivers'!AU335</f>
        <v>435.77999999999986</v>
      </c>
      <c r="AN869">
        <f>'Bookings and Drivers'!AV335</f>
        <v>373.79160000000007</v>
      </c>
      <c r="AO869">
        <f>'Bookings and Drivers'!AW335</f>
        <v>499.91688000000016</v>
      </c>
      <c r="AP869">
        <f>'Bookings and Drivers'!AX335</f>
        <v>561.7017000000003</v>
      </c>
      <c r="AQ869">
        <f>'Bookings and Drivers'!AY335</f>
        <v>517.37760000000003</v>
      </c>
      <c r="AR869">
        <f>'Bookings and Drivers'!AZ335</f>
        <v>417.89249999999987</v>
      </c>
      <c r="AS869">
        <f>'Bookings and Drivers'!BA335</f>
        <v>518.46279245283029</v>
      </c>
      <c r="AT869">
        <f>'Bookings and Drivers'!BB335</f>
        <v>589.94255214723933</v>
      </c>
      <c r="AU869">
        <f>'Bookings and Drivers'!BC335</f>
        <v>515.88614634146347</v>
      </c>
      <c r="AV869">
        <f>'Bookings and Drivers'!BD335</f>
        <v>440.22239418181817</v>
      </c>
      <c r="AW869">
        <f>'Bookings and Drivers'!BE335</f>
        <v>544.38593207547183</v>
      </c>
      <c r="AX869">
        <f>'Bookings and Drivers'!BF335</f>
        <v>631.2385307975461</v>
      </c>
      <c r="AY869">
        <f>'Bookings and Drivers'!BG335</f>
        <v>575.53548201219519</v>
      </c>
      <c r="AZ869">
        <f>'Bookings and Drivers'!BH335</f>
        <v>457.83128994909094</v>
      </c>
      <c r="BA869">
        <f>'Bookings and Drivers'!BI335</f>
        <v>595.76235441509448</v>
      </c>
      <c r="BB869">
        <f>'Bookings and Drivers'!BJ335</f>
        <v>675.42522795337436</v>
      </c>
      <c r="BC869">
        <f>'Bookings and Drivers'!BK335</f>
        <v>639.86003588414633</v>
      </c>
      <c r="BD869">
        <f>'Bookings and Drivers'!BL335</f>
        <v>612.18583913192731</v>
      </c>
      <c r="BE869">
        <f>'Bookings and Drivers'!BM335</f>
        <v>721.92379417358507</v>
      </c>
      <c r="BF869">
        <f>'Bookings and Drivers'!BN335</f>
        <v>892.75322777131305</v>
      </c>
      <c r="BG869">
        <f>'Bookings and Drivers'!BO335</f>
        <v>746.50337519817083</v>
      </c>
      <c r="BH869">
        <f>'Bookings and Drivers'!BP335</f>
        <v>601.30253532513757</v>
      </c>
      <c r="BI869">
        <f>'Bookings and Drivers'!BQ335</f>
        <v>743.58150799879263</v>
      </c>
      <c r="BJ869">
        <f>'Bookings and Drivers'!BR335</f>
        <v>955.24595371530506</v>
      </c>
      <c r="BK869">
        <f>'Bookings and Drivers'!BS335</f>
        <v>783.82854395807942</v>
      </c>
      <c r="BL869">
        <f>'Bookings and Drivers'!BT335</f>
        <v>625.35463673814309</v>
      </c>
      <c r="BM869">
        <f>'Bookings and Drivers'!BU335</f>
        <v>689.30005791488077</v>
      </c>
      <c r="BN869">
        <f>'Bookings and Drivers'!BV335</f>
        <v>973.44111473845385</v>
      </c>
      <c r="BO869">
        <f>'Bookings and Drivers'!BW335</f>
        <v>781.8689725981842</v>
      </c>
      <c r="BP869">
        <f>'Bookings and Drivers'!BX335</f>
        <v>612.11183266604121</v>
      </c>
      <c r="BQ869">
        <f>'Bookings and Drivers'!BY335</f>
        <v>709.97905965232735</v>
      </c>
      <c r="BR869">
        <f>'Bookings and Drivers'!BZ335</f>
        <v>937.42379349313114</v>
      </c>
      <c r="BS869">
        <f>'Bookings and Drivers'!CA335</f>
        <v>734.54532425671528</v>
      </c>
      <c r="BT869">
        <f>'Bookings and Drivers'!CB335</f>
        <v>636.5963059726829</v>
      </c>
      <c r="BU869">
        <f>'Bookings and Drivers'!CC335</f>
        <v>745.90400007073504</v>
      </c>
      <c r="BV869">
        <f>'Bookings and Drivers'!CD335</f>
        <v>1023.1043282184033</v>
      </c>
      <c r="BW869">
        <f>'Bookings and Drivers'!CE335</f>
        <v>786.69804227894213</v>
      </c>
      <c r="BX869">
        <f>'Bookings and Drivers'!CF335</f>
        <v>675.30136137582201</v>
      </c>
      <c r="BY869">
        <f>'Bookings and Drivers'!CG335</f>
        <v>0</v>
      </c>
      <c r="BZ869">
        <f>'Bookings and Drivers'!CH335</f>
        <v>0</v>
      </c>
      <c r="CA869">
        <f>'Bookings and Drivers'!CI335</f>
        <v>0</v>
      </c>
      <c r="CB869">
        <f>'Bookings and Drivers'!CJ335</f>
        <v>0</v>
      </c>
      <c r="CC869">
        <f>'Bookings and Drivers'!CK335</f>
        <v>0</v>
      </c>
      <c r="CD869">
        <f>'Bookings and Drivers'!CL335</f>
        <v>0</v>
      </c>
      <c r="CE869">
        <f>'Bookings and Drivers'!CM335</f>
        <v>780.9799999999999</v>
      </c>
      <c r="CF869">
        <f>'Bookings and Drivers'!CN335</f>
        <v>854.19979999999998</v>
      </c>
      <c r="CG869">
        <f>'Bookings and Drivers'!CO335</f>
        <v>1461.9986999999999</v>
      </c>
      <c r="CH869">
        <f>'Bookings and Drivers'!CP335</f>
        <v>1621.4732999999997</v>
      </c>
      <c r="CI869">
        <f>'Bookings and Drivers'!CQ335</f>
        <v>1996.8886800000005</v>
      </c>
      <c r="CJ869">
        <f>'Bookings and Drivers'!CR335</f>
        <v>2064.5138851233514</v>
      </c>
      <c r="CK869">
        <f>'Bookings and Drivers'!CS335</f>
        <v>2208.9912348343041</v>
      </c>
      <c r="CL869">
        <f>'Bookings and Drivers'!CT335</f>
        <v>2523.2334573845424</v>
      </c>
      <c r="CM869">
        <f>'Bookings and Drivers'!CU335</f>
        <v>2962.4829324682069</v>
      </c>
      <c r="CN869">
        <f>'Bookings and Drivers'!CV335</f>
        <v>3108.0106424103205</v>
      </c>
      <c r="CO869">
        <f>'Bookings and Drivers'!CW335</f>
        <v>3056.7219779175598</v>
      </c>
      <c r="CP869">
        <f>'Bookings and Drivers'!CX335</f>
        <v>3018.5444833748566</v>
      </c>
      <c r="CQ869">
        <f>'Bookings and Drivers'!CY335</f>
        <v>3231.0077319439024</v>
      </c>
      <c r="CR869">
        <f>'Bookings and Drivers'!CZ335</f>
        <v>3458.4254170770382</v>
      </c>
      <c r="CS869">
        <f>'Bookings and Drivers'!DA335</f>
        <v>3701.8501216301484</v>
      </c>
      <c r="CT869">
        <f>'Bookings and Drivers'!DB335</f>
        <v>3962.4085155478397</v>
      </c>
      <c r="CU869">
        <f>'Bookings and Drivers'!DC335</f>
        <v>4241.3065705566905</v>
      </c>
      <c r="CV869">
        <f>'Bookings and Drivers'!DD335</f>
        <v>4539.8351418998645</v>
      </c>
      <c r="CW869">
        <f>'Bookings and Drivers'!DE335</f>
        <v>4859.3759429476449</v>
      </c>
      <c r="CX869">
        <f>'Bookings and Drivers'!DF335</f>
        <v>5201.4079403368687</v>
      </c>
    </row>
    <row r="870" spans="1:102">
      <c r="A870" t="str">
        <f>'Bookings and Drivers'!I336</f>
        <v>% change Y/Y</v>
      </c>
      <c r="B870">
        <f>'Bookings and Drivers'!J336</f>
        <v>0</v>
      </c>
      <c r="C870">
        <f>'Bookings and Drivers'!K336</f>
        <v>0</v>
      </c>
      <c r="D870">
        <f>'Bookings and Drivers'!L336</f>
        <v>0</v>
      </c>
      <c r="E870">
        <f>'Bookings and Drivers'!M336</f>
        <v>0</v>
      </c>
      <c r="F870">
        <f>'Bookings and Drivers'!N336</f>
        <v>0</v>
      </c>
      <c r="G870">
        <f>'Bookings and Drivers'!O336</f>
        <v>0</v>
      </c>
      <c r="H870">
        <f>'Bookings and Drivers'!P336</f>
        <v>0</v>
      </c>
      <c r="I870">
        <f>'Bookings and Drivers'!Q336</f>
        <v>0</v>
      </c>
      <c r="J870">
        <f>'Bookings and Drivers'!R336</f>
        <v>0</v>
      </c>
      <c r="K870">
        <f>'Bookings and Drivers'!S336</f>
        <v>0</v>
      </c>
      <c r="L870">
        <f>'Bookings and Drivers'!T336</f>
        <v>0</v>
      </c>
      <c r="M870">
        <f>'Bookings and Drivers'!U336</f>
        <v>0</v>
      </c>
      <c r="N870">
        <f>'Bookings and Drivers'!V336</f>
        <v>0</v>
      </c>
      <c r="O870">
        <f>'Bookings and Drivers'!W336</f>
        <v>0</v>
      </c>
      <c r="P870">
        <f>'Bookings and Drivers'!X336</f>
        <v>0</v>
      </c>
      <c r="Q870">
        <f>'Bookings and Drivers'!Y336</f>
        <v>0</v>
      </c>
      <c r="R870">
        <f>'Bookings and Drivers'!Z336</f>
        <v>0</v>
      </c>
      <c r="S870">
        <f>'Bookings and Drivers'!AA336</f>
        <v>0</v>
      </c>
      <c r="T870">
        <f>'Bookings and Drivers'!AB336</f>
        <v>0</v>
      </c>
      <c r="U870">
        <f>'Bookings and Drivers'!AC336</f>
        <v>0</v>
      </c>
      <c r="V870">
        <f>'Bookings and Drivers'!AD336</f>
        <v>0</v>
      </c>
      <c r="W870">
        <f>'Bookings and Drivers'!AE336</f>
        <v>0</v>
      </c>
      <c r="X870">
        <f>'Bookings and Drivers'!AF336</f>
        <v>0</v>
      </c>
      <c r="Y870">
        <f>'Bookings and Drivers'!AG336</f>
        <v>0</v>
      </c>
      <c r="Z870">
        <f>'Bookings and Drivers'!AH336</f>
        <v>0</v>
      </c>
      <c r="AA870">
        <f>'Bookings and Drivers'!AI336</f>
        <v>0</v>
      </c>
      <c r="AB870">
        <f>'Bookings and Drivers'!AJ336</f>
        <v>0</v>
      </c>
      <c r="AC870">
        <f>'Bookings and Drivers'!AK336</f>
        <v>-0.10469780219780223</v>
      </c>
      <c r="AD870">
        <f>'Bookings and Drivers'!AL336</f>
        <v>-7.9537149817295982E-2</v>
      </c>
      <c r="AE870">
        <f>'Bookings and Drivers'!AM336</f>
        <v>0.25432432432432428</v>
      </c>
      <c r="AF870">
        <f>'Bookings and Drivers'!AN336</f>
        <v>0.42414965986394582</v>
      </c>
      <c r="AG870">
        <f>'Bookings and Drivers'!AO336</f>
        <v>0.89255855991564337</v>
      </c>
      <c r="AH870">
        <f>'Bookings and Drivers'!AP336</f>
        <v>0.92162233690618001</v>
      </c>
      <c r="AI870">
        <f>'Bookings and Drivers'!AQ336</f>
        <v>0.53719664503978293</v>
      </c>
      <c r="AJ870">
        <f>'Bookings and Drivers'!AR336</f>
        <v>0.54171014679134966</v>
      </c>
      <c r="AK870">
        <f>'Bookings and Drivers'!AS336</f>
        <v>0.15501343149935343</v>
      </c>
      <c r="AL870">
        <f>'Bookings and Drivers'!AT336</f>
        <v>-2.4522159821227518E-3</v>
      </c>
      <c r="AM870">
        <f>'Bookings and Drivers'!AU336</f>
        <v>0.19071803893564288</v>
      </c>
      <c r="AN870">
        <f>'Bookings and Drivers'!AV336</f>
        <v>0.11357764071746113</v>
      </c>
      <c r="AO870">
        <f>'Bookings and Drivers'!AW336</f>
        <v>0.27593254911689558</v>
      </c>
      <c r="AP870">
        <f>'Bookings and Drivers'!AX336</f>
        <v>0.33707747218139938</v>
      </c>
      <c r="AQ870">
        <f>'Bookings and Drivers'!AY336</f>
        <v>0.18724494010739412</v>
      </c>
      <c r="AR870">
        <f>'Bookings and Drivers'!AZ336</f>
        <v>0.11798258708863374</v>
      </c>
      <c r="AS870">
        <f>'Bookings and Drivers'!BA336</f>
        <v>3.7097992075862951E-2</v>
      </c>
      <c r="AT870">
        <f>'Bookings and Drivers'!BB336</f>
        <v>5.0277312935387286E-2</v>
      </c>
      <c r="AU870">
        <f>'Bookings and Drivers'!BC336</f>
        <v>-2.8827178805896914E-3</v>
      </c>
      <c r="AV870">
        <f>'Bookings and Drivers'!BD336</f>
        <v>5.3434541614932884E-2</v>
      </c>
      <c r="AW870">
        <f>'Bookings and Drivers'!BE336</f>
        <v>5.0000000000000044E-2</v>
      </c>
      <c r="AX870">
        <f>'Bookings and Drivers'!BF336</f>
        <v>7.0000000000000062E-2</v>
      </c>
      <c r="AY870">
        <f>'Bookings and Drivers'!BG336</f>
        <v>0.11562500000000009</v>
      </c>
      <c r="AZ870">
        <f>'Bookings and Drivers'!BH336</f>
        <v>4.0000000000000036E-2</v>
      </c>
      <c r="BA870">
        <f>'Bookings and Drivers'!BI336</f>
        <v>9.4375000000000098E-2</v>
      </c>
      <c r="BB870">
        <f>'Bookings and Drivers'!BJ336</f>
        <v>7.0000000000000062E-2</v>
      </c>
      <c r="BC870">
        <f>'Bookings and Drivers'!BK336</f>
        <v>0.11176470588235277</v>
      </c>
      <c r="BD870">
        <f>'Bookings and Drivers'!BL336</f>
        <v>0.33714285714285719</v>
      </c>
      <c r="BE870">
        <f>'Bookings and Drivers'!BM336</f>
        <v>0.21176470588235285</v>
      </c>
      <c r="BF870">
        <f>'Bookings and Drivers'!BN336</f>
        <v>0.32176470588235295</v>
      </c>
      <c r="BG870">
        <f>'Bookings and Drivers'!BO336</f>
        <v>0.16666666666666674</v>
      </c>
      <c r="BH870">
        <f>'Bookings and Drivers'!BP336</f>
        <v>-1.777777777777767E-2</v>
      </c>
      <c r="BI870">
        <f>'Bookings and Drivers'!BQ336</f>
        <v>3.0000000000000027E-2</v>
      </c>
      <c r="BJ870">
        <f>'Bookings and Drivers'!BR336</f>
        <v>7.0000000000000062E-2</v>
      </c>
      <c r="BK870">
        <f>'Bookings and Drivers'!BS336</f>
        <v>5.0000000000000044E-2</v>
      </c>
      <c r="BL870">
        <f>'Bookings and Drivers'!BT336</f>
        <v>4.0000000000000036E-2</v>
      </c>
      <c r="BM870">
        <f>'Bookings and Drivers'!BU336</f>
        <v>-7.2999999999999954E-2</v>
      </c>
      <c r="BN870">
        <f>'Bookings and Drivers'!BV336</f>
        <v>1.9047619047619202E-2</v>
      </c>
      <c r="BO870">
        <f>'Bookings and Drivers'!BW336</f>
        <v>-2.5000000000000577E-3</v>
      </c>
      <c r="BP870">
        <f>'Bookings and Drivers'!BX336</f>
        <v>-2.1176470588235352E-2</v>
      </c>
      <c r="BQ870">
        <f>'Bookings and Drivers'!BY336</f>
        <v>3.0000000000000249E-2</v>
      </c>
      <c r="BR870">
        <f>'Bookings and Drivers'!BZ336</f>
        <v>-3.6999999999999922E-2</v>
      </c>
      <c r="BS870">
        <f>'Bookings and Drivers'!CA336</f>
        <v>-6.0526315789473539E-2</v>
      </c>
      <c r="BT870">
        <f>'Bookings and Drivers'!CB336</f>
        <v>4.0000000000000036E-2</v>
      </c>
      <c r="BU870">
        <f>'Bookings and Drivers'!CC336</f>
        <v>5.0599999999999978E-2</v>
      </c>
      <c r="BV870">
        <f>'Bookings and Drivers'!CD336</f>
        <v>9.1399999999999926E-2</v>
      </c>
      <c r="BW870">
        <f>'Bookings and Drivers'!CE336</f>
        <v>7.1000000000000174E-2</v>
      </c>
      <c r="BX870">
        <f>'Bookings and Drivers'!CF336</f>
        <v>6.0799999999999965E-2</v>
      </c>
      <c r="BY870">
        <f>'Bookings and Drivers'!CG336</f>
        <v>0</v>
      </c>
      <c r="BZ870">
        <f>'Bookings and Drivers'!CH336</f>
        <v>0</v>
      </c>
      <c r="CA870">
        <f>'Bookings and Drivers'!CI336</f>
        <v>0</v>
      </c>
      <c r="CB870">
        <f>'Bookings and Drivers'!CJ336</f>
        <v>0</v>
      </c>
      <c r="CC870">
        <f>'Bookings and Drivers'!CK336</f>
        <v>0</v>
      </c>
      <c r="CD870">
        <f>'Bookings and Drivers'!CL336</f>
        <v>0</v>
      </c>
      <c r="CE870">
        <f>'Bookings and Drivers'!CM336</f>
        <v>0</v>
      </c>
      <c r="CF870">
        <f>'Bookings and Drivers'!CN336</f>
        <v>9.3753745294373747E-2</v>
      </c>
      <c r="CG870">
        <f>'Bookings and Drivers'!CO336</f>
        <v>0.71154184302080137</v>
      </c>
      <c r="CH870">
        <f>'Bookings and Drivers'!CP336</f>
        <v>0.10907985075499704</v>
      </c>
      <c r="CI870">
        <f>'Bookings and Drivers'!CQ336</f>
        <v>0.23152732764702377</v>
      </c>
      <c r="CJ870">
        <f>'Bookings and Drivers'!CR336</f>
        <v>3.3865285431609937E-2</v>
      </c>
      <c r="CK870">
        <f>'Bookings and Drivers'!CS336</f>
        <v>6.9981292328445743E-2</v>
      </c>
      <c r="CL870">
        <f>'Bookings and Drivers'!CT336</f>
        <v>0.14225598435831244</v>
      </c>
      <c r="CM870">
        <f>'Bookings and Drivers'!CU336</f>
        <v>0.17408197953231341</v>
      </c>
      <c r="CN870">
        <f>'Bookings and Drivers'!CV336</f>
        <v>4.9123560627863716E-2</v>
      </c>
      <c r="CO870">
        <f>'Bookings and Drivers'!CW336</f>
        <v>-1.6502087796258502E-2</v>
      </c>
      <c r="CP870">
        <f>'Bookings and Drivers'!CX336</f>
        <v>-1.2489684969227199E-2</v>
      </c>
      <c r="CQ870">
        <f>'Bookings and Drivers'!CY336</f>
        <v>7.0385992235404427E-2</v>
      </c>
      <c r="CR870">
        <f>'Bookings and Drivers'!CZ336</f>
        <v>7.0385992235404649E-2</v>
      </c>
      <c r="CS870">
        <f>'Bookings and Drivers'!DA336</f>
        <v>7.0385992235404649E-2</v>
      </c>
      <c r="CT870">
        <f>'Bookings and Drivers'!DB336</f>
        <v>7.0385992235404649E-2</v>
      </c>
      <c r="CU870">
        <f>'Bookings and Drivers'!DC336</f>
        <v>7.0385992235404427E-2</v>
      </c>
      <c r="CV870">
        <f>'Bookings and Drivers'!DD336</f>
        <v>7.0385992235404649E-2</v>
      </c>
      <c r="CW870">
        <f>'Bookings and Drivers'!DE336</f>
        <v>7.0385992235404427E-2</v>
      </c>
      <c r="CX870">
        <f>'Bookings and Drivers'!DF336</f>
        <v>7.0385992235404427E-2</v>
      </c>
    </row>
    <row r="871" spans="1:102">
      <c r="A871" t="str">
        <f>'Bookings and Drivers'!I337</f>
        <v>Airline Bookings % of Domestic Agency Bookings</v>
      </c>
      <c r="B871">
        <f>'Bookings and Drivers'!J337</f>
        <v>0</v>
      </c>
      <c r="C871">
        <f>'Bookings and Drivers'!K337</f>
        <v>0</v>
      </c>
      <c r="D871">
        <f>'Bookings and Drivers'!L337</f>
        <v>0</v>
      </c>
      <c r="E871">
        <f>'Bookings and Drivers'!M337</f>
        <v>0</v>
      </c>
      <c r="F871">
        <f>'Bookings and Drivers'!N337</f>
        <v>0</v>
      </c>
      <c r="G871">
        <f>'Bookings and Drivers'!O337</f>
        <v>0</v>
      </c>
      <c r="H871">
        <f>'Bookings and Drivers'!P337</f>
        <v>0</v>
      </c>
      <c r="I871">
        <f>'Bookings and Drivers'!Q337</f>
        <v>0</v>
      </c>
      <c r="J871">
        <f>'Bookings and Drivers'!R337</f>
        <v>0</v>
      </c>
      <c r="K871">
        <f>'Bookings and Drivers'!S337</f>
        <v>0</v>
      </c>
      <c r="L871">
        <f>'Bookings and Drivers'!T337</f>
        <v>0</v>
      </c>
      <c r="M871">
        <f>'Bookings and Drivers'!U337</f>
        <v>0</v>
      </c>
      <c r="N871">
        <f>'Bookings and Drivers'!V337</f>
        <v>0</v>
      </c>
      <c r="O871">
        <f>'Bookings and Drivers'!W337</f>
        <v>0</v>
      </c>
      <c r="P871">
        <f>'Bookings and Drivers'!X337</f>
        <v>0</v>
      </c>
      <c r="Q871">
        <f>'Bookings and Drivers'!Y337</f>
        <v>0</v>
      </c>
      <c r="R871">
        <f>'Bookings and Drivers'!Z337</f>
        <v>0</v>
      </c>
      <c r="S871">
        <f>'Bookings and Drivers'!AA337</f>
        <v>0</v>
      </c>
      <c r="T871">
        <f>'Bookings and Drivers'!AB337</f>
        <v>0</v>
      </c>
      <c r="U871">
        <f>'Bookings and Drivers'!AC337</f>
        <v>0</v>
      </c>
      <c r="V871">
        <f>'Bookings and Drivers'!AD337</f>
        <v>0</v>
      </c>
      <c r="W871">
        <f>'Bookings and Drivers'!AE337</f>
        <v>0</v>
      </c>
      <c r="X871">
        <f>'Bookings and Drivers'!AF337</f>
        <v>0</v>
      </c>
      <c r="Y871">
        <f>'Bookings and Drivers'!AG337</f>
        <v>0.96392735396645046</v>
      </c>
      <c r="Z871">
        <f>'Bookings and Drivers'!AH337</f>
        <v>0.94221796581595718</v>
      </c>
      <c r="AA871">
        <f>'Bookings and Drivers'!AI337</f>
        <v>0.93969998514777986</v>
      </c>
      <c r="AB871">
        <f>'Bookings and Drivers'!AJ337</f>
        <v>0.88917840566729112</v>
      </c>
      <c r="AC871">
        <f>'Bookings and Drivers'!AK337</f>
        <v>0.93916918611048494</v>
      </c>
      <c r="AD871">
        <f>'Bookings and Drivers'!AL337</f>
        <v>0.94407157872971026</v>
      </c>
      <c r="AE871">
        <f>'Bookings and Drivers'!AM337</f>
        <v>0.93681578336435289</v>
      </c>
      <c r="AF871">
        <f>'Bookings and Drivers'!AN337</f>
        <v>0.88384252531075214</v>
      </c>
      <c r="AG871">
        <f>'Bookings and Drivers'!AO337</f>
        <v>0.95</v>
      </c>
      <c r="AH871">
        <f>'Bookings and Drivers'!AP337</f>
        <v>0.95</v>
      </c>
      <c r="AI871">
        <f>'Bookings and Drivers'!AQ337</f>
        <v>0.95</v>
      </c>
      <c r="AJ871">
        <f>'Bookings and Drivers'!AR337</f>
        <v>0.95</v>
      </c>
      <c r="AK871">
        <f>'Bookings and Drivers'!AS337</f>
        <v>0.9</v>
      </c>
      <c r="AL871">
        <f>'Bookings and Drivers'!AT337</f>
        <v>0.9</v>
      </c>
      <c r="AM871">
        <f>'Bookings and Drivers'!AU337</f>
        <v>0.9</v>
      </c>
      <c r="AN871">
        <f>'Bookings and Drivers'!AV337</f>
        <v>0.9</v>
      </c>
      <c r="AO871">
        <f>'Bookings and Drivers'!AW337</f>
        <v>0.9</v>
      </c>
      <c r="AP871">
        <f>'Bookings and Drivers'!AX337</f>
        <v>0.9</v>
      </c>
      <c r="AQ871">
        <f>'Bookings and Drivers'!AY337</f>
        <v>0.9</v>
      </c>
      <c r="AR871">
        <f>'Bookings and Drivers'!AZ337</f>
        <v>0.9</v>
      </c>
      <c r="AS871">
        <f>'Bookings and Drivers'!BA337</f>
        <v>0.75507767918868596</v>
      </c>
      <c r="AT871">
        <f>'Bookings and Drivers'!BB337</f>
        <v>0.79234785006330233</v>
      </c>
      <c r="AU871">
        <f>'Bookings and Drivers'!BC337</f>
        <v>0.71224692581258731</v>
      </c>
      <c r="AV871">
        <f>'Bookings and Drivers'!BD337</f>
        <v>0.71447276504393109</v>
      </c>
      <c r="AW871">
        <f>'Bookings and Drivers'!BE337</f>
        <v>0.65764601244116705</v>
      </c>
      <c r="AX871">
        <f>'Bookings and Drivers'!BF337</f>
        <v>0.69778263068427593</v>
      </c>
      <c r="AY871">
        <f>'Bookings and Drivers'!BG337</f>
        <v>0.61841446073994244</v>
      </c>
      <c r="AZ871">
        <f>'Bookings and Drivers'!BH337</f>
        <v>0.68303464164628891</v>
      </c>
      <c r="BA871">
        <f>'Bookings and Drivers'!BI337</f>
        <v>0.63404944409668484</v>
      </c>
      <c r="BB871">
        <f>'Bookings and Drivers'!BJ337</f>
        <v>0.63215286458954856</v>
      </c>
      <c r="BC871">
        <f>'Bookings and Drivers'!BK337</f>
        <v>0.51697526916826331</v>
      </c>
      <c r="BD871">
        <f>'Bookings and Drivers'!BL337</f>
        <v>0.62889624115567466</v>
      </c>
      <c r="BE871">
        <f>'Bookings and Drivers'!BM337</f>
        <v>0.57462750749111768</v>
      </c>
      <c r="BF871">
        <f>'Bookings and Drivers'!BN337</f>
        <v>0.60906023003189325</v>
      </c>
      <c r="BG871">
        <f>'Bookings and Drivers'!BO337</f>
        <v>0.48325587621952149</v>
      </c>
      <c r="BH871">
        <f>'Bookings and Drivers'!BP337</f>
        <v>0.49265480858326532</v>
      </c>
      <c r="BI871">
        <f>'Bookings and Drivers'!BQ337</f>
        <v>0.50791079202991918</v>
      </c>
      <c r="BJ871">
        <f>'Bookings and Drivers'!BR337</f>
        <v>0.57713707807140735</v>
      </c>
      <c r="BK871">
        <f>'Bookings and Drivers'!BS337</f>
        <v>0.49729703352281857</v>
      </c>
      <c r="BL871">
        <f>'Bookings and Drivers'!BT337</f>
        <v>0.48552294943881613</v>
      </c>
      <c r="BM871">
        <f>'Bookings and Drivers'!BU337</f>
        <v>0.44841267067784291</v>
      </c>
      <c r="BN871">
        <f>'Bookings and Drivers'!BV337</f>
        <v>0.54456496784515507</v>
      </c>
      <c r="BO871">
        <f>'Bookings and Drivers'!BW337</f>
        <v>0.43135112255566221</v>
      </c>
      <c r="BP871">
        <f>'Bookings and Drivers'!BX337</f>
        <v>0.42432257766081399</v>
      </c>
      <c r="BQ871">
        <f>'Bookings and Drivers'!BY337</f>
        <v>0.43987147695064599</v>
      </c>
      <c r="BR871">
        <f>'Bookings and Drivers'!BZ337</f>
        <v>0.49944387050941369</v>
      </c>
      <c r="BS871">
        <f>'Bookings and Drivers'!CA337</f>
        <v>0.3859457412340136</v>
      </c>
      <c r="BT871">
        <f>'Bookings and Drivers'!CB337</f>
        <v>0.42028141025452054</v>
      </c>
      <c r="BU871">
        <f>'Bookings and Drivers'!CC337</f>
        <v>0.44012283208033204</v>
      </c>
      <c r="BV871">
        <f>'Bookings and Drivers'!CD337</f>
        <v>0.51913622883235633</v>
      </c>
      <c r="BW871">
        <f>'Bookings and Drivers'!CE337</f>
        <v>0.39366465605869388</v>
      </c>
      <c r="BX871">
        <f>'Bookings and Drivers'!CF337</f>
        <v>0.42460430475999555</v>
      </c>
      <c r="BY871">
        <f>'Bookings and Drivers'!CG337</f>
        <v>0</v>
      </c>
      <c r="BZ871">
        <f>'Bookings and Drivers'!CH337</f>
        <v>0</v>
      </c>
      <c r="CA871">
        <f>'Bookings and Drivers'!CI337</f>
        <v>0</v>
      </c>
      <c r="CB871">
        <f>'Bookings and Drivers'!CJ337</f>
        <v>0</v>
      </c>
      <c r="CC871">
        <f>'Bookings and Drivers'!CK337</f>
        <v>0</v>
      </c>
      <c r="CD871">
        <f>'Bookings and Drivers'!CL337</f>
        <v>0</v>
      </c>
      <c r="CE871">
        <f>'Bookings and Drivers'!CM337</f>
        <v>0.93608228146233929</v>
      </c>
      <c r="CF871">
        <f>'Bookings and Drivers'!CN337</f>
        <v>0.92499523533131778</v>
      </c>
      <c r="CG871">
        <f>'Bookings and Drivers'!CO337</f>
        <v>0.9499999999999994</v>
      </c>
      <c r="CH871">
        <f>'Bookings and Drivers'!CP337</f>
        <v>0.90000000000000036</v>
      </c>
      <c r="CI871">
        <f>'Bookings and Drivers'!CQ337</f>
        <v>0.90000000000000013</v>
      </c>
      <c r="CJ871">
        <f>'Bookings and Drivers'!CR337</f>
        <v>0.74487006175472537</v>
      </c>
      <c r="CK871">
        <f>'Bookings and Drivers'!CS337</f>
        <v>0.66269057329935022</v>
      </c>
      <c r="CL871">
        <f>'Bookings and Drivers'!CT337</f>
        <v>0.59803657913332098</v>
      </c>
      <c r="CM871">
        <f>'Bookings and Drivers'!CU337</f>
        <v>0.53987063502105481</v>
      </c>
      <c r="CN871">
        <f>'Bookings and Drivers'!CV337</f>
        <v>0.51944531798076365</v>
      </c>
      <c r="CO871">
        <f>'Bookings and Drivers'!CW337</f>
        <v>0.46455274078835523</v>
      </c>
      <c r="CP871">
        <f>'Bookings and Drivers'!CX337</f>
        <v>0.43690535562315969</v>
      </c>
      <c r="CQ871">
        <f>'Bookings and Drivers'!CY337</f>
        <v>0.44538797389681722</v>
      </c>
      <c r="CR871">
        <f>'Bookings and Drivers'!CZ337</f>
        <v>0.4584010080473665</v>
      </c>
      <c r="CS871">
        <f>'Bookings and Drivers'!DA337</f>
        <v>0.47637477460241751</v>
      </c>
      <c r="CT871">
        <f>'Bookings and Drivers'!DB337</f>
        <v>0.49990675077326069</v>
      </c>
      <c r="CU871">
        <f>'Bookings and Drivers'!DC337</f>
        <v>0.52460116024668002</v>
      </c>
      <c r="CV871">
        <f>'Bookings and Drivers'!DD337</f>
        <v>0.5505154249396933</v>
      </c>
      <c r="CW871">
        <f>'Bookings and Drivers'!DE337</f>
        <v>0.57770980329898924</v>
      </c>
      <c r="CX871">
        <f>'Bookings and Drivers'!DF337</f>
        <v>0.60624753041991064</v>
      </c>
    </row>
    <row r="872" spans="1:102">
      <c r="A872">
        <f>'Bookings and Drivers'!I338</f>
        <v>0</v>
      </c>
      <c r="B872">
        <f>'Bookings and Drivers'!J338</f>
        <v>0</v>
      </c>
      <c r="C872">
        <f>'Bookings and Drivers'!K338</f>
        <v>0</v>
      </c>
      <c r="D872">
        <f>'Bookings and Drivers'!L338</f>
        <v>0</v>
      </c>
      <c r="E872">
        <f>'Bookings and Drivers'!M338</f>
        <v>0</v>
      </c>
      <c r="F872">
        <f>'Bookings and Drivers'!N338</f>
        <v>0</v>
      </c>
      <c r="G872">
        <f>'Bookings and Drivers'!O338</f>
        <v>0</v>
      </c>
      <c r="H872">
        <f>'Bookings and Drivers'!P338</f>
        <v>0</v>
      </c>
      <c r="I872">
        <f>'Bookings and Drivers'!Q338</f>
        <v>0</v>
      </c>
      <c r="J872">
        <f>'Bookings and Drivers'!R338</f>
        <v>0</v>
      </c>
      <c r="K872">
        <f>'Bookings and Drivers'!S338</f>
        <v>0</v>
      </c>
      <c r="L872">
        <f>'Bookings and Drivers'!T338</f>
        <v>0</v>
      </c>
      <c r="M872">
        <f>'Bookings and Drivers'!U338</f>
        <v>0</v>
      </c>
      <c r="N872">
        <f>'Bookings and Drivers'!V338</f>
        <v>0</v>
      </c>
      <c r="O872">
        <f>'Bookings and Drivers'!W338</f>
        <v>0</v>
      </c>
      <c r="P872">
        <f>'Bookings and Drivers'!X338</f>
        <v>0</v>
      </c>
      <c r="Q872">
        <f>'Bookings and Drivers'!Y338</f>
        <v>0</v>
      </c>
      <c r="R872">
        <f>'Bookings and Drivers'!Z338</f>
        <v>0</v>
      </c>
      <c r="S872">
        <f>'Bookings and Drivers'!AA338</f>
        <v>0</v>
      </c>
      <c r="T872">
        <f>'Bookings and Drivers'!AB338</f>
        <v>0</v>
      </c>
      <c r="U872">
        <f>'Bookings and Drivers'!AC338</f>
        <v>0</v>
      </c>
      <c r="V872">
        <f>'Bookings and Drivers'!AD338</f>
        <v>0</v>
      </c>
      <c r="W872">
        <f>'Bookings and Drivers'!AE338</f>
        <v>0</v>
      </c>
      <c r="X872">
        <f>'Bookings and Drivers'!AF338</f>
        <v>0</v>
      </c>
      <c r="Y872">
        <f>'Bookings and Drivers'!AG338</f>
        <v>0</v>
      </c>
      <c r="Z872">
        <f>'Bookings and Drivers'!AH338</f>
        <v>0</v>
      </c>
      <c r="AA872">
        <f>'Bookings and Drivers'!AI338</f>
        <v>0</v>
      </c>
      <c r="AB872">
        <f>'Bookings and Drivers'!AJ338</f>
        <v>0</v>
      </c>
      <c r="AC872">
        <f>'Bookings and Drivers'!AK338</f>
        <v>0</v>
      </c>
      <c r="AD872">
        <f>'Bookings and Drivers'!AL338</f>
        <v>0</v>
      </c>
      <c r="AE872">
        <f>'Bookings and Drivers'!AM338</f>
        <v>0</v>
      </c>
      <c r="AF872">
        <f>'Bookings and Drivers'!AN338</f>
        <v>0</v>
      </c>
      <c r="AG872">
        <f>'Bookings and Drivers'!AO338</f>
        <v>0</v>
      </c>
      <c r="AH872">
        <f>'Bookings and Drivers'!AP338</f>
        <v>0</v>
      </c>
      <c r="AI872">
        <f>'Bookings and Drivers'!AQ338</f>
        <v>0</v>
      </c>
      <c r="AJ872">
        <f>'Bookings and Drivers'!AR338</f>
        <v>0</v>
      </c>
      <c r="AK872">
        <f>'Bookings and Drivers'!AS338</f>
        <v>0</v>
      </c>
      <c r="AL872">
        <f>'Bookings and Drivers'!AT338</f>
        <v>0</v>
      </c>
      <c r="AM872">
        <f>'Bookings and Drivers'!AU338</f>
        <v>0</v>
      </c>
      <c r="AN872">
        <f>'Bookings and Drivers'!AV338</f>
        <v>0</v>
      </c>
      <c r="AO872">
        <f>'Bookings and Drivers'!AW338</f>
        <v>0</v>
      </c>
      <c r="AP872">
        <f>'Bookings and Drivers'!AX338</f>
        <v>0</v>
      </c>
      <c r="AQ872">
        <f>'Bookings and Drivers'!AY338</f>
        <v>0</v>
      </c>
      <c r="AR872">
        <f>'Bookings and Drivers'!AZ338</f>
        <v>0</v>
      </c>
      <c r="AS872">
        <f>'Bookings and Drivers'!BA338</f>
        <v>0</v>
      </c>
      <c r="AT872">
        <f>'Bookings and Drivers'!BB338</f>
        <v>0</v>
      </c>
      <c r="AU872">
        <f>'Bookings and Drivers'!BC338</f>
        <v>0</v>
      </c>
      <c r="AV872">
        <f>'Bookings and Drivers'!BD338</f>
        <v>0</v>
      </c>
      <c r="AW872">
        <f>'Bookings and Drivers'!BE338</f>
        <v>0</v>
      </c>
      <c r="AX872">
        <f>'Bookings and Drivers'!BF338</f>
        <v>0</v>
      </c>
      <c r="AY872">
        <f>'Bookings and Drivers'!BG338</f>
        <v>0</v>
      </c>
      <c r="AZ872">
        <f>'Bookings and Drivers'!BH338</f>
        <v>0</v>
      </c>
      <c r="BA872">
        <f>'Bookings and Drivers'!BI338</f>
        <v>0</v>
      </c>
      <c r="BB872">
        <f>'Bookings and Drivers'!BJ338</f>
        <v>0</v>
      </c>
      <c r="BC872">
        <f>'Bookings and Drivers'!BK338</f>
        <v>0</v>
      </c>
      <c r="BD872">
        <f>'Bookings and Drivers'!BL338</f>
        <v>0</v>
      </c>
      <c r="BE872">
        <f>'Bookings and Drivers'!BM338</f>
        <v>0</v>
      </c>
      <c r="BF872">
        <f>'Bookings and Drivers'!BN338</f>
        <v>0</v>
      </c>
      <c r="BG872">
        <f>'Bookings and Drivers'!BO338</f>
        <v>0</v>
      </c>
      <c r="BH872">
        <f>'Bookings and Drivers'!BP338</f>
        <v>0</v>
      </c>
      <c r="BI872">
        <f>'Bookings and Drivers'!BQ338</f>
        <v>0</v>
      </c>
      <c r="BJ872">
        <f>'Bookings and Drivers'!BR338</f>
        <v>0</v>
      </c>
      <c r="BK872">
        <f>'Bookings and Drivers'!BS338</f>
        <v>0</v>
      </c>
      <c r="BL872">
        <f>'Bookings and Drivers'!BT338</f>
        <v>0</v>
      </c>
      <c r="BM872">
        <f>'Bookings and Drivers'!BU338</f>
        <v>0</v>
      </c>
      <c r="BN872">
        <f>'Bookings and Drivers'!BV338</f>
        <v>0</v>
      </c>
      <c r="BO872">
        <f>'Bookings and Drivers'!BW338</f>
        <v>0</v>
      </c>
      <c r="BP872">
        <f>'Bookings and Drivers'!BX338</f>
        <v>0</v>
      </c>
      <c r="BQ872">
        <f>'Bookings and Drivers'!BY338</f>
        <v>0</v>
      </c>
      <c r="BR872">
        <f>'Bookings and Drivers'!BZ338</f>
        <v>0</v>
      </c>
      <c r="BS872">
        <f>'Bookings and Drivers'!CA338</f>
        <v>0</v>
      </c>
      <c r="BT872">
        <f>'Bookings and Drivers'!CB338</f>
        <v>0</v>
      </c>
      <c r="BU872">
        <f>'Bookings and Drivers'!CC338</f>
        <v>0</v>
      </c>
      <c r="BV872">
        <f>'Bookings and Drivers'!CD338</f>
        <v>0</v>
      </c>
      <c r="BW872">
        <f>'Bookings and Drivers'!CE338</f>
        <v>0</v>
      </c>
      <c r="BX872">
        <f>'Bookings and Drivers'!CF338</f>
        <v>0</v>
      </c>
      <c r="BY872">
        <f>'Bookings and Drivers'!CG338</f>
        <v>0</v>
      </c>
      <c r="BZ872">
        <f>'Bookings and Drivers'!CH338</f>
        <v>0</v>
      </c>
      <c r="CA872">
        <f>'Bookings and Drivers'!CI338</f>
        <v>0</v>
      </c>
      <c r="CB872">
        <f>'Bookings and Drivers'!CJ338</f>
        <v>0</v>
      </c>
      <c r="CC872">
        <f>'Bookings and Drivers'!CK338</f>
        <v>0</v>
      </c>
      <c r="CD872">
        <f>'Bookings and Drivers'!CL338</f>
        <v>0</v>
      </c>
      <c r="CE872">
        <f>'Bookings and Drivers'!CM338</f>
        <v>0</v>
      </c>
      <c r="CF872">
        <f>'Bookings and Drivers'!CN338</f>
        <v>0</v>
      </c>
      <c r="CG872">
        <f>'Bookings and Drivers'!CO338</f>
        <v>0</v>
      </c>
      <c r="CH872">
        <f>'Bookings and Drivers'!CP338</f>
        <v>0</v>
      </c>
      <c r="CI872">
        <f>'Bookings and Drivers'!CQ338</f>
        <v>0</v>
      </c>
      <c r="CJ872">
        <f>'Bookings and Drivers'!CR338</f>
        <v>0</v>
      </c>
      <c r="CK872">
        <f>'Bookings and Drivers'!CS338</f>
        <v>0</v>
      </c>
      <c r="CL872">
        <f>'Bookings and Drivers'!CT338</f>
        <v>0</v>
      </c>
      <c r="CM872">
        <f>'Bookings and Drivers'!CU338</f>
        <v>0</v>
      </c>
      <c r="CN872">
        <f>'Bookings and Drivers'!CV338</f>
        <v>0</v>
      </c>
      <c r="CO872">
        <f>'Bookings and Drivers'!CW338</f>
        <v>0</v>
      </c>
      <c r="CP872">
        <f>'Bookings and Drivers'!CX338</f>
        <v>0</v>
      </c>
      <c r="CQ872">
        <f>'Bookings and Drivers'!CY338</f>
        <v>0</v>
      </c>
      <c r="CR872">
        <f>'Bookings and Drivers'!CZ338</f>
        <v>0</v>
      </c>
      <c r="CS872">
        <f>'Bookings and Drivers'!DA338</f>
        <v>0</v>
      </c>
      <c r="CT872">
        <f>'Bookings and Drivers'!DB338</f>
        <v>0</v>
      </c>
      <c r="CU872">
        <f>'Bookings and Drivers'!DC338</f>
        <v>0</v>
      </c>
      <c r="CV872">
        <f>'Bookings and Drivers'!DD338</f>
        <v>0</v>
      </c>
      <c r="CW872">
        <f>'Bookings and Drivers'!DE338</f>
        <v>0</v>
      </c>
      <c r="CX872">
        <f>'Bookings and Drivers'!DF338</f>
        <v>0</v>
      </c>
    </row>
    <row r="873" spans="1:102">
      <c r="A873" t="str">
        <f>'Bookings and Drivers'!I339</f>
        <v>Bureau of Transportation Statistics Average Airline Fare</v>
      </c>
      <c r="B873">
        <f>'Bookings and Drivers'!J339</f>
        <v>0</v>
      </c>
      <c r="C873">
        <f>'Bookings and Drivers'!K339</f>
        <v>0</v>
      </c>
      <c r="D873">
        <f>'Bookings and Drivers'!L339</f>
        <v>0</v>
      </c>
      <c r="E873">
        <f>'Bookings and Drivers'!M339</f>
        <v>0</v>
      </c>
      <c r="F873">
        <f>'Bookings and Drivers'!N339</f>
        <v>0</v>
      </c>
      <c r="G873">
        <f>'Bookings and Drivers'!O339</f>
        <v>0</v>
      </c>
      <c r="H873">
        <f>'Bookings and Drivers'!P339</f>
        <v>0</v>
      </c>
      <c r="I873">
        <f>'Bookings and Drivers'!Q339</f>
        <v>0</v>
      </c>
      <c r="J873">
        <f>'Bookings and Drivers'!R339</f>
        <v>0</v>
      </c>
      <c r="K873">
        <f>'Bookings and Drivers'!S339</f>
        <v>0</v>
      </c>
      <c r="L873">
        <f>'Bookings and Drivers'!T339</f>
        <v>0</v>
      </c>
      <c r="M873">
        <f>'Bookings and Drivers'!U339</f>
        <v>0</v>
      </c>
      <c r="N873">
        <f>'Bookings and Drivers'!V339</f>
        <v>0</v>
      </c>
      <c r="O873">
        <f>'Bookings and Drivers'!W339</f>
        <v>0</v>
      </c>
      <c r="P873">
        <f>'Bookings and Drivers'!X339</f>
        <v>0</v>
      </c>
      <c r="Q873">
        <f>'Bookings and Drivers'!Y339</f>
        <v>0</v>
      </c>
      <c r="R873">
        <f>'Bookings and Drivers'!Z339</f>
        <v>0</v>
      </c>
      <c r="S873">
        <f>'Bookings and Drivers'!AA339</f>
        <v>0</v>
      </c>
      <c r="T873">
        <f>'Bookings and Drivers'!AB339</f>
        <v>0</v>
      </c>
      <c r="U873">
        <f>'Bookings and Drivers'!AC339</f>
        <v>0</v>
      </c>
      <c r="V873">
        <f>'Bookings and Drivers'!AD339</f>
        <v>0</v>
      </c>
      <c r="W873">
        <f>'Bookings and Drivers'!AE339</f>
        <v>0</v>
      </c>
      <c r="X873">
        <f>'Bookings and Drivers'!AF339</f>
        <v>0</v>
      </c>
      <c r="Y873">
        <f>'Bookings and Drivers'!AG339</f>
        <v>323</v>
      </c>
      <c r="Z873">
        <f>'Bookings and Drivers'!AH339</f>
        <v>342</v>
      </c>
      <c r="AA873">
        <f>'Bookings and Drivers'!AI339</f>
        <v>330</v>
      </c>
      <c r="AB873">
        <f>'Bookings and Drivers'!AJ339</f>
        <v>318</v>
      </c>
      <c r="AC873">
        <f>'Bookings and Drivers'!AK339</f>
        <v>318</v>
      </c>
      <c r="AD873">
        <f>'Bookings and Drivers'!AL339</f>
        <v>326</v>
      </c>
      <c r="AE873">
        <f>'Bookings and Drivers'!AM339</f>
        <v>328</v>
      </c>
      <c r="AF873">
        <f>'Bookings and Drivers'!AN339</f>
        <v>330</v>
      </c>
      <c r="AG873">
        <f>'Bookings and Drivers'!AO339</f>
        <v>333</v>
      </c>
      <c r="AH873">
        <f>'Bookings and Drivers'!AP339</f>
        <v>347</v>
      </c>
      <c r="AI873">
        <f>'Bookings and Drivers'!AQ339</f>
        <v>359</v>
      </c>
      <c r="AJ873">
        <f>'Bookings and Drivers'!AR339</f>
        <v>345</v>
      </c>
      <c r="AK873">
        <f>'Bookings and Drivers'!AS339</f>
        <v>314</v>
      </c>
      <c r="AL873">
        <f>'Bookings and Drivers'!AT339</f>
        <v>302</v>
      </c>
      <c r="AM873">
        <f>'Bookings and Drivers'!AU339</f>
        <v>307</v>
      </c>
      <c r="AN873">
        <f>'Bookings and Drivers'!AV339</f>
        <v>320</v>
      </c>
      <c r="AO873">
        <f>'Bookings and Drivers'!AW339</f>
        <v>328</v>
      </c>
      <c r="AP873">
        <f>'Bookings and Drivers'!AX339</f>
        <v>341</v>
      </c>
      <c r="AQ873">
        <f>'Bookings and Drivers'!AY339</f>
        <v>340</v>
      </c>
      <c r="AR873">
        <f>'Bookings and Drivers'!AZ339</f>
        <v>0</v>
      </c>
      <c r="AS873">
        <f>'Bookings and Drivers'!BA339</f>
        <v>0</v>
      </c>
      <c r="AT873">
        <f>'Bookings and Drivers'!BB339</f>
        <v>0</v>
      </c>
      <c r="AU873">
        <f>'Bookings and Drivers'!BC339</f>
        <v>0</v>
      </c>
      <c r="AV873">
        <f>'Bookings and Drivers'!BD339</f>
        <v>0</v>
      </c>
      <c r="AW873">
        <f>'Bookings and Drivers'!BE339</f>
        <v>0</v>
      </c>
      <c r="AX873">
        <f>'Bookings and Drivers'!BF339</f>
        <v>0</v>
      </c>
      <c r="AY873">
        <f>'Bookings and Drivers'!BG339</f>
        <v>0</v>
      </c>
      <c r="AZ873">
        <f>'Bookings and Drivers'!BH339</f>
        <v>0</v>
      </c>
      <c r="BA873">
        <f>'Bookings and Drivers'!BI339</f>
        <v>0</v>
      </c>
      <c r="BB873">
        <f>'Bookings and Drivers'!BJ339</f>
        <v>0</v>
      </c>
      <c r="BC873">
        <f>'Bookings and Drivers'!BK339</f>
        <v>0</v>
      </c>
      <c r="BD873">
        <f>'Bookings and Drivers'!BL339</f>
        <v>0</v>
      </c>
      <c r="BE873">
        <f>'Bookings and Drivers'!BM339</f>
        <v>0</v>
      </c>
      <c r="BF873">
        <f>'Bookings and Drivers'!BN339</f>
        <v>0</v>
      </c>
      <c r="BG873">
        <f>'Bookings and Drivers'!BO339</f>
        <v>0</v>
      </c>
      <c r="BH873">
        <f>'Bookings and Drivers'!BP339</f>
        <v>0</v>
      </c>
      <c r="BI873">
        <f>'Bookings and Drivers'!BQ339</f>
        <v>0</v>
      </c>
      <c r="BJ873">
        <f>'Bookings and Drivers'!BR339</f>
        <v>0</v>
      </c>
      <c r="BK873">
        <f>'Bookings and Drivers'!BS339</f>
        <v>0</v>
      </c>
      <c r="BL873">
        <f>'Bookings and Drivers'!BT339</f>
        <v>0</v>
      </c>
      <c r="BM873">
        <f>'Bookings and Drivers'!BU339</f>
        <v>0</v>
      </c>
      <c r="BN873">
        <f>'Bookings and Drivers'!BV339</f>
        <v>0</v>
      </c>
      <c r="BO873">
        <f>'Bookings and Drivers'!BW339</f>
        <v>0</v>
      </c>
      <c r="BP873">
        <f>'Bookings and Drivers'!BX339</f>
        <v>0</v>
      </c>
      <c r="BQ873">
        <f>'Bookings and Drivers'!BY339</f>
        <v>0</v>
      </c>
      <c r="BR873">
        <f>'Bookings and Drivers'!BZ339</f>
        <v>0</v>
      </c>
      <c r="BS873">
        <f>'Bookings and Drivers'!CA339</f>
        <v>0</v>
      </c>
      <c r="BT873">
        <f>'Bookings and Drivers'!CB339</f>
        <v>0</v>
      </c>
      <c r="BU873">
        <f>'Bookings and Drivers'!CC339</f>
        <v>0</v>
      </c>
      <c r="BV873">
        <f>'Bookings and Drivers'!CD339</f>
        <v>0</v>
      </c>
      <c r="BW873">
        <f>'Bookings and Drivers'!CE339</f>
        <v>0</v>
      </c>
      <c r="BX873">
        <f>'Bookings and Drivers'!CF339</f>
        <v>0</v>
      </c>
      <c r="BY873">
        <f>'Bookings and Drivers'!CG339</f>
        <v>0</v>
      </c>
      <c r="BZ873">
        <f>'Bookings and Drivers'!CH339</f>
        <v>0</v>
      </c>
      <c r="CA873">
        <f>'Bookings and Drivers'!CI339</f>
        <v>0</v>
      </c>
      <c r="CB873">
        <f>'Bookings and Drivers'!CJ339</f>
        <v>0</v>
      </c>
      <c r="CC873">
        <f>'Bookings and Drivers'!CK339</f>
        <v>0</v>
      </c>
      <c r="CD873">
        <f>'Bookings and Drivers'!CL339</f>
        <v>0</v>
      </c>
      <c r="CE873">
        <f>'Bookings and Drivers'!CM339</f>
        <v>0</v>
      </c>
      <c r="CF873">
        <f>'Bookings and Drivers'!CN339</f>
        <v>0</v>
      </c>
      <c r="CG873">
        <f>'Bookings and Drivers'!CO339</f>
        <v>0</v>
      </c>
      <c r="CH873">
        <f>'Bookings and Drivers'!CP339</f>
        <v>0</v>
      </c>
      <c r="CI873">
        <f>'Bookings and Drivers'!CQ339</f>
        <v>0</v>
      </c>
      <c r="CJ873">
        <f>'Bookings and Drivers'!CR339</f>
        <v>0</v>
      </c>
      <c r="CK873">
        <f>'Bookings and Drivers'!CS339</f>
        <v>0</v>
      </c>
      <c r="CL873">
        <f>'Bookings and Drivers'!CT339</f>
        <v>0</v>
      </c>
      <c r="CM873">
        <f>'Bookings and Drivers'!CU339</f>
        <v>0</v>
      </c>
      <c r="CN873">
        <f>'Bookings and Drivers'!CV339</f>
        <v>0</v>
      </c>
      <c r="CO873">
        <f>'Bookings and Drivers'!CW339</f>
        <v>0</v>
      </c>
      <c r="CP873">
        <f>'Bookings and Drivers'!CX339</f>
        <v>0</v>
      </c>
      <c r="CQ873">
        <f>'Bookings and Drivers'!CY339</f>
        <v>0</v>
      </c>
      <c r="CR873">
        <f>'Bookings and Drivers'!CZ339</f>
        <v>0</v>
      </c>
      <c r="CS873">
        <f>'Bookings and Drivers'!DA339</f>
        <v>0</v>
      </c>
      <c r="CT873">
        <f>'Bookings and Drivers'!DB339</f>
        <v>0</v>
      </c>
      <c r="CU873">
        <f>'Bookings and Drivers'!DC339</f>
        <v>0</v>
      </c>
      <c r="CV873">
        <f>'Bookings and Drivers'!DD339</f>
        <v>0</v>
      </c>
      <c r="CW873">
        <f>'Bookings and Drivers'!DE339</f>
        <v>0</v>
      </c>
      <c r="CX873">
        <f>'Bookings and Drivers'!DF339</f>
        <v>0</v>
      </c>
    </row>
    <row r="874" spans="1:102">
      <c r="A874" t="str">
        <f>'Bookings and Drivers'!I340</f>
        <v>% change Y/Y</v>
      </c>
      <c r="B874">
        <f>'Bookings and Drivers'!J340</f>
        <v>0</v>
      </c>
      <c r="C874">
        <f>'Bookings and Drivers'!K340</f>
        <v>0</v>
      </c>
      <c r="D874">
        <f>'Bookings and Drivers'!L340</f>
        <v>0</v>
      </c>
      <c r="E874">
        <f>'Bookings and Drivers'!M340</f>
        <v>0</v>
      </c>
      <c r="F874">
        <f>'Bookings and Drivers'!N340</f>
        <v>0</v>
      </c>
      <c r="G874">
        <f>'Bookings and Drivers'!O340</f>
        <v>0</v>
      </c>
      <c r="H874">
        <f>'Bookings and Drivers'!P340</f>
        <v>0</v>
      </c>
      <c r="I874">
        <f>'Bookings and Drivers'!Q340</f>
        <v>0</v>
      </c>
      <c r="J874">
        <f>'Bookings and Drivers'!R340</f>
        <v>0</v>
      </c>
      <c r="K874">
        <f>'Bookings and Drivers'!S340</f>
        <v>0</v>
      </c>
      <c r="L874">
        <f>'Bookings and Drivers'!T340</f>
        <v>0</v>
      </c>
      <c r="M874">
        <f>'Bookings and Drivers'!U340</f>
        <v>0</v>
      </c>
      <c r="N874">
        <f>'Bookings and Drivers'!V340</f>
        <v>0</v>
      </c>
      <c r="O874">
        <f>'Bookings and Drivers'!W340</f>
        <v>0</v>
      </c>
      <c r="P874">
        <f>'Bookings and Drivers'!X340</f>
        <v>0</v>
      </c>
      <c r="Q874">
        <f>'Bookings and Drivers'!Y340</f>
        <v>0</v>
      </c>
      <c r="R874">
        <f>'Bookings and Drivers'!Z340</f>
        <v>0</v>
      </c>
      <c r="S874">
        <f>'Bookings and Drivers'!AA340</f>
        <v>0</v>
      </c>
      <c r="T874">
        <f>'Bookings and Drivers'!AB340</f>
        <v>0</v>
      </c>
      <c r="U874">
        <f>'Bookings and Drivers'!AC340</f>
        <v>0</v>
      </c>
      <c r="V874">
        <f>'Bookings and Drivers'!AD340</f>
        <v>0</v>
      </c>
      <c r="W874">
        <f>'Bookings and Drivers'!AE340</f>
        <v>0</v>
      </c>
      <c r="X874">
        <f>'Bookings and Drivers'!AF340</f>
        <v>0</v>
      </c>
      <c r="Y874">
        <f>'Bookings and Drivers'!AG340</f>
        <v>0</v>
      </c>
      <c r="Z874">
        <f>'Bookings and Drivers'!AH340</f>
        <v>0</v>
      </c>
      <c r="AA874">
        <f>'Bookings and Drivers'!AI340</f>
        <v>0</v>
      </c>
      <c r="AB874">
        <f>'Bookings and Drivers'!AJ340</f>
        <v>0</v>
      </c>
      <c r="AC874">
        <f>'Bookings and Drivers'!AK340</f>
        <v>-1.5479876160990669E-2</v>
      </c>
      <c r="AD874">
        <f>'Bookings and Drivers'!AL340</f>
        <v>-4.6783625730994149E-2</v>
      </c>
      <c r="AE874">
        <f>'Bookings and Drivers'!AM340</f>
        <v>-6.0606060606060996E-3</v>
      </c>
      <c r="AF874">
        <f>'Bookings and Drivers'!AN340</f>
        <v>3.7735849056603765E-2</v>
      </c>
      <c r="AG874">
        <f>'Bookings and Drivers'!AO340</f>
        <v>4.7169811320754818E-2</v>
      </c>
      <c r="AH874">
        <f>'Bookings and Drivers'!AP340</f>
        <v>6.4417177914110502E-2</v>
      </c>
      <c r="AI874">
        <f>'Bookings and Drivers'!AQ340</f>
        <v>9.4512195121951192E-2</v>
      </c>
      <c r="AJ874">
        <f>'Bookings and Drivers'!AR340</f>
        <v>4.5454545454545414E-2</v>
      </c>
      <c r="AK874">
        <f>'Bookings and Drivers'!AS340</f>
        <v>-5.7057057057057103E-2</v>
      </c>
      <c r="AL874">
        <f>'Bookings and Drivers'!AT340</f>
        <v>-0.12968299711815567</v>
      </c>
      <c r="AM874">
        <f>'Bookings and Drivers'!AU340</f>
        <v>-0.14484679665738165</v>
      </c>
      <c r="AN874">
        <f>'Bookings and Drivers'!AV340</f>
        <v>-7.2463768115942018E-2</v>
      </c>
      <c r="AO874">
        <f>'Bookings and Drivers'!AW340</f>
        <v>4.4585987261146487E-2</v>
      </c>
      <c r="AP874">
        <f>'Bookings and Drivers'!AX340</f>
        <v>0.12913907284768222</v>
      </c>
      <c r="AQ874">
        <f>'Bookings and Drivers'!AY340</f>
        <v>0.10749185667752448</v>
      </c>
      <c r="AR874">
        <f>'Bookings and Drivers'!AZ340</f>
        <v>0</v>
      </c>
      <c r="AS874">
        <f>'Bookings and Drivers'!BA340</f>
        <v>0</v>
      </c>
      <c r="AT874">
        <f>'Bookings and Drivers'!BB340</f>
        <v>0</v>
      </c>
      <c r="AU874">
        <f>'Bookings and Drivers'!BC340</f>
        <v>0</v>
      </c>
      <c r="AV874">
        <f>'Bookings and Drivers'!BD340</f>
        <v>0</v>
      </c>
      <c r="AW874">
        <f>'Bookings and Drivers'!BE340</f>
        <v>0</v>
      </c>
      <c r="AX874">
        <f>'Bookings and Drivers'!BF340</f>
        <v>0</v>
      </c>
      <c r="AY874">
        <f>'Bookings and Drivers'!BG340</f>
        <v>0</v>
      </c>
      <c r="AZ874">
        <f>'Bookings and Drivers'!BH340</f>
        <v>0</v>
      </c>
      <c r="BA874">
        <f>'Bookings and Drivers'!BI340</f>
        <v>0</v>
      </c>
      <c r="BB874">
        <f>'Bookings and Drivers'!BJ340</f>
        <v>0</v>
      </c>
      <c r="BC874">
        <f>'Bookings and Drivers'!BK340</f>
        <v>0</v>
      </c>
      <c r="BD874">
        <f>'Bookings and Drivers'!BL340</f>
        <v>0</v>
      </c>
      <c r="BE874">
        <f>'Bookings and Drivers'!BM340</f>
        <v>0</v>
      </c>
      <c r="BF874">
        <f>'Bookings and Drivers'!BN340</f>
        <v>0</v>
      </c>
      <c r="BG874">
        <f>'Bookings and Drivers'!BO340</f>
        <v>0</v>
      </c>
      <c r="BH874">
        <f>'Bookings and Drivers'!BP340</f>
        <v>0</v>
      </c>
      <c r="BI874">
        <f>'Bookings and Drivers'!BQ340</f>
        <v>0</v>
      </c>
      <c r="BJ874">
        <f>'Bookings and Drivers'!BR340</f>
        <v>0</v>
      </c>
      <c r="BK874">
        <f>'Bookings and Drivers'!BS340</f>
        <v>0</v>
      </c>
      <c r="BL874">
        <f>'Bookings and Drivers'!BT340</f>
        <v>0</v>
      </c>
      <c r="BM874">
        <f>'Bookings and Drivers'!BU340</f>
        <v>0</v>
      </c>
      <c r="BN874">
        <f>'Bookings and Drivers'!BV340</f>
        <v>0</v>
      </c>
      <c r="BO874">
        <f>'Bookings and Drivers'!BW340</f>
        <v>0</v>
      </c>
      <c r="BP874">
        <f>'Bookings and Drivers'!BX340</f>
        <v>0</v>
      </c>
      <c r="BQ874">
        <f>'Bookings and Drivers'!BY340</f>
        <v>0</v>
      </c>
      <c r="BR874">
        <f>'Bookings and Drivers'!BZ340</f>
        <v>0</v>
      </c>
      <c r="BS874">
        <f>'Bookings and Drivers'!CA340</f>
        <v>0</v>
      </c>
      <c r="BT874">
        <f>'Bookings and Drivers'!CB340</f>
        <v>0</v>
      </c>
      <c r="BU874">
        <f>'Bookings and Drivers'!CC340</f>
        <v>0</v>
      </c>
      <c r="BV874">
        <f>'Bookings and Drivers'!CD340</f>
        <v>0</v>
      </c>
      <c r="BW874">
        <f>'Bookings and Drivers'!CE340</f>
        <v>0</v>
      </c>
      <c r="BX874">
        <f>'Bookings and Drivers'!CF340</f>
        <v>0</v>
      </c>
      <c r="BY874">
        <f>'Bookings and Drivers'!CG340</f>
        <v>0</v>
      </c>
      <c r="BZ874">
        <f>'Bookings and Drivers'!CH340</f>
        <v>0</v>
      </c>
      <c r="CA874">
        <f>'Bookings and Drivers'!CI340</f>
        <v>0</v>
      </c>
      <c r="CB874">
        <f>'Bookings and Drivers'!CJ340</f>
        <v>0</v>
      </c>
      <c r="CC874">
        <f>'Bookings and Drivers'!CK340</f>
        <v>0</v>
      </c>
      <c r="CD874">
        <f>'Bookings and Drivers'!CL340</f>
        <v>0</v>
      </c>
      <c r="CE874">
        <f>'Bookings and Drivers'!CM340</f>
        <v>0</v>
      </c>
      <c r="CF874">
        <f>'Bookings and Drivers'!CN340</f>
        <v>0</v>
      </c>
      <c r="CG874">
        <f>'Bookings and Drivers'!CO340</f>
        <v>0</v>
      </c>
      <c r="CH874">
        <f>'Bookings and Drivers'!CP340</f>
        <v>0</v>
      </c>
      <c r="CI874">
        <f>'Bookings and Drivers'!CQ340</f>
        <v>0</v>
      </c>
      <c r="CJ874">
        <f>'Bookings and Drivers'!CR340</f>
        <v>0</v>
      </c>
      <c r="CK874">
        <f>'Bookings and Drivers'!CS340</f>
        <v>0</v>
      </c>
      <c r="CL874">
        <f>'Bookings and Drivers'!CT340</f>
        <v>0</v>
      </c>
      <c r="CM874">
        <f>'Bookings and Drivers'!CU340</f>
        <v>0</v>
      </c>
      <c r="CN874">
        <f>'Bookings and Drivers'!CV340</f>
        <v>0</v>
      </c>
      <c r="CO874">
        <f>'Bookings and Drivers'!CW340</f>
        <v>0</v>
      </c>
      <c r="CP874">
        <f>'Bookings and Drivers'!CX340</f>
        <v>0</v>
      </c>
      <c r="CQ874">
        <f>'Bookings and Drivers'!CY340</f>
        <v>0</v>
      </c>
      <c r="CR874">
        <f>'Bookings and Drivers'!CZ340</f>
        <v>0</v>
      </c>
      <c r="CS874">
        <f>'Bookings and Drivers'!DA340</f>
        <v>0</v>
      </c>
      <c r="CT874">
        <f>'Bookings and Drivers'!DB340</f>
        <v>0</v>
      </c>
      <c r="CU874">
        <f>'Bookings and Drivers'!DC340</f>
        <v>0</v>
      </c>
      <c r="CV874">
        <f>'Bookings and Drivers'!DD340</f>
        <v>0</v>
      </c>
      <c r="CW874">
        <f>'Bookings and Drivers'!DE340</f>
        <v>0</v>
      </c>
      <c r="CX874">
        <f>'Bookings and Drivers'!DF340</f>
        <v>0</v>
      </c>
    </row>
    <row r="875" spans="1:102">
      <c r="A875">
        <f>'Bookings and Drivers'!I341</f>
        <v>0</v>
      </c>
      <c r="B875">
        <f>'Bookings and Drivers'!J341</f>
        <v>0</v>
      </c>
      <c r="C875">
        <f>'Bookings and Drivers'!K341</f>
        <v>0</v>
      </c>
      <c r="D875">
        <f>'Bookings and Drivers'!L341</f>
        <v>0</v>
      </c>
      <c r="E875">
        <f>'Bookings and Drivers'!M341</f>
        <v>0</v>
      </c>
      <c r="F875">
        <f>'Bookings and Drivers'!N341</f>
        <v>0</v>
      </c>
      <c r="G875">
        <f>'Bookings and Drivers'!O341</f>
        <v>0</v>
      </c>
      <c r="H875">
        <f>'Bookings and Drivers'!P341</f>
        <v>0</v>
      </c>
      <c r="I875">
        <f>'Bookings and Drivers'!Q341</f>
        <v>0</v>
      </c>
      <c r="J875">
        <f>'Bookings and Drivers'!R341</f>
        <v>0</v>
      </c>
      <c r="K875">
        <f>'Bookings and Drivers'!S341</f>
        <v>0</v>
      </c>
      <c r="L875">
        <f>'Bookings and Drivers'!T341</f>
        <v>0</v>
      </c>
      <c r="M875">
        <f>'Bookings and Drivers'!U341</f>
        <v>0</v>
      </c>
      <c r="N875">
        <f>'Bookings and Drivers'!V341</f>
        <v>0</v>
      </c>
      <c r="O875">
        <f>'Bookings and Drivers'!W341</f>
        <v>0</v>
      </c>
      <c r="P875">
        <f>'Bookings and Drivers'!X341</f>
        <v>0</v>
      </c>
      <c r="Q875">
        <f>'Bookings and Drivers'!Y341</f>
        <v>0</v>
      </c>
      <c r="R875">
        <f>'Bookings and Drivers'!Z341</f>
        <v>0</v>
      </c>
      <c r="S875">
        <f>'Bookings and Drivers'!AA341</f>
        <v>0</v>
      </c>
      <c r="T875">
        <f>'Bookings and Drivers'!AB341</f>
        <v>0</v>
      </c>
      <c r="U875">
        <f>'Bookings and Drivers'!AC341</f>
        <v>0</v>
      </c>
      <c r="V875">
        <f>'Bookings and Drivers'!AD341</f>
        <v>0</v>
      </c>
      <c r="W875">
        <f>'Bookings and Drivers'!AE341</f>
        <v>0</v>
      </c>
      <c r="X875">
        <f>'Bookings and Drivers'!AF341</f>
        <v>0</v>
      </c>
      <c r="Y875">
        <f>'Bookings and Drivers'!AG341</f>
        <v>0</v>
      </c>
      <c r="Z875">
        <f>'Bookings and Drivers'!AH341</f>
        <v>0</v>
      </c>
      <c r="AA875">
        <f>'Bookings and Drivers'!AI341</f>
        <v>0</v>
      </c>
      <c r="AB875">
        <f>'Bookings and Drivers'!AJ341</f>
        <v>0</v>
      </c>
      <c r="AC875">
        <f>'Bookings and Drivers'!AK341</f>
        <v>0</v>
      </c>
      <c r="AD875">
        <f>'Bookings and Drivers'!AL341</f>
        <v>0</v>
      </c>
      <c r="AE875">
        <f>'Bookings and Drivers'!AM341</f>
        <v>0</v>
      </c>
      <c r="AF875">
        <f>'Bookings and Drivers'!AN341</f>
        <v>0</v>
      </c>
      <c r="AG875">
        <f>'Bookings and Drivers'!AO341</f>
        <v>0</v>
      </c>
      <c r="AH875">
        <f>'Bookings and Drivers'!AP341</f>
        <v>0</v>
      </c>
      <c r="AI875">
        <f>'Bookings and Drivers'!AQ341</f>
        <v>0</v>
      </c>
      <c r="AJ875">
        <f>'Bookings and Drivers'!AR341</f>
        <v>0</v>
      </c>
      <c r="AK875">
        <f>'Bookings and Drivers'!AS341</f>
        <v>0</v>
      </c>
      <c r="AL875">
        <f>'Bookings and Drivers'!AT341</f>
        <v>0</v>
      </c>
      <c r="AM875">
        <f>'Bookings and Drivers'!AU341</f>
        <v>0</v>
      </c>
      <c r="AN875">
        <f>'Bookings and Drivers'!AV341</f>
        <v>0</v>
      </c>
      <c r="AO875">
        <f>'Bookings and Drivers'!AW341</f>
        <v>0</v>
      </c>
      <c r="AP875">
        <f>'Bookings and Drivers'!AX341</f>
        <v>0</v>
      </c>
      <c r="AQ875">
        <f>'Bookings and Drivers'!AY341</f>
        <v>0</v>
      </c>
      <c r="AR875">
        <f>'Bookings and Drivers'!AZ341</f>
        <v>0</v>
      </c>
      <c r="AS875">
        <f>'Bookings and Drivers'!BA341</f>
        <v>0</v>
      </c>
      <c r="AT875">
        <f>'Bookings and Drivers'!BB341</f>
        <v>0</v>
      </c>
      <c r="AU875">
        <f>'Bookings and Drivers'!BC341</f>
        <v>0</v>
      </c>
      <c r="AV875">
        <f>'Bookings and Drivers'!BD341</f>
        <v>0</v>
      </c>
      <c r="AW875">
        <f>'Bookings and Drivers'!BE341</f>
        <v>0</v>
      </c>
      <c r="AX875">
        <f>'Bookings and Drivers'!BF341</f>
        <v>0</v>
      </c>
      <c r="AY875">
        <f>'Bookings and Drivers'!BG341</f>
        <v>0</v>
      </c>
      <c r="AZ875">
        <f>'Bookings and Drivers'!BH341</f>
        <v>0</v>
      </c>
      <c r="BA875">
        <f>'Bookings and Drivers'!BI341</f>
        <v>0</v>
      </c>
      <c r="BB875">
        <f>'Bookings and Drivers'!BJ341</f>
        <v>0</v>
      </c>
      <c r="BC875">
        <f>'Bookings and Drivers'!BK341</f>
        <v>0</v>
      </c>
      <c r="BD875">
        <f>'Bookings and Drivers'!BL341</f>
        <v>0</v>
      </c>
      <c r="BE875">
        <f>'Bookings and Drivers'!BM341</f>
        <v>0</v>
      </c>
      <c r="BF875">
        <f>'Bookings and Drivers'!BN341</f>
        <v>0</v>
      </c>
      <c r="BG875">
        <f>'Bookings and Drivers'!BO341</f>
        <v>0</v>
      </c>
      <c r="BH875">
        <f>'Bookings and Drivers'!BP341</f>
        <v>0</v>
      </c>
      <c r="BI875">
        <f>'Bookings and Drivers'!BQ341</f>
        <v>0</v>
      </c>
      <c r="BJ875">
        <f>'Bookings and Drivers'!BR341</f>
        <v>0</v>
      </c>
      <c r="BK875">
        <f>'Bookings and Drivers'!BS341</f>
        <v>0</v>
      </c>
      <c r="BL875">
        <f>'Bookings and Drivers'!BT341</f>
        <v>0</v>
      </c>
      <c r="BM875">
        <f>'Bookings and Drivers'!BU341</f>
        <v>0</v>
      </c>
      <c r="BN875">
        <f>'Bookings and Drivers'!BV341</f>
        <v>0</v>
      </c>
      <c r="BO875">
        <f>'Bookings and Drivers'!BW341</f>
        <v>0</v>
      </c>
      <c r="BP875">
        <f>'Bookings and Drivers'!BX341</f>
        <v>0</v>
      </c>
      <c r="BQ875">
        <f>'Bookings and Drivers'!BY341</f>
        <v>0</v>
      </c>
      <c r="BR875">
        <f>'Bookings and Drivers'!BZ341</f>
        <v>0</v>
      </c>
      <c r="BS875">
        <f>'Bookings and Drivers'!CA341</f>
        <v>0</v>
      </c>
      <c r="BT875">
        <f>'Bookings and Drivers'!CB341</f>
        <v>0</v>
      </c>
      <c r="BU875">
        <f>'Bookings and Drivers'!CC341</f>
        <v>0</v>
      </c>
      <c r="BV875">
        <f>'Bookings and Drivers'!CD341</f>
        <v>0</v>
      </c>
      <c r="BW875">
        <f>'Bookings and Drivers'!CE341</f>
        <v>0</v>
      </c>
      <c r="BX875">
        <f>'Bookings and Drivers'!CF341</f>
        <v>0</v>
      </c>
      <c r="BY875">
        <f>'Bookings and Drivers'!CG341</f>
        <v>0</v>
      </c>
      <c r="BZ875">
        <f>'Bookings and Drivers'!CH341</f>
        <v>0</v>
      </c>
      <c r="CA875">
        <f>'Bookings and Drivers'!CI341</f>
        <v>0</v>
      </c>
      <c r="CB875">
        <f>'Bookings and Drivers'!CJ341</f>
        <v>0</v>
      </c>
      <c r="CC875">
        <f>'Bookings and Drivers'!CK341</f>
        <v>0</v>
      </c>
      <c r="CD875">
        <f>'Bookings and Drivers'!CL341</f>
        <v>0</v>
      </c>
      <c r="CE875">
        <f>'Bookings and Drivers'!CM341</f>
        <v>0</v>
      </c>
      <c r="CF875">
        <f>'Bookings and Drivers'!CN341</f>
        <v>0</v>
      </c>
      <c r="CG875">
        <f>'Bookings and Drivers'!CO341</f>
        <v>0</v>
      </c>
      <c r="CH875">
        <f>'Bookings and Drivers'!CP341</f>
        <v>0</v>
      </c>
      <c r="CI875">
        <f>'Bookings and Drivers'!CQ341</f>
        <v>0</v>
      </c>
      <c r="CJ875">
        <f>'Bookings and Drivers'!CR341</f>
        <v>0</v>
      </c>
      <c r="CK875">
        <f>'Bookings and Drivers'!CS341</f>
        <v>0</v>
      </c>
      <c r="CL875">
        <f>'Bookings and Drivers'!CT341</f>
        <v>0</v>
      </c>
      <c r="CM875">
        <f>'Bookings and Drivers'!CU341</f>
        <v>0</v>
      </c>
      <c r="CN875">
        <f>'Bookings and Drivers'!CV341</f>
        <v>0</v>
      </c>
      <c r="CO875">
        <f>'Bookings and Drivers'!CW341</f>
        <v>0</v>
      </c>
      <c r="CP875">
        <f>'Bookings and Drivers'!CX341</f>
        <v>0</v>
      </c>
      <c r="CQ875">
        <f>'Bookings and Drivers'!CY341</f>
        <v>0</v>
      </c>
      <c r="CR875">
        <f>'Bookings and Drivers'!CZ341</f>
        <v>0</v>
      </c>
      <c r="CS875">
        <f>'Bookings and Drivers'!DA341</f>
        <v>0</v>
      </c>
      <c r="CT875">
        <f>'Bookings and Drivers'!DB341</f>
        <v>0</v>
      </c>
      <c r="CU875">
        <f>'Bookings and Drivers'!DC341</f>
        <v>0</v>
      </c>
      <c r="CV875">
        <f>'Bookings and Drivers'!DD341</f>
        <v>0</v>
      </c>
      <c r="CW875">
        <f>'Bookings and Drivers'!DE341</f>
        <v>0</v>
      </c>
      <c r="CX875">
        <f>'Bookings and Drivers'!DF341</f>
        <v>0</v>
      </c>
    </row>
    <row r="876" spans="1:102">
      <c r="A876" t="str">
        <f>'Bookings and Drivers'!I342</f>
        <v>Rental Car Business</v>
      </c>
      <c r="B876">
        <f>'Bookings and Drivers'!J342</f>
        <v>0</v>
      </c>
      <c r="C876">
        <f>'Bookings and Drivers'!K342</f>
        <v>0</v>
      </c>
      <c r="D876">
        <f>'Bookings and Drivers'!L342</f>
        <v>0</v>
      </c>
      <c r="E876">
        <f>'Bookings and Drivers'!M342</f>
        <v>0</v>
      </c>
      <c r="F876">
        <f>'Bookings and Drivers'!N342</f>
        <v>0</v>
      </c>
      <c r="G876">
        <f>'Bookings and Drivers'!O342</f>
        <v>0</v>
      </c>
      <c r="H876">
        <f>'Bookings and Drivers'!P342</f>
        <v>0</v>
      </c>
      <c r="I876">
        <f>'Bookings and Drivers'!Q342</f>
        <v>0</v>
      </c>
      <c r="J876">
        <f>'Bookings and Drivers'!R342</f>
        <v>0</v>
      </c>
      <c r="K876">
        <f>'Bookings and Drivers'!S342</f>
        <v>0</v>
      </c>
      <c r="L876">
        <f>'Bookings and Drivers'!T342</f>
        <v>0</v>
      </c>
      <c r="M876">
        <f>'Bookings and Drivers'!U342</f>
        <v>0</v>
      </c>
      <c r="N876">
        <f>'Bookings and Drivers'!V342</f>
        <v>0</v>
      </c>
      <c r="O876">
        <f>'Bookings and Drivers'!W342</f>
        <v>0</v>
      </c>
      <c r="P876">
        <f>'Bookings and Drivers'!X342</f>
        <v>0</v>
      </c>
      <c r="Q876">
        <f>'Bookings and Drivers'!Y342</f>
        <v>0</v>
      </c>
      <c r="R876">
        <f>'Bookings and Drivers'!Z342</f>
        <v>0</v>
      </c>
      <c r="S876">
        <f>'Bookings and Drivers'!AA342</f>
        <v>0</v>
      </c>
      <c r="T876">
        <f>'Bookings and Drivers'!AB342</f>
        <v>0</v>
      </c>
      <c r="U876">
        <f>'Bookings and Drivers'!AC342</f>
        <v>0</v>
      </c>
      <c r="V876">
        <f>'Bookings and Drivers'!AD342</f>
        <v>0</v>
      </c>
      <c r="W876">
        <f>'Bookings and Drivers'!AE342</f>
        <v>0</v>
      </c>
      <c r="X876">
        <f>'Bookings and Drivers'!AF342</f>
        <v>0</v>
      </c>
      <c r="Y876">
        <f>'Bookings and Drivers'!AG342</f>
        <v>0</v>
      </c>
      <c r="Z876">
        <f>'Bookings and Drivers'!AH342</f>
        <v>0</v>
      </c>
      <c r="AA876">
        <f>'Bookings and Drivers'!AI342</f>
        <v>0</v>
      </c>
      <c r="AB876">
        <f>'Bookings and Drivers'!AJ342</f>
        <v>0</v>
      </c>
      <c r="AC876">
        <f>'Bookings and Drivers'!AK342</f>
        <v>0</v>
      </c>
      <c r="AD876">
        <f>'Bookings and Drivers'!AL342</f>
        <v>0</v>
      </c>
      <c r="AE876">
        <f>'Bookings and Drivers'!AM342</f>
        <v>0</v>
      </c>
      <c r="AF876">
        <f>'Bookings and Drivers'!AN342</f>
        <v>0</v>
      </c>
      <c r="AG876">
        <f>'Bookings and Drivers'!AO342</f>
        <v>0</v>
      </c>
      <c r="AH876">
        <f>'Bookings and Drivers'!AP342</f>
        <v>0</v>
      </c>
      <c r="AI876">
        <f>'Bookings and Drivers'!AQ342</f>
        <v>0</v>
      </c>
      <c r="AJ876">
        <f>'Bookings and Drivers'!AR342</f>
        <v>0</v>
      </c>
      <c r="AK876">
        <f>'Bookings and Drivers'!AS342</f>
        <v>0</v>
      </c>
      <c r="AL876">
        <f>'Bookings and Drivers'!AT342</f>
        <v>0</v>
      </c>
      <c r="AM876">
        <f>'Bookings and Drivers'!AU342</f>
        <v>0</v>
      </c>
      <c r="AN876">
        <f>'Bookings and Drivers'!AV342</f>
        <v>0</v>
      </c>
      <c r="AO876">
        <f>'Bookings and Drivers'!AW342</f>
        <v>0</v>
      </c>
      <c r="AP876">
        <f>'Bookings and Drivers'!AX342</f>
        <v>0</v>
      </c>
      <c r="AQ876">
        <f>'Bookings and Drivers'!AY342</f>
        <v>0</v>
      </c>
      <c r="AR876">
        <f>'Bookings and Drivers'!AZ342</f>
        <v>0</v>
      </c>
      <c r="AS876">
        <f>'Bookings and Drivers'!BA342</f>
        <v>0</v>
      </c>
      <c r="AT876">
        <f>'Bookings and Drivers'!BB342</f>
        <v>0</v>
      </c>
      <c r="AU876">
        <f>'Bookings and Drivers'!BC342</f>
        <v>0</v>
      </c>
      <c r="AV876">
        <f>'Bookings and Drivers'!BD342</f>
        <v>0</v>
      </c>
      <c r="AW876">
        <f>'Bookings and Drivers'!BE342</f>
        <v>0</v>
      </c>
      <c r="AX876">
        <f>'Bookings and Drivers'!BF342</f>
        <v>0</v>
      </c>
      <c r="AY876">
        <f>'Bookings and Drivers'!BG342</f>
        <v>0</v>
      </c>
      <c r="AZ876">
        <f>'Bookings and Drivers'!BH342</f>
        <v>0</v>
      </c>
      <c r="BA876">
        <f>'Bookings and Drivers'!BI342</f>
        <v>0</v>
      </c>
      <c r="BB876">
        <f>'Bookings and Drivers'!BJ342</f>
        <v>0</v>
      </c>
      <c r="BC876">
        <f>'Bookings and Drivers'!BK342</f>
        <v>0</v>
      </c>
      <c r="BD876">
        <f>'Bookings and Drivers'!BL342</f>
        <v>0</v>
      </c>
      <c r="BE876">
        <f>'Bookings and Drivers'!BM342</f>
        <v>0</v>
      </c>
      <c r="BF876">
        <f>'Bookings and Drivers'!BN342</f>
        <v>0</v>
      </c>
      <c r="BG876">
        <f>'Bookings and Drivers'!BO342</f>
        <v>0</v>
      </c>
      <c r="BH876">
        <f>'Bookings and Drivers'!BP342</f>
        <v>0</v>
      </c>
      <c r="BI876">
        <f>'Bookings and Drivers'!BQ342</f>
        <v>0</v>
      </c>
      <c r="BJ876">
        <f>'Bookings and Drivers'!BR342</f>
        <v>0</v>
      </c>
      <c r="BK876">
        <f>'Bookings and Drivers'!BS342</f>
        <v>0</v>
      </c>
      <c r="BL876">
        <f>'Bookings and Drivers'!BT342</f>
        <v>0</v>
      </c>
      <c r="BM876">
        <f>'Bookings and Drivers'!BU342</f>
        <v>0</v>
      </c>
      <c r="BN876">
        <f>'Bookings and Drivers'!BV342</f>
        <v>0</v>
      </c>
      <c r="BO876">
        <f>'Bookings and Drivers'!BW342</f>
        <v>0</v>
      </c>
      <c r="BP876">
        <f>'Bookings and Drivers'!BX342</f>
        <v>0</v>
      </c>
      <c r="BQ876">
        <f>'Bookings and Drivers'!BY342</f>
        <v>0</v>
      </c>
      <c r="BR876">
        <f>'Bookings and Drivers'!BZ342</f>
        <v>0</v>
      </c>
      <c r="BS876">
        <f>'Bookings and Drivers'!CA342</f>
        <v>0</v>
      </c>
      <c r="BT876">
        <f>'Bookings and Drivers'!CB342</f>
        <v>0</v>
      </c>
      <c r="BU876">
        <f>'Bookings and Drivers'!CC342</f>
        <v>0</v>
      </c>
      <c r="BV876">
        <f>'Bookings and Drivers'!CD342</f>
        <v>0</v>
      </c>
      <c r="BW876">
        <f>'Bookings and Drivers'!CE342</f>
        <v>0</v>
      </c>
      <c r="BX876">
        <f>'Bookings and Drivers'!CF342</f>
        <v>0</v>
      </c>
      <c r="BY876">
        <f>'Bookings and Drivers'!CG342</f>
        <v>0</v>
      </c>
      <c r="BZ876">
        <f>'Bookings and Drivers'!CH342</f>
        <v>0</v>
      </c>
      <c r="CA876">
        <f>'Bookings and Drivers'!CI342</f>
        <v>0</v>
      </c>
      <c r="CB876">
        <f>'Bookings and Drivers'!CJ342</f>
        <v>0</v>
      </c>
      <c r="CC876">
        <f>'Bookings and Drivers'!CK342</f>
        <v>0</v>
      </c>
      <c r="CD876">
        <f>'Bookings and Drivers'!CL342</f>
        <v>0</v>
      </c>
      <c r="CE876">
        <f>'Bookings and Drivers'!CM342</f>
        <v>0</v>
      </c>
      <c r="CF876">
        <f>'Bookings and Drivers'!CN342</f>
        <v>0</v>
      </c>
      <c r="CG876">
        <f>'Bookings and Drivers'!CO342</f>
        <v>0</v>
      </c>
      <c r="CH876">
        <f>'Bookings and Drivers'!CP342</f>
        <v>0</v>
      </c>
      <c r="CI876">
        <f>'Bookings and Drivers'!CQ342</f>
        <v>0</v>
      </c>
      <c r="CJ876">
        <f>'Bookings and Drivers'!CR342</f>
        <v>0</v>
      </c>
      <c r="CK876">
        <f>'Bookings and Drivers'!CS342</f>
        <v>0</v>
      </c>
      <c r="CL876">
        <f>'Bookings and Drivers'!CT342</f>
        <v>0</v>
      </c>
      <c r="CM876">
        <f>'Bookings and Drivers'!CU342</f>
        <v>0</v>
      </c>
      <c r="CN876">
        <f>'Bookings and Drivers'!CV342</f>
        <v>0</v>
      </c>
      <c r="CO876">
        <f>'Bookings and Drivers'!CW342</f>
        <v>0</v>
      </c>
      <c r="CP876">
        <f>'Bookings and Drivers'!CX342</f>
        <v>0</v>
      </c>
      <c r="CQ876">
        <f>'Bookings and Drivers'!CY342</f>
        <v>0</v>
      </c>
      <c r="CR876">
        <f>'Bookings and Drivers'!CZ342</f>
        <v>0</v>
      </c>
      <c r="CS876">
        <f>'Bookings and Drivers'!DA342</f>
        <v>0</v>
      </c>
      <c r="CT876">
        <f>'Bookings and Drivers'!DB342</f>
        <v>0</v>
      </c>
      <c r="CU876">
        <f>'Bookings and Drivers'!DC342</f>
        <v>0</v>
      </c>
      <c r="CV876">
        <f>'Bookings and Drivers'!DD342</f>
        <v>0</v>
      </c>
      <c r="CW876">
        <f>'Bookings and Drivers'!DE342</f>
        <v>0</v>
      </c>
      <c r="CX876">
        <f>'Bookings and Drivers'!DF342</f>
        <v>0</v>
      </c>
    </row>
    <row r="877" spans="1:102">
      <c r="A877" t="str">
        <f>'Bookings and Drivers'!I343</f>
        <v>Rental Car Bookings</v>
      </c>
      <c r="B877">
        <f>'Bookings and Drivers'!J343</f>
        <v>0</v>
      </c>
      <c r="C877">
        <f>'Bookings and Drivers'!K343</f>
        <v>0</v>
      </c>
      <c r="D877">
        <f>'Bookings and Drivers'!L343</f>
        <v>0</v>
      </c>
      <c r="E877">
        <f>'Bookings and Drivers'!M343</f>
        <v>0</v>
      </c>
      <c r="F877">
        <f>'Bookings and Drivers'!N343</f>
        <v>0</v>
      </c>
      <c r="G877">
        <f>'Bookings and Drivers'!O343</f>
        <v>0</v>
      </c>
      <c r="H877">
        <f>'Bookings and Drivers'!P343</f>
        <v>0</v>
      </c>
      <c r="I877">
        <f>'Bookings and Drivers'!Q343</f>
        <v>0</v>
      </c>
      <c r="J877">
        <f>'Bookings and Drivers'!R343</f>
        <v>0</v>
      </c>
      <c r="K877">
        <f>'Bookings and Drivers'!S343</f>
        <v>0</v>
      </c>
      <c r="L877">
        <f>'Bookings and Drivers'!T343</f>
        <v>0</v>
      </c>
      <c r="M877">
        <f>'Bookings and Drivers'!U343</f>
        <v>0</v>
      </c>
      <c r="N877">
        <f>'Bookings and Drivers'!V343</f>
        <v>0</v>
      </c>
      <c r="O877">
        <f>'Bookings and Drivers'!W343</f>
        <v>0</v>
      </c>
      <c r="P877">
        <f>'Bookings and Drivers'!X343</f>
        <v>0</v>
      </c>
      <c r="Q877">
        <f>'Bookings and Drivers'!Y343</f>
        <v>0</v>
      </c>
      <c r="R877">
        <f>'Bookings and Drivers'!Z343</f>
        <v>0</v>
      </c>
      <c r="S877">
        <f>'Bookings and Drivers'!AA343</f>
        <v>0</v>
      </c>
      <c r="T877">
        <f>'Bookings and Drivers'!AB343</f>
        <v>0</v>
      </c>
      <c r="U877">
        <f>'Bookings and Drivers'!AC343</f>
        <v>0</v>
      </c>
      <c r="V877">
        <f>'Bookings and Drivers'!AD343</f>
        <v>0</v>
      </c>
      <c r="W877">
        <f>'Bookings and Drivers'!AE343</f>
        <v>0</v>
      </c>
      <c r="X877">
        <f>'Bookings and Drivers'!AF343</f>
        <v>0</v>
      </c>
      <c r="Y877">
        <f>'Bookings and Drivers'!AG343</f>
        <v>0</v>
      </c>
      <c r="Z877">
        <f>'Bookings and Drivers'!AH343</f>
        <v>0</v>
      </c>
      <c r="AA877">
        <f>'Bookings and Drivers'!AI343</f>
        <v>0</v>
      </c>
      <c r="AB877">
        <f>'Bookings and Drivers'!AJ343</f>
        <v>0</v>
      </c>
      <c r="AC877">
        <f>'Bookings and Drivers'!AK343</f>
        <v>0</v>
      </c>
      <c r="AD877">
        <f>'Bookings and Drivers'!AL343</f>
        <v>0</v>
      </c>
      <c r="AE877">
        <f>'Bookings and Drivers'!AM343</f>
        <v>0</v>
      </c>
      <c r="AF877">
        <f>'Bookings and Drivers'!AN343</f>
        <v>0</v>
      </c>
      <c r="AG877">
        <f>'Bookings and Drivers'!AO343</f>
        <v>0</v>
      </c>
      <c r="AH877">
        <f>'Bookings and Drivers'!AP343</f>
        <v>0</v>
      </c>
      <c r="AI877">
        <f>'Bookings and Drivers'!AQ343</f>
        <v>0</v>
      </c>
      <c r="AJ877">
        <f>'Bookings and Drivers'!AR343</f>
        <v>0</v>
      </c>
      <c r="AK877">
        <f>'Bookings and Drivers'!AS343</f>
        <v>0</v>
      </c>
      <c r="AL877">
        <f>'Bookings and Drivers'!AT343</f>
        <v>0</v>
      </c>
      <c r="AM877">
        <f>'Bookings and Drivers'!AU343</f>
        <v>0</v>
      </c>
      <c r="AN877">
        <f>'Bookings and Drivers'!AV343</f>
        <v>0</v>
      </c>
      <c r="AO877">
        <f>'Bookings and Drivers'!AW343</f>
        <v>0</v>
      </c>
      <c r="AP877">
        <f>'Bookings and Drivers'!AX343</f>
        <v>0</v>
      </c>
      <c r="AQ877">
        <f>'Bookings and Drivers'!AY343</f>
        <v>0</v>
      </c>
      <c r="AR877">
        <f>'Bookings and Drivers'!AZ343</f>
        <v>0</v>
      </c>
      <c r="AS877">
        <f>'Bookings and Drivers'!BA343</f>
        <v>0</v>
      </c>
      <c r="AT877">
        <f>'Bookings and Drivers'!BB343</f>
        <v>0</v>
      </c>
      <c r="AU877">
        <f>'Bookings and Drivers'!BC343</f>
        <v>0</v>
      </c>
      <c r="AV877">
        <f>'Bookings and Drivers'!BD343</f>
        <v>0</v>
      </c>
      <c r="AW877">
        <f>'Bookings and Drivers'!BE343</f>
        <v>0</v>
      </c>
      <c r="AX877">
        <f>'Bookings and Drivers'!BF343</f>
        <v>0</v>
      </c>
      <c r="AY877">
        <f>'Bookings and Drivers'!BG343</f>
        <v>0</v>
      </c>
      <c r="AZ877">
        <f>'Bookings and Drivers'!BH343</f>
        <v>0</v>
      </c>
      <c r="BA877">
        <f>'Bookings and Drivers'!BI343</f>
        <v>0</v>
      </c>
      <c r="BB877">
        <f>'Bookings and Drivers'!BJ343</f>
        <v>0</v>
      </c>
      <c r="BC877">
        <f>'Bookings and Drivers'!BK343</f>
        <v>0</v>
      </c>
      <c r="BD877">
        <f>'Bookings and Drivers'!BL343</f>
        <v>0</v>
      </c>
      <c r="BE877">
        <f>'Bookings and Drivers'!BM343</f>
        <v>0</v>
      </c>
      <c r="BF877">
        <f>'Bookings and Drivers'!BN343</f>
        <v>0</v>
      </c>
      <c r="BG877">
        <f>'Bookings and Drivers'!BO343</f>
        <v>0</v>
      </c>
      <c r="BH877">
        <f>'Bookings and Drivers'!BP343</f>
        <v>0</v>
      </c>
      <c r="BI877">
        <f>'Bookings and Drivers'!BQ343</f>
        <v>0</v>
      </c>
      <c r="BJ877">
        <f>'Bookings and Drivers'!BR343</f>
        <v>0</v>
      </c>
      <c r="BK877">
        <f>'Bookings and Drivers'!BS343</f>
        <v>0</v>
      </c>
      <c r="BL877">
        <f>'Bookings and Drivers'!BT343</f>
        <v>0</v>
      </c>
      <c r="BM877">
        <f>'Bookings and Drivers'!BU343</f>
        <v>0</v>
      </c>
      <c r="BN877">
        <f>'Bookings and Drivers'!BV343</f>
        <v>0</v>
      </c>
      <c r="BO877">
        <f>'Bookings and Drivers'!BW343</f>
        <v>0</v>
      </c>
      <c r="BP877">
        <f>'Bookings and Drivers'!BX343</f>
        <v>0</v>
      </c>
      <c r="BQ877">
        <f>'Bookings and Drivers'!BY343</f>
        <v>0</v>
      </c>
      <c r="BR877">
        <f>'Bookings and Drivers'!BZ343</f>
        <v>0</v>
      </c>
      <c r="BS877">
        <f>'Bookings and Drivers'!CA343</f>
        <v>0</v>
      </c>
      <c r="BT877">
        <f>'Bookings and Drivers'!CB343</f>
        <v>0</v>
      </c>
      <c r="BU877">
        <f>'Bookings and Drivers'!CC343</f>
        <v>0</v>
      </c>
      <c r="BV877">
        <f>'Bookings and Drivers'!CD343</f>
        <v>0</v>
      </c>
      <c r="BW877">
        <f>'Bookings and Drivers'!CE343</f>
        <v>0</v>
      </c>
      <c r="BX877">
        <f>'Bookings and Drivers'!CF343</f>
        <v>0</v>
      </c>
      <c r="BY877">
        <f>'Bookings and Drivers'!CG343</f>
        <v>0</v>
      </c>
      <c r="BZ877">
        <f>'Bookings and Drivers'!CH343</f>
        <v>0</v>
      </c>
      <c r="CA877">
        <f>'Bookings and Drivers'!CI343</f>
        <v>0</v>
      </c>
      <c r="CB877">
        <f>'Bookings and Drivers'!CJ343</f>
        <v>0</v>
      </c>
      <c r="CC877">
        <f>'Bookings and Drivers'!CK343</f>
        <v>0</v>
      </c>
      <c r="CD877">
        <f>'Bookings and Drivers'!CL343</f>
        <v>0</v>
      </c>
      <c r="CE877">
        <f>'Bookings and Drivers'!CM343</f>
        <v>0</v>
      </c>
      <c r="CF877">
        <f>'Bookings and Drivers'!CN343</f>
        <v>0</v>
      </c>
      <c r="CG877">
        <f>'Bookings and Drivers'!CO343</f>
        <v>0</v>
      </c>
      <c r="CH877">
        <f>'Bookings and Drivers'!CP343</f>
        <v>0</v>
      </c>
      <c r="CI877">
        <f>'Bookings and Drivers'!CQ343</f>
        <v>0</v>
      </c>
      <c r="CJ877">
        <f>'Bookings and Drivers'!CR343</f>
        <v>0</v>
      </c>
      <c r="CK877">
        <f>'Bookings and Drivers'!CS343</f>
        <v>0</v>
      </c>
      <c r="CL877">
        <f>'Bookings and Drivers'!CT343</f>
        <v>0</v>
      </c>
      <c r="CM877">
        <f>'Bookings and Drivers'!CU343</f>
        <v>0</v>
      </c>
      <c r="CN877">
        <f>'Bookings and Drivers'!CV343</f>
        <v>0</v>
      </c>
      <c r="CO877">
        <f>'Bookings and Drivers'!CW343</f>
        <v>0</v>
      </c>
      <c r="CP877">
        <f>'Bookings and Drivers'!CX343</f>
        <v>0</v>
      </c>
      <c r="CQ877">
        <f>'Bookings and Drivers'!CY343</f>
        <v>0</v>
      </c>
      <c r="CR877">
        <f>'Bookings and Drivers'!CZ343</f>
        <v>0</v>
      </c>
      <c r="CS877">
        <f>'Bookings and Drivers'!DA343</f>
        <v>0</v>
      </c>
      <c r="CT877">
        <f>'Bookings and Drivers'!DB343</f>
        <v>0</v>
      </c>
      <c r="CU877">
        <f>'Bookings and Drivers'!DC343</f>
        <v>0</v>
      </c>
      <c r="CV877">
        <f>'Bookings and Drivers'!DD343</f>
        <v>0</v>
      </c>
      <c r="CW877">
        <f>'Bookings and Drivers'!DE343</f>
        <v>0</v>
      </c>
      <c r="CX877">
        <f>'Bookings and Drivers'!DF343</f>
        <v>0</v>
      </c>
    </row>
    <row r="878" spans="1:102">
      <c r="A878" t="str">
        <f>'Bookings and Drivers'!I344</f>
        <v>Rental Car Days (in thousands)</v>
      </c>
      <c r="B878">
        <f>'Bookings and Drivers'!J344</f>
        <v>0</v>
      </c>
      <c r="C878">
        <f>'Bookings and Drivers'!K344</f>
        <v>0</v>
      </c>
      <c r="D878">
        <f>'Bookings and Drivers'!L344</f>
        <v>0</v>
      </c>
      <c r="E878">
        <f>'Bookings and Drivers'!M344</f>
        <v>0</v>
      </c>
      <c r="F878">
        <f>'Bookings and Drivers'!N344</f>
        <v>0</v>
      </c>
      <c r="G878">
        <f>'Bookings and Drivers'!O344</f>
        <v>0</v>
      </c>
      <c r="H878">
        <f>'Bookings and Drivers'!P344</f>
        <v>0</v>
      </c>
      <c r="I878">
        <f>'Bookings and Drivers'!Q344</f>
        <v>0</v>
      </c>
      <c r="J878">
        <f>'Bookings and Drivers'!R344</f>
        <v>0</v>
      </c>
      <c r="K878">
        <f>'Bookings and Drivers'!S344</f>
        <v>0</v>
      </c>
      <c r="L878">
        <f>'Bookings and Drivers'!T344</f>
        <v>0</v>
      </c>
      <c r="M878">
        <f>'Bookings and Drivers'!U344</f>
        <v>0</v>
      </c>
      <c r="N878">
        <f>'Bookings and Drivers'!V344</f>
        <v>0</v>
      </c>
      <c r="O878">
        <f>'Bookings and Drivers'!W344</f>
        <v>0</v>
      </c>
      <c r="P878">
        <f>'Bookings and Drivers'!X344</f>
        <v>0</v>
      </c>
      <c r="Q878">
        <f>'Bookings and Drivers'!Y344</f>
        <v>0</v>
      </c>
      <c r="R878">
        <f>'Bookings and Drivers'!Z344</f>
        <v>0</v>
      </c>
      <c r="S878">
        <f>'Bookings and Drivers'!AA344</f>
        <v>0</v>
      </c>
      <c r="T878">
        <f>'Bookings and Drivers'!AB344</f>
        <v>0</v>
      </c>
      <c r="U878">
        <f>'Bookings and Drivers'!AC344</f>
        <v>1278</v>
      </c>
      <c r="V878">
        <f>'Bookings and Drivers'!AD344</f>
        <v>1535</v>
      </c>
      <c r="W878">
        <f>'Bookings and Drivers'!AE344</f>
        <v>1692</v>
      </c>
      <c r="X878">
        <f>'Bookings and Drivers'!AF344</f>
        <v>1315</v>
      </c>
      <c r="Y878">
        <f>'Bookings and Drivers'!AG344</f>
        <v>1621</v>
      </c>
      <c r="Z878">
        <f>'Bookings and Drivers'!AH344</f>
        <v>2000</v>
      </c>
      <c r="AA878">
        <f>'Bookings and Drivers'!AI344</f>
        <v>2044</v>
      </c>
      <c r="AB878">
        <f>'Bookings and Drivers'!AJ344</f>
        <v>1789</v>
      </c>
      <c r="AC878">
        <f>'Bookings and Drivers'!AK344</f>
        <v>2003</v>
      </c>
      <c r="AD878">
        <f>'Bookings and Drivers'!AL344</f>
        <v>2278</v>
      </c>
      <c r="AE878">
        <f>'Bookings and Drivers'!AM344</f>
        <v>2338</v>
      </c>
      <c r="AF878">
        <f>'Bookings and Drivers'!AN344</f>
        <v>2002</v>
      </c>
      <c r="AG878">
        <f>'Bookings and Drivers'!AO344</f>
        <v>2612</v>
      </c>
      <c r="AH878">
        <f>'Bookings and Drivers'!AP344</f>
        <v>2815</v>
      </c>
      <c r="AI878">
        <f>'Bookings and Drivers'!AQ344</f>
        <v>2333</v>
      </c>
      <c r="AJ878">
        <f>'Bookings and Drivers'!AR344</f>
        <v>2224</v>
      </c>
      <c r="AK878">
        <f>'Bookings and Drivers'!AS344</f>
        <v>3014</v>
      </c>
      <c r="AL878">
        <f>'Bookings and Drivers'!AT344</f>
        <v>3237</v>
      </c>
      <c r="AM878">
        <f>'Bookings and Drivers'!AU344</f>
        <v>2604</v>
      </c>
      <c r="AN878">
        <f>'Bookings and Drivers'!AV344</f>
        <v>2370</v>
      </c>
      <c r="AO878">
        <f>'Bookings and Drivers'!AW344</f>
        <v>2986</v>
      </c>
      <c r="AP878">
        <f>'Bookings and Drivers'!AX344</f>
        <v>4314</v>
      </c>
      <c r="AQ878">
        <f>'Bookings and Drivers'!AY344</f>
        <v>5100</v>
      </c>
      <c r="AR878">
        <f>'Bookings and Drivers'!AZ344</f>
        <v>3900</v>
      </c>
      <c r="AS878">
        <f>'Bookings and Drivers'!BA344</f>
        <v>4900</v>
      </c>
      <c r="AT878">
        <f>'Bookings and Drivers'!BB344</f>
        <v>6600</v>
      </c>
      <c r="AU878">
        <f>'Bookings and Drivers'!BC344</f>
        <v>7000</v>
      </c>
      <c r="AV878">
        <f>'Bookings and Drivers'!BD344</f>
        <v>5300</v>
      </c>
      <c r="AW878">
        <f>'Bookings and Drivers'!BE344</f>
        <v>6900</v>
      </c>
      <c r="AX878">
        <f>'Bookings and Drivers'!BF344</f>
        <v>8600</v>
      </c>
      <c r="AY878">
        <f>'Bookings and Drivers'!BG344</f>
        <v>9400</v>
      </c>
      <c r="AZ878">
        <f>'Bookings and Drivers'!BH344</f>
        <v>7200</v>
      </c>
      <c r="BA878">
        <f>'Bookings and Drivers'!BI344</f>
        <v>9900</v>
      </c>
      <c r="BB878">
        <f>'Bookings and Drivers'!BJ344</f>
        <v>12500</v>
      </c>
      <c r="BC878">
        <f>'Bookings and Drivers'!BK344</f>
        <v>12000</v>
      </c>
      <c r="BD878">
        <f>'Bookings and Drivers'!BL344</f>
        <v>9500</v>
      </c>
      <c r="BE878">
        <f>'Bookings and Drivers'!BM344</f>
        <v>12300</v>
      </c>
      <c r="BF878">
        <f>'Bookings and Drivers'!BN344</f>
        <v>14300</v>
      </c>
      <c r="BG878">
        <f>'Bookings and Drivers'!BO344</f>
        <v>14200</v>
      </c>
      <c r="BH878">
        <f>'Bookings and Drivers'!BP344</f>
        <v>11000</v>
      </c>
      <c r="BI878">
        <f>'Bookings and Drivers'!BQ344</f>
        <v>14600</v>
      </c>
      <c r="BJ878">
        <f>'Bookings and Drivers'!BR344</f>
        <v>17200</v>
      </c>
      <c r="BK878">
        <f>'Bookings and Drivers'!BS344</f>
        <v>16000</v>
      </c>
      <c r="BL878">
        <f>'Bookings and Drivers'!BT344</f>
        <v>12200</v>
      </c>
      <c r="BM878">
        <f>'Bookings and Drivers'!BU344</f>
        <v>16200</v>
      </c>
      <c r="BN878">
        <f>'Bookings and Drivers'!BV344</f>
        <v>18500</v>
      </c>
      <c r="BO878">
        <f>'Bookings and Drivers'!BW344</f>
        <v>18000</v>
      </c>
      <c r="BP878">
        <f>'Bookings and Drivers'!BX344</f>
        <v>14000</v>
      </c>
      <c r="BQ878">
        <f>'Bookings and Drivers'!BY344</f>
        <v>18600</v>
      </c>
      <c r="BR878">
        <f>'Bookings and Drivers'!BZ344</f>
        <v>20700</v>
      </c>
      <c r="BS878">
        <f>'Bookings and Drivers'!CA344</f>
        <v>19000</v>
      </c>
      <c r="BT878">
        <f>'Bookings and Drivers'!CB344</f>
        <v>14700</v>
      </c>
      <c r="BU878">
        <f>'Bookings and Drivers'!CC344</f>
        <v>19251</v>
      </c>
      <c r="BV878">
        <f>'Bookings and Drivers'!CD344</f>
        <v>21631.5</v>
      </c>
      <c r="BW878">
        <f>'Bookings and Drivers'!CE344</f>
        <v>20330</v>
      </c>
      <c r="BX878">
        <f>'Bookings and Drivers'!CF344</f>
        <v>16170.000000000002</v>
      </c>
      <c r="BY878">
        <f>'Bookings and Drivers'!CG344</f>
        <v>0</v>
      </c>
      <c r="BZ878">
        <f>'Bookings and Drivers'!CH344</f>
        <v>0</v>
      </c>
      <c r="CA878">
        <f>'Bookings and Drivers'!CI344</f>
        <v>0</v>
      </c>
      <c r="CB878">
        <f>'Bookings and Drivers'!CJ344</f>
        <v>0</v>
      </c>
      <c r="CC878">
        <f>'Bookings and Drivers'!CK344</f>
        <v>0</v>
      </c>
      <c r="CD878">
        <f>'Bookings and Drivers'!CL344</f>
        <v>5820</v>
      </c>
      <c r="CE878">
        <f>'Bookings and Drivers'!CM344</f>
        <v>7454</v>
      </c>
      <c r="CF878">
        <f>'Bookings and Drivers'!CN344</f>
        <v>8621</v>
      </c>
      <c r="CG878">
        <f>'Bookings and Drivers'!CO344</f>
        <v>9984</v>
      </c>
      <c r="CH878">
        <f>'Bookings and Drivers'!CP344</f>
        <v>11225</v>
      </c>
      <c r="CI878">
        <f>'Bookings and Drivers'!CQ344</f>
        <v>16300</v>
      </c>
      <c r="CJ878">
        <f>'Bookings and Drivers'!CR344</f>
        <v>23800</v>
      </c>
      <c r="CK878">
        <f>'Bookings and Drivers'!CS344</f>
        <v>32100</v>
      </c>
      <c r="CL878">
        <f>'Bookings and Drivers'!CT344</f>
        <v>43900</v>
      </c>
      <c r="CM878">
        <f>'Bookings and Drivers'!CU344</f>
        <v>51800</v>
      </c>
      <c r="CN878">
        <f>'Bookings and Drivers'!CV344</f>
        <v>60000</v>
      </c>
      <c r="CO878">
        <f>'Bookings and Drivers'!CW344</f>
        <v>66700</v>
      </c>
      <c r="CP878">
        <f>'Bookings and Drivers'!CX344</f>
        <v>73000</v>
      </c>
      <c r="CQ878">
        <f>'Bookings and Drivers'!CY344</f>
        <v>77382.5</v>
      </c>
      <c r="CR878">
        <f>'Bookings and Drivers'!CZ344</f>
        <v>81254.275085616435</v>
      </c>
      <c r="CS878">
        <f>'Bookings and Drivers'!DA344</f>
        <v>84507.228769694717</v>
      </c>
      <c r="CT878">
        <f>'Bookings and Drivers'!DB344</f>
        <v>87045.339715962604</v>
      </c>
      <c r="CU878">
        <f>'Bookings and Drivers'!DC344</f>
        <v>89659.680912226278</v>
      </c>
      <c r="CV878">
        <f>'Bookings and Drivers'!DD344</f>
        <v>92352.541876610616</v>
      </c>
      <c r="CW878">
        <f>'Bookings and Drivers'!DE344</f>
        <v>95126.280891192378</v>
      </c>
      <c r="CX878">
        <f>'Bookings and Drivers'!DF344</f>
        <v>97983.327067273742</v>
      </c>
    </row>
    <row r="879" spans="1:102">
      <c r="A879" t="str">
        <f>'Bookings and Drivers'!I345</f>
        <v>Period-to-period change Y/Y</v>
      </c>
      <c r="B879">
        <f>'Bookings and Drivers'!J345</f>
        <v>0</v>
      </c>
      <c r="C879">
        <f>'Bookings and Drivers'!K345</f>
        <v>0</v>
      </c>
      <c r="D879">
        <f>'Bookings and Drivers'!L345</f>
        <v>0</v>
      </c>
      <c r="E879">
        <f>'Bookings and Drivers'!M345</f>
        <v>0</v>
      </c>
      <c r="F879">
        <f>'Bookings and Drivers'!N345</f>
        <v>0</v>
      </c>
      <c r="G879">
        <f>'Bookings and Drivers'!O345</f>
        <v>0</v>
      </c>
      <c r="H879">
        <f>'Bookings and Drivers'!P345</f>
        <v>0</v>
      </c>
      <c r="I879">
        <f>'Bookings and Drivers'!Q345</f>
        <v>0</v>
      </c>
      <c r="J879">
        <f>'Bookings and Drivers'!R345</f>
        <v>0</v>
      </c>
      <c r="K879">
        <f>'Bookings and Drivers'!S345</f>
        <v>0</v>
      </c>
      <c r="L879">
        <f>'Bookings and Drivers'!T345</f>
        <v>0</v>
      </c>
      <c r="M879">
        <f>'Bookings and Drivers'!U345</f>
        <v>0</v>
      </c>
      <c r="N879">
        <f>'Bookings and Drivers'!V345</f>
        <v>0</v>
      </c>
      <c r="O879">
        <f>'Bookings and Drivers'!W345</f>
        <v>0</v>
      </c>
      <c r="P879">
        <f>'Bookings and Drivers'!X345</f>
        <v>0</v>
      </c>
      <c r="Q879">
        <f>'Bookings and Drivers'!Y345</f>
        <v>0</v>
      </c>
      <c r="R879">
        <f>'Bookings and Drivers'!Z345</f>
        <v>0</v>
      </c>
      <c r="S879">
        <f>'Bookings and Drivers'!AA345</f>
        <v>0</v>
      </c>
      <c r="T879">
        <f>'Bookings and Drivers'!AB345</f>
        <v>0</v>
      </c>
      <c r="U879">
        <f>'Bookings and Drivers'!AC345</f>
        <v>0</v>
      </c>
      <c r="V879">
        <f>'Bookings and Drivers'!AD345</f>
        <v>0</v>
      </c>
      <c r="W879">
        <f>'Bookings and Drivers'!AE345</f>
        <v>0</v>
      </c>
      <c r="X879">
        <f>'Bookings and Drivers'!AF345</f>
        <v>0</v>
      </c>
      <c r="Y879">
        <f>'Bookings and Drivers'!AG345</f>
        <v>0</v>
      </c>
      <c r="Z879">
        <f>'Bookings and Drivers'!AH345</f>
        <v>0</v>
      </c>
      <c r="AA879">
        <f>'Bookings and Drivers'!AI345</f>
        <v>0</v>
      </c>
      <c r="AB879">
        <f>'Bookings and Drivers'!AJ345</f>
        <v>0</v>
      </c>
      <c r="AC879">
        <f>'Bookings and Drivers'!AK345</f>
        <v>382</v>
      </c>
      <c r="AD879">
        <f>'Bookings and Drivers'!AL345</f>
        <v>278</v>
      </c>
      <c r="AE879">
        <f>'Bookings and Drivers'!AM345</f>
        <v>294</v>
      </c>
      <c r="AF879">
        <f>'Bookings and Drivers'!AN345</f>
        <v>213</v>
      </c>
      <c r="AG879">
        <f>'Bookings and Drivers'!AO345</f>
        <v>609</v>
      </c>
      <c r="AH879">
        <f>'Bookings and Drivers'!AP345</f>
        <v>537</v>
      </c>
      <c r="AI879">
        <f>'Bookings and Drivers'!AQ345</f>
        <v>-5</v>
      </c>
      <c r="AJ879">
        <f>'Bookings and Drivers'!AR345</f>
        <v>222</v>
      </c>
      <c r="AK879">
        <f>'Bookings and Drivers'!AS345</f>
        <v>402</v>
      </c>
      <c r="AL879">
        <f>'Bookings and Drivers'!AT345</f>
        <v>422</v>
      </c>
      <c r="AM879">
        <f>'Bookings and Drivers'!AU345</f>
        <v>271</v>
      </c>
      <c r="AN879">
        <f>'Bookings and Drivers'!AV345</f>
        <v>146</v>
      </c>
      <c r="AO879">
        <f>'Bookings and Drivers'!AW345</f>
        <v>-28</v>
      </c>
      <c r="AP879">
        <f>'Bookings and Drivers'!AX345</f>
        <v>1077</v>
      </c>
      <c r="AQ879">
        <f>'Bookings and Drivers'!AY345</f>
        <v>2496</v>
      </c>
      <c r="AR879">
        <f>'Bookings and Drivers'!AZ345</f>
        <v>1530</v>
      </c>
      <c r="AS879">
        <f>'Bookings and Drivers'!BA345</f>
        <v>1914</v>
      </c>
      <c r="AT879">
        <f>'Bookings and Drivers'!BB345</f>
        <v>2286</v>
      </c>
      <c r="AU879">
        <f>'Bookings and Drivers'!BC345</f>
        <v>1900</v>
      </c>
      <c r="AV879">
        <f>'Bookings and Drivers'!BD345</f>
        <v>1400</v>
      </c>
      <c r="AW879">
        <f>'Bookings and Drivers'!BE345</f>
        <v>2000</v>
      </c>
      <c r="AX879">
        <f>'Bookings and Drivers'!BF345</f>
        <v>2000</v>
      </c>
      <c r="AY879">
        <f>'Bookings and Drivers'!BG345</f>
        <v>2400</v>
      </c>
      <c r="AZ879">
        <f>'Bookings and Drivers'!BH345</f>
        <v>1900</v>
      </c>
      <c r="BA879">
        <f>'Bookings and Drivers'!BI345</f>
        <v>3000</v>
      </c>
      <c r="BB879">
        <f>'Bookings and Drivers'!BJ345</f>
        <v>3900</v>
      </c>
      <c r="BC879">
        <f>'Bookings and Drivers'!BK345</f>
        <v>2600</v>
      </c>
      <c r="BD879">
        <f>'Bookings and Drivers'!BL345</f>
        <v>2300</v>
      </c>
      <c r="BE879">
        <f>'Bookings and Drivers'!BM345</f>
        <v>2400</v>
      </c>
      <c r="BF879">
        <f>'Bookings and Drivers'!BN345</f>
        <v>1800</v>
      </c>
      <c r="BG879">
        <f>'Bookings and Drivers'!BO345</f>
        <v>2200</v>
      </c>
      <c r="BH879">
        <f>'Bookings and Drivers'!BP345</f>
        <v>1500</v>
      </c>
      <c r="BI879">
        <f>'Bookings and Drivers'!BQ345</f>
        <v>2300</v>
      </c>
      <c r="BJ879">
        <f>'Bookings and Drivers'!BR345</f>
        <v>2900</v>
      </c>
      <c r="BK879">
        <f>'Bookings and Drivers'!BS345</f>
        <v>1800</v>
      </c>
      <c r="BL879">
        <f>'Bookings and Drivers'!BT345</f>
        <v>1200</v>
      </c>
      <c r="BM879">
        <f>'Bookings and Drivers'!BU345</f>
        <v>1600</v>
      </c>
      <c r="BN879">
        <f>'Bookings and Drivers'!BV345</f>
        <v>1300</v>
      </c>
      <c r="BO879">
        <f>'Bookings and Drivers'!BW345</f>
        <v>2000</v>
      </c>
      <c r="BP879">
        <f>'Bookings and Drivers'!BX345</f>
        <v>1800</v>
      </c>
      <c r="BQ879">
        <f>'Bookings and Drivers'!BY345</f>
        <v>2400</v>
      </c>
      <c r="BR879">
        <f>'Bookings and Drivers'!BZ345</f>
        <v>2200</v>
      </c>
      <c r="BS879">
        <f>'Bookings and Drivers'!CA345</f>
        <v>1000</v>
      </c>
      <c r="BT879">
        <f>'Bookings and Drivers'!CB345</f>
        <v>700</v>
      </c>
      <c r="BU879">
        <f>'Bookings and Drivers'!CC345</f>
        <v>651</v>
      </c>
      <c r="BV879">
        <f>'Bookings and Drivers'!CD345</f>
        <v>931.5</v>
      </c>
      <c r="BW879">
        <f>'Bookings and Drivers'!CE345</f>
        <v>1330</v>
      </c>
      <c r="BX879">
        <f>'Bookings and Drivers'!CF345</f>
        <v>1470.0000000000018</v>
      </c>
      <c r="BY879">
        <f>'Bookings and Drivers'!CG345</f>
        <v>0</v>
      </c>
      <c r="BZ879">
        <f>'Bookings and Drivers'!CH345</f>
        <v>0</v>
      </c>
      <c r="CA879">
        <f>'Bookings and Drivers'!CI345</f>
        <v>0</v>
      </c>
      <c r="CB879">
        <f>'Bookings and Drivers'!CJ345</f>
        <v>0</v>
      </c>
      <c r="CC879">
        <f>'Bookings and Drivers'!CK345</f>
        <v>0</v>
      </c>
      <c r="CD879">
        <f>'Bookings and Drivers'!CL345</f>
        <v>0</v>
      </c>
      <c r="CE879">
        <f>'Bookings and Drivers'!CM345</f>
        <v>0</v>
      </c>
      <c r="CF879">
        <f>'Bookings and Drivers'!CN345</f>
        <v>1167</v>
      </c>
      <c r="CG879">
        <f>'Bookings and Drivers'!CO345</f>
        <v>1363</v>
      </c>
      <c r="CH879">
        <f>'Bookings and Drivers'!CP345</f>
        <v>1241</v>
      </c>
      <c r="CI879">
        <f>'Bookings and Drivers'!CQ345</f>
        <v>5075</v>
      </c>
      <c r="CJ879">
        <f>'Bookings and Drivers'!CR345</f>
        <v>7500</v>
      </c>
      <c r="CK879">
        <f>'Bookings and Drivers'!CS345</f>
        <v>8300</v>
      </c>
      <c r="CL879">
        <f>'Bookings and Drivers'!CT345</f>
        <v>11800</v>
      </c>
      <c r="CM879">
        <f>'Bookings and Drivers'!CU345</f>
        <v>7900</v>
      </c>
      <c r="CN879">
        <f>'Bookings and Drivers'!CV345</f>
        <v>8200</v>
      </c>
      <c r="CO879">
        <f>'Bookings and Drivers'!CW345</f>
        <v>6700</v>
      </c>
      <c r="CP879">
        <f>'Bookings and Drivers'!CX345</f>
        <v>6300</v>
      </c>
      <c r="CQ879">
        <f>'Bookings and Drivers'!CY345</f>
        <v>4382.5</v>
      </c>
      <c r="CR879">
        <f>'Bookings and Drivers'!CZ345</f>
        <v>3871.7750856164348</v>
      </c>
      <c r="CS879">
        <f>'Bookings and Drivers'!DA345</f>
        <v>3252.9536840782821</v>
      </c>
      <c r="CT879">
        <f>'Bookings and Drivers'!DB345</f>
        <v>2538.1109462678869</v>
      </c>
      <c r="CU879">
        <f>'Bookings and Drivers'!DC345</f>
        <v>2614.3411962636746</v>
      </c>
      <c r="CV879">
        <f>'Bookings and Drivers'!DD345</f>
        <v>2692.8609643843374</v>
      </c>
      <c r="CW879">
        <f>'Bookings and Drivers'!DE345</f>
        <v>2773.7390145817626</v>
      </c>
      <c r="CX879">
        <f>'Bookings and Drivers'!DF345</f>
        <v>2857.0461760813632</v>
      </c>
    </row>
    <row r="880" spans="1:102">
      <c r="A880" t="str">
        <f>'Bookings and Drivers'!I346</f>
        <v>% change Y/Y</v>
      </c>
      <c r="B880">
        <f>'Bookings and Drivers'!J346</f>
        <v>0</v>
      </c>
      <c r="C880">
        <f>'Bookings and Drivers'!K346</f>
        <v>0</v>
      </c>
      <c r="D880">
        <f>'Bookings and Drivers'!L346</f>
        <v>0</v>
      </c>
      <c r="E880">
        <f>'Bookings and Drivers'!M346</f>
        <v>0</v>
      </c>
      <c r="F880">
        <f>'Bookings and Drivers'!N346</f>
        <v>0</v>
      </c>
      <c r="G880">
        <f>'Bookings and Drivers'!O346</f>
        <v>0</v>
      </c>
      <c r="H880">
        <f>'Bookings and Drivers'!P346</f>
        <v>0</v>
      </c>
      <c r="I880">
        <f>'Bookings and Drivers'!Q346</f>
        <v>0</v>
      </c>
      <c r="J880">
        <f>'Bookings and Drivers'!R346</f>
        <v>0</v>
      </c>
      <c r="K880">
        <f>'Bookings and Drivers'!S346</f>
        <v>0</v>
      </c>
      <c r="L880">
        <f>'Bookings and Drivers'!T346</f>
        <v>0</v>
      </c>
      <c r="M880">
        <f>'Bookings and Drivers'!U346</f>
        <v>0</v>
      </c>
      <c r="N880">
        <f>'Bookings and Drivers'!V346</f>
        <v>0</v>
      </c>
      <c r="O880">
        <f>'Bookings and Drivers'!W346</f>
        <v>0</v>
      </c>
      <c r="P880">
        <f>'Bookings and Drivers'!X346</f>
        <v>0</v>
      </c>
      <c r="Q880">
        <f>'Bookings and Drivers'!Y346</f>
        <v>0</v>
      </c>
      <c r="R880">
        <f>'Bookings and Drivers'!Z346</f>
        <v>0</v>
      </c>
      <c r="S880">
        <f>'Bookings and Drivers'!AA346</f>
        <v>0</v>
      </c>
      <c r="T880">
        <f>'Bookings and Drivers'!AB346</f>
        <v>0</v>
      </c>
      <c r="U880">
        <f>'Bookings and Drivers'!AC346</f>
        <v>0</v>
      </c>
      <c r="V880">
        <f>'Bookings and Drivers'!AD346</f>
        <v>0</v>
      </c>
      <c r="W880">
        <f>'Bookings and Drivers'!AE346</f>
        <v>0</v>
      </c>
      <c r="X880">
        <f>'Bookings and Drivers'!AF346</f>
        <v>0</v>
      </c>
      <c r="Y880">
        <f>'Bookings and Drivers'!AG346</f>
        <v>0</v>
      </c>
      <c r="Z880">
        <f>'Bookings and Drivers'!AH346</f>
        <v>0</v>
      </c>
      <c r="AA880">
        <f>'Bookings and Drivers'!AI346</f>
        <v>0</v>
      </c>
      <c r="AB880">
        <f>'Bookings and Drivers'!AJ346</f>
        <v>0</v>
      </c>
      <c r="AC880">
        <f>'Bookings and Drivers'!AK346</f>
        <v>0.23565700185070937</v>
      </c>
      <c r="AD880">
        <f>'Bookings and Drivers'!AL346</f>
        <v>0.13900000000000001</v>
      </c>
      <c r="AE880">
        <f>'Bookings and Drivers'!AM346</f>
        <v>0.14383561643835607</v>
      </c>
      <c r="AF880">
        <f>'Bookings and Drivers'!AN346</f>
        <v>0.11906092789267753</v>
      </c>
      <c r="AG880">
        <f>'Bookings and Drivers'!AO346</f>
        <v>0.30404393409885166</v>
      </c>
      <c r="AH880">
        <f>'Bookings and Drivers'!AP346</f>
        <v>0.23573309920983321</v>
      </c>
      <c r="AI880">
        <f>'Bookings and Drivers'!AQ346</f>
        <v>-2.1385799828913532E-3</v>
      </c>
      <c r="AJ880">
        <f>'Bookings and Drivers'!AR346</f>
        <v>0.1108891108891108</v>
      </c>
      <c r="AK880">
        <f>'Bookings and Drivers'!AS346</f>
        <v>0.15390505359877493</v>
      </c>
      <c r="AL880">
        <f>'Bookings and Drivers'!AT346</f>
        <v>0.1499111900532859</v>
      </c>
      <c r="AM880">
        <f>'Bookings and Drivers'!AU346</f>
        <v>0.1161594513501929</v>
      </c>
      <c r="AN880">
        <f>'Bookings and Drivers'!AV346</f>
        <v>6.5647482014388414E-2</v>
      </c>
      <c r="AO880">
        <f>'Bookings and Drivers'!AW346</f>
        <v>-9.28998009289983E-3</v>
      </c>
      <c r="AP880">
        <f>'Bookings and Drivers'!AX346</f>
        <v>0.33271547729379058</v>
      </c>
      <c r="AQ880">
        <f>'Bookings and Drivers'!AY346</f>
        <v>0.95852534562211988</v>
      </c>
      <c r="AR880">
        <f>'Bookings and Drivers'!AZ346</f>
        <v>0.64556962025316467</v>
      </c>
      <c r="AS880">
        <f>'Bookings and Drivers'!BA346</f>
        <v>0.64099129269926314</v>
      </c>
      <c r="AT880">
        <f>'Bookings and Drivers'!BB346</f>
        <v>0.52990264255910979</v>
      </c>
      <c r="AU880">
        <f>'Bookings and Drivers'!BC346</f>
        <v>0.37254901960784315</v>
      </c>
      <c r="AV880">
        <f>'Bookings and Drivers'!BD346</f>
        <v>0.35897435897435903</v>
      </c>
      <c r="AW880">
        <f>'Bookings and Drivers'!BE346</f>
        <v>0.40816326530612246</v>
      </c>
      <c r="AX880">
        <f>'Bookings and Drivers'!BF346</f>
        <v>0.30303030303030298</v>
      </c>
      <c r="AY880">
        <f>'Bookings and Drivers'!BG346</f>
        <v>0.34285714285714275</v>
      </c>
      <c r="AZ880">
        <f>'Bookings and Drivers'!BH346</f>
        <v>0.35849056603773577</v>
      </c>
      <c r="BA880">
        <f>'Bookings and Drivers'!BI346</f>
        <v>0.43478260869565211</v>
      </c>
      <c r="BB880">
        <f>'Bookings and Drivers'!BJ346</f>
        <v>0.45348837209302317</v>
      </c>
      <c r="BC880">
        <f>'Bookings and Drivers'!BK346</f>
        <v>0.27659574468085113</v>
      </c>
      <c r="BD880">
        <f>'Bookings and Drivers'!BL346</f>
        <v>0.31944444444444442</v>
      </c>
      <c r="BE880">
        <f>'Bookings and Drivers'!BM346</f>
        <v>0.24242424242424243</v>
      </c>
      <c r="BF880">
        <f>'Bookings and Drivers'!BN346</f>
        <v>0.14399999999999991</v>
      </c>
      <c r="BG880">
        <f>'Bookings and Drivers'!BO346</f>
        <v>0.18333333333333335</v>
      </c>
      <c r="BH880">
        <f>'Bookings and Drivers'!BP346</f>
        <v>0.15789473684210531</v>
      </c>
      <c r="BI880">
        <f>'Bookings and Drivers'!BQ346</f>
        <v>0.18699186991869921</v>
      </c>
      <c r="BJ880">
        <f>'Bookings and Drivers'!BR346</f>
        <v>0.2027972027972027</v>
      </c>
      <c r="BK880">
        <f>'Bookings and Drivers'!BS346</f>
        <v>0.12676056338028174</v>
      </c>
      <c r="BL880">
        <f>'Bookings and Drivers'!BT346</f>
        <v>0.10909090909090913</v>
      </c>
      <c r="BM880">
        <f>'Bookings and Drivers'!BU346</f>
        <v>0.1095890410958904</v>
      </c>
      <c r="BN880">
        <f>'Bookings and Drivers'!BV346</f>
        <v>7.5581395348837122E-2</v>
      </c>
      <c r="BO880">
        <f>'Bookings and Drivers'!BW346</f>
        <v>0.125</v>
      </c>
      <c r="BP880">
        <f>'Bookings and Drivers'!BX346</f>
        <v>0.14754098360655732</v>
      </c>
      <c r="BQ880">
        <f>'Bookings and Drivers'!BY346</f>
        <v>0.14814814814814814</v>
      </c>
      <c r="BR880">
        <f>'Bookings and Drivers'!BZ346</f>
        <v>0.11891891891891881</v>
      </c>
      <c r="BS880">
        <f>'Bookings and Drivers'!CA346</f>
        <v>5.555555555555558E-2</v>
      </c>
      <c r="BT880">
        <f>'Bookings and Drivers'!CB346</f>
        <v>5.0000000000000044E-2</v>
      </c>
      <c r="BU880">
        <f>'Bookings and Drivers'!CC346</f>
        <v>3.5000000000000003E-2</v>
      </c>
      <c r="BV880">
        <f>'Bookings and Drivers'!CD346</f>
        <v>4.4999999999999998E-2</v>
      </c>
      <c r="BW880">
        <f>'Bookings and Drivers'!CE346</f>
        <v>7.0000000000000007E-2</v>
      </c>
      <c r="BX880">
        <f>'Bookings and Drivers'!CF346</f>
        <v>0.1</v>
      </c>
      <c r="BY880">
        <f>'Bookings and Drivers'!CG346</f>
        <v>0</v>
      </c>
      <c r="BZ880">
        <f>'Bookings and Drivers'!CH346</f>
        <v>0</v>
      </c>
      <c r="CA880">
        <f>'Bookings and Drivers'!CI346</f>
        <v>0</v>
      </c>
      <c r="CB880">
        <f>'Bookings and Drivers'!CJ346</f>
        <v>0</v>
      </c>
      <c r="CC880">
        <f>'Bookings and Drivers'!CK346</f>
        <v>0</v>
      </c>
      <c r="CD880">
        <f>'Bookings and Drivers'!CL346</f>
        <v>0</v>
      </c>
      <c r="CE880">
        <f>'Bookings and Drivers'!CM346</f>
        <v>0</v>
      </c>
      <c r="CF880">
        <f>'Bookings and Drivers'!CN346</f>
        <v>0.15656023611483771</v>
      </c>
      <c r="CG880">
        <f>'Bookings and Drivers'!CO346</f>
        <v>0.15810230831690064</v>
      </c>
      <c r="CH880">
        <f>'Bookings and Drivers'!CP346</f>
        <v>0.12429887820512819</v>
      </c>
      <c r="CI880">
        <f>'Bookings and Drivers'!CQ346</f>
        <v>0.45211581291759462</v>
      </c>
      <c r="CJ880">
        <f>'Bookings and Drivers'!CR346</f>
        <v>0.46012269938650308</v>
      </c>
      <c r="CK880">
        <f>'Bookings and Drivers'!CS346</f>
        <v>0.34873949579831942</v>
      </c>
      <c r="CL880">
        <f>'Bookings and Drivers'!CT346</f>
        <v>0.36760124610591904</v>
      </c>
      <c r="CM880">
        <f>'Bookings and Drivers'!CU346</f>
        <v>0.17995444191343957</v>
      </c>
      <c r="CN880">
        <f>'Bookings and Drivers'!CV346</f>
        <v>0.15830115830115821</v>
      </c>
      <c r="CO880">
        <f>'Bookings and Drivers'!CW346</f>
        <v>0.11166666666666658</v>
      </c>
      <c r="CP880">
        <f>'Bookings and Drivers'!CX346</f>
        <v>9.4452773613193486E-2</v>
      </c>
      <c r="CQ880">
        <f>'Bookings and Drivers'!CY346</f>
        <v>6.0034246575342509E-2</v>
      </c>
      <c r="CR880">
        <f>'Bookings and Drivers'!CZ346</f>
        <v>5.0034246575342507E-2</v>
      </c>
      <c r="CS880">
        <f>'Bookings and Drivers'!DA346</f>
        <v>4.0034246575342505E-2</v>
      </c>
      <c r="CT880">
        <f>'Bookings and Drivers'!DB346</f>
        <v>3.0034246575342503E-2</v>
      </c>
      <c r="CU880">
        <f>'Bookings and Drivers'!DC346</f>
        <v>3.0034246575342503E-2</v>
      </c>
      <c r="CV880">
        <f>'Bookings and Drivers'!DD346</f>
        <v>3.0034246575342503E-2</v>
      </c>
      <c r="CW880">
        <f>'Bookings and Drivers'!DE346</f>
        <v>3.0034246575342503E-2</v>
      </c>
      <c r="CX880">
        <f>'Bookings and Drivers'!DF346</f>
        <v>3.0034246575342503E-2</v>
      </c>
    </row>
    <row r="881" spans="1:102">
      <c r="A881" t="str">
        <f>'Bookings and Drivers'!I347</f>
        <v>Two-Year Growth</v>
      </c>
      <c r="B881">
        <f>'Bookings and Drivers'!J347</f>
        <v>0</v>
      </c>
      <c r="C881">
        <f>'Bookings and Drivers'!K347</f>
        <v>0</v>
      </c>
      <c r="D881">
        <f>'Bookings and Drivers'!L347</f>
        <v>0</v>
      </c>
      <c r="E881">
        <f>'Bookings and Drivers'!M347</f>
        <v>0</v>
      </c>
      <c r="F881">
        <f>'Bookings and Drivers'!N347</f>
        <v>0</v>
      </c>
      <c r="G881">
        <f>'Bookings and Drivers'!O347</f>
        <v>0</v>
      </c>
      <c r="H881">
        <f>'Bookings and Drivers'!P347</f>
        <v>0</v>
      </c>
      <c r="I881">
        <f>'Bookings and Drivers'!Q347</f>
        <v>0</v>
      </c>
      <c r="J881">
        <f>'Bookings and Drivers'!R347</f>
        <v>0</v>
      </c>
      <c r="K881">
        <f>'Bookings and Drivers'!S347</f>
        <v>0</v>
      </c>
      <c r="L881">
        <f>'Bookings and Drivers'!T347</f>
        <v>0</v>
      </c>
      <c r="M881">
        <f>'Bookings and Drivers'!U347</f>
        <v>0</v>
      </c>
      <c r="N881">
        <f>'Bookings and Drivers'!V347</f>
        <v>0</v>
      </c>
      <c r="O881">
        <f>'Bookings and Drivers'!W347</f>
        <v>0</v>
      </c>
      <c r="P881">
        <f>'Bookings and Drivers'!X347</f>
        <v>0</v>
      </c>
      <c r="Q881">
        <f>'Bookings and Drivers'!Y347</f>
        <v>0</v>
      </c>
      <c r="R881">
        <f>'Bookings and Drivers'!Z347</f>
        <v>0</v>
      </c>
      <c r="S881">
        <f>'Bookings and Drivers'!AA347</f>
        <v>0</v>
      </c>
      <c r="T881">
        <f>'Bookings and Drivers'!AB347</f>
        <v>0</v>
      </c>
      <c r="U881">
        <f>'Bookings and Drivers'!AC347</f>
        <v>0</v>
      </c>
      <c r="V881">
        <f>'Bookings and Drivers'!AD347</f>
        <v>0</v>
      </c>
      <c r="W881">
        <f>'Bookings and Drivers'!AE347</f>
        <v>0</v>
      </c>
      <c r="X881">
        <f>'Bookings and Drivers'!AF347</f>
        <v>0</v>
      </c>
      <c r="Y881">
        <f>'Bookings and Drivers'!AG347</f>
        <v>0</v>
      </c>
      <c r="Z881">
        <f>'Bookings and Drivers'!AH347</f>
        <v>0</v>
      </c>
      <c r="AA881">
        <f>'Bookings and Drivers'!AI347</f>
        <v>0</v>
      </c>
      <c r="AB881">
        <f>'Bookings and Drivers'!AJ347</f>
        <v>0</v>
      </c>
      <c r="AC881">
        <f>'Bookings and Drivers'!AK347</f>
        <v>0</v>
      </c>
      <c r="AD881">
        <f>'Bookings and Drivers'!AL347</f>
        <v>0</v>
      </c>
      <c r="AE881">
        <f>'Bookings and Drivers'!AM347</f>
        <v>0</v>
      </c>
      <c r="AF881">
        <f>'Bookings and Drivers'!AN347</f>
        <v>0</v>
      </c>
      <c r="AG881">
        <f>'Bookings and Drivers'!AO347</f>
        <v>0</v>
      </c>
      <c r="AH881">
        <f>'Bookings and Drivers'!AP347</f>
        <v>0</v>
      </c>
      <c r="AI881">
        <f>'Bookings and Drivers'!AQ347</f>
        <v>0</v>
      </c>
      <c r="AJ881">
        <f>'Bookings and Drivers'!AR347</f>
        <v>0</v>
      </c>
      <c r="AK881">
        <f>'Bookings and Drivers'!AS347</f>
        <v>0.4579489876976266</v>
      </c>
      <c r="AL881">
        <f>'Bookings and Drivers'!AT347</f>
        <v>0.38564428926311911</v>
      </c>
      <c r="AM881">
        <f>'Bookings and Drivers'!AU347</f>
        <v>0.11402087136730155</v>
      </c>
      <c r="AN881">
        <f>'Bookings and Drivers'!AV347</f>
        <v>0.17653659290349921</v>
      </c>
      <c r="AO881">
        <f>'Bookings and Drivers'!AW347</f>
        <v>0.1446150735058751</v>
      </c>
      <c r="AP881">
        <f>'Bookings and Drivers'!AX347</f>
        <v>0.48262666734707649</v>
      </c>
      <c r="AQ881">
        <f>'Bookings and Drivers'!AY347</f>
        <v>1.0746847969723128</v>
      </c>
      <c r="AR881">
        <f>'Bookings and Drivers'!AZ347</f>
        <v>0.71121710226755308</v>
      </c>
      <c r="AS881">
        <f>'Bookings and Drivers'!BA347</f>
        <v>0.63170131260636331</v>
      </c>
      <c r="AT881">
        <f>'Bookings and Drivers'!BB347</f>
        <v>0.86261811985290038</v>
      </c>
      <c r="AU881">
        <f>'Bookings and Drivers'!BC347</f>
        <v>1.331074365229963</v>
      </c>
      <c r="AV881">
        <f>'Bookings and Drivers'!BD347</f>
        <v>1.0045439792275237</v>
      </c>
      <c r="AW881">
        <f>'Bookings and Drivers'!BE347</f>
        <v>1.0491545580053856</v>
      </c>
      <c r="AX881">
        <f>'Bookings and Drivers'!BF347</f>
        <v>0.83293294558941278</v>
      </c>
      <c r="AY881">
        <f>'Bookings and Drivers'!BG347</f>
        <v>0.7154061624649859</v>
      </c>
      <c r="AZ881">
        <f>'Bookings and Drivers'!BH347</f>
        <v>0.7174649250120948</v>
      </c>
      <c r="BA881">
        <f>'Bookings and Drivers'!BI347</f>
        <v>0.84294587400177456</v>
      </c>
      <c r="BB881">
        <f>'Bookings and Drivers'!BJ347</f>
        <v>0.75651867512332616</v>
      </c>
      <c r="BC881">
        <f>'Bookings and Drivers'!BK347</f>
        <v>0.61945288753799388</v>
      </c>
      <c r="BD881">
        <f>'Bookings and Drivers'!BL347</f>
        <v>0.67793501048218019</v>
      </c>
      <c r="BE881">
        <f>'Bookings and Drivers'!BM347</f>
        <v>0.67720685111989454</v>
      </c>
      <c r="BF881">
        <f>'Bookings and Drivers'!BN347</f>
        <v>0.59748837209302308</v>
      </c>
      <c r="BG881">
        <f>'Bookings and Drivers'!BO347</f>
        <v>0.45992907801418448</v>
      </c>
      <c r="BH881">
        <f>'Bookings and Drivers'!BP347</f>
        <v>0.47733918128654973</v>
      </c>
      <c r="BI881">
        <f>'Bookings and Drivers'!BQ347</f>
        <v>0.42941611234294164</v>
      </c>
      <c r="BJ881">
        <f>'Bookings and Drivers'!BR347</f>
        <v>0.34679720279720261</v>
      </c>
      <c r="BK881">
        <f>'Bookings and Drivers'!BS347</f>
        <v>0.31009389671361509</v>
      </c>
      <c r="BL881">
        <f>'Bookings and Drivers'!BT347</f>
        <v>0.26698564593301444</v>
      </c>
      <c r="BM881">
        <f>'Bookings and Drivers'!BU347</f>
        <v>0.29658091101458961</v>
      </c>
      <c r="BN881">
        <f>'Bookings and Drivers'!BV347</f>
        <v>0.27837859814603982</v>
      </c>
      <c r="BO881">
        <f>'Bookings and Drivers'!BW347</f>
        <v>0.25176056338028174</v>
      </c>
      <c r="BP881">
        <f>'Bookings and Drivers'!BX347</f>
        <v>0.25663189269746645</v>
      </c>
      <c r="BQ881">
        <f>'Bookings and Drivers'!BY347</f>
        <v>0.25773718924403854</v>
      </c>
      <c r="BR881">
        <f>'Bookings and Drivers'!BZ347</f>
        <v>0.19450031426775594</v>
      </c>
      <c r="BS881">
        <f>'Bookings and Drivers'!CA347</f>
        <v>0.18055555555555558</v>
      </c>
      <c r="BT881">
        <f>'Bookings and Drivers'!CB347</f>
        <v>0.19754098360655736</v>
      </c>
      <c r="BU881">
        <f>'Bookings and Drivers'!CC347</f>
        <v>0.18314814814814814</v>
      </c>
      <c r="BV881">
        <f>'Bookings and Drivers'!CD347</f>
        <v>0.1639189189189188</v>
      </c>
      <c r="BW881">
        <f>'Bookings and Drivers'!CE347</f>
        <v>0.12555555555555559</v>
      </c>
      <c r="BX881">
        <f>'Bookings and Drivers'!CF347</f>
        <v>0.15000000000000005</v>
      </c>
      <c r="BY881">
        <f>'Bookings and Drivers'!CG347</f>
        <v>0</v>
      </c>
      <c r="BZ881">
        <f>'Bookings and Drivers'!CH347</f>
        <v>0</v>
      </c>
      <c r="CA881">
        <f>'Bookings and Drivers'!CI347</f>
        <v>0</v>
      </c>
      <c r="CB881">
        <f>'Bookings and Drivers'!CJ347</f>
        <v>0</v>
      </c>
      <c r="CC881">
        <f>'Bookings and Drivers'!CK347</f>
        <v>0</v>
      </c>
      <c r="CD881">
        <f>'Bookings and Drivers'!CL347</f>
        <v>0</v>
      </c>
      <c r="CE881">
        <f>'Bookings and Drivers'!CM347</f>
        <v>0</v>
      </c>
      <c r="CF881">
        <f>'Bookings and Drivers'!CN347</f>
        <v>0</v>
      </c>
      <c r="CG881">
        <f>'Bookings and Drivers'!CO347</f>
        <v>0</v>
      </c>
      <c r="CH881">
        <f>'Bookings and Drivers'!CP347</f>
        <v>0.28240118652202884</v>
      </c>
      <c r="CI881">
        <f>'Bookings and Drivers'!CQ347</f>
        <v>0.57641469112272281</v>
      </c>
      <c r="CJ881">
        <f>'Bookings and Drivers'!CR347</f>
        <v>0.91223851230409769</v>
      </c>
      <c r="CK881">
        <f>'Bookings and Drivers'!CS347</f>
        <v>0.8088621951848225</v>
      </c>
      <c r="CL881">
        <f>'Bookings and Drivers'!CT347</f>
        <v>0.71634074190423846</v>
      </c>
      <c r="CM881">
        <f>'Bookings and Drivers'!CU347</f>
        <v>0.54755568801935861</v>
      </c>
      <c r="CN881">
        <f>'Bookings and Drivers'!CV347</f>
        <v>0.33825560021459777</v>
      </c>
      <c r="CO881">
        <f>'Bookings and Drivers'!CW347</f>
        <v>0.26996782496782479</v>
      </c>
      <c r="CP881">
        <f>'Bookings and Drivers'!CX347</f>
        <v>0.20611944027986007</v>
      </c>
      <c r="CQ881">
        <f>'Bookings and Drivers'!CY347</f>
        <v>0.154487020188536</v>
      </c>
      <c r="CR881">
        <f>'Bookings and Drivers'!CZ347</f>
        <v>0.11006849315068501</v>
      </c>
      <c r="CS881">
        <f>'Bookings and Drivers'!DA347</f>
        <v>9.0068493150685019E-2</v>
      </c>
      <c r="CT881">
        <f>'Bookings and Drivers'!DB347</f>
        <v>7.0068493150685002E-2</v>
      </c>
      <c r="CU881">
        <f>'Bookings and Drivers'!DC347</f>
        <v>6.0068493150685007E-2</v>
      </c>
      <c r="CV881">
        <f>'Bookings and Drivers'!DD347</f>
        <v>6.0068493150685007E-2</v>
      </c>
      <c r="CW881">
        <f>'Bookings and Drivers'!DE347</f>
        <v>6.0068493150685007E-2</v>
      </c>
      <c r="CX881">
        <f>'Bookings and Drivers'!DF347</f>
        <v>6.0068493150685007E-2</v>
      </c>
    </row>
    <row r="882" spans="1:102">
      <c r="A882" t="str">
        <f>'Bookings and Drivers'!I348</f>
        <v>Sequential Gross</v>
      </c>
      <c r="B882">
        <f>'Bookings and Drivers'!J348</f>
        <v>0</v>
      </c>
      <c r="C882">
        <f>'Bookings and Drivers'!K348</f>
        <v>0</v>
      </c>
      <c r="D882">
        <f>'Bookings and Drivers'!L348</f>
        <v>0</v>
      </c>
      <c r="E882">
        <f>'Bookings and Drivers'!M348</f>
        <v>0</v>
      </c>
      <c r="F882">
        <f>'Bookings and Drivers'!N348</f>
        <v>0</v>
      </c>
      <c r="G882">
        <f>'Bookings and Drivers'!O348</f>
        <v>0</v>
      </c>
      <c r="H882">
        <f>'Bookings and Drivers'!P348</f>
        <v>0</v>
      </c>
      <c r="I882">
        <f>'Bookings and Drivers'!Q348</f>
        <v>0</v>
      </c>
      <c r="J882">
        <f>'Bookings and Drivers'!R348</f>
        <v>0</v>
      </c>
      <c r="K882">
        <f>'Bookings and Drivers'!S348</f>
        <v>0</v>
      </c>
      <c r="L882">
        <f>'Bookings and Drivers'!T348</f>
        <v>0</v>
      </c>
      <c r="M882">
        <f>'Bookings and Drivers'!U348</f>
        <v>0</v>
      </c>
      <c r="N882">
        <f>'Bookings and Drivers'!V348</f>
        <v>0</v>
      </c>
      <c r="O882">
        <f>'Bookings and Drivers'!W348</f>
        <v>0</v>
      </c>
      <c r="P882">
        <f>'Bookings and Drivers'!X348</f>
        <v>0</v>
      </c>
      <c r="Q882">
        <f>'Bookings and Drivers'!Y348</f>
        <v>0</v>
      </c>
      <c r="R882">
        <f>'Bookings and Drivers'!Z348</f>
        <v>0</v>
      </c>
      <c r="S882">
        <f>'Bookings and Drivers'!AA348</f>
        <v>0</v>
      </c>
      <c r="T882">
        <f>'Bookings and Drivers'!AB348</f>
        <v>0</v>
      </c>
      <c r="U882">
        <f>'Bookings and Drivers'!AC348</f>
        <v>0</v>
      </c>
      <c r="V882">
        <f>'Bookings and Drivers'!AD348</f>
        <v>0</v>
      </c>
      <c r="W882">
        <f>'Bookings and Drivers'!AE348</f>
        <v>0</v>
      </c>
      <c r="X882">
        <f>'Bookings and Drivers'!AF348</f>
        <v>0</v>
      </c>
      <c r="Y882">
        <f>'Bookings and Drivers'!AG348</f>
        <v>0</v>
      </c>
      <c r="Z882">
        <f>'Bookings and Drivers'!AH348</f>
        <v>0</v>
      </c>
      <c r="AA882">
        <f>'Bookings and Drivers'!AI348</f>
        <v>0</v>
      </c>
      <c r="AB882">
        <f>'Bookings and Drivers'!AJ348</f>
        <v>0</v>
      </c>
      <c r="AC882">
        <f>'Bookings and Drivers'!AK348</f>
        <v>0</v>
      </c>
      <c r="AD882">
        <f>'Bookings and Drivers'!AL348</f>
        <v>0</v>
      </c>
      <c r="AE882">
        <f>'Bookings and Drivers'!AM348</f>
        <v>0</v>
      </c>
      <c r="AF882">
        <f>'Bookings and Drivers'!AN348</f>
        <v>0</v>
      </c>
      <c r="AG882">
        <f>'Bookings and Drivers'!AO348</f>
        <v>610</v>
      </c>
      <c r="AH882">
        <f>'Bookings and Drivers'!AP348</f>
        <v>203</v>
      </c>
      <c r="AI882">
        <f>'Bookings and Drivers'!AQ348</f>
        <v>-482</v>
      </c>
      <c r="AJ882">
        <f>'Bookings and Drivers'!AR348</f>
        <v>-109</v>
      </c>
      <c r="AK882">
        <f>'Bookings and Drivers'!AS348</f>
        <v>790</v>
      </c>
      <c r="AL882">
        <f>'Bookings and Drivers'!AT348</f>
        <v>223</v>
      </c>
      <c r="AM882">
        <f>'Bookings and Drivers'!AU348</f>
        <v>-633</v>
      </c>
      <c r="AN882">
        <f>'Bookings and Drivers'!AV348</f>
        <v>-234</v>
      </c>
      <c r="AO882">
        <f>'Bookings and Drivers'!AW348</f>
        <v>616</v>
      </c>
      <c r="AP882">
        <f>'Bookings and Drivers'!AX348</f>
        <v>1328</v>
      </c>
      <c r="AQ882">
        <f>'Bookings and Drivers'!AY348</f>
        <v>786</v>
      </c>
      <c r="AR882">
        <f>'Bookings and Drivers'!AZ348</f>
        <v>-1200</v>
      </c>
      <c r="AS882">
        <f>'Bookings and Drivers'!BA348</f>
        <v>1000</v>
      </c>
      <c r="AT882">
        <f>'Bookings and Drivers'!BB348</f>
        <v>1700</v>
      </c>
      <c r="AU882">
        <f>'Bookings and Drivers'!BC348</f>
        <v>400</v>
      </c>
      <c r="AV882">
        <f>'Bookings and Drivers'!BD348</f>
        <v>-1700</v>
      </c>
      <c r="AW882">
        <f>'Bookings and Drivers'!BE348</f>
        <v>1600</v>
      </c>
      <c r="AX882">
        <f>'Bookings and Drivers'!BF348</f>
        <v>1700</v>
      </c>
      <c r="AY882">
        <f>'Bookings and Drivers'!BG348</f>
        <v>800</v>
      </c>
      <c r="AZ882">
        <f>'Bookings and Drivers'!BH348</f>
        <v>-2200</v>
      </c>
      <c r="BA882">
        <f>'Bookings and Drivers'!BI348</f>
        <v>2700</v>
      </c>
      <c r="BB882">
        <f>'Bookings and Drivers'!BJ348</f>
        <v>2600</v>
      </c>
      <c r="BC882">
        <f>'Bookings and Drivers'!BK348</f>
        <v>-500</v>
      </c>
      <c r="BD882">
        <f>'Bookings and Drivers'!BL348</f>
        <v>-2500</v>
      </c>
      <c r="BE882">
        <f>'Bookings and Drivers'!BM348</f>
        <v>2800</v>
      </c>
      <c r="BF882">
        <f>'Bookings and Drivers'!BN348</f>
        <v>2000</v>
      </c>
      <c r="BG882">
        <f>'Bookings and Drivers'!BO348</f>
        <v>-100</v>
      </c>
      <c r="BH882">
        <f>'Bookings and Drivers'!BP348</f>
        <v>-3200</v>
      </c>
      <c r="BI882">
        <f>'Bookings and Drivers'!BQ348</f>
        <v>3600</v>
      </c>
      <c r="BJ882">
        <f>'Bookings and Drivers'!BR348</f>
        <v>2600</v>
      </c>
      <c r="BK882">
        <f>'Bookings and Drivers'!BS348</f>
        <v>-1200</v>
      </c>
      <c r="BL882">
        <f>'Bookings and Drivers'!BT348</f>
        <v>-3800</v>
      </c>
      <c r="BM882">
        <f>'Bookings and Drivers'!BU348</f>
        <v>4000</v>
      </c>
      <c r="BN882">
        <f>'Bookings and Drivers'!BV348</f>
        <v>2300</v>
      </c>
      <c r="BO882">
        <f>'Bookings and Drivers'!BW348</f>
        <v>-500</v>
      </c>
      <c r="BP882">
        <f>'Bookings and Drivers'!BX348</f>
        <v>-4000</v>
      </c>
      <c r="BQ882">
        <f>'Bookings and Drivers'!BY348</f>
        <v>4600</v>
      </c>
      <c r="BR882">
        <f>'Bookings and Drivers'!BZ348</f>
        <v>2100</v>
      </c>
      <c r="BS882">
        <f>'Bookings and Drivers'!CA348</f>
        <v>-1700</v>
      </c>
      <c r="BT882">
        <f>'Bookings and Drivers'!CB348</f>
        <v>-4300</v>
      </c>
      <c r="BU882">
        <f>'Bookings and Drivers'!CC348</f>
        <v>4551</v>
      </c>
      <c r="BV882">
        <f>'Bookings and Drivers'!CD348</f>
        <v>2380.5</v>
      </c>
      <c r="BW882">
        <f>'Bookings and Drivers'!CE348</f>
        <v>-1301.5</v>
      </c>
      <c r="BX882">
        <f>'Bookings and Drivers'!CF348</f>
        <v>-4159.9999999999982</v>
      </c>
      <c r="BY882">
        <f>'Bookings and Drivers'!CG348</f>
        <v>0</v>
      </c>
      <c r="BZ882">
        <f>'Bookings and Drivers'!CH348</f>
        <v>0</v>
      </c>
      <c r="CA882">
        <f>'Bookings and Drivers'!CI348</f>
        <v>0</v>
      </c>
      <c r="CB882">
        <f>'Bookings and Drivers'!CJ348</f>
        <v>0</v>
      </c>
      <c r="CC882">
        <f>'Bookings and Drivers'!CK348</f>
        <v>0</v>
      </c>
      <c r="CD882">
        <f>'Bookings and Drivers'!CL348</f>
        <v>0</v>
      </c>
      <c r="CE882">
        <f>'Bookings and Drivers'!CM348</f>
        <v>0</v>
      </c>
      <c r="CF882">
        <f>'Bookings and Drivers'!CN348</f>
        <v>0</v>
      </c>
      <c r="CG882">
        <f>'Bookings and Drivers'!CO348</f>
        <v>0</v>
      </c>
      <c r="CH882">
        <f>'Bookings and Drivers'!CP348</f>
        <v>0</v>
      </c>
      <c r="CI882">
        <f>'Bookings and Drivers'!CQ348</f>
        <v>0</v>
      </c>
      <c r="CJ882">
        <f>'Bookings and Drivers'!CR348</f>
        <v>0</v>
      </c>
      <c r="CK882">
        <f>'Bookings and Drivers'!CS348</f>
        <v>0</v>
      </c>
      <c r="CL882">
        <f>'Bookings and Drivers'!CT348</f>
        <v>0</v>
      </c>
      <c r="CM882">
        <f>'Bookings and Drivers'!CU348</f>
        <v>0</v>
      </c>
      <c r="CN882">
        <f>'Bookings and Drivers'!CV348</f>
        <v>0</v>
      </c>
      <c r="CO882">
        <f>'Bookings and Drivers'!CW348</f>
        <v>0</v>
      </c>
      <c r="CP882">
        <f>'Bookings and Drivers'!CX348</f>
        <v>0</v>
      </c>
      <c r="CQ882">
        <f>'Bookings and Drivers'!CY348</f>
        <v>0</v>
      </c>
      <c r="CR882">
        <f>'Bookings and Drivers'!CZ348</f>
        <v>0</v>
      </c>
      <c r="CS882">
        <f>'Bookings and Drivers'!DA348</f>
        <v>0</v>
      </c>
      <c r="CT882">
        <f>'Bookings and Drivers'!DB348</f>
        <v>0</v>
      </c>
      <c r="CU882">
        <f>'Bookings and Drivers'!DC348</f>
        <v>0</v>
      </c>
      <c r="CV882">
        <f>'Bookings and Drivers'!DD348</f>
        <v>0</v>
      </c>
      <c r="CW882">
        <f>'Bookings and Drivers'!DE348</f>
        <v>0</v>
      </c>
      <c r="CX882">
        <f>'Bookings and Drivers'!DF348</f>
        <v>0</v>
      </c>
    </row>
    <row r="883" spans="1:102">
      <c r="A883">
        <f>'Bookings and Drivers'!I349</f>
        <v>0</v>
      </c>
      <c r="B883">
        <f>'Bookings and Drivers'!J349</f>
        <v>0</v>
      </c>
      <c r="C883">
        <f>'Bookings and Drivers'!K349</f>
        <v>0</v>
      </c>
      <c r="D883">
        <f>'Bookings and Drivers'!L349</f>
        <v>0</v>
      </c>
      <c r="E883">
        <f>'Bookings and Drivers'!M349</f>
        <v>0</v>
      </c>
      <c r="F883">
        <f>'Bookings and Drivers'!N349</f>
        <v>0</v>
      </c>
      <c r="G883">
        <f>'Bookings and Drivers'!O349</f>
        <v>0</v>
      </c>
      <c r="H883">
        <f>'Bookings and Drivers'!P349</f>
        <v>0</v>
      </c>
      <c r="I883">
        <f>'Bookings and Drivers'!Q349</f>
        <v>0</v>
      </c>
      <c r="J883">
        <f>'Bookings and Drivers'!R349</f>
        <v>0</v>
      </c>
      <c r="K883">
        <f>'Bookings and Drivers'!S349</f>
        <v>0</v>
      </c>
      <c r="L883">
        <f>'Bookings and Drivers'!T349</f>
        <v>0</v>
      </c>
      <c r="M883">
        <f>'Bookings and Drivers'!U349</f>
        <v>0</v>
      </c>
      <c r="N883">
        <f>'Bookings and Drivers'!V349</f>
        <v>0</v>
      </c>
      <c r="O883">
        <f>'Bookings and Drivers'!W349</f>
        <v>0</v>
      </c>
      <c r="P883">
        <f>'Bookings and Drivers'!X349</f>
        <v>0</v>
      </c>
      <c r="Q883">
        <f>'Bookings and Drivers'!Y349</f>
        <v>0</v>
      </c>
      <c r="R883">
        <f>'Bookings and Drivers'!Z349</f>
        <v>0</v>
      </c>
      <c r="S883">
        <f>'Bookings and Drivers'!AA349</f>
        <v>0</v>
      </c>
      <c r="T883">
        <f>'Bookings and Drivers'!AB349</f>
        <v>0</v>
      </c>
      <c r="U883">
        <f>'Bookings and Drivers'!AC349</f>
        <v>0</v>
      </c>
      <c r="V883">
        <f>'Bookings and Drivers'!AD349</f>
        <v>0</v>
      </c>
      <c r="W883">
        <f>'Bookings and Drivers'!AE349</f>
        <v>0</v>
      </c>
      <c r="X883">
        <f>'Bookings and Drivers'!AF349</f>
        <v>0</v>
      </c>
      <c r="Y883">
        <f>'Bookings and Drivers'!AG349</f>
        <v>0</v>
      </c>
      <c r="Z883">
        <f>'Bookings and Drivers'!AH349</f>
        <v>0</v>
      </c>
      <c r="AA883">
        <f>'Bookings and Drivers'!AI349</f>
        <v>0</v>
      </c>
      <c r="AB883">
        <f>'Bookings and Drivers'!AJ349</f>
        <v>0</v>
      </c>
      <c r="AC883">
        <f>'Bookings and Drivers'!AK349</f>
        <v>0</v>
      </c>
      <c r="AD883">
        <f>'Bookings and Drivers'!AL349</f>
        <v>0</v>
      </c>
      <c r="AE883">
        <f>'Bookings and Drivers'!AM349</f>
        <v>0</v>
      </c>
      <c r="AF883">
        <f>'Bookings and Drivers'!AN349</f>
        <v>0</v>
      </c>
      <c r="AG883">
        <f>'Bookings and Drivers'!AO349</f>
        <v>0</v>
      </c>
      <c r="AH883">
        <f>'Bookings and Drivers'!AP349</f>
        <v>0</v>
      </c>
      <c r="AI883">
        <f>'Bookings and Drivers'!AQ349</f>
        <v>0</v>
      </c>
      <c r="AJ883">
        <f>'Bookings and Drivers'!AR349</f>
        <v>0</v>
      </c>
      <c r="AK883">
        <f>'Bookings and Drivers'!AS349</f>
        <v>0</v>
      </c>
      <c r="AL883">
        <f>'Bookings and Drivers'!AT349</f>
        <v>0</v>
      </c>
      <c r="AM883">
        <f>'Bookings and Drivers'!AU349</f>
        <v>0</v>
      </c>
      <c r="AN883">
        <f>'Bookings and Drivers'!AV349</f>
        <v>0</v>
      </c>
      <c r="AO883">
        <f>'Bookings and Drivers'!AW349</f>
        <v>0</v>
      </c>
      <c r="AP883">
        <f>'Bookings and Drivers'!AX349</f>
        <v>0</v>
      </c>
      <c r="AQ883">
        <f>'Bookings and Drivers'!AY349</f>
        <v>0</v>
      </c>
      <c r="AR883">
        <f>'Bookings and Drivers'!AZ349</f>
        <v>0</v>
      </c>
      <c r="AS883">
        <f>'Bookings and Drivers'!BA349</f>
        <v>0</v>
      </c>
      <c r="AT883">
        <f>'Bookings and Drivers'!BB349</f>
        <v>0</v>
      </c>
      <c r="AU883">
        <f>'Bookings and Drivers'!BC349</f>
        <v>0</v>
      </c>
      <c r="AV883">
        <f>'Bookings and Drivers'!BD349</f>
        <v>0</v>
      </c>
      <c r="AW883">
        <f>'Bookings and Drivers'!BE349</f>
        <v>0</v>
      </c>
      <c r="AX883">
        <f>'Bookings and Drivers'!BF349</f>
        <v>0</v>
      </c>
      <c r="AY883">
        <f>'Bookings and Drivers'!BG349</f>
        <v>0</v>
      </c>
      <c r="AZ883">
        <f>'Bookings and Drivers'!BH349</f>
        <v>0</v>
      </c>
      <c r="BA883">
        <f>'Bookings and Drivers'!BI349</f>
        <v>0</v>
      </c>
      <c r="BB883">
        <f>'Bookings and Drivers'!BJ349</f>
        <v>0</v>
      </c>
      <c r="BC883">
        <f>'Bookings and Drivers'!BK349</f>
        <v>0</v>
      </c>
      <c r="BD883">
        <f>'Bookings and Drivers'!BL349</f>
        <v>0</v>
      </c>
      <c r="BE883">
        <f>'Bookings and Drivers'!BM349</f>
        <v>0</v>
      </c>
      <c r="BF883">
        <f>'Bookings and Drivers'!BN349</f>
        <v>0</v>
      </c>
      <c r="BG883">
        <f>'Bookings and Drivers'!BO349</f>
        <v>0</v>
      </c>
      <c r="BH883">
        <f>'Bookings and Drivers'!BP349</f>
        <v>0</v>
      </c>
      <c r="BI883">
        <f>'Bookings and Drivers'!BQ349</f>
        <v>0</v>
      </c>
      <c r="BJ883">
        <f>'Bookings and Drivers'!BR349</f>
        <v>0</v>
      </c>
      <c r="BK883">
        <f>'Bookings and Drivers'!BS349</f>
        <v>0</v>
      </c>
      <c r="BL883">
        <f>'Bookings and Drivers'!BT349</f>
        <v>0</v>
      </c>
      <c r="BM883">
        <f>'Bookings and Drivers'!BU349</f>
        <v>0</v>
      </c>
      <c r="BN883">
        <f>'Bookings and Drivers'!BV349</f>
        <v>0</v>
      </c>
      <c r="BO883">
        <f>'Bookings and Drivers'!BW349</f>
        <v>0</v>
      </c>
      <c r="BP883">
        <f>'Bookings and Drivers'!BX349</f>
        <v>0</v>
      </c>
      <c r="BQ883">
        <f>'Bookings and Drivers'!BY349</f>
        <v>0</v>
      </c>
      <c r="BR883">
        <f>'Bookings and Drivers'!BZ349</f>
        <v>0</v>
      </c>
      <c r="BS883">
        <f>'Bookings and Drivers'!CA349</f>
        <v>0</v>
      </c>
      <c r="BT883">
        <f>'Bookings and Drivers'!CB349</f>
        <v>0</v>
      </c>
      <c r="BU883">
        <f>'Bookings and Drivers'!CC349</f>
        <v>0</v>
      </c>
      <c r="BV883">
        <f>'Bookings and Drivers'!CD349</f>
        <v>0</v>
      </c>
      <c r="BW883">
        <f>'Bookings and Drivers'!CE349</f>
        <v>0</v>
      </c>
      <c r="BX883">
        <f>'Bookings and Drivers'!CF349</f>
        <v>0</v>
      </c>
      <c r="BY883">
        <f>'Bookings and Drivers'!CG349</f>
        <v>0</v>
      </c>
      <c r="BZ883">
        <f>'Bookings and Drivers'!CH349</f>
        <v>0</v>
      </c>
      <c r="CA883">
        <f>'Bookings and Drivers'!CI349</f>
        <v>0</v>
      </c>
      <c r="CB883">
        <f>'Bookings and Drivers'!CJ349</f>
        <v>0</v>
      </c>
      <c r="CC883">
        <f>'Bookings and Drivers'!CK349</f>
        <v>0</v>
      </c>
      <c r="CD883">
        <f>'Bookings and Drivers'!CL349</f>
        <v>0</v>
      </c>
      <c r="CE883">
        <f>'Bookings and Drivers'!CM349</f>
        <v>0</v>
      </c>
      <c r="CF883">
        <f>'Bookings and Drivers'!CN349</f>
        <v>0</v>
      </c>
      <c r="CG883">
        <f>'Bookings and Drivers'!CO349</f>
        <v>0</v>
      </c>
      <c r="CH883">
        <f>'Bookings and Drivers'!CP349</f>
        <v>0</v>
      </c>
      <c r="CI883">
        <f>'Bookings and Drivers'!CQ349</f>
        <v>0</v>
      </c>
      <c r="CJ883">
        <f>'Bookings and Drivers'!CR349</f>
        <v>0</v>
      </c>
      <c r="CK883">
        <f>'Bookings and Drivers'!CS349</f>
        <v>0</v>
      </c>
      <c r="CL883">
        <f>'Bookings and Drivers'!CT349</f>
        <v>0</v>
      </c>
      <c r="CM883">
        <f>'Bookings and Drivers'!CU349</f>
        <v>0</v>
      </c>
      <c r="CN883">
        <f>'Bookings and Drivers'!CV349</f>
        <v>0</v>
      </c>
      <c r="CO883">
        <f>'Bookings and Drivers'!CW349</f>
        <v>0</v>
      </c>
      <c r="CP883">
        <f>'Bookings and Drivers'!CX349</f>
        <v>0</v>
      </c>
      <c r="CQ883">
        <f>'Bookings and Drivers'!CY349</f>
        <v>0</v>
      </c>
      <c r="CR883">
        <f>'Bookings and Drivers'!CZ349</f>
        <v>0</v>
      </c>
      <c r="CS883">
        <f>'Bookings and Drivers'!DA349</f>
        <v>0</v>
      </c>
      <c r="CT883">
        <f>'Bookings and Drivers'!DB349</f>
        <v>0</v>
      </c>
      <c r="CU883">
        <f>'Bookings and Drivers'!DC349</f>
        <v>0</v>
      </c>
      <c r="CV883">
        <f>'Bookings and Drivers'!DD349</f>
        <v>0</v>
      </c>
      <c r="CW883">
        <f>'Bookings and Drivers'!DE349</f>
        <v>0</v>
      </c>
      <c r="CX883">
        <f>'Bookings and Drivers'!DF349</f>
        <v>0</v>
      </c>
    </row>
    <row r="884" spans="1:102">
      <c r="A884">
        <f>'Bookings and Drivers'!I350</f>
        <v>0</v>
      </c>
      <c r="B884">
        <f>'Bookings and Drivers'!J350</f>
        <v>0</v>
      </c>
      <c r="C884">
        <f>'Bookings and Drivers'!K350</f>
        <v>0</v>
      </c>
      <c r="D884">
        <f>'Bookings and Drivers'!L350</f>
        <v>0</v>
      </c>
      <c r="E884">
        <f>'Bookings and Drivers'!M350</f>
        <v>0</v>
      </c>
      <c r="F884">
        <f>'Bookings and Drivers'!N350</f>
        <v>0</v>
      </c>
      <c r="G884">
        <f>'Bookings and Drivers'!O350</f>
        <v>0</v>
      </c>
      <c r="H884">
        <f>'Bookings and Drivers'!P350</f>
        <v>0</v>
      </c>
      <c r="I884">
        <f>'Bookings and Drivers'!Q350</f>
        <v>0</v>
      </c>
      <c r="J884">
        <f>'Bookings and Drivers'!R350</f>
        <v>0</v>
      </c>
      <c r="K884">
        <f>'Bookings and Drivers'!S350</f>
        <v>0</v>
      </c>
      <c r="L884">
        <f>'Bookings and Drivers'!T350</f>
        <v>0</v>
      </c>
      <c r="M884">
        <f>'Bookings and Drivers'!U350</f>
        <v>0</v>
      </c>
      <c r="N884">
        <f>'Bookings and Drivers'!V350</f>
        <v>0</v>
      </c>
      <c r="O884">
        <f>'Bookings and Drivers'!W350</f>
        <v>0</v>
      </c>
      <c r="P884">
        <f>'Bookings and Drivers'!X350</f>
        <v>0</v>
      </c>
      <c r="Q884">
        <f>'Bookings and Drivers'!Y350</f>
        <v>0</v>
      </c>
      <c r="R884">
        <f>'Bookings and Drivers'!Z350</f>
        <v>0</v>
      </c>
      <c r="S884">
        <f>'Bookings and Drivers'!AA350</f>
        <v>0</v>
      </c>
      <c r="T884">
        <f>'Bookings and Drivers'!AB350</f>
        <v>0</v>
      </c>
      <c r="U884">
        <f>'Bookings and Drivers'!AC350</f>
        <v>0</v>
      </c>
      <c r="V884">
        <f>'Bookings and Drivers'!AD350</f>
        <v>0</v>
      </c>
      <c r="W884">
        <f>'Bookings and Drivers'!AE350</f>
        <v>0</v>
      </c>
      <c r="X884">
        <f>'Bookings and Drivers'!AF350</f>
        <v>0</v>
      </c>
      <c r="Y884">
        <f>'Bookings and Drivers'!AG350</f>
        <v>0</v>
      </c>
      <c r="Z884">
        <f>'Bookings and Drivers'!AH350</f>
        <v>0</v>
      </c>
      <c r="AA884">
        <f>'Bookings and Drivers'!AI350</f>
        <v>0</v>
      </c>
      <c r="AB884">
        <f>'Bookings and Drivers'!AJ350</f>
        <v>0</v>
      </c>
      <c r="AC884">
        <f>'Bookings and Drivers'!AK350</f>
        <v>0</v>
      </c>
      <c r="AD884">
        <f>'Bookings and Drivers'!AL350</f>
        <v>0</v>
      </c>
      <c r="AE884">
        <f>'Bookings and Drivers'!AM350</f>
        <v>0</v>
      </c>
      <c r="AF884">
        <f>'Bookings and Drivers'!AN350</f>
        <v>0</v>
      </c>
      <c r="AG884">
        <f>'Bookings and Drivers'!AO350</f>
        <v>0</v>
      </c>
      <c r="AH884">
        <f>'Bookings and Drivers'!AP350</f>
        <v>0</v>
      </c>
      <c r="AI884">
        <f>'Bookings and Drivers'!AQ350</f>
        <v>0</v>
      </c>
      <c r="AJ884">
        <f>'Bookings and Drivers'!AR350</f>
        <v>0</v>
      </c>
      <c r="AK884">
        <f>'Bookings and Drivers'!AS350</f>
        <v>0</v>
      </c>
      <c r="AL884">
        <f>'Bookings and Drivers'!AT350</f>
        <v>0</v>
      </c>
      <c r="AM884">
        <f>'Bookings and Drivers'!AU350</f>
        <v>0</v>
      </c>
      <c r="AN884">
        <f>'Bookings and Drivers'!AV350</f>
        <v>0</v>
      </c>
      <c r="AO884">
        <f>'Bookings and Drivers'!AW350</f>
        <v>0</v>
      </c>
      <c r="AP884">
        <f>'Bookings and Drivers'!AX350</f>
        <v>0</v>
      </c>
      <c r="AQ884">
        <f>'Bookings and Drivers'!AY350</f>
        <v>0</v>
      </c>
      <c r="AR884">
        <f>'Bookings and Drivers'!AZ350</f>
        <v>0</v>
      </c>
      <c r="AS884">
        <f>'Bookings and Drivers'!BA350</f>
        <v>0</v>
      </c>
      <c r="AT884">
        <f>'Bookings and Drivers'!BB350</f>
        <v>0</v>
      </c>
      <c r="AU884">
        <f>'Bookings and Drivers'!BC350</f>
        <v>0</v>
      </c>
      <c r="AV884">
        <f>'Bookings and Drivers'!BD350</f>
        <v>0</v>
      </c>
      <c r="AW884">
        <f>'Bookings and Drivers'!BE350</f>
        <v>0</v>
      </c>
      <c r="AX884">
        <f>'Bookings and Drivers'!BF350</f>
        <v>0</v>
      </c>
      <c r="AY884">
        <f>'Bookings and Drivers'!BG350</f>
        <v>0</v>
      </c>
      <c r="AZ884">
        <f>'Bookings and Drivers'!BH350</f>
        <v>0</v>
      </c>
      <c r="BA884">
        <f>'Bookings and Drivers'!BI350</f>
        <v>0</v>
      </c>
      <c r="BB884">
        <f>'Bookings and Drivers'!BJ350</f>
        <v>0</v>
      </c>
      <c r="BC884">
        <f>'Bookings and Drivers'!BK350</f>
        <v>0</v>
      </c>
      <c r="BD884">
        <f>'Bookings and Drivers'!BL350</f>
        <v>0</v>
      </c>
      <c r="BE884">
        <f>'Bookings and Drivers'!BM350</f>
        <v>0</v>
      </c>
      <c r="BF884">
        <f>'Bookings and Drivers'!BN350</f>
        <v>0</v>
      </c>
      <c r="BG884">
        <f>'Bookings and Drivers'!BO350</f>
        <v>0</v>
      </c>
      <c r="BH884">
        <f>'Bookings and Drivers'!BP350</f>
        <v>0</v>
      </c>
      <c r="BI884">
        <f>'Bookings and Drivers'!BQ350</f>
        <v>0</v>
      </c>
      <c r="BJ884">
        <f>'Bookings and Drivers'!BR350</f>
        <v>0</v>
      </c>
      <c r="BK884">
        <f>'Bookings and Drivers'!BS350</f>
        <v>0</v>
      </c>
      <c r="BL884">
        <f>'Bookings and Drivers'!BT350</f>
        <v>0</v>
      </c>
      <c r="BM884">
        <f>'Bookings and Drivers'!BU350</f>
        <v>0</v>
      </c>
      <c r="BN884">
        <f>'Bookings and Drivers'!BV350</f>
        <v>0</v>
      </c>
      <c r="BO884">
        <f>'Bookings and Drivers'!BW350</f>
        <v>0</v>
      </c>
      <c r="BP884">
        <f>'Bookings and Drivers'!BX350</f>
        <v>0</v>
      </c>
      <c r="BQ884">
        <f>'Bookings and Drivers'!BY350</f>
        <v>0</v>
      </c>
      <c r="BR884">
        <f>'Bookings and Drivers'!BZ350</f>
        <v>0</v>
      </c>
      <c r="BS884">
        <f>'Bookings and Drivers'!CA350</f>
        <v>0</v>
      </c>
      <c r="BT884">
        <f>'Bookings and Drivers'!CB350</f>
        <v>0</v>
      </c>
      <c r="BU884">
        <f>'Bookings and Drivers'!CC350</f>
        <v>0</v>
      </c>
      <c r="BV884">
        <f>'Bookings and Drivers'!CD350</f>
        <v>0</v>
      </c>
      <c r="BW884">
        <f>'Bookings and Drivers'!CE350</f>
        <v>0</v>
      </c>
      <c r="BX884">
        <f>'Bookings and Drivers'!CF350</f>
        <v>0</v>
      </c>
      <c r="BY884">
        <f>'Bookings and Drivers'!CG350</f>
        <v>0</v>
      </c>
      <c r="BZ884">
        <f>'Bookings and Drivers'!CH350</f>
        <v>0</v>
      </c>
      <c r="CA884">
        <f>'Bookings and Drivers'!CI350</f>
        <v>0</v>
      </c>
      <c r="CB884">
        <f>'Bookings and Drivers'!CJ350</f>
        <v>0</v>
      </c>
      <c r="CC884">
        <f>'Bookings and Drivers'!CK350</f>
        <v>0</v>
      </c>
      <c r="CD884">
        <f>'Bookings and Drivers'!CL350</f>
        <v>0</v>
      </c>
      <c r="CE884">
        <f>'Bookings and Drivers'!CM350</f>
        <v>0</v>
      </c>
      <c r="CF884">
        <f>'Bookings and Drivers'!CN350</f>
        <v>0</v>
      </c>
      <c r="CG884">
        <f>'Bookings and Drivers'!CO350</f>
        <v>0</v>
      </c>
      <c r="CH884">
        <f>'Bookings and Drivers'!CP350</f>
        <v>0</v>
      </c>
      <c r="CI884">
        <f>'Bookings and Drivers'!CQ350</f>
        <v>0</v>
      </c>
      <c r="CJ884">
        <f>'Bookings and Drivers'!CR350</f>
        <v>0</v>
      </c>
      <c r="CK884">
        <f>'Bookings and Drivers'!CS350</f>
        <v>0</v>
      </c>
      <c r="CL884">
        <f>'Bookings and Drivers'!CT350</f>
        <v>0</v>
      </c>
      <c r="CM884">
        <f>'Bookings and Drivers'!CU350</f>
        <v>0</v>
      </c>
      <c r="CN884">
        <f>'Bookings and Drivers'!CV350</f>
        <v>0</v>
      </c>
      <c r="CO884">
        <f>'Bookings and Drivers'!CW350</f>
        <v>0</v>
      </c>
      <c r="CP884">
        <f>'Bookings and Drivers'!CX350</f>
        <v>0</v>
      </c>
      <c r="CQ884">
        <f>'Bookings and Drivers'!CY350</f>
        <v>0</v>
      </c>
      <c r="CR884">
        <f>'Bookings and Drivers'!CZ350</f>
        <v>0</v>
      </c>
      <c r="CS884">
        <f>'Bookings and Drivers'!DA350</f>
        <v>0</v>
      </c>
      <c r="CT884">
        <f>'Bookings and Drivers'!DB350</f>
        <v>0</v>
      </c>
      <c r="CU884">
        <f>'Bookings and Drivers'!DC350</f>
        <v>0</v>
      </c>
      <c r="CV884">
        <f>'Bookings and Drivers'!DD350</f>
        <v>0</v>
      </c>
      <c r="CW884">
        <f>'Bookings and Drivers'!DE350</f>
        <v>0</v>
      </c>
      <c r="CX884">
        <f>'Bookings and Drivers'!DF350</f>
        <v>0</v>
      </c>
    </row>
    <row r="885" spans="1:102">
      <c r="A885" t="str">
        <f>'Bookings and Drivers'!I351</f>
        <v>Rental Avg Daily Rate</v>
      </c>
      <c r="B885">
        <f>'Bookings and Drivers'!J351</f>
        <v>0</v>
      </c>
      <c r="C885">
        <f>'Bookings and Drivers'!K351</f>
        <v>0</v>
      </c>
      <c r="D885">
        <f>'Bookings and Drivers'!L351</f>
        <v>0</v>
      </c>
      <c r="E885">
        <f>'Bookings and Drivers'!M351</f>
        <v>0</v>
      </c>
      <c r="F885">
        <f>'Bookings and Drivers'!N351</f>
        <v>0</v>
      </c>
      <c r="G885">
        <f>'Bookings and Drivers'!O351</f>
        <v>0</v>
      </c>
      <c r="H885">
        <f>'Bookings and Drivers'!P351</f>
        <v>0</v>
      </c>
      <c r="I885">
        <f>'Bookings and Drivers'!Q351</f>
        <v>0</v>
      </c>
      <c r="J885">
        <f>'Bookings and Drivers'!R351</f>
        <v>0</v>
      </c>
      <c r="K885">
        <f>'Bookings and Drivers'!S351</f>
        <v>0</v>
      </c>
      <c r="L885">
        <f>'Bookings and Drivers'!T351</f>
        <v>0</v>
      </c>
      <c r="M885">
        <f>'Bookings and Drivers'!U351</f>
        <v>0</v>
      </c>
      <c r="N885">
        <f>'Bookings and Drivers'!V351</f>
        <v>0</v>
      </c>
      <c r="O885">
        <f>'Bookings and Drivers'!W351</f>
        <v>0</v>
      </c>
      <c r="P885">
        <f>'Bookings and Drivers'!X351</f>
        <v>0</v>
      </c>
      <c r="Q885">
        <f>'Bookings and Drivers'!Y351</f>
        <v>0</v>
      </c>
      <c r="R885">
        <f>'Bookings and Drivers'!Z351</f>
        <v>0</v>
      </c>
      <c r="S885">
        <f>'Bookings and Drivers'!AA351</f>
        <v>0</v>
      </c>
      <c r="T885">
        <f>'Bookings and Drivers'!AB351</f>
        <v>0</v>
      </c>
      <c r="U885">
        <f>'Bookings and Drivers'!AC351</f>
        <v>30</v>
      </c>
      <c r="V885">
        <f>'Bookings and Drivers'!AD351</f>
        <v>30</v>
      </c>
      <c r="W885">
        <f>'Bookings and Drivers'!AE351</f>
        <v>30</v>
      </c>
      <c r="X885">
        <f>'Bookings and Drivers'!AF351</f>
        <v>30</v>
      </c>
      <c r="Y885">
        <f>'Bookings and Drivers'!AG351</f>
        <v>30</v>
      </c>
      <c r="Z885">
        <f>'Bookings and Drivers'!AH351</f>
        <v>30</v>
      </c>
      <c r="AA885">
        <f>'Bookings and Drivers'!AI351</f>
        <v>30</v>
      </c>
      <c r="AB885">
        <f>'Bookings and Drivers'!AJ351</f>
        <v>30</v>
      </c>
      <c r="AC885">
        <f>'Bookings and Drivers'!AK351</f>
        <v>30</v>
      </c>
      <c r="AD885">
        <f>'Bookings and Drivers'!AL351</f>
        <v>30</v>
      </c>
      <c r="AE885">
        <f>'Bookings and Drivers'!AM351</f>
        <v>30</v>
      </c>
      <c r="AF885">
        <f>'Bookings and Drivers'!AN351</f>
        <v>30</v>
      </c>
      <c r="AG885">
        <f>'Bookings and Drivers'!AO351</f>
        <v>15</v>
      </c>
      <c r="AH885">
        <f>'Bookings and Drivers'!AP351</f>
        <v>30</v>
      </c>
      <c r="AI885">
        <f>'Bookings and Drivers'!AQ351</f>
        <v>30</v>
      </c>
      <c r="AJ885">
        <f>'Bookings and Drivers'!AR351</f>
        <v>30</v>
      </c>
      <c r="AK885">
        <f>'Bookings and Drivers'!AS351</f>
        <v>15</v>
      </c>
      <c r="AL885">
        <f>'Bookings and Drivers'!AT351</f>
        <v>30</v>
      </c>
      <c r="AM885">
        <f>'Bookings and Drivers'!AU351</f>
        <v>31</v>
      </c>
      <c r="AN885">
        <f>'Bookings and Drivers'!AV351</f>
        <v>31</v>
      </c>
      <c r="AO885">
        <f>'Bookings and Drivers'!AW351</f>
        <v>31</v>
      </c>
      <c r="AP885">
        <f>'Bookings and Drivers'!AX351</f>
        <v>31</v>
      </c>
      <c r="AQ885">
        <f>'Bookings and Drivers'!AY351</f>
        <v>31</v>
      </c>
      <c r="AR885">
        <f>'Bookings and Drivers'!AZ351</f>
        <v>31</v>
      </c>
      <c r="AS885">
        <f>'Bookings and Drivers'!BA351</f>
        <v>31</v>
      </c>
      <c r="AT885">
        <f>'Bookings and Drivers'!BB351</f>
        <v>31</v>
      </c>
      <c r="AU885">
        <f>'Bookings and Drivers'!BC351</f>
        <v>31</v>
      </c>
      <c r="AV885">
        <f>'Bookings and Drivers'!BD351</f>
        <v>31</v>
      </c>
      <c r="AW885">
        <f>'Bookings and Drivers'!BE351</f>
        <v>31</v>
      </c>
      <c r="AX885">
        <f>'Bookings and Drivers'!BF351</f>
        <v>31</v>
      </c>
      <c r="AY885">
        <f>'Bookings and Drivers'!BG351</f>
        <v>31</v>
      </c>
      <c r="AZ885">
        <f>'Bookings and Drivers'!BH351</f>
        <v>31</v>
      </c>
      <c r="BA885">
        <f>'Bookings and Drivers'!BI351</f>
        <v>31</v>
      </c>
      <c r="BB885">
        <f>'Bookings and Drivers'!BJ351</f>
        <v>31</v>
      </c>
      <c r="BC885">
        <f>'Bookings and Drivers'!BK351</f>
        <v>31</v>
      </c>
      <c r="BD885">
        <f>'Bookings and Drivers'!BL351</f>
        <v>31</v>
      </c>
      <c r="BE885">
        <f>'Bookings and Drivers'!BM351</f>
        <v>31</v>
      </c>
      <c r="BF885">
        <f>'Bookings and Drivers'!BN351</f>
        <v>31</v>
      </c>
      <c r="BG885">
        <f>'Bookings and Drivers'!BO351</f>
        <v>31</v>
      </c>
      <c r="BH885">
        <f>'Bookings and Drivers'!BP351</f>
        <v>31</v>
      </c>
      <c r="BI885">
        <f>'Bookings and Drivers'!BQ351</f>
        <v>31</v>
      </c>
      <c r="BJ885">
        <f>'Bookings and Drivers'!BR351</f>
        <v>31</v>
      </c>
      <c r="BK885">
        <f>'Bookings and Drivers'!BS351</f>
        <v>31</v>
      </c>
      <c r="BL885">
        <f>'Bookings and Drivers'!BT351</f>
        <v>31</v>
      </c>
      <c r="BM885">
        <f>'Bookings and Drivers'!BU351</f>
        <v>31</v>
      </c>
      <c r="BN885">
        <f>'Bookings and Drivers'!BV351</f>
        <v>31</v>
      </c>
      <c r="BO885">
        <f>'Bookings and Drivers'!BW351</f>
        <v>31</v>
      </c>
      <c r="BP885">
        <f>'Bookings and Drivers'!BX351</f>
        <v>31</v>
      </c>
      <c r="BQ885">
        <f>'Bookings and Drivers'!BY351</f>
        <v>31</v>
      </c>
      <c r="BR885">
        <f>'Bookings and Drivers'!BZ351</f>
        <v>31</v>
      </c>
      <c r="BS885">
        <f>'Bookings and Drivers'!CA351</f>
        <v>31</v>
      </c>
      <c r="BT885">
        <f>'Bookings and Drivers'!CB351</f>
        <v>31</v>
      </c>
      <c r="BU885">
        <f>'Bookings and Drivers'!CC351</f>
        <v>31</v>
      </c>
      <c r="BV885">
        <f>'Bookings and Drivers'!CD351</f>
        <v>31</v>
      </c>
      <c r="BW885">
        <f>'Bookings and Drivers'!CE351</f>
        <v>31</v>
      </c>
      <c r="BX885">
        <f>'Bookings and Drivers'!CF351</f>
        <v>31</v>
      </c>
      <c r="BY885">
        <f>'Bookings and Drivers'!CG351</f>
        <v>0</v>
      </c>
      <c r="BZ885">
        <f>'Bookings and Drivers'!CH351</f>
        <v>0</v>
      </c>
      <c r="CA885">
        <f>'Bookings and Drivers'!CI351</f>
        <v>0</v>
      </c>
      <c r="CB885">
        <f>'Bookings and Drivers'!CJ351</f>
        <v>0</v>
      </c>
      <c r="CC885">
        <f>'Bookings and Drivers'!CK351</f>
        <v>0</v>
      </c>
      <c r="CD885">
        <f>'Bookings and Drivers'!CL351</f>
        <v>0</v>
      </c>
      <c r="CE885">
        <f>'Bookings and Drivers'!CM351</f>
        <v>0</v>
      </c>
      <c r="CF885">
        <f>'Bookings and Drivers'!CN351</f>
        <v>0</v>
      </c>
      <c r="CG885">
        <f>'Bookings and Drivers'!CO351</f>
        <v>0</v>
      </c>
      <c r="CH885">
        <f>'Bookings and Drivers'!CP351</f>
        <v>0</v>
      </c>
      <c r="CI885">
        <f>'Bookings and Drivers'!CQ351</f>
        <v>0</v>
      </c>
      <c r="CJ885">
        <f>'Bookings and Drivers'!CR351</f>
        <v>0</v>
      </c>
      <c r="CK885">
        <f>'Bookings and Drivers'!CS351</f>
        <v>0</v>
      </c>
      <c r="CL885">
        <f>'Bookings and Drivers'!CT351</f>
        <v>0</v>
      </c>
      <c r="CM885">
        <f>'Bookings and Drivers'!CU351</f>
        <v>0</v>
      </c>
      <c r="CN885">
        <f>'Bookings and Drivers'!CV351</f>
        <v>0</v>
      </c>
      <c r="CO885">
        <f>'Bookings and Drivers'!CW351</f>
        <v>0</v>
      </c>
      <c r="CP885">
        <f>'Bookings and Drivers'!CX351</f>
        <v>0</v>
      </c>
      <c r="CQ885">
        <f>'Bookings and Drivers'!CY351</f>
        <v>0</v>
      </c>
      <c r="CR885">
        <f>'Bookings and Drivers'!CZ351</f>
        <v>31</v>
      </c>
      <c r="CS885">
        <f>'Bookings and Drivers'!DA351</f>
        <v>31</v>
      </c>
      <c r="CT885">
        <f>'Bookings and Drivers'!DB351</f>
        <v>31</v>
      </c>
      <c r="CU885">
        <f>'Bookings and Drivers'!DC351</f>
        <v>31</v>
      </c>
      <c r="CV885">
        <f>'Bookings and Drivers'!DD351</f>
        <v>31</v>
      </c>
      <c r="CW885">
        <f>'Bookings and Drivers'!DE351</f>
        <v>31</v>
      </c>
      <c r="CX885">
        <f>'Bookings and Drivers'!DF351</f>
        <v>31</v>
      </c>
    </row>
    <row r="886" spans="1:102">
      <c r="A886">
        <f>'Bookings and Drivers'!I352</f>
        <v>0</v>
      </c>
      <c r="B886">
        <f>'Bookings and Drivers'!J352</f>
        <v>0</v>
      </c>
      <c r="C886">
        <f>'Bookings and Drivers'!K352</f>
        <v>0</v>
      </c>
      <c r="D886">
        <f>'Bookings and Drivers'!L352</f>
        <v>0</v>
      </c>
      <c r="E886">
        <f>'Bookings and Drivers'!M352</f>
        <v>0</v>
      </c>
      <c r="F886">
        <f>'Bookings and Drivers'!N352</f>
        <v>0</v>
      </c>
      <c r="G886">
        <f>'Bookings and Drivers'!O352</f>
        <v>0</v>
      </c>
      <c r="H886">
        <f>'Bookings and Drivers'!P352</f>
        <v>0</v>
      </c>
      <c r="I886">
        <f>'Bookings and Drivers'!Q352</f>
        <v>0</v>
      </c>
      <c r="J886">
        <f>'Bookings and Drivers'!R352</f>
        <v>0</v>
      </c>
      <c r="K886">
        <f>'Bookings and Drivers'!S352</f>
        <v>0</v>
      </c>
      <c r="L886">
        <f>'Bookings and Drivers'!T352</f>
        <v>0</v>
      </c>
      <c r="M886">
        <f>'Bookings and Drivers'!U352</f>
        <v>0</v>
      </c>
      <c r="N886">
        <f>'Bookings and Drivers'!V352</f>
        <v>0</v>
      </c>
      <c r="O886">
        <f>'Bookings and Drivers'!W352</f>
        <v>0</v>
      </c>
      <c r="P886">
        <f>'Bookings and Drivers'!X352</f>
        <v>0</v>
      </c>
      <c r="Q886">
        <f>'Bookings and Drivers'!Y352</f>
        <v>0</v>
      </c>
      <c r="R886">
        <f>'Bookings and Drivers'!Z352</f>
        <v>0</v>
      </c>
      <c r="S886">
        <f>'Bookings and Drivers'!AA352</f>
        <v>0</v>
      </c>
      <c r="T886">
        <f>'Bookings and Drivers'!AB352</f>
        <v>0</v>
      </c>
      <c r="U886">
        <f>'Bookings and Drivers'!AC352</f>
        <v>0</v>
      </c>
      <c r="V886">
        <f>'Bookings and Drivers'!AD352</f>
        <v>0</v>
      </c>
      <c r="W886">
        <f>'Bookings and Drivers'!AE352</f>
        <v>0</v>
      </c>
      <c r="X886">
        <f>'Bookings and Drivers'!AF352</f>
        <v>0</v>
      </c>
      <c r="Y886">
        <f>'Bookings and Drivers'!AG352</f>
        <v>0</v>
      </c>
      <c r="Z886">
        <f>'Bookings and Drivers'!AH352</f>
        <v>0</v>
      </c>
      <c r="AA886">
        <f>'Bookings and Drivers'!AI352</f>
        <v>0</v>
      </c>
      <c r="AB886">
        <f>'Bookings and Drivers'!AJ352</f>
        <v>0</v>
      </c>
      <c r="AC886">
        <f>'Bookings and Drivers'!AK352</f>
        <v>0</v>
      </c>
      <c r="AD886">
        <f>'Bookings and Drivers'!AL352</f>
        <v>0</v>
      </c>
      <c r="AE886">
        <f>'Bookings and Drivers'!AM352</f>
        <v>0</v>
      </c>
      <c r="AF886">
        <f>'Bookings and Drivers'!AN352</f>
        <v>0</v>
      </c>
      <c r="AG886">
        <f>'Bookings and Drivers'!AO352</f>
        <v>0</v>
      </c>
      <c r="AH886">
        <f>'Bookings and Drivers'!AP352</f>
        <v>0</v>
      </c>
      <c r="AI886">
        <f>'Bookings and Drivers'!AQ352</f>
        <v>0</v>
      </c>
      <c r="AJ886">
        <f>'Bookings and Drivers'!AR352</f>
        <v>0</v>
      </c>
      <c r="AK886">
        <f>'Bookings and Drivers'!AS352</f>
        <v>0</v>
      </c>
      <c r="AL886">
        <f>'Bookings and Drivers'!AT352</f>
        <v>0</v>
      </c>
      <c r="AM886">
        <f>'Bookings and Drivers'!AU352</f>
        <v>0</v>
      </c>
      <c r="AN886">
        <f>'Bookings and Drivers'!AV352</f>
        <v>0</v>
      </c>
      <c r="AO886">
        <f>'Bookings and Drivers'!AW352</f>
        <v>0</v>
      </c>
      <c r="AP886">
        <f>'Bookings and Drivers'!AX352</f>
        <v>0</v>
      </c>
      <c r="AQ886">
        <f>'Bookings and Drivers'!AY352</f>
        <v>0</v>
      </c>
      <c r="AR886">
        <f>'Bookings and Drivers'!AZ352</f>
        <v>0</v>
      </c>
      <c r="AS886">
        <f>'Bookings and Drivers'!BA352</f>
        <v>0</v>
      </c>
      <c r="AT886">
        <f>'Bookings and Drivers'!BB352</f>
        <v>0</v>
      </c>
      <c r="AU886">
        <f>'Bookings and Drivers'!BC352</f>
        <v>0</v>
      </c>
      <c r="AV886">
        <f>'Bookings and Drivers'!BD352</f>
        <v>0</v>
      </c>
      <c r="AW886">
        <f>'Bookings and Drivers'!BE352</f>
        <v>0</v>
      </c>
      <c r="AX886">
        <f>'Bookings and Drivers'!BF352</f>
        <v>0</v>
      </c>
      <c r="AY886">
        <f>'Bookings and Drivers'!BG352</f>
        <v>0</v>
      </c>
      <c r="AZ886">
        <f>'Bookings and Drivers'!BH352</f>
        <v>0</v>
      </c>
      <c r="BA886">
        <f>'Bookings and Drivers'!BI352</f>
        <v>0</v>
      </c>
      <c r="BB886">
        <f>'Bookings and Drivers'!BJ352</f>
        <v>0</v>
      </c>
      <c r="BC886">
        <f>'Bookings and Drivers'!BK352</f>
        <v>0</v>
      </c>
      <c r="BD886">
        <f>'Bookings and Drivers'!BL352</f>
        <v>0</v>
      </c>
      <c r="BE886">
        <f>'Bookings and Drivers'!BM352</f>
        <v>0</v>
      </c>
      <c r="BF886">
        <f>'Bookings and Drivers'!BN352</f>
        <v>0</v>
      </c>
      <c r="BG886">
        <f>'Bookings and Drivers'!BO352</f>
        <v>0</v>
      </c>
      <c r="BH886">
        <f>'Bookings and Drivers'!BP352</f>
        <v>0</v>
      </c>
      <c r="BI886">
        <f>'Bookings and Drivers'!BQ352</f>
        <v>0</v>
      </c>
      <c r="BJ886">
        <f>'Bookings and Drivers'!BR352</f>
        <v>0</v>
      </c>
      <c r="BK886">
        <f>'Bookings and Drivers'!BS352</f>
        <v>0</v>
      </c>
      <c r="BL886">
        <f>'Bookings and Drivers'!BT352</f>
        <v>0</v>
      </c>
      <c r="BM886">
        <f>'Bookings and Drivers'!BU352</f>
        <v>0</v>
      </c>
      <c r="BN886">
        <f>'Bookings and Drivers'!BV352</f>
        <v>0</v>
      </c>
      <c r="BO886">
        <f>'Bookings and Drivers'!BW352</f>
        <v>0</v>
      </c>
      <c r="BP886">
        <f>'Bookings and Drivers'!BX352</f>
        <v>0</v>
      </c>
      <c r="BQ886">
        <f>'Bookings and Drivers'!BY352</f>
        <v>0</v>
      </c>
      <c r="BR886">
        <f>'Bookings and Drivers'!BZ352</f>
        <v>0</v>
      </c>
      <c r="BS886">
        <f>'Bookings and Drivers'!CA352</f>
        <v>0</v>
      </c>
      <c r="BT886">
        <f>'Bookings and Drivers'!CB352</f>
        <v>0</v>
      </c>
      <c r="BU886">
        <f>'Bookings and Drivers'!CC352</f>
        <v>0</v>
      </c>
      <c r="BV886">
        <f>'Bookings and Drivers'!CD352</f>
        <v>0</v>
      </c>
      <c r="BW886">
        <f>'Bookings and Drivers'!CE352</f>
        <v>0</v>
      </c>
      <c r="BX886">
        <f>'Bookings and Drivers'!CF352</f>
        <v>0</v>
      </c>
      <c r="BY886">
        <f>'Bookings and Drivers'!CG352</f>
        <v>0</v>
      </c>
      <c r="BZ886">
        <f>'Bookings and Drivers'!CH352</f>
        <v>0</v>
      </c>
      <c r="CA886">
        <f>'Bookings and Drivers'!CI352</f>
        <v>0</v>
      </c>
      <c r="CB886">
        <f>'Bookings and Drivers'!CJ352</f>
        <v>0</v>
      </c>
      <c r="CC886">
        <f>'Bookings and Drivers'!CK352</f>
        <v>0</v>
      </c>
      <c r="CD886">
        <f>'Bookings and Drivers'!CL352</f>
        <v>0</v>
      </c>
      <c r="CE886">
        <f>'Bookings and Drivers'!CM352</f>
        <v>0</v>
      </c>
      <c r="CF886">
        <f>'Bookings and Drivers'!CN352</f>
        <v>0</v>
      </c>
      <c r="CG886">
        <f>'Bookings and Drivers'!CO352</f>
        <v>0</v>
      </c>
      <c r="CH886">
        <f>'Bookings and Drivers'!CP352</f>
        <v>0</v>
      </c>
      <c r="CI886">
        <f>'Bookings and Drivers'!CQ352</f>
        <v>0</v>
      </c>
      <c r="CJ886">
        <f>'Bookings and Drivers'!CR352</f>
        <v>0</v>
      </c>
      <c r="CK886">
        <f>'Bookings and Drivers'!CS352</f>
        <v>0</v>
      </c>
      <c r="CL886">
        <f>'Bookings and Drivers'!CT352</f>
        <v>0</v>
      </c>
      <c r="CM886">
        <f>'Bookings and Drivers'!CU352</f>
        <v>0</v>
      </c>
      <c r="CN886">
        <f>'Bookings and Drivers'!CV352</f>
        <v>0</v>
      </c>
      <c r="CO886">
        <f>'Bookings and Drivers'!CW352</f>
        <v>0</v>
      </c>
      <c r="CP886">
        <f>'Bookings and Drivers'!CX352</f>
        <v>0</v>
      </c>
      <c r="CQ886">
        <f>'Bookings and Drivers'!CY352</f>
        <v>0</v>
      </c>
      <c r="CR886">
        <f>'Bookings and Drivers'!CZ352</f>
        <v>0</v>
      </c>
      <c r="CS886">
        <f>'Bookings and Drivers'!DA352</f>
        <v>0</v>
      </c>
      <c r="CT886">
        <f>'Bookings and Drivers'!DB352</f>
        <v>0</v>
      </c>
      <c r="CU886">
        <f>'Bookings and Drivers'!DC352</f>
        <v>0</v>
      </c>
      <c r="CV886">
        <f>'Bookings and Drivers'!DD352</f>
        <v>0</v>
      </c>
      <c r="CW886">
        <f>'Bookings and Drivers'!DE352</f>
        <v>0</v>
      </c>
      <c r="CX886">
        <f>'Bookings and Drivers'!DF352</f>
        <v>0</v>
      </c>
    </row>
    <row r="887" spans="1:102">
      <c r="A887" t="str">
        <f>'Bookings and Drivers'!I353</f>
        <v>Rental Car Bookings</v>
      </c>
      <c r="B887">
        <f>'Bookings and Drivers'!J353</f>
        <v>0</v>
      </c>
      <c r="C887">
        <f>'Bookings and Drivers'!K353</f>
        <v>0</v>
      </c>
      <c r="D887">
        <f>'Bookings and Drivers'!L353</f>
        <v>0</v>
      </c>
      <c r="E887">
        <f>'Bookings and Drivers'!M353</f>
        <v>0</v>
      </c>
      <c r="F887">
        <f>'Bookings and Drivers'!N353</f>
        <v>0</v>
      </c>
      <c r="G887">
        <f>'Bookings and Drivers'!O353</f>
        <v>0</v>
      </c>
      <c r="H887">
        <f>'Bookings and Drivers'!P353</f>
        <v>0</v>
      </c>
      <c r="I887">
        <f>'Bookings and Drivers'!Q353</f>
        <v>0</v>
      </c>
      <c r="J887">
        <f>'Bookings and Drivers'!R353</f>
        <v>0</v>
      </c>
      <c r="K887">
        <f>'Bookings and Drivers'!S353</f>
        <v>0</v>
      </c>
      <c r="L887">
        <f>'Bookings and Drivers'!T353</f>
        <v>0</v>
      </c>
      <c r="M887">
        <f>'Bookings and Drivers'!U353</f>
        <v>0</v>
      </c>
      <c r="N887">
        <f>'Bookings and Drivers'!V353</f>
        <v>0</v>
      </c>
      <c r="O887">
        <f>'Bookings and Drivers'!W353</f>
        <v>0</v>
      </c>
      <c r="P887">
        <f>'Bookings and Drivers'!X353</f>
        <v>0</v>
      </c>
      <c r="Q887">
        <f>'Bookings and Drivers'!Y353</f>
        <v>0</v>
      </c>
      <c r="R887">
        <f>'Bookings and Drivers'!Z353</f>
        <v>0</v>
      </c>
      <c r="S887">
        <f>'Bookings and Drivers'!AA353</f>
        <v>0</v>
      </c>
      <c r="T887">
        <f>'Bookings and Drivers'!AB353</f>
        <v>0</v>
      </c>
      <c r="U887">
        <f>'Bookings and Drivers'!AC353</f>
        <v>38.340000000000003</v>
      </c>
      <c r="V887">
        <f>'Bookings and Drivers'!AD353</f>
        <v>46.05</v>
      </c>
      <c r="W887">
        <f>'Bookings and Drivers'!AE353</f>
        <v>50.76</v>
      </c>
      <c r="X887">
        <f>'Bookings and Drivers'!AF353</f>
        <v>39.450000000000003</v>
      </c>
      <c r="Y887">
        <f>'Bookings and Drivers'!AG353</f>
        <v>48.63</v>
      </c>
      <c r="Z887">
        <f>'Bookings and Drivers'!AH353</f>
        <v>60</v>
      </c>
      <c r="AA887">
        <f>'Bookings and Drivers'!AI353</f>
        <v>61.32</v>
      </c>
      <c r="AB887">
        <f>'Bookings and Drivers'!AJ353</f>
        <v>53.67</v>
      </c>
      <c r="AC887">
        <f>'Bookings and Drivers'!AK353</f>
        <v>60.09</v>
      </c>
      <c r="AD887">
        <f>'Bookings and Drivers'!AL353</f>
        <v>68.34</v>
      </c>
      <c r="AE887">
        <f>'Bookings and Drivers'!AM353</f>
        <v>70.14</v>
      </c>
      <c r="AF887">
        <f>'Bookings and Drivers'!AN353</f>
        <v>60.06</v>
      </c>
      <c r="AG887">
        <f>'Bookings and Drivers'!AO353</f>
        <v>39.18</v>
      </c>
      <c r="AH887">
        <f>'Bookings and Drivers'!AP353</f>
        <v>84.45</v>
      </c>
      <c r="AI887">
        <f>'Bookings and Drivers'!AQ353</f>
        <v>69.989999999999995</v>
      </c>
      <c r="AJ887">
        <f>'Bookings and Drivers'!AR353</f>
        <v>66.72</v>
      </c>
      <c r="AK887">
        <f>'Bookings and Drivers'!AS353</f>
        <v>45.21</v>
      </c>
      <c r="AL887">
        <f>'Bookings and Drivers'!AT353</f>
        <v>97.11</v>
      </c>
      <c r="AM887">
        <f>'Bookings and Drivers'!AU353</f>
        <v>80.724000000000004</v>
      </c>
      <c r="AN887">
        <f>'Bookings and Drivers'!AV353</f>
        <v>73.47</v>
      </c>
      <c r="AO887">
        <f>'Bookings and Drivers'!AW353</f>
        <v>92.566000000000003</v>
      </c>
      <c r="AP887">
        <f>'Bookings and Drivers'!AX353</f>
        <v>133.73400000000001</v>
      </c>
      <c r="AQ887">
        <f>'Bookings and Drivers'!AY353</f>
        <v>158.1</v>
      </c>
      <c r="AR887">
        <f>'Bookings and Drivers'!AZ353</f>
        <v>120.9</v>
      </c>
      <c r="AS887">
        <f>'Bookings and Drivers'!BA353</f>
        <v>151.9</v>
      </c>
      <c r="AT887">
        <f>'Bookings and Drivers'!BB353</f>
        <v>204.6</v>
      </c>
      <c r="AU887">
        <f>'Bookings and Drivers'!BC353</f>
        <v>217</v>
      </c>
      <c r="AV887">
        <f>'Bookings and Drivers'!BD353</f>
        <v>164.3</v>
      </c>
      <c r="AW887">
        <f>'Bookings and Drivers'!BE353</f>
        <v>213.9</v>
      </c>
      <c r="AX887">
        <f>'Bookings and Drivers'!BF353</f>
        <v>266.60000000000002</v>
      </c>
      <c r="AY887">
        <f>'Bookings and Drivers'!BG353</f>
        <v>291.39999999999998</v>
      </c>
      <c r="AZ887">
        <f>'Bookings and Drivers'!BH353</f>
        <v>223.2</v>
      </c>
      <c r="BA887">
        <f>'Bookings and Drivers'!BI353</f>
        <v>306.89999999999998</v>
      </c>
      <c r="BB887">
        <f>'Bookings and Drivers'!BJ353</f>
        <v>387.5</v>
      </c>
      <c r="BC887">
        <f>'Bookings and Drivers'!BK353</f>
        <v>372</v>
      </c>
      <c r="BD887">
        <f>'Bookings and Drivers'!BL353</f>
        <v>294.5</v>
      </c>
      <c r="BE887">
        <f>'Bookings and Drivers'!BM353</f>
        <v>381.3</v>
      </c>
      <c r="BF887">
        <f>'Bookings and Drivers'!BN353</f>
        <v>443.3</v>
      </c>
      <c r="BG887">
        <f>'Bookings and Drivers'!BO353</f>
        <v>440.2</v>
      </c>
      <c r="BH887">
        <f>'Bookings and Drivers'!BP353</f>
        <v>341</v>
      </c>
      <c r="BI887">
        <f>'Bookings and Drivers'!BQ353</f>
        <v>452.6</v>
      </c>
      <c r="BJ887">
        <f>'Bookings and Drivers'!BR353</f>
        <v>533.20000000000005</v>
      </c>
      <c r="BK887">
        <f>'Bookings and Drivers'!BS353</f>
        <v>496</v>
      </c>
      <c r="BL887">
        <f>'Bookings and Drivers'!BT353</f>
        <v>378.2</v>
      </c>
      <c r="BM887">
        <f>'Bookings and Drivers'!BU353</f>
        <v>502.2</v>
      </c>
      <c r="BN887">
        <f>'Bookings and Drivers'!BV353</f>
        <v>573.5</v>
      </c>
      <c r="BO887">
        <f>'Bookings and Drivers'!BW353</f>
        <v>558</v>
      </c>
      <c r="BP887">
        <f>'Bookings and Drivers'!BX353</f>
        <v>434</v>
      </c>
      <c r="BQ887">
        <f>'Bookings and Drivers'!BY353</f>
        <v>576.6</v>
      </c>
      <c r="BR887">
        <f>'Bookings and Drivers'!BZ353</f>
        <v>641.70000000000005</v>
      </c>
      <c r="BS887">
        <f>'Bookings and Drivers'!CA353</f>
        <v>589</v>
      </c>
      <c r="BT887">
        <f>'Bookings and Drivers'!CB353</f>
        <v>455.7</v>
      </c>
      <c r="BU887">
        <f>'Bookings and Drivers'!CC353</f>
        <v>596.78099999999995</v>
      </c>
      <c r="BV887">
        <f>'Bookings and Drivers'!CD353</f>
        <v>670.57650000000001</v>
      </c>
      <c r="BW887">
        <f>'Bookings and Drivers'!CE353</f>
        <v>630.23</v>
      </c>
      <c r="BX887">
        <f>'Bookings and Drivers'!CF353</f>
        <v>501.27000000000004</v>
      </c>
      <c r="BY887">
        <f>'Bookings and Drivers'!CG353</f>
        <v>0</v>
      </c>
      <c r="BZ887">
        <f>'Bookings and Drivers'!CH353</f>
        <v>0</v>
      </c>
      <c r="CA887">
        <f>'Bookings and Drivers'!CI353</f>
        <v>0</v>
      </c>
      <c r="CB887">
        <f>'Bookings and Drivers'!CJ353</f>
        <v>0</v>
      </c>
      <c r="CC887">
        <f>'Bookings and Drivers'!CK353</f>
        <v>0</v>
      </c>
      <c r="CD887">
        <f>'Bookings and Drivers'!CL353</f>
        <v>174.60000000000002</v>
      </c>
      <c r="CE887">
        <f>'Bookings and Drivers'!CM353</f>
        <v>223.62</v>
      </c>
      <c r="CF887">
        <f>'Bookings and Drivers'!CN353</f>
        <v>258.63</v>
      </c>
      <c r="CG887">
        <f>'Bookings and Drivers'!CO353</f>
        <v>260.34000000000003</v>
      </c>
      <c r="CH887">
        <f>'Bookings and Drivers'!CP353</f>
        <v>296.51400000000001</v>
      </c>
      <c r="CI887">
        <f>'Bookings and Drivers'!CQ353</f>
        <v>505.29999999999995</v>
      </c>
      <c r="CJ887">
        <f>'Bookings and Drivers'!CR353</f>
        <v>737.8</v>
      </c>
      <c r="CK887">
        <f>'Bookings and Drivers'!CS353</f>
        <v>995.09999999999991</v>
      </c>
      <c r="CL887">
        <f>'Bookings and Drivers'!CT353</f>
        <v>1360.9</v>
      </c>
      <c r="CM887">
        <f>'Bookings and Drivers'!CU353</f>
        <v>1605.8</v>
      </c>
      <c r="CN887">
        <f>'Bookings and Drivers'!CV353</f>
        <v>1860.0000000000002</v>
      </c>
      <c r="CO887">
        <f>'Bookings and Drivers'!CW353</f>
        <v>2067.6999999999998</v>
      </c>
      <c r="CP887">
        <f>'Bookings and Drivers'!CX353</f>
        <v>2263</v>
      </c>
      <c r="CQ887">
        <f>'Bookings and Drivers'!CY353</f>
        <v>2398.8575000000001</v>
      </c>
      <c r="CR887">
        <f>'Bookings and Drivers'!CZ353</f>
        <v>2518.8825276541097</v>
      </c>
      <c r="CS887">
        <f>'Bookings and Drivers'!DA353</f>
        <v>2619.7240918605362</v>
      </c>
      <c r="CT887">
        <f>'Bookings and Drivers'!DB353</f>
        <v>2698.4055311948405</v>
      </c>
      <c r="CU887">
        <f>'Bookings and Drivers'!DC353</f>
        <v>2779.4501082790143</v>
      </c>
      <c r="CV887">
        <f>'Bookings and Drivers'!DD353</f>
        <v>2862.9287981749289</v>
      </c>
      <c r="CW887">
        <f>'Bookings and Drivers'!DE353</f>
        <v>2948.9147076269642</v>
      </c>
      <c r="CX887">
        <f>'Bookings and Drivers'!DF353</f>
        <v>3037.4831390854861</v>
      </c>
    </row>
    <row r="888" spans="1:102">
      <c r="A888" t="str">
        <f>'Bookings and Drivers'!I354</f>
        <v>% change Y/Y</v>
      </c>
      <c r="B888">
        <f>'Bookings and Drivers'!J354</f>
        <v>0</v>
      </c>
      <c r="C888">
        <f>'Bookings and Drivers'!K354</f>
        <v>0</v>
      </c>
      <c r="D888">
        <f>'Bookings and Drivers'!L354</f>
        <v>0</v>
      </c>
      <c r="E888">
        <f>'Bookings and Drivers'!M354</f>
        <v>0</v>
      </c>
      <c r="F888">
        <f>'Bookings and Drivers'!N354</f>
        <v>0</v>
      </c>
      <c r="G888">
        <f>'Bookings and Drivers'!O354</f>
        <v>0</v>
      </c>
      <c r="H888">
        <f>'Bookings and Drivers'!P354</f>
        <v>0</v>
      </c>
      <c r="I888">
        <f>'Bookings and Drivers'!Q354</f>
        <v>0</v>
      </c>
      <c r="J888">
        <f>'Bookings and Drivers'!R354</f>
        <v>0</v>
      </c>
      <c r="K888">
        <f>'Bookings and Drivers'!S354</f>
        <v>0</v>
      </c>
      <c r="L888">
        <f>'Bookings and Drivers'!T354</f>
        <v>0</v>
      </c>
      <c r="M888">
        <f>'Bookings and Drivers'!U354</f>
        <v>0</v>
      </c>
      <c r="N888">
        <f>'Bookings and Drivers'!V354</f>
        <v>0</v>
      </c>
      <c r="O888">
        <f>'Bookings and Drivers'!W354</f>
        <v>0</v>
      </c>
      <c r="P888">
        <f>'Bookings and Drivers'!X354</f>
        <v>0</v>
      </c>
      <c r="Q888">
        <f>'Bookings and Drivers'!Y354</f>
        <v>0</v>
      </c>
      <c r="R888">
        <f>'Bookings and Drivers'!Z354</f>
        <v>0</v>
      </c>
      <c r="S888">
        <f>'Bookings and Drivers'!AA354</f>
        <v>0</v>
      </c>
      <c r="T888">
        <f>'Bookings and Drivers'!AB354</f>
        <v>0</v>
      </c>
      <c r="U888">
        <f>'Bookings and Drivers'!AC354</f>
        <v>0</v>
      </c>
      <c r="V888">
        <f>'Bookings and Drivers'!AD354</f>
        <v>0</v>
      </c>
      <c r="W888">
        <f>'Bookings and Drivers'!AE354</f>
        <v>0</v>
      </c>
      <c r="X888">
        <f>'Bookings and Drivers'!AF354</f>
        <v>0</v>
      </c>
      <c r="Y888">
        <f>'Bookings and Drivers'!AG354</f>
        <v>0.26838810641627542</v>
      </c>
      <c r="Z888">
        <f>'Bookings and Drivers'!AH354</f>
        <v>0.30293159609120535</v>
      </c>
      <c r="AA888">
        <f>'Bookings and Drivers'!AI354</f>
        <v>0.20803782505910173</v>
      </c>
      <c r="AB888">
        <f>'Bookings and Drivers'!AJ354</f>
        <v>0.36045627376425848</v>
      </c>
      <c r="AC888">
        <f>'Bookings and Drivers'!AK354</f>
        <v>0.23565700185070937</v>
      </c>
      <c r="AD888">
        <f>'Bookings and Drivers'!AL354</f>
        <v>0.13900000000000001</v>
      </c>
      <c r="AE888">
        <f>'Bookings and Drivers'!AM354</f>
        <v>0.14383561643835607</v>
      </c>
      <c r="AF888">
        <f>'Bookings and Drivers'!AN354</f>
        <v>0.11906092789267753</v>
      </c>
      <c r="AG888">
        <f>'Bookings and Drivers'!AO354</f>
        <v>-0.34797803295057417</v>
      </c>
      <c r="AH888">
        <f>'Bookings and Drivers'!AP354</f>
        <v>0.23573309920983321</v>
      </c>
      <c r="AI888">
        <f>'Bookings and Drivers'!AQ354</f>
        <v>-2.1385799828914642E-3</v>
      </c>
      <c r="AJ888">
        <f>'Bookings and Drivers'!AR354</f>
        <v>0.1108891108891108</v>
      </c>
      <c r="AK888">
        <f>'Bookings and Drivers'!AS354</f>
        <v>0.15390505359877493</v>
      </c>
      <c r="AL888">
        <f>'Bookings and Drivers'!AT354</f>
        <v>0.1499111900532859</v>
      </c>
      <c r="AM888">
        <f>'Bookings and Drivers'!AU354</f>
        <v>0.15336476639519936</v>
      </c>
      <c r="AN888">
        <f>'Bookings and Drivers'!AV354</f>
        <v>0.10116906474820153</v>
      </c>
      <c r="AO888">
        <f>'Bookings and Drivers'!AW354</f>
        <v>1.0474673744746736</v>
      </c>
      <c r="AP888">
        <f>'Bookings and Drivers'!AX354</f>
        <v>0.37713932653691695</v>
      </c>
      <c r="AQ888">
        <f>'Bookings and Drivers'!AY354</f>
        <v>0.95852534562211966</v>
      </c>
      <c r="AR888">
        <f>'Bookings and Drivers'!AZ354</f>
        <v>0.64556962025316467</v>
      </c>
      <c r="AS888">
        <f>'Bookings and Drivers'!BA354</f>
        <v>0.64099129269926314</v>
      </c>
      <c r="AT888">
        <f>'Bookings and Drivers'!BB354</f>
        <v>0.52990264255910979</v>
      </c>
      <c r="AU888">
        <f>'Bookings and Drivers'!BC354</f>
        <v>0.37254901960784315</v>
      </c>
      <c r="AV888">
        <f>'Bookings and Drivers'!BD354</f>
        <v>0.35897435897435903</v>
      </c>
      <c r="AW888">
        <f>'Bookings and Drivers'!BE354</f>
        <v>0.40816326530612246</v>
      </c>
      <c r="AX888">
        <f>'Bookings and Drivers'!BF354</f>
        <v>0.30303030303030321</v>
      </c>
      <c r="AY888">
        <f>'Bookings and Drivers'!BG354</f>
        <v>0.34285714285714275</v>
      </c>
      <c r="AZ888">
        <f>'Bookings and Drivers'!BH354</f>
        <v>0.35849056603773577</v>
      </c>
      <c r="BA888">
        <f>'Bookings and Drivers'!BI354</f>
        <v>0.43478260869565211</v>
      </c>
      <c r="BB888">
        <f>'Bookings and Drivers'!BJ354</f>
        <v>0.45348837209302317</v>
      </c>
      <c r="BC888">
        <f>'Bookings and Drivers'!BK354</f>
        <v>0.27659574468085113</v>
      </c>
      <c r="BD888">
        <f>'Bookings and Drivers'!BL354</f>
        <v>0.31944444444444442</v>
      </c>
      <c r="BE888">
        <f>'Bookings and Drivers'!BM354</f>
        <v>0.24242424242424265</v>
      </c>
      <c r="BF888">
        <f>'Bookings and Drivers'!BN354</f>
        <v>0.14400000000000013</v>
      </c>
      <c r="BG888">
        <f>'Bookings and Drivers'!BO354</f>
        <v>0.18333333333333335</v>
      </c>
      <c r="BH888">
        <f>'Bookings and Drivers'!BP354</f>
        <v>0.15789473684210531</v>
      </c>
      <c r="BI888">
        <f>'Bookings and Drivers'!BQ354</f>
        <v>0.18699186991869921</v>
      </c>
      <c r="BJ888">
        <f>'Bookings and Drivers'!BR354</f>
        <v>0.20279720279720292</v>
      </c>
      <c r="BK888">
        <f>'Bookings and Drivers'!BS354</f>
        <v>0.12676056338028174</v>
      </c>
      <c r="BL888">
        <f>'Bookings and Drivers'!BT354</f>
        <v>0.10909090909090913</v>
      </c>
      <c r="BM888">
        <f>'Bookings and Drivers'!BU354</f>
        <v>0.1095890410958904</v>
      </c>
      <c r="BN888">
        <f>'Bookings and Drivers'!BV354</f>
        <v>7.5581395348837122E-2</v>
      </c>
      <c r="BO888">
        <f>'Bookings and Drivers'!BW354</f>
        <v>0.125</v>
      </c>
      <c r="BP888">
        <f>'Bookings and Drivers'!BX354</f>
        <v>0.14754098360655732</v>
      </c>
      <c r="BQ888">
        <f>'Bookings and Drivers'!BY354</f>
        <v>0.14814814814814814</v>
      </c>
      <c r="BR888">
        <f>'Bookings and Drivers'!BZ354</f>
        <v>0.11891891891891904</v>
      </c>
      <c r="BS888">
        <f>'Bookings and Drivers'!CA354</f>
        <v>5.555555555555558E-2</v>
      </c>
      <c r="BT888">
        <f>'Bookings and Drivers'!CB354</f>
        <v>5.0000000000000044E-2</v>
      </c>
      <c r="BU888">
        <f>'Bookings and Drivers'!CC354</f>
        <v>3.499999999999992E-2</v>
      </c>
      <c r="BV888">
        <f>'Bookings and Drivers'!CD354</f>
        <v>4.4999999999999929E-2</v>
      </c>
      <c r="BW888">
        <f>'Bookings and Drivers'!CE354</f>
        <v>7.0000000000000062E-2</v>
      </c>
      <c r="BX888">
        <f>'Bookings and Drivers'!CF354</f>
        <v>0.10000000000000009</v>
      </c>
      <c r="BY888">
        <f>'Bookings and Drivers'!CG354</f>
        <v>0</v>
      </c>
      <c r="BZ888">
        <f>'Bookings and Drivers'!CH354</f>
        <v>0</v>
      </c>
      <c r="CA888">
        <f>'Bookings and Drivers'!CI354</f>
        <v>0</v>
      </c>
      <c r="CB888">
        <f>'Bookings and Drivers'!CJ354</f>
        <v>0</v>
      </c>
      <c r="CC888">
        <f>'Bookings and Drivers'!CK354</f>
        <v>0</v>
      </c>
      <c r="CD888">
        <f>'Bookings and Drivers'!CL354</f>
        <v>0</v>
      </c>
      <c r="CE888">
        <f>'Bookings and Drivers'!CM354</f>
        <v>0.28075601374570436</v>
      </c>
      <c r="CF888">
        <f>'Bookings and Drivers'!CN354</f>
        <v>0.15656023611483771</v>
      </c>
      <c r="CG888">
        <f>'Bookings and Drivers'!CO354</f>
        <v>6.6117619765688751E-3</v>
      </c>
      <c r="CH888">
        <f>'Bookings and Drivers'!CP354</f>
        <v>0.13894906660520845</v>
      </c>
      <c r="CI888">
        <f>'Bookings and Drivers'!CQ354</f>
        <v>0.70413538652475083</v>
      </c>
      <c r="CJ888">
        <f>'Bookings and Drivers'!CR354</f>
        <v>0.46012269938650308</v>
      </c>
      <c r="CK888">
        <f>'Bookings and Drivers'!CS354</f>
        <v>0.3487394957983192</v>
      </c>
      <c r="CL888">
        <f>'Bookings and Drivers'!CT354</f>
        <v>0.36760124610591927</v>
      </c>
      <c r="CM888">
        <f>'Bookings and Drivers'!CU354</f>
        <v>0.17995444191343957</v>
      </c>
      <c r="CN888">
        <f>'Bookings and Drivers'!CV354</f>
        <v>0.15830115830115843</v>
      </c>
      <c r="CO888">
        <f>'Bookings and Drivers'!CW354</f>
        <v>0.11166666666666636</v>
      </c>
      <c r="CP888">
        <f>'Bookings and Drivers'!CX354</f>
        <v>9.4452773613193486E-2</v>
      </c>
      <c r="CQ888">
        <f>'Bookings and Drivers'!CY354</f>
        <v>6.0034246575342509E-2</v>
      </c>
      <c r="CR888">
        <f>'Bookings and Drivers'!CZ354</f>
        <v>5.00342465753425E-2</v>
      </c>
      <c r="CS888">
        <f>'Bookings and Drivers'!DA354</f>
        <v>4.0034246575342491E-2</v>
      </c>
      <c r="CT888">
        <f>'Bookings and Drivers'!DB354</f>
        <v>3.0034246575342483E-2</v>
      </c>
      <c r="CU888">
        <f>'Bookings and Drivers'!DC354</f>
        <v>3.0034246575342483E-2</v>
      </c>
      <c r="CV888">
        <f>'Bookings and Drivers'!DD354</f>
        <v>3.0034246575342705E-2</v>
      </c>
      <c r="CW888">
        <f>'Bookings and Drivers'!DE354</f>
        <v>3.0034246575342705E-2</v>
      </c>
      <c r="CX888">
        <f>'Bookings and Drivers'!DF354</f>
        <v>3.0034246575342483E-2</v>
      </c>
    </row>
    <row r="889" spans="1:102">
      <c r="A889">
        <f>'Bookings and Drivers'!I355</f>
        <v>0</v>
      </c>
      <c r="B889">
        <f>'Bookings and Drivers'!J355</f>
        <v>0</v>
      </c>
      <c r="C889">
        <f>'Bookings and Drivers'!K355</f>
        <v>0</v>
      </c>
      <c r="D889">
        <f>'Bookings and Drivers'!L355</f>
        <v>0</v>
      </c>
      <c r="E889">
        <f>'Bookings and Drivers'!M355</f>
        <v>0</v>
      </c>
      <c r="F889">
        <f>'Bookings and Drivers'!N355</f>
        <v>0</v>
      </c>
      <c r="G889">
        <f>'Bookings and Drivers'!O355</f>
        <v>0</v>
      </c>
      <c r="H889">
        <f>'Bookings and Drivers'!P355</f>
        <v>0</v>
      </c>
      <c r="I889">
        <f>'Bookings and Drivers'!Q355</f>
        <v>0</v>
      </c>
      <c r="J889">
        <f>'Bookings and Drivers'!R355</f>
        <v>0</v>
      </c>
      <c r="K889">
        <f>'Bookings and Drivers'!S355</f>
        <v>0</v>
      </c>
      <c r="L889">
        <f>'Bookings and Drivers'!T355</f>
        <v>0</v>
      </c>
      <c r="M889">
        <f>'Bookings and Drivers'!U355</f>
        <v>0</v>
      </c>
      <c r="N889">
        <f>'Bookings and Drivers'!V355</f>
        <v>0</v>
      </c>
      <c r="O889">
        <f>'Bookings and Drivers'!W355</f>
        <v>0</v>
      </c>
      <c r="P889">
        <f>'Bookings and Drivers'!X355</f>
        <v>0</v>
      </c>
      <c r="Q889">
        <f>'Bookings and Drivers'!Y355</f>
        <v>0</v>
      </c>
      <c r="R889">
        <f>'Bookings and Drivers'!Z355</f>
        <v>0</v>
      </c>
      <c r="S889">
        <f>'Bookings and Drivers'!AA355</f>
        <v>0</v>
      </c>
      <c r="T889">
        <f>'Bookings and Drivers'!AB355</f>
        <v>0</v>
      </c>
      <c r="U889">
        <f>'Bookings and Drivers'!AC355</f>
        <v>0</v>
      </c>
      <c r="V889">
        <f>'Bookings and Drivers'!AD355</f>
        <v>0</v>
      </c>
      <c r="W889">
        <f>'Bookings and Drivers'!AE355</f>
        <v>0</v>
      </c>
      <c r="X889">
        <f>'Bookings and Drivers'!AF355</f>
        <v>0</v>
      </c>
      <c r="Y889">
        <f>'Bookings and Drivers'!AG355</f>
        <v>0</v>
      </c>
      <c r="Z889">
        <f>'Bookings and Drivers'!AH355</f>
        <v>0</v>
      </c>
      <c r="AA889">
        <f>'Bookings and Drivers'!AI355</f>
        <v>0</v>
      </c>
      <c r="AB889">
        <f>'Bookings and Drivers'!AJ355</f>
        <v>0</v>
      </c>
      <c r="AC889">
        <f>'Bookings and Drivers'!AK355</f>
        <v>0</v>
      </c>
      <c r="AD889">
        <f>'Bookings and Drivers'!AL355</f>
        <v>0</v>
      </c>
      <c r="AE889">
        <f>'Bookings and Drivers'!AM355</f>
        <v>0</v>
      </c>
      <c r="AF889">
        <f>'Bookings and Drivers'!AN355</f>
        <v>0</v>
      </c>
      <c r="AG889">
        <f>'Bookings and Drivers'!AO355</f>
        <v>0</v>
      </c>
      <c r="AH889">
        <f>'Bookings and Drivers'!AP355</f>
        <v>0</v>
      </c>
      <c r="AI889">
        <f>'Bookings and Drivers'!AQ355</f>
        <v>0</v>
      </c>
      <c r="AJ889">
        <f>'Bookings and Drivers'!AR355</f>
        <v>0</v>
      </c>
      <c r="AK889">
        <f>'Bookings and Drivers'!AS355</f>
        <v>0</v>
      </c>
      <c r="AL889">
        <f>'Bookings and Drivers'!AT355</f>
        <v>0</v>
      </c>
      <c r="AM889">
        <f>'Bookings and Drivers'!AU355</f>
        <v>0</v>
      </c>
      <c r="AN889">
        <f>'Bookings and Drivers'!AV355</f>
        <v>0</v>
      </c>
      <c r="AO889">
        <f>'Bookings and Drivers'!AW355</f>
        <v>0</v>
      </c>
      <c r="AP889">
        <f>'Bookings and Drivers'!AX355</f>
        <v>0</v>
      </c>
      <c r="AQ889">
        <f>'Bookings and Drivers'!AY355</f>
        <v>0</v>
      </c>
      <c r="AR889">
        <f>'Bookings and Drivers'!AZ355</f>
        <v>0</v>
      </c>
      <c r="AS889">
        <f>'Bookings and Drivers'!BA355</f>
        <v>0</v>
      </c>
      <c r="AT889">
        <f>'Bookings and Drivers'!BB355</f>
        <v>0</v>
      </c>
      <c r="AU889">
        <f>'Bookings and Drivers'!BC355</f>
        <v>0</v>
      </c>
      <c r="AV889">
        <f>'Bookings and Drivers'!BD355</f>
        <v>0</v>
      </c>
      <c r="AW889">
        <f>'Bookings and Drivers'!BE355</f>
        <v>0</v>
      </c>
      <c r="AX889">
        <f>'Bookings and Drivers'!BF355</f>
        <v>0</v>
      </c>
      <c r="AY889">
        <f>'Bookings and Drivers'!BG355</f>
        <v>0</v>
      </c>
      <c r="AZ889">
        <f>'Bookings and Drivers'!BH355</f>
        <v>0</v>
      </c>
      <c r="BA889">
        <f>'Bookings and Drivers'!BI355</f>
        <v>0</v>
      </c>
      <c r="BB889">
        <f>'Bookings and Drivers'!BJ355</f>
        <v>0</v>
      </c>
      <c r="BC889">
        <f>'Bookings and Drivers'!BK355</f>
        <v>0</v>
      </c>
      <c r="BD889">
        <f>'Bookings and Drivers'!BL355</f>
        <v>0</v>
      </c>
      <c r="BE889">
        <f>'Bookings and Drivers'!BM355</f>
        <v>0</v>
      </c>
      <c r="BF889">
        <f>'Bookings and Drivers'!BN355</f>
        <v>0</v>
      </c>
      <c r="BG889">
        <f>'Bookings and Drivers'!BO355</f>
        <v>0</v>
      </c>
      <c r="BH889">
        <f>'Bookings and Drivers'!BP355</f>
        <v>0</v>
      </c>
      <c r="BI889">
        <f>'Bookings and Drivers'!BQ355</f>
        <v>0</v>
      </c>
      <c r="BJ889">
        <f>'Bookings and Drivers'!BR355</f>
        <v>0</v>
      </c>
      <c r="BK889">
        <f>'Bookings and Drivers'!BS355</f>
        <v>0</v>
      </c>
      <c r="BL889">
        <f>'Bookings and Drivers'!BT355</f>
        <v>0</v>
      </c>
      <c r="BM889">
        <f>'Bookings and Drivers'!BU355</f>
        <v>0</v>
      </c>
      <c r="BN889">
        <f>'Bookings and Drivers'!BV355</f>
        <v>0</v>
      </c>
      <c r="BO889">
        <f>'Bookings and Drivers'!BW355</f>
        <v>0</v>
      </c>
      <c r="BP889">
        <f>'Bookings and Drivers'!BX355</f>
        <v>0</v>
      </c>
      <c r="BQ889">
        <f>'Bookings and Drivers'!BY355</f>
        <v>0</v>
      </c>
      <c r="BR889">
        <f>'Bookings and Drivers'!BZ355</f>
        <v>0</v>
      </c>
      <c r="BS889">
        <f>'Bookings and Drivers'!CA355</f>
        <v>0</v>
      </c>
      <c r="BT889">
        <f>'Bookings and Drivers'!CB355</f>
        <v>0</v>
      </c>
      <c r="BU889">
        <f>'Bookings and Drivers'!CC355</f>
        <v>0</v>
      </c>
      <c r="BV889">
        <f>'Bookings and Drivers'!CD355</f>
        <v>0</v>
      </c>
      <c r="BW889">
        <f>'Bookings and Drivers'!CE355</f>
        <v>0</v>
      </c>
      <c r="BX889">
        <f>'Bookings and Drivers'!CF355</f>
        <v>0</v>
      </c>
      <c r="BY889">
        <f>'Bookings and Drivers'!CG355</f>
        <v>0</v>
      </c>
      <c r="BZ889">
        <f>'Bookings and Drivers'!CH355</f>
        <v>0</v>
      </c>
      <c r="CA889">
        <f>'Bookings and Drivers'!CI355</f>
        <v>0</v>
      </c>
      <c r="CB889">
        <f>'Bookings and Drivers'!CJ355</f>
        <v>0</v>
      </c>
      <c r="CC889">
        <f>'Bookings and Drivers'!CK355</f>
        <v>0</v>
      </c>
      <c r="CD889">
        <f>'Bookings and Drivers'!CL355</f>
        <v>0</v>
      </c>
      <c r="CE889">
        <f>'Bookings and Drivers'!CM355</f>
        <v>0</v>
      </c>
      <c r="CF889">
        <f>'Bookings and Drivers'!CN355</f>
        <v>0</v>
      </c>
      <c r="CG889">
        <f>'Bookings and Drivers'!CO355</f>
        <v>0</v>
      </c>
      <c r="CH889">
        <f>'Bookings and Drivers'!CP355</f>
        <v>0</v>
      </c>
      <c r="CI889">
        <f>'Bookings and Drivers'!CQ355</f>
        <v>0</v>
      </c>
      <c r="CJ889">
        <f>'Bookings and Drivers'!CR355</f>
        <v>0</v>
      </c>
      <c r="CK889">
        <f>'Bookings and Drivers'!CS355</f>
        <v>0</v>
      </c>
      <c r="CL889">
        <f>'Bookings and Drivers'!CT355</f>
        <v>0</v>
      </c>
      <c r="CM889">
        <f>'Bookings and Drivers'!CU355</f>
        <v>0</v>
      </c>
      <c r="CN889">
        <f>'Bookings and Drivers'!CV355</f>
        <v>0</v>
      </c>
      <c r="CO889">
        <f>'Bookings and Drivers'!CW355</f>
        <v>0</v>
      </c>
      <c r="CP889">
        <f>'Bookings and Drivers'!CX355</f>
        <v>0</v>
      </c>
      <c r="CQ889">
        <f>'Bookings and Drivers'!CY355</f>
        <v>0</v>
      </c>
      <c r="CR889">
        <f>'Bookings and Drivers'!CZ355</f>
        <v>0</v>
      </c>
      <c r="CS889">
        <f>'Bookings and Drivers'!DA355</f>
        <v>0</v>
      </c>
      <c r="CT889">
        <f>'Bookings and Drivers'!DB355</f>
        <v>0</v>
      </c>
      <c r="CU889">
        <f>'Bookings and Drivers'!DC355</f>
        <v>0</v>
      </c>
      <c r="CV889">
        <f>'Bookings and Drivers'!DD355</f>
        <v>0</v>
      </c>
      <c r="CW889">
        <f>'Bookings and Drivers'!DE355</f>
        <v>0</v>
      </c>
      <c r="CX889">
        <f>'Bookings and Drivers'!DF355</f>
        <v>0</v>
      </c>
    </row>
    <row r="890" spans="1:102">
      <c r="A890" t="str">
        <f>'Bookings and Drivers'!I356</f>
        <v>Rentalcars.com (International Merchant)</v>
      </c>
      <c r="B890">
        <f>'Bookings and Drivers'!J356</f>
        <v>0</v>
      </c>
      <c r="C890">
        <f>'Bookings and Drivers'!K356</f>
        <v>0</v>
      </c>
      <c r="D890">
        <f>'Bookings and Drivers'!L356</f>
        <v>0</v>
      </c>
      <c r="E890">
        <f>'Bookings and Drivers'!M356</f>
        <v>0</v>
      </c>
      <c r="F890">
        <f>'Bookings and Drivers'!N356</f>
        <v>0</v>
      </c>
      <c r="G890">
        <f>'Bookings and Drivers'!O356</f>
        <v>0</v>
      </c>
      <c r="H890">
        <f>'Bookings and Drivers'!P356</f>
        <v>0</v>
      </c>
      <c r="I890">
        <f>'Bookings and Drivers'!Q356</f>
        <v>0</v>
      </c>
      <c r="J890">
        <f>'Bookings and Drivers'!R356</f>
        <v>0</v>
      </c>
      <c r="K890">
        <f>'Bookings and Drivers'!S356</f>
        <v>0</v>
      </c>
      <c r="L890">
        <f>'Bookings and Drivers'!T356</f>
        <v>0</v>
      </c>
      <c r="M890">
        <f>'Bookings and Drivers'!U356</f>
        <v>0</v>
      </c>
      <c r="N890">
        <f>'Bookings and Drivers'!V356</f>
        <v>0</v>
      </c>
      <c r="O890">
        <f>'Bookings and Drivers'!W356</f>
        <v>0</v>
      </c>
      <c r="P890">
        <f>'Bookings and Drivers'!X356</f>
        <v>0</v>
      </c>
      <c r="Q890">
        <f>'Bookings and Drivers'!Y356</f>
        <v>0</v>
      </c>
      <c r="R890">
        <f>'Bookings and Drivers'!Z356</f>
        <v>0</v>
      </c>
      <c r="S890">
        <f>'Bookings and Drivers'!AA356</f>
        <v>0</v>
      </c>
      <c r="T890">
        <f>'Bookings and Drivers'!AB356</f>
        <v>0</v>
      </c>
      <c r="U890">
        <f>'Bookings and Drivers'!AC356</f>
        <v>0</v>
      </c>
      <c r="V890">
        <f>'Bookings and Drivers'!AD356</f>
        <v>0</v>
      </c>
      <c r="W890">
        <f>'Bookings and Drivers'!AE356</f>
        <v>0</v>
      </c>
      <c r="X890">
        <f>'Bookings and Drivers'!AF356</f>
        <v>0</v>
      </c>
      <c r="Y890">
        <f>'Bookings and Drivers'!AG356</f>
        <v>0</v>
      </c>
      <c r="Z890">
        <f>'Bookings and Drivers'!AH356</f>
        <v>0</v>
      </c>
      <c r="AA890">
        <f>'Bookings and Drivers'!AI356</f>
        <v>0</v>
      </c>
      <c r="AB890">
        <f>'Bookings and Drivers'!AJ356</f>
        <v>0</v>
      </c>
      <c r="AC890">
        <f>'Bookings and Drivers'!AK356</f>
        <v>0</v>
      </c>
      <c r="AD890">
        <f>'Bookings and Drivers'!AL356</f>
        <v>0</v>
      </c>
      <c r="AE890">
        <f>'Bookings and Drivers'!AM356</f>
        <v>0</v>
      </c>
      <c r="AF890">
        <f>'Bookings and Drivers'!AN356</f>
        <v>0</v>
      </c>
      <c r="AG890">
        <f>'Bookings and Drivers'!AO356</f>
        <v>0</v>
      </c>
      <c r="AH890">
        <f>'Bookings and Drivers'!AP356</f>
        <v>0</v>
      </c>
      <c r="AI890">
        <f>'Bookings and Drivers'!AQ356</f>
        <v>0</v>
      </c>
      <c r="AJ890">
        <f>'Bookings and Drivers'!AR356</f>
        <v>0</v>
      </c>
      <c r="AK890">
        <f>'Bookings and Drivers'!AS356</f>
        <v>0</v>
      </c>
      <c r="AL890">
        <f>'Bookings and Drivers'!AT356</f>
        <v>0</v>
      </c>
      <c r="AM890">
        <f>'Bookings and Drivers'!AU356</f>
        <v>0</v>
      </c>
      <c r="AN890">
        <f>'Bookings and Drivers'!AV356</f>
        <v>0</v>
      </c>
      <c r="AO890">
        <f>'Bookings and Drivers'!AW356</f>
        <v>0</v>
      </c>
      <c r="AP890">
        <f>'Bookings and Drivers'!AX356</f>
        <v>43.9</v>
      </c>
      <c r="AQ890">
        <f>'Bookings and Drivers'!AY356</f>
        <v>85.8</v>
      </c>
      <c r="AR890">
        <f>'Bookings and Drivers'!AZ356</f>
        <v>55</v>
      </c>
      <c r="AS890">
        <f>'Bookings and Drivers'!BA356</f>
        <v>95.7</v>
      </c>
      <c r="AT890">
        <f>'Bookings and Drivers'!BB356</f>
        <v>100</v>
      </c>
      <c r="AU890">
        <f>'Bookings and Drivers'!BC356</f>
        <v>180.18</v>
      </c>
      <c r="AV890">
        <f>'Bookings and Drivers'!BD356</f>
        <v>115.5</v>
      </c>
      <c r="AW890">
        <f>'Bookings and Drivers'!BE356</f>
        <v>162.69</v>
      </c>
      <c r="AX890">
        <f>'Bookings and Drivers'!BF356</f>
        <v>160</v>
      </c>
      <c r="AY890">
        <f>'Bookings and Drivers'!BG356</f>
        <v>288.28800000000001</v>
      </c>
      <c r="AZ890">
        <f>'Bookings and Drivers'!BH356</f>
        <v>173.25</v>
      </c>
      <c r="BA890">
        <f>'Bookings and Drivers'!BI356</f>
        <v>227.76599999999999</v>
      </c>
      <c r="BB890">
        <f>'Bookings and Drivers'!BJ356</f>
        <v>224</v>
      </c>
      <c r="BC890">
        <f>'Bookings and Drivers'!BK356</f>
        <v>403.60320000000002</v>
      </c>
      <c r="BD890">
        <f>'Bookings and Drivers'!BL356</f>
        <v>225.22499999999999</v>
      </c>
      <c r="BE890">
        <f>'Bookings and Drivers'!BM356</f>
        <v>282.42984000000001</v>
      </c>
      <c r="BF890">
        <f>'Bookings and Drivers'!BN356</f>
        <v>268.8</v>
      </c>
      <c r="BG890">
        <f>'Bookings and Drivers'!BO356</f>
        <v>516.61209600000007</v>
      </c>
      <c r="BH890">
        <f>'Bookings and Drivers'!BP356</f>
        <v>270.27</v>
      </c>
      <c r="BI890">
        <f>'Bookings and Drivers'!BQ356</f>
        <v>338.91580800000003</v>
      </c>
      <c r="BJ890">
        <f>'Bookings and Drivers'!BR356</f>
        <v>322.56</v>
      </c>
      <c r="BK890">
        <f>'Bookings and Drivers'!BS356</f>
        <v>645.76512000000002</v>
      </c>
      <c r="BL890">
        <f>'Bookings and Drivers'!BT356</f>
        <v>310.81049999999993</v>
      </c>
      <c r="BM890">
        <f>'Bookings and Drivers'!BU356</f>
        <v>379.58570496000004</v>
      </c>
      <c r="BN890">
        <f>'Bookings and Drivers'!BV356</f>
        <v>361.26720000000006</v>
      </c>
      <c r="BO890">
        <f>'Bookings and Drivers'!BW356</f>
        <v>723.25693440000009</v>
      </c>
      <c r="BP890">
        <f>'Bookings and Drivers'!BX356</f>
        <v>348.10775999999998</v>
      </c>
      <c r="BQ890">
        <f>'Bookings and Drivers'!BY356</f>
        <v>417.54427545600009</v>
      </c>
      <c r="BR890">
        <f>'Bookings and Drivers'!BZ356</f>
        <v>397.39392000000009</v>
      </c>
      <c r="BS890">
        <f>'Bookings and Drivers'!CA356</f>
        <v>795.58262784000021</v>
      </c>
      <c r="BT890">
        <f>'Bookings and Drivers'!CB356</f>
        <v>382.91853600000002</v>
      </c>
      <c r="BU890">
        <f>'Bookings and Drivers'!CC356</f>
        <v>438.42148922880011</v>
      </c>
      <c r="BV890">
        <f>'Bookings and Drivers'!CD356</f>
        <v>417.26361600000013</v>
      </c>
      <c r="BW890">
        <f>'Bookings and Drivers'!CE356</f>
        <v>835.36175923200028</v>
      </c>
      <c r="BX890">
        <f>'Bookings and Drivers'!CF356</f>
        <v>402.06446280000006</v>
      </c>
      <c r="BY890">
        <f>'Bookings and Drivers'!CG356</f>
        <v>0</v>
      </c>
      <c r="BZ890">
        <f>'Bookings and Drivers'!CH356</f>
        <v>0</v>
      </c>
      <c r="CA890">
        <f>'Bookings and Drivers'!CI356</f>
        <v>0</v>
      </c>
      <c r="CB890">
        <f>'Bookings and Drivers'!CJ356</f>
        <v>0</v>
      </c>
      <c r="CC890">
        <f>'Bookings and Drivers'!CK356</f>
        <v>0</v>
      </c>
      <c r="CD890">
        <f>'Bookings and Drivers'!CL356</f>
        <v>0</v>
      </c>
      <c r="CE890">
        <f>'Bookings and Drivers'!CM356</f>
        <v>0</v>
      </c>
      <c r="CF890">
        <f>'Bookings and Drivers'!CN356</f>
        <v>0</v>
      </c>
      <c r="CG890">
        <f>'Bookings and Drivers'!CO356</f>
        <v>0</v>
      </c>
      <c r="CH890">
        <f>'Bookings and Drivers'!CP356</f>
        <v>0</v>
      </c>
      <c r="CI890">
        <f>'Bookings and Drivers'!CQ356</f>
        <v>184.7</v>
      </c>
      <c r="CJ890">
        <f>'Bookings and Drivers'!CR356</f>
        <v>491.38</v>
      </c>
      <c r="CK890">
        <f>'Bookings and Drivers'!CS356</f>
        <v>784.22800000000007</v>
      </c>
      <c r="CL890">
        <f>'Bookings and Drivers'!CT356</f>
        <v>1080.5942</v>
      </c>
      <c r="CM890">
        <f>'Bookings and Drivers'!CU356</f>
        <v>1338.111936</v>
      </c>
      <c r="CN890">
        <f>'Bookings and Drivers'!CV356</f>
        <v>1618.0514280000002</v>
      </c>
      <c r="CO890">
        <f>'Bookings and Drivers'!CW356</f>
        <v>1812.2175993600003</v>
      </c>
      <c r="CP890">
        <f>'Bookings and Drivers'!CX356</f>
        <v>1993.4393592960005</v>
      </c>
      <c r="CQ890">
        <f>'Bookings and Drivers'!CY356</f>
        <v>2093.1113272608004</v>
      </c>
      <c r="CR890">
        <f>'Bookings and Drivers'!CZ356</f>
        <v>2176.8357803512326</v>
      </c>
      <c r="CS890">
        <f>'Bookings and Drivers'!DA356</f>
        <v>2242.1408537617699</v>
      </c>
      <c r="CT890">
        <f>'Bookings and Drivers'!DB356</f>
        <v>2286.9836708370053</v>
      </c>
      <c r="CU890">
        <f>'Bookings and Drivers'!DC356</f>
        <v>2309.8535075453756</v>
      </c>
      <c r="CV890">
        <f>'Bookings and Drivers'!DD356</f>
        <v>2309.8535075453756</v>
      </c>
      <c r="CW890">
        <f>'Bookings and Drivers'!DE356</f>
        <v>2286.754972469922</v>
      </c>
      <c r="CX890">
        <f>'Bookings and Drivers'!DF356</f>
        <v>2263.8874227452229</v>
      </c>
    </row>
    <row r="891" spans="1:102">
      <c r="A891" t="str">
        <f>'Bookings and Drivers'!I357</f>
        <v>% change Y/Y</v>
      </c>
      <c r="B891">
        <f>'Bookings and Drivers'!J357</f>
        <v>0</v>
      </c>
      <c r="C891">
        <f>'Bookings and Drivers'!K357</f>
        <v>0</v>
      </c>
      <c r="D891">
        <f>'Bookings and Drivers'!L357</f>
        <v>0</v>
      </c>
      <c r="E891">
        <f>'Bookings and Drivers'!M357</f>
        <v>0</v>
      </c>
      <c r="F891">
        <f>'Bookings and Drivers'!N357</f>
        <v>0</v>
      </c>
      <c r="G891">
        <f>'Bookings and Drivers'!O357</f>
        <v>0</v>
      </c>
      <c r="H891">
        <f>'Bookings and Drivers'!P357</f>
        <v>0</v>
      </c>
      <c r="I891">
        <f>'Bookings and Drivers'!Q357</f>
        <v>0</v>
      </c>
      <c r="J891">
        <f>'Bookings and Drivers'!R357</f>
        <v>0</v>
      </c>
      <c r="K891">
        <f>'Bookings and Drivers'!S357</f>
        <v>0</v>
      </c>
      <c r="L891">
        <f>'Bookings and Drivers'!T357</f>
        <v>0</v>
      </c>
      <c r="M891">
        <f>'Bookings and Drivers'!U357</f>
        <v>0</v>
      </c>
      <c r="N891">
        <f>'Bookings and Drivers'!V357</f>
        <v>0</v>
      </c>
      <c r="O891">
        <f>'Bookings and Drivers'!W357</f>
        <v>0</v>
      </c>
      <c r="P891">
        <f>'Bookings and Drivers'!X357</f>
        <v>0</v>
      </c>
      <c r="Q891">
        <f>'Bookings and Drivers'!Y357</f>
        <v>0</v>
      </c>
      <c r="R891">
        <f>'Bookings and Drivers'!Z357</f>
        <v>0</v>
      </c>
      <c r="S891">
        <f>'Bookings and Drivers'!AA357</f>
        <v>0</v>
      </c>
      <c r="T891">
        <f>'Bookings and Drivers'!AB357</f>
        <v>0</v>
      </c>
      <c r="U891">
        <f>'Bookings and Drivers'!AC357</f>
        <v>0</v>
      </c>
      <c r="V891">
        <f>'Bookings and Drivers'!AD357</f>
        <v>0</v>
      </c>
      <c r="W891">
        <f>'Bookings and Drivers'!AE357</f>
        <v>0</v>
      </c>
      <c r="X891">
        <f>'Bookings and Drivers'!AF357</f>
        <v>0</v>
      </c>
      <c r="Y891">
        <f>'Bookings and Drivers'!AG357</f>
        <v>0</v>
      </c>
      <c r="Z891">
        <f>'Bookings and Drivers'!AH357</f>
        <v>0</v>
      </c>
      <c r="AA891">
        <f>'Bookings and Drivers'!AI357</f>
        <v>0</v>
      </c>
      <c r="AB891">
        <f>'Bookings and Drivers'!AJ357</f>
        <v>0</v>
      </c>
      <c r="AC891">
        <f>'Bookings and Drivers'!AK357</f>
        <v>0</v>
      </c>
      <c r="AD891">
        <f>'Bookings and Drivers'!AL357</f>
        <v>0</v>
      </c>
      <c r="AE891">
        <f>'Bookings and Drivers'!AM357</f>
        <v>0</v>
      </c>
      <c r="AF891">
        <f>'Bookings and Drivers'!AN357</f>
        <v>0</v>
      </c>
      <c r="AG891">
        <f>'Bookings and Drivers'!AO357</f>
        <v>0</v>
      </c>
      <c r="AH891">
        <f>'Bookings and Drivers'!AP357</f>
        <v>0</v>
      </c>
      <c r="AI891">
        <f>'Bookings and Drivers'!AQ357</f>
        <v>0</v>
      </c>
      <c r="AJ891">
        <f>'Bookings and Drivers'!AR357</f>
        <v>0</v>
      </c>
      <c r="AK891">
        <f>'Bookings and Drivers'!AS357</f>
        <v>0</v>
      </c>
      <c r="AL891">
        <f>'Bookings and Drivers'!AT357</f>
        <v>0</v>
      </c>
      <c r="AM891">
        <f>'Bookings and Drivers'!AU357</f>
        <v>0</v>
      </c>
      <c r="AN891">
        <f>'Bookings and Drivers'!AV357</f>
        <v>0</v>
      </c>
      <c r="AO891">
        <f>'Bookings and Drivers'!AW357</f>
        <v>0</v>
      </c>
      <c r="AP891">
        <f>'Bookings and Drivers'!AX357</f>
        <v>0</v>
      </c>
      <c r="AQ891">
        <f>'Bookings and Drivers'!AY357</f>
        <v>0</v>
      </c>
      <c r="AR891">
        <f>'Bookings and Drivers'!AZ357</f>
        <v>0</v>
      </c>
      <c r="AS891">
        <f>'Bookings and Drivers'!BA357</f>
        <v>0</v>
      </c>
      <c r="AT891">
        <f>'Bookings and Drivers'!BB357</f>
        <v>1.2779043280182232</v>
      </c>
      <c r="AU891">
        <f>'Bookings and Drivers'!BC357</f>
        <v>1.1000000000000001</v>
      </c>
      <c r="AV891">
        <f>'Bookings and Drivers'!BD357</f>
        <v>1.1000000000000001</v>
      </c>
      <c r="AW891">
        <f>'Bookings and Drivers'!BE357</f>
        <v>0.7</v>
      </c>
      <c r="AX891">
        <f>'Bookings and Drivers'!BF357</f>
        <v>0.60000000000000009</v>
      </c>
      <c r="AY891">
        <f>'Bookings and Drivers'!BG357</f>
        <v>0.60000000000000009</v>
      </c>
      <c r="AZ891">
        <f>'Bookings and Drivers'!BH357</f>
        <v>0.5</v>
      </c>
      <c r="BA891">
        <f>'Bookings and Drivers'!BI357</f>
        <v>0.39999999999999991</v>
      </c>
      <c r="BB891">
        <f>'Bookings and Drivers'!BJ357</f>
        <v>0.39999999999999991</v>
      </c>
      <c r="BC891">
        <f>'Bookings and Drivers'!BK357</f>
        <v>0.39999999999999991</v>
      </c>
      <c r="BD891">
        <f>'Bookings and Drivers'!BL357</f>
        <v>0.30000000000000004</v>
      </c>
      <c r="BE891">
        <f>'Bookings and Drivers'!BM357</f>
        <v>0.24000000000000021</v>
      </c>
      <c r="BF891">
        <f>'Bookings and Drivers'!BN357</f>
        <v>0.19999999999999996</v>
      </c>
      <c r="BG891">
        <f>'Bookings and Drivers'!BO357</f>
        <v>0.28000000000000003</v>
      </c>
      <c r="BH891">
        <f>'Bookings and Drivers'!BP357</f>
        <v>0.19999999999999996</v>
      </c>
      <c r="BI891">
        <f>'Bookings and Drivers'!BQ357</f>
        <v>0.19999999999999996</v>
      </c>
      <c r="BJ891">
        <f>'Bookings and Drivers'!BR357</f>
        <v>0.19999999999999996</v>
      </c>
      <c r="BK891">
        <f>'Bookings and Drivers'!BS357</f>
        <v>0.25</v>
      </c>
      <c r="BL891">
        <f>'Bookings and Drivers'!BT357</f>
        <v>0.14999999999999991</v>
      </c>
      <c r="BM891">
        <f>'Bookings and Drivers'!BU357</f>
        <v>0.12000000000000011</v>
      </c>
      <c r="BN891">
        <f>'Bookings and Drivers'!BV357</f>
        <v>0.12000000000000011</v>
      </c>
      <c r="BO891">
        <f>'Bookings and Drivers'!BW357</f>
        <v>0.12000000000000011</v>
      </c>
      <c r="BP891">
        <f>'Bookings and Drivers'!BX357</f>
        <v>0.12000000000000011</v>
      </c>
      <c r="BQ891">
        <f>'Bookings and Drivers'!BY357</f>
        <v>0.10000000000000009</v>
      </c>
      <c r="BR891">
        <f>'Bookings and Drivers'!BZ357</f>
        <v>0.10000000000000009</v>
      </c>
      <c r="BS891">
        <f>'Bookings and Drivers'!CA357</f>
        <v>0.10000000000000009</v>
      </c>
      <c r="BT891">
        <f>'Bookings and Drivers'!CB357</f>
        <v>0.10000000000000009</v>
      </c>
      <c r="BU891">
        <f>'Bookings and Drivers'!CC357</f>
        <v>5.0000000000000044E-2</v>
      </c>
      <c r="BV891">
        <f>'Bookings and Drivers'!CD357</f>
        <v>5.0000000000000044E-2</v>
      </c>
      <c r="BW891">
        <f>'Bookings and Drivers'!CE357</f>
        <v>5.0000000000000044E-2</v>
      </c>
      <c r="BX891">
        <f>'Bookings and Drivers'!CF357</f>
        <v>5.0000000000000044E-2</v>
      </c>
      <c r="BY891">
        <f>'Bookings and Drivers'!CG357</f>
        <v>0</v>
      </c>
      <c r="BZ891">
        <f>'Bookings and Drivers'!CH357</f>
        <v>0</v>
      </c>
      <c r="CA891">
        <f>'Bookings and Drivers'!CI357</f>
        <v>0</v>
      </c>
      <c r="CB891">
        <f>'Bookings and Drivers'!CJ357</f>
        <v>0</v>
      </c>
      <c r="CC891">
        <f>'Bookings and Drivers'!CK357</f>
        <v>0</v>
      </c>
      <c r="CD891">
        <f>'Bookings and Drivers'!CL357</f>
        <v>0</v>
      </c>
      <c r="CE891">
        <f>'Bookings and Drivers'!CM357</f>
        <v>0</v>
      </c>
      <c r="CF891">
        <f>'Bookings and Drivers'!CN357</f>
        <v>0</v>
      </c>
      <c r="CG891">
        <f>'Bookings and Drivers'!CO357</f>
        <v>0</v>
      </c>
      <c r="CH891">
        <f>'Bookings and Drivers'!CP357</f>
        <v>0</v>
      </c>
      <c r="CI891">
        <f>'Bookings and Drivers'!CQ357</f>
        <v>0</v>
      </c>
      <c r="CJ891">
        <f>'Bookings and Drivers'!CR357</f>
        <v>1.6604223064428805</v>
      </c>
      <c r="CK891">
        <f>'Bookings and Drivers'!CS357</f>
        <v>0.59597053197118344</v>
      </c>
      <c r="CL891">
        <f>'Bookings and Drivers'!CT357</f>
        <v>0.37790821036739297</v>
      </c>
      <c r="CM891">
        <f>'Bookings and Drivers'!CU357</f>
        <v>0.23831123283837718</v>
      </c>
      <c r="CN891">
        <f>'Bookings and Drivers'!CV357</f>
        <v>0.20920483889921759</v>
      </c>
      <c r="CO891">
        <f>'Bookings and Drivers'!CW357</f>
        <v>0.12000000000000011</v>
      </c>
      <c r="CP891">
        <f>'Bookings and Drivers'!CX357</f>
        <v>0.10000000000000009</v>
      </c>
      <c r="CQ891">
        <f>'Bookings and Drivers'!CY357</f>
        <v>5.0000000000000044E-2</v>
      </c>
      <c r="CR891">
        <f>'Bookings and Drivers'!CZ357</f>
        <v>4.0000000000000036E-2</v>
      </c>
      <c r="CS891">
        <f>'Bookings and Drivers'!DA357</f>
        <v>3.0000000000000027E-2</v>
      </c>
      <c r="CT891">
        <f>'Bookings and Drivers'!DB357</f>
        <v>2.0000000000000018E-2</v>
      </c>
      <c r="CU891">
        <f>'Bookings and Drivers'!DC357</f>
        <v>1.0000000000000009E-2</v>
      </c>
      <c r="CV891">
        <f>'Bookings and Drivers'!DD357</f>
        <v>0</v>
      </c>
      <c r="CW891">
        <f>'Bookings and Drivers'!DE357</f>
        <v>-9.9999999999998979E-3</v>
      </c>
      <c r="CX891">
        <f>'Bookings and Drivers'!DF357</f>
        <v>-9.9999999999998979E-3</v>
      </c>
    </row>
    <row r="892" spans="1:102">
      <c r="A892" t="str">
        <f>'Bookings and Drivers'!I359</f>
        <v>Domestic Rental Car Business</v>
      </c>
      <c r="B892">
        <f>'Bookings and Drivers'!J359</f>
        <v>0</v>
      </c>
      <c r="C892">
        <f>'Bookings and Drivers'!K359</f>
        <v>0</v>
      </c>
      <c r="D892">
        <f>'Bookings and Drivers'!L359</f>
        <v>0</v>
      </c>
      <c r="E892">
        <f>'Bookings and Drivers'!M359</f>
        <v>0</v>
      </c>
      <c r="F892">
        <f>'Bookings and Drivers'!N359</f>
        <v>0</v>
      </c>
      <c r="G892">
        <f>'Bookings and Drivers'!O359</f>
        <v>0</v>
      </c>
      <c r="H892">
        <f>'Bookings and Drivers'!P359</f>
        <v>0</v>
      </c>
      <c r="I892">
        <f>'Bookings and Drivers'!Q359</f>
        <v>0</v>
      </c>
      <c r="J892">
        <f>'Bookings and Drivers'!R359</f>
        <v>0</v>
      </c>
      <c r="K892">
        <f>'Bookings and Drivers'!S359</f>
        <v>0</v>
      </c>
      <c r="L892">
        <f>'Bookings and Drivers'!T359</f>
        <v>0</v>
      </c>
      <c r="M892">
        <f>'Bookings and Drivers'!U359</f>
        <v>0</v>
      </c>
      <c r="N892">
        <f>'Bookings and Drivers'!V359</f>
        <v>0</v>
      </c>
      <c r="O892">
        <f>'Bookings and Drivers'!W359</f>
        <v>0</v>
      </c>
      <c r="P892">
        <f>'Bookings and Drivers'!X359</f>
        <v>0</v>
      </c>
      <c r="Q892">
        <f>'Bookings and Drivers'!Y359</f>
        <v>0</v>
      </c>
      <c r="R892">
        <f>'Bookings and Drivers'!Z359</f>
        <v>0</v>
      </c>
      <c r="S892">
        <f>'Bookings and Drivers'!AA359</f>
        <v>0</v>
      </c>
      <c r="T892">
        <f>'Bookings and Drivers'!AB359</f>
        <v>0</v>
      </c>
      <c r="U892">
        <f>'Bookings and Drivers'!AC359</f>
        <v>0</v>
      </c>
      <c r="V892">
        <f>'Bookings and Drivers'!AD359</f>
        <v>0</v>
      </c>
      <c r="W892">
        <f>'Bookings and Drivers'!AE359</f>
        <v>0</v>
      </c>
      <c r="X892">
        <f>'Bookings and Drivers'!AF359</f>
        <v>0</v>
      </c>
      <c r="Y892">
        <f>'Bookings and Drivers'!AG359</f>
        <v>48.63</v>
      </c>
      <c r="Z892">
        <f>'Bookings and Drivers'!AH359</f>
        <v>60</v>
      </c>
      <c r="AA892">
        <f>'Bookings and Drivers'!AI359</f>
        <v>61.32</v>
      </c>
      <c r="AB892">
        <f>'Bookings and Drivers'!AJ359</f>
        <v>53.67</v>
      </c>
      <c r="AC892">
        <f>'Bookings and Drivers'!AK359</f>
        <v>60.09</v>
      </c>
      <c r="AD892">
        <f>'Bookings and Drivers'!AL359</f>
        <v>68.34</v>
      </c>
      <c r="AE892">
        <f>'Bookings and Drivers'!AM359</f>
        <v>70.14</v>
      </c>
      <c r="AF892">
        <f>'Bookings and Drivers'!AN359</f>
        <v>60.06</v>
      </c>
      <c r="AG892">
        <f>'Bookings and Drivers'!AO359</f>
        <v>39.18</v>
      </c>
      <c r="AH892">
        <f>'Bookings and Drivers'!AP359</f>
        <v>84.45</v>
      </c>
      <c r="AI892">
        <f>'Bookings and Drivers'!AQ359</f>
        <v>69.989999999999995</v>
      </c>
      <c r="AJ892">
        <f>'Bookings and Drivers'!AR359</f>
        <v>66.72</v>
      </c>
      <c r="AK892">
        <f>'Bookings and Drivers'!AS359</f>
        <v>45.21</v>
      </c>
      <c r="AL892">
        <f>'Bookings and Drivers'!AT359</f>
        <v>97.11</v>
      </c>
      <c r="AM892">
        <f>'Bookings and Drivers'!AU359</f>
        <v>80.724000000000004</v>
      </c>
      <c r="AN892">
        <f>'Bookings and Drivers'!AV359</f>
        <v>73.47</v>
      </c>
      <c r="AO892">
        <f>'Bookings and Drivers'!AW359</f>
        <v>92.566000000000003</v>
      </c>
      <c r="AP892">
        <f>'Bookings and Drivers'!AX359</f>
        <v>89.834000000000003</v>
      </c>
      <c r="AQ892">
        <f>'Bookings and Drivers'!AY359</f>
        <v>72.3</v>
      </c>
      <c r="AR892">
        <f>'Bookings and Drivers'!AZ359</f>
        <v>65.900000000000006</v>
      </c>
      <c r="AS892">
        <f>'Bookings and Drivers'!BA359</f>
        <v>56.2</v>
      </c>
      <c r="AT892">
        <f>'Bookings and Drivers'!BB359</f>
        <v>104.6</v>
      </c>
      <c r="AU892">
        <f>'Bookings and Drivers'!BC359</f>
        <v>36.819999999999993</v>
      </c>
      <c r="AV892">
        <f>'Bookings and Drivers'!BD359</f>
        <v>48.800000000000011</v>
      </c>
      <c r="AW892">
        <f>'Bookings and Drivers'!BE359</f>
        <v>51.210000000000008</v>
      </c>
      <c r="AX892">
        <f>'Bookings and Drivers'!BF359</f>
        <v>106.60000000000002</v>
      </c>
      <c r="AY892">
        <f>'Bookings and Drivers'!BG359</f>
        <v>3.1119999999999663</v>
      </c>
      <c r="AZ892">
        <f>'Bookings and Drivers'!BH359</f>
        <v>49.949999999999989</v>
      </c>
      <c r="BA892">
        <f>'Bookings and Drivers'!BI359</f>
        <v>79.133999999999986</v>
      </c>
      <c r="BB892">
        <f>'Bookings and Drivers'!BJ359</f>
        <v>163.5</v>
      </c>
      <c r="BC892">
        <f>'Bookings and Drivers'!BK359</f>
        <v>-31.603200000000015</v>
      </c>
      <c r="BD892">
        <f>'Bookings and Drivers'!BL359</f>
        <v>69.275000000000006</v>
      </c>
      <c r="BE892">
        <f>'Bookings and Drivers'!BM359</f>
        <v>98.870159999999998</v>
      </c>
      <c r="BF892">
        <f>'Bookings and Drivers'!BN359</f>
        <v>174.5</v>
      </c>
      <c r="BG892">
        <f>'Bookings and Drivers'!BO359</f>
        <v>-76.412096000000076</v>
      </c>
      <c r="BH892">
        <f>'Bookings and Drivers'!BP359</f>
        <v>70.730000000000018</v>
      </c>
      <c r="BI892">
        <f>'Bookings and Drivers'!BQ359</f>
        <v>113.684192</v>
      </c>
      <c r="BJ892">
        <f>'Bookings and Drivers'!BR359</f>
        <v>210.64000000000004</v>
      </c>
      <c r="BK892">
        <f>'Bookings and Drivers'!BS359</f>
        <v>-149.76512000000002</v>
      </c>
      <c r="BL892">
        <f>'Bookings and Drivers'!BT359</f>
        <v>67.389500000000055</v>
      </c>
      <c r="BM892">
        <f>'Bookings and Drivers'!BU359</f>
        <v>122.61429503999994</v>
      </c>
      <c r="BN892">
        <f>'Bookings and Drivers'!BV359</f>
        <v>212.23279999999994</v>
      </c>
      <c r="BO892">
        <f>'Bookings and Drivers'!BW359</f>
        <v>-165.25693440000009</v>
      </c>
      <c r="BP892">
        <f>'Bookings and Drivers'!BX359</f>
        <v>85.892240000000015</v>
      </c>
      <c r="BQ892">
        <f>'Bookings and Drivers'!BY359</f>
        <v>159.05572454399993</v>
      </c>
      <c r="BR892">
        <f>'Bookings and Drivers'!BZ359</f>
        <v>244.30607999999995</v>
      </c>
      <c r="BS892">
        <f>'Bookings and Drivers'!CA359</f>
        <v>-206.58262784000021</v>
      </c>
      <c r="BT892">
        <f>'Bookings and Drivers'!CB359</f>
        <v>72.781463999999971</v>
      </c>
      <c r="BU892">
        <f>'Bookings and Drivers'!CC359</f>
        <v>158.35951077119984</v>
      </c>
      <c r="BV892">
        <f>'Bookings and Drivers'!CD359</f>
        <v>253.31288399999988</v>
      </c>
      <c r="BW892">
        <f>'Bookings and Drivers'!CE359</f>
        <v>-205.13175923200026</v>
      </c>
      <c r="BX892">
        <f>'Bookings and Drivers'!CF359</f>
        <v>99.205537199999981</v>
      </c>
      <c r="BY892">
        <f>'Bookings and Drivers'!CG359</f>
        <v>0</v>
      </c>
      <c r="BZ892">
        <f>'Bookings and Drivers'!CH359</f>
        <v>0</v>
      </c>
      <c r="CA892">
        <f>'Bookings and Drivers'!CI359</f>
        <v>0</v>
      </c>
      <c r="CB892">
        <f>'Bookings and Drivers'!CJ359</f>
        <v>0</v>
      </c>
      <c r="CC892">
        <f>'Bookings and Drivers'!CK359</f>
        <v>0</v>
      </c>
      <c r="CD892">
        <f>'Bookings and Drivers'!CL359</f>
        <v>0</v>
      </c>
      <c r="CE892">
        <f>'Bookings and Drivers'!CM359</f>
        <v>223.62</v>
      </c>
      <c r="CF892">
        <f>'Bookings and Drivers'!CN359</f>
        <v>258.63</v>
      </c>
      <c r="CG892">
        <f>'Bookings and Drivers'!CO359</f>
        <v>260.34000000000003</v>
      </c>
      <c r="CH892">
        <f>'Bookings and Drivers'!CP359</f>
        <v>296.51400000000001</v>
      </c>
      <c r="CI892">
        <f>'Bookings and Drivers'!CQ359</f>
        <v>320.59999999999997</v>
      </c>
      <c r="CJ892">
        <f>'Bookings and Drivers'!CR359</f>
        <v>246.41999999999996</v>
      </c>
      <c r="CK892">
        <f>'Bookings and Drivers'!CS359</f>
        <v>210.87199999999984</v>
      </c>
      <c r="CL892">
        <f>'Bookings and Drivers'!CT359</f>
        <v>280.30580000000009</v>
      </c>
      <c r="CM892">
        <f>'Bookings and Drivers'!CU359</f>
        <v>267.68806399999994</v>
      </c>
      <c r="CN892">
        <f>'Bookings and Drivers'!CV359</f>
        <v>241.94857200000001</v>
      </c>
      <c r="CO892">
        <f>'Bookings and Drivers'!CW359</f>
        <v>255.48240063999947</v>
      </c>
      <c r="CP892">
        <f>'Bookings and Drivers'!CX359</f>
        <v>269.56064070399952</v>
      </c>
      <c r="CQ892">
        <f>'Bookings and Drivers'!CY359</f>
        <v>305.74617273919966</v>
      </c>
      <c r="CR892">
        <f>'Bookings and Drivers'!CZ359</f>
        <v>342.04674730287707</v>
      </c>
      <c r="CS892">
        <f>'Bookings and Drivers'!DA359</f>
        <v>377.58323809876629</v>
      </c>
      <c r="CT892">
        <f>'Bookings and Drivers'!DB359</f>
        <v>411.42186035783516</v>
      </c>
      <c r="CU892">
        <f>'Bookings and Drivers'!DC359</f>
        <v>469.59660073363875</v>
      </c>
      <c r="CV892">
        <f>'Bookings and Drivers'!DD359</f>
        <v>553.07529062955336</v>
      </c>
      <c r="CW892">
        <f>'Bookings and Drivers'!DE359</f>
        <v>662.15973515704218</v>
      </c>
      <c r="CX892">
        <f>'Bookings and Drivers'!DF359</f>
        <v>773.59571634026315</v>
      </c>
    </row>
    <row r="893" spans="1:102">
      <c r="A893" t="str">
        <f>'Bookings and Drivers'!I360</f>
        <v>% change Y/Y</v>
      </c>
      <c r="B893">
        <f>'Bookings and Drivers'!J360</f>
        <v>0</v>
      </c>
      <c r="C893">
        <f>'Bookings and Drivers'!K360</f>
        <v>0</v>
      </c>
      <c r="D893">
        <f>'Bookings and Drivers'!L360</f>
        <v>0</v>
      </c>
      <c r="E893">
        <f>'Bookings and Drivers'!M360</f>
        <v>0</v>
      </c>
      <c r="F893">
        <f>'Bookings and Drivers'!N360</f>
        <v>0</v>
      </c>
      <c r="G893">
        <f>'Bookings and Drivers'!O360</f>
        <v>0</v>
      </c>
      <c r="H893">
        <f>'Bookings and Drivers'!P360</f>
        <v>0</v>
      </c>
      <c r="I893">
        <f>'Bookings and Drivers'!Q360</f>
        <v>0</v>
      </c>
      <c r="J893">
        <f>'Bookings and Drivers'!R360</f>
        <v>0</v>
      </c>
      <c r="K893">
        <f>'Bookings and Drivers'!S360</f>
        <v>0</v>
      </c>
      <c r="L893">
        <f>'Bookings and Drivers'!T360</f>
        <v>0</v>
      </c>
      <c r="M893">
        <f>'Bookings and Drivers'!U360</f>
        <v>0</v>
      </c>
      <c r="N893">
        <f>'Bookings and Drivers'!V360</f>
        <v>0</v>
      </c>
      <c r="O893">
        <f>'Bookings and Drivers'!W360</f>
        <v>0</v>
      </c>
      <c r="P893">
        <f>'Bookings and Drivers'!X360</f>
        <v>0</v>
      </c>
      <c r="Q893">
        <f>'Bookings and Drivers'!Y360</f>
        <v>0</v>
      </c>
      <c r="R893">
        <f>'Bookings and Drivers'!Z360</f>
        <v>0</v>
      </c>
      <c r="S893">
        <f>'Bookings and Drivers'!AA360</f>
        <v>0</v>
      </c>
      <c r="T893">
        <f>'Bookings and Drivers'!AB360</f>
        <v>0</v>
      </c>
      <c r="U893">
        <f>'Bookings and Drivers'!AC360</f>
        <v>0</v>
      </c>
      <c r="V893">
        <f>'Bookings and Drivers'!AD360</f>
        <v>0</v>
      </c>
      <c r="W893">
        <f>'Bookings and Drivers'!AE360</f>
        <v>0</v>
      </c>
      <c r="X893">
        <f>'Bookings and Drivers'!AF360</f>
        <v>0</v>
      </c>
      <c r="Y893">
        <f>'Bookings and Drivers'!AG360</f>
        <v>0</v>
      </c>
      <c r="Z893">
        <f>'Bookings and Drivers'!AH360</f>
        <v>0</v>
      </c>
      <c r="AA893">
        <f>'Bookings and Drivers'!AI360</f>
        <v>0</v>
      </c>
      <c r="AB893">
        <f>'Bookings and Drivers'!AJ360</f>
        <v>0</v>
      </c>
      <c r="AC893">
        <f>'Bookings and Drivers'!AK360</f>
        <v>0.23565700185070937</v>
      </c>
      <c r="AD893">
        <f>'Bookings and Drivers'!AL360</f>
        <v>0.13900000000000001</v>
      </c>
      <c r="AE893">
        <f>'Bookings and Drivers'!AM360</f>
        <v>0.14383561643835607</v>
      </c>
      <c r="AF893">
        <f>'Bookings and Drivers'!AN360</f>
        <v>0.11906092789267753</v>
      </c>
      <c r="AG893">
        <f>'Bookings and Drivers'!AO360</f>
        <v>-0.34797803295057417</v>
      </c>
      <c r="AH893">
        <f>'Bookings and Drivers'!AP360</f>
        <v>0.23573309920983321</v>
      </c>
      <c r="AI893">
        <f>'Bookings and Drivers'!AQ360</f>
        <v>-2.1385799828914642E-3</v>
      </c>
      <c r="AJ893">
        <f>'Bookings and Drivers'!AR360</f>
        <v>0.1108891108891108</v>
      </c>
      <c r="AK893">
        <f>'Bookings and Drivers'!AS360</f>
        <v>0.15390505359877493</v>
      </c>
      <c r="AL893">
        <f>'Bookings and Drivers'!AT360</f>
        <v>0.1499111900532859</v>
      </c>
      <c r="AM893">
        <f>'Bookings and Drivers'!AU360</f>
        <v>0.15336476639519936</v>
      </c>
      <c r="AN893">
        <f>'Bookings and Drivers'!AV360</f>
        <v>0.10116906474820153</v>
      </c>
      <c r="AO893">
        <f>'Bookings and Drivers'!AW360</f>
        <v>1.0474673744746736</v>
      </c>
      <c r="AP893">
        <f>'Bookings and Drivers'!AX360</f>
        <v>-7.4925342395221861E-2</v>
      </c>
      <c r="AQ893">
        <f>'Bookings and Drivers'!AY360</f>
        <v>-0.10435558198305339</v>
      </c>
      <c r="AR893">
        <f>'Bookings and Drivers'!AZ360</f>
        <v>-0.10303525248400702</v>
      </c>
      <c r="AS893">
        <f>'Bookings and Drivers'!BA360</f>
        <v>-0.39286563100922589</v>
      </c>
      <c r="AT893">
        <f>'Bookings and Drivers'!BB360</f>
        <v>0.16436983770064773</v>
      </c>
      <c r="AU893">
        <f>'Bookings and Drivers'!BC360</f>
        <v>-0.49073305670816048</v>
      </c>
      <c r="AV893">
        <f>'Bookings and Drivers'!BD360</f>
        <v>-0.25948406676782998</v>
      </c>
      <c r="AW893">
        <f>'Bookings and Drivers'!BE360</f>
        <v>-8.8790035587188565E-2</v>
      </c>
      <c r="AX893">
        <f>'Bookings and Drivers'!BF360</f>
        <v>1.9120458891013659E-2</v>
      </c>
      <c r="AY893">
        <f>'Bookings and Drivers'!BG360</f>
        <v>-0.91548071700163047</v>
      </c>
      <c r="AZ893">
        <f>'Bookings and Drivers'!BH360</f>
        <v>2.3565573770491399E-2</v>
      </c>
      <c r="BA893">
        <f>'Bookings and Drivers'!BI360</f>
        <v>0.54528412419449279</v>
      </c>
      <c r="BB893">
        <f>'Bookings and Drivers'!BJ360</f>
        <v>0.53377110694183827</v>
      </c>
      <c r="BC893">
        <f>'Bookings and Drivers'!BK360</f>
        <v>-11.155269922879292</v>
      </c>
      <c r="BD893">
        <f>'Bookings and Drivers'!BL360</f>
        <v>0.38688688688688733</v>
      </c>
      <c r="BE893">
        <f>'Bookings and Drivers'!BM360</f>
        <v>0.24940177420577769</v>
      </c>
      <c r="BF893">
        <f>'Bookings and Drivers'!BN360</f>
        <v>6.7278287461773667E-2</v>
      </c>
      <c r="BG893">
        <f>'Bookings and Drivers'!BO360</f>
        <v>1.4178594572701511</v>
      </c>
      <c r="BH893">
        <f>'Bookings and Drivers'!BP360</f>
        <v>2.100324792493713E-2</v>
      </c>
      <c r="BI893">
        <f>'Bookings and Drivers'!BQ360</f>
        <v>0.14983319537462059</v>
      </c>
      <c r="BJ893">
        <f>'Bookings and Drivers'!BR360</f>
        <v>0.20710601719197741</v>
      </c>
      <c r="BK893">
        <f>'Bookings and Drivers'!BS360</f>
        <v>0.95996612892283273</v>
      </c>
      <c r="BL893">
        <f>'Bookings and Drivers'!BT360</f>
        <v>-4.7228898628587035E-2</v>
      </c>
      <c r="BM893">
        <f>'Bookings and Drivers'!BU360</f>
        <v>7.8551845097337258E-2</v>
      </c>
      <c r="BN893">
        <f>'Bookings and Drivers'!BV360</f>
        <v>7.5617166729959884E-3</v>
      </c>
      <c r="BO893">
        <f>'Bookings and Drivers'!BW360</f>
        <v>0.10344073706881862</v>
      </c>
      <c r="BP893">
        <f>'Bookings and Drivers'!BX360</f>
        <v>0.27456413833015447</v>
      </c>
      <c r="BQ893">
        <f>'Bookings and Drivers'!BY360</f>
        <v>0.29720375990508985</v>
      </c>
      <c r="BR893">
        <f>'Bookings and Drivers'!BZ360</f>
        <v>0.1511231063247529</v>
      </c>
      <c r="BS893">
        <f>'Bookings and Drivers'!CA360</f>
        <v>0.25006934559231486</v>
      </c>
      <c r="BT893">
        <f>'Bookings and Drivers'!CB360</f>
        <v>-0.15264214788204433</v>
      </c>
      <c r="BU893">
        <f>'Bookings and Drivers'!CC360</f>
        <v>-4.3771689123172086E-3</v>
      </c>
      <c r="BV893">
        <f>'Bookings and Drivers'!CD360</f>
        <v>3.6866884360798213E-2</v>
      </c>
      <c r="BW893">
        <f>'Bookings and Drivers'!CE360</f>
        <v>-7.0231878796878089E-3</v>
      </c>
      <c r="BX893">
        <f>'Bookings and Drivers'!CF360</f>
        <v>0.36306047924510043</v>
      </c>
      <c r="BY893">
        <f>'Bookings and Drivers'!CG360</f>
        <v>0</v>
      </c>
      <c r="BZ893">
        <f>'Bookings and Drivers'!CH360</f>
        <v>0</v>
      </c>
      <c r="CA893">
        <f>'Bookings and Drivers'!CI360</f>
        <v>0</v>
      </c>
      <c r="CB893">
        <f>'Bookings and Drivers'!CJ360</f>
        <v>0</v>
      </c>
      <c r="CC893">
        <f>'Bookings and Drivers'!CK360</f>
        <v>0</v>
      </c>
      <c r="CD893">
        <f>'Bookings and Drivers'!CL360</f>
        <v>0</v>
      </c>
      <c r="CE893">
        <f>'Bookings and Drivers'!CM360</f>
        <v>0</v>
      </c>
      <c r="CF893">
        <f>'Bookings and Drivers'!CN360</f>
        <v>0.15656023611483771</v>
      </c>
      <c r="CG893">
        <f>'Bookings and Drivers'!CO360</f>
        <v>6.6117619765688751E-3</v>
      </c>
      <c r="CH893">
        <f>'Bookings and Drivers'!CP360</f>
        <v>0.13894906660520845</v>
      </c>
      <c r="CI893">
        <f>'Bookings and Drivers'!CQ360</f>
        <v>8.1230565841747593E-2</v>
      </c>
      <c r="CJ893">
        <f>'Bookings and Drivers'!CR360</f>
        <v>-0.23137866500311921</v>
      </c>
      <c r="CK893">
        <f>'Bookings and Drivers'!CS360</f>
        <v>-0.14425777128479877</v>
      </c>
      <c r="CL893">
        <f>'Bookings and Drivers'!CT360</f>
        <v>0.32926988884252206</v>
      </c>
      <c r="CM893">
        <f>'Bookings and Drivers'!CU360</f>
        <v>-4.5014180940958548E-2</v>
      </c>
      <c r="CN893">
        <f>'Bookings and Drivers'!CV360</f>
        <v>-9.6154799042515116E-2</v>
      </c>
      <c r="CO893">
        <f>'Bookings and Drivers'!CW360</f>
        <v>5.593679899875359E-2</v>
      </c>
      <c r="CP893">
        <f>'Bookings and Drivers'!CX360</f>
        <v>5.5104539603249236E-2</v>
      </c>
      <c r="CQ893">
        <f>'Bookings and Drivers'!CY360</f>
        <v>0.134238930211384</v>
      </c>
      <c r="CR893">
        <f>'Bookings and Drivers'!CZ360</f>
        <v>0.11872781346192562</v>
      </c>
      <c r="CS893">
        <f>'Bookings and Drivers'!DA360</f>
        <v>0.1038936668046202</v>
      </c>
      <c r="CT893">
        <f>'Bookings and Drivers'!DB360</f>
        <v>8.9618973632027421E-2</v>
      </c>
      <c r="CU893">
        <f>'Bookings and Drivers'!DC360</f>
        <v>0.14139924486561295</v>
      </c>
      <c r="CV893">
        <f>'Bookings and Drivers'!DD360</f>
        <v>0.17776681041876796</v>
      </c>
      <c r="CW893">
        <f>'Bookings and Drivers'!DE360</f>
        <v>0.1972325402628643</v>
      </c>
      <c r="CX893">
        <f>'Bookings and Drivers'!DF360</f>
        <v>0.16829169045863535</v>
      </c>
    </row>
    <row r="894" spans="1:102">
      <c r="A894">
        <f>'MS v Con'!A1</f>
        <v>0</v>
      </c>
      <c r="B894">
        <f>'MS v Con'!B1</f>
        <v>0</v>
      </c>
      <c r="C894">
        <f>'MS v Con'!C1</f>
        <v>0</v>
      </c>
      <c r="D894">
        <f>'MS v Con'!D1</f>
        <v>0</v>
      </c>
      <c r="E894">
        <f>'MS v Con'!E1</f>
        <v>0</v>
      </c>
      <c r="F894">
        <f>'MS v Con'!F1</f>
        <v>0</v>
      </c>
      <c r="G894">
        <f>'MS v Con'!G1</f>
        <v>0</v>
      </c>
      <c r="H894">
        <f>'MS v Con'!W1</f>
        <v>0</v>
      </c>
      <c r="I894">
        <f>'MS v Con'!X1</f>
        <v>0</v>
      </c>
      <c r="J894">
        <f>'MS v Con'!Z1</f>
        <v>0</v>
      </c>
      <c r="P894">
        <f>'MS v Con'!M1</f>
        <v>0</v>
      </c>
      <c r="Q894">
        <f>'MS v Con'!N1</f>
        <v>0</v>
      </c>
      <c r="R894">
        <f>'MS v Con'!O1</f>
        <v>0</v>
      </c>
      <c r="S894">
        <f>'MS v Con'!P1</f>
        <v>0</v>
      </c>
      <c r="T894">
        <f>'MS v Con'!Y1</f>
        <v>0</v>
      </c>
    </row>
    <row r="895" spans="1:102">
      <c r="A895">
        <f>'MS v Con'!A2</f>
        <v>0</v>
      </c>
      <c r="B895" t="str">
        <f>'MS v Con'!B2</f>
        <v>Ticker:</v>
      </c>
      <c r="C895" t="str">
        <f>'MS v Con'!B3</f>
        <v>BKNG</v>
      </c>
      <c r="D895">
        <f>'MS v Con'!D2</f>
        <v>0</v>
      </c>
      <c r="E895">
        <f>'MS v Con'!E2</f>
        <v>0</v>
      </c>
      <c r="F895">
        <f>'MS v Con'!F2</f>
        <v>0</v>
      </c>
      <c r="G895">
        <f>'MS v Con'!G2</f>
        <v>0</v>
      </c>
      <c r="H895">
        <f>'MS v Con'!W2</f>
        <v>0</v>
      </c>
      <c r="I895">
        <f>'MS v Con'!X2</f>
        <v>0</v>
      </c>
      <c r="J895">
        <f>'MS v Con'!Z2</f>
        <v>0</v>
      </c>
      <c r="P895">
        <f>'MS v Con'!M2</f>
        <v>0</v>
      </c>
      <c r="Q895">
        <f>'MS v Con'!N2</f>
        <v>0</v>
      </c>
      <c r="R895">
        <f>'MS v Con'!O2</f>
        <v>0</v>
      </c>
      <c r="S895">
        <f>'MS v Con'!P2</f>
        <v>0</v>
      </c>
      <c r="T895">
        <f>'MS v Con'!Y2</f>
        <v>0</v>
      </c>
    </row>
    <row r="896" spans="1:102">
      <c r="A896">
        <f>'MS v Con'!A3</f>
        <v>0</v>
      </c>
      <c r="C896">
        <f>'MS v Con'!C3</f>
        <v>0</v>
      </c>
      <c r="D896">
        <f>'MS v Con'!D3</f>
        <v>0</v>
      </c>
      <c r="E896">
        <f>'MS v Con'!E3</f>
        <v>0</v>
      </c>
      <c r="F896">
        <f>'MS v Con'!F3</f>
        <v>0</v>
      </c>
      <c r="G896">
        <f>'MS v Con'!G3</f>
        <v>0</v>
      </c>
      <c r="H896">
        <f>'MS v Con'!W3</f>
        <v>0</v>
      </c>
      <c r="I896">
        <f>'MS v Con'!X3</f>
        <v>0</v>
      </c>
      <c r="J896">
        <f>'MS v Con'!Z3</f>
        <v>0</v>
      </c>
      <c r="P896">
        <f>'MS v Con'!M3</f>
        <v>0</v>
      </c>
      <c r="Q896">
        <f>'MS v Con'!N3</f>
        <v>0</v>
      </c>
      <c r="R896">
        <f>'MS v Con'!O3</f>
        <v>0</v>
      </c>
      <c r="S896">
        <f>'MS v Con'!P3</f>
        <v>0</v>
      </c>
      <c r="T896">
        <f>'MS v Con'!Y3</f>
        <v>0</v>
      </c>
    </row>
    <row r="897" spans="1:24">
      <c r="A897">
        <f>'MS v Con'!A5</f>
        <v>0</v>
      </c>
      <c r="B897" t="str">
        <f>'MS v Con'!B5</f>
        <v>Date:</v>
      </c>
      <c r="C897">
        <f>'MS v Con'!C5</f>
        <v>42094</v>
      </c>
      <c r="D897">
        <f>'MS v Con'!D5</f>
        <v>42185</v>
      </c>
      <c r="E897">
        <f>'MS v Con'!E5</f>
        <v>42277</v>
      </c>
      <c r="F897">
        <f>'MS v Con'!F5</f>
        <v>42369</v>
      </c>
      <c r="G897">
        <f>'MS v Con'!G5</f>
        <v>0</v>
      </c>
      <c r="H897">
        <f>'MS v Con'!W5</f>
        <v>42369</v>
      </c>
      <c r="I897">
        <f>'MS v Con'!X5</f>
        <v>42735</v>
      </c>
      <c r="J897">
        <f>'MS v Con'!Z5</f>
        <v>43465</v>
      </c>
      <c r="P897">
        <f>'MS v Con'!M5</f>
        <v>42825</v>
      </c>
      <c r="Q897">
        <f>'MS v Con'!N5</f>
        <v>42916</v>
      </c>
      <c r="R897">
        <f>'MS v Con'!O5</f>
        <v>43008</v>
      </c>
      <c r="S897">
        <f>'MS v Con'!P5</f>
        <v>43100</v>
      </c>
      <c r="T897">
        <f>'MS v Con'!Y5</f>
        <v>43100</v>
      </c>
      <c r="U897">
        <f>'MS v Con'!Z5</f>
        <v>43465</v>
      </c>
      <c r="V897">
        <f>'MS v Con'!AA5</f>
        <v>43830</v>
      </c>
      <c r="W897">
        <f>'MS v Con'!AB5</f>
        <v>44196</v>
      </c>
      <c r="X897">
        <f>'MS v Con'!AC5</f>
        <v>0</v>
      </c>
    </row>
    <row r="898" spans="1:24">
      <c r="A898">
        <f>'MS v Con'!A6</f>
        <v>0</v>
      </c>
      <c r="B898">
        <f>'MS v Con'!B6</f>
        <v>0</v>
      </c>
      <c r="C898" t="str">
        <f>'MS v Con'!C6</f>
        <v>1Q2015</v>
      </c>
      <c r="D898" t="str">
        <f>'MS v Con'!D6</f>
        <v>2Q2015</v>
      </c>
      <c r="E898" t="str">
        <f>'MS v Con'!E6</f>
        <v>3Q2015</v>
      </c>
      <c r="F898" t="str">
        <f>'MS v Con'!F6</f>
        <v>4Q2015</v>
      </c>
      <c r="G898">
        <f>'MS v Con'!G6</f>
        <v>0</v>
      </c>
      <c r="H898">
        <f>'MS v Con'!W6</f>
        <v>2015</v>
      </c>
      <c r="I898">
        <f>'MS v Con'!X6</f>
        <v>2016</v>
      </c>
      <c r="J898">
        <f>'MS v Con'!Z6</f>
        <v>2018</v>
      </c>
      <c r="P898" t="str">
        <f>'MS v Con'!M6</f>
        <v>1Q2017</v>
      </c>
      <c r="Q898" t="str">
        <f>'MS v Con'!N6</f>
        <v>2Q2017</v>
      </c>
      <c r="R898" t="str">
        <f>'MS v Con'!O6</f>
        <v>3Q2017</v>
      </c>
      <c r="S898" t="str">
        <f>'MS v Con'!P6</f>
        <v>4Q2017</v>
      </c>
      <c r="T898">
        <f>'MS v Con'!Y6</f>
        <v>2017</v>
      </c>
      <c r="U898">
        <f>'MS v Con'!Z6</f>
        <v>2018</v>
      </c>
      <c r="V898">
        <f>'MS v Con'!AA6</f>
        <v>2019</v>
      </c>
      <c r="W898">
        <f>'MS v Con'!AB6</f>
        <v>2020</v>
      </c>
      <c r="X898">
        <f>'MS v Con'!AC6</f>
        <v>0</v>
      </c>
    </row>
    <row r="899" spans="1:24">
      <c r="A899">
        <f>'MS v Con'!A7</f>
        <v>0</v>
      </c>
      <c r="B899">
        <f>'MS v Con'!B7</f>
        <v>0</v>
      </c>
      <c r="C899">
        <f>'MS v Con'!C7</f>
        <v>0</v>
      </c>
      <c r="D899">
        <f>'MS v Con'!D7</f>
        <v>0</v>
      </c>
      <c r="E899">
        <f>'MS v Con'!E7</f>
        <v>0</v>
      </c>
      <c r="F899">
        <f>'MS v Con'!F7</f>
        <v>0</v>
      </c>
      <c r="G899">
        <f>'MS v Con'!G7</f>
        <v>0</v>
      </c>
      <c r="H899">
        <f>'MS v Con'!W7</f>
        <v>0</v>
      </c>
      <c r="I899">
        <f>'MS v Con'!X7</f>
        <v>0</v>
      </c>
      <c r="J899">
        <f>'MS v Con'!Z7</f>
        <v>0</v>
      </c>
      <c r="P899">
        <f>'MS v Con'!M7</f>
        <v>0</v>
      </c>
      <c r="Q899">
        <f>'MS v Con'!N7</f>
        <v>0</v>
      </c>
      <c r="R899">
        <f>'MS v Con'!O7</f>
        <v>0</v>
      </c>
      <c r="S899">
        <f>'MS v Con'!P7</f>
        <v>0</v>
      </c>
      <c r="T899">
        <f>'MS v Con'!Y7</f>
        <v>0</v>
      </c>
      <c r="U899">
        <f>'MS v Con'!Z7</f>
        <v>0</v>
      </c>
      <c r="V899">
        <f>'MS v Con'!AA7</f>
        <v>0</v>
      </c>
      <c r="W899">
        <f>'MS v Con'!AB7</f>
        <v>0</v>
      </c>
      <c r="X899">
        <f>'MS v Con'!AC7</f>
        <v>0</v>
      </c>
    </row>
    <row r="900" spans="1:24">
      <c r="A900">
        <f>'MS v Con'!A8</f>
        <v>0</v>
      </c>
      <c r="B900">
        <f>'MS v Con'!B8</f>
        <v>0</v>
      </c>
      <c r="C900">
        <f>'MS v Con'!C8</f>
        <v>0</v>
      </c>
      <c r="D900">
        <f>'MS v Con'!D8</f>
        <v>0</v>
      </c>
      <c r="E900">
        <f>'MS v Con'!E8</f>
        <v>0</v>
      </c>
      <c r="F900">
        <f>'MS v Con'!F8</f>
        <v>0</v>
      </c>
      <c r="G900">
        <f>'MS v Con'!G8</f>
        <v>0</v>
      </c>
      <c r="H900">
        <f>'MS v Con'!W8</f>
        <v>0</v>
      </c>
      <c r="I900">
        <f>'MS v Con'!X8</f>
        <v>0</v>
      </c>
      <c r="J900">
        <f>'MS v Con'!Z8</f>
        <v>0</v>
      </c>
      <c r="P900">
        <f>'MS v Con'!M8</f>
        <v>0</v>
      </c>
      <c r="Q900">
        <f>'MS v Con'!N8</f>
        <v>0</v>
      </c>
      <c r="R900">
        <f>'MS v Con'!O8</f>
        <v>0</v>
      </c>
      <c r="S900">
        <f>'MS v Con'!P8</f>
        <v>0</v>
      </c>
      <c r="T900">
        <f>'MS v Con'!Y8</f>
        <v>0</v>
      </c>
      <c r="U900">
        <f>'MS v Con'!Z8</f>
        <v>0</v>
      </c>
      <c r="V900">
        <f>'MS v Con'!AA8</f>
        <v>0</v>
      </c>
      <c r="W900">
        <f>'MS v Con'!AB8</f>
        <v>0</v>
      </c>
      <c r="X900">
        <f>'MS v Con'!AC8</f>
        <v>0</v>
      </c>
    </row>
    <row r="901" spans="1:24">
      <c r="A901">
        <f>'MS v Con'!A9</f>
        <v>0</v>
      </c>
      <c r="B901">
        <f>'MS v Con'!B9</f>
        <v>0</v>
      </c>
      <c r="C901">
        <f>'MS v Con'!C9</f>
        <v>0</v>
      </c>
      <c r="D901">
        <f>'MS v Con'!D9</f>
        <v>0</v>
      </c>
      <c r="E901">
        <f>'MS v Con'!E9</f>
        <v>0</v>
      </c>
      <c r="F901">
        <f>'MS v Con'!F9</f>
        <v>0</v>
      </c>
      <c r="G901">
        <f>'MS v Con'!G9</f>
        <v>0</v>
      </c>
      <c r="H901">
        <f>'MS v Con'!W9</f>
        <v>0</v>
      </c>
      <c r="I901">
        <f>'MS v Con'!X9</f>
        <v>0</v>
      </c>
      <c r="J901">
        <f>'MS v Con'!Z9</f>
        <v>0</v>
      </c>
      <c r="P901">
        <f>'MS v Con'!M9</f>
        <v>0</v>
      </c>
      <c r="Q901">
        <f>'MS v Con'!N9</f>
        <v>0</v>
      </c>
      <c r="R901">
        <f>'MS v Con'!O9</f>
        <v>0</v>
      </c>
      <c r="S901">
        <f>'MS v Con'!P9</f>
        <v>0</v>
      </c>
      <c r="T901">
        <f>'MS v Con'!Y9</f>
        <v>0</v>
      </c>
      <c r="U901">
        <f>'MS v Con'!Z9</f>
        <v>0</v>
      </c>
      <c r="V901">
        <f>'MS v Con'!AA9</f>
        <v>0</v>
      </c>
      <c r="W901">
        <f>'MS v Con'!AB9</f>
        <v>0</v>
      </c>
      <c r="X901">
        <f>'MS v Con'!AC9</f>
        <v>0</v>
      </c>
    </row>
    <row r="902" spans="1:24">
      <c r="A902">
        <f>'MS v Con'!A10</f>
        <v>0</v>
      </c>
      <c r="B902" t="str">
        <f>'MS v Con'!B10</f>
        <v>(In millions USD)</v>
      </c>
      <c r="C902" t="str">
        <f>'MS v Con'!C10</f>
        <v>1Q2015</v>
      </c>
      <c r="D902" t="str">
        <f>'MS v Con'!D10</f>
        <v>2Q2015</v>
      </c>
      <c r="E902" t="str">
        <f>'MS v Con'!E10</f>
        <v>3Q2015</v>
      </c>
      <c r="F902" t="str">
        <f>'MS v Con'!F10</f>
        <v>4Q2015</v>
      </c>
      <c r="G902">
        <f>'MS v Con'!G10</f>
        <v>0</v>
      </c>
      <c r="H902">
        <f>'MS v Con'!W10</f>
        <v>0</v>
      </c>
      <c r="I902" t="str">
        <f>'MS v Con'!X10</f>
        <v>2016</v>
      </c>
      <c r="J902">
        <f>'MS v Con'!G10</f>
        <v>0</v>
      </c>
      <c r="K902" t="str">
        <f>'MS v Con'!H10</f>
        <v>1Q2016</v>
      </c>
      <c r="L902" t="str">
        <f>'MS v Con'!I10</f>
        <v>2Q2016</v>
      </c>
      <c r="M902" t="str">
        <f>'MS v Con'!J10</f>
        <v>3Q2016</v>
      </c>
      <c r="N902" t="str">
        <f>'MS v Con'!K10</f>
        <v>4Q2016</v>
      </c>
      <c r="O902">
        <f>'MS v Con'!V10</f>
        <v>0</v>
      </c>
      <c r="P902" t="str">
        <f>'MS v Con'!M10</f>
        <v>1Q2017</v>
      </c>
      <c r="Q902" t="str">
        <f>'MS v Con'!N10</f>
        <v>2Q2017</v>
      </c>
      <c r="R902" t="str">
        <f>'MS v Con'!O10</f>
        <v>3Q2017</v>
      </c>
      <c r="S902" t="str">
        <f>'MS v Con'!P10</f>
        <v>4Q2017</v>
      </c>
      <c r="T902" t="str">
        <f>'MS v Con'!Y10</f>
        <v>2017</v>
      </c>
      <c r="U902" t="str">
        <f>'MS v Con'!Z10</f>
        <v>2018</v>
      </c>
      <c r="V902" t="str">
        <f>'MS v Con'!AA10</f>
        <v>2019</v>
      </c>
      <c r="W902" t="str">
        <f>'MS v Con'!AB10</f>
        <v>2020</v>
      </c>
      <c r="X902">
        <f>'MS v Con'!AC10</f>
        <v>0</v>
      </c>
    </row>
    <row r="903" spans="1:24">
      <c r="A903">
        <f>'MS v Con'!A11</f>
        <v>0</v>
      </c>
      <c r="B903" t="str">
        <f>'MS v Con'!B11</f>
        <v>Morgan Stanley</v>
      </c>
      <c r="C903">
        <f>'MS v Con'!C11</f>
        <v>0</v>
      </c>
      <c r="D903">
        <f>'MS v Con'!D11</f>
        <v>0</v>
      </c>
      <c r="E903">
        <f>'MS v Con'!E11</f>
        <v>0</v>
      </c>
      <c r="F903">
        <f>'MS v Con'!F11</f>
        <v>0</v>
      </c>
      <c r="G903">
        <f>'MS v Con'!G11</f>
        <v>0</v>
      </c>
      <c r="H903">
        <f>'MS v Con'!W11</f>
        <v>0</v>
      </c>
      <c r="I903">
        <f>'MS v Con'!X11</f>
        <v>0</v>
      </c>
      <c r="J903">
        <f>'MS v Con'!G11</f>
        <v>0</v>
      </c>
      <c r="K903">
        <f>'MS v Con'!H11</f>
        <v>0</v>
      </c>
      <c r="L903">
        <f>'MS v Con'!I11</f>
        <v>0</v>
      </c>
      <c r="M903">
        <f>'MS v Con'!J11</f>
        <v>0</v>
      </c>
      <c r="N903">
        <f>'MS v Con'!K11</f>
        <v>0</v>
      </c>
      <c r="O903">
        <f>'MS v Con'!V11</f>
        <v>0</v>
      </c>
      <c r="P903">
        <f>'MS v Con'!M11</f>
        <v>0</v>
      </c>
      <c r="Q903">
        <f>'MS v Con'!N11</f>
        <v>0</v>
      </c>
      <c r="R903">
        <f>'MS v Con'!O11</f>
        <v>0</v>
      </c>
      <c r="S903">
        <f>'MS v Con'!P11</f>
        <v>0</v>
      </c>
      <c r="T903">
        <f>'MS v Con'!Y11</f>
        <v>0</v>
      </c>
      <c r="U903">
        <f>'MS v Con'!Z11</f>
        <v>0</v>
      </c>
      <c r="V903">
        <f>'MS v Con'!AA11</f>
        <v>0</v>
      </c>
      <c r="W903">
        <f>'MS v Con'!AB11</f>
        <v>0</v>
      </c>
      <c r="X903">
        <f>'MS v Con'!AC11</f>
        <v>0</v>
      </c>
    </row>
    <row r="904" spans="1:24">
      <c r="A904">
        <f>'MS v Con'!A12</f>
        <v>0</v>
      </c>
      <c r="B904" t="str">
        <f>'MS v Con'!B12</f>
        <v>Revenue</v>
      </c>
      <c r="C904">
        <f>'MS v Con'!C12</f>
        <v>1840.694</v>
      </c>
      <c r="D904">
        <f>'MS v Con'!D12</f>
        <v>2280.3969999999999</v>
      </c>
      <c r="E904">
        <f>'MS v Con'!E12</f>
        <v>3102.9009999999998</v>
      </c>
      <c r="F904">
        <f>'MS v Con'!F12</f>
        <v>1999.9949999999999</v>
      </c>
      <c r="G904">
        <f>'MS v Con'!G12</f>
        <v>0</v>
      </c>
      <c r="H904">
        <f>'MS v Con'!W12</f>
        <v>0</v>
      </c>
      <c r="I904">
        <f>'MS v Con'!X12</f>
        <v>10743.005999999999</v>
      </c>
      <c r="J904">
        <f>'MS v Con'!G12</f>
        <v>0</v>
      </c>
      <c r="K904">
        <f>'MS v Con'!H12</f>
        <v>2148.1189999999997</v>
      </c>
      <c r="L904">
        <f>'MS v Con'!I12</f>
        <v>2555.902</v>
      </c>
      <c r="M904">
        <f>'MS v Con'!J12</f>
        <v>3690.5520000000001</v>
      </c>
      <c r="N904">
        <f>'MS v Con'!K12</f>
        <v>2348.433</v>
      </c>
      <c r="O904">
        <f>'MS v Con'!V12</f>
        <v>0</v>
      </c>
      <c r="P904">
        <f>'MS v Con'!M12</f>
        <v>2419.404</v>
      </c>
      <c r="Q904">
        <f>'MS v Con'!N12</f>
        <v>3024.556</v>
      </c>
      <c r="R904">
        <f>'MS v Con'!O12</f>
        <v>4434.0289999999995</v>
      </c>
      <c r="S904">
        <f>'MS v Con'!P12</f>
        <v>2803.0929999999998</v>
      </c>
      <c r="T904">
        <f>'MS v Con'!Y12</f>
        <v>12681.082</v>
      </c>
      <c r="U904">
        <f>'MS v Con'!Z12</f>
        <v>15271.700277403312</v>
      </c>
      <c r="V904">
        <f>'MS v Con'!AA12</f>
        <v>17339.687473709666</v>
      </c>
      <c r="W904">
        <f>'MS v Con'!AB12</f>
        <v>19383.027606507796</v>
      </c>
      <c r="X904">
        <f>'MS v Con'!AC12</f>
        <v>0</v>
      </c>
    </row>
    <row r="905" spans="1:24">
      <c r="A905">
        <f>'MS v Con'!A13</f>
        <v>0</v>
      </c>
      <c r="B905" t="str">
        <f>'MS v Con'!B13</f>
        <v xml:space="preserve">Gross Profit </v>
      </c>
      <c r="C905">
        <f>'MS v Con'!C13</f>
        <v>1672.2359999999999</v>
      </c>
      <c r="D905">
        <f>'MS v Con'!D13</f>
        <v>2092.9059999999999</v>
      </c>
      <c r="E905">
        <f>'MS v Con'!E13</f>
        <v>2947.2819999999997</v>
      </c>
      <c r="F905">
        <f>'MS v Con'!F13</f>
        <v>1879.3829999999998</v>
      </c>
      <c r="G905">
        <f>'MS v Con'!G13</f>
        <v>0</v>
      </c>
      <c r="H905">
        <f>'MS v Con'!W13</f>
        <v>0</v>
      </c>
      <c r="I905">
        <f>'MS v Con'!X13</f>
        <v>10314.691999999999</v>
      </c>
      <c r="J905">
        <f>'MS v Con'!G13</f>
        <v>0</v>
      </c>
      <c r="K905">
        <f>'MS v Con'!H13</f>
        <v>2019.4499999999996</v>
      </c>
      <c r="L905">
        <f>'MS v Con'!I13</f>
        <v>2429.8180000000002</v>
      </c>
      <c r="M905">
        <f>'MS v Con'!J13</f>
        <v>3589.0630000000001</v>
      </c>
      <c r="N905">
        <f>'MS v Con'!K13</f>
        <v>2276.3609999999999</v>
      </c>
      <c r="O905">
        <f>'MS v Con'!V13</f>
        <v>0</v>
      </c>
      <c r="P905">
        <f>'MS v Con'!M13</f>
        <v>2334.2350000000001</v>
      </c>
      <c r="Q905">
        <f>'MS v Con'!N13</f>
        <v>2951.8139999999999</v>
      </c>
      <c r="R905">
        <f>'MS v Con'!O13</f>
        <v>4374.5529999999999</v>
      </c>
      <c r="S905">
        <f>'MS v Con'!P13</f>
        <v>2769.9429999999998</v>
      </c>
      <c r="T905">
        <f>'MS v Con'!Y13</f>
        <v>12430.544999999998</v>
      </c>
      <c r="U905">
        <f>'MS v Con'!Z13</f>
        <v>14741.870989253777</v>
      </c>
      <c r="V905">
        <f>'MS v Con'!AA13</f>
        <v>16789.461770853006</v>
      </c>
      <c r="W905">
        <f>'MS v Con'!AB13</f>
        <v>18821.738388716545</v>
      </c>
      <c r="X905">
        <f>'MS v Con'!AC13</f>
        <v>0</v>
      </c>
    </row>
    <row r="906" spans="1:24">
      <c r="A906">
        <f>'MS v Con'!A14</f>
        <v>0</v>
      </c>
      <c r="B906" t="str">
        <f>'MS v Con'!B14</f>
        <v>Gross Margin</v>
      </c>
      <c r="C906">
        <f>'MS v Con'!C14</f>
        <v>0.90848125761261778</v>
      </c>
      <c r="D906">
        <f>'MS v Con'!D14</f>
        <v>0.91778142139285401</v>
      </c>
      <c r="E906">
        <f>'MS v Con'!E14</f>
        <v>0.94984725584219409</v>
      </c>
      <c r="F906">
        <f>'MS v Con'!F14</f>
        <v>0.93969384923462307</v>
      </c>
      <c r="G906">
        <f>'MS v Con'!G14</f>
        <v>0</v>
      </c>
      <c r="H906">
        <f>'MS v Con'!W14</f>
        <v>0</v>
      </c>
      <c r="I906">
        <f>'MS v Con'!X14</f>
        <v>0.96013089818622455</v>
      </c>
      <c r="J906">
        <f>'MS v Con'!G14</f>
        <v>0</v>
      </c>
      <c r="K906">
        <f>'MS v Con'!H14</f>
        <v>0.94010154930895351</v>
      </c>
      <c r="L906">
        <f>'MS v Con'!I14</f>
        <v>0.95066947011270386</v>
      </c>
      <c r="M906">
        <f>'MS v Con'!J14</f>
        <v>0.97250031973536755</v>
      </c>
      <c r="N906">
        <f>'MS v Con'!K14</f>
        <v>0.96931059987659851</v>
      </c>
      <c r="O906">
        <f>'MS v Con'!V14</f>
        <v>0</v>
      </c>
      <c r="P906">
        <f>'MS v Con'!M14</f>
        <v>0.96479752864755131</v>
      </c>
      <c r="Q906">
        <f>'MS v Con'!N14</f>
        <v>0.97594952779846023</v>
      </c>
      <c r="R906">
        <f>'MS v Con'!O14</f>
        <v>0.986586465717748</v>
      </c>
      <c r="S906">
        <f>'MS v Con'!P14</f>
        <v>0.98817377803733231</v>
      </c>
      <c r="T906">
        <f>'MS v Con'!Y14</f>
        <v>0.9802432473822027</v>
      </c>
      <c r="U906">
        <f>'MS v Con'!Z14</f>
        <v>0.96530646368607076</v>
      </c>
      <c r="V906">
        <f>'MS v Con'!AA14</f>
        <v>0.9682678419844124</v>
      </c>
      <c r="W906">
        <f>'MS v Con'!AB14</f>
        <v>0.97104223193683115</v>
      </c>
      <c r="X906">
        <f>'MS v Con'!AC14</f>
        <v>0</v>
      </c>
    </row>
    <row r="908" spans="1:24">
      <c r="A908">
        <f>'MS v Con'!A15</f>
        <v>0</v>
      </c>
      <c r="B908" t="str">
        <f>'MS v Con'!B15</f>
        <v>Adj. EBITDA</v>
      </c>
      <c r="C908">
        <f>'MS v Con'!C15</f>
        <v>531.7349999999999</v>
      </c>
      <c r="D908">
        <f>'MS v Con'!D15</f>
        <v>804.72500000000014</v>
      </c>
      <c r="E908">
        <f>'MS v Con'!E15</f>
        <v>1596.597</v>
      </c>
      <c r="F908">
        <f>'MS v Con'!F15</f>
        <v>789.59599999999966</v>
      </c>
      <c r="G908">
        <f>'MS v Con'!G15</f>
        <v>0</v>
      </c>
      <c r="H908">
        <f>'MS v Con'!W15</f>
        <v>0</v>
      </c>
      <c r="I908">
        <f>'MS v Con'!X15</f>
        <v>4139.2349999999997</v>
      </c>
      <c r="J908">
        <f>'MS v Con'!G15</f>
        <v>0</v>
      </c>
      <c r="K908">
        <f>'MS v Con'!H15</f>
        <v>676.26099999999951</v>
      </c>
      <c r="L908">
        <f>'MS v Con'!I15</f>
        <v>867.09200000000021</v>
      </c>
      <c r="M908">
        <f>'MS v Con'!J15</f>
        <v>1902.3150000000005</v>
      </c>
      <c r="N908">
        <f>'MS v Con'!K15</f>
        <v>868.61699999999962</v>
      </c>
      <c r="O908">
        <f>'MS v Con'!V15</f>
        <v>0</v>
      </c>
      <c r="P908">
        <f>'MS v Con'!M15</f>
        <v>634.76499999999987</v>
      </c>
      <c r="Q908">
        <f>'MS v Con'!N15</f>
        <v>974.13700000000051</v>
      </c>
      <c r="R908">
        <f>'MS v Con'!O15</f>
        <v>2187.6760000000004</v>
      </c>
      <c r="S908">
        <f>'MS v Con'!P15</f>
        <v>1070.6539999999998</v>
      </c>
      <c r="T908">
        <f>'MS v Con'!Y15</f>
        <v>4867.2319999999982</v>
      </c>
      <c r="U908">
        <f>'MS v Con'!Z15</f>
        <v>5923.6693089154496</v>
      </c>
      <c r="V908">
        <f>'MS v Con'!AA15</f>
        <v>6799.2864405486807</v>
      </c>
      <c r="W908">
        <f>'MS v Con'!AB15</f>
        <v>7681.090174516783</v>
      </c>
      <c r="X908">
        <f>'MS v Con'!AC15</f>
        <v>0</v>
      </c>
    </row>
    <row r="910" spans="1:24">
      <c r="A910">
        <f>'MS v Con'!A17</f>
        <v>0</v>
      </c>
      <c r="B910" t="str">
        <f>'MS v Con'!B17</f>
        <v>Adj. EPS</v>
      </c>
      <c r="C910">
        <f>'MS v Con'!C17</f>
        <v>8.1169640489449542</v>
      </c>
      <c r="D910">
        <f>'MS v Con'!D17</f>
        <v>12.445338110848517</v>
      </c>
      <c r="E910">
        <f>'MS v Con'!E17</f>
        <v>25.350191451728893</v>
      </c>
      <c r="F910">
        <f>'MS v Con'!F17</f>
        <v>12.631136072519455</v>
      </c>
      <c r="G910">
        <f>'MS v Con'!G17</f>
        <v>0</v>
      </c>
      <c r="H910">
        <f>'MS v Con'!W17</f>
        <v>0</v>
      </c>
      <c r="I910">
        <f>'MS v Con'!X17</f>
        <v>65.635479296086928</v>
      </c>
      <c r="J910">
        <f>'MS v Con'!G17</f>
        <v>0</v>
      </c>
      <c r="K910">
        <f>'MS v Con'!H17</f>
        <v>10.542567514057168</v>
      </c>
      <c r="L910">
        <f>'MS v Con'!I17</f>
        <v>13.927510951654149</v>
      </c>
      <c r="M910">
        <f>'MS v Con'!J17</f>
        <v>31.179183973607337</v>
      </c>
      <c r="N910">
        <f>'MS v Con'!K17</f>
        <v>14.211375449820066</v>
      </c>
      <c r="O910">
        <f>'MS v Con'!V17</f>
        <v>0</v>
      </c>
      <c r="P910">
        <f>'MS v Con'!M17</f>
        <v>9.8763818090954487</v>
      </c>
      <c r="Q910">
        <f>'MS v Con'!N17</f>
        <v>15.141581428799755</v>
      </c>
      <c r="R910">
        <f>'MS v Con'!O17</f>
        <v>35.224885936124245</v>
      </c>
      <c r="S910">
        <f>'MS v Con'!P17</f>
        <v>16.857632794690225</v>
      </c>
      <c r="T910">
        <f>'MS v Con'!Y17</f>
        <v>77.103064792457701</v>
      </c>
      <c r="U910">
        <f>'MS v Con'!Z17</f>
        <v>92.09019546493181</v>
      </c>
      <c r="V910">
        <f>'MS v Con'!AA17</f>
        <v>109.07187742548903</v>
      </c>
      <c r="W910">
        <f>'MS v Con'!AB17</f>
        <v>125.72713745961265</v>
      </c>
      <c r="X910">
        <f>'MS v Con'!AC17</f>
        <v>0</v>
      </c>
    </row>
    <row r="911" spans="1:24">
      <c r="A911">
        <f>'MS v Con'!A18</f>
        <v>0</v>
      </c>
      <c r="B911">
        <f>'MS v Con'!B18</f>
        <v>0</v>
      </c>
      <c r="C911">
        <f>'MS v Con'!C18</f>
        <v>0</v>
      </c>
      <c r="D911">
        <f>'MS v Con'!D18</f>
        <v>0</v>
      </c>
      <c r="E911">
        <f>'MS v Con'!E18</f>
        <v>0</v>
      </c>
      <c r="F911">
        <f>'MS v Con'!F18</f>
        <v>0</v>
      </c>
      <c r="G911">
        <f>'MS v Con'!G18</f>
        <v>0</v>
      </c>
      <c r="H911">
        <f>'MS v Con'!W18</f>
        <v>0</v>
      </c>
      <c r="I911">
        <f>'MS v Con'!X18</f>
        <v>0</v>
      </c>
      <c r="J911">
        <f>'MS v Con'!G18</f>
        <v>0</v>
      </c>
      <c r="K911">
        <f>'MS v Con'!H18</f>
        <v>0</v>
      </c>
      <c r="L911">
        <f>'MS v Con'!I18</f>
        <v>0</v>
      </c>
      <c r="M911">
        <f>'MS v Con'!J18</f>
        <v>0</v>
      </c>
      <c r="N911">
        <f>'MS v Con'!K18</f>
        <v>0</v>
      </c>
      <c r="O911">
        <f>'MS v Con'!V18</f>
        <v>0</v>
      </c>
      <c r="P911">
        <f>'MS v Con'!M18</f>
        <v>0</v>
      </c>
      <c r="Q911">
        <f>'MS v Con'!N18</f>
        <v>0</v>
      </c>
      <c r="R911">
        <f>'MS v Con'!O18</f>
        <v>0</v>
      </c>
      <c r="S911">
        <f>'MS v Con'!P18</f>
        <v>0</v>
      </c>
      <c r="T911">
        <f>'MS v Con'!Y18</f>
        <v>0</v>
      </c>
      <c r="U911">
        <f>'MS v Con'!Z18</f>
        <v>0</v>
      </c>
      <c r="V911">
        <f>'MS v Con'!AA18</f>
        <v>0</v>
      </c>
      <c r="W911">
        <f>'MS v Con'!AB18</f>
        <v>0</v>
      </c>
      <c r="X911">
        <f>'MS v Con'!AC18</f>
        <v>0</v>
      </c>
    </row>
    <row r="912" spans="1:24">
      <c r="A912">
        <f>'MS v Con'!A19</f>
        <v>0</v>
      </c>
      <c r="B912" t="str">
        <f>'MS v Con'!B19</f>
        <v>(In millions USD)</v>
      </c>
      <c r="C912" t="str">
        <f>'MS v Con'!C19</f>
        <v>1Q2015</v>
      </c>
      <c r="D912" t="str">
        <f>'MS v Con'!D19</f>
        <v>2Q2015</v>
      </c>
      <c r="E912" t="str">
        <f>'MS v Con'!E19</f>
        <v>3Q2015</v>
      </c>
      <c r="F912" t="str">
        <f>'MS v Con'!F19</f>
        <v>4Q2015</v>
      </c>
      <c r="G912">
        <f>'MS v Con'!G19</f>
        <v>0</v>
      </c>
      <c r="H912">
        <f>'MS v Con'!W19</f>
        <v>0</v>
      </c>
      <c r="I912" t="str">
        <f>'MS v Con'!X19</f>
        <v>2016</v>
      </c>
      <c r="J912">
        <f>'MS v Con'!G19</f>
        <v>0</v>
      </c>
      <c r="K912" t="str">
        <f>'MS v Con'!H19</f>
        <v>1Q2016</v>
      </c>
      <c r="L912" t="str">
        <f>'MS v Con'!I19</f>
        <v>2Q2016</v>
      </c>
      <c r="M912" t="str">
        <f>'MS v Con'!J19</f>
        <v>3Q2016</v>
      </c>
      <c r="N912" t="str">
        <f>'MS v Con'!K19</f>
        <v>4Q2016</v>
      </c>
      <c r="O912">
        <f>'MS v Con'!V19</f>
        <v>0</v>
      </c>
      <c r="P912" t="str">
        <f>'MS v Con'!M19</f>
        <v>1Q2017</v>
      </c>
      <c r="Q912" t="str">
        <f>'MS v Con'!N19</f>
        <v>2Q2017</v>
      </c>
      <c r="R912" t="str">
        <f>'MS v Con'!O19</f>
        <v>3Q2017</v>
      </c>
      <c r="S912" t="str">
        <f>'MS v Con'!P19</f>
        <v>4Q2017</v>
      </c>
      <c r="T912" t="str">
        <f>'MS v Con'!Y19</f>
        <v>2017</v>
      </c>
      <c r="U912" t="str">
        <f>'MS v Con'!Z19</f>
        <v>2018</v>
      </c>
      <c r="V912" t="str">
        <f>'MS v Con'!AA19</f>
        <v>2019</v>
      </c>
      <c r="W912" t="str">
        <f>'MS v Con'!AB19</f>
        <v>2020</v>
      </c>
      <c r="X912">
        <f>'MS v Con'!AC19</f>
        <v>0</v>
      </c>
    </row>
    <row r="913" spans="1:24">
      <c r="A913">
        <f>'MS v Con'!A20</f>
        <v>0</v>
      </c>
      <c r="B913" t="str">
        <f>'MS v Con'!B20</f>
        <v>Consensus</v>
      </c>
      <c r="C913">
        <f>'MS v Con'!C20</f>
        <v>0</v>
      </c>
      <c r="D913">
        <f>'MS v Con'!D20</f>
        <v>0</v>
      </c>
      <c r="E913">
        <f>'MS v Con'!E20</f>
        <v>0</v>
      </c>
      <c r="F913">
        <f>'MS v Con'!F20</f>
        <v>0</v>
      </c>
      <c r="G913">
        <f>'MS v Con'!G20</f>
        <v>0</v>
      </c>
      <c r="H913">
        <f>'MS v Con'!W20</f>
        <v>0</v>
      </c>
      <c r="I913">
        <f>'MS v Con'!X20</f>
        <v>0</v>
      </c>
      <c r="J913">
        <f>'MS v Con'!G20</f>
        <v>0</v>
      </c>
      <c r="K913">
        <f>'MS v Con'!H20</f>
        <v>0</v>
      </c>
      <c r="L913">
        <f>'MS v Con'!I20</f>
        <v>0</v>
      </c>
      <c r="M913">
        <f>'MS v Con'!J20</f>
        <v>0</v>
      </c>
      <c r="N913">
        <f>'MS v Con'!K20</f>
        <v>0</v>
      </c>
      <c r="O913">
        <f>'MS v Con'!V20</f>
        <v>0</v>
      </c>
      <c r="P913">
        <f>'MS v Con'!M20</f>
        <v>0</v>
      </c>
      <c r="Q913">
        <f>'MS v Con'!N20</f>
        <v>0</v>
      </c>
      <c r="R913">
        <f>'MS v Con'!O20</f>
        <v>0</v>
      </c>
      <c r="S913">
        <f>'MS v Con'!P20</f>
        <v>0</v>
      </c>
      <c r="T913">
        <f>'MS v Con'!Y20</f>
        <v>0</v>
      </c>
      <c r="U913">
        <f>'MS v Con'!Z20</f>
        <v>0</v>
      </c>
      <c r="V913">
        <f>'MS v Con'!AA20</f>
        <v>0</v>
      </c>
      <c r="W913">
        <f>'MS v Con'!AB20</f>
        <v>0</v>
      </c>
      <c r="X913">
        <f>'MS v Con'!AC20</f>
        <v>0</v>
      </c>
    </row>
    <row r="914" spans="1:24">
      <c r="A914">
        <f>'MS v Con'!A21</f>
        <v>0</v>
      </c>
      <c r="B914" t="str">
        <f>'MS v Con'!B21</f>
        <v>Revenue</v>
      </c>
      <c r="C914">
        <f>'MS v Con'!C21</f>
        <v>1798.69</v>
      </c>
      <c r="D914">
        <f>'MS v Con'!D21</f>
        <v>2265.52</v>
      </c>
      <c r="E914">
        <f>'MS v Con'!E21</f>
        <v>3053.27</v>
      </c>
      <c r="F914">
        <f>'MS v Con'!F21</f>
        <v>1955.99</v>
      </c>
      <c r="G914">
        <f>'MS v Con'!G21</f>
        <v>0</v>
      </c>
      <c r="H914">
        <f>'MS v Con'!W21</f>
        <v>0</v>
      </c>
      <c r="I914">
        <f>'MS v Con'!X21</f>
        <v>10719.7</v>
      </c>
      <c r="J914">
        <f>'MS v Con'!G21</f>
        <v>0</v>
      </c>
      <c r="K914">
        <f>'MS v Con'!H21</f>
        <v>2122.58</v>
      </c>
      <c r="L914">
        <f>'MS v Con'!I21</f>
        <v>2583.9299999999998</v>
      </c>
      <c r="M914">
        <f>'MS v Con'!J21</f>
        <v>3616.8</v>
      </c>
      <c r="N914">
        <f>'MS v Con'!K21</f>
        <v>2322.48</v>
      </c>
      <c r="O914">
        <f>'MS v Con'!V21</f>
        <v>0</v>
      </c>
      <c r="P914">
        <f>'MS v Con'!M21</f>
        <v>2443.4899999999998</v>
      </c>
      <c r="Q914">
        <f>'MS v Con'!N21</f>
        <v>2985.44</v>
      </c>
      <c r="R914">
        <f>'MS v Con'!O21</f>
        <v>4338.53</v>
      </c>
      <c r="S914">
        <f>'MS v Con'!P21</f>
        <v>2703.12</v>
      </c>
      <c r="T914">
        <f>'MS v Con'!Y21</f>
        <v>12565</v>
      </c>
      <c r="U914">
        <f>'MS v Con'!Z21</f>
        <v>14814.717000000001</v>
      </c>
      <c r="V914">
        <f>'MS v Con'!AA21</f>
        <v>16839.78</v>
      </c>
      <c r="W914">
        <f>'MS v Con'!AB21</f>
        <v>19042.647000000001</v>
      </c>
      <c r="X914">
        <f>'MS v Con'!AC21</f>
        <v>0</v>
      </c>
    </row>
    <row r="915" spans="1:24">
      <c r="A915">
        <f>'MS v Con'!A22</f>
        <v>0</v>
      </c>
      <c r="B915" t="str">
        <f>'MS v Con'!B22</f>
        <v xml:space="preserve">Gross Profit </v>
      </c>
      <c r="C915">
        <f>'MS v Con'!C22</f>
        <v>1598.2259994999999</v>
      </c>
      <c r="D915">
        <f>'MS v Con'!D22</f>
        <v>2043.4990400000002</v>
      </c>
      <c r="E915">
        <f>'MS v Con'!E22</f>
        <v>2868.9746227999999</v>
      </c>
      <c r="F915">
        <f>'MS v Con'!F22</f>
        <v>1821.5548073</v>
      </c>
      <c r="G915">
        <f>'MS v Con'!G22</f>
        <v>0</v>
      </c>
      <c r="H915">
        <f>'MS v Con'!W22</f>
        <v>0</v>
      </c>
      <c r="I915">
        <f>'MS v Con'!X22</f>
        <v>9981.4826407399996</v>
      </c>
      <c r="J915">
        <f>'MS v Con'!G22</f>
        <v>0</v>
      </c>
      <c r="K915">
        <f>'MS v Con'!H22</f>
        <v>1984.7375322199998</v>
      </c>
      <c r="L915">
        <f>'MS v Con'!I22</f>
        <v>2421.7108745999999</v>
      </c>
      <c r="M915">
        <f>'MS v Con'!J22</f>
        <v>3503.1637608000001</v>
      </c>
      <c r="N915">
        <f>'MS v Con'!K22</f>
        <v>2071.87047312</v>
      </c>
      <c r="O915">
        <f>'MS v Con'!V22</f>
        <v>0</v>
      </c>
      <c r="P915">
        <f>'MS v Con'!M22</f>
        <v>2296.6362509999999</v>
      </c>
      <c r="Q915">
        <f>'MS v Con'!N22</f>
        <v>2890.24327472</v>
      </c>
      <c r="R915">
        <f>'MS v Con'!O22</f>
        <v>4269.8901168699995</v>
      </c>
      <c r="S915">
        <f>'MS v Con'!P22</f>
        <v>2651.6417827199998</v>
      </c>
      <c r="T915">
        <f>'MS v Con'!Y22</f>
        <v>12108.41142531</v>
      </c>
      <c r="U915">
        <f>'MS v Con'!Z22</f>
        <v>14637.958845599998</v>
      </c>
      <c r="V915">
        <f>'MS v Con'!AA22</f>
        <v>16646.122530000001</v>
      </c>
      <c r="W915">
        <f>'MS v Con'!AB22</f>
        <v>18823.656559500003</v>
      </c>
      <c r="X915">
        <f>'MS v Con'!AC22</f>
        <v>0</v>
      </c>
    </row>
    <row r="916" spans="1:24">
      <c r="A916">
        <f>'MS v Con'!A23</f>
        <v>0</v>
      </c>
      <c r="B916" t="str">
        <f>'MS v Con'!B23</f>
        <v>Gross Margin</v>
      </c>
      <c r="C916">
        <f>'MS v Con'!C23</f>
        <v>0.88854999999999995</v>
      </c>
      <c r="D916">
        <f>'MS v Con'!D23</f>
        <v>0.90200000000000002</v>
      </c>
      <c r="E916">
        <f>'MS v Con'!E23</f>
        <v>0.93964000000000003</v>
      </c>
      <c r="F916">
        <f>'MS v Con'!F23</f>
        <v>0.93127000000000004</v>
      </c>
      <c r="G916">
        <f>'MS v Con'!G23</f>
        <v>0</v>
      </c>
      <c r="H916">
        <f>'MS v Con'!W23</f>
        <v>0</v>
      </c>
      <c r="I916">
        <f>'MS v Con'!X23</f>
        <v>0.93113451316174878</v>
      </c>
      <c r="J916">
        <f>'MS v Con'!G23</f>
        <v>0</v>
      </c>
      <c r="K916">
        <f>'MS v Con'!H23</f>
        <v>0.93505899999999997</v>
      </c>
      <c r="L916">
        <f>'MS v Con'!I23</f>
        <v>0.93722000000000005</v>
      </c>
      <c r="M916">
        <f>'MS v Con'!J23</f>
        <v>0.96858100000000003</v>
      </c>
      <c r="N916">
        <f>'MS v Con'!K23</f>
        <v>0.89209400000000005</v>
      </c>
      <c r="O916">
        <f>'MS v Con'!V23</f>
        <v>0</v>
      </c>
      <c r="P916">
        <f>'MS v Con'!M23</f>
        <v>0.93989999999999996</v>
      </c>
      <c r="Q916">
        <f>'MS v Con'!N23</f>
        <v>0.968113</v>
      </c>
      <c r="R916">
        <f>'MS v Con'!O23</f>
        <v>0.98417900000000003</v>
      </c>
      <c r="S916">
        <f>'MS v Con'!P23</f>
        <v>0.98095600000000005</v>
      </c>
      <c r="T916">
        <f>'MS v Con'!Y23</f>
        <v>0.96366187228889766</v>
      </c>
      <c r="U916">
        <f>'MS v Con'!Z23</f>
        <v>0.98806874580189397</v>
      </c>
      <c r="V916">
        <f>'MS v Con'!AA23</f>
        <v>0.98850000000000005</v>
      </c>
      <c r="W916">
        <f>'MS v Con'!AB23</f>
        <v>0.98850000000000005</v>
      </c>
      <c r="X916">
        <f>'MS v Con'!AC23</f>
        <v>0</v>
      </c>
    </row>
    <row r="918" spans="1:24">
      <c r="A918">
        <f>'MS v Con'!A24</f>
        <v>0</v>
      </c>
      <c r="B918" t="str">
        <f>'MS v Con'!B24</f>
        <v>Adj. EBITDA</v>
      </c>
      <c r="C918">
        <f>'MS v Con'!C24</f>
        <v>512.92700000000002</v>
      </c>
      <c r="D918">
        <f>'MS v Con'!D24</f>
        <v>775.23500000000001</v>
      </c>
      <c r="E918">
        <f>'MS v Con'!E24</f>
        <v>1521.61</v>
      </c>
      <c r="F918">
        <f>'MS v Con'!F24</f>
        <v>750.91899999999998</v>
      </c>
      <c r="G918">
        <f>'MS v Con'!G24</f>
        <v>0</v>
      </c>
      <c r="H918">
        <f>'MS v Con'!W24</f>
        <v>0</v>
      </c>
      <c r="I918">
        <f>'MS v Con'!X24</f>
        <v>4095.27</v>
      </c>
      <c r="J918">
        <f>'MS v Con'!G24</f>
        <v>0</v>
      </c>
      <c r="K918">
        <f>'MS v Con'!H24</f>
        <v>620.58500000000004</v>
      </c>
      <c r="L918">
        <f>'MS v Con'!I24</f>
        <v>806.38900000000001</v>
      </c>
      <c r="M918">
        <f>'MS v Con'!J24</f>
        <v>1822.11</v>
      </c>
      <c r="N918">
        <f>'MS v Con'!K24</f>
        <v>817.60299999999995</v>
      </c>
      <c r="O918">
        <f>'MS v Con'!V24</f>
        <v>0</v>
      </c>
      <c r="P918">
        <f>'MS v Con'!M24</f>
        <v>607.053</v>
      </c>
      <c r="Q918">
        <f>'MS v Con'!N24</f>
        <v>926.70100000000002</v>
      </c>
      <c r="R918">
        <f>'MS v Con'!O24</f>
        <v>2151.5100000000002</v>
      </c>
      <c r="S918">
        <f>'MS v Con'!P24</f>
        <v>929.53599999999994</v>
      </c>
      <c r="T918">
        <f>'MS v Con'!Y24</f>
        <v>4735.72</v>
      </c>
      <c r="U918">
        <f>'MS v Con'!Z24</f>
        <v>5638.5540000000001</v>
      </c>
      <c r="V918">
        <f>'MS v Con'!AA24</f>
        <v>6387.2730000000001</v>
      </c>
      <c r="W918">
        <f>'MS v Con'!AB24</f>
        <v>7146.34</v>
      </c>
      <c r="X918">
        <f>'MS v Con'!AC24</f>
        <v>0</v>
      </c>
    </row>
    <row r="920" spans="1:24">
      <c r="A920">
        <f>'MS v Con'!A26</f>
        <v>0</v>
      </c>
      <c r="B920" t="str">
        <f>'MS v Con'!B26</f>
        <v>Adj. EPS</v>
      </c>
      <c r="C920">
        <f>'MS v Con'!C26</f>
        <v>7.7185199999999998</v>
      </c>
      <c r="D920">
        <f>'MS v Con'!D26</f>
        <v>11.9816</v>
      </c>
      <c r="E920">
        <f>'MS v Con'!E26</f>
        <v>24.2302</v>
      </c>
      <c r="F920">
        <f>'MS v Con'!F26</f>
        <v>11.7997</v>
      </c>
      <c r="G920">
        <f>'MS v Con'!G26</f>
        <v>0</v>
      </c>
      <c r="H920">
        <f>'MS v Con'!W26</f>
        <v>0</v>
      </c>
      <c r="I920">
        <f>'MS v Con'!X26</f>
        <v>64.672499999999999</v>
      </c>
      <c r="J920">
        <f>'MS v Con'!G26</f>
        <v>0</v>
      </c>
      <c r="K920">
        <f>'MS v Con'!H26</f>
        <v>9.6549300000000002</v>
      </c>
      <c r="L920">
        <f>'MS v Con'!I26</f>
        <v>12.693899999999999</v>
      </c>
      <c r="M920">
        <f>'MS v Con'!J26</f>
        <v>29.916599999999999</v>
      </c>
      <c r="N920">
        <f>'MS v Con'!K26</f>
        <v>12.9819</v>
      </c>
      <c r="O920">
        <f>'MS v Con'!V26</f>
        <v>0</v>
      </c>
      <c r="P920">
        <f>'MS v Con'!M26</f>
        <v>8.8606099999999994</v>
      </c>
      <c r="Q920">
        <f>'MS v Con'!N26</f>
        <v>14.197800000000001</v>
      </c>
      <c r="R920">
        <f>'MS v Con'!O26</f>
        <v>34.25</v>
      </c>
      <c r="S920">
        <f>'MS v Con'!P26</f>
        <v>14.1181</v>
      </c>
      <c r="T920">
        <f>'MS v Con'!Y26</f>
        <v>74.453400000000002</v>
      </c>
      <c r="U920">
        <f>'MS v Con'!Z26</f>
        <v>87.037000000000006</v>
      </c>
      <c r="V920">
        <f>'MS v Con'!AA26</f>
        <v>99.676000000000002</v>
      </c>
      <c r="W920">
        <f>'MS v Con'!AB26</f>
        <v>113.47799999999999</v>
      </c>
      <c r="X920">
        <f>'MS v Con'!AC26</f>
        <v>0</v>
      </c>
    </row>
    <row r="921" spans="1:24">
      <c r="A921">
        <f>'MS v Con'!A27</f>
        <v>0</v>
      </c>
      <c r="B921">
        <f>'MS v Con'!B27</f>
        <v>0</v>
      </c>
      <c r="C921">
        <f>'MS v Con'!C27</f>
        <v>0</v>
      </c>
      <c r="D921">
        <f>'MS v Con'!D27</f>
        <v>0</v>
      </c>
      <c r="E921">
        <f>'MS v Con'!E27</f>
        <v>0</v>
      </c>
      <c r="F921">
        <f>'MS v Con'!F27</f>
        <v>0</v>
      </c>
      <c r="G921">
        <f>'MS v Con'!G27</f>
        <v>0</v>
      </c>
      <c r="H921">
        <f>'MS v Con'!W27</f>
        <v>0</v>
      </c>
      <c r="I921">
        <f>'MS v Con'!X27</f>
        <v>0</v>
      </c>
      <c r="J921">
        <f>'MS v Con'!G27</f>
        <v>0</v>
      </c>
      <c r="K921">
        <f>'MS v Con'!H27</f>
        <v>0</v>
      </c>
      <c r="L921">
        <f>'MS v Con'!I27</f>
        <v>0</v>
      </c>
      <c r="M921">
        <f>'MS v Con'!J27</f>
        <v>0</v>
      </c>
      <c r="N921">
        <f>'MS v Con'!K27</f>
        <v>0</v>
      </c>
      <c r="O921">
        <f>'MS v Con'!V27</f>
        <v>0</v>
      </c>
      <c r="P921">
        <f>'MS v Con'!M27</f>
        <v>0</v>
      </c>
      <c r="Q921">
        <f>'MS v Con'!N27</f>
        <v>0</v>
      </c>
      <c r="R921">
        <f>'MS v Con'!O27</f>
        <v>0</v>
      </c>
      <c r="S921">
        <f>'MS v Con'!P27</f>
        <v>0</v>
      </c>
      <c r="T921">
        <f>'MS v Con'!Y27</f>
        <v>0</v>
      </c>
      <c r="U921">
        <f>'MS v Con'!Z27</f>
        <v>0</v>
      </c>
      <c r="V921">
        <f>'MS v Con'!AA27</f>
        <v>0</v>
      </c>
      <c r="W921">
        <f>'MS v Con'!AB27</f>
        <v>0</v>
      </c>
      <c r="X921">
        <f>'MS v Con'!AC27</f>
        <v>0</v>
      </c>
    </row>
    <row r="922" spans="1:24">
      <c r="A922">
        <f>'MS v Con'!A28</f>
        <v>0</v>
      </c>
      <c r="B922" t="str">
        <f>'MS v Con'!B28</f>
        <v>(In millions USD)</v>
      </c>
      <c r="C922" t="str">
        <f>'MS v Con'!C28</f>
        <v>1Q2015</v>
      </c>
      <c r="D922" t="str">
        <f>'MS v Con'!D28</f>
        <v>2Q2015</v>
      </c>
      <c r="E922" t="str">
        <f>'MS v Con'!E28</f>
        <v>3Q2015</v>
      </c>
      <c r="F922" t="str">
        <f>'MS v Con'!F28</f>
        <v>4Q2015</v>
      </c>
      <c r="G922">
        <f>'MS v Con'!G28</f>
        <v>0</v>
      </c>
      <c r="H922">
        <f>'MS v Con'!W28</f>
        <v>0</v>
      </c>
      <c r="I922" t="str">
        <f>'MS v Con'!X28</f>
        <v>2016</v>
      </c>
      <c r="J922">
        <f>'MS v Con'!G28</f>
        <v>0</v>
      </c>
      <c r="K922" t="str">
        <f>'MS v Con'!H28</f>
        <v>1Q2016</v>
      </c>
      <c r="L922" t="str">
        <f>'MS v Con'!I28</f>
        <v>2Q2016</v>
      </c>
      <c r="M922" t="str">
        <f>'MS v Con'!J28</f>
        <v>3Q2016</v>
      </c>
      <c r="N922" t="str">
        <f>'MS v Con'!K28</f>
        <v>4Q2016</v>
      </c>
      <c r="O922">
        <f>'MS v Con'!V28</f>
        <v>0</v>
      </c>
      <c r="P922" t="str">
        <f>'MS v Con'!M28</f>
        <v>1Q2017</v>
      </c>
      <c r="Q922" t="str">
        <f>'MS v Con'!N28</f>
        <v>2Q2017</v>
      </c>
      <c r="R922" t="str">
        <f>'MS v Con'!O28</f>
        <v>3Q2017</v>
      </c>
      <c r="S922" t="str">
        <f>'MS v Con'!P28</f>
        <v>4Q2017</v>
      </c>
      <c r="T922" t="str">
        <f>'MS v Con'!Y28</f>
        <v>2017</v>
      </c>
      <c r="U922" t="str">
        <f>'MS v Con'!Z28</f>
        <v>2018</v>
      </c>
      <c r="V922" t="str">
        <f>'MS v Con'!AA28</f>
        <v>2019</v>
      </c>
      <c r="W922" t="str">
        <f>'MS v Con'!AB28</f>
        <v>2020</v>
      </c>
      <c r="X922">
        <f>'MS v Con'!AC28</f>
        <v>0</v>
      </c>
    </row>
    <row r="923" spans="1:24">
      <c r="A923">
        <f>'MS v Con'!A29</f>
        <v>0</v>
      </c>
      <c r="B923" t="str">
        <f>'MS v Con'!B29</f>
        <v>Variance</v>
      </c>
      <c r="C923">
        <f>'MS v Con'!C29</f>
        <v>0</v>
      </c>
      <c r="D923">
        <f>'MS v Con'!D29</f>
        <v>0</v>
      </c>
      <c r="E923">
        <f>'MS v Con'!E29</f>
        <v>0</v>
      </c>
      <c r="F923">
        <f>'MS v Con'!F29</f>
        <v>0</v>
      </c>
      <c r="G923">
        <f>'MS v Con'!G29</f>
        <v>0</v>
      </c>
      <c r="H923">
        <f>'MS v Con'!W29</f>
        <v>0</v>
      </c>
      <c r="I923">
        <f>'MS v Con'!X29</f>
        <v>0</v>
      </c>
      <c r="J923">
        <f>'MS v Con'!G29</f>
        <v>0</v>
      </c>
      <c r="K923">
        <f>'MS v Con'!H29</f>
        <v>0</v>
      </c>
      <c r="L923">
        <f>'MS v Con'!I29</f>
        <v>0</v>
      </c>
      <c r="M923">
        <f>'MS v Con'!J29</f>
        <v>0</v>
      </c>
      <c r="N923">
        <f>'MS v Con'!K29</f>
        <v>0</v>
      </c>
      <c r="O923">
        <f>'MS v Con'!V29</f>
        <v>0</v>
      </c>
      <c r="P923">
        <f>'MS v Con'!M29</f>
        <v>0</v>
      </c>
      <c r="Q923">
        <f>'MS v Con'!N29</f>
        <v>0</v>
      </c>
      <c r="R923">
        <f>'MS v Con'!O29</f>
        <v>0</v>
      </c>
      <c r="S923">
        <f>'MS v Con'!P29</f>
        <v>0</v>
      </c>
      <c r="T923">
        <f>'MS v Con'!Y29</f>
        <v>0</v>
      </c>
      <c r="U923">
        <f>'MS v Con'!Z29</f>
        <v>0</v>
      </c>
      <c r="V923">
        <f>'MS v Con'!AA29</f>
        <v>0</v>
      </c>
      <c r="W923">
        <f>'MS v Con'!AB29</f>
        <v>0</v>
      </c>
      <c r="X923">
        <f>'MS v Con'!AC29</f>
        <v>0</v>
      </c>
    </row>
    <row r="924" spans="1:24">
      <c r="A924">
        <f>'MS v Con'!A30</f>
        <v>0</v>
      </c>
      <c r="B924" t="str">
        <f>'MS v Con'!B30</f>
        <v>Revenue</v>
      </c>
      <c r="C924">
        <f>'MS v Con'!C30</f>
        <v>2.3352551023244628E-2</v>
      </c>
      <c r="D924">
        <f>'MS v Con'!D30</f>
        <v>6.5667043327801711E-3</v>
      </c>
      <c r="E924">
        <f>'MS v Con'!E30</f>
        <v>1.6255031490827854E-2</v>
      </c>
      <c r="F924">
        <f>'MS v Con'!F30</f>
        <v>2.2497558780975258E-2</v>
      </c>
      <c r="G924">
        <f>'MS v Con'!G30</f>
        <v>0</v>
      </c>
      <c r="H924">
        <f>'MS v Con'!W30</f>
        <v>0</v>
      </c>
      <c r="I924">
        <f>'MS v Con'!X30</f>
        <v>2.1741280073135361E-3</v>
      </c>
      <c r="J924">
        <f>'MS v Con'!G30</f>
        <v>0</v>
      </c>
      <c r="K924">
        <f>'MS v Con'!H30</f>
        <v>1.2032055328892177E-2</v>
      </c>
      <c r="L924">
        <f>'MS v Con'!I30</f>
        <v>-1.0847043070052131E-2</v>
      </c>
      <c r="M924">
        <f>'MS v Con'!J30</f>
        <v>2.0391506303915063E-2</v>
      </c>
      <c r="N924">
        <f>'MS v Con'!K30</f>
        <v>1.1174692570011358E-2</v>
      </c>
      <c r="O924">
        <f>'MS v Con'!V30</f>
        <v>0</v>
      </c>
      <c r="P924">
        <f>'MS v Con'!M30</f>
        <v>-9.8572124297622299E-3</v>
      </c>
      <c r="Q924">
        <f>'MS v Con'!N30</f>
        <v>1.3102256283830771E-2</v>
      </c>
      <c r="R924">
        <f>'MS v Con'!O30</f>
        <v>2.2011833501208944E-2</v>
      </c>
      <c r="S924">
        <f>'MS v Con'!P30</f>
        <v>3.6984299624138073E-2</v>
      </c>
      <c r="T924">
        <f>'MS v Con'!Y30</f>
        <v>9.2385196975726114E-3</v>
      </c>
      <c r="U924">
        <f>'MS v Con'!Z30</f>
        <v>3.0846574889234146E-2</v>
      </c>
      <c r="V924">
        <f>'MS v Con'!AA30</f>
        <v>2.9686104789353962E-2</v>
      </c>
      <c r="W924">
        <f>'MS v Con'!AB30</f>
        <v>1.7874647705636404E-2</v>
      </c>
      <c r="X924">
        <f>'MS v Con'!AC30</f>
        <v>0</v>
      </c>
    </row>
    <row r="925" spans="1:24">
      <c r="A925">
        <f>'MS v Con'!A31</f>
        <v>0</v>
      </c>
      <c r="B925" t="str">
        <f>'MS v Con'!B31</f>
        <v xml:space="preserve">Gross Profit </v>
      </c>
      <c r="C925">
        <f>'MS v Con'!C31</f>
        <v>4.6307593871676378E-2</v>
      </c>
      <c r="D925">
        <f>'MS v Con'!D31</f>
        <v>2.4177628192083578E-2</v>
      </c>
      <c r="E925">
        <f>'MS v Con'!E31</f>
        <v>2.7294552059709432E-2</v>
      </c>
      <c r="F925">
        <f>'MS v Con'!F31</f>
        <v>3.1746611448774109E-2</v>
      </c>
      <c r="G925">
        <f>'MS v Con'!G31</f>
        <v>0</v>
      </c>
      <c r="H925">
        <f>'MS v Con'!W31</f>
        <v>0</v>
      </c>
      <c r="I925">
        <f>'MS v Con'!X31</f>
        <v>3.3382751967126145E-2</v>
      </c>
      <c r="J925">
        <f>'MS v Con'!G31</f>
        <v>0</v>
      </c>
      <c r="K925">
        <f>'MS v Con'!H31</f>
        <v>1.7489701895833321E-2</v>
      </c>
      <c r="L925">
        <f>'MS v Con'!I31</f>
        <v>3.3476850952900428E-3</v>
      </c>
      <c r="M925">
        <f>'MS v Con'!J31</f>
        <v>2.4520474937884007E-2</v>
      </c>
      <c r="N925">
        <f>'MS v Con'!K31</f>
        <v>9.8698509165034976E-2</v>
      </c>
      <c r="O925">
        <f>'MS v Con'!V31</f>
        <v>0</v>
      </c>
      <c r="P925">
        <f>'MS v Con'!M31</f>
        <v>1.6371225083479768E-2</v>
      </c>
      <c r="Q925">
        <f>'MS v Con'!N31</f>
        <v>2.1302955989393135E-2</v>
      </c>
      <c r="R925">
        <f>'MS v Con'!O31</f>
        <v>2.4511844629557578E-2</v>
      </c>
      <c r="S925">
        <f>'MS v Con'!P31</f>
        <v>4.461432839493451E-2</v>
      </c>
      <c r="T925">
        <f>'MS v Con'!Y31</f>
        <v>2.660411538516505E-2</v>
      </c>
      <c r="U925">
        <f>'MS v Con'!Z31</f>
        <v>7.0988137587921774E-3</v>
      </c>
      <c r="V925">
        <f>'MS v Con'!AA31</f>
        <v>8.610968746305625E-3</v>
      </c>
      <c r="W925">
        <f>'MS v Con'!AB31</f>
        <v>-1.0190213455041341E-4</v>
      </c>
      <c r="X925">
        <f>'MS v Con'!AC31</f>
        <v>0</v>
      </c>
    </row>
    <row r="926" spans="1:24">
      <c r="A926">
        <f>'MS v Con'!A32</f>
        <v>0</v>
      </c>
      <c r="B926" t="str">
        <f>'MS v Con'!B32</f>
        <v>Gross Margin</v>
      </c>
      <c r="C926">
        <f>'MS v Con'!C32</f>
        <v>199.31257612617824</v>
      </c>
      <c r="D926">
        <f>'MS v Con'!D32</f>
        <v>157.81421392853989</v>
      </c>
      <c r="E926">
        <f>'MS v Con'!E32</f>
        <v>102.07255842194063</v>
      </c>
      <c r="F926">
        <f>'MS v Con'!F32</f>
        <v>84.238492346230259</v>
      </c>
      <c r="G926">
        <f>'MS v Con'!G32</f>
        <v>0</v>
      </c>
      <c r="H926">
        <f>'MS v Con'!W32</f>
        <v>0</v>
      </c>
      <c r="I926">
        <f>'MS v Con'!X32</f>
        <v>289.96385024475768</v>
      </c>
      <c r="J926">
        <f>'MS v Con'!G32</f>
        <v>0</v>
      </c>
      <c r="K926">
        <f>'MS v Con'!H32</f>
        <v>50.425493089535365</v>
      </c>
      <c r="L926">
        <f>'MS v Con'!I32</f>
        <v>134.4947011270381</v>
      </c>
      <c r="M926">
        <f>'MS v Con'!J32</f>
        <v>39.193197353675217</v>
      </c>
      <c r="N926">
        <f>'MS v Con'!K32</f>
        <v>772.16599876598457</v>
      </c>
      <c r="O926">
        <f>'MS v Con'!V32</f>
        <v>0</v>
      </c>
      <c r="P926">
        <f>'MS v Con'!M32</f>
        <v>248.97528647551349</v>
      </c>
      <c r="Q926">
        <f>'MS v Con'!N32</f>
        <v>78.365277984602244</v>
      </c>
      <c r="R926">
        <f>'MS v Con'!O32</f>
        <v>24.074657177479697</v>
      </c>
      <c r="S926">
        <f>'MS v Con'!P32</f>
        <v>72.177780373322562</v>
      </c>
      <c r="T926">
        <f>'MS v Con'!Y32</f>
        <v>165.81375093305039</v>
      </c>
      <c r="U926">
        <f>'MS v Con'!Z32</f>
        <v>-227.62282115823206</v>
      </c>
      <c r="V926">
        <f>'MS v Con'!AA32</f>
        <v>-202.32158015587643</v>
      </c>
      <c r="W926">
        <f>'MS v Con'!AB32</f>
        <v>-174.57768063168899</v>
      </c>
      <c r="X926">
        <f>'MS v Con'!AC32</f>
        <v>0</v>
      </c>
    </row>
    <row r="928" spans="1:24">
      <c r="A928">
        <f>'MS v Con'!A33</f>
        <v>0</v>
      </c>
      <c r="B928" t="str">
        <f>'MS v Con'!B33</f>
        <v>Adj. EBITDA</v>
      </c>
      <c r="C928">
        <f>'MS v Con'!C33</f>
        <v>3.6667985892729238E-2</v>
      </c>
      <c r="D928">
        <f>'MS v Con'!D33</f>
        <v>3.8040078169845337E-2</v>
      </c>
      <c r="E928">
        <f>'MS v Con'!E33</f>
        <v>4.9281353303408881E-2</v>
      </c>
      <c r="F928">
        <f>'MS v Con'!F33</f>
        <v>5.1506221043813971E-2</v>
      </c>
      <c r="G928">
        <f>'MS v Con'!G33</f>
        <v>0</v>
      </c>
      <c r="H928">
        <f>'MS v Con'!W33</f>
        <v>0</v>
      </c>
      <c r="I928">
        <f>'MS v Con'!X33</f>
        <v>1.0735555897413374E-2</v>
      </c>
      <c r="J928">
        <f>'MS v Con'!G33</f>
        <v>0</v>
      </c>
      <c r="K928">
        <f>'MS v Con'!H33</f>
        <v>8.9715349226938246E-2</v>
      </c>
      <c r="L928">
        <f>'MS v Con'!I33</f>
        <v>7.5277564550112031E-2</v>
      </c>
      <c r="M928">
        <f>'MS v Con'!J33</f>
        <v>4.4017649867461595E-2</v>
      </c>
      <c r="N928">
        <f>'MS v Con'!K33</f>
        <v>6.2394585147069748E-2</v>
      </c>
      <c r="O928">
        <f>'MS v Con'!V33</f>
        <v>0</v>
      </c>
      <c r="P928">
        <f>'MS v Con'!M33</f>
        <v>4.5650050325094949E-2</v>
      </c>
      <c r="Q928">
        <f>'MS v Con'!N33</f>
        <v>5.1188031522573674E-2</v>
      </c>
      <c r="R928">
        <f>'MS v Con'!O33</f>
        <v>1.6809589544087622E-2</v>
      </c>
      <c r="S928">
        <f>'MS v Con'!P33</f>
        <v>0.15181552946846577</v>
      </c>
      <c r="T928">
        <f>'MS v Con'!Y33</f>
        <v>2.7770222901691399E-2</v>
      </c>
      <c r="U928">
        <f>'MS v Con'!Z33</f>
        <v>5.0565323825124242E-2</v>
      </c>
      <c r="V928">
        <f>'MS v Con'!AA33</f>
        <v>6.4505375071439719E-2</v>
      </c>
      <c r="W928">
        <f>'MS v Con'!AB33</f>
        <v>7.4828538037202685E-2</v>
      </c>
      <c r="X928">
        <f>'MS v Con'!AC33</f>
        <v>0</v>
      </c>
    </row>
    <row r="930" spans="1:24">
      <c r="A930">
        <f>'MS v Con'!A35</f>
        <v>0</v>
      </c>
      <c r="B930" t="str">
        <f>'MS v Con'!B35</f>
        <v>Adj. EPS</v>
      </c>
      <c r="C930">
        <f>'MS v Con'!C35</f>
        <v>5.1621819849524853E-2</v>
      </c>
      <c r="D930">
        <f>'MS v Con'!D35</f>
        <v>3.8704188993833544E-2</v>
      </c>
      <c r="E930">
        <f>'MS v Con'!E35</f>
        <v>4.6222955309031422E-2</v>
      </c>
      <c r="F930">
        <f>'MS v Con'!F35</f>
        <v>7.046247553068774E-2</v>
      </c>
      <c r="G930">
        <f>'MS v Con'!G35</f>
        <v>0</v>
      </c>
      <c r="H930">
        <f>'MS v Con'!W35</f>
        <v>0</v>
      </c>
      <c r="I930">
        <f>'MS v Con'!X35</f>
        <v>1.4890089235562787E-2</v>
      </c>
      <c r="J930">
        <f>'MS v Con'!G35</f>
        <v>0</v>
      </c>
      <c r="K930">
        <f>'MS v Con'!H35</f>
        <v>9.1936193639639896E-2</v>
      </c>
      <c r="L930">
        <f>'MS v Con'!I35</f>
        <v>9.7181398282178755E-2</v>
      </c>
      <c r="M930">
        <f>'MS v Con'!J35</f>
        <v>4.2203458067004318E-2</v>
      </c>
      <c r="N930">
        <f>'MS v Con'!K35</f>
        <v>9.4706895740998442E-2</v>
      </c>
      <c r="O930">
        <f>'MS v Con'!V35</f>
        <v>0</v>
      </c>
      <c r="P930">
        <f>'MS v Con'!M35</f>
        <v>0.11463903829368971</v>
      </c>
      <c r="Q930">
        <f>'MS v Con'!N35</f>
        <v>6.6473779655985776E-2</v>
      </c>
      <c r="R930">
        <f>'MS v Con'!O35</f>
        <v>2.8463822952532691E-2</v>
      </c>
      <c r="S930">
        <f>'MS v Con'!P35</f>
        <v>0.19404401404510696</v>
      </c>
      <c r="T930">
        <f>'MS v Con'!Y35</f>
        <v>3.5588230926427711E-2</v>
      </c>
      <c r="U930">
        <f>'MS v Con'!Z35</f>
        <v>5.8058015153690912E-2</v>
      </c>
      <c r="V930">
        <f>'MS v Con'!AA35</f>
        <v>9.4264190231239553E-2</v>
      </c>
      <c r="W930">
        <f>'MS v Con'!AB35</f>
        <v>0.10794283878472166</v>
      </c>
      <c r="X930">
        <f>'MS v Con'!AC35</f>
        <v>0</v>
      </c>
    </row>
    <row r="931" spans="1:24">
      <c r="A931">
        <f>'MS v Con'!A36</f>
        <v>0</v>
      </c>
      <c r="B931">
        <f>'MS v Con'!B36</f>
        <v>0</v>
      </c>
      <c r="C931">
        <f>'MS v Con'!C36</f>
        <v>0</v>
      </c>
      <c r="D931">
        <f>'MS v Con'!D36</f>
        <v>0</v>
      </c>
      <c r="E931">
        <f>'MS v Con'!E36</f>
        <v>0</v>
      </c>
      <c r="F931">
        <f>'MS v Con'!F36</f>
        <v>0</v>
      </c>
      <c r="G931">
        <f>'MS v Con'!G36</f>
        <v>0</v>
      </c>
      <c r="H931">
        <f>'MS v Con'!W36</f>
        <v>0</v>
      </c>
      <c r="I931">
        <f>'MS v Con'!X36</f>
        <v>0</v>
      </c>
      <c r="J931">
        <f>'MS v Con'!Z36</f>
        <v>0</v>
      </c>
      <c r="P931">
        <f>'MS v Con'!M36</f>
        <v>0</v>
      </c>
      <c r="Q931">
        <f>'MS v Con'!N36</f>
        <v>0</v>
      </c>
      <c r="R931">
        <f>'MS v Con'!O36</f>
        <v>0</v>
      </c>
      <c r="S931">
        <f>'MS v Con'!P36</f>
        <v>0</v>
      </c>
      <c r="T931">
        <f>'MS v Con'!Y36</f>
        <v>0</v>
      </c>
      <c r="U931">
        <f>'MS v Con'!Z36</f>
        <v>0</v>
      </c>
      <c r="V931">
        <f>'MS v Con'!AA36</f>
        <v>0</v>
      </c>
      <c r="W931">
        <f>'MS v Con'!AB36</f>
        <v>0</v>
      </c>
      <c r="X931">
        <f>'MS v Con'!AC36</f>
        <v>0</v>
      </c>
    </row>
    <row r="932" spans="1:24">
      <c r="A932">
        <f>'MS v Con'!A37</f>
        <v>0</v>
      </c>
      <c r="B932">
        <f>'MS v Con'!B37</f>
        <v>0</v>
      </c>
      <c r="C932">
        <f>'MS v Con'!C37</f>
        <v>0</v>
      </c>
      <c r="D932">
        <f>'MS v Con'!D37</f>
        <v>0</v>
      </c>
      <c r="E932">
        <f>'MS v Con'!E37</f>
        <v>0</v>
      </c>
      <c r="F932">
        <f>'MS v Con'!F37</f>
        <v>0</v>
      </c>
      <c r="G932">
        <f>'MS v Con'!G37</f>
        <v>0</v>
      </c>
      <c r="I932">
        <f>'MS v Con'!X37</f>
        <v>0</v>
      </c>
      <c r="J932">
        <f>'MS v Con'!Z37</f>
        <v>0</v>
      </c>
      <c r="P932">
        <f>'MS v Con'!M37</f>
        <v>0</v>
      </c>
      <c r="Q932">
        <f>'MS v Con'!N37</f>
        <v>0</v>
      </c>
      <c r="R932">
        <f>'MS v Con'!O37</f>
        <v>0</v>
      </c>
      <c r="S932">
        <f>'MS v Con'!P37</f>
        <v>0</v>
      </c>
      <c r="T932">
        <f>'MS v Con'!Y37</f>
        <v>0</v>
      </c>
      <c r="U932">
        <f>'MS v Con'!Z37</f>
        <v>0</v>
      </c>
      <c r="V932">
        <f>'MS v Con'!AA37</f>
        <v>0</v>
      </c>
      <c r="W932">
        <f>'MS v Con'!AB37</f>
        <v>0</v>
      </c>
      <c r="X932">
        <f>'MS v Con'!AC37</f>
        <v>0</v>
      </c>
    </row>
    <row r="933" spans="1:24">
      <c r="A933">
        <f>'MS v Con'!A38</f>
        <v>0</v>
      </c>
      <c r="B933" t="str">
        <f>'MS v Con'!C38</f>
        <v>(In millions USD)</v>
      </c>
      <c r="C933" t="str">
        <f>'MS v Con'!D38</f>
        <v>MSe</v>
      </c>
      <c r="D933" t="str">
        <f>'MS v Con'!E38</f>
        <v>Consensus</v>
      </c>
      <c r="F933">
        <f>'MS v Con'!F38</f>
        <v>0</v>
      </c>
      <c r="G933">
        <f>'MS v Con'!G38</f>
        <v>0</v>
      </c>
      <c r="I933">
        <f>'MS v Con'!X38</f>
        <v>0</v>
      </c>
      <c r="J933">
        <f>'MS v Con'!Z38</f>
        <v>0</v>
      </c>
      <c r="P933" t="str">
        <f>'MS v Con'!M38</f>
        <v>(In millions USD)</v>
      </c>
      <c r="Q933" t="str">
        <f>'MS v Con'!N38</f>
        <v>MSe</v>
      </c>
      <c r="R933" t="str">
        <f>'MS v Con'!O38</f>
        <v>Consensus</v>
      </c>
      <c r="S933">
        <f>'MS v Con'!P38</f>
        <v>0</v>
      </c>
      <c r="T933">
        <f>'MS v Con'!Y38</f>
        <v>0</v>
      </c>
      <c r="U933">
        <f>'MS v Con'!Z38</f>
        <v>0</v>
      </c>
      <c r="V933">
        <f>'MS v Con'!AA38</f>
        <v>0</v>
      </c>
      <c r="W933">
        <f>'MS v Con'!AB38</f>
        <v>0</v>
      </c>
      <c r="X933">
        <f>'MS v Con'!AC38</f>
        <v>0</v>
      </c>
    </row>
    <row r="934" spans="1:24">
      <c r="A934">
        <f>'MS v Con'!A58</f>
        <v>0</v>
      </c>
      <c r="B934">
        <f>'MS v Con'!B58</f>
        <v>0</v>
      </c>
      <c r="C934">
        <f>'MS v Con'!C58</f>
        <v>0</v>
      </c>
      <c r="D934">
        <f>'MS v Con'!D58</f>
        <v>0</v>
      </c>
      <c r="E934">
        <f>'MS v Con'!E58</f>
        <v>0</v>
      </c>
      <c r="F934">
        <f>'MS v Con'!F58</f>
        <v>0</v>
      </c>
      <c r="G934">
        <f>'MS v Con'!G58</f>
        <v>0</v>
      </c>
      <c r="H934">
        <f>'MS v Con'!W58</f>
        <v>0</v>
      </c>
      <c r="I934">
        <f>'MS v Con'!X58</f>
        <v>0</v>
      </c>
      <c r="J934">
        <f>'MS v Con'!Z39</f>
        <v>0</v>
      </c>
      <c r="P934">
        <f>'MS v Con'!M39</f>
        <v>2017</v>
      </c>
      <c r="Q934">
        <f>'MS v Con'!N39</f>
        <v>0</v>
      </c>
      <c r="R934">
        <f>'MS v Con'!O39</f>
        <v>0</v>
      </c>
      <c r="S934">
        <f>'MS v Con'!P39</f>
        <v>0</v>
      </c>
      <c r="T934">
        <f>'MS v Con'!Y39</f>
        <v>0</v>
      </c>
      <c r="U934">
        <f>'MS v Con'!Z39</f>
        <v>0</v>
      </c>
      <c r="V934">
        <f>'MS v Con'!AA39</f>
        <v>0</v>
      </c>
      <c r="W934">
        <f>'MS v Con'!AB39</f>
        <v>0</v>
      </c>
      <c r="X934">
        <f>'MS v Con'!AC39</f>
        <v>0</v>
      </c>
    </row>
    <row r="935" spans="1:24">
      <c r="P935" t="str">
        <f>'MS v Con'!M40</f>
        <v>Revenue</v>
      </c>
      <c r="Q935">
        <f>'MS v Con'!N40</f>
        <v>12681.082</v>
      </c>
      <c r="R935">
        <f>'MS v Con'!O40</f>
        <v>12565</v>
      </c>
      <c r="S935">
        <f>'MS v Con'!P40</f>
        <v>0</v>
      </c>
      <c r="T935">
        <f>'MS v Con'!Y40</f>
        <v>0</v>
      </c>
      <c r="U935">
        <f>'MS v Con'!Z40</f>
        <v>0</v>
      </c>
      <c r="V935">
        <f>'MS v Con'!AA40</f>
        <v>0</v>
      </c>
      <c r="W935">
        <f>'MS v Con'!AB40</f>
        <v>0</v>
      </c>
      <c r="X935">
        <f>'MS v Con'!AC40</f>
        <v>0</v>
      </c>
    </row>
    <row r="936" spans="1:24">
      <c r="P936" t="str">
        <f>'MS v Con'!M41</f>
        <v xml:space="preserve">Gross Profit </v>
      </c>
      <c r="Q936">
        <f>'MS v Con'!N41</f>
        <v>12430.544999999998</v>
      </c>
      <c r="R936">
        <f>'MS v Con'!O41</f>
        <v>12108.41142531</v>
      </c>
      <c r="S936">
        <f>'MS v Con'!P41</f>
        <v>0</v>
      </c>
      <c r="T936">
        <f>'MS v Con'!Y41</f>
        <v>0</v>
      </c>
      <c r="U936">
        <f>'MS v Con'!Z41</f>
        <v>0</v>
      </c>
      <c r="V936">
        <f>'MS v Con'!AA41</f>
        <v>0</v>
      </c>
      <c r="W936">
        <f>'MS v Con'!AB41</f>
        <v>0</v>
      </c>
      <c r="X936">
        <f>'MS v Con'!AC41</f>
        <v>0</v>
      </c>
    </row>
    <row r="937" spans="1:24">
      <c r="A937">
        <v>0</v>
      </c>
      <c r="B937">
        <v>0</v>
      </c>
      <c r="C937">
        <v>0</v>
      </c>
      <c r="D937">
        <v>0</v>
      </c>
      <c r="E937">
        <v>0</v>
      </c>
      <c r="F937">
        <v>0</v>
      </c>
      <c r="G937">
        <v>0</v>
      </c>
      <c r="H937">
        <v>0</v>
      </c>
      <c r="I937">
        <v>0</v>
      </c>
      <c r="J937">
        <v>0</v>
      </c>
      <c r="K937">
        <v>0</v>
      </c>
      <c r="L937">
        <v>0</v>
      </c>
      <c r="M937">
        <v>0</v>
      </c>
      <c r="N937">
        <v>0</v>
      </c>
      <c r="O937">
        <v>0</v>
      </c>
      <c r="P937" t="str">
        <f>'MS v Con'!M42</f>
        <v>Gross Margin</v>
      </c>
      <c r="Q937">
        <f>'MS v Con'!N42</f>
        <v>0.9802432473822027</v>
      </c>
      <c r="R937">
        <f>'MS v Con'!O42</f>
        <v>0.96366187228889766</v>
      </c>
      <c r="S937">
        <f>'MS v Con'!P42</f>
        <v>0</v>
      </c>
      <c r="T937">
        <f>'MS v Con'!Y42</f>
        <v>0</v>
      </c>
      <c r="U937">
        <f>'MS v Con'!Z42</f>
        <v>0</v>
      </c>
      <c r="V937">
        <f>'MS v Con'!AA42</f>
        <v>0</v>
      </c>
      <c r="W937">
        <f>'MS v Con'!AB42</f>
        <v>0</v>
      </c>
      <c r="X937">
        <f>'MS v Con'!AC42</f>
        <v>0</v>
      </c>
    </row>
    <row r="938" spans="1:24">
      <c r="A938" t="s">
        <v>768</v>
      </c>
      <c r="B938" t="s">
        <v>8</v>
      </c>
      <c r="C938" t="s">
        <v>19</v>
      </c>
      <c r="D938" t="s">
        <v>20</v>
      </c>
      <c r="E938">
        <v>0</v>
      </c>
      <c r="F938">
        <v>0</v>
      </c>
      <c r="G938">
        <v>0</v>
      </c>
      <c r="H938">
        <v>0</v>
      </c>
      <c r="I938">
        <v>0</v>
      </c>
      <c r="J938">
        <v>0</v>
      </c>
      <c r="K938">
        <v>0</v>
      </c>
      <c r="L938">
        <v>0</v>
      </c>
      <c r="M938">
        <v>0</v>
      </c>
      <c r="N938">
        <v>0</v>
      </c>
      <c r="O938">
        <v>0</v>
      </c>
    </row>
    <row r="939" spans="1:24">
      <c r="A939" t="s">
        <v>2</v>
      </c>
      <c r="B939">
        <v>58.326132619043015</v>
      </c>
      <c r="C939">
        <v>71.373679493675908</v>
      </c>
      <c r="D939">
        <v>83.896317734527656</v>
      </c>
      <c r="E939">
        <v>0</v>
      </c>
      <c r="F939">
        <v>0</v>
      </c>
      <c r="G939">
        <v>0</v>
      </c>
      <c r="H939">
        <v>0</v>
      </c>
      <c r="I939">
        <v>0</v>
      </c>
      <c r="J939">
        <v>0</v>
      </c>
      <c r="K939">
        <v>0</v>
      </c>
      <c r="L939">
        <v>0</v>
      </c>
      <c r="M939">
        <v>0</v>
      </c>
      <c r="N939">
        <v>0</v>
      </c>
      <c r="O939">
        <v>0</v>
      </c>
      <c r="P939" t="str">
        <f>'MS v Con'!M43</f>
        <v>Adj. EBITDA</v>
      </c>
      <c r="Q939">
        <f>'MS v Con'!N43</f>
        <v>4867.2319999999982</v>
      </c>
      <c r="R939">
        <f>'MS v Con'!O43</f>
        <v>4735.72</v>
      </c>
      <c r="S939">
        <f>'MS v Con'!P43</f>
        <v>0</v>
      </c>
      <c r="T939">
        <f>'MS v Con'!Y43</f>
        <v>0</v>
      </c>
      <c r="U939">
        <f>'MS v Con'!Z43</f>
        <v>0</v>
      </c>
      <c r="V939">
        <f>'MS v Con'!AA43</f>
        <v>0</v>
      </c>
      <c r="W939">
        <f>'MS v Con'!AB43</f>
        <v>0</v>
      </c>
      <c r="X939">
        <f>'MS v Con'!AC43</f>
        <v>0</v>
      </c>
    </row>
    <row r="941" spans="1:24">
      <c r="P941" t="str">
        <f>'MS v Con'!M45</f>
        <v>Adj. EPS</v>
      </c>
      <c r="Q941">
        <f>'MS v Con'!N45</f>
        <v>77.103064792457701</v>
      </c>
      <c r="R941">
        <f>'MS v Con'!O45</f>
        <v>74.453400000000002</v>
      </c>
      <c r="S941">
        <f>'MS v Con'!P45</f>
        <v>0</v>
      </c>
      <c r="T941">
        <f>'MS v Con'!Y45</f>
        <v>0</v>
      </c>
      <c r="U941">
        <f>'MS v Con'!Z45</f>
        <v>0</v>
      </c>
      <c r="V941">
        <f>'MS v Con'!AA45</f>
        <v>0</v>
      </c>
      <c r="W941">
        <f>'MS v Con'!AB45</f>
        <v>0</v>
      </c>
      <c r="X941">
        <f>'MS v Con'!AC45</f>
        <v>0</v>
      </c>
    </row>
    <row r="943" spans="1:24">
      <c r="A943">
        <v>0</v>
      </c>
      <c r="B943">
        <v>0</v>
      </c>
      <c r="C943">
        <v>0</v>
      </c>
      <c r="D943">
        <v>0</v>
      </c>
      <c r="E943">
        <v>0</v>
      </c>
      <c r="F943">
        <v>0</v>
      </c>
      <c r="G943">
        <v>0</v>
      </c>
      <c r="H943">
        <v>0</v>
      </c>
      <c r="I943">
        <v>0</v>
      </c>
      <c r="J943">
        <v>0</v>
      </c>
      <c r="K943">
        <v>0</v>
      </c>
      <c r="L943">
        <v>0</v>
      </c>
      <c r="M943">
        <v>0</v>
      </c>
      <c r="N943">
        <v>0</v>
      </c>
      <c r="O943">
        <v>0</v>
      </c>
      <c r="P943">
        <v>0</v>
      </c>
    </row>
    <row r="944" spans="1:24">
      <c r="A944" t="s">
        <v>595</v>
      </c>
      <c r="B944">
        <v>38.405031147275231</v>
      </c>
      <c r="C944">
        <v>31.384355631166951</v>
      </c>
      <c r="D944">
        <v>26.699824264308209</v>
      </c>
      <c r="E944">
        <v>0</v>
      </c>
      <c r="F944">
        <v>0</v>
      </c>
      <c r="G944">
        <v>0</v>
      </c>
      <c r="H944">
        <v>0</v>
      </c>
      <c r="I944">
        <v>0</v>
      </c>
      <c r="J944">
        <v>0</v>
      </c>
      <c r="K944">
        <v>0</v>
      </c>
      <c r="L944">
        <v>0</v>
      </c>
      <c r="M944">
        <v>0</v>
      </c>
      <c r="N944">
        <v>0</v>
      </c>
      <c r="O944">
        <v>0</v>
      </c>
      <c r="P944">
        <v>0</v>
      </c>
    </row>
    <row r="945" spans="1:16">
      <c r="A945">
        <v>0</v>
      </c>
      <c r="B945">
        <v>0</v>
      </c>
      <c r="C945">
        <v>0</v>
      </c>
      <c r="D945">
        <v>0</v>
      </c>
      <c r="E945">
        <v>0</v>
      </c>
      <c r="F945">
        <v>0</v>
      </c>
      <c r="G945">
        <v>0</v>
      </c>
      <c r="H945">
        <v>0</v>
      </c>
      <c r="I945">
        <v>0</v>
      </c>
      <c r="J945">
        <v>0</v>
      </c>
      <c r="K945">
        <v>0</v>
      </c>
      <c r="L945">
        <v>0</v>
      </c>
      <c r="M945">
        <v>0</v>
      </c>
      <c r="N945">
        <v>0</v>
      </c>
      <c r="O945">
        <v>0</v>
      </c>
      <c r="P945">
        <v>0</v>
      </c>
    </row>
    <row r="946" spans="1:16">
      <c r="A946" t="s">
        <v>670</v>
      </c>
      <c r="B946">
        <v>2240.0169399344527</v>
      </c>
      <c r="C946">
        <v>2240.0169399344527</v>
      </c>
      <c r="D946">
        <v>2240.0169399344527</v>
      </c>
      <c r="E946">
        <v>0</v>
      </c>
      <c r="F946">
        <v>0</v>
      </c>
      <c r="G946">
        <v>0</v>
      </c>
      <c r="H946">
        <v>0</v>
      </c>
      <c r="I946">
        <v>0</v>
      </c>
      <c r="J946">
        <v>0</v>
      </c>
      <c r="K946">
        <v>0</v>
      </c>
      <c r="L946">
        <v>0</v>
      </c>
      <c r="M946">
        <v>0</v>
      </c>
      <c r="N946">
        <v>0</v>
      </c>
      <c r="O946">
        <v>0</v>
      </c>
      <c r="P946">
        <v>0</v>
      </c>
    </row>
    <row r="947" spans="1:16">
      <c r="A947">
        <v>0</v>
      </c>
      <c r="B947">
        <v>0</v>
      </c>
      <c r="C947">
        <v>0</v>
      </c>
      <c r="D947">
        <v>0</v>
      </c>
      <c r="E947">
        <v>0</v>
      </c>
      <c r="F947">
        <v>0</v>
      </c>
      <c r="G947">
        <v>0</v>
      </c>
      <c r="H947">
        <v>0</v>
      </c>
      <c r="I947">
        <v>0</v>
      </c>
      <c r="J947">
        <v>0</v>
      </c>
      <c r="K947">
        <v>0</v>
      </c>
      <c r="L947">
        <v>0</v>
      </c>
      <c r="M947">
        <v>0</v>
      </c>
      <c r="N947">
        <v>0</v>
      </c>
      <c r="O947">
        <v>0</v>
      </c>
      <c r="P947">
        <v>0</v>
      </c>
    </row>
    <row r="950" spans="1:16">
      <c r="A950" t="s">
        <v>533</v>
      </c>
      <c r="B950">
        <v>2085.86</v>
      </c>
      <c r="C950">
        <v>2085.86</v>
      </c>
      <c r="D950">
        <v>2085.86</v>
      </c>
      <c r="E950">
        <v>0</v>
      </c>
      <c r="F950">
        <v>0</v>
      </c>
      <c r="G950">
        <v>0</v>
      </c>
      <c r="H950">
        <v>0</v>
      </c>
      <c r="I950">
        <v>0</v>
      </c>
      <c r="J950">
        <v>0</v>
      </c>
      <c r="K950">
        <v>0</v>
      </c>
      <c r="L950">
        <v>0</v>
      </c>
      <c r="M950">
        <v>0</v>
      </c>
      <c r="N950">
        <v>0</v>
      </c>
      <c r="O950">
        <v>0</v>
      </c>
      <c r="P950">
        <v>0</v>
      </c>
    </row>
    <row r="951" spans="1:16">
      <c r="A951">
        <v>0</v>
      </c>
      <c r="B951">
        <v>0</v>
      </c>
      <c r="C951">
        <v>0</v>
      </c>
      <c r="D951">
        <v>0</v>
      </c>
      <c r="E951">
        <v>0</v>
      </c>
      <c r="F951">
        <v>0</v>
      </c>
      <c r="G951">
        <v>0</v>
      </c>
      <c r="H951">
        <v>0</v>
      </c>
      <c r="I951">
        <v>0</v>
      </c>
      <c r="J951">
        <v>0</v>
      </c>
      <c r="K951">
        <v>0</v>
      </c>
      <c r="L951">
        <v>0</v>
      </c>
      <c r="M951">
        <v>0</v>
      </c>
      <c r="N951">
        <v>0</v>
      </c>
      <c r="O951">
        <v>0</v>
      </c>
      <c r="P951">
        <v>0</v>
      </c>
    </row>
    <row r="952" spans="1:16">
      <c r="A952" t="s">
        <v>340</v>
      </c>
      <c r="B952">
        <v>7.3905698337593417E-2</v>
      </c>
      <c r="C952">
        <v>7.3905698337593417E-2</v>
      </c>
      <c r="D952">
        <v>7.3905698337593417E-2</v>
      </c>
      <c r="E952">
        <v>0</v>
      </c>
      <c r="F952">
        <v>0</v>
      </c>
      <c r="G952">
        <v>0</v>
      </c>
      <c r="H952">
        <v>0</v>
      </c>
      <c r="I952">
        <v>0</v>
      </c>
      <c r="J952">
        <v>0</v>
      </c>
      <c r="K952">
        <v>0</v>
      </c>
      <c r="L952">
        <v>0</v>
      </c>
      <c r="M952">
        <v>0</v>
      </c>
      <c r="N952">
        <v>0</v>
      </c>
      <c r="O952">
        <v>0</v>
      </c>
      <c r="P952">
        <v>0</v>
      </c>
    </row>
    <row r="953" spans="1:16">
      <c r="A953">
        <v>0</v>
      </c>
      <c r="B953">
        <v>0</v>
      </c>
      <c r="C953">
        <v>0</v>
      </c>
      <c r="D953">
        <v>0</v>
      </c>
      <c r="E953">
        <v>0</v>
      </c>
      <c r="F953">
        <v>0</v>
      </c>
      <c r="G953">
        <v>0</v>
      </c>
      <c r="H953">
        <v>0</v>
      </c>
      <c r="I953">
        <v>0</v>
      </c>
      <c r="J953">
        <v>0</v>
      </c>
      <c r="K953">
        <v>0</v>
      </c>
      <c r="L953">
        <v>0</v>
      </c>
      <c r="M953">
        <v>0</v>
      </c>
      <c r="N953">
        <v>0</v>
      </c>
      <c r="O953">
        <v>0</v>
      </c>
      <c r="P953">
        <v>0</v>
      </c>
    </row>
    <row r="955" spans="1:16">
      <c r="A955">
        <v>0</v>
      </c>
      <c r="B955">
        <v>0</v>
      </c>
      <c r="C955">
        <v>0</v>
      </c>
      <c r="D955">
        <v>0</v>
      </c>
      <c r="E955">
        <v>0</v>
      </c>
      <c r="F955">
        <v>0</v>
      </c>
      <c r="G955">
        <v>0</v>
      </c>
      <c r="H955">
        <v>0</v>
      </c>
      <c r="I955">
        <v>0</v>
      </c>
      <c r="J955">
        <v>0</v>
      </c>
      <c r="K955">
        <v>0</v>
      </c>
      <c r="L955">
        <v>0</v>
      </c>
      <c r="M955">
        <v>0</v>
      </c>
      <c r="N955">
        <v>0</v>
      </c>
      <c r="O955">
        <v>0</v>
      </c>
      <c r="P955">
        <v>0</v>
      </c>
    </row>
    <row r="956" spans="1:16">
      <c r="A956" t="s">
        <v>123</v>
      </c>
      <c r="B956">
        <v>58.365309386622471</v>
      </c>
      <c r="C956">
        <v>77.399465458483604</v>
      </c>
      <c r="D956">
        <v>93.956197212732064</v>
      </c>
      <c r="E956">
        <v>0</v>
      </c>
      <c r="F956">
        <v>0</v>
      </c>
      <c r="G956">
        <v>0</v>
      </c>
      <c r="H956">
        <v>0</v>
      </c>
      <c r="I956">
        <v>0</v>
      </c>
      <c r="J956">
        <v>0</v>
      </c>
      <c r="K956">
        <v>0</v>
      </c>
      <c r="L956">
        <v>0</v>
      </c>
      <c r="M956">
        <v>0</v>
      </c>
      <c r="N956">
        <v>0</v>
      </c>
      <c r="O956">
        <v>0</v>
      </c>
      <c r="P956">
        <v>0</v>
      </c>
    </row>
    <row r="957" spans="1:16">
      <c r="A957" t="s">
        <v>341</v>
      </c>
      <c r="B957">
        <v>0.81360013947042631</v>
      </c>
      <c r="C957">
        <v>0.88748724312222305</v>
      </c>
      <c r="D957">
        <v>0.91435280068297675</v>
      </c>
      <c r="E957">
        <v>0</v>
      </c>
      <c r="F957">
        <v>0</v>
      </c>
      <c r="G957">
        <v>0</v>
      </c>
      <c r="H957">
        <v>0</v>
      </c>
      <c r="I957">
        <v>0</v>
      </c>
      <c r="J957">
        <v>0</v>
      </c>
      <c r="K957">
        <v>0</v>
      </c>
      <c r="L957">
        <v>0</v>
      </c>
      <c r="M957">
        <v>0</v>
      </c>
      <c r="N957">
        <v>0</v>
      </c>
      <c r="O957">
        <v>0</v>
      </c>
      <c r="P957">
        <v>0</v>
      </c>
    </row>
    <row r="958" spans="1:16">
      <c r="A958" t="s">
        <v>124</v>
      </c>
      <c r="B958">
        <v>2.7981412648318903E-2</v>
      </c>
      <c r="C958">
        <v>3.7106740365357022E-2</v>
      </c>
      <c r="D958">
        <v>4.5044344880640151E-2</v>
      </c>
      <c r="E958">
        <v>0</v>
      </c>
      <c r="F958">
        <v>0</v>
      </c>
      <c r="G958">
        <v>0</v>
      </c>
      <c r="H958">
        <v>0</v>
      </c>
      <c r="I958">
        <v>0</v>
      </c>
      <c r="J958">
        <v>0</v>
      </c>
      <c r="K958">
        <v>0</v>
      </c>
      <c r="L958">
        <v>0</v>
      </c>
      <c r="M958">
        <v>0</v>
      </c>
      <c r="N958">
        <v>0</v>
      </c>
      <c r="O958">
        <v>0</v>
      </c>
      <c r="P958">
        <v>0</v>
      </c>
    </row>
    <row r="959" spans="1:16">
      <c r="A959">
        <v>0</v>
      </c>
      <c r="B959">
        <v>0</v>
      </c>
      <c r="C959">
        <v>0</v>
      </c>
      <c r="D959">
        <v>0</v>
      </c>
      <c r="E959">
        <v>0</v>
      </c>
      <c r="F959">
        <v>0</v>
      </c>
      <c r="G959">
        <v>0</v>
      </c>
      <c r="H959">
        <v>0</v>
      </c>
      <c r="I959">
        <v>0</v>
      </c>
      <c r="J959">
        <v>0</v>
      </c>
      <c r="K959">
        <v>0</v>
      </c>
      <c r="L959">
        <v>0</v>
      </c>
      <c r="M959">
        <v>0</v>
      </c>
      <c r="N959">
        <v>0</v>
      </c>
      <c r="O959">
        <v>0</v>
      </c>
      <c r="P959">
        <v>0</v>
      </c>
    </row>
    <row r="960" spans="1:16">
      <c r="A960">
        <v>0</v>
      </c>
      <c r="B960">
        <v>0</v>
      </c>
      <c r="C960">
        <v>0</v>
      </c>
      <c r="D960">
        <v>0</v>
      </c>
      <c r="E960">
        <v>0</v>
      </c>
      <c r="F960">
        <v>0</v>
      </c>
      <c r="G960">
        <v>0</v>
      </c>
      <c r="H960">
        <v>0</v>
      </c>
      <c r="I960">
        <v>0</v>
      </c>
      <c r="J960">
        <v>0</v>
      </c>
      <c r="K960">
        <v>0</v>
      </c>
      <c r="L960">
        <v>0</v>
      </c>
      <c r="M960">
        <v>0</v>
      </c>
      <c r="N960">
        <v>0</v>
      </c>
      <c r="O960">
        <v>0</v>
      </c>
      <c r="P960">
        <v>0</v>
      </c>
    </row>
    <row r="961" spans="1:16">
      <c r="A961">
        <v>0</v>
      </c>
      <c r="B961">
        <v>0</v>
      </c>
      <c r="C961">
        <v>0</v>
      </c>
      <c r="D961">
        <v>0</v>
      </c>
      <c r="E961">
        <v>0</v>
      </c>
      <c r="F961">
        <v>0</v>
      </c>
      <c r="G961">
        <v>0</v>
      </c>
      <c r="H961">
        <v>0</v>
      </c>
      <c r="I961">
        <v>0</v>
      </c>
      <c r="J961">
        <v>0</v>
      </c>
      <c r="K961">
        <v>0</v>
      </c>
      <c r="L961">
        <v>0</v>
      </c>
      <c r="M961">
        <v>0</v>
      </c>
      <c r="N961">
        <v>0</v>
      </c>
      <c r="O961">
        <v>0</v>
      </c>
      <c r="P961">
        <v>0</v>
      </c>
    </row>
    <row r="962" spans="1:16">
      <c r="A962" t="s">
        <v>342</v>
      </c>
      <c r="B962">
        <v>0</v>
      </c>
      <c r="C962">
        <v>0</v>
      </c>
      <c r="D962">
        <v>0</v>
      </c>
      <c r="E962">
        <v>0</v>
      </c>
      <c r="F962">
        <v>0</v>
      </c>
      <c r="G962">
        <v>0</v>
      </c>
      <c r="H962">
        <v>0</v>
      </c>
      <c r="I962">
        <v>0</v>
      </c>
      <c r="J962">
        <v>0</v>
      </c>
      <c r="K962">
        <v>0</v>
      </c>
      <c r="L962">
        <v>0</v>
      </c>
      <c r="M962">
        <v>0</v>
      </c>
      <c r="N962">
        <v>0</v>
      </c>
      <c r="O962">
        <v>0</v>
      </c>
      <c r="P962">
        <v>0</v>
      </c>
    </row>
    <row r="963" spans="1:16">
      <c r="A963">
        <v>0</v>
      </c>
      <c r="B963">
        <v>0</v>
      </c>
      <c r="C963">
        <v>0</v>
      </c>
      <c r="D963">
        <v>0</v>
      </c>
      <c r="E963">
        <v>0</v>
      </c>
      <c r="F963">
        <v>0</v>
      </c>
      <c r="G963">
        <v>0</v>
      </c>
      <c r="H963">
        <v>0</v>
      </c>
      <c r="I963">
        <v>0</v>
      </c>
      <c r="J963">
        <v>0</v>
      </c>
      <c r="K963">
        <v>0</v>
      </c>
      <c r="L963">
        <v>0</v>
      </c>
      <c r="M963">
        <v>0</v>
      </c>
      <c r="N963">
        <v>0</v>
      </c>
      <c r="O963">
        <v>0</v>
      </c>
      <c r="P963">
        <v>0</v>
      </c>
    </row>
    <row r="964" spans="1:16">
      <c r="A964" t="s">
        <v>763</v>
      </c>
      <c r="B964">
        <v>2085.86</v>
      </c>
      <c r="C964">
        <v>0</v>
      </c>
      <c r="D964">
        <v>0</v>
      </c>
      <c r="E964">
        <v>0</v>
      </c>
      <c r="F964">
        <v>0</v>
      </c>
      <c r="G964">
        <v>0</v>
      </c>
      <c r="H964">
        <v>0</v>
      </c>
      <c r="I964">
        <v>0</v>
      </c>
      <c r="J964">
        <v>0</v>
      </c>
      <c r="K964">
        <v>0</v>
      </c>
      <c r="L964">
        <v>0</v>
      </c>
      <c r="M964">
        <v>0</v>
      </c>
      <c r="N964">
        <v>0</v>
      </c>
      <c r="O964">
        <v>0</v>
      </c>
      <c r="P964">
        <v>0</v>
      </c>
    </row>
    <row r="965" spans="1:16">
      <c r="A965">
        <v>0</v>
      </c>
      <c r="B965">
        <v>0</v>
      </c>
      <c r="C965">
        <v>0</v>
      </c>
      <c r="D965">
        <v>0</v>
      </c>
      <c r="E965">
        <v>0</v>
      </c>
      <c r="F965">
        <v>0</v>
      </c>
      <c r="G965">
        <v>0</v>
      </c>
      <c r="H965">
        <v>0</v>
      </c>
      <c r="I965">
        <v>0</v>
      </c>
      <c r="J965">
        <v>0</v>
      </c>
      <c r="K965">
        <v>0</v>
      </c>
      <c r="L965">
        <v>0</v>
      </c>
      <c r="M965">
        <v>0</v>
      </c>
      <c r="N965">
        <v>0</v>
      </c>
      <c r="O965">
        <v>0</v>
      </c>
      <c r="P965">
        <v>0</v>
      </c>
    </row>
    <row r="966" spans="1:16">
      <c r="A966">
        <v>0</v>
      </c>
      <c r="B966">
        <v>2010</v>
      </c>
      <c r="C966">
        <v>2011</v>
      </c>
      <c r="D966">
        <v>2012</v>
      </c>
      <c r="E966">
        <v>2013</v>
      </c>
      <c r="F966">
        <v>2014</v>
      </c>
      <c r="G966">
        <v>2015</v>
      </c>
      <c r="H966">
        <v>2016</v>
      </c>
      <c r="J966" t="s">
        <v>520</v>
      </c>
      <c r="K966">
        <v>0</v>
      </c>
      <c r="L966">
        <v>0</v>
      </c>
      <c r="M966">
        <v>0</v>
      </c>
      <c r="N966">
        <v>0</v>
      </c>
      <c r="O966">
        <v>0</v>
      </c>
      <c r="P966">
        <v>0</v>
      </c>
    </row>
    <row r="967" spans="1:16">
      <c r="A967" t="s">
        <v>123</v>
      </c>
      <c r="B967">
        <v>14.254785793605953</v>
      </c>
      <c r="C967">
        <v>25.661875387957796</v>
      </c>
      <c r="D967">
        <v>34.328844997186707</v>
      </c>
      <c r="E967">
        <v>42.640339549546134</v>
      </c>
      <c r="F967">
        <v>53.62556495320969</v>
      </c>
      <c r="G967">
        <v>58.365309386622471</v>
      </c>
      <c r="H967">
        <v>77.399465458483604</v>
      </c>
      <c r="J967">
        <v>0</v>
      </c>
      <c r="K967">
        <v>0</v>
      </c>
      <c r="L967">
        <v>0</v>
      </c>
      <c r="M967">
        <v>0</v>
      </c>
      <c r="N967">
        <v>0</v>
      </c>
      <c r="O967">
        <v>0</v>
      </c>
      <c r="P967">
        <v>0</v>
      </c>
    </row>
    <row r="968" spans="1:16">
      <c r="A968" t="s">
        <v>343</v>
      </c>
      <c r="B968">
        <v>23.101463110522314</v>
      </c>
      <c r="C968">
        <v>40.399266759776538</v>
      </c>
      <c r="D968">
        <v>72.29582274305892</v>
      </c>
      <c r="E968">
        <v>92.107618975274406</v>
      </c>
      <c r="F968">
        <v>7.5680850664816202</v>
      </c>
      <c r="G968">
        <v>-67.637870232979395</v>
      </c>
      <c r="H968">
        <v>-56.968195773346444</v>
      </c>
      <c r="J968" t="s">
        <v>344</v>
      </c>
      <c r="K968">
        <v>0</v>
      </c>
      <c r="L968">
        <v>0</v>
      </c>
      <c r="M968">
        <v>0</v>
      </c>
      <c r="N968">
        <v>0</v>
      </c>
      <c r="O968">
        <v>0</v>
      </c>
      <c r="P968">
        <v>0</v>
      </c>
    </row>
    <row r="969" spans="1:16">
      <c r="A969">
        <v>0</v>
      </c>
      <c r="B969">
        <v>0</v>
      </c>
      <c r="C969">
        <v>0</v>
      </c>
      <c r="D969">
        <v>0</v>
      </c>
      <c r="E969">
        <v>0</v>
      </c>
      <c r="F969">
        <v>0</v>
      </c>
      <c r="G969">
        <v>0</v>
      </c>
      <c r="H969">
        <v>0</v>
      </c>
      <c r="J969">
        <v>0</v>
      </c>
      <c r="K969">
        <v>0</v>
      </c>
      <c r="L969">
        <v>0</v>
      </c>
      <c r="M969">
        <v>0</v>
      </c>
      <c r="N969">
        <v>0</v>
      </c>
      <c r="O969">
        <v>0</v>
      </c>
      <c r="P969">
        <v>0</v>
      </c>
    </row>
    <row r="970" spans="1:16">
      <c r="A970" t="s">
        <v>345</v>
      </c>
      <c r="B970">
        <v>376.44853688947768</v>
      </c>
      <c r="C970">
        <v>427.31073324022344</v>
      </c>
      <c r="D970">
        <v>548.09417725694107</v>
      </c>
      <c r="E970">
        <v>1070.2923810247257</v>
      </c>
      <c r="F970">
        <v>1273.9319149335183</v>
      </c>
      <c r="G970">
        <v>2153.4978702329795</v>
      </c>
      <c r="H970">
        <v>2142.8281957733466</v>
      </c>
      <c r="J970" t="s">
        <v>772</v>
      </c>
      <c r="K970">
        <v>0</v>
      </c>
      <c r="L970">
        <v>0</v>
      </c>
      <c r="M970">
        <v>0</v>
      </c>
      <c r="N970">
        <v>0</v>
      </c>
      <c r="O970">
        <v>0</v>
      </c>
      <c r="P970">
        <v>0</v>
      </c>
    </row>
    <row r="971" spans="1:16">
      <c r="A971">
        <v>0</v>
      </c>
      <c r="B971">
        <v>0</v>
      </c>
      <c r="C971">
        <v>0</v>
      </c>
      <c r="D971">
        <v>0</v>
      </c>
      <c r="E971">
        <v>0</v>
      </c>
      <c r="F971">
        <v>0</v>
      </c>
      <c r="G971">
        <v>0</v>
      </c>
      <c r="H971">
        <v>0</v>
      </c>
      <c r="J971">
        <v>0</v>
      </c>
      <c r="K971">
        <v>0</v>
      </c>
      <c r="L971">
        <v>0</v>
      </c>
      <c r="M971">
        <v>0</v>
      </c>
      <c r="N971">
        <v>0</v>
      </c>
      <c r="O971">
        <v>0</v>
      </c>
      <c r="P971">
        <v>0</v>
      </c>
    </row>
    <row r="972" spans="1:16">
      <c r="A972" t="s">
        <v>531</v>
      </c>
      <c r="B972">
        <v>23.942970822308983</v>
      </c>
      <c r="C972">
        <v>32.389734737163657</v>
      </c>
      <c r="D972">
        <v>43.570076520087312</v>
      </c>
      <c r="E972">
        <v>54.640194748365289</v>
      </c>
      <c r="F972">
        <v>54.014218420270829</v>
      </c>
      <c r="G972">
        <v>68.811711328348167</v>
      </c>
      <c r="H972">
        <v>79.324495296109603</v>
      </c>
      <c r="J972" t="s">
        <v>346</v>
      </c>
      <c r="K972">
        <v>0</v>
      </c>
      <c r="L972">
        <v>0</v>
      </c>
      <c r="M972">
        <v>0</v>
      </c>
      <c r="N972">
        <v>0</v>
      </c>
      <c r="O972">
        <v>0</v>
      </c>
      <c r="P972">
        <v>0</v>
      </c>
    </row>
    <row r="973" spans="1:16">
      <c r="A973" t="s">
        <v>376</v>
      </c>
      <c r="B973">
        <v>0</v>
      </c>
      <c r="C973">
        <v>0.35278679398399304</v>
      </c>
      <c r="D973">
        <v>0.3451816408392947</v>
      </c>
      <c r="E973">
        <v>0.25407617136440575</v>
      </c>
      <c r="F973">
        <v>-1.1456334132359358E-2</v>
      </c>
      <c r="G973">
        <v>0.27395551284185626</v>
      </c>
      <c r="H973">
        <v>0.15277608658208908</v>
      </c>
      <c r="I973">
        <v>0</v>
      </c>
      <c r="J973">
        <v>0</v>
      </c>
      <c r="K973">
        <v>0</v>
      </c>
      <c r="L973">
        <v>0</v>
      </c>
      <c r="M973">
        <v>0</v>
      </c>
      <c r="N973">
        <v>0</v>
      </c>
      <c r="O973">
        <v>0</v>
      </c>
      <c r="P973">
        <v>0</v>
      </c>
    </row>
    <row r="974" spans="1:16">
      <c r="A974">
        <v>0</v>
      </c>
      <c r="B974">
        <v>0</v>
      </c>
      <c r="C974">
        <v>0</v>
      </c>
      <c r="D974">
        <v>0</v>
      </c>
      <c r="E974">
        <v>0</v>
      </c>
      <c r="F974">
        <v>0</v>
      </c>
      <c r="G974">
        <v>0</v>
      </c>
      <c r="H974">
        <v>0</v>
      </c>
      <c r="I974">
        <v>0</v>
      </c>
      <c r="J974">
        <v>0</v>
      </c>
      <c r="K974">
        <v>0</v>
      </c>
      <c r="L974">
        <v>0</v>
      </c>
      <c r="M974">
        <v>0</v>
      </c>
      <c r="N974">
        <v>0</v>
      </c>
      <c r="O974">
        <v>0</v>
      </c>
      <c r="P974">
        <v>0</v>
      </c>
    </row>
    <row r="975" spans="1:16">
      <c r="A975" t="s">
        <v>347</v>
      </c>
      <c r="B975">
        <v>15.722716269558324</v>
      </c>
      <c r="C975">
        <v>13.192782735263695</v>
      </c>
      <c r="D975">
        <v>12.579600979223681</v>
      </c>
      <c r="E975">
        <v>19.58800450755616</v>
      </c>
      <c r="F975">
        <v>23.585121699278876</v>
      </c>
      <c r="G975">
        <v>31.295513927231877</v>
      </c>
      <c r="H975">
        <v>27.01344884419882</v>
      </c>
      <c r="I975">
        <v>0</v>
      </c>
      <c r="J975">
        <v>0</v>
      </c>
      <c r="K975">
        <v>0</v>
      </c>
      <c r="L975">
        <v>0</v>
      </c>
      <c r="M975">
        <v>0</v>
      </c>
      <c r="N975">
        <v>0</v>
      </c>
      <c r="O975">
        <v>0</v>
      </c>
      <c r="P975">
        <v>0</v>
      </c>
    </row>
    <row r="976" spans="1:16">
      <c r="A976" t="s">
        <v>120</v>
      </c>
      <c r="B976">
        <v>0</v>
      </c>
      <c r="C976">
        <v>-0.16090944407570229</v>
      </c>
      <c r="D976">
        <v>-4.6478576077888967E-2</v>
      </c>
      <c r="E976">
        <v>0.55712446999769516</v>
      </c>
      <c r="F976">
        <v>0.2040594380188554</v>
      </c>
      <c r="G976">
        <v>0.32691763588350486</v>
      </c>
      <c r="H976">
        <v>-0.13682680185376361</v>
      </c>
      <c r="I976">
        <v>0</v>
      </c>
      <c r="J976">
        <v>0</v>
      </c>
      <c r="K976">
        <v>0</v>
      </c>
      <c r="L976">
        <v>0</v>
      </c>
      <c r="M976">
        <v>0</v>
      </c>
      <c r="N976">
        <v>0</v>
      </c>
      <c r="O976">
        <v>0</v>
      </c>
      <c r="P976">
        <v>0</v>
      </c>
    </row>
    <row r="977" spans="1:16">
      <c r="A977">
        <v>0</v>
      </c>
      <c r="B977">
        <v>0</v>
      </c>
      <c r="C977">
        <v>0</v>
      </c>
      <c r="D977">
        <v>0</v>
      </c>
      <c r="E977">
        <v>0</v>
      </c>
      <c r="F977">
        <v>0</v>
      </c>
      <c r="G977">
        <v>0</v>
      </c>
      <c r="H977">
        <v>0</v>
      </c>
      <c r="I977">
        <v>0</v>
      </c>
      <c r="J977">
        <v>0</v>
      </c>
      <c r="K977">
        <v>0</v>
      </c>
      <c r="L977">
        <v>0</v>
      </c>
      <c r="M977">
        <v>0</v>
      </c>
      <c r="N977">
        <v>0</v>
      </c>
      <c r="O977">
        <v>0</v>
      </c>
      <c r="P977">
        <v>0</v>
      </c>
    </row>
    <row r="978" spans="1:16">
      <c r="A978" t="s">
        <v>524</v>
      </c>
      <c r="B978">
        <v>87.11784412552889</v>
      </c>
      <c r="C978">
        <v>64.398798475083069</v>
      </c>
      <c r="D978">
        <v>47.87368227453873</v>
      </c>
      <c r="E978">
        <v>38.174461302819651</v>
      </c>
      <c r="F978">
        <v>38.616869057892437</v>
      </c>
      <c r="G978">
        <v>-923.44584619085242</v>
      </c>
      <c r="H978">
        <v>-514.9757385351993</v>
      </c>
      <c r="I978">
        <v>0</v>
      </c>
      <c r="J978">
        <v>0</v>
      </c>
      <c r="K978">
        <v>0</v>
      </c>
      <c r="L978">
        <v>0</v>
      </c>
      <c r="M978">
        <v>0</v>
      </c>
      <c r="N978">
        <v>0</v>
      </c>
      <c r="O978">
        <v>0</v>
      </c>
      <c r="P978">
        <v>0</v>
      </c>
    </row>
    <row r="979" spans="1:16">
      <c r="A979" t="s">
        <v>530</v>
      </c>
      <c r="B979">
        <v>0</v>
      </c>
      <c r="C979">
        <v>0.35278679398399304</v>
      </c>
      <c r="D979">
        <v>0.3451816408392947</v>
      </c>
      <c r="E979">
        <v>0.25407617136440575</v>
      </c>
      <c r="F979">
        <v>-1.1456334132359358E-2</v>
      </c>
      <c r="G979">
        <v>0.27395551284185626</v>
      </c>
      <c r="H979">
        <v>0.15277608658208908</v>
      </c>
      <c r="I979">
        <v>0</v>
      </c>
      <c r="J979">
        <v>0</v>
      </c>
      <c r="K979">
        <v>0</v>
      </c>
      <c r="L979">
        <v>0</v>
      </c>
      <c r="M979">
        <v>0</v>
      </c>
      <c r="N979">
        <v>0</v>
      </c>
      <c r="O979">
        <v>0</v>
      </c>
      <c r="P979">
        <v>0</v>
      </c>
    </row>
    <row r="980" spans="1:16">
      <c r="A980" t="s">
        <v>532</v>
      </c>
      <c r="B980">
        <v>0</v>
      </c>
      <c r="C980">
        <v>182.543109813813</v>
      </c>
      <c r="D980">
        <v>138.69127615865048</v>
      </c>
      <c r="E980">
        <v>150.24809724509103</v>
      </c>
      <c r="F980">
        <v>-3370.7876020144972</v>
      </c>
      <c r="G980">
        <v>-3370.7876020144972</v>
      </c>
      <c r="H980">
        <v>-3370.7876020144972</v>
      </c>
      <c r="I980">
        <v>0</v>
      </c>
      <c r="J980">
        <v>0</v>
      </c>
      <c r="K980">
        <v>0</v>
      </c>
      <c r="L980">
        <v>0</v>
      </c>
      <c r="M980">
        <v>0</v>
      </c>
      <c r="N980">
        <v>0</v>
      </c>
      <c r="O980">
        <v>0</v>
      </c>
      <c r="P980">
        <v>0</v>
      </c>
    </row>
    <row r="981" spans="1:16">
      <c r="A981" t="s">
        <v>495</v>
      </c>
      <c r="B981">
        <v>0</v>
      </c>
      <c r="C981">
        <v>0</v>
      </c>
      <c r="D981">
        <v>0</v>
      </c>
      <c r="E981">
        <v>0</v>
      </c>
      <c r="F981">
        <v>0</v>
      </c>
      <c r="G981">
        <v>0</v>
      </c>
      <c r="H981">
        <v>0</v>
      </c>
      <c r="I981">
        <v>0</v>
      </c>
      <c r="J981">
        <v>0</v>
      </c>
      <c r="K981">
        <v>0</v>
      </c>
      <c r="L981">
        <v>0</v>
      </c>
      <c r="M981">
        <v>0</v>
      </c>
      <c r="N981">
        <v>0</v>
      </c>
      <c r="O981">
        <v>0</v>
      </c>
      <c r="P981">
        <v>0</v>
      </c>
    </row>
    <row r="982" spans="1:16">
      <c r="A982">
        <v>0</v>
      </c>
      <c r="B982">
        <v>0</v>
      </c>
      <c r="C982">
        <v>0</v>
      </c>
      <c r="D982">
        <v>0</v>
      </c>
      <c r="E982">
        <v>0</v>
      </c>
      <c r="F982">
        <v>0</v>
      </c>
      <c r="G982">
        <v>0</v>
      </c>
      <c r="H982">
        <v>0</v>
      </c>
      <c r="I982">
        <v>0</v>
      </c>
      <c r="J982">
        <v>0</v>
      </c>
      <c r="K982">
        <v>0</v>
      </c>
      <c r="L982">
        <v>0</v>
      </c>
      <c r="M982">
        <v>0</v>
      </c>
      <c r="N982">
        <v>0</v>
      </c>
      <c r="O982">
        <v>0</v>
      </c>
      <c r="P982">
        <v>0</v>
      </c>
    </row>
    <row r="984" spans="1:16">
      <c r="A984">
        <v>0</v>
      </c>
      <c r="B984">
        <v>0</v>
      </c>
      <c r="C984">
        <v>0</v>
      </c>
      <c r="D984">
        <v>0</v>
      </c>
      <c r="E984">
        <v>0</v>
      </c>
      <c r="F984">
        <v>0</v>
      </c>
      <c r="G984">
        <v>0</v>
      </c>
      <c r="H984">
        <v>0</v>
      </c>
      <c r="I984">
        <v>0</v>
      </c>
      <c r="J984">
        <v>0</v>
      </c>
      <c r="K984">
        <v>0</v>
      </c>
      <c r="L984">
        <v>0</v>
      </c>
      <c r="M984">
        <v>0</v>
      </c>
      <c r="N984">
        <v>0</v>
      </c>
      <c r="O984">
        <v>0</v>
      </c>
      <c r="P984">
        <v>0</v>
      </c>
    </row>
    <row r="985" spans="1:16">
      <c r="A985">
        <v>0</v>
      </c>
      <c r="B985">
        <v>0</v>
      </c>
      <c r="C985">
        <v>0</v>
      </c>
      <c r="D985">
        <v>0</v>
      </c>
      <c r="E985">
        <v>0</v>
      </c>
      <c r="F985">
        <v>0</v>
      </c>
      <c r="G985">
        <v>0</v>
      </c>
      <c r="H985">
        <v>0</v>
      </c>
      <c r="I985">
        <v>0</v>
      </c>
      <c r="J985">
        <v>0</v>
      </c>
      <c r="K985">
        <v>0</v>
      </c>
      <c r="L985">
        <v>0</v>
      </c>
      <c r="M985">
        <v>0</v>
      </c>
      <c r="N985">
        <v>0</v>
      </c>
      <c r="O985">
        <v>0</v>
      </c>
      <c r="P985">
        <v>0</v>
      </c>
    </row>
    <row r="986" spans="1:16">
      <c r="A986" t="s">
        <v>495</v>
      </c>
      <c r="B986">
        <v>0</v>
      </c>
      <c r="C986">
        <v>0</v>
      </c>
      <c r="D986">
        <v>0</v>
      </c>
      <c r="E986">
        <v>0</v>
      </c>
      <c r="F986">
        <v>0</v>
      </c>
      <c r="G986">
        <v>0</v>
      </c>
      <c r="H986">
        <v>0</v>
      </c>
      <c r="I986">
        <v>0</v>
      </c>
      <c r="J986">
        <v>0</v>
      </c>
      <c r="K986">
        <v>0</v>
      </c>
      <c r="L986">
        <v>0</v>
      </c>
      <c r="M986">
        <v>0</v>
      </c>
      <c r="N986">
        <v>0</v>
      </c>
      <c r="O986">
        <v>0</v>
      </c>
      <c r="P986">
        <v>0</v>
      </c>
    </row>
    <row r="987" spans="1:16">
      <c r="A987" t="s">
        <v>534</v>
      </c>
      <c r="B987">
        <v>0</v>
      </c>
      <c r="C987">
        <v>0</v>
      </c>
      <c r="D987">
        <v>0</v>
      </c>
      <c r="E987">
        <v>0</v>
      </c>
      <c r="F987">
        <v>0</v>
      </c>
      <c r="G987">
        <v>0</v>
      </c>
      <c r="H987">
        <v>0</v>
      </c>
      <c r="I987">
        <v>0</v>
      </c>
      <c r="J987">
        <v>0</v>
      </c>
      <c r="K987">
        <v>0</v>
      </c>
      <c r="L987">
        <v>0</v>
      </c>
      <c r="M987">
        <v>0</v>
      </c>
      <c r="N987">
        <v>0</v>
      </c>
      <c r="O987">
        <v>0</v>
      </c>
      <c r="P987">
        <v>0</v>
      </c>
    </row>
    <row r="988" spans="1:16">
      <c r="A988">
        <v>0</v>
      </c>
      <c r="B988">
        <v>0</v>
      </c>
      <c r="C988">
        <v>0</v>
      </c>
      <c r="D988">
        <v>0</v>
      </c>
      <c r="E988">
        <v>0</v>
      </c>
      <c r="F988">
        <v>0</v>
      </c>
      <c r="G988">
        <v>0</v>
      </c>
      <c r="H988">
        <v>0</v>
      </c>
      <c r="I988">
        <v>0</v>
      </c>
      <c r="J988">
        <v>0</v>
      </c>
      <c r="K988">
        <v>0</v>
      </c>
      <c r="L988">
        <v>0</v>
      </c>
      <c r="M988">
        <v>0</v>
      </c>
      <c r="N988">
        <v>0</v>
      </c>
      <c r="O988">
        <v>0</v>
      </c>
      <c r="P988">
        <v>0</v>
      </c>
    </row>
    <row r="989" spans="1:16">
      <c r="A989" t="s">
        <v>669</v>
      </c>
      <c r="B989">
        <v>2240.0169399344527</v>
      </c>
      <c r="C989">
        <v>0</v>
      </c>
      <c r="D989">
        <v>0</v>
      </c>
      <c r="E989">
        <v>0</v>
      </c>
      <c r="F989">
        <v>0</v>
      </c>
      <c r="G989">
        <v>0</v>
      </c>
      <c r="H989">
        <v>0</v>
      </c>
      <c r="I989">
        <v>0</v>
      </c>
      <c r="J989">
        <v>0</v>
      </c>
      <c r="K989">
        <v>0</v>
      </c>
      <c r="L989">
        <v>0</v>
      </c>
      <c r="M989">
        <v>0</v>
      </c>
      <c r="N989">
        <v>0</v>
      </c>
      <c r="O989">
        <v>0</v>
      </c>
      <c r="P989">
        <v>0</v>
      </c>
    </row>
    <row r="990" spans="1:16">
      <c r="A990">
        <v>0</v>
      </c>
      <c r="B990">
        <v>0</v>
      </c>
      <c r="C990">
        <v>0</v>
      </c>
      <c r="D990">
        <v>0</v>
      </c>
      <c r="E990">
        <v>0</v>
      </c>
      <c r="F990">
        <v>0</v>
      </c>
      <c r="G990">
        <v>0</v>
      </c>
      <c r="H990">
        <v>0</v>
      </c>
      <c r="I990">
        <v>0</v>
      </c>
      <c r="J990">
        <v>0</v>
      </c>
      <c r="K990">
        <v>0</v>
      </c>
      <c r="L990">
        <v>0</v>
      </c>
      <c r="M990">
        <v>0</v>
      </c>
      <c r="N990">
        <v>0</v>
      </c>
      <c r="O990">
        <v>0</v>
      </c>
      <c r="P990">
        <v>0</v>
      </c>
    </row>
    <row r="991" spans="1:16">
      <c r="A991" t="s">
        <v>527</v>
      </c>
      <c r="B991">
        <v>38.616869057892437</v>
      </c>
      <c r="C991">
        <v>0</v>
      </c>
      <c r="D991">
        <v>0</v>
      </c>
      <c r="E991">
        <v>0</v>
      </c>
      <c r="F991">
        <v>0</v>
      </c>
      <c r="G991">
        <v>0</v>
      </c>
      <c r="H991">
        <v>0</v>
      </c>
      <c r="I991">
        <v>0</v>
      </c>
      <c r="J991">
        <v>0</v>
      </c>
      <c r="K991">
        <v>0</v>
      </c>
      <c r="L991">
        <v>0</v>
      </c>
      <c r="M991">
        <v>0</v>
      </c>
      <c r="N991">
        <v>0</v>
      </c>
      <c r="O991">
        <v>0</v>
      </c>
      <c r="P991">
        <v>0</v>
      </c>
    </row>
    <row r="992" spans="1:16">
      <c r="A992" t="s">
        <v>528</v>
      </c>
      <c r="B992">
        <v>28.238653540406606</v>
      </c>
      <c r="C992">
        <v>0</v>
      </c>
      <c r="D992">
        <v>0</v>
      </c>
      <c r="E992">
        <v>0</v>
      </c>
      <c r="F992">
        <v>0</v>
      </c>
      <c r="G992">
        <v>0</v>
      </c>
      <c r="H992">
        <v>0</v>
      </c>
      <c r="I992">
        <v>0</v>
      </c>
      <c r="J992">
        <v>0</v>
      </c>
      <c r="K992">
        <v>0</v>
      </c>
      <c r="L992">
        <v>0</v>
      </c>
      <c r="M992">
        <v>0</v>
      </c>
      <c r="N992">
        <v>0</v>
      </c>
      <c r="O992">
        <v>0</v>
      </c>
      <c r="P992">
        <v>0</v>
      </c>
    </row>
    <row r="993" spans="1:16">
      <c r="A993" t="s">
        <v>348</v>
      </c>
      <c r="B993">
        <v>-0.26874823802849834</v>
      </c>
      <c r="C993">
        <v>0</v>
      </c>
      <c r="D993">
        <v>0</v>
      </c>
      <c r="E993">
        <v>0</v>
      </c>
      <c r="F993">
        <v>0</v>
      </c>
      <c r="G993">
        <v>0</v>
      </c>
      <c r="H993">
        <v>0</v>
      </c>
      <c r="I993">
        <v>0</v>
      </c>
      <c r="J993">
        <v>0</v>
      </c>
      <c r="K993">
        <v>0</v>
      </c>
      <c r="L993">
        <v>0</v>
      </c>
      <c r="M993">
        <v>0</v>
      </c>
      <c r="N993">
        <v>0</v>
      </c>
      <c r="O993">
        <v>0</v>
      </c>
      <c r="P993">
        <v>0</v>
      </c>
    </row>
    <row r="994" spans="1:16">
      <c r="A994">
        <v>0</v>
      </c>
      <c r="B994">
        <v>0</v>
      </c>
      <c r="C994">
        <v>0</v>
      </c>
      <c r="D994">
        <v>0</v>
      </c>
      <c r="E994">
        <v>0</v>
      </c>
      <c r="F994">
        <v>0</v>
      </c>
      <c r="G994">
        <v>0</v>
      </c>
      <c r="H994">
        <v>0</v>
      </c>
      <c r="I994">
        <v>0</v>
      </c>
      <c r="J994">
        <v>0</v>
      </c>
      <c r="K994">
        <v>0</v>
      </c>
      <c r="L994">
        <v>0</v>
      </c>
      <c r="M994">
        <v>0</v>
      </c>
      <c r="N994">
        <v>0</v>
      </c>
      <c r="O994">
        <v>0</v>
      </c>
      <c r="P994">
        <v>0</v>
      </c>
    </row>
    <row r="996" spans="1:16">
      <c r="A996" t="s">
        <v>349</v>
      </c>
      <c r="B996">
        <v>0</v>
      </c>
      <c r="C996">
        <v>0</v>
      </c>
      <c r="D996">
        <v>0</v>
      </c>
      <c r="E996">
        <v>0</v>
      </c>
      <c r="F996">
        <v>0</v>
      </c>
      <c r="G996">
        <v>0</v>
      </c>
      <c r="H996">
        <v>0</v>
      </c>
      <c r="I996">
        <v>0</v>
      </c>
      <c r="J996">
        <v>0</v>
      </c>
      <c r="K996">
        <v>0</v>
      </c>
      <c r="L996">
        <v>0</v>
      </c>
      <c r="M996">
        <v>0</v>
      </c>
      <c r="N996">
        <v>0</v>
      </c>
      <c r="O996">
        <v>0</v>
      </c>
      <c r="P996">
        <v>0</v>
      </c>
    </row>
    <row r="997" spans="1:16">
      <c r="A997" t="s">
        <v>529</v>
      </c>
      <c r="B997">
        <v>0</v>
      </c>
      <c r="C997">
        <v>0</v>
      </c>
      <c r="D997">
        <v>0</v>
      </c>
      <c r="E997">
        <v>0</v>
      </c>
      <c r="F997">
        <v>0</v>
      </c>
      <c r="G997">
        <v>0</v>
      </c>
      <c r="H997">
        <v>0</v>
      </c>
      <c r="I997">
        <v>0</v>
      </c>
      <c r="J997">
        <v>0</v>
      </c>
      <c r="K997">
        <v>0</v>
      </c>
      <c r="L997">
        <v>0</v>
      </c>
      <c r="M997">
        <v>0</v>
      </c>
      <c r="N997">
        <v>0</v>
      </c>
      <c r="O997">
        <v>0</v>
      </c>
      <c r="P997">
        <v>0</v>
      </c>
    </row>
    <row r="998" spans="1:16">
      <c r="A998">
        <v>0</v>
      </c>
      <c r="B998">
        <v>0</v>
      </c>
      <c r="C998">
        <v>0</v>
      </c>
      <c r="D998">
        <v>0</v>
      </c>
      <c r="E998">
        <v>0</v>
      </c>
      <c r="F998">
        <v>0</v>
      </c>
      <c r="G998">
        <v>0</v>
      </c>
      <c r="H998">
        <v>0</v>
      </c>
      <c r="I998">
        <v>0</v>
      </c>
      <c r="J998">
        <v>0</v>
      </c>
      <c r="K998">
        <v>0</v>
      </c>
      <c r="L998">
        <v>0</v>
      </c>
      <c r="M998">
        <v>0</v>
      </c>
      <c r="N998">
        <v>0</v>
      </c>
      <c r="O998">
        <v>0</v>
      </c>
      <c r="P998">
        <v>0</v>
      </c>
    </row>
    <row r="999" spans="1:16">
      <c r="A999">
        <v>0</v>
      </c>
      <c r="B999">
        <v>0</v>
      </c>
      <c r="C999">
        <v>0</v>
      </c>
      <c r="D999">
        <v>0</v>
      </c>
      <c r="E999">
        <v>0</v>
      </c>
      <c r="F999">
        <v>0</v>
      </c>
      <c r="G999">
        <v>0</v>
      </c>
      <c r="H999">
        <v>0</v>
      </c>
      <c r="I999">
        <v>0</v>
      </c>
      <c r="J999">
        <v>0</v>
      </c>
      <c r="K999">
        <v>0</v>
      </c>
      <c r="L999">
        <v>0</v>
      </c>
      <c r="M999">
        <v>0</v>
      </c>
      <c r="N999">
        <v>0</v>
      </c>
      <c r="O999">
        <v>0</v>
      </c>
      <c r="P999">
        <v>0</v>
      </c>
    </row>
    <row r="1000" spans="1:16">
      <c r="A1000" t="s">
        <v>350</v>
      </c>
      <c r="B1000">
        <v>2010</v>
      </c>
      <c r="C1000">
        <v>2011</v>
      </c>
      <c r="D1000">
        <v>2012</v>
      </c>
      <c r="E1000">
        <v>2013</v>
      </c>
      <c r="F1000">
        <v>2014</v>
      </c>
      <c r="G1000">
        <v>2015</v>
      </c>
      <c r="H1000">
        <v>2016</v>
      </c>
      <c r="I1000" t="s">
        <v>20</v>
      </c>
      <c r="J1000">
        <v>0</v>
      </c>
      <c r="K1000">
        <v>0</v>
      </c>
      <c r="L1000">
        <v>0</v>
      </c>
      <c r="M1000">
        <v>0</v>
      </c>
      <c r="N1000">
        <v>0</v>
      </c>
      <c r="O1000">
        <v>0</v>
      </c>
      <c r="P1000">
        <v>0</v>
      </c>
    </row>
    <row r="1001" spans="1:16">
      <c r="A1001" t="s">
        <v>351</v>
      </c>
      <c r="B1001">
        <v>-40.513000000000005</v>
      </c>
      <c r="C1001">
        <v>-31.128</v>
      </c>
      <c r="D1001">
        <v>-67.926000000000002</v>
      </c>
      <c r="E1001">
        <v>-115.87700000000001</v>
      </c>
      <c r="F1001">
        <v>-83.864000000000019</v>
      </c>
      <c r="G1001">
        <v>-130.58699999999996</v>
      </c>
      <c r="H1001">
        <v>-193.07499999999999</v>
      </c>
      <c r="I1001">
        <v>-138.577</v>
      </c>
      <c r="J1001">
        <v>0</v>
      </c>
      <c r="K1001">
        <v>0</v>
      </c>
      <c r="L1001">
        <v>0</v>
      </c>
      <c r="M1001">
        <v>0</v>
      </c>
      <c r="N1001">
        <v>0</v>
      </c>
      <c r="O1001">
        <v>0</v>
      </c>
      <c r="P1001">
        <v>0</v>
      </c>
    </row>
    <row r="1002" spans="1:16">
      <c r="A1002" t="s">
        <v>525</v>
      </c>
      <c r="B1002">
        <v>0.20905209922296508</v>
      </c>
      <c r="C1002">
        <v>0.18427037292237364</v>
      </c>
      <c r="D1002">
        <v>0.15829994275901541</v>
      </c>
      <c r="E1002">
        <v>0.15756285203484816</v>
      </c>
      <c r="F1002">
        <v>0.15484469418244257</v>
      </c>
      <c r="G1002">
        <v>0.16830580263243819</v>
      </c>
      <c r="H1002">
        <v>0.17213977637965164</v>
      </c>
      <c r="I1002">
        <v>0.19999999999999996</v>
      </c>
      <c r="J1002">
        <v>0</v>
      </c>
      <c r="K1002">
        <v>0</v>
      </c>
      <c r="L1002">
        <v>0</v>
      </c>
      <c r="M1002">
        <v>0</v>
      </c>
      <c r="N1002">
        <v>0</v>
      </c>
      <c r="O1002">
        <v>0</v>
      </c>
      <c r="P1002">
        <v>0</v>
      </c>
    </row>
    <row r="1003" spans="1:16">
      <c r="A1003">
        <v>0</v>
      </c>
      <c r="B1003">
        <v>0</v>
      </c>
      <c r="C1003">
        <v>0</v>
      </c>
      <c r="D1003">
        <v>0</v>
      </c>
      <c r="E1003">
        <v>0</v>
      </c>
      <c r="F1003">
        <v>0</v>
      </c>
      <c r="G1003">
        <v>0</v>
      </c>
      <c r="H1003">
        <v>0</v>
      </c>
      <c r="I1003">
        <v>0</v>
      </c>
      <c r="J1003">
        <v>0</v>
      </c>
      <c r="K1003">
        <v>0</v>
      </c>
      <c r="L1003">
        <v>0</v>
      </c>
      <c r="M1003">
        <v>0</v>
      </c>
      <c r="N1003">
        <v>0</v>
      </c>
      <c r="O1003">
        <v>0</v>
      </c>
      <c r="P1003">
        <v>0</v>
      </c>
    </row>
    <row r="1004" spans="1:16">
      <c r="A1004" t="s">
        <v>352</v>
      </c>
      <c r="B1004">
        <v>-32.043672304180021</v>
      </c>
      <c r="C1004">
        <v>-25.392031831672355</v>
      </c>
      <c r="D1004">
        <v>-57.17331808815112</v>
      </c>
      <c r="E1004">
        <v>-97.619089394757907</v>
      </c>
      <c r="F1004">
        <v>-70.878104567083653</v>
      </c>
      <c r="G1004">
        <v>-108.60845015163775</v>
      </c>
      <c r="H1004">
        <v>-159.83911267549877</v>
      </c>
      <c r="I1004">
        <v>-110.86160000000001</v>
      </c>
      <c r="J1004">
        <v>0</v>
      </c>
      <c r="K1004">
        <v>0</v>
      </c>
      <c r="L1004">
        <v>0</v>
      </c>
      <c r="M1004">
        <v>0</v>
      </c>
      <c r="N1004">
        <v>0</v>
      </c>
      <c r="O1004">
        <v>0</v>
      </c>
      <c r="P1004">
        <v>0</v>
      </c>
    </row>
    <row r="1005" spans="1:16">
      <c r="A1005" t="s">
        <v>353</v>
      </c>
      <c r="B1005">
        <v>51.329000000000001</v>
      </c>
      <c r="C1005">
        <v>51.552</v>
      </c>
      <c r="D1005">
        <v>51.540999999999997</v>
      </c>
      <c r="E1005">
        <v>52.658000000000001</v>
      </c>
      <c r="F1005">
        <v>53.323</v>
      </c>
      <c r="G1005">
        <v>51.893000000000001</v>
      </c>
      <c r="H1005">
        <v>50.323500000000003</v>
      </c>
      <c r="I1005">
        <v>49.905500000000004</v>
      </c>
      <c r="J1005">
        <v>0</v>
      </c>
      <c r="K1005">
        <v>0</v>
      </c>
      <c r="L1005">
        <v>0</v>
      </c>
      <c r="M1005">
        <v>0</v>
      </c>
      <c r="N1005">
        <v>0</v>
      </c>
      <c r="O1005">
        <v>0</v>
      </c>
      <c r="P1005">
        <v>0</v>
      </c>
    </row>
    <row r="1006" spans="1:16">
      <c r="A1006">
        <v>0</v>
      </c>
      <c r="B1006">
        <v>0</v>
      </c>
      <c r="C1006">
        <v>0</v>
      </c>
      <c r="D1006">
        <v>0</v>
      </c>
      <c r="E1006">
        <v>0</v>
      </c>
      <c r="F1006">
        <v>0</v>
      </c>
      <c r="G1006">
        <v>0</v>
      </c>
      <c r="H1006">
        <v>0</v>
      </c>
      <c r="I1006">
        <v>0</v>
      </c>
      <c r="J1006">
        <v>0</v>
      </c>
      <c r="K1006">
        <v>0</v>
      </c>
      <c r="L1006">
        <v>0</v>
      </c>
      <c r="M1006">
        <v>0</v>
      </c>
      <c r="N1006">
        <v>0</v>
      </c>
      <c r="O1006">
        <v>0</v>
      </c>
      <c r="P1006">
        <v>0</v>
      </c>
    </row>
    <row r="1007" spans="1:16">
      <c r="A1007" t="s">
        <v>354</v>
      </c>
      <c r="B1007">
        <v>-0.62428008151688164</v>
      </c>
      <c r="C1007">
        <v>-0.49255182789556867</v>
      </c>
      <c r="D1007">
        <v>-1.1092784014309214</v>
      </c>
      <c r="E1007">
        <v>-1.8538320747988513</v>
      </c>
      <c r="F1007">
        <v>-1.3292219973948138</v>
      </c>
      <c r="G1007">
        <v>-2.0929306486739589</v>
      </c>
      <c r="H1007">
        <v>-3.176232032261245</v>
      </c>
      <c r="I1007">
        <v>-2.2214305036519022</v>
      </c>
      <c r="J1007">
        <v>0</v>
      </c>
      <c r="K1007">
        <v>0</v>
      </c>
      <c r="L1007">
        <v>0</v>
      </c>
      <c r="M1007">
        <v>0</v>
      </c>
      <c r="N1007">
        <v>0</v>
      </c>
      <c r="O1007">
        <v>0</v>
      </c>
      <c r="P1007">
        <v>0</v>
      </c>
    </row>
    <row r="1008" spans="1:16">
      <c r="A1008" t="s">
        <v>2</v>
      </c>
      <c r="B1008">
        <v>13.494457324319582</v>
      </c>
      <c r="C1008">
        <v>23.450418994413415</v>
      </c>
      <c r="D1008">
        <v>31.280456335732737</v>
      </c>
      <c r="E1008">
        <v>41.71624444528846</v>
      </c>
      <c r="F1008">
        <v>53.310972750970478</v>
      </c>
      <c r="G1008">
        <v>51.921287771596873</v>
      </c>
      <c r="H1008">
        <v>65.635479296086928</v>
      </c>
      <c r="I1008">
        <v>77.103064792457701</v>
      </c>
      <c r="J1008">
        <v>0</v>
      </c>
      <c r="K1008">
        <v>0</v>
      </c>
      <c r="L1008">
        <v>0</v>
      </c>
      <c r="M1008">
        <v>0</v>
      </c>
      <c r="N1008">
        <v>0</v>
      </c>
      <c r="O1008">
        <v>0</v>
      </c>
      <c r="P1008">
        <v>0</v>
      </c>
    </row>
    <row r="1009" spans="1:16">
      <c r="A1009">
        <v>0</v>
      </c>
      <c r="B1009">
        <v>0</v>
      </c>
      <c r="C1009">
        <v>0</v>
      </c>
      <c r="D1009">
        <v>0</v>
      </c>
      <c r="E1009">
        <v>0</v>
      </c>
      <c r="F1009">
        <v>0</v>
      </c>
      <c r="G1009">
        <v>0</v>
      </c>
      <c r="H1009">
        <v>0</v>
      </c>
      <c r="I1009">
        <v>0</v>
      </c>
      <c r="J1009">
        <v>0</v>
      </c>
      <c r="K1009">
        <v>0</v>
      </c>
      <c r="L1009">
        <v>0</v>
      </c>
      <c r="M1009">
        <v>0</v>
      </c>
      <c r="N1009">
        <v>0</v>
      </c>
      <c r="O1009">
        <v>0</v>
      </c>
      <c r="P1009">
        <v>0</v>
      </c>
    </row>
    <row r="1010" spans="1:16">
      <c r="A1010" t="s">
        <v>355</v>
      </c>
      <c r="B1010">
        <v>14.118737405836463</v>
      </c>
      <c r="C1010">
        <v>23.942970822308983</v>
      </c>
      <c r="D1010">
        <v>32.389734737163657</v>
      </c>
      <c r="E1010">
        <v>43.570076520087312</v>
      </c>
      <c r="F1010">
        <v>54.640194748365289</v>
      </c>
      <c r="G1010">
        <v>54.014218420270829</v>
      </c>
      <c r="H1010">
        <v>68.811711328348167</v>
      </c>
      <c r="I1010">
        <v>79.324495296109603</v>
      </c>
      <c r="J1010">
        <v>0</v>
      </c>
      <c r="K1010">
        <v>0</v>
      </c>
      <c r="L1010">
        <v>0</v>
      </c>
      <c r="M1010">
        <v>0</v>
      </c>
      <c r="N1010">
        <v>0</v>
      </c>
      <c r="O1010">
        <v>0</v>
      </c>
      <c r="P1010">
        <v>0</v>
      </c>
    </row>
    <row r="1011" spans="1:16">
      <c r="A1011">
        <v>0</v>
      </c>
      <c r="B1011">
        <v>0</v>
      </c>
      <c r="C1011">
        <v>0</v>
      </c>
      <c r="D1011">
        <v>0</v>
      </c>
      <c r="E1011">
        <v>0</v>
      </c>
      <c r="F1011">
        <v>0</v>
      </c>
      <c r="G1011">
        <v>0</v>
      </c>
      <c r="H1011">
        <v>0</v>
      </c>
      <c r="I1011">
        <v>0</v>
      </c>
      <c r="J1011">
        <v>0</v>
      </c>
      <c r="K1011">
        <v>0</v>
      </c>
      <c r="L1011">
        <v>0</v>
      </c>
      <c r="M1011">
        <v>0</v>
      </c>
      <c r="N1011">
        <v>0</v>
      </c>
      <c r="O1011">
        <v>0</v>
      </c>
      <c r="P1011">
        <v>0</v>
      </c>
    </row>
    <row r="1012" spans="1:16">
      <c r="A1012">
        <v>0</v>
      </c>
      <c r="B1012">
        <v>0</v>
      </c>
      <c r="C1012">
        <v>0</v>
      </c>
      <c r="D1012">
        <v>0</v>
      </c>
      <c r="E1012">
        <v>0</v>
      </c>
      <c r="F1012">
        <v>0</v>
      </c>
      <c r="G1012">
        <v>0</v>
      </c>
      <c r="H1012">
        <v>0</v>
      </c>
      <c r="I1012">
        <v>0</v>
      </c>
      <c r="J1012">
        <v>0</v>
      </c>
      <c r="K1012">
        <v>0</v>
      </c>
      <c r="L1012">
        <v>0</v>
      </c>
      <c r="M1012">
        <v>0</v>
      </c>
      <c r="N1012">
        <v>0</v>
      </c>
      <c r="O1012">
        <v>0</v>
      </c>
      <c r="P1012">
        <v>0</v>
      </c>
    </row>
    <row r="1013" spans="1:16">
      <c r="A1013">
        <v>0</v>
      </c>
      <c r="B1013">
        <v>0</v>
      </c>
      <c r="C1013">
        <v>0</v>
      </c>
      <c r="D1013">
        <v>0</v>
      </c>
      <c r="E1013">
        <v>0</v>
      </c>
      <c r="F1013">
        <v>0</v>
      </c>
      <c r="G1013">
        <v>0</v>
      </c>
      <c r="H1013">
        <v>0</v>
      </c>
      <c r="I1013">
        <v>0</v>
      </c>
      <c r="J1013">
        <v>0</v>
      </c>
      <c r="K1013">
        <v>0</v>
      </c>
      <c r="L1013">
        <v>0</v>
      </c>
      <c r="M1013">
        <v>0</v>
      </c>
      <c r="N1013">
        <v>0</v>
      </c>
      <c r="O1013">
        <v>0</v>
      </c>
      <c r="P1013">
        <v>0</v>
      </c>
    </row>
    <row r="1014" spans="1:16">
      <c r="A1014" t="s">
        <v>356</v>
      </c>
      <c r="B1014">
        <v>0</v>
      </c>
      <c r="C1014">
        <v>0</v>
      </c>
      <c r="D1014">
        <v>0</v>
      </c>
      <c r="E1014">
        <v>0</v>
      </c>
      <c r="F1014">
        <v>0</v>
      </c>
      <c r="G1014">
        <v>0</v>
      </c>
      <c r="H1014">
        <v>0</v>
      </c>
      <c r="I1014">
        <v>0</v>
      </c>
      <c r="J1014">
        <v>0</v>
      </c>
      <c r="K1014">
        <v>0</v>
      </c>
      <c r="L1014">
        <v>0</v>
      </c>
      <c r="M1014">
        <v>0</v>
      </c>
      <c r="N1014">
        <v>0</v>
      </c>
      <c r="O1014">
        <v>0</v>
      </c>
      <c r="P1014">
        <v>0</v>
      </c>
    </row>
    <row r="1015" spans="1:16">
      <c r="A1015">
        <v>0</v>
      </c>
      <c r="B1015">
        <v>0</v>
      </c>
      <c r="C1015">
        <v>0</v>
      </c>
      <c r="D1015">
        <v>0</v>
      </c>
      <c r="E1015">
        <v>0</v>
      </c>
      <c r="F1015">
        <v>0</v>
      </c>
      <c r="G1015">
        <v>0</v>
      </c>
      <c r="H1015">
        <v>0</v>
      </c>
      <c r="I1015">
        <v>0</v>
      </c>
      <c r="J1015">
        <v>0</v>
      </c>
      <c r="K1015">
        <v>0</v>
      </c>
      <c r="L1015">
        <v>0</v>
      </c>
      <c r="M1015">
        <v>0</v>
      </c>
      <c r="N1015">
        <v>0</v>
      </c>
      <c r="O1015">
        <v>0</v>
      </c>
      <c r="P1015">
        <v>0</v>
      </c>
    </row>
    <row r="1016" spans="1:16">
      <c r="A1016">
        <v>0</v>
      </c>
      <c r="B1016">
        <v>2010</v>
      </c>
      <c r="C1016">
        <v>2011</v>
      </c>
      <c r="D1016">
        <v>2012</v>
      </c>
      <c r="E1016">
        <v>2013</v>
      </c>
      <c r="F1016" t="s">
        <v>6</v>
      </c>
      <c r="G1016" t="s">
        <v>8</v>
      </c>
      <c r="H1016" t="s">
        <v>19</v>
      </c>
      <c r="I1016" t="s">
        <v>20</v>
      </c>
      <c r="J1016">
        <v>0</v>
      </c>
      <c r="K1016">
        <v>0</v>
      </c>
      <c r="L1016">
        <v>0</v>
      </c>
      <c r="M1016">
        <v>0</v>
      </c>
      <c r="N1016">
        <v>0</v>
      </c>
      <c r="O1016">
        <v>0</v>
      </c>
      <c r="P1016">
        <v>0</v>
      </c>
    </row>
    <row r="1017" spans="1:16">
      <c r="A1017" t="s">
        <v>357</v>
      </c>
      <c r="B1017">
        <v>399.55</v>
      </c>
      <c r="C1017">
        <v>467.71</v>
      </c>
      <c r="D1017">
        <v>620.39</v>
      </c>
      <c r="E1017">
        <v>1162.4000000000001</v>
      </c>
      <c r="F1017">
        <v>1281.5</v>
      </c>
      <c r="G1017">
        <v>1281.5</v>
      </c>
      <c r="H1017">
        <v>1600</v>
      </c>
      <c r="I1017">
        <v>1750</v>
      </c>
      <c r="J1017">
        <v>0</v>
      </c>
      <c r="K1017">
        <v>0</v>
      </c>
      <c r="L1017">
        <v>0</v>
      </c>
      <c r="M1017">
        <v>0</v>
      </c>
      <c r="N1017">
        <v>0</v>
      </c>
      <c r="O1017">
        <v>0</v>
      </c>
      <c r="P1017">
        <v>0</v>
      </c>
    </row>
    <row r="1018" spans="1:16">
      <c r="A1018" t="s">
        <v>358</v>
      </c>
      <c r="B1018">
        <v>23.101463110522314</v>
      </c>
      <c r="C1018">
        <v>40.399266759776538</v>
      </c>
      <c r="D1018">
        <v>72.29582274305892</v>
      </c>
      <c r="E1018">
        <v>92.107618975274406</v>
      </c>
      <c r="F1018">
        <v>7.5680850664816202</v>
      </c>
      <c r="G1018">
        <v>-67.637870232979395</v>
      </c>
      <c r="H1018">
        <v>-56.968195773346444</v>
      </c>
      <c r="I1018">
        <v>-42.524050455360651</v>
      </c>
      <c r="J1018">
        <v>0</v>
      </c>
      <c r="K1018">
        <v>0</v>
      </c>
      <c r="L1018">
        <v>0</v>
      </c>
      <c r="M1018">
        <v>0</v>
      </c>
      <c r="N1018">
        <v>0</v>
      </c>
      <c r="O1018">
        <v>0</v>
      </c>
      <c r="P1018">
        <v>0</v>
      </c>
    </row>
    <row r="1019" spans="1:16">
      <c r="A1019" t="s">
        <v>359</v>
      </c>
      <c r="B1019">
        <v>5.7818703818101148E-2</v>
      </c>
      <c r="C1019">
        <v>8.637674362270753E-2</v>
      </c>
      <c r="D1019">
        <v>0.11653286278479492</v>
      </c>
      <c r="E1019">
        <v>7.9239176682101176E-2</v>
      </c>
      <c r="F1019">
        <v>5.9056457795408661E-3</v>
      </c>
      <c r="G1019">
        <v>-5.2780234282465387E-2</v>
      </c>
      <c r="H1019">
        <v>-3.5605122358341526E-2</v>
      </c>
      <c r="I1019">
        <v>-2.4299457403063229E-2</v>
      </c>
      <c r="J1019">
        <v>0</v>
      </c>
      <c r="K1019">
        <v>0</v>
      </c>
      <c r="L1019">
        <v>0</v>
      </c>
      <c r="M1019">
        <v>0</v>
      </c>
      <c r="N1019">
        <v>0</v>
      </c>
      <c r="O1019">
        <v>0</v>
      </c>
      <c r="P1019">
        <v>0</v>
      </c>
    </row>
    <row r="1020" spans="1:16">
      <c r="A1020">
        <v>0</v>
      </c>
      <c r="B1020">
        <v>0</v>
      </c>
      <c r="C1020">
        <v>0</v>
      </c>
      <c r="D1020">
        <v>0</v>
      </c>
      <c r="E1020">
        <v>0</v>
      </c>
      <c r="F1020">
        <v>0</v>
      </c>
      <c r="G1020">
        <v>0</v>
      </c>
      <c r="H1020">
        <v>0</v>
      </c>
      <c r="I1020">
        <v>0</v>
      </c>
      <c r="J1020">
        <v>0</v>
      </c>
      <c r="K1020">
        <v>0</v>
      </c>
      <c r="L1020">
        <v>0</v>
      </c>
      <c r="M1020">
        <v>0</v>
      </c>
      <c r="N1020">
        <v>0</v>
      </c>
      <c r="O1020">
        <v>0</v>
      </c>
      <c r="P1020">
        <v>0</v>
      </c>
    </row>
    <row r="1021" spans="1:16">
      <c r="A1021" t="s">
        <v>345</v>
      </c>
      <c r="B1021">
        <v>376.44853688947768</v>
      </c>
      <c r="C1021">
        <v>427.31073324022344</v>
      </c>
      <c r="D1021">
        <v>548.09417725694107</v>
      </c>
      <c r="E1021">
        <v>1070.2923810247257</v>
      </c>
      <c r="F1021">
        <v>1273.9319149335183</v>
      </c>
      <c r="G1021">
        <v>1349.1378702329794</v>
      </c>
      <c r="H1021">
        <v>1656.9681957733465</v>
      </c>
      <c r="I1021">
        <v>1792.5240504553606</v>
      </c>
      <c r="J1021">
        <v>0</v>
      </c>
      <c r="K1021">
        <v>0</v>
      </c>
      <c r="L1021">
        <v>0</v>
      </c>
      <c r="M1021">
        <v>0</v>
      </c>
      <c r="N1021">
        <v>0</v>
      </c>
      <c r="O1021">
        <v>0</v>
      </c>
      <c r="P1021">
        <v>0</v>
      </c>
    </row>
    <row r="1022" spans="1:16">
      <c r="A1022">
        <v>0</v>
      </c>
      <c r="B1022">
        <v>0</v>
      </c>
      <c r="C1022">
        <v>0</v>
      </c>
      <c r="D1022">
        <v>0</v>
      </c>
      <c r="E1022">
        <v>0</v>
      </c>
      <c r="F1022">
        <v>0</v>
      </c>
      <c r="G1022">
        <v>0</v>
      </c>
      <c r="H1022">
        <v>0</v>
      </c>
      <c r="I1022">
        <v>0</v>
      </c>
      <c r="J1022">
        <v>0</v>
      </c>
      <c r="K1022">
        <v>0</v>
      </c>
      <c r="L1022">
        <v>0</v>
      </c>
      <c r="M1022">
        <v>0</v>
      </c>
      <c r="N1022">
        <v>0</v>
      </c>
      <c r="O1022">
        <v>0</v>
      </c>
      <c r="P1022">
        <v>0</v>
      </c>
    </row>
    <row r="1023" spans="1:16">
      <c r="A1023" t="s">
        <v>2</v>
      </c>
      <c r="B1023">
        <v>13.494457324319582</v>
      </c>
      <c r="C1023">
        <v>23.450418994413415</v>
      </c>
      <c r="D1023">
        <v>31.280456335732737</v>
      </c>
      <c r="E1023">
        <v>41.71624444528846</v>
      </c>
      <c r="F1023">
        <v>53.310972750970478</v>
      </c>
      <c r="G1023">
        <v>51.921287771596873</v>
      </c>
      <c r="H1023">
        <v>65.635479296086928</v>
      </c>
      <c r="I1023">
        <v>77.103064792457701</v>
      </c>
      <c r="J1023">
        <v>0</v>
      </c>
      <c r="K1023">
        <v>0</v>
      </c>
      <c r="L1023">
        <v>0</v>
      </c>
      <c r="M1023">
        <v>0</v>
      </c>
      <c r="N1023">
        <v>0</v>
      </c>
      <c r="O1023">
        <v>0</v>
      </c>
      <c r="P1023">
        <v>0</v>
      </c>
    </row>
    <row r="1024" spans="1:16">
      <c r="A1024" t="s">
        <v>376</v>
      </c>
      <c r="B1024">
        <v>0</v>
      </c>
      <c r="C1024">
        <v>0.73778155214521268</v>
      </c>
      <c r="D1024">
        <v>0.33389754542060279</v>
      </c>
      <c r="E1024">
        <v>0.33362007246788683</v>
      </c>
      <c r="F1024">
        <v>0.27794276450001854</v>
      </c>
      <c r="G1024">
        <v>-2.60675224566842E-2</v>
      </c>
      <c r="H1024">
        <v>0.2641342715692867</v>
      </c>
      <c r="I1024">
        <v>0.17471626046394162</v>
      </c>
      <c r="J1024">
        <v>0</v>
      </c>
      <c r="K1024">
        <v>0</v>
      </c>
      <c r="L1024">
        <v>0</v>
      </c>
      <c r="M1024">
        <v>0</v>
      </c>
      <c r="N1024">
        <v>0</v>
      </c>
      <c r="O1024">
        <v>0</v>
      </c>
      <c r="P1024">
        <v>0</v>
      </c>
    </row>
    <row r="1025" spans="1:99">
      <c r="A1025">
        <v>0</v>
      </c>
      <c r="B1025">
        <v>0</v>
      </c>
      <c r="C1025">
        <v>0</v>
      </c>
      <c r="D1025">
        <v>0</v>
      </c>
      <c r="E1025">
        <v>0</v>
      </c>
      <c r="F1025">
        <v>0</v>
      </c>
      <c r="G1025">
        <v>0</v>
      </c>
      <c r="H1025">
        <v>0</v>
      </c>
      <c r="I1025">
        <v>0</v>
      </c>
      <c r="J1025">
        <v>0</v>
      </c>
      <c r="K1025">
        <v>0</v>
      </c>
      <c r="L1025">
        <v>0</v>
      </c>
      <c r="M1025">
        <v>0</v>
      </c>
      <c r="N1025">
        <v>0</v>
      </c>
      <c r="O1025">
        <v>0</v>
      </c>
      <c r="P1025">
        <v>0</v>
      </c>
    </row>
    <row r="1026" spans="1:99">
      <c r="A1026" t="s">
        <v>524</v>
      </c>
      <c r="B1026">
        <v>27.896530245128549</v>
      </c>
      <c r="C1026">
        <v>18.221880527679335</v>
      </c>
      <c r="D1026">
        <v>17.52193674460031</v>
      </c>
      <c r="E1026">
        <v>25.656489342621235</v>
      </c>
      <c r="F1026">
        <v>23.896242165461661</v>
      </c>
      <c r="G1026">
        <v>25.98429137905579</v>
      </c>
      <c r="H1026">
        <v>25.245007936921276</v>
      </c>
      <c r="I1026">
        <v>23.248415030976915</v>
      </c>
      <c r="J1026">
        <v>0</v>
      </c>
      <c r="K1026">
        <v>0</v>
      </c>
      <c r="L1026">
        <v>0</v>
      </c>
      <c r="M1026">
        <v>0</v>
      </c>
      <c r="N1026">
        <v>0</v>
      </c>
      <c r="O1026">
        <v>0</v>
      </c>
      <c r="P1026">
        <v>0</v>
      </c>
    </row>
    <row r="1027" spans="1:99">
      <c r="A1027" t="s">
        <v>523</v>
      </c>
      <c r="B1027">
        <v>29.608452596306694</v>
      </c>
      <c r="C1027">
        <v>19.944632976981023</v>
      </c>
      <c r="D1027">
        <v>19.833150557055884</v>
      </c>
      <c r="E1027">
        <v>27.864445025115021</v>
      </c>
      <c r="F1027">
        <v>24.038203279205245</v>
      </c>
      <c r="G1027">
        <v>24.681591212401216</v>
      </c>
      <c r="H1027">
        <v>24.377059742068329</v>
      </c>
      <c r="I1027">
        <v>22.696892849986771</v>
      </c>
      <c r="J1027">
        <v>0</v>
      </c>
      <c r="K1027">
        <v>0</v>
      </c>
      <c r="L1027">
        <v>0</v>
      </c>
      <c r="M1027">
        <v>0</v>
      </c>
      <c r="N1027">
        <v>0</v>
      </c>
      <c r="O1027">
        <v>0</v>
      </c>
      <c r="P1027">
        <v>0</v>
      </c>
    </row>
    <row r="1028" spans="1:99">
      <c r="A1028">
        <v>0</v>
      </c>
      <c r="B1028">
        <v>0</v>
      </c>
      <c r="C1028">
        <v>0</v>
      </c>
      <c r="D1028">
        <v>0</v>
      </c>
      <c r="E1028">
        <v>0</v>
      </c>
      <c r="F1028">
        <v>0</v>
      </c>
      <c r="G1028">
        <v>0</v>
      </c>
      <c r="H1028">
        <v>0</v>
      </c>
      <c r="I1028">
        <v>0</v>
      </c>
      <c r="J1028">
        <v>0</v>
      </c>
      <c r="K1028">
        <v>0</v>
      </c>
      <c r="L1028">
        <v>0</v>
      </c>
      <c r="M1028">
        <v>0</v>
      </c>
      <c r="N1028">
        <v>0</v>
      </c>
      <c r="O1028">
        <v>0</v>
      </c>
      <c r="P1028">
        <v>0</v>
      </c>
    </row>
    <row r="1029" spans="1:99">
      <c r="A1029">
        <v>0</v>
      </c>
      <c r="B1029">
        <v>0</v>
      </c>
      <c r="C1029">
        <v>0</v>
      </c>
      <c r="D1029">
        <v>0</v>
      </c>
      <c r="E1029">
        <v>0</v>
      </c>
      <c r="F1029">
        <v>0</v>
      </c>
      <c r="G1029">
        <v>0</v>
      </c>
      <c r="H1029">
        <v>0</v>
      </c>
      <c r="I1029">
        <v>0</v>
      </c>
      <c r="J1029">
        <v>0</v>
      </c>
      <c r="K1029">
        <v>0</v>
      </c>
      <c r="L1029">
        <v>0</v>
      </c>
      <c r="M1029">
        <v>0</v>
      </c>
      <c r="N1029">
        <v>0</v>
      </c>
      <c r="O1029">
        <v>0</v>
      </c>
      <c r="P1029">
        <v>0</v>
      </c>
    </row>
    <row r="1030" spans="1:99">
      <c r="A1030">
        <v>0</v>
      </c>
      <c r="B1030">
        <v>0</v>
      </c>
      <c r="C1030">
        <v>0</v>
      </c>
      <c r="D1030">
        <v>0</v>
      </c>
      <c r="E1030">
        <v>0</v>
      </c>
      <c r="F1030">
        <v>0</v>
      </c>
      <c r="G1030">
        <v>0</v>
      </c>
      <c r="H1030">
        <v>0</v>
      </c>
      <c r="I1030">
        <v>0</v>
      </c>
      <c r="J1030">
        <v>0</v>
      </c>
      <c r="K1030">
        <v>0</v>
      </c>
      <c r="L1030">
        <v>0</v>
      </c>
      <c r="M1030">
        <v>0</v>
      </c>
      <c r="N1030">
        <v>0</v>
      </c>
      <c r="O1030">
        <v>0</v>
      </c>
      <c r="P1030">
        <v>0</v>
      </c>
    </row>
    <row r="1031" spans="1:99">
      <c r="A1031">
        <v>0</v>
      </c>
      <c r="B1031">
        <v>0</v>
      </c>
      <c r="C1031">
        <v>0</v>
      </c>
      <c r="D1031">
        <v>0</v>
      </c>
      <c r="E1031">
        <v>0</v>
      </c>
      <c r="F1031">
        <v>0</v>
      </c>
      <c r="G1031">
        <v>0</v>
      </c>
      <c r="H1031">
        <v>0</v>
      </c>
      <c r="I1031">
        <v>0</v>
      </c>
      <c r="J1031">
        <v>0</v>
      </c>
      <c r="K1031">
        <v>0</v>
      </c>
      <c r="L1031">
        <v>0</v>
      </c>
      <c r="M1031">
        <v>0</v>
      </c>
      <c r="N1031">
        <v>0</v>
      </c>
      <c r="O1031">
        <v>0</v>
      </c>
      <c r="P1031">
        <v>0</v>
      </c>
    </row>
    <row r="1032" spans="1:99">
      <c r="A1032">
        <v>0</v>
      </c>
      <c r="B1032">
        <v>0</v>
      </c>
      <c r="C1032">
        <v>0</v>
      </c>
      <c r="D1032">
        <v>0</v>
      </c>
      <c r="E1032">
        <v>0</v>
      </c>
      <c r="F1032">
        <v>0</v>
      </c>
      <c r="G1032">
        <v>0</v>
      </c>
      <c r="H1032">
        <v>0</v>
      </c>
      <c r="I1032">
        <v>0</v>
      </c>
      <c r="J1032">
        <v>0</v>
      </c>
      <c r="K1032">
        <v>0</v>
      </c>
      <c r="L1032">
        <v>0</v>
      </c>
      <c r="M1032">
        <v>0</v>
      </c>
      <c r="N1032">
        <v>0</v>
      </c>
      <c r="O1032">
        <v>0</v>
      </c>
      <c r="P1032">
        <v>0</v>
      </c>
    </row>
    <row r="1033" spans="1:99">
      <c r="A1033">
        <v>0</v>
      </c>
      <c r="B1033">
        <v>0</v>
      </c>
      <c r="C1033">
        <v>0</v>
      </c>
      <c r="D1033">
        <v>0</v>
      </c>
      <c r="E1033">
        <v>0</v>
      </c>
      <c r="F1033">
        <v>0</v>
      </c>
      <c r="G1033">
        <v>0</v>
      </c>
      <c r="H1033">
        <v>0</v>
      </c>
      <c r="I1033">
        <v>0</v>
      </c>
      <c r="J1033">
        <v>0</v>
      </c>
      <c r="K1033">
        <v>0</v>
      </c>
      <c r="L1033">
        <v>0</v>
      </c>
      <c r="M1033">
        <v>0</v>
      </c>
      <c r="N1033">
        <v>0</v>
      </c>
      <c r="O1033">
        <v>0</v>
      </c>
      <c r="P1033">
        <v>0</v>
      </c>
    </row>
    <row r="1034" spans="1:99">
      <c r="A1034">
        <v>0</v>
      </c>
      <c r="B1034">
        <v>0</v>
      </c>
      <c r="C1034">
        <v>0</v>
      </c>
      <c r="D1034">
        <v>0</v>
      </c>
      <c r="E1034">
        <v>0</v>
      </c>
      <c r="F1034">
        <v>0</v>
      </c>
      <c r="G1034">
        <v>0</v>
      </c>
      <c r="H1034">
        <v>0</v>
      </c>
      <c r="I1034">
        <v>0</v>
      </c>
      <c r="J1034">
        <v>0</v>
      </c>
      <c r="K1034">
        <v>0</v>
      </c>
      <c r="L1034">
        <v>0</v>
      </c>
      <c r="M1034">
        <v>0</v>
      </c>
      <c r="N1034">
        <v>0</v>
      </c>
      <c r="O1034">
        <v>0</v>
      </c>
      <c r="P1034">
        <v>0</v>
      </c>
    </row>
    <row r="1035" spans="1:99">
      <c r="A1035">
        <v>0</v>
      </c>
      <c r="B1035">
        <v>0</v>
      </c>
      <c r="C1035">
        <v>0</v>
      </c>
      <c r="D1035">
        <v>0</v>
      </c>
      <c r="E1035">
        <v>0</v>
      </c>
      <c r="F1035">
        <v>0</v>
      </c>
      <c r="G1035">
        <v>0</v>
      </c>
      <c r="H1035">
        <v>0</v>
      </c>
      <c r="I1035">
        <v>0</v>
      </c>
      <c r="J1035">
        <v>0</v>
      </c>
      <c r="K1035">
        <v>0</v>
      </c>
      <c r="L1035">
        <v>0</v>
      </c>
      <c r="M1035">
        <v>0</v>
      </c>
      <c r="N1035">
        <v>0</v>
      </c>
      <c r="O1035">
        <v>0</v>
      </c>
      <c r="P1035">
        <v>0</v>
      </c>
    </row>
    <row r="1036" spans="1:99">
      <c r="A1036" t="str">
        <f>Model!I428</f>
        <v>Gross Profit</v>
      </c>
      <c r="B1036">
        <f>Model!J428</f>
        <v>0</v>
      </c>
      <c r="C1036">
        <f>Model!K428</f>
        <v>0</v>
      </c>
      <c r="D1036">
        <f>Model!L428</f>
        <v>0</v>
      </c>
      <c r="E1036">
        <f>Model!M428</f>
        <v>0</v>
      </c>
      <c r="F1036">
        <f>Model!N428</f>
        <v>0</v>
      </c>
      <c r="G1036">
        <f>Model!O428</f>
        <v>0</v>
      </c>
      <c r="H1036">
        <f>Model!P428</f>
        <v>0</v>
      </c>
      <c r="I1036">
        <f>Model!Q428</f>
        <v>0</v>
      </c>
      <c r="J1036">
        <f>Model!R428</f>
        <v>0</v>
      </c>
      <c r="K1036">
        <f>Model!S428</f>
        <v>0</v>
      </c>
      <c r="L1036">
        <f>Model!T428</f>
        <v>0</v>
      </c>
      <c r="M1036">
        <f>Model!U428</f>
        <v>0</v>
      </c>
      <c r="N1036">
        <f>Model!V428</f>
        <v>0</v>
      </c>
      <c r="O1036">
        <f>Model!W428</f>
        <v>0</v>
      </c>
      <c r="P1036">
        <f>Model!X428</f>
        <v>0</v>
      </c>
      <c r="Q1036">
        <f>Model!Y428</f>
        <v>0</v>
      </c>
      <c r="R1036">
        <f>Model!Z428</f>
        <v>0</v>
      </c>
      <c r="S1036">
        <f>Model!AA428</f>
        <v>0</v>
      </c>
      <c r="T1036">
        <f>Model!AB428</f>
        <v>0</v>
      </c>
      <c r="U1036">
        <f>Model!AC428</f>
        <v>0</v>
      </c>
      <c r="V1036">
        <f>Model!AD428</f>
        <v>0</v>
      </c>
      <c r="W1036">
        <f>Model!AE428</f>
        <v>0</v>
      </c>
      <c r="X1036">
        <f>Model!AF428</f>
        <v>0</v>
      </c>
      <c r="Y1036">
        <f>Model!AG428</f>
        <v>0</v>
      </c>
      <c r="Z1036">
        <f>Model!AH428</f>
        <v>0</v>
      </c>
      <c r="AA1036">
        <f>Model!AI428</f>
        <v>0</v>
      </c>
      <c r="AB1036">
        <f>Model!AJ428</f>
        <v>0</v>
      </c>
      <c r="AC1036">
        <f>Model!AK428</f>
        <v>103.83900000000003</v>
      </c>
      <c r="AD1036">
        <f>Model!AL428</f>
        <v>154.89299999999994</v>
      </c>
      <c r="AE1036">
        <f>Model!AM428</f>
        <v>202.33099999999999</v>
      </c>
      <c r="AF1036">
        <f>Model!AN428</f>
        <v>160.15200000000002</v>
      </c>
      <c r="AG1036">
        <f>Model!AO428</f>
        <v>181.10300000000001</v>
      </c>
      <c r="AH1036">
        <f>Model!AP428</f>
        <v>253.72500000000002</v>
      </c>
      <c r="AI1036">
        <f>Model!AQ428</f>
        <v>316.07800000000003</v>
      </c>
      <c r="AJ1036">
        <f>Model!AR428</f>
        <v>205.065</v>
      </c>
      <c r="AK1036">
        <f>Model!AS428</f>
        <v>208.32999999999998</v>
      </c>
      <c r="AL1036">
        <f>Model!AT428</f>
        <v>305.238</v>
      </c>
      <c r="AM1036">
        <f>Model!AU428</f>
        <v>434.00599999999997</v>
      </c>
      <c r="AN1036">
        <f>Model!AV428</f>
        <v>313.18900000000008</v>
      </c>
      <c r="AO1036">
        <f>Model!AW428</f>
        <v>319.11599999999987</v>
      </c>
      <c r="AP1036">
        <f>Model!AX428</f>
        <v>446.18399999999991</v>
      </c>
      <c r="AQ1036">
        <f>Model!AY428</f>
        <v>668.20799999999986</v>
      </c>
      <c r="AR1036">
        <f>Model!AZ428</f>
        <v>480.16600000000005</v>
      </c>
      <c r="AS1036">
        <f>Model!BA428</f>
        <v>505.80800000000005</v>
      </c>
      <c r="AT1036">
        <f>Model!BB428</f>
        <v>749.22700000000009</v>
      </c>
      <c r="AU1036">
        <f>Model!BC428</f>
        <v>1100.1480000000001</v>
      </c>
      <c r="AV1036">
        <f>Model!BD428</f>
        <v>724.697</v>
      </c>
      <c r="AW1036">
        <f>Model!BE428</f>
        <v>743.28800000000001</v>
      </c>
      <c r="AX1036">
        <f>Model!BF428</f>
        <v>1004.1420000000001</v>
      </c>
      <c r="AY1036">
        <f>Model!BG428</f>
        <v>1396.501</v>
      </c>
      <c r="AZ1036">
        <f>Model!BH428</f>
        <v>939.75000000000011</v>
      </c>
      <c r="BA1036">
        <f>Model!BI428</f>
        <v>1009.665</v>
      </c>
      <c r="BB1036">
        <f>Model!BJ428</f>
        <v>1383.855</v>
      </c>
      <c r="BC1036">
        <f>Model!BK428</f>
        <v>1989.0649999999998</v>
      </c>
      <c r="BD1036">
        <f>Model!BL428</f>
        <v>1333.3009999999999</v>
      </c>
      <c r="BE1036">
        <f>Model!BM428</f>
        <v>1406.4710000000002</v>
      </c>
      <c r="BF1036">
        <f>Model!BN428</f>
        <v>1882.9959999999999</v>
      </c>
      <c r="BG1036">
        <f>Model!BO428</f>
        <v>2619.9780000000001</v>
      </c>
      <c r="BH1036">
        <f>Model!BP428</f>
        <v>1674.6849999999999</v>
      </c>
      <c r="BI1036">
        <f>Model!BQ428</f>
        <v>1672.2359999999999</v>
      </c>
      <c r="BJ1036">
        <f>Model!BR428</f>
        <v>2092.9059999999999</v>
      </c>
      <c r="BK1036">
        <f>Model!BS428</f>
        <v>2947.2819999999997</v>
      </c>
      <c r="BL1036">
        <f>Model!BT428</f>
        <v>1879.3829999999998</v>
      </c>
      <c r="BM1036">
        <f>Model!BU428</f>
        <v>2019.4499999999996</v>
      </c>
      <c r="BN1036">
        <f>Model!BV428</f>
        <v>2429.8180000000002</v>
      </c>
      <c r="BO1036">
        <f>Model!BW428</f>
        <v>3589.0630000000001</v>
      </c>
      <c r="BP1036">
        <f>Model!BX428</f>
        <v>2276.3609999999999</v>
      </c>
      <c r="BQ1036">
        <f>Model!BY428</f>
        <v>2334.2350000000001</v>
      </c>
      <c r="BR1036">
        <f>Model!BZ428</f>
        <v>2951.8139999999999</v>
      </c>
      <c r="BS1036">
        <f>Model!CA428</f>
        <v>4374.5529999999999</v>
      </c>
      <c r="BT1036">
        <f>Model!CB428</f>
        <v>2769.9429999999998</v>
      </c>
      <c r="BU1036">
        <f>Model!CC428</f>
        <v>2797.4827631473131</v>
      </c>
      <c r="BV1036">
        <f>Model!CD428</f>
        <v>3562.1867348861169</v>
      </c>
      <c r="BW1036">
        <f>Model!CE428</f>
        <v>5004.4109582604151</v>
      </c>
      <c r="BX1036">
        <f>Model!CF428</f>
        <v>3377.7905329599316</v>
      </c>
      <c r="BY1036">
        <f>Model!CG428</f>
        <v>0</v>
      </c>
      <c r="BZ1036">
        <f>Model!CH428</f>
        <v>0</v>
      </c>
      <c r="CA1036">
        <f>Model!CI428</f>
        <v>0</v>
      </c>
      <c r="CB1036">
        <f>Model!CJ428</f>
        <v>0</v>
      </c>
      <c r="CC1036">
        <f>Model!CK428</f>
        <v>0</v>
      </c>
      <c r="CD1036">
        <f>Model!CL428</f>
        <v>0</v>
      </c>
      <c r="CE1036">
        <f>Model!CM428</f>
        <v>0</v>
      </c>
      <c r="CF1036">
        <f>Model!CN428</f>
        <v>621.21499999999969</v>
      </c>
      <c r="CG1036">
        <f>Model!CO428</f>
        <v>955.97100000000012</v>
      </c>
      <c r="CH1036">
        <f>Model!CP428</f>
        <v>1260.7629999999999</v>
      </c>
      <c r="CI1036">
        <f>Model!CQ428</f>
        <v>1913.6739999999998</v>
      </c>
      <c r="CJ1036">
        <f>Model!CR428</f>
        <v>3079.8800000000006</v>
      </c>
      <c r="CK1036">
        <f>Model!CS428</f>
        <v>4083.6810000000009</v>
      </c>
      <c r="CL1036">
        <f>Model!CT428</f>
        <v>5715.8860000000004</v>
      </c>
      <c r="CM1036">
        <f>Model!CU428</f>
        <v>7584.1299999999992</v>
      </c>
      <c r="CN1036">
        <f>Model!CV428</f>
        <v>8591.8069999999989</v>
      </c>
      <c r="CO1036">
        <f>Model!CW428</f>
        <v>10314.691999999999</v>
      </c>
      <c r="CP1036">
        <f>Model!CX428</f>
        <v>12430.544999999998</v>
      </c>
      <c r="CQ1036">
        <f>Model!CY428</f>
        <v>14741.870989253777</v>
      </c>
      <c r="CR1036">
        <f>Model!DG428</f>
        <v>0</v>
      </c>
      <c r="CS1036">
        <f>Model!DH428</f>
        <v>0</v>
      </c>
      <c r="CT1036">
        <f>Model!DI428</f>
        <v>0</v>
      </c>
      <c r="CU1036">
        <f>Model!DJ428</f>
        <v>0</v>
      </c>
    </row>
    <row r="1037" spans="1:99">
      <c r="A1037" t="str">
        <f>Model!I433</f>
        <v>Constant Currency Gross Profit Dollars Spent per Room Night</v>
      </c>
      <c r="B1037">
        <f>Model!J433</f>
        <v>0</v>
      </c>
      <c r="C1037">
        <f>Model!K433</f>
        <v>0</v>
      </c>
      <c r="D1037">
        <f>Model!L433</f>
        <v>0</v>
      </c>
      <c r="E1037">
        <f>Model!M433</f>
        <v>0</v>
      </c>
      <c r="F1037">
        <f>Model!N433</f>
        <v>0</v>
      </c>
      <c r="G1037">
        <f>Model!O433</f>
        <v>0</v>
      </c>
      <c r="H1037">
        <f>Model!P433</f>
        <v>0</v>
      </c>
      <c r="I1037">
        <f>Model!Q433</f>
        <v>0</v>
      </c>
      <c r="J1037">
        <f>Model!R433</f>
        <v>0</v>
      </c>
      <c r="K1037">
        <f>Model!S433</f>
        <v>0</v>
      </c>
      <c r="L1037">
        <f>Model!T433</f>
        <v>0</v>
      </c>
      <c r="M1037">
        <f>Model!U433</f>
        <v>0</v>
      </c>
      <c r="N1037">
        <f>Model!V433</f>
        <v>0</v>
      </c>
      <c r="O1037">
        <f>Model!W433</f>
        <v>0</v>
      </c>
      <c r="P1037">
        <f>Model!X433</f>
        <v>0</v>
      </c>
      <c r="Q1037">
        <f>Model!Y433</f>
        <v>0</v>
      </c>
      <c r="R1037">
        <f>Model!Z433</f>
        <v>0</v>
      </c>
      <c r="S1037">
        <f>Model!AA433</f>
        <v>0</v>
      </c>
      <c r="T1037">
        <f>Model!AB433</f>
        <v>0</v>
      </c>
      <c r="U1037">
        <f>Model!AC433</f>
        <v>0</v>
      </c>
      <c r="V1037">
        <f>Model!AD433</f>
        <v>0</v>
      </c>
      <c r="W1037">
        <f>Model!AE433</f>
        <v>0</v>
      </c>
      <c r="X1037">
        <f>Model!AF433</f>
        <v>0</v>
      </c>
      <c r="Y1037">
        <f>Model!AG433</f>
        <v>0</v>
      </c>
      <c r="Z1037">
        <f>Model!AH433</f>
        <v>0</v>
      </c>
      <c r="AA1037">
        <f>Model!AI433</f>
        <v>0</v>
      </c>
      <c r="AB1037">
        <f>Model!AJ433</f>
        <v>0</v>
      </c>
      <c r="AC1037">
        <f>Model!AK433</f>
        <v>0</v>
      </c>
      <c r="AD1037">
        <f>Model!AL433</f>
        <v>0</v>
      </c>
      <c r="AE1037">
        <f>Model!AM433</f>
        <v>0</v>
      </c>
      <c r="AF1037">
        <f>Model!AN433</f>
        <v>0</v>
      </c>
      <c r="AG1037">
        <f>Model!AO433</f>
        <v>17.705375423316102</v>
      </c>
      <c r="AH1037">
        <f>Model!AP433</f>
        <v>21.290911957549287</v>
      </c>
      <c r="AI1037">
        <f>Model!AQ433</f>
        <v>26.138746148522788</v>
      </c>
      <c r="AJ1037">
        <f>Model!AR433</f>
        <v>23.508567528626145</v>
      </c>
      <c r="AK1037">
        <f>Model!AS433</f>
        <v>17.745561303151916</v>
      </c>
      <c r="AL1037">
        <f>Model!AT433</f>
        <v>21.228226140909808</v>
      </c>
      <c r="AM1037">
        <f>Model!AU433</f>
        <v>25.482556258234947</v>
      </c>
      <c r="AN1037">
        <f>Model!AV433</f>
        <v>20.44301584635302</v>
      </c>
      <c r="AO1037">
        <f>Model!AW433</f>
        <v>15.366791806940981</v>
      </c>
      <c r="AP1037">
        <f>Model!AX433</f>
        <v>19.894684053036201</v>
      </c>
      <c r="AQ1037">
        <f>Model!AY433</f>
        <v>25.511121276589392</v>
      </c>
      <c r="AR1037">
        <f>Model!AZ433</f>
        <v>22.459915757422159</v>
      </c>
      <c r="AS1037">
        <f>Model!BA433</f>
        <v>16.141500479604797</v>
      </c>
      <c r="AT1037">
        <f>Model!BB433</f>
        <v>18.870309298286749</v>
      </c>
      <c r="AU1037">
        <f>Model!BC433</f>
        <v>25.584298711432634</v>
      </c>
      <c r="AV1037">
        <f>Model!BD433</f>
        <v>21.720391410290855</v>
      </c>
      <c r="AW1037">
        <f>Model!BE433</f>
        <v>16.537596200486355</v>
      </c>
      <c r="AX1037">
        <f>Model!BF433</f>
        <v>21.360976516730876</v>
      </c>
      <c r="AY1037">
        <f>Model!BG433</f>
        <v>27.086888649600876</v>
      </c>
      <c r="AZ1037">
        <f>Model!BH433</f>
        <v>20.623678779934909</v>
      </c>
      <c r="BA1037">
        <f>Model!BI433</f>
        <v>15.997599107711682</v>
      </c>
      <c r="BB1037">
        <f>Model!BJ433</f>
        <v>19.923535385058852</v>
      </c>
      <c r="BC1037">
        <f>Model!BK433</f>
        <v>26.46372118215049</v>
      </c>
      <c r="BD1037">
        <f>Model!BL433</f>
        <v>21.230033368172862</v>
      </c>
      <c r="BE1037">
        <f>Model!BM433</f>
        <v>16.995656709336789</v>
      </c>
      <c r="BF1037">
        <f>Model!BN433</f>
        <v>20.859687585428215</v>
      </c>
      <c r="BG1037">
        <f>Model!BO433</f>
        <v>27.709371890003592</v>
      </c>
      <c r="BH1037">
        <f>Model!BP433</f>
        <v>22.595054699591159</v>
      </c>
      <c r="BI1037">
        <f>Model!BQ433</f>
        <v>17.791436640501836</v>
      </c>
      <c r="BJ1037">
        <f>Model!BR433</f>
        <v>21.117348593555544</v>
      </c>
      <c r="BK1037">
        <f>Model!BS433</f>
        <v>28.852738231603528</v>
      </c>
      <c r="BL1037">
        <f>Model!BT433</f>
        <v>20.942025169837159</v>
      </c>
      <c r="BM1037">
        <f>Model!BU433</f>
        <v>15.420164084481756</v>
      </c>
      <c r="BN1037">
        <f>Model!BV433</f>
        <v>17.516301210549965</v>
      </c>
      <c r="BO1037">
        <f>Model!BW433</f>
        <v>24.210658347227991</v>
      </c>
      <c r="BP1037">
        <f>Model!BX433</f>
        <v>17.887252952440633</v>
      </c>
      <c r="BQ1037">
        <f>Model!BY433</f>
        <v>13.76429357697798</v>
      </c>
      <c r="BR1037">
        <f>Model!BZ433</f>
        <v>17.728266133212781</v>
      </c>
      <c r="BS1037">
        <f>Model!CA433</f>
        <v>24.24783509051408</v>
      </c>
      <c r="BT1037">
        <f>Model!CB433</f>
        <v>17.492689632115201</v>
      </c>
      <c r="BU1037">
        <f>Model!CC433</f>
        <v>13.250119112488003</v>
      </c>
      <c r="BV1037">
        <f>Model!CD433</f>
        <v>17.154537030872486</v>
      </c>
      <c r="BW1037">
        <f>Model!CE433</f>
        <v>24.09771135343323</v>
      </c>
      <c r="BX1037">
        <f>Model!CF433</f>
        <v>18.192258745758949</v>
      </c>
      <c r="BY1037">
        <f>Model!CG433</f>
        <v>0</v>
      </c>
      <c r="BZ1037">
        <f>Model!CH433</f>
        <v>0</v>
      </c>
      <c r="CA1037">
        <f>Model!CI433</f>
        <v>0</v>
      </c>
      <c r="CB1037">
        <f>Model!CJ433</f>
        <v>0</v>
      </c>
      <c r="CC1037">
        <f>Model!CK433</f>
        <v>0</v>
      </c>
      <c r="CD1037">
        <f>Model!CL433</f>
        <v>0</v>
      </c>
      <c r="CE1037">
        <f>Model!CM433</f>
        <v>0</v>
      </c>
      <c r="CF1037">
        <f>Model!CN433</f>
        <v>0</v>
      </c>
      <c r="CG1037">
        <f>Model!CO433</f>
        <v>23.37269722173054</v>
      </c>
      <c r="CH1037">
        <f>Model!CP433</f>
        <v>21.616302298903623</v>
      </c>
      <c r="CI1037">
        <f>Model!CQ433</f>
        <v>20.951372461344693</v>
      </c>
      <c r="CJ1037">
        <f>Model!CR433</f>
        <v>21.749179103391512</v>
      </c>
      <c r="CK1037">
        <f>Model!CS433</f>
        <v>21.532235043222627</v>
      </c>
      <c r="CL1037">
        <f>Model!CT433</f>
        <v>21.134003385099245</v>
      </c>
      <c r="CM1037">
        <f>Model!CU433</f>
        <v>22.243118032759941</v>
      </c>
      <c r="CN1037">
        <f>Model!CV433</f>
        <v>22.307484326395127</v>
      </c>
      <c r="CO1037">
        <f>Model!CW433</f>
        <v>18.92728504713352</v>
      </c>
      <c r="CP1037">
        <f>Model!CX433</f>
        <v>18.102767332012764</v>
      </c>
      <c r="CQ1037">
        <f>Model!CY433</f>
        <v>18.167721340086345</v>
      </c>
      <c r="CR1037">
        <f>Model!DG433</f>
        <v>0</v>
      </c>
      <c r="CS1037">
        <f>Model!DH433</f>
        <v>0</v>
      </c>
      <c r="CT1037">
        <f>Model!DI433</f>
        <v>0</v>
      </c>
      <c r="CU1037">
        <f>Model!DJ433</f>
        <v>0</v>
      </c>
    </row>
    <row r="1038" spans="1:99">
      <c r="A1038" t="str">
        <f>Model!I434</f>
        <v>% change Y/Y</v>
      </c>
      <c r="B1038">
        <f>Model!J434</f>
        <v>0</v>
      </c>
      <c r="C1038">
        <f>Model!K434</f>
        <v>0</v>
      </c>
      <c r="D1038">
        <f>Model!L434</f>
        <v>0</v>
      </c>
      <c r="E1038">
        <f>Model!M434</f>
        <v>0</v>
      </c>
      <c r="F1038">
        <f>Model!N434</f>
        <v>0</v>
      </c>
      <c r="G1038">
        <f>Model!O434</f>
        <v>0</v>
      </c>
      <c r="H1038">
        <f>Model!P434</f>
        <v>0</v>
      </c>
      <c r="I1038">
        <f>Model!Q434</f>
        <v>0</v>
      </c>
      <c r="J1038">
        <f>Model!R434</f>
        <v>0</v>
      </c>
      <c r="K1038">
        <f>Model!S434</f>
        <v>0</v>
      </c>
      <c r="L1038">
        <f>Model!T434</f>
        <v>0</v>
      </c>
      <c r="M1038">
        <f>Model!U434</f>
        <v>0</v>
      </c>
      <c r="N1038">
        <f>Model!V434</f>
        <v>0</v>
      </c>
      <c r="O1038">
        <f>Model!W434</f>
        <v>0</v>
      </c>
      <c r="P1038">
        <f>Model!X434</f>
        <v>0</v>
      </c>
      <c r="Q1038">
        <f>Model!Y434</f>
        <v>0</v>
      </c>
      <c r="R1038">
        <f>Model!Z434</f>
        <v>0</v>
      </c>
      <c r="S1038">
        <f>Model!AA434</f>
        <v>0</v>
      </c>
      <c r="T1038">
        <f>Model!AB434</f>
        <v>0</v>
      </c>
      <c r="U1038">
        <f>Model!AC434</f>
        <v>0</v>
      </c>
      <c r="V1038">
        <f>Model!AD434</f>
        <v>0</v>
      </c>
      <c r="W1038">
        <f>Model!AE434</f>
        <v>0</v>
      </c>
      <c r="X1038">
        <f>Model!AF434</f>
        <v>0</v>
      </c>
      <c r="Y1038">
        <f>Model!AG434</f>
        <v>0</v>
      </c>
      <c r="Z1038">
        <f>Model!AH434</f>
        <v>0</v>
      </c>
      <c r="AA1038">
        <f>Model!AI434</f>
        <v>0</v>
      </c>
      <c r="AB1038">
        <f>Model!AJ434</f>
        <v>0</v>
      </c>
      <c r="AC1038">
        <f>Model!AK434</f>
        <v>0</v>
      </c>
      <c r="AD1038">
        <f>Model!AL434</f>
        <v>0</v>
      </c>
      <c r="AE1038">
        <f>Model!AM434</f>
        <v>0</v>
      </c>
      <c r="AF1038">
        <f>Model!AN434</f>
        <v>0</v>
      </c>
      <c r="AG1038">
        <f>Model!AO434</f>
        <v>0</v>
      </c>
      <c r="AH1038">
        <f>Model!AP434</f>
        <v>0</v>
      </c>
      <c r="AI1038">
        <f>Model!AQ434</f>
        <v>0</v>
      </c>
      <c r="AJ1038">
        <f>Model!AR434</f>
        <v>0</v>
      </c>
      <c r="AK1038">
        <f>Model!AS434</f>
        <v>2.2696993921345054E-3</v>
      </c>
      <c r="AL1038">
        <f>Model!AT434</f>
        <v>-2.9442523065458248E-3</v>
      </c>
      <c r="AM1038">
        <f>Model!AU434</f>
        <v>-2.5104107387527663E-2</v>
      </c>
      <c r="AN1038">
        <f>Model!AV434</f>
        <v>-0.13040146655215101</v>
      </c>
      <c r="AO1038">
        <f>Model!AW434</f>
        <v>-0.1340487040997923</v>
      </c>
      <c r="AP1038">
        <f>Model!AX434</f>
        <v>-6.2819289705213777E-2</v>
      </c>
      <c r="AQ1038">
        <f>Model!AY434</f>
        <v>1.1209636138922452E-3</v>
      </c>
      <c r="AR1038">
        <f>Model!AZ434</f>
        <v>9.86596070867376E-2</v>
      </c>
      <c r="AS1038">
        <f>Model!BA434</f>
        <v>5.0414470528187261E-2</v>
      </c>
      <c r="AT1038">
        <f>Model!BB434</f>
        <v>-5.1489872974037953E-2</v>
      </c>
      <c r="AU1038">
        <f>Model!BC434</f>
        <v>2.8684523133992723E-3</v>
      </c>
      <c r="AV1038">
        <f>Model!BD434</f>
        <v>-3.2926407877862163E-2</v>
      </c>
      <c r="AW1038">
        <f>Model!BE434</f>
        <v>2.4538965344766739E-2</v>
      </c>
      <c r="AX1038">
        <f>Model!BF434</f>
        <v>0.13198868015747123</v>
      </c>
      <c r="AY1038">
        <f>Model!BG434</f>
        <v>5.8730941000809667E-2</v>
      </c>
      <c r="AZ1038">
        <f>Model!BH434</f>
        <v>-5.0492305117316505E-2</v>
      </c>
      <c r="BA1038">
        <f>Model!BI434</f>
        <v>-3.265269548417149E-2</v>
      </c>
      <c r="BB1038">
        <f>Model!BJ434</f>
        <v>-6.7292856698108139E-2</v>
      </c>
      <c r="BC1038">
        <f>Model!BK434</f>
        <v>-2.3006240233485409E-2</v>
      </c>
      <c r="BD1038">
        <f>Model!BL434</f>
        <v>2.9400893735209044E-2</v>
      </c>
      <c r="BE1038">
        <f>Model!BM434</f>
        <v>6.238796177508843E-2</v>
      </c>
      <c r="BF1038">
        <f>Model!BN434</f>
        <v>4.6987253129352036E-2</v>
      </c>
      <c r="BG1038">
        <f>Model!BO434</f>
        <v>4.7070126656763689E-2</v>
      </c>
      <c r="BH1038">
        <f>Model!BP434</f>
        <v>6.4296711538130547E-2</v>
      </c>
      <c r="BI1038">
        <f>Model!BQ434</f>
        <v>4.6822546770309614E-2</v>
      </c>
      <c r="BJ1038">
        <f>Model!BR434</f>
        <v>1.2352102929255704E-2</v>
      </c>
      <c r="BK1038">
        <f>Model!BS434</f>
        <v>4.1262802568701185E-2</v>
      </c>
      <c r="BL1038">
        <f>Model!BT434</f>
        <v>-7.3158908076638163E-2</v>
      </c>
      <c r="BM1038">
        <f>Model!BU434</f>
        <v>-0.13328167949191505</v>
      </c>
      <c r="BN1038">
        <f>Model!BV434</f>
        <v>-0.17052554524314301</v>
      </c>
      <c r="BO1038">
        <f>Model!BW434</f>
        <v>-0.1608887117442076</v>
      </c>
      <c r="BP1038">
        <f>Model!BX434</f>
        <v>-0.1458680424945874</v>
      </c>
      <c r="BQ1038">
        <f>Model!BY434</f>
        <v>-0.10738345574222385</v>
      </c>
      <c r="BR1038">
        <f>Model!BZ434</f>
        <v>1.2101009232197368E-2</v>
      </c>
      <c r="BS1038">
        <f>Model!CA434</f>
        <v>1.5355527616349729E-3</v>
      </c>
      <c r="BT1038">
        <f>Model!CB434</f>
        <v>-2.2058351909849616E-2</v>
      </c>
      <c r="BU1038">
        <f>Model!CC434</f>
        <v>-3.7355674057256483E-2</v>
      </c>
      <c r="BV1038">
        <f>Model!CD434</f>
        <v>-3.2362392240121496E-2</v>
      </c>
      <c r="BW1038">
        <f>Model!CE434</f>
        <v>-6.1912222893489854E-3</v>
      </c>
      <c r="BX1038">
        <f>Model!CF434</f>
        <v>3.9992084028027008E-2</v>
      </c>
      <c r="BY1038">
        <f>Model!CG434</f>
        <v>0</v>
      </c>
      <c r="BZ1038">
        <f>Model!CH434</f>
        <v>0</v>
      </c>
      <c r="CA1038">
        <f>Model!CI434</f>
        <v>0</v>
      </c>
      <c r="CB1038">
        <f>Model!CJ434</f>
        <v>0</v>
      </c>
      <c r="CC1038">
        <f>Model!CK434</f>
        <v>0</v>
      </c>
      <c r="CD1038">
        <f>Model!CL434</f>
        <v>0</v>
      </c>
      <c r="CE1038">
        <f>Model!CM434</f>
        <v>0</v>
      </c>
      <c r="CF1038">
        <f>Model!CN434</f>
        <v>0</v>
      </c>
      <c r="CG1038">
        <f>Model!CO434</f>
        <v>0</v>
      </c>
      <c r="CH1038">
        <f>Model!CP434</f>
        <v>-7.5147292850477054E-2</v>
      </c>
      <c r="CI1038">
        <f>Model!CQ434</f>
        <v>-3.0760572662450913E-2</v>
      </c>
      <c r="CJ1038">
        <f>Model!CR434</f>
        <v>3.8078968025544446E-2</v>
      </c>
      <c r="CK1038">
        <f>Model!CS434</f>
        <v>-9.9748160212196346E-3</v>
      </c>
      <c r="CL1038">
        <f>Model!CT434</f>
        <v>-1.8494673559154129E-2</v>
      </c>
      <c r="CM1038">
        <f>Model!CU434</f>
        <v>5.2480101732296003E-2</v>
      </c>
      <c r="CN1038">
        <f>Model!CV434</f>
        <v>2.8937621758058363E-3</v>
      </c>
      <c r="CO1038">
        <f>Model!CW434</f>
        <v>-0.15152758732467275</v>
      </c>
      <c r="CP1038">
        <f>Model!CX434</f>
        <v>-4.3562386949185128E-2</v>
      </c>
      <c r="CQ1038">
        <f>Model!CY434</f>
        <v>3.5880706459014977E-3</v>
      </c>
      <c r="CR1038">
        <f>Model!DG434</f>
        <v>0</v>
      </c>
      <c r="CS1038">
        <f>Model!DH434</f>
        <v>0</v>
      </c>
      <c r="CT1038">
        <f>Model!DI434</f>
        <v>0</v>
      </c>
      <c r="CU1038">
        <f>Model!DJ434</f>
        <v>0</v>
      </c>
    </row>
    <row r="1039" spans="1:99">
      <c r="A1039" t="str">
        <f>Model!I435</f>
        <v>Two-Year</v>
      </c>
      <c r="B1039">
        <f>Model!J435</f>
        <v>0</v>
      </c>
      <c r="C1039">
        <f>Model!K435</f>
        <v>0</v>
      </c>
      <c r="D1039">
        <f>Model!L435</f>
        <v>0</v>
      </c>
      <c r="E1039">
        <f>Model!M435</f>
        <v>0</v>
      </c>
      <c r="F1039">
        <f>Model!N435</f>
        <v>0</v>
      </c>
      <c r="G1039">
        <f>Model!O435</f>
        <v>0</v>
      </c>
      <c r="H1039">
        <f>Model!P435</f>
        <v>0</v>
      </c>
      <c r="I1039">
        <f>Model!Q435</f>
        <v>0</v>
      </c>
      <c r="J1039">
        <f>Model!R435</f>
        <v>0</v>
      </c>
      <c r="K1039">
        <f>Model!S435</f>
        <v>0</v>
      </c>
      <c r="L1039">
        <f>Model!T435</f>
        <v>0</v>
      </c>
      <c r="M1039">
        <f>Model!U435</f>
        <v>0</v>
      </c>
      <c r="N1039">
        <f>Model!V435</f>
        <v>0</v>
      </c>
      <c r="O1039">
        <f>Model!W435</f>
        <v>0</v>
      </c>
      <c r="P1039">
        <f>Model!X435</f>
        <v>0</v>
      </c>
      <c r="Q1039">
        <f>Model!Y435</f>
        <v>0</v>
      </c>
      <c r="R1039">
        <f>Model!Z435</f>
        <v>0</v>
      </c>
      <c r="S1039">
        <f>Model!AA435</f>
        <v>0</v>
      </c>
      <c r="T1039">
        <f>Model!AB435</f>
        <v>0</v>
      </c>
      <c r="U1039">
        <f>Model!AC435</f>
        <v>0</v>
      </c>
      <c r="V1039">
        <f>Model!AD435</f>
        <v>0</v>
      </c>
      <c r="W1039">
        <f>Model!AE435</f>
        <v>0</v>
      </c>
      <c r="X1039">
        <f>Model!AF435</f>
        <v>0</v>
      </c>
      <c r="Y1039">
        <f>Model!AG435</f>
        <v>0</v>
      </c>
      <c r="Z1039">
        <f>Model!AH435</f>
        <v>0</v>
      </c>
      <c r="AA1039">
        <f>Model!AI435</f>
        <v>0</v>
      </c>
      <c r="AB1039">
        <f>Model!AJ435</f>
        <v>0</v>
      </c>
      <c r="AC1039">
        <f>Model!AK435</f>
        <v>0</v>
      </c>
      <c r="AD1039">
        <f>Model!AL435</f>
        <v>0</v>
      </c>
      <c r="AE1039">
        <f>Model!AM435</f>
        <v>0</v>
      </c>
      <c r="AF1039">
        <f>Model!AN435</f>
        <v>0</v>
      </c>
      <c r="AG1039">
        <f>Model!AO435</f>
        <v>0</v>
      </c>
      <c r="AH1039">
        <f>Model!AP435</f>
        <v>0</v>
      </c>
      <c r="AI1039">
        <f>Model!AQ435</f>
        <v>0</v>
      </c>
      <c r="AJ1039">
        <f>Model!AR435</f>
        <v>0</v>
      </c>
      <c r="AK1039">
        <f>Model!AS435</f>
        <v>0</v>
      </c>
      <c r="AL1039">
        <f>Model!AT435</f>
        <v>0</v>
      </c>
      <c r="AM1039">
        <f>Model!AU435</f>
        <v>0</v>
      </c>
      <c r="AN1039">
        <f>Model!AV435</f>
        <v>0</v>
      </c>
      <c r="AO1039">
        <f>Model!AW435</f>
        <v>-0.1317790047076578</v>
      </c>
      <c r="AP1039">
        <f>Model!AX435</f>
        <v>-6.5763542011759601E-2</v>
      </c>
      <c r="AQ1039">
        <f>Model!AY435</f>
        <v>-2.3983143773635418E-2</v>
      </c>
      <c r="AR1039">
        <f>Model!AZ435</f>
        <v>-3.1741859465413413E-2</v>
      </c>
      <c r="AS1039">
        <f>Model!BA435</f>
        <v>-8.3634233571605043E-2</v>
      </c>
      <c r="AT1039">
        <f>Model!BB435</f>
        <v>-0.11430916267925173</v>
      </c>
      <c r="AU1039">
        <f>Model!BC435</f>
        <v>3.9894159272915175E-3</v>
      </c>
      <c r="AV1039">
        <f>Model!BD435</f>
        <v>6.5733199208875437E-2</v>
      </c>
      <c r="AW1039">
        <f>Model!BE435</f>
        <v>7.4953435872954E-2</v>
      </c>
      <c r="AX1039">
        <f>Model!BF435</f>
        <v>8.0498807183433274E-2</v>
      </c>
      <c r="AY1039">
        <f>Model!BG435</f>
        <v>6.1599393314208939E-2</v>
      </c>
      <c r="AZ1039">
        <f>Model!BH435</f>
        <v>-8.3418712995178668E-2</v>
      </c>
      <c r="BA1039">
        <f>Model!BI435</f>
        <v>-8.1137301394047512E-3</v>
      </c>
      <c r="BB1039">
        <f>Model!BJ435</f>
        <v>6.4695823459363089E-2</v>
      </c>
      <c r="BC1039">
        <f>Model!BK435</f>
        <v>3.5724700767324258E-2</v>
      </c>
      <c r="BD1039">
        <f>Model!BL435</f>
        <v>-2.1091411382107461E-2</v>
      </c>
      <c r="BE1039">
        <f>Model!BM435</f>
        <v>2.973526629091694E-2</v>
      </c>
      <c r="BF1039">
        <f>Model!BN435</f>
        <v>-2.0305603568756103E-2</v>
      </c>
      <c r="BG1039">
        <f>Model!BO435</f>
        <v>2.406388642327828E-2</v>
      </c>
      <c r="BH1039">
        <f>Model!BP435</f>
        <v>9.369760527333959E-2</v>
      </c>
      <c r="BI1039">
        <f>Model!BQ435</f>
        <v>0.10921050854539804</v>
      </c>
      <c r="BJ1039">
        <f>Model!BR435</f>
        <v>5.933935605860774E-2</v>
      </c>
      <c r="BK1039">
        <f>Model!BS435</f>
        <v>8.8332929225464873E-2</v>
      </c>
      <c r="BL1039">
        <f>Model!BT435</f>
        <v>-8.8621965385076162E-3</v>
      </c>
      <c r="BM1039">
        <f>Model!BU435</f>
        <v>-8.6459132721605436E-2</v>
      </c>
      <c r="BN1039">
        <f>Model!BV435</f>
        <v>-0.1581734423138873</v>
      </c>
      <c r="BO1039">
        <f>Model!BW435</f>
        <v>-0.11962590917550642</v>
      </c>
      <c r="BP1039">
        <f>Model!BX435</f>
        <v>-0.21902695057122556</v>
      </c>
      <c r="BQ1039">
        <f>Model!BY435</f>
        <v>-0.2406651352341389</v>
      </c>
      <c r="BR1039">
        <f>Model!BZ435</f>
        <v>-0.15842453601094564</v>
      </c>
      <c r="BS1039">
        <f>Model!CA435</f>
        <v>-0.15935315898257263</v>
      </c>
      <c r="BT1039">
        <f>Model!CB435</f>
        <v>-0.16792639440443702</v>
      </c>
      <c r="BU1039">
        <f>Model!CC435</f>
        <v>-0.14473912979948034</v>
      </c>
      <c r="BV1039">
        <f>Model!CD435</f>
        <v>-2.0261383007924127E-2</v>
      </c>
      <c r="BW1039">
        <f>Model!CE435</f>
        <v>-4.6556695277140125E-3</v>
      </c>
      <c r="BX1039">
        <f>Model!CF435</f>
        <v>1.7933732118177392E-2</v>
      </c>
      <c r="BY1039">
        <f>Model!CG435</f>
        <v>0</v>
      </c>
      <c r="BZ1039">
        <f>Model!CH435</f>
        <v>0</v>
      </c>
      <c r="CA1039">
        <f>Model!CI435</f>
        <v>0</v>
      </c>
      <c r="CB1039">
        <f>Model!CJ435</f>
        <v>0</v>
      </c>
      <c r="CC1039">
        <f>Model!CK435</f>
        <v>0</v>
      </c>
      <c r="CD1039">
        <f>Model!CL435</f>
        <v>0</v>
      </c>
      <c r="CE1039">
        <f>Model!CM435</f>
        <v>0</v>
      </c>
      <c r="CF1039">
        <f>Model!CN435</f>
        <v>0</v>
      </c>
      <c r="CG1039">
        <f>Model!CO435</f>
        <v>0</v>
      </c>
      <c r="CH1039">
        <f>Model!CP435</f>
        <v>0</v>
      </c>
      <c r="CI1039">
        <f>Model!CQ435</f>
        <v>-0.10590786551292797</v>
      </c>
      <c r="CJ1039">
        <f>Model!CR435</f>
        <v>7.3183953630935328E-3</v>
      </c>
      <c r="CK1039">
        <f>Model!CS435</f>
        <v>2.8104152004324812E-2</v>
      </c>
      <c r="CL1039">
        <f>Model!CT435</f>
        <v>-2.8469489580373764E-2</v>
      </c>
      <c r="CM1039">
        <f>Model!CU435</f>
        <v>3.3985428173141874E-2</v>
      </c>
      <c r="CN1039">
        <f>Model!CV435</f>
        <v>5.5373863908101839E-2</v>
      </c>
      <c r="CO1039">
        <f>Model!CW435</f>
        <v>-0.14863382514886692</v>
      </c>
      <c r="CP1039">
        <f>Model!CX435</f>
        <v>-0.19508997427385788</v>
      </c>
      <c r="CQ1039">
        <f>Model!CY435</f>
        <v>-3.997431630328363E-2</v>
      </c>
      <c r="CR1039">
        <f>Model!DG435</f>
        <v>0</v>
      </c>
      <c r="CS1039">
        <f>Model!DH435</f>
        <v>0</v>
      </c>
      <c r="CT1039">
        <f>Model!DI435</f>
        <v>0</v>
      </c>
      <c r="CU1039">
        <f>Model!DJ435</f>
        <v>0</v>
      </c>
    </row>
    <row r="1040" spans="1:99">
      <c r="A1040">
        <f>Model!I436</f>
        <v>0</v>
      </c>
      <c r="B1040">
        <f>Model!J436</f>
        <v>0</v>
      </c>
      <c r="C1040">
        <f>Model!K436</f>
        <v>0</v>
      </c>
      <c r="D1040">
        <f>Model!L436</f>
        <v>0</v>
      </c>
      <c r="E1040">
        <f>Model!M436</f>
        <v>0</v>
      </c>
      <c r="F1040">
        <f>Model!N436</f>
        <v>0</v>
      </c>
      <c r="G1040">
        <f>Model!O436</f>
        <v>0</v>
      </c>
      <c r="H1040">
        <f>Model!P436</f>
        <v>0</v>
      </c>
      <c r="I1040">
        <f>Model!Q436</f>
        <v>0</v>
      </c>
      <c r="J1040">
        <f>Model!R436</f>
        <v>0</v>
      </c>
      <c r="K1040">
        <f>Model!S436</f>
        <v>0</v>
      </c>
      <c r="L1040">
        <f>Model!T436</f>
        <v>0</v>
      </c>
      <c r="M1040">
        <f>Model!U436</f>
        <v>0</v>
      </c>
      <c r="N1040">
        <f>Model!V436</f>
        <v>0</v>
      </c>
      <c r="O1040">
        <f>Model!W436</f>
        <v>0</v>
      </c>
      <c r="P1040">
        <f>Model!X436</f>
        <v>0</v>
      </c>
      <c r="Q1040">
        <f>Model!Y436</f>
        <v>0</v>
      </c>
      <c r="R1040">
        <f>Model!Z436</f>
        <v>0</v>
      </c>
      <c r="S1040">
        <f>Model!AA436</f>
        <v>0</v>
      </c>
      <c r="T1040">
        <f>Model!AB436</f>
        <v>0</v>
      </c>
      <c r="U1040">
        <f>Model!AC436</f>
        <v>0</v>
      </c>
      <c r="V1040">
        <f>Model!AD436</f>
        <v>0</v>
      </c>
      <c r="W1040">
        <f>Model!AE436</f>
        <v>0</v>
      </c>
      <c r="X1040">
        <f>Model!AF436</f>
        <v>0</v>
      </c>
      <c r="Y1040">
        <f>Model!AG436</f>
        <v>0</v>
      </c>
      <c r="Z1040">
        <f>Model!AH436</f>
        <v>0</v>
      </c>
      <c r="AA1040">
        <f>Model!AI436</f>
        <v>0</v>
      </c>
      <c r="AB1040">
        <f>Model!AJ436</f>
        <v>0</v>
      </c>
      <c r="AC1040">
        <f>Model!AK436</f>
        <v>0</v>
      </c>
      <c r="AD1040">
        <f>Model!AL436</f>
        <v>0</v>
      </c>
      <c r="AE1040">
        <f>Model!AM436</f>
        <v>0</v>
      </c>
      <c r="AF1040">
        <f>Model!AN436</f>
        <v>0</v>
      </c>
      <c r="AG1040">
        <f>Model!AO436</f>
        <v>0</v>
      </c>
      <c r="AH1040">
        <f>Model!AP436</f>
        <v>0</v>
      </c>
      <c r="AI1040">
        <f>Model!AQ436</f>
        <v>0</v>
      </c>
      <c r="AJ1040">
        <f>Model!AR436</f>
        <v>0</v>
      </c>
      <c r="AK1040">
        <f>Model!AS436</f>
        <v>0</v>
      </c>
      <c r="AL1040">
        <f>Model!AT436</f>
        <v>0</v>
      </c>
      <c r="AM1040">
        <f>Model!AU436</f>
        <v>0</v>
      </c>
      <c r="AN1040">
        <f>Model!AV436</f>
        <v>0</v>
      </c>
      <c r="AO1040">
        <f>Model!AW436</f>
        <v>0</v>
      </c>
      <c r="AP1040">
        <f>Model!AX436</f>
        <v>0</v>
      </c>
      <c r="AQ1040">
        <f>Model!AY436</f>
        <v>0</v>
      </c>
      <c r="AR1040">
        <f>Model!AZ436</f>
        <v>0</v>
      </c>
      <c r="AS1040">
        <f>Model!BA436</f>
        <v>0</v>
      </c>
      <c r="AT1040">
        <f>Model!BB436</f>
        <v>0</v>
      </c>
      <c r="AU1040">
        <f>Model!BC436</f>
        <v>0</v>
      </c>
      <c r="AV1040">
        <f>Model!BD436</f>
        <v>0</v>
      </c>
      <c r="AW1040">
        <f>Model!BE436</f>
        <v>0</v>
      </c>
      <c r="AX1040">
        <f>Model!BF436</f>
        <v>0</v>
      </c>
      <c r="AY1040">
        <f>Model!BG436</f>
        <v>0</v>
      </c>
      <c r="AZ1040">
        <f>Model!BH436</f>
        <v>0</v>
      </c>
      <c r="BA1040">
        <f>Model!BI436</f>
        <v>0</v>
      </c>
      <c r="BB1040">
        <f>Model!BJ436</f>
        <v>0</v>
      </c>
      <c r="BC1040">
        <f>Model!BK436</f>
        <v>0</v>
      </c>
      <c r="BD1040">
        <f>Model!BL436</f>
        <v>0</v>
      </c>
      <c r="BE1040">
        <f>Model!BM436</f>
        <v>0</v>
      </c>
      <c r="BF1040">
        <f>Model!BN436</f>
        <v>0</v>
      </c>
      <c r="BG1040">
        <f>Model!BO436</f>
        <v>0</v>
      </c>
      <c r="BH1040">
        <f>Model!BP436</f>
        <v>0</v>
      </c>
      <c r="BI1040">
        <f>Model!BQ436</f>
        <v>0</v>
      </c>
      <c r="BJ1040">
        <f>Model!BR436</f>
        <v>0</v>
      </c>
      <c r="BK1040">
        <f>Model!BS436</f>
        <v>0</v>
      </c>
      <c r="BL1040">
        <f>Model!BT436</f>
        <v>0</v>
      </c>
      <c r="BM1040">
        <f>Model!BU436</f>
        <v>0</v>
      </c>
      <c r="BN1040">
        <f>Model!BV436</f>
        <v>0</v>
      </c>
      <c r="BO1040">
        <f>Model!BW436</f>
        <v>0</v>
      </c>
      <c r="BP1040">
        <f>Model!BX436</f>
        <v>0</v>
      </c>
      <c r="BQ1040">
        <f>Model!BY436</f>
        <v>0</v>
      </c>
      <c r="BR1040">
        <f>Model!BZ436</f>
        <v>0</v>
      </c>
      <c r="BS1040">
        <f>Model!CA436</f>
        <v>0</v>
      </c>
      <c r="BT1040">
        <f>Model!CB436</f>
        <v>0</v>
      </c>
      <c r="BU1040">
        <f>Model!CC436</f>
        <v>0</v>
      </c>
      <c r="BV1040">
        <f>Model!CD436</f>
        <v>0</v>
      </c>
      <c r="BW1040">
        <f>Model!CE436</f>
        <v>0</v>
      </c>
      <c r="BX1040">
        <f>Model!CF436</f>
        <v>0</v>
      </c>
      <c r="BY1040">
        <f>Model!CG436</f>
        <v>0</v>
      </c>
      <c r="BZ1040">
        <f>Model!CH436</f>
        <v>0</v>
      </c>
      <c r="CA1040">
        <f>Model!CI436</f>
        <v>0</v>
      </c>
      <c r="CB1040">
        <f>Model!CJ436</f>
        <v>0</v>
      </c>
      <c r="CC1040">
        <f>Model!CK436</f>
        <v>0</v>
      </c>
      <c r="CD1040">
        <f>Model!CL436</f>
        <v>0</v>
      </c>
      <c r="CE1040">
        <f>Model!CM436</f>
        <v>0</v>
      </c>
      <c r="CF1040">
        <f>Model!CN436</f>
        <v>0</v>
      </c>
      <c r="CG1040">
        <f>Model!CO436</f>
        <v>0</v>
      </c>
      <c r="CH1040">
        <f>Model!CP436</f>
        <v>0</v>
      </c>
      <c r="CI1040">
        <f>Model!CQ436</f>
        <v>0</v>
      </c>
      <c r="CJ1040">
        <f>Model!CR436</f>
        <v>0</v>
      </c>
      <c r="CK1040">
        <f>Model!CS436</f>
        <v>0</v>
      </c>
      <c r="CL1040">
        <f>Model!CT436</f>
        <v>0</v>
      </c>
      <c r="CM1040">
        <f>Model!CU436</f>
        <v>0</v>
      </c>
      <c r="CN1040">
        <f>Model!CV436</f>
        <v>0</v>
      </c>
      <c r="CO1040">
        <f>Model!CW436</f>
        <v>0</v>
      </c>
      <c r="CP1040">
        <f>Model!CX436</f>
        <v>0</v>
      </c>
      <c r="CQ1040">
        <f>Model!CY436</f>
        <v>0</v>
      </c>
      <c r="CR1040">
        <f>Model!DG436</f>
        <v>0</v>
      </c>
      <c r="CS1040">
        <f>Model!DH436</f>
        <v>0</v>
      </c>
      <c r="CT1040">
        <f>Model!DI436</f>
        <v>0</v>
      </c>
      <c r="CU1040">
        <f>Model!DJ436</f>
        <v>0</v>
      </c>
    </row>
    <row r="1041" spans="1:99">
      <c r="A1041" t="str">
        <f>Model!I437</f>
        <v>Gross Profit (ex OPEN, ex KYAK)</v>
      </c>
      <c r="B1041">
        <f>Model!J437</f>
        <v>0</v>
      </c>
      <c r="C1041">
        <f>Model!K437</f>
        <v>0</v>
      </c>
      <c r="D1041">
        <f>Model!L437</f>
        <v>0</v>
      </c>
      <c r="E1041">
        <f>Model!M437</f>
        <v>0</v>
      </c>
      <c r="F1041">
        <f>Model!N437</f>
        <v>0</v>
      </c>
      <c r="G1041">
        <f>Model!O437</f>
        <v>0</v>
      </c>
      <c r="H1041">
        <f>Model!P437</f>
        <v>0</v>
      </c>
      <c r="I1041">
        <f>Model!Q437</f>
        <v>0</v>
      </c>
      <c r="J1041">
        <f>Model!R437</f>
        <v>0</v>
      </c>
      <c r="K1041">
        <f>Model!S437</f>
        <v>0</v>
      </c>
      <c r="L1041">
        <f>Model!T437</f>
        <v>0</v>
      </c>
      <c r="M1041">
        <f>Model!U437</f>
        <v>0</v>
      </c>
      <c r="N1041">
        <f>Model!V437</f>
        <v>0</v>
      </c>
      <c r="O1041">
        <f>Model!W437</f>
        <v>0</v>
      </c>
      <c r="P1041">
        <f>Model!X437</f>
        <v>0</v>
      </c>
      <c r="Q1041">
        <f>Model!Y437</f>
        <v>0</v>
      </c>
      <c r="R1041">
        <f>Model!Z437</f>
        <v>0</v>
      </c>
      <c r="S1041">
        <f>Model!AA437</f>
        <v>0</v>
      </c>
      <c r="T1041">
        <f>Model!AB437</f>
        <v>0</v>
      </c>
      <c r="U1041">
        <f>Model!AC437</f>
        <v>0</v>
      </c>
      <c r="V1041">
        <f>Model!AD437</f>
        <v>0</v>
      </c>
      <c r="W1041">
        <f>Model!AE437</f>
        <v>0</v>
      </c>
      <c r="X1041">
        <f>Model!AF437</f>
        <v>0</v>
      </c>
      <c r="Y1041">
        <f>Model!AG437</f>
        <v>0</v>
      </c>
      <c r="Z1041">
        <f>Model!AH437</f>
        <v>0</v>
      </c>
      <c r="AA1041">
        <f>Model!AI437</f>
        <v>0</v>
      </c>
      <c r="AB1041">
        <f>Model!AJ437</f>
        <v>0</v>
      </c>
      <c r="AC1041">
        <f>Model!AK437</f>
        <v>103.83900000000003</v>
      </c>
      <c r="AD1041">
        <f>Model!AL437</f>
        <v>154.89299999999994</v>
      </c>
      <c r="AE1041">
        <f>Model!AM437</f>
        <v>202.33099999999999</v>
      </c>
      <c r="AF1041">
        <f>Model!AN437</f>
        <v>160.15200000000002</v>
      </c>
      <c r="AG1041">
        <f>Model!AO437</f>
        <v>181.10300000000001</v>
      </c>
      <c r="AH1041">
        <f>Model!AP437</f>
        <v>253.72500000000002</v>
      </c>
      <c r="AI1041">
        <f>Model!AQ437</f>
        <v>316.07800000000003</v>
      </c>
      <c r="AJ1041">
        <f>Model!AR437</f>
        <v>205.065</v>
      </c>
      <c r="AK1041">
        <f>Model!AS437</f>
        <v>208.32999999999998</v>
      </c>
      <c r="AL1041">
        <f>Model!AT437</f>
        <v>305.238</v>
      </c>
      <c r="AM1041">
        <f>Model!AU437</f>
        <v>434.00599999999997</v>
      </c>
      <c r="AN1041">
        <f>Model!AV437</f>
        <v>313.18900000000008</v>
      </c>
      <c r="AO1041">
        <f>Model!AW437</f>
        <v>319.11599999999987</v>
      </c>
      <c r="AP1041">
        <f>Model!AX437</f>
        <v>446.18399999999991</v>
      </c>
      <c r="AQ1041">
        <f>Model!AY437</f>
        <v>668.20799999999986</v>
      </c>
      <c r="AR1041">
        <f>Model!AZ437</f>
        <v>480.16600000000005</v>
      </c>
      <c r="AS1041">
        <f>Model!BA437</f>
        <v>505.80800000000005</v>
      </c>
      <c r="AT1041">
        <f>Model!BB437</f>
        <v>749.22700000000009</v>
      </c>
      <c r="AU1041">
        <f>Model!BC437</f>
        <v>1100.1480000000001</v>
      </c>
      <c r="AV1041">
        <f>Model!BD437</f>
        <v>724.697</v>
      </c>
      <c r="AW1041">
        <f>Model!BE437</f>
        <v>743.28800000000001</v>
      </c>
      <c r="AX1041">
        <f>Model!BF437</f>
        <v>1004.1420000000001</v>
      </c>
      <c r="AY1041">
        <f>Model!BG437</f>
        <v>1396.501</v>
      </c>
      <c r="AZ1041">
        <f>Model!BH437</f>
        <v>939.75000000000011</v>
      </c>
      <c r="BA1041">
        <f>Model!BI437</f>
        <v>1009.665</v>
      </c>
      <c r="BB1041">
        <f>Model!BJ437</f>
        <v>1355.739024</v>
      </c>
      <c r="BC1041">
        <f>Model!BK437</f>
        <v>1926.2224549999999</v>
      </c>
      <c r="BD1041">
        <f>Model!BL437</f>
        <v>1282.5545</v>
      </c>
      <c r="BE1041">
        <f>Model!BM437</f>
        <v>1340.8427750000003</v>
      </c>
      <c r="BF1041">
        <f>Model!BN437</f>
        <v>1816.0552104999999</v>
      </c>
      <c r="BG1041">
        <f>Model!BO437</f>
        <v>2506.5090732500003</v>
      </c>
      <c r="BH1041">
        <f>Model!BP437</f>
        <v>1557.3265249999999</v>
      </c>
      <c r="BI1041">
        <f>Model!BQ437</f>
        <v>1538.132388</v>
      </c>
      <c r="BJ1041">
        <f>Model!BR437</f>
        <v>1955.7323157599999</v>
      </c>
      <c r="BK1041">
        <f>Model!BS437</f>
        <v>2801.5408020399996</v>
      </c>
      <c r="BL1041">
        <f>Model!BT437</f>
        <v>1741.3215079999998</v>
      </c>
      <c r="BM1041">
        <f>Model!BU437</f>
        <v>1869.0011351599996</v>
      </c>
      <c r="BN1041">
        <f>Model!BV437</f>
        <v>2274.9961578632001</v>
      </c>
      <c r="BO1041">
        <f>Model!BW437</f>
        <v>3428.2559181828001</v>
      </c>
      <c r="BP1041">
        <f>Model!BX437</f>
        <v>2123.1242035599998</v>
      </c>
      <c r="BQ1041">
        <f>Model!BY437</f>
        <v>2171.2376919180001</v>
      </c>
      <c r="BR1041">
        <f>Model!BZ437</f>
        <v>2784.0290657563596</v>
      </c>
      <c r="BS1041">
        <f>Model!CA437</f>
        <v>4200.5115640919394</v>
      </c>
      <c r="BT1041">
        <f>Model!CB437</f>
        <v>2603.2133637379998</v>
      </c>
      <c r="BU1041">
        <f>Model!CC437</f>
        <v>2622.3147896612127</v>
      </c>
      <c r="BV1041">
        <f>Model!CD437</f>
        <v>3381.8349539302949</v>
      </c>
      <c r="BW1041">
        <f>Model!CE437</f>
        <v>4817.5122505569525</v>
      </c>
      <c r="BX1041">
        <f>Model!CF437</f>
        <v>3198.0596148848317</v>
      </c>
      <c r="BY1041">
        <f>Model!CG437</f>
        <v>0</v>
      </c>
      <c r="BZ1041">
        <f>Model!CH437</f>
        <v>0</v>
      </c>
      <c r="CA1041">
        <f>Model!CI437</f>
        <v>0</v>
      </c>
      <c r="CB1041">
        <f>Model!CJ437</f>
        <v>0</v>
      </c>
      <c r="CC1041">
        <f>Model!CK437</f>
        <v>0</v>
      </c>
      <c r="CD1041">
        <f>Model!CL437</f>
        <v>0</v>
      </c>
      <c r="CE1041">
        <f>Model!CM437</f>
        <v>0</v>
      </c>
      <c r="CF1041">
        <f>Model!CN437</f>
        <v>621.21499999999969</v>
      </c>
      <c r="CG1041">
        <f>Model!CO437</f>
        <v>955.97100000000012</v>
      </c>
      <c r="CH1041">
        <f>Model!CP437</f>
        <v>1260.7629999999999</v>
      </c>
      <c r="CI1041">
        <f>Model!CQ437</f>
        <v>1913.6739999999998</v>
      </c>
      <c r="CJ1041">
        <f>Model!CR437</f>
        <v>3079.8800000000006</v>
      </c>
      <c r="CK1041">
        <f>Model!CS437</f>
        <v>4083.6810000000009</v>
      </c>
      <c r="CL1041">
        <f>Model!CT437</f>
        <v>5574.1809790000007</v>
      </c>
      <c r="CM1041">
        <f>Model!CU437</f>
        <v>7220.7335837499995</v>
      </c>
      <c r="CN1041">
        <f>Model!CV437</f>
        <v>8036.7270137999994</v>
      </c>
      <c r="CO1041">
        <f>Model!CW437</f>
        <v>9695.3774147659988</v>
      </c>
      <c r="CP1041">
        <f>Model!CX437</f>
        <v>11758.991685504297</v>
      </c>
      <c r="CQ1041">
        <f>Model!CY437</f>
        <v>14019.721609033291</v>
      </c>
      <c r="CR1041">
        <f>Model!DG437</f>
        <v>0</v>
      </c>
      <c r="CS1041">
        <f>Model!DH437</f>
        <v>0</v>
      </c>
      <c r="CT1041">
        <f>Model!DI437</f>
        <v>0</v>
      </c>
      <c r="CU1041">
        <f>Model!DJ437</f>
        <v>0</v>
      </c>
    </row>
    <row r="1042" spans="1:99">
      <c r="A1042" t="str">
        <f>Model!I438</f>
        <v>% change Y/Y</v>
      </c>
      <c r="B1042">
        <f>Model!J438</f>
        <v>0</v>
      </c>
      <c r="C1042">
        <f>Model!K438</f>
        <v>0</v>
      </c>
      <c r="D1042">
        <f>Model!L438</f>
        <v>0</v>
      </c>
      <c r="E1042">
        <f>Model!M438</f>
        <v>0</v>
      </c>
      <c r="F1042">
        <f>Model!N438</f>
        <v>0</v>
      </c>
      <c r="G1042">
        <f>Model!O438</f>
        <v>0</v>
      </c>
      <c r="H1042">
        <f>Model!P438</f>
        <v>0</v>
      </c>
      <c r="I1042">
        <f>Model!Q438</f>
        <v>0</v>
      </c>
      <c r="J1042">
        <f>Model!R438</f>
        <v>0</v>
      </c>
      <c r="K1042">
        <f>Model!S438</f>
        <v>0</v>
      </c>
      <c r="L1042">
        <f>Model!T438</f>
        <v>0</v>
      </c>
      <c r="M1042">
        <f>Model!U438</f>
        <v>0</v>
      </c>
      <c r="N1042">
        <f>Model!V438</f>
        <v>0</v>
      </c>
      <c r="O1042">
        <f>Model!W438</f>
        <v>0</v>
      </c>
      <c r="P1042">
        <f>Model!X438</f>
        <v>0</v>
      </c>
      <c r="Q1042">
        <f>Model!Y438</f>
        <v>0</v>
      </c>
      <c r="R1042">
        <f>Model!Z438</f>
        <v>0</v>
      </c>
      <c r="S1042">
        <f>Model!AA438</f>
        <v>0</v>
      </c>
      <c r="T1042">
        <f>Model!AB438</f>
        <v>0</v>
      </c>
      <c r="U1042">
        <f>Model!AC438</f>
        <v>0</v>
      </c>
      <c r="V1042">
        <f>Model!AD438</f>
        <v>0</v>
      </c>
      <c r="W1042">
        <f>Model!AE438</f>
        <v>0</v>
      </c>
      <c r="X1042">
        <f>Model!AF438</f>
        <v>0</v>
      </c>
      <c r="Y1042">
        <f>Model!AG438</f>
        <v>0</v>
      </c>
      <c r="Z1042">
        <f>Model!AH438</f>
        <v>0</v>
      </c>
      <c r="AA1042">
        <f>Model!AI438</f>
        <v>0</v>
      </c>
      <c r="AB1042">
        <f>Model!AJ438</f>
        <v>0</v>
      </c>
      <c r="AC1042">
        <f>Model!AK439</f>
        <v>8.3213882074507195E-2</v>
      </c>
      <c r="AD1042">
        <f>Model!AL439</f>
        <v>7.2842550230693123E-2</v>
      </c>
      <c r="AE1042">
        <f>Model!AM439</f>
        <v>6.5219877535805382E-2</v>
      </c>
      <c r="AF1042">
        <f>Model!AN439</f>
        <v>0.13027561856479319</v>
      </c>
      <c r="AG1042">
        <f>Model!AO439</f>
        <v>0.14556289454262397</v>
      </c>
      <c r="AH1042">
        <f>Model!AP439</f>
        <v>0.14268668573674295</v>
      </c>
      <c r="AI1042">
        <f>Model!AQ439</f>
        <v>8.5046663822106003E-2</v>
      </c>
      <c r="AJ1042">
        <f>Model!AR439</f>
        <v>-5.9157470816737681E-2</v>
      </c>
      <c r="AK1042">
        <f>Model!AS438</f>
        <v>0.15033986184657344</v>
      </c>
      <c r="AL1042">
        <f>Model!AT438</f>
        <v>0.20302689920189176</v>
      </c>
      <c r="AM1042">
        <f>Model!AU438</f>
        <v>0.37309777966198188</v>
      </c>
      <c r="AN1042">
        <f>Model!AV438</f>
        <v>0.52726696413332408</v>
      </c>
      <c r="AO1042">
        <f>Model!AW438</f>
        <v>0.53178130850093552</v>
      </c>
      <c r="AP1042">
        <f>Model!AX438</f>
        <v>0.46175771037682045</v>
      </c>
      <c r="AQ1042">
        <f>Model!AY438</f>
        <v>0.53962848439883304</v>
      </c>
      <c r="AR1042">
        <f>Model!AZ438</f>
        <v>0.53315090887610972</v>
      </c>
      <c r="AS1042">
        <f>Model!BA438</f>
        <v>0.5850286416224828</v>
      </c>
      <c r="AT1042">
        <f>Model!BB438</f>
        <v>0.67918840657665958</v>
      </c>
      <c r="AU1042">
        <f>Model!BC438</f>
        <v>0.64641548739314758</v>
      </c>
      <c r="AV1042">
        <f>Model!BD438</f>
        <v>0.50926346305236092</v>
      </c>
      <c r="AW1042">
        <f>Model!BE438</f>
        <v>0.46950621579729845</v>
      </c>
      <c r="AX1042">
        <f>Model!BF438</f>
        <v>0.34023733794964661</v>
      </c>
      <c r="AY1042">
        <f>Model!BG438</f>
        <v>0.26937557492264652</v>
      </c>
      <c r="AZ1042">
        <f>Model!BH438</f>
        <v>0.29674884813929148</v>
      </c>
      <c r="BA1042">
        <f>Model!BI438</f>
        <v>0.35837656466941481</v>
      </c>
      <c r="BB1042">
        <f>Model!BJ438</f>
        <v>0.35014671630108074</v>
      </c>
      <c r="BC1042">
        <f>Model!BK438</f>
        <v>0.37932049815932811</v>
      </c>
      <c r="BD1042">
        <f>Model!BL438</f>
        <v>0.3647826549614257</v>
      </c>
      <c r="BE1042">
        <f>Model!BM438</f>
        <v>0.32800758172265088</v>
      </c>
      <c r="BF1042">
        <f>Model!BN438</f>
        <v>0.33953156053727351</v>
      </c>
      <c r="BG1042">
        <f>Model!BO438</f>
        <v>0.30125628363625334</v>
      </c>
      <c r="BH1042">
        <f>Model!BP438</f>
        <v>0.21423808890772289</v>
      </c>
      <c r="BI1042">
        <f>Model!BQ438</f>
        <v>0.14713851368591646</v>
      </c>
      <c r="BJ1042">
        <f>Model!BR438</f>
        <v>7.6912367230038026E-2</v>
      </c>
      <c r="BK1042">
        <f>Model!BS438</f>
        <v>0.11770622813164366</v>
      </c>
      <c r="BL1042">
        <f>Model!BT438</f>
        <v>0.11814797991705683</v>
      </c>
      <c r="BM1042">
        <f>Model!BU438</f>
        <v>0.21511070811675781</v>
      </c>
      <c r="BN1042">
        <f>Model!BV438</f>
        <v>0.16324516373250897</v>
      </c>
      <c r="BO1042">
        <f>Model!BW438</f>
        <v>0.22370372606618649</v>
      </c>
      <c r="BP1042">
        <f>Model!BX438</f>
        <v>0.219260311094716</v>
      </c>
      <c r="BQ1042">
        <f>Model!BY438</f>
        <v>0.16171020502463573</v>
      </c>
      <c r="BR1042">
        <f>Model!BZ438</f>
        <v>0.22375110662660225</v>
      </c>
      <c r="BS1042">
        <f>Model!CA438</f>
        <v>0.22526195953261419</v>
      </c>
      <c r="BT1042">
        <f>Model!CB438</f>
        <v>0.22612391652499597</v>
      </c>
      <c r="BU1042">
        <f>Model!CC438</f>
        <v>0.20775113633217468</v>
      </c>
      <c r="BV1042">
        <f>Model!CD438</f>
        <v>0.2147268846891599</v>
      </c>
      <c r="BW1042">
        <f>Model!CE438</f>
        <v>0.14688703436491912</v>
      </c>
      <c r="BX1042">
        <f>Model!CF438</f>
        <v>0.22850460873967005</v>
      </c>
      <c r="BY1042">
        <f>Model!CG438</f>
        <v>0</v>
      </c>
      <c r="BZ1042">
        <f>Model!CH438</f>
        <v>0</v>
      </c>
      <c r="CA1042">
        <f>Model!CI438</f>
        <v>0</v>
      </c>
      <c r="CB1042">
        <f>Model!CJ438</f>
        <v>0</v>
      </c>
      <c r="CC1042">
        <f>Model!CK438</f>
        <v>0</v>
      </c>
      <c r="CD1042">
        <f>Model!CL438</f>
        <v>0</v>
      </c>
      <c r="CE1042">
        <f>Model!CM438</f>
        <v>0</v>
      </c>
      <c r="CF1042">
        <f>Model!CN438</f>
        <v>0</v>
      </c>
      <c r="CG1042">
        <f>Model!CO438</f>
        <v>0.53887301497871198</v>
      </c>
      <c r="CH1042">
        <f>Model!CP438</f>
        <v>0.31882975529592406</v>
      </c>
      <c r="CI1042">
        <f>Model!CQ438</f>
        <v>0.51786973443858986</v>
      </c>
      <c r="CJ1042">
        <f>Model!CR438</f>
        <v>0.60940682686810876</v>
      </c>
      <c r="CK1042">
        <f>Model!CS438</f>
        <v>0.32592211384859149</v>
      </c>
      <c r="CL1042">
        <f>Model!CT438</f>
        <v>0.3649893267862987</v>
      </c>
      <c r="CM1042">
        <f>Model!CU438</f>
        <v>0.29538915420097966</v>
      </c>
      <c r="CN1042">
        <f>Model!CV438</f>
        <v>0.11300699860833574</v>
      </c>
      <c r="CO1042">
        <f>Model!CW438</f>
        <v>0.20638381745677092</v>
      </c>
      <c r="CP1042">
        <f>Model!CX438</f>
        <v>0.21284517172022888</v>
      </c>
      <c r="CQ1042">
        <f>Model!CY438</f>
        <v>0.19225542325332801</v>
      </c>
      <c r="CR1042">
        <f>Model!DG438</f>
        <v>0</v>
      </c>
      <c r="CS1042">
        <f>Model!DH438</f>
        <v>0</v>
      </c>
      <c r="CT1042">
        <f>Model!DI438</f>
        <v>0</v>
      </c>
      <c r="CU1042">
        <f>Model!DJ438</f>
        <v>0</v>
      </c>
    </row>
    <row r="1043" spans="1:99">
      <c r="A1043" t="str">
        <f>Model!I439</f>
        <v>Currency Impact (%)</v>
      </c>
      <c r="B1043">
        <f>Model!J439</f>
        <v>0</v>
      </c>
      <c r="C1043">
        <f>Model!K439</f>
        <v>0</v>
      </c>
      <c r="D1043">
        <f>Model!L439</f>
        <v>0</v>
      </c>
      <c r="E1043">
        <f>Model!M439</f>
        <v>0</v>
      </c>
      <c r="F1043">
        <f>Model!N439</f>
        <v>0</v>
      </c>
      <c r="G1043">
        <f>Model!O439</f>
        <v>0</v>
      </c>
      <c r="H1043">
        <f>Model!P439</f>
        <v>0</v>
      </c>
      <c r="I1043">
        <f>Model!Q439</f>
        <v>0</v>
      </c>
      <c r="J1043">
        <f>Model!R439</f>
        <v>0</v>
      </c>
      <c r="K1043">
        <f>Model!S439</f>
        <v>0</v>
      </c>
      <c r="L1043">
        <f>Model!T439</f>
        <v>0</v>
      </c>
      <c r="M1043">
        <f>Model!U439</f>
        <v>0</v>
      </c>
      <c r="N1043">
        <f>Model!V439</f>
        <v>0</v>
      </c>
      <c r="O1043">
        <f>Model!W439</f>
        <v>0</v>
      </c>
      <c r="P1043">
        <f>Model!X439</f>
        <v>0</v>
      </c>
      <c r="Q1043">
        <f>Model!Y439</f>
        <v>0</v>
      </c>
      <c r="R1043">
        <f>Model!Z439</f>
        <v>0</v>
      </c>
      <c r="S1043">
        <f>Model!AA439</f>
        <v>0</v>
      </c>
      <c r="T1043">
        <f>Model!AB439</f>
        <v>0</v>
      </c>
      <c r="U1043">
        <f>Model!AC439</f>
        <v>0</v>
      </c>
      <c r="V1043">
        <f>Model!AD439</f>
        <v>0</v>
      </c>
      <c r="W1043">
        <f>Model!AE439</f>
        <v>0</v>
      </c>
      <c r="X1043">
        <f>Model!AF439</f>
        <v>0</v>
      </c>
      <c r="Y1043">
        <f>Model!AG439</f>
        <v>0</v>
      </c>
      <c r="Z1043">
        <f>Model!AH439</f>
        <v>0</v>
      </c>
      <c r="AA1043">
        <f>Model!AI439</f>
        <v>0</v>
      </c>
      <c r="AB1043">
        <f>Model!AJ439</f>
        <v>0</v>
      </c>
      <c r="AK1043">
        <f>Model!AS439</f>
        <v>-0.10241134194793704</v>
      </c>
      <c r="AL1043">
        <f>Model!AT439</f>
        <v>-0.10760533056400479</v>
      </c>
      <c r="AM1043">
        <f>Model!AU439</f>
        <v>-6.7520668247712162E-2</v>
      </c>
      <c r="AN1043">
        <f>Model!AV439</f>
        <v>7.2484674391877987E-2</v>
      </c>
      <c r="AO1043">
        <f>Model!AW439</f>
        <v>5.3447696468529225E-2</v>
      </c>
      <c r="AP1043">
        <f>Model!AX439</f>
        <v>-5.0362897248835241E-2</v>
      </c>
      <c r="AQ1043">
        <f>Model!AY439</f>
        <v>-7.6837267471436863E-2</v>
      </c>
      <c r="AR1043">
        <f>Model!AZ439</f>
        <v>-4.4548648462389893E-2</v>
      </c>
      <c r="AS1043">
        <f>Model!BA439</f>
        <v>6.8726890420110417E-3</v>
      </c>
      <c r="AT1043">
        <f>Model!BB439</f>
        <v>0.15242329247989281</v>
      </c>
      <c r="AU1043">
        <f>Model!BC439</f>
        <v>9.1925676310123675E-2</v>
      </c>
      <c r="AV1043">
        <f>Model!BD439</f>
        <v>-1.0638302973914854E-2</v>
      </c>
      <c r="AW1043">
        <f>Model!BE439</f>
        <v>-3.121276374103155E-2</v>
      </c>
      <c r="AX1043">
        <f>Model!BF439</f>
        <v>-9.0999151311805374E-2</v>
      </c>
      <c r="AY1043">
        <f>Model!BG439</f>
        <v>-8.9710887496926378E-2</v>
      </c>
      <c r="AZ1043">
        <f>Model!BH439</f>
        <v>-1.8026788620613455E-2</v>
      </c>
      <c r="BA1043">
        <f>Model!BI439</f>
        <v>-1.8610062416968608E-3</v>
      </c>
      <c r="BB1043">
        <f>Model!BJ439</f>
        <v>1.1568525934735942E-3</v>
      </c>
      <c r="BC1043">
        <f>Model!BK439</f>
        <v>6.8590395389214456E-3</v>
      </c>
      <c r="BD1043">
        <f>Model!BL439</f>
        <v>-6.718920491309008E-3</v>
      </c>
      <c r="BE1043">
        <f>Model!BM439</f>
        <v>-1.0861790354907782E-2</v>
      </c>
      <c r="BF1043">
        <f>Model!BN439</f>
        <v>1.0093537506192272E-2</v>
      </c>
      <c r="BG1043">
        <f>Model!BO439</f>
        <v>-3.4541129487172186E-3</v>
      </c>
      <c r="BH1043">
        <f>Model!BP439</f>
        <v>-6.9187885937255583E-2</v>
      </c>
      <c r="BI1043">
        <f>Model!BQ439</f>
        <v>-0.13419990358599074</v>
      </c>
      <c r="BJ1043">
        <f>Model!BR439</f>
        <v>-0.15691277407447077</v>
      </c>
      <c r="BK1043">
        <f>Model!BS439</f>
        <v>-0.1481289306907799</v>
      </c>
      <c r="BL1043">
        <f>Model!BT439</f>
        <v>-0.11702003321870257</v>
      </c>
      <c r="BM1043">
        <f>Model!BU439</f>
        <v>-5.1070780399274041E-2</v>
      </c>
      <c r="BN1043">
        <f>Model!BV439</f>
        <v>-1.6592040122384629E-2</v>
      </c>
      <c r="BO1043">
        <f>Model!BW439</f>
        <v>-1.1146367651723312E-2</v>
      </c>
      <c r="BP1043">
        <f>Model!BX439</f>
        <v>-2.3207461135675754E-2</v>
      </c>
      <c r="BQ1043">
        <f>Model!BY439</f>
        <v>-2.9401893107762436E-2</v>
      </c>
      <c r="BR1043">
        <f>Model!BZ439</f>
        <v>-2.6971936117361522E-2</v>
      </c>
      <c r="BS1043">
        <f>Model!CA439</f>
        <v>1.9660360220411274E-2</v>
      </c>
      <c r="BT1043">
        <f>Model!CB439</f>
        <v>5.2628085235402924E-2</v>
      </c>
      <c r="BU1043">
        <f>Model!CC439</f>
        <v>6.171233571310078E-2</v>
      </c>
      <c r="BV1043">
        <f>Model!CD439</f>
        <v>3.4986884159618183E-2</v>
      </c>
      <c r="BW1043">
        <f>Model!CE439</f>
        <v>-4.557675090678546E-3</v>
      </c>
      <c r="BX1043">
        <f>Model!CF439</f>
        <v>3.6821902121040105E-2</v>
      </c>
      <c r="BY1043">
        <f>Model!CG439</f>
        <v>0</v>
      </c>
      <c r="BZ1043">
        <f>Model!CH439</f>
        <v>0</v>
      </c>
      <c r="CA1043">
        <f>Model!CI439</f>
        <v>0</v>
      </c>
      <c r="CB1043">
        <f>Model!CJ439</f>
        <v>0</v>
      </c>
      <c r="CC1043">
        <f>Model!CK439</f>
        <v>0</v>
      </c>
      <c r="CD1043">
        <f>Model!CL439</f>
        <v>0</v>
      </c>
      <c r="CE1043">
        <f>Model!CM439</f>
        <v>0</v>
      </c>
      <c r="CF1043">
        <f>Model!CN439</f>
        <v>0</v>
      </c>
      <c r="CG1043">
        <f>Model!CO439</f>
        <v>3.2802420937837057E-3</v>
      </c>
      <c r="CH1043">
        <f>Model!CP439</f>
        <v>-5.8505127907454768E-2</v>
      </c>
      <c r="CI1043">
        <f>Model!CQ439</f>
        <v>-2.3317772499692517E-2</v>
      </c>
      <c r="CJ1043">
        <f>Model!CR439</f>
        <v>1.2390599810113089E-3</v>
      </c>
      <c r="CK1043">
        <f>Model!CS439</f>
        <v>-5.4851299737803866E-2</v>
      </c>
      <c r="CL1043">
        <f>Model!CT439</f>
        <v>-2.1106341786858104E-4</v>
      </c>
      <c r="CM1043">
        <f>Model!CU439</f>
        <v>-1.9592559987190242E-2</v>
      </c>
      <c r="CN1043">
        <f>Model!CV439</f>
        <v>-0.13896771583995177</v>
      </c>
      <c r="CO1043">
        <f>Model!CW439</f>
        <v>-2.5412829772573559E-2</v>
      </c>
      <c r="CP1043">
        <f>Model!CX439</f>
        <v>2.380801179736703E-2</v>
      </c>
      <c r="CQ1043">
        <f>Model!CY439</f>
        <v>3.0660110734828074E-2</v>
      </c>
      <c r="CR1043">
        <f>Model!DG439</f>
        <v>0</v>
      </c>
      <c r="CS1043">
        <f>Model!DH439</f>
        <v>0</v>
      </c>
      <c r="CT1043">
        <f>Model!DI439</f>
        <v>0</v>
      </c>
      <c r="CU1043">
        <f>Model!DJ439</f>
        <v>0</v>
      </c>
    </row>
    <row r="1044" spans="1:99">
      <c r="A1044" t="str">
        <f>Model!I440</f>
        <v>Constant Currency % change Y/Y</v>
      </c>
      <c r="B1044">
        <f>Model!J440</f>
        <v>0</v>
      </c>
      <c r="C1044">
        <f>Model!K440</f>
        <v>0</v>
      </c>
      <c r="D1044">
        <f>Model!L440</f>
        <v>0</v>
      </c>
      <c r="E1044">
        <f>Model!M440</f>
        <v>0</v>
      </c>
      <c r="F1044">
        <f>Model!N440</f>
        <v>0</v>
      </c>
      <c r="G1044">
        <f>Model!O440</f>
        <v>0</v>
      </c>
      <c r="H1044">
        <f>Model!P440</f>
        <v>0</v>
      </c>
      <c r="I1044">
        <f>Model!Q440</f>
        <v>0</v>
      </c>
      <c r="J1044">
        <f>Model!R440</f>
        <v>0</v>
      </c>
      <c r="K1044">
        <f>Model!S440</f>
        <v>0</v>
      </c>
      <c r="L1044">
        <f>Model!T440</f>
        <v>0</v>
      </c>
      <c r="M1044">
        <f>Model!U440</f>
        <v>0</v>
      </c>
      <c r="N1044">
        <f>Model!V440</f>
        <v>0</v>
      </c>
      <c r="O1044">
        <f>Model!W440</f>
        <v>0</v>
      </c>
      <c r="P1044">
        <f>Model!X440</f>
        <v>0</v>
      </c>
      <c r="Q1044">
        <f>Model!Y440</f>
        <v>0</v>
      </c>
      <c r="R1044">
        <f>Model!Z440</f>
        <v>0</v>
      </c>
      <c r="S1044">
        <f>Model!AA440</f>
        <v>0</v>
      </c>
      <c r="T1044">
        <f>Model!AB440</f>
        <v>0</v>
      </c>
      <c r="U1044">
        <f>Model!AC440</f>
        <v>0</v>
      </c>
      <c r="V1044">
        <f>Model!AD440</f>
        <v>0</v>
      </c>
      <c r="W1044">
        <f>Model!AE440</f>
        <v>0</v>
      </c>
      <c r="X1044">
        <f>Model!AF440</f>
        <v>0</v>
      </c>
      <c r="Y1044">
        <f>Model!AG440</f>
        <v>0</v>
      </c>
      <c r="Z1044">
        <f>Model!AH440</f>
        <v>0</v>
      </c>
      <c r="AA1044">
        <f>Model!AI440</f>
        <v>0</v>
      </c>
      <c r="AB1044">
        <f>Model!AJ440</f>
        <v>0</v>
      </c>
      <c r="AC1044">
        <f>Model!AK440</f>
        <v>0</v>
      </c>
      <c r="AD1044">
        <f>Model!AL440</f>
        <v>0</v>
      </c>
      <c r="AE1044">
        <f>Model!AM440</f>
        <v>0</v>
      </c>
      <c r="AF1044">
        <f>Model!AN440</f>
        <v>0</v>
      </c>
      <c r="AG1044">
        <f>Model!AO440</f>
        <v>0.59851206765847542</v>
      </c>
      <c r="AH1044">
        <f>Model!AP440</f>
        <v>0.49537959227453021</v>
      </c>
      <c r="AI1044">
        <f>Model!AQ440</f>
        <v>0.47713609611087537</v>
      </c>
      <c r="AJ1044">
        <f>Model!AR440</f>
        <v>0.33959730297618601</v>
      </c>
      <c r="AK1044">
        <f>Model!AS440</f>
        <v>0.25275120379451049</v>
      </c>
      <c r="AL1044">
        <f>Model!AT440</f>
        <v>0.31063222976589655</v>
      </c>
      <c r="AM1044">
        <f>Model!AU440</f>
        <v>0.44061844790969407</v>
      </c>
      <c r="AN1044">
        <f>Model!AV440</f>
        <v>0.45478228974144608</v>
      </c>
      <c r="AO1044">
        <f>Model!AW440</f>
        <v>0.47833361203240632</v>
      </c>
      <c r="AP1044">
        <f>Model!AX440</f>
        <v>0.5121206076256557</v>
      </c>
      <c r="AQ1044">
        <f>Model!AY440</f>
        <v>0.61646575187026986</v>
      </c>
      <c r="AR1044">
        <f>Model!AZ440</f>
        <v>0.57769955733849965</v>
      </c>
      <c r="AS1044">
        <f>Model!BA440</f>
        <v>0.57815595258047181</v>
      </c>
      <c r="AT1044">
        <f>Model!BB440</f>
        <v>0.52676511409676674</v>
      </c>
      <c r="AU1044">
        <f>Model!BC440</f>
        <v>0.55448981108302386</v>
      </c>
      <c r="AV1044">
        <f>Model!BD440</f>
        <v>0.5199017660262758</v>
      </c>
      <c r="AW1044">
        <f>Model!BE440</f>
        <v>0.50071897953833</v>
      </c>
      <c r="AX1044">
        <f>Model!BF440</f>
        <v>0.43123648926145197</v>
      </c>
      <c r="AY1044">
        <f>Model!BG440</f>
        <v>0.35908646241957287</v>
      </c>
      <c r="AZ1044">
        <f>Model!BH440</f>
        <v>0.31477563675990494</v>
      </c>
      <c r="BA1044">
        <f>Model!BI440</f>
        <v>0.36023757091111169</v>
      </c>
      <c r="BB1044">
        <f>Model!BJ440</f>
        <v>0.34898986370760715</v>
      </c>
      <c r="BC1044">
        <f>Model!BK440</f>
        <v>0.37246145862040669</v>
      </c>
      <c r="BD1044">
        <f>Model!BL440</f>
        <v>0.37150157545273471</v>
      </c>
      <c r="BE1044">
        <f>Model!BM440</f>
        <v>0.33886937207755868</v>
      </c>
      <c r="BF1044">
        <f>Model!BN440</f>
        <v>0.32943802303108122</v>
      </c>
      <c r="BG1044">
        <f>Model!BO440</f>
        <v>0.30471039658497057</v>
      </c>
      <c r="BH1044">
        <f>Model!BP440</f>
        <v>0.28342597484497845</v>
      </c>
      <c r="BI1044">
        <f>Model!BQ440</f>
        <v>0.28133841727190723</v>
      </c>
      <c r="BJ1044">
        <f>Model!BR440</f>
        <v>0.23382514130450879</v>
      </c>
      <c r="BK1044">
        <f>Model!BS440</f>
        <v>0.26583515882242359</v>
      </c>
      <c r="BL1044">
        <f>Model!BT440</f>
        <v>0.23516801313575941</v>
      </c>
      <c r="BM1044">
        <f>Model!BU440</f>
        <v>0.26618148851603185</v>
      </c>
      <c r="BN1044">
        <f>Model!BV440</f>
        <v>0.1798372038548936</v>
      </c>
      <c r="BO1044">
        <f>Model!BW440</f>
        <v>0.2348500937179098</v>
      </c>
      <c r="BP1044">
        <f>Model!BX440</f>
        <v>0.24246777223039176</v>
      </c>
      <c r="BQ1044">
        <f>Model!BY440</f>
        <v>0.19111209813239816</v>
      </c>
      <c r="BR1044">
        <f>Model!BZ440</f>
        <v>0.25072304274396379</v>
      </c>
      <c r="BS1044">
        <f>Model!CA440</f>
        <v>0.2056015993122029</v>
      </c>
      <c r="BT1044">
        <f>Model!CB440</f>
        <v>0.17349583128959306</v>
      </c>
      <c r="BU1044">
        <f>Model!CC440</f>
        <v>0.1460388006190739</v>
      </c>
      <c r="BV1044">
        <f>Model!CD440</f>
        <v>0.17974000052954173</v>
      </c>
      <c r="BW1044">
        <f>Model!CE440</f>
        <v>0.15144470945559768</v>
      </c>
      <c r="BX1044">
        <f>Model!CF440</f>
        <v>0.19168270661862993</v>
      </c>
      <c r="BY1044">
        <f>Model!CG440</f>
        <v>0</v>
      </c>
      <c r="BZ1044">
        <f>Model!CH440</f>
        <v>0</v>
      </c>
      <c r="CA1044">
        <f>Model!CI440</f>
        <v>0</v>
      </c>
      <c r="CB1044">
        <f>Model!CJ440</f>
        <v>0</v>
      </c>
      <c r="CC1044">
        <f>Model!CK440</f>
        <v>0</v>
      </c>
      <c r="CD1044">
        <f>Model!CL440</f>
        <v>0</v>
      </c>
      <c r="CE1044">
        <f>Model!CM440</f>
        <v>0</v>
      </c>
      <c r="CF1044">
        <f>Model!CN440</f>
        <v>0</v>
      </c>
      <c r="CG1044">
        <f>Model!CO440</f>
        <v>0.53559277288492824</v>
      </c>
      <c r="CH1044">
        <f>Model!CP440</f>
        <v>0.37733488320337882</v>
      </c>
      <c r="CI1044">
        <f>Model!CQ440</f>
        <v>0.54118750693828233</v>
      </c>
      <c r="CJ1044">
        <f>Model!CR440</f>
        <v>0.60816776688709751</v>
      </c>
      <c r="CK1044">
        <f>Model!CS440</f>
        <v>0.38077341358639538</v>
      </c>
      <c r="CL1044">
        <f>Model!CT440</f>
        <v>0.36520039020416728</v>
      </c>
      <c r="CM1044">
        <f>Model!CU440</f>
        <v>0.31498171418816989</v>
      </c>
      <c r="CN1044">
        <f>Model!CV440</f>
        <v>0.25197471444828751</v>
      </c>
      <c r="CO1044">
        <f>Model!CW440</f>
        <v>0.23179664722934448</v>
      </c>
      <c r="CP1044">
        <f>Model!CX440</f>
        <v>0.18903715992286185</v>
      </c>
      <c r="CQ1044">
        <f>Model!CY440</f>
        <v>0.16159531251849993</v>
      </c>
      <c r="CR1044">
        <f>Model!DG440</f>
        <v>0</v>
      </c>
      <c r="CS1044">
        <f>Model!DH440</f>
        <v>0</v>
      </c>
      <c r="CT1044">
        <f>Model!DI440</f>
        <v>0</v>
      </c>
      <c r="CU1044">
        <f>Model!DJ440</f>
        <v>0</v>
      </c>
    </row>
    <row r="1045" spans="1:99">
      <c r="A1045" t="str">
        <f>Model!I441</f>
        <v>Constant Currency Gross Profit</v>
      </c>
      <c r="B1045">
        <f>Model!J441</f>
        <v>0</v>
      </c>
      <c r="C1045">
        <f>Model!K441</f>
        <v>0</v>
      </c>
      <c r="D1045">
        <f>Model!L441</f>
        <v>0</v>
      </c>
      <c r="E1045">
        <f>Model!M441</f>
        <v>0</v>
      </c>
      <c r="F1045">
        <f>Model!N441</f>
        <v>0</v>
      </c>
      <c r="G1045">
        <f>Model!O441</f>
        <v>0</v>
      </c>
      <c r="H1045">
        <f>Model!P441</f>
        <v>0</v>
      </c>
      <c r="I1045">
        <f>Model!Q441</f>
        <v>0</v>
      </c>
      <c r="J1045">
        <f>Model!R441</f>
        <v>0</v>
      </c>
      <c r="K1045">
        <f>Model!S441</f>
        <v>0</v>
      </c>
      <c r="L1045">
        <f>Model!T441</f>
        <v>0</v>
      </c>
      <c r="M1045">
        <f>Model!U441</f>
        <v>0</v>
      </c>
      <c r="N1045">
        <f>Model!V441</f>
        <v>0</v>
      </c>
      <c r="O1045">
        <f>Model!W441</f>
        <v>0</v>
      </c>
      <c r="P1045">
        <f>Model!X441</f>
        <v>0</v>
      </c>
      <c r="Q1045">
        <f>Model!Y441</f>
        <v>0</v>
      </c>
      <c r="R1045">
        <f>Model!Z441</f>
        <v>0</v>
      </c>
      <c r="S1045">
        <f>Model!AA441</f>
        <v>0</v>
      </c>
      <c r="T1045">
        <f>Model!AB441</f>
        <v>0</v>
      </c>
      <c r="U1045">
        <f>Model!AC441</f>
        <v>0</v>
      </c>
      <c r="V1045">
        <f>Model!AD441</f>
        <v>0</v>
      </c>
      <c r="W1045">
        <f>Model!AE441</f>
        <v>0</v>
      </c>
      <c r="X1045">
        <f>Model!AF441</f>
        <v>0</v>
      </c>
      <c r="Y1045">
        <f>Model!AG441</f>
        <v>0</v>
      </c>
      <c r="Z1045">
        <f>Model!AH441</f>
        <v>0</v>
      </c>
      <c r="AA1045">
        <f>Model!AI441</f>
        <v>0</v>
      </c>
      <c r="AB1045">
        <f>Model!AJ441</f>
        <v>0</v>
      </c>
      <c r="AC1045">
        <f>Model!AK441</f>
        <v>0</v>
      </c>
      <c r="AD1045">
        <f>Model!AL441</f>
        <v>0</v>
      </c>
      <c r="AE1045">
        <f>Model!AM441</f>
        <v>0</v>
      </c>
      <c r="AF1045">
        <f>Model!AN441</f>
        <v>0</v>
      </c>
      <c r="AG1045">
        <f>Model!AO441</f>
        <v>165.98789459358846</v>
      </c>
      <c r="AH1045">
        <f>Model!AP441</f>
        <v>231.62383118617871</v>
      </c>
      <c r="AI1045">
        <f>Model!AQ441</f>
        <v>298.87042346220954</v>
      </c>
      <c r="AJ1045">
        <f>Model!AR441</f>
        <v>214.53918726624218</v>
      </c>
      <c r="AK1045">
        <f>Model!AS441</f>
        <v>226.87700126079724</v>
      </c>
      <c r="AL1045">
        <f>Model!AT441</f>
        <v>332.54016249735213</v>
      </c>
      <c r="AM1045">
        <f>Model!AU441</f>
        <v>455.34779777840026</v>
      </c>
      <c r="AN1045">
        <f>Model!AV441</f>
        <v>298.32493024582965</v>
      </c>
      <c r="AO1045">
        <f>Model!AW441</f>
        <v>307.98124139471116</v>
      </c>
      <c r="AP1045">
        <f>Model!AX441</f>
        <v>461.55667003043988</v>
      </c>
      <c r="AQ1045">
        <f>Model!AY441</f>
        <v>701.55583510620829</v>
      </c>
      <c r="AR1045">
        <f>Model!AZ441</f>
        <v>494.11814666328752</v>
      </c>
      <c r="AS1045">
        <f>Model!BA441</f>
        <v>503.61481496366963</v>
      </c>
      <c r="AT1045">
        <f>Model!BB441</f>
        <v>681.21816566815164</v>
      </c>
      <c r="AU1045">
        <f>Model!BC441</f>
        <v>1038.722527684165</v>
      </c>
      <c r="AV1045">
        <f>Model!BD441</f>
        <v>729.80515138577277</v>
      </c>
      <c r="AW1045">
        <f>Model!BE441</f>
        <v>759.07566560232374</v>
      </c>
      <c r="AX1045">
        <f>Model!BF441</f>
        <v>1072.32102113989</v>
      </c>
      <c r="AY1045">
        <f>Model!BG441</f>
        <v>1495.1962534579684</v>
      </c>
      <c r="AZ1045">
        <f>Model!BH441</f>
        <v>952.81395963299281</v>
      </c>
      <c r="BA1045">
        <f>Model!BI441</f>
        <v>1011.0482636073783</v>
      </c>
      <c r="BB1045">
        <f>Model!BJ441</f>
        <v>1354.5773797230843</v>
      </c>
      <c r="BC1045">
        <f>Model!BK441</f>
        <v>1916.6437994248565</v>
      </c>
      <c r="BD1045">
        <f>Model!BL441</f>
        <v>1288.8686055317075</v>
      </c>
      <c r="BE1045">
        <f>Model!BM441</f>
        <v>1351.8095445586882</v>
      </c>
      <c r="BF1045">
        <f>Model!BN441</f>
        <v>1802.3710078126473</v>
      </c>
      <c r="BG1045">
        <f>Model!BO441</f>
        <v>2513.1624631739255</v>
      </c>
      <c r="BH1045">
        <f>Model!BP441</f>
        <v>1646.0637594543136</v>
      </c>
      <c r="BI1045">
        <f>Model!BQ441</f>
        <v>1718.0733591289722</v>
      </c>
      <c r="BJ1045">
        <f>Model!BR441</f>
        <v>2240.6945767119519</v>
      </c>
      <c r="BK1045">
        <f>Model!BS441</f>
        <v>3172.8273108272601</v>
      </c>
      <c r="BL1045">
        <f>Model!BT441</f>
        <v>1923.5599096878666</v>
      </c>
      <c r="BM1045">
        <f>Model!BU441</f>
        <v>1947.5547565725587</v>
      </c>
      <c r="BN1045">
        <f>Model!BV441</f>
        <v>2307.4457469149343</v>
      </c>
      <c r="BO1045">
        <f>Model!BW441</f>
        <v>3459.4829219536418</v>
      </c>
      <c r="BP1045">
        <f>Model!BX441</f>
        <v>2163.5358547816263</v>
      </c>
      <c r="BQ1045">
        <f>Model!BY441</f>
        <v>2226.1898635122611</v>
      </c>
      <c r="BR1045">
        <f>Model!BZ441</f>
        <v>2845.3901167934887</v>
      </c>
      <c r="BS1045">
        <f>Model!CA441</f>
        <v>4133.1108178127088</v>
      </c>
      <c r="BT1045">
        <f>Model!CB441</f>
        <v>2491.4774021876974</v>
      </c>
      <c r="BU1045">
        <f>Model!CC441</f>
        <v>2488.322640304631</v>
      </c>
      <c r="BV1045">
        <f>Model!CD441</f>
        <v>3284.4304515096674</v>
      </c>
      <c r="BW1045">
        <f>Model!CE441</f>
        <v>4836.6568174807217</v>
      </c>
      <c r="BX1045">
        <f>Model!CF441</f>
        <v>3102.2043472050877</v>
      </c>
      <c r="BY1045">
        <f>Model!CG441</f>
        <v>0</v>
      </c>
      <c r="BZ1045">
        <f>Model!CH441</f>
        <v>0</v>
      </c>
      <c r="CA1045">
        <f>Model!CI441</f>
        <v>0</v>
      </c>
      <c r="CB1045">
        <f>Model!CJ441</f>
        <v>0</v>
      </c>
      <c r="CC1045">
        <f>Model!CK441</f>
        <v>0</v>
      </c>
      <c r="CD1045">
        <f>Model!CL441</f>
        <v>0</v>
      </c>
      <c r="CE1045">
        <f>Model!CM441</f>
        <v>0</v>
      </c>
      <c r="CF1045">
        <f>Model!CN441</f>
        <v>0</v>
      </c>
      <c r="CG1045">
        <f>Model!CO441</f>
        <v>953.93326440771034</v>
      </c>
      <c r="CH1045">
        <f>Model!CP441</f>
        <v>1316.6922056308174</v>
      </c>
      <c r="CI1045">
        <f>Model!CQ441</f>
        <v>1943.0721848100295</v>
      </c>
      <c r="CJ1045">
        <f>Model!CR441</f>
        <v>3077.5088431298991</v>
      </c>
      <c r="CK1045">
        <f>Model!CS441</f>
        <v>4252.6164210364686</v>
      </c>
      <c r="CL1045">
        <f>Model!CT441</f>
        <v>5575.0428946693455</v>
      </c>
      <c r="CM1045">
        <f>Model!CU441</f>
        <v>7329.9460589605123</v>
      </c>
      <c r="CN1045">
        <f>Model!CV441</f>
        <v>9040.1758666225651</v>
      </c>
      <c r="CO1045">
        <f>Model!CW441</f>
        <v>9899.6133902963411</v>
      </c>
      <c r="CP1045">
        <f>Model!CX441</f>
        <v>11528.164025633623</v>
      </c>
      <c r="CQ1045">
        <f>Model!CY441</f>
        <v>13659.189621825806</v>
      </c>
      <c r="CR1045">
        <f>Model!DG441</f>
        <v>0</v>
      </c>
      <c r="CS1045">
        <f>Model!DH441</f>
        <v>0</v>
      </c>
      <c r="CT1045">
        <f>Model!DI441</f>
        <v>0</v>
      </c>
      <c r="CU1045">
        <f>Model!DJ441</f>
        <v>0</v>
      </c>
    </row>
    <row r="1046" spans="1:99">
      <c r="A1046" t="str">
        <f>Model!I442</f>
        <v>Constant Currency Gross Profit Dollars Spent per Room Night</v>
      </c>
      <c r="B1046">
        <f>Model!J442</f>
        <v>0</v>
      </c>
      <c r="C1046">
        <f>Model!K442</f>
        <v>0</v>
      </c>
      <c r="D1046">
        <f>Model!L442</f>
        <v>0</v>
      </c>
      <c r="E1046">
        <f>Model!M442</f>
        <v>0</v>
      </c>
      <c r="F1046">
        <f>Model!N442</f>
        <v>0</v>
      </c>
      <c r="G1046">
        <f>Model!O442</f>
        <v>0</v>
      </c>
      <c r="H1046">
        <f>Model!P442</f>
        <v>0</v>
      </c>
      <c r="I1046">
        <f>Model!Q442</f>
        <v>0</v>
      </c>
      <c r="J1046">
        <f>Model!R442</f>
        <v>0</v>
      </c>
      <c r="K1046">
        <f>Model!S442</f>
        <v>0</v>
      </c>
      <c r="L1046">
        <f>Model!T442</f>
        <v>0</v>
      </c>
      <c r="M1046">
        <f>Model!U442</f>
        <v>0</v>
      </c>
      <c r="N1046">
        <f>Model!V442</f>
        <v>0</v>
      </c>
      <c r="O1046">
        <f>Model!W442</f>
        <v>0</v>
      </c>
      <c r="P1046">
        <f>Model!X442</f>
        <v>0</v>
      </c>
      <c r="Q1046">
        <f>Model!Y442</f>
        <v>0</v>
      </c>
      <c r="R1046">
        <f>Model!Z442</f>
        <v>0</v>
      </c>
      <c r="S1046">
        <f>Model!AA442</f>
        <v>0</v>
      </c>
      <c r="T1046">
        <f>Model!AB442</f>
        <v>0</v>
      </c>
      <c r="U1046">
        <f>Model!AC442</f>
        <v>0</v>
      </c>
      <c r="V1046">
        <f>Model!AD442</f>
        <v>0</v>
      </c>
      <c r="W1046">
        <f>Model!AE442</f>
        <v>0</v>
      </c>
      <c r="X1046">
        <f>Model!AF442</f>
        <v>0</v>
      </c>
      <c r="Y1046">
        <f>Model!AG442</f>
        <v>0</v>
      </c>
      <c r="Z1046">
        <f>Model!AH442</f>
        <v>0</v>
      </c>
      <c r="AA1046">
        <f>Model!AI442</f>
        <v>0</v>
      </c>
      <c r="AB1046">
        <f>Model!AJ442</f>
        <v>0</v>
      </c>
      <c r="AC1046">
        <f>Model!AK442</f>
        <v>0</v>
      </c>
      <c r="AD1046">
        <f>Model!AL442</f>
        <v>0</v>
      </c>
      <c r="AE1046">
        <f>Model!AM442</f>
        <v>0</v>
      </c>
      <c r="AF1046">
        <f>Model!AN442</f>
        <v>0</v>
      </c>
      <c r="AG1046">
        <f>Model!AO442</f>
        <v>17.705375423316102</v>
      </c>
      <c r="AH1046">
        <f>Model!AP442</f>
        <v>21.290911957549287</v>
      </c>
      <c r="AI1046">
        <f>Model!AQ442</f>
        <v>26.138746148522788</v>
      </c>
      <c r="AJ1046">
        <f>Model!AR442</f>
        <v>23.508567528626145</v>
      </c>
      <c r="AK1046">
        <f>Model!AS442</f>
        <v>17.745561303151916</v>
      </c>
      <c r="AL1046">
        <f>Model!AT442</f>
        <v>21.228226140909808</v>
      </c>
      <c r="AM1046">
        <f>Model!AU442</f>
        <v>25.482556258234947</v>
      </c>
      <c r="AN1046">
        <f>Model!AV442</f>
        <v>20.44301584635302</v>
      </c>
      <c r="AO1046">
        <f>Model!AW442</f>
        <v>15.366791806940981</v>
      </c>
      <c r="AP1046">
        <f>Model!AX442</f>
        <v>19.894684053036201</v>
      </c>
      <c r="AQ1046">
        <f>Model!AY442</f>
        <v>25.511121276589392</v>
      </c>
      <c r="AR1046">
        <f>Model!AZ442</f>
        <v>22.459915757422159</v>
      </c>
      <c r="AS1046">
        <f>Model!BA442</f>
        <v>16.141500479604797</v>
      </c>
      <c r="AT1046">
        <f>Model!BB442</f>
        <v>18.870309298286749</v>
      </c>
      <c r="AU1046">
        <f>Model!BC442</f>
        <v>25.584298711432634</v>
      </c>
      <c r="AV1046">
        <f>Model!BD442</f>
        <v>21.720391410290855</v>
      </c>
      <c r="AW1046">
        <f>Model!BE442</f>
        <v>16.537596200486355</v>
      </c>
      <c r="AX1046">
        <f>Model!BF442</f>
        <v>21.360976516730876</v>
      </c>
      <c r="AY1046">
        <f>Model!BG442</f>
        <v>27.086888649600876</v>
      </c>
      <c r="AZ1046">
        <f>Model!BH442</f>
        <v>20.623678779934909</v>
      </c>
      <c r="BA1046">
        <f>Model!BI442</f>
        <v>15.997599107711682</v>
      </c>
      <c r="BB1046">
        <f>Model!BJ442</f>
        <v>19.518406047883058</v>
      </c>
      <c r="BC1046">
        <f>Model!BK442</f>
        <v>25.623580206214662</v>
      </c>
      <c r="BD1046">
        <f>Model!BL442</f>
        <v>20.425809913339265</v>
      </c>
      <c r="BE1046">
        <f>Model!BM442</f>
        <v>16.208747536674917</v>
      </c>
      <c r="BF1046">
        <f>Model!BN442</f>
        <v>20.115747855051868</v>
      </c>
      <c r="BG1046">
        <f>Model!BO442</f>
        <v>26.510152565125797</v>
      </c>
      <c r="BH1046">
        <f>Model!BP442</f>
        <v>21.049408688674088</v>
      </c>
      <c r="BI1046">
        <f>Model!BQ442</f>
        <v>16.425175517485396</v>
      </c>
      <c r="BJ1046">
        <f>Model!BR442</f>
        <v>19.811623136268363</v>
      </c>
      <c r="BK1046">
        <f>Model!BS442</f>
        <v>27.446603034837892</v>
      </c>
      <c r="BL1046">
        <f>Model!BT442</f>
        <v>19.410291722380087</v>
      </c>
      <c r="BM1046">
        <f>Model!BU442</f>
        <v>14.26780041445098</v>
      </c>
      <c r="BN1046">
        <f>Model!BV442</f>
        <v>16.39975655234495</v>
      </c>
      <c r="BO1046">
        <f>Model!BW442</f>
        <v>23.124885841936109</v>
      </c>
      <c r="BP1046">
        <f>Model!BX442</f>
        <v>16.681078294384168</v>
      </c>
      <c r="BQ1046">
        <f>Model!BY442</f>
        <v>12.80155183158287</v>
      </c>
      <c r="BR1046">
        <f>Model!BZ442</f>
        <v>16.717920780220265</v>
      </c>
      <c r="BS1046">
        <f>Model!CA442</f>
        <v>23.285131367958922</v>
      </c>
      <c r="BT1046">
        <f>Model!CB442</f>
        <v>16.445395393978199</v>
      </c>
      <c r="BU1046">
        <f>Model!CC442</f>
        <v>12.425634229484992</v>
      </c>
      <c r="BV1046">
        <f>Model!CD442</f>
        <v>16.289192801285399</v>
      </c>
      <c r="BW1046">
        <f>Model!CE442</f>
        <v>23.197505928471315</v>
      </c>
      <c r="BX1046">
        <f>Model!CF442</f>
        <v>17.22821103791874</v>
      </c>
      <c r="BY1046">
        <f>Model!CG442</f>
        <v>0</v>
      </c>
      <c r="BZ1046">
        <f>Model!CH442</f>
        <v>0</v>
      </c>
      <c r="CA1046">
        <f>Model!CI442</f>
        <v>0</v>
      </c>
      <c r="CB1046">
        <f>Model!CJ442</f>
        <v>0</v>
      </c>
      <c r="CC1046">
        <f>Model!CK442</f>
        <v>0</v>
      </c>
      <c r="CD1046">
        <f>Model!CL442</f>
        <v>0</v>
      </c>
      <c r="CE1046">
        <f>Model!CM442</f>
        <v>0</v>
      </c>
      <c r="CF1046">
        <f>Model!CN442</f>
        <v>0</v>
      </c>
      <c r="CG1046">
        <f>Model!CO442</f>
        <v>23.37269722173054</v>
      </c>
      <c r="CH1046">
        <f>Model!CP442</f>
        <v>21.616302298903623</v>
      </c>
      <c r="CI1046">
        <f>Model!CQ442</f>
        <v>20.951372461344693</v>
      </c>
      <c r="CJ1046">
        <f>Model!CR442</f>
        <v>21.749179103391512</v>
      </c>
      <c r="CK1046">
        <f>Model!CS442</f>
        <v>21.532235043222627</v>
      </c>
      <c r="CL1046">
        <f>Model!CT442</f>
        <v>20.61014009119906</v>
      </c>
      <c r="CM1046">
        <f>Model!CU442</f>
        <v>21.184815199307838</v>
      </c>
      <c r="CN1046">
        <f>Model!CV442</f>
        <v>20.906974714668284</v>
      </c>
      <c r="CO1046">
        <f>Model!CW442</f>
        <v>17.7890626959503</v>
      </c>
      <c r="CP1046">
        <f>Model!CX442</f>
        <v>17.126970770514966</v>
      </c>
      <c r="CQ1046">
        <f>Model!CY442</f>
        <v>17.280181486344731</v>
      </c>
      <c r="CR1046">
        <f>Model!DG442</f>
        <v>-4.2417677146533439E-4</v>
      </c>
      <c r="CS1046">
        <f>Model!DH442</f>
        <v>-3.5643824472978758E-2</v>
      </c>
      <c r="CT1046">
        <f>Model!DI442</f>
        <v>0</v>
      </c>
      <c r="CU1046">
        <f>Model!DJ442</f>
        <v>0</v>
      </c>
    </row>
    <row r="1047" spans="1:99">
      <c r="A1047" t="str">
        <f>Model!I443</f>
        <v>% change Y/Y</v>
      </c>
      <c r="B1047">
        <f>Model!J443</f>
        <v>0</v>
      </c>
      <c r="C1047">
        <f>Model!K443</f>
        <v>0</v>
      </c>
      <c r="D1047">
        <f>Model!L443</f>
        <v>0</v>
      </c>
      <c r="E1047">
        <f>Model!M443</f>
        <v>0</v>
      </c>
      <c r="F1047">
        <f>Model!N443</f>
        <v>0</v>
      </c>
      <c r="G1047">
        <f>Model!O443</f>
        <v>0</v>
      </c>
      <c r="H1047">
        <f>Model!P443</f>
        <v>0</v>
      </c>
      <c r="I1047">
        <f>Model!Q443</f>
        <v>0</v>
      </c>
      <c r="J1047">
        <f>Model!R443</f>
        <v>0</v>
      </c>
      <c r="K1047">
        <f>Model!S443</f>
        <v>0</v>
      </c>
      <c r="L1047">
        <f>Model!T443</f>
        <v>0</v>
      </c>
      <c r="M1047">
        <f>Model!U443</f>
        <v>0</v>
      </c>
      <c r="N1047">
        <f>Model!V443</f>
        <v>0</v>
      </c>
      <c r="O1047">
        <f>Model!W443</f>
        <v>0</v>
      </c>
      <c r="P1047">
        <f>Model!X443</f>
        <v>0</v>
      </c>
      <c r="Q1047">
        <f>Model!Y443</f>
        <v>0</v>
      </c>
      <c r="R1047">
        <f>Model!Z443</f>
        <v>0</v>
      </c>
      <c r="S1047">
        <f>Model!AA443</f>
        <v>0</v>
      </c>
      <c r="T1047">
        <f>Model!AB443</f>
        <v>0</v>
      </c>
      <c r="U1047">
        <f>Model!AC443</f>
        <v>0</v>
      </c>
      <c r="V1047">
        <f>Model!AD443</f>
        <v>0</v>
      </c>
      <c r="W1047">
        <f>Model!AE443</f>
        <v>0</v>
      </c>
      <c r="X1047">
        <f>Model!AF443</f>
        <v>0</v>
      </c>
      <c r="Y1047">
        <f>Model!AG443</f>
        <v>0</v>
      </c>
      <c r="Z1047">
        <f>Model!AH443</f>
        <v>0</v>
      </c>
      <c r="AA1047">
        <f>Model!AI443</f>
        <v>0</v>
      </c>
      <c r="AB1047">
        <f>Model!AJ443</f>
        <v>0</v>
      </c>
      <c r="AC1047">
        <f>Model!AK443</f>
        <v>0</v>
      </c>
      <c r="AD1047">
        <f>Model!AL443</f>
        <v>0</v>
      </c>
      <c r="AE1047">
        <f>Model!AM443</f>
        <v>0</v>
      </c>
      <c r="AF1047">
        <f>Model!AN443</f>
        <v>0</v>
      </c>
      <c r="AG1047">
        <f>Model!AO443</f>
        <v>0</v>
      </c>
      <c r="AH1047">
        <f>Model!AP443</f>
        <v>0</v>
      </c>
      <c r="AI1047">
        <f>Model!AQ443</f>
        <v>0</v>
      </c>
      <c r="AJ1047">
        <f>Model!AR443</f>
        <v>0</v>
      </c>
      <c r="AK1047">
        <f>Model!AS443</f>
        <v>2.2696993921345054E-3</v>
      </c>
      <c r="AL1047">
        <f>Model!AT443</f>
        <v>-2.9442523065458248E-3</v>
      </c>
      <c r="AM1047">
        <f>Model!AU443</f>
        <v>-2.5104107387527663E-2</v>
      </c>
      <c r="AN1047">
        <f>Model!AV443</f>
        <v>-0.13040146655215101</v>
      </c>
      <c r="AO1047">
        <f>Model!AW443</f>
        <v>-0.1340487040997923</v>
      </c>
      <c r="AP1047">
        <f>Model!AX443</f>
        <v>-6.2819289705213777E-2</v>
      </c>
      <c r="AQ1047">
        <f>Model!AY443</f>
        <v>1.1209636138922452E-3</v>
      </c>
      <c r="AR1047">
        <f>Model!AZ443</f>
        <v>9.86596070867376E-2</v>
      </c>
      <c r="AS1047">
        <f>Model!BA443</f>
        <v>5.0414470528187261E-2</v>
      </c>
      <c r="AT1047">
        <f>Model!BB443</f>
        <v>-5.1489872974037953E-2</v>
      </c>
      <c r="AU1047">
        <f>Model!BC443</f>
        <v>2.8684523133992723E-3</v>
      </c>
      <c r="AV1047">
        <f>Model!BD443</f>
        <v>-3.2926407877862163E-2</v>
      </c>
      <c r="AW1047">
        <f>Model!BE443</f>
        <v>2.4538965344766739E-2</v>
      </c>
      <c r="AX1047">
        <f>Model!BF443</f>
        <v>0.13198868015747123</v>
      </c>
      <c r="AY1047">
        <f>Model!BG443</f>
        <v>5.8730941000809667E-2</v>
      </c>
      <c r="AZ1047">
        <f>Model!BH443</f>
        <v>-5.0492305117316505E-2</v>
      </c>
      <c r="BA1047">
        <f>Model!BI443</f>
        <v>-3.265269548417149E-2</v>
      </c>
      <c r="BB1047">
        <f>Model!BJ443</f>
        <v>-8.6258718902885057E-2</v>
      </c>
      <c r="BC1047">
        <f>Model!BK443</f>
        <v>-5.4022758476093058E-2</v>
      </c>
      <c r="BD1047">
        <f>Model!BL443</f>
        <v>-9.5942566167270815E-3</v>
      </c>
      <c r="BE1047">
        <f>Model!BM443</f>
        <v>1.3198757359874635E-2</v>
      </c>
      <c r="BF1047">
        <f>Model!BN443</f>
        <v>3.0604026051276767E-2</v>
      </c>
      <c r="BG1047">
        <f>Model!BO443</f>
        <v>3.4599862773903478E-2</v>
      </c>
      <c r="BH1047">
        <f>Model!BP443</f>
        <v>3.0529941186203668E-2</v>
      </c>
      <c r="BI1047">
        <f>Model!BQ443</f>
        <v>1.3352541911136218E-2</v>
      </c>
      <c r="BJ1047">
        <f>Model!BR443</f>
        <v>-1.5118737865225662E-2</v>
      </c>
      <c r="BK1047">
        <f>Model!BS443</f>
        <v>3.5324220311881538E-2</v>
      </c>
      <c r="BL1047">
        <f>Model!BT443</f>
        <v>-7.7869976802528829E-2</v>
      </c>
      <c r="BM1047">
        <f>Model!BU443</f>
        <v>-0.13134563467755866</v>
      </c>
      <c r="BN1047">
        <f>Model!BV443</f>
        <v>-0.17221539903398642</v>
      </c>
      <c r="BO1047">
        <f>Model!BW443</f>
        <v>-0.15745909202010322</v>
      </c>
      <c r="BP1047">
        <f>Model!BX443</f>
        <v>-0.14060651261872248</v>
      </c>
      <c r="BQ1047">
        <f>Model!BY443</f>
        <v>-0.10276626671782119</v>
      </c>
      <c r="BR1047">
        <f>Model!BZ443</f>
        <v>1.94005457861397E-2</v>
      </c>
      <c r="BS1047">
        <f>Model!CA443</f>
        <v>6.9295704687204474E-3</v>
      </c>
      <c r="BT1047">
        <f>Model!CB443</f>
        <v>-1.4128756921266472E-2</v>
      </c>
      <c r="BU1047">
        <f>Model!CC443</f>
        <v>-2.9365002543710994E-2</v>
      </c>
      <c r="BV1047">
        <f>Model!CD443</f>
        <v>-2.5644814601712529E-2</v>
      </c>
      <c r="BW1047">
        <f>Model!CE443</f>
        <v>-3.7631498874934888E-3</v>
      </c>
      <c r="BX1047">
        <f>Model!CF443</f>
        <v>4.760090135790751E-2</v>
      </c>
      <c r="BY1047">
        <f>Model!CG443</f>
        <v>0</v>
      </c>
      <c r="BZ1047">
        <f>Model!CH443</f>
        <v>0</v>
      </c>
      <c r="CA1047">
        <f>Model!CI443</f>
        <v>0</v>
      </c>
      <c r="CB1047">
        <f>Model!CJ443</f>
        <v>0</v>
      </c>
      <c r="CC1047">
        <f>Model!CK443</f>
        <v>0</v>
      </c>
      <c r="CD1047">
        <f>Model!CL443</f>
        <v>0</v>
      </c>
      <c r="CE1047">
        <f>Model!CM443</f>
        <v>0</v>
      </c>
      <c r="CF1047">
        <f>Model!CN443</f>
        <v>0</v>
      </c>
      <c r="CG1047">
        <f>Model!CO443</f>
        <v>0</v>
      </c>
      <c r="CH1047">
        <f>Model!CP443</f>
        <v>-7.5147292850477054E-2</v>
      </c>
      <c r="CI1047">
        <f>Model!CQ443</f>
        <v>-3.0760572662450913E-2</v>
      </c>
      <c r="CJ1047">
        <f>Model!CR443</f>
        <v>3.8078968025544446E-2</v>
      </c>
      <c r="CK1047">
        <f>Model!CS443</f>
        <v>-9.9748160212196346E-3</v>
      </c>
      <c r="CL1047">
        <f>Model!CT443</f>
        <v>-4.2823931197695231E-2</v>
      </c>
      <c r="CM1047">
        <f>Model!CU443</f>
        <v>2.7883124790315073E-2</v>
      </c>
      <c r="CN1047">
        <f>Model!CV443</f>
        <v>-1.3115077097704986E-2</v>
      </c>
      <c r="CO1047">
        <f>Model!CW443</f>
        <v>-0.14913262493834001</v>
      </c>
      <c r="CP1047">
        <f>Model!CX443</f>
        <v>-3.7219045025124298E-2</v>
      </c>
      <c r="CQ1047">
        <f>Model!CY443</f>
        <v>8.9455816724768322E-3</v>
      </c>
      <c r="CR1047">
        <f>Model!DI443</f>
        <v>0</v>
      </c>
      <c r="CS1047">
        <f>Model!DH443</f>
        <v>0</v>
      </c>
      <c r="CU1047">
        <f>Model!DJ443</f>
        <v>0</v>
      </c>
    </row>
    <row r="1048" spans="1:99">
      <c r="A1048" t="str">
        <f>Model!I444</f>
        <v>Two-Year</v>
      </c>
      <c r="B1048">
        <f>Model!J444</f>
        <v>0</v>
      </c>
      <c r="C1048">
        <f>Model!K444</f>
        <v>0</v>
      </c>
      <c r="D1048">
        <f>Model!L444</f>
        <v>0</v>
      </c>
      <c r="E1048">
        <f>Model!M444</f>
        <v>0</v>
      </c>
      <c r="F1048">
        <f>Model!N444</f>
        <v>0</v>
      </c>
      <c r="G1048">
        <f>Model!O444</f>
        <v>0</v>
      </c>
      <c r="H1048">
        <f>Model!P444</f>
        <v>0</v>
      </c>
      <c r="I1048">
        <f>Model!Q444</f>
        <v>0</v>
      </c>
      <c r="J1048">
        <f>Model!R444</f>
        <v>0</v>
      </c>
      <c r="K1048">
        <f>Model!S444</f>
        <v>0</v>
      </c>
      <c r="L1048">
        <f>Model!T444</f>
        <v>0</v>
      </c>
      <c r="M1048">
        <f>Model!U444</f>
        <v>0</v>
      </c>
      <c r="N1048">
        <f>Model!V444</f>
        <v>0</v>
      </c>
      <c r="O1048">
        <f>Model!W444</f>
        <v>0</v>
      </c>
      <c r="P1048">
        <f>Model!X444</f>
        <v>0</v>
      </c>
      <c r="Q1048">
        <f>Model!Y444</f>
        <v>0</v>
      </c>
      <c r="R1048">
        <f>Model!Z444</f>
        <v>0</v>
      </c>
      <c r="S1048">
        <f>Model!AA444</f>
        <v>0</v>
      </c>
      <c r="T1048">
        <f>Model!AB444</f>
        <v>0</v>
      </c>
      <c r="U1048">
        <f>Model!AC444</f>
        <v>0</v>
      </c>
      <c r="V1048">
        <f>Model!AD444</f>
        <v>0</v>
      </c>
      <c r="W1048">
        <f>Model!AE444</f>
        <v>0</v>
      </c>
      <c r="X1048">
        <f>Model!AF444</f>
        <v>0</v>
      </c>
      <c r="Y1048">
        <f>Model!AG444</f>
        <v>0</v>
      </c>
      <c r="Z1048">
        <f>Model!AH444</f>
        <v>0</v>
      </c>
      <c r="AA1048">
        <f>Model!AI444</f>
        <v>0</v>
      </c>
      <c r="AB1048">
        <f>Model!AJ444</f>
        <v>0</v>
      </c>
      <c r="AC1048">
        <f>Model!AK444</f>
        <v>0</v>
      </c>
      <c r="AD1048">
        <f>Model!AL444</f>
        <v>0</v>
      </c>
      <c r="AE1048">
        <f>Model!AM444</f>
        <v>0</v>
      </c>
      <c r="AF1048">
        <f>Model!AN444</f>
        <v>0</v>
      </c>
      <c r="AG1048">
        <f>Model!AO444</f>
        <v>0</v>
      </c>
      <c r="AH1048">
        <f>Model!AP444</f>
        <v>0</v>
      </c>
      <c r="AI1048">
        <f>Model!AQ444</f>
        <v>0</v>
      </c>
      <c r="AJ1048">
        <f>Model!AR444</f>
        <v>0</v>
      </c>
      <c r="AK1048">
        <f>Model!AS444</f>
        <v>0</v>
      </c>
      <c r="AL1048">
        <f>Model!AT444</f>
        <v>0</v>
      </c>
      <c r="AM1048">
        <f>Model!AU444</f>
        <v>0</v>
      </c>
      <c r="AN1048">
        <f>Model!AV444</f>
        <v>0</v>
      </c>
      <c r="AO1048">
        <f>Model!AW444</f>
        <v>-0.1317790047076578</v>
      </c>
      <c r="AP1048">
        <f>Model!AX444</f>
        <v>-6.5763542011759601E-2</v>
      </c>
      <c r="AQ1048">
        <f>Model!AY444</f>
        <v>-2.3983143773635418E-2</v>
      </c>
      <c r="AR1048">
        <f>Model!AZ444</f>
        <v>-3.1741859465413413E-2</v>
      </c>
      <c r="AS1048">
        <f>Model!BA444</f>
        <v>-8.3634233571605043E-2</v>
      </c>
      <c r="AT1048">
        <f>Model!BB444</f>
        <v>-0.11430916267925173</v>
      </c>
      <c r="AU1048">
        <f>Model!BC444</f>
        <v>3.9894159272915175E-3</v>
      </c>
      <c r="AV1048">
        <f>Model!BD444</f>
        <v>6.5733199208875437E-2</v>
      </c>
      <c r="AW1048">
        <f>Model!BE444</f>
        <v>7.4953435872954E-2</v>
      </c>
      <c r="AX1048">
        <f>Model!BF444</f>
        <v>8.0498807183433274E-2</v>
      </c>
      <c r="AY1048">
        <f>Model!BG444</f>
        <v>6.1599393314208939E-2</v>
      </c>
      <c r="AZ1048">
        <f>Model!BH444</f>
        <v>-8.3418712995178668E-2</v>
      </c>
      <c r="BA1048">
        <f>Model!BI444</f>
        <v>-8.1137301394047512E-3</v>
      </c>
      <c r="BB1048">
        <f>Model!BJ444</f>
        <v>4.5729961254586171E-2</v>
      </c>
      <c r="BC1048">
        <f>Model!BK444</f>
        <v>4.7081825247166087E-3</v>
      </c>
      <c r="BD1048">
        <f>Model!BL444</f>
        <v>-6.0086561734043586E-2</v>
      </c>
      <c r="BE1048">
        <f>Model!BM444</f>
        <v>-1.9453938124296855E-2</v>
      </c>
      <c r="BF1048">
        <f>Model!BN444</f>
        <v>-5.5654692851608289E-2</v>
      </c>
      <c r="BG1048">
        <f>Model!BO444</f>
        <v>-1.942289570218958E-2</v>
      </c>
      <c r="BH1048">
        <f>Model!BP444</f>
        <v>2.0935684569476587E-2</v>
      </c>
      <c r="BI1048">
        <f>Model!BQ444</f>
        <v>2.6551299271010853E-2</v>
      </c>
      <c r="BJ1048">
        <f>Model!BR444</f>
        <v>1.5485288186051105E-2</v>
      </c>
      <c r="BK1048">
        <f>Model!BS444</f>
        <v>6.9924083085785016E-2</v>
      </c>
      <c r="BL1048">
        <f>Model!BT444</f>
        <v>-4.734003561632516E-2</v>
      </c>
      <c r="BM1048">
        <f>Model!BU444</f>
        <v>-0.11799309276642245</v>
      </c>
      <c r="BN1048">
        <f>Model!BV444</f>
        <v>-0.18733413689921208</v>
      </c>
      <c r="BO1048">
        <f>Model!BW444</f>
        <v>-0.12213487170822168</v>
      </c>
      <c r="BP1048">
        <f>Model!BX444</f>
        <v>-0.21847648942125131</v>
      </c>
      <c r="BQ1048">
        <f>Model!BY444</f>
        <v>-0.23411190139537985</v>
      </c>
      <c r="BR1048">
        <f>Model!BZ444</f>
        <v>-0.15281485324784672</v>
      </c>
      <c r="BS1048">
        <f>Model!CA444</f>
        <v>-0.15052952155138277</v>
      </c>
      <c r="BT1048">
        <f>Model!CB444</f>
        <v>-0.15473526953998895</v>
      </c>
      <c r="BU1048">
        <f>Model!CC444</f>
        <v>-0.13213126926153218</v>
      </c>
      <c r="BV1048">
        <f>Model!CD444</f>
        <v>-6.2442688155728288E-3</v>
      </c>
      <c r="BW1048">
        <f>Model!CE444</f>
        <v>3.1664205812269586E-3</v>
      </c>
      <c r="BX1048">
        <f>Model!CF444</f>
        <v>3.3472144436641038E-2</v>
      </c>
      <c r="BY1048">
        <f>Model!CG444</f>
        <v>0</v>
      </c>
      <c r="BZ1048">
        <f>Model!CH444</f>
        <v>0</v>
      </c>
      <c r="CA1048">
        <f>Model!CI444</f>
        <v>0</v>
      </c>
      <c r="CB1048">
        <f>Model!CJ444</f>
        <v>0</v>
      </c>
      <c r="CC1048">
        <f>Model!CK444</f>
        <v>0</v>
      </c>
      <c r="CD1048">
        <f>Model!CL444</f>
        <v>0</v>
      </c>
      <c r="CE1048">
        <f>Model!CM444</f>
        <v>0</v>
      </c>
      <c r="CF1048">
        <f>Model!CN444</f>
        <v>0</v>
      </c>
      <c r="CG1048">
        <f>Model!CO444</f>
        <v>0</v>
      </c>
      <c r="CH1048">
        <f>Model!CP444</f>
        <v>0</v>
      </c>
      <c r="CI1048">
        <f>Model!CQ444</f>
        <v>-0.10590786551292797</v>
      </c>
      <c r="CJ1048">
        <f>Model!CR444</f>
        <v>7.3183953630935328E-3</v>
      </c>
      <c r="CK1048">
        <f>Model!CS444</f>
        <v>2.8104152004324812E-2</v>
      </c>
      <c r="CL1048">
        <f>Model!CT444</f>
        <v>-5.2798747218914865E-2</v>
      </c>
      <c r="CM1048">
        <f>Model!CU444</f>
        <v>-1.4940806407380158E-2</v>
      </c>
      <c r="CN1048">
        <f>Model!CV444</f>
        <v>1.4768047692610087E-2</v>
      </c>
      <c r="CO1048">
        <f>Model!CW444</f>
        <v>-0.16224770203604499</v>
      </c>
      <c r="CP1048">
        <f>Model!CX444</f>
        <v>-0.18635166996346431</v>
      </c>
      <c r="CQ1048">
        <f>Model!CY444</f>
        <v>-2.8273463352647465E-2</v>
      </c>
      <c r="CR1048">
        <f>Model!DG444</f>
        <v>0</v>
      </c>
      <c r="CS1048">
        <f>Model!DH444</f>
        <v>0</v>
      </c>
      <c r="CT1048">
        <f>Model!DI444</f>
        <v>0</v>
      </c>
      <c r="CU1048">
        <f>Model!DJ444</f>
        <v>0</v>
      </c>
    </row>
    <row r="1049" spans="1:99">
      <c r="A1049">
        <f>Model!I445</f>
        <v>0</v>
      </c>
      <c r="B1049">
        <f>Model!J445</f>
        <v>0</v>
      </c>
      <c r="C1049">
        <f>Model!K445</f>
        <v>0</v>
      </c>
      <c r="D1049">
        <f>Model!L445</f>
        <v>0</v>
      </c>
      <c r="E1049">
        <f>Model!M445</f>
        <v>0</v>
      </c>
      <c r="F1049">
        <f>Model!N445</f>
        <v>0</v>
      </c>
      <c r="G1049">
        <f>Model!O445</f>
        <v>0</v>
      </c>
      <c r="H1049">
        <f>Model!P445</f>
        <v>0</v>
      </c>
      <c r="I1049">
        <f>Model!Q445</f>
        <v>0</v>
      </c>
      <c r="J1049">
        <f>Model!R445</f>
        <v>0</v>
      </c>
      <c r="K1049">
        <f>Model!S445</f>
        <v>0</v>
      </c>
      <c r="L1049">
        <f>Model!T445</f>
        <v>0</v>
      </c>
      <c r="M1049">
        <f>Model!U445</f>
        <v>0</v>
      </c>
      <c r="N1049">
        <f>Model!V445</f>
        <v>0</v>
      </c>
      <c r="O1049">
        <f>Model!W445</f>
        <v>0</v>
      </c>
      <c r="P1049">
        <f>Model!X445</f>
        <v>0</v>
      </c>
      <c r="Q1049">
        <f>Model!Y445</f>
        <v>0</v>
      </c>
      <c r="R1049">
        <f>Model!Z445</f>
        <v>0</v>
      </c>
      <c r="S1049">
        <f>Model!AA445</f>
        <v>0</v>
      </c>
      <c r="T1049">
        <f>Model!AB445</f>
        <v>0</v>
      </c>
      <c r="U1049">
        <f>Model!AC445</f>
        <v>0</v>
      </c>
      <c r="V1049">
        <f>Model!AD445</f>
        <v>0</v>
      </c>
      <c r="W1049">
        <f>Model!AE445</f>
        <v>0</v>
      </c>
      <c r="X1049">
        <f>Model!AF445</f>
        <v>0</v>
      </c>
      <c r="Y1049">
        <f>Model!AG445</f>
        <v>0</v>
      </c>
      <c r="Z1049">
        <f>Model!AH445</f>
        <v>0</v>
      </c>
      <c r="AA1049">
        <f>Model!AI445</f>
        <v>0</v>
      </c>
      <c r="AB1049">
        <f>Model!AJ445</f>
        <v>0</v>
      </c>
      <c r="AC1049">
        <f>Model!AK445</f>
        <v>0</v>
      </c>
      <c r="AD1049">
        <f>Model!AL445</f>
        <v>0</v>
      </c>
      <c r="AE1049">
        <f>Model!AM445</f>
        <v>0</v>
      </c>
      <c r="AF1049">
        <f>Model!AN445</f>
        <v>0</v>
      </c>
      <c r="AG1049">
        <f>Model!AO445</f>
        <v>0</v>
      </c>
      <c r="AH1049">
        <f>Model!AP445</f>
        <v>0</v>
      </c>
      <c r="AI1049">
        <f>Model!AQ445</f>
        <v>0</v>
      </c>
      <c r="AJ1049">
        <f>Model!AR445</f>
        <v>0</v>
      </c>
      <c r="AK1049">
        <f>Model!AS445</f>
        <v>0</v>
      </c>
      <c r="AL1049">
        <f>Model!AT445</f>
        <v>0</v>
      </c>
      <c r="AM1049">
        <f>Model!AU445</f>
        <v>0</v>
      </c>
      <c r="AN1049">
        <f>Model!AV445</f>
        <v>0</v>
      </c>
      <c r="AO1049">
        <f>Model!AW445</f>
        <v>0</v>
      </c>
      <c r="AP1049">
        <f>Model!AX445</f>
        <v>0</v>
      </c>
      <c r="AQ1049">
        <f>Model!AY445</f>
        <v>0</v>
      </c>
      <c r="AR1049">
        <f>Model!AZ445</f>
        <v>0</v>
      </c>
      <c r="AS1049">
        <f>Model!BA445</f>
        <v>0</v>
      </c>
      <c r="AT1049">
        <f>Model!BB445</f>
        <v>0</v>
      </c>
      <c r="AU1049">
        <f>Model!BC445</f>
        <v>0</v>
      </c>
      <c r="AV1049">
        <f>Model!BD445</f>
        <v>0</v>
      </c>
      <c r="AW1049">
        <f>Model!BE445</f>
        <v>0</v>
      </c>
      <c r="AX1049">
        <f>Model!BF445</f>
        <v>0</v>
      </c>
      <c r="AY1049">
        <f>Model!BG445</f>
        <v>0</v>
      </c>
      <c r="AZ1049">
        <f>Model!BH445</f>
        <v>0</v>
      </c>
      <c r="BA1049">
        <f>Model!BI445</f>
        <v>0</v>
      </c>
      <c r="BB1049">
        <f>Model!BJ445</f>
        <v>0</v>
      </c>
      <c r="BC1049">
        <f>Model!BK445</f>
        <v>0</v>
      </c>
      <c r="BD1049">
        <f>Model!BL445</f>
        <v>0</v>
      </c>
      <c r="BE1049">
        <f>Model!BM445</f>
        <v>0</v>
      </c>
      <c r="BF1049">
        <f>Model!BN445</f>
        <v>0</v>
      </c>
      <c r="BG1049">
        <f>Model!BO445</f>
        <v>0</v>
      </c>
      <c r="BH1049">
        <f>Model!BP445</f>
        <v>0</v>
      </c>
      <c r="BI1049">
        <f>Model!BQ445</f>
        <v>0</v>
      </c>
      <c r="BJ1049">
        <f>Model!BR445</f>
        <v>0</v>
      </c>
      <c r="BK1049">
        <f>Model!BS445</f>
        <v>0</v>
      </c>
      <c r="BL1049">
        <f>Model!BT445</f>
        <v>0</v>
      </c>
      <c r="BM1049">
        <f>Model!BU445</f>
        <v>0</v>
      </c>
      <c r="BN1049">
        <f>Model!BV445</f>
        <v>0</v>
      </c>
      <c r="BO1049">
        <f>Model!BW445</f>
        <v>0</v>
      </c>
      <c r="BP1049">
        <f>Model!BX445</f>
        <v>0</v>
      </c>
      <c r="BQ1049">
        <f>Model!BY445</f>
        <v>0</v>
      </c>
      <c r="BR1049">
        <f>Model!BZ445</f>
        <v>0</v>
      </c>
      <c r="BS1049">
        <f>Model!CA445</f>
        <v>0</v>
      </c>
      <c r="BT1049">
        <f>Model!CB445</f>
        <v>0</v>
      </c>
      <c r="BU1049">
        <f>Model!CC445</f>
        <v>0</v>
      </c>
      <c r="BV1049">
        <f>Model!CD445</f>
        <v>0</v>
      </c>
      <c r="BW1049">
        <f>Model!CE445</f>
        <v>0</v>
      </c>
      <c r="BX1049">
        <f>Model!CF445</f>
        <v>0</v>
      </c>
      <c r="BY1049">
        <f>Model!CG445</f>
        <v>0</v>
      </c>
      <c r="BZ1049">
        <f>Model!CH445</f>
        <v>0</v>
      </c>
      <c r="CA1049">
        <f>Model!CI445</f>
        <v>0</v>
      </c>
      <c r="CB1049">
        <f>Model!CJ445</f>
        <v>0</v>
      </c>
      <c r="CC1049">
        <f>Model!CK445</f>
        <v>0</v>
      </c>
      <c r="CD1049">
        <f>Model!CL445</f>
        <v>0</v>
      </c>
      <c r="CE1049">
        <f>Model!CM445</f>
        <v>0</v>
      </c>
      <c r="CF1049">
        <f>Model!CN445</f>
        <v>0</v>
      </c>
      <c r="CG1049">
        <f>Model!CO445</f>
        <v>0</v>
      </c>
      <c r="CH1049">
        <f>Model!CP445</f>
        <v>0</v>
      </c>
      <c r="CI1049">
        <f>Model!CQ445</f>
        <v>0</v>
      </c>
      <c r="CJ1049">
        <f>Model!CR445</f>
        <v>0</v>
      </c>
      <c r="CK1049">
        <f>Model!CS445</f>
        <v>0</v>
      </c>
      <c r="CL1049">
        <f>Model!CT445</f>
        <v>0</v>
      </c>
      <c r="CM1049">
        <f>Model!CU445</f>
        <v>0</v>
      </c>
      <c r="CN1049">
        <f>Model!CV445</f>
        <v>0</v>
      </c>
      <c r="CO1049">
        <f>Model!CW445</f>
        <v>0</v>
      </c>
      <c r="CP1049">
        <f>Model!CX445</f>
        <v>0</v>
      </c>
      <c r="CQ1049">
        <f>Model!CY445</f>
        <v>0</v>
      </c>
      <c r="CR1049">
        <f>Model!DG445</f>
        <v>0</v>
      </c>
      <c r="CS1049">
        <f>Model!DH445</f>
        <v>0</v>
      </c>
      <c r="CT1049">
        <f>Model!DI445</f>
        <v>0</v>
      </c>
      <c r="CU1049">
        <f>Model!DJ445</f>
        <v>0</v>
      </c>
    </row>
    <row r="1050" spans="1:99">
      <c r="A1050">
        <v>0</v>
      </c>
      <c r="B1050">
        <v>0</v>
      </c>
      <c r="C1050">
        <v>0</v>
      </c>
      <c r="D1050">
        <v>0</v>
      </c>
      <c r="E1050">
        <v>0</v>
      </c>
      <c r="F1050">
        <v>0</v>
      </c>
      <c r="G1050">
        <v>0</v>
      </c>
      <c r="H1050">
        <v>0</v>
      </c>
      <c r="I1050">
        <v>0</v>
      </c>
      <c r="J1050">
        <v>0</v>
      </c>
      <c r="K1050">
        <v>0</v>
      </c>
      <c r="L1050">
        <v>0</v>
      </c>
      <c r="M1050">
        <v>0</v>
      </c>
      <c r="N1050">
        <v>0</v>
      </c>
      <c r="O1050">
        <v>0</v>
      </c>
      <c r="P1050">
        <v>0</v>
      </c>
      <c r="Q1050">
        <v>0</v>
      </c>
    </row>
    <row r="1051" spans="1:99">
      <c r="A1051">
        <v>0</v>
      </c>
      <c r="B1051" t="s">
        <v>759</v>
      </c>
      <c r="C1051">
        <v>0</v>
      </c>
      <c r="D1051">
        <v>0</v>
      </c>
      <c r="E1051">
        <v>0</v>
      </c>
      <c r="F1051">
        <v>0</v>
      </c>
      <c r="G1051">
        <v>0</v>
      </c>
      <c r="H1051">
        <v>0</v>
      </c>
      <c r="I1051">
        <v>0</v>
      </c>
      <c r="J1051">
        <v>0</v>
      </c>
      <c r="K1051">
        <v>0</v>
      </c>
      <c r="L1051">
        <v>0</v>
      </c>
      <c r="M1051">
        <v>0</v>
      </c>
      <c r="N1051">
        <v>0</v>
      </c>
      <c r="O1051">
        <v>0</v>
      </c>
      <c r="P1051">
        <v>0</v>
      </c>
      <c r="Q1051">
        <v>0</v>
      </c>
    </row>
    <row r="1052" spans="1:99">
      <c r="A1052">
        <v>0</v>
      </c>
      <c r="B1052">
        <v>0</v>
      </c>
      <c r="C1052">
        <v>0</v>
      </c>
      <c r="D1052">
        <v>0</v>
      </c>
      <c r="E1052">
        <v>0</v>
      </c>
      <c r="F1052">
        <v>0</v>
      </c>
      <c r="G1052">
        <v>0</v>
      </c>
      <c r="H1052">
        <v>0</v>
      </c>
      <c r="I1052">
        <v>0</v>
      </c>
      <c r="J1052">
        <v>0</v>
      </c>
      <c r="K1052">
        <v>0</v>
      </c>
      <c r="L1052">
        <v>0</v>
      </c>
      <c r="M1052">
        <v>0</v>
      </c>
      <c r="N1052">
        <v>0</v>
      </c>
      <c r="O1052">
        <v>0</v>
      </c>
      <c r="P1052">
        <v>0</v>
      </c>
      <c r="Q1052">
        <v>0</v>
      </c>
    </row>
    <row r="1053" spans="1:99">
      <c r="A1053">
        <v>0</v>
      </c>
      <c r="B1053" t="s">
        <v>546</v>
      </c>
      <c r="C1053">
        <v>0</v>
      </c>
      <c r="D1053">
        <v>2085.86</v>
      </c>
      <c r="E1053">
        <v>0</v>
      </c>
      <c r="F1053">
        <v>0</v>
      </c>
      <c r="G1053">
        <v>0</v>
      </c>
      <c r="H1053">
        <v>0</v>
      </c>
      <c r="I1053">
        <v>0</v>
      </c>
      <c r="J1053">
        <v>0</v>
      </c>
      <c r="K1053">
        <v>0</v>
      </c>
      <c r="L1053">
        <v>0</v>
      </c>
      <c r="M1053">
        <v>0</v>
      </c>
      <c r="N1053">
        <v>0</v>
      </c>
      <c r="O1053">
        <v>0</v>
      </c>
      <c r="P1053">
        <v>0</v>
      </c>
      <c r="Q1053">
        <v>0</v>
      </c>
    </row>
    <row r="1054" spans="1:99">
      <c r="A1054">
        <v>0</v>
      </c>
      <c r="B1054" t="s">
        <v>547</v>
      </c>
      <c r="C1054">
        <v>0</v>
      </c>
      <c r="D1054">
        <v>7.3897577018591676E-2</v>
      </c>
      <c r="E1054">
        <v>0</v>
      </c>
      <c r="F1054">
        <v>0</v>
      </c>
      <c r="G1054">
        <v>0</v>
      </c>
      <c r="H1054">
        <v>0</v>
      </c>
      <c r="I1054">
        <v>0</v>
      </c>
      <c r="J1054">
        <v>0</v>
      </c>
      <c r="K1054">
        <v>0</v>
      </c>
      <c r="L1054">
        <v>0</v>
      </c>
      <c r="M1054">
        <v>0</v>
      </c>
      <c r="N1054">
        <v>0</v>
      </c>
      <c r="O1054">
        <v>0</v>
      </c>
      <c r="P1054">
        <v>0</v>
      </c>
      <c r="Q1054">
        <v>0</v>
      </c>
    </row>
    <row r="1055" spans="1:99">
      <c r="A1055">
        <v>0</v>
      </c>
      <c r="B1055" t="s">
        <v>548</v>
      </c>
      <c r="C1055">
        <v>0</v>
      </c>
      <c r="D1055">
        <v>100854.51579717778</v>
      </c>
      <c r="E1055">
        <v>0</v>
      </c>
      <c r="F1055">
        <v>0</v>
      </c>
      <c r="G1055">
        <v>0.38551964177845099</v>
      </c>
      <c r="H1055">
        <v>0</v>
      </c>
      <c r="I1055">
        <v>0</v>
      </c>
      <c r="J1055">
        <v>0</v>
      </c>
      <c r="K1055">
        <v>0</v>
      </c>
      <c r="L1055">
        <v>0</v>
      </c>
      <c r="M1055">
        <v>0</v>
      </c>
      <c r="N1055">
        <v>0</v>
      </c>
      <c r="O1055">
        <v>0</v>
      </c>
      <c r="P1055">
        <v>0</v>
      </c>
      <c r="Q1055">
        <v>0</v>
      </c>
    </row>
    <row r="1056" spans="1:99">
      <c r="A1056">
        <v>0</v>
      </c>
      <c r="B1056" t="s">
        <v>549</v>
      </c>
      <c r="C1056">
        <v>0</v>
      </c>
      <c r="D1056">
        <v>100919.42240849446</v>
      </c>
      <c r="E1056">
        <v>0</v>
      </c>
      <c r="F1056">
        <v>0</v>
      </c>
      <c r="G1056">
        <v>0</v>
      </c>
      <c r="H1056">
        <v>0</v>
      </c>
      <c r="I1056">
        <v>0</v>
      </c>
      <c r="J1056">
        <v>0</v>
      </c>
      <c r="K1056">
        <v>0</v>
      </c>
      <c r="L1056">
        <v>0</v>
      </c>
      <c r="M1056">
        <v>0</v>
      </c>
      <c r="N1056">
        <v>0</v>
      </c>
      <c r="O1056">
        <v>0</v>
      </c>
      <c r="P1056">
        <v>0</v>
      </c>
      <c r="Q1056">
        <v>0</v>
      </c>
    </row>
    <row r="1057" spans="1:17">
      <c r="A1057">
        <v>0</v>
      </c>
      <c r="B1057">
        <v>0</v>
      </c>
      <c r="C1057">
        <v>0</v>
      </c>
      <c r="D1057">
        <v>0</v>
      </c>
      <c r="E1057">
        <v>0</v>
      </c>
      <c r="F1057">
        <v>0</v>
      </c>
      <c r="G1057">
        <v>0</v>
      </c>
      <c r="H1057">
        <v>0</v>
      </c>
      <c r="I1057">
        <v>0</v>
      </c>
      <c r="J1057">
        <v>0</v>
      </c>
      <c r="K1057">
        <v>0</v>
      </c>
      <c r="L1057">
        <v>0</v>
      </c>
      <c r="M1057">
        <v>0</v>
      </c>
      <c r="N1057">
        <v>0</v>
      </c>
      <c r="O1057">
        <v>0</v>
      </c>
      <c r="P1057">
        <v>0</v>
      </c>
      <c r="Q1057">
        <v>0</v>
      </c>
    </row>
    <row r="1058" spans="1:17">
      <c r="A1058">
        <v>0</v>
      </c>
      <c r="B1058" t="s">
        <v>550</v>
      </c>
      <c r="C1058">
        <v>0</v>
      </c>
      <c r="D1058">
        <v>2240</v>
      </c>
      <c r="E1058">
        <v>0</v>
      </c>
      <c r="F1058">
        <v>0</v>
      </c>
      <c r="G1058">
        <v>0</v>
      </c>
      <c r="H1058">
        <v>0</v>
      </c>
      <c r="I1058">
        <v>0</v>
      </c>
      <c r="J1058">
        <v>0</v>
      </c>
      <c r="K1058">
        <v>0</v>
      </c>
      <c r="L1058">
        <v>0</v>
      </c>
      <c r="M1058">
        <v>0</v>
      </c>
      <c r="N1058">
        <v>0</v>
      </c>
      <c r="O1058">
        <v>0</v>
      </c>
      <c r="P1058">
        <v>0</v>
      </c>
      <c r="Q1058">
        <v>0</v>
      </c>
    </row>
    <row r="1059" spans="1:17">
      <c r="A1059">
        <v>0</v>
      </c>
      <c r="B1059" t="s">
        <v>548</v>
      </c>
      <c r="C1059">
        <v>0</v>
      </c>
      <c r="D1059">
        <v>108308.23921766804</v>
      </c>
      <c r="E1059">
        <v>0</v>
      </c>
      <c r="F1059">
        <v>0</v>
      </c>
      <c r="G1059">
        <v>0</v>
      </c>
      <c r="H1059">
        <v>0</v>
      </c>
      <c r="I1059">
        <v>0</v>
      </c>
      <c r="J1059">
        <v>0</v>
      </c>
      <c r="K1059">
        <v>0</v>
      </c>
      <c r="L1059">
        <v>0</v>
      </c>
      <c r="M1059">
        <v>0</v>
      </c>
      <c r="N1059">
        <v>0</v>
      </c>
      <c r="O1059">
        <v>0</v>
      </c>
      <c r="P1059">
        <v>0</v>
      </c>
      <c r="Q1059">
        <v>0</v>
      </c>
    </row>
    <row r="1060" spans="1:17">
      <c r="A1060">
        <v>0</v>
      </c>
      <c r="B1060" t="s">
        <v>549</v>
      </c>
      <c r="C1060">
        <v>0</v>
      </c>
      <c r="D1060">
        <v>108373.14582898472</v>
      </c>
      <c r="E1060">
        <v>0</v>
      </c>
      <c r="F1060">
        <v>0</v>
      </c>
      <c r="G1060">
        <v>0</v>
      </c>
      <c r="H1060">
        <v>0</v>
      </c>
      <c r="I1060">
        <v>0</v>
      </c>
      <c r="J1060">
        <v>0</v>
      </c>
      <c r="K1060">
        <v>0</v>
      </c>
      <c r="L1060">
        <v>0</v>
      </c>
      <c r="M1060">
        <v>0</v>
      </c>
      <c r="N1060">
        <v>0</v>
      </c>
      <c r="O1060">
        <v>0</v>
      </c>
      <c r="P1060">
        <v>0</v>
      </c>
      <c r="Q1060">
        <v>0</v>
      </c>
    </row>
    <row r="1061" spans="1:17">
      <c r="A1061">
        <v>0</v>
      </c>
      <c r="B1061">
        <v>0</v>
      </c>
      <c r="C1061">
        <v>0</v>
      </c>
      <c r="D1061">
        <v>0</v>
      </c>
      <c r="E1061">
        <v>0</v>
      </c>
      <c r="F1061">
        <v>0</v>
      </c>
      <c r="G1061">
        <v>0</v>
      </c>
      <c r="H1061">
        <v>0</v>
      </c>
      <c r="I1061">
        <v>0</v>
      </c>
      <c r="J1061">
        <v>0</v>
      </c>
      <c r="K1061">
        <v>0</v>
      </c>
      <c r="L1061">
        <v>0</v>
      </c>
      <c r="M1061">
        <v>0</v>
      </c>
      <c r="N1061">
        <v>0</v>
      </c>
      <c r="O1061">
        <v>0</v>
      </c>
      <c r="P1061">
        <v>0</v>
      </c>
      <c r="Q1061">
        <v>0</v>
      </c>
    </row>
    <row r="1062" spans="1:17">
      <c r="A1062">
        <v>0</v>
      </c>
      <c r="B1062" t="s">
        <v>551</v>
      </c>
      <c r="C1062">
        <v>0</v>
      </c>
      <c r="D1062">
        <v>8109.6610000000001</v>
      </c>
      <c r="E1062">
        <v>0</v>
      </c>
      <c r="F1062">
        <v>0</v>
      </c>
      <c r="G1062">
        <v>0</v>
      </c>
      <c r="H1062">
        <v>0</v>
      </c>
      <c r="I1062">
        <v>0</v>
      </c>
      <c r="J1062">
        <v>0</v>
      </c>
      <c r="K1062">
        <v>0</v>
      </c>
      <c r="L1062">
        <v>0</v>
      </c>
      <c r="M1062">
        <v>0</v>
      </c>
      <c r="N1062">
        <v>0</v>
      </c>
      <c r="O1062">
        <v>0</v>
      </c>
      <c r="P1062">
        <v>0</v>
      </c>
      <c r="Q1062">
        <v>0</v>
      </c>
    </row>
    <row r="1063" spans="1:17">
      <c r="A1063">
        <v>0</v>
      </c>
      <c r="B1063" t="s">
        <v>552</v>
      </c>
      <c r="C1063">
        <v>0</v>
      </c>
      <c r="D1063">
        <v>8044.7543886833337</v>
      </c>
      <c r="E1063">
        <v>0</v>
      </c>
      <c r="F1063">
        <v>0</v>
      </c>
      <c r="G1063">
        <v>0</v>
      </c>
      <c r="H1063">
        <v>0</v>
      </c>
      <c r="I1063">
        <v>0</v>
      </c>
      <c r="J1063">
        <v>0</v>
      </c>
      <c r="K1063">
        <v>0</v>
      </c>
      <c r="L1063">
        <v>0</v>
      </c>
      <c r="M1063">
        <v>0</v>
      </c>
      <c r="N1063">
        <v>0</v>
      </c>
      <c r="O1063">
        <v>0</v>
      </c>
      <c r="P1063">
        <v>0</v>
      </c>
      <c r="Q1063">
        <v>0</v>
      </c>
    </row>
    <row r="1064" spans="1:17">
      <c r="A1064">
        <v>0</v>
      </c>
      <c r="B1064" t="s">
        <v>553</v>
      </c>
      <c r="C1064">
        <v>0</v>
      </c>
      <c r="D1064">
        <v>48.351526850880582</v>
      </c>
      <c r="E1064">
        <v>0</v>
      </c>
      <c r="F1064">
        <v>0</v>
      </c>
      <c r="G1064">
        <v>0</v>
      </c>
      <c r="H1064">
        <v>0</v>
      </c>
      <c r="I1064">
        <v>0</v>
      </c>
      <c r="J1064">
        <v>0</v>
      </c>
      <c r="K1064">
        <v>0</v>
      </c>
      <c r="L1064">
        <v>0</v>
      </c>
      <c r="M1064">
        <v>0</v>
      </c>
      <c r="N1064">
        <v>0</v>
      </c>
      <c r="O1064">
        <v>0</v>
      </c>
      <c r="P1064">
        <v>0</v>
      </c>
      <c r="Q1064">
        <v>0</v>
      </c>
    </row>
    <row r="1065" spans="1:17">
      <c r="A1065">
        <v>0</v>
      </c>
      <c r="B1065">
        <v>0</v>
      </c>
      <c r="C1065">
        <v>0</v>
      </c>
      <c r="D1065">
        <v>0</v>
      </c>
      <c r="E1065">
        <v>0</v>
      </c>
      <c r="F1065">
        <v>0</v>
      </c>
      <c r="G1065">
        <v>0</v>
      </c>
      <c r="H1065">
        <v>0</v>
      </c>
      <c r="I1065">
        <v>0</v>
      </c>
      <c r="J1065">
        <v>0</v>
      </c>
      <c r="K1065">
        <v>0</v>
      </c>
      <c r="L1065">
        <v>0</v>
      </c>
      <c r="M1065">
        <v>0</v>
      </c>
      <c r="N1065">
        <v>0</v>
      </c>
      <c r="O1065">
        <v>0</v>
      </c>
      <c r="P1065">
        <v>0</v>
      </c>
      <c r="Q1065">
        <v>0</v>
      </c>
    </row>
    <row r="1066" spans="1:17">
      <c r="A1066">
        <v>0</v>
      </c>
      <c r="B1066" t="s">
        <v>773</v>
      </c>
      <c r="C1066">
        <v>0</v>
      </c>
      <c r="D1066">
        <v>0</v>
      </c>
      <c r="E1066">
        <v>0</v>
      </c>
      <c r="F1066">
        <v>0</v>
      </c>
      <c r="G1066">
        <v>0</v>
      </c>
      <c r="H1066">
        <v>0</v>
      </c>
      <c r="I1066">
        <v>0</v>
      </c>
      <c r="J1066" t="s">
        <v>774</v>
      </c>
      <c r="K1066">
        <v>0</v>
      </c>
      <c r="L1066">
        <v>0</v>
      </c>
      <c r="M1066">
        <v>0</v>
      </c>
      <c r="N1066">
        <v>0</v>
      </c>
      <c r="O1066">
        <v>0</v>
      </c>
      <c r="P1066">
        <v>0</v>
      </c>
      <c r="Q1066">
        <v>0</v>
      </c>
    </row>
    <row r="1067" spans="1:17">
      <c r="A1067">
        <v>0</v>
      </c>
      <c r="B1067" t="s">
        <v>392</v>
      </c>
      <c r="C1067">
        <v>41274</v>
      </c>
      <c r="D1067">
        <v>41639</v>
      </c>
      <c r="E1067">
        <v>42004</v>
      </c>
      <c r="F1067">
        <v>42369</v>
      </c>
      <c r="G1067">
        <v>42735</v>
      </c>
      <c r="H1067">
        <v>43100</v>
      </c>
      <c r="I1067">
        <v>0</v>
      </c>
      <c r="J1067" t="s">
        <v>392</v>
      </c>
      <c r="K1067">
        <v>41274</v>
      </c>
      <c r="L1067">
        <v>41639</v>
      </c>
      <c r="M1067">
        <v>42004</v>
      </c>
      <c r="N1067">
        <v>42369</v>
      </c>
      <c r="O1067">
        <v>42735</v>
      </c>
      <c r="P1067">
        <v>43100</v>
      </c>
      <c r="Q1067">
        <v>43465</v>
      </c>
    </row>
    <row r="1068" spans="1:17">
      <c r="A1068">
        <v>0</v>
      </c>
      <c r="B1068" t="s">
        <v>18</v>
      </c>
      <c r="C1068">
        <v>5260.956000000001</v>
      </c>
      <c r="D1068">
        <v>6793.3060000000005</v>
      </c>
      <c r="E1068">
        <v>8441.9709999999995</v>
      </c>
      <c r="F1068">
        <v>9223.987000000001</v>
      </c>
      <c r="G1068">
        <v>10743.005999999999</v>
      </c>
      <c r="H1068">
        <v>12681.082</v>
      </c>
      <c r="I1068">
        <v>0</v>
      </c>
      <c r="J1068" t="s">
        <v>18</v>
      </c>
      <c r="K1068">
        <v>5260.956000000001</v>
      </c>
      <c r="L1068">
        <v>6793.3060000000005</v>
      </c>
      <c r="M1068">
        <v>8441.9709999999995</v>
      </c>
      <c r="N1068">
        <v>9223.987000000001</v>
      </c>
      <c r="O1068">
        <v>10743.005999999999</v>
      </c>
      <c r="P1068">
        <v>12681.082</v>
      </c>
      <c r="Q1068">
        <v>15271.700277403312</v>
      </c>
    </row>
    <row r="1069" spans="1:17">
      <c r="A1069">
        <v>0</v>
      </c>
      <c r="B1069" t="s">
        <v>554</v>
      </c>
      <c r="C1069">
        <v>19.182715538486626</v>
      </c>
      <c r="D1069">
        <v>14.855715671941534</v>
      </c>
      <c r="E1069">
        <v>11.954485795851996</v>
      </c>
      <c r="F1069">
        <v>10.940976218688778</v>
      </c>
      <c r="G1069">
        <v>9.3939650046266809</v>
      </c>
      <c r="H1069">
        <v>7.9582658962771831</v>
      </c>
      <c r="I1069">
        <v>0</v>
      </c>
      <c r="J1069" t="s">
        <v>554</v>
      </c>
      <c r="K1069">
        <v>20.59951572090409</v>
      </c>
      <c r="L1069">
        <v>15.952931581322071</v>
      </c>
      <c r="M1069">
        <v>12.837422188371024</v>
      </c>
      <c r="N1069">
        <v>11.749056652940286</v>
      </c>
      <c r="O1069">
        <v>10.087786028322494</v>
      </c>
      <c r="P1069">
        <v>8.5460488173631184</v>
      </c>
      <c r="Q1069">
        <v>7.0963379231151134</v>
      </c>
    </row>
    <row r="1070" spans="1:17">
      <c r="A1070">
        <v>0</v>
      </c>
      <c r="B1070" t="s">
        <v>555</v>
      </c>
      <c r="C1070">
        <v>0.20582607494112248</v>
      </c>
      <c r="D1070">
        <v>0.1650597899433508</v>
      </c>
      <c r="E1070">
        <v>0.14526015577663642</v>
      </c>
      <c r="F1070">
        <v>0.18301314399753421</v>
      </c>
      <c r="G1070">
        <v>0.17301927667644423</v>
      </c>
      <c r="H1070">
        <v>0.1519185388497537</v>
      </c>
      <c r="I1070">
        <v>0</v>
      </c>
      <c r="J1070" t="s">
        <v>555</v>
      </c>
      <c r="K1070">
        <v>0.20582607494112248</v>
      </c>
      <c r="L1070">
        <v>0.1650597899433508</v>
      </c>
      <c r="M1070">
        <v>0.14526015577663642</v>
      </c>
      <c r="N1070">
        <v>0.18301314399753421</v>
      </c>
      <c r="O1070">
        <v>0.17301927667644423</v>
      </c>
      <c r="P1070">
        <v>0.1519185388497537</v>
      </c>
      <c r="Q1070">
        <v>0</v>
      </c>
    </row>
    <row r="1071" spans="1:17">
      <c r="A1071">
        <v>0</v>
      </c>
      <c r="B1071">
        <v>0</v>
      </c>
      <c r="C1071">
        <v>0</v>
      </c>
      <c r="D1071">
        <v>0</v>
      </c>
      <c r="E1071">
        <v>0</v>
      </c>
      <c r="F1071">
        <v>0</v>
      </c>
      <c r="G1071">
        <v>0</v>
      </c>
      <c r="H1071">
        <v>0</v>
      </c>
      <c r="I1071">
        <v>0</v>
      </c>
      <c r="J1071">
        <v>0</v>
      </c>
      <c r="K1071">
        <v>0</v>
      </c>
      <c r="L1071">
        <v>0</v>
      </c>
      <c r="M1071">
        <v>0</v>
      </c>
      <c r="N1071">
        <v>0</v>
      </c>
      <c r="O1071">
        <v>0</v>
      </c>
      <c r="P1071">
        <v>0</v>
      </c>
      <c r="Q1071">
        <v>0</v>
      </c>
    </row>
    <row r="1072" spans="1:17">
      <c r="A1072">
        <v>0</v>
      </c>
      <c r="B1072" t="s">
        <v>399</v>
      </c>
      <c r="C1072">
        <v>1885.2130000000011</v>
      </c>
      <c r="D1072">
        <v>2520.2950000000001</v>
      </c>
      <c r="E1072">
        <v>3277.956999999999</v>
      </c>
      <c r="F1072">
        <v>3475.257999999998</v>
      </c>
      <c r="G1072">
        <v>4139.2349999999997</v>
      </c>
      <c r="H1072">
        <v>4867.2319999999982</v>
      </c>
      <c r="I1072">
        <v>0</v>
      </c>
      <c r="J1072" t="s">
        <v>399</v>
      </c>
      <c r="K1072">
        <v>1885.2130000000011</v>
      </c>
      <c r="L1072">
        <v>2520.2950000000001</v>
      </c>
      <c r="M1072">
        <v>3277.956999999999</v>
      </c>
      <c r="N1072">
        <v>3475.257999999998</v>
      </c>
      <c r="O1072">
        <v>4139.2349999999997</v>
      </c>
      <c r="P1072">
        <v>4867.2319999999982</v>
      </c>
      <c r="Q1072">
        <v>5923.6693089154496</v>
      </c>
    </row>
    <row r="1073" spans="1:17">
      <c r="A1073">
        <v>0</v>
      </c>
      <c r="B1073" t="s">
        <v>556</v>
      </c>
      <c r="C1073">
        <v>53.532106137871104</v>
      </c>
      <c r="D1073">
        <v>40.042702306077047</v>
      </c>
      <c r="E1073">
        <v>30.787292941455451</v>
      </c>
      <c r="F1073">
        <v>29.039404386233919</v>
      </c>
      <c r="G1073">
        <v>24.381177296890481</v>
      </c>
      <c r="H1073">
        <v>20.734459012534124</v>
      </c>
      <c r="I1073">
        <v>0</v>
      </c>
      <c r="J1073" t="s">
        <v>556</v>
      </c>
      <c r="K1073">
        <v>57.485889302155599</v>
      </c>
      <c r="L1073">
        <v>43.000182847239991</v>
      </c>
      <c r="M1073">
        <v>33.061185924337856</v>
      </c>
      <c r="N1073">
        <v>31.184201526616093</v>
      </c>
      <c r="O1073">
        <v>26.181926329136839</v>
      </c>
      <c r="P1073">
        <v>22.265868121549325</v>
      </c>
      <c r="Q1073">
        <v>18.29493514532912</v>
      </c>
    </row>
    <row r="1074" spans="1:17">
      <c r="A1074">
        <v>0</v>
      </c>
      <c r="B1074" t="s">
        <v>555</v>
      </c>
      <c r="C1074">
        <v>0.22614606472002285</v>
      </c>
      <c r="D1074">
        <v>0.17983941865332853</v>
      </c>
      <c r="E1074">
        <v>0.14084400651234708</v>
      </c>
      <c r="F1074">
        <v>0.19454152487378162</v>
      </c>
      <c r="G1074">
        <v>0.17990692836845001</v>
      </c>
      <c r="H1074">
        <v>0.16425185526035979</v>
      </c>
      <c r="I1074">
        <v>0</v>
      </c>
      <c r="J1074" t="s">
        <v>555</v>
      </c>
      <c r="K1074">
        <v>0.22614606472002285</v>
      </c>
      <c r="L1074">
        <v>0.17983941865332853</v>
      </c>
      <c r="M1074">
        <v>0.14084400651234708</v>
      </c>
      <c r="N1074">
        <v>0.19454152487378162</v>
      </c>
      <c r="O1074">
        <v>0.17990692836845001</v>
      </c>
      <c r="P1074">
        <v>0.16425185526035979</v>
      </c>
      <c r="Q1074">
        <v>0</v>
      </c>
    </row>
    <row r="1075" spans="1:17">
      <c r="A1075">
        <v>0</v>
      </c>
      <c r="B1075">
        <v>0</v>
      </c>
      <c r="C1075">
        <v>0</v>
      </c>
      <c r="D1075">
        <v>0</v>
      </c>
      <c r="E1075">
        <v>0</v>
      </c>
      <c r="F1075">
        <v>0</v>
      </c>
      <c r="G1075">
        <v>0</v>
      </c>
      <c r="H1075">
        <v>0</v>
      </c>
      <c r="I1075">
        <v>0</v>
      </c>
      <c r="J1075">
        <v>0</v>
      </c>
      <c r="K1075">
        <v>0</v>
      </c>
      <c r="L1075">
        <v>0</v>
      </c>
      <c r="M1075">
        <v>0</v>
      </c>
      <c r="N1075">
        <v>0</v>
      </c>
      <c r="O1075">
        <v>0</v>
      </c>
      <c r="P1075">
        <v>0</v>
      </c>
      <c r="Q1075">
        <v>0</v>
      </c>
    </row>
    <row r="1076" spans="1:17">
      <c r="A1076">
        <v>0</v>
      </c>
      <c r="B1076" t="s">
        <v>557</v>
      </c>
      <c r="C1076">
        <v>31.280456335732737</v>
      </c>
      <c r="D1076">
        <v>41.71624444528846</v>
      </c>
      <c r="E1076">
        <v>53.310972750970478</v>
      </c>
      <c r="F1076">
        <v>51.921287771596873</v>
      </c>
      <c r="G1076">
        <v>65.635479296086928</v>
      </c>
      <c r="H1076">
        <v>77.103064792457701</v>
      </c>
      <c r="I1076">
        <v>0</v>
      </c>
      <c r="J1076" t="s">
        <v>557</v>
      </c>
      <c r="K1076">
        <v>31.280456335732737</v>
      </c>
      <c r="L1076">
        <v>41.71624444528846</v>
      </c>
      <c r="M1076">
        <v>53.310972750970478</v>
      </c>
      <c r="N1076">
        <v>51.921287771596873</v>
      </c>
      <c r="O1076">
        <v>65.635479296086928</v>
      </c>
      <c r="P1076">
        <v>77.103064792457701</v>
      </c>
      <c r="Q1076">
        <v>92.09019546493181</v>
      </c>
    </row>
    <row r="1077" spans="1:17">
      <c r="A1077">
        <v>0</v>
      </c>
      <c r="B1077" t="s">
        <v>558</v>
      </c>
      <c r="C1077">
        <v>66.68253102232562</v>
      </c>
      <c r="D1077">
        <v>50.001145302896091</v>
      </c>
      <c r="E1077">
        <v>39.126279119752674</v>
      </c>
      <c r="F1077">
        <v>40.173502806320094</v>
      </c>
      <c r="G1077">
        <v>31.779458645994158</v>
      </c>
      <c r="H1077">
        <v>27.052880525756233</v>
      </c>
      <c r="I1077">
        <v>0</v>
      </c>
      <c r="J1077" t="s">
        <v>558</v>
      </c>
      <c r="K1077">
        <v>71.610208494342558</v>
      </c>
      <c r="L1077">
        <v>53.696108788934652</v>
      </c>
      <c r="M1077">
        <v>42.017616344455519</v>
      </c>
      <c r="N1077">
        <v>43.142227324056748</v>
      </c>
      <c r="O1077">
        <v>34.127883638895661</v>
      </c>
      <c r="P1077">
        <v>29.052022847983068</v>
      </c>
      <c r="Q1077">
        <v>24.323979210718452</v>
      </c>
    </row>
    <row r="1078" spans="1:17">
      <c r="A1078">
        <v>0</v>
      </c>
      <c r="B1078" t="s">
        <v>555</v>
      </c>
      <c r="C1078">
        <v>0.23082610928383129</v>
      </c>
      <c r="D1078">
        <v>0.19603611666149412</v>
      </c>
      <c r="E1078">
        <v>0.1631670674222172</v>
      </c>
      <c r="F1078">
        <v>0.21047543315196027</v>
      </c>
      <c r="G1078">
        <v>0.18447175565780105</v>
      </c>
      <c r="H1078">
        <v>0.17702529301920511</v>
      </c>
      <c r="I1078">
        <v>0</v>
      </c>
      <c r="J1078" t="s">
        <v>555</v>
      </c>
      <c r="K1078">
        <v>0.23082610928383129</v>
      </c>
      <c r="L1078">
        <v>0.19603611666149412</v>
      </c>
      <c r="M1078">
        <v>0.1631670674222172</v>
      </c>
      <c r="N1078">
        <v>0.21047543315196027</v>
      </c>
      <c r="O1078">
        <v>0.18447175565780105</v>
      </c>
      <c r="P1078">
        <v>0.17702529301920511</v>
      </c>
      <c r="Q1078">
        <v>0</v>
      </c>
    </row>
    <row r="1079" spans="1:17">
      <c r="A1079">
        <v>0</v>
      </c>
      <c r="B1079" t="s">
        <v>559</v>
      </c>
      <c r="C1079">
        <v>2.8888643156191058</v>
      </c>
      <c r="D1079">
        <v>2.5506088446567068</v>
      </c>
      <c r="E1079">
        <v>2.3979274579047289</v>
      </c>
      <c r="F1079">
        <v>1.9087027024819281</v>
      </c>
      <c r="G1079">
        <v>1.7227276084988161</v>
      </c>
      <c r="H1079">
        <v>1.5281929527901599</v>
      </c>
      <c r="I1079">
        <v>0</v>
      </c>
      <c r="J1079" t="s">
        <v>559</v>
      </c>
      <c r="K1079">
        <v>3.10234438887883</v>
      </c>
      <c r="L1079">
        <v>2.7390926581990271</v>
      </c>
      <c r="M1079">
        <v>2.5751284869102395</v>
      </c>
      <c r="N1079">
        <v>2.0497512074441806</v>
      </c>
      <c r="O1079">
        <v>1.8500330046299116</v>
      </c>
      <c r="P1079">
        <v>1.6411227092182401</v>
      </c>
      <c r="Q1079">
        <v>0</v>
      </c>
    </row>
    <row r="1080" spans="1:17">
      <c r="A1080">
        <v>0</v>
      </c>
      <c r="B1080">
        <v>0</v>
      </c>
      <c r="C1080">
        <v>0</v>
      </c>
      <c r="D1080">
        <v>0</v>
      </c>
      <c r="E1080">
        <v>0</v>
      </c>
      <c r="F1080">
        <v>0</v>
      </c>
      <c r="G1080">
        <v>0</v>
      </c>
      <c r="H1080">
        <v>0</v>
      </c>
      <c r="I1080">
        <v>0</v>
      </c>
      <c r="J1080">
        <v>0</v>
      </c>
      <c r="K1080">
        <v>0</v>
      </c>
      <c r="L1080">
        <v>0</v>
      </c>
      <c r="M1080">
        <v>0</v>
      </c>
      <c r="N1080">
        <v>0</v>
      </c>
      <c r="O1080">
        <v>0</v>
      </c>
      <c r="P1080">
        <v>0</v>
      </c>
      <c r="Q1080">
        <v>0</v>
      </c>
    </row>
    <row r="1081" spans="1:17">
      <c r="A1081">
        <v>0</v>
      </c>
      <c r="B1081" t="s">
        <v>560</v>
      </c>
      <c r="C1081">
        <v>27.657775786151287</v>
      </c>
      <c r="D1081">
        <v>36.110564173010516</v>
      </c>
      <c r="E1081">
        <v>45.673632197348297</v>
      </c>
      <c r="F1081">
        <v>49.451669800166655</v>
      </c>
      <c r="G1081">
        <v>42.646006032399178</v>
      </c>
      <c r="H1081">
        <v>46.925849856228233</v>
      </c>
      <c r="I1081">
        <v>0</v>
      </c>
      <c r="J1081" t="s">
        <v>560</v>
      </c>
      <c r="K1081">
        <v>27.657775786151287</v>
      </c>
      <c r="L1081">
        <v>36.110564173010516</v>
      </c>
      <c r="M1081">
        <v>45.673632197348297</v>
      </c>
      <c r="N1081">
        <v>49.451669800166655</v>
      </c>
      <c r="O1081">
        <v>42.646006032399178</v>
      </c>
      <c r="P1081">
        <v>46.925849856228233</v>
      </c>
      <c r="Q1081">
        <v>89.62189275638876</v>
      </c>
    </row>
    <row r="1082" spans="1:17">
      <c r="A1082">
        <v>0</v>
      </c>
      <c r="B1082" t="s">
        <v>561</v>
      </c>
      <c r="C1082">
        <v>75.416765835683194</v>
      </c>
      <c r="D1082">
        <v>57.763151802513178</v>
      </c>
      <c r="E1082">
        <v>45.66880056719247</v>
      </c>
      <c r="F1082">
        <v>42.179768821334534</v>
      </c>
      <c r="G1082">
        <v>48.911028113988515</v>
      </c>
      <c r="H1082">
        <v>44.450127304900676</v>
      </c>
      <c r="I1082">
        <v>0</v>
      </c>
      <c r="J1082" t="s">
        <v>561</v>
      </c>
      <c r="K1082">
        <v>80.989882097518688</v>
      </c>
      <c r="L1082">
        <v>62.031708761676001</v>
      </c>
      <c r="M1082">
        <v>49.043614274453283</v>
      </c>
      <c r="N1082">
        <v>45.296751536435501</v>
      </c>
      <c r="O1082">
        <v>52.525434581100491</v>
      </c>
      <c r="P1082">
        <v>47.734884010900785</v>
      </c>
      <c r="Q1082">
        <v>24.993893022197078</v>
      </c>
    </row>
    <row r="1083" spans="1:17">
      <c r="A1083">
        <v>0</v>
      </c>
      <c r="B1083">
        <v>0</v>
      </c>
      <c r="C1083">
        <v>0</v>
      </c>
      <c r="D1083">
        <v>0</v>
      </c>
      <c r="E1083">
        <v>0</v>
      </c>
      <c r="F1083">
        <v>0</v>
      </c>
      <c r="G1083">
        <v>0</v>
      </c>
      <c r="H1083">
        <v>0</v>
      </c>
      <c r="I1083">
        <v>0</v>
      </c>
      <c r="J1083">
        <v>0</v>
      </c>
      <c r="K1083">
        <v>0</v>
      </c>
      <c r="L1083">
        <v>0</v>
      </c>
      <c r="M1083">
        <v>0</v>
      </c>
      <c r="N1083">
        <v>0</v>
      </c>
      <c r="O1083">
        <v>0</v>
      </c>
      <c r="P1083">
        <v>0</v>
      </c>
      <c r="Q1083">
        <v>0</v>
      </c>
    </row>
    <row r="1084" spans="1:17">
      <c r="A1084">
        <v>0</v>
      </c>
      <c r="B1084" t="s">
        <v>562</v>
      </c>
      <c r="C1084">
        <v>1769.3429999999998</v>
      </c>
      <c r="D1084">
        <v>2245.3550000000005</v>
      </c>
      <c r="E1084">
        <v>2859.4760000000001</v>
      </c>
      <c r="F1084">
        <v>3028.7510000000002</v>
      </c>
      <c r="G1084">
        <v>3895.0120000000002</v>
      </c>
      <c r="H1084">
        <v>4688.9310000000005</v>
      </c>
      <c r="I1084">
        <v>0</v>
      </c>
      <c r="J1084" t="s">
        <v>562</v>
      </c>
      <c r="K1084">
        <v>1769.3429999999998</v>
      </c>
      <c r="L1084">
        <v>2245.3550000000005</v>
      </c>
      <c r="M1084">
        <v>2859.4760000000001</v>
      </c>
      <c r="N1084">
        <v>3028.7510000000002</v>
      </c>
      <c r="O1084">
        <v>3895.0120000000002</v>
      </c>
      <c r="P1084">
        <v>4688.9310000000005</v>
      </c>
      <c r="Q1084">
        <v>5003.6372208055518</v>
      </c>
    </row>
    <row r="1085" spans="1:17">
      <c r="A1085">
        <v>0</v>
      </c>
      <c r="B1085" t="s">
        <v>563</v>
      </c>
      <c r="C1085">
        <v>57.037794485577116</v>
      </c>
      <c r="D1085">
        <v>44.945864867023005</v>
      </c>
      <c r="E1085">
        <v>35.292977597466965</v>
      </c>
      <c r="F1085">
        <v>33.32047514255693</v>
      </c>
      <c r="G1085">
        <v>25.909913091023714</v>
      </c>
      <c r="H1085">
        <v>21.522906267653426</v>
      </c>
      <c r="I1085">
        <v>0</v>
      </c>
      <c r="J1085" t="s">
        <v>563</v>
      </c>
      <c r="K1085">
        <v>61.250501360665929</v>
      </c>
      <c r="L1085">
        <v>48.265484000964079</v>
      </c>
      <c r="M1085">
        <v>37.89965218417106</v>
      </c>
      <c r="N1085">
        <v>35.781464316143754</v>
      </c>
      <c r="O1085">
        <v>27.823571744832805</v>
      </c>
      <c r="P1085">
        <v>23.112548644666493</v>
      </c>
      <c r="Q1085">
        <v>21.658873544700626</v>
      </c>
    </row>
    <row r="1086" spans="1:17">
      <c r="A1086">
        <v>0</v>
      </c>
      <c r="B1086" t="s">
        <v>555</v>
      </c>
      <c r="C1086">
        <v>0.19623685756103026</v>
      </c>
      <c r="D1086">
        <v>0.20154837886630239</v>
      </c>
      <c r="E1086">
        <v>0.1792226039425604</v>
      </c>
      <c r="F1086">
        <v>0.1821540687156229</v>
      </c>
      <c r="G1086">
        <v>7.9019154892733035E-2</v>
      </c>
      <c r="H1086">
        <v>6.1464643918871742E-2</v>
      </c>
      <c r="I1086">
        <v>0</v>
      </c>
      <c r="J1086">
        <v>0</v>
      </c>
      <c r="K1086">
        <v>0</v>
      </c>
      <c r="L1086">
        <v>0</v>
      </c>
      <c r="M1086">
        <v>0</v>
      </c>
      <c r="N1086">
        <v>0</v>
      </c>
      <c r="O1086">
        <v>0</v>
      </c>
      <c r="P1086">
        <v>0</v>
      </c>
      <c r="Q1086">
        <v>0</v>
      </c>
    </row>
    <row r="1087" spans="1:17">
      <c r="A1087">
        <v>0</v>
      </c>
      <c r="B1087" t="s">
        <v>564</v>
      </c>
      <c r="C1087">
        <v>1.7532234705408628E-2</v>
      </c>
      <c r="D1087">
        <v>2.2248987820316809E-2</v>
      </c>
      <c r="E1087">
        <v>2.8334248569374651E-2</v>
      </c>
      <c r="F1087">
        <v>3.0011576837414282E-2</v>
      </c>
      <c r="G1087">
        <v>3.8595266471443401E-2</v>
      </c>
      <c r="H1087">
        <v>4.646212679478564E-2</v>
      </c>
      <c r="I1087">
        <v>0</v>
      </c>
      <c r="J1087" t="s">
        <v>564</v>
      </c>
      <c r="K1087">
        <v>1.632639697284476E-2</v>
      </c>
      <c r="L1087">
        <v>2.0718739710142046E-2</v>
      </c>
      <c r="M1087">
        <v>2.638546641907321E-2</v>
      </c>
      <c r="N1087">
        <v>2.7947430858742791E-2</v>
      </c>
      <c r="O1087">
        <v>3.5940748699372603E-2</v>
      </c>
      <c r="P1087">
        <v>4.3266539548452713E-2</v>
      </c>
      <c r="Q1087">
        <v>4.6170452860170769E-2</v>
      </c>
    </row>
    <row r="1088" spans="1:17">
      <c r="A1088">
        <v>0</v>
      </c>
      <c r="B1088">
        <v>0</v>
      </c>
      <c r="C1088">
        <v>0</v>
      </c>
      <c r="D1088">
        <v>0</v>
      </c>
      <c r="E1088">
        <v>0</v>
      </c>
      <c r="F1088">
        <v>0</v>
      </c>
      <c r="G1088">
        <v>0</v>
      </c>
      <c r="H1088">
        <v>0</v>
      </c>
      <c r="I1088">
        <v>0</v>
      </c>
      <c r="J1088">
        <v>0</v>
      </c>
      <c r="K1088">
        <v>0</v>
      </c>
      <c r="L1088">
        <v>0</v>
      </c>
      <c r="M1088">
        <v>0</v>
      </c>
      <c r="N1088">
        <v>0</v>
      </c>
      <c r="O1088">
        <v>0</v>
      </c>
      <c r="P1088">
        <v>0</v>
      </c>
      <c r="Q1088">
        <v>0</v>
      </c>
    </row>
    <row r="1089" spans="1:17">
      <c r="A1089">
        <v>0</v>
      </c>
      <c r="B1089">
        <v>0</v>
      </c>
      <c r="C1089">
        <v>0</v>
      </c>
      <c r="D1089">
        <v>0</v>
      </c>
      <c r="E1089">
        <v>0</v>
      </c>
      <c r="F1089">
        <v>0</v>
      </c>
      <c r="G1089">
        <v>0</v>
      </c>
      <c r="H1089">
        <v>0</v>
      </c>
      <c r="I1089">
        <v>0</v>
      </c>
      <c r="J1089">
        <v>0</v>
      </c>
      <c r="K1089">
        <v>0</v>
      </c>
      <c r="L1089">
        <v>0</v>
      </c>
      <c r="M1089">
        <v>0</v>
      </c>
      <c r="N1089">
        <v>0</v>
      </c>
      <c r="O1089">
        <v>0</v>
      </c>
      <c r="P1089">
        <v>0</v>
      </c>
      <c r="Q1089">
        <v>0</v>
      </c>
    </row>
    <row r="1090" spans="1:17">
      <c r="A1090">
        <v>0</v>
      </c>
      <c r="B1090">
        <v>0</v>
      </c>
      <c r="C1090">
        <v>0</v>
      </c>
      <c r="D1090">
        <v>0</v>
      </c>
      <c r="E1090">
        <v>0</v>
      </c>
      <c r="F1090">
        <v>0</v>
      </c>
      <c r="G1090">
        <v>0</v>
      </c>
      <c r="H1090">
        <v>0</v>
      </c>
      <c r="I1090">
        <v>0</v>
      </c>
      <c r="J1090">
        <v>0</v>
      </c>
      <c r="K1090">
        <v>0</v>
      </c>
      <c r="L1090">
        <v>0</v>
      </c>
      <c r="M1090">
        <v>0</v>
      </c>
      <c r="N1090">
        <v>0</v>
      </c>
      <c r="O1090">
        <v>0</v>
      </c>
      <c r="P1090">
        <v>0</v>
      </c>
      <c r="Q1090">
        <v>0</v>
      </c>
    </row>
    <row r="1091" spans="1:17">
      <c r="A1091">
        <v>0</v>
      </c>
      <c r="B1091" t="s">
        <v>687</v>
      </c>
      <c r="C1091">
        <v>0</v>
      </c>
      <c r="D1091">
        <v>0</v>
      </c>
      <c r="E1091">
        <v>0</v>
      </c>
      <c r="F1091">
        <v>0</v>
      </c>
      <c r="G1091">
        <v>0</v>
      </c>
      <c r="H1091">
        <v>0</v>
      </c>
      <c r="I1091">
        <v>0</v>
      </c>
      <c r="J1091">
        <v>0</v>
      </c>
      <c r="K1091">
        <v>0</v>
      </c>
      <c r="L1091">
        <v>0</v>
      </c>
      <c r="M1091">
        <v>0</v>
      </c>
      <c r="N1091">
        <v>0</v>
      </c>
      <c r="O1091">
        <v>0</v>
      </c>
      <c r="P1091">
        <v>0</v>
      </c>
      <c r="Q1091">
        <v>0</v>
      </c>
    </row>
    <row r="1092" spans="1:17">
      <c r="A1092">
        <v>0</v>
      </c>
      <c r="B1092">
        <v>0</v>
      </c>
      <c r="C1092">
        <v>0</v>
      </c>
      <c r="D1092">
        <v>0</v>
      </c>
      <c r="E1092">
        <v>0</v>
      </c>
      <c r="F1092">
        <v>0</v>
      </c>
      <c r="G1092">
        <v>0</v>
      </c>
      <c r="H1092">
        <v>0</v>
      </c>
      <c r="I1092">
        <v>0</v>
      </c>
      <c r="J1092">
        <v>0</v>
      </c>
      <c r="K1092">
        <v>0</v>
      </c>
      <c r="L1092">
        <v>0</v>
      </c>
      <c r="M1092">
        <v>0</v>
      </c>
      <c r="N1092">
        <v>0</v>
      </c>
      <c r="O1092">
        <v>0</v>
      </c>
      <c r="P1092">
        <v>0</v>
      </c>
      <c r="Q1092">
        <v>0</v>
      </c>
    </row>
    <row r="1093" spans="1:17">
      <c r="A1093">
        <v>0</v>
      </c>
      <c r="B1093" t="s">
        <v>768</v>
      </c>
      <c r="C1093" t="s">
        <v>8</v>
      </c>
      <c r="D1093" t="s">
        <v>19</v>
      </c>
      <c r="E1093" t="s">
        <v>20</v>
      </c>
      <c r="F1093">
        <v>0</v>
      </c>
      <c r="G1093">
        <v>0</v>
      </c>
      <c r="H1093">
        <v>0</v>
      </c>
      <c r="I1093">
        <v>0</v>
      </c>
      <c r="J1093">
        <v>0</v>
      </c>
      <c r="K1093">
        <v>0</v>
      </c>
      <c r="L1093">
        <v>0</v>
      </c>
      <c r="M1093">
        <v>0</v>
      </c>
      <c r="N1093">
        <v>0</v>
      </c>
      <c r="O1093">
        <v>0</v>
      </c>
      <c r="P1093">
        <v>0</v>
      </c>
      <c r="Q1093">
        <v>0</v>
      </c>
    </row>
    <row r="1094" spans="1:17">
      <c r="A1094">
        <v>0</v>
      </c>
      <c r="B1094" t="s">
        <v>2</v>
      </c>
      <c r="C1094">
        <v>58.326132619043015</v>
      </c>
      <c r="D1094">
        <v>71.373679493675908</v>
      </c>
      <c r="E1094">
        <v>83.896317734527656</v>
      </c>
      <c r="F1094">
        <v>0</v>
      </c>
      <c r="G1094">
        <v>0</v>
      </c>
      <c r="H1094">
        <v>0</v>
      </c>
      <c r="I1094">
        <v>0</v>
      </c>
      <c r="J1094">
        <v>0</v>
      </c>
      <c r="K1094">
        <v>0</v>
      </c>
      <c r="L1094">
        <v>0</v>
      </c>
      <c r="M1094">
        <v>0</v>
      </c>
      <c r="N1094">
        <v>0</v>
      </c>
      <c r="O1094">
        <v>0</v>
      </c>
      <c r="P1094">
        <v>0</v>
      </c>
      <c r="Q1094">
        <v>0</v>
      </c>
    </row>
    <row r="1098" spans="1:17">
      <c r="A1098">
        <v>0</v>
      </c>
      <c r="B1098">
        <v>0</v>
      </c>
      <c r="C1098">
        <v>0</v>
      </c>
      <c r="D1098">
        <v>0</v>
      </c>
      <c r="E1098">
        <v>0</v>
      </c>
      <c r="F1098">
        <v>0</v>
      </c>
      <c r="G1098">
        <v>0</v>
      </c>
      <c r="H1098">
        <v>0</v>
      </c>
      <c r="I1098">
        <v>0</v>
      </c>
      <c r="J1098">
        <v>0</v>
      </c>
      <c r="K1098">
        <v>0</v>
      </c>
      <c r="L1098">
        <v>0</v>
      </c>
      <c r="M1098">
        <v>0</v>
      </c>
      <c r="N1098">
        <v>0</v>
      </c>
      <c r="O1098">
        <v>0</v>
      </c>
      <c r="P1098">
        <v>0</v>
      </c>
      <c r="Q1098">
        <v>0</v>
      </c>
    </row>
    <row r="1099" spans="1:17">
      <c r="A1099">
        <v>0</v>
      </c>
      <c r="B1099" t="s">
        <v>595</v>
      </c>
      <c r="C1099">
        <v>38.405031147275231</v>
      </c>
      <c r="D1099">
        <v>31.384355631166951</v>
      </c>
      <c r="E1099">
        <v>26.699824264308209</v>
      </c>
      <c r="F1099">
        <v>0</v>
      </c>
      <c r="G1099">
        <v>0</v>
      </c>
      <c r="H1099">
        <v>0</v>
      </c>
      <c r="I1099">
        <v>0</v>
      </c>
      <c r="J1099">
        <v>0</v>
      </c>
      <c r="K1099">
        <v>0</v>
      </c>
      <c r="L1099">
        <v>0</v>
      </c>
      <c r="M1099">
        <v>0</v>
      </c>
      <c r="N1099">
        <v>0</v>
      </c>
      <c r="O1099">
        <v>0</v>
      </c>
      <c r="P1099">
        <v>0</v>
      </c>
      <c r="Q1099">
        <v>0</v>
      </c>
    </row>
    <row r="1100" spans="1:17">
      <c r="A1100">
        <v>0</v>
      </c>
      <c r="B1100">
        <v>0</v>
      </c>
      <c r="C1100">
        <v>0</v>
      </c>
      <c r="D1100">
        <v>0</v>
      </c>
      <c r="E1100">
        <v>0</v>
      </c>
      <c r="F1100">
        <v>0</v>
      </c>
      <c r="G1100">
        <v>0</v>
      </c>
      <c r="H1100">
        <v>0</v>
      </c>
      <c r="I1100">
        <v>0</v>
      </c>
      <c r="J1100">
        <v>0</v>
      </c>
      <c r="K1100">
        <v>0</v>
      </c>
      <c r="L1100">
        <v>0</v>
      </c>
      <c r="M1100">
        <v>0</v>
      </c>
      <c r="N1100">
        <v>0</v>
      </c>
      <c r="O1100">
        <v>0</v>
      </c>
      <c r="P1100">
        <v>0</v>
      </c>
      <c r="Q1100">
        <v>0</v>
      </c>
    </row>
    <row r="1101" spans="1:17">
      <c r="A1101">
        <v>0</v>
      </c>
      <c r="B1101" t="s">
        <v>670</v>
      </c>
      <c r="C1101">
        <v>2240.0169399344527</v>
      </c>
      <c r="D1101">
        <v>2240.0169399344527</v>
      </c>
      <c r="E1101">
        <v>2240.0169399344527</v>
      </c>
      <c r="F1101">
        <v>0</v>
      </c>
      <c r="G1101">
        <v>0</v>
      </c>
      <c r="H1101">
        <v>0</v>
      </c>
      <c r="I1101">
        <v>0</v>
      </c>
      <c r="J1101">
        <v>0</v>
      </c>
      <c r="K1101">
        <v>0</v>
      </c>
      <c r="L1101">
        <v>0</v>
      </c>
      <c r="M1101">
        <v>0</v>
      </c>
      <c r="N1101">
        <v>0</v>
      </c>
      <c r="O1101">
        <v>0</v>
      </c>
      <c r="P1101">
        <v>0</v>
      </c>
      <c r="Q1101">
        <v>0</v>
      </c>
    </row>
    <row r="1102" spans="1:17">
      <c r="A1102">
        <v>0</v>
      </c>
      <c r="B1102">
        <v>0</v>
      </c>
      <c r="C1102">
        <v>0</v>
      </c>
      <c r="D1102">
        <v>0</v>
      </c>
      <c r="E1102">
        <v>0</v>
      </c>
      <c r="F1102">
        <v>0</v>
      </c>
      <c r="G1102">
        <v>0</v>
      </c>
      <c r="H1102">
        <v>0</v>
      </c>
      <c r="I1102">
        <v>0</v>
      </c>
      <c r="J1102">
        <v>0</v>
      </c>
      <c r="K1102">
        <v>0</v>
      </c>
      <c r="L1102">
        <v>0</v>
      </c>
      <c r="M1102">
        <v>0</v>
      </c>
      <c r="N1102">
        <v>0</v>
      </c>
      <c r="O1102">
        <v>0</v>
      </c>
      <c r="P1102">
        <v>0</v>
      </c>
      <c r="Q1102">
        <v>0</v>
      </c>
    </row>
    <row r="1105" spans="1:17">
      <c r="A1105">
        <v>0</v>
      </c>
      <c r="B1105" t="s">
        <v>533</v>
      </c>
      <c r="C1105">
        <v>2085.86</v>
      </c>
      <c r="D1105">
        <v>2085.86</v>
      </c>
      <c r="E1105">
        <v>2085.86</v>
      </c>
      <c r="F1105">
        <v>0</v>
      </c>
      <c r="G1105">
        <v>0</v>
      </c>
      <c r="H1105">
        <v>0</v>
      </c>
      <c r="I1105">
        <v>0</v>
      </c>
      <c r="J1105">
        <v>0</v>
      </c>
      <c r="K1105">
        <v>0</v>
      </c>
      <c r="L1105">
        <v>0</v>
      </c>
      <c r="M1105">
        <v>0</v>
      </c>
      <c r="N1105">
        <v>0</v>
      </c>
      <c r="O1105">
        <v>0</v>
      </c>
      <c r="P1105">
        <v>0</v>
      </c>
      <c r="Q1105">
        <v>0</v>
      </c>
    </row>
    <row r="1106" spans="1:17">
      <c r="A1106">
        <v>0</v>
      </c>
      <c r="B1106">
        <v>0</v>
      </c>
      <c r="C1106">
        <v>0</v>
      </c>
      <c r="D1106">
        <v>0</v>
      </c>
      <c r="E1106">
        <v>0</v>
      </c>
      <c r="F1106">
        <v>0</v>
      </c>
      <c r="G1106">
        <v>0</v>
      </c>
      <c r="H1106">
        <v>0</v>
      </c>
      <c r="I1106">
        <v>0</v>
      </c>
      <c r="J1106">
        <v>0</v>
      </c>
      <c r="K1106">
        <v>0</v>
      </c>
      <c r="L1106">
        <v>0</v>
      </c>
      <c r="M1106">
        <v>0</v>
      </c>
      <c r="N1106">
        <v>0</v>
      </c>
      <c r="O1106">
        <v>0</v>
      </c>
      <c r="P1106">
        <v>0</v>
      </c>
      <c r="Q1106">
        <v>0</v>
      </c>
    </row>
    <row r="1107" spans="1:17">
      <c r="A1107">
        <v>0</v>
      </c>
      <c r="B1107" t="s">
        <v>340</v>
      </c>
      <c r="C1107">
        <v>7.3905698337593417E-2</v>
      </c>
      <c r="D1107">
        <v>7.3905698337593417E-2</v>
      </c>
      <c r="E1107">
        <v>7.3905698337593417E-2</v>
      </c>
      <c r="F1107">
        <v>0</v>
      </c>
      <c r="G1107">
        <v>0</v>
      </c>
      <c r="H1107">
        <v>0</v>
      </c>
      <c r="I1107">
        <v>0</v>
      </c>
      <c r="J1107">
        <v>0</v>
      </c>
      <c r="K1107">
        <v>0</v>
      </c>
      <c r="L1107">
        <v>0</v>
      </c>
      <c r="M1107">
        <v>0</v>
      </c>
      <c r="N1107">
        <v>0</v>
      </c>
      <c r="O1107">
        <v>0</v>
      </c>
      <c r="P1107">
        <v>0</v>
      </c>
      <c r="Q1107">
        <v>0</v>
      </c>
    </row>
    <row r="1108" spans="1:17">
      <c r="A1108">
        <v>0</v>
      </c>
      <c r="B1108">
        <v>0</v>
      </c>
      <c r="C1108">
        <v>0</v>
      </c>
      <c r="D1108">
        <v>0</v>
      </c>
      <c r="E1108">
        <v>0</v>
      </c>
      <c r="F1108">
        <v>0</v>
      </c>
      <c r="G1108">
        <v>0</v>
      </c>
      <c r="H1108">
        <v>0</v>
      </c>
      <c r="I1108">
        <v>0</v>
      </c>
      <c r="J1108">
        <v>0</v>
      </c>
      <c r="K1108">
        <v>0</v>
      </c>
      <c r="L1108">
        <v>0</v>
      </c>
      <c r="M1108">
        <v>0</v>
      </c>
      <c r="N1108">
        <v>0</v>
      </c>
      <c r="O1108">
        <v>0</v>
      </c>
      <c r="P1108">
        <v>0</v>
      </c>
      <c r="Q1108">
        <v>0</v>
      </c>
    </row>
    <row r="1109" spans="1:17">
      <c r="A1109">
        <v>0</v>
      </c>
      <c r="B1109">
        <v>0</v>
      </c>
      <c r="C1109">
        <v>0</v>
      </c>
      <c r="D1109">
        <v>0</v>
      </c>
      <c r="E1109">
        <v>0</v>
      </c>
      <c r="F1109">
        <v>0</v>
      </c>
      <c r="G1109">
        <v>0</v>
      </c>
      <c r="H1109">
        <v>0</v>
      </c>
      <c r="I1109">
        <v>0</v>
      </c>
      <c r="J1109">
        <v>0</v>
      </c>
      <c r="K1109">
        <v>0</v>
      </c>
      <c r="L1109">
        <v>0</v>
      </c>
      <c r="M1109">
        <v>0</v>
      </c>
      <c r="N1109">
        <v>0</v>
      </c>
      <c r="O1109">
        <v>0</v>
      </c>
      <c r="P1109">
        <v>0</v>
      </c>
      <c r="Q1109">
        <v>0</v>
      </c>
    </row>
    <row r="1110" spans="1:17">
      <c r="A1110">
        <v>0</v>
      </c>
      <c r="B1110" t="s">
        <v>123</v>
      </c>
      <c r="C1110">
        <v>58.365309386622471</v>
      </c>
      <c r="D1110">
        <v>77.399465458483604</v>
      </c>
      <c r="E1110">
        <v>93.956197212732064</v>
      </c>
      <c r="F1110">
        <v>0</v>
      </c>
      <c r="G1110">
        <v>0</v>
      </c>
      <c r="H1110">
        <v>0</v>
      </c>
      <c r="I1110">
        <v>0</v>
      </c>
      <c r="J1110">
        <v>0</v>
      </c>
      <c r="K1110">
        <v>0</v>
      </c>
      <c r="L1110">
        <v>0</v>
      </c>
      <c r="M1110">
        <v>0</v>
      </c>
      <c r="N1110">
        <v>0</v>
      </c>
      <c r="O1110">
        <v>0</v>
      </c>
      <c r="P1110">
        <v>0</v>
      </c>
      <c r="Q1110">
        <v>0</v>
      </c>
    </row>
    <row r="1111" spans="1:17">
      <c r="A1111">
        <v>0</v>
      </c>
      <c r="B1111" t="s">
        <v>341</v>
      </c>
      <c r="C1111">
        <v>0.81360013947042631</v>
      </c>
      <c r="D1111">
        <v>0.88748724312222305</v>
      </c>
      <c r="E1111">
        <v>0.91435280068297675</v>
      </c>
      <c r="F1111">
        <v>0</v>
      </c>
      <c r="G1111">
        <v>0</v>
      </c>
      <c r="H1111">
        <v>0</v>
      </c>
      <c r="I1111">
        <v>0</v>
      </c>
      <c r="J1111">
        <v>0</v>
      </c>
      <c r="K1111">
        <v>0</v>
      </c>
      <c r="L1111">
        <v>0</v>
      </c>
      <c r="M1111">
        <v>0</v>
      </c>
      <c r="N1111">
        <v>0</v>
      </c>
      <c r="O1111">
        <v>0</v>
      </c>
      <c r="P1111">
        <v>0</v>
      </c>
      <c r="Q1111">
        <v>0</v>
      </c>
    </row>
    <row r="1112" spans="1:17">
      <c r="A1112">
        <v>0</v>
      </c>
      <c r="B1112" t="s">
        <v>124</v>
      </c>
      <c r="C1112">
        <v>2.7981412648318903E-2</v>
      </c>
      <c r="D1112">
        <v>3.7106740365357022E-2</v>
      </c>
      <c r="E1112">
        <v>4.5044344880640151E-2</v>
      </c>
      <c r="F1112">
        <v>0</v>
      </c>
      <c r="G1112">
        <v>0</v>
      </c>
      <c r="H1112">
        <v>0</v>
      </c>
      <c r="I1112">
        <v>0</v>
      </c>
      <c r="J1112">
        <v>0</v>
      </c>
      <c r="K1112">
        <v>0</v>
      </c>
      <c r="L1112">
        <v>0</v>
      </c>
      <c r="M1112">
        <v>0</v>
      </c>
      <c r="N1112">
        <v>0</v>
      </c>
      <c r="O1112">
        <v>0</v>
      </c>
      <c r="P1112">
        <v>0</v>
      </c>
      <c r="Q1112">
        <v>0</v>
      </c>
    </row>
    <row r="1113" spans="1:17">
      <c r="A1113">
        <v>0</v>
      </c>
      <c r="B1113">
        <v>0</v>
      </c>
      <c r="C1113">
        <v>0</v>
      </c>
      <c r="D1113">
        <v>0</v>
      </c>
      <c r="E1113">
        <v>0</v>
      </c>
      <c r="F1113">
        <v>0</v>
      </c>
      <c r="G1113">
        <v>0</v>
      </c>
      <c r="H1113">
        <v>0</v>
      </c>
      <c r="I1113">
        <v>0</v>
      </c>
      <c r="J1113">
        <v>0</v>
      </c>
      <c r="K1113">
        <v>0</v>
      </c>
      <c r="L1113">
        <v>0</v>
      </c>
      <c r="M1113">
        <v>0</v>
      </c>
      <c r="N1113">
        <v>0</v>
      </c>
      <c r="O1113">
        <v>0</v>
      </c>
      <c r="P1113">
        <v>0</v>
      </c>
      <c r="Q1113">
        <v>0</v>
      </c>
    </row>
    <row r="1114" spans="1:17">
      <c r="A1114">
        <v>0</v>
      </c>
      <c r="B1114">
        <v>0</v>
      </c>
      <c r="C1114">
        <v>0</v>
      </c>
      <c r="D1114">
        <v>0</v>
      </c>
      <c r="E1114">
        <v>0</v>
      </c>
      <c r="F1114">
        <v>0</v>
      </c>
      <c r="G1114">
        <v>0</v>
      </c>
      <c r="H1114">
        <v>0</v>
      </c>
      <c r="I1114">
        <v>0</v>
      </c>
      <c r="J1114">
        <v>0</v>
      </c>
      <c r="K1114">
        <v>0</v>
      </c>
      <c r="L1114">
        <v>0</v>
      </c>
      <c r="M1114">
        <v>0</v>
      </c>
      <c r="N1114">
        <v>0</v>
      </c>
      <c r="O1114">
        <v>0</v>
      </c>
      <c r="P1114">
        <v>0</v>
      </c>
      <c r="Q1114">
        <v>0</v>
      </c>
    </row>
    <row r="1115" spans="1:17">
      <c r="A1115">
        <v>0</v>
      </c>
      <c r="B1115">
        <v>0</v>
      </c>
      <c r="C1115">
        <v>0</v>
      </c>
      <c r="D1115">
        <v>0</v>
      </c>
      <c r="E1115">
        <v>0</v>
      </c>
      <c r="F1115">
        <v>0</v>
      </c>
      <c r="G1115">
        <v>0</v>
      </c>
      <c r="H1115">
        <v>0</v>
      </c>
      <c r="I1115">
        <v>0</v>
      </c>
      <c r="J1115">
        <v>0</v>
      </c>
      <c r="K1115">
        <v>0</v>
      </c>
      <c r="L1115">
        <v>0</v>
      </c>
      <c r="M1115">
        <v>0</v>
      </c>
      <c r="N1115">
        <v>0</v>
      </c>
      <c r="O1115">
        <v>0</v>
      </c>
      <c r="P1115">
        <v>0</v>
      </c>
      <c r="Q1115">
        <v>0</v>
      </c>
    </row>
    <row r="1116" spans="1:17">
      <c r="A1116">
        <v>0</v>
      </c>
      <c r="B1116" t="s">
        <v>342</v>
      </c>
      <c r="C1116">
        <v>0</v>
      </c>
      <c r="D1116">
        <v>0</v>
      </c>
      <c r="E1116">
        <v>0</v>
      </c>
      <c r="F1116">
        <v>0</v>
      </c>
      <c r="G1116">
        <v>0</v>
      </c>
      <c r="H1116">
        <v>0</v>
      </c>
      <c r="I1116">
        <v>0</v>
      </c>
      <c r="J1116">
        <v>0</v>
      </c>
      <c r="K1116">
        <v>0</v>
      </c>
      <c r="L1116">
        <v>0</v>
      </c>
      <c r="M1116">
        <v>0</v>
      </c>
      <c r="N1116">
        <v>0</v>
      </c>
      <c r="O1116">
        <v>0</v>
      </c>
      <c r="P1116">
        <v>0</v>
      </c>
      <c r="Q1116">
        <v>0</v>
      </c>
    </row>
    <row r="1117" spans="1:17">
      <c r="A1117">
        <v>0</v>
      </c>
      <c r="B1117">
        <v>0</v>
      </c>
      <c r="C1117">
        <v>0</v>
      </c>
      <c r="D1117">
        <v>0</v>
      </c>
      <c r="E1117">
        <v>0</v>
      </c>
      <c r="F1117">
        <v>0</v>
      </c>
      <c r="G1117">
        <v>0</v>
      </c>
      <c r="H1117">
        <v>0</v>
      </c>
      <c r="I1117">
        <v>0</v>
      </c>
      <c r="J1117">
        <v>0</v>
      </c>
      <c r="K1117">
        <v>0</v>
      </c>
      <c r="L1117">
        <v>0</v>
      </c>
      <c r="M1117">
        <v>0</v>
      </c>
      <c r="N1117">
        <v>0</v>
      </c>
      <c r="O1117">
        <v>0</v>
      </c>
      <c r="P1117">
        <v>0</v>
      </c>
      <c r="Q1117">
        <v>0</v>
      </c>
    </row>
    <row r="1118" spans="1:17">
      <c r="A1118">
        <v>0</v>
      </c>
      <c r="B1118" t="s">
        <v>763</v>
      </c>
      <c r="C1118">
        <v>2085.86</v>
      </c>
      <c r="D1118">
        <v>0</v>
      </c>
      <c r="E1118">
        <v>0</v>
      </c>
      <c r="F1118">
        <v>0</v>
      </c>
      <c r="G1118">
        <v>0</v>
      </c>
      <c r="H1118">
        <v>0</v>
      </c>
      <c r="I1118">
        <v>0</v>
      </c>
      <c r="J1118">
        <v>0</v>
      </c>
      <c r="K1118">
        <v>0</v>
      </c>
      <c r="L1118">
        <v>0</v>
      </c>
      <c r="M1118">
        <v>0</v>
      </c>
      <c r="N1118">
        <v>0</v>
      </c>
      <c r="O1118">
        <v>0</v>
      </c>
      <c r="P1118">
        <v>0</v>
      </c>
      <c r="Q1118">
        <v>0</v>
      </c>
    </row>
    <row r="1119" spans="1:17">
      <c r="A1119">
        <v>0</v>
      </c>
      <c r="B1119">
        <v>0</v>
      </c>
      <c r="C1119">
        <v>0</v>
      </c>
      <c r="D1119">
        <v>0</v>
      </c>
      <c r="E1119">
        <v>0</v>
      </c>
      <c r="F1119">
        <v>0</v>
      </c>
      <c r="G1119">
        <v>0</v>
      </c>
      <c r="H1119">
        <v>0</v>
      </c>
      <c r="I1119">
        <v>0</v>
      </c>
      <c r="J1119">
        <v>0</v>
      </c>
      <c r="K1119">
        <v>0</v>
      </c>
      <c r="L1119">
        <v>0</v>
      </c>
      <c r="M1119">
        <v>0</v>
      </c>
      <c r="N1119">
        <v>0</v>
      </c>
      <c r="O1119">
        <v>0</v>
      </c>
      <c r="P1119">
        <v>0</v>
      </c>
      <c r="Q1119">
        <v>0</v>
      </c>
    </row>
    <row r="1120" spans="1:17">
      <c r="A1120">
        <v>0</v>
      </c>
      <c r="B1120">
        <v>0</v>
      </c>
      <c r="C1120">
        <v>2010</v>
      </c>
      <c r="D1120">
        <v>2011</v>
      </c>
      <c r="E1120">
        <v>2012</v>
      </c>
      <c r="F1120">
        <v>2013</v>
      </c>
      <c r="G1120">
        <v>2014</v>
      </c>
      <c r="H1120">
        <v>2015</v>
      </c>
      <c r="I1120">
        <v>2016</v>
      </c>
      <c r="J1120" t="s">
        <v>520</v>
      </c>
      <c r="K1120">
        <v>0</v>
      </c>
      <c r="L1120">
        <v>0</v>
      </c>
      <c r="M1120">
        <v>0</v>
      </c>
      <c r="N1120">
        <v>0</v>
      </c>
      <c r="O1120">
        <v>0</v>
      </c>
      <c r="P1120">
        <v>0</v>
      </c>
      <c r="Q1120">
        <v>0</v>
      </c>
    </row>
    <row r="1121" spans="1:17">
      <c r="A1121">
        <v>0</v>
      </c>
      <c r="B1121" t="s">
        <v>123</v>
      </c>
      <c r="C1121">
        <v>14.254785793605953</v>
      </c>
      <c r="D1121">
        <v>25.661875387957796</v>
      </c>
      <c r="E1121">
        <v>34.328844997186707</v>
      </c>
      <c r="F1121">
        <v>42.640339549546134</v>
      </c>
      <c r="G1121">
        <v>53.62556495320969</v>
      </c>
      <c r="H1121">
        <v>58.365309386622471</v>
      </c>
      <c r="I1121">
        <v>77.399465458483604</v>
      </c>
      <c r="J1121">
        <v>0</v>
      </c>
      <c r="K1121">
        <v>0</v>
      </c>
      <c r="L1121">
        <v>0</v>
      </c>
      <c r="M1121">
        <v>0</v>
      </c>
      <c r="N1121">
        <v>0</v>
      </c>
      <c r="O1121">
        <v>0</v>
      </c>
      <c r="P1121">
        <v>0</v>
      </c>
      <c r="Q1121">
        <v>0</v>
      </c>
    </row>
    <row r="1122" spans="1:17">
      <c r="A1122">
        <v>0</v>
      </c>
      <c r="B1122" t="s">
        <v>343</v>
      </c>
      <c r="C1122">
        <v>23.101463110522314</v>
      </c>
      <c r="D1122">
        <v>40.399266759776538</v>
      </c>
      <c r="E1122">
        <v>72.29582274305892</v>
      </c>
      <c r="F1122">
        <v>92.107618975274406</v>
      </c>
      <c r="G1122">
        <v>7.5680850664816202</v>
      </c>
      <c r="H1122">
        <v>-67.637870232979395</v>
      </c>
      <c r="I1122">
        <v>-56.968195773346444</v>
      </c>
      <c r="J1122" t="s">
        <v>344</v>
      </c>
      <c r="K1122">
        <v>0</v>
      </c>
      <c r="L1122">
        <v>0</v>
      </c>
      <c r="M1122">
        <v>0</v>
      </c>
      <c r="N1122">
        <v>0</v>
      </c>
      <c r="O1122">
        <v>0</v>
      </c>
      <c r="P1122">
        <v>0</v>
      </c>
      <c r="Q1122">
        <v>0</v>
      </c>
    </row>
    <row r="1123" spans="1:17">
      <c r="A1123">
        <v>0</v>
      </c>
      <c r="B1123">
        <v>0</v>
      </c>
      <c r="C1123">
        <v>0</v>
      </c>
      <c r="D1123">
        <v>0</v>
      </c>
      <c r="E1123">
        <v>0</v>
      </c>
      <c r="F1123">
        <v>0</v>
      </c>
      <c r="G1123">
        <v>0</v>
      </c>
      <c r="H1123">
        <v>0</v>
      </c>
      <c r="I1123">
        <v>0</v>
      </c>
      <c r="J1123">
        <v>0</v>
      </c>
      <c r="K1123">
        <v>0</v>
      </c>
      <c r="L1123">
        <v>0</v>
      </c>
      <c r="M1123">
        <v>0</v>
      </c>
      <c r="N1123">
        <v>0</v>
      </c>
      <c r="O1123">
        <v>0</v>
      </c>
      <c r="P1123">
        <v>0</v>
      </c>
      <c r="Q1123">
        <v>0</v>
      </c>
    </row>
    <row r="1124" spans="1:17">
      <c r="A1124">
        <v>0</v>
      </c>
      <c r="B1124" t="s">
        <v>345</v>
      </c>
      <c r="C1124">
        <v>376.44853688947768</v>
      </c>
      <c r="D1124">
        <v>427.31073324022344</v>
      </c>
      <c r="E1124">
        <v>548.09417725694107</v>
      </c>
      <c r="F1124">
        <v>1070.2923810247257</v>
      </c>
      <c r="G1124">
        <v>1273.9319149335183</v>
      </c>
      <c r="H1124">
        <v>2153.4978702329795</v>
      </c>
      <c r="I1124">
        <v>2142.8281957733466</v>
      </c>
      <c r="J1124" t="s">
        <v>772</v>
      </c>
      <c r="K1124">
        <v>0</v>
      </c>
      <c r="L1124">
        <v>0</v>
      </c>
      <c r="M1124">
        <v>0</v>
      </c>
      <c r="N1124">
        <v>0</v>
      </c>
      <c r="O1124">
        <v>0</v>
      </c>
      <c r="P1124">
        <v>0</v>
      </c>
      <c r="Q1124">
        <v>0</v>
      </c>
    </row>
    <row r="1125" spans="1:17">
      <c r="A1125">
        <v>0</v>
      </c>
      <c r="B1125">
        <v>0</v>
      </c>
      <c r="C1125">
        <v>0</v>
      </c>
      <c r="D1125">
        <v>0</v>
      </c>
      <c r="E1125">
        <v>0</v>
      </c>
      <c r="F1125">
        <v>0</v>
      </c>
      <c r="G1125">
        <v>0</v>
      </c>
      <c r="H1125">
        <v>0</v>
      </c>
      <c r="I1125">
        <v>0</v>
      </c>
      <c r="J1125">
        <v>0</v>
      </c>
      <c r="K1125">
        <v>0</v>
      </c>
      <c r="L1125">
        <v>0</v>
      </c>
      <c r="M1125">
        <v>0</v>
      </c>
      <c r="N1125">
        <v>0</v>
      </c>
      <c r="O1125">
        <v>0</v>
      </c>
      <c r="P1125">
        <v>0</v>
      </c>
      <c r="Q1125">
        <v>0</v>
      </c>
    </row>
    <row r="1126" spans="1:17">
      <c r="A1126">
        <v>0</v>
      </c>
      <c r="B1126" t="s">
        <v>531</v>
      </c>
      <c r="C1126">
        <v>23.942970822308983</v>
      </c>
      <c r="D1126">
        <v>32.389734737163657</v>
      </c>
      <c r="E1126">
        <v>43.570076520087312</v>
      </c>
      <c r="F1126">
        <v>54.640194748365289</v>
      </c>
      <c r="G1126">
        <v>54.014218420270829</v>
      </c>
      <c r="H1126">
        <v>68.811711328348167</v>
      </c>
      <c r="I1126">
        <v>79.324495296109603</v>
      </c>
      <c r="J1126" t="s">
        <v>346</v>
      </c>
      <c r="K1126">
        <v>0</v>
      </c>
      <c r="L1126">
        <v>0</v>
      </c>
      <c r="M1126">
        <v>0</v>
      </c>
      <c r="N1126">
        <v>0</v>
      </c>
      <c r="O1126">
        <v>0</v>
      </c>
      <c r="P1126">
        <v>0</v>
      </c>
      <c r="Q1126">
        <v>0</v>
      </c>
    </row>
    <row r="1127" spans="1:17">
      <c r="A1127">
        <v>0</v>
      </c>
      <c r="B1127" t="s">
        <v>376</v>
      </c>
      <c r="C1127">
        <v>0</v>
      </c>
      <c r="D1127">
        <v>0.35278679398399304</v>
      </c>
      <c r="E1127">
        <v>0.3451816408392947</v>
      </c>
      <c r="F1127">
        <v>0.25407617136440575</v>
      </c>
      <c r="G1127">
        <v>-1.1456334132359358E-2</v>
      </c>
      <c r="H1127">
        <v>0.27395551284185626</v>
      </c>
      <c r="I1127">
        <v>0.15277608658208908</v>
      </c>
      <c r="J1127">
        <v>0</v>
      </c>
      <c r="K1127">
        <v>0</v>
      </c>
      <c r="L1127">
        <v>0</v>
      </c>
      <c r="M1127">
        <v>0</v>
      </c>
      <c r="N1127">
        <v>0</v>
      </c>
      <c r="O1127">
        <v>0</v>
      </c>
      <c r="P1127">
        <v>0</v>
      </c>
      <c r="Q1127">
        <v>0</v>
      </c>
    </row>
    <row r="1128" spans="1:17">
      <c r="A1128">
        <v>0</v>
      </c>
      <c r="B1128">
        <v>0</v>
      </c>
      <c r="C1128">
        <v>0</v>
      </c>
      <c r="D1128">
        <v>0</v>
      </c>
      <c r="E1128">
        <v>0</v>
      </c>
      <c r="F1128">
        <v>0</v>
      </c>
      <c r="G1128">
        <v>0</v>
      </c>
      <c r="H1128">
        <v>0</v>
      </c>
      <c r="I1128">
        <v>0</v>
      </c>
      <c r="J1128">
        <v>0</v>
      </c>
      <c r="K1128">
        <v>0</v>
      </c>
      <c r="L1128">
        <v>0</v>
      </c>
      <c r="M1128">
        <v>0</v>
      </c>
      <c r="N1128">
        <v>0</v>
      </c>
      <c r="O1128">
        <v>0</v>
      </c>
      <c r="P1128">
        <v>0</v>
      </c>
      <c r="Q1128">
        <v>0</v>
      </c>
    </row>
    <row r="1129" spans="1:17">
      <c r="A1129">
        <v>0</v>
      </c>
      <c r="B1129" t="s">
        <v>347</v>
      </c>
      <c r="C1129">
        <v>15.722716269558324</v>
      </c>
      <c r="D1129">
        <v>13.192782735263695</v>
      </c>
      <c r="E1129">
        <v>12.579600979223681</v>
      </c>
      <c r="F1129">
        <v>19.58800450755616</v>
      </c>
      <c r="G1129">
        <v>23.585121699278876</v>
      </c>
      <c r="H1129">
        <v>31.295513927231877</v>
      </c>
      <c r="I1129">
        <v>27.01344884419882</v>
      </c>
      <c r="J1129">
        <v>0</v>
      </c>
      <c r="K1129">
        <v>0</v>
      </c>
      <c r="L1129">
        <v>0</v>
      </c>
      <c r="M1129">
        <v>0</v>
      </c>
      <c r="N1129">
        <v>0</v>
      </c>
      <c r="O1129">
        <v>0</v>
      </c>
      <c r="P1129">
        <v>0</v>
      </c>
      <c r="Q1129">
        <v>0</v>
      </c>
    </row>
    <row r="1130" spans="1:17">
      <c r="A1130">
        <v>0</v>
      </c>
      <c r="B1130" t="s">
        <v>120</v>
      </c>
      <c r="C1130">
        <v>0</v>
      </c>
      <c r="D1130">
        <v>-0.16090944407570229</v>
      </c>
      <c r="E1130">
        <v>-4.6478576077888967E-2</v>
      </c>
      <c r="F1130">
        <v>0.55712446999769516</v>
      </c>
      <c r="G1130">
        <v>0.2040594380188554</v>
      </c>
      <c r="H1130">
        <v>0.32691763588350486</v>
      </c>
      <c r="I1130">
        <v>-0.13682680185376361</v>
      </c>
      <c r="J1130">
        <v>0</v>
      </c>
      <c r="K1130">
        <v>0</v>
      </c>
      <c r="L1130">
        <v>0</v>
      </c>
      <c r="M1130">
        <v>0</v>
      </c>
      <c r="N1130">
        <v>0</v>
      </c>
      <c r="O1130">
        <v>0</v>
      </c>
      <c r="P1130">
        <v>0</v>
      </c>
      <c r="Q1130">
        <v>0</v>
      </c>
    </row>
    <row r="1131" spans="1:17">
      <c r="A1131">
        <v>0</v>
      </c>
      <c r="B1131">
        <v>0</v>
      </c>
      <c r="C1131">
        <v>0</v>
      </c>
      <c r="D1131">
        <v>0</v>
      </c>
      <c r="E1131">
        <v>0</v>
      </c>
      <c r="F1131">
        <v>0</v>
      </c>
      <c r="G1131">
        <v>0</v>
      </c>
      <c r="H1131">
        <v>0</v>
      </c>
      <c r="I1131">
        <v>0</v>
      </c>
      <c r="J1131">
        <v>0</v>
      </c>
      <c r="K1131">
        <v>0</v>
      </c>
      <c r="L1131">
        <v>0</v>
      </c>
      <c r="M1131">
        <v>0</v>
      </c>
      <c r="N1131">
        <v>0</v>
      </c>
      <c r="O1131">
        <v>0</v>
      </c>
      <c r="P1131">
        <v>0</v>
      </c>
      <c r="Q1131">
        <v>0</v>
      </c>
    </row>
    <row r="1132" spans="1:17">
      <c r="A1132">
        <v>0</v>
      </c>
      <c r="B1132" t="s">
        <v>524</v>
      </c>
      <c r="C1132">
        <v>87.11784412552889</v>
      </c>
      <c r="D1132">
        <v>64.398798475083069</v>
      </c>
      <c r="E1132">
        <v>47.87368227453873</v>
      </c>
      <c r="F1132">
        <v>38.174461302819651</v>
      </c>
      <c r="G1132">
        <v>38.616869057892437</v>
      </c>
      <c r="H1132">
        <v>-923.44584619085242</v>
      </c>
      <c r="I1132">
        <v>-514.9757385351993</v>
      </c>
      <c r="J1132">
        <v>0</v>
      </c>
      <c r="K1132">
        <v>0</v>
      </c>
      <c r="L1132">
        <v>0</v>
      </c>
      <c r="M1132">
        <v>0</v>
      </c>
      <c r="N1132">
        <v>0</v>
      </c>
      <c r="O1132">
        <v>0</v>
      </c>
      <c r="P1132">
        <v>0</v>
      </c>
      <c r="Q1132">
        <v>0</v>
      </c>
    </row>
    <row r="1133" spans="1:17">
      <c r="A1133">
        <v>0</v>
      </c>
      <c r="B1133" t="s">
        <v>530</v>
      </c>
      <c r="C1133">
        <v>0</v>
      </c>
      <c r="D1133">
        <v>0.35278679398399304</v>
      </c>
      <c r="E1133">
        <v>0.3451816408392947</v>
      </c>
      <c r="F1133">
        <v>0.25407617136440575</v>
      </c>
      <c r="G1133">
        <v>-1.1456334132359358E-2</v>
      </c>
      <c r="H1133">
        <v>0.27395551284185626</v>
      </c>
      <c r="I1133">
        <v>0.15277608658208908</v>
      </c>
      <c r="J1133">
        <v>0</v>
      </c>
      <c r="K1133">
        <v>0</v>
      </c>
      <c r="L1133">
        <v>0</v>
      </c>
      <c r="M1133">
        <v>0</v>
      </c>
      <c r="N1133">
        <v>0</v>
      </c>
      <c r="O1133">
        <v>0</v>
      </c>
      <c r="P1133">
        <v>0</v>
      </c>
      <c r="Q1133">
        <v>0</v>
      </c>
    </row>
    <row r="1134" spans="1:17">
      <c r="A1134">
        <v>0</v>
      </c>
      <c r="B1134" t="s">
        <v>532</v>
      </c>
      <c r="C1134">
        <v>0</v>
      </c>
      <c r="D1134">
        <v>182.543109813813</v>
      </c>
      <c r="E1134">
        <v>138.69127615865048</v>
      </c>
      <c r="F1134">
        <v>150.24809724509103</v>
      </c>
      <c r="G1134">
        <v>-3370.7876020144972</v>
      </c>
      <c r="H1134">
        <v>-3370.7876020144972</v>
      </c>
      <c r="I1134">
        <v>-3370.7876020144972</v>
      </c>
      <c r="J1134">
        <v>0</v>
      </c>
      <c r="K1134">
        <v>0</v>
      </c>
      <c r="L1134">
        <v>0</v>
      </c>
      <c r="M1134">
        <v>0</v>
      </c>
      <c r="N1134">
        <v>0</v>
      </c>
      <c r="O1134">
        <v>0</v>
      </c>
      <c r="P1134">
        <v>0</v>
      </c>
      <c r="Q1134">
        <v>0</v>
      </c>
    </row>
    <row r="1135" spans="1:17">
      <c r="A1135">
        <v>0</v>
      </c>
      <c r="B1135" t="s">
        <v>495</v>
      </c>
      <c r="C1135">
        <v>0</v>
      </c>
      <c r="D1135">
        <v>0</v>
      </c>
      <c r="E1135">
        <v>0</v>
      </c>
      <c r="F1135">
        <v>0</v>
      </c>
      <c r="G1135">
        <v>0</v>
      </c>
      <c r="H1135">
        <v>0</v>
      </c>
      <c r="I1135">
        <v>0</v>
      </c>
      <c r="J1135">
        <v>0</v>
      </c>
      <c r="K1135">
        <v>0</v>
      </c>
      <c r="L1135">
        <v>0</v>
      </c>
      <c r="M1135">
        <v>0</v>
      </c>
      <c r="N1135">
        <v>0</v>
      </c>
      <c r="O1135">
        <v>0</v>
      </c>
      <c r="P1135">
        <v>0</v>
      </c>
      <c r="Q1135">
        <v>0</v>
      </c>
    </row>
    <row r="1136" spans="1:17">
      <c r="A1136">
        <v>0</v>
      </c>
      <c r="B1136">
        <v>0</v>
      </c>
      <c r="C1136">
        <v>0</v>
      </c>
      <c r="D1136">
        <v>0</v>
      </c>
      <c r="E1136">
        <v>0</v>
      </c>
      <c r="F1136">
        <v>0</v>
      </c>
      <c r="G1136">
        <v>0</v>
      </c>
      <c r="H1136">
        <v>0</v>
      </c>
      <c r="I1136">
        <v>0</v>
      </c>
      <c r="J1136">
        <v>0</v>
      </c>
      <c r="K1136">
        <v>0</v>
      </c>
      <c r="L1136">
        <v>0</v>
      </c>
      <c r="M1136">
        <v>0</v>
      </c>
      <c r="N1136">
        <v>0</v>
      </c>
      <c r="O1136">
        <v>0</v>
      </c>
      <c r="P1136">
        <v>0</v>
      </c>
      <c r="Q1136">
        <v>0</v>
      </c>
    </row>
    <row r="1138" spans="1:17">
      <c r="A1138">
        <v>0</v>
      </c>
      <c r="B1138">
        <v>0</v>
      </c>
      <c r="C1138">
        <v>0</v>
      </c>
      <c r="D1138">
        <v>0</v>
      </c>
      <c r="E1138">
        <v>0</v>
      </c>
      <c r="F1138">
        <v>0</v>
      </c>
      <c r="G1138">
        <v>0</v>
      </c>
      <c r="H1138">
        <v>0</v>
      </c>
      <c r="I1138">
        <v>0</v>
      </c>
      <c r="J1138">
        <v>0</v>
      </c>
      <c r="K1138">
        <v>0</v>
      </c>
      <c r="L1138">
        <v>0</v>
      </c>
      <c r="M1138">
        <v>0</v>
      </c>
      <c r="N1138">
        <v>0</v>
      </c>
      <c r="O1138">
        <v>0</v>
      </c>
      <c r="P1138">
        <v>0</v>
      </c>
      <c r="Q1138">
        <v>0</v>
      </c>
    </row>
    <row r="1139" spans="1:17">
      <c r="A1139">
        <v>0</v>
      </c>
      <c r="B1139">
        <v>0</v>
      </c>
      <c r="C1139">
        <v>0</v>
      </c>
      <c r="D1139">
        <v>0</v>
      </c>
      <c r="E1139">
        <v>0</v>
      </c>
      <c r="F1139">
        <v>0</v>
      </c>
      <c r="G1139">
        <v>0</v>
      </c>
      <c r="H1139">
        <v>0</v>
      </c>
      <c r="I1139">
        <v>0</v>
      </c>
      <c r="J1139">
        <v>0</v>
      </c>
      <c r="K1139">
        <v>0</v>
      </c>
      <c r="L1139">
        <v>0</v>
      </c>
      <c r="M1139">
        <v>0</v>
      </c>
      <c r="N1139">
        <v>0</v>
      </c>
      <c r="O1139">
        <v>0</v>
      </c>
      <c r="P1139">
        <v>0</v>
      </c>
      <c r="Q1139">
        <v>0</v>
      </c>
    </row>
    <row r="1140" spans="1:17">
      <c r="A1140">
        <v>0</v>
      </c>
      <c r="B1140" t="s">
        <v>495</v>
      </c>
      <c r="C1140">
        <v>0</v>
      </c>
      <c r="D1140">
        <v>0</v>
      </c>
      <c r="E1140">
        <v>0</v>
      </c>
      <c r="F1140">
        <v>0</v>
      </c>
      <c r="G1140">
        <v>0</v>
      </c>
      <c r="H1140">
        <v>0</v>
      </c>
      <c r="I1140">
        <v>0</v>
      </c>
      <c r="J1140">
        <v>0</v>
      </c>
      <c r="K1140">
        <v>0</v>
      </c>
      <c r="L1140">
        <v>0</v>
      </c>
      <c r="M1140">
        <v>0</v>
      </c>
      <c r="N1140">
        <v>0</v>
      </c>
      <c r="O1140">
        <v>0</v>
      </c>
      <c r="P1140">
        <v>0</v>
      </c>
      <c r="Q1140">
        <v>0</v>
      </c>
    </row>
    <row r="1141" spans="1:17">
      <c r="A1141">
        <v>0</v>
      </c>
      <c r="B1141" t="s">
        <v>534</v>
      </c>
      <c r="C1141">
        <v>0</v>
      </c>
      <c r="D1141">
        <v>0</v>
      </c>
      <c r="E1141">
        <v>0</v>
      </c>
      <c r="F1141">
        <v>0</v>
      </c>
      <c r="G1141">
        <v>0</v>
      </c>
      <c r="H1141">
        <v>0</v>
      </c>
      <c r="I1141">
        <v>0</v>
      </c>
      <c r="J1141">
        <v>0</v>
      </c>
      <c r="K1141">
        <v>0</v>
      </c>
      <c r="L1141">
        <v>0</v>
      </c>
      <c r="M1141">
        <v>0</v>
      </c>
      <c r="N1141">
        <v>0</v>
      </c>
      <c r="O1141">
        <v>0</v>
      </c>
      <c r="P1141">
        <v>0</v>
      </c>
      <c r="Q1141">
        <v>0</v>
      </c>
    </row>
    <row r="1142" spans="1:17">
      <c r="A1142">
        <v>0</v>
      </c>
      <c r="B1142">
        <v>0</v>
      </c>
      <c r="C1142">
        <v>0</v>
      </c>
      <c r="D1142">
        <v>0</v>
      </c>
      <c r="E1142">
        <v>0</v>
      </c>
      <c r="F1142">
        <v>0</v>
      </c>
      <c r="G1142">
        <v>0</v>
      </c>
      <c r="H1142">
        <v>0</v>
      </c>
      <c r="I1142">
        <v>0</v>
      </c>
      <c r="J1142">
        <v>0</v>
      </c>
      <c r="K1142">
        <v>0</v>
      </c>
      <c r="L1142">
        <v>0</v>
      </c>
      <c r="M1142">
        <v>0</v>
      </c>
      <c r="N1142">
        <v>0</v>
      </c>
      <c r="O1142">
        <v>0</v>
      </c>
      <c r="P1142">
        <v>0</v>
      </c>
      <c r="Q1142">
        <v>0</v>
      </c>
    </row>
    <row r="1143" spans="1:17">
      <c r="A1143">
        <v>0</v>
      </c>
      <c r="B1143" t="s">
        <v>669</v>
      </c>
      <c r="C1143">
        <v>2240.0169399344527</v>
      </c>
      <c r="D1143">
        <v>0</v>
      </c>
      <c r="E1143">
        <v>0</v>
      </c>
      <c r="F1143">
        <v>0</v>
      </c>
      <c r="G1143">
        <v>0</v>
      </c>
      <c r="H1143">
        <v>0</v>
      </c>
      <c r="I1143">
        <v>0</v>
      </c>
      <c r="J1143">
        <v>0</v>
      </c>
      <c r="K1143">
        <v>0</v>
      </c>
      <c r="L1143">
        <v>0</v>
      </c>
      <c r="M1143">
        <v>0</v>
      </c>
      <c r="N1143">
        <v>0</v>
      </c>
      <c r="O1143">
        <v>0</v>
      </c>
      <c r="P1143">
        <v>0</v>
      </c>
      <c r="Q1143">
        <v>0</v>
      </c>
    </row>
    <row r="1144" spans="1:17">
      <c r="A1144">
        <v>0</v>
      </c>
      <c r="B1144">
        <v>0</v>
      </c>
      <c r="C1144">
        <v>0</v>
      </c>
      <c r="D1144">
        <v>0</v>
      </c>
      <c r="E1144">
        <v>0</v>
      </c>
      <c r="F1144">
        <v>0</v>
      </c>
      <c r="G1144">
        <v>0</v>
      </c>
      <c r="H1144">
        <v>0</v>
      </c>
      <c r="I1144">
        <v>0</v>
      </c>
      <c r="J1144">
        <v>0</v>
      </c>
      <c r="K1144">
        <v>0</v>
      </c>
      <c r="L1144">
        <v>0</v>
      </c>
      <c r="M1144">
        <v>0</v>
      </c>
      <c r="N1144">
        <v>0</v>
      </c>
      <c r="O1144">
        <v>0</v>
      </c>
      <c r="P1144">
        <v>0</v>
      </c>
      <c r="Q1144">
        <v>0</v>
      </c>
    </row>
    <row r="1145" spans="1:17">
      <c r="A1145">
        <v>0</v>
      </c>
      <c r="B1145" t="s">
        <v>527</v>
      </c>
      <c r="C1145">
        <v>38.616869057892437</v>
      </c>
      <c r="D1145">
        <v>0</v>
      </c>
      <c r="E1145">
        <v>0</v>
      </c>
      <c r="F1145">
        <v>0</v>
      </c>
      <c r="G1145">
        <v>0</v>
      </c>
      <c r="H1145">
        <v>0</v>
      </c>
      <c r="I1145">
        <v>0</v>
      </c>
      <c r="J1145">
        <v>0</v>
      </c>
      <c r="K1145">
        <v>0</v>
      </c>
      <c r="L1145">
        <v>0</v>
      </c>
      <c r="M1145">
        <v>0</v>
      </c>
      <c r="N1145">
        <v>0</v>
      </c>
      <c r="O1145">
        <v>0</v>
      </c>
      <c r="P1145">
        <v>0</v>
      </c>
      <c r="Q1145">
        <v>0</v>
      </c>
    </row>
    <row r="1146" spans="1:17">
      <c r="A1146">
        <v>0</v>
      </c>
      <c r="B1146" t="s">
        <v>528</v>
      </c>
      <c r="C1146">
        <v>28.238653540406606</v>
      </c>
      <c r="D1146">
        <v>0</v>
      </c>
      <c r="E1146">
        <v>0</v>
      </c>
      <c r="F1146">
        <v>0</v>
      </c>
      <c r="G1146">
        <v>0</v>
      </c>
      <c r="H1146">
        <v>0</v>
      </c>
      <c r="I1146">
        <v>0</v>
      </c>
      <c r="J1146">
        <v>0</v>
      </c>
      <c r="K1146">
        <v>0</v>
      </c>
      <c r="L1146">
        <v>0</v>
      </c>
      <c r="M1146">
        <v>0</v>
      </c>
      <c r="N1146">
        <v>0</v>
      </c>
      <c r="O1146">
        <v>0</v>
      </c>
      <c r="P1146">
        <v>0</v>
      </c>
      <c r="Q1146">
        <v>0</v>
      </c>
    </row>
    <row r="1147" spans="1:17">
      <c r="A1147">
        <v>0</v>
      </c>
      <c r="B1147" t="s">
        <v>348</v>
      </c>
      <c r="C1147">
        <v>-0.26874823802849834</v>
      </c>
      <c r="D1147">
        <v>0</v>
      </c>
      <c r="E1147">
        <v>0</v>
      </c>
      <c r="F1147">
        <v>0</v>
      </c>
      <c r="G1147">
        <v>0</v>
      </c>
      <c r="H1147">
        <v>0</v>
      </c>
      <c r="I1147">
        <v>0</v>
      </c>
      <c r="J1147">
        <v>0</v>
      </c>
      <c r="K1147">
        <v>0</v>
      </c>
      <c r="L1147">
        <v>0</v>
      </c>
      <c r="M1147">
        <v>0</v>
      </c>
      <c r="N1147">
        <v>0</v>
      </c>
      <c r="O1147">
        <v>0</v>
      </c>
      <c r="P1147">
        <v>0</v>
      </c>
      <c r="Q1147">
        <v>0</v>
      </c>
    </row>
    <row r="1148" spans="1:17">
      <c r="A1148">
        <v>0</v>
      </c>
      <c r="B1148">
        <v>0</v>
      </c>
      <c r="C1148">
        <v>0</v>
      </c>
      <c r="D1148">
        <v>0</v>
      </c>
      <c r="E1148">
        <v>0</v>
      </c>
      <c r="F1148">
        <v>0</v>
      </c>
      <c r="G1148">
        <v>0</v>
      </c>
      <c r="H1148">
        <v>0</v>
      </c>
      <c r="I1148">
        <v>0</v>
      </c>
      <c r="J1148">
        <v>0</v>
      </c>
      <c r="K1148">
        <v>0</v>
      </c>
      <c r="L1148">
        <v>0</v>
      </c>
      <c r="M1148">
        <v>0</v>
      </c>
      <c r="N1148">
        <v>0</v>
      </c>
      <c r="O1148">
        <v>0</v>
      </c>
      <c r="P1148">
        <v>0</v>
      </c>
      <c r="Q1148">
        <v>0</v>
      </c>
    </row>
    <row r="1150" spans="1:17">
      <c r="A1150">
        <v>0</v>
      </c>
      <c r="B1150" t="s">
        <v>349</v>
      </c>
      <c r="C1150">
        <v>0</v>
      </c>
      <c r="D1150">
        <v>0</v>
      </c>
      <c r="E1150">
        <v>0</v>
      </c>
      <c r="F1150">
        <v>0</v>
      </c>
      <c r="G1150">
        <v>0</v>
      </c>
      <c r="H1150">
        <v>0</v>
      </c>
      <c r="I1150">
        <v>0</v>
      </c>
      <c r="J1150">
        <v>0</v>
      </c>
      <c r="K1150">
        <v>0</v>
      </c>
      <c r="L1150">
        <v>0</v>
      </c>
      <c r="M1150">
        <v>0</v>
      </c>
      <c r="N1150">
        <v>0</v>
      </c>
      <c r="O1150">
        <v>0</v>
      </c>
      <c r="P1150">
        <v>0</v>
      </c>
      <c r="Q1150">
        <v>0</v>
      </c>
    </row>
    <row r="1151" spans="1:17">
      <c r="A1151">
        <v>0</v>
      </c>
      <c r="B1151" t="s">
        <v>529</v>
      </c>
      <c r="C1151">
        <v>0</v>
      </c>
      <c r="D1151">
        <v>0</v>
      </c>
      <c r="E1151">
        <v>0</v>
      </c>
      <c r="F1151">
        <v>0</v>
      </c>
      <c r="G1151">
        <v>0</v>
      </c>
      <c r="H1151">
        <v>0</v>
      </c>
      <c r="I1151">
        <v>0</v>
      </c>
      <c r="J1151">
        <v>0</v>
      </c>
      <c r="K1151">
        <v>0</v>
      </c>
      <c r="L1151">
        <v>0</v>
      </c>
      <c r="M1151">
        <v>0</v>
      </c>
      <c r="N1151">
        <v>0</v>
      </c>
      <c r="O1151">
        <v>0</v>
      </c>
      <c r="P1151">
        <v>0</v>
      </c>
      <c r="Q1151">
        <v>0</v>
      </c>
    </row>
    <row r="1152" spans="1:17">
      <c r="A1152">
        <v>0</v>
      </c>
      <c r="B1152">
        <v>0</v>
      </c>
      <c r="C1152">
        <v>0</v>
      </c>
      <c r="D1152">
        <v>0</v>
      </c>
      <c r="E1152">
        <v>0</v>
      </c>
      <c r="F1152">
        <v>0</v>
      </c>
      <c r="G1152">
        <v>0</v>
      </c>
      <c r="H1152">
        <v>0</v>
      </c>
      <c r="I1152">
        <v>0</v>
      </c>
      <c r="J1152">
        <v>0</v>
      </c>
      <c r="K1152">
        <v>0</v>
      </c>
      <c r="L1152">
        <v>0</v>
      </c>
      <c r="M1152">
        <v>0</v>
      </c>
      <c r="N1152">
        <v>0</v>
      </c>
      <c r="O1152">
        <v>0</v>
      </c>
      <c r="P1152">
        <v>0</v>
      </c>
      <c r="Q1152">
        <v>0</v>
      </c>
    </row>
    <row r="1153" spans="1:17">
      <c r="A1153">
        <v>0</v>
      </c>
      <c r="B1153">
        <v>0</v>
      </c>
      <c r="C1153">
        <v>0</v>
      </c>
      <c r="D1153">
        <v>0</v>
      </c>
      <c r="E1153">
        <v>0</v>
      </c>
      <c r="F1153">
        <v>0</v>
      </c>
      <c r="G1153">
        <v>0</v>
      </c>
      <c r="H1153">
        <v>0</v>
      </c>
      <c r="I1153">
        <v>0</v>
      </c>
      <c r="J1153">
        <v>0</v>
      </c>
      <c r="K1153">
        <v>0</v>
      </c>
      <c r="L1153">
        <v>0</v>
      </c>
      <c r="M1153">
        <v>0</v>
      </c>
      <c r="N1153">
        <v>0</v>
      </c>
      <c r="O1153">
        <v>0</v>
      </c>
      <c r="P1153">
        <v>0</v>
      </c>
      <c r="Q1153">
        <v>0</v>
      </c>
    </row>
    <row r="1154" spans="1:17">
      <c r="A1154">
        <v>0</v>
      </c>
      <c r="B1154" t="s">
        <v>350</v>
      </c>
      <c r="C1154">
        <v>2010</v>
      </c>
      <c r="D1154">
        <v>2011</v>
      </c>
      <c r="E1154">
        <v>2012</v>
      </c>
      <c r="F1154">
        <v>2013</v>
      </c>
      <c r="G1154">
        <v>2014</v>
      </c>
      <c r="H1154">
        <v>2015</v>
      </c>
      <c r="I1154">
        <v>2016</v>
      </c>
      <c r="J1154" t="s">
        <v>20</v>
      </c>
      <c r="K1154">
        <v>0</v>
      </c>
      <c r="L1154">
        <v>0</v>
      </c>
      <c r="M1154">
        <v>0</v>
      </c>
      <c r="N1154">
        <v>0</v>
      </c>
      <c r="O1154">
        <v>0</v>
      </c>
      <c r="P1154">
        <v>0</v>
      </c>
      <c r="Q1154">
        <v>0</v>
      </c>
    </row>
    <row r="1155" spans="1:17">
      <c r="A1155">
        <v>0</v>
      </c>
      <c r="B1155" t="s">
        <v>351</v>
      </c>
      <c r="C1155">
        <v>-40.513000000000005</v>
      </c>
      <c r="D1155">
        <v>-31.128</v>
      </c>
      <c r="E1155">
        <v>-67.926000000000002</v>
      </c>
      <c r="F1155">
        <v>-115.87700000000001</v>
      </c>
      <c r="G1155">
        <v>-83.864000000000019</v>
      </c>
      <c r="H1155">
        <v>-130.58699999999996</v>
      </c>
      <c r="I1155">
        <v>-193.07499999999999</v>
      </c>
      <c r="J1155">
        <v>-138.577</v>
      </c>
      <c r="K1155">
        <v>0</v>
      </c>
      <c r="L1155">
        <v>0</v>
      </c>
      <c r="M1155">
        <v>0</v>
      </c>
      <c r="N1155">
        <v>0</v>
      </c>
      <c r="O1155">
        <v>0</v>
      </c>
      <c r="P1155">
        <v>0</v>
      </c>
      <c r="Q1155">
        <v>0</v>
      </c>
    </row>
    <row r="1156" spans="1:17">
      <c r="A1156">
        <v>0</v>
      </c>
      <c r="B1156" t="s">
        <v>525</v>
      </c>
      <c r="C1156">
        <v>0.20905209922296508</v>
      </c>
      <c r="D1156">
        <v>0.18427037292237364</v>
      </c>
      <c r="E1156">
        <v>0.15829994275901541</v>
      </c>
      <c r="F1156">
        <v>0.15756285203484816</v>
      </c>
      <c r="G1156">
        <v>0.15484469418244257</v>
      </c>
      <c r="H1156">
        <v>0.16830580263243819</v>
      </c>
      <c r="I1156">
        <v>0.17213977637965164</v>
      </c>
      <c r="J1156">
        <v>0.19999999999999996</v>
      </c>
      <c r="K1156">
        <v>0</v>
      </c>
      <c r="L1156">
        <v>0</v>
      </c>
      <c r="M1156">
        <v>0</v>
      </c>
      <c r="N1156">
        <v>0</v>
      </c>
      <c r="O1156">
        <v>0</v>
      </c>
      <c r="P1156">
        <v>0</v>
      </c>
      <c r="Q1156">
        <v>0</v>
      </c>
    </row>
    <row r="1157" spans="1:17">
      <c r="A1157">
        <v>0</v>
      </c>
      <c r="B1157">
        <v>0</v>
      </c>
      <c r="C1157">
        <v>0</v>
      </c>
      <c r="D1157">
        <v>0</v>
      </c>
      <c r="E1157">
        <v>0</v>
      </c>
      <c r="F1157">
        <v>0</v>
      </c>
      <c r="G1157">
        <v>0</v>
      </c>
      <c r="H1157">
        <v>0</v>
      </c>
      <c r="I1157">
        <v>0</v>
      </c>
      <c r="J1157">
        <v>0</v>
      </c>
      <c r="K1157">
        <v>0</v>
      </c>
      <c r="L1157">
        <v>0</v>
      </c>
      <c r="M1157">
        <v>0</v>
      </c>
      <c r="N1157">
        <v>0</v>
      </c>
      <c r="O1157">
        <v>0</v>
      </c>
      <c r="P1157">
        <v>0</v>
      </c>
      <c r="Q1157">
        <v>0</v>
      </c>
    </row>
    <row r="1158" spans="1:17">
      <c r="A1158">
        <v>0</v>
      </c>
      <c r="B1158" t="s">
        <v>352</v>
      </c>
      <c r="C1158">
        <v>-32.043672304180021</v>
      </c>
      <c r="D1158">
        <v>-25.392031831672355</v>
      </c>
      <c r="E1158">
        <v>-57.17331808815112</v>
      </c>
      <c r="F1158">
        <v>-97.619089394757907</v>
      </c>
      <c r="G1158">
        <v>-70.878104567083653</v>
      </c>
      <c r="H1158">
        <v>-108.60845015163775</v>
      </c>
      <c r="I1158">
        <v>-159.83911267549877</v>
      </c>
      <c r="J1158">
        <v>-110.86160000000001</v>
      </c>
      <c r="K1158">
        <v>0</v>
      </c>
      <c r="L1158">
        <v>0</v>
      </c>
      <c r="M1158">
        <v>0</v>
      </c>
      <c r="N1158">
        <v>0</v>
      </c>
      <c r="O1158">
        <v>0</v>
      </c>
      <c r="P1158">
        <v>0</v>
      </c>
      <c r="Q1158">
        <v>0</v>
      </c>
    </row>
    <row r="1159" spans="1:17">
      <c r="A1159">
        <v>0</v>
      </c>
      <c r="B1159" t="s">
        <v>353</v>
      </c>
      <c r="C1159">
        <v>51.329000000000001</v>
      </c>
      <c r="D1159">
        <v>51.552</v>
      </c>
      <c r="E1159">
        <v>51.540999999999997</v>
      </c>
      <c r="F1159">
        <v>52.658000000000001</v>
      </c>
      <c r="G1159">
        <v>53.323</v>
      </c>
      <c r="H1159">
        <v>51.893000000000001</v>
      </c>
      <c r="I1159">
        <v>50.323500000000003</v>
      </c>
      <c r="J1159">
        <v>49.905500000000004</v>
      </c>
      <c r="K1159">
        <v>0</v>
      </c>
      <c r="L1159">
        <v>0</v>
      </c>
      <c r="M1159">
        <v>0</v>
      </c>
      <c r="N1159">
        <v>0</v>
      </c>
      <c r="O1159">
        <v>0</v>
      </c>
      <c r="P1159">
        <v>0</v>
      </c>
      <c r="Q1159">
        <v>0</v>
      </c>
    </row>
    <row r="1160" spans="1:17">
      <c r="A1160">
        <v>0</v>
      </c>
      <c r="B1160">
        <v>0</v>
      </c>
      <c r="C1160">
        <v>0</v>
      </c>
      <c r="D1160">
        <v>0</v>
      </c>
      <c r="E1160">
        <v>0</v>
      </c>
      <c r="F1160">
        <v>0</v>
      </c>
      <c r="G1160">
        <v>0</v>
      </c>
      <c r="H1160">
        <v>0</v>
      </c>
      <c r="I1160">
        <v>0</v>
      </c>
      <c r="J1160">
        <v>0</v>
      </c>
      <c r="K1160">
        <v>0</v>
      </c>
      <c r="L1160">
        <v>0</v>
      </c>
      <c r="M1160">
        <v>0</v>
      </c>
      <c r="N1160">
        <v>0</v>
      </c>
      <c r="O1160">
        <v>0</v>
      </c>
      <c r="P1160">
        <v>0</v>
      </c>
      <c r="Q1160">
        <v>0</v>
      </c>
    </row>
    <row r="1161" spans="1:17">
      <c r="A1161">
        <v>0</v>
      </c>
      <c r="B1161" t="s">
        <v>354</v>
      </c>
      <c r="C1161">
        <v>-0.62428008151688164</v>
      </c>
      <c r="D1161">
        <v>-0.49255182789556867</v>
      </c>
      <c r="E1161">
        <v>-1.1092784014309214</v>
      </c>
      <c r="F1161">
        <v>-1.8538320747988513</v>
      </c>
      <c r="G1161">
        <v>-1.3292219973948138</v>
      </c>
      <c r="H1161">
        <v>-2.0929306486739589</v>
      </c>
      <c r="I1161">
        <v>-3.176232032261245</v>
      </c>
      <c r="J1161">
        <v>-2.2214305036519022</v>
      </c>
      <c r="K1161">
        <v>0</v>
      </c>
      <c r="L1161">
        <v>0</v>
      </c>
      <c r="M1161">
        <v>0</v>
      </c>
      <c r="N1161">
        <v>0</v>
      </c>
      <c r="O1161">
        <v>0</v>
      </c>
      <c r="P1161">
        <v>0</v>
      </c>
      <c r="Q1161">
        <v>0</v>
      </c>
    </row>
    <row r="1162" spans="1:17">
      <c r="A1162">
        <v>0</v>
      </c>
      <c r="B1162" t="s">
        <v>2</v>
      </c>
      <c r="C1162">
        <v>13.494457324319582</v>
      </c>
      <c r="D1162">
        <v>23.450418994413415</v>
      </c>
      <c r="E1162">
        <v>31.280456335732737</v>
      </c>
      <c r="F1162">
        <v>41.71624444528846</v>
      </c>
      <c r="G1162">
        <v>53.310972750970478</v>
      </c>
      <c r="H1162">
        <v>51.921287771596873</v>
      </c>
      <c r="I1162">
        <v>65.635479296086928</v>
      </c>
      <c r="J1162">
        <v>77.103064792457701</v>
      </c>
      <c r="K1162">
        <v>0</v>
      </c>
      <c r="L1162">
        <v>0</v>
      </c>
      <c r="M1162">
        <v>0</v>
      </c>
      <c r="N1162">
        <v>0</v>
      </c>
      <c r="O1162">
        <v>0</v>
      </c>
      <c r="P1162">
        <v>0</v>
      </c>
      <c r="Q1162">
        <v>0</v>
      </c>
    </row>
    <row r="1163" spans="1:17">
      <c r="A1163">
        <v>0</v>
      </c>
      <c r="B1163">
        <v>0</v>
      </c>
      <c r="C1163">
        <v>0</v>
      </c>
      <c r="D1163">
        <v>0</v>
      </c>
      <c r="E1163">
        <v>0</v>
      </c>
      <c r="F1163">
        <v>0</v>
      </c>
      <c r="G1163">
        <v>0</v>
      </c>
      <c r="H1163">
        <v>0</v>
      </c>
      <c r="I1163">
        <v>0</v>
      </c>
      <c r="J1163">
        <v>0</v>
      </c>
      <c r="K1163">
        <v>0</v>
      </c>
      <c r="L1163">
        <v>0</v>
      </c>
      <c r="M1163">
        <v>0</v>
      </c>
      <c r="N1163">
        <v>0</v>
      </c>
      <c r="O1163">
        <v>0</v>
      </c>
      <c r="P1163">
        <v>0</v>
      </c>
      <c r="Q1163">
        <v>0</v>
      </c>
    </row>
    <row r="1164" spans="1:17">
      <c r="A1164">
        <v>0</v>
      </c>
      <c r="B1164" t="s">
        <v>355</v>
      </c>
      <c r="C1164">
        <v>14.118737405836463</v>
      </c>
      <c r="D1164">
        <v>23.942970822308983</v>
      </c>
      <c r="E1164">
        <v>32.389734737163657</v>
      </c>
      <c r="F1164">
        <v>43.570076520087312</v>
      </c>
      <c r="G1164">
        <v>54.640194748365289</v>
      </c>
      <c r="H1164">
        <v>54.014218420270829</v>
      </c>
      <c r="I1164">
        <v>68.811711328348167</v>
      </c>
      <c r="J1164">
        <v>79.324495296109603</v>
      </c>
      <c r="K1164">
        <v>0</v>
      </c>
      <c r="L1164">
        <v>0</v>
      </c>
      <c r="M1164">
        <v>0</v>
      </c>
      <c r="N1164">
        <v>0</v>
      </c>
      <c r="O1164">
        <v>0</v>
      </c>
      <c r="P1164">
        <v>0</v>
      </c>
      <c r="Q1164">
        <v>0</v>
      </c>
    </row>
    <row r="1165" spans="1:17">
      <c r="A1165">
        <v>0</v>
      </c>
      <c r="B1165">
        <v>0</v>
      </c>
      <c r="C1165">
        <v>0</v>
      </c>
      <c r="D1165">
        <v>0</v>
      </c>
      <c r="E1165">
        <v>0</v>
      </c>
      <c r="F1165">
        <v>0</v>
      </c>
      <c r="G1165">
        <v>0</v>
      </c>
      <c r="H1165">
        <v>0</v>
      </c>
      <c r="I1165">
        <v>0</v>
      </c>
      <c r="J1165">
        <v>0</v>
      </c>
      <c r="K1165">
        <v>0</v>
      </c>
      <c r="L1165">
        <v>0</v>
      </c>
      <c r="M1165">
        <v>0</v>
      </c>
      <c r="N1165">
        <v>0</v>
      </c>
      <c r="O1165">
        <v>0</v>
      </c>
      <c r="P1165">
        <v>0</v>
      </c>
      <c r="Q1165">
        <v>0</v>
      </c>
    </row>
    <row r="1166" spans="1:17">
      <c r="A1166">
        <v>0</v>
      </c>
      <c r="B1166">
        <v>0</v>
      </c>
      <c r="C1166">
        <v>0</v>
      </c>
      <c r="D1166">
        <v>0</v>
      </c>
      <c r="E1166">
        <v>0</v>
      </c>
      <c r="F1166">
        <v>0</v>
      </c>
      <c r="G1166">
        <v>0</v>
      </c>
      <c r="H1166">
        <v>0</v>
      </c>
      <c r="I1166">
        <v>0</v>
      </c>
      <c r="J1166">
        <v>0</v>
      </c>
      <c r="K1166">
        <v>0</v>
      </c>
      <c r="L1166">
        <v>0</v>
      </c>
      <c r="M1166">
        <v>0</v>
      </c>
      <c r="N1166">
        <v>0</v>
      </c>
      <c r="O1166">
        <v>0</v>
      </c>
      <c r="P1166">
        <v>0</v>
      </c>
      <c r="Q1166">
        <v>0</v>
      </c>
    </row>
    <row r="1167" spans="1:17">
      <c r="A1167">
        <v>0</v>
      </c>
      <c r="B1167">
        <v>0</v>
      </c>
      <c r="C1167">
        <v>0</v>
      </c>
      <c r="D1167">
        <v>0</v>
      </c>
      <c r="E1167">
        <v>0</v>
      </c>
      <c r="F1167">
        <v>0</v>
      </c>
      <c r="G1167">
        <v>0</v>
      </c>
      <c r="H1167">
        <v>0</v>
      </c>
      <c r="I1167">
        <v>0</v>
      </c>
      <c r="J1167">
        <v>0</v>
      </c>
      <c r="K1167">
        <v>0</v>
      </c>
      <c r="L1167">
        <v>0</v>
      </c>
      <c r="M1167">
        <v>0</v>
      </c>
      <c r="N1167">
        <v>0</v>
      </c>
      <c r="O1167">
        <v>0</v>
      </c>
      <c r="P1167">
        <v>0</v>
      </c>
      <c r="Q1167">
        <v>0</v>
      </c>
    </row>
    <row r="1168" spans="1:17">
      <c r="A1168">
        <v>0</v>
      </c>
      <c r="B1168" t="s">
        <v>356</v>
      </c>
      <c r="C1168">
        <v>0</v>
      </c>
      <c r="D1168">
        <v>0</v>
      </c>
      <c r="E1168">
        <v>0</v>
      </c>
      <c r="F1168">
        <v>0</v>
      </c>
      <c r="G1168">
        <v>0</v>
      </c>
      <c r="H1168">
        <v>0</v>
      </c>
      <c r="I1168">
        <v>0</v>
      </c>
      <c r="J1168">
        <v>0</v>
      </c>
      <c r="K1168">
        <v>0</v>
      </c>
      <c r="L1168">
        <v>0</v>
      </c>
      <c r="M1168">
        <v>0</v>
      </c>
      <c r="N1168">
        <v>0</v>
      </c>
      <c r="O1168">
        <v>0</v>
      </c>
      <c r="P1168">
        <v>0</v>
      </c>
      <c r="Q1168">
        <v>0</v>
      </c>
    </row>
    <row r="1169" spans="1:17">
      <c r="A1169">
        <v>0</v>
      </c>
      <c r="B1169">
        <v>0</v>
      </c>
      <c r="C1169">
        <v>0</v>
      </c>
      <c r="D1169">
        <v>0</v>
      </c>
      <c r="E1169">
        <v>0</v>
      </c>
      <c r="F1169">
        <v>0</v>
      </c>
      <c r="G1169">
        <v>0</v>
      </c>
      <c r="H1169">
        <v>0</v>
      </c>
      <c r="I1169">
        <v>0</v>
      </c>
      <c r="J1169">
        <v>0</v>
      </c>
      <c r="K1169">
        <v>0</v>
      </c>
      <c r="L1169">
        <v>0</v>
      </c>
      <c r="M1169">
        <v>0</v>
      </c>
      <c r="N1169">
        <v>0</v>
      </c>
      <c r="O1169">
        <v>0</v>
      </c>
      <c r="P1169">
        <v>0</v>
      </c>
      <c r="Q1169">
        <v>0</v>
      </c>
    </row>
    <row r="1170" spans="1:17">
      <c r="A1170">
        <v>0</v>
      </c>
      <c r="B1170">
        <v>0</v>
      </c>
      <c r="C1170">
        <v>2010</v>
      </c>
      <c r="D1170">
        <v>2011</v>
      </c>
      <c r="E1170">
        <v>2012</v>
      </c>
      <c r="F1170">
        <v>2013</v>
      </c>
      <c r="G1170" t="s">
        <v>6</v>
      </c>
      <c r="H1170" t="s">
        <v>8</v>
      </c>
      <c r="I1170" t="s">
        <v>19</v>
      </c>
      <c r="J1170" t="s">
        <v>20</v>
      </c>
      <c r="K1170">
        <v>0</v>
      </c>
      <c r="L1170">
        <v>0</v>
      </c>
      <c r="M1170">
        <v>0</v>
      </c>
      <c r="N1170">
        <v>0</v>
      </c>
      <c r="O1170">
        <v>0</v>
      </c>
      <c r="P1170">
        <v>0</v>
      </c>
      <c r="Q1170">
        <v>0</v>
      </c>
    </row>
    <row r="1171" spans="1:17">
      <c r="A1171">
        <v>0</v>
      </c>
      <c r="B1171" t="s">
        <v>357</v>
      </c>
      <c r="C1171">
        <v>399.55</v>
      </c>
      <c r="D1171">
        <v>467.71</v>
      </c>
      <c r="E1171">
        <v>620.39</v>
      </c>
      <c r="F1171">
        <v>1162.4000000000001</v>
      </c>
      <c r="G1171">
        <v>1281.5</v>
      </c>
      <c r="H1171">
        <v>1281.5</v>
      </c>
      <c r="I1171">
        <v>1600</v>
      </c>
      <c r="J1171">
        <v>1750</v>
      </c>
      <c r="K1171">
        <v>0</v>
      </c>
      <c r="L1171">
        <v>0</v>
      </c>
      <c r="M1171">
        <v>0</v>
      </c>
      <c r="N1171">
        <v>0</v>
      </c>
      <c r="O1171">
        <v>0</v>
      </c>
      <c r="P1171">
        <v>0</v>
      </c>
      <c r="Q1171">
        <v>0</v>
      </c>
    </row>
    <row r="1172" spans="1:17">
      <c r="A1172">
        <v>0</v>
      </c>
      <c r="B1172" t="s">
        <v>358</v>
      </c>
      <c r="C1172">
        <v>23.101463110522314</v>
      </c>
      <c r="D1172">
        <v>40.399266759776538</v>
      </c>
      <c r="E1172">
        <v>72.29582274305892</v>
      </c>
      <c r="F1172">
        <v>92.107618975274406</v>
      </c>
      <c r="G1172">
        <v>7.5680850664816202</v>
      </c>
      <c r="H1172">
        <v>-67.637870232979395</v>
      </c>
      <c r="I1172">
        <v>-56.968195773346444</v>
      </c>
      <c r="J1172">
        <v>-42.524050455360651</v>
      </c>
      <c r="K1172">
        <v>0</v>
      </c>
      <c r="L1172">
        <v>0</v>
      </c>
      <c r="M1172">
        <v>0</v>
      </c>
      <c r="N1172">
        <v>0</v>
      </c>
      <c r="O1172">
        <v>0</v>
      </c>
      <c r="P1172">
        <v>0</v>
      </c>
      <c r="Q1172">
        <v>0</v>
      </c>
    </row>
    <row r="1173" spans="1:17">
      <c r="A1173">
        <v>0</v>
      </c>
      <c r="B1173" t="s">
        <v>359</v>
      </c>
      <c r="C1173">
        <v>5.7818703818101148E-2</v>
      </c>
      <c r="D1173">
        <v>8.637674362270753E-2</v>
      </c>
      <c r="E1173">
        <v>0.11653286278479492</v>
      </c>
      <c r="F1173">
        <v>7.9239176682101176E-2</v>
      </c>
      <c r="G1173">
        <v>5.9056457795408661E-3</v>
      </c>
      <c r="H1173">
        <v>-5.2780234282465387E-2</v>
      </c>
      <c r="I1173">
        <v>-3.5605122358341526E-2</v>
      </c>
      <c r="J1173">
        <v>-2.4299457403063229E-2</v>
      </c>
      <c r="K1173">
        <v>0</v>
      </c>
      <c r="L1173">
        <v>0</v>
      </c>
      <c r="M1173">
        <v>0</v>
      </c>
      <c r="N1173">
        <v>0</v>
      </c>
      <c r="O1173">
        <v>0</v>
      </c>
      <c r="P1173">
        <v>0</v>
      </c>
      <c r="Q1173">
        <v>0</v>
      </c>
    </row>
    <row r="1174" spans="1:17">
      <c r="A1174">
        <v>0</v>
      </c>
      <c r="B1174">
        <v>0</v>
      </c>
      <c r="C1174">
        <v>0</v>
      </c>
      <c r="D1174">
        <v>0</v>
      </c>
      <c r="E1174">
        <v>0</v>
      </c>
      <c r="F1174">
        <v>0</v>
      </c>
      <c r="G1174">
        <v>0</v>
      </c>
      <c r="H1174">
        <v>0</v>
      </c>
      <c r="I1174">
        <v>0</v>
      </c>
      <c r="J1174">
        <v>0</v>
      </c>
      <c r="K1174">
        <v>0</v>
      </c>
      <c r="L1174">
        <v>0</v>
      </c>
      <c r="M1174">
        <v>0</v>
      </c>
      <c r="N1174">
        <v>0</v>
      </c>
      <c r="O1174">
        <v>0</v>
      </c>
      <c r="P1174">
        <v>0</v>
      </c>
      <c r="Q1174">
        <v>0</v>
      </c>
    </row>
    <row r="1175" spans="1:17">
      <c r="A1175">
        <v>0</v>
      </c>
      <c r="B1175" t="s">
        <v>345</v>
      </c>
      <c r="C1175">
        <v>376.44853688947768</v>
      </c>
      <c r="D1175">
        <v>427.31073324022344</v>
      </c>
      <c r="E1175">
        <v>548.09417725694107</v>
      </c>
      <c r="F1175">
        <v>1070.2923810247257</v>
      </c>
      <c r="G1175">
        <v>1273.9319149335183</v>
      </c>
      <c r="H1175">
        <v>1349.1378702329794</v>
      </c>
      <c r="I1175">
        <v>1656.9681957733465</v>
      </c>
      <c r="J1175">
        <v>1792.5240504553606</v>
      </c>
      <c r="K1175">
        <v>0</v>
      </c>
      <c r="L1175">
        <v>0</v>
      </c>
      <c r="M1175">
        <v>0</v>
      </c>
      <c r="N1175">
        <v>0</v>
      </c>
      <c r="O1175">
        <v>0</v>
      </c>
      <c r="P1175">
        <v>0</v>
      </c>
      <c r="Q1175">
        <v>0</v>
      </c>
    </row>
    <row r="1176" spans="1:17">
      <c r="A1176">
        <v>0</v>
      </c>
      <c r="B1176">
        <v>0</v>
      </c>
      <c r="C1176">
        <v>0</v>
      </c>
      <c r="D1176">
        <v>0</v>
      </c>
      <c r="E1176">
        <v>0</v>
      </c>
      <c r="F1176">
        <v>0</v>
      </c>
      <c r="G1176">
        <v>0</v>
      </c>
      <c r="H1176">
        <v>0</v>
      </c>
      <c r="I1176">
        <v>0</v>
      </c>
      <c r="J1176">
        <v>0</v>
      </c>
      <c r="K1176">
        <v>0</v>
      </c>
      <c r="L1176">
        <v>0</v>
      </c>
      <c r="M1176">
        <v>0</v>
      </c>
      <c r="N1176">
        <v>0</v>
      </c>
      <c r="O1176">
        <v>0</v>
      </c>
      <c r="P1176">
        <v>0</v>
      </c>
      <c r="Q1176">
        <v>0</v>
      </c>
    </row>
    <row r="1177" spans="1:17">
      <c r="A1177">
        <v>0</v>
      </c>
      <c r="B1177" t="s">
        <v>2</v>
      </c>
      <c r="C1177">
        <v>13.494457324319582</v>
      </c>
      <c r="D1177">
        <v>23.450418994413415</v>
      </c>
      <c r="E1177">
        <v>31.280456335732737</v>
      </c>
      <c r="F1177">
        <v>41.71624444528846</v>
      </c>
      <c r="G1177">
        <v>53.310972750970478</v>
      </c>
      <c r="H1177">
        <v>51.921287771596873</v>
      </c>
      <c r="I1177">
        <v>65.635479296086928</v>
      </c>
      <c r="J1177">
        <v>77.103064792457701</v>
      </c>
      <c r="K1177">
        <v>0</v>
      </c>
      <c r="L1177">
        <v>0</v>
      </c>
      <c r="M1177">
        <v>0</v>
      </c>
      <c r="N1177">
        <v>0</v>
      </c>
      <c r="O1177">
        <v>0</v>
      </c>
      <c r="P1177">
        <v>0</v>
      </c>
      <c r="Q1177">
        <v>0</v>
      </c>
    </row>
    <row r="1178" spans="1:17">
      <c r="A1178">
        <v>0</v>
      </c>
      <c r="B1178" t="s">
        <v>376</v>
      </c>
      <c r="C1178">
        <v>0</v>
      </c>
      <c r="D1178">
        <v>0.73778155214521268</v>
      </c>
      <c r="E1178">
        <v>0.33389754542060279</v>
      </c>
      <c r="F1178">
        <v>0.33362007246788683</v>
      </c>
      <c r="G1178">
        <v>0.27794276450001854</v>
      </c>
      <c r="H1178">
        <v>-2.60675224566842E-2</v>
      </c>
      <c r="I1178">
        <v>0.2641342715692867</v>
      </c>
      <c r="J1178">
        <v>0.17471626046394162</v>
      </c>
      <c r="K1178">
        <v>0</v>
      </c>
      <c r="L1178">
        <v>0</v>
      </c>
      <c r="M1178">
        <v>0</v>
      </c>
      <c r="N1178">
        <v>0</v>
      </c>
      <c r="O1178">
        <v>0</v>
      </c>
      <c r="P1178">
        <v>0</v>
      </c>
      <c r="Q1178">
        <v>0</v>
      </c>
    </row>
    <row r="1179" spans="1:17">
      <c r="A1179">
        <v>0</v>
      </c>
      <c r="B1179">
        <v>0</v>
      </c>
      <c r="C1179">
        <v>0</v>
      </c>
      <c r="D1179">
        <v>0</v>
      </c>
      <c r="E1179">
        <v>0</v>
      </c>
      <c r="F1179">
        <v>0</v>
      </c>
      <c r="G1179">
        <v>0</v>
      </c>
      <c r="H1179">
        <v>0</v>
      </c>
      <c r="I1179">
        <v>0</v>
      </c>
      <c r="J1179">
        <v>0</v>
      </c>
      <c r="K1179">
        <v>0</v>
      </c>
      <c r="L1179">
        <v>0</v>
      </c>
      <c r="M1179">
        <v>0</v>
      </c>
      <c r="N1179">
        <v>0</v>
      </c>
      <c r="O1179">
        <v>0</v>
      </c>
      <c r="P1179">
        <v>0</v>
      </c>
      <c r="Q1179">
        <v>0</v>
      </c>
    </row>
    <row r="1180" spans="1:17">
      <c r="A1180">
        <v>0</v>
      </c>
      <c r="B1180" t="s">
        <v>524</v>
      </c>
      <c r="C1180">
        <v>27.896530245128549</v>
      </c>
      <c r="D1180">
        <v>18.221880527679335</v>
      </c>
      <c r="E1180">
        <v>17.52193674460031</v>
      </c>
      <c r="F1180">
        <v>25.656489342621235</v>
      </c>
      <c r="G1180">
        <v>23.896242165461661</v>
      </c>
      <c r="H1180">
        <v>25.98429137905579</v>
      </c>
      <c r="I1180">
        <v>25.245007936921276</v>
      </c>
      <c r="J1180">
        <v>23.248415030976915</v>
      </c>
      <c r="K1180">
        <v>0</v>
      </c>
      <c r="L1180">
        <v>0</v>
      </c>
      <c r="M1180">
        <v>0</v>
      </c>
      <c r="N1180">
        <v>0</v>
      </c>
      <c r="O1180">
        <v>0</v>
      </c>
      <c r="P1180">
        <v>0</v>
      </c>
      <c r="Q1180">
        <v>0</v>
      </c>
    </row>
    <row r="1181" spans="1:17">
      <c r="A1181">
        <v>0</v>
      </c>
      <c r="B1181" t="s">
        <v>523</v>
      </c>
      <c r="C1181">
        <v>29.608452596306694</v>
      </c>
      <c r="D1181">
        <v>19.944632976981023</v>
      </c>
      <c r="E1181">
        <v>19.833150557055884</v>
      </c>
      <c r="F1181">
        <v>27.864445025115021</v>
      </c>
      <c r="G1181">
        <v>24.038203279205245</v>
      </c>
      <c r="H1181">
        <v>24.681591212401216</v>
      </c>
      <c r="I1181">
        <v>24.377059742068329</v>
      </c>
      <c r="J1181">
        <v>22.696892849986771</v>
      </c>
      <c r="K1181">
        <v>0</v>
      </c>
      <c r="L1181">
        <v>0</v>
      </c>
      <c r="M1181">
        <v>0</v>
      </c>
      <c r="N1181">
        <v>0</v>
      </c>
      <c r="O1181">
        <v>0</v>
      </c>
      <c r="P1181">
        <v>0</v>
      </c>
      <c r="Q1181">
        <v>0</v>
      </c>
    </row>
    <row r="1182" spans="1:17">
      <c r="A1182">
        <v>0</v>
      </c>
      <c r="B1182">
        <v>0</v>
      </c>
      <c r="C1182">
        <v>0</v>
      </c>
      <c r="D1182">
        <v>0</v>
      </c>
      <c r="E1182">
        <v>0</v>
      </c>
      <c r="F1182">
        <v>0</v>
      </c>
      <c r="G1182">
        <v>0</v>
      </c>
      <c r="H1182">
        <v>0</v>
      </c>
      <c r="I1182">
        <v>0</v>
      </c>
      <c r="J1182">
        <v>0</v>
      </c>
      <c r="K1182">
        <v>0</v>
      </c>
      <c r="L1182">
        <v>0</v>
      </c>
      <c r="M1182">
        <v>0</v>
      </c>
      <c r="N1182">
        <v>0</v>
      </c>
      <c r="O1182">
        <v>0</v>
      </c>
      <c r="P1182">
        <v>0</v>
      </c>
      <c r="Q1182">
        <v>0</v>
      </c>
    </row>
    <row r="1183" spans="1:17">
      <c r="A1183">
        <v>0</v>
      </c>
      <c r="B1183">
        <v>0</v>
      </c>
      <c r="C1183">
        <v>0</v>
      </c>
      <c r="D1183">
        <v>0</v>
      </c>
      <c r="E1183">
        <v>0</v>
      </c>
      <c r="F1183">
        <v>0</v>
      </c>
      <c r="G1183">
        <v>0</v>
      </c>
      <c r="H1183">
        <v>0</v>
      </c>
      <c r="I1183">
        <v>0</v>
      </c>
      <c r="J1183">
        <v>0</v>
      </c>
      <c r="K1183">
        <v>0</v>
      </c>
      <c r="L1183">
        <v>0</v>
      </c>
      <c r="M1183">
        <v>0</v>
      </c>
      <c r="N1183">
        <v>0</v>
      </c>
      <c r="O1183">
        <v>0</v>
      </c>
      <c r="P1183">
        <v>0</v>
      </c>
      <c r="Q1183">
        <v>0</v>
      </c>
    </row>
    <row r="1184" spans="1:17">
      <c r="A1184">
        <v>0</v>
      </c>
      <c r="B1184">
        <v>0</v>
      </c>
      <c r="C1184">
        <v>0</v>
      </c>
      <c r="D1184">
        <v>0</v>
      </c>
      <c r="E1184">
        <v>0</v>
      </c>
      <c r="F1184">
        <v>0</v>
      </c>
      <c r="G1184">
        <v>0</v>
      </c>
      <c r="H1184">
        <v>0</v>
      </c>
      <c r="I1184">
        <v>0</v>
      </c>
      <c r="J1184">
        <v>0</v>
      </c>
      <c r="K1184">
        <v>0</v>
      </c>
      <c r="L1184">
        <v>0</v>
      </c>
      <c r="M1184">
        <v>0</v>
      </c>
      <c r="N1184">
        <v>0</v>
      </c>
      <c r="O1184">
        <v>0</v>
      </c>
      <c r="P1184">
        <v>0</v>
      </c>
      <c r="Q1184">
        <v>0</v>
      </c>
    </row>
    <row r="1185" spans="1:105">
      <c r="A1185">
        <v>0</v>
      </c>
      <c r="B1185">
        <v>0</v>
      </c>
      <c r="C1185">
        <v>0</v>
      </c>
      <c r="D1185">
        <v>0</v>
      </c>
      <c r="E1185">
        <v>0</v>
      </c>
      <c r="F1185">
        <v>0</v>
      </c>
      <c r="G1185">
        <v>0</v>
      </c>
      <c r="H1185">
        <v>0</v>
      </c>
      <c r="I1185">
        <v>0</v>
      </c>
      <c r="J1185">
        <v>0</v>
      </c>
      <c r="K1185">
        <v>0</v>
      </c>
      <c r="L1185">
        <v>0</v>
      </c>
      <c r="M1185">
        <v>0</v>
      </c>
      <c r="N1185">
        <v>0</v>
      </c>
      <c r="O1185">
        <v>0</v>
      </c>
      <c r="P1185">
        <v>0</v>
      </c>
      <c r="Q1185">
        <v>0</v>
      </c>
    </row>
    <row r="1186" spans="1:105">
      <c r="A1186">
        <v>0</v>
      </c>
      <c r="B1186">
        <v>0</v>
      </c>
      <c r="C1186">
        <v>0</v>
      </c>
      <c r="D1186">
        <v>0</v>
      </c>
      <c r="E1186">
        <v>0</v>
      </c>
      <c r="F1186">
        <v>0</v>
      </c>
      <c r="G1186">
        <v>0</v>
      </c>
      <c r="H1186">
        <v>0</v>
      </c>
      <c r="I1186">
        <v>0</v>
      </c>
      <c r="J1186">
        <v>0</v>
      </c>
      <c r="K1186">
        <v>0</v>
      </c>
      <c r="L1186">
        <v>0</v>
      </c>
      <c r="M1186">
        <v>0</v>
      </c>
      <c r="N1186">
        <v>0</v>
      </c>
      <c r="O1186">
        <v>0</v>
      </c>
      <c r="P1186">
        <v>0</v>
      </c>
      <c r="Q1186">
        <v>0</v>
      </c>
    </row>
    <row r="1187" spans="1:105">
      <c r="A1187">
        <v>0</v>
      </c>
      <c r="B1187">
        <v>0</v>
      </c>
      <c r="C1187">
        <v>0</v>
      </c>
      <c r="D1187">
        <v>0</v>
      </c>
      <c r="E1187">
        <v>0</v>
      </c>
      <c r="F1187">
        <v>0</v>
      </c>
      <c r="G1187">
        <v>0</v>
      </c>
      <c r="H1187">
        <v>0</v>
      </c>
      <c r="I1187">
        <v>0</v>
      </c>
      <c r="J1187">
        <v>0</v>
      </c>
      <c r="K1187">
        <v>0</v>
      </c>
      <c r="L1187">
        <v>0</v>
      </c>
      <c r="M1187">
        <v>0</v>
      </c>
      <c r="N1187">
        <v>0</v>
      </c>
      <c r="O1187">
        <v>0</v>
      </c>
      <c r="P1187">
        <v>0</v>
      </c>
      <c r="Q1187">
        <v>0</v>
      </c>
    </row>
    <row r="1188" spans="1:105">
      <c r="A1188">
        <v>0</v>
      </c>
      <c r="B1188">
        <v>0</v>
      </c>
      <c r="C1188">
        <v>0</v>
      </c>
      <c r="D1188">
        <v>0</v>
      </c>
      <c r="E1188">
        <v>0</v>
      </c>
      <c r="F1188">
        <v>0</v>
      </c>
      <c r="G1188">
        <v>0</v>
      </c>
      <c r="H1188">
        <v>0</v>
      </c>
      <c r="I1188">
        <v>0</v>
      </c>
      <c r="J1188">
        <v>0</v>
      </c>
      <c r="K1188">
        <v>0</v>
      </c>
      <c r="L1188">
        <v>0</v>
      </c>
      <c r="M1188">
        <v>0</v>
      </c>
      <c r="N1188">
        <v>0</v>
      </c>
      <c r="O1188">
        <v>0</v>
      </c>
      <c r="P1188">
        <v>0</v>
      </c>
      <c r="Q1188">
        <v>0</v>
      </c>
    </row>
    <row r="1189" spans="1:105">
      <c r="A1189">
        <v>0</v>
      </c>
      <c r="B1189">
        <v>0</v>
      </c>
      <c r="C1189">
        <v>0</v>
      </c>
      <c r="D1189">
        <v>0</v>
      </c>
      <c r="E1189">
        <v>0</v>
      </c>
      <c r="F1189">
        <v>0</v>
      </c>
      <c r="G1189">
        <v>0</v>
      </c>
      <c r="H1189">
        <v>0</v>
      </c>
      <c r="I1189">
        <v>0</v>
      </c>
      <c r="J1189">
        <v>0</v>
      </c>
      <c r="K1189">
        <v>0</v>
      </c>
      <c r="L1189">
        <v>0</v>
      </c>
      <c r="M1189">
        <v>0</v>
      </c>
      <c r="N1189">
        <v>0</v>
      </c>
      <c r="O1189">
        <v>0</v>
      </c>
      <c r="P1189">
        <v>0</v>
      </c>
      <c r="Q1189">
        <v>0</v>
      </c>
    </row>
    <row r="1190" spans="1:105">
      <c r="A1190">
        <v>0</v>
      </c>
      <c r="B1190">
        <v>0</v>
      </c>
      <c r="C1190">
        <v>0</v>
      </c>
      <c r="D1190">
        <v>0</v>
      </c>
      <c r="E1190">
        <v>0</v>
      </c>
      <c r="F1190">
        <v>0</v>
      </c>
      <c r="G1190">
        <v>0</v>
      </c>
      <c r="H1190">
        <v>0</v>
      </c>
      <c r="I1190">
        <v>0</v>
      </c>
      <c r="J1190">
        <v>0</v>
      </c>
      <c r="K1190">
        <v>0</v>
      </c>
      <c r="L1190">
        <v>0</v>
      </c>
      <c r="M1190">
        <v>0</v>
      </c>
      <c r="N1190">
        <v>0</v>
      </c>
      <c r="O1190">
        <v>0</v>
      </c>
      <c r="P1190">
        <v>0</v>
      </c>
      <c r="Q1190">
        <v>0</v>
      </c>
    </row>
    <row r="1191" spans="1:105">
      <c r="A1191">
        <v>0</v>
      </c>
      <c r="B1191">
        <v>0</v>
      </c>
      <c r="C1191">
        <v>0</v>
      </c>
      <c r="D1191">
        <v>0</v>
      </c>
      <c r="E1191">
        <v>0</v>
      </c>
      <c r="F1191">
        <v>0</v>
      </c>
      <c r="G1191">
        <v>0</v>
      </c>
      <c r="H1191">
        <v>0</v>
      </c>
      <c r="I1191">
        <v>0</v>
      </c>
      <c r="J1191">
        <v>0</v>
      </c>
      <c r="K1191">
        <v>0</v>
      </c>
      <c r="L1191">
        <v>0</v>
      </c>
      <c r="M1191">
        <v>0</v>
      </c>
      <c r="N1191">
        <v>0</v>
      </c>
      <c r="O1191">
        <v>0</v>
      </c>
      <c r="P1191">
        <v>0</v>
      </c>
      <c r="Q1191">
        <v>0</v>
      </c>
    </row>
    <row r="1192" spans="1:105">
      <c r="A1192">
        <v>0</v>
      </c>
      <c r="B1192">
        <v>0</v>
      </c>
      <c r="C1192">
        <v>0</v>
      </c>
      <c r="D1192">
        <v>0</v>
      </c>
      <c r="E1192">
        <v>0</v>
      </c>
      <c r="F1192">
        <v>0</v>
      </c>
      <c r="G1192">
        <v>0</v>
      </c>
      <c r="H1192">
        <v>0</v>
      </c>
      <c r="I1192">
        <v>0</v>
      </c>
      <c r="J1192">
        <v>0</v>
      </c>
      <c r="K1192">
        <v>0</v>
      </c>
      <c r="L1192">
        <v>0</v>
      </c>
      <c r="M1192">
        <v>0</v>
      </c>
      <c r="N1192">
        <v>0</v>
      </c>
      <c r="O1192">
        <v>0</v>
      </c>
      <c r="P1192">
        <v>0</v>
      </c>
      <c r="Q1192">
        <v>0</v>
      </c>
    </row>
    <row r="1193" spans="1:105">
      <c r="A1193">
        <v>0</v>
      </c>
      <c r="B1193">
        <v>0</v>
      </c>
      <c r="C1193">
        <v>0</v>
      </c>
      <c r="D1193">
        <v>0</v>
      </c>
      <c r="E1193">
        <v>0</v>
      </c>
      <c r="F1193">
        <v>0</v>
      </c>
      <c r="G1193">
        <v>0</v>
      </c>
      <c r="H1193">
        <v>0</v>
      </c>
      <c r="I1193">
        <v>0</v>
      </c>
      <c r="J1193">
        <v>0</v>
      </c>
      <c r="K1193">
        <v>0</v>
      </c>
      <c r="L1193">
        <v>0</v>
      </c>
      <c r="M1193">
        <v>0</v>
      </c>
      <c r="N1193">
        <v>0</v>
      </c>
      <c r="O1193">
        <v>0</v>
      </c>
      <c r="P1193">
        <v>0</v>
      </c>
      <c r="Q1193">
        <v>0</v>
      </c>
    </row>
    <row r="1194" spans="1:105">
      <c r="A1194">
        <v>0</v>
      </c>
      <c r="B1194">
        <v>0</v>
      </c>
      <c r="C1194">
        <v>0</v>
      </c>
      <c r="D1194">
        <v>0</v>
      </c>
      <c r="E1194">
        <v>0</v>
      </c>
      <c r="F1194">
        <v>0</v>
      </c>
      <c r="G1194">
        <v>0</v>
      </c>
      <c r="H1194">
        <v>0</v>
      </c>
      <c r="I1194">
        <v>0</v>
      </c>
      <c r="J1194">
        <v>0</v>
      </c>
      <c r="K1194">
        <v>0</v>
      </c>
      <c r="L1194">
        <v>0</v>
      </c>
      <c r="M1194">
        <v>0</v>
      </c>
      <c r="N1194">
        <v>0</v>
      </c>
      <c r="O1194">
        <v>0</v>
      </c>
      <c r="P1194">
        <v>0</v>
      </c>
      <c r="Q1194">
        <v>0</v>
      </c>
    </row>
    <row r="1195" spans="1:105">
      <c r="A1195">
        <v>0</v>
      </c>
      <c r="B1195">
        <v>0</v>
      </c>
      <c r="C1195">
        <v>0</v>
      </c>
      <c r="D1195">
        <v>0</v>
      </c>
      <c r="E1195">
        <v>0</v>
      </c>
      <c r="F1195">
        <v>0</v>
      </c>
      <c r="G1195">
        <v>0</v>
      </c>
      <c r="H1195">
        <v>0</v>
      </c>
      <c r="I1195">
        <v>0</v>
      </c>
      <c r="J1195">
        <v>0</v>
      </c>
      <c r="K1195">
        <v>0</v>
      </c>
      <c r="L1195">
        <v>0</v>
      </c>
      <c r="M1195">
        <v>0</v>
      </c>
      <c r="N1195">
        <v>0</v>
      </c>
      <c r="O1195">
        <v>0</v>
      </c>
      <c r="P1195">
        <v>0</v>
      </c>
      <c r="Q1195">
        <v>0</v>
      </c>
    </row>
    <row r="1196" spans="1:105">
      <c r="A1196">
        <f>'Base DCF'!H1</f>
        <v>0</v>
      </c>
      <c r="B1196" t="str">
        <f>'Base DCF'!I1</f>
        <v>DCF value:</v>
      </c>
      <c r="C1196">
        <f>'Base DCF'!J1</f>
        <v>0</v>
      </c>
      <c r="D1196">
        <f>'Base DCF'!K1</f>
        <v>0</v>
      </c>
      <c r="E1196">
        <f>'Base DCF'!L1</f>
        <v>2240.0169399344527</v>
      </c>
      <c r="F1196">
        <f>'Base DCF'!M1</f>
        <v>0</v>
      </c>
      <c r="G1196">
        <f>'Base DCF'!N1</f>
        <v>0</v>
      </c>
      <c r="H1196">
        <f>'Base DCF'!O1</f>
        <v>0</v>
      </c>
      <c r="I1196">
        <f>'Base DCF'!P1</f>
        <v>0</v>
      </c>
      <c r="J1196">
        <f>'Base DCF'!Q1</f>
        <v>0</v>
      </c>
      <c r="K1196">
        <f>'Base DCF'!R1</f>
        <v>0</v>
      </c>
      <c r="L1196">
        <f>'Base DCF'!S1</f>
        <v>0</v>
      </c>
      <c r="M1196">
        <f>'Base DCF'!T1</f>
        <v>0</v>
      </c>
      <c r="N1196">
        <f>'Base DCF'!U1</f>
        <v>0</v>
      </c>
      <c r="O1196">
        <f>'Base DCF'!V1</f>
        <v>0</v>
      </c>
      <c r="P1196">
        <f>'Base DCF'!W1</f>
        <v>0</v>
      </c>
      <c r="Q1196">
        <f>'Base DCF'!X1</f>
        <v>0</v>
      </c>
      <c r="R1196">
        <f>'Base DCF'!Y1</f>
        <v>0</v>
      </c>
      <c r="S1196">
        <f>'Base DCF'!Z1</f>
        <v>0</v>
      </c>
      <c r="T1196">
        <f>'Base DCF'!AA1</f>
        <v>0</v>
      </c>
      <c r="U1196">
        <f>'Base DCF'!AB1</f>
        <v>0</v>
      </c>
      <c r="V1196">
        <f>'Base DCF'!AC1</f>
        <v>0</v>
      </c>
      <c r="W1196">
        <f>'Base DCF'!AD1</f>
        <v>0</v>
      </c>
      <c r="X1196">
        <f>'Base DCF'!AE1</f>
        <v>0</v>
      </c>
      <c r="Y1196">
        <f>'Base DCF'!AF1</f>
        <v>0</v>
      </c>
      <c r="Z1196">
        <f>'Base DCF'!AG1</f>
        <v>0</v>
      </c>
      <c r="AA1196">
        <f>'Base DCF'!AH1</f>
        <v>0</v>
      </c>
      <c r="AB1196">
        <f>'Base DCF'!AI1</f>
        <v>0</v>
      </c>
      <c r="AC1196">
        <f>'Base DCF'!AJ1</f>
        <v>0</v>
      </c>
      <c r="AD1196">
        <f>'Base DCF'!AK1</f>
        <v>0</v>
      </c>
      <c r="AE1196">
        <f>'Base DCF'!AL1</f>
        <v>0</v>
      </c>
      <c r="AF1196">
        <f>'Base DCF'!AM1</f>
        <v>0</v>
      </c>
      <c r="AG1196">
        <f>'Base DCF'!AN1</f>
        <v>0</v>
      </c>
      <c r="AH1196">
        <f>'Base DCF'!AO1</f>
        <v>0</v>
      </c>
      <c r="AI1196">
        <f>'Base DCF'!AP1</f>
        <v>0</v>
      </c>
      <c r="AJ1196">
        <f>'Base DCF'!AQ1</f>
        <v>0</v>
      </c>
      <c r="AK1196">
        <f>'Base DCF'!AR1</f>
        <v>0</v>
      </c>
      <c r="AL1196">
        <f>'Base DCF'!AS1</f>
        <v>0</v>
      </c>
      <c r="AM1196">
        <f>'Base DCF'!AT1</f>
        <v>0</v>
      </c>
      <c r="AN1196">
        <f>'Base DCF'!AU1</f>
        <v>0</v>
      </c>
      <c r="AO1196">
        <f>'Base DCF'!AV1</f>
        <v>0</v>
      </c>
      <c r="AP1196">
        <f>'Base DCF'!AW1</f>
        <v>0</v>
      </c>
      <c r="AQ1196">
        <f>'Base DCF'!AX1</f>
        <v>0</v>
      </c>
      <c r="AR1196">
        <f>'Base DCF'!AY1</f>
        <v>0</v>
      </c>
      <c r="AS1196">
        <f>'Base DCF'!AZ1</f>
        <v>0</v>
      </c>
      <c r="AT1196">
        <f>'Base DCF'!BA1</f>
        <v>0</v>
      </c>
      <c r="AU1196">
        <f>'Base DCF'!BB1</f>
        <v>0</v>
      </c>
      <c r="AV1196">
        <f>'Base DCF'!BC1</f>
        <v>0</v>
      </c>
      <c r="AW1196">
        <f>'Base DCF'!BD1</f>
        <v>0</v>
      </c>
      <c r="AX1196">
        <f>'Base DCF'!BE1</f>
        <v>0</v>
      </c>
      <c r="AY1196">
        <f>'Base DCF'!BF1</f>
        <v>0</v>
      </c>
      <c r="AZ1196">
        <f>'Base DCF'!BG1</f>
        <v>0</v>
      </c>
      <c r="BA1196">
        <f>'Base DCF'!BH1</f>
        <v>0</v>
      </c>
      <c r="BB1196">
        <f>'Base DCF'!BI1</f>
        <v>0</v>
      </c>
      <c r="BC1196">
        <f>'Base DCF'!BJ1</f>
        <v>0</v>
      </c>
      <c r="BD1196">
        <f>'Base DCF'!BK1</f>
        <v>0</v>
      </c>
      <c r="BE1196">
        <f>'Base DCF'!BL1</f>
        <v>0</v>
      </c>
      <c r="BF1196">
        <f>'Base DCF'!BM1</f>
        <v>0</v>
      </c>
      <c r="BG1196">
        <f>'Base DCF'!BN1</f>
        <v>0</v>
      </c>
      <c r="BH1196">
        <f>'Base DCF'!BO1</f>
        <v>0</v>
      </c>
      <c r="BI1196">
        <f>'Base DCF'!BP1</f>
        <v>0</v>
      </c>
      <c r="BJ1196">
        <f>'Base DCF'!BQ1</f>
        <v>0</v>
      </c>
      <c r="BK1196">
        <f>'Base DCF'!BR1</f>
        <v>0</v>
      </c>
      <c r="BL1196">
        <f>'Base DCF'!BS1</f>
        <v>0</v>
      </c>
      <c r="BM1196">
        <f>'Base DCF'!BT1</f>
        <v>0</v>
      </c>
      <c r="BN1196">
        <f>'Base DCF'!BU1</f>
        <v>0</v>
      </c>
      <c r="BO1196">
        <f>'Base DCF'!BV1</f>
        <v>0</v>
      </c>
      <c r="BP1196">
        <f>'Base DCF'!BW1</f>
        <v>0</v>
      </c>
      <c r="BQ1196">
        <f>'Base DCF'!BX1</f>
        <v>0</v>
      </c>
      <c r="BR1196">
        <f>'Base DCF'!BY1</f>
        <v>0</v>
      </c>
      <c r="BS1196">
        <f>'Base DCF'!BZ1</f>
        <v>0</v>
      </c>
      <c r="BT1196">
        <f>'Base DCF'!CA1</f>
        <v>0</v>
      </c>
      <c r="BU1196">
        <f>'Base DCF'!CB1</f>
        <v>0</v>
      </c>
      <c r="BV1196">
        <f>'Base DCF'!CC1</f>
        <v>0</v>
      </c>
      <c r="BW1196">
        <f>'Base DCF'!CD1</f>
        <v>0</v>
      </c>
      <c r="BX1196">
        <f>'Base DCF'!CE1</f>
        <v>0</v>
      </c>
      <c r="BY1196">
        <f>'Base DCF'!CF1</f>
        <v>0</v>
      </c>
      <c r="BZ1196">
        <f>'Base DCF'!CG1</f>
        <v>0</v>
      </c>
      <c r="CA1196">
        <f>'Base DCF'!CH1</f>
        <v>0</v>
      </c>
      <c r="CB1196">
        <f>'Base DCF'!CI1</f>
        <v>0</v>
      </c>
      <c r="CC1196">
        <f>'Base DCF'!CJ1</f>
        <v>0</v>
      </c>
      <c r="CD1196">
        <f>'Base DCF'!CK1</f>
        <v>0</v>
      </c>
      <c r="CE1196">
        <f>'Base DCF'!CL1</f>
        <v>0</v>
      </c>
      <c r="CF1196">
        <f>'Base DCF'!CM1</f>
        <v>0</v>
      </c>
      <c r="CG1196">
        <f>'Base DCF'!CN1</f>
        <v>0</v>
      </c>
      <c r="CH1196">
        <f>'Base DCF'!CO1</f>
        <v>0</v>
      </c>
      <c r="CI1196">
        <f>'Base DCF'!CP1</f>
        <v>0</v>
      </c>
      <c r="CJ1196">
        <f>'Base DCF'!CQ1</f>
        <v>0</v>
      </c>
      <c r="CK1196">
        <f>'Base DCF'!CR1</f>
        <v>0</v>
      </c>
      <c r="CL1196">
        <f>'Base DCF'!CS1</f>
        <v>0</v>
      </c>
      <c r="CM1196">
        <f>'Base DCF'!CT1</f>
        <v>0</v>
      </c>
      <c r="CN1196">
        <f>'Base DCF'!CU1</f>
        <v>0</v>
      </c>
      <c r="CO1196">
        <f>'Base DCF'!CV1</f>
        <v>0</v>
      </c>
      <c r="CP1196">
        <f>'Base DCF'!CW1</f>
        <v>0</v>
      </c>
      <c r="CQ1196">
        <f>'Base DCF'!CX1</f>
        <v>0</v>
      </c>
      <c r="CR1196">
        <f>'Base DCF'!CY1</f>
        <v>0</v>
      </c>
      <c r="CS1196">
        <f>'Base DCF'!CZ1</f>
        <v>0</v>
      </c>
      <c r="CT1196">
        <f>'Base DCF'!DA1</f>
        <v>0</v>
      </c>
      <c r="CU1196">
        <f>'Base DCF'!DB1</f>
        <v>0</v>
      </c>
      <c r="CV1196">
        <f>'Base DCF'!DC1</f>
        <v>0</v>
      </c>
      <c r="CW1196">
        <f>'Base DCF'!DD1</f>
        <v>0</v>
      </c>
      <c r="CX1196">
        <f>'Base DCF'!DE1</f>
        <v>0</v>
      </c>
      <c r="CY1196">
        <f>'Base DCF'!DF1</f>
        <v>0</v>
      </c>
      <c r="CZ1196">
        <f>'Base DCF'!DG1</f>
        <v>0</v>
      </c>
      <c r="DA1196">
        <f>'Base DCF'!DH1</f>
        <v>0</v>
      </c>
    </row>
    <row r="1197" spans="1:105">
      <c r="A1197">
        <f>'Base DCF'!H2</f>
        <v>0</v>
      </c>
      <c r="B1197">
        <f>'Base DCF'!I2</f>
        <v>0</v>
      </c>
      <c r="C1197">
        <f>'Base DCF'!J2</f>
        <v>0</v>
      </c>
      <c r="D1197">
        <f>'Base DCF'!K2</f>
        <v>0</v>
      </c>
      <c r="E1197">
        <f>'Base DCF'!L2</f>
        <v>0</v>
      </c>
      <c r="F1197">
        <f>'Base DCF'!M2</f>
        <v>0</v>
      </c>
      <c r="G1197">
        <f>'Base DCF'!N2</f>
        <v>0</v>
      </c>
      <c r="H1197">
        <f>'Base DCF'!O2</f>
        <v>0</v>
      </c>
      <c r="I1197">
        <f>'Base DCF'!P2</f>
        <v>0</v>
      </c>
      <c r="J1197">
        <f>'Base DCF'!Q2</f>
        <v>0</v>
      </c>
      <c r="K1197">
        <f>'Base DCF'!R2</f>
        <v>0</v>
      </c>
      <c r="L1197">
        <f>'Base DCF'!S2</f>
        <v>0</v>
      </c>
      <c r="M1197">
        <f>'Base DCF'!T2</f>
        <v>0</v>
      </c>
      <c r="N1197">
        <f>'Base DCF'!U2</f>
        <v>0</v>
      </c>
      <c r="O1197">
        <f>'Base DCF'!V2</f>
        <v>0</v>
      </c>
      <c r="P1197">
        <f>'Base DCF'!W2</f>
        <v>0</v>
      </c>
      <c r="Q1197">
        <f>'Base DCF'!X2</f>
        <v>0</v>
      </c>
      <c r="R1197">
        <f>'Base DCF'!Y2</f>
        <v>0</v>
      </c>
      <c r="S1197">
        <f>'Base DCF'!Z2</f>
        <v>0</v>
      </c>
      <c r="T1197">
        <f>'Base DCF'!AA2</f>
        <v>0</v>
      </c>
      <c r="U1197">
        <f>'Base DCF'!AB2</f>
        <v>0</v>
      </c>
      <c r="V1197">
        <f>'Base DCF'!AC2</f>
        <v>0</v>
      </c>
      <c r="W1197">
        <f>'Base DCF'!AD2</f>
        <v>0</v>
      </c>
      <c r="X1197">
        <f>'Base DCF'!AE2</f>
        <v>0</v>
      </c>
      <c r="Y1197">
        <f>'Base DCF'!AF2</f>
        <v>0</v>
      </c>
      <c r="Z1197">
        <f>'Base DCF'!AG2</f>
        <v>0</v>
      </c>
      <c r="AA1197">
        <f>'Base DCF'!AH2</f>
        <v>0</v>
      </c>
      <c r="AB1197">
        <f>'Base DCF'!AI2</f>
        <v>0</v>
      </c>
      <c r="AC1197">
        <f>'Base DCF'!AJ2</f>
        <v>0</v>
      </c>
      <c r="AD1197">
        <f>'Base DCF'!AK2</f>
        <v>0</v>
      </c>
      <c r="AE1197">
        <f>'Base DCF'!AL2</f>
        <v>0</v>
      </c>
      <c r="AF1197">
        <f>'Base DCF'!AM2</f>
        <v>0</v>
      </c>
      <c r="AG1197">
        <f>'Base DCF'!AN2</f>
        <v>0</v>
      </c>
      <c r="AH1197">
        <f>'Base DCF'!AO2</f>
        <v>0</v>
      </c>
      <c r="AI1197">
        <f>'Base DCF'!AP2</f>
        <v>0</v>
      </c>
      <c r="AJ1197">
        <f>'Base DCF'!AQ2</f>
        <v>0</v>
      </c>
      <c r="AK1197">
        <f>'Base DCF'!AR2</f>
        <v>0</v>
      </c>
      <c r="AL1197">
        <f>'Base DCF'!AS2</f>
        <v>0</v>
      </c>
      <c r="AM1197">
        <f>'Base DCF'!AT2</f>
        <v>0</v>
      </c>
      <c r="AN1197">
        <f>'Base DCF'!AU2</f>
        <v>0</v>
      </c>
      <c r="AO1197">
        <f>'Base DCF'!AV2</f>
        <v>0</v>
      </c>
      <c r="AP1197">
        <f>'Base DCF'!AW2</f>
        <v>0</v>
      </c>
      <c r="AQ1197">
        <f>'Base DCF'!AX2</f>
        <v>0</v>
      </c>
      <c r="AR1197">
        <f>'Base DCF'!AY2</f>
        <v>0</v>
      </c>
      <c r="AS1197">
        <f>'Base DCF'!AZ2</f>
        <v>0</v>
      </c>
      <c r="AT1197">
        <f>'Base DCF'!BA2</f>
        <v>0</v>
      </c>
      <c r="AU1197">
        <f>'Base DCF'!BB2</f>
        <v>0</v>
      </c>
      <c r="AV1197">
        <f>'Base DCF'!BC2</f>
        <v>0</v>
      </c>
      <c r="AW1197">
        <f>'Base DCF'!BD2</f>
        <v>0</v>
      </c>
      <c r="AX1197">
        <f>'Base DCF'!BE2</f>
        <v>0</v>
      </c>
      <c r="AY1197">
        <f>'Base DCF'!BF2</f>
        <v>0</v>
      </c>
      <c r="AZ1197">
        <f>'Base DCF'!BG2</f>
        <v>0</v>
      </c>
      <c r="BA1197">
        <f>'Base DCF'!BH2</f>
        <v>0</v>
      </c>
      <c r="BB1197">
        <f>'Base DCF'!BI2</f>
        <v>0</v>
      </c>
      <c r="BC1197">
        <f>'Base DCF'!BJ2</f>
        <v>0</v>
      </c>
      <c r="BD1197">
        <f>'Base DCF'!BK2</f>
        <v>0</v>
      </c>
      <c r="BE1197">
        <f>'Base DCF'!BL2</f>
        <v>0</v>
      </c>
      <c r="BF1197">
        <f>'Base DCF'!BM2</f>
        <v>0</v>
      </c>
      <c r="BG1197">
        <f>'Base DCF'!BN2</f>
        <v>0</v>
      </c>
      <c r="BH1197">
        <f>'Base DCF'!BO2</f>
        <v>0</v>
      </c>
      <c r="BI1197">
        <f>'Base DCF'!BP2</f>
        <v>0</v>
      </c>
      <c r="BJ1197">
        <f>'Base DCF'!BQ2</f>
        <v>0</v>
      </c>
      <c r="BK1197">
        <f>'Base DCF'!BR2</f>
        <v>0</v>
      </c>
      <c r="BL1197">
        <f>'Base DCF'!BS2</f>
        <v>0</v>
      </c>
      <c r="BM1197">
        <f>'Base DCF'!BT2</f>
        <v>0</v>
      </c>
      <c r="BN1197">
        <f>'Base DCF'!BU2</f>
        <v>0</v>
      </c>
      <c r="BO1197">
        <f>'Base DCF'!BV2</f>
        <v>0</v>
      </c>
      <c r="BP1197">
        <f>'Base DCF'!BW2</f>
        <v>0</v>
      </c>
      <c r="BQ1197">
        <f>'Base DCF'!BX2</f>
        <v>0</v>
      </c>
      <c r="BR1197">
        <f>'Base DCF'!BY2</f>
        <v>0</v>
      </c>
      <c r="BS1197">
        <f>'Base DCF'!BZ2</f>
        <v>0</v>
      </c>
      <c r="BT1197">
        <f>'Base DCF'!CA2</f>
        <v>0</v>
      </c>
      <c r="BU1197">
        <f>'Base DCF'!CB2</f>
        <v>0</v>
      </c>
      <c r="BV1197">
        <f>'Base DCF'!CC2</f>
        <v>0</v>
      </c>
      <c r="BW1197">
        <f>'Base DCF'!CD2</f>
        <v>0</v>
      </c>
      <c r="BX1197">
        <f>'Base DCF'!CE2</f>
        <v>0</v>
      </c>
      <c r="BY1197">
        <f>'Base DCF'!CF2</f>
        <v>0</v>
      </c>
      <c r="BZ1197">
        <f>'Base DCF'!CG2</f>
        <v>0</v>
      </c>
      <c r="CA1197">
        <f>'Base DCF'!CH2</f>
        <v>0</v>
      </c>
      <c r="CB1197">
        <f>'Base DCF'!CI2</f>
        <v>0</v>
      </c>
      <c r="CC1197">
        <f>'Base DCF'!CJ2</f>
        <v>0</v>
      </c>
      <c r="CD1197">
        <f>'Base DCF'!CK2</f>
        <v>0</v>
      </c>
      <c r="CE1197">
        <f>'Base DCF'!CL2</f>
        <v>0</v>
      </c>
      <c r="CF1197">
        <f>'Base DCF'!CM2</f>
        <v>0</v>
      </c>
      <c r="CG1197">
        <f>'Base DCF'!CN2</f>
        <v>0</v>
      </c>
      <c r="CH1197">
        <f>'Base DCF'!CO2</f>
        <v>0</v>
      </c>
      <c r="CI1197">
        <f>'Base DCF'!CP2</f>
        <v>0</v>
      </c>
      <c r="CJ1197">
        <f>'Base DCF'!CQ2</f>
        <v>0</v>
      </c>
      <c r="CK1197">
        <f>'Base DCF'!CR2</f>
        <v>0</v>
      </c>
      <c r="CL1197">
        <f>'Base DCF'!CS2</f>
        <v>0</v>
      </c>
      <c r="CM1197">
        <f>'Base DCF'!CT2</f>
        <v>0</v>
      </c>
      <c r="CN1197">
        <f>'Base DCF'!CU2</f>
        <v>0</v>
      </c>
      <c r="CO1197">
        <f>'Base DCF'!CV2</f>
        <v>0</v>
      </c>
      <c r="CP1197">
        <f>'Base DCF'!CW2</f>
        <v>0</v>
      </c>
      <c r="CQ1197">
        <f>'Base DCF'!CX2</f>
        <v>0</v>
      </c>
      <c r="CR1197">
        <f>'Base DCF'!CY2</f>
        <v>0</v>
      </c>
      <c r="CS1197">
        <f>'Base DCF'!CZ2</f>
        <v>0</v>
      </c>
      <c r="CT1197">
        <f>'Base DCF'!DA2</f>
        <v>0</v>
      </c>
      <c r="CU1197">
        <f>'Base DCF'!DB2</f>
        <v>0</v>
      </c>
      <c r="CV1197">
        <f>'Base DCF'!DC2</f>
        <v>0</v>
      </c>
      <c r="CW1197">
        <f>'Base DCF'!DD2</f>
        <v>0</v>
      </c>
      <c r="CX1197">
        <f>'Base DCF'!DE2</f>
        <v>0</v>
      </c>
      <c r="CY1197">
        <f>'Base DCF'!DF2</f>
        <v>0</v>
      </c>
      <c r="CZ1197">
        <f>'Base DCF'!DG2</f>
        <v>0</v>
      </c>
      <c r="DA1197">
        <f>'Base DCF'!DH2</f>
        <v>0</v>
      </c>
    </row>
    <row r="1200" spans="1:105">
      <c r="A1200">
        <f>'Base DCF'!H3</f>
        <v>0</v>
      </c>
      <c r="B1200">
        <f>'Base DCF'!I3</f>
        <v>0</v>
      </c>
      <c r="C1200">
        <f>'Base DCF'!J3</f>
        <v>0</v>
      </c>
      <c r="D1200">
        <f>'Base DCF'!K3</f>
        <v>0</v>
      </c>
      <c r="E1200">
        <f>'Base DCF'!L3</f>
        <v>0</v>
      </c>
      <c r="F1200">
        <f>'Base DCF'!M3</f>
        <v>0</v>
      </c>
      <c r="G1200">
        <f>'Base DCF'!N3</f>
        <v>0</v>
      </c>
      <c r="H1200">
        <f>'Base DCF'!O3</f>
        <v>0</v>
      </c>
      <c r="I1200">
        <f>'Base DCF'!P3</f>
        <v>0</v>
      </c>
      <c r="J1200">
        <f>'Base DCF'!Q3</f>
        <v>0</v>
      </c>
      <c r="K1200">
        <f>'Base DCF'!R3</f>
        <v>0</v>
      </c>
      <c r="L1200">
        <f>'Base DCF'!S3</f>
        <v>0</v>
      </c>
      <c r="M1200">
        <f>'Base DCF'!T3</f>
        <v>0</v>
      </c>
      <c r="N1200">
        <f>'Base DCF'!U3</f>
        <v>0</v>
      </c>
      <c r="O1200">
        <f>'Base DCF'!V3</f>
        <v>0</v>
      </c>
      <c r="P1200">
        <f>'Base DCF'!W3</f>
        <v>0</v>
      </c>
      <c r="Q1200">
        <f>'Base DCF'!X3</f>
        <v>0</v>
      </c>
      <c r="R1200">
        <f>'Base DCF'!Y3</f>
        <v>0</v>
      </c>
      <c r="S1200">
        <f>'Base DCF'!Z3</f>
        <v>0</v>
      </c>
      <c r="T1200">
        <f>'Base DCF'!AA3</f>
        <v>0</v>
      </c>
      <c r="U1200">
        <f>'Base DCF'!AB3</f>
        <v>0</v>
      </c>
      <c r="V1200">
        <f>'Base DCF'!AC3</f>
        <v>0</v>
      </c>
      <c r="W1200">
        <f>'Base DCF'!AD3</f>
        <v>0</v>
      </c>
      <c r="X1200">
        <f>'Base DCF'!AE3</f>
        <v>0</v>
      </c>
      <c r="Y1200">
        <f>'Base DCF'!AF3</f>
        <v>0</v>
      </c>
      <c r="Z1200">
        <f>'Base DCF'!AG3</f>
        <v>0</v>
      </c>
      <c r="AA1200">
        <f>'Base DCF'!AH3</f>
        <v>0</v>
      </c>
      <c r="AB1200">
        <f>'Base DCF'!AI3</f>
        <v>0</v>
      </c>
      <c r="AC1200">
        <f>'Base DCF'!AJ3</f>
        <v>0</v>
      </c>
      <c r="AD1200">
        <f>'Base DCF'!AK3</f>
        <v>0</v>
      </c>
      <c r="AE1200">
        <f>'Base DCF'!AL3</f>
        <v>0</v>
      </c>
      <c r="AF1200">
        <f>'Base DCF'!AM3</f>
        <v>0</v>
      </c>
      <c r="AG1200">
        <f>'Base DCF'!AN3</f>
        <v>0</v>
      </c>
      <c r="AH1200">
        <f>'Base DCF'!AO3</f>
        <v>0</v>
      </c>
      <c r="AI1200">
        <f>'Base DCF'!AP3</f>
        <v>0</v>
      </c>
      <c r="AJ1200">
        <f>'Base DCF'!AQ3</f>
        <v>0</v>
      </c>
      <c r="AK1200">
        <f>'Base DCF'!AR3</f>
        <v>0</v>
      </c>
      <c r="AL1200">
        <f>'Base DCF'!AS3</f>
        <v>0</v>
      </c>
      <c r="AM1200">
        <f>'Base DCF'!AT3</f>
        <v>0</v>
      </c>
      <c r="AN1200">
        <f>'Base DCF'!AU3</f>
        <v>0</v>
      </c>
      <c r="AO1200">
        <f>'Base DCF'!AV3</f>
        <v>0</v>
      </c>
      <c r="AP1200">
        <f>'Base DCF'!AW3</f>
        <v>0</v>
      </c>
      <c r="AQ1200">
        <f>'Base DCF'!AX3</f>
        <v>0</v>
      </c>
      <c r="AR1200">
        <f>'Base DCF'!AY3</f>
        <v>0</v>
      </c>
      <c r="AS1200">
        <f>'Base DCF'!AZ3</f>
        <v>0</v>
      </c>
      <c r="AT1200">
        <f>'Base DCF'!BA3</f>
        <v>0</v>
      </c>
      <c r="AU1200">
        <f>'Base DCF'!BB3</f>
        <v>0</v>
      </c>
      <c r="AV1200">
        <f>'Base DCF'!BC3</f>
        <v>0</v>
      </c>
      <c r="AW1200">
        <f>'Base DCF'!BD3</f>
        <v>0</v>
      </c>
      <c r="AX1200">
        <f>'Base DCF'!BE3</f>
        <v>0</v>
      </c>
      <c r="AY1200">
        <f>'Base DCF'!BF3</f>
        <v>0</v>
      </c>
      <c r="AZ1200">
        <f>'Base DCF'!BG3</f>
        <v>0</v>
      </c>
      <c r="BA1200">
        <f>'Base DCF'!BH3</f>
        <v>0</v>
      </c>
      <c r="BB1200">
        <f>'Base DCF'!BI3</f>
        <v>0</v>
      </c>
      <c r="BC1200">
        <f>'Base DCF'!BJ3</f>
        <v>0</v>
      </c>
      <c r="BD1200">
        <f>'Base DCF'!BK3</f>
        <v>0</v>
      </c>
      <c r="BE1200">
        <f>'Base DCF'!BL3</f>
        <v>0</v>
      </c>
      <c r="BF1200">
        <f>'Base DCF'!BM3</f>
        <v>0</v>
      </c>
      <c r="BG1200">
        <f>'Base DCF'!BN3</f>
        <v>0</v>
      </c>
      <c r="BH1200">
        <f>'Base DCF'!BO3</f>
        <v>0</v>
      </c>
      <c r="BI1200">
        <f>'Base DCF'!BP3</f>
        <v>0</v>
      </c>
      <c r="BJ1200">
        <f>'Base DCF'!BQ3</f>
        <v>0</v>
      </c>
      <c r="BK1200">
        <f>'Base DCF'!BR3</f>
        <v>0</v>
      </c>
      <c r="BL1200">
        <f>'Base DCF'!BS3</f>
        <v>0</v>
      </c>
      <c r="BM1200">
        <f>'Base DCF'!BT3</f>
        <v>0</v>
      </c>
      <c r="BN1200">
        <f>'Base DCF'!BU3</f>
        <v>0</v>
      </c>
      <c r="BO1200">
        <f>'Base DCF'!BV3</f>
        <v>0</v>
      </c>
      <c r="BP1200">
        <f>'Base DCF'!BW3</f>
        <v>0</v>
      </c>
      <c r="BQ1200">
        <f>'Base DCF'!BX3</f>
        <v>0</v>
      </c>
      <c r="BR1200">
        <f>'Base DCF'!BY3</f>
        <v>0</v>
      </c>
      <c r="BS1200">
        <f>'Base DCF'!BZ3</f>
        <v>0</v>
      </c>
      <c r="BT1200">
        <f>'Base DCF'!CA3</f>
        <v>0</v>
      </c>
      <c r="BU1200">
        <f>'Base DCF'!CB3</f>
        <v>0</v>
      </c>
      <c r="BV1200">
        <f>'Base DCF'!CC3</f>
        <v>0</v>
      </c>
      <c r="BW1200">
        <f>'Base DCF'!CD3</f>
        <v>0</v>
      </c>
      <c r="BX1200">
        <f>'Base DCF'!CE3</f>
        <v>0</v>
      </c>
      <c r="BY1200">
        <f>'Base DCF'!CF3</f>
        <v>0</v>
      </c>
      <c r="BZ1200">
        <f>'Base DCF'!CG3</f>
        <v>0</v>
      </c>
      <c r="CA1200">
        <f>'Base DCF'!CH3</f>
        <v>0</v>
      </c>
      <c r="CB1200">
        <f>'Base DCF'!CI3</f>
        <v>0</v>
      </c>
      <c r="CC1200">
        <f>'Base DCF'!CJ3</f>
        <v>0</v>
      </c>
      <c r="CD1200">
        <f>'Base DCF'!CK3</f>
        <v>0</v>
      </c>
      <c r="CE1200">
        <f>'Base DCF'!CL3</f>
        <v>0</v>
      </c>
      <c r="CF1200">
        <f>'Base DCF'!CM3</f>
        <v>0</v>
      </c>
      <c r="CG1200">
        <f>'Base DCF'!CN3</f>
        <v>0</v>
      </c>
      <c r="CH1200">
        <f>'Base DCF'!CO3</f>
        <v>0</v>
      </c>
      <c r="CI1200">
        <f>'Base DCF'!CP3</f>
        <v>0</v>
      </c>
      <c r="CJ1200">
        <f>'Base DCF'!CQ3</f>
        <v>0</v>
      </c>
      <c r="CK1200">
        <f>'Base DCF'!CR3</f>
        <v>0</v>
      </c>
      <c r="CL1200">
        <f>'Base DCF'!CS3</f>
        <v>0</v>
      </c>
      <c r="CM1200">
        <f>'Base DCF'!CT3</f>
        <v>0</v>
      </c>
      <c r="CN1200">
        <f>'Base DCF'!CU3</f>
        <v>0</v>
      </c>
      <c r="CO1200">
        <f>'Base DCF'!CV3</f>
        <v>0</v>
      </c>
      <c r="CP1200">
        <f>'Base DCF'!CW3</f>
        <v>0</v>
      </c>
      <c r="CQ1200">
        <f>'Base DCF'!CX3</f>
        <v>0</v>
      </c>
      <c r="CR1200">
        <f>'Base DCF'!CY3</f>
        <v>0</v>
      </c>
      <c r="CS1200">
        <f>'Base DCF'!CZ3</f>
        <v>0</v>
      </c>
      <c r="CT1200">
        <f>'Base DCF'!DA3</f>
        <v>0</v>
      </c>
      <c r="CU1200">
        <f>'Base DCF'!DB3</f>
        <v>0</v>
      </c>
      <c r="CV1200">
        <f>'Base DCF'!DC3</f>
        <v>0</v>
      </c>
      <c r="CW1200">
        <f>'Base DCF'!DD3</f>
        <v>0</v>
      </c>
      <c r="CX1200">
        <f>'Base DCF'!DE3</f>
        <v>0</v>
      </c>
      <c r="CY1200">
        <f>'Base DCF'!DF3</f>
        <v>0</v>
      </c>
      <c r="CZ1200">
        <f>'Base DCF'!DG3</f>
        <v>0</v>
      </c>
      <c r="DA1200">
        <f>'Base DCF'!DH3</f>
        <v>0</v>
      </c>
    </row>
    <row r="1201" spans="1:105">
      <c r="A1201">
        <f>'Base DCF'!H4</f>
        <v>0</v>
      </c>
      <c r="B1201" t="str">
        <f>'Base DCF'!I4</f>
        <v>Period-End Date</v>
      </c>
      <c r="C1201">
        <f>'Base DCF'!J4</f>
        <v>0</v>
      </c>
      <c r="D1201">
        <f>'Base DCF'!K4</f>
        <v>0</v>
      </c>
      <c r="E1201">
        <f>'Base DCF'!L4</f>
        <v>0</v>
      </c>
      <c r="F1201">
        <f>'Base DCF'!M4</f>
        <v>0</v>
      </c>
      <c r="G1201">
        <f>'Base DCF'!N4</f>
        <v>0</v>
      </c>
      <c r="H1201">
        <f>'Base DCF'!O4</f>
        <v>0</v>
      </c>
      <c r="I1201">
        <f>'Base DCF'!P4</f>
        <v>0</v>
      </c>
      <c r="J1201">
        <f>'Base DCF'!Q4</f>
        <v>0</v>
      </c>
      <c r="K1201">
        <f>'Base DCF'!R4</f>
        <v>0</v>
      </c>
      <c r="L1201">
        <f>'Base DCF'!S4</f>
        <v>0</v>
      </c>
      <c r="M1201">
        <f>'Base DCF'!T4</f>
        <v>0</v>
      </c>
      <c r="N1201">
        <f>'Base DCF'!U4</f>
        <v>0</v>
      </c>
      <c r="O1201">
        <f>'Base DCF'!V4</f>
        <v>0</v>
      </c>
      <c r="P1201">
        <f>'Base DCF'!W4</f>
        <v>0</v>
      </c>
      <c r="Q1201">
        <f>'Base DCF'!X4</f>
        <v>0</v>
      </c>
      <c r="R1201">
        <f>'Base DCF'!Y4</f>
        <v>0</v>
      </c>
      <c r="S1201">
        <f>'Base DCF'!Z4</f>
        <v>0</v>
      </c>
      <c r="T1201">
        <f>'Base DCF'!AA4</f>
        <v>0</v>
      </c>
      <c r="U1201">
        <f>'Base DCF'!AB4</f>
        <v>0</v>
      </c>
      <c r="V1201">
        <f>'Base DCF'!AC4</f>
        <v>0</v>
      </c>
      <c r="W1201">
        <f>'Base DCF'!AD4</f>
        <v>0</v>
      </c>
      <c r="X1201">
        <f>'Base DCF'!AE4</f>
        <v>0</v>
      </c>
      <c r="Y1201">
        <f>'Base DCF'!AF4</f>
        <v>0</v>
      </c>
      <c r="Z1201">
        <f>'Base DCF'!AG4</f>
        <v>0</v>
      </c>
      <c r="AA1201">
        <f>'Base DCF'!AH4</f>
        <v>0</v>
      </c>
      <c r="AB1201">
        <f>'Base DCF'!AI4</f>
        <v>0</v>
      </c>
      <c r="AC1201">
        <f>'Base DCF'!AJ4</f>
        <v>0</v>
      </c>
      <c r="AD1201">
        <f>'Base DCF'!AK4</f>
        <v>0</v>
      </c>
      <c r="AE1201">
        <f>'Base DCF'!AL4</f>
        <v>0</v>
      </c>
      <c r="AF1201">
        <f>'Base DCF'!AM4</f>
        <v>0</v>
      </c>
      <c r="AG1201">
        <f>'Base DCF'!AN4</f>
        <v>0</v>
      </c>
      <c r="AH1201">
        <f>'Base DCF'!AO4</f>
        <v>0</v>
      </c>
      <c r="AI1201">
        <f>'Base DCF'!AP4</f>
        <v>0</v>
      </c>
      <c r="AJ1201">
        <f>'Base DCF'!AQ4</f>
        <v>0</v>
      </c>
      <c r="AK1201">
        <f>'Base DCF'!AR4</f>
        <v>0</v>
      </c>
      <c r="AL1201">
        <f>'Base DCF'!AS4</f>
        <v>0</v>
      </c>
      <c r="AM1201">
        <f>'Base DCF'!AT4</f>
        <v>0</v>
      </c>
      <c r="AN1201">
        <f>'Base DCF'!AU4</f>
        <v>0</v>
      </c>
      <c r="AO1201">
        <f>'Base DCF'!AV4</f>
        <v>0</v>
      </c>
      <c r="AP1201">
        <f>'Base DCF'!AW4</f>
        <v>0</v>
      </c>
      <c r="AQ1201">
        <f>'Base DCF'!AX4</f>
        <v>0</v>
      </c>
      <c r="AR1201">
        <f>'Base DCF'!AY4</f>
        <v>0</v>
      </c>
      <c r="AS1201">
        <f>'Base DCF'!AZ4</f>
        <v>0</v>
      </c>
      <c r="AT1201">
        <f>'Base DCF'!BA4</f>
        <v>0</v>
      </c>
      <c r="AU1201">
        <f>'Base DCF'!BB4</f>
        <v>0</v>
      </c>
      <c r="AV1201">
        <f>'Base DCF'!BC4</f>
        <v>0</v>
      </c>
      <c r="AW1201">
        <f>'Base DCF'!BD4</f>
        <v>0</v>
      </c>
      <c r="AX1201">
        <f>'Base DCF'!BE4</f>
        <v>0</v>
      </c>
      <c r="AY1201">
        <f>'Base DCF'!BF4</f>
        <v>0</v>
      </c>
      <c r="AZ1201">
        <f>'Base DCF'!BG4</f>
        <v>0</v>
      </c>
      <c r="BA1201">
        <f>'Base DCF'!BH4</f>
        <v>0</v>
      </c>
      <c r="BB1201">
        <f>'Base DCF'!BI4</f>
        <v>0</v>
      </c>
      <c r="BC1201">
        <f>'Base DCF'!BJ4</f>
        <v>0</v>
      </c>
      <c r="BD1201">
        <f>'Base DCF'!BK4</f>
        <v>0</v>
      </c>
      <c r="BE1201">
        <f>'Base DCF'!BL4</f>
        <v>0</v>
      </c>
      <c r="BF1201">
        <f>'Base DCF'!BM4</f>
        <v>0</v>
      </c>
      <c r="BG1201">
        <f>'Base DCF'!BN4</f>
        <v>0</v>
      </c>
      <c r="BH1201">
        <f>'Base DCF'!BO4</f>
        <v>0</v>
      </c>
      <c r="BI1201">
        <f>'Base DCF'!BP4</f>
        <v>0</v>
      </c>
      <c r="BJ1201">
        <f>'Base DCF'!BQ4</f>
        <v>0</v>
      </c>
      <c r="BK1201">
        <f>'Base DCF'!BR4</f>
        <v>0</v>
      </c>
      <c r="BL1201">
        <f>'Base DCF'!BS4</f>
        <v>0</v>
      </c>
      <c r="BM1201">
        <f>'Base DCF'!BT4</f>
        <v>0</v>
      </c>
      <c r="BN1201">
        <f>'Base DCF'!BU4</f>
        <v>0</v>
      </c>
      <c r="BO1201">
        <f>'Base DCF'!BV4</f>
        <v>0</v>
      </c>
      <c r="BP1201">
        <f>'Base DCF'!BW4</f>
        <v>0</v>
      </c>
      <c r="BQ1201">
        <f>'Base DCF'!BX4</f>
        <v>0</v>
      </c>
      <c r="BR1201">
        <f>'Base DCF'!BY4</f>
        <v>0</v>
      </c>
      <c r="BS1201">
        <f>'Base DCF'!BZ4</f>
        <v>0</v>
      </c>
      <c r="BT1201">
        <f>'Base DCF'!CA4</f>
        <v>0</v>
      </c>
      <c r="BU1201">
        <f>'Base DCF'!CB4</f>
        <v>0</v>
      </c>
      <c r="BV1201">
        <f>'Base DCF'!CC4</f>
        <v>0</v>
      </c>
      <c r="BW1201">
        <f>'Base DCF'!CD4</f>
        <v>0</v>
      </c>
      <c r="BX1201">
        <f>'Base DCF'!CE4</f>
        <v>0</v>
      </c>
      <c r="BY1201">
        <f>'Base DCF'!CF4</f>
        <v>0</v>
      </c>
      <c r="BZ1201">
        <f>'Base DCF'!CG4</f>
        <v>0</v>
      </c>
      <c r="CA1201">
        <f>'Base DCF'!CH4</f>
        <v>0</v>
      </c>
      <c r="CB1201">
        <f>'Base DCF'!CI4</f>
        <v>0</v>
      </c>
      <c r="CC1201">
        <f>'Base DCF'!CJ4</f>
        <v>0</v>
      </c>
      <c r="CD1201">
        <f>'Base DCF'!CK4</f>
        <v>0</v>
      </c>
      <c r="CE1201">
        <f>'Base DCF'!CL4</f>
        <v>0</v>
      </c>
      <c r="CF1201">
        <f>'Base DCF'!CM4</f>
        <v>0</v>
      </c>
      <c r="CG1201">
        <f>'Base DCF'!CN4</f>
        <v>0</v>
      </c>
      <c r="CH1201">
        <f>'Base DCF'!CO4</f>
        <v>0</v>
      </c>
      <c r="CI1201">
        <f>'Base DCF'!CP4</f>
        <v>0</v>
      </c>
      <c r="CJ1201">
        <f>'Base DCF'!CQ4</f>
        <v>0</v>
      </c>
      <c r="CK1201">
        <f>'Base DCF'!CR4</f>
        <v>40908</v>
      </c>
      <c r="CL1201">
        <f>'Base DCF'!CS4</f>
        <v>41274</v>
      </c>
      <c r="CM1201">
        <f>'Base DCF'!CT4</f>
        <v>41639</v>
      </c>
      <c r="CN1201">
        <f>'Base DCF'!CU4</f>
        <v>42004</v>
      </c>
      <c r="CO1201">
        <f>'Base DCF'!CV4</f>
        <v>42369</v>
      </c>
      <c r="CP1201">
        <f>'Base DCF'!CW4</f>
        <v>42735</v>
      </c>
      <c r="CQ1201">
        <f>'Base DCF'!CX4</f>
        <v>43100</v>
      </c>
      <c r="CR1201">
        <f>'Base DCF'!CY4</f>
        <v>43465</v>
      </c>
      <c r="CS1201">
        <f>'Base DCF'!CZ4</f>
        <v>43830</v>
      </c>
      <c r="CT1201">
        <f>'Base DCF'!DA4</f>
        <v>44196</v>
      </c>
      <c r="CU1201">
        <f>'Base DCF'!DB4</f>
        <v>44561</v>
      </c>
      <c r="CV1201">
        <f>'Base DCF'!DC4</f>
        <v>44926</v>
      </c>
      <c r="CW1201">
        <f>'Base DCF'!DD4</f>
        <v>45291</v>
      </c>
      <c r="CX1201">
        <f>'Base DCF'!DE4</f>
        <v>45657</v>
      </c>
      <c r="CY1201">
        <f>'Base DCF'!DF4</f>
        <v>46022</v>
      </c>
      <c r="CZ1201">
        <f>'Base DCF'!DG4</f>
        <v>0</v>
      </c>
      <c r="DA1201">
        <f>'Base DCF'!DH4</f>
        <v>0</v>
      </c>
    </row>
    <row r="1202" spans="1:105">
      <c r="A1202">
        <f>'Base DCF'!H5</f>
        <v>0</v>
      </c>
      <c r="B1202" t="str">
        <f>'Base DCF'!I5</f>
        <v>Morgan Stanley | BKNG DCF</v>
      </c>
      <c r="C1202">
        <f>'Base DCF'!J5</f>
        <v>0</v>
      </c>
      <c r="D1202">
        <f>'Base DCF'!K5</f>
        <v>0</v>
      </c>
      <c r="E1202">
        <f>'Base DCF'!L5</f>
        <v>0</v>
      </c>
      <c r="F1202">
        <f>'Base DCF'!M5</f>
        <v>0</v>
      </c>
      <c r="G1202">
        <f>'Base DCF'!N5</f>
        <v>0</v>
      </c>
      <c r="H1202">
        <f>'Base DCF'!O5</f>
        <v>0</v>
      </c>
      <c r="I1202">
        <f>'Base DCF'!P5</f>
        <v>0</v>
      </c>
      <c r="J1202">
        <f>'Base DCF'!Q5</f>
        <v>0</v>
      </c>
      <c r="K1202">
        <f>'Base DCF'!R5</f>
        <v>0</v>
      </c>
      <c r="L1202">
        <f>'Base DCF'!S5</f>
        <v>0</v>
      </c>
      <c r="M1202">
        <f>'Base DCF'!T5</f>
        <v>0</v>
      </c>
      <c r="N1202">
        <f>'Base DCF'!U5</f>
        <v>0</v>
      </c>
      <c r="O1202">
        <f>'Base DCF'!V5</f>
        <v>0</v>
      </c>
      <c r="P1202">
        <f>'Base DCF'!W5</f>
        <v>0</v>
      </c>
      <c r="Q1202">
        <f>'Base DCF'!X5</f>
        <v>0</v>
      </c>
      <c r="R1202">
        <f>'Base DCF'!Y5</f>
        <v>0</v>
      </c>
      <c r="S1202">
        <f>'Base DCF'!Z5</f>
        <v>0</v>
      </c>
      <c r="T1202">
        <f>'Base DCF'!AA5</f>
        <v>0</v>
      </c>
      <c r="U1202">
        <f>'Base DCF'!AB5</f>
        <v>0</v>
      </c>
      <c r="V1202">
        <f>'Base DCF'!AC5</f>
        <v>0</v>
      </c>
      <c r="W1202">
        <f>'Base DCF'!AD5</f>
        <v>0</v>
      </c>
      <c r="X1202">
        <f>'Base DCF'!AE5</f>
        <v>0</v>
      </c>
      <c r="Y1202">
        <f>'Base DCF'!AF5</f>
        <v>0</v>
      </c>
      <c r="Z1202">
        <f>'Base DCF'!AG5</f>
        <v>0</v>
      </c>
      <c r="AA1202">
        <f>'Base DCF'!AH5</f>
        <v>0</v>
      </c>
      <c r="AB1202">
        <f>'Base DCF'!AI5</f>
        <v>0</v>
      </c>
      <c r="AC1202">
        <f>'Base DCF'!AJ5</f>
        <v>0</v>
      </c>
      <c r="AD1202">
        <f>'Base DCF'!AK5</f>
        <v>0</v>
      </c>
      <c r="AE1202">
        <f>'Base DCF'!AL5</f>
        <v>0</v>
      </c>
      <c r="AF1202">
        <f>'Base DCF'!AM5</f>
        <v>0</v>
      </c>
      <c r="AG1202">
        <f>'Base DCF'!AN5</f>
        <v>0</v>
      </c>
      <c r="AH1202">
        <f>'Base DCF'!AO5</f>
        <v>0</v>
      </c>
      <c r="AI1202">
        <f>'Base DCF'!AP5</f>
        <v>0</v>
      </c>
      <c r="AJ1202">
        <f>'Base DCF'!AQ5</f>
        <v>0</v>
      </c>
      <c r="AK1202">
        <f>'Base DCF'!AR5</f>
        <v>0</v>
      </c>
      <c r="AL1202">
        <f>'Base DCF'!AS5</f>
        <v>0</v>
      </c>
      <c r="AM1202">
        <f>'Base DCF'!AT5</f>
        <v>0</v>
      </c>
      <c r="AN1202">
        <f>'Base DCF'!AU5</f>
        <v>0</v>
      </c>
      <c r="AO1202">
        <f>'Base DCF'!AV5</f>
        <v>0</v>
      </c>
      <c r="AP1202">
        <f>'Base DCF'!AW5</f>
        <v>0</v>
      </c>
      <c r="AQ1202">
        <f>'Base DCF'!AX5</f>
        <v>0</v>
      </c>
      <c r="AR1202">
        <f>'Base DCF'!AY5</f>
        <v>0</v>
      </c>
      <c r="AS1202">
        <f>'Base DCF'!AZ5</f>
        <v>0</v>
      </c>
      <c r="AT1202">
        <f>'Base DCF'!BA5</f>
        <v>0</v>
      </c>
      <c r="AU1202">
        <f>'Base DCF'!BB5</f>
        <v>0</v>
      </c>
      <c r="AV1202">
        <f>'Base DCF'!BC5</f>
        <v>0</v>
      </c>
      <c r="AW1202">
        <f>'Base DCF'!BD5</f>
        <v>0</v>
      </c>
      <c r="AX1202">
        <f>'Base DCF'!BE5</f>
        <v>0</v>
      </c>
      <c r="AY1202">
        <f>'Base DCF'!BF5</f>
        <v>0</v>
      </c>
      <c r="AZ1202">
        <f>'Base DCF'!BG5</f>
        <v>0</v>
      </c>
      <c r="BA1202">
        <f>'Base DCF'!BH5</f>
        <v>0</v>
      </c>
      <c r="BB1202">
        <f>'Base DCF'!BI5</f>
        <v>0</v>
      </c>
      <c r="BC1202">
        <f>'Base DCF'!BJ5</f>
        <v>0</v>
      </c>
      <c r="BD1202">
        <f>'Base DCF'!BK5</f>
        <v>0</v>
      </c>
      <c r="BE1202">
        <f>'Base DCF'!BL5</f>
        <v>0</v>
      </c>
      <c r="BF1202">
        <f>'Base DCF'!BM5</f>
        <v>0</v>
      </c>
      <c r="BG1202">
        <f>'Base DCF'!BN5</f>
        <v>0</v>
      </c>
      <c r="BH1202">
        <f>'Base DCF'!BO5</f>
        <v>0</v>
      </c>
      <c r="BI1202">
        <f>'Base DCF'!BP5</f>
        <v>0</v>
      </c>
      <c r="BJ1202">
        <f>'Base DCF'!BQ5</f>
        <v>0</v>
      </c>
      <c r="BK1202">
        <f>'Base DCF'!BR5</f>
        <v>0</v>
      </c>
      <c r="BL1202">
        <f>'Base DCF'!BS5</f>
        <v>0</v>
      </c>
      <c r="BM1202">
        <f>'Base DCF'!BT5</f>
        <v>0</v>
      </c>
      <c r="BN1202">
        <f>'Base DCF'!BU5</f>
        <v>0</v>
      </c>
      <c r="BO1202">
        <f>'Base DCF'!BV5</f>
        <v>0</v>
      </c>
      <c r="BP1202">
        <f>'Base DCF'!BW5</f>
        <v>0</v>
      </c>
      <c r="BQ1202">
        <f>'Base DCF'!BX5</f>
        <v>0</v>
      </c>
      <c r="BR1202">
        <f>'Base DCF'!BY5</f>
        <v>0</v>
      </c>
      <c r="BS1202">
        <f>'Base DCF'!BZ5</f>
        <v>0</v>
      </c>
      <c r="BT1202">
        <f>'Base DCF'!CA5</f>
        <v>0</v>
      </c>
      <c r="BU1202">
        <f>'Base DCF'!CB5</f>
        <v>0</v>
      </c>
      <c r="BV1202">
        <f>'Base DCF'!CC5</f>
        <v>0</v>
      </c>
      <c r="BW1202">
        <f>'Base DCF'!CD5</f>
        <v>0</v>
      </c>
      <c r="BX1202">
        <f>'Base DCF'!CE5</f>
        <v>0</v>
      </c>
      <c r="BY1202">
        <f>'Base DCF'!CF5</f>
        <v>0</v>
      </c>
      <c r="BZ1202">
        <f>'Base DCF'!CG5</f>
        <v>0</v>
      </c>
      <c r="CA1202">
        <f>'Base DCF'!CH5</f>
        <v>0</v>
      </c>
      <c r="CB1202">
        <f>'Base DCF'!CI5</f>
        <v>0</v>
      </c>
      <c r="CC1202">
        <f>'Base DCF'!CJ5</f>
        <v>0</v>
      </c>
      <c r="CD1202">
        <f>'Base DCF'!CK5</f>
        <v>0</v>
      </c>
      <c r="CE1202">
        <f>'Base DCF'!CL5</f>
        <v>0</v>
      </c>
      <c r="CF1202">
        <f>'Base DCF'!CM5</f>
        <v>0</v>
      </c>
      <c r="CG1202">
        <f>'Base DCF'!CN5</f>
        <v>0</v>
      </c>
      <c r="CH1202">
        <f>'Base DCF'!CO5</f>
        <v>0</v>
      </c>
      <c r="CI1202">
        <f>'Base DCF'!CP5</f>
        <v>0</v>
      </c>
      <c r="CJ1202">
        <f>'Base DCF'!CQ5</f>
        <v>0</v>
      </c>
      <c r="CK1202">
        <f>'Base DCF'!CR5</f>
        <v>0</v>
      </c>
      <c r="CL1202">
        <f>'Base DCF'!CS5</f>
        <v>0</v>
      </c>
      <c r="CM1202">
        <f>'Base DCF'!CT5</f>
        <v>0</v>
      </c>
      <c r="CN1202">
        <f>'Base DCF'!CU5</f>
        <v>0</v>
      </c>
      <c r="CO1202">
        <f>'Base DCF'!CV5</f>
        <v>0</v>
      </c>
      <c r="CP1202">
        <f>'Base DCF'!CW5</f>
        <v>0</v>
      </c>
      <c r="CQ1202">
        <f>'Base DCF'!CX5</f>
        <v>0</v>
      </c>
      <c r="CR1202">
        <f>'Base DCF'!CY5</f>
        <v>0</v>
      </c>
      <c r="CS1202">
        <f>'Base DCF'!CZ5</f>
        <v>0</v>
      </c>
      <c r="CT1202">
        <f>'Base DCF'!DA5</f>
        <v>0</v>
      </c>
      <c r="CU1202">
        <f>'Base DCF'!DB5</f>
        <v>0</v>
      </c>
      <c r="CV1202">
        <f>'Base DCF'!DC5</f>
        <v>0</v>
      </c>
      <c r="CW1202">
        <f>'Base DCF'!DD5</f>
        <v>0</v>
      </c>
      <c r="CX1202">
        <f>'Base DCF'!DE5</f>
        <v>0</v>
      </c>
      <c r="CY1202">
        <f>'Base DCF'!DF5</f>
        <v>0</v>
      </c>
      <c r="CZ1202" t="str">
        <f>'Base DCF'!DG5</f>
        <v>Run-Rate</v>
      </c>
      <c r="DA1202">
        <f>'Base DCF'!DH5</f>
        <v>0</v>
      </c>
    </row>
    <row r="1203" spans="1:105">
      <c r="A1203">
        <f>'Base DCF'!H6</f>
        <v>0</v>
      </c>
      <c r="B1203" t="str">
        <f>'Base DCF'!I6</f>
        <v>(USD millions)</v>
      </c>
      <c r="C1203">
        <f>'Base DCF'!J6</f>
        <v>0</v>
      </c>
      <c r="D1203">
        <f>'Base DCF'!K6</f>
        <v>0</v>
      </c>
      <c r="E1203">
        <f>'Base DCF'!L6</f>
        <v>0</v>
      </c>
      <c r="F1203">
        <f>'Base DCF'!M6</f>
        <v>0</v>
      </c>
      <c r="G1203">
        <f>'Base DCF'!N6</f>
        <v>0</v>
      </c>
      <c r="H1203">
        <f>'Base DCF'!O6</f>
        <v>0</v>
      </c>
      <c r="I1203">
        <f>'Base DCF'!P6</f>
        <v>0</v>
      </c>
      <c r="J1203">
        <f>'Base DCF'!Q6</f>
        <v>0</v>
      </c>
      <c r="K1203">
        <f>'Base DCF'!R6</f>
        <v>0</v>
      </c>
      <c r="L1203">
        <f>'Base DCF'!S6</f>
        <v>0</v>
      </c>
      <c r="M1203">
        <f>'Base DCF'!T6</f>
        <v>0</v>
      </c>
      <c r="N1203">
        <f>'Base DCF'!U6</f>
        <v>0</v>
      </c>
      <c r="O1203">
        <f>'Base DCF'!V6</f>
        <v>0</v>
      </c>
      <c r="P1203">
        <f>'Base DCF'!W6</f>
        <v>0</v>
      </c>
      <c r="Q1203">
        <f>'Base DCF'!X6</f>
        <v>0</v>
      </c>
      <c r="R1203">
        <f>'Base DCF'!Y6</f>
        <v>0</v>
      </c>
      <c r="S1203">
        <f>'Base DCF'!Z6</f>
        <v>0</v>
      </c>
      <c r="T1203">
        <f>'Base DCF'!AA6</f>
        <v>0</v>
      </c>
      <c r="U1203">
        <f>'Base DCF'!AB6</f>
        <v>0</v>
      </c>
      <c r="V1203">
        <f>'Base DCF'!AC6</f>
        <v>0</v>
      </c>
      <c r="W1203">
        <f>'Base DCF'!AD6</f>
        <v>0</v>
      </c>
      <c r="X1203">
        <f>'Base DCF'!AE6</f>
        <v>0</v>
      </c>
      <c r="Y1203">
        <f>'Base DCF'!AF6</f>
        <v>0</v>
      </c>
      <c r="Z1203">
        <f>'Base DCF'!AG6</f>
        <v>0</v>
      </c>
      <c r="AA1203">
        <f>'Base DCF'!AH6</f>
        <v>0</v>
      </c>
      <c r="AB1203">
        <f>'Base DCF'!AI6</f>
        <v>0</v>
      </c>
      <c r="AC1203">
        <f>'Base DCF'!AJ6</f>
        <v>0</v>
      </c>
      <c r="AD1203">
        <f>'Base DCF'!AK6</f>
        <v>0</v>
      </c>
      <c r="AE1203">
        <f>'Base DCF'!AL6</f>
        <v>0</v>
      </c>
      <c r="AF1203">
        <f>'Base DCF'!AM6</f>
        <v>0</v>
      </c>
      <c r="AG1203">
        <f>'Base DCF'!AN6</f>
        <v>0</v>
      </c>
      <c r="AH1203">
        <f>'Base DCF'!AO6</f>
        <v>0</v>
      </c>
      <c r="AI1203">
        <f>'Base DCF'!AP6</f>
        <v>0</v>
      </c>
      <c r="AJ1203">
        <f>'Base DCF'!AQ6</f>
        <v>0</v>
      </c>
      <c r="AK1203">
        <f>'Base DCF'!AR6</f>
        <v>0</v>
      </c>
      <c r="AL1203">
        <f>'Base DCF'!AS6</f>
        <v>0</v>
      </c>
      <c r="AM1203">
        <f>'Base DCF'!AT6</f>
        <v>0</v>
      </c>
      <c r="AN1203">
        <f>'Base DCF'!AU6</f>
        <v>0</v>
      </c>
      <c r="AO1203">
        <f>'Base DCF'!AV6</f>
        <v>0</v>
      </c>
      <c r="AP1203">
        <f>'Base DCF'!AW6</f>
        <v>0</v>
      </c>
      <c r="AQ1203">
        <f>'Base DCF'!AX6</f>
        <v>0</v>
      </c>
      <c r="AR1203">
        <f>'Base DCF'!AY6</f>
        <v>0</v>
      </c>
      <c r="AS1203">
        <f>'Base DCF'!AZ6</f>
        <v>0</v>
      </c>
      <c r="AT1203">
        <f>'Base DCF'!BA6</f>
        <v>0</v>
      </c>
      <c r="AU1203">
        <f>'Base DCF'!BB6</f>
        <v>0</v>
      </c>
      <c r="AV1203">
        <f>'Base DCF'!BC6</f>
        <v>0</v>
      </c>
      <c r="AW1203">
        <f>'Base DCF'!BD6</f>
        <v>0</v>
      </c>
      <c r="AX1203">
        <f>'Base DCF'!BE6</f>
        <v>0</v>
      </c>
      <c r="AY1203">
        <f>'Base DCF'!BF6</f>
        <v>0</v>
      </c>
      <c r="AZ1203">
        <f>'Base DCF'!BG6</f>
        <v>0</v>
      </c>
      <c r="BA1203">
        <f>'Base DCF'!BH6</f>
        <v>0</v>
      </c>
      <c r="BB1203">
        <f>'Base DCF'!BI6</f>
        <v>0</v>
      </c>
      <c r="BC1203">
        <f>'Base DCF'!BJ6</f>
        <v>0</v>
      </c>
      <c r="BD1203">
        <f>'Base DCF'!BK6</f>
        <v>0</v>
      </c>
      <c r="BE1203">
        <f>'Base DCF'!BL6</f>
        <v>0</v>
      </c>
      <c r="BF1203">
        <f>'Base DCF'!BM6</f>
        <v>0</v>
      </c>
      <c r="BG1203">
        <f>'Base DCF'!BN6</f>
        <v>0</v>
      </c>
      <c r="BH1203">
        <f>'Base DCF'!BO6</f>
        <v>0</v>
      </c>
      <c r="BI1203">
        <f>'Base DCF'!BP6</f>
        <v>0</v>
      </c>
      <c r="BJ1203">
        <f>'Base DCF'!BQ6</f>
        <v>0</v>
      </c>
      <c r="BK1203">
        <f>'Base DCF'!BR6</f>
        <v>0</v>
      </c>
      <c r="BL1203">
        <f>'Base DCF'!BS6</f>
        <v>0</v>
      </c>
      <c r="BM1203">
        <f>'Base DCF'!BT6</f>
        <v>0</v>
      </c>
      <c r="BN1203">
        <f>'Base DCF'!BU6</f>
        <v>0</v>
      </c>
      <c r="BO1203">
        <f>'Base DCF'!BV6</f>
        <v>0</v>
      </c>
      <c r="BP1203">
        <f>'Base DCF'!BW6</f>
        <v>0</v>
      </c>
      <c r="BQ1203">
        <f>'Base DCF'!BX6</f>
        <v>0</v>
      </c>
      <c r="BR1203">
        <f>'Base DCF'!BY6</f>
        <v>0</v>
      </c>
      <c r="BS1203">
        <f>'Base DCF'!BZ6</f>
        <v>0</v>
      </c>
      <c r="BT1203">
        <f>'Base DCF'!CA6</f>
        <v>0</v>
      </c>
      <c r="BU1203">
        <f>'Base DCF'!CB6</f>
        <v>0</v>
      </c>
      <c r="BV1203">
        <f>'Base DCF'!CC6</f>
        <v>0</v>
      </c>
      <c r="BW1203">
        <f>'Base DCF'!CD6</f>
        <v>0</v>
      </c>
      <c r="BX1203">
        <f>'Base DCF'!CE6</f>
        <v>0</v>
      </c>
      <c r="BY1203">
        <f>'Base DCF'!CF6</f>
        <v>0</v>
      </c>
      <c r="BZ1203">
        <f>'Base DCF'!CG6</f>
        <v>0</v>
      </c>
      <c r="CA1203">
        <f>'Base DCF'!CH6</f>
        <v>0</v>
      </c>
      <c r="CB1203">
        <f>'Base DCF'!CI6</f>
        <v>0</v>
      </c>
      <c r="CC1203">
        <f>'Base DCF'!CJ6</f>
        <v>0</v>
      </c>
      <c r="CD1203">
        <f>'Base DCF'!CK6</f>
        <v>0</v>
      </c>
      <c r="CE1203">
        <f>'Base DCF'!CL6</f>
        <v>0</v>
      </c>
      <c r="CF1203">
        <f>'Base DCF'!CM6</f>
        <v>0</v>
      </c>
      <c r="CG1203">
        <f>'Base DCF'!CN6</f>
        <v>0</v>
      </c>
      <c r="CH1203">
        <f>'Base DCF'!CO6</f>
        <v>0</v>
      </c>
      <c r="CI1203">
        <f>'Base DCF'!CP6</f>
        <v>0</v>
      </c>
      <c r="CJ1203">
        <f>'Base DCF'!CQ6</f>
        <v>40543</v>
      </c>
      <c r="CK1203">
        <f>'Base DCF'!CR6</f>
        <v>40908</v>
      </c>
      <c r="CL1203">
        <f>'Base DCF'!CS6</f>
        <v>41274</v>
      </c>
      <c r="CM1203">
        <f>'Base DCF'!CT6</f>
        <v>41639</v>
      </c>
      <c r="CN1203">
        <f>'Base DCF'!CU6</f>
        <v>42004</v>
      </c>
      <c r="CO1203">
        <f>'Base DCF'!CV6</f>
        <v>42369</v>
      </c>
      <c r="CP1203">
        <f>'Base DCF'!CW6</f>
        <v>42735</v>
      </c>
      <c r="CQ1203">
        <f>'Base DCF'!CX6</f>
        <v>43100</v>
      </c>
      <c r="CR1203">
        <f>'Base DCF'!CY6</f>
        <v>43465</v>
      </c>
      <c r="CS1203">
        <f>'Base DCF'!CZ6</f>
        <v>43830</v>
      </c>
      <c r="CT1203">
        <f>'Base DCF'!DA6</f>
        <v>44196</v>
      </c>
      <c r="CU1203">
        <f>'Base DCF'!DB6</f>
        <v>44561</v>
      </c>
      <c r="CV1203">
        <f>'Base DCF'!DC6</f>
        <v>44926</v>
      </c>
      <c r="CW1203">
        <f>'Base DCF'!DD6</f>
        <v>45291</v>
      </c>
      <c r="CX1203">
        <f>'Base DCF'!DE6</f>
        <v>45657</v>
      </c>
      <c r="CY1203">
        <f>'Base DCF'!DF6</f>
        <v>46022</v>
      </c>
      <c r="CZ1203" t="str">
        <f>'Base DCF'!DG6</f>
        <v>Projections</v>
      </c>
      <c r="DA1203">
        <f>'Base DCF'!DH6</f>
        <v>0</v>
      </c>
    </row>
    <row r="1204" spans="1:105">
      <c r="A1204">
        <f>'Base DCF'!H7</f>
        <v>0</v>
      </c>
      <c r="B1204">
        <f>'Base DCF'!I7</f>
        <v>0</v>
      </c>
      <c r="C1204">
        <f>'Base DCF'!J7</f>
        <v>0</v>
      </c>
      <c r="D1204">
        <f>'Base DCF'!K7</f>
        <v>0</v>
      </c>
      <c r="E1204">
        <f>'Base DCF'!L7</f>
        <v>0</v>
      </c>
      <c r="F1204">
        <f>'Base DCF'!M7</f>
        <v>0</v>
      </c>
      <c r="G1204">
        <f>'Base DCF'!N7</f>
        <v>0</v>
      </c>
      <c r="H1204">
        <f>'Base DCF'!O7</f>
        <v>0</v>
      </c>
      <c r="I1204">
        <f>'Base DCF'!P7</f>
        <v>0</v>
      </c>
      <c r="J1204">
        <f>'Base DCF'!Q7</f>
        <v>0</v>
      </c>
      <c r="K1204">
        <f>'Base DCF'!R7</f>
        <v>0</v>
      </c>
      <c r="L1204">
        <f>'Base DCF'!S7</f>
        <v>0</v>
      </c>
      <c r="M1204">
        <f>'Base DCF'!T7</f>
        <v>0</v>
      </c>
      <c r="N1204">
        <f>'Base DCF'!U7</f>
        <v>0</v>
      </c>
      <c r="O1204">
        <f>'Base DCF'!V7</f>
        <v>0</v>
      </c>
      <c r="P1204">
        <f>'Base DCF'!W7</f>
        <v>0</v>
      </c>
      <c r="Q1204">
        <f>'Base DCF'!X7</f>
        <v>0</v>
      </c>
      <c r="R1204">
        <f>'Base DCF'!Y7</f>
        <v>0</v>
      </c>
      <c r="S1204">
        <f>'Base DCF'!Z7</f>
        <v>0</v>
      </c>
      <c r="T1204">
        <f>'Base DCF'!AA7</f>
        <v>0</v>
      </c>
      <c r="U1204">
        <f>'Base DCF'!AB7</f>
        <v>0</v>
      </c>
      <c r="V1204">
        <f>'Base DCF'!AC7</f>
        <v>0</v>
      </c>
      <c r="W1204">
        <f>'Base DCF'!AD7</f>
        <v>0</v>
      </c>
      <c r="X1204">
        <f>'Base DCF'!AE7</f>
        <v>0</v>
      </c>
      <c r="Y1204">
        <f>'Base DCF'!AF7</f>
        <v>0</v>
      </c>
      <c r="Z1204">
        <f>'Base DCF'!AG7</f>
        <v>0</v>
      </c>
      <c r="AA1204">
        <f>'Base DCF'!AH7</f>
        <v>0</v>
      </c>
      <c r="AB1204">
        <f>'Base DCF'!AI7</f>
        <v>0</v>
      </c>
      <c r="AC1204">
        <f>'Base DCF'!AJ7</f>
        <v>0</v>
      </c>
      <c r="AD1204">
        <f>'Base DCF'!AK7</f>
        <v>0</v>
      </c>
      <c r="AE1204">
        <f>'Base DCF'!AL7</f>
        <v>0</v>
      </c>
      <c r="AF1204">
        <f>'Base DCF'!AM7</f>
        <v>0</v>
      </c>
      <c r="AG1204">
        <f>'Base DCF'!AN7</f>
        <v>0</v>
      </c>
      <c r="AH1204">
        <f>'Base DCF'!AO7</f>
        <v>0</v>
      </c>
      <c r="AI1204">
        <f>'Base DCF'!AP7</f>
        <v>0</v>
      </c>
      <c r="AJ1204">
        <f>'Base DCF'!AQ7</f>
        <v>0</v>
      </c>
      <c r="AK1204">
        <f>'Base DCF'!AR7</f>
        <v>0</v>
      </c>
      <c r="AL1204">
        <f>'Base DCF'!AS7</f>
        <v>0</v>
      </c>
      <c r="AM1204">
        <f>'Base DCF'!AT7</f>
        <v>0</v>
      </c>
      <c r="AN1204">
        <f>'Base DCF'!AU7</f>
        <v>0</v>
      </c>
      <c r="AO1204">
        <f>'Base DCF'!AV7</f>
        <v>0</v>
      </c>
      <c r="AP1204">
        <f>'Base DCF'!AW7</f>
        <v>0</v>
      </c>
      <c r="AQ1204">
        <f>'Base DCF'!AX7</f>
        <v>0</v>
      </c>
      <c r="AR1204">
        <f>'Base DCF'!AY7</f>
        <v>0</v>
      </c>
      <c r="AS1204">
        <f>'Base DCF'!AZ7</f>
        <v>0</v>
      </c>
      <c r="AT1204">
        <f>'Base DCF'!BA7</f>
        <v>0</v>
      </c>
      <c r="AU1204">
        <f>'Base DCF'!BB7</f>
        <v>0</v>
      </c>
      <c r="AV1204">
        <f>'Base DCF'!BC7</f>
        <v>0</v>
      </c>
      <c r="AW1204">
        <f>'Base DCF'!BD7</f>
        <v>0</v>
      </c>
      <c r="AX1204">
        <f>'Base DCF'!BE7</f>
        <v>0</v>
      </c>
      <c r="AY1204">
        <f>'Base DCF'!BF7</f>
        <v>0</v>
      </c>
      <c r="AZ1204">
        <f>'Base DCF'!BG7</f>
        <v>0</v>
      </c>
      <c r="BA1204">
        <f>'Base DCF'!BH7</f>
        <v>0</v>
      </c>
      <c r="BB1204">
        <f>'Base DCF'!BI7</f>
        <v>0</v>
      </c>
      <c r="BC1204">
        <f>'Base DCF'!BJ7</f>
        <v>0</v>
      </c>
      <c r="BD1204">
        <f>'Base DCF'!BK7</f>
        <v>0</v>
      </c>
      <c r="BE1204">
        <f>'Base DCF'!BL7</f>
        <v>0</v>
      </c>
      <c r="BF1204">
        <f>'Base DCF'!BM7</f>
        <v>0</v>
      </c>
      <c r="BG1204">
        <f>'Base DCF'!BN7</f>
        <v>0</v>
      </c>
      <c r="BH1204">
        <f>'Base DCF'!BO7</f>
        <v>0</v>
      </c>
      <c r="BI1204">
        <f>'Base DCF'!BP7</f>
        <v>0</v>
      </c>
      <c r="BJ1204">
        <f>'Base DCF'!BQ7</f>
        <v>0</v>
      </c>
      <c r="BK1204">
        <f>'Base DCF'!BR7</f>
        <v>0</v>
      </c>
      <c r="BL1204">
        <f>'Base DCF'!BS7</f>
        <v>0</v>
      </c>
      <c r="BM1204">
        <f>'Base DCF'!BT7</f>
        <v>0</v>
      </c>
      <c r="BN1204">
        <f>'Base DCF'!BU7</f>
        <v>0</v>
      </c>
      <c r="BO1204">
        <f>'Base DCF'!BV7</f>
        <v>0</v>
      </c>
      <c r="BP1204">
        <f>'Base DCF'!BW7</f>
        <v>0</v>
      </c>
      <c r="BQ1204">
        <f>'Base DCF'!BX7</f>
        <v>0</v>
      </c>
      <c r="BR1204">
        <f>'Base DCF'!BY7</f>
        <v>0</v>
      </c>
      <c r="BS1204">
        <f>'Base DCF'!BZ7</f>
        <v>0</v>
      </c>
      <c r="BT1204">
        <f>'Base DCF'!CA7</f>
        <v>0</v>
      </c>
      <c r="BU1204">
        <f>'Base DCF'!CB7</f>
        <v>0</v>
      </c>
      <c r="BV1204">
        <f>'Base DCF'!CC7</f>
        <v>0</v>
      </c>
      <c r="BW1204">
        <f>'Base DCF'!CD7</f>
        <v>0</v>
      </c>
      <c r="BX1204">
        <f>'Base DCF'!CE7</f>
        <v>0</v>
      </c>
      <c r="BY1204">
        <f>'Base DCF'!CF7</f>
        <v>0</v>
      </c>
      <c r="BZ1204">
        <f>'Base DCF'!CG7</f>
        <v>0</v>
      </c>
      <c r="CA1204">
        <f>'Base DCF'!CH7</f>
        <v>0</v>
      </c>
      <c r="CB1204">
        <f>'Base DCF'!CI7</f>
        <v>0</v>
      </c>
      <c r="CC1204">
        <f>'Base DCF'!CJ7</f>
        <v>0</v>
      </c>
      <c r="CD1204">
        <f>'Base DCF'!CK7</f>
        <v>0</v>
      </c>
      <c r="CE1204">
        <f>'Base DCF'!CL7</f>
        <v>0</v>
      </c>
      <c r="CF1204">
        <f>'Base DCF'!CM7</f>
        <v>0</v>
      </c>
      <c r="CG1204">
        <f>'Base DCF'!CN7</f>
        <v>0</v>
      </c>
      <c r="CH1204">
        <f>'Base DCF'!CO7</f>
        <v>0</v>
      </c>
      <c r="CI1204">
        <f>'Base DCF'!CP7</f>
        <v>0</v>
      </c>
      <c r="CJ1204">
        <f>'Base DCF'!CQ7</f>
        <v>0</v>
      </c>
      <c r="CK1204">
        <f>'Base DCF'!CR7</f>
        <v>0</v>
      </c>
      <c r="CL1204">
        <f>'Base DCF'!CS7</f>
        <v>0</v>
      </c>
      <c r="CM1204">
        <f>'Base DCF'!CT7</f>
        <v>0</v>
      </c>
      <c r="CN1204">
        <f>'Base DCF'!CU7</f>
        <v>0</v>
      </c>
      <c r="CO1204">
        <f>'Base DCF'!CV7</f>
        <v>0</v>
      </c>
      <c r="CP1204">
        <f>'Base DCF'!CW7</f>
        <v>0</v>
      </c>
      <c r="CQ1204">
        <f>'Base DCF'!CX7</f>
        <v>0</v>
      </c>
      <c r="CR1204">
        <f>'Base DCF'!CY7</f>
        <v>0</v>
      </c>
      <c r="CS1204">
        <f>'Base DCF'!CZ7</f>
        <v>0</v>
      </c>
      <c r="CT1204">
        <f>'Base DCF'!DA7</f>
        <v>0</v>
      </c>
      <c r="CU1204">
        <f>'Base DCF'!DB7</f>
        <v>0</v>
      </c>
      <c r="CV1204">
        <f>'Base DCF'!DC7</f>
        <v>0</v>
      </c>
      <c r="CW1204">
        <f>'Base DCF'!DD7</f>
        <v>0</v>
      </c>
      <c r="CX1204">
        <f>'Base DCF'!DE7</f>
        <v>0</v>
      </c>
      <c r="CY1204">
        <f>'Base DCF'!DF7</f>
        <v>0</v>
      </c>
      <c r="CZ1204">
        <f>'Base DCF'!DG7</f>
        <v>0</v>
      </c>
      <c r="DA1204">
        <f>'Base DCF'!DH7</f>
        <v>0</v>
      </c>
    </row>
    <row r="1205" spans="1:105">
      <c r="A1205">
        <f>'Base DCF'!H8</f>
        <v>0</v>
      </c>
      <c r="B1205" t="str">
        <f>'Base DCF'!I8</f>
        <v>Discounted Cash Flow (DCF) Valuation Analysis</v>
      </c>
      <c r="C1205">
        <f>'Base DCF'!J8</f>
        <v>0</v>
      </c>
      <c r="D1205">
        <f>'Base DCF'!K8</f>
        <v>0</v>
      </c>
      <c r="E1205">
        <f>'Base DCF'!L8</f>
        <v>0</v>
      </c>
      <c r="F1205">
        <f>'Base DCF'!M8</f>
        <v>0</v>
      </c>
      <c r="G1205">
        <f>'Base DCF'!N8</f>
        <v>0</v>
      </c>
      <c r="H1205">
        <f>'Base DCF'!O8</f>
        <v>0</v>
      </c>
      <c r="I1205">
        <f>'Base DCF'!P8</f>
        <v>0</v>
      </c>
      <c r="J1205">
        <f>'Base DCF'!Q8</f>
        <v>0</v>
      </c>
      <c r="K1205">
        <f>'Base DCF'!R8</f>
        <v>0</v>
      </c>
      <c r="L1205">
        <f>'Base DCF'!S8</f>
        <v>0</v>
      </c>
      <c r="M1205">
        <f>'Base DCF'!T8</f>
        <v>0</v>
      </c>
      <c r="N1205">
        <f>'Base DCF'!U8</f>
        <v>0</v>
      </c>
      <c r="O1205">
        <f>'Base DCF'!V8</f>
        <v>0</v>
      </c>
      <c r="P1205">
        <f>'Base DCF'!W8</f>
        <v>0</v>
      </c>
      <c r="Q1205">
        <f>'Base DCF'!X8</f>
        <v>0</v>
      </c>
      <c r="R1205">
        <f>'Base DCF'!Y8</f>
        <v>0</v>
      </c>
      <c r="S1205">
        <f>'Base DCF'!Z8</f>
        <v>0</v>
      </c>
      <c r="T1205">
        <f>'Base DCF'!AA8</f>
        <v>0</v>
      </c>
      <c r="U1205">
        <f>'Base DCF'!AB8</f>
        <v>0</v>
      </c>
      <c r="V1205">
        <f>'Base DCF'!AC8</f>
        <v>0</v>
      </c>
      <c r="W1205">
        <f>'Base DCF'!AD8</f>
        <v>0</v>
      </c>
      <c r="X1205">
        <f>'Base DCF'!AE8</f>
        <v>0</v>
      </c>
      <c r="Y1205">
        <f>'Base DCF'!AF8</f>
        <v>0</v>
      </c>
      <c r="Z1205">
        <f>'Base DCF'!AG8</f>
        <v>0</v>
      </c>
      <c r="AA1205">
        <f>'Base DCF'!AH8</f>
        <v>0</v>
      </c>
      <c r="AB1205">
        <f>'Base DCF'!AI8</f>
        <v>0</v>
      </c>
      <c r="AC1205">
        <f>'Base DCF'!AJ8</f>
        <v>0</v>
      </c>
      <c r="AD1205">
        <f>'Base DCF'!AK8</f>
        <v>0</v>
      </c>
      <c r="AE1205">
        <f>'Base DCF'!AL8</f>
        <v>0</v>
      </c>
      <c r="AF1205">
        <f>'Base DCF'!AM8</f>
        <v>0</v>
      </c>
      <c r="AG1205">
        <f>'Base DCF'!AN8</f>
        <v>0</v>
      </c>
      <c r="AH1205">
        <f>'Base DCF'!AO8</f>
        <v>0</v>
      </c>
      <c r="AI1205">
        <f>'Base DCF'!AP8</f>
        <v>0</v>
      </c>
      <c r="AJ1205">
        <f>'Base DCF'!AQ8</f>
        <v>0</v>
      </c>
      <c r="AK1205">
        <f>'Base DCF'!AR8</f>
        <v>0</v>
      </c>
      <c r="AL1205">
        <f>'Base DCF'!AS8</f>
        <v>0</v>
      </c>
      <c r="AM1205">
        <f>'Base DCF'!AT8</f>
        <v>0</v>
      </c>
      <c r="AN1205">
        <f>'Base DCF'!AU8</f>
        <v>0</v>
      </c>
      <c r="AO1205">
        <f>'Base DCF'!AV8</f>
        <v>0</v>
      </c>
      <c r="AP1205">
        <f>'Base DCF'!AW8</f>
        <v>0</v>
      </c>
      <c r="AQ1205">
        <f>'Base DCF'!AX8</f>
        <v>0</v>
      </c>
      <c r="AR1205">
        <f>'Base DCF'!AY8</f>
        <v>0</v>
      </c>
      <c r="AS1205">
        <f>'Base DCF'!AZ8</f>
        <v>0</v>
      </c>
      <c r="AT1205">
        <f>'Base DCF'!BA8</f>
        <v>0</v>
      </c>
      <c r="AU1205">
        <f>'Base DCF'!BB8</f>
        <v>0</v>
      </c>
      <c r="AV1205">
        <f>'Base DCF'!BC8</f>
        <v>0</v>
      </c>
      <c r="AW1205">
        <f>'Base DCF'!BD8</f>
        <v>0</v>
      </c>
      <c r="AX1205">
        <f>'Base DCF'!BE8</f>
        <v>0</v>
      </c>
      <c r="AY1205">
        <f>'Base DCF'!BF8</f>
        <v>0</v>
      </c>
      <c r="AZ1205">
        <f>'Base DCF'!BG8</f>
        <v>0</v>
      </c>
      <c r="BA1205">
        <f>'Base DCF'!BH8</f>
        <v>0</v>
      </c>
      <c r="BB1205">
        <f>'Base DCF'!BI8</f>
        <v>0</v>
      </c>
      <c r="BC1205">
        <f>'Base DCF'!BJ8</f>
        <v>0</v>
      </c>
      <c r="BD1205">
        <f>'Base DCF'!BK8</f>
        <v>0</v>
      </c>
      <c r="BE1205">
        <f>'Base DCF'!BL8</f>
        <v>0</v>
      </c>
      <c r="BF1205">
        <f>'Base DCF'!BM8</f>
        <v>0</v>
      </c>
      <c r="BG1205">
        <f>'Base DCF'!BN8</f>
        <v>0</v>
      </c>
      <c r="BH1205">
        <f>'Base DCF'!BO8</f>
        <v>0</v>
      </c>
      <c r="BI1205">
        <f>'Base DCF'!BP8</f>
        <v>0</v>
      </c>
      <c r="BJ1205">
        <f>'Base DCF'!BQ8</f>
        <v>0</v>
      </c>
      <c r="BK1205">
        <f>'Base DCF'!BR8</f>
        <v>0</v>
      </c>
      <c r="BL1205">
        <f>'Base DCF'!BS8</f>
        <v>0</v>
      </c>
      <c r="BM1205">
        <f>'Base DCF'!BT8</f>
        <v>0</v>
      </c>
      <c r="BN1205">
        <f>'Base DCF'!BU8</f>
        <v>0</v>
      </c>
      <c r="BO1205">
        <f>'Base DCF'!BV8</f>
        <v>0</v>
      </c>
      <c r="BP1205">
        <f>'Base DCF'!BW8</f>
        <v>0</v>
      </c>
      <c r="BQ1205">
        <f>'Base DCF'!BX8</f>
        <v>0</v>
      </c>
      <c r="BR1205">
        <f>'Base DCF'!BY8</f>
        <v>0</v>
      </c>
      <c r="BS1205">
        <f>'Base DCF'!BZ8</f>
        <v>0</v>
      </c>
      <c r="BT1205">
        <f>'Base DCF'!CA8</f>
        <v>0</v>
      </c>
      <c r="BU1205">
        <f>'Base DCF'!CB8</f>
        <v>0</v>
      </c>
      <c r="BV1205">
        <f>'Base DCF'!CC8</f>
        <v>0</v>
      </c>
      <c r="BW1205">
        <f>'Base DCF'!CD8</f>
        <v>0</v>
      </c>
      <c r="BX1205">
        <f>'Base DCF'!CE8</f>
        <v>0</v>
      </c>
      <c r="BY1205">
        <f>'Base DCF'!CF8</f>
        <v>0</v>
      </c>
      <c r="BZ1205">
        <f>'Base DCF'!CG8</f>
        <v>0</v>
      </c>
      <c r="CA1205">
        <f>'Base DCF'!CH8</f>
        <v>0</v>
      </c>
      <c r="CB1205">
        <f>'Base DCF'!CI8</f>
        <v>0</v>
      </c>
      <c r="CC1205">
        <f>'Base DCF'!CJ8</f>
        <v>0</v>
      </c>
      <c r="CD1205">
        <f>'Base DCF'!CK8</f>
        <v>0</v>
      </c>
      <c r="CE1205">
        <f>'Base DCF'!CL8</f>
        <v>0</v>
      </c>
      <c r="CF1205">
        <f>'Base DCF'!CM8</f>
        <v>0</v>
      </c>
      <c r="CG1205">
        <f>'Base DCF'!CN8</f>
        <v>0</v>
      </c>
      <c r="CH1205">
        <f>'Base DCF'!CO8</f>
        <v>0</v>
      </c>
      <c r="CI1205">
        <f>'Base DCF'!CP8</f>
        <v>0</v>
      </c>
      <c r="CJ1205">
        <f>'Base DCF'!CQ8</f>
        <v>0</v>
      </c>
      <c r="CK1205">
        <f>'Base DCF'!CR8</f>
        <v>0</v>
      </c>
      <c r="CL1205">
        <f>'Base DCF'!CS8</f>
        <v>0</v>
      </c>
      <c r="CM1205">
        <f>'Base DCF'!CT8</f>
        <v>0</v>
      </c>
      <c r="CN1205">
        <f>'Base DCF'!CU8</f>
        <v>0</v>
      </c>
      <c r="CO1205">
        <f>'Base DCF'!CV8</f>
        <v>0</v>
      </c>
      <c r="CP1205">
        <f>'Base DCF'!CW8</f>
        <v>0</v>
      </c>
      <c r="CQ1205">
        <f>'Base DCF'!CX8</f>
        <v>0</v>
      </c>
      <c r="CR1205">
        <f>'Base DCF'!CY8</f>
        <v>0</v>
      </c>
      <c r="CS1205">
        <f>'Base DCF'!CZ8</f>
        <v>0</v>
      </c>
      <c r="CT1205">
        <f>'Base DCF'!DA8</f>
        <v>0</v>
      </c>
      <c r="CU1205">
        <f>'Base DCF'!DB8</f>
        <v>0</v>
      </c>
      <c r="CV1205">
        <f>'Base DCF'!DC8</f>
        <v>0</v>
      </c>
      <c r="CW1205">
        <f>'Base DCF'!DD8</f>
        <v>0</v>
      </c>
      <c r="CX1205">
        <f>'Base DCF'!DE8</f>
        <v>0</v>
      </c>
      <c r="CY1205">
        <f>'Base DCF'!DF8</f>
        <v>0</v>
      </c>
      <c r="CZ1205">
        <f>'Base DCF'!DG8</f>
        <v>0</v>
      </c>
      <c r="DA1205">
        <f>'Base DCF'!DH8</f>
        <v>0</v>
      </c>
    </row>
    <row r="1206" spans="1:105">
      <c r="A1206">
        <f>'Base DCF'!H9</f>
        <v>0</v>
      </c>
      <c r="B1206" t="str">
        <f>'Base DCF'!I9</f>
        <v>Revenue</v>
      </c>
      <c r="C1206">
        <f>'Base DCF'!J9</f>
        <v>0</v>
      </c>
      <c r="D1206">
        <f>'Base DCF'!K9</f>
        <v>0</v>
      </c>
      <c r="E1206">
        <f>'Base DCF'!L9</f>
        <v>0</v>
      </c>
      <c r="F1206">
        <f>'Base DCF'!M9</f>
        <v>0</v>
      </c>
      <c r="G1206">
        <f>'Base DCF'!N9</f>
        <v>0</v>
      </c>
      <c r="H1206">
        <f>'Base DCF'!O9</f>
        <v>0</v>
      </c>
      <c r="I1206">
        <f>'Base DCF'!P9</f>
        <v>0</v>
      </c>
      <c r="J1206">
        <f>'Base DCF'!Q9</f>
        <v>0</v>
      </c>
      <c r="K1206">
        <f>'Base DCF'!R9</f>
        <v>0</v>
      </c>
      <c r="L1206">
        <f>'Base DCF'!S9</f>
        <v>0</v>
      </c>
      <c r="M1206">
        <f>'Base DCF'!T9</f>
        <v>0</v>
      </c>
      <c r="N1206">
        <f>'Base DCF'!U9</f>
        <v>0</v>
      </c>
      <c r="O1206">
        <f>'Base DCF'!V9</f>
        <v>0</v>
      </c>
      <c r="P1206">
        <f>'Base DCF'!W9</f>
        <v>0</v>
      </c>
      <c r="Q1206">
        <f>'Base DCF'!X9</f>
        <v>0</v>
      </c>
      <c r="R1206">
        <f>'Base DCF'!Y9</f>
        <v>0</v>
      </c>
      <c r="S1206">
        <f>'Base DCF'!Z9</f>
        <v>0</v>
      </c>
      <c r="T1206">
        <f>'Base DCF'!AA9</f>
        <v>0</v>
      </c>
      <c r="U1206">
        <f>'Base DCF'!AB9</f>
        <v>0</v>
      </c>
      <c r="V1206">
        <f>'Base DCF'!AC9</f>
        <v>0</v>
      </c>
      <c r="W1206">
        <f>'Base DCF'!AD9</f>
        <v>0</v>
      </c>
      <c r="X1206">
        <f>'Base DCF'!AE9</f>
        <v>0</v>
      </c>
      <c r="Y1206">
        <f>'Base DCF'!AF9</f>
        <v>0</v>
      </c>
      <c r="Z1206">
        <f>'Base DCF'!AG9</f>
        <v>0</v>
      </c>
      <c r="AA1206">
        <f>'Base DCF'!AH9</f>
        <v>0</v>
      </c>
      <c r="AB1206">
        <f>'Base DCF'!AI9</f>
        <v>0</v>
      </c>
      <c r="AC1206">
        <f>'Base DCF'!AJ9</f>
        <v>0</v>
      </c>
      <c r="AD1206">
        <f>'Base DCF'!AK9</f>
        <v>0</v>
      </c>
      <c r="AE1206">
        <f>'Base DCF'!AL9</f>
        <v>0</v>
      </c>
      <c r="AF1206">
        <f>'Base DCF'!AM9</f>
        <v>0</v>
      </c>
      <c r="AG1206">
        <f>'Base DCF'!AN9</f>
        <v>0</v>
      </c>
      <c r="AH1206">
        <f>'Base DCF'!AO9</f>
        <v>0</v>
      </c>
      <c r="AI1206">
        <f>'Base DCF'!AP9</f>
        <v>0</v>
      </c>
      <c r="AJ1206">
        <f>'Base DCF'!AQ9</f>
        <v>0</v>
      </c>
      <c r="AK1206">
        <f>'Base DCF'!AR9</f>
        <v>0</v>
      </c>
      <c r="AL1206">
        <f>'Base DCF'!AS9</f>
        <v>0</v>
      </c>
      <c r="AM1206">
        <f>'Base DCF'!AT9</f>
        <v>0</v>
      </c>
      <c r="AN1206">
        <f>'Base DCF'!AU9</f>
        <v>0</v>
      </c>
      <c r="AO1206">
        <f>'Base DCF'!AV9</f>
        <v>0</v>
      </c>
      <c r="AP1206">
        <f>'Base DCF'!AW9</f>
        <v>0</v>
      </c>
      <c r="AQ1206">
        <f>'Base DCF'!AX9</f>
        <v>0</v>
      </c>
      <c r="AR1206">
        <f>'Base DCF'!AY9</f>
        <v>0</v>
      </c>
      <c r="AS1206">
        <f>'Base DCF'!AZ9</f>
        <v>0</v>
      </c>
      <c r="AT1206">
        <f>'Base DCF'!BA9</f>
        <v>0</v>
      </c>
      <c r="AU1206">
        <f>'Base DCF'!BB9</f>
        <v>0</v>
      </c>
      <c r="AV1206">
        <f>'Base DCF'!BC9</f>
        <v>0</v>
      </c>
      <c r="AW1206">
        <f>'Base DCF'!BD9</f>
        <v>0</v>
      </c>
      <c r="AX1206">
        <f>'Base DCF'!BE9</f>
        <v>0</v>
      </c>
      <c r="AY1206">
        <f>'Base DCF'!BF9</f>
        <v>0</v>
      </c>
      <c r="AZ1206">
        <f>'Base DCF'!BG9</f>
        <v>0</v>
      </c>
      <c r="BA1206">
        <f>'Base DCF'!BH9</f>
        <v>0</v>
      </c>
      <c r="BB1206">
        <f>'Base DCF'!BI9</f>
        <v>0</v>
      </c>
      <c r="BC1206">
        <f>'Base DCF'!BJ9</f>
        <v>0</v>
      </c>
      <c r="BD1206">
        <f>'Base DCF'!BK9</f>
        <v>0</v>
      </c>
      <c r="BE1206">
        <f>'Base DCF'!BL9</f>
        <v>0</v>
      </c>
      <c r="BF1206">
        <f>'Base DCF'!BM9</f>
        <v>0</v>
      </c>
      <c r="BG1206">
        <f>'Base DCF'!BN9</f>
        <v>0</v>
      </c>
      <c r="BH1206">
        <f>'Base DCF'!BO9</f>
        <v>0</v>
      </c>
      <c r="BI1206">
        <f>'Base DCF'!BP9</f>
        <v>0</v>
      </c>
      <c r="BJ1206">
        <f>'Base DCF'!BQ9</f>
        <v>0</v>
      </c>
      <c r="BK1206">
        <f>'Base DCF'!BR9</f>
        <v>0</v>
      </c>
      <c r="BL1206">
        <f>'Base DCF'!BS9</f>
        <v>0</v>
      </c>
      <c r="BM1206">
        <f>'Base DCF'!BT9</f>
        <v>0</v>
      </c>
      <c r="BN1206">
        <f>'Base DCF'!BU9</f>
        <v>0</v>
      </c>
      <c r="BO1206">
        <f>'Base DCF'!BV9</f>
        <v>0</v>
      </c>
      <c r="BP1206">
        <f>'Base DCF'!BW9</f>
        <v>0</v>
      </c>
      <c r="BQ1206">
        <f>'Base DCF'!BX9</f>
        <v>0</v>
      </c>
      <c r="BR1206">
        <f>'Base DCF'!BY9</f>
        <v>0</v>
      </c>
      <c r="BS1206">
        <f>'Base DCF'!BZ9</f>
        <v>0</v>
      </c>
      <c r="BT1206">
        <f>'Base DCF'!CA9</f>
        <v>0</v>
      </c>
      <c r="BU1206">
        <f>'Base DCF'!CB9</f>
        <v>0</v>
      </c>
      <c r="BV1206">
        <f>'Base DCF'!CC9</f>
        <v>0</v>
      </c>
      <c r="BW1206">
        <f>'Base DCF'!CD9</f>
        <v>0</v>
      </c>
      <c r="BX1206">
        <f>'Base DCF'!CE9</f>
        <v>0</v>
      </c>
      <c r="BY1206">
        <f>'Base DCF'!CF9</f>
        <v>0</v>
      </c>
      <c r="BZ1206">
        <f>'Base DCF'!CG9</f>
        <v>0</v>
      </c>
      <c r="CA1206">
        <f>'Base DCF'!CH9</f>
        <v>0</v>
      </c>
      <c r="CB1206">
        <f>'Base DCF'!CI9</f>
        <v>0</v>
      </c>
      <c r="CC1206">
        <f>'Base DCF'!CJ9</f>
        <v>0</v>
      </c>
      <c r="CD1206">
        <f>'Base DCF'!CK9</f>
        <v>0</v>
      </c>
      <c r="CE1206">
        <f>'Base DCF'!CL9</f>
        <v>0</v>
      </c>
      <c r="CF1206">
        <f>'Base DCF'!CM9</f>
        <v>0</v>
      </c>
      <c r="CG1206">
        <f>'Base DCF'!CN9</f>
        <v>0</v>
      </c>
      <c r="CH1206">
        <f>'Base DCF'!CO9</f>
        <v>0</v>
      </c>
      <c r="CI1206">
        <f>'Base DCF'!CP9</f>
        <v>0</v>
      </c>
      <c r="CJ1206">
        <f>'Base DCF'!CQ9</f>
        <v>3089.6079999999997</v>
      </c>
      <c r="CK1206">
        <f>'Base DCF'!CR9</f>
        <v>4355.6100000000006</v>
      </c>
      <c r="CL1206">
        <f>'Base DCF'!CS9</f>
        <v>5260.956000000001</v>
      </c>
      <c r="CM1206">
        <f>'Base DCF'!CT9</f>
        <v>6793.3060000000005</v>
      </c>
      <c r="CN1206">
        <f>'Base DCF'!CU9</f>
        <v>8441.9709999999995</v>
      </c>
      <c r="CO1206">
        <f>'Base DCF'!CV9</f>
        <v>9223.987000000001</v>
      </c>
      <c r="CP1206">
        <f>'Base DCF'!CW9</f>
        <v>10743.005999999999</v>
      </c>
      <c r="CQ1206">
        <f>'Base DCF'!CX9</f>
        <v>12681.082</v>
      </c>
      <c r="CR1206">
        <f>'Base DCF'!CY9</f>
        <v>15271.700277403312</v>
      </c>
      <c r="CS1206">
        <f>'Base DCF'!CZ9</f>
        <v>17339.687473709666</v>
      </c>
      <c r="CT1206">
        <f>'Base DCF'!DA9</f>
        <v>19383.027606507796</v>
      </c>
      <c r="CU1206">
        <f>'Base DCF'!DB9</f>
        <v>21341.062257496204</v>
      </c>
      <c r="CV1206">
        <f>'Base DCF'!DC9</f>
        <v>23251.054470862444</v>
      </c>
      <c r="CW1206">
        <f>'Base DCF'!DD9</f>
        <v>25132.715163693218</v>
      </c>
      <c r="CX1206">
        <f>'Base DCF'!DE9</f>
        <v>26969.505716410895</v>
      </c>
      <c r="CY1206">
        <f>'Base DCF'!DF9</f>
        <v>28948.727130987572</v>
      </c>
      <c r="CZ1206">
        <f>'Base DCF'!DG9</f>
        <v>29517.569619111477</v>
      </c>
      <c r="DA1206">
        <f>'Base DCF'!DH9</f>
        <v>0</v>
      </c>
    </row>
    <row r="1207" spans="1:105">
      <c r="A1207">
        <f>'Base DCF'!H10</f>
        <v>0</v>
      </c>
      <c r="B1207" t="str">
        <f>'Base DCF'!I10</f>
        <v>% change Y/Y</v>
      </c>
      <c r="C1207">
        <f>'Base DCF'!J10</f>
        <v>0</v>
      </c>
      <c r="D1207">
        <f>'Base DCF'!K10</f>
        <v>0</v>
      </c>
      <c r="E1207">
        <f>'Base DCF'!L10</f>
        <v>0</v>
      </c>
      <c r="F1207">
        <f>'Base DCF'!M10</f>
        <v>0</v>
      </c>
      <c r="G1207">
        <f>'Base DCF'!N10</f>
        <v>0</v>
      </c>
      <c r="H1207">
        <f>'Base DCF'!O10</f>
        <v>0</v>
      </c>
      <c r="I1207">
        <f>'Base DCF'!P10</f>
        <v>0</v>
      </c>
      <c r="J1207">
        <f>'Base DCF'!Q10</f>
        <v>0</v>
      </c>
      <c r="K1207">
        <f>'Base DCF'!R10</f>
        <v>0</v>
      </c>
      <c r="L1207">
        <f>'Base DCF'!S10</f>
        <v>0</v>
      </c>
      <c r="M1207">
        <f>'Base DCF'!T10</f>
        <v>0</v>
      </c>
      <c r="N1207">
        <f>'Base DCF'!U10</f>
        <v>0</v>
      </c>
      <c r="O1207">
        <f>'Base DCF'!V10</f>
        <v>0</v>
      </c>
      <c r="P1207">
        <f>'Base DCF'!W10</f>
        <v>0</v>
      </c>
      <c r="Q1207">
        <f>'Base DCF'!X10</f>
        <v>0</v>
      </c>
      <c r="R1207">
        <f>'Base DCF'!Y10</f>
        <v>0</v>
      </c>
      <c r="S1207">
        <f>'Base DCF'!Z10</f>
        <v>0</v>
      </c>
      <c r="T1207">
        <f>'Base DCF'!AA10</f>
        <v>0</v>
      </c>
      <c r="U1207">
        <f>'Base DCF'!AB10</f>
        <v>0</v>
      </c>
      <c r="V1207">
        <f>'Base DCF'!AC10</f>
        <v>0</v>
      </c>
      <c r="W1207">
        <f>'Base DCF'!AD10</f>
        <v>0</v>
      </c>
      <c r="X1207">
        <f>'Base DCF'!AE10</f>
        <v>0</v>
      </c>
      <c r="Y1207">
        <f>'Base DCF'!AF10</f>
        <v>0</v>
      </c>
      <c r="Z1207">
        <f>'Base DCF'!AG10</f>
        <v>0</v>
      </c>
      <c r="AA1207">
        <f>'Base DCF'!AH10</f>
        <v>0</v>
      </c>
      <c r="AB1207">
        <f>'Base DCF'!AI10</f>
        <v>0</v>
      </c>
      <c r="AC1207">
        <f>'Base DCF'!AJ10</f>
        <v>0</v>
      </c>
      <c r="AD1207">
        <f>'Base DCF'!AK10</f>
        <v>0</v>
      </c>
      <c r="AE1207">
        <f>'Base DCF'!AL10</f>
        <v>0</v>
      </c>
      <c r="AF1207">
        <f>'Base DCF'!AM10</f>
        <v>0</v>
      </c>
      <c r="AG1207">
        <f>'Base DCF'!AN10</f>
        <v>0</v>
      </c>
      <c r="AH1207">
        <f>'Base DCF'!AO10</f>
        <v>0</v>
      </c>
      <c r="AI1207">
        <f>'Base DCF'!AP10</f>
        <v>0</v>
      </c>
      <c r="AJ1207">
        <f>'Base DCF'!AQ10</f>
        <v>0</v>
      </c>
      <c r="AK1207">
        <f>'Base DCF'!AR10</f>
        <v>0</v>
      </c>
      <c r="AL1207">
        <f>'Base DCF'!AS10</f>
        <v>0</v>
      </c>
      <c r="AM1207">
        <f>'Base DCF'!AT10</f>
        <v>0</v>
      </c>
      <c r="AN1207">
        <f>'Base DCF'!AU10</f>
        <v>0</v>
      </c>
      <c r="AO1207">
        <f>'Base DCF'!AV10</f>
        <v>0</v>
      </c>
      <c r="AP1207">
        <f>'Base DCF'!AW10</f>
        <v>0</v>
      </c>
      <c r="AQ1207">
        <f>'Base DCF'!AX10</f>
        <v>0</v>
      </c>
      <c r="AR1207">
        <f>'Base DCF'!AY10</f>
        <v>0</v>
      </c>
      <c r="AS1207">
        <f>'Base DCF'!AZ10</f>
        <v>0</v>
      </c>
      <c r="AT1207">
        <f>'Base DCF'!BA10</f>
        <v>0</v>
      </c>
      <c r="AU1207">
        <f>'Base DCF'!BB10</f>
        <v>0</v>
      </c>
      <c r="AV1207">
        <f>'Base DCF'!BC10</f>
        <v>0</v>
      </c>
      <c r="AW1207">
        <f>'Base DCF'!BD10</f>
        <v>0</v>
      </c>
      <c r="AX1207">
        <f>'Base DCF'!BE10</f>
        <v>0</v>
      </c>
      <c r="AY1207">
        <f>'Base DCF'!BF10</f>
        <v>0</v>
      </c>
      <c r="AZ1207">
        <f>'Base DCF'!BG10</f>
        <v>0</v>
      </c>
      <c r="BA1207">
        <f>'Base DCF'!BH10</f>
        <v>0</v>
      </c>
      <c r="BB1207">
        <f>'Base DCF'!BI10</f>
        <v>0</v>
      </c>
      <c r="BC1207">
        <f>'Base DCF'!BJ10</f>
        <v>0</v>
      </c>
      <c r="BD1207">
        <f>'Base DCF'!BK10</f>
        <v>0</v>
      </c>
      <c r="BE1207">
        <f>'Base DCF'!BL10</f>
        <v>0</v>
      </c>
      <c r="BF1207">
        <f>'Base DCF'!BM10</f>
        <v>0</v>
      </c>
      <c r="BG1207">
        <f>'Base DCF'!BN10</f>
        <v>0</v>
      </c>
      <c r="BH1207">
        <f>'Base DCF'!BO10</f>
        <v>0</v>
      </c>
      <c r="BI1207">
        <f>'Base DCF'!BP10</f>
        <v>0</v>
      </c>
      <c r="BJ1207">
        <f>'Base DCF'!BQ10</f>
        <v>0</v>
      </c>
      <c r="BK1207">
        <f>'Base DCF'!BR10</f>
        <v>0</v>
      </c>
      <c r="BL1207">
        <f>'Base DCF'!BS10</f>
        <v>0</v>
      </c>
      <c r="BM1207">
        <f>'Base DCF'!BT10</f>
        <v>0</v>
      </c>
      <c r="BN1207">
        <f>'Base DCF'!BU10</f>
        <v>0</v>
      </c>
      <c r="BO1207">
        <f>'Base DCF'!BV10</f>
        <v>0</v>
      </c>
      <c r="BP1207">
        <f>'Base DCF'!BW10</f>
        <v>0</v>
      </c>
      <c r="BQ1207">
        <f>'Base DCF'!BX10</f>
        <v>0</v>
      </c>
      <c r="BR1207">
        <f>'Base DCF'!BY10</f>
        <v>0</v>
      </c>
      <c r="BS1207">
        <f>'Base DCF'!BZ10</f>
        <v>0</v>
      </c>
      <c r="BT1207">
        <f>'Base DCF'!CA10</f>
        <v>0</v>
      </c>
      <c r="BU1207">
        <f>'Base DCF'!CB10</f>
        <v>0</v>
      </c>
      <c r="BV1207">
        <f>'Base DCF'!CC10</f>
        <v>0</v>
      </c>
      <c r="BW1207">
        <f>'Base DCF'!CD10</f>
        <v>0</v>
      </c>
      <c r="BX1207">
        <f>'Base DCF'!CE10</f>
        <v>0</v>
      </c>
      <c r="BY1207">
        <f>'Base DCF'!CF10</f>
        <v>0</v>
      </c>
      <c r="BZ1207">
        <f>'Base DCF'!CG10</f>
        <v>0</v>
      </c>
      <c r="CA1207">
        <f>'Base DCF'!CH10</f>
        <v>0</v>
      </c>
      <c r="CB1207">
        <f>'Base DCF'!CI10</f>
        <v>0</v>
      </c>
      <c r="CC1207">
        <f>'Base DCF'!CJ10</f>
        <v>0</v>
      </c>
      <c r="CD1207">
        <f>'Base DCF'!CK10</f>
        <v>0</v>
      </c>
      <c r="CE1207">
        <f>'Base DCF'!CL10</f>
        <v>0</v>
      </c>
      <c r="CF1207">
        <f>'Base DCF'!CM10</f>
        <v>0</v>
      </c>
      <c r="CG1207">
        <f>'Base DCF'!CN10</f>
        <v>0</v>
      </c>
      <c r="CH1207">
        <f>'Base DCF'!CO10</f>
        <v>0</v>
      </c>
      <c r="CI1207">
        <f>'Base DCF'!CP10</f>
        <v>0</v>
      </c>
      <c r="CJ1207">
        <f>'Base DCF'!CQ10</f>
        <v>0</v>
      </c>
      <c r="CK1207">
        <f>'Base DCF'!CR10</f>
        <v>0.40976136778516925</v>
      </c>
      <c r="CL1207">
        <f>'Base DCF'!CS10</f>
        <v>0.20785745280224832</v>
      </c>
      <c r="CM1207">
        <f>'Base DCF'!CT10</f>
        <v>0.29126835502900983</v>
      </c>
      <c r="CN1207">
        <f>'Base DCF'!CU10</f>
        <v>0.2426896418327098</v>
      </c>
      <c r="CO1207">
        <f>'Base DCF'!CV10</f>
        <v>9.263429120995581E-2</v>
      </c>
      <c r="CP1207">
        <f>'Base DCF'!CW10</f>
        <v>0.16468138994558412</v>
      </c>
      <c r="CQ1207">
        <f>'Base DCF'!CX10</f>
        <v>0.18040351089816031</v>
      </c>
      <c r="CR1207">
        <f>'Base DCF'!CY10</f>
        <v>0.20429000280916965</v>
      </c>
      <c r="CS1207">
        <f>'Base DCF'!CZ10</f>
        <v>0.13541302924640553</v>
      </c>
      <c r="CT1207">
        <f>'Base DCF'!DA10</f>
        <v>0.11784180861945925</v>
      </c>
      <c r="CU1207">
        <f>'Base DCF'!DB10</f>
        <v>0.1010179983611541</v>
      </c>
      <c r="CV1207">
        <f>'Base DCF'!DC10</f>
        <v>8.949846030721087E-2</v>
      </c>
      <c r="CW1207">
        <f>'Base DCF'!DD10</f>
        <v>8.092797232868798E-2</v>
      </c>
      <c r="CX1207">
        <f>'Base DCF'!DE10</f>
        <v>7.3083649767021974E-2</v>
      </c>
      <c r="CY1207">
        <f>'Base DCF'!DF10</f>
        <v>7.3387381859665535E-2</v>
      </c>
      <c r="CZ1207">
        <f>'Base DCF'!DG10</f>
        <v>1.9649999999999945E-2</v>
      </c>
      <c r="DA1207">
        <f>'Base DCF'!DH10</f>
        <v>0</v>
      </c>
    </row>
    <row r="1208" spans="1:105">
      <c r="A1208">
        <f>'Base DCF'!H11</f>
        <v>0</v>
      </c>
      <c r="B1208">
        <f>'Base DCF'!I11</f>
        <v>0</v>
      </c>
      <c r="C1208">
        <f>'Base DCF'!J11</f>
        <v>0</v>
      </c>
      <c r="D1208">
        <f>'Base DCF'!K11</f>
        <v>0</v>
      </c>
      <c r="E1208">
        <f>'Base DCF'!L11</f>
        <v>0</v>
      </c>
      <c r="F1208">
        <f>'Base DCF'!M11</f>
        <v>0</v>
      </c>
      <c r="G1208">
        <f>'Base DCF'!N11</f>
        <v>0</v>
      </c>
      <c r="H1208">
        <f>'Base DCF'!O11</f>
        <v>0</v>
      </c>
      <c r="I1208">
        <f>'Base DCF'!P11</f>
        <v>0</v>
      </c>
      <c r="J1208">
        <f>'Base DCF'!Q11</f>
        <v>0</v>
      </c>
      <c r="K1208">
        <f>'Base DCF'!R11</f>
        <v>0</v>
      </c>
      <c r="L1208">
        <f>'Base DCF'!S11</f>
        <v>0</v>
      </c>
      <c r="M1208">
        <f>'Base DCF'!T11</f>
        <v>0</v>
      </c>
      <c r="N1208">
        <f>'Base DCF'!U11</f>
        <v>0</v>
      </c>
      <c r="O1208">
        <f>'Base DCF'!V11</f>
        <v>0</v>
      </c>
      <c r="P1208">
        <f>'Base DCF'!W11</f>
        <v>0</v>
      </c>
      <c r="Q1208">
        <f>'Base DCF'!X11</f>
        <v>0</v>
      </c>
      <c r="R1208">
        <f>'Base DCF'!Y11</f>
        <v>0</v>
      </c>
      <c r="S1208">
        <f>'Base DCF'!Z11</f>
        <v>0</v>
      </c>
      <c r="T1208">
        <f>'Base DCF'!AA11</f>
        <v>0</v>
      </c>
      <c r="U1208">
        <f>'Base DCF'!AB11</f>
        <v>0</v>
      </c>
      <c r="V1208">
        <f>'Base DCF'!AC11</f>
        <v>0</v>
      </c>
      <c r="W1208">
        <f>'Base DCF'!AD11</f>
        <v>0</v>
      </c>
      <c r="X1208">
        <f>'Base DCF'!AE11</f>
        <v>0</v>
      </c>
      <c r="Y1208">
        <f>'Base DCF'!AF11</f>
        <v>0</v>
      </c>
      <c r="Z1208">
        <f>'Base DCF'!AG11</f>
        <v>0</v>
      </c>
      <c r="AA1208">
        <f>'Base DCF'!AH11</f>
        <v>0</v>
      </c>
      <c r="AB1208">
        <f>'Base DCF'!AI11</f>
        <v>0</v>
      </c>
      <c r="AC1208">
        <f>'Base DCF'!AJ11</f>
        <v>0</v>
      </c>
      <c r="AD1208">
        <f>'Base DCF'!AK11</f>
        <v>0</v>
      </c>
      <c r="AE1208">
        <f>'Base DCF'!AL11</f>
        <v>0</v>
      </c>
      <c r="AF1208">
        <f>'Base DCF'!AM11</f>
        <v>0</v>
      </c>
      <c r="AG1208">
        <f>'Base DCF'!AN11</f>
        <v>0</v>
      </c>
      <c r="AH1208">
        <f>'Base DCF'!AO11</f>
        <v>0</v>
      </c>
      <c r="AI1208">
        <f>'Base DCF'!AP11</f>
        <v>0</v>
      </c>
      <c r="AJ1208">
        <f>'Base DCF'!AQ11</f>
        <v>0</v>
      </c>
      <c r="AK1208">
        <f>'Base DCF'!AR11</f>
        <v>0</v>
      </c>
      <c r="AL1208">
        <f>'Base DCF'!AS11</f>
        <v>0</v>
      </c>
      <c r="AM1208">
        <f>'Base DCF'!AT11</f>
        <v>0</v>
      </c>
      <c r="AN1208">
        <f>'Base DCF'!AU11</f>
        <v>0</v>
      </c>
      <c r="AO1208">
        <f>'Base DCF'!AV11</f>
        <v>0</v>
      </c>
      <c r="AP1208">
        <f>'Base DCF'!AW11</f>
        <v>0</v>
      </c>
      <c r="AQ1208">
        <f>'Base DCF'!AX11</f>
        <v>0</v>
      </c>
      <c r="AR1208">
        <f>'Base DCF'!AY11</f>
        <v>0</v>
      </c>
      <c r="AS1208">
        <f>'Base DCF'!AZ11</f>
        <v>0</v>
      </c>
      <c r="AT1208">
        <f>'Base DCF'!BA11</f>
        <v>0</v>
      </c>
      <c r="AU1208">
        <f>'Base DCF'!BB11</f>
        <v>0</v>
      </c>
      <c r="AV1208">
        <f>'Base DCF'!BC11</f>
        <v>0</v>
      </c>
      <c r="AW1208">
        <f>'Base DCF'!BD11</f>
        <v>0</v>
      </c>
      <c r="AX1208">
        <f>'Base DCF'!BE11</f>
        <v>0</v>
      </c>
      <c r="AY1208">
        <f>'Base DCF'!BF11</f>
        <v>0</v>
      </c>
      <c r="AZ1208">
        <f>'Base DCF'!BG11</f>
        <v>0</v>
      </c>
      <c r="BA1208">
        <f>'Base DCF'!BH11</f>
        <v>0</v>
      </c>
      <c r="BB1208">
        <f>'Base DCF'!BI11</f>
        <v>0</v>
      </c>
      <c r="BC1208">
        <f>'Base DCF'!BJ11</f>
        <v>0</v>
      </c>
      <c r="BD1208">
        <f>'Base DCF'!BK11</f>
        <v>0</v>
      </c>
      <c r="BE1208">
        <f>'Base DCF'!BL11</f>
        <v>0</v>
      </c>
      <c r="BF1208">
        <f>'Base DCF'!BM11</f>
        <v>0</v>
      </c>
      <c r="BG1208">
        <f>'Base DCF'!BN11</f>
        <v>0</v>
      </c>
      <c r="BH1208">
        <f>'Base DCF'!BO11</f>
        <v>0</v>
      </c>
      <c r="BI1208">
        <f>'Base DCF'!BP11</f>
        <v>0</v>
      </c>
      <c r="BJ1208">
        <f>'Base DCF'!BQ11</f>
        <v>0</v>
      </c>
      <c r="BK1208">
        <f>'Base DCF'!BR11</f>
        <v>0</v>
      </c>
      <c r="BL1208">
        <f>'Base DCF'!BS11</f>
        <v>0</v>
      </c>
      <c r="BM1208">
        <f>'Base DCF'!BT11</f>
        <v>0</v>
      </c>
      <c r="BN1208">
        <f>'Base DCF'!BU11</f>
        <v>0</v>
      </c>
      <c r="BO1208">
        <f>'Base DCF'!BV11</f>
        <v>0</v>
      </c>
      <c r="BP1208">
        <f>'Base DCF'!BW11</f>
        <v>0</v>
      </c>
      <c r="BQ1208">
        <f>'Base DCF'!BX11</f>
        <v>0</v>
      </c>
      <c r="BR1208">
        <f>'Base DCF'!BY11</f>
        <v>0</v>
      </c>
      <c r="BS1208">
        <f>'Base DCF'!BZ11</f>
        <v>0</v>
      </c>
      <c r="BT1208">
        <f>'Base DCF'!CA11</f>
        <v>0</v>
      </c>
      <c r="BU1208">
        <f>'Base DCF'!CB11</f>
        <v>0</v>
      </c>
      <c r="BV1208">
        <f>'Base DCF'!CC11</f>
        <v>0</v>
      </c>
      <c r="BW1208">
        <f>'Base DCF'!CD11</f>
        <v>0</v>
      </c>
      <c r="BX1208">
        <f>'Base DCF'!CE11</f>
        <v>0</v>
      </c>
      <c r="BY1208">
        <f>'Base DCF'!CF11</f>
        <v>0</v>
      </c>
      <c r="BZ1208">
        <f>'Base DCF'!CG11</f>
        <v>0</v>
      </c>
      <c r="CA1208">
        <f>'Base DCF'!CH11</f>
        <v>0</v>
      </c>
      <c r="CB1208">
        <f>'Base DCF'!CI11</f>
        <v>0</v>
      </c>
      <c r="CC1208">
        <f>'Base DCF'!CJ11</f>
        <v>0</v>
      </c>
      <c r="CD1208">
        <f>'Base DCF'!CK11</f>
        <v>0</v>
      </c>
      <c r="CE1208">
        <f>'Base DCF'!CL11</f>
        <v>0</v>
      </c>
      <c r="CF1208">
        <f>'Base DCF'!CM11</f>
        <v>0</v>
      </c>
      <c r="CG1208">
        <f>'Base DCF'!CN11</f>
        <v>0</v>
      </c>
      <c r="CH1208">
        <f>'Base DCF'!CO11</f>
        <v>0</v>
      </c>
      <c r="CI1208">
        <f>'Base DCF'!CP11</f>
        <v>0</v>
      </c>
      <c r="CJ1208">
        <f>'Base DCF'!CQ11</f>
        <v>0</v>
      </c>
      <c r="CK1208">
        <f>'Base DCF'!CR11</f>
        <v>0</v>
      </c>
      <c r="CL1208">
        <f>'Base DCF'!CS11</f>
        <v>0</v>
      </c>
      <c r="CM1208">
        <f>'Base DCF'!CT11</f>
        <v>0</v>
      </c>
      <c r="CN1208">
        <f>'Base DCF'!CU11</f>
        <v>0</v>
      </c>
      <c r="CO1208">
        <f>'Base DCF'!CV11</f>
        <v>0</v>
      </c>
      <c r="CP1208">
        <f>'Base DCF'!CW11</f>
        <v>0</v>
      </c>
      <c r="CQ1208">
        <f>'Base DCF'!CX11</f>
        <v>0</v>
      </c>
      <c r="CR1208">
        <f>'Base DCF'!CY11</f>
        <v>0</v>
      </c>
      <c r="CS1208">
        <f>'Base DCF'!CZ11</f>
        <v>0</v>
      </c>
      <c r="CT1208">
        <f>'Base DCF'!DA11</f>
        <v>0</v>
      </c>
      <c r="CU1208">
        <f>'Base DCF'!DB11</f>
        <v>0</v>
      </c>
      <c r="CV1208">
        <f>'Base DCF'!DC11</f>
        <v>0</v>
      </c>
      <c r="CW1208">
        <f>'Base DCF'!DD11</f>
        <v>0</v>
      </c>
      <c r="CX1208">
        <f>'Base DCF'!DE11</f>
        <v>0</v>
      </c>
      <c r="CY1208">
        <f>'Base DCF'!DF11</f>
        <v>0</v>
      </c>
      <c r="CZ1208">
        <f>'Base DCF'!DG11</f>
        <v>0</v>
      </c>
      <c r="DA1208">
        <f>'Base DCF'!DH11</f>
        <v>0</v>
      </c>
    </row>
    <row r="1209" spans="1:105">
      <c r="A1209">
        <f>'Base DCF'!H12</f>
        <v>0</v>
      </c>
      <c r="B1209" t="str">
        <f>'Base DCF'!I12</f>
        <v>Adj. EBITDA</v>
      </c>
      <c r="C1209">
        <f>'Base DCF'!J12</f>
        <v>0</v>
      </c>
      <c r="D1209">
        <f>'Base DCF'!K12</f>
        <v>0</v>
      </c>
      <c r="E1209">
        <f>'Base DCF'!L12</f>
        <v>0</v>
      </c>
      <c r="F1209">
        <f>'Base DCF'!M12</f>
        <v>0</v>
      </c>
      <c r="G1209">
        <f>'Base DCF'!N12</f>
        <v>0</v>
      </c>
      <c r="H1209">
        <f>'Base DCF'!O12</f>
        <v>0</v>
      </c>
      <c r="I1209">
        <f>'Base DCF'!P12</f>
        <v>0</v>
      </c>
      <c r="J1209">
        <f>'Base DCF'!Q12</f>
        <v>0</v>
      </c>
      <c r="K1209">
        <f>'Base DCF'!R12</f>
        <v>0</v>
      </c>
      <c r="L1209">
        <f>'Base DCF'!S12</f>
        <v>0</v>
      </c>
      <c r="M1209">
        <f>'Base DCF'!T12</f>
        <v>0</v>
      </c>
      <c r="N1209">
        <f>'Base DCF'!U12</f>
        <v>0</v>
      </c>
      <c r="O1209">
        <f>'Base DCF'!V12</f>
        <v>0</v>
      </c>
      <c r="P1209">
        <f>'Base DCF'!W12</f>
        <v>0</v>
      </c>
      <c r="Q1209">
        <f>'Base DCF'!X12</f>
        <v>0</v>
      </c>
      <c r="R1209">
        <f>'Base DCF'!Y12</f>
        <v>0</v>
      </c>
      <c r="S1209">
        <f>'Base DCF'!Z12</f>
        <v>0</v>
      </c>
      <c r="T1209">
        <f>'Base DCF'!AA12</f>
        <v>0</v>
      </c>
      <c r="U1209">
        <f>'Base DCF'!AB12</f>
        <v>0</v>
      </c>
      <c r="V1209">
        <f>'Base DCF'!AC12</f>
        <v>0</v>
      </c>
      <c r="W1209">
        <f>'Base DCF'!AD12</f>
        <v>0</v>
      </c>
      <c r="X1209">
        <f>'Base DCF'!AE12</f>
        <v>0</v>
      </c>
      <c r="Y1209">
        <f>'Base DCF'!AF12</f>
        <v>0</v>
      </c>
      <c r="Z1209">
        <f>'Base DCF'!AG12</f>
        <v>0</v>
      </c>
      <c r="AA1209">
        <f>'Base DCF'!AH12</f>
        <v>0</v>
      </c>
      <c r="AB1209">
        <f>'Base DCF'!AI12</f>
        <v>0</v>
      </c>
      <c r="AC1209">
        <f>'Base DCF'!AJ12</f>
        <v>0</v>
      </c>
      <c r="AD1209">
        <f>'Base DCF'!AK12</f>
        <v>0</v>
      </c>
      <c r="AE1209">
        <f>'Base DCF'!AL12</f>
        <v>0</v>
      </c>
      <c r="AF1209">
        <f>'Base DCF'!AM12</f>
        <v>0</v>
      </c>
      <c r="AG1209">
        <f>'Base DCF'!AN12</f>
        <v>0</v>
      </c>
      <c r="AH1209">
        <f>'Base DCF'!AO12</f>
        <v>0</v>
      </c>
      <c r="AI1209">
        <f>'Base DCF'!AP12</f>
        <v>0</v>
      </c>
      <c r="AJ1209">
        <f>'Base DCF'!AQ12</f>
        <v>0</v>
      </c>
      <c r="AK1209">
        <f>'Base DCF'!AR12</f>
        <v>0</v>
      </c>
      <c r="AL1209">
        <f>'Base DCF'!AS12</f>
        <v>0</v>
      </c>
      <c r="AM1209">
        <f>'Base DCF'!AT12</f>
        <v>0</v>
      </c>
      <c r="AN1209">
        <f>'Base DCF'!AU12</f>
        <v>0</v>
      </c>
      <c r="AO1209">
        <f>'Base DCF'!AV12</f>
        <v>0</v>
      </c>
      <c r="AP1209">
        <f>'Base DCF'!AW12</f>
        <v>0</v>
      </c>
      <c r="AQ1209">
        <f>'Base DCF'!AX12</f>
        <v>0</v>
      </c>
      <c r="AR1209">
        <f>'Base DCF'!AY12</f>
        <v>0</v>
      </c>
      <c r="AS1209">
        <f>'Base DCF'!AZ12</f>
        <v>0</v>
      </c>
      <c r="AT1209">
        <f>'Base DCF'!BA12</f>
        <v>0</v>
      </c>
      <c r="AU1209">
        <f>'Base DCF'!BB12</f>
        <v>0</v>
      </c>
      <c r="AV1209">
        <f>'Base DCF'!BC12</f>
        <v>0</v>
      </c>
      <c r="AW1209">
        <f>'Base DCF'!BD12</f>
        <v>0</v>
      </c>
      <c r="AX1209">
        <f>'Base DCF'!BE12</f>
        <v>0</v>
      </c>
      <c r="AY1209">
        <f>'Base DCF'!BF12</f>
        <v>0</v>
      </c>
      <c r="AZ1209">
        <f>'Base DCF'!BG12</f>
        <v>0</v>
      </c>
      <c r="BA1209">
        <f>'Base DCF'!BH12</f>
        <v>0</v>
      </c>
      <c r="BB1209">
        <f>'Base DCF'!BI12</f>
        <v>0</v>
      </c>
      <c r="BC1209">
        <f>'Base DCF'!BJ12</f>
        <v>0</v>
      </c>
      <c r="BD1209">
        <f>'Base DCF'!BK12</f>
        <v>0</v>
      </c>
      <c r="BE1209">
        <f>'Base DCF'!BL12</f>
        <v>0</v>
      </c>
      <c r="BF1209">
        <f>'Base DCF'!BM12</f>
        <v>0</v>
      </c>
      <c r="BG1209">
        <f>'Base DCF'!BN12</f>
        <v>0</v>
      </c>
      <c r="BH1209">
        <f>'Base DCF'!BO12</f>
        <v>0</v>
      </c>
      <c r="BI1209">
        <f>'Base DCF'!BP12</f>
        <v>0</v>
      </c>
      <c r="BJ1209">
        <f>'Base DCF'!BQ12</f>
        <v>0</v>
      </c>
      <c r="BK1209">
        <f>'Base DCF'!BR12</f>
        <v>0</v>
      </c>
      <c r="BL1209">
        <f>'Base DCF'!BS12</f>
        <v>0</v>
      </c>
      <c r="BM1209">
        <f>'Base DCF'!BT12</f>
        <v>0</v>
      </c>
      <c r="BN1209">
        <f>'Base DCF'!BU12</f>
        <v>0</v>
      </c>
      <c r="BO1209">
        <f>'Base DCF'!BV12</f>
        <v>0</v>
      </c>
      <c r="BP1209">
        <f>'Base DCF'!BW12</f>
        <v>0</v>
      </c>
      <c r="BQ1209">
        <f>'Base DCF'!BX12</f>
        <v>0</v>
      </c>
      <c r="BR1209">
        <f>'Base DCF'!BY12</f>
        <v>0</v>
      </c>
      <c r="BS1209">
        <f>'Base DCF'!BZ12</f>
        <v>0</v>
      </c>
      <c r="BT1209">
        <f>'Base DCF'!CA12</f>
        <v>0</v>
      </c>
      <c r="BU1209">
        <f>'Base DCF'!CB12</f>
        <v>0</v>
      </c>
      <c r="BV1209">
        <f>'Base DCF'!CC12</f>
        <v>0</v>
      </c>
      <c r="BW1209">
        <f>'Base DCF'!CD12</f>
        <v>0</v>
      </c>
      <c r="BX1209">
        <f>'Base DCF'!CE12</f>
        <v>0</v>
      </c>
      <c r="BY1209">
        <f>'Base DCF'!CF12</f>
        <v>0</v>
      </c>
      <c r="BZ1209">
        <f>'Base DCF'!CG12</f>
        <v>0</v>
      </c>
      <c r="CA1209">
        <f>'Base DCF'!CH12</f>
        <v>0</v>
      </c>
      <c r="CB1209">
        <f>'Base DCF'!CI12</f>
        <v>0</v>
      </c>
      <c r="CC1209">
        <f>'Base DCF'!CJ12</f>
        <v>0</v>
      </c>
      <c r="CD1209">
        <f>'Base DCF'!CK12</f>
        <v>0</v>
      </c>
      <c r="CE1209">
        <f>'Base DCF'!CL12</f>
        <v>0</v>
      </c>
      <c r="CF1209">
        <f>'Base DCF'!CM12</f>
        <v>0</v>
      </c>
      <c r="CG1209">
        <f>'Base DCF'!CN12</f>
        <v>0</v>
      </c>
      <c r="CH1209">
        <f>'Base DCF'!CO12</f>
        <v>0</v>
      </c>
      <c r="CI1209">
        <f>'Base DCF'!CP12</f>
        <v>0</v>
      </c>
      <c r="CJ1209">
        <f>'Base DCF'!CQ12</f>
        <v>834.16899999999976</v>
      </c>
      <c r="CK1209">
        <f>'Base DCF'!CR12</f>
        <v>1445.2510000000004</v>
      </c>
      <c r="CL1209">
        <f>'Base DCF'!CS12</f>
        <v>1885.2130000000011</v>
      </c>
      <c r="CM1209">
        <f>'Base DCF'!CT12</f>
        <v>2520.2950000000001</v>
      </c>
      <c r="CN1209">
        <f>'Base DCF'!CU12</f>
        <v>3277.956999999999</v>
      </c>
      <c r="CO1209">
        <f>'Base DCF'!CV12</f>
        <v>3475.257999999998</v>
      </c>
      <c r="CP1209">
        <f>'Base DCF'!CW12</f>
        <v>4139.2349999999997</v>
      </c>
      <c r="CQ1209">
        <f>'Base DCF'!CX12</f>
        <v>4867.2319999999982</v>
      </c>
      <c r="CR1209">
        <f>'Base DCF'!CY12</f>
        <v>5923.6693089154496</v>
      </c>
      <c r="CS1209">
        <f>'Base DCF'!CZ12</f>
        <v>6799.2864405486807</v>
      </c>
      <c r="CT1209">
        <f>'Base DCF'!DA12</f>
        <v>7681.090174516783</v>
      </c>
      <c r="CU1209">
        <f>'Base DCF'!DB12</f>
        <v>8561.946486500301</v>
      </c>
      <c r="CV1209">
        <f>'Base DCF'!DC12</f>
        <v>9437.0385176143209</v>
      </c>
      <c r="CW1209">
        <f>'Base DCF'!DD12</f>
        <v>10295.109285605473</v>
      </c>
      <c r="CX1209">
        <f>'Base DCF'!DE12</f>
        <v>11125.332248816248</v>
      </c>
      <c r="CY1209">
        <f>'Base DCF'!DF12</f>
        <v>12064.464817989532</v>
      </c>
      <c r="CZ1209">
        <f>'Base DCF'!DG12</f>
        <v>12301.531551663027</v>
      </c>
      <c r="DA1209">
        <f>'Base DCF'!DH12</f>
        <v>0</v>
      </c>
    </row>
    <row r="1210" spans="1:105">
      <c r="A1210">
        <f>'Base DCF'!H13</f>
        <v>0</v>
      </c>
      <c r="B1210" t="str">
        <f>'Base DCF'!I13</f>
        <v>(-) Cash Taxes</v>
      </c>
      <c r="C1210">
        <f>'Base DCF'!J13</f>
        <v>0</v>
      </c>
      <c r="D1210">
        <f>'Base DCF'!K13</f>
        <v>0</v>
      </c>
      <c r="E1210">
        <f>'Base DCF'!L13</f>
        <v>0</v>
      </c>
      <c r="F1210">
        <f>'Base DCF'!M13</f>
        <v>0</v>
      </c>
      <c r="G1210">
        <f>'Base DCF'!N13</f>
        <v>0</v>
      </c>
      <c r="H1210">
        <f>'Base DCF'!O13</f>
        <v>0</v>
      </c>
      <c r="I1210">
        <f>'Base DCF'!P13</f>
        <v>0</v>
      </c>
      <c r="J1210">
        <f>'Base DCF'!Q13</f>
        <v>0</v>
      </c>
      <c r="K1210">
        <f>'Base DCF'!R13</f>
        <v>0</v>
      </c>
      <c r="L1210">
        <f>'Base DCF'!S13</f>
        <v>0</v>
      </c>
      <c r="M1210">
        <f>'Base DCF'!T13</f>
        <v>0</v>
      </c>
      <c r="N1210">
        <f>'Base DCF'!U13</f>
        <v>0</v>
      </c>
      <c r="O1210">
        <f>'Base DCF'!V13</f>
        <v>0</v>
      </c>
      <c r="P1210">
        <f>'Base DCF'!W13</f>
        <v>0</v>
      </c>
      <c r="Q1210">
        <f>'Base DCF'!X13</f>
        <v>0</v>
      </c>
      <c r="R1210">
        <f>'Base DCF'!Y13</f>
        <v>0</v>
      </c>
      <c r="S1210">
        <f>'Base DCF'!Z13</f>
        <v>0</v>
      </c>
      <c r="T1210">
        <f>'Base DCF'!AA13</f>
        <v>0</v>
      </c>
      <c r="U1210">
        <f>'Base DCF'!AB13</f>
        <v>0</v>
      </c>
      <c r="V1210">
        <f>'Base DCF'!AC13</f>
        <v>0</v>
      </c>
      <c r="W1210">
        <f>'Base DCF'!AD13</f>
        <v>0</v>
      </c>
      <c r="X1210">
        <f>'Base DCF'!AE13</f>
        <v>0</v>
      </c>
      <c r="Y1210">
        <f>'Base DCF'!AF13</f>
        <v>0</v>
      </c>
      <c r="Z1210">
        <f>'Base DCF'!AG13</f>
        <v>0</v>
      </c>
      <c r="AA1210">
        <f>'Base DCF'!AH13</f>
        <v>0</v>
      </c>
      <c r="AB1210">
        <f>'Base DCF'!AI13</f>
        <v>0</v>
      </c>
      <c r="AC1210">
        <f>'Base DCF'!AJ13</f>
        <v>0</v>
      </c>
      <c r="AD1210">
        <f>'Base DCF'!AK13</f>
        <v>0</v>
      </c>
      <c r="AE1210">
        <f>'Base DCF'!AL13</f>
        <v>0</v>
      </c>
      <c r="AF1210">
        <f>'Base DCF'!AM13</f>
        <v>0</v>
      </c>
      <c r="AG1210">
        <f>'Base DCF'!AN13</f>
        <v>0</v>
      </c>
      <c r="AH1210">
        <f>'Base DCF'!AO13</f>
        <v>0</v>
      </c>
      <c r="AI1210">
        <f>'Base DCF'!AP13</f>
        <v>0</v>
      </c>
      <c r="AJ1210">
        <f>'Base DCF'!AQ13</f>
        <v>0</v>
      </c>
      <c r="AK1210">
        <f>'Base DCF'!AR13</f>
        <v>0</v>
      </c>
      <c r="AL1210">
        <f>'Base DCF'!AS13</f>
        <v>0</v>
      </c>
      <c r="AM1210">
        <f>'Base DCF'!AT13</f>
        <v>0</v>
      </c>
      <c r="AN1210">
        <f>'Base DCF'!AU13</f>
        <v>0</v>
      </c>
      <c r="AO1210">
        <f>'Base DCF'!AV13</f>
        <v>0</v>
      </c>
      <c r="AP1210">
        <f>'Base DCF'!AW13</f>
        <v>0</v>
      </c>
      <c r="AQ1210">
        <f>'Base DCF'!AX13</f>
        <v>0</v>
      </c>
      <c r="AR1210">
        <f>'Base DCF'!AY13</f>
        <v>0</v>
      </c>
      <c r="AS1210">
        <f>'Base DCF'!AZ13</f>
        <v>0</v>
      </c>
      <c r="AT1210">
        <f>'Base DCF'!BA13</f>
        <v>0</v>
      </c>
      <c r="AU1210">
        <f>'Base DCF'!BB13</f>
        <v>0</v>
      </c>
      <c r="AV1210">
        <f>'Base DCF'!BC13</f>
        <v>0</v>
      </c>
      <c r="AW1210">
        <f>'Base DCF'!BD13</f>
        <v>0</v>
      </c>
      <c r="AX1210">
        <f>'Base DCF'!BE13</f>
        <v>0</v>
      </c>
      <c r="AY1210">
        <f>'Base DCF'!BF13</f>
        <v>0</v>
      </c>
      <c r="AZ1210">
        <f>'Base DCF'!BG13</f>
        <v>0</v>
      </c>
      <c r="BA1210">
        <f>'Base DCF'!BH13</f>
        <v>0</v>
      </c>
      <c r="BB1210">
        <f>'Base DCF'!BI13</f>
        <v>0</v>
      </c>
      <c r="BC1210">
        <f>'Base DCF'!BJ13</f>
        <v>0</v>
      </c>
      <c r="BD1210">
        <f>'Base DCF'!BK13</f>
        <v>0</v>
      </c>
      <c r="BE1210">
        <f>'Base DCF'!BL13</f>
        <v>0</v>
      </c>
      <c r="BF1210">
        <f>'Base DCF'!BM13</f>
        <v>0</v>
      </c>
      <c r="BG1210">
        <f>'Base DCF'!BN13</f>
        <v>0</v>
      </c>
      <c r="BH1210">
        <f>'Base DCF'!BO13</f>
        <v>0</v>
      </c>
      <c r="BI1210">
        <f>'Base DCF'!BP13</f>
        <v>0</v>
      </c>
      <c r="BJ1210">
        <f>'Base DCF'!BQ13</f>
        <v>0</v>
      </c>
      <c r="BK1210">
        <f>'Base DCF'!BR13</f>
        <v>0</v>
      </c>
      <c r="BL1210">
        <f>'Base DCF'!BS13</f>
        <v>0</v>
      </c>
      <c r="BM1210">
        <f>'Base DCF'!BT13</f>
        <v>0</v>
      </c>
      <c r="BN1210">
        <f>'Base DCF'!BU13</f>
        <v>0</v>
      </c>
      <c r="BO1210">
        <f>'Base DCF'!BV13</f>
        <v>0</v>
      </c>
      <c r="BP1210">
        <f>'Base DCF'!BW13</f>
        <v>0</v>
      </c>
      <c r="BQ1210">
        <f>'Base DCF'!BX13</f>
        <v>0</v>
      </c>
      <c r="BR1210">
        <f>'Base DCF'!BY13</f>
        <v>0</v>
      </c>
      <c r="BS1210">
        <f>'Base DCF'!BZ13</f>
        <v>0</v>
      </c>
      <c r="BT1210">
        <f>'Base DCF'!CA13</f>
        <v>0</v>
      </c>
      <c r="BU1210">
        <f>'Base DCF'!CB13</f>
        <v>0</v>
      </c>
      <c r="BV1210">
        <f>'Base DCF'!CC13</f>
        <v>0</v>
      </c>
      <c r="BW1210">
        <f>'Base DCF'!CD13</f>
        <v>0</v>
      </c>
      <c r="BX1210">
        <f>'Base DCF'!CE13</f>
        <v>0</v>
      </c>
      <c r="BY1210">
        <f>'Base DCF'!CF13</f>
        <v>0</v>
      </c>
      <c r="BZ1210">
        <f>'Base DCF'!CG13</f>
        <v>0</v>
      </c>
      <c r="CA1210">
        <f>'Base DCF'!CH13</f>
        <v>0</v>
      </c>
      <c r="CB1210">
        <f>'Base DCF'!CI13</f>
        <v>0</v>
      </c>
      <c r="CC1210">
        <f>'Base DCF'!CJ13</f>
        <v>0</v>
      </c>
      <c r="CD1210">
        <f>'Base DCF'!CK13</f>
        <v>0</v>
      </c>
      <c r="CE1210">
        <f>'Base DCF'!CL13</f>
        <v>0</v>
      </c>
      <c r="CF1210">
        <f>'Base DCF'!CM13</f>
        <v>0</v>
      </c>
      <c r="CG1210">
        <f>'Base DCF'!CN13</f>
        <v>0</v>
      </c>
      <c r="CH1210">
        <f>'Base DCF'!CO13</f>
        <v>0</v>
      </c>
      <c r="CI1210">
        <f>'Base DCF'!CP13</f>
        <v>0</v>
      </c>
      <c r="CJ1210">
        <f>'Base DCF'!CQ13</f>
        <v>-169.32</v>
      </c>
      <c r="CK1210">
        <f>'Base DCF'!CR13</f>
        <v>-232.762</v>
      </c>
      <c r="CL1210">
        <f>'Base DCF'!CS13</f>
        <v>-300.53899999999999</v>
      </c>
      <c r="CM1210">
        <f>'Base DCF'!CT13</f>
        <v>-391.16899999999998</v>
      </c>
      <c r="CN1210">
        <f>'Base DCF'!CU13</f>
        <v>-491.53</v>
      </c>
      <c r="CO1210">
        <f>'Base DCF'!CV13</f>
        <v>-534.10500000000002</v>
      </c>
      <c r="CP1210">
        <f>'Base DCF'!CW13</f>
        <v>-636.54999999999995</v>
      </c>
      <c r="CQ1210">
        <f>'Base DCF'!CX13</f>
        <v>-2057.5569999999998</v>
      </c>
      <c r="CR1210">
        <f>'Base DCF'!CY13</f>
        <v>-1882.6329006265948</v>
      </c>
      <c r="CS1210">
        <f>'Base DCF'!CZ13</f>
        <v>-2200.6449328780222</v>
      </c>
      <c r="CT1210">
        <f>'Base DCF'!DA13</f>
        <v>-2514.2273234608356</v>
      </c>
      <c r="CU1210">
        <f>'Base DCF'!DB13</f>
        <v>-2828.7952855422291</v>
      </c>
      <c r="CV1210">
        <f>'Base DCF'!DC13</f>
        <v>-3141.1089166947595</v>
      </c>
      <c r="CW1210">
        <f>'Base DCF'!DD13</f>
        <v>-3444.3436816723824</v>
      </c>
      <c r="CX1210">
        <f>'Base DCF'!DE13</f>
        <v>-3746.5333987233075</v>
      </c>
      <c r="CY1210">
        <f>'Base DCF'!DF13</f>
        <v>-4084.0675986756023</v>
      </c>
      <c r="CZ1210">
        <f>'Base DCF'!DG13</f>
        <v>0</v>
      </c>
      <c r="DA1210">
        <f>'Base DCF'!DH13</f>
        <v>0</v>
      </c>
    </row>
    <row r="1211" spans="1:105">
      <c r="A1211">
        <f>'Base DCF'!H16</f>
        <v>0</v>
      </c>
      <c r="B1211" t="str">
        <f>'Base DCF'!I16</f>
        <v>(+/-) Changes in Working Capital</v>
      </c>
      <c r="C1211">
        <f>'Base DCF'!J16</f>
        <v>0</v>
      </c>
      <c r="D1211">
        <f>'Base DCF'!K16</f>
        <v>0</v>
      </c>
      <c r="E1211">
        <f>'Base DCF'!L16</f>
        <v>0</v>
      </c>
      <c r="F1211">
        <f>'Base DCF'!M16</f>
        <v>0</v>
      </c>
      <c r="G1211">
        <f>'Base DCF'!N16</f>
        <v>0</v>
      </c>
      <c r="H1211">
        <f>'Base DCF'!O16</f>
        <v>0</v>
      </c>
      <c r="I1211">
        <f>'Base DCF'!P16</f>
        <v>0</v>
      </c>
      <c r="J1211">
        <f>'Base DCF'!Q16</f>
        <v>0</v>
      </c>
      <c r="K1211">
        <f>'Base DCF'!R16</f>
        <v>0</v>
      </c>
      <c r="L1211">
        <f>'Base DCF'!S16</f>
        <v>0</v>
      </c>
      <c r="M1211">
        <f>'Base DCF'!T16</f>
        <v>0</v>
      </c>
      <c r="N1211">
        <f>'Base DCF'!U16</f>
        <v>0</v>
      </c>
      <c r="O1211">
        <f>'Base DCF'!V16</f>
        <v>0</v>
      </c>
      <c r="P1211">
        <f>'Base DCF'!W16</f>
        <v>0</v>
      </c>
      <c r="Q1211">
        <f>'Base DCF'!X16</f>
        <v>0</v>
      </c>
      <c r="R1211">
        <f>'Base DCF'!Y16</f>
        <v>0</v>
      </c>
      <c r="S1211">
        <f>'Base DCF'!Z16</f>
        <v>0</v>
      </c>
      <c r="T1211">
        <f>'Base DCF'!AA16</f>
        <v>0</v>
      </c>
      <c r="U1211">
        <f>'Base DCF'!AB16</f>
        <v>0</v>
      </c>
      <c r="V1211">
        <f>'Base DCF'!AC16</f>
        <v>0</v>
      </c>
      <c r="W1211">
        <f>'Base DCF'!AD16</f>
        <v>0</v>
      </c>
      <c r="X1211">
        <f>'Base DCF'!AE16</f>
        <v>0</v>
      </c>
      <c r="Y1211">
        <f>'Base DCF'!AF16</f>
        <v>0</v>
      </c>
      <c r="Z1211">
        <f>'Base DCF'!AG16</f>
        <v>0</v>
      </c>
      <c r="AA1211">
        <f>'Base DCF'!AH16</f>
        <v>0</v>
      </c>
      <c r="AB1211">
        <f>'Base DCF'!AI16</f>
        <v>0</v>
      </c>
      <c r="AC1211">
        <f>'Base DCF'!AJ16</f>
        <v>0</v>
      </c>
      <c r="AD1211">
        <f>'Base DCF'!AK16</f>
        <v>0</v>
      </c>
      <c r="AE1211">
        <f>'Base DCF'!AL16</f>
        <v>0</v>
      </c>
      <c r="AF1211">
        <f>'Base DCF'!AM16</f>
        <v>0</v>
      </c>
      <c r="AG1211">
        <f>'Base DCF'!AN16</f>
        <v>0</v>
      </c>
      <c r="AH1211">
        <f>'Base DCF'!AO16</f>
        <v>0</v>
      </c>
      <c r="AI1211">
        <f>'Base DCF'!AP16</f>
        <v>0</v>
      </c>
      <c r="AJ1211">
        <f>'Base DCF'!AQ16</f>
        <v>0</v>
      </c>
      <c r="AK1211">
        <f>'Base DCF'!AR16</f>
        <v>0</v>
      </c>
      <c r="AL1211">
        <f>'Base DCF'!AS16</f>
        <v>0</v>
      </c>
      <c r="AM1211">
        <f>'Base DCF'!AT16</f>
        <v>0</v>
      </c>
      <c r="AN1211">
        <f>'Base DCF'!AU16</f>
        <v>0</v>
      </c>
      <c r="AO1211">
        <f>'Base DCF'!AV16</f>
        <v>0</v>
      </c>
      <c r="AP1211">
        <f>'Base DCF'!AW16</f>
        <v>0</v>
      </c>
      <c r="AQ1211">
        <f>'Base DCF'!AX16</f>
        <v>0</v>
      </c>
      <c r="AR1211">
        <f>'Base DCF'!AY16</f>
        <v>0</v>
      </c>
      <c r="AS1211">
        <f>'Base DCF'!AZ16</f>
        <v>0</v>
      </c>
      <c r="AT1211">
        <f>'Base DCF'!BA16</f>
        <v>0</v>
      </c>
      <c r="AU1211">
        <f>'Base DCF'!BB16</f>
        <v>0</v>
      </c>
      <c r="AV1211">
        <f>'Base DCF'!BC16</f>
        <v>0</v>
      </c>
      <c r="AW1211">
        <f>'Base DCF'!BD16</f>
        <v>0</v>
      </c>
      <c r="AX1211">
        <f>'Base DCF'!BE16</f>
        <v>0</v>
      </c>
      <c r="AY1211">
        <f>'Base DCF'!BF16</f>
        <v>0</v>
      </c>
      <c r="AZ1211">
        <f>'Base DCF'!BG16</f>
        <v>0</v>
      </c>
      <c r="BA1211">
        <f>'Base DCF'!BH16</f>
        <v>0</v>
      </c>
      <c r="BB1211">
        <f>'Base DCF'!BI16</f>
        <v>0</v>
      </c>
      <c r="BC1211">
        <f>'Base DCF'!BJ16</f>
        <v>0</v>
      </c>
      <c r="BD1211">
        <f>'Base DCF'!BK16</f>
        <v>0</v>
      </c>
      <c r="BE1211">
        <f>'Base DCF'!BL16</f>
        <v>0</v>
      </c>
      <c r="BF1211">
        <f>'Base DCF'!BM16</f>
        <v>0</v>
      </c>
      <c r="BG1211">
        <f>'Base DCF'!BN16</f>
        <v>0</v>
      </c>
      <c r="BH1211">
        <f>'Base DCF'!BO16</f>
        <v>0</v>
      </c>
      <c r="BI1211">
        <f>'Base DCF'!BP16</f>
        <v>0</v>
      </c>
      <c r="BJ1211">
        <f>'Base DCF'!BQ16</f>
        <v>0</v>
      </c>
      <c r="BK1211">
        <f>'Base DCF'!BR16</f>
        <v>0</v>
      </c>
      <c r="BL1211">
        <f>'Base DCF'!BS16</f>
        <v>0</v>
      </c>
      <c r="BM1211">
        <f>'Base DCF'!BT16</f>
        <v>0</v>
      </c>
      <c r="BN1211">
        <f>'Base DCF'!BU16</f>
        <v>0</v>
      </c>
      <c r="BO1211">
        <f>'Base DCF'!BV16</f>
        <v>0</v>
      </c>
      <c r="BP1211">
        <f>'Base DCF'!BW16</f>
        <v>0</v>
      </c>
      <c r="BQ1211">
        <f>'Base DCF'!BX16</f>
        <v>0</v>
      </c>
      <c r="BR1211">
        <f>'Base DCF'!BY16</f>
        <v>0</v>
      </c>
      <c r="BS1211">
        <f>'Base DCF'!BZ16</f>
        <v>0</v>
      </c>
      <c r="BT1211">
        <f>'Base DCF'!CA16</f>
        <v>0</v>
      </c>
      <c r="BU1211">
        <f>'Base DCF'!CB16</f>
        <v>0</v>
      </c>
      <c r="BV1211">
        <f>'Base DCF'!CC16</f>
        <v>0</v>
      </c>
      <c r="BW1211">
        <f>'Base DCF'!CD16</f>
        <v>0</v>
      </c>
      <c r="BX1211">
        <f>'Base DCF'!CE16</f>
        <v>0</v>
      </c>
      <c r="BY1211">
        <f>'Base DCF'!CF16</f>
        <v>0</v>
      </c>
      <c r="BZ1211">
        <f>'Base DCF'!CG16</f>
        <v>0</v>
      </c>
      <c r="CA1211">
        <f>'Base DCF'!CH16</f>
        <v>0</v>
      </c>
      <c r="CB1211">
        <f>'Base DCF'!CI16</f>
        <v>0</v>
      </c>
      <c r="CC1211">
        <f>'Base DCF'!CJ16</f>
        <v>0</v>
      </c>
      <c r="CD1211">
        <f>'Base DCF'!CK16</f>
        <v>0</v>
      </c>
      <c r="CE1211">
        <f>'Base DCF'!CL16</f>
        <v>0</v>
      </c>
      <c r="CF1211">
        <f>'Base DCF'!CM16</f>
        <v>0</v>
      </c>
      <c r="CG1211">
        <f>'Base DCF'!CN16</f>
        <v>0</v>
      </c>
      <c r="CH1211">
        <f>'Base DCF'!CO16</f>
        <v>0</v>
      </c>
      <c r="CI1211">
        <f>'Base DCF'!CP16</f>
        <v>0</v>
      </c>
      <c r="CJ1211">
        <f>'Base DCF'!CQ16</f>
        <v>50.877000000000002</v>
      </c>
      <c r="CK1211">
        <f>'Base DCF'!CR16</f>
        <v>84.778999999999982</v>
      </c>
      <c r="CL1211">
        <f>'Base DCF'!CS16</f>
        <v>143.81500000000003</v>
      </c>
      <c r="CM1211">
        <f>'Base DCF'!CT16</f>
        <v>52.941000000000003</v>
      </c>
      <c r="CN1211">
        <f>'Base DCF'!CU16</f>
        <v>-25.395000000000014</v>
      </c>
      <c r="CO1211">
        <f>'Base DCF'!CV16</f>
        <v>-8.0130000000000123</v>
      </c>
      <c r="CP1211">
        <f>'Base DCF'!CW16</f>
        <v>215.87299999999999</v>
      </c>
      <c r="CQ1211">
        <f>'Base DCF'!CX16</f>
        <v>1578.367</v>
      </c>
      <c r="CR1211">
        <f>'Base DCF'!CY16</f>
        <v>119.76805259536894</v>
      </c>
      <c r="CS1211">
        <f>'Base DCF'!CZ16</f>
        <v>66.080172728373441</v>
      </c>
      <c r="CT1211">
        <f>'Base DCF'!DA16</f>
        <v>63.858749439300254</v>
      </c>
      <c r="CU1211">
        <f>'Base DCF'!DB16</f>
        <v>57.213552328013179</v>
      </c>
      <c r="CV1211">
        <f>'Base DCF'!DC16</f>
        <v>56.224616599169963</v>
      </c>
      <c r="CW1211">
        <f>'Base DCF'!DD16</f>
        <v>54.925785757164704</v>
      </c>
      <c r="CX1211">
        <f>'Base DCF'!DE16</f>
        <v>57.170989162181058</v>
      </c>
      <c r="CY1211">
        <f>'Base DCF'!DF16</f>
        <v>65.290849210560395</v>
      </c>
      <c r="CZ1211">
        <f>'Base DCF'!DG16</f>
        <v>0</v>
      </c>
      <c r="DA1211">
        <f>'Base DCF'!DH16</f>
        <v>0</v>
      </c>
    </row>
    <row r="1212" spans="1:105">
      <c r="A1212">
        <f>'Base DCF'!H15</f>
        <v>0</v>
      </c>
      <c r="B1212" t="str">
        <f>'Base DCF'!I15</f>
        <v>(-) Capex</v>
      </c>
      <c r="C1212">
        <f>'Base DCF'!J15</f>
        <v>0</v>
      </c>
      <c r="D1212">
        <f>'Base DCF'!K15</f>
        <v>0</v>
      </c>
      <c r="E1212">
        <f>'Base DCF'!L15</f>
        <v>0</v>
      </c>
      <c r="F1212">
        <f>'Base DCF'!M15</f>
        <v>0</v>
      </c>
      <c r="G1212">
        <f>'Base DCF'!N15</f>
        <v>0</v>
      </c>
      <c r="H1212">
        <f>'Base DCF'!O15</f>
        <v>0</v>
      </c>
      <c r="I1212">
        <f>'Base DCF'!P15</f>
        <v>0</v>
      </c>
      <c r="J1212">
        <f>'Base DCF'!Q15</f>
        <v>0</v>
      </c>
      <c r="K1212">
        <f>'Base DCF'!R15</f>
        <v>0</v>
      </c>
      <c r="L1212">
        <f>'Base DCF'!S15</f>
        <v>0</v>
      </c>
      <c r="M1212">
        <f>'Base DCF'!T15</f>
        <v>0</v>
      </c>
      <c r="N1212">
        <f>'Base DCF'!U15</f>
        <v>0</v>
      </c>
      <c r="O1212">
        <f>'Base DCF'!V15</f>
        <v>0</v>
      </c>
      <c r="P1212">
        <f>'Base DCF'!W15</f>
        <v>0</v>
      </c>
      <c r="Q1212">
        <f>'Base DCF'!X15</f>
        <v>0</v>
      </c>
      <c r="R1212">
        <f>'Base DCF'!Y15</f>
        <v>0</v>
      </c>
      <c r="S1212">
        <f>'Base DCF'!Z15</f>
        <v>0</v>
      </c>
      <c r="T1212">
        <f>'Base DCF'!AA15</f>
        <v>0</v>
      </c>
      <c r="U1212">
        <f>'Base DCF'!AB15</f>
        <v>0</v>
      </c>
      <c r="V1212">
        <f>'Base DCF'!AC15</f>
        <v>0</v>
      </c>
      <c r="W1212">
        <f>'Base DCF'!AD15</f>
        <v>0</v>
      </c>
      <c r="X1212">
        <f>'Base DCF'!AE15</f>
        <v>0</v>
      </c>
      <c r="Y1212">
        <f>'Base DCF'!AF15</f>
        <v>0</v>
      </c>
      <c r="Z1212">
        <f>'Base DCF'!AG15</f>
        <v>0</v>
      </c>
      <c r="AA1212">
        <f>'Base DCF'!AH15</f>
        <v>0</v>
      </c>
      <c r="AB1212">
        <f>'Base DCF'!AI15</f>
        <v>0</v>
      </c>
      <c r="AC1212">
        <f>'Base DCF'!AJ15</f>
        <v>0</v>
      </c>
      <c r="AD1212">
        <f>'Base DCF'!AK15</f>
        <v>0</v>
      </c>
      <c r="AE1212">
        <f>'Base DCF'!AL15</f>
        <v>0</v>
      </c>
      <c r="AF1212">
        <f>'Base DCF'!AM15</f>
        <v>0</v>
      </c>
      <c r="AG1212">
        <f>'Base DCF'!AN15</f>
        <v>0</v>
      </c>
      <c r="AH1212">
        <f>'Base DCF'!AO15</f>
        <v>0</v>
      </c>
      <c r="AI1212">
        <f>'Base DCF'!AP15</f>
        <v>0</v>
      </c>
      <c r="AJ1212">
        <f>'Base DCF'!AQ15</f>
        <v>0</v>
      </c>
      <c r="AK1212">
        <f>'Base DCF'!AR15</f>
        <v>0</v>
      </c>
      <c r="AL1212">
        <f>'Base DCF'!AS15</f>
        <v>0</v>
      </c>
      <c r="AM1212">
        <f>'Base DCF'!AT15</f>
        <v>0</v>
      </c>
      <c r="AN1212">
        <f>'Base DCF'!AU15</f>
        <v>0</v>
      </c>
      <c r="AO1212">
        <f>'Base DCF'!AV15</f>
        <v>0</v>
      </c>
      <c r="AP1212">
        <f>'Base DCF'!AW15</f>
        <v>0</v>
      </c>
      <c r="AQ1212">
        <f>'Base DCF'!AX15</f>
        <v>0</v>
      </c>
      <c r="AR1212">
        <f>'Base DCF'!AY15</f>
        <v>0</v>
      </c>
      <c r="AS1212">
        <f>'Base DCF'!AZ15</f>
        <v>0</v>
      </c>
      <c r="AT1212">
        <f>'Base DCF'!BA15</f>
        <v>0</v>
      </c>
      <c r="AU1212">
        <f>'Base DCF'!BB15</f>
        <v>0</v>
      </c>
      <c r="AV1212">
        <f>'Base DCF'!BC15</f>
        <v>0</v>
      </c>
      <c r="AW1212">
        <f>'Base DCF'!BD15</f>
        <v>0</v>
      </c>
      <c r="AX1212">
        <f>'Base DCF'!BE15</f>
        <v>0</v>
      </c>
      <c r="AY1212">
        <f>'Base DCF'!BF15</f>
        <v>0</v>
      </c>
      <c r="AZ1212">
        <f>'Base DCF'!BG15</f>
        <v>0</v>
      </c>
      <c r="BA1212">
        <f>'Base DCF'!BH15</f>
        <v>0</v>
      </c>
      <c r="BB1212">
        <f>'Base DCF'!BI15</f>
        <v>0</v>
      </c>
      <c r="BC1212">
        <f>'Base DCF'!BJ15</f>
        <v>0</v>
      </c>
      <c r="BD1212">
        <f>'Base DCF'!BK15</f>
        <v>0</v>
      </c>
      <c r="BE1212">
        <f>'Base DCF'!BL15</f>
        <v>0</v>
      </c>
      <c r="BF1212">
        <f>'Base DCF'!BM15</f>
        <v>0</v>
      </c>
      <c r="BG1212">
        <f>'Base DCF'!BN15</f>
        <v>0</v>
      </c>
      <c r="BH1212">
        <f>'Base DCF'!BO15</f>
        <v>0</v>
      </c>
      <c r="BI1212">
        <f>'Base DCF'!BP15</f>
        <v>0</v>
      </c>
      <c r="BJ1212">
        <f>'Base DCF'!BQ15</f>
        <v>0</v>
      </c>
      <c r="BK1212">
        <f>'Base DCF'!BR15</f>
        <v>0</v>
      </c>
      <c r="BL1212">
        <f>'Base DCF'!BS15</f>
        <v>0</v>
      </c>
      <c r="BM1212">
        <f>'Base DCF'!BT15</f>
        <v>0</v>
      </c>
      <c r="BN1212">
        <f>'Base DCF'!BU15</f>
        <v>0</v>
      </c>
      <c r="BO1212">
        <f>'Base DCF'!BV15</f>
        <v>0</v>
      </c>
      <c r="BP1212">
        <f>'Base DCF'!BW15</f>
        <v>0</v>
      </c>
      <c r="BQ1212">
        <f>'Base DCF'!BX15</f>
        <v>0</v>
      </c>
      <c r="BR1212">
        <f>'Base DCF'!BY15</f>
        <v>0</v>
      </c>
      <c r="BS1212">
        <f>'Base DCF'!BZ15</f>
        <v>0</v>
      </c>
      <c r="BT1212">
        <f>'Base DCF'!CA15</f>
        <v>0</v>
      </c>
      <c r="BU1212">
        <f>'Base DCF'!CB15</f>
        <v>0</v>
      </c>
      <c r="BV1212">
        <f>'Base DCF'!CC15</f>
        <v>0</v>
      </c>
      <c r="BW1212">
        <f>'Base DCF'!CD15</f>
        <v>0</v>
      </c>
      <c r="BX1212">
        <f>'Base DCF'!CE15</f>
        <v>0</v>
      </c>
      <c r="BY1212">
        <f>'Base DCF'!CF15</f>
        <v>0</v>
      </c>
      <c r="BZ1212">
        <f>'Base DCF'!CG15</f>
        <v>0</v>
      </c>
      <c r="CA1212">
        <f>'Base DCF'!CH15</f>
        <v>0</v>
      </c>
      <c r="CB1212">
        <f>'Base DCF'!CI15</f>
        <v>0</v>
      </c>
      <c r="CC1212">
        <f>'Base DCF'!CJ15</f>
        <v>0</v>
      </c>
      <c r="CD1212">
        <f>'Base DCF'!CK15</f>
        <v>0</v>
      </c>
      <c r="CE1212">
        <f>'Base DCF'!CL15</f>
        <v>0</v>
      </c>
      <c r="CF1212">
        <f>'Base DCF'!CM15</f>
        <v>0</v>
      </c>
      <c r="CG1212">
        <f>'Base DCF'!CN15</f>
        <v>0</v>
      </c>
      <c r="CH1212">
        <f>'Base DCF'!CO15</f>
        <v>0</v>
      </c>
      <c r="CI1212">
        <f>'Base DCF'!CP15</f>
        <v>0</v>
      </c>
      <c r="CJ1212">
        <f>'Base DCF'!CQ15</f>
        <v>-22.593</v>
      </c>
      <c r="CK1212">
        <f>'Base DCF'!CR15</f>
        <v>-46.832999999999998</v>
      </c>
      <c r="CL1212">
        <f>'Base DCF'!CS15</f>
        <v>-55.158000000000001</v>
      </c>
      <c r="CM1212">
        <f>'Base DCF'!CT15</f>
        <v>-84.444999999999993</v>
      </c>
      <c r="CN1212">
        <f>'Base DCF'!CU15</f>
        <v>-131.50399999999999</v>
      </c>
      <c r="CO1212">
        <f>'Base DCF'!CV15</f>
        <v>-173.91499999999999</v>
      </c>
      <c r="CP1212">
        <f>'Base DCF'!CW15</f>
        <v>-219.88900000000001</v>
      </c>
      <c r="CQ1212">
        <f>'Base DCF'!CX15</f>
        <v>-287.80500000000001</v>
      </c>
      <c r="CR1212">
        <f>'Base DCF'!CY15</f>
        <v>-364.07131606110823</v>
      </c>
      <c r="CS1212">
        <f>'Base DCF'!CZ15</f>
        <v>-427.95676383952571</v>
      </c>
      <c r="CT1212">
        <f>'Base DCF'!DA15</f>
        <v>-489.1695631063231</v>
      </c>
      <c r="CU1212">
        <f>'Base DCF'!DB15</f>
        <v>-550.37656261603331</v>
      </c>
      <c r="CV1212">
        <f>'Base DCF'!DC15</f>
        <v>-612.24848722151444</v>
      </c>
      <c r="CW1212">
        <f>'Base DCF'!DD15</f>
        <v>-675.2571801792518</v>
      </c>
      <c r="CX1212">
        <f>'Base DCF'!DE15</f>
        <v>-738.89941506418631</v>
      </c>
      <c r="CY1212">
        <f>'Base DCF'!DF15</f>
        <v>-808.4463270780476</v>
      </c>
      <c r="CZ1212">
        <f>'Base DCF'!DG15</f>
        <v>0</v>
      </c>
      <c r="DA1212">
        <f>'Base DCF'!DH15</f>
        <v>0</v>
      </c>
    </row>
    <row r="1213" spans="1:105">
      <c r="A1213">
        <f>'Base DCF'!H14</f>
        <v>0</v>
      </c>
      <c r="B1213" t="str">
        <f>'Base DCF'!I14</f>
        <v>(-) Stock-based Compensation</v>
      </c>
      <c r="C1213">
        <f>'Base DCF'!J14</f>
        <v>0</v>
      </c>
      <c r="D1213">
        <f>'Base DCF'!K14</f>
        <v>0</v>
      </c>
      <c r="E1213">
        <f>'Base DCF'!L14</f>
        <v>0</v>
      </c>
      <c r="F1213">
        <f>'Base DCF'!M14</f>
        <v>0</v>
      </c>
      <c r="G1213">
        <f>'Base DCF'!N14</f>
        <v>0</v>
      </c>
      <c r="H1213">
        <f>'Base DCF'!O14</f>
        <v>0</v>
      </c>
      <c r="I1213">
        <f>'Base DCF'!P14</f>
        <v>0</v>
      </c>
      <c r="J1213">
        <f>'Base DCF'!Q14</f>
        <v>0</v>
      </c>
      <c r="K1213">
        <f>'Base DCF'!R14</f>
        <v>0</v>
      </c>
      <c r="L1213">
        <f>'Base DCF'!S14</f>
        <v>0</v>
      </c>
      <c r="M1213">
        <f>'Base DCF'!T14</f>
        <v>0</v>
      </c>
      <c r="N1213">
        <f>'Base DCF'!U14</f>
        <v>0</v>
      </c>
      <c r="O1213">
        <f>'Base DCF'!V14</f>
        <v>0</v>
      </c>
      <c r="P1213">
        <f>'Base DCF'!W14</f>
        <v>0</v>
      </c>
      <c r="Q1213">
        <f>'Base DCF'!X14</f>
        <v>0</v>
      </c>
      <c r="R1213">
        <f>'Base DCF'!Y14</f>
        <v>0</v>
      </c>
      <c r="S1213">
        <f>'Base DCF'!Z14</f>
        <v>0</v>
      </c>
      <c r="T1213">
        <f>'Base DCF'!AA14</f>
        <v>0</v>
      </c>
      <c r="U1213">
        <f>'Base DCF'!AB14</f>
        <v>0</v>
      </c>
      <c r="V1213">
        <f>'Base DCF'!AC14</f>
        <v>0</v>
      </c>
      <c r="W1213">
        <f>'Base DCF'!AD14</f>
        <v>0</v>
      </c>
      <c r="X1213">
        <f>'Base DCF'!AE14</f>
        <v>0</v>
      </c>
      <c r="Y1213">
        <f>'Base DCF'!AF14</f>
        <v>0</v>
      </c>
      <c r="Z1213">
        <f>'Base DCF'!AG14</f>
        <v>0</v>
      </c>
      <c r="AA1213">
        <f>'Base DCF'!AH14</f>
        <v>0</v>
      </c>
      <c r="AB1213">
        <f>'Base DCF'!AI14</f>
        <v>0</v>
      </c>
      <c r="AC1213">
        <f>'Base DCF'!AJ14</f>
        <v>0</v>
      </c>
      <c r="AD1213">
        <f>'Base DCF'!AK14</f>
        <v>0</v>
      </c>
      <c r="AE1213">
        <f>'Base DCF'!AL14</f>
        <v>0</v>
      </c>
      <c r="AF1213">
        <f>'Base DCF'!AM14</f>
        <v>0</v>
      </c>
      <c r="AG1213">
        <f>'Base DCF'!AN14</f>
        <v>0</v>
      </c>
      <c r="AH1213">
        <f>'Base DCF'!AO14</f>
        <v>0</v>
      </c>
      <c r="AI1213">
        <f>'Base DCF'!AP14</f>
        <v>0</v>
      </c>
      <c r="AJ1213">
        <f>'Base DCF'!AQ14</f>
        <v>0</v>
      </c>
      <c r="AK1213">
        <f>'Base DCF'!AR14</f>
        <v>0</v>
      </c>
      <c r="AL1213">
        <f>'Base DCF'!AS14</f>
        <v>0</v>
      </c>
      <c r="AM1213">
        <f>'Base DCF'!AT14</f>
        <v>0</v>
      </c>
      <c r="AN1213">
        <f>'Base DCF'!AU14</f>
        <v>0</v>
      </c>
      <c r="AO1213">
        <f>'Base DCF'!AV14</f>
        <v>0</v>
      </c>
      <c r="AP1213">
        <f>'Base DCF'!AW14</f>
        <v>0</v>
      </c>
      <c r="AQ1213">
        <f>'Base DCF'!AX14</f>
        <v>0</v>
      </c>
      <c r="AR1213">
        <f>'Base DCF'!AY14</f>
        <v>0</v>
      </c>
      <c r="AS1213">
        <f>'Base DCF'!AZ14</f>
        <v>0</v>
      </c>
      <c r="AT1213">
        <f>'Base DCF'!BA14</f>
        <v>0</v>
      </c>
      <c r="AU1213">
        <f>'Base DCF'!BB14</f>
        <v>0</v>
      </c>
      <c r="AV1213">
        <f>'Base DCF'!BC14</f>
        <v>0</v>
      </c>
      <c r="AW1213">
        <f>'Base DCF'!BD14</f>
        <v>0</v>
      </c>
      <c r="AX1213">
        <f>'Base DCF'!BE14</f>
        <v>0</v>
      </c>
      <c r="AY1213">
        <f>'Base DCF'!BF14</f>
        <v>0</v>
      </c>
      <c r="AZ1213">
        <f>'Base DCF'!BG14</f>
        <v>0</v>
      </c>
      <c r="BA1213">
        <f>'Base DCF'!BH14</f>
        <v>0</v>
      </c>
      <c r="BB1213">
        <f>'Base DCF'!BI14</f>
        <v>0</v>
      </c>
      <c r="BC1213">
        <f>'Base DCF'!BJ14</f>
        <v>0</v>
      </c>
      <c r="BD1213">
        <f>'Base DCF'!BK14</f>
        <v>0</v>
      </c>
      <c r="BE1213">
        <f>'Base DCF'!BL14</f>
        <v>0</v>
      </c>
      <c r="BF1213">
        <f>'Base DCF'!BM14</f>
        <v>0</v>
      </c>
      <c r="BG1213">
        <f>'Base DCF'!BN14</f>
        <v>0</v>
      </c>
      <c r="BH1213">
        <f>'Base DCF'!BO14</f>
        <v>0</v>
      </c>
      <c r="BI1213">
        <f>'Base DCF'!BP14</f>
        <v>0</v>
      </c>
      <c r="BJ1213">
        <f>'Base DCF'!BQ14</f>
        <v>0</v>
      </c>
      <c r="BK1213">
        <f>'Base DCF'!BR14</f>
        <v>0</v>
      </c>
      <c r="BL1213">
        <f>'Base DCF'!BS14</f>
        <v>0</v>
      </c>
      <c r="BM1213">
        <f>'Base DCF'!BT14</f>
        <v>0</v>
      </c>
      <c r="BN1213">
        <f>'Base DCF'!BU14</f>
        <v>0</v>
      </c>
      <c r="BO1213">
        <f>'Base DCF'!BV14</f>
        <v>0</v>
      </c>
      <c r="BP1213">
        <f>'Base DCF'!BW14</f>
        <v>0</v>
      </c>
      <c r="BQ1213">
        <f>'Base DCF'!BX14</f>
        <v>0</v>
      </c>
      <c r="BR1213">
        <f>'Base DCF'!BY14</f>
        <v>0</v>
      </c>
      <c r="BS1213">
        <f>'Base DCF'!BZ14</f>
        <v>0</v>
      </c>
      <c r="BT1213">
        <f>'Base DCF'!CA14</f>
        <v>0</v>
      </c>
      <c r="BU1213">
        <f>'Base DCF'!CB14</f>
        <v>0</v>
      </c>
      <c r="BV1213">
        <f>'Base DCF'!CC14</f>
        <v>0</v>
      </c>
      <c r="BW1213">
        <f>'Base DCF'!CD14</f>
        <v>0</v>
      </c>
      <c r="BX1213">
        <f>'Base DCF'!CE14</f>
        <v>0</v>
      </c>
      <c r="BY1213">
        <f>'Base DCF'!CF14</f>
        <v>0</v>
      </c>
      <c r="BZ1213">
        <f>'Base DCF'!CG14</f>
        <v>0</v>
      </c>
      <c r="CA1213">
        <f>'Base DCF'!CH14</f>
        <v>0</v>
      </c>
      <c r="CB1213">
        <f>'Base DCF'!CI14</f>
        <v>0</v>
      </c>
      <c r="CC1213">
        <f>'Base DCF'!CJ14</f>
        <v>0</v>
      </c>
      <c r="CD1213">
        <f>'Base DCF'!CK14</f>
        <v>0</v>
      </c>
      <c r="CE1213">
        <f>'Base DCF'!CL14</f>
        <v>0</v>
      </c>
      <c r="CF1213">
        <f>'Base DCF'!CM14</f>
        <v>0</v>
      </c>
      <c r="CG1213">
        <f>'Base DCF'!CN14</f>
        <v>0</v>
      </c>
      <c r="CH1213">
        <f>'Base DCF'!CO14</f>
        <v>0</v>
      </c>
      <c r="CI1213">
        <f>'Base DCF'!CP14</f>
        <v>0</v>
      </c>
      <c r="CJ1213">
        <f>'Base DCF'!CQ14</f>
        <v>-68.199999999999989</v>
      </c>
      <c r="CK1213">
        <f>'Base DCF'!CR14</f>
        <v>-65.724000000000004</v>
      </c>
      <c r="CL1213">
        <f>'Base DCF'!CS14</f>
        <v>-71.564999999999998</v>
      </c>
      <c r="CM1213">
        <f>'Base DCF'!CT14</f>
        <v>-140.52600000000001</v>
      </c>
      <c r="CN1213">
        <f>'Base DCF'!CU14</f>
        <v>-186.42500000000001</v>
      </c>
      <c r="CO1213">
        <f>'Base DCF'!CV14</f>
        <v>-247.39499999999998</v>
      </c>
      <c r="CP1213">
        <f>'Base DCF'!CW14</f>
        <v>-249.57400000000001</v>
      </c>
      <c r="CQ1213">
        <f>'Base DCF'!CX14</f>
        <v>-260.90999999999997</v>
      </c>
      <c r="CR1213">
        <f>'Base DCF'!CY14</f>
        <v>-281.78280000000007</v>
      </c>
      <c r="CS1213">
        <f>'Base DCF'!CZ14</f>
        <v>-301.50759600000015</v>
      </c>
      <c r="CT1213">
        <f>'Base DCF'!DA14</f>
        <v>-321.10558974000026</v>
      </c>
      <c r="CU1213">
        <f>'Base DCF'!DB14</f>
        <v>-340.37192512440038</v>
      </c>
      <c r="CV1213">
        <f>'Base DCF'!DC14</f>
        <v>-359.09238100624253</v>
      </c>
      <c r="CW1213">
        <f>'Base DCF'!DD14</f>
        <v>-377.04700005655474</v>
      </c>
      <c r="CX1213">
        <f>'Base DCF'!DE14</f>
        <v>-394.01411505909982</v>
      </c>
      <c r="CY1213">
        <f>'Base DCF'!DF14</f>
        <v>-409.77467966146389</v>
      </c>
      <c r="CZ1213">
        <f>'Base DCF'!DG14</f>
        <v>0</v>
      </c>
      <c r="DA1213">
        <f>'Base DCF'!DH14</f>
        <v>0</v>
      </c>
    </row>
    <row r="1214" spans="1:105">
      <c r="A1214">
        <f>'Base DCF'!H17</f>
        <v>0</v>
      </c>
      <c r="B1214" t="str">
        <f>'Base DCF'!I17</f>
        <v>Unlevered Free Cash Flow (UFCF)</v>
      </c>
      <c r="C1214">
        <f>'Base DCF'!J17</f>
        <v>0</v>
      </c>
      <c r="D1214">
        <f>'Base DCF'!K17</f>
        <v>0</v>
      </c>
      <c r="E1214">
        <f>'Base DCF'!L17</f>
        <v>0</v>
      </c>
      <c r="F1214">
        <f>'Base DCF'!M17</f>
        <v>0</v>
      </c>
      <c r="G1214">
        <f>'Base DCF'!N17</f>
        <v>0</v>
      </c>
      <c r="H1214">
        <f>'Base DCF'!O17</f>
        <v>0</v>
      </c>
      <c r="I1214">
        <f>'Base DCF'!P17</f>
        <v>0</v>
      </c>
      <c r="J1214">
        <f>'Base DCF'!Q17</f>
        <v>0</v>
      </c>
      <c r="K1214">
        <f>'Base DCF'!R17</f>
        <v>0</v>
      </c>
      <c r="L1214">
        <f>'Base DCF'!S17</f>
        <v>0</v>
      </c>
      <c r="M1214">
        <f>'Base DCF'!T17</f>
        <v>0</v>
      </c>
      <c r="N1214">
        <f>'Base DCF'!U17</f>
        <v>0</v>
      </c>
      <c r="O1214">
        <f>'Base DCF'!V17</f>
        <v>0</v>
      </c>
      <c r="P1214">
        <f>'Base DCF'!W17</f>
        <v>0</v>
      </c>
      <c r="Q1214">
        <f>'Base DCF'!X17</f>
        <v>0</v>
      </c>
      <c r="R1214">
        <f>'Base DCF'!Y17</f>
        <v>0</v>
      </c>
      <c r="S1214">
        <f>'Base DCF'!Z17</f>
        <v>0</v>
      </c>
      <c r="T1214">
        <f>'Base DCF'!AA17</f>
        <v>0</v>
      </c>
      <c r="U1214">
        <f>'Base DCF'!AB17</f>
        <v>0</v>
      </c>
      <c r="V1214">
        <f>'Base DCF'!AC17</f>
        <v>0</v>
      </c>
      <c r="W1214">
        <f>'Base DCF'!AD17</f>
        <v>0</v>
      </c>
      <c r="X1214">
        <f>'Base DCF'!AE17</f>
        <v>0</v>
      </c>
      <c r="Y1214">
        <f>'Base DCF'!AF17</f>
        <v>0</v>
      </c>
      <c r="Z1214">
        <f>'Base DCF'!AG17</f>
        <v>0</v>
      </c>
      <c r="AA1214">
        <f>'Base DCF'!AH17</f>
        <v>0</v>
      </c>
      <c r="AB1214">
        <f>'Base DCF'!AI17</f>
        <v>0</v>
      </c>
      <c r="AC1214">
        <f>'Base DCF'!AJ17</f>
        <v>0</v>
      </c>
      <c r="AD1214">
        <f>'Base DCF'!AK17</f>
        <v>0</v>
      </c>
      <c r="AE1214">
        <f>'Base DCF'!AL17</f>
        <v>0</v>
      </c>
      <c r="AF1214">
        <f>'Base DCF'!AM17</f>
        <v>0</v>
      </c>
      <c r="AG1214">
        <f>'Base DCF'!AN17</f>
        <v>0</v>
      </c>
      <c r="AH1214">
        <f>'Base DCF'!AO17</f>
        <v>0</v>
      </c>
      <c r="AI1214">
        <f>'Base DCF'!AP17</f>
        <v>0</v>
      </c>
      <c r="AJ1214">
        <f>'Base DCF'!AQ17</f>
        <v>0</v>
      </c>
      <c r="AK1214">
        <f>'Base DCF'!AR17</f>
        <v>0</v>
      </c>
      <c r="AL1214">
        <f>'Base DCF'!AS17</f>
        <v>0</v>
      </c>
      <c r="AM1214">
        <f>'Base DCF'!AT17</f>
        <v>0</v>
      </c>
      <c r="AN1214">
        <f>'Base DCF'!AU17</f>
        <v>0</v>
      </c>
      <c r="AO1214">
        <f>'Base DCF'!AV17</f>
        <v>0</v>
      </c>
      <c r="AP1214">
        <f>'Base DCF'!AW17</f>
        <v>0</v>
      </c>
      <c r="AQ1214">
        <f>'Base DCF'!AX17</f>
        <v>0</v>
      </c>
      <c r="AR1214">
        <f>'Base DCF'!AY17</f>
        <v>0</v>
      </c>
      <c r="AS1214">
        <f>'Base DCF'!AZ17</f>
        <v>0</v>
      </c>
      <c r="AT1214">
        <f>'Base DCF'!BA17</f>
        <v>0</v>
      </c>
      <c r="AU1214">
        <f>'Base DCF'!BB17</f>
        <v>0</v>
      </c>
      <c r="AV1214">
        <f>'Base DCF'!BC17</f>
        <v>0</v>
      </c>
      <c r="AW1214">
        <f>'Base DCF'!BD17</f>
        <v>0</v>
      </c>
      <c r="AX1214">
        <f>'Base DCF'!BE17</f>
        <v>0</v>
      </c>
      <c r="AY1214">
        <f>'Base DCF'!BF17</f>
        <v>0</v>
      </c>
      <c r="AZ1214">
        <f>'Base DCF'!BG17</f>
        <v>0</v>
      </c>
      <c r="BA1214">
        <f>'Base DCF'!BH17</f>
        <v>0</v>
      </c>
      <c r="BB1214">
        <f>'Base DCF'!BI17</f>
        <v>0</v>
      </c>
      <c r="BC1214">
        <f>'Base DCF'!BJ17</f>
        <v>0</v>
      </c>
      <c r="BD1214">
        <f>'Base DCF'!BK17</f>
        <v>0</v>
      </c>
      <c r="BE1214">
        <f>'Base DCF'!BL17</f>
        <v>0</v>
      </c>
      <c r="BF1214">
        <f>'Base DCF'!BM17</f>
        <v>0</v>
      </c>
      <c r="BG1214">
        <f>'Base DCF'!BN17</f>
        <v>0</v>
      </c>
      <c r="BH1214">
        <f>'Base DCF'!BO17</f>
        <v>0</v>
      </c>
      <c r="BI1214">
        <f>'Base DCF'!BP17</f>
        <v>0</v>
      </c>
      <c r="BJ1214">
        <f>'Base DCF'!BQ17</f>
        <v>0</v>
      </c>
      <c r="BK1214">
        <f>'Base DCF'!BR17</f>
        <v>0</v>
      </c>
      <c r="BL1214">
        <f>'Base DCF'!BS17</f>
        <v>0</v>
      </c>
      <c r="BM1214">
        <f>'Base DCF'!BT17</f>
        <v>0</v>
      </c>
      <c r="BN1214">
        <f>'Base DCF'!BU17</f>
        <v>0</v>
      </c>
      <c r="BO1214">
        <f>'Base DCF'!BV17</f>
        <v>0</v>
      </c>
      <c r="BP1214">
        <f>'Base DCF'!BW17</f>
        <v>0</v>
      </c>
      <c r="BQ1214">
        <f>'Base DCF'!BX17</f>
        <v>0</v>
      </c>
      <c r="BR1214">
        <f>'Base DCF'!BY17</f>
        <v>0</v>
      </c>
      <c r="BS1214">
        <f>'Base DCF'!BZ17</f>
        <v>0</v>
      </c>
      <c r="BT1214">
        <f>'Base DCF'!CA17</f>
        <v>0</v>
      </c>
      <c r="BU1214">
        <f>'Base DCF'!CB17</f>
        <v>0</v>
      </c>
      <c r="BV1214">
        <f>'Base DCF'!CC17</f>
        <v>0</v>
      </c>
      <c r="BW1214">
        <f>'Base DCF'!CD17</f>
        <v>0</v>
      </c>
      <c r="BX1214">
        <f>'Base DCF'!CE17</f>
        <v>0</v>
      </c>
      <c r="BY1214">
        <f>'Base DCF'!CF17</f>
        <v>0</v>
      </c>
      <c r="BZ1214">
        <f>'Base DCF'!CG17</f>
        <v>0</v>
      </c>
      <c r="CA1214">
        <f>'Base DCF'!CH17</f>
        <v>0</v>
      </c>
      <c r="CB1214">
        <f>'Base DCF'!CI17</f>
        <v>0</v>
      </c>
      <c r="CC1214">
        <f>'Base DCF'!CJ17</f>
        <v>0</v>
      </c>
      <c r="CD1214">
        <f>'Base DCF'!CK17</f>
        <v>0</v>
      </c>
      <c r="CE1214">
        <f>'Base DCF'!CL17</f>
        <v>0</v>
      </c>
      <c r="CF1214">
        <f>'Base DCF'!CM17</f>
        <v>0</v>
      </c>
      <c r="CG1214">
        <f>'Base DCF'!CN17</f>
        <v>0</v>
      </c>
      <c r="CH1214">
        <f>'Base DCF'!CO17</f>
        <v>0</v>
      </c>
      <c r="CI1214">
        <f>'Base DCF'!CP17</f>
        <v>0</v>
      </c>
      <c r="CJ1214">
        <f>'Base DCF'!CQ17</f>
        <v>624.93299999999965</v>
      </c>
      <c r="CK1214">
        <f>'Base DCF'!CR17</f>
        <v>1184.7110000000005</v>
      </c>
      <c r="CL1214">
        <f>'Base DCF'!CS17</f>
        <v>1601.7660000000012</v>
      </c>
      <c r="CM1214">
        <f>'Base DCF'!CT17</f>
        <v>1957.0960000000002</v>
      </c>
      <c r="CN1214">
        <f>'Base DCF'!CU17</f>
        <v>2443.1029999999987</v>
      </c>
      <c r="CO1214">
        <f>'Base DCF'!CV17</f>
        <v>2511.8299999999981</v>
      </c>
      <c r="CP1214">
        <f>'Base DCF'!CW17</f>
        <v>3249.0949999999993</v>
      </c>
      <c r="CQ1214">
        <f>'Base DCF'!CX17</f>
        <v>3839.3269999999984</v>
      </c>
      <c r="CR1214">
        <f>'Base DCF'!CY17</f>
        <v>3514.9503448231153</v>
      </c>
      <c r="CS1214">
        <f>'Base DCF'!CZ17</f>
        <v>3935.2573205595054</v>
      </c>
      <c r="CT1214">
        <f>'Base DCF'!DA17</f>
        <v>4420.4464476489247</v>
      </c>
      <c r="CU1214">
        <f>'Base DCF'!DB17</f>
        <v>4899.6162655456519</v>
      </c>
      <c r="CV1214">
        <f>'Base DCF'!DC17</f>
        <v>5380.8133492909747</v>
      </c>
      <c r="CW1214">
        <f>'Base DCF'!DD17</f>
        <v>5853.3872094544486</v>
      </c>
      <c r="CX1214">
        <f>'Base DCF'!DE17</f>
        <v>6303.0563091318354</v>
      </c>
      <c r="CY1214">
        <f>'Base DCF'!DF17</f>
        <v>6827.4670617849788</v>
      </c>
      <c r="CZ1214">
        <f>'Base DCF'!DG17</f>
        <v>6961.6267895490537</v>
      </c>
      <c r="DA1214">
        <f>'Base DCF'!DH17</f>
        <v>0</v>
      </c>
    </row>
    <row r="1216" spans="1:105">
      <c r="A1216">
        <f>'Base DCF'!H18</f>
        <v>0</v>
      </c>
      <c r="B1216" t="str">
        <f>'Base DCF'!I18</f>
        <v>% of Revenue</v>
      </c>
      <c r="C1216">
        <f>'Base DCF'!J18</f>
        <v>0</v>
      </c>
      <c r="D1216">
        <f>'Base DCF'!K18</f>
        <v>0</v>
      </c>
      <c r="E1216">
        <f>'Base DCF'!L18</f>
        <v>0</v>
      </c>
      <c r="F1216">
        <f>'Base DCF'!M18</f>
        <v>0</v>
      </c>
      <c r="G1216">
        <f>'Base DCF'!N18</f>
        <v>0</v>
      </c>
      <c r="H1216">
        <f>'Base DCF'!O18</f>
        <v>0</v>
      </c>
      <c r="I1216">
        <f>'Base DCF'!P18</f>
        <v>0</v>
      </c>
      <c r="J1216">
        <f>'Base DCF'!Q18</f>
        <v>0</v>
      </c>
      <c r="K1216">
        <f>'Base DCF'!R18</f>
        <v>0</v>
      </c>
      <c r="L1216">
        <f>'Base DCF'!S18</f>
        <v>0</v>
      </c>
      <c r="M1216">
        <f>'Base DCF'!T18</f>
        <v>0</v>
      </c>
      <c r="N1216">
        <f>'Base DCF'!U18</f>
        <v>0</v>
      </c>
      <c r="O1216">
        <f>'Base DCF'!V18</f>
        <v>0</v>
      </c>
      <c r="P1216">
        <f>'Base DCF'!W18</f>
        <v>0</v>
      </c>
      <c r="Q1216">
        <f>'Base DCF'!X18</f>
        <v>0</v>
      </c>
      <c r="R1216">
        <f>'Base DCF'!Y18</f>
        <v>0</v>
      </c>
      <c r="S1216">
        <f>'Base DCF'!Z18</f>
        <v>0</v>
      </c>
      <c r="T1216">
        <f>'Base DCF'!AA18</f>
        <v>0</v>
      </c>
      <c r="U1216">
        <f>'Base DCF'!AB18</f>
        <v>0</v>
      </c>
      <c r="V1216">
        <f>'Base DCF'!AC18</f>
        <v>0</v>
      </c>
      <c r="W1216">
        <f>'Base DCF'!AD18</f>
        <v>0</v>
      </c>
      <c r="X1216">
        <f>'Base DCF'!AE18</f>
        <v>0</v>
      </c>
      <c r="Y1216">
        <f>'Base DCF'!AF18</f>
        <v>0</v>
      </c>
      <c r="Z1216">
        <f>'Base DCF'!AG18</f>
        <v>0</v>
      </c>
      <c r="AA1216">
        <f>'Base DCF'!AH18</f>
        <v>0</v>
      </c>
      <c r="AB1216">
        <f>'Base DCF'!AI18</f>
        <v>0</v>
      </c>
      <c r="AC1216">
        <f>'Base DCF'!AJ18</f>
        <v>0</v>
      </c>
      <c r="AD1216">
        <f>'Base DCF'!AK18</f>
        <v>0</v>
      </c>
      <c r="AE1216">
        <f>'Base DCF'!AL18</f>
        <v>0</v>
      </c>
      <c r="AF1216">
        <f>'Base DCF'!AM18</f>
        <v>0</v>
      </c>
      <c r="AG1216">
        <f>'Base DCF'!AN18</f>
        <v>0</v>
      </c>
      <c r="AH1216">
        <f>'Base DCF'!AO18</f>
        <v>0</v>
      </c>
      <c r="AI1216">
        <f>'Base DCF'!AP18</f>
        <v>0</v>
      </c>
      <c r="AJ1216">
        <f>'Base DCF'!AQ18</f>
        <v>0</v>
      </c>
      <c r="AK1216">
        <f>'Base DCF'!AR18</f>
        <v>0</v>
      </c>
      <c r="AL1216">
        <f>'Base DCF'!AS18</f>
        <v>0</v>
      </c>
      <c r="AM1216">
        <f>'Base DCF'!AT18</f>
        <v>0</v>
      </c>
      <c r="AN1216">
        <f>'Base DCF'!AU18</f>
        <v>0</v>
      </c>
      <c r="AO1216">
        <f>'Base DCF'!AV18</f>
        <v>0</v>
      </c>
      <c r="AP1216">
        <f>'Base DCF'!AW18</f>
        <v>0</v>
      </c>
      <c r="AQ1216">
        <f>'Base DCF'!AX18</f>
        <v>0</v>
      </c>
      <c r="AR1216">
        <f>'Base DCF'!AY18</f>
        <v>0</v>
      </c>
      <c r="AS1216">
        <f>'Base DCF'!AZ18</f>
        <v>0</v>
      </c>
      <c r="AT1216">
        <f>'Base DCF'!BA18</f>
        <v>0</v>
      </c>
      <c r="AU1216">
        <f>'Base DCF'!BB18</f>
        <v>0</v>
      </c>
      <c r="AV1216">
        <f>'Base DCF'!BC18</f>
        <v>0</v>
      </c>
      <c r="AW1216">
        <f>'Base DCF'!BD18</f>
        <v>0</v>
      </c>
      <c r="AX1216">
        <f>'Base DCF'!BE18</f>
        <v>0</v>
      </c>
      <c r="AY1216">
        <f>'Base DCF'!BF18</f>
        <v>0</v>
      </c>
      <c r="AZ1216">
        <f>'Base DCF'!BG18</f>
        <v>0</v>
      </c>
      <c r="BA1216">
        <f>'Base DCF'!BH18</f>
        <v>0</v>
      </c>
      <c r="BB1216">
        <f>'Base DCF'!BI18</f>
        <v>0</v>
      </c>
      <c r="BC1216">
        <f>'Base DCF'!BJ18</f>
        <v>0</v>
      </c>
      <c r="BD1216">
        <f>'Base DCF'!BK18</f>
        <v>0</v>
      </c>
      <c r="BE1216">
        <f>'Base DCF'!BL18</f>
        <v>0</v>
      </c>
      <c r="BF1216">
        <f>'Base DCF'!BM18</f>
        <v>0</v>
      </c>
      <c r="BG1216">
        <f>'Base DCF'!BN18</f>
        <v>0</v>
      </c>
      <c r="BH1216">
        <f>'Base DCF'!BO18</f>
        <v>0</v>
      </c>
      <c r="BI1216">
        <f>'Base DCF'!BP18</f>
        <v>0</v>
      </c>
      <c r="BJ1216">
        <f>'Base DCF'!BQ18</f>
        <v>0</v>
      </c>
      <c r="BK1216">
        <f>'Base DCF'!BR18</f>
        <v>0</v>
      </c>
      <c r="BL1216">
        <f>'Base DCF'!BS18</f>
        <v>0</v>
      </c>
      <c r="BM1216">
        <f>'Base DCF'!BT18</f>
        <v>0</v>
      </c>
      <c r="BN1216">
        <f>'Base DCF'!BU18</f>
        <v>0</v>
      </c>
      <c r="BO1216">
        <f>'Base DCF'!BV18</f>
        <v>0</v>
      </c>
      <c r="BP1216">
        <f>'Base DCF'!BW18</f>
        <v>0</v>
      </c>
      <c r="BQ1216">
        <f>'Base DCF'!BX18</f>
        <v>0</v>
      </c>
      <c r="BR1216">
        <f>'Base DCF'!BY18</f>
        <v>0</v>
      </c>
      <c r="BS1216">
        <f>'Base DCF'!BZ18</f>
        <v>0</v>
      </c>
      <c r="BT1216">
        <f>'Base DCF'!CA18</f>
        <v>0</v>
      </c>
      <c r="BU1216">
        <f>'Base DCF'!CB18</f>
        <v>0</v>
      </c>
      <c r="BV1216">
        <f>'Base DCF'!CC18</f>
        <v>0</v>
      </c>
      <c r="BW1216">
        <f>'Base DCF'!CD18</f>
        <v>0</v>
      </c>
      <c r="BX1216">
        <f>'Base DCF'!CE18</f>
        <v>0</v>
      </c>
      <c r="BY1216">
        <f>'Base DCF'!CF18</f>
        <v>0</v>
      </c>
      <c r="BZ1216">
        <f>'Base DCF'!CG18</f>
        <v>0</v>
      </c>
      <c r="CA1216">
        <f>'Base DCF'!CH18</f>
        <v>0</v>
      </c>
      <c r="CB1216">
        <f>'Base DCF'!CI18</f>
        <v>0</v>
      </c>
      <c r="CC1216">
        <f>'Base DCF'!CJ18</f>
        <v>0</v>
      </c>
      <c r="CD1216">
        <f>'Base DCF'!CK18</f>
        <v>0</v>
      </c>
      <c r="CE1216">
        <f>'Base DCF'!CL18</f>
        <v>0</v>
      </c>
      <c r="CF1216">
        <f>'Base DCF'!CM18</f>
        <v>0</v>
      </c>
      <c r="CG1216">
        <f>'Base DCF'!CN18</f>
        <v>0</v>
      </c>
      <c r="CH1216">
        <f>'Base DCF'!CO18</f>
        <v>0</v>
      </c>
      <c r="CI1216">
        <f>'Base DCF'!CP18</f>
        <v>0</v>
      </c>
      <c r="CJ1216">
        <f>'Base DCF'!CQ18</f>
        <v>0.20226934938024491</v>
      </c>
      <c r="CK1216">
        <f>'Base DCF'!CR18</f>
        <v>0.27199657453261433</v>
      </c>
      <c r="CL1216">
        <f>'Base DCF'!CS18</f>
        <v>0.30446291510516355</v>
      </c>
      <c r="CM1216">
        <f>'Base DCF'!CT18</f>
        <v>0.28809183628707435</v>
      </c>
      <c r="CN1216">
        <f>'Base DCF'!CU18</f>
        <v>0.28939959637387985</v>
      </c>
      <c r="CO1216">
        <f>'Base DCF'!CV18</f>
        <v>0.27231499784203922</v>
      </c>
      <c r="CP1216">
        <f>'Base DCF'!CW18</f>
        <v>0.30243816302438997</v>
      </c>
      <c r="CQ1216">
        <f>'Base DCF'!CX18</f>
        <v>0.30276020610859533</v>
      </c>
      <c r="CR1216">
        <f>'Base DCF'!CY18</f>
        <v>0.23016103518113123</v>
      </c>
      <c r="CS1216">
        <f>'Base DCF'!CZ18</f>
        <v>0.22695087939307557</v>
      </c>
      <c r="CT1216">
        <f>'Base DCF'!DA18</f>
        <v>0.22805758405692889</v>
      </c>
      <c r="CU1216">
        <f>'Base DCF'!DB18</f>
        <v>0.22958633485194141</v>
      </c>
      <c r="CV1216">
        <f>'Base DCF'!DC18</f>
        <v>0.2314223363948528</v>
      </c>
      <c r="CW1216">
        <f>'Base DCF'!DD18</f>
        <v>0.23289911859225884</v>
      </c>
      <c r="CX1216">
        <f>'Base DCF'!DE18</f>
        <v>0.23371048677753251</v>
      </c>
      <c r="CY1216">
        <f>'Base DCF'!DF18</f>
        <v>0.2358468830388282</v>
      </c>
      <c r="CZ1216">
        <f>'Base DCF'!DG18</f>
        <v>0.23584688303882823</v>
      </c>
      <c r="DA1216">
        <f>'Base DCF'!DH18</f>
        <v>0</v>
      </c>
    </row>
    <row r="1217" spans="1:105">
      <c r="A1217">
        <f>'Base DCF'!H19</f>
        <v>0</v>
      </c>
      <c r="B1217">
        <f>'Base DCF'!I19</f>
        <v>0</v>
      </c>
      <c r="C1217">
        <f>'Base DCF'!J19</f>
        <v>0</v>
      </c>
      <c r="D1217">
        <f>'Base DCF'!K19</f>
        <v>0</v>
      </c>
      <c r="E1217">
        <f>'Base DCF'!L19</f>
        <v>0</v>
      </c>
      <c r="F1217">
        <f>'Base DCF'!M19</f>
        <v>0</v>
      </c>
      <c r="G1217">
        <f>'Base DCF'!N19</f>
        <v>0</v>
      </c>
      <c r="H1217">
        <f>'Base DCF'!O19</f>
        <v>0</v>
      </c>
      <c r="I1217">
        <f>'Base DCF'!P19</f>
        <v>0</v>
      </c>
      <c r="J1217">
        <f>'Base DCF'!Q19</f>
        <v>0</v>
      </c>
      <c r="K1217">
        <f>'Base DCF'!R19</f>
        <v>0</v>
      </c>
      <c r="L1217">
        <f>'Base DCF'!S19</f>
        <v>0</v>
      </c>
      <c r="M1217">
        <f>'Base DCF'!T19</f>
        <v>0</v>
      </c>
      <c r="N1217">
        <f>'Base DCF'!U19</f>
        <v>0</v>
      </c>
      <c r="O1217">
        <f>'Base DCF'!V19</f>
        <v>0</v>
      </c>
      <c r="P1217">
        <f>'Base DCF'!W19</f>
        <v>0</v>
      </c>
      <c r="Q1217">
        <f>'Base DCF'!X19</f>
        <v>0</v>
      </c>
      <c r="R1217">
        <f>'Base DCF'!Y19</f>
        <v>0</v>
      </c>
      <c r="S1217">
        <f>'Base DCF'!Z19</f>
        <v>0</v>
      </c>
      <c r="T1217">
        <f>'Base DCF'!AA19</f>
        <v>0</v>
      </c>
      <c r="U1217">
        <f>'Base DCF'!AB19</f>
        <v>0</v>
      </c>
      <c r="V1217">
        <f>'Base DCF'!AC19</f>
        <v>0</v>
      </c>
      <c r="W1217">
        <f>'Base DCF'!AD19</f>
        <v>0</v>
      </c>
      <c r="X1217">
        <f>'Base DCF'!AE19</f>
        <v>0</v>
      </c>
      <c r="Y1217">
        <f>'Base DCF'!AF19</f>
        <v>0</v>
      </c>
      <c r="Z1217">
        <f>'Base DCF'!AG19</f>
        <v>0</v>
      </c>
      <c r="AA1217">
        <f>'Base DCF'!AH19</f>
        <v>0</v>
      </c>
      <c r="AB1217">
        <f>'Base DCF'!AI19</f>
        <v>0</v>
      </c>
      <c r="AC1217">
        <f>'Base DCF'!AJ19</f>
        <v>0</v>
      </c>
      <c r="AD1217">
        <f>'Base DCF'!AK19</f>
        <v>0</v>
      </c>
      <c r="AE1217">
        <f>'Base DCF'!AL19</f>
        <v>0</v>
      </c>
      <c r="AF1217">
        <f>'Base DCF'!AM19</f>
        <v>0</v>
      </c>
      <c r="AG1217">
        <f>'Base DCF'!AN19</f>
        <v>0</v>
      </c>
      <c r="AH1217">
        <f>'Base DCF'!AO19</f>
        <v>0</v>
      </c>
      <c r="AI1217">
        <f>'Base DCF'!AP19</f>
        <v>0</v>
      </c>
      <c r="AJ1217">
        <f>'Base DCF'!AQ19</f>
        <v>0</v>
      </c>
      <c r="AK1217">
        <f>'Base DCF'!AR19</f>
        <v>0</v>
      </c>
      <c r="AL1217">
        <f>'Base DCF'!AS19</f>
        <v>0</v>
      </c>
      <c r="AM1217">
        <f>'Base DCF'!AT19</f>
        <v>0</v>
      </c>
      <c r="AN1217">
        <f>'Base DCF'!AU19</f>
        <v>0</v>
      </c>
      <c r="AO1217">
        <f>'Base DCF'!AV19</f>
        <v>0</v>
      </c>
      <c r="AP1217">
        <f>'Base DCF'!AW19</f>
        <v>0</v>
      </c>
      <c r="AQ1217">
        <f>'Base DCF'!AX19</f>
        <v>0</v>
      </c>
      <c r="AR1217">
        <f>'Base DCF'!AY19</f>
        <v>0</v>
      </c>
      <c r="AS1217">
        <f>'Base DCF'!AZ19</f>
        <v>0</v>
      </c>
      <c r="AT1217">
        <f>'Base DCF'!BA19</f>
        <v>0</v>
      </c>
      <c r="AU1217">
        <f>'Base DCF'!BB19</f>
        <v>0</v>
      </c>
      <c r="AV1217">
        <f>'Base DCF'!BC19</f>
        <v>0</v>
      </c>
      <c r="AW1217">
        <f>'Base DCF'!BD19</f>
        <v>0</v>
      </c>
      <c r="AX1217">
        <f>'Base DCF'!BE19</f>
        <v>0</v>
      </c>
      <c r="AY1217">
        <f>'Base DCF'!BF19</f>
        <v>0</v>
      </c>
      <c r="AZ1217">
        <f>'Base DCF'!BG19</f>
        <v>0</v>
      </c>
      <c r="BA1217">
        <f>'Base DCF'!BH19</f>
        <v>0</v>
      </c>
      <c r="BB1217">
        <f>'Base DCF'!BI19</f>
        <v>0</v>
      </c>
      <c r="BC1217">
        <f>'Base DCF'!BJ19</f>
        <v>0</v>
      </c>
      <c r="BD1217">
        <f>'Base DCF'!BK19</f>
        <v>0</v>
      </c>
      <c r="BE1217">
        <f>'Base DCF'!BL19</f>
        <v>0</v>
      </c>
      <c r="BF1217">
        <f>'Base DCF'!BM19</f>
        <v>0</v>
      </c>
      <c r="BG1217">
        <f>'Base DCF'!BN19</f>
        <v>0</v>
      </c>
      <c r="BH1217">
        <f>'Base DCF'!BO19</f>
        <v>0</v>
      </c>
      <c r="BI1217">
        <f>'Base DCF'!BP19</f>
        <v>0</v>
      </c>
      <c r="BJ1217">
        <f>'Base DCF'!BQ19</f>
        <v>0</v>
      </c>
      <c r="BK1217">
        <f>'Base DCF'!BR19</f>
        <v>0</v>
      </c>
      <c r="BL1217">
        <f>'Base DCF'!BS19</f>
        <v>0</v>
      </c>
      <c r="BM1217">
        <f>'Base DCF'!BT19</f>
        <v>0</v>
      </c>
      <c r="BN1217">
        <f>'Base DCF'!BU19</f>
        <v>0</v>
      </c>
      <c r="BO1217">
        <f>'Base DCF'!BV19</f>
        <v>0</v>
      </c>
      <c r="BP1217">
        <f>'Base DCF'!BW19</f>
        <v>0</v>
      </c>
      <c r="BQ1217">
        <f>'Base DCF'!BX19</f>
        <v>0</v>
      </c>
      <c r="BR1217">
        <f>'Base DCF'!BY19</f>
        <v>0</v>
      </c>
      <c r="BS1217">
        <f>'Base DCF'!BZ19</f>
        <v>0</v>
      </c>
      <c r="BT1217">
        <f>'Base DCF'!CA19</f>
        <v>0</v>
      </c>
      <c r="BU1217">
        <f>'Base DCF'!CB19</f>
        <v>0</v>
      </c>
      <c r="BV1217">
        <f>'Base DCF'!CC19</f>
        <v>0</v>
      </c>
      <c r="BW1217">
        <f>'Base DCF'!CD19</f>
        <v>0</v>
      </c>
      <c r="BX1217">
        <f>'Base DCF'!CE19</f>
        <v>0</v>
      </c>
      <c r="BY1217">
        <f>'Base DCF'!CF19</f>
        <v>0</v>
      </c>
      <c r="BZ1217">
        <f>'Base DCF'!CG19</f>
        <v>0</v>
      </c>
      <c r="CA1217">
        <f>'Base DCF'!CH19</f>
        <v>0</v>
      </c>
      <c r="CB1217">
        <f>'Base DCF'!CI19</f>
        <v>0</v>
      </c>
      <c r="CC1217">
        <f>'Base DCF'!CJ19</f>
        <v>0</v>
      </c>
      <c r="CD1217">
        <f>'Base DCF'!CK19</f>
        <v>0</v>
      </c>
      <c r="CE1217">
        <f>'Base DCF'!CL19</f>
        <v>0</v>
      </c>
      <c r="CF1217">
        <f>'Base DCF'!CM19</f>
        <v>0</v>
      </c>
      <c r="CG1217">
        <f>'Base DCF'!CN19</f>
        <v>0</v>
      </c>
      <c r="CH1217">
        <f>'Base DCF'!CO19</f>
        <v>0</v>
      </c>
      <c r="CI1217">
        <f>'Base DCF'!CP19</f>
        <v>0</v>
      </c>
      <c r="CJ1217">
        <f>'Base DCF'!CQ19</f>
        <v>0</v>
      </c>
      <c r="CK1217">
        <f>'Base DCF'!CR19</f>
        <v>0</v>
      </c>
      <c r="CL1217">
        <f>'Base DCF'!CS19</f>
        <v>0</v>
      </c>
      <c r="CM1217">
        <f>'Base DCF'!CT19</f>
        <v>0</v>
      </c>
      <c r="CN1217">
        <f>'Base DCF'!CU19</f>
        <v>0</v>
      </c>
      <c r="CO1217">
        <f>'Base DCF'!CV19</f>
        <v>0</v>
      </c>
      <c r="CP1217">
        <f>'Base DCF'!CW19</f>
        <v>0</v>
      </c>
      <c r="CQ1217">
        <f>'Base DCF'!CX19</f>
        <v>0</v>
      </c>
      <c r="CR1217">
        <f>'Base DCF'!CY19</f>
        <v>0</v>
      </c>
      <c r="CS1217">
        <f>'Base DCF'!CZ19</f>
        <v>0</v>
      </c>
      <c r="CT1217">
        <f>'Base DCF'!DA19</f>
        <v>0</v>
      </c>
      <c r="CU1217">
        <f>'Base DCF'!DB19</f>
        <v>0</v>
      </c>
      <c r="CV1217">
        <f>'Base DCF'!DC19</f>
        <v>0</v>
      </c>
      <c r="CW1217">
        <f>'Base DCF'!DD19</f>
        <v>0</v>
      </c>
      <c r="CX1217">
        <f>'Base DCF'!DE19</f>
        <v>0</v>
      </c>
      <c r="CY1217">
        <f>'Base DCF'!DF19</f>
        <v>0</v>
      </c>
      <c r="CZ1217">
        <f>'Base DCF'!DG19</f>
        <v>0</v>
      </c>
      <c r="DA1217">
        <f>'Base DCF'!DH19</f>
        <v>0</v>
      </c>
    </row>
    <row r="1218" spans="1:105">
      <c r="A1218">
        <f>'Base DCF'!H23</f>
        <v>0</v>
      </c>
      <c r="B1218" t="str">
        <f>'Base DCF'!I23</f>
        <v>NPV Calculations</v>
      </c>
      <c r="C1218">
        <f>'Base DCF'!J23</f>
        <v>0</v>
      </c>
      <c r="D1218">
        <f>'Base DCF'!K23</f>
        <v>0</v>
      </c>
      <c r="E1218">
        <f>'Base DCF'!L23</f>
        <v>0</v>
      </c>
      <c r="F1218">
        <f>'Base DCF'!M23</f>
        <v>0</v>
      </c>
      <c r="G1218">
        <f>'Base DCF'!N23</f>
        <v>0</v>
      </c>
      <c r="H1218">
        <f>'Base DCF'!O23</f>
        <v>0</v>
      </c>
      <c r="I1218">
        <f>'Base DCF'!P23</f>
        <v>0</v>
      </c>
      <c r="J1218">
        <f>'Base DCF'!Q23</f>
        <v>0</v>
      </c>
      <c r="K1218">
        <f>'Base DCF'!R23</f>
        <v>0</v>
      </c>
      <c r="L1218">
        <f>'Base DCF'!S23</f>
        <v>0</v>
      </c>
      <c r="M1218">
        <f>'Base DCF'!T23</f>
        <v>0</v>
      </c>
      <c r="N1218">
        <f>'Base DCF'!U23</f>
        <v>0</v>
      </c>
      <c r="O1218">
        <f>'Base DCF'!V23</f>
        <v>0</v>
      </c>
      <c r="P1218">
        <f>'Base DCF'!W23</f>
        <v>0</v>
      </c>
      <c r="Q1218">
        <f>'Base DCF'!X23</f>
        <v>0</v>
      </c>
      <c r="R1218">
        <f>'Base DCF'!Y23</f>
        <v>0</v>
      </c>
      <c r="S1218">
        <f>'Base DCF'!Z23</f>
        <v>0</v>
      </c>
      <c r="T1218">
        <f>'Base DCF'!AA23</f>
        <v>0</v>
      </c>
      <c r="U1218">
        <f>'Base DCF'!AB23</f>
        <v>0</v>
      </c>
      <c r="V1218">
        <f>'Base DCF'!AC23</f>
        <v>0</v>
      </c>
      <c r="W1218">
        <f>'Base DCF'!AD23</f>
        <v>0</v>
      </c>
      <c r="X1218">
        <f>'Base DCF'!AE23</f>
        <v>0</v>
      </c>
      <c r="Y1218">
        <f>'Base DCF'!AF23</f>
        <v>0</v>
      </c>
      <c r="Z1218">
        <f>'Base DCF'!AG23</f>
        <v>0</v>
      </c>
      <c r="AA1218">
        <f>'Base DCF'!AH23</f>
        <v>0</v>
      </c>
      <c r="AB1218">
        <f>'Base DCF'!AI23</f>
        <v>0</v>
      </c>
      <c r="AC1218">
        <f>'Base DCF'!AJ23</f>
        <v>0</v>
      </c>
      <c r="AD1218">
        <f>'Base DCF'!AK23</f>
        <v>0</v>
      </c>
      <c r="AE1218">
        <f>'Base DCF'!AL23</f>
        <v>0</v>
      </c>
      <c r="AF1218">
        <f>'Base DCF'!AM23</f>
        <v>0</v>
      </c>
      <c r="AG1218">
        <f>'Base DCF'!AN23</f>
        <v>0</v>
      </c>
      <c r="AH1218">
        <f>'Base DCF'!AO23</f>
        <v>0</v>
      </c>
      <c r="AI1218">
        <f>'Base DCF'!AP23</f>
        <v>0</v>
      </c>
      <c r="AJ1218">
        <f>'Base DCF'!AQ23</f>
        <v>0</v>
      </c>
      <c r="AK1218">
        <f>'Base DCF'!AR23</f>
        <v>0</v>
      </c>
      <c r="AL1218">
        <f>'Base DCF'!AS23</f>
        <v>0</v>
      </c>
      <c r="AM1218">
        <f>'Base DCF'!AT23</f>
        <v>0</v>
      </c>
      <c r="AN1218">
        <f>'Base DCF'!AU23</f>
        <v>0</v>
      </c>
      <c r="AO1218">
        <f>'Base DCF'!AV23</f>
        <v>0</v>
      </c>
      <c r="AP1218">
        <f>'Base DCF'!AW23</f>
        <v>0</v>
      </c>
      <c r="AQ1218">
        <f>'Base DCF'!AX23</f>
        <v>0</v>
      </c>
      <c r="AR1218">
        <f>'Base DCF'!AY23</f>
        <v>0</v>
      </c>
      <c r="AS1218">
        <f>'Base DCF'!AZ23</f>
        <v>0</v>
      </c>
      <c r="AT1218">
        <f>'Base DCF'!BA23</f>
        <v>0</v>
      </c>
      <c r="AU1218">
        <f>'Base DCF'!BB23</f>
        <v>0</v>
      </c>
      <c r="AV1218">
        <f>'Base DCF'!BC23</f>
        <v>0</v>
      </c>
      <c r="AW1218">
        <f>'Base DCF'!BD23</f>
        <v>0</v>
      </c>
      <c r="AX1218">
        <f>'Base DCF'!BE23</f>
        <v>0</v>
      </c>
      <c r="AY1218">
        <f>'Base DCF'!BF23</f>
        <v>0</v>
      </c>
      <c r="AZ1218">
        <f>'Base DCF'!BG23</f>
        <v>0</v>
      </c>
      <c r="BA1218">
        <f>'Base DCF'!BH23</f>
        <v>0</v>
      </c>
      <c r="BB1218">
        <f>'Base DCF'!BI23</f>
        <v>0</v>
      </c>
      <c r="BC1218">
        <f>'Base DCF'!BJ23</f>
        <v>0</v>
      </c>
      <c r="BD1218">
        <f>'Base DCF'!BK23</f>
        <v>0</v>
      </c>
      <c r="BE1218">
        <f>'Base DCF'!BL23</f>
        <v>0</v>
      </c>
      <c r="BF1218">
        <f>'Base DCF'!BM23</f>
        <v>0</v>
      </c>
      <c r="BG1218">
        <f>'Base DCF'!BN23</f>
        <v>0</v>
      </c>
      <c r="BH1218">
        <f>'Base DCF'!BO23</f>
        <v>0</v>
      </c>
      <c r="BI1218">
        <f>'Base DCF'!BP23</f>
        <v>0</v>
      </c>
      <c r="BJ1218">
        <f>'Base DCF'!BQ23</f>
        <v>0</v>
      </c>
      <c r="BK1218">
        <f>'Base DCF'!BR23</f>
        <v>0</v>
      </c>
      <c r="BL1218">
        <f>'Base DCF'!BS23</f>
        <v>0</v>
      </c>
      <c r="BM1218">
        <f>'Base DCF'!BT23</f>
        <v>0</v>
      </c>
      <c r="BN1218">
        <f>'Base DCF'!BU23</f>
        <v>0</v>
      </c>
      <c r="BO1218">
        <f>'Base DCF'!BV23</f>
        <v>0</v>
      </c>
      <c r="BP1218">
        <f>'Base DCF'!BW23</f>
        <v>0</v>
      </c>
      <c r="BQ1218">
        <f>'Base DCF'!BX23</f>
        <v>0</v>
      </c>
      <c r="BR1218">
        <f>'Base DCF'!BY23</f>
        <v>0</v>
      </c>
      <c r="BS1218">
        <f>'Base DCF'!BZ23</f>
        <v>0</v>
      </c>
      <c r="BT1218">
        <f>'Base DCF'!CA23</f>
        <v>0</v>
      </c>
      <c r="BU1218">
        <f>'Base DCF'!CB23</f>
        <v>0</v>
      </c>
      <c r="BV1218">
        <f>'Base DCF'!CC23</f>
        <v>0</v>
      </c>
      <c r="BW1218">
        <f>'Base DCF'!CD23</f>
        <v>0</v>
      </c>
      <c r="BX1218">
        <f>'Base DCF'!CE23</f>
        <v>0</v>
      </c>
      <c r="BY1218">
        <f>'Base DCF'!CF23</f>
        <v>0</v>
      </c>
      <c r="BZ1218">
        <f>'Base DCF'!CG23</f>
        <v>0</v>
      </c>
      <c r="CA1218">
        <f>'Base DCF'!CH23</f>
        <v>0</v>
      </c>
      <c r="CB1218">
        <f>'Base DCF'!CI23</f>
        <v>0</v>
      </c>
      <c r="CC1218">
        <f>'Base DCF'!CJ23</f>
        <v>0</v>
      </c>
      <c r="CD1218">
        <f>'Base DCF'!CK23</f>
        <v>0</v>
      </c>
      <c r="CE1218">
        <f>'Base DCF'!CL23</f>
        <v>0</v>
      </c>
      <c r="CF1218">
        <f>'Base DCF'!CM23</f>
        <v>0</v>
      </c>
      <c r="CG1218">
        <f>'Base DCF'!CN23</f>
        <v>0</v>
      </c>
      <c r="CH1218">
        <f>'Base DCF'!CO23</f>
        <v>0</v>
      </c>
      <c r="CI1218">
        <f>'Base DCF'!CP23</f>
        <v>0</v>
      </c>
      <c r="CJ1218">
        <f>'Base DCF'!CQ23</f>
        <v>0</v>
      </c>
      <c r="CK1218">
        <f>'Base DCF'!CR23</f>
        <v>0</v>
      </c>
      <c r="CL1218">
        <f>'Base DCF'!CS23</f>
        <v>0</v>
      </c>
      <c r="CM1218">
        <f>'Base DCF'!CT23</f>
        <v>0</v>
      </c>
      <c r="CN1218">
        <f>'Base DCF'!CU23</f>
        <v>0</v>
      </c>
      <c r="CO1218">
        <f>'Base DCF'!CV23</f>
        <v>0</v>
      </c>
      <c r="CP1218">
        <f>'Base DCF'!CW23</f>
        <v>0</v>
      </c>
      <c r="CQ1218">
        <f>'Base DCF'!CX23</f>
        <v>43100</v>
      </c>
      <c r="CR1218">
        <f>'Base DCF'!CY23</f>
        <v>43465</v>
      </c>
      <c r="CS1218">
        <f>'Base DCF'!CZ23</f>
        <v>43830</v>
      </c>
      <c r="CT1218">
        <f>'Base DCF'!DA23</f>
        <v>44196</v>
      </c>
      <c r="CU1218">
        <f>'Base DCF'!DB23</f>
        <v>44561</v>
      </c>
      <c r="CV1218">
        <f>'Base DCF'!DC23</f>
        <v>44926</v>
      </c>
      <c r="CW1218">
        <f>'Base DCF'!DD23</f>
        <v>45291</v>
      </c>
      <c r="CX1218">
        <f>'Base DCF'!DE23</f>
        <v>45657</v>
      </c>
      <c r="CY1218">
        <f>'Base DCF'!DF23</f>
        <v>46022</v>
      </c>
      <c r="CZ1218">
        <f>'Base DCF'!DG23</f>
        <v>0</v>
      </c>
      <c r="DA1218">
        <f>'Base DCF'!DH23</f>
        <v>0</v>
      </c>
    </row>
    <row r="1219" spans="1:105">
      <c r="A1219">
        <f>'Base DCF'!H24</f>
        <v>0</v>
      </c>
      <c r="B1219" t="str">
        <f>'Base DCF'!I24</f>
        <v>Year for 1-year forward value</v>
      </c>
      <c r="C1219">
        <f>'Base DCF'!J24</f>
        <v>0</v>
      </c>
      <c r="D1219">
        <f>'Base DCF'!K24</f>
        <v>0</v>
      </c>
      <c r="E1219">
        <f>'Base DCF'!L24</f>
        <v>0</v>
      </c>
      <c r="F1219">
        <f>'Base DCF'!M24</f>
        <v>0</v>
      </c>
      <c r="G1219">
        <f>'Base DCF'!N24</f>
        <v>0</v>
      </c>
      <c r="H1219">
        <f>'Base DCF'!O24</f>
        <v>0</v>
      </c>
      <c r="I1219">
        <f>'Base DCF'!P24</f>
        <v>0</v>
      </c>
      <c r="J1219">
        <f>'Base DCF'!Q24</f>
        <v>0</v>
      </c>
      <c r="K1219">
        <f>'Base DCF'!R24</f>
        <v>0</v>
      </c>
      <c r="L1219">
        <f>'Base DCF'!S24</f>
        <v>0</v>
      </c>
      <c r="M1219">
        <f>'Base DCF'!T24</f>
        <v>0</v>
      </c>
      <c r="N1219">
        <f>'Base DCF'!U24</f>
        <v>0</v>
      </c>
      <c r="O1219">
        <f>'Base DCF'!V24</f>
        <v>0</v>
      </c>
      <c r="P1219">
        <f>'Base DCF'!W24</f>
        <v>0</v>
      </c>
      <c r="Q1219">
        <f>'Base DCF'!X24</f>
        <v>0</v>
      </c>
      <c r="R1219">
        <f>'Base DCF'!Y24</f>
        <v>0</v>
      </c>
      <c r="S1219">
        <f>'Base DCF'!Z24</f>
        <v>0</v>
      </c>
      <c r="T1219">
        <f>'Base DCF'!AA24</f>
        <v>0</v>
      </c>
      <c r="U1219">
        <f>'Base DCF'!AB24</f>
        <v>0</v>
      </c>
      <c r="V1219">
        <f>'Base DCF'!AC24</f>
        <v>0</v>
      </c>
      <c r="W1219">
        <f>'Base DCF'!AD24</f>
        <v>0</v>
      </c>
      <c r="X1219">
        <f>'Base DCF'!AE24</f>
        <v>0</v>
      </c>
      <c r="Y1219">
        <f>'Base DCF'!AF24</f>
        <v>0</v>
      </c>
      <c r="Z1219">
        <f>'Base DCF'!AG24</f>
        <v>0</v>
      </c>
      <c r="AA1219">
        <f>'Base DCF'!AH24</f>
        <v>0</v>
      </c>
      <c r="AB1219">
        <f>'Base DCF'!AI24</f>
        <v>0</v>
      </c>
      <c r="AC1219">
        <f>'Base DCF'!AJ24</f>
        <v>0</v>
      </c>
      <c r="AD1219">
        <f>'Base DCF'!AK24</f>
        <v>0</v>
      </c>
      <c r="AE1219">
        <f>'Base DCF'!AL24</f>
        <v>0</v>
      </c>
      <c r="AF1219">
        <f>'Base DCF'!AM24</f>
        <v>0</v>
      </c>
      <c r="AG1219">
        <f>'Base DCF'!AN24</f>
        <v>0</v>
      </c>
      <c r="AH1219">
        <f>'Base DCF'!AO24</f>
        <v>0</v>
      </c>
      <c r="AI1219">
        <f>'Base DCF'!AP24</f>
        <v>0</v>
      </c>
      <c r="AJ1219">
        <f>'Base DCF'!AQ24</f>
        <v>0</v>
      </c>
      <c r="AK1219">
        <f>'Base DCF'!AR24</f>
        <v>0</v>
      </c>
      <c r="AL1219">
        <f>'Base DCF'!AS24</f>
        <v>0</v>
      </c>
      <c r="AM1219">
        <f>'Base DCF'!AT24</f>
        <v>0</v>
      </c>
      <c r="AN1219">
        <f>'Base DCF'!AU24</f>
        <v>0</v>
      </c>
      <c r="AO1219">
        <f>'Base DCF'!AV24</f>
        <v>0</v>
      </c>
      <c r="AP1219">
        <f>'Base DCF'!AW24</f>
        <v>0</v>
      </c>
      <c r="AQ1219">
        <f>'Base DCF'!AX24</f>
        <v>0</v>
      </c>
      <c r="AR1219">
        <f>'Base DCF'!AY24</f>
        <v>0</v>
      </c>
      <c r="AS1219">
        <f>'Base DCF'!AZ24</f>
        <v>0</v>
      </c>
      <c r="AT1219">
        <f>'Base DCF'!BA24</f>
        <v>0</v>
      </c>
      <c r="AU1219">
        <f>'Base DCF'!BB24</f>
        <v>0</v>
      </c>
      <c r="AV1219">
        <f>'Base DCF'!BC24</f>
        <v>0</v>
      </c>
      <c r="AW1219">
        <f>'Base DCF'!BD24</f>
        <v>0</v>
      </c>
      <c r="AX1219">
        <f>'Base DCF'!BE24</f>
        <v>0</v>
      </c>
      <c r="AY1219">
        <f>'Base DCF'!BF24</f>
        <v>0</v>
      </c>
      <c r="AZ1219">
        <f>'Base DCF'!BG24</f>
        <v>0</v>
      </c>
      <c r="BA1219">
        <f>'Base DCF'!BH24</f>
        <v>0</v>
      </c>
      <c r="BB1219">
        <f>'Base DCF'!BI24</f>
        <v>0</v>
      </c>
      <c r="BC1219">
        <f>'Base DCF'!BJ24</f>
        <v>0</v>
      </c>
      <c r="BD1219">
        <f>'Base DCF'!BK24</f>
        <v>0</v>
      </c>
      <c r="BE1219">
        <f>'Base DCF'!BL24</f>
        <v>0</v>
      </c>
      <c r="BF1219">
        <f>'Base DCF'!BM24</f>
        <v>0</v>
      </c>
      <c r="BG1219">
        <f>'Base DCF'!BN24</f>
        <v>0</v>
      </c>
      <c r="BH1219">
        <f>'Base DCF'!BO24</f>
        <v>0</v>
      </c>
      <c r="BI1219">
        <f>'Base DCF'!BP24</f>
        <v>0</v>
      </c>
      <c r="BJ1219">
        <f>'Base DCF'!BQ24</f>
        <v>0</v>
      </c>
      <c r="BK1219">
        <f>'Base DCF'!BR24</f>
        <v>0</v>
      </c>
      <c r="BL1219">
        <f>'Base DCF'!BS24</f>
        <v>0</v>
      </c>
      <c r="BM1219">
        <f>'Base DCF'!BT24</f>
        <v>0</v>
      </c>
      <c r="BN1219">
        <f>'Base DCF'!BU24</f>
        <v>0</v>
      </c>
      <c r="BO1219">
        <f>'Base DCF'!BV24</f>
        <v>0</v>
      </c>
      <c r="BP1219">
        <f>'Base DCF'!BW24</f>
        <v>0</v>
      </c>
      <c r="BQ1219">
        <f>'Base DCF'!BX24</f>
        <v>0</v>
      </c>
      <c r="BR1219">
        <f>'Base DCF'!BY24</f>
        <v>0</v>
      </c>
      <c r="BS1219">
        <f>'Base DCF'!BZ24</f>
        <v>0</v>
      </c>
      <c r="BT1219">
        <f>'Base DCF'!CA24</f>
        <v>0</v>
      </c>
      <c r="BU1219">
        <f>'Base DCF'!CB24</f>
        <v>0</v>
      </c>
      <c r="BV1219">
        <f>'Base DCF'!CC24</f>
        <v>0</v>
      </c>
      <c r="BW1219">
        <f>'Base DCF'!CD24</f>
        <v>0</v>
      </c>
      <c r="BX1219">
        <f>'Base DCF'!CE24</f>
        <v>0</v>
      </c>
      <c r="BY1219">
        <f>'Base DCF'!CF24</f>
        <v>0</v>
      </c>
      <c r="BZ1219">
        <f>'Base DCF'!CG24</f>
        <v>0</v>
      </c>
      <c r="CA1219">
        <f>'Base DCF'!CH24</f>
        <v>0</v>
      </c>
      <c r="CB1219">
        <f>'Base DCF'!CI24</f>
        <v>0</v>
      </c>
      <c r="CC1219">
        <f>'Base DCF'!CJ24</f>
        <v>0</v>
      </c>
      <c r="CD1219">
        <f>'Base DCF'!CK24</f>
        <v>0</v>
      </c>
      <c r="CE1219">
        <f>'Base DCF'!CL24</f>
        <v>0</v>
      </c>
      <c r="CF1219">
        <f>'Base DCF'!CM24</f>
        <v>0</v>
      </c>
      <c r="CG1219">
        <f>'Base DCF'!CN24</f>
        <v>0</v>
      </c>
      <c r="CH1219">
        <f>'Base DCF'!CO24</f>
        <v>0</v>
      </c>
      <c r="CI1219">
        <f>'Base DCF'!CP24</f>
        <v>0</v>
      </c>
      <c r="CJ1219">
        <f>'Base DCF'!CQ24</f>
        <v>0</v>
      </c>
      <c r="CK1219">
        <f>'Base DCF'!CR24</f>
        <v>0</v>
      </c>
      <c r="CL1219">
        <f>'Base DCF'!CS24</f>
        <v>0</v>
      </c>
      <c r="CM1219">
        <f>'Base DCF'!CT24</f>
        <v>0</v>
      </c>
      <c r="CN1219">
        <f>'Base DCF'!CU24</f>
        <v>0</v>
      </c>
      <c r="CO1219">
        <f>'Base DCF'!CV24</f>
        <v>0</v>
      </c>
      <c r="CP1219">
        <f>'Base DCF'!CW24</f>
        <v>0</v>
      </c>
      <c r="CQ1219">
        <f>'Base DCF'!CX24</f>
        <v>0</v>
      </c>
      <c r="CR1219">
        <f>'Base DCF'!CY24</f>
        <v>0</v>
      </c>
      <c r="CS1219">
        <f>'Base DCF'!CZ24</f>
        <v>1</v>
      </c>
      <c r="CT1219">
        <f>'Base DCF'!DA24</f>
        <v>2</v>
      </c>
      <c r="CU1219">
        <f>'Base DCF'!DB24</f>
        <v>3</v>
      </c>
      <c r="CV1219">
        <f>'Base DCF'!DC24</f>
        <v>4</v>
      </c>
      <c r="CW1219">
        <f>'Base DCF'!DD24</f>
        <v>5</v>
      </c>
      <c r="CX1219">
        <f>'Base DCF'!DE24</f>
        <v>6</v>
      </c>
      <c r="CY1219">
        <f>'Base DCF'!DF24</f>
        <v>7</v>
      </c>
      <c r="CZ1219">
        <f>'Base DCF'!DG24</f>
        <v>0</v>
      </c>
      <c r="DA1219">
        <f>'Base DCF'!DH24</f>
        <v>0</v>
      </c>
    </row>
    <row r="1220" spans="1:105">
      <c r="A1220">
        <f>'Base DCF'!H25</f>
        <v>0</v>
      </c>
      <c r="B1220" t="str">
        <f>'Base DCF'!I25</f>
        <v>Discounted cash flows</v>
      </c>
      <c r="C1220">
        <f>'Base DCF'!J25</f>
        <v>0</v>
      </c>
      <c r="D1220">
        <f>'Base DCF'!K25</f>
        <v>0</v>
      </c>
      <c r="E1220">
        <f>'Base DCF'!L25</f>
        <v>0</v>
      </c>
      <c r="F1220">
        <f>'Base DCF'!M25</f>
        <v>0</v>
      </c>
      <c r="G1220">
        <f>'Base DCF'!N25</f>
        <v>0</v>
      </c>
      <c r="H1220">
        <f>'Base DCF'!O25</f>
        <v>0</v>
      </c>
      <c r="I1220">
        <f>'Base DCF'!P25</f>
        <v>0</v>
      </c>
      <c r="J1220">
        <f>'Base DCF'!Q25</f>
        <v>0</v>
      </c>
      <c r="K1220">
        <f>'Base DCF'!R25</f>
        <v>0</v>
      </c>
      <c r="L1220">
        <f>'Base DCF'!S25</f>
        <v>0</v>
      </c>
      <c r="M1220">
        <f>'Base DCF'!T25</f>
        <v>0</v>
      </c>
      <c r="N1220">
        <f>'Base DCF'!U25</f>
        <v>0</v>
      </c>
      <c r="O1220">
        <f>'Base DCF'!V25</f>
        <v>0</v>
      </c>
      <c r="P1220">
        <f>'Base DCF'!W25</f>
        <v>0</v>
      </c>
      <c r="Q1220">
        <f>'Base DCF'!X25</f>
        <v>0</v>
      </c>
      <c r="R1220">
        <f>'Base DCF'!Y25</f>
        <v>0</v>
      </c>
      <c r="S1220">
        <f>'Base DCF'!Z25</f>
        <v>0</v>
      </c>
      <c r="T1220">
        <f>'Base DCF'!AA25</f>
        <v>0</v>
      </c>
      <c r="U1220">
        <f>'Base DCF'!AB25</f>
        <v>0</v>
      </c>
      <c r="V1220">
        <f>'Base DCF'!AC25</f>
        <v>0</v>
      </c>
      <c r="W1220">
        <f>'Base DCF'!AD25</f>
        <v>0</v>
      </c>
      <c r="X1220">
        <f>'Base DCF'!AE25</f>
        <v>0</v>
      </c>
      <c r="Y1220">
        <f>'Base DCF'!AF25</f>
        <v>0</v>
      </c>
      <c r="Z1220">
        <f>'Base DCF'!AG25</f>
        <v>0</v>
      </c>
      <c r="AA1220">
        <f>'Base DCF'!AH25</f>
        <v>0</v>
      </c>
      <c r="AB1220">
        <f>'Base DCF'!AI25</f>
        <v>0</v>
      </c>
      <c r="AC1220">
        <f>'Base DCF'!AJ25</f>
        <v>0</v>
      </c>
      <c r="AD1220">
        <f>'Base DCF'!AK25</f>
        <v>0</v>
      </c>
      <c r="AE1220">
        <f>'Base DCF'!AL25</f>
        <v>0</v>
      </c>
      <c r="AF1220">
        <f>'Base DCF'!AM25</f>
        <v>0</v>
      </c>
      <c r="AG1220">
        <f>'Base DCF'!AN25</f>
        <v>0</v>
      </c>
      <c r="AH1220">
        <f>'Base DCF'!AO25</f>
        <v>0</v>
      </c>
      <c r="AI1220">
        <f>'Base DCF'!AP25</f>
        <v>0</v>
      </c>
      <c r="AJ1220">
        <f>'Base DCF'!AQ25</f>
        <v>0</v>
      </c>
      <c r="AK1220">
        <f>'Base DCF'!AR25</f>
        <v>0</v>
      </c>
      <c r="AL1220">
        <f>'Base DCF'!AS25</f>
        <v>0</v>
      </c>
      <c r="AM1220">
        <f>'Base DCF'!AT25</f>
        <v>0</v>
      </c>
      <c r="AN1220">
        <f>'Base DCF'!AU25</f>
        <v>0</v>
      </c>
      <c r="AO1220">
        <f>'Base DCF'!AV25</f>
        <v>0</v>
      </c>
      <c r="AP1220">
        <f>'Base DCF'!AW25</f>
        <v>0</v>
      </c>
      <c r="AQ1220">
        <f>'Base DCF'!AX25</f>
        <v>0</v>
      </c>
      <c r="AR1220">
        <f>'Base DCF'!AY25</f>
        <v>0</v>
      </c>
      <c r="AS1220">
        <f>'Base DCF'!AZ25</f>
        <v>0</v>
      </c>
      <c r="AT1220">
        <f>'Base DCF'!BA25</f>
        <v>0</v>
      </c>
      <c r="AU1220">
        <f>'Base DCF'!BB25</f>
        <v>0</v>
      </c>
      <c r="AV1220">
        <f>'Base DCF'!BC25</f>
        <v>0</v>
      </c>
      <c r="AW1220">
        <f>'Base DCF'!BD25</f>
        <v>0</v>
      </c>
      <c r="AX1220">
        <f>'Base DCF'!BE25</f>
        <v>0</v>
      </c>
      <c r="AY1220">
        <f>'Base DCF'!BF25</f>
        <v>0</v>
      </c>
      <c r="AZ1220">
        <f>'Base DCF'!BG25</f>
        <v>0</v>
      </c>
      <c r="BA1220">
        <f>'Base DCF'!BH25</f>
        <v>0</v>
      </c>
      <c r="BB1220">
        <f>'Base DCF'!BI25</f>
        <v>0</v>
      </c>
      <c r="BC1220">
        <f>'Base DCF'!BJ25</f>
        <v>0</v>
      </c>
      <c r="BD1220">
        <f>'Base DCF'!BK25</f>
        <v>0</v>
      </c>
      <c r="BE1220">
        <f>'Base DCF'!BL25</f>
        <v>0</v>
      </c>
      <c r="BF1220">
        <f>'Base DCF'!BM25</f>
        <v>0</v>
      </c>
      <c r="BG1220">
        <f>'Base DCF'!BN25</f>
        <v>0</v>
      </c>
      <c r="BH1220">
        <f>'Base DCF'!BO25</f>
        <v>0</v>
      </c>
      <c r="BI1220">
        <f>'Base DCF'!BP25</f>
        <v>0</v>
      </c>
      <c r="BJ1220">
        <f>'Base DCF'!BQ25</f>
        <v>0</v>
      </c>
      <c r="BK1220">
        <f>'Base DCF'!BR25</f>
        <v>0</v>
      </c>
      <c r="BL1220">
        <f>'Base DCF'!BS25</f>
        <v>0</v>
      </c>
      <c r="BM1220">
        <f>'Base DCF'!BT25</f>
        <v>0</v>
      </c>
      <c r="BN1220">
        <f>'Base DCF'!BU25</f>
        <v>0</v>
      </c>
      <c r="BO1220">
        <f>'Base DCF'!BV25</f>
        <v>0</v>
      </c>
      <c r="BP1220">
        <f>'Base DCF'!BW25</f>
        <v>0</v>
      </c>
      <c r="BQ1220">
        <f>'Base DCF'!BX25</f>
        <v>0</v>
      </c>
      <c r="BR1220">
        <f>'Base DCF'!BY25</f>
        <v>0</v>
      </c>
      <c r="BS1220">
        <f>'Base DCF'!BZ25</f>
        <v>0</v>
      </c>
      <c r="BT1220">
        <f>'Base DCF'!CA25</f>
        <v>0</v>
      </c>
      <c r="BU1220">
        <f>'Base DCF'!CB25</f>
        <v>0</v>
      </c>
      <c r="BV1220">
        <f>'Base DCF'!CC25</f>
        <v>0</v>
      </c>
      <c r="BW1220">
        <f>'Base DCF'!CD25</f>
        <v>0</v>
      </c>
      <c r="BX1220">
        <f>'Base DCF'!CE25</f>
        <v>0</v>
      </c>
      <c r="BY1220">
        <f>'Base DCF'!CF25</f>
        <v>0</v>
      </c>
      <c r="BZ1220">
        <f>'Base DCF'!CG25</f>
        <v>0</v>
      </c>
      <c r="CA1220">
        <f>'Base DCF'!CH25</f>
        <v>0</v>
      </c>
      <c r="CB1220">
        <f>'Base DCF'!CI25</f>
        <v>0</v>
      </c>
      <c r="CC1220">
        <f>'Base DCF'!CJ25</f>
        <v>0</v>
      </c>
      <c r="CD1220">
        <f>'Base DCF'!CK25</f>
        <v>0</v>
      </c>
      <c r="CE1220">
        <f>'Base DCF'!CL25</f>
        <v>0</v>
      </c>
      <c r="CF1220">
        <f>'Base DCF'!CM25</f>
        <v>0</v>
      </c>
      <c r="CG1220">
        <f>'Base DCF'!CN25</f>
        <v>0</v>
      </c>
      <c r="CH1220">
        <f>'Base DCF'!CO25</f>
        <v>0</v>
      </c>
      <c r="CI1220">
        <f>'Base DCF'!CP25</f>
        <v>0</v>
      </c>
      <c r="CJ1220">
        <f>'Base DCF'!CQ25</f>
        <v>0</v>
      </c>
      <c r="CK1220">
        <f>'Base DCF'!CR25</f>
        <v>0</v>
      </c>
      <c r="CL1220">
        <f>'Base DCF'!CS25</f>
        <v>0</v>
      </c>
      <c r="CM1220">
        <f>'Base DCF'!CT25</f>
        <v>0</v>
      </c>
      <c r="CN1220">
        <f>'Base DCF'!CU25</f>
        <v>0</v>
      </c>
      <c r="CO1220">
        <f>'Base DCF'!CV25</f>
        <v>0</v>
      </c>
      <c r="CP1220">
        <f>'Base DCF'!CW25</f>
        <v>0</v>
      </c>
      <c r="CQ1220">
        <f>'Base DCF'!CX25</f>
        <v>0</v>
      </c>
      <c r="CR1220">
        <f>'Base DCF'!CY25</f>
        <v>0</v>
      </c>
      <c r="CS1220">
        <f>'Base DCF'!CZ25</f>
        <v>3666.2128876640618</v>
      </c>
      <c r="CT1220">
        <f>'Base DCF'!DA25</f>
        <v>3836.6768541605629</v>
      </c>
      <c r="CU1220">
        <f>'Base DCF'!DB25</f>
        <v>3961.8287612814293</v>
      </c>
      <c r="CV1220">
        <f>'Base DCF'!DC25</f>
        <v>4053.4619852361852</v>
      </c>
      <c r="CW1220">
        <f>'Base DCF'!DD25</f>
        <v>4107.9956540220928</v>
      </c>
      <c r="CX1220">
        <f>'Base DCF'!DE25</f>
        <v>4121.1502881344368</v>
      </c>
      <c r="CY1220">
        <f>'Base DCF'!DF25</f>
        <v>4158.8324441469313</v>
      </c>
      <c r="CZ1220">
        <f>'Base DCF'!DG25</f>
        <v>0</v>
      </c>
      <c r="DA1220">
        <f>'Base DCF'!DH25</f>
        <v>0</v>
      </c>
    </row>
    <row r="1221" spans="1:105">
      <c r="A1221">
        <f>'Base DCF'!H26</f>
        <v>0</v>
      </c>
      <c r="B1221">
        <f>'Base DCF'!I26</f>
        <v>0</v>
      </c>
      <c r="C1221">
        <f>'Base DCF'!J26</f>
        <v>0</v>
      </c>
      <c r="D1221">
        <f>'Base DCF'!K26</f>
        <v>0</v>
      </c>
      <c r="E1221">
        <f>'Base DCF'!L26</f>
        <v>0</v>
      </c>
      <c r="F1221">
        <f>'Base DCF'!M26</f>
        <v>0</v>
      </c>
      <c r="G1221">
        <f>'Base DCF'!N26</f>
        <v>0</v>
      </c>
      <c r="H1221">
        <f>'Base DCF'!O26</f>
        <v>0</v>
      </c>
      <c r="I1221">
        <f>'Base DCF'!P26</f>
        <v>0</v>
      </c>
      <c r="J1221">
        <f>'Base DCF'!Q26</f>
        <v>0</v>
      </c>
      <c r="K1221">
        <f>'Base DCF'!R26</f>
        <v>0</v>
      </c>
      <c r="L1221">
        <f>'Base DCF'!S26</f>
        <v>0</v>
      </c>
      <c r="M1221">
        <f>'Base DCF'!T26</f>
        <v>0</v>
      </c>
      <c r="N1221">
        <f>'Base DCF'!U26</f>
        <v>0</v>
      </c>
      <c r="O1221">
        <f>'Base DCF'!V26</f>
        <v>0</v>
      </c>
      <c r="P1221">
        <f>'Base DCF'!W26</f>
        <v>0</v>
      </c>
      <c r="Q1221">
        <f>'Base DCF'!X26</f>
        <v>0</v>
      </c>
      <c r="R1221">
        <f>'Base DCF'!Y26</f>
        <v>0</v>
      </c>
      <c r="S1221">
        <f>'Base DCF'!Z26</f>
        <v>0</v>
      </c>
      <c r="T1221">
        <f>'Base DCF'!AA26</f>
        <v>0</v>
      </c>
      <c r="U1221">
        <f>'Base DCF'!AB26</f>
        <v>0</v>
      </c>
      <c r="V1221">
        <f>'Base DCF'!AC26</f>
        <v>0</v>
      </c>
      <c r="W1221">
        <f>'Base DCF'!AD26</f>
        <v>0</v>
      </c>
      <c r="X1221">
        <f>'Base DCF'!AE26</f>
        <v>0</v>
      </c>
      <c r="Y1221">
        <f>'Base DCF'!AF26</f>
        <v>0</v>
      </c>
      <c r="Z1221">
        <f>'Base DCF'!AG26</f>
        <v>0</v>
      </c>
      <c r="AA1221">
        <f>'Base DCF'!AH26</f>
        <v>0</v>
      </c>
      <c r="AB1221">
        <f>'Base DCF'!AI26</f>
        <v>0</v>
      </c>
      <c r="AC1221">
        <f>'Base DCF'!AJ26</f>
        <v>0</v>
      </c>
      <c r="AD1221">
        <f>'Base DCF'!AK26</f>
        <v>0</v>
      </c>
      <c r="AE1221">
        <f>'Base DCF'!AL26</f>
        <v>0</v>
      </c>
      <c r="AF1221">
        <f>'Base DCF'!AM26</f>
        <v>0</v>
      </c>
      <c r="AG1221">
        <f>'Base DCF'!AN26</f>
        <v>0</v>
      </c>
      <c r="AH1221">
        <f>'Base DCF'!AO26</f>
        <v>0</v>
      </c>
      <c r="AI1221">
        <f>'Base DCF'!AP26</f>
        <v>0</v>
      </c>
      <c r="AJ1221">
        <f>'Base DCF'!AQ26</f>
        <v>0</v>
      </c>
      <c r="AK1221">
        <f>'Base DCF'!AR26</f>
        <v>0</v>
      </c>
      <c r="AL1221">
        <f>'Base DCF'!AS26</f>
        <v>0</v>
      </c>
      <c r="AM1221">
        <f>'Base DCF'!AT26</f>
        <v>0</v>
      </c>
      <c r="AN1221">
        <f>'Base DCF'!AU26</f>
        <v>0</v>
      </c>
      <c r="AO1221">
        <f>'Base DCF'!AV26</f>
        <v>0</v>
      </c>
      <c r="AP1221">
        <f>'Base DCF'!AW26</f>
        <v>0</v>
      </c>
      <c r="AQ1221">
        <f>'Base DCF'!AX26</f>
        <v>0</v>
      </c>
      <c r="AR1221">
        <f>'Base DCF'!AY26</f>
        <v>0</v>
      </c>
      <c r="AS1221">
        <f>'Base DCF'!AZ26</f>
        <v>0</v>
      </c>
      <c r="AT1221">
        <f>'Base DCF'!BA26</f>
        <v>0</v>
      </c>
      <c r="AU1221">
        <f>'Base DCF'!BB26</f>
        <v>0</v>
      </c>
      <c r="AV1221">
        <f>'Base DCF'!BC26</f>
        <v>0</v>
      </c>
      <c r="AW1221">
        <f>'Base DCF'!BD26</f>
        <v>0</v>
      </c>
      <c r="AX1221">
        <f>'Base DCF'!BE26</f>
        <v>0</v>
      </c>
      <c r="AY1221">
        <f>'Base DCF'!BF26</f>
        <v>0</v>
      </c>
      <c r="AZ1221">
        <f>'Base DCF'!BG26</f>
        <v>0</v>
      </c>
      <c r="BA1221">
        <f>'Base DCF'!BH26</f>
        <v>0</v>
      </c>
      <c r="BB1221">
        <f>'Base DCF'!BI26</f>
        <v>0</v>
      </c>
      <c r="BC1221">
        <f>'Base DCF'!BJ26</f>
        <v>0</v>
      </c>
      <c r="BD1221">
        <f>'Base DCF'!BK26</f>
        <v>0</v>
      </c>
      <c r="BE1221">
        <f>'Base DCF'!BL26</f>
        <v>0</v>
      </c>
      <c r="BF1221">
        <f>'Base DCF'!BM26</f>
        <v>0</v>
      </c>
      <c r="BG1221">
        <f>'Base DCF'!BN26</f>
        <v>0</v>
      </c>
      <c r="BH1221">
        <f>'Base DCF'!BO26</f>
        <v>0</v>
      </c>
      <c r="BI1221">
        <f>'Base DCF'!BP26</f>
        <v>0</v>
      </c>
      <c r="BJ1221">
        <f>'Base DCF'!BQ26</f>
        <v>0</v>
      </c>
      <c r="BK1221">
        <f>'Base DCF'!BR26</f>
        <v>0</v>
      </c>
      <c r="BL1221">
        <f>'Base DCF'!BS26</f>
        <v>0</v>
      </c>
      <c r="BM1221">
        <f>'Base DCF'!BT26</f>
        <v>0</v>
      </c>
      <c r="BN1221">
        <f>'Base DCF'!BU26</f>
        <v>0</v>
      </c>
      <c r="BO1221">
        <f>'Base DCF'!BV26</f>
        <v>0</v>
      </c>
      <c r="BP1221">
        <f>'Base DCF'!BW26</f>
        <v>0</v>
      </c>
      <c r="BQ1221">
        <f>'Base DCF'!BX26</f>
        <v>0</v>
      </c>
      <c r="BR1221">
        <f>'Base DCF'!BY26</f>
        <v>0</v>
      </c>
      <c r="BS1221">
        <f>'Base DCF'!BZ26</f>
        <v>0</v>
      </c>
      <c r="BT1221">
        <f>'Base DCF'!CA26</f>
        <v>0</v>
      </c>
      <c r="BU1221">
        <f>'Base DCF'!CB26</f>
        <v>0</v>
      </c>
      <c r="BV1221">
        <f>'Base DCF'!CC26</f>
        <v>0</v>
      </c>
      <c r="BW1221">
        <f>'Base DCF'!CD26</f>
        <v>0</v>
      </c>
      <c r="BX1221">
        <f>'Base DCF'!CE26</f>
        <v>0</v>
      </c>
      <c r="BY1221">
        <f>'Base DCF'!CF26</f>
        <v>0</v>
      </c>
      <c r="BZ1221">
        <f>'Base DCF'!CG26</f>
        <v>0</v>
      </c>
      <c r="CA1221">
        <f>'Base DCF'!CH26</f>
        <v>0</v>
      </c>
      <c r="CB1221">
        <f>'Base DCF'!CI26</f>
        <v>0</v>
      </c>
      <c r="CC1221">
        <f>'Base DCF'!CJ26</f>
        <v>0</v>
      </c>
      <c r="CD1221">
        <f>'Base DCF'!CK26</f>
        <v>0</v>
      </c>
      <c r="CE1221">
        <f>'Base DCF'!CL26</f>
        <v>0</v>
      </c>
      <c r="CF1221">
        <f>'Base DCF'!CM26</f>
        <v>0</v>
      </c>
      <c r="CG1221">
        <f>'Base DCF'!CN26</f>
        <v>0</v>
      </c>
      <c r="CH1221">
        <f>'Base DCF'!CO26</f>
        <v>0</v>
      </c>
      <c r="CI1221">
        <f>'Base DCF'!CP26</f>
        <v>0</v>
      </c>
      <c r="CJ1221">
        <f>'Base DCF'!CQ26</f>
        <v>0</v>
      </c>
      <c r="CK1221">
        <f>'Base DCF'!CR26</f>
        <v>0</v>
      </c>
      <c r="CL1221">
        <f>'Base DCF'!CS26</f>
        <v>0</v>
      </c>
      <c r="CM1221">
        <f>'Base DCF'!CT26</f>
        <v>0</v>
      </c>
      <c r="CN1221">
        <f>'Base DCF'!CU26</f>
        <v>0</v>
      </c>
      <c r="CO1221">
        <f>'Base DCF'!CV26</f>
        <v>0</v>
      </c>
      <c r="CP1221">
        <f>'Base DCF'!CW26</f>
        <v>0</v>
      </c>
      <c r="CQ1221">
        <f>'Base DCF'!CX26</f>
        <v>0</v>
      </c>
      <c r="CR1221">
        <f>'Base DCF'!CY26</f>
        <v>0</v>
      </c>
      <c r="CS1221">
        <f>'Base DCF'!CZ26</f>
        <v>0</v>
      </c>
      <c r="CT1221">
        <f>'Base DCF'!DA26</f>
        <v>0</v>
      </c>
      <c r="CU1221">
        <f>'Base DCF'!DB26</f>
        <v>0</v>
      </c>
      <c r="CV1221">
        <f>'Base DCF'!DC26</f>
        <v>0</v>
      </c>
      <c r="CW1221">
        <f>'Base DCF'!DD26</f>
        <v>0</v>
      </c>
      <c r="CX1221">
        <f>'Base DCF'!DE26</f>
        <v>0</v>
      </c>
      <c r="CY1221">
        <f>'Base DCF'!DF26</f>
        <v>0</v>
      </c>
      <c r="CZ1221">
        <f>'Base DCF'!DG26</f>
        <v>0</v>
      </c>
      <c r="DA1221">
        <f>'Base DCF'!DH26</f>
        <v>0</v>
      </c>
    </row>
    <row r="1223" spans="1:105">
      <c r="A1223">
        <f>'Base DCF'!H20</f>
        <v>0</v>
      </c>
      <c r="B1223" t="str">
        <f>'Base DCF'!I20</f>
        <v>Adj. EBITDA Margin</v>
      </c>
      <c r="C1223">
        <f>'Base DCF'!J20</f>
        <v>0</v>
      </c>
      <c r="D1223">
        <f>'Base DCF'!K20</f>
        <v>0</v>
      </c>
      <c r="E1223">
        <f>'Base DCF'!L20</f>
        <v>0</v>
      </c>
      <c r="F1223">
        <f>'Base DCF'!M20</f>
        <v>0</v>
      </c>
      <c r="G1223">
        <f>'Base DCF'!N20</f>
        <v>0</v>
      </c>
      <c r="H1223">
        <f>'Base DCF'!O20</f>
        <v>0</v>
      </c>
      <c r="I1223">
        <f>'Base DCF'!P20</f>
        <v>0</v>
      </c>
      <c r="J1223">
        <f>'Base DCF'!Q20</f>
        <v>0</v>
      </c>
      <c r="K1223">
        <f>'Base DCF'!R20</f>
        <v>0</v>
      </c>
      <c r="L1223">
        <f>'Base DCF'!S20</f>
        <v>0</v>
      </c>
      <c r="M1223">
        <f>'Base DCF'!T20</f>
        <v>0</v>
      </c>
      <c r="N1223">
        <f>'Base DCF'!U20</f>
        <v>0</v>
      </c>
      <c r="O1223">
        <f>'Base DCF'!V20</f>
        <v>0</v>
      </c>
      <c r="P1223">
        <f>'Base DCF'!W20</f>
        <v>0</v>
      </c>
      <c r="Q1223">
        <f>'Base DCF'!X20</f>
        <v>0</v>
      </c>
      <c r="R1223">
        <f>'Base DCF'!Y20</f>
        <v>0</v>
      </c>
      <c r="S1223">
        <f>'Base DCF'!Z20</f>
        <v>0</v>
      </c>
      <c r="T1223">
        <f>'Base DCF'!AA20</f>
        <v>0</v>
      </c>
      <c r="U1223">
        <f>'Base DCF'!AB20</f>
        <v>0</v>
      </c>
      <c r="V1223">
        <f>'Base DCF'!AC20</f>
        <v>0</v>
      </c>
      <c r="W1223">
        <f>'Base DCF'!AD20</f>
        <v>0</v>
      </c>
      <c r="X1223">
        <f>'Base DCF'!AE20</f>
        <v>0</v>
      </c>
      <c r="Y1223">
        <f>'Base DCF'!AF20</f>
        <v>0</v>
      </c>
      <c r="Z1223">
        <f>'Base DCF'!AG20</f>
        <v>0</v>
      </c>
      <c r="AA1223">
        <f>'Base DCF'!AH20</f>
        <v>0</v>
      </c>
      <c r="AB1223">
        <f>'Base DCF'!AI20</f>
        <v>0</v>
      </c>
      <c r="AC1223">
        <f>'Base DCF'!AJ20</f>
        <v>0</v>
      </c>
      <c r="AD1223">
        <f>'Base DCF'!AK20</f>
        <v>0</v>
      </c>
      <c r="AE1223">
        <f>'Base DCF'!AL20</f>
        <v>0</v>
      </c>
      <c r="AF1223">
        <f>'Base DCF'!AM20</f>
        <v>0</v>
      </c>
      <c r="AG1223">
        <f>'Base DCF'!AN20</f>
        <v>0</v>
      </c>
      <c r="AH1223">
        <f>'Base DCF'!AO20</f>
        <v>0</v>
      </c>
      <c r="AI1223">
        <f>'Base DCF'!AP20</f>
        <v>0</v>
      </c>
      <c r="AJ1223">
        <f>'Base DCF'!AQ20</f>
        <v>0</v>
      </c>
      <c r="AK1223">
        <f>'Base DCF'!AR20</f>
        <v>0</v>
      </c>
      <c r="AL1223">
        <f>'Base DCF'!AS20</f>
        <v>0</v>
      </c>
      <c r="AM1223">
        <f>'Base DCF'!AT20</f>
        <v>0</v>
      </c>
      <c r="AN1223">
        <f>'Base DCF'!AU20</f>
        <v>0</v>
      </c>
      <c r="AO1223">
        <f>'Base DCF'!AV20</f>
        <v>0</v>
      </c>
      <c r="AP1223">
        <f>'Base DCF'!AW20</f>
        <v>0</v>
      </c>
      <c r="AQ1223">
        <f>'Base DCF'!AX20</f>
        <v>0</v>
      </c>
      <c r="AR1223">
        <f>'Base DCF'!AY20</f>
        <v>0</v>
      </c>
      <c r="AS1223">
        <f>'Base DCF'!AZ20</f>
        <v>0</v>
      </c>
      <c r="AT1223">
        <f>'Base DCF'!BA20</f>
        <v>0</v>
      </c>
      <c r="AU1223">
        <f>'Base DCF'!BB20</f>
        <v>0</v>
      </c>
      <c r="AV1223">
        <f>'Base DCF'!BC20</f>
        <v>0</v>
      </c>
      <c r="AW1223">
        <f>'Base DCF'!BD20</f>
        <v>0</v>
      </c>
      <c r="AX1223">
        <f>'Base DCF'!BE20</f>
        <v>0</v>
      </c>
      <c r="AY1223">
        <f>'Base DCF'!BF20</f>
        <v>0</v>
      </c>
      <c r="AZ1223">
        <f>'Base DCF'!BG20</f>
        <v>0</v>
      </c>
      <c r="BA1223">
        <f>'Base DCF'!BH20</f>
        <v>0</v>
      </c>
      <c r="BB1223">
        <f>'Base DCF'!BI20</f>
        <v>0</v>
      </c>
      <c r="BC1223">
        <f>'Base DCF'!BJ20</f>
        <v>0</v>
      </c>
      <c r="BD1223">
        <f>'Base DCF'!BK20</f>
        <v>0</v>
      </c>
      <c r="BE1223">
        <f>'Base DCF'!BL20</f>
        <v>0</v>
      </c>
      <c r="BF1223">
        <f>'Base DCF'!BM20</f>
        <v>0</v>
      </c>
      <c r="BG1223">
        <f>'Base DCF'!BN20</f>
        <v>0</v>
      </c>
      <c r="BH1223">
        <f>'Base DCF'!BO20</f>
        <v>0</v>
      </c>
      <c r="BI1223">
        <f>'Base DCF'!BP20</f>
        <v>0</v>
      </c>
      <c r="BJ1223">
        <f>'Base DCF'!BQ20</f>
        <v>0</v>
      </c>
      <c r="BK1223">
        <f>'Base DCF'!BR20</f>
        <v>0</v>
      </c>
      <c r="BL1223">
        <f>'Base DCF'!BS20</f>
        <v>0</v>
      </c>
      <c r="BM1223">
        <f>'Base DCF'!BT20</f>
        <v>0</v>
      </c>
      <c r="BN1223">
        <f>'Base DCF'!BU20</f>
        <v>0</v>
      </c>
      <c r="BO1223">
        <f>'Base DCF'!BV20</f>
        <v>0</v>
      </c>
      <c r="BP1223">
        <f>'Base DCF'!BW20</f>
        <v>0</v>
      </c>
      <c r="BQ1223">
        <f>'Base DCF'!BX20</f>
        <v>0</v>
      </c>
      <c r="BR1223">
        <f>'Base DCF'!BY20</f>
        <v>0</v>
      </c>
      <c r="BS1223">
        <f>'Base DCF'!BZ20</f>
        <v>0</v>
      </c>
      <c r="BT1223">
        <f>'Base DCF'!CA20</f>
        <v>0</v>
      </c>
      <c r="BU1223">
        <f>'Base DCF'!CB20</f>
        <v>0</v>
      </c>
      <c r="BV1223">
        <f>'Base DCF'!CC20</f>
        <v>0</v>
      </c>
      <c r="BW1223">
        <f>'Base DCF'!CD20</f>
        <v>0</v>
      </c>
      <c r="BX1223">
        <f>'Base DCF'!CE20</f>
        <v>0</v>
      </c>
      <c r="BY1223">
        <f>'Base DCF'!CF20</f>
        <v>0</v>
      </c>
      <c r="BZ1223">
        <f>'Base DCF'!CG20</f>
        <v>0</v>
      </c>
      <c r="CA1223">
        <f>'Base DCF'!CH20</f>
        <v>0</v>
      </c>
      <c r="CB1223">
        <f>'Base DCF'!CI20</f>
        <v>0</v>
      </c>
      <c r="CC1223">
        <f>'Base DCF'!CJ20</f>
        <v>0</v>
      </c>
      <c r="CD1223">
        <f>'Base DCF'!CK20</f>
        <v>0</v>
      </c>
      <c r="CE1223">
        <f>'Base DCF'!CL20</f>
        <v>0</v>
      </c>
      <c r="CF1223">
        <f>'Base DCF'!CM20</f>
        <v>0</v>
      </c>
      <c r="CG1223">
        <f>'Base DCF'!CN20</f>
        <v>0</v>
      </c>
      <c r="CH1223">
        <f>'Base DCF'!CO20</f>
        <v>0</v>
      </c>
      <c r="CI1223">
        <f>'Base DCF'!CP20</f>
        <v>0</v>
      </c>
      <c r="CJ1223">
        <f>'Base DCF'!CQ20</f>
        <v>0.26999185657209585</v>
      </c>
      <c r="CK1223">
        <f>'Base DCF'!CR20</f>
        <v>0.3318136839616036</v>
      </c>
      <c r="CL1223">
        <f>'Base DCF'!CS20</f>
        <v>0.35834038528358736</v>
      </c>
      <c r="CM1223">
        <f>'Base DCF'!CT20</f>
        <v>0.3709968312924517</v>
      </c>
      <c r="CN1223">
        <f>'Base DCF'!CU20</f>
        <v>0.38829285246300882</v>
      </c>
      <c r="CO1223">
        <f>'Base DCF'!CV20</f>
        <v>0.37676310688642534</v>
      </c>
      <c r="CP1223">
        <f>'Base DCF'!CW20</f>
        <v>0.38529579151310162</v>
      </c>
      <c r="CQ1223">
        <f>'Base DCF'!CX20</f>
        <v>0.38381835240872963</v>
      </c>
      <c r="CR1223">
        <f>'Base DCF'!CY20</f>
        <v>0.3878853828529083</v>
      </c>
      <c r="CS1223">
        <f>'Base DCF'!CZ20</f>
        <v>0.3921227790787879</v>
      </c>
      <c r="CT1223">
        <f>'Base DCF'!DA20</f>
        <v>0.39627917425747661</v>
      </c>
      <c r="CU1223">
        <f>'Base DCF'!DB20</f>
        <v>0.40119589096334018</v>
      </c>
      <c r="CV1223">
        <f>'Base DCF'!DC20</f>
        <v>0.40587572187061655</v>
      </c>
      <c r="CW1223">
        <f>'Base DCF'!DD20</f>
        <v>0.40962980794362452</v>
      </c>
      <c r="CX1223">
        <f>'Base DCF'!DE20</f>
        <v>0.41251524465450268</v>
      </c>
      <c r="CY1223">
        <f>'Base DCF'!DF20</f>
        <v>0.41675285975096893</v>
      </c>
      <c r="CZ1223">
        <f>'Base DCF'!DG20</f>
        <v>0.41675285975096893</v>
      </c>
      <c r="DA1223">
        <f>'Base DCF'!DH20</f>
        <v>0</v>
      </c>
    </row>
    <row r="1224" spans="1:105">
      <c r="A1224">
        <f>'Base DCF'!H21</f>
        <v>0</v>
      </c>
      <c r="B1224" t="str">
        <f>'Base DCF'!I21</f>
        <v>UFCF / Adj. EBITDA</v>
      </c>
      <c r="C1224">
        <f>'Base DCF'!J21</f>
        <v>0</v>
      </c>
      <c r="D1224">
        <f>'Base DCF'!K21</f>
        <v>0</v>
      </c>
      <c r="E1224">
        <f>'Base DCF'!L21</f>
        <v>0</v>
      </c>
      <c r="F1224">
        <f>'Base DCF'!M21</f>
        <v>0</v>
      </c>
      <c r="G1224">
        <f>'Base DCF'!N21</f>
        <v>0</v>
      </c>
      <c r="H1224">
        <f>'Base DCF'!O21</f>
        <v>0</v>
      </c>
      <c r="I1224">
        <f>'Base DCF'!P21</f>
        <v>0</v>
      </c>
      <c r="J1224">
        <f>'Base DCF'!Q21</f>
        <v>0</v>
      </c>
      <c r="K1224">
        <f>'Base DCF'!R21</f>
        <v>0</v>
      </c>
      <c r="L1224">
        <f>'Base DCF'!S21</f>
        <v>0</v>
      </c>
      <c r="M1224">
        <f>'Base DCF'!T21</f>
        <v>0</v>
      </c>
      <c r="N1224">
        <f>'Base DCF'!U21</f>
        <v>0</v>
      </c>
      <c r="O1224">
        <f>'Base DCF'!V21</f>
        <v>0</v>
      </c>
      <c r="P1224">
        <f>'Base DCF'!W21</f>
        <v>0</v>
      </c>
      <c r="Q1224">
        <f>'Base DCF'!X21</f>
        <v>0</v>
      </c>
      <c r="R1224">
        <f>'Base DCF'!Y21</f>
        <v>0</v>
      </c>
      <c r="S1224">
        <f>'Base DCF'!Z21</f>
        <v>0</v>
      </c>
      <c r="T1224">
        <f>'Base DCF'!AA21</f>
        <v>0</v>
      </c>
      <c r="U1224">
        <f>'Base DCF'!AB21</f>
        <v>0</v>
      </c>
      <c r="V1224">
        <f>'Base DCF'!AC21</f>
        <v>0</v>
      </c>
      <c r="W1224">
        <f>'Base DCF'!AD21</f>
        <v>0</v>
      </c>
      <c r="X1224">
        <f>'Base DCF'!AE21</f>
        <v>0</v>
      </c>
      <c r="Y1224">
        <f>'Base DCF'!AF21</f>
        <v>0</v>
      </c>
      <c r="Z1224">
        <f>'Base DCF'!AG21</f>
        <v>0</v>
      </c>
      <c r="AA1224">
        <f>'Base DCF'!AH21</f>
        <v>0</v>
      </c>
      <c r="AB1224">
        <f>'Base DCF'!AI21</f>
        <v>0</v>
      </c>
      <c r="AC1224">
        <f>'Base DCF'!AJ21</f>
        <v>0</v>
      </c>
      <c r="AD1224">
        <f>'Base DCF'!AK21</f>
        <v>0</v>
      </c>
      <c r="AE1224">
        <f>'Base DCF'!AL21</f>
        <v>0</v>
      </c>
      <c r="AF1224">
        <f>'Base DCF'!AM21</f>
        <v>0</v>
      </c>
      <c r="AG1224">
        <f>'Base DCF'!AN21</f>
        <v>0</v>
      </c>
      <c r="AH1224">
        <f>'Base DCF'!AO21</f>
        <v>0</v>
      </c>
      <c r="AI1224">
        <f>'Base DCF'!AP21</f>
        <v>0</v>
      </c>
      <c r="AJ1224">
        <f>'Base DCF'!AQ21</f>
        <v>0</v>
      </c>
      <c r="AK1224">
        <f>'Base DCF'!AR21</f>
        <v>0</v>
      </c>
      <c r="AL1224">
        <f>'Base DCF'!AS21</f>
        <v>0</v>
      </c>
      <c r="AM1224">
        <f>'Base DCF'!AT21</f>
        <v>0</v>
      </c>
      <c r="AN1224">
        <f>'Base DCF'!AU21</f>
        <v>0</v>
      </c>
      <c r="AO1224">
        <f>'Base DCF'!AV21</f>
        <v>0</v>
      </c>
      <c r="AP1224">
        <f>'Base DCF'!AW21</f>
        <v>0</v>
      </c>
      <c r="AQ1224">
        <f>'Base DCF'!AX21</f>
        <v>0</v>
      </c>
      <c r="AR1224">
        <f>'Base DCF'!AY21</f>
        <v>0</v>
      </c>
      <c r="AS1224">
        <f>'Base DCF'!AZ21</f>
        <v>0</v>
      </c>
      <c r="AT1224">
        <f>'Base DCF'!BA21</f>
        <v>0</v>
      </c>
      <c r="AU1224">
        <f>'Base DCF'!BB21</f>
        <v>0</v>
      </c>
      <c r="AV1224">
        <f>'Base DCF'!BC21</f>
        <v>0</v>
      </c>
      <c r="AW1224">
        <f>'Base DCF'!BD21</f>
        <v>0</v>
      </c>
      <c r="AX1224">
        <f>'Base DCF'!BE21</f>
        <v>0</v>
      </c>
      <c r="AY1224">
        <f>'Base DCF'!BF21</f>
        <v>0</v>
      </c>
      <c r="AZ1224">
        <f>'Base DCF'!BG21</f>
        <v>0</v>
      </c>
      <c r="BA1224">
        <f>'Base DCF'!BH21</f>
        <v>0</v>
      </c>
      <c r="BB1224">
        <f>'Base DCF'!BI21</f>
        <v>0</v>
      </c>
      <c r="BC1224">
        <f>'Base DCF'!BJ21</f>
        <v>0</v>
      </c>
      <c r="BD1224">
        <f>'Base DCF'!BK21</f>
        <v>0</v>
      </c>
      <c r="BE1224">
        <f>'Base DCF'!BL21</f>
        <v>0</v>
      </c>
      <c r="BF1224">
        <f>'Base DCF'!BM21</f>
        <v>0</v>
      </c>
      <c r="BG1224">
        <f>'Base DCF'!BN21</f>
        <v>0</v>
      </c>
      <c r="BH1224">
        <f>'Base DCF'!BO21</f>
        <v>0</v>
      </c>
      <c r="BI1224">
        <f>'Base DCF'!BP21</f>
        <v>0</v>
      </c>
      <c r="BJ1224">
        <f>'Base DCF'!BQ21</f>
        <v>0</v>
      </c>
      <c r="BK1224">
        <f>'Base DCF'!BR21</f>
        <v>0</v>
      </c>
      <c r="BL1224">
        <f>'Base DCF'!BS21</f>
        <v>0</v>
      </c>
      <c r="BM1224">
        <f>'Base DCF'!BT21</f>
        <v>0</v>
      </c>
      <c r="BN1224">
        <f>'Base DCF'!BU21</f>
        <v>0</v>
      </c>
      <c r="BO1224">
        <f>'Base DCF'!BV21</f>
        <v>0</v>
      </c>
      <c r="BP1224">
        <f>'Base DCF'!BW21</f>
        <v>0</v>
      </c>
      <c r="BQ1224">
        <f>'Base DCF'!BX21</f>
        <v>0</v>
      </c>
      <c r="BR1224">
        <f>'Base DCF'!BY21</f>
        <v>0</v>
      </c>
      <c r="BS1224">
        <f>'Base DCF'!BZ21</f>
        <v>0</v>
      </c>
      <c r="BT1224">
        <f>'Base DCF'!CA21</f>
        <v>0</v>
      </c>
      <c r="BU1224">
        <f>'Base DCF'!CB21</f>
        <v>0</v>
      </c>
      <c r="BV1224">
        <f>'Base DCF'!CC21</f>
        <v>0</v>
      </c>
      <c r="BW1224">
        <f>'Base DCF'!CD21</f>
        <v>0</v>
      </c>
      <c r="BX1224">
        <f>'Base DCF'!CE21</f>
        <v>0</v>
      </c>
      <c r="BY1224">
        <f>'Base DCF'!CF21</f>
        <v>0</v>
      </c>
      <c r="BZ1224">
        <f>'Base DCF'!CG21</f>
        <v>0</v>
      </c>
      <c r="CA1224">
        <f>'Base DCF'!CH21</f>
        <v>0</v>
      </c>
      <c r="CB1224">
        <f>'Base DCF'!CI21</f>
        <v>0</v>
      </c>
      <c r="CC1224">
        <f>'Base DCF'!CJ21</f>
        <v>0</v>
      </c>
      <c r="CD1224">
        <f>'Base DCF'!CK21</f>
        <v>0</v>
      </c>
      <c r="CE1224">
        <f>'Base DCF'!CL21</f>
        <v>0</v>
      </c>
      <c r="CF1224">
        <f>'Base DCF'!CM21</f>
        <v>0</v>
      </c>
      <c r="CG1224">
        <f>'Base DCF'!CN21</f>
        <v>0</v>
      </c>
      <c r="CH1224">
        <f>'Base DCF'!CO21</f>
        <v>0</v>
      </c>
      <c r="CI1224">
        <f>'Base DCF'!CP21</f>
        <v>0</v>
      </c>
      <c r="CJ1224">
        <f>'Base DCF'!CQ21</f>
        <v>0.74916833399466998</v>
      </c>
      <c r="CK1224">
        <f>'Base DCF'!CR21</f>
        <v>0.81972681561887872</v>
      </c>
      <c r="CL1224">
        <f>'Base DCF'!CS21</f>
        <v>0.84964722819119132</v>
      </c>
      <c r="CM1224">
        <f>'Base DCF'!CT21</f>
        <v>0.77653449298594024</v>
      </c>
      <c r="CN1224">
        <f>'Base DCF'!CU21</f>
        <v>0.74531270544427508</v>
      </c>
      <c r="CO1224">
        <f>'Base DCF'!CV21</f>
        <v>0.72277511482600698</v>
      </c>
      <c r="CP1224">
        <f>'Base DCF'!CW21</f>
        <v>0.78495060077526391</v>
      </c>
      <c r="CQ1224">
        <f>'Base DCF'!CX21</f>
        <v>0.78881117645511856</v>
      </c>
      <c r="CR1224">
        <f>'Base DCF'!CY21</f>
        <v>0.59337382988832965</v>
      </c>
      <c r="CS1224">
        <f>'Base DCF'!CZ21</f>
        <v>0.57877504572993732</v>
      </c>
      <c r="CT1224">
        <f>'Base DCF'!DA21</f>
        <v>0.57549727281088914</v>
      </c>
      <c r="CU1224">
        <f>'Base DCF'!DB21</f>
        <v>0.57225495081882627</v>
      </c>
      <c r="CV1224">
        <f>'Base DCF'!DC21</f>
        <v>0.57018028900143158</v>
      </c>
      <c r="CW1224">
        <f>'Base DCF'!DD21</f>
        <v>0.5685599877641514</v>
      </c>
      <c r="CX1224">
        <f>'Base DCF'!DE21</f>
        <v>0.56654993919866881</v>
      </c>
      <c r="CY1224">
        <f>'Base DCF'!DF21</f>
        <v>0.56591545209733829</v>
      </c>
      <c r="CZ1224">
        <f>'Base DCF'!DG21</f>
        <v>0.56591545209733829</v>
      </c>
      <c r="DA1224">
        <f>'Base DCF'!DH21</f>
        <v>0</v>
      </c>
    </row>
    <row r="1225" spans="1:105">
      <c r="A1225">
        <f>'Base DCF'!H27</f>
        <v>0</v>
      </c>
      <c r="B1225">
        <f>'Base DCF'!I27</f>
        <v>0</v>
      </c>
      <c r="C1225">
        <f>'Base DCF'!J27</f>
        <v>0</v>
      </c>
      <c r="D1225">
        <f>'Base DCF'!K27</f>
        <v>0</v>
      </c>
      <c r="E1225">
        <f>'Base DCF'!L27</f>
        <v>0</v>
      </c>
      <c r="F1225">
        <f>'Base DCF'!M27</f>
        <v>0</v>
      </c>
      <c r="G1225">
        <f>'Base DCF'!N27</f>
        <v>0</v>
      </c>
      <c r="H1225">
        <f>'Base DCF'!O27</f>
        <v>0</v>
      </c>
      <c r="I1225">
        <f>'Base DCF'!P27</f>
        <v>0</v>
      </c>
      <c r="J1225">
        <f>'Base DCF'!Q27</f>
        <v>0</v>
      </c>
      <c r="K1225">
        <f>'Base DCF'!R27</f>
        <v>0</v>
      </c>
      <c r="L1225">
        <f>'Base DCF'!S27</f>
        <v>0</v>
      </c>
      <c r="M1225">
        <f>'Base DCF'!T27</f>
        <v>0</v>
      </c>
      <c r="N1225">
        <f>'Base DCF'!U27</f>
        <v>0</v>
      </c>
      <c r="O1225">
        <f>'Base DCF'!V27</f>
        <v>0</v>
      </c>
      <c r="P1225">
        <f>'Base DCF'!W27</f>
        <v>0</v>
      </c>
      <c r="Q1225">
        <f>'Base DCF'!X27</f>
        <v>0</v>
      </c>
      <c r="R1225">
        <f>'Base DCF'!Y27</f>
        <v>0</v>
      </c>
      <c r="S1225">
        <f>'Base DCF'!Z27</f>
        <v>0</v>
      </c>
      <c r="T1225">
        <f>'Base DCF'!AA27</f>
        <v>0</v>
      </c>
      <c r="U1225">
        <f>'Base DCF'!AB27</f>
        <v>0</v>
      </c>
      <c r="V1225">
        <f>'Base DCF'!AC27</f>
        <v>0</v>
      </c>
      <c r="W1225">
        <f>'Base DCF'!AD27</f>
        <v>0</v>
      </c>
      <c r="X1225">
        <f>'Base DCF'!AE27</f>
        <v>0</v>
      </c>
      <c r="Y1225">
        <f>'Base DCF'!AF27</f>
        <v>0</v>
      </c>
      <c r="Z1225">
        <f>'Base DCF'!AG27</f>
        <v>0</v>
      </c>
      <c r="AA1225">
        <f>'Base DCF'!AH27</f>
        <v>0</v>
      </c>
      <c r="AB1225">
        <f>'Base DCF'!AI27</f>
        <v>0</v>
      </c>
      <c r="AC1225">
        <f>'Base DCF'!AJ27</f>
        <v>0</v>
      </c>
      <c r="AD1225">
        <f>'Base DCF'!AK27</f>
        <v>0</v>
      </c>
      <c r="AE1225">
        <f>'Base DCF'!AL27</f>
        <v>0</v>
      </c>
      <c r="AF1225">
        <f>'Base DCF'!AM27</f>
        <v>0</v>
      </c>
      <c r="AG1225">
        <f>'Base DCF'!AN27</f>
        <v>0</v>
      </c>
      <c r="AH1225">
        <f>'Base DCF'!AO27</f>
        <v>0</v>
      </c>
      <c r="AI1225">
        <f>'Base DCF'!AP27</f>
        <v>0</v>
      </c>
      <c r="AJ1225">
        <f>'Base DCF'!AQ27</f>
        <v>0</v>
      </c>
      <c r="AK1225">
        <f>'Base DCF'!AR27</f>
        <v>0</v>
      </c>
      <c r="AL1225">
        <f>'Base DCF'!AS27</f>
        <v>0</v>
      </c>
      <c r="AM1225">
        <f>'Base DCF'!AT27</f>
        <v>0</v>
      </c>
      <c r="AN1225">
        <f>'Base DCF'!AU27</f>
        <v>0</v>
      </c>
      <c r="AO1225">
        <f>'Base DCF'!AV27</f>
        <v>0</v>
      </c>
      <c r="AP1225">
        <f>'Base DCF'!AW27</f>
        <v>0</v>
      </c>
      <c r="AQ1225">
        <f>'Base DCF'!AX27</f>
        <v>0</v>
      </c>
      <c r="AR1225">
        <f>'Base DCF'!AY27</f>
        <v>0</v>
      </c>
      <c r="AS1225">
        <f>'Base DCF'!AZ27</f>
        <v>0</v>
      </c>
      <c r="AT1225">
        <f>'Base DCF'!BA27</f>
        <v>0</v>
      </c>
      <c r="AU1225">
        <f>'Base DCF'!BB27</f>
        <v>0</v>
      </c>
      <c r="AV1225">
        <f>'Base DCF'!BC27</f>
        <v>0</v>
      </c>
      <c r="AW1225">
        <f>'Base DCF'!BD27</f>
        <v>0</v>
      </c>
      <c r="AX1225">
        <f>'Base DCF'!BE27</f>
        <v>0</v>
      </c>
      <c r="AY1225">
        <f>'Base DCF'!BF27</f>
        <v>0</v>
      </c>
      <c r="AZ1225">
        <f>'Base DCF'!BG27</f>
        <v>0</v>
      </c>
      <c r="BA1225">
        <f>'Base DCF'!BH27</f>
        <v>0</v>
      </c>
      <c r="BB1225">
        <f>'Base DCF'!BI27</f>
        <v>0</v>
      </c>
      <c r="BC1225">
        <f>'Base DCF'!BJ27</f>
        <v>0</v>
      </c>
      <c r="BD1225">
        <f>'Base DCF'!BK27</f>
        <v>0</v>
      </c>
      <c r="BE1225">
        <f>'Base DCF'!BL27</f>
        <v>0</v>
      </c>
      <c r="BF1225">
        <f>'Base DCF'!BM27</f>
        <v>0</v>
      </c>
      <c r="BG1225">
        <f>'Base DCF'!BN27</f>
        <v>0</v>
      </c>
      <c r="BH1225">
        <f>'Base DCF'!BO27</f>
        <v>0</v>
      </c>
      <c r="BI1225">
        <f>'Base DCF'!BP27</f>
        <v>0</v>
      </c>
      <c r="BJ1225">
        <f>'Base DCF'!BQ27</f>
        <v>0</v>
      </c>
      <c r="BK1225">
        <f>'Base DCF'!BR27</f>
        <v>0</v>
      </c>
      <c r="BL1225">
        <f>'Base DCF'!BS27</f>
        <v>0</v>
      </c>
      <c r="BM1225">
        <f>'Base DCF'!BT27</f>
        <v>0</v>
      </c>
      <c r="BN1225">
        <f>'Base DCF'!BU27</f>
        <v>0</v>
      </c>
      <c r="BO1225">
        <f>'Base DCF'!BV27</f>
        <v>0</v>
      </c>
      <c r="BP1225">
        <f>'Base DCF'!BW27</f>
        <v>0</v>
      </c>
      <c r="BQ1225">
        <f>'Base DCF'!BX27</f>
        <v>0</v>
      </c>
      <c r="BR1225">
        <f>'Base DCF'!BY27</f>
        <v>0</v>
      </c>
      <c r="BS1225">
        <f>'Base DCF'!BZ27</f>
        <v>0</v>
      </c>
      <c r="BT1225">
        <f>'Base DCF'!CA27</f>
        <v>0</v>
      </c>
      <c r="BU1225">
        <f>'Base DCF'!CB27</f>
        <v>0</v>
      </c>
      <c r="BV1225">
        <f>'Base DCF'!CC27</f>
        <v>0</v>
      </c>
      <c r="BW1225">
        <f>'Base DCF'!CD27</f>
        <v>0</v>
      </c>
      <c r="BX1225">
        <f>'Base DCF'!CE27</f>
        <v>0</v>
      </c>
      <c r="BY1225">
        <f>'Base DCF'!CF27</f>
        <v>0</v>
      </c>
      <c r="BZ1225">
        <f>'Base DCF'!CG27</f>
        <v>0</v>
      </c>
      <c r="CA1225">
        <f>'Base DCF'!CH27</f>
        <v>0</v>
      </c>
      <c r="CB1225">
        <f>'Base DCF'!CI27</f>
        <v>0</v>
      </c>
      <c r="CC1225">
        <f>'Base DCF'!CJ27</f>
        <v>0</v>
      </c>
      <c r="CD1225">
        <f>'Base DCF'!CK27</f>
        <v>0</v>
      </c>
      <c r="CE1225">
        <f>'Base DCF'!CL27</f>
        <v>0</v>
      </c>
      <c r="CF1225">
        <f>'Base DCF'!CM27</f>
        <v>0</v>
      </c>
      <c r="CG1225">
        <f>'Base DCF'!CN27</f>
        <v>0</v>
      </c>
      <c r="CH1225">
        <f>'Base DCF'!CO27</f>
        <v>0</v>
      </c>
      <c r="CI1225">
        <f>'Base DCF'!CP27</f>
        <v>0</v>
      </c>
      <c r="CJ1225">
        <f>'Base DCF'!CQ27</f>
        <v>0</v>
      </c>
      <c r="CK1225">
        <f>'Base DCF'!CR27</f>
        <v>0</v>
      </c>
      <c r="CL1225">
        <f>'Base DCF'!CS27</f>
        <v>0</v>
      </c>
      <c r="CM1225">
        <f>'Base DCF'!CT27</f>
        <v>0</v>
      </c>
      <c r="CN1225">
        <f>'Base DCF'!CU27</f>
        <v>0</v>
      </c>
      <c r="CO1225">
        <f>'Base DCF'!CV27</f>
        <v>0</v>
      </c>
      <c r="CP1225">
        <f>'Base DCF'!CW27</f>
        <v>0</v>
      </c>
      <c r="CQ1225">
        <f>'Base DCF'!CX27</f>
        <v>0</v>
      </c>
      <c r="CR1225">
        <f>'Base DCF'!CY27</f>
        <v>0</v>
      </c>
      <c r="CS1225">
        <f>'Base DCF'!CZ27</f>
        <v>0</v>
      </c>
      <c r="CT1225">
        <f>'Base DCF'!DA27</f>
        <v>0</v>
      </c>
      <c r="CU1225">
        <f>'Base DCF'!DB27</f>
        <v>0</v>
      </c>
      <c r="CV1225">
        <f>'Base DCF'!DC27</f>
        <v>0</v>
      </c>
      <c r="CW1225">
        <f>'Base DCF'!DD27</f>
        <v>0</v>
      </c>
      <c r="CX1225">
        <f>'Base DCF'!DE27</f>
        <v>0</v>
      </c>
      <c r="CY1225">
        <f>'Base DCF'!DF27</f>
        <v>0</v>
      </c>
      <c r="CZ1225">
        <f>'Base DCF'!DG27</f>
        <v>0</v>
      </c>
      <c r="DA1225">
        <f>'Base DCF'!DH27</f>
        <v>0</v>
      </c>
    </row>
    <row r="1226" spans="1:105">
      <c r="A1226">
        <f>'Base DCF'!H28</f>
        <v>0</v>
      </c>
      <c r="B1226" t="str">
        <f>'Base DCF'!I28</f>
        <v>Fair value (one year forward)</v>
      </c>
      <c r="C1226">
        <f>'Base DCF'!J28</f>
        <v>0</v>
      </c>
      <c r="D1226">
        <f>'Base DCF'!K28</f>
        <v>0</v>
      </c>
      <c r="E1226">
        <f>'Base DCF'!L28</f>
        <v>0</v>
      </c>
      <c r="F1226">
        <f>'Base DCF'!M28</f>
        <v>0</v>
      </c>
      <c r="G1226">
        <f>'Base DCF'!N28</f>
        <v>0</v>
      </c>
      <c r="H1226">
        <f>'Base DCF'!O28</f>
        <v>0</v>
      </c>
      <c r="I1226">
        <f>'Base DCF'!P28</f>
        <v>0</v>
      </c>
      <c r="J1226">
        <f>'Base DCF'!Q28</f>
        <v>0</v>
      </c>
      <c r="K1226">
        <f>'Base DCF'!R28</f>
        <v>0</v>
      </c>
      <c r="L1226">
        <f>'Base DCF'!S28</f>
        <v>0</v>
      </c>
      <c r="M1226">
        <f>'Base DCF'!T28</f>
        <v>0</v>
      </c>
      <c r="N1226">
        <f>'Base DCF'!U28</f>
        <v>0</v>
      </c>
      <c r="O1226">
        <f>'Base DCF'!V28</f>
        <v>0</v>
      </c>
      <c r="P1226">
        <f>'Base DCF'!W28</f>
        <v>0</v>
      </c>
      <c r="Q1226">
        <f>'Base DCF'!X28</f>
        <v>0</v>
      </c>
      <c r="R1226">
        <f>'Base DCF'!Y28</f>
        <v>0</v>
      </c>
      <c r="S1226">
        <f>'Base DCF'!Z28</f>
        <v>0</v>
      </c>
      <c r="T1226">
        <f>'Base DCF'!AA28</f>
        <v>0</v>
      </c>
      <c r="U1226">
        <f>'Base DCF'!AB28</f>
        <v>0</v>
      </c>
      <c r="V1226">
        <f>'Base DCF'!AC28</f>
        <v>0</v>
      </c>
      <c r="W1226">
        <f>'Base DCF'!AD28</f>
        <v>0</v>
      </c>
      <c r="X1226">
        <f>'Base DCF'!AE28</f>
        <v>0</v>
      </c>
      <c r="Y1226">
        <f>'Base DCF'!AF28</f>
        <v>0</v>
      </c>
      <c r="Z1226">
        <f>'Base DCF'!AG28</f>
        <v>0</v>
      </c>
      <c r="AA1226">
        <f>'Base DCF'!AH28</f>
        <v>0</v>
      </c>
      <c r="AB1226">
        <f>'Base DCF'!AI28</f>
        <v>0</v>
      </c>
      <c r="AC1226">
        <f>'Base DCF'!AJ28</f>
        <v>0</v>
      </c>
      <c r="AD1226">
        <f>'Base DCF'!AK28</f>
        <v>0</v>
      </c>
      <c r="AE1226">
        <f>'Base DCF'!AL28</f>
        <v>0</v>
      </c>
      <c r="AF1226">
        <f>'Base DCF'!AM28</f>
        <v>0</v>
      </c>
      <c r="AG1226">
        <f>'Base DCF'!AN28</f>
        <v>0</v>
      </c>
      <c r="AH1226">
        <f>'Base DCF'!AO28</f>
        <v>0</v>
      </c>
      <c r="AI1226">
        <f>'Base DCF'!AP28</f>
        <v>0</v>
      </c>
      <c r="AJ1226">
        <f>'Base DCF'!AQ28</f>
        <v>0</v>
      </c>
      <c r="AK1226">
        <f>'Base DCF'!AR28</f>
        <v>0</v>
      </c>
      <c r="AL1226">
        <f>'Base DCF'!AS28</f>
        <v>0</v>
      </c>
      <c r="AM1226">
        <f>'Base DCF'!AT28</f>
        <v>0</v>
      </c>
      <c r="AN1226">
        <f>'Base DCF'!AU28</f>
        <v>0</v>
      </c>
      <c r="AO1226">
        <f>'Base DCF'!AV28</f>
        <v>0</v>
      </c>
      <c r="AP1226">
        <f>'Base DCF'!AW28</f>
        <v>0</v>
      </c>
      <c r="AQ1226">
        <f>'Base DCF'!AX28</f>
        <v>0</v>
      </c>
      <c r="AR1226">
        <f>'Base DCF'!AY28</f>
        <v>0</v>
      </c>
      <c r="AS1226">
        <f>'Base DCF'!AZ28</f>
        <v>0</v>
      </c>
      <c r="AT1226">
        <f>'Base DCF'!BA28</f>
        <v>0</v>
      </c>
      <c r="AU1226">
        <f>'Base DCF'!BB28</f>
        <v>0</v>
      </c>
      <c r="AV1226">
        <f>'Base DCF'!BC28</f>
        <v>0</v>
      </c>
      <c r="AW1226">
        <f>'Base DCF'!BD28</f>
        <v>0</v>
      </c>
      <c r="AX1226">
        <f>'Base DCF'!BE28</f>
        <v>0</v>
      </c>
      <c r="AY1226">
        <f>'Base DCF'!BF28</f>
        <v>0</v>
      </c>
      <c r="AZ1226">
        <f>'Base DCF'!BG28</f>
        <v>0</v>
      </c>
      <c r="BA1226">
        <f>'Base DCF'!BH28</f>
        <v>0</v>
      </c>
      <c r="BB1226">
        <f>'Base DCF'!BI28</f>
        <v>0</v>
      </c>
      <c r="BC1226">
        <f>'Base DCF'!BJ28</f>
        <v>0</v>
      </c>
      <c r="BD1226">
        <f>'Base DCF'!BK28</f>
        <v>0</v>
      </c>
      <c r="BE1226">
        <f>'Base DCF'!BL28</f>
        <v>0</v>
      </c>
      <c r="BF1226">
        <f>'Base DCF'!BM28</f>
        <v>0</v>
      </c>
      <c r="BG1226">
        <f>'Base DCF'!BN28</f>
        <v>0</v>
      </c>
      <c r="BH1226">
        <f>'Base DCF'!BO28</f>
        <v>0</v>
      </c>
      <c r="BI1226">
        <f>'Base DCF'!BP28</f>
        <v>0</v>
      </c>
      <c r="BJ1226">
        <f>'Base DCF'!BQ28</f>
        <v>0</v>
      </c>
      <c r="BK1226">
        <f>'Base DCF'!BR28</f>
        <v>0</v>
      </c>
      <c r="BL1226">
        <f>'Base DCF'!BS28</f>
        <v>0</v>
      </c>
      <c r="BM1226">
        <f>'Base DCF'!BT28</f>
        <v>0</v>
      </c>
      <c r="BN1226">
        <f>'Base DCF'!BU28</f>
        <v>0</v>
      </c>
      <c r="BO1226">
        <f>'Base DCF'!BV28</f>
        <v>0</v>
      </c>
      <c r="BP1226">
        <f>'Base DCF'!BW28</f>
        <v>0</v>
      </c>
      <c r="BQ1226">
        <f>'Base DCF'!BX28</f>
        <v>0</v>
      </c>
      <c r="BR1226">
        <f>'Base DCF'!BY28</f>
        <v>0</v>
      </c>
      <c r="BS1226">
        <f>'Base DCF'!BZ28</f>
        <v>0</v>
      </c>
      <c r="BT1226">
        <f>'Base DCF'!CA28</f>
        <v>0</v>
      </c>
      <c r="BU1226">
        <f>'Base DCF'!CB28</f>
        <v>0</v>
      </c>
      <c r="BV1226">
        <f>'Base DCF'!CC28</f>
        <v>0</v>
      </c>
      <c r="BW1226">
        <f>'Base DCF'!CD28</f>
        <v>0</v>
      </c>
      <c r="BX1226">
        <f>'Base DCF'!CE28</f>
        <v>0</v>
      </c>
      <c r="BY1226">
        <f>'Base DCF'!CF28</f>
        <v>0</v>
      </c>
      <c r="BZ1226">
        <f>'Base DCF'!CG28</f>
        <v>0</v>
      </c>
      <c r="CA1226">
        <f>'Base DCF'!CH28</f>
        <v>0</v>
      </c>
      <c r="CB1226">
        <f>'Base DCF'!CI28</f>
        <v>0</v>
      </c>
      <c r="CC1226">
        <f>'Base DCF'!CJ28</f>
        <v>0</v>
      </c>
      <c r="CD1226">
        <f>'Base DCF'!CK28</f>
        <v>0</v>
      </c>
      <c r="CE1226">
        <f>'Base DCF'!CL28</f>
        <v>0</v>
      </c>
      <c r="CF1226">
        <f>'Base DCF'!CM28</f>
        <v>0</v>
      </c>
      <c r="CG1226">
        <f>'Base DCF'!CN28</f>
        <v>0</v>
      </c>
      <c r="CH1226">
        <f>'Base DCF'!CO28</f>
        <v>0</v>
      </c>
      <c r="CI1226">
        <f>'Base DCF'!CP28</f>
        <v>0</v>
      </c>
      <c r="CJ1226">
        <f>'Base DCF'!CQ28</f>
        <v>0</v>
      </c>
      <c r="CK1226">
        <f>'Base DCF'!CR28</f>
        <v>0</v>
      </c>
      <c r="CP1226" t="str">
        <f>'Base DCF'!CV28</f>
        <v>Equity Value: WACC vs. Perpetual Growth Rate</v>
      </c>
      <c r="CQ1226">
        <f>'Base DCF'!CW28</f>
        <v>0</v>
      </c>
      <c r="CR1226">
        <f>'Base DCF'!CX28</f>
        <v>0</v>
      </c>
      <c r="CS1226">
        <f>'Base DCF'!CY28</f>
        <v>0</v>
      </c>
      <c r="CT1226">
        <f>'Base DCF'!CZ28</f>
        <v>0</v>
      </c>
      <c r="CU1226">
        <f>'Base DCF'!DA28</f>
        <v>0</v>
      </c>
      <c r="CV1226">
        <f>'Base DCF'!DC28</f>
        <v>0</v>
      </c>
      <c r="CW1226">
        <f>'Base DCF'!DD28</f>
        <v>0</v>
      </c>
      <c r="CX1226">
        <f>'Base DCF'!DE28</f>
        <v>0</v>
      </c>
      <c r="CY1226">
        <f>'Base DCF'!DF28</f>
        <v>0</v>
      </c>
      <c r="CZ1226">
        <f>'Base DCF'!DG28</f>
        <v>0</v>
      </c>
      <c r="DA1226">
        <f>'Base DCF'!DH28</f>
        <v>0</v>
      </c>
    </row>
    <row r="1227" spans="1:105">
      <c r="A1227">
        <f>'Base DCF'!H29</f>
        <v>0</v>
      </c>
      <c r="B1227" t="str">
        <f>'Base DCF'!I29</f>
        <v>PV of FCF</v>
      </c>
      <c r="C1227">
        <f>'Base DCF'!J29</f>
        <v>0</v>
      </c>
      <c r="D1227">
        <f>'Base DCF'!K29</f>
        <v>0</v>
      </c>
      <c r="E1227">
        <f>'Base DCF'!L29</f>
        <v>27906.158874645698</v>
      </c>
      <c r="F1227">
        <f>'Base DCF'!M29</f>
        <v>0</v>
      </c>
      <c r="G1227">
        <f>'Base DCF'!N29</f>
        <v>0</v>
      </c>
      <c r="H1227">
        <f>'Base DCF'!O29</f>
        <v>0</v>
      </c>
      <c r="I1227">
        <f>'Base DCF'!P29</f>
        <v>0</v>
      </c>
      <c r="J1227">
        <f>'Base DCF'!Q29</f>
        <v>0</v>
      </c>
      <c r="K1227">
        <f>'Base DCF'!R29</f>
        <v>0</v>
      </c>
      <c r="L1227">
        <f>'Base DCF'!S29</f>
        <v>0</v>
      </c>
      <c r="M1227">
        <f>'Base DCF'!T29</f>
        <v>0</v>
      </c>
      <c r="N1227">
        <f>'Base DCF'!U29</f>
        <v>0</v>
      </c>
      <c r="O1227">
        <f>'Base DCF'!V29</f>
        <v>0</v>
      </c>
      <c r="P1227">
        <f>'Base DCF'!W29</f>
        <v>0</v>
      </c>
      <c r="Q1227">
        <f>'Base DCF'!X29</f>
        <v>0</v>
      </c>
      <c r="R1227">
        <f>'Base DCF'!Y29</f>
        <v>0</v>
      </c>
      <c r="S1227">
        <f>'Base DCF'!Z29</f>
        <v>0</v>
      </c>
      <c r="T1227">
        <f>'Base DCF'!AA29</f>
        <v>0</v>
      </c>
      <c r="U1227">
        <f>'Base DCF'!AB29</f>
        <v>0</v>
      </c>
      <c r="V1227">
        <f>'Base DCF'!AC29</f>
        <v>0</v>
      </c>
      <c r="W1227">
        <f>'Base DCF'!AD29</f>
        <v>0</v>
      </c>
      <c r="X1227">
        <f>'Base DCF'!AE29</f>
        <v>0</v>
      </c>
      <c r="Y1227">
        <f>'Base DCF'!AF29</f>
        <v>0</v>
      </c>
      <c r="Z1227">
        <f>'Base DCF'!AG29</f>
        <v>0</v>
      </c>
      <c r="AA1227">
        <f>'Base DCF'!AH29</f>
        <v>0</v>
      </c>
      <c r="AB1227">
        <f>'Base DCF'!AI29</f>
        <v>0</v>
      </c>
      <c r="AC1227">
        <f>'Base DCF'!AJ29</f>
        <v>0</v>
      </c>
      <c r="AD1227">
        <f>'Base DCF'!AK29</f>
        <v>0</v>
      </c>
      <c r="AE1227">
        <f>'Base DCF'!AL29</f>
        <v>0</v>
      </c>
      <c r="AF1227">
        <f>'Base DCF'!AM29</f>
        <v>0</v>
      </c>
      <c r="AG1227">
        <f>'Base DCF'!AN29</f>
        <v>0</v>
      </c>
      <c r="AH1227">
        <f>'Base DCF'!AO29</f>
        <v>0</v>
      </c>
      <c r="AI1227">
        <f>'Base DCF'!AP29</f>
        <v>0</v>
      </c>
      <c r="AJ1227">
        <f>'Base DCF'!AQ29</f>
        <v>0</v>
      </c>
      <c r="AK1227">
        <f>'Base DCF'!AR29</f>
        <v>0</v>
      </c>
      <c r="AL1227">
        <f>'Base DCF'!AS29</f>
        <v>0</v>
      </c>
      <c r="AM1227">
        <f>'Base DCF'!AT29</f>
        <v>0</v>
      </c>
      <c r="AN1227">
        <f>'Base DCF'!AU29</f>
        <v>0</v>
      </c>
      <c r="AO1227">
        <f>'Base DCF'!AV29</f>
        <v>0</v>
      </c>
      <c r="AP1227">
        <f>'Base DCF'!AW29</f>
        <v>0</v>
      </c>
      <c r="AQ1227">
        <f>'Base DCF'!AX29</f>
        <v>0</v>
      </c>
      <c r="AR1227">
        <f>'Base DCF'!AY29</f>
        <v>0</v>
      </c>
      <c r="AS1227">
        <f>'Base DCF'!AZ29</f>
        <v>0</v>
      </c>
      <c r="AT1227">
        <f>'Base DCF'!BA29</f>
        <v>0</v>
      </c>
      <c r="AU1227">
        <f>'Base DCF'!BB29</f>
        <v>0</v>
      </c>
      <c r="AV1227">
        <f>'Base DCF'!BC29</f>
        <v>0</v>
      </c>
      <c r="AW1227">
        <f>'Base DCF'!BD29</f>
        <v>0</v>
      </c>
      <c r="AX1227">
        <f>'Base DCF'!BE29</f>
        <v>0</v>
      </c>
      <c r="AY1227">
        <f>'Base DCF'!BF29</f>
        <v>0</v>
      </c>
      <c r="AZ1227">
        <f>'Base DCF'!BG29</f>
        <v>0</v>
      </c>
      <c r="BA1227">
        <f>'Base DCF'!BH29</f>
        <v>0</v>
      </c>
      <c r="BB1227">
        <f>'Base DCF'!BI29</f>
        <v>0</v>
      </c>
      <c r="BC1227">
        <f>'Base DCF'!BJ29</f>
        <v>0</v>
      </c>
      <c r="BD1227">
        <f>'Base DCF'!BK29</f>
        <v>0</v>
      </c>
      <c r="BE1227">
        <f>'Base DCF'!BL29</f>
        <v>0</v>
      </c>
      <c r="BF1227">
        <f>'Base DCF'!BM29</f>
        <v>0</v>
      </c>
      <c r="BG1227">
        <f>'Base DCF'!BN29</f>
        <v>0</v>
      </c>
      <c r="BH1227">
        <f>'Base DCF'!BO29</f>
        <v>0</v>
      </c>
      <c r="BI1227">
        <f>'Base DCF'!BP29</f>
        <v>0</v>
      </c>
      <c r="BJ1227">
        <f>'Base DCF'!BQ29</f>
        <v>0</v>
      </c>
      <c r="BK1227">
        <f>'Base DCF'!BR29</f>
        <v>0</v>
      </c>
      <c r="BL1227">
        <f>'Base DCF'!BS29</f>
        <v>0</v>
      </c>
      <c r="BM1227">
        <f>'Base DCF'!BT29</f>
        <v>0</v>
      </c>
      <c r="BN1227">
        <f>'Base DCF'!BU29</f>
        <v>0</v>
      </c>
      <c r="BO1227">
        <f>'Base DCF'!BV29</f>
        <v>0</v>
      </c>
      <c r="BP1227">
        <f>'Base DCF'!BW29</f>
        <v>0</v>
      </c>
      <c r="BQ1227">
        <f>'Base DCF'!BX29</f>
        <v>0</v>
      </c>
      <c r="BR1227">
        <f>'Base DCF'!BY29</f>
        <v>0</v>
      </c>
      <c r="BS1227">
        <f>'Base DCF'!BZ29</f>
        <v>0</v>
      </c>
      <c r="BT1227">
        <f>'Base DCF'!CA29</f>
        <v>0</v>
      </c>
      <c r="BU1227">
        <f>'Base DCF'!CB29</f>
        <v>0</v>
      </c>
      <c r="BV1227">
        <f>'Base DCF'!CC29</f>
        <v>0</v>
      </c>
      <c r="BW1227">
        <f>'Base DCF'!CD29</f>
        <v>0</v>
      </c>
      <c r="BX1227">
        <f>'Base DCF'!CE29</f>
        <v>0</v>
      </c>
      <c r="BY1227">
        <f>'Base DCF'!CF29</f>
        <v>0</v>
      </c>
      <c r="BZ1227">
        <f>'Base DCF'!CG29</f>
        <v>0</v>
      </c>
      <c r="CA1227">
        <f>'Base DCF'!CH29</f>
        <v>0</v>
      </c>
      <c r="CB1227">
        <f>'Base DCF'!CI29</f>
        <v>0</v>
      </c>
      <c r="CC1227">
        <f>'Base DCF'!CJ29</f>
        <v>0</v>
      </c>
      <c r="CD1227">
        <f>'Base DCF'!CK29</f>
        <v>0</v>
      </c>
      <c r="CE1227">
        <f>'Base DCF'!CL29</f>
        <v>0</v>
      </c>
      <c r="CF1227">
        <f>'Base DCF'!CM29</f>
        <v>0</v>
      </c>
      <c r="CG1227">
        <f>'Base DCF'!CN29</f>
        <v>0</v>
      </c>
      <c r="CH1227">
        <f>'Base DCF'!CO29</f>
        <v>0</v>
      </c>
      <c r="CI1227">
        <f>'Base DCF'!CP29</f>
        <v>0</v>
      </c>
      <c r="CJ1227">
        <f>'Base DCF'!CQ29</f>
        <v>0</v>
      </c>
      <c r="CK1227">
        <f>'Base DCF'!CR29</f>
        <v>0</v>
      </c>
      <c r="CP1227">
        <f>'Base DCF'!CV29</f>
        <v>108308.23921766804</v>
      </c>
      <c r="CQ1227">
        <f>'Base DCF'!CW29</f>
        <v>6.3498083268344718E-2</v>
      </c>
      <c r="CR1227">
        <f>'Base DCF'!CX29</f>
        <v>6.8498083268344723E-2</v>
      </c>
      <c r="CS1227">
        <f>'Base DCF'!CY29</f>
        <v>7.3498083268344727E-2</v>
      </c>
      <c r="CT1227">
        <f>'Base DCF'!CZ29</f>
        <v>7.8498083268344732E-2</v>
      </c>
      <c r="CU1227">
        <f>'Base DCF'!DA29</f>
        <v>8.3498083268344736E-2</v>
      </c>
      <c r="CV1227">
        <f>'Base DCF'!DC29</f>
        <v>0</v>
      </c>
      <c r="CW1227">
        <f>'Base DCF'!DD29</f>
        <v>0</v>
      </c>
      <c r="CX1227">
        <f>'Base DCF'!DE29</f>
        <v>0</v>
      </c>
      <c r="CY1227">
        <f>'Base DCF'!DF29</f>
        <v>0</v>
      </c>
      <c r="CZ1227">
        <f>'Base DCF'!DG29</f>
        <v>0</v>
      </c>
      <c r="DA1227">
        <f>'Base DCF'!DH29</f>
        <v>0</v>
      </c>
    </row>
    <row r="1228" spans="1:105">
      <c r="A1228">
        <f>'Base DCF'!H30</f>
        <v>0</v>
      </c>
      <c r="B1228" t="str">
        <f>'Base DCF'!I30</f>
        <v>NPV of terminal value</v>
      </c>
      <c r="C1228">
        <f>'Base DCF'!J30</f>
        <v>0</v>
      </c>
      <c r="D1228">
        <f>'Base DCF'!K30</f>
        <v>0</v>
      </c>
      <c r="E1228">
        <f>'Base DCF'!L30</f>
        <v>80466.986954339023</v>
      </c>
      <c r="F1228">
        <f>'Base DCF'!M30</f>
        <v>0</v>
      </c>
      <c r="G1228">
        <f>'Base DCF'!N30</f>
        <v>0</v>
      </c>
      <c r="H1228">
        <f>'Base DCF'!O30</f>
        <v>0</v>
      </c>
      <c r="I1228">
        <f>'Base DCF'!P30</f>
        <v>0</v>
      </c>
      <c r="J1228">
        <f>'Base DCF'!Q30</f>
        <v>0</v>
      </c>
      <c r="K1228">
        <f>'Base DCF'!R30</f>
        <v>0</v>
      </c>
      <c r="L1228">
        <f>'Base DCF'!S30</f>
        <v>0</v>
      </c>
      <c r="M1228">
        <f>'Base DCF'!T30</f>
        <v>0</v>
      </c>
      <c r="N1228">
        <f>'Base DCF'!U30</f>
        <v>0</v>
      </c>
      <c r="O1228">
        <f>'Base DCF'!V30</f>
        <v>0</v>
      </c>
      <c r="P1228">
        <f>'Base DCF'!W30</f>
        <v>0</v>
      </c>
      <c r="Q1228">
        <f>'Base DCF'!X30</f>
        <v>0</v>
      </c>
      <c r="R1228">
        <f>'Base DCF'!Y30</f>
        <v>0</v>
      </c>
      <c r="S1228">
        <f>'Base DCF'!Z30</f>
        <v>0</v>
      </c>
      <c r="T1228">
        <f>'Base DCF'!AA30</f>
        <v>0</v>
      </c>
      <c r="U1228">
        <f>'Base DCF'!AB30</f>
        <v>0</v>
      </c>
      <c r="V1228">
        <f>'Base DCF'!AC30</f>
        <v>0</v>
      </c>
      <c r="W1228">
        <f>'Base DCF'!AD30</f>
        <v>0</v>
      </c>
      <c r="X1228">
        <f>'Base DCF'!AE30</f>
        <v>0</v>
      </c>
      <c r="Y1228">
        <f>'Base DCF'!AF30</f>
        <v>0</v>
      </c>
      <c r="Z1228">
        <f>'Base DCF'!AG30</f>
        <v>0</v>
      </c>
      <c r="AA1228">
        <f>'Base DCF'!AH30</f>
        <v>0</v>
      </c>
      <c r="AB1228">
        <f>'Base DCF'!AI30</f>
        <v>0</v>
      </c>
      <c r="AC1228">
        <f>'Base DCF'!AJ30</f>
        <v>0</v>
      </c>
      <c r="AD1228">
        <f>'Base DCF'!AK30</f>
        <v>0</v>
      </c>
      <c r="AE1228">
        <f>'Base DCF'!AL30</f>
        <v>0</v>
      </c>
      <c r="AF1228">
        <f>'Base DCF'!AM30</f>
        <v>0</v>
      </c>
      <c r="AG1228">
        <f>'Base DCF'!AN30</f>
        <v>0</v>
      </c>
      <c r="AH1228">
        <f>'Base DCF'!AO30</f>
        <v>0</v>
      </c>
      <c r="AI1228">
        <f>'Base DCF'!AP30</f>
        <v>0</v>
      </c>
      <c r="AJ1228">
        <f>'Base DCF'!AQ30</f>
        <v>0</v>
      </c>
      <c r="AK1228">
        <f>'Base DCF'!AR30</f>
        <v>0</v>
      </c>
      <c r="AL1228">
        <f>'Base DCF'!AS30</f>
        <v>0</v>
      </c>
      <c r="AM1228">
        <f>'Base DCF'!AT30</f>
        <v>0</v>
      </c>
      <c r="AN1228">
        <f>'Base DCF'!AU30</f>
        <v>0</v>
      </c>
      <c r="AO1228">
        <f>'Base DCF'!AV30</f>
        <v>0</v>
      </c>
      <c r="AP1228">
        <f>'Base DCF'!AW30</f>
        <v>0</v>
      </c>
      <c r="AQ1228">
        <f>'Base DCF'!AX30</f>
        <v>0</v>
      </c>
      <c r="AR1228">
        <f>'Base DCF'!AY30</f>
        <v>0</v>
      </c>
      <c r="AS1228">
        <f>'Base DCF'!AZ30</f>
        <v>0</v>
      </c>
      <c r="AT1228">
        <f>'Base DCF'!BA30</f>
        <v>0</v>
      </c>
      <c r="AU1228">
        <f>'Base DCF'!BB30</f>
        <v>0</v>
      </c>
      <c r="AV1228">
        <f>'Base DCF'!BC30</f>
        <v>0</v>
      </c>
      <c r="AW1228">
        <f>'Base DCF'!BD30</f>
        <v>0</v>
      </c>
      <c r="AX1228">
        <f>'Base DCF'!BE30</f>
        <v>0</v>
      </c>
      <c r="AY1228">
        <f>'Base DCF'!BF30</f>
        <v>0</v>
      </c>
      <c r="AZ1228">
        <f>'Base DCF'!BG30</f>
        <v>0</v>
      </c>
      <c r="BA1228">
        <f>'Base DCF'!BH30</f>
        <v>0</v>
      </c>
      <c r="BB1228">
        <f>'Base DCF'!BI30</f>
        <v>0</v>
      </c>
      <c r="BC1228">
        <f>'Base DCF'!BJ30</f>
        <v>0</v>
      </c>
      <c r="BD1228">
        <f>'Base DCF'!BK30</f>
        <v>0</v>
      </c>
      <c r="BE1228">
        <f>'Base DCF'!BL30</f>
        <v>0</v>
      </c>
      <c r="BF1228">
        <f>'Base DCF'!BM30</f>
        <v>0</v>
      </c>
      <c r="BG1228">
        <f>'Base DCF'!BN30</f>
        <v>0</v>
      </c>
      <c r="BH1228">
        <f>'Base DCF'!BO30</f>
        <v>0</v>
      </c>
      <c r="BI1228">
        <f>'Base DCF'!BP30</f>
        <v>0</v>
      </c>
      <c r="BJ1228">
        <f>'Base DCF'!BQ30</f>
        <v>0</v>
      </c>
      <c r="BK1228">
        <f>'Base DCF'!BR30</f>
        <v>0</v>
      </c>
      <c r="BL1228">
        <f>'Base DCF'!BS30</f>
        <v>0</v>
      </c>
      <c r="BM1228">
        <f>'Base DCF'!BT30</f>
        <v>0</v>
      </c>
      <c r="BN1228">
        <f>'Base DCF'!BU30</f>
        <v>0</v>
      </c>
      <c r="BO1228">
        <f>'Base DCF'!BV30</f>
        <v>0</v>
      </c>
      <c r="BP1228">
        <f>'Base DCF'!BW30</f>
        <v>0</v>
      </c>
      <c r="BQ1228">
        <f>'Base DCF'!BX30</f>
        <v>0</v>
      </c>
      <c r="BR1228">
        <f>'Base DCF'!BY30</f>
        <v>0</v>
      </c>
      <c r="BS1228">
        <f>'Base DCF'!BZ30</f>
        <v>0</v>
      </c>
      <c r="BT1228">
        <f>'Base DCF'!CA30</f>
        <v>0</v>
      </c>
      <c r="BU1228">
        <f>'Base DCF'!CB30</f>
        <v>0</v>
      </c>
      <c r="BV1228">
        <f>'Base DCF'!CC30</f>
        <v>0</v>
      </c>
      <c r="BW1228">
        <f>'Base DCF'!CD30</f>
        <v>0</v>
      </c>
      <c r="BX1228">
        <f>'Base DCF'!CE30</f>
        <v>0</v>
      </c>
      <c r="BY1228">
        <f>'Base DCF'!CF30</f>
        <v>0</v>
      </c>
      <c r="BZ1228">
        <f>'Base DCF'!CG30</f>
        <v>0</v>
      </c>
      <c r="CA1228">
        <f>'Base DCF'!CH30</f>
        <v>0</v>
      </c>
      <c r="CB1228">
        <f>'Base DCF'!CI30</f>
        <v>0</v>
      </c>
      <c r="CC1228">
        <f>'Base DCF'!CJ30</f>
        <v>0</v>
      </c>
      <c r="CD1228">
        <f>'Base DCF'!CK30</f>
        <v>0</v>
      </c>
      <c r="CE1228">
        <f>'Base DCF'!CL30</f>
        <v>0</v>
      </c>
      <c r="CF1228">
        <f>'Base DCF'!CM30</f>
        <v>0</v>
      </c>
      <c r="CG1228">
        <f>'Base DCF'!CN30</f>
        <v>0</v>
      </c>
      <c r="CH1228">
        <f>'Base DCF'!CO30</f>
        <v>0</v>
      </c>
      <c r="CI1228">
        <f>'Base DCF'!CP30</f>
        <v>0</v>
      </c>
      <c r="CJ1228">
        <f>'Base DCF'!CQ30</f>
        <v>0</v>
      </c>
      <c r="CK1228">
        <f>'Base DCF'!CR30</f>
        <v>0</v>
      </c>
      <c r="CP1228">
        <f>'Base DCF'!CV30</f>
        <v>1.4999999999999999E-2</v>
      </c>
      <c r="CQ1228">
        <f>'Base DCF'!CW30</f>
        <v>123175.73384845236</v>
      </c>
      <c r="CR1228">
        <f>'Base DCF'!CX30</f>
        <v>111053.64060852508</v>
      </c>
      <c r="CS1228">
        <f>'Base DCF'!CY30</f>
        <v>101017.46167959485</v>
      </c>
      <c r="CT1228">
        <f>'Base DCF'!CZ30</f>
        <v>92574.047867041081</v>
      </c>
      <c r="CU1228">
        <f>'Base DCF'!DA30</f>
        <v>85374.253012192261</v>
      </c>
      <c r="CV1228">
        <f>'Base DCF'!DC30</f>
        <v>0</v>
      </c>
      <c r="CW1228">
        <f>'Base DCF'!DD30</f>
        <v>0</v>
      </c>
      <c r="CX1228">
        <f>'Base DCF'!DE30</f>
        <v>0</v>
      </c>
      <c r="CY1228">
        <f>'Base DCF'!DF30</f>
        <v>0</v>
      </c>
      <c r="CZ1228">
        <f>'Base DCF'!DG30</f>
        <v>0</v>
      </c>
      <c r="DA1228">
        <f>'Base DCF'!DH30</f>
        <v>0</v>
      </c>
    </row>
    <row r="1229" spans="1:105">
      <c r="A1229">
        <f>'Base DCF'!H31</f>
        <v>0</v>
      </c>
      <c r="B1229" t="str">
        <f>'Base DCF'!I31</f>
        <v>Enterprise Value</v>
      </c>
      <c r="C1229">
        <f>'Base DCF'!J31</f>
        <v>0</v>
      </c>
      <c r="D1229">
        <f>'Base DCF'!K31</f>
        <v>0</v>
      </c>
      <c r="E1229">
        <f>'Base DCF'!L31</f>
        <v>108373.14582898472</v>
      </c>
      <c r="F1229">
        <f>'Base DCF'!M31</f>
        <v>0</v>
      </c>
      <c r="G1229">
        <f>'Base DCF'!N31</f>
        <v>0</v>
      </c>
      <c r="H1229">
        <f>'Base DCF'!O31</f>
        <v>0</v>
      </c>
      <c r="I1229">
        <f>'Base DCF'!P31</f>
        <v>0</v>
      </c>
      <c r="J1229">
        <f>'Base DCF'!Q31</f>
        <v>0</v>
      </c>
      <c r="K1229">
        <f>'Base DCF'!R31</f>
        <v>0</v>
      </c>
      <c r="L1229">
        <f>'Base DCF'!S31</f>
        <v>0</v>
      </c>
      <c r="M1229">
        <f>'Base DCF'!T31</f>
        <v>0</v>
      </c>
      <c r="N1229">
        <f>'Base DCF'!U31</f>
        <v>0</v>
      </c>
      <c r="O1229">
        <f>'Base DCF'!V31</f>
        <v>0</v>
      </c>
      <c r="P1229">
        <f>'Base DCF'!W31</f>
        <v>0</v>
      </c>
      <c r="Q1229">
        <f>'Base DCF'!X31</f>
        <v>0</v>
      </c>
      <c r="R1229">
        <f>'Base DCF'!Y31</f>
        <v>0</v>
      </c>
      <c r="S1229">
        <f>'Base DCF'!Z31</f>
        <v>0</v>
      </c>
      <c r="T1229">
        <f>'Base DCF'!AA31</f>
        <v>0</v>
      </c>
      <c r="U1229">
        <f>'Base DCF'!AB31</f>
        <v>0</v>
      </c>
      <c r="V1229">
        <f>'Base DCF'!AC31</f>
        <v>0</v>
      </c>
      <c r="W1229">
        <f>'Base DCF'!AD31</f>
        <v>0</v>
      </c>
      <c r="X1229">
        <f>'Base DCF'!AE31</f>
        <v>0</v>
      </c>
      <c r="Y1229">
        <f>'Base DCF'!AF31</f>
        <v>0</v>
      </c>
      <c r="Z1229">
        <f>'Base DCF'!AG31</f>
        <v>0</v>
      </c>
      <c r="AA1229">
        <f>'Base DCF'!AH31</f>
        <v>0</v>
      </c>
      <c r="AB1229">
        <f>'Base DCF'!AI31</f>
        <v>0</v>
      </c>
      <c r="AC1229">
        <f>'Base DCF'!AJ31</f>
        <v>0</v>
      </c>
      <c r="AD1229">
        <f>'Base DCF'!AK31</f>
        <v>0</v>
      </c>
      <c r="AE1229">
        <f>'Base DCF'!AL31</f>
        <v>0</v>
      </c>
      <c r="AF1229">
        <f>'Base DCF'!AM31</f>
        <v>0</v>
      </c>
      <c r="AG1229">
        <f>'Base DCF'!AN31</f>
        <v>0</v>
      </c>
      <c r="AH1229">
        <f>'Base DCF'!AO31</f>
        <v>0</v>
      </c>
      <c r="AI1229">
        <f>'Base DCF'!AP31</f>
        <v>0</v>
      </c>
      <c r="AJ1229">
        <f>'Base DCF'!AQ31</f>
        <v>0</v>
      </c>
      <c r="AK1229">
        <f>'Base DCF'!AR31</f>
        <v>0</v>
      </c>
      <c r="AL1229">
        <f>'Base DCF'!AS31</f>
        <v>0</v>
      </c>
      <c r="AM1229">
        <f>'Base DCF'!AT31</f>
        <v>0</v>
      </c>
      <c r="AN1229">
        <f>'Base DCF'!AU31</f>
        <v>0</v>
      </c>
      <c r="AO1229">
        <f>'Base DCF'!AV31</f>
        <v>0</v>
      </c>
      <c r="AP1229">
        <f>'Base DCF'!AW31</f>
        <v>0</v>
      </c>
      <c r="AQ1229">
        <f>'Base DCF'!AX31</f>
        <v>0</v>
      </c>
      <c r="AR1229">
        <f>'Base DCF'!AY31</f>
        <v>0</v>
      </c>
      <c r="AS1229">
        <f>'Base DCF'!AZ31</f>
        <v>0</v>
      </c>
      <c r="AT1229">
        <f>'Base DCF'!BA31</f>
        <v>0</v>
      </c>
      <c r="AU1229">
        <f>'Base DCF'!BB31</f>
        <v>0</v>
      </c>
      <c r="AV1229">
        <f>'Base DCF'!BC31</f>
        <v>0</v>
      </c>
      <c r="AW1229">
        <f>'Base DCF'!BD31</f>
        <v>0</v>
      </c>
      <c r="AX1229">
        <f>'Base DCF'!BE31</f>
        <v>0</v>
      </c>
      <c r="AY1229">
        <f>'Base DCF'!BF31</f>
        <v>0</v>
      </c>
      <c r="AZ1229">
        <f>'Base DCF'!BG31</f>
        <v>0</v>
      </c>
      <c r="BA1229">
        <f>'Base DCF'!BH31</f>
        <v>0</v>
      </c>
      <c r="BB1229">
        <f>'Base DCF'!BI31</f>
        <v>0</v>
      </c>
      <c r="BC1229">
        <f>'Base DCF'!BJ31</f>
        <v>0</v>
      </c>
      <c r="BD1229">
        <f>'Base DCF'!BK31</f>
        <v>0</v>
      </c>
      <c r="BE1229">
        <f>'Base DCF'!BL31</f>
        <v>0</v>
      </c>
      <c r="BF1229">
        <f>'Base DCF'!BM31</f>
        <v>0</v>
      </c>
      <c r="BG1229">
        <f>'Base DCF'!BN31</f>
        <v>0</v>
      </c>
      <c r="BH1229">
        <f>'Base DCF'!BO31</f>
        <v>0</v>
      </c>
      <c r="BI1229">
        <f>'Base DCF'!BP31</f>
        <v>0</v>
      </c>
      <c r="BJ1229">
        <f>'Base DCF'!BQ31</f>
        <v>0</v>
      </c>
      <c r="BK1229">
        <f>'Base DCF'!BR31</f>
        <v>0</v>
      </c>
      <c r="BL1229">
        <f>'Base DCF'!BS31</f>
        <v>0</v>
      </c>
      <c r="BM1229">
        <f>'Base DCF'!BT31</f>
        <v>0</v>
      </c>
      <c r="BN1229">
        <f>'Base DCF'!BU31</f>
        <v>0</v>
      </c>
      <c r="BO1229">
        <f>'Base DCF'!BV31</f>
        <v>0</v>
      </c>
      <c r="BP1229">
        <f>'Base DCF'!BW31</f>
        <v>0</v>
      </c>
      <c r="BQ1229">
        <f>'Base DCF'!BX31</f>
        <v>0</v>
      </c>
      <c r="BR1229">
        <f>'Base DCF'!BY31</f>
        <v>0</v>
      </c>
      <c r="BS1229">
        <f>'Base DCF'!BZ31</f>
        <v>0</v>
      </c>
      <c r="BT1229">
        <f>'Base DCF'!CA31</f>
        <v>0</v>
      </c>
      <c r="BU1229">
        <f>'Base DCF'!CB31</f>
        <v>0</v>
      </c>
      <c r="BV1229">
        <f>'Base DCF'!CC31</f>
        <v>0</v>
      </c>
      <c r="BW1229">
        <f>'Base DCF'!CD31</f>
        <v>0</v>
      </c>
      <c r="BX1229">
        <f>'Base DCF'!CE31</f>
        <v>0</v>
      </c>
      <c r="BY1229">
        <f>'Base DCF'!CF31</f>
        <v>0</v>
      </c>
      <c r="BZ1229">
        <f>'Base DCF'!CG31</f>
        <v>0</v>
      </c>
      <c r="CA1229">
        <f>'Base DCF'!CH31</f>
        <v>0</v>
      </c>
      <c r="CB1229">
        <f>'Base DCF'!CI31</f>
        <v>0</v>
      </c>
      <c r="CC1229">
        <f>'Base DCF'!CJ31</f>
        <v>0</v>
      </c>
      <c r="CD1229">
        <f>'Base DCF'!CK31</f>
        <v>0</v>
      </c>
      <c r="CE1229">
        <f>'Base DCF'!CL31</f>
        <v>0</v>
      </c>
      <c r="CF1229">
        <f>'Base DCF'!CM31</f>
        <v>0</v>
      </c>
      <c r="CG1229">
        <f>'Base DCF'!CN31</f>
        <v>0</v>
      </c>
      <c r="CH1229">
        <f>'Base DCF'!CO31</f>
        <v>0</v>
      </c>
      <c r="CI1229">
        <f>'Base DCF'!CP31</f>
        <v>0</v>
      </c>
      <c r="CJ1229">
        <f>'Base DCF'!CQ31</f>
        <v>0</v>
      </c>
      <c r="CK1229">
        <f>'Base DCF'!CR31</f>
        <v>0</v>
      </c>
      <c r="CP1229">
        <f>'Base DCF'!CV31</f>
        <v>0.02</v>
      </c>
      <c r="CQ1229">
        <f>'Base DCF'!CW31</f>
        <v>135048.18989681924</v>
      </c>
      <c r="CR1229">
        <f>'Base DCF'!CX31</f>
        <v>120479.26219990381</v>
      </c>
      <c r="CS1229">
        <f>'Base DCF'!CY31</f>
        <v>108648.12666515046</v>
      </c>
      <c r="CT1229">
        <f>'Base DCF'!CZ31</f>
        <v>98852.337542386347</v>
      </c>
      <c r="CU1229">
        <f>'Base DCF'!DA31</f>
        <v>90610.713333186344</v>
      </c>
      <c r="CV1229">
        <f>'Base DCF'!DC31</f>
        <v>0</v>
      </c>
      <c r="CW1229">
        <f>'Base DCF'!DD31</f>
        <v>0</v>
      </c>
      <c r="CX1229">
        <f>'Base DCF'!DE31</f>
        <v>0</v>
      </c>
      <c r="CY1229">
        <f>'Base DCF'!DF31</f>
        <v>0</v>
      </c>
      <c r="CZ1229">
        <f>'Base DCF'!DG31</f>
        <v>0</v>
      </c>
      <c r="DA1229">
        <f>'Base DCF'!DH31</f>
        <v>0</v>
      </c>
    </row>
    <row r="1230" spans="1:105">
      <c r="A1230">
        <f>'Base DCF'!H32</f>
        <v>0</v>
      </c>
      <c r="B1230" t="str">
        <f>'Base DCF'!I32</f>
        <v>(-) Debt</v>
      </c>
      <c r="C1230">
        <f>'Base DCF'!J32</f>
        <v>0</v>
      </c>
      <c r="D1230">
        <f>'Base DCF'!K32</f>
        <v>0</v>
      </c>
      <c r="E1230">
        <f>'Base DCF'!L32</f>
        <v>8109.6610000000001</v>
      </c>
      <c r="F1230">
        <f>'Base DCF'!M32</f>
        <v>0</v>
      </c>
      <c r="G1230">
        <f>'Base DCF'!N32</f>
        <v>0</v>
      </c>
      <c r="H1230">
        <f>'Base DCF'!O32</f>
        <v>0</v>
      </c>
      <c r="I1230">
        <f>'Base DCF'!P32</f>
        <v>0</v>
      </c>
      <c r="J1230">
        <f>'Base DCF'!Q32</f>
        <v>0</v>
      </c>
      <c r="K1230">
        <f>'Base DCF'!R32</f>
        <v>0</v>
      </c>
      <c r="L1230">
        <f>'Base DCF'!S32</f>
        <v>0</v>
      </c>
      <c r="M1230">
        <f>'Base DCF'!T32</f>
        <v>0</v>
      </c>
      <c r="N1230">
        <f>'Base DCF'!U32</f>
        <v>0</v>
      </c>
      <c r="O1230">
        <f>'Base DCF'!V32</f>
        <v>0</v>
      </c>
      <c r="P1230">
        <f>'Base DCF'!W32</f>
        <v>0</v>
      </c>
      <c r="Q1230">
        <f>'Base DCF'!X32</f>
        <v>0</v>
      </c>
      <c r="R1230">
        <f>'Base DCF'!Y32</f>
        <v>0</v>
      </c>
      <c r="S1230">
        <f>'Base DCF'!Z32</f>
        <v>0</v>
      </c>
      <c r="T1230">
        <f>'Base DCF'!AA32</f>
        <v>0</v>
      </c>
      <c r="U1230">
        <f>'Base DCF'!AB32</f>
        <v>0</v>
      </c>
      <c r="V1230">
        <f>'Base DCF'!AC32</f>
        <v>0</v>
      </c>
      <c r="W1230">
        <f>'Base DCF'!AD32</f>
        <v>0</v>
      </c>
      <c r="X1230">
        <f>'Base DCF'!AE32</f>
        <v>0</v>
      </c>
      <c r="Y1230">
        <f>'Base DCF'!AF32</f>
        <v>0</v>
      </c>
      <c r="Z1230">
        <f>'Base DCF'!AG32</f>
        <v>0</v>
      </c>
      <c r="AA1230">
        <f>'Base DCF'!AH32</f>
        <v>0</v>
      </c>
      <c r="AB1230">
        <f>'Base DCF'!AI32</f>
        <v>0</v>
      </c>
      <c r="AC1230">
        <f>'Base DCF'!AJ32</f>
        <v>0</v>
      </c>
      <c r="AD1230">
        <f>'Base DCF'!AK32</f>
        <v>0</v>
      </c>
      <c r="AE1230">
        <f>'Base DCF'!AL32</f>
        <v>0</v>
      </c>
      <c r="AF1230">
        <f>'Base DCF'!AM32</f>
        <v>0</v>
      </c>
      <c r="AG1230">
        <f>'Base DCF'!AN32</f>
        <v>0</v>
      </c>
      <c r="AH1230">
        <f>'Base DCF'!AO32</f>
        <v>0</v>
      </c>
      <c r="AI1230">
        <f>'Base DCF'!AP32</f>
        <v>0</v>
      </c>
      <c r="AJ1230">
        <f>'Base DCF'!AQ32</f>
        <v>0</v>
      </c>
      <c r="AK1230">
        <f>'Base DCF'!AR32</f>
        <v>0</v>
      </c>
      <c r="AL1230">
        <f>'Base DCF'!AS32</f>
        <v>0</v>
      </c>
      <c r="AM1230">
        <f>'Base DCF'!AT32</f>
        <v>0</v>
      </c>
      <c r="AN1230">
        <f>'Base DCF'!AU32</f>
        <v>0</v>
      </c>
      <c r="AO1230">
        <f>'Base DCF'!AV32</f>
        <v>0</v>
      </c>
      <c r="AP1230">
        <f>'Base DCF'!AW32</f>
        <v>0</v>
      </c>
      <c r="AQ1230">
        <f>'Base DCF'!AX32</f>
        <v>0</v>
      </c>
      <c r="AR1230">
        <f>'Base DCF'!AY32</f>
        <v>0</v>
      </c>
      <c r="AS1230">
        <f>'Base DCF'!AZ32</f>
        <v>0</v>
      </c>
      <c r="AT1230">
        <f>'Base DCF'!BA32</f>
        <v>0</v>
      </c>
      <c r="AU1230">
        <f>'Base DCF'!BB32</f>
        <v>0</v>
      </c>
      <c r="AV1230">
        <f>'Base DCF'!BC32</f>
        <v>0</v>
      </c>
      <c r="AW1230">
        <f>'Base DCF'!BD32</f>
        <v>0</v>
      </c>
      <c r="AX1230">
        <f>'Base DCF'!BE32</f>
        <v>0</v>
      </c>
      <c r="AY1230">
        <f>'Base DCF'!BF32</f>
        <v>0</v>
      </c>
      <c r="AZ1230">
        <f>'Base DCF'!BG32</f>
        <v>0</v>
      </c>
      <c r="BA1230">
        <f>'Base DCF'!BH32</f>
        <v>0</v>
      </c>
      <c r="BB1230">
        <f>'Base DCF'!BI32</f>
        <v>0</v>
      </c>
      <c r="BC1230">
        <f>'Base DCF'!BJ32</f>
        <v>0</v>
      </c>
      <c r="BD1230">
        <f>'Base DCF'!BK32</f>
        <v>0</v>
      </c>
      <c r="BE1230">
        <f>'Base DCF'!BL32</f>
        <v>0</v>
      </c>
      <c r="BF1230">
        <f>'Base DCF'!BM32</f>
        <v>0</v>
      </c>
      <c r="BG1230">
        <f>'Base DCF'!BN32</f>
        <v>0</v>
      </c>
      <c r="BH1230">
        <f>'Base DCF'!BO32</f>
        <v>0</v>
      </c>
      <c r="BI1230">
        <f>'Base DCF'!BP32</f>
        <v>0</v>
      </c>
      <c r="BJ1230">
        <f>'Base DCF'!BQ32</f>
        <v>0</v>
      </c>
      <c r="BK1230">
        <f>'Base DCF'!BR32</f>
        <v>0</v>
      </c>
      <c r="BL1230">
        <f>'Base DCF'!BS32</f>
        <v>0</v>
      </c>
      <c r="BM1230">
        <f>'Base DCF'!BT32</f>
        <v>0</v>
      </c>
      <c r="BN1230">
        <f>'Base DCF'!BU32</f>
        <v>0</v>
      </c>
      <c r="BO1230">
        <f>'Base DCF'!BV32</f>
        <v>0</v>
      </c>
      <c r="BP1230">
        <f>'Base DCF'!BW32</f>
        <v>0</v>
      </c>
      <c r="BQ1230">
        <f>'Base DCF'!BX32</f>
        <v>0</v>
      </c>
      <c r="BR1230">
        <f>'Base DCF'!BY32</f>
        <v>0</v>
      </c>
      <c r="BS1230">
        <f>'Base DCF'!BZ32</f>
        <v>0</v>
      </c>
      <c r="BT1230">
        <f>'Base DCF'!CA32</f>
        <v>0</v>
      </c>
      <c r="BU1230">
        <f>'Base DCF'!CB32</f>
        <v>0</v>
      </c>
      <c r="BV1230">
        <f>'Base DCF'!CC32</f>
        <v>0</v>
      </c>
      <c r="BW1230">
        <f>'Base DCF'!CD32</f>
        <v>0</v>
      </c>
      <c r="BX1230">
        <f>'Base DCF'!CE32</f>
        <v>0</v>
      </c>
      <c r="BY1230">
        <f>'Base DCF'!CF32</f>
        <v>0</v>
      </c>
      <c r="BZ1230">
        <f>'Base DCF'!CG32</f>
        <v>0</v>
      </c>
      <c r="CA1230">
        <f>'Base DCF'!CH32</f>
        <v>0</v>
      </c>
      <c r="CB1230">
        <f>'Base DCF'!CI32</f>
        <v>0</v>
      </c>
      <c r="CC1230">
        <f>'Base DCF'!CJ32</f>
        <v>0</v>
      </c>
      <c r="CD1230">
        <f>'Base DCF'!CK32</f>
        <v>0</v>
      </c>
      <c r="CE1230">
        <f>'Base DCF'!CL32</f>
        <v>0</v>
      </c>
      <c r="CF1230">
        <f>'Base DCF'!CM32</f>
        <v>0</v>
      </c>
      <c r="CG1230">
        <f>'Base DCF'!CN32</f>
        <v>0</v>
      </c>
      <c r="CH1230">
        <f>'Base DCF'!CO32</f>
        <v>0</v>
      </c>
      <c r="CI1230">
        <f>'Base DCF'!CP32</f>
        <v>0</v>
      </c>
      <c r="CJ1230">
        <f>'Base DCF'!CQ32</f>
        <v>0</v>
      </c>
      <c r="CK1230">
        <f>'Base DCF'!CR32</f>
        <v>0</v>
      </c>
      <c r="CP1230">
        <f>'Base DCF'!CV32</f>
        <v>2.5000000000000001E-2</v>
      </c>
      <c r="CQ1230">
        <f>'Base DCF'!CW32</f>
        <v>150010.31709581992</v>
      </c>
      <c r="CR1230">
        <f>'Base DCF'!CX32</f>
        <v>132076.72447003255</v>
      </c>
      <c r="CS1230">
        <f>'Base DCF'!CY32</f>
        <v>117856.47127874021</v>
      </c>
      <c r="CT1230">
        <f>'Base DCF'!CZ32</f>
        <v>106307.94107338524</v>
      </c>
      <c r="CU1230">
        <f>'Base DCF'!DA32</f>
        <v>96745.653230757045</v>
      </c>
      <c r="CV1230">
        <f>'Base DCF'!DC32</f>
        <v>0</v>
      </c>
      <c r="CW1230">
        <f>'Base DCF'!DD32</f>
        <v>0</v>
      </c>
      <c r="CX1230">
        <f>'Base DCF'!DE32</f>
        <v>0</v>
      </c>
      <c r="CY1230">
        <f>'Base DCF'!DF32</f>
        <v>0</v>
      </c>
      <c r="CZ1230">
        <f>'Base DCF'!DG32</f>
        <v>0</v>
      </c>
      <c r="DA1230">
        <f>'Base DCF'!DH32</f>
        <v>0</v>
      </c>
    </row>
    <row r="1231" spans="1:105">
      <c r="A1231">
        <f>'Base DCF'!H33</f>
        <v>0</v>
      </c>
      <c r="B1231" t="str">
        <f>'Base DCF'!I33</f>
        <v>(+) Cash</v>
      </c>
      <c r="C1231">
        <f>'Base DCF'!J33</f>
        <v>0</v>
      </c>
      <c r="D1231">
        <f>'Base DCF'!K33</f>
        <v>0</v>
      </c>
      <c r="E1231">
        <f>'Base DCF'!L33</f>
        <v>8044.7543886833337</v>
      </c>
      <c r="F1231">
        <f>'Base DCF'!M33</f>
        <v>0</v>
      </c>
      <c r="G1231">
        <f>'Base DCF'!N33</f>
        <v>0</v>
      </c>
      <c r="H1231">
        <f>'Base DCF'!O33</f>
        <v>0</v>
      </c>
      <c r="I1231">
        <f>'Base DCF'!P33</f>
        <v>0</v>
      </c>
      <c r="J1231">
        <f>'Base DCF'!Q33</f>
        <v>0</v>
      </c>
      <c r="K1231">
        <f>'Base DCF'!R33</f>
        <v>0</v>
      </c>
      <c r="L1231">
        <f>'Base DCF'!S33</f>
        <v>0</v>
      </c>
      <c r="M1231">
        <f>'Base DCF'!T33</f>
        <v>0</v>
      </c>
      <c r="N1231">
        <f>'Base DCF'!U33</f>
        <v>0</v>
      </c>
      <c r="O1231">
        <f>'Base DCF'!V33</f>
        <v>0</v>
      </c>
      <c r="P1231">
        <f>'Base DCF'!W33</f>
        <v>0</v>
      </c>
      <c r="Q1231">
        <f>'Base DCF'!X33</f>
        <v>0</v>
      </c>
      <c r="R1231">
        <f>'Base DCF'!Y33</f>
        <v>0</v>
      </c>
      <c r="S1231">
        <f>'Base DCF'!Z33</f>
        <v>0</v>
      </c>
      <c r="T1231">
        <f>'Base DCF'!AA33</f>
        <v>0</v>
      </c>
      <c r="U1231">
        <f>'Base DCF'!AB33</f>
        <v>0</v>
      </c>
      <c r="V1231">
        <f>'Base DCF'!AC33</f>
        <v>0</v>
      </c>
      <c r="W1231">
        <f>'Base DCF'!AD33</f>
        <v>0</v>
      </c>
      <c r="X1231">
        <f>'Base DCF'!AE33</f>
        <v>0</v>
      </c>
      <c r="Y1231">
        <f>'Base DCF'!AF33</f>
        <v>0</v>
      </c>
      <c r="Z1231">
        <f>'Base DCF'!AG33</f>
        <v>0</v>
      </c>
      <c r="AA1231">
        <f>'Base DCF'!AH33</f>
        <v>0</v>
      </c>
      <c r="AB1231">
        <f>'Base DCF'!AI33</f>
        <v>0</v>
      </c>
      <c r="AC1231">
        <f>'Base DCF'!AJ33</f>
        <v>0</v>
      </c>
      <c r="AD1231">
        <f>'Base DCF'!AK33</f>
        <v>0</v>
      </c>
      <c r="AE1231">
        <f>'Base DCF'!AL33</f>
        <v>0</v>
      </c>
      <c r="AF1231">
        <f>'Base DCF'!AM33</f>
        <v>0</v>
      </c>
      <c r="AG1231">
        <f>'Base DCF'!AN33</f>
        <v>0</v>
      </c>
      <c r="AH1231">
        <f>'Base DCF'!AO33</f>
        <v>0</v>
      </c>
      <c r="AI1231">
        <f>'Base DCF'!AP33</f>
        <v>0</v>
      </c>
      <c r="AJ1231">
        <f>'Base DCF'!AQ33</f>
        <v>0</v>
      </c>
      <c r="AK1231">
        <f>'Base DCF'!AR33</f>
        <v>0</v>
      </c>
      <c r="AL1231">
        <f>'Base DCF'!AS33</f>
        <v>0</v>
      </c>
      <c r="AM1231">
        <f>'Base DCF'!AT33</f>
        <v>0</v>
      </c>
      <c r="AN1231">
        <f>'Base DCF'!AU33</f>
        <v>0</v>
      </c>
      <c r="AO1231">
        <f>'Base DCF'!AV33</f>
        <v>0</v>
      </c>
      <c r="AP1231">
        <f>'Base DCF'!AW33</f>
        <v>0</v>
      </c>
      <c r="AQ1231">
        <f>'Base DCF'!AX33</f>
        <v>0</v>
      </c>
      <c r="AR1231">
        <f>'Base DCF'!AY33</f>
        <v>0</v>
      </c>
      <c r="AS1231">
        <f>'Base DCF'!AZ33</f>
        <v>0</v>
      </c>
      <c r="AT1231">
        <f>'Base DCF'!BA33</f>
        <v>0</v>
      </c>
      <c r="AU1231">
        <f>'Base DCF'!BB33</f>
        <v>0</v>
      </c>
      <c r="AV1231">
        <f>'Base DCF'!BC33</f>
        <v>0</v>
      </c>
      <c r="AW1231">
        <f>'Base DCF'!BD33</f>
        <v>0</v>
      </c>
      <c r="AX1231">
        <f>'Base DCF'!BE33</f>
        <v>0</v>
      </c>
      <c r="AY1231">
        <f>'Base DCF'!BF33</f>
        <v>0</v>
      </c>
      <c r="AZ1231">
        <f>'Base DCF'!BG33</f>
        <v>0</v>
      </c>
      <c r="BA1231">
        <f>'Base DCF'!BH33</f>
        <v>0</v>
      </c>
      <c r="BB1231">
        <f>'Base DCF'!BI33</f>
        <v>0</v>
      </c>
      <c r="BC1231">
        <f>'Base DCF'!BJ33</f>
        <v>0</v>
      </c>
      <c r="BD1231">
        <f>'Base DCF'!BK33</f>
        <v>0</v>
      </c>
      <c r="BE1231">
        <f>'Base DCF'!BL33</f>
        <v>0</v>
      </c>
      <c r="BF1231">
        <f>'Base DCF'!BM33</f>
        <v>0</v>
      </c>
      <c r="BG1231">
        <f>'Base DCF'!BN33</f>
        <v>0</v>
      </c>
      <c r="BH1231">
        <f>'Base DCF'!BO33</f>
        <v>0</v>
      </c>
      <c r="BI1231">
        <f>'Base DCF'!BP33</f>
        <v>0</v>
      </c>
      <c r="BJ1231">
        <f>'Base DCF'!BQ33</f>
        <v>0</v>
      </c>
      <c r="BK1231">
        <f>'Base DCF'!BR33</f>
        <v>0</v>
      </c>
      <c r="BL1231">
        <f>'Base DCF'!BS33</f>
        <v>0</v>
      </c>
      <c r="BM1231">
        <f>'Base DCF'!BT33</f>
        <v>0</v>
      </c>
      <c r="BN1231">
        <f>'Base DCF'!BU33</f>
        <v>0</v>
      </c>
      <c r="BO1231">
        <f>'Base DCF'!BV33</f>
        <v>0</v>
      </c>
      <c r="BP1231">
        <f>'Base DCF'!BW33</f>
        <v>0</v>
      </c>
      <c r="BQ1231">
        <f>'Base DCF'!BX33</f>
        <v>0</v>
      </c>
      <c r="BR1231">
        <f>'Base DCF'!BY33</f>
        <v>0</v>
      </c>
      <c r="BS1231">
        <f>'Base DCF'!BZ33</f>
        <v>0</v>
      </c>
      <c r="BT1231">
        <f>'Base DCF'!CA33</f>
        <v>0</v>
      </c>
      <c r="BU1231">
        <f>'Base DCF'!CB33</f>
        <v>0</v>
      </c>
      <c r="BV1231">
        <f>'Base DCF'!CC33</f>
        <v>0</v>
      </c>
      <c r="BW1231">
        <f>'Base DCF'!CD33</f>
        <v>0</v>
      </c>
      <c r="BX1231">
        <f>'Base DCF'!CE33</f>
        <v>0</v>
      </c>
      <c r="BY1231">
        <f>'Base DCF'!CF33</f>
        <v>0</v>
      </c>
      <c r="BZ1231">
        <f>'Base DCF'!CG33</f>
        <v>0</v>
      </c>
      <c r="CA1231">
        <f>'Base DCF'!CH33</f>
        <v>0</v>
      </c>
      <c r="CB1231">
        <f>'Base DCF'!CI33</f>
        <v>0</v>
      </c>
      <c r="CC1231">
        <f>'Base DCF'!CJ33</f>
        <v>0</v>
      </c>
      <c r="CD1231">
        <f>'Base DCF'!CK33</f>
        <v>0</v>
      </c>
      <c r="CE1231">
        <f>'Base DCF'!CL33</f>
        <v>0</v>
      </c>
      <c r="CF1231">
        <f>'Base DCF'!CM33</f>
        <v>0</v>
      </c>
      <c r="CG1231">
        <f>'Base DCF'!CN33</f>
        <v>0</v>
      </c>
      <c r="CH1231">
        <f>'Base DCF'!CO33</f>
        <v>0</v>
      </c>
      <c r="CI1231">
        <f>'Base DCF'!CP33</f>
        <v>0</v>
      </c>
      <c r="CJ1231">
        <f>'Base DCF'!CQ33</f>
        <v>0</v>
      </c>
      <c r="CK1231">
        <f>'Base DCF'!CR33</f>
        <v>0</v>
      </c>
      <c r="CP1231">
        <f>'Base DCF'!CV33</f>
        <v>0</v>
      </c>
      <c r="CQ1231">
        <f>'Base DCF'!CW33</f>
        <v>0</v>
      </c>
      <c r="CR1231">
        <f>'Base DCF'!CX33</f>
        <v>0</v>
      </c>
      <c r="CS1231">
        <f>'Base DCF'!CY33</f>
        <v>0</v>
      </c>
      <c r="CT1231">
        <f>'Base DCF'!CZ33</f>
        <v>0</v>
      </c>
      <c r="CU1231">
        <f>'Base DCF'!DA33</f>
        <v>0</v>
      </c>
      <c r="CV1231">
        <f>'Base DCF'!DC33</f>
        <v>0</v>
      </c>
      <c r="CW1231">
        <f>'Base DCF'!DD33</f>
        <v>0</v>
      </c>
      <c r="CX1231">
        <f>'Base DCF'!DE33</f>
        <v>0</v>
      </c>
      <c r="CY1231">
        <f>'Base DCF'!DF33</f>
        <v>0</v>
      </c>
      <c r="CZ1231">
        <f>'Base DCF'!DG33</f>
        <v>0</v>
      </c>
      <c r="DA1231">
        <f>'Base DCF'!DH33</f>
        <v>0</v>
      </c>
    </row>
    <row r="1232" spans="1:105">
      <c r="A1232">
        <f>'Base DCF'!H34</f>
        <v>0</v>
      </c>
      <c r="B1232" t="str">
        <f>'Base DCF'!I34</f>
        <v>Equity Value</v>
      </c>
      <c r="C1232">
        <f>'Base DCF'!J34</f>
        <v>0</v>
      </c>
      <c r="D1232">
        <f>'Base DCF'!K34</f>
        <v>0</v>
      </c>
      <c r="E1232">
        <f>'Base DCF'!L34</f>
        <v>108308.23921766804</v>
      </c>
      <c r="F1232">
        <f>'Base DCF'!M34</f>
        <v>0</v>
      </c>
      <c r="G1232">
        <f>'Base DCF'!N34</f>
        <v>0</v>
      </c>
      <c r="H1232">
        <f>'Base DCF'!O34</f>
        <v>0</v>
      </c>
      <c r="I1232">
        <f>'Base DCF'!P34</f>
        <v>0</v>
      </c>
      <c r="J1232">
        <f>'Base DCF'!Q34</f>
        <v>0</v>
      </c>
      <c r="K1232">
        <f>'Base DCF'!R34</f>
        <v>0</v>
      </c>
      <c r="L1232">
        <f>'Base DCF'!S34</f>
        <v>0</v>
      </c>
      <c r="M1232">
        <f>'Base DCF'!T34</f>
        <v>0</v>
      </c>
      <c r="N1232">
        <f>'Base DCF'!U34</f>
        <v>0</v>
      </c>
      <c r="O1232">
        <f>'Base DCF'!V34</f>
        <v>0</v>
      </c>
      <c r="P1232">
        <f>'Base DCF'!W34</f>
        <v>0</v>
      </c>
      <c r="Q1232">
        <f>'Base DCF'!X34</f>
        <v>0</v>
      </c>
      <c r="R1232">
        <f>'Base DCF'!Y34</f>
        <v>0</v>
      </c>
      <c r="S1232">
        <f>'Base DCF'!Z34</f>
        <v>0</v>
      </c>
      <c r="T1232">
        <f>'Base DCF'!AA34</f>
        <v>0</v>
      </c>
      <c r="U1232">
        <f>'Base DCF'!AB34</f>
        <v>0</v>
      </c>
      <c r="V1232">
        <f>'Base DCF'!AC34</f>
        <v>0</v>
      </c>
      <c r="W1232">
        <f>'Base DCF'!AD34</f>
        <v>0</v>
      </c>
      <c r="X1232">
        <f>'Base DCF'!AE34</f>
        <v>0</v>
      </c>
      <c r="Y1232">
        <f>'Base DCF'!AF34</f>
        <v>0</v>
      </c>
      <c r="Z1232">
        <f>'Base DCF'!AG34</f>
        <v>0</v>
      </c>
      <c r="AA1232">
        <f>'Base DCF'!AH34</f>
        <v>0</v>
      </c>
      <c r="AB1232">
        <f>'Base DCF'!AI34</f>
        <v>0</v>
      </c>
      <c r="AC1232">
        <f>'Base DCF'!AJ34</f>
        <v>0</v>
      </c>
      <c r="AD1232">
        <f>'Base DCF'!AK34</f>
        <v>0</v>
      </c>
      <c r="AE1232">
        <f>'Base DCF'!AL34</f>
        <v>0</v>
      </c>
      <c r="AF1232">
        <f>'Base DCF'!AM34</f>
        <v>0</v>
      </c>
      <c r="AG1232">
        <f>'Base DCF'!AN34</f>
        <v>0</v>
      </c>
      <c r="AH1232">
        <f>'Base DCF'!AO34</f>
        <v>0</v>
      </c>
      <c r="AI1232">
        <f>'Base DCF'!AP34</f>
        <v>0</v>
      </c>
      <c r="AJ1232">
        <f>'Base DCF'!AQ34</f>
        <v>0</v>
      </c>
      <c r="AK1232">
        <f>'Base DCF'!AR34</f>
        <v>0</v>
      </c>
      <c r="AL1232">
        <f>'Base DCF'!AS34</f>
        <v>0</v>
      </c>
      <c r="AM1232">
        <f>'Base DCF'!AT34</f>
        <v>0</v>
      </c>
      <c r="AN1232">
        <f>'Base DCF'!AU34</f>
        <v>0</v>
      </c>
      <c r="AO1232">
        <f>'Base DCF'!AV34</f>
        <v>0</v>
      </c>
      <c r="AP1232">
        <f>'Base DCF'!AW34</f>
        <v>0</v>
      </c>
      <c r="AQ1232">
        <f>'Base DCF'!AX34</f>
        <v>0</v>
      </c>
      <c r="AR1232">
        <f>'Base DCF'!AY34</f>
        <v>0</v>
      </c>
      <c r="AS1232">
        <f>'Base DCF'!AZ34</f>
        <v>0</v>
      </c>
      <c r="AT1232">
        <f>'Base DCF'!BA34</f>
        <v>0</v>
      </c>
      <c r="AU1232">
        <f>'Base DCF'!BB34</f>
        <v>0</v>
      </c>
      <c r="AV1232">
        <f>'Base DCF'!BC34</f>
        <v>0</v>
      </c>
      <c r="AW1232">
        <f>'Base DCF'!BD34</f>
        <v>0</v>
      </c>
      <c r="AX1232">
        <f>'Base DCF'!BE34</f>
        <v>0</v>
      </c>
      <c r="AY1232">
        <f>'Base DCF'!BF34</f>
        <v>0</v>
      </c>
      <c r="AZ1232">
        <f>'Base DCF'!BG34</f>
        <v>0</v>
      </c>
      <c r="BA1232">
        <f>'Base DCF'!BH34</f>
        <v>0</v>
      </c>
      <c r="BB1232">
        <f>'Base DCF'!BI34</f>
        <v>0</v>
      </c>
      <c r="BC1232">
        <f>'Base DCF'!BJ34</f>
        <v>0</v>
      </c>
      <c r="BD1232">
        <f>'Base DCF'!BK34</f>
        <v>0</v>
      </c>
      <c r="BE1232">
        <f>'Base DCF'!BL34</f>
        <v>0</v>
      </c>
      <c r="BF1232">
        <f>'Base DCF'!BM34</f>
        <v>0</v>
      </c>
      <c r="BG1232">
        <f>'Base DCF'!BN34</f>
        <v>0</v>
      </c>
      <c r="BH1232">
        <f>'Base DCF'!BO34</f>
        <v>0</v>
      </c>
      <c r="BI1232">
        <f>'Base DCF'!BP34</f>
        <v>0</v>
      </c>
      <c r="BJ1232">
        <f>'Base DCF'!BQ34</f>
        <v>0</v>
      </c>
      <c r="BK1232">
        <f>'Base DCF'!BR34</f>
        <v>0</v>
      </c>
      <c r="BL1232">
        <f>'Base DCF'!BS34</f>
        <v>0</v>
      </c>
      <c r="BM1232">
        <f>'Base DCF'!BT34</f>
        <v>0</v>
      </c>
      <c r="BN1232">
        <f>'Base DCF'!BU34</f>
        <v>0</v>
      </c>
      <c r="BO1232">
        <f>'Base DCF'!BV34</f>
        <v>0</v>
      </c>
      <c r="BP1232">
        <f>'Base DCF'!BW34</f>
        <v>0</v>
      </c>
      <c r="BQ1232">
        <f>'Base DCF'!BX34</f>
        <v>0</v>
      </c>
      <c r="BR1232">
        <f>'Base DCF'!BY34</f>
        <v>0</v>
      </c>
      <c r="BS1232">
        <f>'Base DCF'!BZ34</f>
        <v>0</v>
      </c>
      <c r="BT1232">
        <f>'Base DCF'!CA34</f>
        <v>0</v>
      </c>
      <c r="BU1232">
        <f>'Base DCF'!CB34</f>
        <v>0</v>
      </c>
      <c r="BV1232">
        <f>'Base DCF'!CC34</f>
        <v>0</v>
      </c>
      <c r="BW1232">
        <f>'Base DCF'!CD34</f>
        <v>0</v>
      </c>
      <c r="BX1232">
        <f>'Base DCF'!CE34</f>
        <v>0</v>
      </c>
      <c r="BY1232">
        <f>'Base DCF'!CF34</f>
        <v>0</v>
      </c>
      <c r="BZ1232">
        <f>'Base DCF'!CG34</f>
        <v>0</v>
      </c>
      <c r="CA1232">
        <f>'Base DCF'!CH34</f>
        <v>0</v>
      </c>
      <c r="CB1232">
        <f>'Base DCF'!CI34</f>
        <v>0</v>
      </c>
      <c r="CC1232">
        <f>'Base DCF'!CJ34</f>
        <v>0</v>
      </c>
      <c r="CD1232">
        <f>'Base DCF'!CK34</f>
        <v>0</v>
      </c>
      <c r="CE1232">
        <f>'Base DCF'!CL34</f>
        <v>0</v>
      </c>
      <c r="CF1232">
        <f>'Base DCF'!CM34</f>
        <v>0</v>
      </c>
      <c r="CG1232">
        <f>'Base DCF'!CN34</f>
        <v>0</v>
      </c>
      <c r="CH1232">
        <f>'Base DCF'!CO34</f>
        <v>0</v>
      </c>
      <c r="CI1232">
        <f>'Base DCF'!CP34</f>
        <v>0</v>
      </c>
      <c r="CJ1232">
        <f>'Base DCF'!CQ34</f>
        <v>0</v>
      </c>
      <c r="CK1232">
        <f>'Base DCF'!CR34</f>
        <v>0</v>
      </c>
      <c r="CP1232" t="str">
        <f>'Base DCF'!CV34</f>
        <v>Equity Value per Share: WACC vs. Perpetual Growth Rate</v>
      </c>
      <c r="CQ1232">
        <f>'Base DCF'!CW34</f>
        <v>0</v>
      </c>
      <c r="CR1232">
        <f>'Base DCF'!CX34</f>
        <v>0</v>
      </c>
      <c r="CS1232">
        <f>'Base DCF'!CY34</f>
        <v>0</v>
      </c>
      <c r="CT1232">
        <f>'Base DCF'!CZ34</f>
        <v>0</v>
      </c>
      <c r="CU1232">
        <f>'Base DCF'!DA34</f>
        <v>0</v>
      </c>
      <c r="CV1232">
        <f>'Base DCF'!DC34</f>
        <v>0</v>
      </c>
      <c r="CW1232">
        <f>'Base DCF'!DD34</f>
        <v>0</v>
      </c>
      <c r="CX1232">
        <f>'Base DCF'!DE34</f>
        <v>0</v>
      </c>
      <c r="CY1232">
        <f>'Base DCF'!DF34</f>
        <v>0</v>
      </c>
      <c r="CZ1232">
        <f>'Base DCF'!DG34</f>
        <v>0</v>
      </c>
      <c r="DA1232">
        <f>'Base DCF'!DH34</f>
        <v>0</v>
      </c>
    </row>
    <row r="1233" spans="1:105">
      <c r="A1233">
        <f>'Base DCF'!H35</f>
        <v>0</v>
      </c>
      <c r="B1233" t="str">
        <f>'Base DCF'!I35</f>
        <v>(÷) Fully Diluted Shares</v>
      </c>
      <c r="C1233">
        <f>'Base DCF'!J35</f>
        <v>0</v>
      </c>
      <c r="D1233">
        <f>'Base DCF'!K35</f>
        <v>0</v>
      </c>
      <c r="E1233">
        <f>'Base DCF'!L35</f>
        <v>48.351526850880582</v>
      </c>
      <c r="F1233">
        <f>'Base DCF'!M35</f>
        <v>0</v>
      </c>
      <c r="G1233">
        <f>'Base DCF'!N35</f>
        <v>0</v>
      </c>
      <c r="H1233">
        <f>'Base DCF'!O35</f>
        <v>0</v>
      </c>
      <c r="I1233">
        <f>'Base DCF'!P35</f>
        <v>0</v>
      </c>
      <c r="J1233">
        <f>'Base DCF'!Q35</f>
        <v>0</v>
      </c>
      <c r="K1233">
        <f>'Base DCF'!R35</f>
        <v>0</v>
      </c>
      <c r="L1233">
        <f>'Base DCF'!S35</f>
        <v>0</v>
      </c>
      <c r="M1233">
        <f>'Base DCF'!T35</f>
        <v>0</v>
      </c>
      <c r="N1233">
        <f>'Base DCF'!U35</f>
        <v>0</v>
      </c>
      <c r="O1233">
        <f>'Base DCF'!V35</f>
        <v>0</v>
      </c>
      <c r="P1233">
        <f>'Base DCF'!W35</f>
        <v>0</v>
      </c>
      <c r="Q1233">
        <f>'Base DCF'!X35</f>
        <v>0</v>
      </c>
      <c r="R1233">
        <f>'Base DCF'!Y35</f>
        <v>0</v>
      </c>
      <c r="S1233">
        <f>'Base DCF'!Z35</f>
        <v>0</v>
      </c>
      <c r="T1233">
        <f>'Base DCF'!AA35</f>
        <v>0</v>
      </c>
      <c r="U1233">
        <f>'Base DCF'!AB35</f>
        <v>0</v>
      </c>
      <c r="V1233">
        <f>'Base DCF'!AC35</f>
        <v>0</v>
      </c>
      <c r="W1233">
        <f>'Base DCF'!AD35</f>
        <v>0</v>
      </c>
      <c r="X1233">
        <f>'Base DCF'!AE35</f>
        <v>0</v>
      </c>
      <c r="Y1233">
        <f>'Base DCF'!AF35</f>
        <v>0</v>
      </c>
      <c r="Z1233">
        <f>'Base DCF'!AG35</f>
        <v>0</v>
      </c>
      <c r="AA1233">
        <f>'Base DCF'!AH35</f>
        <v>0</v>
      </c>
      <c r="AB1233">
        <f>'Base DCF'!AI35</f>
        <v>0</v>
      </c>
      <c r="AC1233">
        <f>'Base DCF'!AJ35</f>
        <v>0</v>
      </c>
      <c r="AD1233">
        <f>'Base DCF'!AK35</f>
        <v>0</v>
      </c>
      <c r="AE1233">
        <f>'Base DCF'!AL35</f>
        <v>0</v>
      </c>
      <c r="AF1233">
        <f>'Base DCF'!AM35</f>
        <v>0</v>
      </c>
      <c r="AG1233">
        <f>'Base DCF'!AN35</f>
        <v>0</v>
      </c>
      <c r="AH1233">
        <f>'Base DCF'!AO35</f>
        <v>0</v>
      </c>
      <c r="AI1233">
        <f>'Base DCF'!AP35</f>
        <v>0</v>
      </c>
      <c r="AJ1233">
        <f>'Base DCF'!AQ35</f>
        <v>0</v>
      </c>
      <c r="AK1233">
        <f>'Base DCF'!AR35</f>
        <v>0</v>
      </c>
      <c r="AL1233">
        <f>'Base DCF'!AS35</f>
        <v>0</v>
      </c>
      <c r="AM1233">
        <f>'Base DCF'!AT35</f>
        <v>0</v>
      </c>
      <c r="AN1233">
        <f>'Base DCF'!AU35</f>
        <v>0</v>
      </c>
      <c r="AO1233">
        <f>'Base DCF'!AV35</f>
        <v>0</v>
      </c>
      <c r="AP1233">
        <f>'Base DCF'!AW35</f>
        <v>0</v>
      </c>
      <c r="AQ1233">
        <f>'Base DCF'!AX35</f>
        <v>0</v>
      </c>
      <c r="AR1233">
        <f>'Base DCF'!AY35</f>
        <v>0</v>
      </c>
      <c r="AS1233">
        <f>'Base DCF'!AZ35</f>
        <v>0</v>
      </c>
      <c r="AT1233">
        <f>'Base DCF'!BA35</f>
        <v>0</v>
      </c>
      <c r="AU1233">
        <f>'Base DCF'!BB35</f>
        <v>0</v>
      </c>
      <c r="AV1233">
        <f>'Base DCF'!BC35</f>
        <v>0</v>
      </c>
      <c r="AW1233">
        <f>'Base DCF'!BD35</f>
        <v>0</v>
      </c>
      <c r="AX1233">
        <f>'Base DCF'!BE35</f>
        <v>0</v>
      </c>
      <c r="AY1233">
        <f>'Base DCF'!BF35</f>
        <v>0</v>
      </c>
      <c r="AZ1233">
        <f>'Base DCF'!BG35</f>
        <v>0</v>
      </c>
      <c r="BA1233">
        <f>'Base DCF'!BH35</f>
        <v>0</v>
      </c>
      <c r="BB1233">
        <f>'Base DCF'!BI35</f>
        <v>0</v>
      </c>
      <c r="BC1233">
        <f>'Base DCF'!BJ35</f>
        <v>0</v>
      </c>
      <c r="BD1233">
        <f>'Base DCF'!BK35</f>
        <v>0</v>
      </c>
      <c r="BE1233">
        <f>'Base DCF'!BL35</f>
        <v>0</v>
      </c>
      <c r="BF1233">
        <f>'Base DCF'!BM35</f>
        <v>0</v>
      </c>
      <c r="BG1233">
        <f>'Base DCF'!BN35</f>
        <v>0</v>
      </c>
      <c r="BH1233">
        <f>'Base DCF'!BO35</f>
        <v>0</v>
      </c>
      <c r="BI1233">
        <f>'Base DCF'!BP35</f>
        <v>0</v>
      </c>
      <c r="BJ1233">
        <f>'Base DCF'!BQ35</f>
        <v>0</v>
      </c>
      <c r="BK1233">
        <f>'Base DCF'!BR35</f>
        <v>0</v>
      </c>
      <c r="BL1233">
        <f>'Base DCF'!BS35</f>
        <v>0</v>
      </c>
      <c r="BM1233">
        <f>'Base DCF'!BT35</f>
        <v>0</v>
      </c>
      <c r="BN1233">
        <f>'Base DCF'!BU35</f>
        <v>0</v>
      </c>
      <c r="BO1233">
        <f>'Base DCF'!BV35</f>
        <v>0</v>
      </c>
      <c r="BP1233">
        <f>'Base DCF'!BW35</f>
        <v>0</v>
      </c>
      <c r="BQ1233">
        <f>'Base DCF'!BX35</f>
        <v>0</v>
      </c>
      <c r="BR1233">
        <f>'Base DCF'!BY35</f>
        <v>0</v>
      </c>
      <c r="BS1233">
        <f>'Base DCF'!BZ35</f>
        <v>0</v>
      </c>
      <c r="BT1233">
        <f>'Base DCF'!CA35</f>
        <v>0</v>
      </c>
      <c r="BU1233">
        <f>'Base DCF'!CB35</f>
        <v>0</v>
      </c>
      <c r="BV1233">
        <f>'Base DCF'!CC35</f>
        <v>0</v>
      </c>
      <c r="BW1233">
        <f>'Base DCF'!CD35</f>
        <v>0</v>
      </c>
      <c r="BX1233">
        <f>'Base DCF'!CE35</f>
        <v>0</v>
      </c>
      <c r="BY1233">
        <f>'Base DCF'!CF35</f>
        <v>0</v>
      </c>
      <c r="BZ1233">
        <f>'Base DCF'!CG35</f>
        <v>0</v>
      </c>
      <c r="CA1233">
        <f>'Base DCF'!CH35</f>
        <v>0</v>
      </c>
      <c r="CB1233">
        <f>'Base DCF'!CI35</f>
        <v>0</v>
      </c>
      <c r="CC1233">
        <f>'Base DCF'!CJ35</f>
        <v>0</v>
      </c>
      <c r="CD1233">
        <f>'Base DCF'!CK35</f>
        <v>0</v>
      </c>
      <c r="CE1233">
        <f>'Base DCF'!CL35</f>
        <v>0</v>
      </c>
      <c r="CF1233">
        <f>'Base DCF'!CM35</f>
        <v>0</v>
      </c>
      <c r="CG1233">
        <f>'Base DCF'!CN35</f>
        <v>0</v>
      </c>
      <c r="CH1233">
        <f>'Base DCF'!CO35</f>
        <v>0</v>
      </c>
      <c r="CI1233">
        <f>'Base DCF'!CP35</f>
        <v>0</v>
      </c>
      <c r="CJ1233">
        <f>'Base DCF'!CQ35</f>
        <v>0</v>
      </c>
      <c r="CK1233">
        <f>'Base DCF'!CR35</f>
        <v>0</v>
      </c>
      <c r="CP1233">
        <f>'Base DCF'!CV35</f>
        <v>2240.0169399344527</v>
      </c>
      <c r="CQ1233">
        <f>'Base DCF'!CW35</f>
        <v>6.3498083268344718E-2</v>
      </c>
      <c r="CR1233">
        <f>'Base DCF'!CX35</f>
        <v>6.8498083268344723E-2</v>
      </c>
      <c r="CS1233">
        <f>'Base DCF'!CY35</f>
        <v>7.3498083268344727E-2</v>
      </c>
      <c r="CT1233">
        <f>'Base DCF'!CZ35</f>
        <v>7.8498083268344732E-2</v>
      </c>
      <c r="CU1233">
        <f>'Base DCF'!DA35</f>
        <v>8.3498083268344736E-2</v>
      </c>
      <c r="CV1233">
        <f>'Base DCF'!DC35</f>
        <v>0</v>
      </c>
      <c r="CW1233">
        <f>'Base DCF'!DD35</f>
        <v>0</v>
      </c>
      <c r="CX1233">
        <f>'Base DCF'!DE35</f>
        <v>0</v>
      </c>
      <c r="CY1233">
        <f>'Base DCF'!DF35</f>
        <v>0</v>
      </c>
      <c r="CZ1233">
        <f>'Base DCF'!DG35</f>
        <v>0</v>
      </c>
      <c r="DA1233">
        <f>'Base DCF'!DH35</f>
        <v>0</v>
      </c>
    </row>
    <row r="1234" spans="1:105">
      <c r="A1234">
        <f>'Base DCF'!H36</f>
        <v>0</v>
      </c>
      <c r="B1234" t="str">
        <f>'Base DCF'!I36</f>
        <v>Implied Equity Value per Share</v>
      </c>
      <c r="C1234">
        <f>'Base DCF'!J36</f>
        <v>0</v>
      </c>
      <c r="D1234">
        <f>'Base DCF'!K36</f>
        <v>0</v>
      </c>
      <c r="E1234">
        <f>'Base DCF'!L36</f>
        <v>2240.0169399344527</v>
      </c>
      <c r="F1234">
        <f>'Base DCF'!M36</f>
        <v>0</v>
      </c>
      <c r="G1234">
        <f>'Base DCF'!N36</f>
        <v>0</v>
      </c>
      <c r="H1234">
        <f>'Base DCF'!O36</f>
        <v>0</v>
      </c>
      <c r="I1234">
        <f>'Base DCF'!P36</f>
        <v>0</v>
      </c>
      <c r="J1234">
        <f>'Base DCF'!Q36</f>
        <v>0</v>
      </c>
      <c r="K1234">
        <f>'Base DCF'!R36</f>
        <v>0</v>
      </c>
      <c r="L1234">
        <f>'Base DCF'!S36</f>
        <v>0</v>
      </c>
      <c r="M1234">
        <f>'Base DCF'!T36</f>
        <v>0</v>
      </c>
      <c r="N1234">
        <f>'Base DCF'!U36</f>
        <v>0</v>
      </c>
      <c r="O1234">
        <f>'Base DCF'!V36</f>
        <v>0</v>
      </c>
      <c r="P1234">
        <f>'Base DCF'!W36</f>
        <v>0</v>
      </c>
      <c r="Q1234">
        <f>'Base DCF'!X36</f>
        <v>0</v>
      </c>
      <c r="R1234">
        <f>'Base DCF'!Y36</f>
        <v>0</v>
      </c>
      <c r="S1234">
        <f>'Base DCF'!Z36</f>
        <v>0</v>
      </c>
      <c r="T1234">
        <f>'Base DCF'!AA36</f>
        <v>0</v>
      </c>
      <c r="U1234">
        <f>'Base DCF'!AB36</f>
        <v>0</v>
      </c>
      <c r="V1234">
        <f>'Base DCF'!AC36</f>
        <v>0</v>
      </c>
      <c r="W1234">
        <f>'Base DCF'!AD36</f>
        <v>0</v>
      </c>
      <c r="X1234">
        <f>'Base DCF'!AE36</f>
        <v>0</v>
      </c>
      <c r="Y1234">
        <f>'Base DCF'!AF36</f>
        <v>0</v>
      </c>
      <c r="Z1234">
        <f>'Base DCF'!AG36</f>
        <v>0</v>
      </c>
      <c r="AA1234">
        <f>'Base DCF'!AH36</f>
        <v>0</v>
      </c>
      <c r="AB1234">
        <f>'Base DCF'!AI36</f>
        <v>0</v>
      </c>
      <c r="AC1234">
        <f>'Base DCF'!AJ36</f>
        <v>0</v>
      </c>
      <c r="AD1234">
        <f>'Base DCF'!AK36</f>
        <v>0</v>
      </c>
      <c r="AE1234">
        <f>'Base DCF'!AL36</f>
        <v>0</v>
      </c>
      <c r="AF1234">
        <f>'Base DCF'!AM36</f>
        <v>0</v>
      </c>
      <c r="AG1234">
        <f>'Base DCF'!AN36</f>
        <v>0</v>
      </c>
      <c r="AH1234">
        <f>'Base DCF'!AO36</f>
        <v>0</v>
      </c>
      <c r="AI1234">
        <f>'Base DCF'!AP36</f>
        <v>0</v>
      </c>
      <c r="AJ1234">
        <f>'Base DCF'!AQ36</f>
        <v>0</v>
      </c>
      <c r="AK1234">
        <f>'Base DCF'!AR36</f>
        <v>0</v>
      </c>
      <c r="AL1234">
        <f>'Base DCF'!AS36</f>
        <v>0</v>
      </c>
      <c r="AM1234">
        <f>'Base DCF'!AT36</f>
        <v>0</v>
      </c>
      <c r="AN1234">
        <f>'Base DCF'!AU36</f>
        <v>0</v>
      </c>
      <c r="AO1234">
        <f>'Base DCF'!AV36</f>
        <v>0</v>
      </c>
      <c r="AP1234">
        <f>'Base DCF'!AW36</f>
        <v>0</v>
      </c>
      <c r="AQ1234">
        <f>'Base DCF'!AX36</f>
        <v>0</v>
      </c>
      <c r="AR1234">
        <f>'Base DCF'!AY36</f>
        <v>0</v>
      </c>
      <c r="AS1234">
        <f>'Base DCF'!AZ36</f>
        <v>0</v>
      </c>
      <c r="AT1234">
        <f>'Base DCF'!BA36</f>
        <v>0</v>
      </c>
      <c r="AU1234">
        <f>'Base DCF'!BB36</f>
        <v>0</v>
      </c>
      <c r="AV1234">
        <f>'Base DCF'!BC36</f>
        <v>0</v>
      </c>
      <c r="AW1234">
        <f>'Base DCF'!BD36</f>
        <v>0</v>
      </c>
      <c r="AX1234">
        <f>'Base DCF'!BE36</f>
        <v>0</v>
      </c>
      <c r="AY1234">
        <f>'Base DCF'!BF36</f>
        <v>0</v>
      </c>
      <c r="AZ1234">
        <f>'Base DCF'!BG36</f>
        <v>0</v>
      </c>
      <c r="BA1234">
        <f>'Base DCF'!BH36</f>
        <v>0</v>
      </c>
      <c r="BB1234">
        <f>'Base DCF'!BI36</f>
        <v>0</v>
      </c>
      <c r="BC1234">
        <f>'Base DCF'!BJ36</f>
        <v>0</v>
      </c>
      <c r="BD1234">
        <f>'Base DCF'!BK36</f>
        <v>0</v>
      </c>
      <c r="BE1234">
        <f>'Base DCF'!BL36</f>
        <v>0</v>
      </c>
      <c r="BF1234">
        <f>'Base DCF'!BM36</f>
        <v>0</v>
      </c>
      <c r="BG1234">
        <f>'Base DCF'!BN36</f>
        <v>0</v>
      </c>
      <c r="BH1234">
        <f>'Base DCF'!BO36</f>
        <v>0</v>
      </c>
      <c r="BI1234">
        <f>'Base DCF'!BP36</f>
        <v>0</v>
      </c>
      <c r="BJ1234">
        <f>'Base DCF'!BQ36</f>
        <v>0</v>
      </c>
      <c r="BK1234">
        <f>'Base DCF'!BR36</f>
        <v>0</v>
      </c>
      <c r="BL1234">
        <f>'Base DCF'!BS36</f>
        <v>0</v>
      </c>
      <c r="BM1234">
        <f>'Base DCF'!BT36</f>
        <v>0</v>
      </c>
      <c r="BN1234">
        <f>'Base DCF'!BU36</f>
        <v>0</v>
      </c>
      <c r="BO1234">
        <f>'Base DCF'!BV36</f>
        <v>0</v>
      </c>
      <c r="BP1234">
        <f>'Base DCF'!BW36</f>
        <v>0</v>
      </c>
      <c r="BQ1234">
        <f>'Base DCF'!BX36</f>
        <v>0</v>
      </c>
      <c r="BR1234">
        <f>'Base DCF'!BY36</f>
        <v>0</v>
      </c>
      <c r="BS1234">
        <f>'Base DCF'!BZ36</f>
        <v>0</v>
      </c>
      <c r="BT1234">
        <f>'Base DCF'!CA36</f>
        <v>0</v>
      </c>
      <c r="BU1234">
        <f>'Base DCF'!CB36</f>
        <v>0</v>
      </c>
      <c r="BV1234">
        <f>'Base DCF'!CC36</f>
        <v>0</v>
      </c>
      <c r="BW1234">
        <f>'Base DCF'!CD36</f>
        <v>0</v>
      </c>
      <c r="BX1234">
        <f>'Base DCF'!CE36</f>
        <v>0</v>
      </c>
      <c r="BY1234">
        <f>'Base DCF'!CF36</f>
        <v>0</v>
      </c>
      <c r="BZ1234">
        <f>'Base DCF'!CG36</f>
        <v>0</v>
      </c>
      <c r="CA1234">
        <f>'Base DCF'!CH36</f>
        <v>0</v>
      </c>
      <c r="CB1234">
        <f>'Base DCF'!CI36</f>
        <v>0</v>
      </c>
      <c r="CC1234">
        <f>'Base DCF'!CJ36</f>
        <v>0</v>
      </c>
      <c r="CD1234">
        <f>'Base DCF'!CK36</f>
        <v>0</v>
      </c>
      <c r="CE1234">
        <f>'Base DCF'!CL36</f>
        <v>0</v>
      </c>
      <c r="CF1234">
        <f>'Base DCF'!CM36</f>
        <v>0</v>
      </c>
      <c r="CG1234">
        <f>'Base DCF'!CN36</f>
        <v>0</v>
      </c>
      <c r="CH1234">
        <f>'Base DCF'!CO36</f>
        <v>0</v>
      </c>
      <c r="CI1234">
        <f>'Base DCF'!CP36</f>
        <v>0</v>
      </c>
      <c r="CJ1234">
        <f>'Base DCF'!CQ36</f>
        <v>0</v>
      </c>
      <c r="CK1234">
        <f>'Base DCF'!CR36</f>
        <v>0</v>
      </c>
      <c r="CP1234">
        <f>'Base DCF'!CV36</f>
        <v>1.4999999999999999E-2</v>
      </c>
      <c r="CQ1234">
        <f>'Base DCF'!CW36</f>
        <v>2547.5045333797784</v>
      </c>
      <c r="CR1234">
        <f>'Base DCF'!CX36</f>
        <v>2296.7969750163652</v>
      </c>
      <c r="CS1234">
        <f>'Base DCF'!CY36</f>
        <v>2089.2300255820178</v>
      </c>
      <c r="CT1234">
        <f>'Base DCF'!CZ36</f>
        <v>1914.6044374678338</v>
      </c>
      <c r="CU1234">
        <f>'Base DCF'!DA36</f>
        <v>1765.6992151559618</v>
      </c>
      <c r="CV1234">
        <f>'Base DCF'!DC36</f>
        <v>0</v>
      </c>
      <c r="CW1234">
        <f>'Base DCF'!DD36</f>
        <v>0</v>
      </c>
      <c r="CX1234">
        <f>'Base DCF'!DE36</f>
        <v>0</v>
      </c>
      <c r="CY1234">
        <f>'Base DCF'!DF36</f>
        <v>0</v>
      </c>
      <c r="CZ1234">
        <f>'Base DCF'!DG36</f>
        <v>0</v>
      </c>
      <c r="DA1234">
        <f>'Base DCF'!DH36</f>
        <v>0</v>
      </c>
    </row>
    <row r="1235" spans="1:105">
      <c r="A1235">
        <f>'Base DCF'!H37</f>
        <v>0</v>
      </c>
      <c r="F1235">
        <f>'Base DCF'!M37</f>
        <v>0</v>
      </c>
      <c r="G1235">
        <f>'Base DCF'!N37</f>
        <v>0</v>
      </c>
      <c r="H1235">
        <f>'Base DCF'!O37</f>
        <v>0</v>
      </c>
      <c r="I1235">
        <f>'Base DCF'!P37</f>
        <v>0</v>
      </c>
      <c r="J1235">
        <f>'Base DCF'!Q37</f>
        <v>0</v>
      </c>
      <c r="K1235">
        <f>'Base DCF'!R37</f>
        <v>0</v>
      </c>
      <c r="L1235">
        <f>'Base DCF'!S37</f>
        <v>0</v>
      </c>
      <c r="M1235">
        <f>'Base DCF'!T37</f>
        <v>0</v>
      </c>
      <c r="N1235">
        <f>'Base DCF'!U37</f>
        <v>0</v>
      </c>
      <c r="O1235">
        <f>'Base DCF'!V37</f>
        <v>0</v>
      </c>
      <c r="P1235">
        <f>'Base DCF'!W37</f>
        <v>0</v>
      </c>
      <c r="Q1235">
        <f>'Base DCF'!X37</f>
        <v>0</v>
      </c>
      <c r="R1235">
        <f>'Base DCF'!Y37</f>
        <v>0</v>
      </c>
      <c r="S1235">
        <f>'Base DCF'!Z37</f>
        <v>0</v>
      </c>
      <c r="T1235">
        <f>'Base DCF'!AA37</f>
        <v>0</v>
      </c>
      <c r="U1235">
        <f>'Base DCF'!AB37</f>
        <v>0</v>
      </c>
      <c r="V1235">
        <f>'Base DCF'!AC37</f>
        <v>0</v>
      </c>
      <c r="W1235">
        <f>'Base DCF'!AD37</f>
        <v>0</v>
      </c>
      <c r="X1235">
        <f>'Base DCF'!AE37</f>
        <v>0</v>
      </c>
      <c r="Y1235">
        <f>'Base DCF'!AF37</f>
        <v>0</v>
      </c>
      <c r="Z1235">
        <f>'Base DCF'!AG37</f>
        <v>0</v>
      </c>
      <c r="AA1235">
        <f>'Base DCF'!AH37</f>
        <v>0</v>
      </c>
      <c r="AB1235">
        <f>'Base DCF'!AI37</f>
        <v>0</v>
      </c>
      <c r="AC1235">
        <f>'Base DCF'!AJ37</f>
        <v>0</v>
      </c>
      <c r="AD1235">
        <f>'Base DCF'!AK37</f>
        <v>0</v>
      </c>
      <c r="AE1235">
        <f>'Base DCF'!AL37</f>
        <v>0</v>
      </c>
      <c r="AF1235">
        <f>'Base DCF'!AM37</f>
        <v>0</v>
      </c>
      <c r="AG1235">
        <f>'Base DCF'!AN37</f>
        <v>0</v>
      </c>
      <c r="AH1235">
        <f>'Base DCF'!AO37</f>
        <v>0</v>
      </c>
      <c r="AI1235">
        <f>'Base DCF'!AP37</f>
        <v>0</v>
      </c>
      <c r="AJ1235">
        <f>'Base DCF'!AQ37</f>
        <v>0</v>
      </c>
      <c r="AK1235">
        <f>'Base DCF'!AR37</f>
        <v>0</v>
      </c>
      <c r="AL1235">
        <f>'Base DCF'!AS37</f>
        <v>0</v>
      </c>
      <c r="AM1235">
        <f>'Base DCF'!AT37</f>
        <v>0</v>
      </c>
      <c r="AN1235">
        <f>'Base DCF'!AU37</f>
        <v>0</v>
      </c>
      <c r="AO1235">
        <f>'Base DCF'!AV37</f>
        <v>0</v>
      </c>
      <c r="AP1235">
        <f>'Base DCF'!AW37</f>
        <v>0</v>
      </c>
      <c r="AQ1235">
        <f>'Base DCF'!AX37</f>
        <v>0</v>
      </c>
      <c r="AR1235">
        <f>'Base DCF'!AY37</f>
        <v>0</v>
      </c>
      <c r="AS1235">
        <f>'Base DCF'!AZ37</f>
        <v>0</v>
      </c>
      <c r="AT1235">
        <f>'Base DCF'!BA37</f>
        <v>0</v>
      </c>
      <c r="AU1235">
        <f>'Base DCF'!BB37</f>
        <v>0</v>
      </c>
      <c r="AV1235">
        <f>'Base DCF'!BC37</f>
        <v>0</v>
      </c>
      <c r="AW1235">
        <f>'Base DCF'!BD37</f>
        <v>0</v>
      </c>
      <c r="AX1235">
        <f>'Base DCF'!BE37</f>
        <v>0</v>
      </c>
      <c r="AY1235">
        <f>'Base DCF'!BF37</f>
        <v>0</v>
      </c>
      <c r="AZ1235">
        <f>'Base DCF'!BG37</f>
        <v>0</v>
      </c>
      <c r="BA1235">
        <f>'Base DCF'!BH37</f>
        <v>0</v>
      </c>
      <c r="BB1235">
        <f>'Base DCF'!BI37</f>
        <v>0</v>
      </c>
      <c r="BC1235">
        <f>'Base DCF'!BJ37</f>
        <v>0</v>
      </c>
      <c r="BD1235">
        <f>'Base DCF'!BK37</f>
        <v>0</v>
      </c>
      <c r="BE1235">
        <f>'Base DCF'!BL37</f>
        <v>0</v>
      </c>
      <c r="BF1235">
        <f>'Base DCF'!BM37</f>
        <v>0</v>
      </c>
      <c r="BG1235">
        <f>'Base DCF'!BN37</f>
        <v>0</v>
      </c>
      <c r="BH1235">
        <f>'Base DCF'!BO37</f>
        <v>0</v>
      </c>
      <c r="BI1235">
        <f>'Base DCF'!BP37</f>
        <v>0</v>
      </c>
      <c r="BJ1235">
        <f>'Base DCF'!BQ37</f>
        <v>0</v>
      </c>
      <c r="BK1235">
        <f>'Base DCF'!BR37</f>
        <v>0</v>
      </c>
      <c r="BL1235">
        <f>'Base DCF'!BS37</f>
        <v>0</v>
      </c>
      <c r="BM1235">
        <f>'Base DCF'!BT37</f>
        <v>0</v>
      </c>
      <c r="BN1235">
        <f>'Base DCF'!BU37</f>
        <v>0</v>
      </c>
      <c r="BO1235">
        <f>'Base DCF'!BV37</f>
        <v>0</v>
      </c>
      <c r="BP1235">
        <f>'Base DCF'!BW37</f>
        <v>0</v>
      </c>
      <c r="BQ1235">
        <f>'Base DCF'!BX37</f>
        <v>0</v>
      </c>
      <c r="BR1235">
        <f>'Base DCF'!BY37</f>
        <v>0</v>
      </c>
      <c r="BS1235">
        <f>'Base DCF'!BZ37</f>
        <v>0</v>
      </c>
      <c r="BT1235">
        <f>'Base DCF'!CA37</f>
        <v>0</v>
      </c>
      <c r="BU1235">
        <f>'Base DCF'!CB37</f>
        <v>0</v>
      </c>
      <c r="BV1235">
        <f>'Base DCF'!CC37</f>
        <v>0</v>
      </c>
      <c r="BW1235">
        <f>'Base DCF'!CD37</f>
        <v>0</v>
      </c>
      <c r="BX1235">
        <f>'Base DCF'!CE37</f>
        <v>0</v>
      </c>
      <c r="BY1235">
        <f>'Base DCF'!CF37</f>
        <v>0</v>
      </c>
      <c r="BZ1235">
        <f>'Base DCF'!CG37</f>
        <v>0</v>
      </c>
      <c r="CA1235">
        <f>'Base DCF'!CH37</f>
        <v>0</v>
      </c>
      <c r="CB1235">
        <f>'Base DCF'!CI37</f>
        <v>0</v>
      </c>
      <c r="CC1235">
        <f>'Base DCF'!CJ37</f>
        <v>0</v>
      </c>
      <c r="CD1235">
        <f>'Base DCF'!CK37</f>
        <v>0</v>
      </c>
      <c r="CE1235">
        <f>'Base DCF'!CL37</f>
        <v>0</v>
      </c>
      <c r="CF1235">
        <f>'Base DCF'!CM37</f>
        <v>0</v>
      </c>
      <c r="CG1235">
        <f>'Base DCF'!CN37</f>
        <v>0</v>
      </c>
      <c r="CH1235">
        <f>'Base DCF'!CO37</f>
        <v>0</v>
      </c>
      <c r="CI1235">
        <f>'Base DCF'!CP37</f>
        <v>0</v>
      </c>
      <c r="CJ1235">
        <f>'Base DCF'!CQ37</f>
        <v>0</v>
      </c>
      <c r="CK1235">
        <f>'Base DCF'!CR37</f>
        <v>0</v>
      </c>
      <c r="CP1235">
        <f>'Base DCF'!CV37</f>
        <v>0.02</v>
      </c>
      <c r="CQ1235">
        <f>'Base DCF'!CW37</f>
        <v>2793.0491277621304</v>
      </c>
      <c r="CR1235">
        <f>'Base DCF'!CX37</f>
        <v>2491.7364568748799</v>
      </c>
      <c r="CS1235">
        <f>'Base DCF'!CY37</f>
        <v>2247.0464479897132</v>
      </c>
      <c r="CT1235">
        <f>'Base DCF'!CZ37</f>
        <v>2044.4512093124531</v>
      </c>
      <c r="CU1235">
        <f>'Base DCF'!DA37</f>
        <v>1873.9990075729354</v>
      </c>
      <c r="CV1235">
        <f>'Base DCF'!DC37</f>
        <v>0</v>
      </c>
      <c r="CW1235">
        <f>'Base DCF'!DD37</f>
        <v>0</v>
      </c>
      <c r="CX1235">
        <f>'Base DCF'!DE37</f>
        <v>0</v>
      </c>
      <c r="CY1235">
        <f>'Base DCF'!DF37</f>
        <v>0</v>
      </c>
      <c r="CZ1235">
        <f>'Base DCF'!DG37</f>
        <v>0</v>
      </c>
      <c r="DA1235">
        <f>'Base DCF'!DH37</f>
        <v>0</v>
      </c>
    </row>
    <row r="1236" spans="1:105">
      <c r="A1236">
        <f>'Base DCF'!H38</f>
        <v>0</v>
      </c>
      <c r="B1236" t="str">
        <f>'Base DCF'!I39</f>
        <v>DCF Valuation Assumptions</v>
      </c>
      <c r="C1236">
        <f>'Base DCF'!J39</f>
        <v>0</v>
      </c>
      <c r="D1236">
        <f>'Base DCF'!K39</f>
        <v>0</v>
      </c>
      <c r="E1236">
        <f>'Base DCF'!L39</f>
        <v>0</v>
      </c>
      <c r="F1236">
        <f>'Base DCF'!M38</f>
        <v>0</v>
      </c>
      <c r="G1236">
        <f>'Base DCF'!N38</f>
        <v>0</v>
      </c>
      <c r="H1236">
        <f>'Base DCF'!O38</f>
        <v>0</v>
      </c>
      <c r="I1236">
        <f>'Base DCF'!P38</f>
        <v>0</v>
      </c>
      <c r="J1236">
        <f>'Base DCF'!Q38</f>
        <v>0</v>
      </c>
      <c r="K1236">
        <f>'Base DCF'!R38</f>
        <v>0</v>
      </c>
      <c r="L1236">
        <f>'Base DCF'!S38</f>
        <v>0</v>
      </c>
      <c r="M1236">
        <f>'Base DCF'!T38</f>
        <v>0</v>
      </c>
      <c r="N1236">
        <f>'Base DCF'!U38</f>
        <v>0</v>
      </c>
      <c r="O1236">
        <f>'Base DCF'!V38</f>
        <v>0</v>
      </c>
      <c r="P1236">
        <f>'Base DCF'!W38</f>
        <v>0</v>
      </c>
      <c r="Q1236">
        <f>'Base DCF'!X38</f>
        <v>0</v>
      </c>
      <c r="R1236">
        <f>'Base DCF'!Y38</f>
        <v>0</v>
      </c>
      <c r="S1236">
        <f>'Base DCF'!Z38</f>
        <v>0</v>
      </c>
      <c r="T1236">
        <f>'Base DCF'!AA38</f>
        <v>0</v>
      </c>
      <c r="U1236">
        <f>'Base DCF'!AB38</f>
        <v>0</v>
      </c>
      <c r="V1236">
        <f>'Base DCF'!AC38</f>
        <v>0</v>
      </c>
      <c r="W1236">
        <f>'Base DCF'!AD38</f>
        <v>0</v>
      </c>
      <c r="X1236">
        <f>'Base DCF'!AE38</f>
        <v>0</v>
      </c>
      <c r="Y1236">
        <f>'Base DCF'!AF38</f>
        <v>0</v>
      </c>
      <c r="Z1236">
        <f>'Base DCF'!AG38</f>
        <v>0</v>
      </c>
      <c r="AA1236">
        <f>'Base DCF'!AH38</f>
        <v>0</v>
      </c>
      <c r="AB1236">
        <f>'Base DCF'!AI38</f>
        <v>0</v>
      </c>
      <c r="AC1236">
        <f>'Base DCF'!AJ38</f>
        <v>0</v>
      </c>
      <c r="AD1236">
        <f>'Base DCF'!AK38</f>
        <v>0</v>
      </c>
      <c r="AE1236">
        <f>'Base DCF'!AL38</f>
        <v>0</v>
      </c>
      <c r="AF1236">
        <f>'Base DCF'!AM38</f>
        <v>0</v>
      </c>
      <c r="AG1236">
        <f>'Base DCF'!AN38</f>
        <v>0</v>
      </c>
      <c r="AH1236">
        <f>'Base DCF'!AO38</f>
        <v>0</v>
      </c>
      <c r="AI1236">
        <f>'Base DCF'!AP38</f>
        <v>0</v>
      </c>
      <c r="AJ1236">
        <f>'Base DCF'!AQ38</f>
        <v>0</v>
      </c>
      <c r="AK1236">
        <f>'Base DCF'!AR38</f>
        <v>0</v>
      </c>
      <c r="AL1236">
        <f>'Base DCF'!AS38</f>
        <v>0</v>
      </c>
      <c r="AM1236">
        <f>'Base DCF'!AT38</f>
        <v>0</v>
      </c>
      <c r="AN1236">
        <f>'Base DCF'!AU38</f>
        <v>0</v>
      </c>
      <c r="AO1236">
        <f>'Base DCF'!AV38</f>
        <v>0</v>
      </c>
      <c r="AP1236">
        <f>'Base DCF'!AW38</f>
        <v>0</v>
      </c>
      <c r="AQ1236">
        <f>'Base DCF'!AX38</f>
        <v>0</v>
      </c>
      <c r="AR1236">
        <f>'Base DCF'!AY38</f>
        <v>0</v>
      </c>
      <c r="AS1236">
        <f>'Base DCF'!AZ38</f>
        <v>0</v>
      </c>
      <c r="AT1236">
        <f>'Base DCF'!BA38</f>
        <v>0</v>
      </c>
      <c r="AU1236">
        <f>'Base DCF'!BB38</f>
        <v>0</v>
      </c>
      <c r="AV1236">
        <f>'Base DCF'!BC38</f>
        <v>0</v>
      </c>
      <c r="AW1236">
        <f>'Base DCF'!BD38</f>
        <v>0</v>
      </c>
      <c r="AX1236">
        <f>'Base DCF'!BE38</f>
        <v>0</v>
      </c>
      <c r="AY1236">
        <f>'Base DCF'!BF38</f>
        <v>0</v>
      </c>
      <c r="AZ1236">
        <f>'Base DCF'!BG38</f>
        <v>0</v>
      </c>
      <c r="BA1236">
        <f>'Base DCF'!BH38</f>
        <v>0</v>
      </c>
      <c r="BB1236">
        <f>'Base DCF'!BI38</f>
        <v>0</v>
      </c>
      <c r="BC1236">
        <f>'Base DCF'!BJ38</f>
        <v>0</v>
      </c>
      <c r="BD1236">
        <f>'Base DCF'!BK38</f>
        <v>0</v>
      </c>
      <c r="BE1236">
        <f>'Base DCF'!BL38</f>
        <v>0</v>
      </c>
      <c r="BF1236">
        <f>'Base DCF'!BM38</f>
        <v>0</v>
      </c>
      <c r="BG1236">
        <f>'Base DCF'!BN38</f>
        <v>0</v>
      </c>
      <c r="BH1236">
        <f>'Base DCF'!BO38</f>
        <v>0</v>
      </c>
      <c r="BI1236">
        <f>'Base DCF'!BP38</f>
        <v>0</v>
      </c>
      <c r="BJ1236">
        <f>'Base DCF'!BQ38</f>
        <v>0</v>
      </c>
      <c r="BK1236">
        <f>'Base DCF'!BR38</f>
        <v>0</v>
      </c>
      <c r="BL1236">
        <f>'Base DCF'!BS38</f>
        <v>0</v>
      </c>
      <c r="BM1236">
        <f>'Base DCF'!BT38</f>
        <v>0</v>
      </c>
      <c r="BN1236">
        <f>'Base DCF'!BU38</f>
        <v>0</v>
      </c>
      <c r="BO1236">
        <f>'Base DCF'!BV38</f>
        <v>0</v>
      </c>
      <c r="BP1236">
        <f>'Base DCF'!BW38</f>
        <v>0</v>
      </c>
      <c r="BQ1236">
        <f>'Base DCF'!BX38</f>
        <v>0</v>
      </c>
      <c r="BR1236">
        <f>'Base DCF'!BY38</f>
        <v>0</v>
      </c>
      <c r="BS1236">
        <f>'Base DCF'!BZ38</f>
        <v>0</v>
      </c>
      <c r="BT1236">
        <f>'Base DCF'!CA38</f>
        <v>0</v>
      </c>
      <c r="BU1236">
        <f>'Base DCF'!CB38</f>
        <v>0</v>
      </c>
      <c r="BV1236">
        <f>'Base DCF'!CC38</f>
        <v>0</v>
      </c>
      <c r="BW1236">
        <f>'Base DCF'!CD38</f>
        <v>0</v>
      </c>
      <c r="BX1236">
        <f>'Base DCF'!CE38</f>
        <v>0</v>
      </c>
      <c r="BY1236">
        <f>'Base DCF'!CF38</f>
        <v>0</v>
      </c>
      <c r="BZ1236">
        <f>'Base DCF'!CG38</f>
        <v>0</v>
      </c>
      <c r="CA1236">
        <f>'Base DCF'!CH38</f>
        <v>0</v>
      </c>
      <c r="CB1236">
        <f>'Base DCF'!CI38</f>
        <v>0</v>
      </c>
      <c r="CC1236">
        <f>'Base DCF'!CJ38</f>
        <v>0</v>
      </c>
      <c r="CD1236">
        <f>'Base DCF'!CK38</f>
        <v>0</v>
      </c>
      <c r="CE1236">
        <f>'Base DCF'!CL38</f>
        <v>0</v>
      </c>
      <c r="CF1236">
        <f>'Base DCF'!CM38</f>
        <v>0</v>
      </c>
      <c r="CG1236">
        <f>'Base DCF'!CN38</f>
        <v>0</v>
      </c>
      <c r="CH1236">
        <f>'Base DCF'!CO38</f>
        <v>0</v>
      </c>
      <c r="CI1236">
        <f>'Base DCF'!CP38</f>
        <v>0</v>
      </c>
      <c r="CJ1236">
        <f>'Base DCF'!CQ38</f>
        <v>0</v>
      </c>
      <c r="CK1236">
        <f>'Base DCF'!CR38</f>
        <v>0</v>
      </c>
      <c r="CP1236">
        <f>'Base DCF'!CV38</f>
        <v>2.5000000000000001E-2</v>
      </c>
      <c r="CQ1236">
        <f>'Base DCF'!CW38</f>
        <v>3102.4938996954947</v>
      </c>
      <c r="CR1236">
        <f>'Base DCF'!CX38</f>
        <v>2731.5936656429944</v>
      </c>
      <c r="CS1236">
        <f>'Base DCF'!CY38</f>
        <v>2437.4922356064912</v>
      </c>
      <c r="CT1236">
        <f>'Base DCF'!CZ38</f>
        <v>2198.647033448317</v>
      </c>
      <c r="CU1236">
        <f>'Base DCF'!DA38</f>
        <v>2000.8810379272461</v>
      </c>
      <c r="CV1236">
        <f>'Base DCF'!DC38</f>
        <v>0</v>
      </c>
      <c r="CW1236">
        <f>'Base DCF'!DD38</f>
        <v>0</v>
      </c>
      <c r="CX1236">
        <f>'Base DCF'!DE38</f>
        <v>0</v>
      </c>
      <c r="CY1236">
        <f>'Base DCF'!DF38</f>
        <v>0</v>
      </c>
      <c r="CZ1236">
        <f>'Base DCF'!DG38</f>
        <v>0</v>
      </c>
      <c r="DA1236">
        <f>'Base DCF'!DH38</f>
        <v>0</v>
      </c>
    </row>
    <row r="1237" spans="1:105">
      <c r="A1237">
        <f>'Base DCF'!H39</f>
        <v>0</v>
      </c>
      <c r="B1237" t="str">
        <f>'Base DCF'!I40</f>
        <v>Valuation Date</v>
      </c>
      <c r="C1237">
        <f>'Base DCF'!J40</f>
        <v>0</v>
      </c>
      <c r="D1237">
        <f>'Base DCF'!K40</f>
        <v>0</v>
      </c>
      <c r="E1237" t="str">
        <f>'Base DCF'!L40</f>
        <v>One year forward</v>
      </c>
      <c r="F1237">
        <f>'Base DCF'!M39</f>
        <v>0</v>
      </c>
      <c r="G1237">
        <f>'Base DCF'!N39</f>
        <v>0</v>
      </c>
      <c r="H1237">
        <f>'Base DCF'!O39</f>
        <v>0</v>
      </c>
      <c r="I1237">
        <f>'Base DCF'!P39</f>
        <v>0</v>
      </c>
      <c r="J1237">
        <f>'Base DCF'!Q39</f>
        <v>0</v>
      </c>
      <c r="K1237">
        <f>'Base DCF'!R39</f>
        <v>0</v>
      </c>
      <c r="L1237">
        <f>'Base DCF'!S39</f>
        <v>0</v>
      </c>
      <c r="M1237">
        <f>'Base DCF'!T39</f>
        <v>0</v>
      </c>
      <c r="N1237">
        <f>'Base DCF'!U39</f>
        <v>0</v>
      </c>
      <c r="O1237">
        <f>'Base DCF'!V39</f>
        <v>0</v>
      </c>
      <c r="P1237">
        <f>'Base DCF'!W39</f>
        <v>0</v>
      </c>
      <c r="Q1237">
        <f>'Base DCF'!X39</f>
        <v>0</v>
      </c>
      <c r="R1237">
        <f>'Base DCF'!Y39</f>
        <v>0</v>
      </c>
      <c r="S1237">
        <f>'Base DCF'!Z39</f>
        <v>0</v>
      </c>
      <c r="T1237">
        <f>'Base DCF'!AA39</f>
        <v>0</v>
      </c>
      <c r="U1237">
        <f>'Base DCF'!AB39</f>
        <v>0</v>
      </c>
      <c r="V1237">
        <f>'Base DCF'!AC39</f>
        <v>0</v>
      </c>
      <c r="W1237">
        <f>'Base DCF'!AD39</f>
        <v>0</v>
      </c>
      <c r="X1237">
        <f>'Base DCF'!AE39</f>
        <v>0</v>
      </c>
      <c r="Y1237">
        <f>'Base DCF'!AF39</f>
        <v>0</v>
      </c>
      <c r="Z1237">
        <f>'Base DCF'!AG39</f>
        <v>0</v>
      </c>
      <c r="AA1237">
        <f>'Base DCF'!AH39</f>
        <v>0</v>
      </c>
      <c r="AB1237">
        <f>'Base DCF'!AI39</f>
        <v>0</v>
      </c>
      <c r="AC1237">
        <f>'Base DCF'!AJ39</f>
        <v>0</v>
      </c>
      <c r="AD1237">
        <f>'Base DCF'!AK39</f>
        <v>0</v>
      </c>
      <c r="AE1237">
        <f>'Base DCF'!AL39</f>
        <v>0</v>
      </c>
      <c r="AF1237">
        <f>'Base DCF'!AM39</f>
        <v>0</v>
      </c>
      <c r="AG1237">
        <f>'Base DCF'!AN39</f>
        <v>0</v>
      </c>
      <c r="AH1237">
        <f>'Base DCF'!AO39</f>
        <v>0</v>
      </c>
      <c r="AI1237">
        <f>'Base DCF'!AP39</f>
        <v>0</v>
      </c>
      <c r="AJ1237">
        <f>'Base DCF'!AQ39</f>
        <v>0</v>
      </c>
      <c r="AK1237">
        <f>'Base DCF'!AR39</f>
        <v>0</v>
      </c>
      <c r="AL1237">
        <f>'Base DCF'!AS39</f>
        <v>0</v>
      </c>
      <c r="AM1237">
        <f>'Base DCF'!AT39</f>
        <v>0</v>
      </c>
      <c r="AN1237">
        <f>'Base DCF'!AU39</f>
        <v>0</v>
      </c>
      <c r="AO1237">
        <f>'Base DCF'!AV39</f>
        <v>0</v>
      </c>
      <c r="AP1237">
        <f>'Base DCF'!AW39</f>
        <v>0</v>
      </c>
      <c r="AQ1237">
        <f>'Base DCF'!AX39</f>
        <v>0</v>
      </c>
      <c r="AR1237">
        <f>'Base DCF'!AY39</f>
        <v>0</v>
      </c>
      <c r="AS1237">
        <f>'Base DCF'!AZ39</f>
        <v>0</v>
      </c>
      <c r="AT1237">
        <f>'Base DCF'!BA39</f>
        <v>0</v>
      </c>
      <c r="AU1237">
        <f>'Base DCF'!BB39</f>
        <v>0</v>
      </c>
      <c r="AV1237">
        <f>'Base DCF'!BC39</f>
        <v>0</v>
      </c>
      <c r="AW1237">
        <f>'Base DCF'!BD39</f>
        <v>0</v>
      </c>
      <c r="AX1237">
        <f>'Base DCF'!BE39</f>
        <v>0</v>
      </c>
      <c r="AY1237">
        <f>'Base DCF'!BF39</f>
        <v>0</v>
      </c>
      <c r="AZ1237">
        <f>'Base DCF'!BG39</f>
        <v>0</v>
      </c>
      <c r="BA1237">
        <f>'Base DCF'!BH39</f>
        <v>0</v>
      </c>
      <c r="BB1237">
        <f>'Base DCF'!BI39</f>
        <v>0</v>
      </c>
      <c r="BC1237">
        <f>'Base DCF'!BJ39</f>
        <v>0</v>
      </c>
      <c r="BD1237">
        <f>'Base DCF'!BK39</f>
        <v>0</v>
      </c>
      <c r="BE1237">
        <f>'Base DCF'!BL39</f>
        <v>0</v>
      </c>
      <c r="BF1237">
        <f>'Base DCF'!BM39</f>
        <v>0</v>
      </c>
      <c r="BG1237">
        <f>'Base DCF'!BN39</f>
        <v>0</v>
      </c>
      <c r="BH1237">
        <f>'Base DCF'!BO39</f>
        <v>0</v>
      </c>
      <c r="BI1237">
        <f>'Base DCF'!BP39</f>
        <v>0</v>
      </c>
      <c r="BJ1237">
        <f>'Base DCF'!BQ39</f>
        <v>0</v>
      </c>
      <c r="BK1237">
        <f>'Base DCF'!BR39</f>
        <v>0</v>
      </c>
      <c r="BL1237">
        <f>'Base DCF'!BS39</f>
        <v>0</v>
      </c>
      <c r="BM1237">
        <f>'Base DCF'!BT39</f>
        <v>0</v>
      </c>
      <c r="BN1237">
        <f>'Base DCF'!BU39</f>
        <v>0</v>
      </c>
      <c r="BO1237">
        <f>'Base DCF'!BV39</f>
        <v>0</v>
      </c>
      <c r="BP1237">
        <f>'Base DCF'!BW39</f>
        <v>0</v>
      </c>
      <c r="BQ1237">
        <f>'Base DCF'!BX39</f>
        <v>0</v>
      </c>
      <c r="BR1237">
        <f>'Base DCF'!BY39</f>
        <v>0</v>
      </c>
      <c r="BS1237">
        <f>'Base DCF'!BZ39</f>
        <v>0</v>
      </c>
      <c r="BT1237">
        <f>'Base DCF'!CA39</f>
        <v>0</v>
      </c>
      <c r="BU1237">
        <f>'Base DCF'!CB39</f>
        <v>0</v>
      </c>
      <c r="BV1237">
        <f>'Base DCF'!CC39</f>
        <v>0</v>
      </c>
      <c r="BW1237">
        <f>'Base DCF'!CD39</f>
        <v>0</v>
      </c>
      <c r="BX1237">
        <f>'Base DCF'!CE39</f>
        <v>0</v>
      </c>
      <c r="BY1237">
        <f>'Base DCF'!CF39</f>
        <v>0</v>
      </c>
      <c r="BZ1237">
        <f>'Base DCF'!CG39</f>
        <v>0</v>
      </c>
      <c r="CA1237">
        <f>'Base DCF'!CH39</f>
        <v>0</v>
      </c>
      <c r="CB1237">
        <f>'Base DCF'!CI39</f>
        <v>0</v>
      </c>
      <c r="CC1237">
        <f>'Base DCF'!CJ39</f>
        <v>0</v>
      </c>
      <c r="CD1237">
        <f>'Base DCF'!CK39</f>
        <v>0</v>
      </c>
      <c r="CE1237">
        <f>'Base DCF'!CL39</f>
        <v>0</v>
      </c>
      <c r="CF1237">
        <f>'Base DCF'!CM39</f>
        <v>0</v>
      </c>
      <c r="CG1237">
        <f>'Base DCF'!CN39</f>
        <v>0</v>
      </c>
      <c r="CH1237">
        <f>'Base DCF'!CO39</f>
        <v>0</v>
      </c>
      <c r="CI1237">
        <f>'Base DCF'!CP39</f>
        <v>0</v>
      </c>
      <c r="CJ1237">
        <f>'Base DCF'!CQ39</f>
        <v>0</v>
      </c>
      <c r="CK1237">
        <f>'Base DCF'!CR39</f>
        <v>0</v>
      </c>
      <c r="CL1237">
        <f>'Base DCF'!CS39</f>
        <v>0</v>
      </c>
      <c r="CM1237">
        <f>'Base DCF'!CT39</f>
        <v>0</v>
      </c>
      <c r="CN1237">
        <f>'Base DCF'!CU39</f>
        <v>0</v>
      </c>
      <c r="CO1237">
        <f>'Base DCF'!CV39</f>
        <v>0</v>
      </c>
      <c r="CP1237">
        <f>'Base DCF'!CW39</f>
        <v>0</v>
      </c>
      <c r="CQ1237">
        <f>'Base DCF'!CX39</f>
        <v>0</v>
      </c>
      <c r="CR1237">
        <f>'Base DCF'!CY39</f>
        <v>0</v>
      </c>
      <c r="CS1237">
        <f>'Base DCF'!CZ39</f>
        <v>0</v>
      </c>
      <c r="CT1237">
        <f>'Base DCF'!DA39</f>
        <v>0</v>
      </c>
      <c r="CU1237">
        <f>'Base DCF'!DB39</f>
        <v>0</v>
      </c>
      <c r="CV1237">
        <f>'Base DCF'!DC39</f>
        <v>0</v>
      </c>
      <c r="CW1237">
        <f>'Base DCF'!DD39</f>
        <v>0</v>
      </c>
      <c r="CX1237">
        <f>'Base DCF'!DE39</f>
        <v>0</v>
      </c>
      <c r="CY1237">
        <f>'Base DCF'!DF39</f>
        <v>0</v>
      </c>
      <c r="CZ1237">
        <f>'Base DCF'!DG39</f>
        <v>0</v>
      </c>
      <c r="DA1237">
        <f>'Base DCF'!DH39</f>
        <v>0</v>
      </c>
    </row>
    <row r="1238" spans="1:105">
      <c r="A1238">
        <f>'Base DCF'!H40</f>
        <v>0</v>
      </c>
      <c r="B1238" t="str">
        <f>'Base DCF'!I45</f>
        <v>WACC</v>
      </c>
      <c r="C1238">
        <f>'Base DCF'!J45</f>
        <v>0</v>
      </c>
      <c r="D1238">
        <f>'Base DCF'!K45</f>
        <v>0</v>
      </c>
      <c r="E1238">
        <f>'Base DCF'!L45</f>
        <v>7.3384836379991533E-2</v>
      </c>
      <c r="F1238">
        <f>'Base DCF'!M40</f>
        <v>0</v>
      </c>
      <c r="G1238">
        <f>'Base DCF'!N40</f>
        <v>0</v>
      </c>
      <c r="H1238">
        <f>'Base DCF'!O40</f>
        <v>0</v>
      </c>
      <c r="I1238">
        <f>'Base DCF'!P40</f>
        <v>0</v>
      </c>
      <c r="J1238">
        <f>'Base DCF'!Q40</f>
        <v>0</v>
      </c>
      <c r="K1238">
        <f>'Base DCF'!R40</f>
        <v>0</v>
      </c>
      <c r="L1238">
        <f>'Base DCF'!S40</f>
        <v>0</v>
      </c>
      <c r="M1238">
        <f>'Base DCF'!T40</f>
        <v>0</v>
      </c>
      <c r="N1238">
        <f>'Base DCF'!U40</f>
        <v>0</v>
      </c>
      <c r="O1238">
        <f>'Base DCF'!V40</f>
        <v>0</v>
      </c>
      <c r="P1238">
        <f>'Base DCF'!W40</f>
        <v>0</v>
      </c>
      <c r="Q1238">
        <f>'Base DCF'!X40</f>
        <v>0</v>
      </c>
      <c r="R1238">
        <f>'Base DCF'!Y40</f>
        <v>0</v>
      </c>
      <c r="S1238">
        <f>'Base DCF'!Z40</f>
        <v>0</v>
      </c>
      <c r="T1238">
        <f>'Base DCF'!AA40</f>
        <v>0</v>
      </c>
      <c r="U1238">
        <f>'Base DCF'!AB40</f>
        <v>0</v>
      </c>
      <c r="V1238">
        <f>'Base DCF'!AC40</f>
        <v>0</v>
      </c>
      <c r="W1238">
        <f>'Base DCF'!AD40</f>
        <v>0</v>
      </c>
      <c r="X1238">
        <f>'Base DCF'!AE40</f>
        <v>0</v>
      </c>
      <c r="Y1238">
        <f>'Base DCF'!AF40</f>
        <v>0</v>
      </c>
      <c r="Z1238">
        <f>'Base DCF'!AG40</f>
        <v>0</v>
      </c>
      <c r="AA1238">
        <f>'Base DCF'!AH40</f>
        <v>0</v>
      </c>
      <c r="AB1238">
        <f>'Base DCF'!AI40</f>
        <v>0</v>
      </c>
      <c r="AC1238">
        <f>'Base DCF'!AJ40</f>
        <v>0</v>
      </c>
      <c r="AD1238">
        <f>'Base DCF'!AK40</f>
        <v>0</v>
      </c>
      <c r="AE1238">
        <f>'Base DCF'!AL40</f>
        <v>0</v>
      </c>
      <c r="AF1238">
        <f>'Base DCF'!AM40</f>
        <v>0</v>
      </c>
      <c r="AG1238">
        <f>'Base DCF'!AN40</f>
        <v>0</v>
      </c>
      <c r="AH1238">
        <f>'Base DCF'!AO40</f>
        <v>0</v>
      </c>
      <c r="AI1238">
        <f>'Base DCF'!AP40</f>
        <v>0</v>
      </c>
      <c r="AJ1238">
        <f>'Base DCF'!AQ40</f>
        <v>0</v>
      </c>
      <c r="AK1238">
        <f>'Base DCF'!AR40</f>
        <v>0</v>
      </c>
      <c r="AL1238">
        <f>'Base DCF'!AS40</f>
        <v>0</v>
      </c>
      <c r="AM1238">
        <f>'Base DCF'!AT40</f>
        <v>0</v>
      </c>
      <c r="AN1238">
        <f>'Base DCF'!AU40</f>
        <v>0</v>
      </c>
      <c r="AO1238">
        <f>'Base DCF'!AV40</f>
        <v>0</v>
      </c>
      <c r="AP1238">
        <f>'Base DCF'!AW40</f>
        <v>0</v>
      </c>
      <c r="AQ1238">
        <f>'Base DCF'!AX40</f>
        <v>0</v>
      </c>
      <c r="AR1238">
        <f>'Base DCF'!AY40</f>
        <v>0</v>
      </c>
      <c r="AS1238">
        <f>'Base DCF'!AZ40</f>
        <v>0</v>
      </c>
      <c r="AT1238">
        <f>'Base DCF'!BA40</f>
        <v>0</v>
      </c>
      <c r="AU1238">
        <f>'Base DCF'!BB40</f>
        <v>0</v>
      </c>
      <c r="AV1238">
        <f>'Base DCF'!BC40</f>
        <v>0</v>
      </c>
      <c r="AW1238">
        <f>'Base DCF'!BD40</f>
        <v>0</v>
      </c>
      <c r="AX1238">
        <f>'Base DCF'!BE40</f>
        <v>0</v>
      </c>
      <c r="AY1238">
        <f>'Base DCF'!BF40</f>
        <v>0</v>
      </c>
      <c r="AZ1238">
        <f>'Base DCF'!BG40</f>
        <v>0</v>
      </c>
      <c r="BA1238">
        <f>'Base DCF'!BH40</f>
        <v>0</v>
      </c>
      <c r="BB1238">
        <f>'Base DCF'!BI40</f>
        <v>0</v>
      </c>
      <c r="BC1238">
        <f>'Base DCF'!BJ40</f>
        <v>0</v>
      </c>
      <c r="BD1238">
        <f>'Base DCF'!BK40</f>
        <v>0</v>
      </c>
      <c r="BE1238">
        <f>'Base DCF'!BL40</f>
        <v>0</v>
      </c>
      <c r="BF1238">
        <f>'Base DCF'!BM40</f>
        <v>0</v>
      </c>
      <c r="BG1238">
        <f>'Base DCF'!BN40</f>
        <v>0</v>
      </c>
      <c r="BH1238">
        <f>'Base DCF'!BO40</f>
        <v>0</v>
      </c>
      <c r="BI1238">
        <f>'Base DCF'!BP40</f>
        <v>0</v>
      </c>
      <c r="BJ1238">
        <f>'Base DCF'!BQ40</f>
        <v>0</v>
      </c>
      <c r="BK1238">
        <f>'Base DCF'!BR40</f>
        <v>0</v>
      </c>
      <c r="BL1238">
        <f>'Base DCF'!BS40</f>
        <v>0</v>
      </c>
      <c r="BM1238">
        <f>'Base DCF'!BT40</f>
        <v>0</v>
      </c>
      <c r="BN1238">
        <f>'Base DCF'!BU40</f>
        <v>0</v>
      </c>
      <c r="BO1238">
        <f>'Base DCF'!BV40</f>
        <v>0</v>
      </c>
      <c r="BP1238">
        <f>'Base DCF'!BW40</f>
        <v>0</v>
      </c>
      <c r="BQ1238">
        <f>'Base DCF'!BX40</f>
        <v>0</v>
      </c>
      <c r="BR1238">
        <f>'Base DCF'!BY40</f>
        <v>0</v>
      </c>
      <c r="BS1238">
        <f>'Base DCF'!BZ40</f>
        <v>0</v>
      </c>
      <c r="BT1238">
        <f>'Base DCF'!CA40</f>
        <v>0</v>
      </c>
      <c r="BU1238">
        <f>'Base DCF'!CB40</f>
        <v>0</v>
      </c>
      <c r="BV1238">
        <f>'Base DCF'!CC40</f>
        <v>0</v>
      </c>
      <c r="BW1238">
        <f>'Base DCF'!CD40</f>
        <v>0</v>
      </c>
      <c r="BX1238">
        <f>'Base DCF'!CE40</f>
        <v>0</v>
      </c>
      <c r="BY1238">
        <f>'Base DCF'!CF40</f>
        <v>0</v>
      </c>
      <c r="BZ1238">
        <f>'Base DCF'!CG40</f>
        <v>0</v>
      </c>
      <c r="CA1238">
        <f>'Base DCF'!CH40</f>
        <v>0</v>
      </c>
      <c r="CB1238">
        <f>'Base DCF'!CI40</f>
        <v>0</v>
      </c>
      <c r="CC1238">
        <f>'Base DCF'!CJ40</f>
        <v>0</v>
      </c>
      <c r="CD1238">
        <f>'Base DCF'!CK40</f>
        <v>0</v>
      </c>
      <c r="CE1238">
        <f>'Base DCF'!CL40</f>
        <v>0</v>
      </c>
      <c r="CF1238">
        <f>'Base DCF'!CM40</f>
        <v>0</v>
      </c>
      <c r="CG1238">
        <f>'Base DCF'!CN40</f>
        <v>0</v>
      </c>
      <c r="CH1238">
        <f>'Base DCF'!CO40</f>
        <v>0</v>
      </c>
      <c r="CI1238">
        <f>'Base DCF'!CP40</f>
        <v>0</v>
      </c>
      <c r="CJ1238">
        <f>'Base DCF'!CQ40</f>
        <v>0</v>
      </c>
      <c r="CK1238">
        <f>'Base DCF'!CR40</f>
        <v>0</v>
      </c>
      <c r="CL1238">
        <f>'Base DCF'!CS40</f>
        <v>0</v>
      </c>
      <c r="CM1238">
        <f>'Base DCF'!CT40</f>
        <v>0</v>
      </c>
      <c r="CN1238">
        <f>'Base DCF'!CU40</f>
        <v>0</v>
      </c>
      <c r="CO1238">
        <f>'Base DCF'!CV40</f>
        <v>0</v>
      </c>
      <c r="CP1238">
        <f>'Base DCF'!CW40</f>
        <v>0</v>
      </c>
      <c r="CQ1238">
        <f>'Base DCF'!CX40</f>
        <v>0</v>
      </c>
      <c r="CR1238">
        <f>'Base DCF'!CY40</f>
        <v>0</v>
      </c>
      <c r="CS1238">
        <f>'Base DCF'!CZ40</f>
        <v>0</v>
      </c>
      <c r="CT1238">
        <f>'Base DCF'!DA40</f>
        <v>0</v>
      </c>
      <c r="CU1238">
        <f>'Base DCF'!DB40</f>
        <v>0</v>
      </c>
      <c r="CV1238">
        <f>'Base DCF'!DC40</f>
        <v>0</v>
      </c>
      <c r="CW1238">
        <f>'Base DCF'!DD40</f>
        <v>0</v>
      </c>
      <c r="CX1238">
        <f>'Base DCF'!DE40</f>
        <v>0</v>
      </c>
      <c r="CY1238">
        <f>'Base DCF'!DF40</f>
        <v>0</v>
      </c>
      <c r="CZ1238">
        <f>'Base DCF'!DG40</f>
        <v>0</v>
      </c>
      <c r="DA1238">
        <f>'Base DCF'!DH40</f>
        <v>0</v>
      </c>
    </row>
    <row r="1239" spans="1:105">
      <c r="B1239" t="str">
        <f>'Base DCF'!I46</f>
        <v>Perpetual Growth Rate</v>
      </c>
      <c r="C1239">
        <f>'Base DCF'!J46</f>
        <v>0</v>
      </c>
      <c r="D1239">
        <f>'Base DCF'!K46</f>
        <v>0</v>
      </c>
      <c r="E1239">
        <f>'Base DCF'!L46</f>
        <v>1.9650000000000001E-2</v>
      </c>
    </row>
    <row r="1240" spans="1:105">
      <c r="B1240" t="str">
        <f>'Base DCF'!I49</f>
        <v>EV / EBITDA Mult. ('19e EBITDA)</v>
      </c>
      <c r="C1240">
        <f>'Base DCF'!J49</f>
        <v>0</v>
      </c>
      <c r="D1240">
        <f>'Base DCF'!K49</f>
        <v>0</v>
      </c>
      <c r="E1240">
        <f>'Base DCF'!L49</f>
        <v>15.93889987965257</v>
      </c>
    </row>
    <row r="1241" spans="1:105">
      <c r="B1241" t="str">
        <f>'Base DCF'!I50</f>
        <v>P / E Mult. ('19e EPS)</v>
      </c>
      <c r="C1241">
        <f>'Base DCF'!J50</f>
        <v>0</v>
      </c>
      <c r="D1241">
        <f>'Base DCF'!K50</f>
        <v>0</v>
      </c>
      <c r="E1241">
        <f>'Base DCF'!L50</f>
        <v>20.537071450564238</v>
      </c>
    </row>
    <row r="1242" spans="1:105">
      <c r="B1242" t="str">
        <f>'Base DCF'!I37</f>
        <v>Implied terminal EBITDA multiple</v>
      </c>
      <c r="C1242">
        <f>'Base DCF'!J37</f>
        <v>0</v>
      </c>
      <c r="D1242">
        <f>'Base DCF'!K37</f>
        <v>0</v>
      </c>
      <c r="E1242">
        <f>'Base DCF'!L37</f>
        <v>10.7</v>
      </c>
    </row>
    <row r="1243" spans="1:105">
      <c r="A1243" t="str">
        <f>Model!I20</f>
        <v>Total Other Revenue</v>
      </c>
      <c r="B1243">
        <f>Model!J20</f>
        <v>0</v>
      </c>
      <c r="C1243">
        <f>Model!K20</f>
        <v>0</v>
      </c>
      <c r="D1243">
        <f>Model!L20</f>
        <v>0</v>
      </c>
      <c r="E1243">
        <f>Model!M20</f>
        <v>0</v>
      </c>
      <c r="F1243">
        <f>Model!N20</f>
        <v>0</v>
      </c>
      <c r="G1243">
        <f>Model!O20</f>
        <v>0</v>
      </c>
      <c r="H1243">
        <f>Model!P20</f>
        <v>0</v>
      </c>
      <c r="I1243">
        <f>Model!Q20</f>
        <v>0</v>
      </c>
      <c r="J1243">
        <f>Model!R20</f>
        <v>0</v>
      </c>
      <c r="K1243">
        <f>Model!S20</f>
        <v>0</v>
      </c>
      <c r="L1243">
        <f>Model!T20</f>
        <v>0</v>
      </c>
      <c r="M1243">
        <f>Model!U20</f>
        <v>0</v>
      </c>
      <c r="N1243">
        <f>Model!V20</f>
        <v>0</v>
      </c>
      <c r="O1243">
        <f>Model!W20</f>
        <v>0</v>
      </c>
      <c r="P1243">
        <f>Model!X20</f>
        <v>0</v>
      </c>
      <c r="Q1243">
        <f>Model!Y20</f>
        <v>0</v>
      </c>
      <c r="R1243">
        <f>Model!Z20</f>
        <v>0</v>
      </c>
      <c r="S1243">
        <f>Model!AA20</f>
        <v>0</v>
      </c>
      <c r="T1243">
        <f>Model!AB20</f>
        <v>0</v>
      </c>
      <c r="U1243">
        <f>Model!AC20</f>
        <v>0</v>
      </c>
      <c r="V1243">
        <f>Model!AD20</f>
        <v>0</v>
      </c>
      <c r="W1243">
        <f>Model!AE20</f>
        <v>0</v>
      </c>
      <c r="X1243">
        <f>Model!AF20</f>
        <v>0</v>
      </c>
      <c r="Y1243">
        <f>Model!AG20</f>
        <v>1.095</v>
      </c>
      <c r="Z1243">
        <f>Model!AH20</f>
        <v>1.2350000000000001</v>
      </c>
      <c r="AA1243">
        <f>Model!AI20</f>
        <v>1.583</v>
      </c>
      <c r="AB1243">
        <f>Model!AJ20</f>
        <v>1.121</v>
      </c>
      <c r="AC1243">
        <f>Model!AK20</f>
        <v>0.86699999999999999</v>
      </c>
      <c r="AD1243">
        <f>Model!AL20</f>
        <v>2.6269999999999998</v>
      </c>
      <c r="AE1243">
        <f>Model!AM20</f>
        <v>2.4529999999999998</v>
      </c>
      <c r="AF1243">
        <f>Model!AN20</f>
        <v>2.3919999999999999</v>
      </c>
      <c r="AG1243">
        <f>Model!AO20</f>
        <v>4.0890000000000004</v>
      </c>
      <c r="AH1243">
        <f>Model!AP20</f>
        <v>4.4969999999999999</v>
      </c>
      <c r="AI1243">
        <f>Model!AQ20</f>
        <v>5.0140000000000002</v>
      </c>
      <c r="AJ1243">
        <f>Model!AR20</f>
        <v>4.2519999999999998</v>
      </c>
      <c r="AK1243">
        <f>Model!AS20</f>
        <v>4.7990000000000004</v>
      </c>
      <c r="AL1243">
        <f>Model!AT20</f>
        <v>6.4340000000000002</v>
      </c>
      <c r="AM1243">
        <f>Model!AU20</f>
        <v>7.1580000000000004</v>
      </c>
      <c r="AN1243">
        <f>Model!AV20</f>
        <v>3.85</v>
      </c>
      <c r="AO1243">
        <f>Model!AW20</f>
        <v>2.887</v>
      </c>
      <c r="AP1243">
        <f>Model!AX20</f>
        <v>3.258</v>
      </c>
      <c r="AQ1243">
        <f>Model!AY20</f>
        <v>3.274</v>
      </c>
      <c r="AR1243">
        <f>Model!AZ20</f>
        <v>3.2440000000000002</v>
      </c>
      <c r="AS1243">
        <f>Model!BA20</f>
        <v>3.0939999999999999</v>
      </c>
      <c r="AT1243">
        <f>Model!BB20</f>
        <v>3.0049999999999999</v>
      </c>
      <c r="AU1243">
        <f>Model!BC20</f>
        <v>2.9729999999999999</v>
      </c>
      <c r="AV1243">
        <f>Model!BD20</f>
        <v>2.8530000000000002</v>
      </c>
      <c r="AW1243">
        <f>Model!BE20</f>
        <v>3.2109999999999999</v>
      </c>
      <c r="AX1243">
        <f>Model!BF20</f>
        <v>3.7389999999999999</v>
      </c>
      <c r="AY1243">
        <f>Model!BG20</f>
        <v>3.2130000000000001</v>
      </c>
      <c r="AZ1243">
        <f>Model!BH20</f>
        <v>3.2269999999999999</v>
      </c>
      <c r="BA1243">
        <f>Model!BI20</f>
        <v>3.52</v>
      </c>
      <c r="BB1243">
        <f>Model!BJ20</f>
        <v>35.374000000000002</v>
      </c>
      <c r="BC1243">
        <f>Model!BK20</f>
        <v>72.564999999999998</v>
      </c>
      <c r="BD1243">
        <f>Model!BL20</f>
        <v>59.683999999999997</v>
      </c>
      <c r="BE1243">
        <f>Model!BM20</f>
        <v>73.66</v>
      </c>
      <c r="BF1243">
        <f>Model!BN20</f>
        <v>81.926000000000002</v>
      </c>
      <c r="BG1243">
        <f>Model!BO20</f>
        <v>123.333</v>
      </c>
      <c r="BH1243">
        <f>Model!BP20</f>
        <v>131.196</v>
      </c>
      <c r="BI1243">
        <f>Model!BQ20</f>
        <v>146.67099999999999</v>
      </c>
      <c r="BJ1243">
        <f>Model!BR20</f>
        <v>152.23099999999999</v>
      </c>
      <c r="BK1243">
        <f>Model!BS20</f>
        <v>160.72499999999999</v>
      </c>
      <c r="BL1243">
        <f>Model!BT20</f>
        <v>153.489</v>
      </c>
      <c r="BM1243">
        <f>Model!BU20</f>
        <v>178.05799999999999</v>
      </c>
      <c r="BN1243">
        <f>Model!BV20</f>
        <v>185.07400000000001</v>
      </c>
      <c r="BO1243">
        <f>Model!BW20</f>
        <v>177.81299999999999</v>
      </c>
      <c r="BP1243">
        <f>Model!BX20</f>
        <v>171.94</v>
      </c>
      <c r="BQ1243">
        <f>Model!BY20</f>
        <v>192.04599999999999</v>
      </c>
      <c r="BR1243">
        <f>Model!BZ20</f>
        <v>194.05199999999999</v>
      </c>
      <c r="BS1243">
        <f>Model!CA20</f>
        <v>226.03399999999999</v>
      </c>
      <c r="BT1243">
        <f>Model!CB20</f>
        <v>221.80699999999999</v>
      </c>
      <c r="BU1243">
        <f>Model!CC20</f>
        <v>204.5274552732258</v>
      </c>
      <c r="BV1243">
        <f>Model!CD20</f>
        <v>206.93585237869033</v>
      </c>
      <c r="BW1243">
        <f>Model!CE20</f>
        <v>239.23350945742257</v>
      </c>
      <c r="BX1243">
        <f>Model!CF20</f>
        <v>235.08464496032258</v>
      </c>
      <c r="BY1243">
        <f>Model!CG20</f>
        <v>0</v>
      </c>
      <c r="BZ1243">
        <f>Model!CH20</f>
        <v>0</v>
      </c>
      <c r="CA1243">
        <f>Model!CI20</f>
        <v>0</v>
      </c>
      <c r="CB1243">
        <f>Model!CJ20</f>
        <v>0</v>
      </c>
      <c r="CC1243">
        <f>Model!CK20</f>
        <v>0</v>
      </c>
      <c r="CD1243">
        <f>Model!CL20</f>
        <v>0</v>
      </c>
      <c r="CE1243">
        <f>Model!CM20</f>
        <v>5.0340000000000007</v>
      </c>
      <c r="CF1243">
        <f>Model!CN20</f>
        <v>8.3389999999999986</v>
      </c>
      <c r="CG1243">
        <f>Model!CO20</f>
        <v>17.852</v>
      </c>
      <c r="CH1243">
        <f>Model!CP20</f>
        <v>22.241000000000003</v>
      </c>
      <c r="CI1243">
        <f>Model!CQ20</f>
        <v>12.663</v>
      </c>
      <c r="CJ1243">
        <f>Model!CR20</f>
        <v>11.924999999999999</v>
      </c>
      <c r="CK1243">
        <f>Model!CS20</f>
        <v>13.39</v>
      </c>
      <c r="CL1243">
        <f>Model!CT20</f>
        <v>171.143</v>
      </c>
      <c r="CM1243">
        <f>Model!CU20</f>
        <v>410.11500000000001</v>
      </c>
      <c r="CN1243">
        <f>Model!CV20</f>
        <v>613.11599999999999</v>
      </c>
      <c r="CO1243">
        <f>Model!CW20</f>
        <v>712.88499999999999</v>
      </c>
      <c r="CP1243">
        <f>Model!CX20</f>
        <v>833.93899999999996</v>
      </c>
      <c r="CQ1243">
        <f>Model!CY20</f>
        <v>885.7814620696613</v>
      </c>
      <c r="CR1243">
        <f>Model!DG20</f>
        <v>1.1727072251299053</v>
      </c>
      <c r="CS1243">
        <f>Model!DH20</f>
        <v>9.9772573312596258E-2</v>
      </c>
      <c r="CT1243">
        <f>Model!DI20</f>
        <v>0</v>
      </c>
    </row>
    <row r="1244" spans="1:105">
      <c r="A1244" t="str">
        <f>'Bookings and Drivers'!I15</f>
        <v>Total Bookings (constant currency)</v>
      </c>
      <c r="B1244">
        <f>'Bookings and Drivers'!J15</f>
        <v>0</v>
      </c>
      <c r="C1244">
        <f>'Bookings and Drivers'!K15</f>
        <v>0</v>
      </c>
      <c r="D1244">
        <f>'Bookings and Drivers'!L15</f>
        <v>0</v>
      </c>
      <c r="E1244">
        <f>'Bookings and Drivers'!M15</f>
        <v>0</v>
      </c>
      <c r="F1244">
        <f>'Bookings and Drivers'!N15</f>
        <v>0</v>
      </c>
      <c r="G1244">
        <f>'Bookings and Drivers'!O15</f>
        <v>0</v>
      </c>
      <c r="H1244">
        <f>'Bookings and Drivers'!P15</f>
        <v>0</v>
      </c>
      <c r="I1244">
        <f>'Bookings and Drivers'!Q15</f>
        <v>0</v>
      </c>
      <c r="J1244">
        <f>'Bookings and Drivers'!R15</f>
        <v>0</v>
      </c>
      <c r="K1244">
        <f>'Bookings and Drivers'!S15</f>
        <v>0</v>
      </c>
      <c r="L1244">
        <f>'Bookings and Drivers'!T15</f>
        <v>0</v>
      </c>
      <c r="M1244">
        <f>'Bookings and Drivers'!U15</f>
        <v>0</v>
      </c>
      <c r="N1244">
        <f>'Bookings and Drivers'!V15</f>
        <v>0</v>
      </c>
      <c r="O1244">
        <f>'Bookings and Drivers'!W15</f>
        <v>0</v>
      </c>
      <c r="P1244">
        <f>'Bookings and Drivers'!X15</f>
        <v>0</v>
      </c>
      <c r="Q1244">
        <f>'Bookings and Drivers'!Y15</f>
        <v>0</v>
      </c>
      <c r="R1244">
        <f>'Bookings and Drivers'!Z15</f>
        <v>0</v>
      </c>
      <c r="S1244">
        <f>'Bookings and Drivers'!AA15</f>
        <v>0</v>
      </c>
      <c r="T1244">
        <f>'Bookings and Drivers'!AB15</f>
        <v>0</v>
      </c>
      <c r="U1244">
        <f>'Bookings and Drivers'!AC15</f>
        <v>0</v>
      </c>
      <c r="V1244">
        <f>'Bookings and Drivers'!AD15</f>
        <v>0</v>
      </c>
      <c r="W1244">
        <f>'Bookings and Drivers'!AE15</f>
        <v>0</v>
      </c>
      <c r="X1244">
        <f>'Bookings and Drivers'!AF15</f>
        <v>0</v>
      </c>
      <c r="Y1244">
        <f>'Bookings and Drivers'!AG15</f>
        <v>0</v>
      </c>
      <c r="Z1244">
        <f>'Bookings and Drivers'!AH15</f>
        <v>0</v>
      </c>
      <c r="AA1244">
        <f>'Bookings and Drivers'!AI15</f>
        <v>0</v>
      </c>
      <c r="AB1244">
        <f>'Bookings and Drivers'!AJ15</f>
        <v>0</v>
      </c>
      <c r="AC1244">
        <f>'Bookings and Drivers'!AK15</f>
        <v>0</v>
      </c>
      <c r="AD1244">
        <f>'Bookings and Drivers'!AL15</f>
        <v>0</v>
      </c>
      <c r="AE1244">
        <f>'Bookings and Drivers'!AM15</f>
        <v>0</v>
      </c>
      <c r="AF1244">
        <f>'Bookings and Drivers'!AN15</f>
        <v>0</v>
      </c>
      <c r="AG1244">
        <f>'Bookings and Drivers'!AO15</f>
        <v>1630.4062499999998</v>
      </c>
      <c r="AH1244">
        <f>'Bookings and Drivers'!AP15</f>
        <v>1942.8231920000003</v>
      </c>
      <c r="AI1244">
        <f>'Bookings and Drivers'!AQ15</f>
        <v>1940.5046660000003</v>
      </c>
      <c r="AJ1244">
        <f>'Bookings and Drivers'!AR15</f>
        <v>1556.2967599999997</v>
      </c>
      <c r="AK1244">
        <f>'Bookings and Drivers'!AS15</f>
        <v>2132.6473399999995</v>
      </c>
      <c r="AL1244">
        <f>'Bookings and Drivers'!AT15</f>
        <v>2603.153644</v>
      </c>
      <c r="AM1244">
        <f>'Bookings and Drivers'!AU15</f>
        <v>2856.2272499999999</v>
      </c>
      <c r="AN1244">
        <f>'Bookings and Drivers'!AV15</f>
        <v>2173.7450500000004</v>
      </c>
      <c r="AO1244">
        <f>'Bookings and Drivers'!AW15</f>
        <v>2877.0638559999998</v>
      </c>
      <c r="AP1244">
        <f>'Bookings and Drivers'!AX15</f>
        <v>3517.8660940000004</v>
      </c>
      <c r="AQ1244">
        <f>'Bookings and Drivers'!AY15</f>
        <v>4189.9531800000004</v>
      </c>
      <c r="AR1244">
        <f>'Bookings and Drivers'!AZ15</f>
        <v>3353.2354099999998</v>
      </c>
      <c r="AS1244">
        <f>'Bookings and Drivers'!BA15</f>
        <v>4647.0894450000005</v>
      </c>
      <c r="AT1244">
        <f>'Bookings and Drivers'!BB15</f>
        <v>5335.4972850000004</v>
      </c>
      <c r="AU1244">
        <f>'Bookings and Drivers'!BC15</f>
        <v>5924.3899999999994</v>
      </c>
      <c r="AV1244">
        <f>'Bookings and Drivers'!BD15</f>
        <v>4987.8469999999998</v>
      </c>
      <c r="AW1244">
        <f>'Bookings and Drivers'!BE15</f>
        <v>6846.88</v>
      </c>
      <c r="AX1244">
        <f>'Bookings and Drivers'!BF15</f>
        <v>7830.0960000000005</v>
      </c>
      <c r="AY1244">
        <f>'Bookings and Drivers'!BG15</f>
        <v>8373.5339999999997</v>
      </c>
      <c r="AZ1244">
        <f>'Bookings and Drivers'!BH15</f>
        <v>6668.5119999999997</v>
      </c>
      <c r="BA1244">
        <f>'Bookings and Drivers'!BI15</f>
        <v>9164.93</v>
      </c>
      <c r="BB1244">
        <f>'Bookings and Drivers'!BJ15</f>
        <v>10108.879999999999</v>
      </c>
      <c r="BC1244">
        <f>'Bookings and Drivers'!BK15</f>
        <v>10712.93</v>
      </c>
      <c r="BD1244">
        <f>'Bookings and Drivers'!BL15</f>
        <v>9180.48</v>
      </c>
      <c r="BE1244">
        <f>'Bookings and Drivers'!BM15</f>
        <v>12377.539999999999</v>
      </c>
      <c r="BF1244">
        <f>'Bookings and Drivers'!BN15</f>
        <v>13437.650000000001</v>
      </c>
      <c r="BG1244">
        <f>'Bookings and Drivers'!BO15</f>
        <v>13859.28</v>
      </c>
      <c r="BH1244">
        <f>'Bookings and Drivers'!BP15</f>
        <v>11278.66</v>
      </c>
      <c r="BI1244">
        <f>'Bookings and Drivers'!BQ15</f>
        <v>15401.470000000001</v>
      </c>
      <c r="BJ1244">
        <f>'Bookings and Drivers'!BR15</f>
        <v>17054.599999999999</v>
      </c>
      <c r="BK1244">
        <f>'Bookings and Drivers'!BS15</f>
        <v>16800</v>
      </c>
      <c r="BL1244">
        <f>'Bookings and Drivers'!BT15</f>
        <v>13227.57</v>
      </c>
      <c r="BM1244">
        <f>'Bookings and Drivers'!BU15</f>
        <v>17356.5</v>
      </c>
      <c r="BN1244">
        <f>'Bookings and Drivers'!BV15</f>
        <v>18101.599999999999</v>
      </c>
      <c r="BO1244">
        <f>'Bookings and Drivers'!BW15</f>
        <v>18620.28</v>
      </c>
      <c r="BP1244">
        <f>'Bookings and Drivers'!BX15</f>
        <v>15379.2</v>
      </c>
      <c r="BQ1244">
        <f>'Bookings and Drivers'!BY15</f>
        <v>21149.31</v>
      </c>
      <c r="BR1244">
        <f>'Bookings and Drivers'!BZ15</f>
        <v>21272.279460198337</v>
      </c>
      <c r="BS1244">
        <f>'Bookings and Drivers'!CA15</f>
        <v>21403.946569932883</v>
      </c>
      <c r="BT1244">
        <f>'Bookings and Drivers'!CB15</f>
        <v>17194.913407572898</v>
      </c>
      <c r="BU1244">
        <f>'Bookings and Drivers'!CC15</f>
        <v>23620.051155374917</v>
      </c>
      <c r="BV1244">
        <f>'Bookings and Drivers'!CD15</f>
        <v>24368.72009980421</v>
      </c>
      <c r="BW1244">
        <f>'Bookings and Drivers'!CE15</f>
        <v>24911.951727127544</v>
      </c>
      <c r="BX1244">
        <f>'Bookings and Drivers'!CF15</f>
        <v>21351.663975984611</v>
      </c>
      <c r="BY1244">
        <f>'Bookings and Drivers'!CG15</f>
        <v>0</v>
      </c>
      <c r="BZ1244">
        <f>'Bookings and Drivers'!CH15</f>
        <v>0</v>
      </c>
      <c r="CA1244">
        <f>'Bookings and Drivers'!CI15</f>
        <v>0</v>
      </c>
      <c r="CB1244">
        <f>'Bookings and Drivers'!CJ15</f>
        <v>0</v>
      </c>
      <c r="CC1244">
        <f>'Bookings and Drivers'!CK15</f>
        <v>0</v>
      </c>
      <c r="CD1244">
        <f>'Bookings and Drivers'!CL15</f>
        <v>0</v>
      </c>
      <c r="CE1244">
        <f>'Bookings and Drivers'!CM15</f>
        <v>0</v>
      </c>
      <c r="CF1244">
        <f>'Bookings and Drivers'!CN15</f>
        <v>0</v>
      </c>
      <c r="CG1244">
        <f>'Bookings and Drivers'!CO15</f>
        <v>7385.0801946068932</v>
      </c>
      <c r="CH1244">
        <f>'Bookings and Drivers'!CP15</f>
        <v>9725.2890541023771</v>
      </c>
      <c r="CI1244">
        <f>'Bookings and Drivers'!CQ15</f>
        <v>13836.016336049077</v>
      </c>
      <c r="CJ1244">
        <f>'Bookings and Drivers'!CR15</f>
        <v>21642.955253466018</v>
      </c>
      <c r="CK1244">
        <f>'Bookings and Drivers'!CS15</f>
        <v>29585.327716281394</v>
      </c>
      <c r="CL1244">
        <f>'Bookings and Drivers'!CT15</f>
        <v>39177.802662616203</v>
      </c>
      <c r="CM1244">
        <f>'Bookings and Drivers'!CU15</f>
        <v>51052.013303707237</v>
      </c>
      <c r="CN1244">
        <f>'Bookings and Drivers'!CV15</f>
        <v>62404.252503550451</v>
      </c>
      <c r="CO1244">
        <f>'Bookings and Drivers'!CW15</f>
        <v>69471.351105843874</v>
      </c>
      <c r="CP1244">
        <f>'Bookings and Drivers'!CX15</f>
        <v>79628.784055827506</v>
      </c>
      <c r="CQ1244">
        <f>'Bookings and Drivers'!CY15</f>
        <v>94325.310369671322</v>
      </c>
      <c r="CR1244">
        <f>'Bookings and Drivers'!CZ15</f>
        <v>110905.56339634543</v>
      </c>
      <c r="CS1244">
        <f>'Bookings and Drivers'!DA15</f>
        <v>124828.89016710232</v>
      </c>
    </row>
    <row r="1245" spans="1:105">
      <c r="A1245" t="str">
        <f>'Bookings and Drivers'!I16</f>
        <v>% change Y/Y (constant currency)</v>
      </c>
      <c r="B1245">
        <f>'Bookings and Drivers'!J16</f>
        <v>0</v>
      </c>
      <c r="C1245">
        <f>'Bookings and Drivers'!K16</f>
        <v>0</v>
      </c>
      <c r="D1245">
        <f>'Bookings and Drivers'!L16</f>
        <v>0</v>
      </c>
      <c r="E1245">
        <f>'Bookings and Drivers'!M16</f>
        <v>0</v>
      </c>
      <c r="F1245">
        <f>'Bookings and Drivers'!N16</f>
        <v>0</v>
      </c>
      <c r="G1245">
        <f>'Bookings and Drivers'!O16</f>
        <v>0</v>
      </c>
      <c r="H1245">
        <f>'Bookings and Drivers'!P16</f>
        <v>0</v>
      </c>
      <c r="I1245">
        <f>'Bookings and Drivers'!Q16</f>
        <v>0</v>
      </c>
      <c r="J1245">
        <f>'Bookings and Drivers'!R16</f>
        <v>0</v>
      </c>
      <c r="K1245">
        <f>'Bookings and Drivers'!S16</f>
        <v>0</v>
      </c>
      <c r="L1245">
        <f>'Bookings and Drivers'!T16</f>
        <v>0</v>
      </c>
      <c r="M1245">
        <f>'Bookings and Drivers'!U16</f>
        <v>0</v>
      </c>
      <c r="N1245">
        <f>'Bookings and Drivers'!V16</f>
        <v>0</v>
      </c>
      <c r="O1245">
        <f>'Bookings and Drivers'!W16</f>
        <v>0</v>
      </c>
      <c r="P1245">
        <f>'Bookings and Drivers'!X16</f>
        <v>0</v>
      </c>
      <c r="Q1245">
        <f>'Bookings and Drivers'!Y16</f>
        <v>0</v>
      </c>
      <c r="R1245">
        <f>'Bookings and Drivers'!Z16</f>
        <v>0</v>
      </c>
      <c r="S1245">
        <f>'Bookings and Drivers'!AA16</f>
        <v>0</v>
      </c>
      <c r="T1245">
        <f>'Bookings and Drivers'!AB16</f>
        <v>0</v>
      </c>
      <c r="U1245">
        <f>'Bookings and Drivers'!AC16</f>
        <v>0</v>
      </c>
      <c r="V1245">
        <f>'Bookings and Drivers'!AD16</f>
        <v>0</v>
      </c>
      <c r="W1245">
        <f>'Bookings and Drivers'!AE16</f>
        <v>0</v>
      </c>
      <c r="X1245">
        <f>'Bookings and Drivers'!AF16</f>
        <v>0</v>
      </c>
      <c r="Y1245">
        <f>'Bookings and Drivers'!AG16</f>
        <v>0</v>
      </c>
      <c r="Z1245">
        <f>'Bookings and Drivers'!AH16</f>
        <v>0</v>
      </c>
      <c r="AA1245">
        <f>'Bookings and Drivers'!AI16</f>
        <v>0</v>
      </c>
      <c r="AB1245">
        <f>'Bookings and Drivers'!AJ16</f>
        <v>0</v>
      </c>
      <c r="AC1245">
        <f>'Bookings and Drivers'!AK16</f>
        <v>0</v>
      </c>
      <c r="AD1245">
        <f>'Bookings and Drivers'!AL16</f>
        <v>0</v>
      </c>
      <c r="AE1245">
        <f>'Bookings and Drivers'!AM16</f>
        <v>0</v>
      </c>
      <c r="AF1245">
        <f>'Bookings and Drivers'!AN16</f>
        <v>0</v>
      </c>
      <c r="AG1245">
        <f>'Bookings and Drivers'!AO16</f>
        <v>0.63287025120907425</v>
      </c>
      <c r="AH1245">
        <f>'Bookings and Drivers'!AP16</f>
        <v>0.57324956373374292</v>
      </c>
      <c r="AI1245">
        <f>'Bookings and Drivers'!AQ16</f>
        <v>0.3953608881391375</v>
      </c>
      <c r="AJ1245">
        <f>'Bookings and Drivers'!AR16</f>
        <v>0.29117790880679228</v>
      </c>
      <c r="AK1245">
        <f>'Bookings and Drivers'!AS16</f>
        <v>0.21268781288880079</v>
      </c>
      <c r="AL1245">
        <f>'Bookings and Drivers'!AT16</f>
        <v>0.23374257108530228</v>
      </c>
      <c r="AM1245">
        <f>'Bookings and Drivers'!AU16</f>
        <v>0.39299143544247106</v>
      </c>
      <c r="AN1245">
        <f>'Bookings and Drivers'!AV16</f>
        <v>0.46764294824230213</v>
      </c>
      <c r="AO1245">
        <f>'Bookings and Drivers'!AW16</f>
        <v>0.48028788876632045</v>
      </c>
      <c r="AP1245">
        <f>'Bookings and Drivers'!AX16</f>
        <v>0.47860567557366474</v>
      </c>
      <c r="AQ1245">
        <f>'Bookings and Drivers'!AY16</f>
        <v>0.53881386607982984</v>
      </c>
      <c r="AR1245">
        <f>'Bookings and Drivers'!AZ16</f>
        <v>0.48081409911616646</v>
      </c>
      <c r="AS1245">
        <f>'Bookings and Drivers'!BA16</f>
        <v>0.56747639976456266</v>
      </c>
      <c r="AT1245">
        <f>'Bookings and Drivers'!BB16</f>
        <v>0.56457937264308633</v>
      </c>
      <c r="AU1245">
        <f>'Bookings and Drivers'!BC16</f>
        <v>0.47887918122815765</v>
      </c>
      <c r="AV1245">
        <f>'Bookings and Drivers'!BD16</f>
        <v>0.52767136294027561</v>
      </c>
      <c r="AW1245">
        <f>'Bookings and Drivers'!BE16</f>
        <v>0.46771275455519823</v>
      </c>
      <c r="AX1245">
        <f>'Bookings and Drivers'!BF16</f>
        <v>0.35468788927335648</v>
      </c>
      <c r="AY1245">
        <f>'Bookings and Drivers'!BG16</f>
        <v>0.33826658142879973</v>
      </c>
      <c r="AZ1245">
        <f>'Bookings and Drivers'!BH16</f>
        <v>0.34554317998385797</v>
      </c>
      <c r="BA1245">
        <f>'Bookings and Drivers'!BI16</f>
        <v>0.36565787513038295</v>
      </c>
      <c r="BB1245">
        <f>'Bookings and Drivers'!BJ16</f>
        <v>0.37929867649065341</v>
      </c>
      <c r="BC1245">
        <f>'Bookings and Drivers'!BK16</f>
        <v>0.36784090909090916</v>
      </c>
      <c r="BD1245">
        <f>'Bookings and Drivers'!BL16</f>
        <v>0.39436208991494515</v>
      </c>
      <c r="BE1245">
        <f>'Bookings and Drivers'!BM16</f>
        <v>0.35229323718999228</v>
      </c>
      <c r="BF1245">
        <f>'Bookings and Drivers'!BN16</f>
        <v>0.32822477018879126</v>
      </c>
      <c r="BG1245">
        <f>'Bookings and Drivers'!BO16</f>
        <v>0.28743892243381342</v>
      </c>
      <c r="BH1245">
        <f>'Bookings and Drivers'!BP16</f>
        <v>0.23425913766688544</v>
      </c>
      <c r="BI1245">
        <f>'Bookings and Drivers'!BQ16</f>
        <v>0.25419136807817599</v>
      </c>
      <c r="BJ1245">
        <f>'Bookings and Drivers'!BR16</f>
        <v>0.25975771901314815</v>
      </c>
      <c r="BK1245">
        <f>'Bookings and Drivers'!BS16</f>
        <v>0.21536569485639867</v>
      </c>
      <c r="BL1245">
        <f>'Bookings and Drivers'!BT16</f>
        <v>0.24097663945961156</v>
      </c>
      <c r="BM1245">
        <f>'Bookings and Drivers'!BU16</f>
        <v>0.26</v>
      </c>
      <c r="BN1245">
        <f>'Bookings and Drivers'!BV16</f>
        <v>0.21</v>
      </c>
      <c r="BO1245">
        <f>'Bookings and Drivers'!BW16</f>
        <v>0.26</v>
      </c>
      <c r="BP1245">
        <f>'Bookings and Drivers'!BX16</f>
        <v>0.28000000000000003</v>
      </c>
      <c r="BQ1245">
        <f>'Bookings and Drivers'!BY16</f>
        <v>0.27</v>
      </c>
      <c r="BR1245">
        <f>'Bookings and Drivers'!BZ16</f>
        <v>0.19</v>
      </c>
      <c r="BS1245">
        <f>'Bookings and Drivers'!CA16</f>
        <v>0.16</v>
      </c>
      <c r="BT1245">
        <f>'Bookings and Drivers'!CB16</f>
        <v>0.14000000000000001</v>
      </c>
      <c r="BU1245">
        <f>'Bookings and Drivers'!CC16</f>
        <v>0.14178233457605827</v>
      </c>
      <c r="BV1245">
        <f>'Bookings and Drivers'!CD16</f>
        <v>0.17174208298332494</v>
      </c>
      <c r="BW1245">
        <f>'Bookings and Drivers'!CE16</f>
        <v>0.14474550717431955</v>
      </c>
      <c r="BX1245">
        <f>'Bookings and Drivers'!CF16</f>
        <v>0.18752302424830991</v>
      </c>
      <c r="BY1245">
        <f>'Bookings and Drivers'!CG16</f>
        <v>0</v>
      </c>
      <c r="BZ1245">
        <f>'Bookings and Drivers'!CH16</f>
        <v>0</v>
      </c>
      <c r="CA1245">
        <f>'Bookings and Drivers'!CI16</f>
        <v>0</v>
      </c>
      <c r="CB1245">
        <f>'Bookings and Drivers'!CJ16</f>
        <v>0</v>
      </c>
      <c r="CC1245">
        <f>'Bookings and Drivers'!CK16</f>
        <v>0</v>
      </c>
      <c r="CD1245">
        <f>'Bookings and Drivers'!CL16</f>
        <v>0</v>
      </c>
      <c r="CE1245">
        <f>'Bookings and Drivers'!CM16</f>
        <v>0</v>
      </c>
      <c r="CF1245">
        <f>'Bookings and Drivers'!CN16</f>
        <v>0</v>
      </c>
      <c r="CG1245">
        <f>'Bookings and Drivers'!CO16</f>
        <v>0.52918700617360215</v>
      </c>
      <c r="CH1245">
        <f>'Bookings and Drivers'!CP16</f>
        <v>0.31420747186867137</v>
      </c>
      <c r="CI1245">
        <f>'Bookings and Drivers'!CQ16</f>
        <v>0.48613578900431342</v>
      </c>
      <c r="CJ1245">
        <f>'Bookings and Drivers'!CR16</f>
        <v>0.58604378637984134</v>
      </c>
      <c r="CK1245">
        <f>'Bookings and Drivers'!CS16</f>
        <v>0.36602307305759507</v>
      </c>
      <c r="CL1245">
        <f>'Bookings and Drivers'!CT16</f>
        <v>0.37678530582710867</v>
      </c>
      <c r="CM1245">
        <f>'Bookings and Drivers'!CU16</f>
        <v>0.30324492134141479</v>
      </c>
      <c r="CN1245">
        <f>'Bookings and Drivers'!CV16</f>
        <v>0.24064120285388579</v>
      </c>
      <c r="CO1245">
        <f>'Bookings and Drivers'!CW16</f>
        <v>0.2511048679196779</v>
      </c>
      <c r="CP1245">
        <f>'Bookings and Drivers'!CX16</f>
        <v>0.16951523867739082</v>
      </c>
      <c r="CQ1245">
        <f>'Bookings and Drivers'!CY16</f>
        <v>0.16126991812561653</v>
      </c>
      <c r="CR1245">
        <f>'Bookings and Drivers'!CZ16</f>
        <v>0.14588235431507401</v>
      </c>
      <c r="CS1245">
        <f>'Bookings and Drivers'!DA16</f>
        <v>0.12536676192473628</v>
      </c>
    </row>
    <row r="1246" spans="1:105">
      <c r="A1246" t="str">
        <f>'Bookings and Drivers'!I18</f>
        <v>FX Impact</v>
      </c>
      <c r="B1246">
        <f>'Bookings and Drivers'!J18</f>
        <v>0</v>
      </c>
      <c r="C1246">
        <f>'Bookings and Drivers'!K18</f>
        <v>0</v>
      </c>
      <c r="D1246">
        <f>'Bookings and Drivers'!L18</f>
        <v>0</v>
      </c>
      <c r="E1246">
        <f>'Bookings and Drivers'!M18</f>
        <v>0</v>
      </c>
      <c r="F1246">
        <f>'Bookings and Drivers'!N18</f>
        <v>0</v>
      </c>
      <c r="G1246">
        <f>'Bookings and Drivers'!O18</f>
        <v>0</v>
      </c>
      <c r="H1246">
        <f>'Bookings and Drivers'!P18</f>
        <v>0</v>
      </c>
      <c r="I1246">
        <f>'Bookings and Drivers'!Q18</f>
        <v>0</v>
      </c>
      <c r="J1246">
        <f>'Bookings and Drivers'!R18</f>
        <v>0</v>
      </c>
      <c r="K1246">
        <f>'Bookings and Drivers'!S18</f>
        <v>0</v>
      </c>
      <c r="L1246">
        <f>'Bookings and Drivers'!T18</f>
        <v>0</v>
      </c>
      <c r="M1246">
        <f>'Bookings and Drivers'!U18</f>
        <v>0</v>
      </c>
      <c r="N1246">
        <f>'Bookings and Drivers'!V18</f>
        <v>0</v>
      </c>
      <c r="O1246">
        <f>'Bookings and Drivers'!W18</f>
        <v>0</v>
      </c>
      <c r="P1246">
        <f>'Bookings and Drivers'!X18</f>
        <v>0</v>
      </c>
      <c r="Q1246">
        <f>'Bookings and Drivers'!Y18</f>
        <v>0</v>
      </c>
      <c r="R1246">
        <f>'Bookings and Drivers'!Z18</f>
        <v>0</v>
      </c>
      <c r="S1246">
        <f>'Bookings and Drivers'!AA18</f>
        <v>0</v>
      </c>
      <c r="T1246">
        <f>'Bookings and Drivers'!AB18</f>
        <v>0</v>
      </c>
      <c r="U1246">
        <f>'Bookings and Drivers'!AC18</f>
        <v>0</v>
      </c>
      <c r="V1246">
        <f>'Bookings and Drivers'!AD18</f>
        <v>0</v>
      </c>
      <c r="W1246">
        <f>'Bookings and Drivers'!AE18</f>
        <v>0</v>
      </c>
      <c r="X1246">
        <f>'Bookings and Drivers'!AF18</f>
        <v>0</v>
      </c>
      <c r="Y1246">
        <f>'Bookings and Drivers'!AG18</f>
        <v>0</v>
      </c>
      <c r="Z1246">
        <f>'Bookings and Drivers'!AH18</f>
        <v>0</v>
      </c>
      <c r="AA1246">
        <f>'Bookings and Drivers'!AI18</f>
        <v>0</v>
      </c>
      <c r="AB1246">
        <f>'Bookings and Drivers'!AJ18</f>
        <v>0</v>
      </c>
      <c r="AC1246">
        <f>'Bookings and Drivers'!AK18</f>
        <v>0</v>
      </c>
      <c r="AD1246">
        <f>'Bookings and Drivers'!AL18</f>
        <v>0</v>
      </c>
      <c r="AE1246">
        <f>'Bookings and Drivers'!AM18</f>
        <v>0</v>
      </c>
      <c r="AF1246">
        <f>'Bookings and Drivers'!AN18</f>
        <v>0</v>
      </c>
      <c r="AG1246">
        <f>'Bookings and Drivers'!AO18</f>
        <v>0.12839950485282303</v>
      </c>
      <c r="AH1246">
        <f>'Bookings and Drivers'!AP18</f>
        <v>0.13534725012571736</v>
      </c>
      <c r="AI1246">
        <f>'Bookings and Drivers'!AQ18</f>
        <v>7.9041977215511983E-2</v>
      </c>
      <c r="AJ1246">
        <f>'Bookings and Drivers'!AR18</f>
        <v>-6.2376027829699643E-2</v>
      </c>
      <c r="AK1246">
        <f>'Bookings and Drivers'!AS18</f>
        <v>-0.10750713630977149</v>
      </c>
      <c r="AL1246">
        <f>'Bookings and Drivers'!AT18</f>
        <v>-0.10615135511726503</v>
      </c>
      <c r="AM1246">
        <f>'Bookings and Drivers'!AU18</f>
        <v>-6.505047485231108E-2</v>
      </c>
      <c r="AN1246">
        <f>'Bookings and Drivers'!AV18</f>
        <v>6.1243774107714755E-2</v>
      </c>
      <c r="AO1246">
        <f>'Bookings and Drivers'!AW18</f>
        <v>4.5087397303126719E-2</v>
      </c>
      <c r="AP1246">
        <f>'Bookings and Drivers'!AX18</f>
        <v>-4.526189045123985E-2</v>
      </c>
      <c r="AQ1246">
        <f>'Bookings and Drivers'!AY18</f>
        <v>-6.7559156852793123E-2</v>
      </c>
      <c r="AR1246">
        <f>'Bookings and Drivers'!AZ18</f>
        <v>-3.8965423894678386E-2</v>
      </c>
      <c r="AS1246">
        <f>'Bookings and Drivers'!BA18</f>
        <v>6.0412808062886292E-3</v>
      </c>
      <c r="AT1246">
        <f>'Bookings and Drivers'!BB18</f>
        <v>0.1303458219214233</v>
      </c>
      <c r="AU1246">
        <f>'Bookings and Drivers'!BC18</f>
        <v>8.302795806290586E-2</v>
      </c>
      <c r="AV1246">
        <f>'Bookings and Drivers'!BD18</f>
        <v>-9.7540581929556058E-3</v>
      </c>
      <c r="AW1246">
        <f>'Bookings and Drivers'!BE18</f>
        <v>-2.9127545551982825E-2</v>
      </c>
      <c r="AX1246">
        <f>'Bookings and Drivers'!BF18</f>
        <v>-8.6694809688581342E-2</v>
      </c>
      <c r="AY1246">
        <f>'Bookings and Drivers'!BG18</f>
        <v>-8.6548505673645471E-2</v>
      </c>
      <c r="AZ1246">
        <f>'Bookings and Drivers'!BH18</f>
        <v>-1.705246166263108E-2</v>
      </c>
      <c r="BA1246">
        <f>'Bookings and Drivers'!BI18</f>
        <v>-1.7776784383847222E-3</v>
      </c>
      <c r="BB1246">
        <f>'Bookings and Drivers'!BJ18</f>
        <v>1.1079274116525539E-3</v>
      </c>
      <c r="BC1246">
        <f>'Bookings and Drivers'!BK18</f>
        <v>6.6483656792644119E-3</v>
      </c>
      <c r="BD1246">
        <f>'Bookings and Drivers'!BL18</f>
        <v>-6.452004860267202E-3</v>
      </c>
      <c r="BE1246">
        <f>'Bookings and Drivers'!BM18</f>
        <v>-1.0656615317382157E-2</v>
      </c>
      <c r="BF1246">
        <f>'Bookings and Drivers'!BN18</f>
        <v>9.9189483048334193E-3</v>
      </c>
      <c r="BG1246">
        <f>'Bookings and Drivers'!BO18</f>
        <v>-3.3701811425919104E-3</v>
      </c>
      <c r="BH1246">
        <f>'Bookings and Drivers'!BP18</f>
        <v>-6.7811337272926098E-2</v>
      </c>
      <c r="BI1246">
        <f>'Bookings and Drivers'!BQ18</f>
        <v>-0.13244869706840401</v>
      </c>
      <c r="BJ1246">
        <f>'Bookings and Drivers'!BR18</f>
        <v>-0.15472004727433886</v>
      </c>
      <c r="BK1246">
        <f>'Bookings and Drivers'!BS18</f>
        <v>-0.14627794255950222</v>
      </c>
      <c r="BL1246">
        <f>'Bookings and Drivers'!BT18</f>
        <v>-0.11376020264565145</v>
      </c>
      <c r="BM1246">
        <f>'Bookings and Drivers'!BU18</f>
        <v>-5.1070780399274041E-2</v>
      </c>
      <c r="BN1246">
        <f>'Bookings and Drivers'!BV18</f>
        <v>-1.6016042780748557E-2</v>
      </c>
      <c r="BO1246">
        <f>'Bookings and Drivers'!BW18</f>
        <v>-1.084585194207599E-2</v>
      </c>
      <c r="BP1246">
        <f>'Bookings and Drivers'!BX18</f>
        <v>-2.2238868081564833E-2</v>
      </c>
      <c r="BQ1246">
        <f>'Bookings and Drivers'!BY18</f>
        <v>-2.7761364318741322E-2</v>
      </c>
      <c r="BR1246">
        <f>'Bookings and Drivers'!BZ18</f>
        <v>-2.5684693763296462E-2</v>
      </c>
      <c r="BS1246">
        <f>'Bookings and Drivers'!CA18</f>
        <v>1.8873239436619699E-2</v>
      </c>
      <c r="BT1246">
        <f>'Bookings and Drivers'!CB18</f>
        <v>4.9782953943885544E-2</v>
      </c>
      <c r="BU1246">
        <f>'Bookings and Drivers'!CC18</f>
        <v>6.0976598561426343E-2</v>
      </c>
      <c r="BV1246">
        <f>'Bookings and Drivers'!CD18</f>
        <v>3.449573506449588E-2</v>
      </c>
      <c r="BW1246">
        <f>'Bookings and Drivers'!CE18</f>
        <v>-4.5200685530795148E-3</v>
      </c>
      <c r="BX1246">
        <f>'Bookings and Drivers'!CF18</f>
        <v>3.6335775824849037E-2</v>
      </c>
      <c r="BY1246">
        <f>'Bookings and Drivers'!CG18</f>
        <v>0</v>
      </c>
      <c r="BZ1246">
        <f>'Bookings and Drivers'!CH18</f>
        <v>0</v>
      </c>
      <c r="CA1246">
        <f>'Bookings and Drivers'!CI18</f>
        <v>0</v>
      </c>
      <c r="CB1246">
        <f>'Bookings and Drivers'!CJ18</f>
        <v>0</v>
      </c>
      <c r="CC1246">
        <f>'Bookings and Drivers'!CK18</f>
        <v>0</v>
      </c>
      <c r="CD1246">
        <f>'Bookings and Drivers'!CL18</f>
        <v>0</v>
      </c>
      <c r="CE1246">
        <f>'Bookings and Drivers'!CM18</f>
        <v>0</v>
      </c>
      <c r="CF1246">
        <f>'Bookings and Drivers'!CN18</f>
        <v>0</v>
      </c>
      <c r="CG1246">
        <f>'Bookings and Drivers'!CO18</f>
        <v>3.1135866931129019E-3</v>
      </c>
      <c r="CH1246">
        <f>'Bookings and Drivers'!CP18</f>
        <v>-5.6110876909429619E-2</v>
      </c>
      <c r="CI1246">
        <f>'Bookings and Drivers'!CQ18</f>
        <v>-2.0423208357696954E-2</v>
      </c>
      <c r="CJ1246">
        <f>'Bookings and Drivers'!CR18</f>
        <v>1.1025124100860761E-3</v>
      </c>
      <c r="CK1246">
        <f>'Bookings and Drivers'!CS18</f>
        <v>-5.2143675144583623E-2</v>
      </c>
      <c r="CL1246">
        <f>'Bookings and Drivers'!CT18</f>
        <v>-1.687750427399326E-4</v>
      </c>
      <c r="CM1246">
        <f>'Bookings and Drivers'!CU18</f>
        <v>-1.9197235435306048E-2</v>
      </c>
      <c r="CN1246">
        <f>'Bookings and Drivers'!CV18</f>
        <v>-0.13670482114414417</v>
      </c>
      <c r="CO1246">
        <f>'Bookings and Drivers'!CW18</f>
        <v>-2.4930685525210272E-2</v>
      </c>
      <c r="CP1246">
        <f>'Bookings and Drivers'!CX18</f>
        <v>2.3458456741705325E-2</v>
      </c>
      <c r="CQ1246">
        <f>'Bookings and Drivers'!CY18</f>
        <v>3.0296442058887152E-2</v>
      </c>
    </row>
    <row r="1247" spans="1:105">
      <c r="A1247" t="str">
        <f>'Bookings and Drivers'!I147</f>
        <v>Int'l ADR</v>
      </c>
      <c r="B1247">
        <f>'Bookings and Drivers'!J147</f>
        <v>0</v>
      </c>
      <c r="C1247">
        <f>'Bookings and Drivers'!K147</f>
        <v>0</v>
      </c>
      <c r="D1247">
        <f>'Bookings and Drivers'!L147</f>
        <v>0</v>
      </c>
      <c r="E1247">
        <f>'Bookings and Drivers'!M147</f>
        <v>0</v>
      </c>
      <c r="F1247">
        <f>'Bookings and Drivers'!N147</f>
        <v>0</v>
      </c>
      <c r="G1247">
        <f>'Bookings and Drivers'!O147</f>
        <v>0</v>
      </c>
      <c r="H1247">
        <f>'Bookings and Drivers'!P147</f>
        <v>0</v>
      </c>
      <c r="I1247">
        <f>'Bookings and Drivers'!Q147</f>
        <v>0</v>
      </c>
      <c r="J1247">
        <f>'Bookings and Drivers'!R147</f>
        <v>0</v>
      </c>
      <c r="K1247">
        <f>'Bookings and Drivers'!S147</f>
        <v>0</v>
      </c>
      <c r="L1247">
        <f>'Bookings and Drivers'!T147</f>
        <v>0</v>
      </c>
      <c r="M1247">
        <f>'Bookings and Drivers'!U147</f>
        <v>0</v>
      </c>
      <c r="N1247">
        <f>'Bookings and Drivers'!V147</f>
        <v>0</v>
      </c>
      <c r="O1247">
        <f>'Bookings and Drivers'!W147</f>
        <v>0</v>
      </c>
      <c r="P1247">
        <f>'Bookings and Drivers'!X147</f>
        <v>0</v>
      </c>
      <c r="Q1247">
        <f>'Bookings and Drivers'!Y147</f>
        <v>0</v>
      </c>
      <c r="R1247">
        <f>'Bookings and Drivers'!Z147</f>
        <v>0</v>
      </c>
      <c r="S1247">
        <f>'Bookings and Drivers'!AA147</f>
        <v>0</v>
      </c>
      <c r="T1247">
        <f>'Bookings and Drivers'!AB147</f>
        <v>0</v>
      </c>
      <c r="U1247">
        <f>'Bookings and Drivers'!AC147</f>
        <v>0</v>
      </c>
      <c r="V1247">
        <f>'Bookings and Drivers'!AD147</f>
        <v>0</v>
      </c>
      <c r="W1247">
        <f>'Bookings and Drivers'!AE147</f>
        <v>0</v>
      </c>
      <c r="X1247">
        <f>'Bookings and Drivers'!AF147</f>
        <v>0</v>
      </c>
      <c r="Y1247">
        <f>'Bookings and Drivers'!AG147</f>
        <v>115.34503039030086</v>
      </c>
      <c r="Z1247">
        <f>'Bookings and Drivers'!AH147</f>
        <v>125.49454965973638</v>
      </c>
      <c r="AA1247">
        <f>'Bookings and Drivers'!AI147</f>
        <v>127.31032977213025</v>
      </c>
      <c r="AB1247">
        <f>'Bookings and Drivers'!AJ147</f>
        <v>126.20167077046321</v>
      </c>
      <c r="AC1247">
        <f>'Bookings and Drivers'!AK147</f>
        <v>139.55409678086892</v>
      </c>
      <c r="AD1247">
        <f>'Bookings and Drivers'!AL147</f>
        <v>148.19825513140518</v>
      </c>
      <c r="AE1247">
        <f>'Bookings and Drivers'!AM147</f>
        <v>148.32060386135188</v>
      </c>
      <c r="AF1247">
        <f>'Bookings and Drivers'!AN147</f>
        <v>162.92648350800576</v>
      </c>
      <c r="AG1247">
        <f>'Bookings and Drivers'!AO147</f>
        <v>179.5645089426136</v>
      </c>
      <c r="AH1247">
        <f>'Bookings and Drivers'!AP147</f>
        <v>182.02426853979236</v>
      </c>
      <c r="AI1247">
        <f>'Bookings and Drivers'!AQ147</f>
        <v>163.80687399004353</v>
      </c>
      <c r="AJ1247">
        <f>'Bookings and Drivers'!AR147</f>
        <v>135.13067319337412</v>
      </c>
      <c r="AK1247">
        <f>'Bookings and Drivers'!AS147</f>
        <v>127.09496284486927</v>
      </c>
      <c r="AL1247">
        <f>'Bookings and Drivers'!AT147</f>
        <v>132.70225353448581</v>
      </c>
      <c r="AM1247">
        <f>'Bookings and Drivers'!AU147</f>
        <v>134.87325797332232</v>
      </c>
      <c r="AN1247">
        <f>'Bookings and Drivers'!AV147</f>
        <v>145.87410671092297</v>
      </c>
      <c r="AO1247">
        <f>'Bookings and Drivers'!AW147</f>
        <v>139.8320302830121</v>
      </c>
      <c r="AP1247">
        <f>'Bookings and Drivers'!AX147</f>
        <v>125.9186959034333</v>
      </c>
      <c r="AQ1247">
        <f>'Bookings and Drivers'!AY147</f>
        <v>125.87811891750759</v>
      </c>
      <c r="AR1247">
        <f>'Bookings and Drivers'!AZ147</f>
        <v>141.27124235901658</v>
      </c>
      <c r="AS1247">
        <f>'Bookings and Drivers'!BA147</f>
        <v>146.69317572521152</v>
      </c>
      <c r="AT1247">
        <f>'Bookings and Drivers'!BB147</f>
        <v>155.76206404348198</v>
      </c>
      <c r="AU1247">
        <f>'Bookings and Drivers'!BC147</f>
        <v>142.90809763317219</v>
      </c>
      <c r="AV1247">
        <f>'Bookings and Drivers'!BD147</f>
        <v>142.1927039157155</v>
      </c>
      <c r="AW1247">
        <f>'Bookings and Drivers'!BE147</f>
        <v>143.98997229470962</v>
      </c>
      <c r="AX1247">
        <f>'Bookings and Drivers'!BF147</f>
        <v>136.75101155064721</v>
      </c>
      <c r="AY1247">
        <f>'Bookings and Drivers'!BG147</f>
        <v>125.96697140855778</v>
      </c>
      <c r="AZ1247">
        <f>'Bookings and Drivers'!BH147</f>
        <v>137.69894921977794</v>
      </c>
      <c r="BA1247">
        <f>'Bookings and Drivers'!BI147</f>
        <v>142.23493766633675</v>
      </c>
      <c r="BB1247">
        <f>'Bookings and Drivers'!BJ147</f>
        <v>138.98883892380465</v>
      </c>
      <c r="BC1247">
        <f>'Bookings and Drivers'!BK147</f>
        <v>129.24767833084115</v>
      </c>
      <c r="BD1247">
        <f>'Bookings and Drivers'!BL147</f>
        <v>139.08776869086756</v>
      </c>
      <c r="BE1247">
        <f>'Bookings and Drivers'!BM147</f>
        <v>144.71943461812123</v>
      </c>
      <c r="BF1247">
        <f>'Bookings and Drivers'!BN147</f>
        <v>144.78427982132456</v>
      </c>
      <c r="BG1247">
        <f>'Bookings and Drivers'!BO147</f>
        <v>132.61425719696174</v>
      </c>
      <c r="BH1247">
        <f>'Bookings and Drivers'!BP147</f>
        <v>132.1509499925084</v>
      </c>
      <c r="BI1247">
        <f>'Bookings and Drivers'!BQ147</f>
        <v>125.51130528091326</v>
      </c>
      <c r="BJ1247">
        <f>'Bookings and Drivers'!BR147</f>
        <v>121.71992839380425</v>
      </c>
      <c r="BK1247">
        <f>'Bookings and Drivers'!BS147</f>
        <v>112.7374878194105</v>
      </c>
      <c r="BL1247">
        <f>'Bookings and Drivers'!BT147</f>
        <v>116.10276076153254</v>
      </c>
      <c r="BM1247">
        <f>'Bookings and Drivers'!BU147</f>
        <v>117.49241954236683</v>
      </c>
      <c r="BN1247">
        <f>'Bookings and Drivers'!BV147</f>
        <v>118.85213116102962</v>
      </c>
      <c r="BO1247">
        <f>'Bookings and Drivers'!BW147</f>
        <v>110.77464032393608</v>
      </c>
      <c r="BP1247">
        <f>'Bookings and Drivers'!BX147</f>
        <v>112.53901608472903</v>
      </c>
      <c r="BQ1247">
        <f>'Bookings and Drivers'!BY147</f>
        <v>114.9062179452704</v>
      </c>
      <c r="BR1247">
        <f>'Bookings and Drivers'!BZ147</f>
        <v>114.12592881412493</v>
      </c>
      <c r="BS1247">
        <f>'Bookings and Drivers'!CA147</f>
        <v>112.05922990064846</v>
      </c>
      <c r="BT1247">
        <f>'Bookings and Drivers'!CB147</f>
        <v>113.38521147788084</v>
      </c>
      <c r="BU1247">
        <f>'Bookings and Drivers'!CC147</f>
        <v>116.789412168433</v>
      </c>
      <c r="BV1247">
        <f>'Bookings and Drivers'!CD147</f>
        <v>116.1880053199629</v>
      </c>
      <c r="BW1247">
        <f>'Bookings and Drivers'!CE147</f>
        <v>109.26165057281837</v>
      </c>
      <c r="BX1247">
        <f>'Bookings and Drivers'!CF147</f>
        <v>115.62033759579593</v>
      </c>
      <c r="BY1247">
        <f>'Bookings and Drivers'!CG147</f>
        <v>0</v>
      </c>
      <c r="BZ1247">
        <f>'Bookings and Drivers'!CH147</f>
        <v>0</v>
      </c>
      <c r="CA1247">
        <f>'Bookings and Drivers'!CI147</f>
        <v>0</v>
      </c>
      <c r="CB1247">
        <f>'Bookings and Drivers'!CJ147</f>
        <v>0</v>
      </c>
      <c r="CC1247">
        <f>'Bookings and Drivers'!CK147</f>
        <v>0</v>
      </c>
      <c r="CD1247">
        <f>'Bookings and Drivers'!CL147</f>
        <v>0</v>
      </c>
      <c r="CE1247">
        <f>'Bookings and Drivers'!CM147</f>
        <v>123.97268342856839</v>
      </c>
      <c r="CF1247">
        <f>'Bookings and Drivers'!CN147</f>
        <v>138.62049139713668</v>
      </c>
      <c r="CG1247">
        <f>'Bookings and Drivers'!CO147</f>
        <v>147.4569808195042</v>
      </c>
      <c r="CH1247">
        <f>'Bookings and Drivers'!CP147</f>
        <v>128.49197964353004</v>
      </c>
      <c r="CI1247">
        <f>'Bookings and Drivers'!CQ147</f>
        <v>126.75995831659658</v>
      </c>
      <c r="CJ1247">
        <f>'Bookings and Drivers'!CR147</f>
        <v>135.0641786621747</v>
      </c>
      <c r="CK1247">
        <f>'Bookings and Drivers'!CS147</f>
        <v>127.06482137834038</v>
      </c>
      <c r="CL1247">
        <f>'Bookings and Drivers'!CT147</f>
        <v>129.34573513323633</v>
      </c>
      <c r="CM1247">
        <f>'Bookings and Drivers'!CU147</f>
        <v>130.81433955329845</v>
      </c>
      <c r="CN1247">
        <f>'Bookings and Drivers'!CV147</f>
        <v>115.88331883338255</v>
      </c>
      <c r="CO1247">
        <f>'Bookings and Drivers'!CW147</f>
        <v>111.74383903077857</v>
      </c>
      <c r="CP1247">
        <f>'Bookings and Drivers'!CX147</f>
        <v>111.47883155270749</v>
      </c>
      <c r="CQ1247">
        <f>'Bookings and Drivers'!CY147</f>
        <v>114.38929831689896</v>
      </c>
    </row>
    <row r="1248" spans="1:105">
      <c r="A1248" t="str">
        <f>'Bookings and Drivers'!I148</f>
        <v>% change Y/Y</v>
      </c>
      <c r="B1248">
        <f>'Bookings and Drivers'!J148</f>
        <v>0</v>
      </c>
      <c r="C1248">
        <f>'Bookings and Drivers'!K148</f>
        <v>0</v>
      </c>
      <c r="D1248">
        <f>'Bookings and Drivers'!L148</f>
        <v>0</v>
      </c>
      <c r="E1248">
        <f>'Bookings and Drivers'!M148</f>
        <v>0</v>
      </c>
      <c r="F1248">
        <f>'Bookings and Drivers'!N148</f>
        <v>0</v>
      </c>
      <c r="G1248">
        <f>'Bookings and Drivers'!O148</f>
        <v>0</v>
      </c>
      <c r="H1248">
        <f>'Bookings and Drivers'!P148</f>
        <v>0</v>
      </c>
      <c r="I1248">
        <f>'Bookings and Drivers'!Q148</f>
        <v>0</v>
      </c>
      <c r="J1248">
        <f>'Bookings and Drivers'!R148</f>
        <v>0</v>
      </c>
      <c r="K1248">
        <f>'Bookings and Drivers'!S148</f>
        <v>0</v>
      </c>
      <c r="L1248">
        <f>'Bookings and Drivers'!T148</f>
        <v>0</v>
      </c>
      <c r="M1248">
        <f>'Bookings and Drivers'!U148</f>
        <v>0</v>
      </c>
      <c r="N1248">
        <f>'Bookings and Drivers'!V148</f>
        <v>0</v>
      </c>
      <c r="O1248">
        <f>'Bookings and Drivers'!W148</f>
        <v>0</v>
      </c>
      <c r="P1248">
        <f>'Bookings and Drivers'!X148</f>
        <v>0</v>
      </c>
      <c r="Q1248">
        <f>'Bookings and Drivers'!Y148</f>
        <v>0</v>
      </c>
      <c r="R1248">
        <f>'Bookings and Drivers'!Z148</f>
        <v>0</v>
      </c>
      <c r="S1248">
        <f>'Bookings and Drivers'!AA148</f>
        <v>0</v>
      </c>
      <c r="T1248">
        <f>'Bookings and Drivers'!AB148</f>
        <v>0</v>
      </c>
      <c r="U1248">
        <f>'Bookings and Drivers'!AC148</f>
        <v>0</v>
      </c>
      <c r="V1248">
        <f>'Bookings and Drivers'!AD148</f>
        <v>0</v>
      </c>
      <c r="W1248">
        <f>'Bookings and Drivers'!AE148</f>
        <v>0</v>
      </c>
      <c r="X1248">
        <f>'Bookings and Drivers'!AF148</f>
        <v>0</v>
      </c>
      <c r="Y1248">
        <f>'Bookings and Drivers'!AG148</f>
        <v>0</v>
      </c>
      <c r="Z1248">
        <f>'Bookings and Drivers'!AH148</f>
        <v>0</v>
      </c>
      <c r="AA1248">
        <f>'Bookings and Drivers'!AI148</f>
        <v>0</v>
      </c>
      <c r="AB1248">
        <f>'Bookings and Drivers'!AJ148</f>
        <v>0</v>
      </c>
      <c r="AC1248">
        <f>'Bookings and Drivers'!AK148</f>
        <v>0.20988391358214731</v>
      </c>
      <c r="AD1248">
        <f>'Bookings and Drivers'!AL148</f>
        <v>0.18091387660442004</v>
      </c>
      <c r="AE1248">
        <f>'Bookings and Drivers'!AM148</f>
        <v>0.16503196658768715</v>
      </c>
      <c r="AF1248">
        <f>'Bookings and Drivers'!AN148</f>
        <v>0.29100100270730955</v>
      </c>
      <c r="AG1248">
        <f>'Bookings and Drivers'!AO148</f>
        <v>0.28670181015588492</v>
      </c>
      <c r="AH1248">
        <f>'Bookings and Drivers'!AP148</f>
        <v>0.22824839184775936</v>
      </c>
      <c r="AI1248">
        <f>'Bookings and Drivers'!AQ148</f>
        <v>0.10441078127734693</v>
      </c>
      <c r="AJ1248">
        <f>'Bookings and Drivers'!AR148</f>
        <v>-0.17060338943156428</v>
      </c>
      <c r="AK1248">
        <f>'Bookings and Drivers'!AS148</f>
        <v>-0.29220443620355341</v>
      </c>
      <c r="AL1248">
        <f>'Bookings and Drivers'!AT148</f>
        <v>-0.2709639511311881</v>
      </c>
      <c r="AM1248">
        <f>'Bookings and Drivers'!AU148</f>
        <v>-0.17663248990686342</v>
      </c>
      <c r="AN1248">
        <f>'Bookings and Drivers'!AV148</f>
        <v>7.9504033123366735E-2</v>
      </c>
      <c r="AO1248">
        <f>'Bookings and Drivers'!AW148</f>
        <v>0.10021693348846217</v>
      </c>
      <c r="AP1248">
        <f>'Bookings and Drivers'!AX148</f>
        <v>-5.1118631751718047E-2</v>
      </c>
      <c r="AQ1248">
        <f>'Bookings and Drivers'!AY148</f>
        <v>-6.6693273306958734E-2</v>
      </c>
      <c r="AR1248">
        <f>'Bookings and Drivers'!AZ148</f>
        <v>-3.1553676356200988E-2</v>
      </c>
      <c r="AS1248">
        <f>'Bookings and Drivers'!BA148</f>
        <v>4.90670515783318E-2</v>
      </c>
      <c r="AT1248">
        <f>'Bookings and Drivers'!BB148</f>
        <v>0.23700506049503156</v>
      </c>
      <c r="AU1248">
        <f>'Bookings and Drivers'!BC148</f>
        <v>0.13528942807625643</v>
      </c>
      <c r="AV1248">
        <f>'Bookings and Drivers'!BD148</f>
        <v>6.5226407109606477E-3</v>
      </c>
      <c r="AW1248">
        <f>'Bookings and Drivers'!BE148</f>
        <v>-1.8427601809954619E-2</v>
      </c>
      <c r="AX1248">
        <f>'Bookings and Drivers'!BF148</f>
        <v>-0.12205187835420384</v>
      </c>
      <c r="AY1248">
        <f>'Bookings and Drivers'!BG148</f>
        <v>-0.1185456003207056</v>
      </c>
      <c r="AZ1248">
        <f>'Bookings and Drivers'!BH148</f>
        <v>-3.1603271983639991E-2</v>
      </c>
      <c r="BA1248">
        <f>'Bookings and Drivers'!BI148</f>
        <v>-1.2188589249678916E-2</v>
      </c>
      <c r="BB1248">
        <f>'Bookings and Drivers'!BJ148</f>
        <v>1.6364247311827951E-2</v>
      </c>
      <c r="BC1248">
        <f>'Bookings and Drivers'!BK148</f>
        <v>2.6044183531592768E-2</v>
      </c>
      <c r="BD1248">
        <f>'Bookings and Drivers'!BL148</f>
        <v>1.0085911903895184E-2</v>
      </c>
      <c r="BE1248">
        <f>'Bookings and Drivers'!BM148</f>
        <v>1.7467557497109265E-2</v>
      </c>
      <c r="BF1248">
        <f>'Bookings and Drivers'!BN148</f>
        <v>4.1697167502039889E-2</v>
      </c>
      <c r="BG1248">
        <f>'Bookings and Drivers'!BO148</f>
        <v>2.6047499727639201E-2</v>
      </c>
      <c r="BH1248">
        <f>'Bookings and Drivers'!BP148</f>
        <v>-4.9873678783191489E-2</v>
      </c>
      <c r="BI1248">
        <f>'Bookings and Drivers'!BQ148</f>
        <v>-0.13272667480973421</v>
      </c>
      <c r="BJ1248">
        <f>'Bookings and Drivers'!BR148</f>
        <v>-0.15930148947098099</v>
      </c>
      <c r="BK1248">
        <f>'Bookings and Drivers'!BS148</f>
        <v>-0.14988410596026491</v>
      </c>
      <c r="BL1248">
        <f>'Bookings and Drivers'!BT148</f>
        <v>-0.12143831907289071</v>
      </c>
      <c r="BM1248">
        <f>'Bookings and Drivers'!BU148</f>
        <v>-6.3889748581603456E-2</v>
      </c>
      <c r="BN1248">
        <f>'Bookings and Drivers'!BV148</f>
        <v>-2.3560622082329563E-2</v>
      </c>
      <c r="BO1248">
        <f>'Bookings and Drivers'!BW148</f>
        <v>-1.7410779089016337E-2</v>
      </c>
      <c r="BP1248">
        <f>'Bookings and Drivers'!BX148</f>
        <v>-3.0694745356858566E-2</v>
      </c>
      <c r="BQ1248">
        <f>'Bookings and Drivers'!BY148</f>
        <v>-2.2011646429358489E-2</v>
      </c>
      <c r="BR1248">
        <f>'Bookings and Drivers'!BZ148</f>
        <v>-3.9765398405025465E-2</v>
      </c>
      <c r="BS1248">
        <f>'Bookings and Drivers'!CA148</f>
        <v>1.1596422908310755E-2</v>
      </c>
      <c r="BT1248">
        <f>'Bookings and Drivers'!CB148</f>
        <v>7.5191291215370715E-3</v>
      </c>
      <c r="BU1248">
        <f>'Bookings and Drivers'!CC148</f>
        <v>1.6388967079741246E-2</v>
      </c>
      <c r="BV1248">
        <f>'Bookings and Drivers'!CD148</f>
        <v>1.8068431313241984E-2</v>
      </c>
      <c r="BW1248">
        <f>'Bookings and Drivers'!CE148</f>
        <v>-2.4965184307534694E-2</v>
      </c>
      <c r="BX1248">
        <f>'Bookings and Drivers'!CF148</f>
        <v>1.9712677595094652E-2</v>
      </c>
      <c r="BY1248">
        <f>'Bookings and Drivers'!CG148</f>
        <v>0</v>
      </c>
      <c r="BZ1248">
        <f>'Bookings and Drivers'!CH148</f>
        <v>0</v>
      </c>
      <c r="CA1248">
        <f>'Bookings and Drivers'!CI148</f>
        <v>0</v>
      </c>
      <c r="CB1248">
        <f>'Bookings and Drivers'!CJ148</f>
        <v>0</v>
      </c>
      <c r="CC1248">
        <f>'Bookings and Drivers'!CK148</f>
        <v>0</v>
      </c>
      <c r="CD1248">
        <f>'Bookings and Drivers'!CL148</f>
        <v>0</v>
      </c>
      <c r="CE1248">
        <f>'Bookings and Drivers'!CM148</f>
        <v>0</v>
      </c>
      <c r="CF1248">
        <f>'Bookings and Drivers'!CN148</f>
        <v>0.11815351223730008</v>
      </c>
      <c r="CG1248">
        <f>'Bookings and Drivers'!CO148</f>
        <v>6.374591038673838E-2</v>
      </c>
      <c r="CH1248">
        <f>'Bookings and Drivers'!CP148</f>
        <v>-0.12861379007338014</v>
      </c>
      <c r="CI1248">
        <f>'Bookings and Drivers'!CQ148</f>
        <v>-1.3479606522823762E-2</v>
      </c>
      <c r="CJ1248">
        <f>'Bookings and Drivers'!CR148</f>
        <v>6.5511384319308696E-2</v>
      </c>
      <c r="CK1248">
        <f>'Bookings and Drivers'!CS148</f>
        <v>-5.9226342343831062E-2</v>
      </c>
      <c r="CL1248">
        <f>'Bookings and Drivers'!CT148</f>
        <v>1.79507886616741E-2</v>
      </c>
      <c r="CM1248">
        <f>'Bookings and Drivers'!CU148</f>
        <v>1.1354100067925366E-2</v>
      </c>
      <c r="CN1248">
        <f>'Bookings and Drivers'!CV148</f>
        <v>-0.11413902153924393</v>
      </c>
      <c r="CO1248">
        <f>'Bookings and Drivers'!CW148</f>
        <v>-3.5721101572485425E-2</v>
      </c>
      <c r="CP1248">
        <f>'Bookings and Drivers'!CX148</f>
        <v>-2.3715623194052737E-3</v>
      </c>
      <c r="CQ1248">
        <f>'Bookings and Drivers'!CY148</f>
        <v>2.6107797540158018E-2</v>
      </c>
    </row>
    <row r="1249" spans="1:102">
      <c r="A1249" t="str">
        <f>'Bookings and Drivers'!I149</f>
        <v>FX % (Headwind) / Tailwind</v>
      </c>
      <c r="B1249">
        <f>'Bookings and Drivers'!J149</f>
        <v>0</v>
      </c>
      <c r="C1249">
        <f>'Bookings and Drivers'!K149</f>
        <v>0</v>
      </c>
      <c r="D1249">
        <f>'Bookings and Drivers'!L149</f>
        <v>0</v>
      </c>
      <c r="E1249">
        <f>'Bookings and Drivers'!M149</f>
        <v>0</v>
      </c>
      <c r="F1249">
        <f>'Bookings and Drivers'!N149</f>
        <v>0</v>
      </c>
      <c r="G1249">
        <f>'Bookings and Drivers'!O149</f>
        <v>0</v>
      </c>
      <c r="H1249">
        <f>'Bookings and Drivers'!P149</f>
        <v>0</v>
      </c>
      <c r="I1249">
        <f>'Bookings and Drivers'!Q149</f>
        <v>0</v>
      </c>
      <c r="J1249">
        <f>'Bookings and Drivers'!R149</f>
        <v>0</v>
      </c>
      <c r="K1249">
        <f>'Bookings and Drivers'!S149</f>
        <v>0</v>
      </c>
      <c r="L1249">
        <f>'Bookings and Drivers'!T149</f>
        <v>0</v>
      </c>
      <c r="M1249">
        <f>'Bookings and Drivers'!U149</f>
        <v>0</v>
      </c>
      <c r="N1249">
        <f>'Bookings and Drivers'!V149</f>
        <v>0</v>
      </c>
      <c r="O1249">
        <f>'Bookings and Drivers'!W149</f>
        <v>0</v>
      </c>
      <c r="P1249">
        <f>'Bookings and Drivers'!X149</f>
        <v>0</v>
      </c>
      <c r="Q1249">
        <f>'Bookings and Drivers'!Y149</f>
        <v>0</v>
      </c>
      <c r="R1249">
        <f>'Bookings and Drivers'!Z149</f>
        <v>0</v>
      </c>
      <c r="S1249">
        <f>'Bookings and Drivers'!AA149</f>
        <v>0</v>
      </c>
      <c r="T1249">
        <f>'Bookings and Drivers'!AB149</f>
        <v>0</v>
      </c>
      <c r="U1249">
        <f>'Bookings and Drivers'!AC149</f>
        <v>0</v>
      </c>
      <c r="V1249">
        <f>'Bookings and Drivers'!AD149</f>
        <v>0</v>
      </c>
      <c r="W1249">
        <f>'Bookings and Drivers'!AE149</f>
        <v>0</v>
      </c>
      <c r="X1249">
        <f>'Bookings and Drivers'!AF149</f>
        <v>0</v>
      </c>
      <c r="Y1249">
        <f>'Bookings and Drivers'!AG149</f>
        <v>0</v>
      </c>
      <c r="Z1249">
        <f>'Bookings and Drivers'!AH149</f>
        <v>0</v>
      </c>
      <c r="AA1249">
        <f>'Bookings and Drivers'!AI149</f>
        <v>0</v>
      </c>
      <c r="AB1249">
        <f>'Bookings and Drivers'!AJ149</f>
        <v>0</v>
      </c>
      <c r="AC1249">
        <f>'Bookings and Drivers'!AK149</f>
        <v>0.15988391358214737</v>
      </c>
      <c r="AD1249">
        <f>'Bookings and Drivers'!AL149</f>
        <v>0.13091387660442</v>
      </c>
      <c r="AE1249">
        <f>'Bookings and Drivers'!AM149</f>
        <v>0.11503196658768722</v>
      </c>
      <c r="AF1249">
        <f>'Bookings and Drivers'!AN149</f>
        <v>0.2310010027073095</v>
      </c>
      <c r="AG1249">
        <f>'Bookings and Drivers'!AO149</f>
        <v>0.24670181015588488</v>
      </c>
      <c r="AH1249">
        <f>'Bookings and Drivers'!AP149</f>
        <v>0.24324839184775948</v>
      </c>
      <c r="AI1249">
        <f>'Bookings and Drivers'!AQ149</f>
        <v>0.13941078127734691</v>
      </c>
      <c r="AJ1249">
        <f>'Bookings and Drivers'!AR149</f>
        <v>-0.11060338943156411</v>
      </c>
      <c r="AK1249">
        <f>'Bookings and Drivers'!AS149</f>
        <v>-0.18220443620355342</v>
      </c>
      <c r="AL1249">
        <f>'Bookings and Drivers'!AT149</f>
        <v>-0.18096395113118818</v>
      </c>
      <c r="AM1249">
        <f>'Bookings and Drivers'!AU149</f>
        <v>-0.10663248990686325</v>
      </c>
      <c r="AN1249">
        <f>'Bookings and Drivers'!AV149</f>
        <v>0.11450403312336677</v>
      </c>
      <c r="AO1249">
        <f>'Bookings and Drivers'!AW149</f>
        <v>8.021693348846215E-2</v>
      </c>
      <c r="AP1249">
        <f>'Bookings and Drivers'!AX149</f>
        <v>-7.6118631751717958E-2</v>
      </c>
      <c r="AQ1249">
        <f>'Bookings and Drivers'!AY149</f>
        <v>-0.10669327330695877</v>
      </c>
      <c r="AR1249">
        <f>'Bookings and Drivers'!AZ149</f>
        <v>-6.1553676356201015E-2</v>
      </c>
      <c r="AS1249">
        <f>'Bookings and Drivers'!BA149</f>
        <v>9.067051578331875E-3</v>
      </c>
      <c r="AT1249">
        <f>'Bookings and Drivers'!BB149</f>
        <v>0.19700506049503141</v>
      </c>
      <c r="AU1249">
        <f>'Bookings and Drivers'!BC149</f>
        <v>0.11528942807625653</v>
      </c>
      <c r="AV1249">
        <f>'Bookings and Drivers'!BD149</f>
        <v>-1.347735928903937E-2</v>
      </c>
      <c r="AW1249">
        <f>'Bookings and Drivers'!BE149</f>
        <v>-3.8427601809954637E-2</v>
      </c>
      <c r="AX1249">
        <f>'Bookings and Drivers'!BF149</f>
        <v>-0.11205187835420388</v>
      </c>
      <c r="AY1249">
        <f>'Bookings and Drivers'!BG149</f>
        <v>-0.10854560032070559</v>
      </c>
      <c r="AZ1249">
        <f>'Bookings and Drivers'!BH149</f>
        <v>-2.1603271983640149E-2</v>
      </c>
      <c r="BA1249">
        <f>'Bookings and Drivers'!BI149</f>
        <v>-2.1885892496789627E-3</v>
      </c>
      <c r="BB1249">
        <f>'Bookings and Drivers'!BJ149</f>
        <v>1.364247311827993E-3</v>
      </c>
      <c r="BC1249">
        <f>'Bookings and Drivers'!BK149</f>
        <v>8.0441835315926968E-3</v>
      </c>
      <c r="BD1249">
        <f>'Bookings and Drivers'!BL149</f>
        <v>-7.9140880961048876E-3</v>
      </c>
      <c r="BE1249">
        <f>'Bookings and Drivers'!BM149</f>
        <v>-1.2532442502890873E-2</v>
      </c>
      <c r="BF1249">
        <f>'Bookings and Drivers'!BN149</f>
        <v>1.1697167502039973E-2</v>
      </c>
      <c r="BG1249">
        <f>'Bookings and Drivers'!BO149</f>
        <v>-3.9525002723607705E-3</v>
      </c>
      <c r="BH1249">
        <f>'Bookings and Drivers'!BP149</f>
        <v>-7.9873678783191515E-2</v>
      </c>
      <c r="BI1249">
        <f>'Bookings and Drivers'!BQ149</f>
        <v>-0.15272667480973418</v>
      </c>
      <c r="BJ1249">
        <f>'Bookings and Drivers'!BR149</f>
        <v>-0.17930148947098096</v>
      </c>
      <c r="BK1249">
        <f>'Bookings and Drivers'!BS149</f>
        <v>-0.16738410596026498</v>
      </c>
      <c r="BL1249">
        <f>'Bookings and Drivers'!BT149</f>
        <v>-0.13143831907289066</v>
      </c>
      <c r="BM1249">
        <f>'Bookings and Drivers'!BU149</f>
        <v>-5.8889748581603472E-2</v>
      </c>
      <c r="BN1249">
        <f>'Bookings and Drivers'!BV149</f>
        <v>-1.8560622082329566E-2</v>
      </c>
      <c r="BO1249">
        <f>'Bookings and Drivers'!BW149</f>
        <v>-1.241077908901627E-2</v>
      </c>
      <c r="BP1249">
        <f>'Bookings and Drivers'!BX149</f>
        <v>-2.5694745356858568E-2</v>
      </c>
      <c r="BQ1249">
        <f>'Bookings and Drivers'!BY149</f>
        <v>-3.2011646429358519E-2</v>
      </c>
      <c r="BR1249">
        <f>'Bookings and Drivers'!BZ149</f>
        <v>-2.976539840502547E-2</v>
      </c>
      <c r="BS1249">
        <f>'Bookings and Drivers'!CA149</f>
        <v>2.1596422908310788E-2</v>
      </c>
      <c r="BT1249">
        <f>'Bookings and Drivers'!CB149</f>
        <v>5.7519129121537067E-2</v>
      </c>
      <c r="BU1249">
        <f>'Bookings and Drivers'!CC149</f>
        <v>6.638896707974129E-2</v>
      </c>
      <c r="BV1249">
        <f>'Bookings and Drivers'!CD149</f>
        <v>3.8068431313242002E-2</v>
      </c>
      <c r="BW1249">
        <f>'Bookings and Drivers'!CE149</f>
        <v>-4.9651843075346758E-3</v>
      </c>
      <c r="BX1249">
        <f>'Bookings and Drivers'!CF149</f>
        <v>3.971267759509467E-2</v>
      </c>
      <c r="BY1249">
        <f>'Bookings and Drivers'!CG149</f>
        <v>0</v>
      </c>
      <c r="BZ1249">
        <f>'Bookings and Drivers'!CH149</f>
        <v>0</v>
      </c>
      <c r="CA1249">
        <f>'Bookings and Drivers'!CI149</f>
        <v>0</v>
      </c>
      <c r="CB1249">
        <f>'Bookings and Drivers'!CJ149</f>
        <v>0</v>
      </c>
      <c r="CC1249">
        <f>'Bookings and Drivers'!CK149</f>
        <v>0</v>
      </c>
      <c r="CD1249">
        <f>'Bookings and Drivers'!CL149</f>
        <v>0</v>
      </c>
      <c r="CE1249">
        <f>'Bookings and Drivers'!CM149</f>
        <v>0</v>
      </c>
      <c r="CF1249">
        <f>'Bookings and Drivers'!CN149</f>
        <v>0</v>
      </c>
      <c r="CG1249">
        <f>'Bookings and Drivers'!CO149</f>
        <v>5.6211495050382254E-3</v>
      </c>
      <c r="CH1249">
        <f>'Bookings and Drivers'!CP149</f>
        <v>-9.6153765163986105E-2</v>
      </c>
      <c r="CI1249">
        <f>'Bookings and Drivers'!CQ149</f>
        <v>-3.3565748004645068E-2</v>
      </c>
      <c r="CJ1249">
        <f>'Bookings and Drivers'!CR149</f>
        <v>1.5870578430861038E-3</v>
      </c>
      <c r="CK1249">
        <f>'Bookings and Drivers'!CS149</f>
        <v>-6.6788557352971623E-2</v>
      </c>
      <c r="CL1249">
        <f>'Bookings and Drivers'!CT149</f>
        <v>-2.4829536226811388E-4</v>
      </c>
      <c r="CM1249">
        <f>'Bookings and Drivers'!CU149</f>
        <v>-2.2583660281306872E-2</v>
      </c>
      <c r="CN1249">
        <f>'Bookings and Drivers'!CV149</f>
        <v>-0.15757487748179211</v>
      </c>
      <c r="CO1249">
        <f>'Bookings and Drivers'!CW149</f>
        <v>-2.8268793895241506E-2</v>
      </c>
      <c r="CP1249">
        <f>'Bookings and Drivers'!CX149</f>
        <v>2.6094783015758072E-2</v>
      </c>
      <c r="CQ1249">
        <f>'Bookings and Drivers'!CY149</f>
        <v>3.3206430188495561E-2</v>
      </c>
    </row>
    <row r="1250" spans="1:102">
      <c r="A1250" t="str">
        <f>'Bookings and Drivers'!I150</f>
        <v>FX $ (Headwind) / Tailwind</v>
      </c>
      <c r="B1250">
        <f>'Bookings and Drivers'!J150</f>
        <v>0</v>
      </c>
      <c r="C1250">
        <f>'Bookings and Drivers'!K150</f>
        <v>0</v>
      </c>
      <c r="D1250">
        <f>'Bookings and Drivers'!L150</f>
        <v>0</v>
      </c>
      <c r="E1250">
        <f>'Bookings and Drivers'!M150</f>
        <v>0</v>
      </c>
      <c r="F1250">
        <f>'Bookings and Drivers'!N150</f>
        <v>0</v>
      </c>
      <c r="G1250">
        <f>'Bookings and Drivers'!O150</f>
        <v>0</v>
      </c>
      <c r="H1250">
        <f>'Bookings and Drivers'!P150</f>
        <v>0</v>
      </c>
      <c r="I1250">
        <f>'Bookings and Drivers'!Q150</f>
        <v>0</v>
      </c>
      <c r="J1250">
        <f>'Bookings and Drivers'!R150</f>
        <v>0</v>
      </c>
      <c r="K1250">
        <f>'Bookings and Drivers'!S150</f>
        <v>0</v>
      </c>
      <c r="L1250">
        <f>'Bookings and Drivers'!T150</f>
        <v>0</v>
      </c>
      <c r="M1250">
        <f>'Bookings and Drivers'!U150</f>
        <v>0</v>
      </c>
      <c r="N1250">
        <f>'Bookings and Drivers'!V150</f>
        <v>0</v>
      </c>
      <c r="O1250">
        <f>'Bookings and Drivers'!W150</f>
        <v>0</v>
      </c>
      <c r="P1250">
        <f>'Bookings and Drivers'!X150</f>
        <v>0</v>
      </c>
      <c r="Q1250">
        <f>'Bookings and Drivers'!Y150</f>
        <v>0</v>
      </c>
      <c r="R1250">
        <f>'Bookings and Drivers'!Z150</f>
        <v>0</v>
      </c>
      <c r="S1250">
        <f>'Bookings and Drivers'!AA150</f>
        <v>0</v>
      </c>
      <c r="T1250">
        <f>'Bookings and Drivers'!AB150</f>
        <v>0</v>
      </c>
      <c r="U1250">
        <f>'Bookings and Drivers'!AC150</f>
        <v>0</v>
      </c>
      <c r="V1250">
        <f>'Bookings and Drivers'!AD150</f>
        <v>0</v>
      </c>
      <c r="W1250">
        <f>'Bookings and Drivers'!AE150</f>
        <v>0</v>
      </c>
      <c r="X1250">
        <f>'Bookings and Drivers'!AF150</f>
        <v>0</v>
      </c>
      <c r="Y1250">
        <f>'Bookings and Drivers'!AG150</f>
        <v>0</v>
      </c>
      <c r="Z1250">
        <f>'Bookings and Drivers'!AH150</f>
        <v>0</v>
      </c>
      <c r="AA1250">
        <f>'Bookings and Drivers'!AI150</f>
        <v>0</v>
      </c>
      <c r="AB1250">
        <f>'Bookings and Drivers'!AJ150</f>
        <v>0</v>
      </c>
      <c r="AC1250">
        <f>'Bookings and Drivers'!AK150</f>
        <v>18.441814871053026</v>
      </c>
      <c r="AD1250">
        <f>'Bookings and Drivers'!AL150</f>
        <v>16.428977988681986</v>
      </c>
      <c r="AE1250">
        <f>'Bookings and Drivers'!AM150</f>
        <v>14.644757600615128</v>
      </c>
      <c r="AF1250">
        <f>'Bookings and Drivers'!AN150</f>
        <v>29.152712491314755</v>
      </c>
      <c r="AG1250">
        <f>'Bookings and Drivers'!AO150</f>
        <v>34.428248290509906</v>
      </c>
      <c r="AH1250">
        <f>'Bookings and Drivers'!AP150</f>
        <v>36.048987235358275</v>
      </c>
      <c r="AI1250">
        <f>'Bookings and Drivers'!AQ150</f>
        <v>20.677491263838942</v>
      </c>
      <c r="AJ1250">
        <f>'Bookings and Drivers'!AR150</f>
        <v>-18.020221304151271</v>
      </c>
      <c r="AK1250">
        <f>'Bookings and Drivers'!AS150</f>
        <v>-32.717450114056838</v>
      </c>
      <c r="AL1250">
        <f>'Bookings and Drivers'!AT150</f>
        <v>-32.939830836725257</v>
      </c>
      <c r="AM1250">
        <f>'Bookings and Drivers'!AU150</f>
        <v>-17.467134837418136</v>
      </c>
      <c r="AN1250">
        <f>'Bookings and Drivers'!AV150</f>
        <v>15.473007079316959</v>
      </c>
      <c r="AO1250">
        <f>'Bookings and Drivers'!AW150</f>
        <v>10.195168181245446</v>
      </c>
      <c r="AP1250">
        <f>'Bookings and Drivers'!AX150</f>
        <v>-10.101113969414637</v>
      </c>
      <c r="AQ1250">
        <f>'Bookings and Drivers'!AY150</f>
        <v>-14.390069374747634</v>
      </c>
      <c r="AR1250">
        <f>'Bookings and Drivers'!AZ150</f>
        <v>-8.9790875532340824</v>
      </c>
      <c r="AS1250">
        <f>'Bookings and Drivers'!BA150</f>
        <v>1.2678642308789354</v>
      </c>
      <c r="AT1250">
        <f>'Bookings and Drivers'!BB150</f>
        <v>24.806620303911341</v>
      </c>
      <c r="AU1250">
        <f>'Bookings and Drivers'!BC150</f>
        <v>14.512416337314457</v>
      </c>
      <c r="AV1250">
        <f>'Bookings and Drivers'!BD150</f>
        <v>-1.9039632904814243</v>
      </c>
      <c r="AW1250">
        <f>'Bookings and Drivers'!BE150</f>
        <v>-5.6370669450061319</v>
      </c>
      <c r="AX1250">
        <f>'Bookings and Drivers'!BF150</f>
        <v>-17.453431852399959</v>
      </c>
      <c r="AY1250">
        <f>'Bookings and Drivers'!BG150</f>
        <v>-15.512045248282682</v>
      </c>
      <c r="AZ1250">
        <f>'Bookings and Drivers'!BH150</f>
        <v>-3.0718276567804157</v>
      </c>
      <c r="BA1250">
        <f>'Bookings and Drivers'!BI150</f>
        <v>-0.31513490542577316</v>
      </c>
      <c r="BB1250">
        <f>'Bookings and Drivers'!BJ150</f>
        <v>0.18656219989772926</v>
      </c>
      <c r="BC1250">
        <f>'Bookings and Drivers'!BK150</f>
        <v>1.0133014369293285</v>
      </c>
      <c r="BD1250">
        <f>'Bookings and Drivers'!BL150</f>
        <v>-1.089761614866396</v>
      </c>
      <c r="BE1250">
        <f>'Bookings and Drivers'!BM150</f>
        <v>-1.7825511782056325</v>
      </c>
      <c r="BF1250">
        <f>'Bookings and Drivers'!BN150</f>
        <v>1.6257757298057962</v>
      </c>
      <c r="BG1250">
        <f>'Bookings and Drivers'!BO150</f>
        <v>-0.51085148380464696</v>
      </c>
      <c r="BH1250">
        <f>'Bookings and Drivers'!BP150</f>
        <v>-11.109451759085198</v>
      </c>
      <c r="BI1250">
        <f>'Bookings and Drivers'!BQ150</f>
        <v>-22.102518029570387</v>
      </c>
      <c r="BJ1250">
        <f>'Bookings and Drivers'!BR150</f>
        <v>-25.960037023946786</v>
      </c>
      <c r="BK1250">
        <f>'Bookings and Drivers'!BS150</f>
        <v>-22.197518878498077</v>
      </c>
      <c r="BL1250">
        <f>'Bookings and Drivers'!BT150</f>
        <v>-17.369698730900936</v>
      </c>
      <c r="BM1250">
        <f>'Bookings and Drivers'!BU150</f>
        <v>-7.3913292121418621</v>
      </c>
      <c r="BN1250">
        <f>'Bookings and Drivers'!BV150</f>
        <v>-2.2591975908056168</v>
      </c>
      <c r="BO1250">
        <f>'Bookings and Drivers'!BW150</f>
        <v>-1.3991600563773663</v>
      </c>
      <c r="BP1250">
        <f>'Bookings and Drivers'!BX150</f>
        <v>-2.9832308729958492</v>
      </c>
      <c r="BQ1250">
        <f>'Bookings and Drivers'!BY150</f>
        <v>-3.7611257925201</v>
      </c>
      <c r="BR1250">
        <f>'Bookings and Drivers'!BZ150</f>
        <v>-3.5376810352943888</v>
      </c>
      <c r="BS1250">
        <f>'Bookings and Drivers'!CA150</f>
        <v>2.3923359799517412</v>
      </c>
      <c r="BT1250">
        <f>'Bookings and Drivers'!CB150</f>
        <v>6.4731461973882656</v>
      </c>
      <c r="BU1250">
        <f>'Bookings and Drivers'!CC150</f>
        <v>7.6285051204261345</v>
      </c>
      <c r="BV1250">
        <f>'Bookings and Drivers'!CD150</f>
        <v>4.3445950821204615</v>
      </c>
      <c r="BW1250">
        <f>'Bookings and Drivers'!CE150</f>
        <v>-0.55639472981712024</v>
      </c>
      <c r="BX1250">
        <f>'Bookings and Drivers'!CF150</f>
        <v>4.5028303474727096</v>
      </c>
      <c r="BY1250">
        <f>'Bookings and Drivers'!CG150</f>
        <v>0</v>
      </c>
      <c r="BZ1250">
        <f>'Bookings and Drivers'!CH150</f>
        <v>0</v>
      </c>
      <c r="CA1250">
        <f>'Bookings and Drivers'!CI150</f>
        <v>0</v>
      </c>
      <c r="CB1250">
        <f>'Bookings and Drivers'!CJ150</f>
        <v>0</v>
      </c>
      <c r="CC1250">
        <f>'Bookings and Drivers'!CK150</f>
        <v>0</v>
      </c>
      <c r="CD1250">
        <f>'Bookings and Drivers'!CL150</f>
        <v>0</v>
      </c>
      <c r="CE1250">
        <f>'Bookings and Drivers'!CM150</f>
        <v>0</v>
      </c>
      <c r="CF1250">
        <f>'Bookings and Drivers'!CN150</f>
        <v>0</v>
      </c>
      <c r="CG1250">
        <f>'Bookings and Drivers'!CO150</f>
        <v>0.77920650660517043</v>
      </c>
      <c r="CH1250">
        <f>'Bookings and Drivers'!CP150</f>
        <v>-14.178543905509009</v>
      </c>
      <c r="CI1250">
        <f>'Bookings and Drivers'!CQ150</f>
        <v>-4.3129294093327131</v>
      </c>
      <c r="CJ1250">
        <f>'Bookings and Drivers'!CR150</f>
        <v>0.20117538603562218</v>
      </c>
      <c r="CK1250">
        <f>'Bookings and Drivers'!CS150</f>
        <v>-9.0207416429106608</v>
      </c>
      <c r="CL1250">
        <f>'Bookings and Drivers'!CT150</f>
        <v>-3.1549605855668204E-2</v>
      </c>
      <c r="CM1250">
        <f>'Bookings and Drivers'!CU150</f>
        <v>-2.9211001410849082</v>
      </c>
      <c r="CN1250">
        <f>'Bookings and Drivers'!CV150</f>
        <v>-20.613053527972554</v>
      </c>
      <c r="CO1250">
        <f>'Bookings and Drivers'!CW150</f>
        <v>-3.2758816559974497</v>
      </c>
      <c r="CP1250">
        <f>'Bookings and Drivers'!CX150</f>
        <v>2.9159312328559648</v>
      </c>
      <c r="CQ1250">
        <f>'Bookings and Drivers'!CY150</f>
        <v>3.7018140374500375</v>
      </c>
    </row>
    <row r="1251" spans="1:102">
      <c r="A1251">
        <f>Model!I376</f>
        <v>0</v>
      </c>
      <c r="B1251">
        <f>Model!J376</f>
        <v>0</v>
      </c>
      <c r="C1251">
        <f>Model!K376</f>
        <v>0</v>
      </c>
      <c r="D1251">
        <f>Model!L376</f>
        <v>0</v>
      </c>
      <c r="E1251">
        <f>Model!M376</f>
        <v>0</v>
      </c>
      <c r="F1251">
        <f>Model!N376</f>
        <v>0</v>
      </c>
      <c r="G1251">
        <f>Model!O376</f>
        <v>0</v>
      </c>
      <c r="H1251">
        <f>Model!P376</f>
        <v>0</v>
      </c>
      <c r="I1251">
        <f>Model!Q376</f>
        <v>0</v>
      </c>
      <c r="J1251">
        <f>Model!R376</f>
        <v>0</v>
      </c>
      <c r="K1251">
        <f>Model!S376</f>
        <v>0</v>
      </c>
      <c r="L1251">
        <f>Model!T376</f>
        <v>0</v>
      </c>
      <c r="M1251">
        <f>Model!U376</f>
        <v>0</v>
      </c>
      <c r="N1251">
        <f>Model!V376</f>
        <v>0</v>
      </c>
      <c r="O1251">
        <f>Model!W376</f>
        <v>0</v>
      </c>
      <c r="P1251">
        <f>Model!X376</f>
        <v>0</v>
      </c>
      <c r="Q1251">
        <f>Model!Y376</f>
        <v>0</v>
      </c>
      <c r="R1251">
        <f>Model!Z376</f>
        <v>0</v>
      </c>
      <c r="S1251">
        <f>Model!AA376</f>
        <v>0</v>
      </c>
      <c r="T1251">
        <f>Model!AB376</f>
        <v>0</v>
      </c>
      <c r="U1251">
        <f>Model!AC376</f>
        <v>0</v>
      </c>
      <c r="V1251">
        <f>Model!AD376</f>
        <v>0</v>
      </c>
      <c r="W1251">
        <f>Model!AE376</f>
        <v>0</v>
      </c>
      <c r="X1251">
        <f>Model!AF376</f>
        <v>0</v>
      </c>
      <c r="Y1251">
        <f>Model!AG376</f>
        <v>0</v>
      </c>
      <c r="Z1251">
        <f>Model!AH376</f>
        <v>0</v>
      </c>
      <c r="AA1251">
        <f>Model!AI376</f>
        <v>0</v>
      </c>
      <c r="AB1251">
        <f>Model!AJ376</f>
        <v>0</v>
      </c>
      <c r="AC1251">
        <f>Model!AK376</f>
        <v>0</v>
      </c>
      <c r="AD1251">
        <f>Model!AL376</f>
        <v>0</v>
      </c>
      <c r="AE1251">
        <f>Model!AM376</f>
        <v>0</v>
      </c>
      <c r="AF1251">
        <f>Model!AN376</f>
        <v>0</v>
      </c>
      <c r="AG1251">
        <f>Model!AO376</f>
        <v>0</v>
      </c>
      <c r="AH1251">
        <f>Model!AP376</f>
        <v>0</v>
      </c>
      <c r="AI1251">
        <f>Model!AQ376</f>
        <v>0</v>
      </c>
      <c r="AJ1251">
        <f>Model!AR376</f>
        <v>0</v>
      </c>
      <c r="AK1251">
        <f>Model!AS376</f>
        <v>0</v>
      </c>
      <c r="AL1251">
        <f>Model!AT376</f>
        <v>0</v>
      </c>
      <c r="AM1251">
        <f>Model!AU376</f>
        <v>0</v>
      </c>
      <c r="AN1251">
        <f>Model!AV376</f>
        <v>0</v>
      </c>
      <c r="AO1251">
        <f>Model!AW376</f>
        <v>0</v>
      </c>
      <c r="AP1251">
        <f>Model!AX376</f>
        <v>0</v>
      </c>
      <c r="AQ1251">
        <f>Model!AY376</f>
        <v>0</v>
      </c>
      <c r="AR1251">
        <f>Model!AZ376</f>
        <v>0</v>
      </c>
      <c r="AS1251">
        <f>Model!BA376</f>
        <v>0</v>
      </c>
      <c r="AT1251">
        <f>Model!BB376</f>
        <v>0</v>
      </c>
      <c r="AU1251">
        <f>Model!BC376</f>
        <v>0</v>
      </c>
      <c r="AV1251">
        <f>Model!BD376</f>
        <v>0</v>
      </c>
      <c r="AW1251">
        <f>Model!BE376</f>
        <v>0</v>
      </c>
      <c r="AX1251">
        <f>Model!BF376</f>
        <v>0</v>
      </c>
      <c r="AY1251">
        <f>Model!BG376</f>
        <v>0</v>
      </c>
      <c r="AZ1251">
        <f>Model!BH376</f>
        <v>0</v>
      </c>
      <c r="BA1251">
        <f>Model!BI376</f>
        <v>0</v>
      </c>
      <c r="BB1251">
        <f>Model!BJ376</f>
        <v>0</v>
      </c>
      <c r="BC1251">
        <f>Model!BK376</f>
        <v>0</v>
      </c>
      <c r="BD1251">
        <f>Model!BL376</f>
        <v>0</v>
      </c>
      <c r="BE1251">
        <f>Model!BM376</f>
        <v>0</v>
      </c>
      <c r="BF1251">
        <f>Model!BN376</f>
        <v>0</v>
      </c>
      <c r="BG1251">
        <f>Model!BO376</f>
        <v>0</v>
      </c>
      <c r="BH1251">
        <f>Model!BP376</f>
        <v>0</v>
      </c>
      <c r="BI1251">
        <f>Model!BQ376</f>
        <v>0</v>
      </c>
      <c r="BJ1251">
        <f>Model!BR376</f>
        <v>0</v>
      </c>
      <c r="BK1251">
        <f>Model!BS376</f>
        <v>0</v>
      </c>
      <c r="BL1251">
        <f>Model!BT376</f>
        <v>0</v>
      </c>
      <c r="BM1251">
        <f>Model!BU376</f>
        <v>0</v>
      </c>
      <c r="BN1251">
        <f>Model!BV376</f>
        <v>0</v>
      </c>
      <c r="BO1251">
        <f>Model!BW376</f>
        <v>0</v>
      </c>
      <c r="BP1251">
        <f>Model!BX376</f>
        <v>0</v>
      </c>
      <c r="BQ1251">
        <f>Model!BY376</f>
        <v>0</v>
      </c>
      <c r="BR1251">
        <f>Model!BZ376</f>
        <v>0</v>
      </c>
      <c r="BS1251">
        <f>Model!CA376</f>
        <v>0</v>
      </c>
      <c r="BT1251">
        <f>Model!CB376</f>
        <v>0</v>
      </c>
      <c r="BU1251">
        <f>Model!CC376</f>
        <v>0</v>
      </c>
      <c r="BV1251">
        <f>Model!CD376</f>
        <v>0</v>
      </c>
      <c r="BW1251">
        <f>Model!CE376</f>
        <v>0</v>
      </c>
      <c r="BX1251">
        <f>Model!CF376</f>
        <v>0</v>
      </c>
      <c r="BY1251">
        <f>Model!CG376</f>
        <v>0</v>
      </c>
      <c r="BZ1251">
        <f>Model!CH376</f>
        <v>0</v>
      </c>
      <c r="CA1251">
        <f>Model!CI376</f>
        <v>0</v>
      </c>
      <c r="CB1251">
        <f>Model!CJ376</f>
        <v>0</v>
      </c>
      <c r="CC1251">
        <f>Model!CK376</f>
        <v>0</v>
      </c>
      <c r="CD1251">
        <f>Model!CL376</f>
        <v>0</v>
      </c>
      <c r="CE1251">
        <f>Model!CM376</f>
        <v>0</v>
      </c>
      <c r="CF1251">
        <f>Model!CN376</f>
        <v>0</v>
      </c>
      <c r="CG1251">
        <f>Model!CO376</f>
        <v>0</v>
      </c>
      <c r="CH1251">
        <f>Model!CP376</f>
        <v>0</v>
      </c>
      <c r="CI1251">
        <f>Model!CQ376</f>
        <v>0</v>
      </c>
      <c r="CJ1251">
        <f>Model!CR376</f>
        <v>0</v>
      </c>
      <c r="CK1251">
        <f>Model!CS376</f>
        <v>0</v>
      </c>
      <c r="CL1251">
        <f>Model!CT376</f>
        <v>0</v>
      </c>
      <c r="CM1251">
        <f>Model!CU376</f>
        <v>0</v>
      </c>
      <c r="CN1251">
        <f>Model!CV376</f>
        <v>0</v>
      </c>
      <c r="CO1251">
        <f>Model!CW376</f>
        <v>0</v>
      </c>
      <c r="CP1251">
        <f>Model!CX376</f>
        <v>0</v>
      </c>
      <c r="CQ1251">
        <f>Model!CY376</f>
        <v>0</v>
      </c>
      <c r="CR1251">
        <f>Model!CZ376</f>
        <v>0</v>
      </c>
      <c r="CS1251">
        <f>Model!DA376</f>
        <v>0</v>
      </c>
      <c r="CT1251">
        <f>Model!DB376</f>
        <v>0</v>
      </c>
      <c r="CU1251">
        <f>Model!DC376</f>
        <v>0</v>
      </c>
      <c r="CV1251">
        <f>Model!DD376</f>
        <v>0</v>
      </c>
      <c r="CW1251">
        <f>Model!DE376</f>
        <v>0</v>
      </c>
      <c r="CX1251">
        <f>Model!DF376</f>
        <v>0</v>
      </c>
    </row>
    <row r="1258" spans="1:102">
      <c r="A1258">
        <f>Model!I378</f>
        <v>0</v>
      </c>
      <c r="B1258">
        <f>Model!J378</f>
        <v>0</v>
      </c>
      <c r="C1258">
        <f>Model!K378</f>
        <v>0</v>
      </c>
      <c r="D1258">
        <f>Model!L378</f>
        <v>0</v>
      </c>
      <c r="E1258">
        <f>Model!M378</f>
        <v>0</v>
      </c>
      <c r="F1258">
        <f>Model!N378</f>
        <v>0</v>
      </c>
      <c r="G1258">
        <f>Model!O378</f>
        <v>0</v>
      </c>
      <c r="H1258">
        <f>Model!P378</f>
        <v>0</v>
      </c>
      <c r="I1258">
        <f>Model!Q378</f>
        <v>0</v>
      </c>
      <c r="J1258">
        <f>Model!R378</f>
        <v>0</v>
      </c>
      <c r="K1258">
        <f>Model!S378</f>
        <v>0</v>
      </c>
      <c r="L1258">
        <f>Model!T378</f>
        <v>0</v>
      </c>
      <c r="M1258">
        <f>Model!U378</f>
        <v>0</v>
      </c>
      <c r="N1258">
        <f>Model!V378</f>
        <v>0</v>
      </c>
      <c r="O1258">
        <f>Model!W378</f>
        <v>0</v>
      </c>
      <c r="P1258">
        <f>Model!X378</f>
        <v>0</v>
      </c>
      <c r="Q1258">
        <f>Model!Y378</f>
        <v>0</v>
      </c>
      <c r="R1258">
        <f>Model!Z378</f>
        <v>0</v>
      </c>
      <c r="S1258">
        <f>Model!AA378</f>
        <v>0</v>
      </c>
      <c r="T1258">
        <f>Model!AB378</f>
        <v>0</v>
      </c>
      <c r="U1258">
        <f>Model!AC378</f>
        <v>0</v>
      </c>
      <c r="V1258">
        <f>Model!AD378</f>
        <v>0</v>
      </c>
      <c r="W1258">
        <f>Model!AE378</f>
        <v>0</v>
      </c>
      <c r="X1258">
        <f>Model!AF378</f>
        <v>0</v>
      </c>
      <c r="Y1258">
        <f>Model!AG378</f>
        <v>0</v>
      </c>
      <c r="Z1258">
        <f>Model!AH378</f>
        <v>0</v>
      </c>
      <c r="AA1258">
        <f>Model!AI378</f>
        <v>0</v>
      </c>
      <c r="AB1258">
        <f>Model!AJ378</f>
        <v>0</v>
      </c>
      <c r="AC1258">
        <f>Model!AK378</f>
        <v>0</v>
      </c>
      <c r="AD1258">
        <f>Model!AL378</f>
        <v>0</v>
      </c>
      <c r="AE1258">
        <f>Model!AM378</f>
        <v>0</v>
      </c>
      <c r="AF1258">
        <f>Model!AN378</f>
        <v>0</v>
      </c>
      <c r="AG1258">
        <f>Model!AO378</f>
        <v>0</v>
      </c>
      <c r="AH1258">
        <f>Model!AP378</f>
        <v>0</v>
      </c>
      <c r="AI1258">
        <f>Model!AQ378</f>
        <v>0</v>
      </c>
      <c r="AJ1258">
        <f>Model!AR378</f>
        <v>0</v>
      </c>
      <c r="AK1258">
        <f>Model!AS378</f>
        <v>0</v>
      </c>
      <c r="AL1258">
        <f>Model!AT378</f>
        <v>0</v>
      </c>
      <c r="AM1258">
        <f>Model!AU378</f>
        <v>0</v>
      </c>
      <c r="AN1258">
        <f>Model!AV378</f>
        <v>0</v>
      </c>
      <c r="AO1258">
        <f>Model!AW378</f>
        <v>0</v>
      </c>
      <c r="AP1258">
        <f>Model!AX378</f>
        <v>0</v>
      </c>
      <c r="AQ1258">
        <f>Model!AY378</f>
        <v>0</v>
      </c>
      <c r="AR1258">
        <f>Model!AZ378</f>
        <v>0</v>
      </c>
      <c r="AS1258">
        <f>Model!BA378</f>
        <v>0</v>
      </c>
      <c r="AT1258">
        <f>Model!BB378</f>
        <v>0</v>
      </c>
      <c r="AU1258">
        <f>Model!BC378</f>
        <v>0</v>
      </c>
      <c r="AV1258">
        <f>Model!BD378</f>
        <v>0</v>
      </c>
      <c r="AW1258">
        <f>Model!BE378</f>
        <v>0</v>
      </c>
      <c r="AX1258">
        <f>Model!BF378</f>
        <v>0</v>
      </c>
      <c r="AY1258">
        <f>Model!BG378</f>
        <v>0</v>
      </c>
      <c r="AZ1258">
        <f>Model!BH378</f>
        <v>0</v>
      </c>
      <c r="BA1258">
        <f>Model!BI378</f>
        <v>0</v>
      </c>
      <c r="BB1258">
        <f>Model!BJ378</f>
        <v>0</v>
      </c>
      <c r="BC1258">
        <f>Model!BK378</f>
        <v>0</v>
      </c>
      <c r="BD1258">
        <f>Model!BL378</f>
        <v>0</v>
      </c>
      <c r="BE1258">
        <f>Model!BM378</f>
        <v>0</v>
      </c>
      <c r="BF1258">
        <f>Model!BN378</f>
        <v>0</v>
      </c>
      <c r="BG1258">
        <f>Model!BO378</f>
        <v>0</v>
      </c>
      <c r="BH1258">
        <f>Model!BP378</f>
        <v>0</v>
      </c>
      <c r="BI1258">
        <f>Model!BQ378</f>
        <v>0</v>
      </c>
      <c r="BJ1258">
        <f>Model!BR378</f>
        <v>0</v>
      </c>
      <c r="BK1258">
        <f>Model!BS378</f>
        <v>0</v>
      </c>
      <c r="BL1258">
        <f>Model!BT378</f>
        <v>0</v>
      </c>
      <c r="BM1258">
        <f>Model!BU378</f>
        <v>0</v>
      </c>
      <c r="BN1258">
        <f>Model!BV378</f>
        <v>0</v>
      </c>
      <c r="BO1258">
        <f>Model!BW378</f>
        <v>0</v>
      </c>
      <c r="BP1258">
        <f>Model!BX378</f>
        <v>0</v>
      </c>
      <c r="BQ1258">
        <f>Model!BY378</f>
        <v>0</v>
      </c>
      <c r="BR1258">
        <f>Model!BZ378</f>
        <v>0</v>
      </c>
      <c r="BS1258">
        <f>Model!CA378</f>
        <v>0</v>
      </c>
      <c r="BT1258">
        <f>Model!CB378</f>
        <v>0</v>
      </c>
      <c r="BU1258">
        <f>Model!CC378</f>
        <v>0</v>
      </c>
      <c r="BV1258">
        <f>Model!CD378</f>
        <v>0</v>
      </c>
      <c r="BW1258">
        <f>Model!CE378</f>
        <v>0</v>
      </c>
      <c r="BX1258">
        <f>Model!CF378</f>
        <v>0</v>
      </c>
      <c r="BY1258">
        <f>Model!CG378</f>
        <v>0</v>
      </c>
      <c r="BZ1258">
        <f>Model!CH378</f>
        <v>0</v>
      </c>
      <c r="CA1258">
        <f>Model!CI378</f>
        <v>0</v>
      </c>
      <c r="CB1258">
        <f>Model!CJ378</f>
        <v>0</v>
      </c>
      <c r="CC1258">
        <f>Model!CK378</f>
        <v>0</v>
      </c>
      <c r="CD1258">
        <f>Model!CL378</f>
        <v>0</v>
      </c>
      <c r="CE1258">
        <f>Model!CM378</f>
        <v>0</v>
      </c>
      <c r="CF1258">
        <f>Model!CN378</f>
        <v>0</v>
      </c>
      <c r="CG1258">
        <f>Model!CO378</f>
        <v>0</v>
      </c>
      <c r="CH1258">
        <f>Model!CP378</f>
        <v>0</v>
      </c>
      <c r="CI1258">
        <f>Model!CQ378</f>
        <v>0</v>
      </c>
      <c r="CJ1258">
        <f>Model!CR378</f>
        <v>0</v>
      </c>
      <c r="CK1258">
        <f>Model!CS378</f>
        <v>0</v>
      </c>
      <c r="CL1258">
        <f>Model!CT378</f>
        <v>0</v>
      </c>
      <c r="CM1258">
        <f>Model!CU378</f>
        <v>0</v>
      </c>
      <c r="CN1258">
        <f>Model!CV378</f>
        <v>0</v>
      </c>
      <c r="CO1258">
        <f>Model!CW378</f>
        <v>0</v>
      </c>
      <c r="CP1258">
        <f>Model!CX378</f>
        <v>0</v>
      </c>
      <c r="CQ1258">
        <f>Model!CY378</f>
        <v>0</v>
      </c>
      <c r="CR1258">
        <f>Model!CZ378</f>
        <v>0</v>
      </c>
      <c r="CS1258">
        <f>Model!DA378</f>
        <v>0</v>
      </c>
      <c r="CT1258">
        <f>Model!DB378</f>
        <v>0</v>
      </c>
      <c r="CU1258">
        <f>Model!DC378</f>
        <v>0</v>
      </c>
      <c r="CV1258">
        <f>Model!DD378</f>
        <v>0</v>
      </c>
      <c r="CW1258">
        <f>Model!DE378</f>
        <v>0</v>
      </c>
      <c r="CX1258">
        <f>Model!DF378</f>
        <v>0</v>
      </c>
    </row>
    <row r="1259" spans="1:102">
      <c r="A1259" t="str">
        <f>Model!I392</f>
        <v>Incremental bookings per Total ad dollar</v>
      </c>
      <c r="B1259">
        <f>Model!J392</f>
        <v>0</v>
      </c>
      <c r="C1259">
        <f>Model!K392</f>
        <v>0</v>
      </c>
      <c r="D1259">
        <f>Model!L392</f>
        <v>0</v>
      </c>
      <c r="E1259">
        <f>Model!M392</f>
        <v>0</v>
      </c>
      <c r="F1259">
        <f>Model!N392</f>
        <v>0</v>
      </c>
      <c r="G1259">
        <f>Model!O392</f>
        <v>0</v>
      </c>
      <c r="H1259">
        <f>Model!P392</f>
        <v>0</v>
      </c>
      <c r="I1259">
        <f>Model!Q392</f>
        <v>0</v>
      </c>
      <c r="J1259">
        <f>Model!R392</f>
        <v>0</v>
      </c>
      <c r="K1259">
        <f>Model!S392</f>
        <v>0</v>
      </c>
      <c r="L1259">
        <f>Model!T392</f>
        <v>0</v>
      </c>
      <c r="M1259">
        <f>Model!U392</f>
        <v>0</v>
      </c>
      <c r="N1259">
        <f>Model!V392</f>
        <v>0</v>
      </c>
      <c r="O1259">
        <f>Model!W392</f>
        <v>0</v>
      </c>
      <c r="P1259">
        <f>Model!X392</f>
        <v>0</v>
      </c>
      <c r="Q1259">
        <f>Model!Y392</f>
        <v>0</v>
      </c>
      <c r="R1259">
        <f>Model!Z392</f>
        <v>0</v>
      </c>
      <c r="S1259">
        <f>Model!AA392</f>
        <v>0</v>
      </c>
      <c r="T1259">
        <f>Model!AB392</f>
        <v>0</v>
      </c>
      <c r="U1259">
        <f>Model!AC392</f>
        <v>0</v>
      </c>
      <c r="V1259">
        <f>Model!AD392</f>
        <v>0</v>
      </c>
      <c r="W1259">
        <f>Model!AE392</f>
        <v>0</v>
      </c>
      <c r="X1259">
        <f>Model!AF392</f>
        <v>0</v>
      </c>
      <c r="Y1259">
        <f>Model!AG392</f>
        <v>0</v>
      </c>
      <c r="Z1259">
        <f>Model!AH392</f>
        <v>0</v>
      </c>
      <c r="AA1259">
        <f>Model!AI392</f>
        <v>0</v>
      </c>
      <c r="AB1259">
        <f>Model!AJ392</f>
        <v>0</v>
      </c>
      <c r="AC1259">
        <f>Model!AK392</f>
        <v>21.039123892325712</v>
      </c>
      <c r="AD1259">
        <f>Model!AL392</f>
        <v>22.957453161155495</v>
      </c>
      <c r="AE1259">
        <f>Model!AM392</f>
        <v>23.179678585013313</v>
      </c>
      <c r="AF1259">
        <f>Model!AN392</f>
        <v>27.900253134040501</v>
      </c>
      <c r="AG1259">
        <f>Model!AO392</f>
        <v>28.608242378622492</v>
      </c>
      <c r="AH1259">
        <f>Model!AP392</f>
        <v>29.13253653826947</v>
      </c>
      <c r="AI1259">
        <f>Model!AQ392</f>
        <v>21.754344313647909</v>
      </c>
      <c r="AJ1259">
        <f>Model!AR392</f>
        <v>20.93857717713156</v>
      </c>
      <c r="AK1259">
        <f>Model!AS392</f>
        <v>20.434379142730872</v>
      </c>
      <c r="AL1259">
        <f>Model!AT392</f>
        <v>14.653440017417795</v>
      </c>
      <c r="AM1259">
        <f>Model!AU392</f>
        <v>21.695834543283965</v>
      </c>
      <c r="AN1259">
        <f>Model!AV392</f>
        <v>22.710802504928697</v>
      </c>
      <c r="AO1259">
        <f>Model!AW392</f>
        <v>22.191311340026964</v>
      </c>
      <c r="AP1259">
        <f>Model!AX392</f>
        <v>24.854800993225826</v>
      </c>
      <c r="AQ1259">
        <f>Model!AY392</f>
        <v>22.541925056655479</v>
      </c>
      <c r="AR1259">
        <f>Model!AZ392</f>
        <v>23.945672984874584</v>
      </c>
      <c r="AS1259">
        <f>Model!BA392</f>
        <v>23.67288548555516</v>
      </c>
      <c r="AT1259">
        <f>Model!BB392</f>
        <v>22.906549644293218</v>
      </c>
      <c r="AU1259">
        <f>Model!BC392</f>
        <v>20.947134309191238</v>
      </c>
      <c r="AV1259">
        <f>Model!BD392</f>
        <v>20.110124038198535</v>
      </c>
      <c r="AW1259">
        <f>Model!BE392</f>
        <v>22.343318299461622</v>
      </c>
      <c r="AX1259">
        <f>Model!BF392</f>
        <v>19.781623140284776</v>
      </c>
      <c r="AY1259">
        <f>Model!BG392</f>
        <v>16.460432256176588</v>
      </c>
      <c r="AZ1259">
        <f>Model!BH392</f>
        <v>18.315389202020537</v>
      </c>
      <c r="BA1259">
        <f>Model!BI392</f>
        <v>17.126145775620842</v>
      </c>
      <c r="BB1259">
        <f>Model!BJ392</f>
        <v>16.317166384764409</v>
      </c>
      <c r="BC1259">
        <f>Model!BK392</f>
        <v>15.484926878200731</v>
      </c>
      <c r="BD1259">
        <f>Model!BL392</f>
        <v>22.381519910263606</v>
      </c>
      <c r="BE1259">
        <f>Model!BM392</f>
        <v>21.80005577244841</v>
      </c>
      <c r="BF1259">
        <f>Model!BN392</f>
        <v>16.900837878428586</v>
      </c>
      <c r="BG1259">
        <f>Model!BO392</f>
        <v>15.417036379769302</v>
      </c>
      <c r="BH1259">
        <f>Model!BP392</f>
        <v>12.547641439390187</v>
      </c>
      <c r="BI1259">
        <f>Model!BQ392</f>
        <v>11.28506295479936</v>
      </c>
      <c r="BJ1259">
        <f>Model!BR392</f>
        <v>10.197934595524945</v>
      </c>
      <c r="BK1259">
        <f>Model!BS392</f>
        <v>11.76398127617639</v>
      </c>
      <c r="BL1259">
        <f>Model!BT392</f>
        <v>20.14978601997149</v>
      </c>
      <c r="BM1259">
        <f>Model!BU392</f>
        <v>20.1320686085229</v>
      </c>
      <c r="BN1259">
        <f>Model!BV392</f>
        <v>14.808918010032508</v>
      </c>
      <c r="BO1259">
        <f>Model!BW392</f>
        <v>14.142283199029025</v>
      </c>
      <c r="BP1259">
        <f>Model!BX392</f>
        <v>18.908358263630248</v>
      </c>
      <c r="BQ1259">
        <f>Model!BY392</f>
        <v>19.771505310467521</v>
      </c>
      <c r="BR1259">
        <f>Model!BZ392</f>
        <v>12.452692496987606</v>
      </c>
      <c r="BS1259">
        <f>Model!CA392</f>
        <v>14.727921498661891</v>
      </c>
      <c r="BT1259">
        <f>Model!CB392</f>
        <v>30.366237148877147</v>
      </c>
      <c r="BU1259">
        <f>Model!CC392</f>
        <v>26.098374145157983</v>
      </c>
      <c r="BV1259">
        <f>Model!CD392</f>
        <v>19.403129248287545</v>
      </c>
      <c r="BW1259">
        <f>Model!CE392</f>
        <v>19.531421483666559</v>
      </c>
      <c r="BX1259">
        <f>Model!CF392</f>
        <v>23.262824477641551</v>
      </c>
      <c r="BY1259">
        <f>Model!CG392</f>
        <v>0</v>
      </c>
      <c r="BZ1259">
        <f>Model!CH392</f>
        <v>0</v>
      </c>
      <c r="CA1259">
        <f>Model!CI392</f>
        <v>0</v>
      </c>
      <c r="CB1259">
        <f>Model!CJ392</f>
        <v>0</v>
      </c>
      <c r="CC1259">
        <f>Model!CK392</f>
        <v>0</v>
      </c>
      <c r="CD1259">
        <f>Model!CL392</f>
        <v>0</v>
      </c>
      <c r="CE1259">
        <f>Model!CM392</f>
        <v>0</v>
      </c>
      <c r="CF1259">
        <f>Model!CN392</f>
        <v>0</v>
      </c>
      <c r="CG1259">
        <f>Model!CO392</f>
        <v>0</v>
      </c>
      <c r="CH1259">
        <f>Model!CP392</f>
        <v>20.557158079411035</v>
      </c>
      <c r="CI1259">
        <f>Model!CQ392</f>
        <v>23.285533989967877</v>
      </c>
      <c r="CJ1259">
        <f>Model!CR392</f>
        <v>21.841580136793986</v>
      </c>
      <c r="CK1259">
        <f>Model!CS392</f>
        <v>19.179172062395793</v>
      </c>
      <c r="CL1259">
        <f>Model!CT392</f>
        <v>17.370261955933309</v>
      </c>
      <c r="CM1259">
        <f>Model!CU392</f>
        <v>16.721618932834001</v>
      </c>
      <c r="CN1259">
        <f>Model!CV392</f>
        <v>12.436012102989595</v>
      </c>
      <c r="CO1259">
        <f>Model!CW392</f>
        <v>16.45866723979541</v>
      </c>
      <c r="CP1259">
        <f>Model!CX392</f>
        <v>17.325316138560314</v>
      </c>
      <c r="CQ1259">
        <f>Model!CY392</f>
        <v>21.883888431047254</v>
      </c>
      <c r="CR1259">
        <f>Model!CZ392</f>
        <v>19.262504064157401</v>
      </c>
      <c r="CS1259">
        <f>Model!DA392</f>
        <v>18.847274511388882</v>
      </c>
      <c r="CT1259">
        <f>Model!DB392</f>
        <v>18.997871458293616</v>
      </c>
      <c r="CU1259">
        <f>Model!DC392</f>
        <v>18.936272010357499</v>
      </c>
      <c r="CV1259">
        <f>Model!DD392</f>
        <v>18.892153732094993</v>
      </c>
      <c r="CW1259">
        <f>Model!DE392</f>
        <v>18.825458704055489</v>
      </c>
      <c r="CX1259">
        <f>Model!DF392</f>
        <v>19.229310199275002</v>
      </c>
    </row>
    <row r="1260" spans="1:102">
      <c r="A1260" t="str">
        <f>Model!I393</f>
        <v>% change Y/Y</v>
      </c>
      <c r="B1260">
        <f>Model!J393</f>
        <v>0</v>
      </c>
      <c r="C1260">
        <f>Model!K393</f>
        <v>0</v>
      </c>
      <c r="D1260">
        <f>Model!L393</f>
        <v>0</v>
      </c>
      <c r="E1260">
        <f>Model!M393</f>
        <v>0</v>
      </c>
      <c r="F1260">
        <f>Model!N393</f>
        <v>0</v>
      </c>
      <c r="G1260">
        <f>Model!O393</f>
        <v>0</v>
      </c>
      <c r="H1260">
        <f>Model!P393</f>
        <v>0</v>
      </c>
      <c r="I1260">
        <f>Model!Q393</f>
        <v>0</v>
      </c>
      <c r="J1260">
        <f>Model!R393</f>
        <v>0</v>
      </c>
      <c r="K1260">
        <f>Model!S393</f>
        <v>0</v>
      </c>
      <c r="L1260">
        <f>Model!T393</f>
        <v>0</v>
      </c>
      <c r="M1260">
        <f>Model!U393</f>
        <v>0</v>
      </c>
      <c r="N1260">
        <f>Model!V393</f>
        <v>0</v>
      </c>
      <c r="O1260">
        <f>Model!W393</f>
        <v>0</v>
      </c>
      <c r="P1260">
        <f>Model!X393</f>
        <v>0</v>
      </c>
      <c r="Q1260">
        <f>Model!Y393</f>
        <v>0</v>
      </c>
      <c r="R1260">
        <f>Model!Z393</f>
        <v>0</v>
      </c>
      <c r="S1260">
        <f>Model!AA393</f>
        <v>0</v>
      </c>
      <c r="T1260">
        <f>Model!AB393</f>
        <v>0</v>
      </c>
      <c r="U1260">
        <f>Model!AC393</f>
        <v>0</v>
      </c>
      <c r="V1260">
        <f>Model!AD393</f>
        <v>0</v>
      </c>
      <c r="W1260">
        <f>Model!AE393</f>
        <v>0</v>
      </c>
      <c r="X1260">
        <f>Model!AF393</f>
        <v>0</v>
      </c>
      <c r="Y1260">
        <f>Model!AG393</f>
        <v>0</v>
      </c>
      <c r="Z1260">
        <f>Model!AH393</f>
        <v>0</v>
      </c>
      <c r="AA1260">
        <f>Model!AI393</f>
        <v>0</v>
      </c>
      <c r="AB1260">
        <f>Model!AJ393</f>
        <v>0</v>
      </c>
      <c r="AC1260">
        <f>Model!AK393</f>
        <v>0</v>
      </c>
      <c r="AD1260">
        <f>Model!AL393</f>
        <v>0</v>
      </c>
      <c r="AE1260">
        <f>Model!AM393</f>
        <v>0</v>
      </c>
      <c r="AF1260">
        <f>Model!AN393</f>
        <v>0</v>
      </c>
      <c r="AG1260">
        <f>Model!AO393</f>
        <v>0.3597639580922718</v>
      </c>
      <c r="AH1260">
        <f>Model!AP393</f>
        <v>0.2689794609953664</v>
      </c>
      <c r="AI1260">
        <f>Model!AQ393</f>
        <v>-6.1490683148943459E-2</v>
      </c>
      <c r="AJ1260">
        <f>Model!AR393</f>
        <v>-0.24952017185876885</v>
      </c>
      <c r="AK1260">
        <f>Model!AS393</f>
        <v>-0.28571707159470727</v>
      </c>
      <c r="AL1260">
        <f>Model!AT393</f>
        <v>-0.49700775288933219</v>
      </c>
      <c r="AM1260">
        <f>Model!AU393</f>
        <v>-2.6895671742787064E-3</v>
      </c>
      <c r="AN1260">
        <f>Model!AV393</f>
        <v>8.4639243287872645E-2</v>
      </c>
      <c r="AO1260">
        <f>Model!AW393</f>
        <v>8.5979230639903426E-2</v>
      </c>
      <c r="AP1260">
        <f>Model!AX393</f>
        <v>0.69617516185156481</v>
      </c>
      <c r="AQ1260">
        <f>Model!AY393</f>
        <v>3.899783212687824E-2</v>
      </c>
      <c r="AR1260">
        <f>Model!AZ393</f>
        <v>5.4373705186238741E-2</v>
      </c>
      <c r="AS1260">
        <f>Model!BA393</f>
        <v>6.676370417352695E-2</v>
      </c>
      <c r="AT1260">
        <f>Model!BB393</f>
        <v>-7.8385312739522761E-2</v>
      </c>
      <c r="AU1260">
        <f>Model!BC393</f>
        <v>-7.0747761934972009E-2</v>
      </c>
      <c r="AV1260">
        <f>Model!BD393</f>
        <v>-0.16017712048012989</v>
      </c>
      <c r="AW1260">
        <f>Model!BE393</f>
        <v>-5.6164137105500722E-2</v>
      </c>
      <c r="AX1260">
        <f>Model!BF393</f>
        <v>-0.13642065490151045</v>
      </c>
      <c r="AY1260">
        <f>Model!BG393</f>
        <v>-0.21419168783607612</v>
      </c>
      <c r="AZ1260">
        <f>Model!BH393</f>
        <v>-8.924533895310427E-2</v>
      </c>
      <c r="BA1260">
        <f>Model!BI393</f>
        <v>-0.23350034466306158</v>
      </c>
      <c r="BB1260">
        <f>Model!BJ393</f>
        <v>-0.17513511054940112</v>
      </c>
      <c r="BC1260">
        <f>Model!BK393</f>
        <v>-5.9263654975391655E-2</v>
      </c>
      <c r="BD1260">
        <f>Model!BL393</f>
        <v>0.22200624094815824</v>
      </c>
      <c r="BE1260">
        <f>Model!BM393</f>
        <v>0.27291079137495733</v>
      </c>
      <c r="BF1260">
        <f>Model!BN393</f>
        <v>3.577039541676541E-2</v>
      </c>
      <c r="BG1260">
        <f>Model!BO393</f>
        <v>-4.3842957067498078E-3</v>
      </c>
      <c r="BH1260">
        <f>Model!BP393</f>
        <v>-0.43937491780278282</v>
      </c>
      <c r="BI1260">
        <f>Model!BQ393</f>
        <v>-0.48233788607725614</v>
      </c>
      <c r="BJ1260">
        <f>Model!BR393</f>
        <v>-0.39660183306408159</v>
      </c>
      <c r="BK1260">
        <f>Model!BS393</f>
        <v>-0.23694924326614164</v>
      </c>
      <c r="BL1260">
        <f>Model!BT393</f>
        <v>0.60586243377311289</v>
      </c>
      <c r="BM1260">
        <f>Model!BU393</f>
        <v>0.7839571377810568</v>
      </c>
      <c r="BN1260">
        <f>Model!BV393</f>
        <v>0.45214875338884353</v>
      </c>
      <c r="BO1260">
        <f>Model!BW393</f>
        <v>0.20216811528500211</v>
      </c>
      <c r="BP1260">
        <f>Model!BX393</f>
        <v>-6.1609972190811324E-2</v>
      </c>
      <c r="BQ1260">
        <f>Model!BY393</f>
        <v>-1.7909898136485358E-2</v>
      </c>
      <c r="BR1260">
        <f>Model!BZ393</f>
        <v>-0.15910855279559555</v>
      </c>
      <c r="BS1260">
        <f>Model!CA393</f>
        <v>4.1410449175071973E-2</v>
      </c>
      <c r="BT1260">
        <f>Model!CB393</f>
        <v>0.60596899664662263</v>
      </c>
      <c r="BU1260">
        <f>Model!CC393</f>
        <v>0.31999934933334906</v>
      </c>
      <c r="BV1260">
        <f>Model!CD393</f>
        <v>0.55814730452721761</v>
      </c>
      <c r="BW1260">
        <f>Model!CE393</f>
        <v>0.32614921158026888</v>
      </c>
      <c r="BX1260">
        <f>Model!CF393</f>
        <v>-0.23392469196659282</v>
      </c>
      <c r="BY1260">
        <f>Model!CG393</f>
        <v>0</v>
      </c>
      <c r="BZ1260">
        <f>Model!CH393</f>
        <v>0</v>
      </c>
      <c r="CA1260">
        <f>Model!CI393</f>
        <v>0</v>
      </c>
      <c r="CB1260">
        <f>Model!CJ393</f>
        <v>0</v>
      </c>
      <c r="CC1260">
        <f>Model!CK393</f>
        <v>0</v>
      </c>
      <c r="CD1260">
        <f>Model!CL393</f>
        <v>0</v>
      </c>
      <c r="CE1260">
        <f>Model!CM393</f>
        <v>0</v>
      </c>
      <c r="CF1260">
        <f>Model!CN393</f>
        <v>0</v>
      </c>
      <c r="CG1260">
        <f>Model!CO393</f>
        <v>0</v>
      </c>
      <c r="CH1260">
        <f>Model!CP393</f>
        <v>0</v>
      </c>
      <c r="CI1260">
        <f>Model!CQ393</f>
        <v>0.13272145400727542</v>
      </c>
      <c r="CJ1260">
        <f>Model!CR393</f>
        <v>-6.201076830773955E-2</v>
      </c>
      <c r="CK1260">
        <f>Model!CS393</f>
        <v>-0.12189631234203346</v>
      </c>
      <c r="CL1260">
        <f>Model!CT393</f>
        <v>-9.4316381362946178E-2</v>
      </c>
      <c r="CM1260">
        <f>Model!CU393</f>
        <v>-3.734215550374842E-2</v>
      </c>
      <c r="CN1260">
        <f>Model!CV393</f>
        <v>-0.2562913822554187</v>
      </c>
      <c r="CO1260">
        <f>Model!CW393</f>
        <v>0.32346825521653977</v>
      </c>
      <c r="CP1260">
        <f>Model!CX393</f>
        <v>5.2656079993490312E-2</v>
      </c>
      <c r="CQ1260">
        <f>Model!CY393</f>
        <v>0.26311625462008714</v>
      </c>
      <c r="CR1260">
        <f>Model!CZ393</f>
        <v>-0.11978604145919636</v>
      </c>
      <c r="CS1260">
        <f>Model!DA393</f>
        <v>-2.1556364187414023E-2</v>
      </c>
      <c r="CT1260">
        <f>Model!DB393</f>
        <v>7.9903832680812137E-3</v>
      </c>
      <c r="CU1260">
        <f>Model!DC393</f>
        <v>-3.2424394528275391E-3</v>
      </c>
      <c r="CV1260">
        <f>Model!DD393</f>
        <v>-2.3298291362933155E-3</v>
      </c>
      <c r="CW1260">
        <f>Model!DE393</f>
        <v>-3.5303030551884218E-3</v>
      </c>
      <c r="CX1260">
        <f>Model!DF393</f>
        <v>2.1452411947471495E-2</v>
      </c>
    </row>
    <row r="1261" spans="1:102">
      <c r="A1261" t="str">
        <f>Model!I404</f>
        <v>Total Ad Spend % of Bookings</v>
      </c>
      <c r="B1261">
        <f>Model!J404</f>
        <v>0</v>
      </c>
      <c r="C1261">
        <f>Model!K404</f>
        <v>0</v>
      </c>
      <c r="D1261">
        <f>Model!L404</f>
        <v>0</v>
      </c>
      <c r="E1261">
        <f>Model!M404</f>
        <v>0</v>
      </c>
      <c r="F1261">
        <f>Model!N404</f>
        <v>0</v>
      </c>
      <c r="G1261">
        <f>Model!O404</f>
        <v>0</v>
      </c>
      <c r="H1261">
        <f>Model!P404</f>
        <v>0</v>
      </c>
      <c r="I1261">
        <f>Model!Q404</f>
        <v>0</v>
      </c>
      <c r="J1261">
        <f>Model!R404</f>
        <v>0</v>
      </c>
      <c r="K1261">
        <f>Model!S404</f>
        <v>0</v>
      </c>
      <c r="L1261">
        <f>Model!T404</f>
        <v>0</v>
      </c>
      <c r="M1261">
        <f>Model!U404</f>
        <v>0</v>
      </c>
      <c r="N1261">
        <f>Model!V404</f>
        <v>0</v>
      </c>
      <c r="O1261">
        <f>Model!W404</f>
        <v>0</v>
      </c>
      <c r="P1261">
        <f>Model!X404</f>
        <v>0</v>
      </c>
      <c r="Q1261">
        <f>Model!Y404</f>
        <v>0</v>
      </c>
      <c r="R1261">
        <f>Model!Z404</f>
        <v>0</v>
      </c>
      <c r="S1261">
        <f>Model!AA404</f>
        <v>0</v>
      </c>
      <c r="T1261">
        <f>Model!AB404</f>
        <v>0</v>
      </c>
      <c r="U1261">
        <f>Model!AC404</f>
        <v>0</v>
      </c>
      <c r="V1261">
        <f>Model!AD404</f>
        <v>0</v>
      </c>
      <c r="W1261">
        <f>Model!AE404</f>
        <v>0</v>
      </c>
      <c r="X1261">
        <f>Model!AF404</f>
        <v>0</v>
      </c>
      <c r="Y1261">
        <f>Model!AG404</f>
        <v>4.1909640998311515E-2</v>
      </c>
      <c r="Z1261">
        <f>Model!AH404</f>
        <v>4.2437051814309595E-2</v>
      </c>
      <c r="AA1261">
        <f>Model!AI404</f>
        <v>4.5644885558390032E-2</v>
      </c>
      <c r="AB1261">
        <f>Model!AJ404</f>
        <v>4.5496423808946543E-2</v>
      </c>
      <c r="AC1261">
        <f>Model!AK404</f>
        <v>4.3326379506675568E-2</v>
      </c>
      <c r="AD1261">
        <f>Model!AL404</f>
        <v>4.2716438674527957E-2</v>
      </c>
      <c r="AE1261">
        <f>Model!AM404</f>
        <v>4.4767211506863899E-2</v>
      </c>
      <c r="AF1261">
        <f>Model!AN404</f>
        <v>4.1788521161407119E-2</v>
      </c>
      <c r="AG1261">
        <f>Model!AO404</f>
        <v>3.9708019733744569E-2</v>
      </c>
      <c r="AH1261">
        <f>Model!AP404</f>
        <v>3.9236669802579657E-2</v>
      </c>
      <c r="AI1261">
        <f>Model!AQ404</f>
        <v>4.5153521681093739E-2</v>
      </c>
      <c r="AJ1261">
        <f>Model!AR404</f>
        <v>4.2900170344869037E-2</v>
      </c>
      <c r="AK1261">
        <f>Model!AS404</f>
        <v>4.0586360044124678E-2</v>
      </c>
      <c r="AL1261">
        <f>Model!AT404</f>
        <v>4.2518886775180335E-2</v>
      </c>
      <c r="AM1261">
        <f>Model!AU404</f>
        <v>4.5385232951110716E-2</v>
      </c>
      <c r="AN1261">
        <f>Model!AV404</f>
        <v>4.3291672076359242E-2</v>
      </c>
      <c r="AO1261">
        <f>Model!AW404</f>
        <v>4.2128110986121667E-2</v>
      </c>
      <c r="AP1261">
        <f>Model!AX404</f>
        <v>4.1827997349113528E-2</v>
      </c>
      <c r="AQ1261">
        <f>Model!AY404</f>
        <v>4.5057413879181225E-2</v>
      </c>
      <c r="AR1261">
        <f>Model!AZ404</f>
        <v>4.2822664624808576E-2</v>
      </c>
      <c r="AS1261">
        <f>Model!BA404</f>
        <v>4.2169774919614149E-2</v>
      </c>
      <c r="AT1261">
        <f>Model!BB404</f>
        <v>4.2577335640138408E-2</v>
      </c>
      <c r="AU1261">
        <f>Model!BC404</f>
        <v>4.6022215119066651E-2</v>
      </c>
      <c r="AV1261">
        <f>Model!BD404</f>
        <v>4.5178167877320416E-2</v>
      </c>
      <c r="AW1261">
        <f>Model!BE404</f>
        <v>4.2958277454924754E-2</v>
      </c>
      <c r="AX1261">
        <f>Model!BF404</f>
        <v>4.4262791649611138E-2</v>
      </c>
      <c r="AY1261">
        <f>Model!BG404</f>
        <v>4.8984295199182834E-2</v>
      </c>
      <c r="AZ1261">
        <f>Model!BH404</f>
        <v>4.7507594167679225E-2</v>
      </c>
      <c r="BA1261">
        <f>Model!BI404</f>
        <v>4.7075494373429477E-2</v>
      </c>
      <c r="BB1261">
        <f>Model!BJ404</f>
        <v>4.8953741227636648E-2</v>
      </c>
      <c r="BC1261">
        <f>Model!BK404</f>
        <v>5.3233163028332552E-2</v>
      </c>
      <c r="BD1261">
        <f>Model!BL404</f>
        <v>4.6717224775662071E-2</v>
      </c>
      <c r="BE1261">
        <f>Model!BM404</f>
        <v>4.6768892508143325E-2</v>
      </c>
      <c r="BF1261">
        <f>Model!BN404</f>
        <v>5.1535012557246261E-2</v>
      </c>
      <c r="BG1261">
        <f>Model!BO404</f>
        <v>5.580604789119583E-2</v>
      </c>
      <c r="BH1261">
        <f>Model!BP404</f>
        <v>5.142321043249836E-2</v>
      </c>
      <c r="BI1261">
        <f>Model!BQ404</f>
        <v>5.1310199637023594E-2</v>
      </c>
      <c r="BJ1261">
        <f>Model!BR404</f>
        <v>5.5957286096256692E-2</v>
      </c>
      <c r="BK1261">
        <f>Model!BS404</f>
        <v>5.769298957910407E-2</v>
      </c>
      <c r="BL1261">
        <f>Model!BT404</f>
        <v>5.1220640865584678E-2</v>
      </c>
      <c r="BM1261">
        <f>Model!BU404</f>
        <v>5.1027082207410077E-2</v>
      </c>
      <c r="BN1261">
        <f>Model!BV404</f>
        <v>5.7836972343522565E-2</v>
      </c>
      <c r="BO1261">
        <f>Model!BW404</f>
        <v>6.0289328277356433E-2</v>
      </c>
      <c r="BP1261">
        <f>Model!BX404</f>
        <v>5.156206987824246E-2</v>
      </c>
      <c r="BQ1261">
        <f>Model!BY404</f>
        <v>5.0939478899792147E-2</v>
      </c>
      <c r="BR1261">
        <f>Model!BZ404</f>
        <v>6.1007645333461549E-2</v>
      </c>
      <c r="BS1261">
        <f>Model!CA404</f>
        <v>6.1443847072879337E-2</v>
      </c>
      <c r="BT1261">
        <f>Model!CB404</f>
        <v>4.859026696329255E-2</v>
      </c>
      <c r="BU1261">
        <f>Model!CC404</f>
        <v>4.881153050704435E-2</v>
      </c>
      <c r="BV1261">
        <f>Model!CD404</f>
        <v>5.9388575897262916E-2</v>
      </c>
      <c r="BW1261">
        <f>Model!CE404</f>
        <v>6.0183998857013053E-2</v>
      </c>
      <c r="BX1261">
        <f>Model!CF404</f>
        <v>4.7565368224573489E-2</v>
      </c>
      <c r="BY1261">
        <f>Model!CG404</f>
        <v>0</v>
      </c>
      <c r="BZ1261">
        <f>Model!CH404</f>
        <v>0</v>
      </c>
      <c r="CA1261">
        <f>Model!CI404</f>
        <v>0</v>
      </c>
      <c r="CB1261">
        <f>Model!CJ404</f>
        <v>0</v>
      </c>
      <c r="CC1261">
        <f>Model!CK404</f>
        <v>0</v>
      </c>
      <c r="CD1261">
        <f>Model!CL404</f>
        <v>0</v>
      </c>
      <c r="CE1261">
        <f>Model!CM404</f>
        <v>0</v>
      </c>
      <c r="CF1261">
        <f>Model!CN404</f>
        <v>0</v>
      </c>
      <c r="CG1261">
        <f>Model!CO404</f>
        <v>4.1721367378380635E-2</v>
      </c>
      <c r="CH1261">
        <f>Model!CP404</f>
        <v>4.3141710549296018E-2</v>
      </c>
      <c r="CI1261">
        <f>Model!CQ404</f>
        <v>4.307924555955555E-2</v>
      </c>
      <c r="CJ1261">
        <f>Model!CR404</f>
        <v>4.4079924277403267E-2</v>
      </c>
      <c r="CK1261">
        <f>Model!CS404</f>
        <v>4.6005411863930278E-2</v>
      </c>
      <c r="CL1261">
        <f>Model!CT404</f>
        <v>4.9169172644423456E-2</v>
      </c>
      <c r="CM1261">
        <f>Model!CU404</f>
        <v>5.1521471172962234E-2</v>
      </c>
      <c r="CN1261">
        <f>Model!CV404</f>
        <v>5.424149978389281E-2</v>
      </c>
      <c r="CO1261">
        <f>Model!CW404</f>
        <v>5.5443550163761068E-2</v>
      </c>
      <c r="CP1261">
        <f>Model!CX404</f>
        <v>5.5811624356733071E-2</v>
      </c>
      <c r="CQ1261">
        <f>Model!CY404</f>
        <v>5.4185305103996641E-2</v>
      </c>
      <c r="CR1261">
        <f>Model!CZ404</f>
        <v>5.3895878284566191E-2</v>
      </c>
      <c r="CS1261">
        <f>Model!DA404</f>
        <v>5.3802545707094078E-2</v>
      </c>
      <c r="CT1261">
        <f>Model!DB404</f>
        <v>5.3689339123291033E-2</v>
      </c>
      <c r="CU1261">
        <f>Model!DC404</f>
        <v>5.3612733705618885E-2</v>
      </c>
      <c r="CV1261">
        <f>Model!DD404</f>
        <v>5.3558753097985613E-2</v>
      </c>
      <c r="CW1261">
        <f>Model!DE404</f>
        <v>5.3527050545001169E-2</v>
      </c>
      <c r="CX1261">
        <f>Model!DF404</f>
        <v>5.3416731686233405E-2</v>
      </c>
    </row>
    <row r="1262" spans="1:102">
      <c r="A1262" t="str">
        <f>Model!I405</f>
        <v>change Y/Y (in bp)</v>
      </c>
      <c r="B1262">
        <f>Model!J405</f>
        <v>0</v>
      </c>
      <c r="C1262">
        <f>Model!K405</f>
        <v>0</v>
      </c>
      <c r="D1262">
        <f>Model!L405</f>
        <v>0</v>
      </c>
      <c r="E1262">
        <f>Model!M405</f>
        <v>0</v>
      </c>
      <c r="F1262">
        <f>Model!N405</f>
        <v>0</v>
      </c>
      <c r="G1262">
        <f>Model!O405</f>
        <v>0</v>
      </c>
      <c r="H1262">
        <f>Model!P405</f>
        <v>0</v>
      </c>
      <c r="I1262">
        <f>Model!Q405</f>
        <v>0</v>
      </c>
      <c r="J1262">
        <f>Model!R405</f>
        <v>0</v>
      </c>
      <c r="K1262">
        <f>Model!S405</f>
        <v>0</v>
      </c>
      <c r="L1262">
        <f>Model!T405</f>
        <v>0</v>
      </c>
      <c r="M1262">
        <f>Model!U405</f>
        <v>0</v>
      </c>
      <c r="N1262">
        <f>Model!V405</f>
        <v>0</v>
      </c>
      <c r="O1262">
        <f>Model!W405</f>
        <v>0</v>
      </c>
      <c r="P1262">
        <f>Model!X405</f>
        <v>0</v>
      </c>
      <c r="Q1262">
        <f>Model!Y405</f>
        <v>0</v>
      </c>
      <c r="R1262">
        <f>Model!Z405</f>
        <v>0</v>
      </c>
      <c r="S1262">
        <f>Model!AA405</f>
        <v>0</v>
      </c>
      <c r="T1262">
        <f>Model!AB405</f>
        <v>0</v>
      </c>
      <c r="U1262">
        <f>Model!AC405</f>
        <v>0</v>
      </c>
      <c r="V1262">
        <f>Model!AD405</f>
        <v>0</v>
      </c>
      <c r="W1262">
        <f>Model!AE405</f>
        <v>0</v>
      </c>
      <c r="X1262">
        <f>Model!AF405</f>
        <v>0</v>
      </c>
      <c r="Y1262">
        <f>Model!AG405</f>
        <v>0</v>
      </c>
      <c r="Z1262">
        <f>Model!AH405</f>
        <v>0</v>
      </c>
      <c r="AA1262">
        <f>Model!AI405</f>
        <v>0</v>
      </c>
      <c r="AB1262">
        <f>Model!AJ405</f>
        <v>0</v>
      </c>
      <c r="AC1262">
        <f>Model!AK405</f>
        <v>14.16738508364053</v>
      </c>
      <c r="AD1262">
        <f>Model!AL405</f>
        <v>2.7938686021836134</v>
      </c>
      <c r="AE1262">
        <f>Model!AM405</f>
        <v>-8.7767405152613254</v>
      </c>
      <c r="AF1262">
        <f>Model!AN405</f>
        <v>-37.079026475394237</v>
      </c>
      <c r="AG1262">
        <f>Model!AO405</f>
        <v>-36.183597729309987</v>
      </c>
      <c r="AH1262">
        <f>Model!AP405</f>
        <v>-34.797688719482991</v>
      </c>
      <c r="AI1262">
        <f>Model!AQ405</f>
        <v>3.8631017422983973</v>
      </c>
      <c r="AJ1262">
        <f>Model!AR405</f>
        <v>11.116491834619186</v>
      </c>
      <c r="AK1262">
        <f>Model!AS405</f>
        <v>8.7834031038010885</v>
      </c>
      <c r="AL1262">
        <f>Model!AT405</f>
        <v>32.822169726006784</v>
      </c>
      <c r="AM1262">
        <f>Model!AU405</f>
        <v>2.3171127001697656</v>
      </c>
      <c r="AN1262">
        <f>Model!AV405</f>
        <v>3.915017314902042</v>
      </c>
      <c r="AO1262">
        <f>Model!AW405</f>
        <v>15.417509419969889</v>
      </c>
      <c r="AP1262">
        <f>Model!AX405</f>
        <v>-6.9088942606680694</v>
      </c>
      <c r="AQ1262">
        <f>Model!AY405</f>
        <v>-3.2781907192949018</v>
      </c>
      <c r="AR1262">
        <f>Model!AZ405</f>
        <v>-4.6900745155066534</v>
      </c>
      <c r="AS1262">
        <f>Model!BA405</f>
        <v>0.41663933492482041</v>
      </c>
      <c r="AT1262">
        <f>Model!BB405</f>
        <v>7.4933829102487994</v>
      </c>
      <c r="AU1262">
        <f>Model!BC405</f>
        <v>9.6480123988542523</v>
      </c>
      <c r="AV1262">
        <f>Model!BD405</f>
        <v>23.555032525118396</v>
      </c>
      <c r="AW1262">
        <f>Model!BE405</f>
        <v>7.8850253531060481</v>
      </c>
      <c r="AX1262">
        <f>Model!BF405</f>
        <v>16.854560094727301</v>
      </c>
      <c r="AY1262">
        <f>Model!BG405</f>
        <v>29.620800801161835</v>
      </c>
      <c r="AZ1262">
        <f>Model!BH405</f>
        <v>23.294262903588088</v>
      </c>
      <c r="BA1262">
        <f>Model!BI405</f>
        <v>41.172169185047238</v>
      </c>
      <c r="BB1262">
        <f>Model!BJ405</f>
        <v>46.909495780255092</v>
      </c>
      <c r="BC1262">
        <f>Model!BK405</f>
        <v>42.488678291497173</v>
      </c>
      <c r="BD1262">
        <f>Model!BL405</f>
        <v>-7.9036939201715395</v>
      </c>
      <c r="BE1262">
        <f>Model!BM405</f>
        <v>-3.0660186528615183</v>
      </c>
      <c r="BF1262">
        <f>Model!BN405</f>
        <v>25.812713296096135</v>
      </c>
      <c r="BG1262">
        <f>Model!BO405</f>
        <v>25.728848628632782</v>
      </c>
      <c r="BH1262">
        <f>Model!BP405</f>
        <v>47.059856568362896</v>
      </c>
      <c r="BI1262">
        <f>Model!BQ405</f>
        <v>45.413071288802691</v>
      </c>
      <c r="BJ1262">
        <f>Model!BR405</f>
        <v>44.222735390104312</v>
      </c>
      <c r="BK1262">
        <f>Model!BS405</f>
        <v>18.869416879082404</v>
      </c>
      <c r="BL1262">
        <f>Model!BT405</f>
        <v>-2.0256956691368231</v>
      </c>
      <c r="BM1262">
        <f>Model!BU405</f>
        <v>-2.8311742961351776</v>
      </c>
      <c r="BN1262">
        <f>Model!BV405</f>
        <v>18.796862472658731</v>
      </c>
      <c r="BO1262">
        <f>Model!BW405</f>
        <v>25.963386982523623</v>
      </c>
      <c r="BP1262">
        <f>Model!BX405</f>
        <v>3.4142901265778178</v>
      </c>
      <c r="BQ1262">
        <f>Model!BY405</f>
        <v>-0.87603307617929727</v>
      </c>
      <c r="BR1262">
        <f>Model!BZ405</f>
        <v>31.706729899389842</v>
      </c>
      <c r="BS1262">
        <f>Model!CA405</f>
        <v>11.545187955229046</v>
      </c>
      <c r="BT1262">
        <f>Model!CB405</f>
        <v>-29.718029149499099</v>
      </c>
      <c r="BU1262">
        <f>Model!CC405</f>
        <v>-21.279483927477973</v>
      </c>
      <c r="BV1262">
        <f>Model!CD405</f>
        <v>-16.190694361986335</v>
      </c>
      <c r="BW1262">
        <f>Model!CE405</f>
        <v>-12.598482158662842</v>
      </c>
      <c r="BX1262">
        <f>Model!CF405</f>
        <v>-10.248987387190613</v>
      </c>
      <c r="BY1262">
        <f>Model!CG405</f>
        <v>0</v>
      </c>
      <c r="BZ1262">
        <f>Model!CH405</f>
        <v>0</v>
      </c>
      <c r="CA1262">
        <f>Model!CI405</f>
        <v>0</v>
      </c>
      <c r="CB1262">
        <f>Model!CJ405</f>
        <v>0</v>
      </c>
      <c r="CC1262">
        <f>Model!CK405</f>
        <v>0</v>
      </c>
      <c r="CD1262">
        <f>Model!CL405</f>
        <v>0</v>
      </c>
      <c r="CE1262">
        <f>Model!CM405</f>
        <v>0</v>
      </c>
      <c r="CF1262">
        <f>Model!CN405</f>
        <v>0</v>
      </c>
      <c r="CG1262">
        <f>Model!CO405</f>
        <v>0</v>
      </c>
      <c r="CH1262">
        <f>Model!CP405</f>
        <v>14.203431709153836</v>
      </c>
      <c r="CI1262">
        <f>Model!CQ405</f>
        <v>-0.62464989740468324</v>
      </c>
      <c r="CJ1262">
        <f>Model!CR405</f>
        <v>10.006787178477166</v>
      </c>
      <c r="CK1262">
        <f>Model!CS405</f>
        <v>19.254875865270112</v>
      </c>
      <c r="CL1262">
        <f>Model!CT405</f>
        <v>31.637607804931786</v>
      </c>
      <c r="CM1262">
        <f>Model!CU405</f>
        <v>23.522985285387779</v>
      </c>
      <c r="CN1262">
        <f>Model!CV405</f>
        <v>27.200286109305765</v>
      </c>
      <c r="CO1262">
        <f>Model!CW405</f>
        <v>12.020503798682579</v>
      </c>
      <c r="CP1262">
        <f>Model!CX405</f>
        <v>3.6807419297200243</v>
      </c>
      <c r="CQ1262">
        <f>Model!CY405</f>
        <v>-16.2631925273643</v>
      </c>
      <c r="CR1262">
        <f>Model!CZ405</f>
        <v>-2.8942681943044946</v>
      </c>
      <c r="CS1262">
        <f>Model!DA405</f>
        <v>-0.93332577472113321</v>
      </c>
      <c r="CT1262">
        <f>Model!DB405</f>
        <v>-1.132065838030452</v>
      </c>
      <c r="CU1262">
        <f>Model!DC405</f>
        <v>-0.76605417672147291</v>
      </c>
      <c r="CV1262">
        <f>Model!DD405</f>
        <v>-0.53980607633272171</v>
      </c>
      <c r="CW1262">
        <f>Model!DE405</f>
        <v>-0.31702552984444465</v>
      </c>
      <c r="CX1262">
        <f>Model!DF405</f>
        <v>-1.1031885876776337</v>
      </c>
    </row>
    <row r="1263" spans="1:102">
      <c r="A1263">
        <f>Model!I406</f>
        <v>0</v>
      </c>
      <c r="B1263">
        <f>Model!J406</f>
        <v>0</v>
      </c>
      <c r="C1263">
        <f>Model!K406</f>
        <v>0</v>
      </c>
      <c r="D1263">
        <f>Model!L406</f>
        <v>0</v>
      </c>
      <c r="E1263">
        <f>Model!M406</f>
        <v>0</v>
      </c>
      <c r="F1263">
        <f>Model!N406</f>
        <v>0</v>
      </c>
      <c r="G1263">
        <f>Model!O406</f>
        <v>0</v>
      </c>
      <c r="H1263">
        <f>Model!P406</f>
        <v>0</v>
      </c>
      <c r="I1263">
        <f>Model!Q406</f>
        <v>0</v>
      </c>
      <c r="J1263">
        <f>Model!R406</f>
        <v>0</v>
      </c>
      <c r="K1263">
        <f>Model!S406</f>
        <v>0</v>
      </c>
      <c r="L1263">
        <f>Model!T406</f>
        <v>0</v>
      </c>
      <c r="M1263">
        <f>Model!U406</f>
        <v>0</v>
      </c>
      <c r="N1263">
        <f>Model!V406</f>
        <v>0</v>
      </c>
      <c r="O1263">
        <f>Model!W406</f>
        <v>0</v>
      </c>
      <c r="P1263">
        <f>Model!X406</f>
        <v>0</v>
      </c>
      <c r="Q1263">
        <f>Model!Y406</f>
        <v>0</v>
      </c>
      <c r="R1263">
        <f>Model!Z406</f>
        <v>0</v>
      </c>
      <c r="S1263">
        <f>Model!AA406</f>
        <v>0</v>
      </c>
      <c r="T1263">
        <f>Model!AB406</f>
        <v>0</v>
      </c>
      <c r="U1263">
        <f>Model!AC406</f>
        <v>0</v>
      </c>
      <c r="V1263">
        <f>Model!AD406</f>
        <v>0</v>
      </c>
      <c r="W1263">
        <f>Model!AE406</f>
        <v>0</v>
      </c>
      <c r="X1263">
        <f>Model!AF406</f>
        <v>0</v>
      </c>
      <c r="Y1263">
        <f>Model!AG406</f>
        <v>0</v>
      </c>
      <c r="Z1263">
        <f>Model!AH406</f>
        <v>0</v>
      </c>
      <c r="AA1263">
        <f>Model!AI406</f>
        <v>0</v>
      </c>
      <c r="AB1263">
        <f>Model!AJ406</f>
        <v>0</v>
      </c>
      <c r="AC1263">
        <f>Model!AK406</f>
        <v>0</v>
      </c>
      <c r="AD1263">
        <f>Model!AL406</f>
        <v>0</v>
      </c>
      <c r="AE1263">
        <f>Model!AM406</f>
        <v>0</v>
      </c>
      <c r="AF1263">
        <f>Model!AN406</f>
        <v>0</v>
      </c>
      <c r="AG1263">
        <f>Model!AO406</f>
        <v>0</v>
      </c>
      <c r="AH1263">
        <f>Model!AP406</f>
        <v>0</v>
      </c>
      <c r="AI1263">
        <f>Model!AQ406</f>
        <v>0</v>
      </c>
      <c r="AJ1263">
        <f>Model!AR406</f>
        <v>0</v>
      </c>
      <c r="AK1263">
        <f>Model!AS406</f>
        <v>0</v>
      </c>
      <c r="AL1263">
        <f>Model!AT406</f>
        <v>0</v>
      </c>
      <c r="AM1263">
        <f>Model!AU406</f>
        <v>0</v>
      </c>
      <c r="AN1263">
        <f>Model!AV406</f>
        <v>0</v>
      </c>
      <c r="AO1263">
        <f>Model!AW406</f>
        <v>0</v>
      </c>
      <c r="AP1263">
        <f>Model!AX406</f>
        <v>0</v>
      </c>
      <c r="AQ1263">
        <f>Model!AY406</f>
        <v>0</v>
      </c>
      <c r="AR1263">
        <f>Model!AZ406</f>
        <v>0</v>
      </c>
      <c r="AS1263">
        <f>Model!BA406</f>
        <v>0</v>
      </c>
      <c r="AT1263">
        <f>Model!BB406</f>
        <v>0</v>
      </c>
      <c r="AU1263">
        <f>Model!BC406</f>
        <v>0</v>
      </c>
      <c r="AV1263">
        <f>Model!BD406</f>
        <v>0</v>
      </c>
      <c r="AW1263">
        <f>Model!BE406</f>
        <v>0</v>
      </c>
      <c r="AX1263">
        <f>Model!BF406</f>
        <v>0</v>
      </c>
      <c r="AY1263">
        <f>Model!BG406</f>
        <v>0</v>
      </c>
      <c r="AZ1263">
        <f>Model!BH406</f>
        <v>0</v>
      </c>
      <c r="BA1263">
        <f>Model!BI406</f>
        <v>0</v>
      </c>
      <c r="BB1263">
        <f>Model!BJ406</f>
        <v>0</v>
      </c>
      <c r="BC1263">
        <f>Model!BK406</f>
        <v>0</v>
      </c>
      <c r="BD1263">
        <f>Model!BL406</f>
        <v>0</v>
      </c>
      <c r="BE1263">
        <f>Model!BM406</f>
        <v>0</v>
      </c>
      <c r="BF1263">
        <f>Model!BN406</f>
        <v>0</v>
      </c>
      <c r="BG1263">
        <f>Model!BO406</f>
        <v>0</v>
      </c>
      <c r="BH1263">
        <f>Model!BP406</f>
        <v>0</v>
      </c>
      <c r="BI1263">
        <f>Model!BQ406</f>
        <v>0</v>
      </c>
      <c r="BJ1263">
        <f>Model!BR406</f>
        <v>0</v>
      </c>
      <c r="BK1263">
        <f>Model!BS406</f>
        <v>0</v>
      </c>
      <c r="BL1263">
        <f>Model!BT406</f>
        <v>0</v>
      </c>
      <c r="BM1263">
        <f>Model!BU406</f>
        <v>0</v>
      </c>
      <c r="BN1263">
        <f>Model!BV406</f>
        <v>0</v>
      </c>
      <c r="BO1263">
        <f>Model!BW406</f>
        <v>0</v>
      </c>
      <c r="BP1263">
        <f>Model!BX406</f>
        <v>0</v>
      </c>
      <c r="BQ1263">
        <f>Model!BY406</f>
        <v>0</v>
      </c>
      <c r="BR1263">
        <f>Model!BZ406</f>
        <v>0</v>
      </c>
      <c r="BS1263">
        <f>Model!CA406</f>
        <v>0</v>
      </c>
      <c r="BT1263">
        <f>Model!CB406</f>
        <v>0</v>
      </c>
      <c r="BU1263">
        <f>Model!CC406</f>
        <v>0</v>
      </c>
      <c r="BV1263">
        <f>Model!CD406</f>
        <v>0</v>
      </c>
      <c r="BW1263">
        <f>Model!CE406</f>
        <v>0</v>
      </c>
      <c r="BX1263">
        <f>Model!CF406</f>
        <v>0</v>
      </c>
      <c r="BY1263">
        <f>Model!CG406</f>
        <v>0</v>
      </c>
      <c r="BZ1263">
        <f>Model!CH406</f>
        <v>0</v>
      </c>
      <c r="CA1263">
        <f>Model!CI406</f>
        <v>0</v>
      </c>
      <c r="CB1263">
        <f>Model!CJ406</f>
        <v>0</v>
      </c>
      <c r="CC1263">
        <f>Model!CK406</f>
        <v>0</v>
      </c>
      <c r="CD1263">
        <f>Model!CL406</f>
        <v>0</v>
      </c>
      <c r="CE1263">
        <f>Model!CM406</f>
        <v>0</v>
      </c>
      <c r="CF1263">
        <f>Model!CN406</f>
        <v>0</v>
      </c>
      <c r="CG1263">
        <f>Model!CO406</f>
        <v>0</v>
      </c>
      <c r="CH1263">
        <f>Model!CP406</f>
        <v>0</v>
      </c>
      <c r="CI1263">
        <f>Model!CQ406</f>
        <v>0</v>
      </c>
      <c r="CJ1263">
        <f>Model!CR406</f>
        <v>0</v>
      </c>
      <c r="CK1263">
        <f>Model!CS406</f>
        <v>0</v>
      </c>
      <c r="CL1263">
        <f>Model!CT406</f>
        <v>0</v>
      </c>
      <c r="CM1263">
        <f>Model!CU406</f>
        <v>0</v>
      </c>
      <c r="CN1263">
        <f>Model!CV406</f>
        <v>0</v>
      </c>
      <c r="CO1263">
        <f>Model!CW406</f>
        <v>0</v>
      </c>
      <c r="CP1263">
        <f>Model!CX406</f>
        <v>0</v>
      </c>
      <c r="CQ1263">
        <f>Model!CY406</f>
        <v>0</v>
      </c>
      <c r="CR1263">
        <f>Model!CZ406</f>
        <v>0</v>
      </c>
      <c r="CS1263">
        <f>Model!DA406</f>
        <v>0</v>
      </c>
      <c r="CT1263">
        <f>Model!DB406</f>
        <v>0</v>
      </c>
      <c r="CU1263">
        <f>Model!DC406</f>
        <v>0</v>
      </c>
      <c r="CV1263">
        <f>Model!DD406</f>
        <v>0</v>
      </c>
      <c r="CW1263">
        <f>Model!DE406</f>
        <v>0</v>
      </c>
      <c r="CX1263">
        <f>Model!DF406</f>
        <v>0</v>
      </c>
    </row>
    <row r="1264" spans="1:102">
      <c r="A1264" t="str">
        <f>Model!I397</f>
        <v>Incremental bookings per Total ad dollar (constant currency)</v>
      </c>
      <c r="B1264">
        <f>Model!J397</f>
        <v>0</v>
      </c>
      <c r="C1264">
        <f>Model!K397</f>
        <v>0</v>
      </c>
      <c r="D1264">
        <f>Model!L397</f>
        <v>0</v>
      </c>
      <c r="E1264">
        <f>Model!M397</f>
        <v>0</v>
      </c>
      <c r="F1264">
        <f>Model!N397</f>
        <v>0</v>
      </c>
      <c r="G1264">
        <f>Model!O397</f>
        <v>0</v>
      </c>
      <c r="H1264">
        <f>Model!P397</f>
        <v>0</v>
      </c>
      <c r="I1264">
        <f>Model!Q397</f>
        <v>0</v>
      </c>
      <c r="J1264">
        <f>Model!R397</f>
        <v>0</v>
      </c>
      <c r="K1264">
        <f>Model!S397</f>
        <v>0</v>
      </c>
      <c r="L1264">
        <f>Model!T397</f>
        <v>0</v>
      </c>
      <c r="M1264">
        <f>Model!U397</f>
        <v>0</v>
      </c>
      <c r="N1264">
        <f>Model!V397</f>
        <v>0</v>
      </c>
      <c r="O1264">
        <f>Model!W397</f>
        <v>0</v>
      </c>
      <c r="P1264">
        <f>Model!X397</f>
        <v>0</v>
      </c>
      <c r="Q1264">
        <f>Model!Y397</f>
        <v>0</v>
      </c>
      <c r="R1264">
        <f>Model!Z397</f>
        <v>0</v>
      </c>
      <c r="S1264">
        <f>Model!AA397</f>
        <v>0</v>
      </c>
      <c r="T1264">
        <f>Model!AB397</f>
        <v>0</v>
      </c>
      <c r="U1264">
        <f>Model!AC397</f>
        <v>0</v>
      </c>
      <c r="V1264">
        <f>Model!AD397</f>
        <v>0</v>
      </c>
      <c r="W1264">
        <f>Model!AE397</f>
        <v>0</v>
      </c>
      <c r="X1264">
        <f>Model!AF397</f>
        <v>0</v>
      </c>
      <c r="Y1264">
        <f>Model!AG397</f>
        <v>0</v>
      </c>
      <c r="Z1264">
        <f>Model!AH397</f>
        <v>0</v>
      </c>
      <c r="AA1264">
        <f>Model!AI397</f>
        <v>0</v>
      </c>
      <c r="AB1264">
        <f>Model!AJ397</f>
        <v>0</v>
      </c>
      <c r="AC1264">
        <f>Model!AK397</f>
        <v>0</v>
      </c>
      <c r="AD1264">
        <f>Model!AL397</f>
        <v>0</v>
      </c>
      <c r="AE1264">
        <f>Model!AM397</f>
        <v>0</v>
      </c>
      <c r="AF1264">
        <f>Model!AN397</f>
        <v>0</v>
      </c>
      <c r="AG1264">
        <f>Model!AO397</f>
        <v>71.267378016685072</v>
      </c>
      <c r="AH1264">
        <f>Model!AP397</f>
        <v>76.559089224435851</v>
      </c>
      <c r="AI1264">
        <f>Model!AQ397</f>
        <v>70.001403807812082</v>
      </c>
      <c r="AJ1264">
        <f>Model!AR397</f>
        <v>75.728435483910914</v>
      </c>
      <c r="AK1264">
        <f>Model!AS397</f>
        <v>22.321148849386582</v>
      </c>
      <c r="AL1264">
        <f>Model!AT397</f>
        <v>18.97103590379243</v>
      </c>
      <c r="AM1264">
        <f>Model!AU397</f>
        <v>21.526617509857822</v>
      </c>
      <c r="AN1264">
        <f>Model!AV397</f>
        <v>22.94781967424435</v>
      </c>
      <c r="AO1264">
        <f>Model!AW397</f>
        <v>21.486115116643834</v>
      </c>
      <c r="AP1264">
        <f>Model!AX397</f>
        <v>24.284005533198798</v>
      </c>
      <c r="AQ1264">
        <f>Model!AY397</f>
        <v>22.167072522452251</v>
      </c>
      <c r="AR1264">
        <f>Model!AZ397</f>
        <v>23.238043950963238</v>
      </c>
      <c r="AS1264">
        <f>Model!BA397</f>
        <v>23.542979064337644</v>
      </c>
      <c r="AT1264">
        <f>Model!BB397</f>
        <v>23.722834293974017</v>
      </c>
      <c r="AU1264">
        <f>Model!BC397</f>
        <v>21.314622353423637</v>
      </c>
      <c r="AV1264">
        <f>Model!BD397</f>
        <v>20.128896836982932</v>
      </c>
      <c r="AW1264">
        <f>Model!BE397</f>
        <v>22.317126253178646</v>
      </c>
      <c r="AX1264">
        <f>Model!BF397</f>
        <v>20.373812485794843</v>
      </c>
      <c r="AY1264">
        <f>Model!BG397</f>
        <v>17.733307988625739</v>
      </c>
      <c r="AZ1264">
        <f>Model!BH397</f>
        <v>18.380810738894084</v>
      </c>
      <c r="BA1264">
        <f>Model!BI397</f>
        <v>16.921891445863157</v>
      </c>
      <c r="BB1264">
        <f>Model!BJ397</f>
        <v>15.387509970838575</v>
      </c>
      <c r="BC1264">
        <f>Model!BK397</f>
        <v>14.535345915513608</v>
      </c>
      <c r="BD1264">
        <f>Model!BL397</f>
        <v>22.392825258352104</v>
      </c>
      <c r="BE1264">
        <f>Model!BM397</f>
        <v>21.76806393627686</v>
      </c>
      <c r="BF1264">
        <f>Model!BN397</f>
        <v>16.829622998945375</v>
      </c>
      <c r="BG1264">
        <f>Model!BO397</f>
        <v>15.502099348624347</v>
      </c>
      <c r="BH1264">
        <f>Model!BP397</f>
        <v>14.114631513944671</v>
      </c>
      <c r="BI1264">
        <f>Model!BQ397</f>
        <v>14.760252099441761</v>
      </c>
      <c r="BJ1264">
        <f>Model!BR397</f>
        <v>14.24478159218749</v>
      </c>
      <c r="BK1264">
        <f>Model!BS397</f>
        <v>15.200009719465065</v>
      </c>
      <c r="BL1264">
        <f>Model!BT397</f>
        <v>19.125603799355982</v>
      </c>
      <c r="BM1264">
        <f>Model!BU397</f>
        <v>19.170951270948219</v>
      </c>
      <c r="BN1264">
        <f>Model!BV397</f>
        <v>10.430626046163335</v>
      </c>
      <c r="BO1264">
        <f>Model!BW397</f>
        <v>11.699242987737028</v>
      </c>
      <c r="BP1264">
        <f>Model!BX397</f>
        <v>18.885341144146093</v>
      </c>
      <c r="BQ1264">
        <f>Model!BY397</f>
        <v>19.660152005301462</v>
      </c>
      <c r="BR1264">
        <f>Model!BZ397</f>
        <v>12.699647464861489</v>
      </c>
      <c r="BS1264">
        <f>Model!CA397</f>
        <v>14.436911707683713</v>
      </c>
      <c r="BT1264">
        <f>Model!CB397</f>
        <v>46.370514225272018</v>
      </c>
      <c r="BU1264">
        <f>Model!CC397</f>
        <v>34.945885014810614</v>
      </c>
      <c r="BV1264">
        <f>Model!CD397</f>
        <v>20.809606412509929</v>
      </c>
      <c r="BW1264">
        <f>Model!CE397</f>
        <v>19.043003773746985</v>
      </c>
      <c r="BX1264">
        <f>Model!CF397</f>
        <v>22.856796982267923</v>
      </c>
      <c r="BY1264">
        <f>Model!CG397</f>
        <v>0</v>
      </c>
      <c r="BZ1264">
        <f>Model!CH397</f>
        <v>0</v>
      </c>
      <c r="CA1264">
        <f>Model!CI397</f>
        <v>0</v>
      </c>
      <c r="CB1264">
        <f>Model!CJ397</f>
        <v>0</v>
      </c>
      <c r="CC1264">
        <f>Model!CK397</f>
        <v>0</v>
      </c>
      <c r="CD1264">
        <f>Model!CL397</f>
        <v>0</v>
      </c>
      <c r="CE1264">
        <f>Model!CM397</f>
        <v>0</v>
      </c>
      <c r="CF1264">
        <f>Model!CN397</f>
        <v>0</v>
      </c>
      <c r="CG1264">
        <f>Model!CO397</f>
        <v>0</v>
      </c>
      <c r="CH1264">
        <f>Model!CP397</f>
        <v>20.959015263215488</v>
      </c>
      <c r="CI1264">
        <f>Model!CQ397</f>
        <v>23.15842922415915</v>
      </c>
      <c r="CJ1264">
        <f>Model!CR397</f>
        <v>21.884421979073352</v>
      </c>
      <c r="CK1264">
        <f>Model!CS397</f>
        <v>19.488524252777886</v>
      </c>
      <c r="CL1264">
        <f>Model!CT397</f>
        <v>16.981296967946228</v>
      </c>
      <c r="CM1264">
        <f>Model!CU397</f>
        <v>16.893484532926216</v>
      </c>
      <c r="CN1264">
        <f>Model!CV397</f>
        <v>15.283165775108046</v>
      </c>
      <c r="CO1264">
        <f>Model!CW397</f>
        <v>14.7395365136703</v>
      </c>
      <c r="CP1264">
        <f>Model!CX397</f>
        <v>17.159169343847658</v>
      </c>
      <c r="CQ1264">
        <f>Model!CY397</f>
        <v>22.203047434219354</v>
      </c>
      <c r="CR1264">
        <f>Model!CZ397</f>
        <v>19.015245866399603</v>
      </c>
      <c r="CS1264">
        <f>Model!DA397</f>
        <v>18.846584300098979</v>
      </c>
      <c r="CT1264">
        <f>Model!DB397</f>
        <v>18.997871458293634</v>
      </c>
      <c r="CU1264">
        <f>Model!DC397</f>
        <v>18.936272010357499</v>
      </c>
      <c r="CV1264">
        <f>Model!DD397</f>
        <v>18.892153732094993</v>
      </c>
      <c r="CW1264">
        <f>Model!DE397</f>
        <v>18.825458704055489</v>
      </c>
      <c r="CX1264">
        <f>Model!DF397</f>
        <v>19.229310199275002</v>
      </c>
    </row>
    <row r="1265" spans="1:102">
      <c r="A1265" t="str">
        <f>Model!I398</f>
        <v>% change Y/Y</v>
      </c>
      <c r="B1265">
        <f>Model!J398</f>
        <v>0</v>
      </c>
      <c r="C1265">
        <f>Model!K398</f>
        <v>0</v>
      </c>
      <c r="D1265">
        <f>Model!L398</f>
        <v>0</v>
      </c>
      <c r="E1265">
        <f>Model!M398</f>
        <v>0</v>
      </c>
      <c r="F1265">
        <f>Model!N398</f>
        <v>0</v>
      </c>
      <c r="G1265">
        <f>Model!O398</f>
        <v>0</v>
      </c>
      <c r="H1265">
        <f>Model!P398</f>
        <v>0</v>
      </c>
      <c r="I1265">
        <f>Model!Q398</f>
        <v>0</v>
      </c>
      <c r="J1265">
        <f>Model!R398</f>
        <v>0</v>
      </c>
      <c r="K1265">
        <f>Model!S398</f>
        <v>0</v>
      </c>
      <c r="L1265">
        <f>Model!T398</f>
        <v>0</v>
      </c>
      <c r="M1265">
        <f>Model!U398</f>
        <v>0</v>
      </c>
      <c r="N1265">
        <f>Model!V398</f>
        <v>0</v>
      </c>
      <c r="O1265">
        <f>Model!W398</f>
        <v>0</v>
      </c>
      <c r="P1265">
        <f>Model!X398</f>
        <v>0</v>
      </c>
      <c r="Q1265">
        <f>Model!Y398</f>
        <v>0</v>
      </c>
      <c r="R1265">
        <f>Model!Z398</f>
        <v>0</v>
      </c>
      <c r="S1265">
        <f>Model!AA398</f>
        <v>0</v>
      </c>
      <c r="T1265">
        <f>Model!AB398</f>
        <v>0</v>
      </c>
      <c r="U1265">
        <f>Model!AC398</f>
        <v>0</v>
      </c>
      <c r="V1265">
        <f>Model!AD398</f>
        <v>0</v>
      </c>
      <c r="W1265">
        <f>Model!AE398</f>
        <v>0</v>
      </c>
      <c r="X1265">
        <f>Model!AF398</f>
        <v>0</v>
      </c>
      <c r="Y1265">
        <f>Model!AG398</f>
        <v>0</v>
      </c>
      <c r="Z1265">
        <f>Model!AH398</f>
        <v>0</v>
      </c>
      <c r="AA1265">
        <f>Model!AI398</f>
        <v>0</v>
      </c>
      <c r="AB1265">
        <f>Model!AJ398</f>
        <v>0</v>
      </c>
      <c r="AC1265">
        <f>Model!AK398</f>
        <v>0</v>
      </c>
      <c r="AD1265">
        <f>Model!AL398</f>
        <v>0</v>
      </c>
      <c r="AE1265">
        <f>Model!AM398</f>
        <v>0</v>
      </c>
      <c r="AF1265">
        <f>Model!AN398</f>
        <v>0</v>
      </c>
      <c r="AG1265">
        <f>Model!AO398</f>
        <v>0</v>
      </c>
      <c r="AH1265">
        <f>Model!AP398</f>
        <v>0</v>
      </c>
      <c r="AI1265">
        <f>Model!AQ398</f>
        <v>0</v>
      </c>
      <c r="AJ1265">
        <f>Model!AR398</f>
        <v>0</v>
      </c>
      <c r="AK1265">
        <f>Model!AS398</f>
        <v>-0.68679710871135502</v>
      </c>
      <c r="AL1265">
        <f>Model!AT398</f>
        <v>-0.75220400221614281</v>
      </c>
      <c r="AM1265">
        <f>Model!AU398</f>
        <v>-0.69248305978321723</v>
      </c>
      <c r="AN1265">
        <f>Model!AV398</f>
        <v>-0.69697222017587057</v>
      </c>
      <c r="AO1265">
        <f>Model!AW398</f>
        <v>-3.740998003181617E-2</v>
      </c>
      <c r="AP1265">
        <f>Model!AX398</f>
        <v>0.28005690655744697</v>
      </c>
      <c r="AQ1265">
        <f>Model!AY398</f>
        <v>2.9751771837871921E-2</v>
      </c>
      <c r="AR1265">
        <f>Model!AZ398</f>
        <v>1.2647139503393579E-2</v>
      </c>
      <c r="AS1265">
        <f>Model!BA398</f>
        <v>9.5729913785135512E-2</v>
      </c>
      <c r="AT1265">
        <f>Model!BB398</f>
        <v>-2.3108676962604102E-2</v>
      </c>
      <c r="AU1265">
        <f>Model!BC398</f>
        <v>-3.8455694506579374E-2</v>
      </c>
      <c r="AV1265">
        <f>Model!BD398</f>
        <v>-0.13379556044136964</v>
      </c>
      <c r="AW1265">
        <f>Model!BE398</f>
        <v>-5.2068721116771965E-2</v>
      </c>
      <c r="AX1265">
        <f>Model!BF398</f>
        <v>-0.14117292085245814</v>
      </c>
      <c r="AY1265">
        <f>Model!BG398</f>
        <v>-0.16802147865512862</v>
      </c>
      <c r="AZ1265">
        <f>Model!BH398</f>
        <v>-8.6844605158742705E-2</v>
      </c>
      <c r="BA1265">
        <f>Model!BI398</f>
        <v>-0.24175311579585845</v>
      </c>
      <c r="BB1265">
        <f>Model!BJ398</f>
        <v>-0.24474076800465538</v>
      </c>
      <c r="BC1265">
        <f>Model!BK398</f>
        <v>-0.18033646486957344</v>
      </c>
      <c r="BD1265">
        <f>Model!BL398</f>
        <v>0.21827190195525681</v>
      </c>
      <c r="BE1265">
        <f>Model!BM398</f>
        <v>0.28638479959038099</v>
      </c>
      <c r="BF1265">
        <f>Model!BN398</f>
        <v>9.3719713640465496E-2</v>
      </c>
      <c r="BG1265">
        <f>Model!BO398</f>
        <v>6.6510521230796593E-2</v>
      </c>
      <c r="BH1265">
        <f>Model!BP398</f>
        <v>-0.36968062979546634</v>
      </c>
      <c r="BI1265">
        <f>Model!BQ398</f>
        <v>-0.3219308734736146</v>
      </c>
      <c r="BJ1265">
        <f>Model!BR398</f>
        <v>-0.15358878846661417</v>
      </c>
      <c r="BK1265">
        <f>Model!BS398</f>
        <v>-1.9487014136965186E-2</v>
      </c>
      <c r="BL1265">
        <f>Model!BT398</f>
        <v>0.35501970281411022</v>
      </c>
      <c r="BM1265">
        <f>Model!BU398</f>
        <v>0.29882275328300612</v>
      </c>
      <c r="BN1265">
        <f>Model!BV398</f>
        <v>-0.26775809241722726</v>
      </c>
      <c r="BO1265">
        <f>Model!BW398</f>
        <v>-0.2303134535002942</v>
      </c>
      <c r="BP1265">
        <f>Model!BX398</f>
        <v>-1.256235660481364E-2</v>
      </c>
      <c r="BQ1265">
        <f>Model!BY398</f>
        <v>2.5517812206563795E-2</v>
      </c>
      <c r="BR1265">
        <f>Model!BZ398</f>
        <v>0.21753453806665424</v>
      </c>
      <c r="BS1265">
        <f>Model!CA398</f>
        <v>0.23400391998151227</v>
      </c>
      <c r="BT1265">
        <f>Model!CB398</f>
        <v>1.4553707487378658</v>
      </c>
      <c r="BU1265">
        <f>Model!CC398</f>
        <v>0.7774982108677122</v>
      </c>
      <c r="BV1265">
        <f>Model!CD398</f>
        <v>0.63859717130635274</v>
      </c>
      <c r="BW1265">
        <f>Model!CE398</f>
        <v>0.31904968038363668</v>
      </c>
      <c r="BX1265">
        <f>Model!CF398</f>
        <v>-0.50708338339256698</v>
      </c>
      <c r="BY1265">
        <f>Model!CG398</f>
        <v>0</v>
      </c>
      <c r="BZ1265">
        <f>Model!CH398</f>
        <v>0</v>
      </c>
      <c r="CA1265">
        <f>Model!CI398</f>
        <v>0</v>
      </c>
      <c r="CB1265">
        <f>Model!CJ398</f>
        <v>0</v>
      </c>
      <c r="CC1265">
        <f>Model!CK398</f>
        <v>0</v>
      </c>
      <c r="CD1265">
        <f>Model!CL398</f>
        <v>0</v>
      </c>
      <c r="CE1265">
        <f>Model!CM398</f>
        <v>0</v>
      </c>
      <c r="CF1265">
        <f>Model!CN398</f>
        <v>0</v>
      </c>
      <c r="CG1265">
        <f>Model!CO398</f>
        <v>0</v>
      </c>
      <c r="CH1265">
        <f>Model!CP398</f>
        <v>0</v>
      </c>
      <c r="CI1265">
        <f>Model!CQ398</f>
        <v>0.10493880238752373</v>
      </c>
      <c r="CJ1265">
        <f>Model!CR398</f>
        <v>-5.501267951959099E-2</v>
      </c>
      <c r="CK1265">
        <f>Model!CS398</f>
        <v>-0.10947959825425169</v>
      </c>
      <c r="CL1265">
        <f>Model!CT398</f>
        <v>-0.12865146956800888</v>
      </c>
      <c r="CM1265">
        <f>Model!CU398</f>
        <v>-5.1711265155874875E-3</v>
      </c>
      <c r="CN1265">
        <f>Model!CV398</f>
        <v>-9.5321883101119886E-2</v>
      </c>
      <c r="CO1265">
        <f>Model!CW398</f>
        <v>-3.5570461607055459E-2</v>
      </c>
      <c r="CP1265">
        <f>Model!CX398</f>
        <v>0.16415935656682623</v>
      </c>
      <c r="CQ1265">
        <f>Model!CY398</f>
        <v>0.29394651858134124</v>
      </c>
      <c r="CR1265">
        <f>Model!CZ398</f>
        <v>-0.14357495642272544</v>
      </c>
      <c r="CS1265">
        <f>Model!DA398</f>
        <v>-8.8698072844092257E-3</v>
      </c>
      <c r="CT1265">
        <f>Model!DB398</f>
        <v>8.0272985165732447E-3</v>
      </c>
      <c r="CU1265">
        <f>Model!DC398</f>
        <v>-3.2424394528285383E-3</v>
      </c>
      <c r="CV1265">
        <f>Model!DD398</f>
        <v>-2.3298291362933155E-3</v>
      </c>
      <c r="CW1265">
        <f>Model!DE398</f>
        <v>-3.5303030551884218E-3</v>
      </c>
      <c r="CX1265">
        <f>Model!DF398</f>
        <v>2.1452411947471495E-2</v>
      </c>
    </row>
    <row r="1266" spans="1:102">
      <c r="A1266">
        <f>Model!I399</f>
        <v>0</v>
      </c>
      <c r="B1266">
        <f>Model!J399</f>
        <v>0</v>
      </c>
      <c r="C1266">
        <f>Model!K399</f>
        <v>0</v>
      </c>
      <c r="D1266">
        <f>Model!L399</f>
        <v>0</v>
      </c>
      <c r="E1266">
        <f>Model!M399</f>
        <v>0</v>
      </c>
      <c r="F1266">
        <f>Model!N399</f>
        <v>0</v>
      </c>
      <c r="G1266">
        <f>Model!O399</f>
        <v>0</v>
      </c>
      <c r="H1266">
        <f>Model!P399</f>
        <v>0</v>
      </c>
      <c r="I1266">
        <f>Model!Q399</f>
        <v>0</v>
      </c>
      <c r="J1266">
        <f>Model!R399</f>
        <v>0</v>
      </c>
      <c r="K1266">
        <f>Model!S399</f>
        <v>0</v>
      </c>
      <c r="L1266">
        <f>Model!T399</f>
        <v>0</v>
      </c>
      <c r="M1266">
        <f>Model!U399</f>
        <v>0</v>
      </c>
      <c r="N1266">
        <f>Model!V399</f>
        <v>0</v>
      </c>
      <c r="O1266">
        <f>Model!W399</f>
        <v>0</v>
      </c>
      <c r="P1266">
        <f>Model!X399</f>
        <v>0</v>
      </c>
      <c r="Q1266">
        <f>Model!Y399</f>
        <v>0</v>
      </c>
      <c r="R1266">
        <f>Model!Z399</f>
        <v>0</v>
      </c>
      <c r="S1266">
        <f>Model!AA399</f>
        <v>0</v>
      </c>
      <c r="T1266">
        <f>Model!AB399</f>
        <v>0</v>
      </c>
      <c r="U1266">
        <f>Model!AC399</f>
        <v>0</v>
      </c>
      <c r="V1266">
        <f>Model!AD399</f>
        <v>0</v>
      </c>
      <c r="W1266">
        <f>Model!AE399</f>
        <v>0</v>
      </c>
      <c r="X1266">
        <f>Model!AF399</f>
        <v>0</v>
      </c>
      <c r="Y1266">
        <f>Model!AG399</f>
        <v>0</v>
      </c>
      <c r="Z1266">
        <f>Model!AH399</f>
        <v>0</v>
      </c>
      <c r="AA1266">
        <f>Model!AI399</f>
        <v>0</v>
      </c>
      <c r="AB1266">
        <f>Model!AJ399</f>
        <v>0</v>
      </c>
      <c r="AC1266">
        <f>Model!AK399</f>
        <v>0</v>
      </c>
      <c r="AD1266">
        <f>Model!AL399</f>
        <v>0</v>
      </c>
      <c r="AE1266">
        <f>Model!AM399</f>
        <v>0</v>
      </c>
      <c r="AF1266">
        <f>Model!AN399</f>
        <v>0</v>
      </c>
      <c r="AG1266">
        <f>Model!AO399</f>
        <v>0</v>
      </c>
      <c r="AH1266">
        <f>Model!AP399</f>
        <v>0</v>
      </c>
      <c r="AI1266">
        <f>Model!AQ399</f>
        <v>0</v>
      </c>
      <c r="AJ1266">
        <f>Model!AR399</f>
        <v>0</v>
      </c>
      <c r="AK1266">
        <f>Model!AS399</f>
        <v>0</v>
      </c>
      <c r="AL1266">
        <f>Model!AT399</f>
        <v>0</v>
      </c>
      <c r="AM1266">
        <f>Model!AU399</f>
        <v>0</v>
      </c>
      <c r="AN1266">
        <f>Model!AV399</f>
        <v>0</v>
      </c>
      <c r="AO1266">
        <f>Model!AW399</f>
        <v>0</v>
      </c>
      <c r="AP1266">
        <f>Model!AX399</f>
        <v>0</v>
      </c>
      <c r="AQ1266">
        <f>Model!AY399</f>
        <v>0</v>
      </c>
      <c r="AR1266">
        <f>Model!AZ399</f>
        <v>0</v>
      </c>
      <c r="AS1266">
        <f>Model!BA399</f>
        <v>0</v>
      </c>
      <c r="AT1266">
        <f>Model!BB399</f>
        <v>0</v>
      </c>
      <c r="AU1266">
        <f>Model!BC399</f>
        <v>0</v>
      </c>
      <c r="AV1266">
        <f>Model!BD399</f>
        <v>0</v>
      </c>
      <c r="AW1266">
        <f>Model!BE399</f>
        <v>0</v>
      </c>
      <c r="AX1266">
        <f>Model!BF399</f>
        <v>0</v>
      </c>
      <c r="AY1266">
        <f>Model!BG399</f>
        <v>0</v>
      </c>
      <c r="AZ1266">
        <f>Model!BH399</f>
        <v>0</v>
      </c>
      <c r="BA1266">
        <f>Model!BI399</f>
        <v>0</v>
      </c>
      <c r="BB1266">
        <f>Model!BJ399</f>
        <v>0</v>
      </c>
      <c r="BC1266">
        <f>Model!BK399</f>
        <v>0</v>
      </c>
      <c r="BD1266">
        <f>Model!BL399</f>
        <v>0</v>
      </c>
      <c r="BE1266">
        <f>Model!BM399</f>
        <v>0</v>
      </c>
      <c r="BF1266">
        <f>Model!BN399</f>
        <v>0</v>
      </c>
      <c r="BG1266">
        <f>Model!BO399</f>
        <v>0</v>
      </c>
      <c r="BH1266">
        <f>Model!BP399</f>
        <v>0</v>
      </c>
      <c r="BI1266">
        <f>Model!BQ399</f>
        <v>0</v>
      </c>
      <c r="BJ1266">
        <f>Model!BR399</f>
        <v>0</v>
      </c>
      <c r="BK1266">
        <f>Model!BS399</f>
        <v>0</v>
      </c>
      <c r="BL1266">
        <f>Model!BT399</f>
        <v>0</v>
      </c>
      <c r="BM1266">
        <f>Model!BU399</f>
        <v>0</v>
      </c>
      <c r="BN1266">
        <f>Model!BV399</f>
        <v>0</v>
      </c>
      <c r="BO1266">
        <f>Model!BW399</f>
        <v>0</v>
      </c>
      <c r="BP1266">
        <f>Model!BX399</f>
        <v>0</v>
      </c>
      <c r="BQ1266">
        <f>Model!BY399</f>
        <v>0</v>
      </c>
      <c r="BR1266">
        <f>Model!BZ399</f>
        <v>0</v>
      </c>
      <c r="BS1266">
        <f>Model!CA399</f>
        <v>0</v>
      </c>
      <c r="BT1266">
        <f>Model!CB399</f>
        <v>0</v>
      </c>
      <c r="BU1266">
        <f>Model!CC399</f>
        <v>0</v>
      </c>
      <c r="BV1266">
        <f>Model!CD399</f>
        <v>0</v>
      </c>
      <c r="BW1266">
        <f>Model!CE399</f>
        <v>0</v>
      </c>
      <c r="BX1266">
        <f>Model!CF399</f>
        <v>0</v>
      </c>
      <c r="BY1266">
        <f>Model!CG399</f>
        <v>0</v>
      </c>
      <c r="BZ1266">
        <f>Model!CH399</f>
        <v>0</v>
      </c>
      <c r="CA1266">
        <f>Model!CI399</f>
        <v>0</v>
      </c>
      <c r="CB1266">
        <f>Model!CJ399</f>
        <v>0</v>
      </c>
      <c r="CC1266">
        <f>Model!CK399</f>
        <v>0</v>
      </c>
      <c r="CD1266">
        <f>Model!CL399</f>
        <v>0</v>
      </c>
      <c r="CE1266">
        <f>Model!CM399</f>
        <v>0</v>
      </c>
      <c r="CF1266">
        <f>Model!CN399</f>
        <v>0</v>
      </c>
      <c r="CG1266">
        <f>Model!CO399</f>
        <v>0</v>
      </c>
      <c r="CH1266">
        <f>Model!CP399</f>
        <v>0</v>
      </c>
      <c r="CI1266">
        <f>Model!CQ399</f>
        <v>0</v>
      </c>
      <c r="CJ1266">
        <f>Model!CR399</f>
        <v>0</v>
      </c>
      <c r="CK1266">
        <f>Model!CS399</f>
        <v>0</v>
      </c>
      <c r="CL1266">
        <f>Model!CT399</f>
        <v>0</v>
      </c>
      <c r="CM1266">
        <f>Model!CU399</f>
        <v>0</v>
      </c>
      <c r="CN1266">
        <f>Model!CV399</f>
        <v>0</v>
      </c>
      <c r="CO1266">
        <f>Model!CW399</f>
        <v>0</v>
      </c>
      <c r="CP1266">
        <f>Model!CX399</f>
        <v>0</v>
      </c>
      <c r="CQ1266">
        <f>Model!CY399</f>
        <v>0</v>
      </c>
      <c r="CR1266">
        <f>Model!CZ399</f>
        <v>0</v>
      </c>
      <c r="CS1266">
        <f>Model!DA399</f>
        <v>0</v>
      </c>
      <c r="CT1266">
        <f>Model!DB399</f>
        <v>0</v>
      </c>
      <c r="CU1266">
        <f>Model!DC399</f>
        <v>0</v>
      </c>
      <c r="CV1266">
        <f>Model!DD399</f>
        <v>0</v>
      </c>
      <c r="CW1266">
        <f>Model!DE399</f>
        <v>0</v>
      </c>
      <c r="CX1266">
        <f>Model!DF399</f>
        <v>0</v>
      </c>
    </row>
    <row r="1267" spans="1:102">
      <c r="A1267" t="str">
        <f>Model!I407</f>
        <v>Total Ad Spend % of Bookings (constant currency)</v>
      </c>
      <c r="B1267">
        <f>Model!J407</f>
        <v>0</v>
      </c>
      <c r="C1267">
        <f>Model!K407</f>
        <v>0</v>
      </c>
      <c r="D1267">
        <f>Model!L407</f>
        <v>0</v>
      </c>
      <c r="E1267">
        <f>Model!M407</f>
        <v>0</v>
      </c>
      <c r="F1267">
        <f>Model!N407</f>
        <v>0</v>
      </c>
      <c r="G1267">
        <f>Model!O407</f>
        <v>0</v>
      </c>
      <c r="H1267">
        <f>Model!P407</f>
        <v>0</v>
      </c>
      <c r="I1267">
        <f>Model!Q407</f>
        <v>0</v>
      </c>
      <c r="J1267">
        <f>Model!R407</f>
        <v>0</v>
      </c>
      <c r="K1267">
        <f>Model!S407</f>
        <v>0</v>
      </c>
      <c r="L1267">
        <f>Model!T407</f>
        <v>0</v>
      </c>
      <c r="M1267">
        <f>Model!U407</f>
        <v>0</v>
      </c>
      <c r="N1267">
        <f>Model!V407</f>
        <v>0</v>
      </c>
      <c r="O1267">
        <f>Model!W407</f>
        <v>0</v>
      </c>
      <c r="P1267">
        <f>Model!X407</f>
        <v>0</v>
      </c>
      <c r="Q1267">
        <f>Model!Y407</f>
        <v>0</v>
      </c>
      <c r="R1267">
        <f>Model!Z407</f>
        <v>0</v>
      </c>
      <c r="S1267">
        <f>Model!AA407</f>
        <v>0</v>
      </c>
      <c r="T1267">
        <f>Model!AB407</f>
        <v>0</v>
      </c>
      <c r="U1267">
        <f>Model!AC407</f>
        <v>0</v>
      </c>
      <c r="V1267">
        <f>Model!AD407</f>
        <v>0</v>
      </c>
      <c r="W1267">
        <f>Model!AE407</f>
        <v>0</v>
      </c>
      <c r="X1267">
        <f>Model!AF407</f>
        <v>0</v>
      </c>
      <c r="Y1267">
        <f>Model!AG407</f>
        <v>0</v>
      </c>
      <c r="Z1267">
        <f>Model!AH407</f>
        <v>0</v>
      </c>
      <c r="AA1267">
        <f>Model!AI407</f>
        <v>0</v>
      </c>
      <c r="AB1267">
        <f>Model!AJ407</f>
        <v>0</v>
      </c>
      <c r="AC1267">
        <f>Model!AK407</f>
        <v>0</v>
      </c>
      <c r="AD1267">
        <f>Model!AL407</f>
        <v>0</v>
      </c>
      <c r="AE1267">
        <f>Model!AM407</f>
        <v>0</v>
      </c>
      <c r="AF1267">
        <f>Model!AN407</f>
        <v>0</v>
      </c>
      <c r="AG1267">
        <f>Model!AO407</f>
        <v>3.8968081494530307E-2</v>
      </c>
      <c r="AH1267">
        <f>Model!AP407</f>
        <v>3.8738025647730205E-2</v>
      </c>
      <c r="AI1267">
        <f>Model!AQ407</f>
        <v>4.4982757001228016E-2</v>
      </c>
      <c r="AJ1267">
        <f>Model!AR407</f>
        <v>4.2742299770365311E-2</v>
      </c>
      <c r="AK1267">
        <f>Model!AS407</f>
        <v>4.0341637740990234E-2</v>
      </c>
      <c r="AL1267">
        <f>Model!AT407</f>
        <v>4.2282725170843902E-2</v>
      </c>
      <c r="AM1267">
        <f>Model!AU407</f>
        <v>4.5454483199488478E-2</v>
      </c>
      <c r="AN1267">
        <f>Model!AV407</f>
        <v>4.2979430264436978E-2</v>
      </c>
      <c r="AO1267">
        <f>Model!AW407</f>
        <v>4.1945848754033711E-2</v>
      </c>
      <c r="AP1267">
        <f>Model!AX407</f>
        <v>4.1995831205078313E-2</v>
      </c>
      <c r="AQ1267">
        <f>Model!AY407</f>
        <v>4.5345451569537037E-2</v>
      </c>
      <c r="AR1267">
        <f>Model!AZ407</f>
        <v>4.2998231700668174E-2</v>
      </c>
      <c r="AS1267">
        <f>Model!BA407</f>
        <v>4.214759024435346E-2</v>
      </c>
      <c r="AT1267">
        <f>Model!BB407</f>
        <v>4.2049536744797653E-2</v>
      </c>
      <c r="AU1267">
        <f>Model!BC407</f>
        <v>4.5805292262329579E-2</v>
      </c>
      <c r="AV1267">
        <f>Model!BD407</f>
        <v>4.5187914739285476E-2</v>
      </c>
      <c r="AW1267">
        <f>Model!BE407</f>
        <v>4.3002540910409302E-2</v>
      </c>
      <c r="AX1267">
        <f>Model!BF407</f>
        <v>4.4290212807145825E-2</v>
      </c>
      <c r="AY1267">
        <f>Model!BG407</f>
        <v>4.8901483755186576E-2</v>
      </c>
      <c r="AZ1267">
        <f>Model!BH407</f>
        <v>4.7510786822085822E-2</v>
      </c>
      <c r="BA1267">
        <f>Model!BI407</f>
        <v>4.7072756155523011E-2</v>
      </c>
      <c r="BB1267">
        <f>Model!BJ407</f>
        <v>4.8955939204439268E-2</v>
      </c>
      <c r="BC1267">
        <f>Model!BK407</f>
        <v>5.324627004713841E-2</v>
      </c>
      <c r="BD1267">
        <f>Model!BL407</f>
        <v>4.6729976116769115E-2</v>
      </c>
      <c r="BE1267">
        <f>Model!BM407</f>
        <v>4.6778451126128731E-2</v>
      </c>
      <c r="BF1267">
        <f>Model!BN407</f>
        <v>5.1547854286054157E-2</v>
      </c>
      <c r="BG1267">
        <f>Model!BO407</f>
        <v>5.5802783167367066E-2</v>
      </c>
      <c r="BH1267">
        <f>Model!BP407</f>
        <v>5.1216762175860096E-2</v>
      </c>
      <c r="BI1267">
        <f>Model!BQ407</f>
        <v>5.0895918183609314E-2</v>
      </c>
      <c r="BJ1267">
        <f>Model!BR407</f>
        <v>5.5503855917409452E-2</v>
      </c>
      <c r="BK1267">
        <f>Model!BS407</f>
        <v>5.7550874645082295E-2</v>
      </c>
      <c r="BL1267">
        <f>Model!BT407</f>
        <v>5.1374290259498544E-2</v>
      </c>
      <c r="BM1267">
        <f>Model!BU407</f>
        <v>5.1038557626517225E-2</v>
      </c>
      <c r="BN1267">
        <f>Model!BV407</f>
        <v>5.7838729461444895E-2</v>
      </c>
      <c r="BO1267">
        <f>Model!BW407</f>
        <v>6.0280739503223359E-2</v>
      </c>
      <c r="BP1267">
        <f>Model!BX407</f>
        <v>5.1594897192459487E-2</v>
      </c>
      <c r="BQ1267">
        <f>Model!BY407</f>
        <v>5.1007308336578995E-2</v>
      </c>
      <c r="BR1267">
        <f>Model!BZ407</f>
        <v>6.0954458504456799E-2</v>
      </c>
      <c r="BS1267">
        <f>Model!CA407</f>
        <v>6.1449423578899341E-2</v>
      </c>
      <c r="BT1267">
        <f>Model!CB407</f>
        <v>4.8423906563516236E-2</v>
      </c>
      <c r="BU1267">
        <f>Model!CC407</f>
        <v>4.8665063779583878E-2</v>
      </c>
      <c r="BV1267">
        <f>Model!CD407</f>
        <v>5.9315338926969323E-2</v>
      </c>
      <c r="BW1267">
        <f>Model!CE407</f>
        <v>6.0190991931541142E-2</v>
      </c>
      <c r="BX1267">
        <f>Model!CF407</f>
        <v>4.7514117431047539E-2</v>
      </c>
      <c r="BY1267">
        <f>Model!CG407</f>
        <v>0</v>
      </c>
      <c r="BZ1267">
        <f>Model!CH407</f>
        <v>0</v>
      </c>
      <c r="CA1267">
        <f>Model!CI407</f>
        <v>0</v>
      </c>
      <c r="CB1267">
        <f>Model!CJ407</f>
        <v>0</v>
      </c>
      <c r="CC1267">
        <f>Model!CK407</f>
        <v>0</v>
      </c>
      <c r="CD1267">
        <f>Model!CL407</f>
        <v>0</v>
      </c>
      <c r="CE1267">
        <f>Model!CM407</f>
        <v>0</v>
      </c>
      <c r="CF1267">
        <f>Model!CN407</f>
        <v>0</v>
      </c>
      <c r="CG1267">
        <f>Model!CO407</f>
        <v>4.1713645448969293E-2</v>
      </c>
      <c r="CH1267">
        <f>Model!CP407</f>
        <v>4.3157077015462564E-2</v>
      </c>
      <c r="CI1267">
        <f>Model!CQ407</f>
        <v>4.3164131600800411E-2</v>
      </c>
      <c r="CJ1267">
        <f>Model!CR407</f>
        <v>4.4076911053131301E-2</v>
      </c>
      <c r="CK1267">
        <f>Model!CS407</f>
        <v>4.6019284168291569E-2</v>
      </c>
      <c r="CL1267">
        <f>Model!CT407</f>
        <v>4.9170197880709705E-2</v>
      </c>
      <c r="CM1267">
        <f>Model!CU407</f>
        <v>5.1501735935860486E-2</v>
      </c>
      <c r="CN1267">
        <f>Model!CV407</f>
        <v>5.4035756688838782E-2</v>
      </c>
      <c r="CO1267">
        <f>Model!CW407</f>
        <v>5.5440500289194485E-2</v>
      </c>
      <c r="CP1267">
        <f>Model!CX407</f>
        <v>5.5802435831116125E-2</v>
      </c>
      <c r="CQ1267">
        <f>Model!CY407</f>
        <v>5.4125397734094222E-2</v>
      </c>
      <c r="CR1267">
        <f>Model!CZ407</f>
        <v>5.3895764938748494E-2</v>
      </c>
      <c r="CS1267">
        <f>Model!DA407</f>
        <v>5.3802545707094085E-2</v>
      </c>
      <c r="CT1267">
        <f>Model!DB407</f>
        <v>5.3689339123291033E-2</v>
      </c>
      <c r="CU1267">
        <f>Model!DC407</f>
        <v>5.3612733705618885E-2</v>
      </c>
      <c r="CV1267">
        <f>Model!DD407</f>
        <v>5.3558753097985613E-2</v>
      </c>
      <c r="CW1267">
        <f>Model!DE407</f>
        <v>5.3527050545001169E-2</v>
      </c>
      <c r="CX1267">
        <f>Model!DF407</f>
        <v>5.3416731686233405E-2</v>
      </c>
    </row>
    <row r="1268" spans="1:102">
      <c r="A1268" t="str">
        <f>Model!I408</f>
        <v>change Y/Y (in bp)</v>
      </c>
      <c r="B1268">
        <f>Model!J408</f>
        <v>0</v>
      </c>
      <c r="C1268">
        <f>Model!K408</f>
        <v>0</v>
      </c>
      <c r="D1268">
        <f>Model!L408</f>
        <v>0</v>
      </c>
      <c r="E1268">
        <f>Model!M408</f>
        <v>0</v>
      </c>
      <c r="F1268">
        <f>Model!N408</f>
        <v>0</v>
      </c>
      <c r="G1268">
        <f>Model!O408</f>
        <v>0</v>
      </c>
      <c r="H1268">
        <f>Model!P408</f>
        <v>0</v>
      </c>
      <c r="I1268">
        <f>Model!Q408</f>
        <v>0</v>
      </c>
      <c r="J1268">
        <f>Model!R408</f>
        <v>0</v>
      </c>
      <c r="K1268">
        <f>Model!S408</f>
        <v>0</v>
      </c>
      <c r="L1268">
        <f>Model!T408</f>
        <v>0</v>
      </c>
      <c r="M1268">
        <f>Model!U408</f>
        <v>0</v>
      </c>
      <c r="N1268">
        <f>Model!V408</f>
        <v>0</v>
      </c>
      <c r="O1268">
        <f>Model!W408</f>
        <v>0</v>
      </c>
      <c r="P1268">
        <f>Model!X408</f>
        <v>0</v>
      </c>
      <c r="Q1268">
        <f>Model!Y408</f>
        <v>0</v>
      </c>
      <c r="R1268">
        <f>Model!Z408</f>
        <v>0</v>
      </c>
      <c r="S1268">
        <f>Model!AA408</f>
        <v>0</v>
      </c>
      <c r="T1268">
        <f>Model!AB408</f>
        <v>0</v>
      </c>
      <c r="U1268">
        <f>Model!AC408</f>
        <v>0</v>
      </c>
      <c r="V1268">
        <f>Model!AD408</f>
        <v>0</v>
      </c>
      <c r="W1268">
        <f>Model!AE408</f>
        <v>0</v>
      </c>
      <c r="X1268">
        <f>Model!AF408</f>
        <v>0</v>
      </c>
      <c r="Y1268">
        <f>Model!AG408</f>
        <v>0</v>
      </c>
      <c r="Z1268">
        <f>Model!AH408</f>
        <v>0</v>
      </c>
      <c r="AA1268">
        <f>Model!AI408</f>
        <v>0</v>
      </c>
      <c r="AB1268">
        <f>Model!AJ408</f>
        <v>0</v>
      </c>
      <c r="AC1268">
        <f>Model!AK408</f>
        <v>0</v>
      </c>
      <c r="AD1268">
        <f>Model!AL408</f>
        <v>0</v>
      </c>
      <c r="AE1268">
        <f>Model!AM408</f>
        <v>0</v>
      </c>
      <c r="AF1268">
        <f>Model!AN408</f>
        <v>0</v>
      </c>
      <c r="AG1268">
        <f>Model!AO408</f>
        <v>0</v>
      </c>
      <c r="AH1268">
        <f>Model!AP408</f>
        <v>0</v>
      </c>
      <c r="AI1268">
        <f>Model!AQ408</f>
        <v>0</v>
      </c>
      <c r="AJ1268">
        <f>Model!AR408</f>
        <v>0</v>
      </c>
      <c r="AK1268">
        <f>Model!AS408</f>
        <v>13.735562464599269</v>
      </c>
      <c r="AL1268">
        <f>Model!AT408</f>
        <v>35.446995231136967</v>
      </c>
      <c r="AM1268">
        <f>Model!AU408</f>
        <v>4.7172619826046231</v>
      </c>
      <c r="AN1268">
        <f>Model!AV408</f>
        <v>2.371304940716676</v>
      </c>
      <c r="AO1268">
        <f>Model!AW408</f>
        <v>16.042110130434772</v>
      </c>
      <c r="AP1268">
        <f>Model!AX408</f>
        <v>-2.868939657655889</v>
      </c>
      <c r="AQ1268">
        <f>Model!AY408</f>
        <v>-1.0903162995144071</v>
      </c>
      <c r="AR1268">
        <f>Model!AZ408</f>
        <v>0.18801436231195845</v>
      </c>
      <c r="AS1268">
        <f>Model!BA408</f>
        <v>2.0174149031974844</v>
      </c>
      <c r="AT1268">
        <f>Model!BB408</f>
        <v>0.53705539719339779</v>
      </c>
      <c r="AU1268">
        <f>Model!BC408</f>
        <v>4.5984069279254163</v>
      </c>
      <c r="AV1268">
        <f>Model!BD408</f>
        <v>21.896830386173015</v>
      </c>
      <c r="AW1268">
        <f>Model!BE408</f>
        <v>8.5495066605584249</v>
      </c>
      <c r="AX1268">
        <f>Model!BF408</f>
        <v>22.406760623481723</v>
      </c>
      <c r="AY1268">
        <f>Model!BG408</f>
        <v>30.961914928569964</v>
      </c>
      <c r="AZ1268">
        <f>Model!BH408</f>
        <v>23.228720828003464</v>
      </c>
      <c r="BA1268">
        <f>Model!BI408</f>
        <v>40.702152451137088</v>
      </c>
      <c r="BB1268">
        <f>Model!BJ408</f>
        <v>46.65726397293443</v>
      </c>
      <c r="BC1268">
        <f>Model!BK408</f>
        <v>43.447862919518343</v>
      </c>
      <c r="BD1268">
        <f>Model!BL408</f>
        <v>-7.8081070531670766</v>
      </c>
      <c r="BE1268">
        <f>Model!BM408</f>
        <v>-2.9430502939428034</v>
      </c>
      <c r="BF1268">
        <f>Model!BN408</f>
        <v>25.919150816148885</v>
      </c>
      <c r="BG1268">
        <f>Model!BO408</f>
        <v>25.565131202286569</v>
      </c>
      <c r="BH1268">
        <f>Model!BP408</f>
        <v>44.867860590909814</v>
      </c>
      <c r="BI1268">
        <f>Model!BQ408</f>
        <v>41.174670574805823</v>
      </c>
      <c r="BJ1268">
        <f>Model!BR408</f>
        <v>39.56001631355295</v>
      </c>
      <c r="BK1268">
        <f>Model!BS408</f>
        <v>17.480914777152286</v>
      </c>
      <c r="BL1268">
        <f>Model!BT408</f>
        <v>1.5752808363844739</v>
      </c>
      <c r="BM1268">
        <f>Model!BU408</f>
        <v>1.4263944290791168</v>
      </c>
      <c r="BN1268">
        <f>Model!BV408</f>
        <v>23.348735440354428</v>
      </c>
      <c r="BO1268">
        <f>Model!BW408</f>
        <v>27.298648581410635</v>
      </c>
      <c r="BP1268">
        <f>Model!BX408</f>
        <v>2.206069329609428</v>
      </c>
      <c r="BQ1268">
        <f>Model!BY408</f>
        <v>-0.31249289938230229</v>
      </c>
      <c r="BR1268">
        <f>Model!BZ408</f>
        <v>31.157290430119041</v>
      </c>
      <c r="BS1268">
        <f>Model!CA408</f>
        <v>11.686840756759825</v>
      </c>
      <c r="BT1268">
        <f>Model!CB408</f>
        <v>-31.709906289432503</v>
      </c>
      <c r="BU1268">
        <f>Model!CC408</f>
        <v>-23.422445569951169</v>
      </c>
      <c r="BV1268">
        <f>Model!CD408</f>
        <v>-16.39119577487476</v>
      </c>
      <c r="BW1268">
        <f>Model!CE408</f>
        <v>-12.584316473581991</v>
      </c>
      <c r="BX1268">
        <f>Model!CF408</f>
        <v>-9.0978913246869695</v>
      </c>
      <c r="BY1268">
        <f>Model!CG408</f>
        <v>0</v>
      </c>
      <c r="BZ1268">
        <f>Model!CH408</f>
        <v>0</v>
      </c>
      <c r="CA1268">
        <f>Model!CI408</f>
        <v>0</v>
      </c>
      <c r="CB1268">
        <f>Model!CJ408</f>
        <v>0</v>
      </c>
      <c r="CC1268">
        <f>Model!CK408</f>
        <v>0</v>
      </c>
      <c r="CD1268">
        <f>Model!CL408</f>
        <v>0</v>
      </c>
      <c r="CE1268">
        <f>Model!CM408</f>
        <v>0</v>
      </c>
      <c r="CF1268">
        <f>Model!CN408</f>
        <v>0</v>
      </c>
      <c r="CG1268">
        <f>Model!CO408</f>
        <v>0</v>
      </c>
      <c r="CH1268">
        <f>Model!CP408</f>
        <v>14.43431566493271</v>
      </c>
      <c r="CI1268">
        <f>Model!CQ408</f>
        <v>7.0545853378470302E-2</v>
      </c>
      <c r="CJ1268">
        <f>Model!CR408</f>
        <v>9.1277945233089053</v>
      </c>
      <c r="CK1268">
        <f>Model!CS408</f>
        <v>19.423731151602674</v>
      </c>
      <c r="CL1268">
        <f>Model!CT408</f>
        <v>31.509137124181365</v>
      </c>
      <c r="CM1268">
        <f>Model!CU408</f>
        <v>23.315380551507808</v>
      </c>
      <c r="CN1268">
        <f>Model!CV408</f>
        <v>25.340207529782958</v>
      </c>
      <c r="CO1268">
        <f>Model!CW408</f>
        <v>14.047436003557026</v>
      </c>
      <c r="CP1268">
        <f>Model!CX408</f>
        <v>3.6193554192164026</v>
      </c>
      <c r="CQ1268">
        <f>Model!CY408</f>
        <v>-16.77038097021903</v>
      </c>
      <c r="CR1268">
        <f>Model!CZ408</f>
        <v>-2.296327953457272</v>
      </c>
      <c r="CS1268">
        <f>Model!DA408</f>
        <v>-0.93219231654409485</v>
      </c>
      <c r="CT1268">
        <f>Model!DB408</f>
        <v>-1.1320658380305215</v>
      </c>
      <c r="CU1268">
        <f>Model!DC408</f>
        <v>-0.76605417672147291</v>
      </c>
      <c r="CV1268">
        <f>Model!DD408</f>
        <v>-0.53980607633272171</v>
      </c>
      <c r="CW1268">
        <f>Model!DE408</f>
        <v>-0.31702552984444465</v>
      </c>
      <c r="CX1268">
        <f>Model!DF408</f>
        <v>-1.1031885876776337</v>
      </c>
    </row>
    <row r="1269" spans="1:102">
      <c r="A1269">
        <f>Model!I409</f>
        <v>0</v>
      </c>
      <c r="B1269">
        <f>Model!J409</f>
        <v>0</v>
      </c>
      <c r="C1269">
        <f>Model!K409</f>
        <v>0</v>
      </c>
      <c r="D1269">
        <f>Model!L409</f>
        <v>0</v>
      </c>
      <c r="E1269">
        <f>Model!M409</f>
        <v>0</v>
      </c>
      <c r="F1269">
        <f>Model!N409</f>
        <v>0</v>
      </c>
      <c r="G1269">
        <f>Model!O409</f>
        <v>0</v>
      </c>
      <c r="H1269">
        <f>Model!P409</f>
        <v>0</v>
      </c>
      <c r="I1269">
        <f>Model!Q409</f>
        <v>0</v>
      </c>
      <c r="J1269">
        <f>Model!R409</f>
        <v>0</v>
      </c>
      <c r="K1269">
        <f>Model!S409</f>
        <v>0</v>
      </c>
      <c r="L1269">
        <f>Model!T409</f>
        <v>0</v>
      </c>
      <c r="M1269">
        <f>Model!U409</f>
        <v>0</v>
      </c>
      <c r="N1269">
        <f>Model!V409</f>
        <v>0</v>
      </c>
      <c r="O1269">
        <f>Model!W409</f>
        <v>0</v>
      </c>
      <c r="P1269">
        <f>Model!X409</f>
        <v>0</v>
      </c>
      <c r="Q1269">
        <f>Model!Y409</f>
        <v>0</v>
      </c>
      <c r="R1269">
        <f>Model!Z409</f>
        <v>0</v>
      </c>
      <c r="S1269">
        <f>Model!AA409</f>
        <v>0</v>
      </c>
      <c r="T1269">
        <f>Model!AB409</f>
        <v>0</v>
      </c>
      <c r="U1269">
        <f>Model!AC409</f>
        <v>0</v>
      </c>
      <c r="V1269">
        <f>Model!AD409</f>
        <v>0</v>
      </c>
      <c r="W1269">
        <f>Model!AE409</f>
        <v>0</v>
      </c>
      <c r="X1269">
        <f>Model!AF409</f>
        <v>0</v>
      </c>
      <c r="Y1269">
        <f>Model!AG409</f>
        <v>0</v>
      </c>
      <c r="Z1269">
        <f>Model!AH409</f>
        <v>0</v>
      </c>
      <c r="AA1269">
        <f>Model!AI409</f>
        <v>0</v>
      </c>
      <c r="AB1269">
        <f>Model!AJ409</f>
        <v>0</v>
      </c>
      <c r="AC1269">
        <f>Model!AK409</f>
        <v>0</v>
      </c>
      <c r="AD1269">
        <f>Model!AL409</f>
        <v>0</v>
      </c>
      <c r="AE1269">
        <f>Model!AM409</f>
        <v>0</v>
      </c>
      <c r="AF1269">
        <f>Model!AN409</f>
        <v>0</v>
      </c>
      <c r="AG1269">
        <f>Model!AO409</f>
        <v>0</v>
      </c>
      <c r="AH1269">
        <f>Model!AP409</f>
        <v>0</v>
      </c>
      <c r="AI1269">
        <f>Model!AQ409</f>
        <v>0</v>
      </c>
      <c r="AJ1269">
        <f>Model!AR409</f>
        <v>0</v>
      </c>
      <c r="AK1269">
        <f>Model!AS409</f>
        <v>0</v>
      </c>
      <c r="AL1269">
        <f>Model!AT409</f>
        <v>0</v>
      </c>
      <c r="AM1269">
        <f>Model!AU409</f>
        <v>0</v>
      </c>
      <c r="AN1269">
        <f>Model!AV409</f>
        <v>0</v>
      </c>
      <c r="AO1269">
        <f>Model!AW409</f>
        <v>0</v>
      </c>
      <c r="AP1269">
        <f>Model!AX409</f>
        <v>0</v>
      </c>
      <c r="AQ1269">
        <f>Model!AY409</f>
        <v>0</v>
      </c>
      <c r="AR1269">
        <f>Model!AZ409</f>
        <v>0</v>
      </c>
      <c r="AS1269">
        <f>Model!BA409</f>
        <v>0</v>
      </c>
      <c r="AT1269">
        <f>Model!BB409</f>
        <v>0</v>
      </c>
      <c r="AU1269">
        <f>Model!BC409</f>
        <v>0</v>
      </c>
      <c r="AV1269">
        <f>Model!BD409</f>
        <v>0</v>
      </c>
      <c r="AW1269">
        <f>Model!BE409</f>
        <v>0</v>
      </c>
      <c r="AX1269">
        <f>Model!BF409</f>
        <v>0</v>
      </c>
      <c r="AY1269">
        <f>Model!BG409</f>
        <v>0</v>
      </c>
      <c r="AZ1269">
        <f>Model!BH409</f>
        <v>0</v>
      </c>
      <c r="BA1269">
        <f>Model!BI409</f>
        <v>0</v>
      </c>
      <c r="BB1269">
        <f>Model!BJ409</f>
        <v>0</v>
      </c>
      <c r="BC1269">
        <f>Model!BK409</f>
        <v>0</v>
      </c>
      <c r="BD1269">
        <f>Model!BL409</f>
        <v>0</v>
      </c>
      <c r="BE1269">
        <f>Model!BM409</f>
        <v>0</v>
      </c>
      <c r="BF1269">
        <f>Model!BN409</f>
        <v>0</v>
      </c>
      <c r="BG1269">
        <f>Model!BO409</f>
        <v>0</v>
      </c>
      <c r="BH1269">
        <f>Model!BP409</f>
        <v>0</v>
      </c>
      <c r="BI1269">
        <f>Model!BQ409</f>
        <v>0</v>
      </c>
      <c r="BJ1269">
        <f>Model!BR409</f>
        <v>0</v>
      </c>
      <c r="BK1269">
        <f>Model!BS409</f>
        <v>0</v>
      </c>
      <c r="BL1269">
        <f>Model!BT409</f>
        <v>0</v>
      </c>
      <c r="BM1269">
        <f>Model!BU409</f>
        <v>0</v>
      </c>
      <c r="BN1269">
        <f>Model!BV409</f>
        <v>0</v>
      </c>
      <c r="BO1269">
        <f>Model!BW409</f>
        <v>0</v>
      </c>
      <c r="BP1269">
        <f>Model!BX409</f>
        <v>0</v>
      </c>
      <c r="BQ1269">
        <f>Model!BY409</f>
        <v>0</v>
      </c>
      <c r="BR1269">
        <f>Model!BZ409</f>
        <v>0</v>
      </c>
      <c r="BS1269">
        <f>Model!CA409</f>
        <v>0</v>
      </c>
      <c r="BT1269">
        <f>Model!CB409</f>
        <v>0</v>
      </c>
      <c r="BU1269">
        <f>Model!CC409</f>
        <v>0</v>
      </c>
      <c r="BV1269">
        <f>Model!CD409</f>
        <v>0</v>
      </c>
      <c r="BW1269">
        <f>Model!CE409</f>
        <v>0</v>
      </c>
      <c r="BX1269">
        <f>Model!CF409</f>
        <v>0</v>
      </c>
      <c r="BY1269">
        <f>Model!CG409</f>
        <v>0</v>
      </c>
      <c r="BZ1269">
        <f>Model!CH409</f>
        <v>0</v>
      </c>
      <c r="CA1269">
        <f>Model!CI409</f>
        <v>0</v>
      </c>
      <c r="CB1269">
        <f>Model!CJ409</f>
        <v>0</v>
      </c>
      <c r="CC1269">
        <f>Model!CK409</f>
        <v>0</v>
      </c>
      <c r="CD1269">
        <f>Model!CL409</f>
        <v>0</v>
      </c>
      <c r="CE1269">
        <f>Model!CM409</f>
        <v>0</v>
      </c>
      <c r="CF1269">
        <f>Model!CN409</f>
        <v>0</v>
      </c>
      <c r="CG1269">
        <f>Model!CO409</f>
        <v>0</v>
      </c>
      <c r="CH1269">
        <f>Model!CP409</f>
        <v>0</v>
      </c>
      <c r="CI1269">
        <f>Model!CQ409</f>
        <v>0</v>
      </c>
      <c r="CJ1269">
        <f>Model!CR409</f>
        <v>0</v>
      </c>
      <c r="CK1269">
        <f>Model!CS409</f>
        <v>0</v>
      </c>
      <c r="CL1269">
        <f>Model!CT409</f>
        <v>0</v>
      </c>
      <c r="CM1269">
        <f>Model!CU409</f>
        <v>0</v>
      </c>
      <c r="CN1269">
        <f>Model!CV409</f>
        <v>0</v>
      </c>
      <c r="CO1269">
        <f>Model!CW409</f>
        <v>0</v>
      </c>
      <c r="CP1269">
        <f>Model!CX409</f>
        <v>0</v>
      </c>
      <c r="CQ1269">
        <f>Model!CY409</f>
        <v>0</v>
      </c>
      <c r="CR1269">
        <f>Model!CZ409</f>
        <v>0</v>
      </c>
      <c r="CS1269">
        <f>Model!DA409</f>
        <v>0</v>
      </c>
      <c r="CT1269">
        <f>Model!DB409</f>
        <v>0</v>
      </c>
      <c r="CU1269">
        <f>Model!DC409</f>
        <v>0</v>
      </c>
      <c r="CV1269">
        <f>Model!DD409</f>
        <v>0</v>
      </c>
      <c r="CW1269">
        <f>Model!DE409</f>
        <v>0</v>
      </c>
      <c r="CX1269">
        <f>Model!DF409</f>
        <v>0</v>
      </c>
    </row>
    <row r="1270" spans="1:102">
      <c r="A1270">
        <f>Model!I378</f>
        <v>0</v>
      </c>
      <c r="B1270">
        <f>Model!J378</f>
        <v>0</v>
      </c>
      <c r="C1270">
        <f>Model!K378</f>
        <v>0</v>
      </c>
      <c r="D1270">
        <f>Model!L378</f>
        <v>0</v>
      </c>
      <c r="E1270">
        <f>Model!M378</f>
        <v>0</v>
      </c>
      <c r="F1270">
        <f>Model!N378</f>
        <v>0</v>
      </c>
      <c r="G1270">
        <f>Model!O378</f>
        <v>0</v>
      </c>
      <c r="H1270">
        <f>Model!P378</f>
        <v>0</v>
      </c>
      <c r="I1270">
        <f>Model!Q378</f>
        <v>0</v>
      </c>
      <c r="J1270">
        <f>Model!R378</f>
        <v>0</v>
      </c>
      <c r="K1270">
        <f>Model!S378</f>
        <v>0</v>
      </c>
      <c r="L1270">
        <f>Model!T378</f>
        <v>0</v>
      </c>
      <c r="M1270">
        <f>Model!U378</f>
        <v>0</v>
      </c>
      <c r="N1270">
        <f>Model!V378</f>
        <v>0</v>
      </c>
      <c r="O1270">
        <f>Model!W378</f>
        <v>0</v>
      </c>
      <c r="P1270">
        <f>Model!X378</f>
        <v>0</v>
      </c>
      <c r="Q1270">
        <f>Model!Y378</f>
        <v>0</v>
      </c>
      <c r="R1270">
        <f>Model!Z378</f>
        <v>0</v>
      </c>
      <c r="S1270">
        <f>Model!AA378</f>
        <v>0</v>
      </c>
      <c r="T1270">
        <f>Model!AB378</f>
        <v>0</v>
      </c>
      <c r="U1270">
        <f>Model!AC378</f>
        <v>0</v>
      </c>
      <c r="V1270">
        <f>Model!AD378</f>
        <v>0</v>
      </c>
      <c r="W1270">
        <f>Model!AE378</f>
        <v>0</v>
      </c>
      <c r="X1270">
        <f>Model!AF378</f>
        <v>0</v>
      </c>
      <c r="Y1270">
        <f>Model!AG378</f>
        <v>0</v>
      </c>
      <c r="Z1270">
        <f>Model!AH378</f>
        <v>0</v>
      </c>
      <c r="AA1270">
        <f>Model!AI378</f>
        <v>0</v>
      </c>
      <c r="AB1270">
        <f>Model!AJ378</f>
        <v>0</v>
      </c>
      <c r="AC1270">
        <f>Model!AK378</f>
        <v>0</v>
      </c>
      <c r="AD1270">
        <f>Model!AL378</f>
        <v>0</v>
      </c>
      <c r="AE1270">
        <f>Model!AM378</f>
        <v>0</v>
      </c>
      <c r="AF1270">
        <f>Model!AN378</f>
        <v>0</v>
      </c>
      <c r="AG1270">
        <f>Model!AO378</f>
        <v>0</v>
      </c>
      <c r="AH1270">
        <f>Model!AP378</f>
        <v>0</v>
      </c>
      <c r="AI1270">
        <f>Model!AQ378</f>
        <v>0</v>
      </c>
      <c r="AJ1270">
        <f>Model!AR378</f>
        <v>0</v>
      </c>
      <c r="AK1270">
        <f>Model!AS378</f>
        <v>0</v>
      </c>
      <c r="AL1270">
        <f>Model!AT378</f>
        <v>0</v>
      </c>
      <c r="AM1270">
        <f>Model!AU378</f>
        <v>0</v>
      </c>
      <c r="AN1270">
        <f>Model!AV378</f>
        <v>0</v>
      </c>
      <c r="AO1270">
        <f>Model!AW378</f>
        <v>0</v>
      </c>
      <c r="AP1270">
        <f>Model!AX378</f>
        <v>0</v>
      </c>
      <c r="AQ1270">
        <f>Model!AY378</f>
        <v>0</v>
      </c>
      <c r="AR1270">
        <f>Model!AZ378</f>
        <v>0</v>
      </c>
      <c r="AS1270">
        <f>Model!BA378</f>
        <v>0</v>
      </c>
      <c r="AT1270">
        <f>Model!BB378</f>
        <v>0</v>
      </c>
      <c r="AU1270">
        <f>Model!BC378</f>
        <v>0</v>
      </c>
      <c r="AV1270">
        <f>Model!BD378</f>
        <v>0</v>
      </c>
      <c r="AW1270">
        <f>Model!BE378</f>
        <v>0</v>
      </c>
      <c r="AX1270">
        <f>Model!BF378</f>
        <v>0</v>
      </c>
      <c r="AY1270">
        <f>Model!BG378</f>
        <v>0</v>
      </c>
      <c r="AZ1270">
        <f>Model!BH378</f>
        <v>0</v>
      </c>
      <c r="BA1270">
        <f>Model!BI378</f>
        <v>0</v>
      </c>
      <c r="BB1270">
        <f>Model!BJ378</f>
        <v>0</v>
      </c>
      <c r="BC1270">
        <f>Model!BK378</f>
        <v>0</v>
      </c>
      <c r="BD1270">
        <f>Model!BL378</f>
        <v>0</v>
      </c>
      <c r="BE1270">
        <f>Model!BM378</f>
        <v>0</v>
      </c>
      <c r="BF1270">
        <f>Model!BN378</f>
        <v>0</v>
      </c>
      <c r="BG1270">
        <f>Model!BO378</f>
        <v>0</v>
      </c>
      <c r="BH1270">
        <f>Model!BP378</f>
        <v>0</v>
      </c>
      <c r="BI1270">
        <f>Model!BQ378</f>
        <v>0</v>
      </c>
      <c r="BJ1270">
        <f>Model!BR378</f>
        <v>0</v>
      </c>
      <c r="BK1270">
        <f>Model!BS378</f>
        <v>0</v>
      </c>
      <c r="BL1270">
        <f>Model!BT378</f>
        <v>0</v>
      </c>
      <c r="BM1270">
        <f>Model!BU378</f>
        <v>0</v>
      </c>
      <c r="BN1270">
        <f>Model!BV378</f>
        <v>0</v>
      </c>
      <c r="BO1270">
        <f>Model!BW378</f>
        <v>0</v>
      </c>
      <c r="BP1270">
        <f>Model!BX378</f>
        <v>0</v>
      </c>
      <c r="BQ1270">
        <f>Model!BY378</f>
        <v>0</v>
      </c>
      <c r="BR1270">
        <f>Model!BZ378</f>
        <v>0</v>
      </c>
      <c r="BS1270">
        <f>Model!CA378</f>
        <v>0</v>
      </c>
      <c r="BT1270">
        <f>Model!CB378</f>
        <v>0</v>
      </c>
      <c r="BU1270">
        <f>Model!CC378</f>
        <v>0</v>
      </c>
      <c r="BV1270">
        <f>Model!CD378</f>
        <v>0</v>
      </c>
      <c r="BW1270">
        <f>Model!CE378</f>
        <v>0</v>
      </c>
      <c r="BX1270">
        <f>Model!CF378</f>
        <v>0</v>
      </c>
      <c r="BY1270">
        <f>Model!CG378</f>
        <v>0</v>
      </c>
      <c r="BZ1270">
        <f>Model!CH378</f>
        <v>0</v>
      </c>
      <c r="CA1270">
        <f>Model!CI378</f>
        <v>0</v>
      </c>
      <c r="CB1270">
        <f>Model!CJ378</f>
        <v>0</v>
      </c>
      <c r="CC1270">
        <f>Model!CK378</f>
        <v>0</v>
      </c>
      <c r="CD1270">
        <f>Model!CL378</f>
        <v>0</v>
      </c>
      <c r="CE1270">
        <f>Model!CM378</f>
        <v>0</v>
      </c>
      <c r="CF1270">
        <f>Model!CN378</f>
        <v>0</v>
      </c>
      <c r="CG1270">
        <f>Model!CO378</f>
        <v>0</v>
      </c>
      <c r="CH1270">
        <f>Model!CP378</f>
        <v>0</v>
      </c>
      <c r="CI1270">
        <f>Model!CQ378</f>
        <v>0</v>
      </c>
      <c r="CJ1270">
        <f>Model!CR378</f>
        <v>0</v>
      </c>
      <c r="CK1270">
        <f>Model!CS378</f>
        <v>0</v>
      </c>
      <c r="CL1270">
        <f>Model!CT378</f>
        <v>0</v>
      </c>
      <c r="CM1270">
        <f>Model!CU378</f>
        <v>0</v>
      </c>
      <c r="CN1270">
        <f>Model!CV378</f>
        <v>0</v>
      </c>
      <c r="CO1270">
        <f>Model!CW378</f>
        <v>0</v>
      </c>
      <c r="CP1270">
        <f>Model!CX378</f>
        <v>0</v>
      </c>
      <c r="CQ1270">
        <f>Model!CY378</f>
        <v>0</v>
      </c>
      <c r="CR1270">
        <f>Model!CZ378</f>
        <v>0</v>
      </c>
      <c r="CS1270">
        <f>Model!DA378</f>
        <v>0</v>
      </c>
      <c r="CT1270">
        <f>Model!DB378</f>
        <v>0</v>
      </c>
      <c r="CU1270">
        <f>Model!DC378</f>
        <v>0</v>
      </c>
      <c r="CV1270">
        <f>Model!DD378</f>
        <v>0</v>
      </c>
      <c r="CW1270">
        <f>Model!DE378</f>
        <v>0</v>
      </c>
      <c r="CX1270">
        <f>Model!DF378</f>
        <v>0</v>
      </c>
    </row>
    <row r="1271" spans="1:102">
      <c r="A1271" t="str">
        <f>Model!I379</f>
        <v>Incremental Online ad dollar per booking</v>
      </c>
      <c r="B1271">
        <f>Model!J379</f>
        <v>0</v>
      </c>
      <c r="C1271">
        <f>Model!K379</f>
        <v>0</v>
      </c>
      <c r="D1271">
        <f>Model!L379</f>
        <v>0</v>
      </c>
      <c r="E1271">
        <f>Model!M379</f>
        <v>0</v>
      </c>
      <c r="F1271">
        <f>Model!N379</f>
        <v>0</v>
      </c>
      <c r="G1271">
        <f>Model!O379</f>
        <v>0</v>
      </c>
      <c r="H1271">
        <f>Model!P379</f>
        <v>0</v>
      </c>
      <c r="I1271">
        <f>Model!Q379</f>
        <v>0</v>
      </c>
      <c r="J1271">
        <f>Model!R379</f>
        <v>0</v>
      </c>
      <c r="K1271">
        <f>Model!S379</f>
        <v>0</v>
      </c>
      <c r="L1271">
        <f>Model!T379</f>
        <v>0</v>
      </c>
      <c r="M1271">
        <f>Model!U379</f>
        <v>0</v>
      </c>
      <c r="N1271">
        <f>Model!V379</f>
        <v>0</v>
      </c>
      <c r="O1271">
        <f>Model!W379</f>
        <v>0</v>
      </c>
      <c r="P1271">
        <f>Model!X379</f>
        <v>0</v>
      </c>
      <c r="Q1271">
        <f>Model!Y379</f>
        <v>0</v>
      </c>
      <c r="R1271">
        <f>Model!Z379</f>
        <v>0</v>
      </c>
      <c r="S1271">
        <f>Model!AA379</f>
        <v>0</v>
      </c>
      <c r="T1271">
        <f>Model!AB379</f>
        <v>0</v>
      </c>
      <c r="U1271">
        <f>Model!AC379</f>
        <v>0</v>
      </c>
      <c r="V1271">
        <f>Model!AD379</f>
        <v>0</v>
      </c>
      <c r="W1271">
        <f>Model!AE379</f>
        <v>0</v>
      </c>
      <c r="X1271">
        <f>Model!AF379</f>
        <v>0</v>
      </c>
      <c r="Y1271">
        <f>Model!AG379</f>
        <v>1.5973037715864981E-2</v>
      </c>
      <c r="Z1271">
        <f>Model!AH379</f>
        <v>1.9720709548714077E-2</v>
      </c>
      <c r="AA1271">
        <f>Model!AI379</f>
        <v>1.6270505598072568E-2</v>
      </c>
      <c r="AB1271">
        <f>Model!AJ379</f>
        <v>1.3974757883110412E-2</v>
      </c>
      <c r="AC1271">
        <f>Model!AK379</f>
        <v>3.9996821234155822E-2</v>
      </c>
      <c r="AD1271">
        <f>Model!AL379</f>
        <v>4.2193255971986025E-2</v>
      </c>
      <c r="AE1271">
        <f>Model!AM379</f>
        <v>3.9555705978277581E-2</v>
      </c>
      <c r="AF1271">
        <f>Model!AN379</f>
        <v>3.5699395793234695E-2</v>
      </c>
      <c r="AG1271">
        <f>Model!AO379</f>
        <v>3.4038001844443187E-2</v>
      </c>
      <c r="AH1271">
        <f>Model!AP379</f>
        <v>3.3586498661796867E-2</v>
      </c>
      <c r="AI1271">
        <f>Model!AQ379</f>
        <v>4.6149718678760228E-2</v>
      </c>
      <c r="AJ1271">
        <f>Model!AR379</f>
        <v>4.4698348695708962E-2</v>
      </c>
      <c r="AK1271">
        <f>Model!AS379</f>
        <v>5.5776009341954501E-2</v>
      </c>
      <c r="AL1271">
        <f>Model!AT379</f>
        <v>6.4064513972207943E-2</v>
      </c>
      <c r="AM1271">
        <f>Model!AU379</f>
        <v>4.5822619527407765E-2</v>
      </c>
      <c r="AN1271">
        <f>Model!AV379</f>
        <v>4.6331035909010228E-2</v>
      </c>
      <c r="AO1271">
        <f>Model!AW379</f>
        <v>4.4061811105746557E-2</v>
      </c>
      <c r="AP1271">
        <f>Model!AX379</f>
        <v>4.1135710696972444E-2</v>
      </c>
      <c r="AQ1271">
        <f>Model!AY379</f>
        <v>4.4908093650489346E-2</v>
      </c>
      <c r="AR1271">
        <f>Model!AZ379</f>
        <v>4.170922676218785E-2</v>
      </c>
      <c r="AS1271">
        <f>Model!BA379</f>
        <v>4.2344755793813471E-2</v>
      </c>
      <c r="AT1271">
        <f>Model!BB379</f>
        <v>4.3785603969921774E-2</v>
      </c>
      <c r="AU1271">
        <f>Model!BC379</f>
        <v>4.7622834295868499E-2</v>
      </c>
      <c r="AV1271">
        <f>Model!BD379</f>
        <v>4.9740390301596681E-2</v>
      </c>
      <c r="AW1271">
        <f>Model!BE379</f>
        <v>4.4979472140762471E-2</v>
      </c>
      <c r="AX1271">
        <f>Model!BF379</f>
        <v>5.0482892188508717E-2</v>
      </c>
      <c r="AY1271">
        <f>Model!BG379</f>
        <v>6.0493968253968265E-2</v>
      </c>
      <c r="AZ1271">
        <f>Model!BH379</f>
        <v>5.4619164619164627E-2</v>
      </c>
      <c r="BA1271">
        <f>Model!BI379</f>
        <v>5.1604013104013101E-2</v>
      </c>
      <c r="BB1271">
        <f>Model!BJ379</f>
        <v>5.3319583931133417E-2</v>
      </c>
      <c r="BC1271">
        <f>Model!BK379</f>
        <v>5.3856120013637904E-2</v>
      </c>
      <c r="BD1271">
        <f>Model!BL379</f>
        <v>3.6169146436961619E-2</v>
      </c>
      <c r="BE1271">
        <f>Model!BM379</f>
        <v>3.7638311480652359E-2</v>
      </c>
      <c r="BF1271">
        <f>Model!BN379</f>
        <v>5.1598947676118091E-2</v>
      </c>
      <c r="BG1271">
        <f>Model!BO379</f>
        <v>5.4496402877697837E-2</v>
      </c>
      <c r="BH1271">
        <f>Model!BP379</f>
        <v>6.6213675213675216E-2</v>
      </c>
      <c r="BI1271">
        <f>Model!BQ379</f>
        <v>7.5381939799331124E-2</v>
      </c>
      <c r="BJ1271">
        <f>Model!BR379</f>
        <v>8.3709563994374181E-2</v>
      </c>
      <c r="BK1271">
        <f>Model!BS379</f>
        <v>8.8916230366492224E-2</v>
      </c>
      <c r="BL1271">
        <f>Model!BT379</f>
        <v>4.5244100294985247E-2</v>
      </c>
      <c r="BM1271">
        <f>Model!BU379</f>
        <v>5.0856497567755392E-2</v>
      </c>
      <c r="BN1271">
        <f>Model!BV379</f>
        <v>5.5848725017229491E-2</v>
      </c>
      <c r="BO1271">
        <f>Model!BW379</f>
        <v>6.9369907658881E-2</v>
      </c>
      <c r="BP1271">
        <f>Model!BX379</f>
        <v>5.7220213109460773E-2</v>
      </c>
      <c r="BQ1271">
        <f>Model!BY379</f>
        <v>4.9792761527020335E-2</v>
      </c>
      <c r="BR1271">
        <f>Model!BZ379</f>
        <v>7.7283134582623481E-2</v>
      </c>
      <c r="BS1271">
        <f>Model!CA379</f>
        <v>5.5783161720169637E-2</v>
      </c>
      <c r="BT1271">
        <f>Model!CB379</f>
        <v>1.7642259414225925E-2</v>
      </c>
      <c r="BU1271">
        <f>Model!CC379</f>
        <v>2.6396117445920013E-2</v>
      </c>
      <c r="BV1271">
        <f>Model!CD379</f>
        <v>3.8714959000805842E-2</v>
      </c>
      <c r="BW1271">
        <f>Model!CE379</f>
        <v>4.1368596976621409E-2</v>
      </c>
      <c r="BX1271">
        <f>Model!CF379</f>
        <v>4.0502557808621553E-2</v>
      </c>
      <c r="BY1271">
        <f>Model!CG379</f>
        <v>0</v>
      </c>
      <c r="BZ1271">
        <f>Model!CH379</f>
        <v>0</v>
      </c>
      <c r="CA1271">
        <f>Model!CI379</f>
        <v>0</v>
      </c>
      <c r="CB1271">
        <f>Model!CJ379</f>
        <v>0</v>
      </c>
      <c r="CC1271">
        <f>Model!CK379</f>
        <v>0</v>
      </c>
      <c r="CD1271">
        <f>Model!CL379</f>
        <v>0</v>
      </c>
      <c r="CE1271">
        <f>Model!CM379</f>
        <v>0</v>
      </c>
      <c r="CF1271">
        <f>Model!CN379</f>
        <v>0</v>
      </c>
      <c r="CG1271">
        <f>Model!CO379</f>
        <v>1.3248033781087515E-2</v>
      </c>
      <c r="CH1271">
        <f>Model!CP379</f>
        <v>4.9566348769205397E-2</v>
      </c>
      <c r="CI1271">
        <f>Model!CQ379</f>
        <v>4.3073582739846052E-2</v>
      </c>
      <c r="CJ1271">
        <f>Model!CR379</f>
        <v>4.5814687114841553E-2</v>
      </c>
      <c r="CK1271">
        <f>Model!CS379</f>
        <v>5.2136510738452484E-2</v>
      </c>
      <c r="CL1271">
        <f>Model!CT379</f>
        <v>4.8988336288140338E-2</v>
      </c>
      <c r="CM1271">
        <f>Model!CU379</f>
        <v>5.0469668374224862E-2</v>
      </c>
      <c r="CN1271">
        <f>Model!CV379</f>
        <v>7.2302410099464393E-2</v>
      </c>
      <c r="CO1271">
        <f>Model!CW379</f>
        <v>5.9007006927303124E-2</v>
      </c>
      <c r="CP1271">
        <f>Model!CX379</f>
        <v>5.0421188827155856E-2</v>
      </c>
      <c r="CQ1271">
        <f>Model!CY379</f>
        <v>3.637705349994403E-2</v>
      </c>
      <c r="CR1271">
        <f>Model!CZ379</f>
        <v>4.6255293956714502E-2</v>
      </c>
      <c r="CS1271">
        <f>Model!DA379</f>
        <v>4.8024285103954137E-2</v>
      </c>
      <c r="CT1271">
        <f>Model!DB379</f>
        <v>4.8171424111316065E-2</v>
      </c>
      <c r="CU1271">
        <f>Model!DC379</f>
        <v>4.825404863330629E-2</v>
      </c>
      <c r="CV1271">
        <f>Model!DD379</f>
        <v>4.833201281208694E-2</v>
      </c>
      <c r="CW1271">
        <f>Model!DE379</f>
        <v>4.8430717342638312E-2</v>
      </c>
      <c r="CX1271">
        <f>Model!DF379</f>
        <v>4.8391967990466245E-2</v>
      </c>
    </row>
    <row r="1272" spans="1:102">
      <c r="A1272" t="str">
        <f>Model!I380</f>
        <v>change Y/Y (in bp)</v>
      </c>
      <c r="B1272">
        <f>Model!J380</f>
        <v>0</v>
      </c>
      <c r="C1272">
        <f>Model!K380</f>
        <v>0</v>
      </c>
      <c r="D1272">
        <f>Model!L380</f>
        <v>0</v>
      </c>
      <c r="E1272">
        <f>Model!M380</f>
        <v>0</v>
      </c>
      <c r="F1272">
        <f>Model!N380</f>
        <v>0</v>
      </c>
      <c r="G1272">
        <f>Model!O380</f>
        <v>0</v>
      </c>
      <c r="H1272">
        <f>Model!P380</f>
        <v>0</v>
      </c>
      <c r="I1272">
        <f>Model!Q380</f>
        <v>0</v>
      </c>
      <c r="J1272">
        <f>Model!R380</f>
        <v>0</v>
      </c>
      <c r="K1272">
        <f>Model!S380</f>
        <v>0</v>
      </c>
      <c r="L1272">
        <f>Model!T380</f>
        <v>0</v>
      </c>
      <c r="M1272">
        <f>Model!U380</f>
        <v>0</v>
      </c>
      <c r="N1272">
        <f>Model!V380</f>
        <v>0</v>
      </c>
      <c r="O1272">
        <f>Model!W380</f>
        <v>0</v>
      </c>
      <c r="P1272">
        <f>Model!X380</f>
        <v>0</v>
      </c>
      <c r="Q1272">
        <f>Model!Y380</f>
        <v>0</v>
      </c>
      <c r="R1272">
        <f>Model!Z380</f>
        <v>0</v>
      </c>
      <c r="S1272">
        <f>Model!AA380</f>
        <v>0</v>
      </c>
      <c r="T1272">
        <f>Model!AB380</f>
        <v>0</v>
      </c>
      <c r="U1272">
        <f>Model!AC380</f>
        <v>0</v>
      </c>
      <c r="V1272">
        <f>Model!AD380</f>
        <v>0</v>
      </c>
      <c r="W1272">
        <f>Model!AE380</f>
        <v>0</v>
      </c>
      <c r="X1272">
        <f>Model!AF380</f>
        <v>0</v>
      </c>
      <c r="Y1272">
        <f>Model!AG380</f>
        <v>0</v>
      </c>
      <c r="Z1272">
        <f>Model!AH380</f>
        <v>0</v>
      </c>
      <c r="AA1272">
        <f>Model!AI380</f>
        <v>0</v>
      </c>
      <c r="AB1272">
        <f>Model!AJ380</f>
        <v>0</v>
      </c>
      <c r="AC1272">
        <f>Model!AK380</f>
        <v>240.23783518290841</v>
      </c>
      <c r="AD1272">
        <f>Model!AL380</f>
        <v>224.72546423271947</v>
      </c>
      <c r="AE1272">
        <f>Model!AM380</f>
        <v>232.85200380205012</v>
      </c>
      <c r="AF1272">
        <f>Model!AN380</f>
        <v>217.24637910124284</v>
      </c>
      <c r="AG1272">
        <f>Model!AO380</f>
        <v>-59.588193897126345</v>
      </c>
      <c r="AH1272">
        <f>Model!AP380</f>
        <v>-86.067573101891583</v>
      </c>
      <c r="AI1272">
        <f>Model!AQ380</f>
        <v>65.940127004826479</v>
      </c>
      <c r="AJ1272">
        <f>Model!AR380</f>
        <v>89.989529024742666</v>
      </c>
      <c r="AK1272">
        <f>Model!AS380</f>
        <v>217.38007497511313</v>
      </c>
      <c r="AL1272">
        <f>Model!AT380</f>
        <v>304.78015310411075</v>
      </c>
      <c r="AM1272">
        <f>Model!AU380</f>
        <v>-3.2709915135246264</v>
      </c>
      <c r="AN1272">
        <f>Model!AV380</f>
        <v>16.326872133012664</v>
      </c>
      <c r="AO1272">
        <f>Model!AW380</f>
        <v>-117.14198236207945</v>
      </c>
      <c r="AP1272">
        <f>Model!AX380</f>
        <v>-229.28803275235498</v>
      </c>
      <c r="AQ1272">
        <f>Model!AY380</f>
        <v>-9.145258769184192</v>
      </c>
      <c r="AR1272">
        <f>Model!AZ380</f>
        <v>-46.218091468223783</v>
      </c>
      <c r="AS1272">
        <f>Model!BA380</f>
        <v>-17.170553119330854</v>
      </c>
      <c r="AT1272">
        <f>Model!BB380</f>
        <v>26.498932729493301</v>
      </c>
      <c r="AU1272">
        <f>Model!BC380</f>
        <v>27.147406453791532</v>
      </c>
      <c r="AV1272">
        <f>Model!BD380</f>
        <v>80.311635394088313</v>
      </c>
      <c r="AW1272">
        <f>Model!BE380</f>
        <v>26.347163469489995</v>
      </c>
      <c r="AX1272">
        <f>Model!BF380</f>
        <v>66.972882185869423</v>
      </c>
      <c r="AY1272">
        <f>Model!BG380</f>
        <v>128.71133958099767</v>
      </c>
      <c r="AZ1272">
        <f>Model!BH380</f>
        <v>48.787743175679466</v>
      </c>
      <c r="BA1272">
        <f>Model!BI380</f>
        <v>66.245409632506309</v>
      </c>
      <c r="BB1272">
        <f>Model!BJ380</f>
        <v>28.366917426247003</v>
      </c>
      <c r="BC1272">
        <f>Model!BK380</f>
        <v>-66.378482403303622</v>
      </c>
      <c r="BD1272">
        <f>Model!BL380</f>
        <v>-184.50018182203007</v>
      </c>
      <c r="BE1272">
        <f>Model!BM380</f>
        <v>-139.65701623360741</v>
      </c>
      <c r="BF1272">
        <f>Model!BN380</f>
        <v>-17.206362550153258</v>
      </c>
      <c r="BG1272">
        <f>Model!BO380</f>
        <v>6.4028286405993367</v>
      </c>
      <c r="BH1272">
        <f>Model!BP380</f>
        <v>300.44528776713599</v>
      </c>
      <c r="BI1272">
        <f>Model!BQ380</f>
        <v>377.43628318678765</v>
      </c>
      <c r="BJ1272">
        <f>Model!BR380</f>
        <v>321.10616318256092</v>
      </c>
      <c r="BK1272">
        <f>Model!BS380</f>
        <v>344.19827488794385</v>
      </c>
      <c r="BL1272">
        <f>Model!BT380</f>
        <v>-209.69574918689969</v>
      </c>
      <c r="BM1272">
        <f>Model!BU380</f>
        <v>-245.25442231575732</v>
      </c>
      <c r="BN1272">
        <f>Model!BV380</f>
        <v>-278.60838977144692</v>
      </c>
      <c r="BO1272">
        <f>Model!BW380</f>
        <v>-195.46322707611225</v>
      </c>
      <c r="BP1272">
        <f>Model!BX380</f>
        <v>119.76112814475526</v>
      </c>
      <c r="BQ1272">
        <f>Model!BY380</f>
        <v>-10.637360407350569</v>
      </c>
      <c r="BR1272">
        <f>Model!BZ380</f>
        <v>214.34409565393989</v>
      </c>
      <c r="BS1272">
        <f>Model!CA380</f>
        <v>-135.86745938711363</v>
      </c>
      <c r="BT1272">
        <f>Model!CB380</f>
        <v>-395.77953695234845</v>
      </c>
      <c r="BU1272">
        <f>Model!CC380</f>
        <v>-233.96644081100322</v>
      </c>
      <c r="BV1272">
        <f>Model!CD380</f>
        <v>-385.68175581817638</v>
      </c>
      <c r="BW1272">
        <f>Model!CE380</f>
        <v>-144.14564743548229</v>
      </c>
      <c r="BX1272">
        <f>Model!CF380</f>
        <v>228.60298394395627</v>
      </c>
      <c r="BY1272">
        <f>Model!CG380</f>
        <v>0</v>
      </c>
      <c r="BZ1272">
        <f>Model!CH380</f>
        <v>0</v>
      </c>
      <c r="CA1272">
        <f>Model!CI380</f>
        <v>0</v>
      </c>
      <c r="CB1272">
        <f>Model!CJ380</f>
        <v>0</v>
      </c>
      <c r="CC1272">
        <f>Model!CK380</f>
        <v>0</v>
      </c>
      <c r="CD1272">
        <f>Model!CL380</f>
        <v>0</v>
      </c>
      <c r="CE1272">
        <f>Model!CM380</f>
        <v>0</v>
      </c>
      <c r="CF1272">
        <f>Model!CN380</f>
        <v>0</v>
      </c>
      <c r="CG1272">
        <f>Model!CO380</f>
        <v>0</v>
      </c>
      <c r="CH1272">
        <f>Model!CP380</f>
        <v>363.18314988117885</v>
      </c>
      <c r="CI1272">
        <f>Model!CQ380</f>
        <v>-64.927660293593448</v>
      </c>
      <c r="CJ1272">
        <f>Model!CR380</f>
        <v>27.411043749955009</v>
      </c>
      <c r="CK1272">
        <f>Model!CS380</f>
        <v>63.218236236109313</v>
      </c>
      <c r="CL1272">
        <f>Model!CT380</f>
        <v>-31.481744503121455</v>
      </c>
      <c r="CM1272">
        <f>Model!CU380</f>
        <v>14.813320860845232</v>
      </c>
      <c r="CN1272">
        <f>Model!CV380</f>
        <v>218.32741725239532</v>
      </c>
      <c r="CO1272">
        <f>Model!CW380</f>
        <v>-132.95403172161269</v>
      </c>
      <c r="CP1272">
        <f>Model!CX380</f>
        <v>-85.858181001472673</v>
      </c>
      <c r="CQ1272">
        <f>Model!CY380</f>
        <v>-140.44135327211825</v>
      </c>
      <c r="CR1272">
        <f>Model!CZ380</f>
        <v>98.782404567704717</v>
      </c>
      <c r="CS1272">
        <f>Model!DA380</f>
        <v>17.689911472396346</v>
      </c>
      <c r="CT1272">
        <f>Model!DB380</f>
        <v>1.4713900736192804</v>
      </c>
      <c r="CU1272">
        <f>Model!DC380</f>
        <v>0.82624521990225241</v>
      </c>
      <c r="CV1272">
        <f>Model!DD380</f>
        <v>0.77964178780649818</v>
      </c>
      <c r="CW1272">
        <f>Model!DE380</f>
        <v>0.98704530551371739</v>
      </c>
      <c r="CX1272">
        <f>Model!DF380</f>
        <v>-0.38749352172066931</v>
      </c>
    </row>
    <row r="1273" spans="1:102">
      <c r="A1273" t="str">
        <f>Model!I381</f>
        <v>Seq. change (in bp)</v>
      </c>
      <c r="B1273">
        <f>Model!J381</f>
        <v>0</v>
      </c>
      <c r="C1273">
        <f>Model!K381</f>
        <v>0</v>
      </c>
      <c r="D1273">
        <f>Model!L381</f>
        <v>0</v>
      </c>
      <c r="E1273">
        <f>Model!M381</f>
        <v>0</v>
      </c>
      <c r="F1273">
        <f>Model!N381</f>
        <v>0</v>
      </c>
      <c r="G1273">
        <f>Model!O381</f>
        <v>0</v>
      </c>
      <c r="H1273">
        <f>Model!P381</f>
        <v>0</v>
      </c>
      <c r="I1273">
        <f>Model!Q381</f>
        <v>0</v>
      </c>
      <c r="J1273">
        <f>Model!R381</f>
        <v>0</v>
      </c>
      <c r="K1273">
        <f>Model!S381</f>
        <v>0</v>
      </c>
      <c r="L1273">
        <f>Model!T381</f>
        <v>0</v>
      </c>
      <c r="M1273">
        <f>Model!U381</f>
        <v>0</v>
      </c>
      <c r="N1273">
        <f>Model!V381</f>
        <v>0</v>
      </c>
      <c r="O1273">
        <f>Model!W381</f>
        <v>0</v>
      </c>
      <c r="P1273">
        <f>Model!X381</f>
        <v>0</v>
      </c>
      <c r="Q1273">
        <f>Model!Y381</f>
        <v>0</v>
      </c>
      <c r="R1273">
        <f>Model!Z381</f>
        <v>0</v>
      </c>
      <c r="S1273">
        <f>Model!AA381</f>
        <v>0</v>
      </c>
      <c r="T1273">
        <f>Model!AB381</f>
        <v>0</v>
      </c>
      <c r="U1273">
        <f>Model!AC381</f>
        <v>0</v>
      </c>
      <c r="V1273">
        <f>Model!AD381</f>
        <v>0</v>
      </c>
      <c r="W1273">
        <f>Model!AE381</f>
        <v>0</v>
      </c>
      <c r="X1273">
        <f>Model!AF381</f>
        <v>0</v>
      </c>
      <c r="Y1273">
        <f>Model!AG381</f>
        <v>0</v>
      </c>
      <c r="Z1273">
        <f>Model!AH381</f>
        <v>37.476718328490961</v>
      </c>
      <c r="AA1273">
        <f>Model!AI381</f>
        <v>-34.502039506415088</v>
      </c>
      <c r="AB1273">
        <f>Model!AJ381</f>
        <v>-22.95747714962156</v>
      </c>
      <c r="AC1273">
        <f>Model!AK381</f>
        <v>260.22063351045409</v>
      </c>
      <c r="AD1273">
        <f>Model!AL381</f>
        <v>21.964347378302037</v>
      </c>
      <c r="AE1273">
        <f>Model!AM381</f>
        <v>-26.375499937084449</v>
      </c>
      <c r="AF1273">
        <f>Model!AN381</f>
        <v>-38.563101850428858</v>
      </c>
      <c r="AG1273">
        <f>Model!AO381</f>
        <v>-16.613939487915079</v>
      </c>
      <c r="AH1273">
        <f>Model!AP381</f>
        <v>-4.5150318264632059</v>
      </c>
      <c r="AI1273">
        <f>Model!AQ381</f>
        <v>125.63220016963361</v>
      </c>
      <c r="AJ1273">
        <f>Model!AR381</f>
        <v>-14.513699830512664</v>
      </c>
      <c r="AK1273">
        <f>Model!AS381</f>
        <v>110.77660646245539</v>
      </c>
      <c r="AL1273">
        <f>Model!AT381</f>
        <v>82.88504630253442</v>
      </c>
      <c r="AM1273">
        <f>Model!AU381</f>
        <v>-182.41894444800178</v>
      </c>
      <c r="AN1273">
        <f>Model!AV381</f>
        <v>5.0841638160246259</v>
      </c>
      <c r="AO1273">
        <f>Model!AW381</f>
        <v>-22.692248032636712</v>
      </c>
      <c r="AP1273">
        <f>Model!AX381</f>
        <v>-29.261004087741128</v>
      </c>
      <c r="AQ1273">
        <f>Model!AY381</f>
        <v>37.723829535169024</v>
      </c>
      <c r="AR1273">
        <f>Model!AZ381</f>
        <v>-31.988668883014963</v>
      </c>
      <c r="AS1273">
        <f>Model!BA381</f>
        <v>6.3552903162562151</v>
      </c>
      <c r="AT1273">
        <f>Model!BB381</f>
        <v>14.408481761083031</v>
      </c>
      <c r="AU1273">
        <f>Model!BC381</f>
        <v>38.372303259467252</v>
      </c>
      <c r="AV1273">
        <f>Model!BD381</f>
        <v>21.175560057281814</v>
      </c>
      <c r="AW1273">
        <f>Model!BE381</f>
        <v>-47.609181608342098</v>
      </c>
      <c r="AX1273">
        <f>Model!BF381</f>
        <v>55.034200477462463</v>
      </c>
      <c r="AY1273">
        <f>Model!BG381</f>
        <v>100.11076065459548</v>
      </c>
      <c r="AZ1273">
        <f>Model!BH381</f>
        <v>-58.748036348036379</v>
      </c>
      <c r="BA1273">
        <f>Model!BI381</f>
        <v>-30.151515151515262</v>
      </c>
      <c r="BB1273">
        <f>Model!BJ381</f>
        <v>17.155708271203164</v>
      </c>
      <c r="BC1273">
        <f>Model!BK381</f>
        <v>5.3653608250448652</v>
      </c>
      <c r="BD1273">
        <f>Model!BL381</f>
        <v>-176.86973576676286</v>
      </c>
      <c r="BE1273">
        <f>Model!BM381</f>
        <v>14.6916504369074</v>
      </c>
      <c r="BF1273">
        <f>Model!BN381</f>
        <v>139.60636195465733</v>
      </c>
      <c r="BG1273">
        <f>Model!BO381</f>
        <v>28.97455201579746</v>
      </c>
      <c r="BH1273">
        <f>Model!BP381</f>
        <v>117.17272335977378</v>
      </c>
      <c r="BI1273">
        <f>Model!BQ381</f>
        <v>91.682645856559077</v>
      </c>
      <c r="BJ1273">
        <f>Model!BR381</f>
        <v>83.276241950430574</v>
      </c>
      <c r="BK1273">
        <f>Model!BS381</f>
        <v>52.066663721180433</v>
      </c>
      <c r="BL1273">
        <f>Model!BT381</f>
        <v>-436.72130071506979</v>
      </c>
      <c r="BM1273">
        <f>Model!BU381</f>
        <v>56.12397272770145</v>
      </c>
      <c r="BN1273">
        <f>Model!BV381</f>
        <v>49.922274494740989</v>
      </c>
      <c r="BO1273">
        <f>Model!BW381</f>
        <v>135.21182641651509</v>
      </c>
      <c r="BP1273">
        <f>Model!BX381</f>
        <v>-121.49694549420227</v>
      </c>
      <c r="BQ1273">
        <f>Model!BY381</f>
        <v>-74.274515824404375</v>
      </c>
      <c r="BR1273">
        <f>Model!BZ381</f>
        <v>274.90373055603146</v>
      </c>
      <c r="BS1273">
        <f>Model!CA381</f>
        <v>-214.99972862453845</v>
      </c>
      <c r="BT1273">
        <f>Model!CB381</f>
        <v>-381.40902305943712</v>
      </c>
      <c r="BU1273">
        <f>Model!CC381</f>
        <v>87.53858031694088</v>
      </c>
      <c r="BV1273">
        <f>Model!CD381</f>
        <v>123.18841554885829</v>
      </c>
      <c r="BW1273">
        <f>Model!CE381</f>
        <v>26.536379758155675</v>
      </c>
      <c r="BX1273">
        <f>Model!CF381</f>
        <v>-8.6603916799985612</v>
      </c>
      <c r="BY1273">
        <f>Model!CG381</f>
        <v>0</v>
      </c>
      <c r="BZ1273">
        <f>Model!CH381</f>
        <v>0</v>
      </c>
      <c r="CA1273">
        <f>Model!CI381</f>
        <v>0</v>
      </c>
      <c r="CB1273">
        <f>Model!CJ381</f>
        <v>0</v>
      </c>
      <c r="CC1273">
        <f>Model!CK381</f>
        <v>0</v>
      </c>
      <c r="CD1273">
        <f>Model!CL381</f>
        <v>0</v>
      </c>
      <c r="CE1273">
        <f>Model!CM381</f>
        <v>0</v>
      </c>
      <c r="CF1273">
        <f>Model!CN381</f>
        <v>0</v>
      </c>
      <c r="CG1273">
        <f>Model!CO381</f>
        <v>0</v>
      </c>
      <c r="CH1273">
        <f>Model!CP381</f>
        <v>0</v>
      </c>
      <c r="CI1273">
        <f>Model!CQ381</f>
        <v>0</v>
      </c>
      <c r="CJ1273">
        <f>Model!CR381</f>
        <v>0</v>
      </c>
      <c r="CK1273">
        <f>Model!CS381</f>
        <v>0</v>
      </c>
      <c r="CL1273">
        <f>Model!CT381</f>
        <v>0</v>
      </c>
      <c r="CM1273">
        <f>Model!CU381</f>
        <v>0</v>
      </c>
      <c r="CN1273">
        <f>Model!CV381</f>
        <v>0</v>
      </c>
      <c r="CO1273">
        <f>Model!CW381</f>
        <v>0</v>
      </c>
      <c r="CP1273">
        <f>Model!CX381</f>
        <v>0</v>
      </c>
      <c r="CQ1273">
        <f>Model!CY381</f>
        <v>0</v>
      </c>
      <c r="CR1273">
        <f>Model!CZ381</f>
        <v>0</v>
      </c>
      <c r="CS1273">
        <f>Model!DA381</f>
        <v>0</v>
      </c>
      <c r="CT1273">
        <f>Model!DB381</f>
        <v>0</v>
      </c>
      <c r="CU1273">
        <f>Model!DC381</f>
        <v>0</v>
      </c>
      <c r="CV1273">
        <f>Model!DD381</f>
        <v>0</v>
      </c>
      <c r="CW1273">
        <f>Model!DE381</f>
        <v>0</v>
      </c>
      <c r="CX1273">
        <f>Model!DF381</f>
        <v>0</v>
      </c>
    </row>
    <row r="1274" spans="1:102">
      <c r="A1274">
        <f>Model!I382</f>
        <v>0</v>
      </c>
      <c r="B1274">
        <f>Model!J382</f>
        <v>0</v>
      </c>
      <c r="C1274">
        <f>Model!K382</f>
        <v>0</v>
      </c>
      <c r="D1274">
        <f>Model!L382</f>
        <v>0</v>
      </c>
      <c r="E1274">
        <f>Model!M382</f>
        <v>0</v>
      </c>
      <c r="F1274">
        <f>Model!N382</f>
        <v>0</v>
      </c>
      <c r="G1274">
        <f>Model!O382</f>
        <v>0</v>
      </c>
      <c r="H1274">
        <f>Model!P382</f>
        <v>0</v>
      </c>
      <c r="I1274">
        <f>Model!Q382</f>
        <v>0</v>
      </c>
      <c r="J1274">
        <f>Model!R382</f>
        <v>0</v>
      </c>
      <c r="K1274">
        <f>Model!S382</f>
        <v>0</v>
      </c>
      <c r="L1274">
        <f>Model!T382</f>
        <v>0</v>
      </c>
      <c r="M1274">
        <f>Model!U382</f>
        <v>0</v>
      </c>
      <c r="N1274">
        <f>Model!V382</f>
        <v>0</v>
      </c>
      <c r="O1274">
        <f>Model!W382</f>
        <v>0</v>
      </c>
      <c r="P1274">
        <f>Model!X382</f>
        <v>0</v>
      </c>
      <c r="Q1274">
        <f>Model!Y382</f>
        <v>0</v>
      </c>
      <c r="R1274">
        <f>Model!Z382</f>
        <v>0</v>
      </c>
      <c r="S1274">
        <f>Model!AA382</f>
        <v>0</v>
      </c>
      <c r="T1274">
        <f>Model!AB382</f>
        <v>0</v>
      </c>
      <c r="U1274">
        <f>Model!AC382</f>
        <v>0</v>
      </c>
      <c r="V1274">
        <f>Model!AD382</f>
        <v>0</v>
      </c>
      <c r="W1274">
        <f>Model!AE382</f>
        <v>0</v>
      </c>
      <c r="X1274">
        <f>Model!AF382</f>
        <v>0</v>
      </c>
      <c r="Y1274">
        <f>Model!AG382</f>
        <v>0</v>
      </c>
      <c r="Z1274">
        <f>Model!AH382</f>
        <v>0</v>
      </c>
      <c r="AA1274">
        <f>Model!AI382</f>
        <v>0</v>
      </c>
      <c r="AB1274">
        <f>Model!AJ382</f>
        <v>0</v>
      </c>
      <c r="AC1274">
        <f>Model!AK382</f>
        <v>0</v>
      </c>
      <c r="AD1274">
        <f>Model!AL382</f>
        <v>0</v>
      </c>
      <c r="AE1274">
        <f>Model!AM382</f>
        <v>0</v>
      </c>
      <c r="AF1274">
        <f>Model!AN382</f>
        <v>0</v>
      </c>
      <c r="AG1274">
        <f>Model!AO382</f>
        <v>0</v>
      </c>
      <c r="AH1274">
        <f>Model!AP382</f>
        <v>0</v>
      </c>
      <c r="AI1274">
        <f>Model!AQ382</f>
        <v>0</v>
      </c>
      <c r="AJ1274">
        <f>Model!AR382</f>
        <v>0</v>
      </c>
      <c r="AK1274">
        <f>Model!AS382</f>
        <v>0</v>
      </c>
      <c r="AL1274">
        <f>Model!AT382</f>
        <v>0</v>
      </c>
      <c r="AM1274">
        <f>Model!AU382</f>
        <v>0</v>
      </c>
      <c r="AN1274">
        <f>Model!AV382</f>
        <v>0</v>
      </c>
      <c r="AO1274">
        <f>Model!AW382</f>
        <v>0</v>
      </c>
      <c r="AP1274">
        <f>Model!AX382</f>
        <v>0</v>
      </c>
      <c r="AQ1274">
        <f>Model!AY382</f>
        <v>0</v>
      </c>
      <c r="AR1274">
        <f>Model!AZ382</f>
        <v>0</v>
      </c>
      <c r="AS1274">
        <f>Model!BA382</f>
        <v>0</v>
      </c>
      <c r="AT1274">
        <f>Model!BB382</f>
        <v>0</v>
      </c>
      <c r="AU1274">
        <f>Model!BC382</f>
        <v>0</v>
      </c>
      <c r="AV1274">
        <f>Model!BD382</f>
        <v>0</v>
      </c>
      <c r="AW1274">
        <f>Model!BE382</f>
        <v>0</v>
      </c>
      <c r="AX1274">
        <f>Model!BF382</f>
        <v>0</v>
      </c>
      <c r="AY1274">
        <f>Model!BG382</f>
        <v>0</v>
      </c>
      <c r="AZ1274">
        <f>Model!BH382</f>
        <v>0</v>
      </c>
      <c r="BA1274">
        <f>Model!BI382</f>
        <v>0</v>
      </c>
      <c r="BB1274">
        <f>Model!BJ382</f>
        <v>0</v>
      </c>
      <c r="BC1274">
        <f>Model!BK382</f>
        <v>0</v>
      </c>
      <c r="BD1274">
        <f>Model!BL382</f>
        <v>0</v>
      </c>
      <c r="BE1274">
        <f>Model!BM382</f>
        <v>0</v>
      </c>
      <c r="BF1274">
        <f>Model!BN382</f>
        <v>0</v>
      </c>
      <c r="BG1274">
        <f>Model!BO382</f>
        <v>0</v>
      </c>
      <c r="BH1274">
        <f>Model!BP382</f>
        <v>0</v>
      </c>
      <c r="BI1274">
        <f>Model!BQ382</f>
        <v>0</v>
      </c>
      <c r="BJ1274">
        <f>Model!BR382</f>
        <v>0</v>
      </c>
      <c r="BK1274">
        <f>Model!BS382</f>
        <v>0</v>
      </c>
      <c r="BL1274">
        <f>Model!BT382</f>
        <v>0</v>
      </c>
      <c r="BM1274">
        <f>Model!BU382</f>
        <v>0</v>
      </c>
      <c r="BN1274">
        <f>Model!BV382</f>
        <v>0</v>
      </c>
      <c r="BO1274">
        <f>Model!BW382</f>
        <v>0</v>
      </c>
      <c r="BP1274">
        <f>Model!BX382</f>
        <v>0</v>
      </c>
      <c r="BQ1274">
        <f>Model!BY382</f>
        <v>0</v>
      </c>
      <c r="BR1274">
        <f>Model!BZ382</f>
        <v>0</v>
      </c>
      <c r="BS1274">
        <f>Model!CA382</f>
        <v>0</v>
      </c>
      <c r="BT1274">
        <f>Model!CB382</f>
        <v>0</v>
      </c>
      <c r="BU1274">
        <f>Model!CC382</f>
        <v>0</v>
      </c>
      <c r="BV1274">
        <f>Model!CD382</f>
        <v>0</v>
      </c>
      <c r="BW1274">
        <f>Model!CE382</f>
        <v>0</v>
      </c>
      <c r="BX1274">
        <f>Model!CF382</f>
        <v>0</v>
      </c>
      <c r="BY1274">
        <f>Model!CG382</f>
        <v>0</v>
      </c>
      <c r="BZ1274">
        <f>Model!CH382</f>
        <v>0</v>
      </c>
      <c r="CA1274">
        <f>Model!CI382</f>
        <v>0</v>
      </c>
      <c r="CB1274">
        <f>Model!CJ382</f>
        <v>0</v>
      </c>
      <c r="CC1274">
        <f>Model!CK382</f>
        <v>0</v>
      </c>
      <c r="CD1274">
        <f>Model!CL382</f>
        <v>0</v>
      </c>
      <c r="CE1274">
        <f>Model!CM382</f>
        <v>0</v>
      </c>
      <c r="CF1274">
        <f>Model!CN382</f>
        <v>0</v>
      </c>
      <c r="CG1274">
        <f>Model!CO382</f>
        <v>0</v>
      </c>
      <c r="CH1274">
        <f>Model!CP382</f>
        <v>0</v>
      </c>
      <c r="CI1274">
        <f>Model!CQ382</f>
        <v>0</v>
      </c>
      <c r="CJ1274">
        <f>Model!CR382</f>
        <v>0</v>
      </c>
      <c r="CK1274">
        <f>Model!CS382</f>
        <v>0</v>
      </c>
      <c r="CL1274">
        <f>Model!CT382</f>
        <v>0</v>
      </c>
      <c r="CM1274">
        <f>Model!CU382</f>
        <v>0</v>
      </c>
      <c r="CN1274">
        <f>Model!CV382</f>
        <v>0</v>
      </c>
      <c r="CO1274">
        <f>Model!CW382</f>
        <v>0</v>
      </c>
      <c r="CP1274">
        <f>Model!CX382</f>
        <v>0</v>
      </c>
      <c r="CQ1274">
        <f>Model!CY382</f>
        <v>0</v>
      </c>
      <c r="CR1274">
        <f>Model!CZ382</f>
        <v>0</v>
      </c>
      <c r="CS1274">
        <f>Model!DA382</f>
        <v>0</v>
      </c>
      <c r="CT1274">
        <f>Model!DB382</f>
        <v>0</v>
      </c>
      <c r="CU1274">
        <f>Model!DC382</f>
        <v>0</v>
      </c>
      <c r="CV1274">
        <f>Model!DD382</f>
        <v>0</v>
      </c>
      <c r="CW1274">
        <f>Model!DE382</f>
        <v>0</v>
      </c>
      <c r="CX1274">
        <f>Model!DF382</f>
        <v>0</v>
      </c>
    </row>
    <row r="1275" spans="1:102">
      <c r="A1275" t="str">
        <f>Model!I383</f>
        <v>Incremental Total ad dollar per booking</v>
      </c>
      <c r="B1275">
        <f>Model!J383</f>
        <v>0</v>
      </c>
      <c r="C1275">
        <f>Model!K383</f>
        <v>0</v>
      </c>
      <c r="D1275">
        <f>Model!L383</f>
        <v>0</v>
      </c>
      <c r="E1275">
        <f>Model!M383</f>
        <v>0</v>
      </c>
      <c r="F1275">
        <f>Model!N383</f>
        <v>0</v>
      </c>
      <c r="G1275">
        <f>Model!O383</f>
        <v>0</v>
      </c>
      <c r="H1275">
        <f>Model!P383</f>
        <v>0</v>
      </c>
      <c r="I1275">
        <f>Model!Q383</f>
        <v>0</v>
      </c>
      <c r="J1275">
        <f>Model!R383</f>
        <v>0</v>
      </c>
      <c r="K1275">
        <f>Model!S383</f>
        <v>0</v>
      </c>
      <c r="L1275">
        <f>Model!T383</f>
        <v>0</v>
      </c>
      <c r="M1275">
        <f>Model!U383</f>
        <v>0</v>
      </c>
      <c r="N1275">
        <f>Model!V383</f>
        <v>0</v>
      </c>
      <c r="O1275">
        <f>Model!W383</f>
        <v>0</v>
      </c>
      <c r="P1275">
        <f>Model!X383</f>
        <v>0</v>
      </c>
      <c r="Q1275">
        <f>Model!Y383</f>
        <v>0</v>
      </c>
      <c r="R1275">
        <f>Model!Z383</f>
        <v>0</v>
      </c>
      <c r="S1275">
        <f>Model!AA383</f>
        <v>0</v>
      </c>
      <c r="T1275">
        <f>Model!AB383</f>
        <v>0</v>
      </c>
      <c r="U1275">
        <f>Model!AC383</f>
        <v>0</v>
      </c>
      <c r="V1275">
        <f>Model!AD383</f>
        <v>0</v>
      </c>
      <c r="W1275">
        <f>Model!AE383</f>
        <v>0</v>
      </c>
      <c r="X1275">
        <f>Model!AF383</f>
        <v>0</v>
      </c>
      <c r="Y1275">
        <f>Model!AG383</f>
        <v>0</v>
      </c>
      <c r="Z1275">
        <f>Model!AH383</f>
        <v>0</v>
      </c>
      <c r="AA1275">
        <f>Model!AI383</f>
        <v>0</v>
      </c>
      <c r="AB1275">
        <f>Model!AJ383</f>
        <v>0</v>
      </c>
      <c r="AC1275">
        <f>Model!AK383</f>
        <v>4.753049628481739E-2</v>
      </c>
      <c r="AD1275">
        <f>Model!AL383</f>
        <v>4.3558838734429894E-2</v>
      </c>
      <c r="AE1275">
        <f>Model!AM383</f>
        <v>4.3141236679897027E-2</v>
      </c>
      <c r="AF1275">
        <f>Model!AN383</f>
        <v>3.5841968716044427E-2</v>
      </c>
      <c r="AG1275">
        <f>Model!AO383</f>
        <v>3.4954961118032542E-2</v>
      </c>
      <c r="AH1275">
        <f>Model!AP383</f>
        <v>3.4325881602735371E-2</v>
      </c>
      <c r="AI1275">
        <f>Model!AQ383</f>
        <v>4.5967829946160922E-2</v>
      </c>
      <c r="AJ1275">
        <f>Model!AR383</f>
        <v>4.7758736973406567E-2</v>
      </c>
      <c r="AK1275">
        <f>Model!AS383</f>
        <v>4.8937136431459936E-2</v>
      </c>
      <c r="AL1275">
        <f>Model!AT383</f>
        <v>6.824336120469672E-2</v>
      </c>
      <c r="AM1275">
        <f>Model!AU383</f>
        <v>4.6091796930187875E-2</v>
      </c>
      <c r="AN1275">
        <f>Model!AV383</f>
        <v>4.4031909474928514E-2</v>
      </c>
      <c r="AO1275">
        <f>Model!AW383</f>
        <v>4.5062681726080675E-2</v>
      </c>
      <c r="AP1275">
        <f>Model!AX383</f>
        <v>4.0233675589378078E-2</v>
      </c>
      <c r="AQ1275">
        <f>Model!AY383</f>
        <v>4.4361783542739223E-2</v>
      </c>
      <c r="AR1275">
        <f>Model!AZ383</f>
        <v>4.1761198385681431E-2</v>
      </c>
      <c r="AS1275">
        <f>Model!BA383</f>
        <v>4.2242421212664798E-2</v>
      </c>
      <c r="AT1275">
        <f>Model!BB383</f>
        <v>4.3655636293051803E-2</v>
      </c>
      <c r="AU1275">
        <f>Model!BC383</f>
        <v>4.773922701021769E-2</v>
      </c>
      <c r="AV1275">
        <f>Model!BD383</f>
        <v>4.972619751626256E-2</v>
      </c>
      <c r="AW1275">
        <f>Model!BE383</f>
        <v>4.4756109481915933E-2</v>
      </c>
      <c r="AX1275">
        <f>Model!BF383</f>
        <v>5.0551969012266003E-2</v>
      </c>
      <c r="AY1275">
        <f>Model!BG383</f>
        <v>6.0751746031746011E-2</v>
      </c>
      <c r="AZ1275">
        <f>Model!BH383</f>
        <v>5.4598894348894367E-2</v>
      </c>
      <c r="BA1275">
        <f>Model!BI383</f>
        <v>5.8390253890253888E-2</v>
      </c>
      <c r="BB1275">
        <f>Model!BJ383</f>
        <v>6.1285150645624085E-2</v>
      </c>
      <c r="BC1275">
        <f>Model!BK383</f>
        <v>6.4578929423798143E-2</v>
      </c>
      <c r="BD1275">
        <f>Model!BL383</f>
        <v>4.4679718089271715E-2</v>
      </c>
      <c r="BE1275">
        <f>Model!BM383</f>
        <v>4.5871442276942759E-2</v>
      </c>
      <c r="BF1275">
        <f>Model!BN383</f>
        <v>5.9168664133294344E-2</v>
      </c>
      <c r="BG1275">
        <f>Model!BO383</f>
        <v>6.4863309352517981E-2</v>
      </c>
      <c r="BH1275">
        <f>Model!BP383</f>
        <v>7.9696252465483244E-2</v>
      </c>
      <c r="BI1275">
        <f>Model!BQ383</f>
        <v>8.8612709030100337E-2</v>
      </c>
      <c r="BJ1275">
        <f>Model!BR383</f>
        <v>9.8059071729957925E-2</v>
      </c>
      <c r="BK1275">
        <f>Model!BS383</f>
        <v>8.5005235602094303E-2</v>
      </c>
      <c r="BL1275">
        <f>Model!BT383</f>
        <v>4.9628318584070748E-2</v>
      </c>
      <c r="BM1275">
        <f>Model!BU383</f>
        <v>4.9671994440583747E-2</v>
      </c>
      <c r="BN1275">
        <f>Model!BV383</f>
        <v>6.752687801516194E-2</v>
      </c>
      <c r="BO1275">
        <f>Model!BW383</f>
        <v>7.0709940249864156E-2</v>
      </c>
      <c r="BP1275">
        <f>Model!BX383</f>
        <v>5.2886664514045875E-2</v>
      </c>
      <c r="BQ1275">
        <f>Model!BY383</f>
        <v>5.0577838373822522E-2</v>
      </c>
      <c r="BR1275">
        <f>Model!BZ383</f>
        <v>8.0303918228279314E-2</v>
      </c>
      <c r="BS1275">
        <f>Model!CA383</f>
        <v>6.7898243488794752E-2</v>
      </c>
      <c r="BT1275">
        <f>Model!CB383</f>
        <v>3.2931311018131106E-2</v>
      </c>
      <c r="BU1275">
        <f>Model!CC383</f>
        <v>3.8316563109948722E-2</v>
      </c>
      <c r="BV1275">
        <f>Model!CD383</f>
        <v>5.1538078585352753E-2</v>
      </c>
      <c r="BW1275">
        <f>Model!CE383</f>
        <v>5.1199550469803991E-2</v>
      </c>
      <c r="BX1275">
        <f>Model!CF383</f>
        <v>4.2987041447229403E-2</v>
      </c>
      <c r="BY1275">
        <f>Model!CG383</f>
        <v>0</v>
      </c>
      <c r="BZ1275">
        <f>Model!CH383</f>
        <v>0</v>
      </c>
      <c r="CA1275">
        <f>Model!CI383</f>
        <v>0</v>
      </c>
      <c r="CB1275">
        <f>Model!CJ383</f>
        <v>0</v>
      </c>
      <c r="CC1275">
        <f>Model!CK383</f>
        <v>0</v>
      </c>
      <c r="CD1275">
        <f>Model!CL383</f>
        <v>0</v>
      </c>
      <c r="CE1275">
        <f>Model!CM383</f>
        <v>0</v>
      </c>
      <c r="CF1275">
        <f>Model!CN383</f>
        <v>0</v>
      </c>
      <c r="CG1275">
        <f>Model!CO383</f>
        <v>0</v>
      </c>
      <c r="CH1275">
        <f>Model!CP383</f>
        <v>4.8644856265494557E-2</v>
      </c>
      <c r="CI1275">
        <f>Model!CQ383</f>
        <v>4.2945117789904695E-2</v>
      </c>
      <c r="CJ1275">
        <f>Model!CR383</f>
        <v>4.5784233271447955E-2</v>
      </c>
      <c r="CK1275">
        <f>Model!CS383</f>
        <v>5.2139894086496011E-2</v>
      </c>
      <c r="CL1275">
        <f>Model!CT383</f>
        <v>5.7569655687225919E-2</v>
      </c>
      <c r="CM1275">
        <f>Model!CU383</f>
        <v>5.9802821964590649E-2</v>
      </c>
      <c r="CN1275">
        <f>Model!CV383</f>
        <v>8.0411629686304484E-2</v>
      </c>
      <c r="CO1275">
        <f>Model!CW383</f>
        <v>6.0758261008042012E-2</v>
      </c>
      <c r="CP1275">
        <f>Model!CX383</f>
        <v>5.7719004490448346E-2</v>
      </c>
      <c r="CQ1275">
        <f>Model!CY383</f>
        <v>4.5695718251847484E-2</v>
      </c>
      <c r="CR1275">
        <f>Model!CZ383</f>
        <v>5.191433038349072E-2</v>
      </c>
      <c r="CS1275">
        <f>Model!DA383</f>
        <v>5.3058069451672067E-2</v>
      </c>
      <c r="CT1275">
        <f>Model!DB383</f>
        <v>5.2637475845402938E-2</v>
      </c>
      <c r="CU1275">
        <f>Model!DC383</f>
        <v>5.2808704873537615E-2</v>
      </c>
      <c r="CV1275">
        <f>Model!DD383</f>
        <v>5.2932027453341482E-2</v>
      </c>
      <c r="CW1275">
        <f>Model!DE383</f>
        <v>5.3119555582705362E-2</v>
      </c>
      <c r="CX1275">
        <f>Model!DF383</f>
        <v>5.20039455205056E-2</v>
      </c>
    </row>
    <row r="1276" spans="1:102">
      <c r="A1276" t="str">
        <f>Model!I384</f>
        <v>change Y/Y (in bp)</v>
      </c>
      <c r="B1276">
        <f>Model!J384</f>
        <v>0</v>
      </c>
      <c r="C1276">
        <f>Model!K384</f>
        <v>0</v>
      </c>
      <c r="D1276">
        <f>Model!L384</f>
        <v>0</v>
      </c>
      <c r="E1276">
        <f>Model!M384</f>
        <v>0</v>
      </c>
      <c r="F1276">
        <f>Model!N384</f>
        <v>0</v>
      </c>
      <c r="G1276">
        <f>Model!O384</f>
        <v>0</v>
      </c>
      <c r="H1276">
        <f>Model!P384</f>
        <v>0</v>
      </c>
      <c r="I1276">
        <f>Model!Q384</f>
        <v>0</v>
      </c>
      <c r="J1276">
        <f>Model!R384</f>
        <v>0</v>
      </c>
      <c r="K1276">
        <f>Model!S384</f>
        <v>0</v>
      </c>
      <c r="L1276">
        <f>Model!T384</f>
        <v>0</v>
      </c>
      <c r="M1276">
        <f>Model!U384</f>
        <v>0</v>
      </c>
      <c r="N1276">
        <f>Model!V384</f>
        <v>0</v>
      </c>
      <c r="O1276">
        <f>Model!W384</f>
        <v>0</v>
      </c>
      <c r="P1276">
        <f>Model!X384</f>
        <v>0</v>
      </c>
      <c r="Q1276">
        <f>Model!Y384</f>
        <v>0</v>
      </c>
      <c r="R1276">
        <f>Model!Z384</f>
        <v>0</v>
      </c>
      <c r="S1276">
        <f>Model!AA384</f>
        <v>0</v>
      </c>
      <c r="T1276">
        <f>Model!AB384</f>
        <v>0</v>
      </c>
      <c r="U1276">
        <f>Model!AC384</f>
        <v>0</v>
      </c>
      <c r="V1276">
        <f>Model!AD384</f>
        <v>0</v>
      </c>
      <c r="W1276">
        <f>Model!AE384</f>
        <v>0</v>
      </c>
      <c r="X1276">
        <f>Model!AF384</f>
        <v>0</v>
      </c>
      <c r="Y1276">
        <f>Model!AG384</f>
        <v>0</v>
      </c>
      <c r="Z1276">
        <f>Model!AH384</f>
        <v>0</v>
      </c>
      <c r="AA1276">
        <f>Model!AI384</f>
        <v>0</v>
      </c>
      <c r="AB1276">
        <f>Model!AJ384</f>
        <v>0</v>
      </c>
      <c r="AC1276">
        <f>Model!AK384</f>
        <v>0</v>
      </c>
      <c r="AD1276">
        <f>Model!AL384</f>
        <v>0</v>
      </c>
      <c r="AE1276">
        <f>Model!AM384</f>
        <v>0</v>
      </c>
      <c r="AF1276">
        <f>Model!AN384</f>
        <v>0</v>
      </c>
      <c r="AG1276">
        <f>Model!AO384</f>
        <v>-125.75535166784849</v>
      </c>
      <c r="AH1276">
        <f>Model!AP384</f>
        <v>-92.329571316945234</v>
      </c>
      <c r="AI1276">
        <f>Model!AQ384</f>
        <v>28.265932662638953</v>
      </c>
      <c r="AJ1276">
        <f>Model!AR384</f>
        <v>119.16768257362139</v>
      </c>
      <c r="AK1276">
        <f>Model!AS384</f>
        <v>139.82175313427393</v>
      </c>
      <c r="AL1276">
        <f>Model!AT384</f>
        <v>339.1747960196135</v>
      </c>
      <c r="AM1276">
        <f>Model!AU384</f>
        <v>1.2396698402695332</v>
      </c>
      <c r="AN1276">
        <f>Model!AV384</f>
        <v>-37.268274984780525</v>
      </c>
      <c r="AO1276">
        <f>Model!AW384</f>
        <v>-38.744547053792616</v>
      </c>
      <c r="AP1276">
        <f>Model!AX384</f>
        <v>-280.09685615318642</v>
      </c>
      <c r="AQ1276">
        <f>Model!AY384</f>
        <v>-17.300133874486519</v>
      </c>
      <c r="AR1276">
        <f>Model!AZ384</f>
        <v>-22.707110892470837</v>
      </c>
      <c r="AS1276">
        <f>Model!BA384</f>
        <v>-28.202605134158773</v>
      </c>
      <c r="AT1276">
        <f>Model!BB384</f>
        <v>34.219607036737251</v>
      </c>
      <c r="AU1276">
        <f>Model!BC384</f>
        <v>33.774434674784665</v>
      </c>
      <c r="AV1276">
        <f>Model!BD384</f>
        <v>79.649991305811298</v>
      </c>
      <c r="AW1276">
        <f>Model!BE384</f>
        <v>25.136882692511353</v>
      </c>
      <c r="AX1276">
        <f>Model!BF384</f>
        <v>68.963327192142003</v>
      </c>
      <c r="AY1276">
        <f>Model!BG384</f>
        <v>130.1251902152832</v>
      </c>
      <c r="AZ1276">
        <f>Model!BH384</f>
        <v>48.726968326318065</v>
      </c>
      <c r="BA1276">
        <f>Model!BI384</f>
        <v>136.34144408337954</v>
      </c>
      <c r="BB1276">
        <f>Model!BJ384</f>
        <v>107.33181633358083</v>
      </c>
      <c r="BC1276">
        <f>Model!BK384</f>
        <v>38.271833920521317</v>
      </c>
      <c r="BD1276">
        <f>Model!BL384</f>
        <v>-99.191762596226511</v>
      </c>
      <c r="BE1276">
        <f>Model!BM384</f>
        <v>-125.18811613311129</v>
      </c>
      <c r="BF1276">
        <f>Model!BN384</f>
        <v>-21.164865123297417</v>
      </c>
      <c r="BG1276">
        <f>Model!BO384</f>
        <v>2.8437992871983839</v>
      </c>
      <c r="BH1276">
        <f>Model!BP384</f>
        <v>350.1653437621153</v>
      </c>
      <c r="BI1276">
        <f>Model!BQ384</f>
        <v>427.41266753157578</v>
      </c>
      <c r="BJ1276">
        <f>Model!BR384</f>
        <v>388.90407596663579</v>
      </c>
      <c r="BK1276">
        <f>Model!BS384</f>
        <v>201.41926249576323</v>
      </c>
      <c r="BL1276">
        <f>Model!BT384</f>
        <v>-300.67933881412495</v>
      </c>
      <c r="BM1276">
        <f>Model!BU384</f>
        <v>-389.40714589516591</v>
      </c>
      <c r="BN1276">
        <f>Model!BV384</f>
        <v>-305.32193714795983</v>
      </c>
      <c r="BO1276">
        <f>Model!BW384</f>
        <v>-142.95295352230147</v>
      </c>
      <c r="BP1276">
        <f>Model!BX384</f>
        <v>32.583459299751276</v>
      </c>
      <c r="BQ1276">
        <f>Model!BY384</f>
        <v>9.0584393323877439</v>
      </c>
      <c r="BR1276">
        <f>Model!BZ384</f>
        <v>127.77040213117374</v>
      </c>
      <c r="BS1276">
        <f>Model!CA384</f>
        <v>-28.116967610694044</v>
      </c>
      <c r="BT1276">
        <f>Model!CB384</f>
        <v>-199.5535349591477</v>
      </c>
      <c r="BU1276">
        <f>Model!CC384</f>
        <v>-122.612752638738</v>
      </c>
      <c r="BV1276">
        <f>Model!CD384</f>
        <v>-287.65839642926562</v>
      </c>
      <c r="BW1276">
        <f>Model!CE384</f>
        <v>-166.98693018990761</v>
      </c>
      <c r="BX1276">
        <f>Model!CF384</f>
        <v>100.55730429098297</v>
      </c>
      <c r="BY1276">
        <f>Model!CG384</f>
        <v>0</v>
      </c>
      <c r="BZ1276">
        <f>Model!CH384</f>
        <v>0</v>
      </c>
      <c r="CA1276">
        <f>Model!CI384</f>
        <v>0</v>
      </c>
      <c r="CB1276">
        <f>Model!CJ384</f>
        <v>0</v>
      </c>
      <c r="CC1276">
        <f>Model!CK384</f>
        <v>0</v>
      </c>
      <c r="CD1276">
        <f>Model!CL384</f>
        <v>0</v>
      </c>
      <c r="CE1276">
        <f>Model!CM384</f>
        <v>0</v>
      </c>
      <c r="CF1276">
        <f>Model!CN384</f>
        <v>0</v>
      </c>
      <c r="CG1276">
        <f>Model!CO384</f>
        <v>0</v>
      </c>
      <c r="CH1276">
        <f>Model!CP384</f>
        <v>0</v>
      </c>
      <c r="CI1276">
        <f>Model!CQ384</f>
        <v>-56.997384755898622</v>
      </c>
      <c r="CJ1276">
        <f>Model!CR384</f>
        <v>28.3911548154326</v>
      </c>
      <c r="CK1276">
        <f>Model!CS384</f>
        <v>63.556608150480557</v>
      </c>
      <c r="CL1276">
        <f>Model!CT384</f>
        <v>54.297616007299084</v>
      </c>
      <c r="CM1276">
        <f>Model!CU384</f>
        <v>22.331662773647302</v>
      </c>
      <c r="CN1276">
        <f>Model!CV384</f>
        <v>206.08807721713833</v>
      </c>
      <c r="CO1276">
        <f>Model!CW384</f>
        <v>-196.53368678262473</v>
      </c>
      <c r="CP1276">
        <f>Model!CX384</f>
        <v>-30.392565175936664</v>
      </c>
      <c r="CQ1276">
        <f>Model!CY384</f>
        <v>-120.23286238600862</v>
      </c>
      <c r="CR1276">
        <f>Model!CZ384</f>
        <v>62.186121316432363</v>
      </c>
      <c r="CS1276">
        <f>Model!DA384</f>
        <v>11.437390681813472</v>
      </c>
      <c r="CT1276">
        <f>Model!DB384</f>
        <v>-4.2059360626912898</v>
      </c>
      <c r="CU1276">
        <f>Model!DC384</f>
        <v>1.7122902813467706</v>
      </c>
      <c r="CV1276">
        <f>Model!DD384</f>
        <v>1.2332257980386674</v>
      </c>
      <c r="CW1276">
        <f>Model!DE384</f>
        <v>1.8752812936388001</v>
      </c>
      <c r="CX1276">
        <f>Model!DF384</f>
        <v>-11.156100621997622</v>
      </c>
    </row>
    <row r="1277" spans="1:102">
      <c r="A1277" t="str">
        <f>Model!I385</f>
        <v>Seq. change (in bp)</v>
      </c>
      <c r="B1277">
        <f>Model!J385</f>
        <v>0</v>
      </c>
      <c r="C1277">
        <f>Model!K385</f>
        <v>0</v>
      </c>
      <c r="D1277">
        <f>Model!L385</f>
        <v>0</v>
      </c>
      <c r="E1277">
        <f>Model!M385</f>
        <v>0</v>
      </c>
      <c r="F1277">
        <f>Model!N385</f>
        <v>0</v>
      </c>
      <c r="G1277">
        <f>Model!O385</f>
        <v>0</v>
      </c>
      <c r="H1277">
        <f>Model!P385</f>
        <v>0</v>
      </c>
      <c r="I1277">
        <f>Model!Q385</f>
        <v>0</v>
      </c>
      <c r="J1277">
        <f>Model!R385</f>
        <v>0</v>
      </c>
      <c r="K1277">
        <f>Model!S385</f>
        <v>0</v>
      </c>
      <c r="L1277">
        <f>Model!T385</f>
        <v>0</v>
      </c>
      <c r="M1277">
        <f>Model!U385</f>
        <v>0</v>
      </c>
      <c r="N1277">
        <f>Model!V385</f>
        <v>0</v>
      </c>
      <c r="O1277">
        <f>Model!W385</f>
        <v>0</v>
      </c>
      <c r="P1277">
        <f>Model!X385</f>
        <v>0</v>
      </c>
      <c r="Q1277">
        <f>Model!Y385</f>
        <v>0</v>
      </c>
      <c r="R1277">
        <f>Model!Z385</f>
        <v>0</v>
      </c>
      <c r="S1277">
        <f>Model!AA385</f>
        <v>0</v>
      </c>
      <c r="T1277">
        <f>Model!AB385</f>
        <v>0</v>
      </c>
      <c r="U1277">
        <f>Model!AC385</f>
        <v>0</v>
      </c>
      <c r="V1277">
        <f>Model!AD385</f>
        <v>0</v>
      </c>
      <c r="W1277">
        <f>Model!AE385</f>
        <v>0</v>
      </c>
      <c r="X1277">
        <f>Model!AF385</f>
        <v>0</v>
      </c>
      <c r="Y1277">
        <f>Model!AG385</f>
        <v>0</v>
      </c>
      <c r="Z1277">
        <f>Model!AH385</f>
        <v>0</v>
      </c>
      <c r="AA1277">
        <f>Model!AI385</f>
        <v>0</v>
      </c>
      <c r="AB1277">
        <f>Model!AJ385</f>
        <v>0</v>
      </c>
      <c r="AC1277">
        <f>Model!AK385</f>
        <v>0</v>
      </c>
      <c r="AD1277">
        <f>Model!AL385</f>
        <v>-39.716575503874957</v>
      </c>
      <c r="AE1277">
        <f>Model!AM385</f>
        <v>-4.1760205453286741</v>
      </c>
      <c r="AF1277">
        <f>Model!AN385</f>
        <v>-72.992679638525999</v>
      </c>
      <c r="AG1277">
        <f>Model!AO385</f>
        <v>-8.8700759801188518</v>
      </c>
      <c r="AH1277">
        <f>Model!AP385</f>
        <v>-6.2907951529717065</v>
      </c>
      <c r="AI1277">
        <f>Model!AQ385</f>
        <v>116.41948343425551</v>
      </c>
      <c r="AJ1277">
        <f>Model!AR385</f>
        <v>17.909070272456447</v>
      </c>
      <c r="AK1277">
        <f>Model!AS385</f>
        <v>11.783994580533697</v>
      </c>
      <c r="AL1277">
        <f>Model!AT385</f>
        <v>193.06224773236784</v>
      </c>
      <c r="AM1277">
        <f>Model!AU385</f>
        <v>-221.51564274508846</v>
      </c>
      <c r="AN1277">
        <f>Model!AV385</f>
        <v>-20.598874552593614</v>
      </c>
      <c r="AO1277">
        <f>Model!AW385</f>
        <v>10.307722511521607</v>
      </c>
      <c r="AP1277">
        <f>Model!AX385</f>
        <v>-48.290061367025977</v>
      </c>
      <c r="AQ1277">
        <f>Model!AY385</f>
        <v>41.281079533611461</v>
      </c>
      <c r="AR1277">
        <f>Model!AZ385</f>
        <v>-26.005851570577928</v>
      </c>
      <c r="AS1277">
        <f>Model!BA385</f>
        <v>4.8122282698336711</v>
      </c>
      <c r="AT1277">
        <f>Model!BB385</f>
        <v>14.132150803870051</v>
      </c>
      <c r="AU1277">
        <f>Model!BC385</f>
        <v>40.835907171658874</v>
      </c>
      <c r="AV1277">
        <f>Model!BD385</f>
        <v>19.869705060448702</v>
      </c>
      <c r="AW1277">
        <f>Model!BE385</f>
        <v>-49.700880343466274</v>
      </c>
      <c r="AX1277">
        <f>Model!BF385</f>
        <v>57.958595303500701</v>
      </c>
      <c r="AY1277">
        <f>Model!BG385</f>
        <v>101.99777019480008</v>
      </c>
      <c r="AZ1277">
        <f>Model!BH385</f>
        <v>-61.528516828516445</v>
      </c>
      <c r="BA1277">
        <f>Model!BI385</f>
        <v>37.91359541359521</v>
      </c>
      <c r="BB1277">
        <f>Model!BJ385</f>
        <v>28.94896755370198</v>
      </c>
      <c r="BC1277">
        <f>Model!BK385</f>
        <v>32.937787781740575</v>
      </c>
      <c r="BD1277">
        <f>Model!BL385</f>
        <v>-198.99211334526427</v>
      </c>
      <c r="BE1277">
        <f>Model!BM385</f>
        <v>11.917241876710435</v>
      </c>
      <c r="BF1277">
        <f>Model!BN385</f>
        <v>132.97221856351584</v>
      </c>
      <c r="BG1277">
        <f>Model!BO385</f>
        <v>56.946452192236372</v>
      </c>
      <c r="BH1277">
        <f>Model!BP385</f>
        <v>148.32943112965265</v>
      </c>
      <c r="BI1277">
        <f>Model!BQ385</f>
        <v>89.164565646170928</v>
      </c>
      <c r="BJ1277">
        <f>Model!BR385</f>
        <v>94.46362699857589</v>
      </c>
      <c r="BK1277">
        <f>Model!BS385</f>
        <v>-130.53836127863622</v>
      </c>
      <c r="BL1277">
        <f>Model!BT385</f>
        <v>-353.76917018023556</v>
      </c>
      <c r="BM1277">
        <f>Model!BU385</f>
        <v>0.43675856512999378</v>
      </c>
      <c r="BN1277">
        <f>Model!BV385</f>
        <v>178.54883574578193</v>
      </c>
      <c r="BO1277">
        <f>Model!BW385</f>
        <v>31.830622347022164</v>
      </c>
      <c r="BP1277">
        <f>Model!BX385</f>
        <v>-178.23275735818279</v>
      </c>
      <c r="BQ1277">
        <f>Model!BY385</f>
        <v>-23.088261402233538</v>
      </c>
      <c r="BR1277">
        <f>Model!BZ385</f>
        <v>297.26079854456793</v>
      </c>
      <c r="BS1277">
        <f>Model!CA385</f>
        <v>-124.05674739484563</v>
      </c>
      <c r="BT1277">
        <f>Model!CB385</f>
        <v>-349.66932470663647</v>
      </c>
      <c r="BU1277">
        <f>Model!CC385</f>
        <v>53.852520918176161</v>
      </c>
      <c r="BV1277">
        <f>Model!CD385</f>
        <v>132.21515475404033</v>
      </c>
      <c r="BW1277">
        <f>Model!CE385</f>
        <v>-3.3852811554876268</v>
      </c>
      <c r="BX1277">
        <f>Model!CF385</f>
        <v>-82.125090225745879</v>
      </c>
      <c r="BY1277">
        <f>Model!CG385</f>
        <v>0</v>
      </c>
      <c r="BZ1277">
        <f>Model!CH385</f>
        <v>0</v>
      </c>
      <c r="CA1277">
        <f>Model!CI385</f>
        <v>0</v>
      </c>
      <c r="CB1277">
        <f>Model!CJ385</f>
        <v>0</v>
      </c>
      <c r="CC1277">
        <f>Model!CK385</f>
        <v>0</v>
      </c>
      <c r="CD1277">
        <f>Model!CL385</f>
        <v>0</v>
      </c>
      <c r="CE1277">
        <f>Model!CM385</f>
        <v>0</v>
      </c>
      <c r="CF1277">
        <f>Model!CN385</f>
        <v>0</v>
      </c>
      <c r="CG1277">
        <f>Model!CO385</f>
        <v>0</v>
      </c>
      <c r="CH1277">
        <f>Model!CP385</f>
        <v>0</v>
      </c>
      <c r="CI1277">
        <f>Model!CQ385</f>
        <v>0</v>
      </c>
      <c r="CJ1277">
        <f>Model!CR385</f>
        <v>0</v>
      </c>
      <c r="CK1277">
        <f>Model!CS385</f>
        <v>0</v>
      </c>
      <c r="CL1277">
        <f>Model!CT385</f>
        <v>0</v>
      </c>
      <c r="CM1277">
        <f>Model!CU385</f>
        <v>0</v>
      </c>
      <c r="CN1277">
        <f>Model!CV385</f>
        <v>0</v>
      </c>
      <c r="CO1277">
        <f>Model!CW385</f>
        <v>0</v>
      </c>
      <c r="CP1277">
        <f>Model!CX385</f>
        <v>0</v>
      </c>
      <c r="CQ1277">
        <f>Model!CY385</f>
        <v>0</v>
      </c>
      <c r="CR1277">
        <f>Model!CZ385</f>
        <v>0</v>
      </c>
      <c r="CS1277">
        <f>Model!DA385</f>
        <v>0</v>
      </c>
      <c r="CT1277">
        <f>Model!DB385</f>
        <v>0</v>
      </c>
      <c r="CU1277">
        <f>Model!DC385</f>
        <v>0</v>
      </c>
      <c r="CV1277">
        <f>Model!DD385</f>
        <v>0</v>
      </c>
      <c r="CW1277">
        <f>Model!DE385</f>
        <v>0</v>
      </c>
      <c r="CX1277">
        <f>Model!DF385</f>
        <v>0</v>
      </c>
    </row>
    <row r="1278" spans="1:102">
      <c r="A1278">
        <f>Model!I386</f>
        <v>0</v>
      </c>
      <c r="B1278">
        <f>Model!J386</f>
        <v>0</v>
      </c>
      <c r="C1278">
        <f>Model!K386</f>
        <v>0</v>
      </c>
      <c r="D1278">
        <f>Model!L386</f>
        <v>0</v>
      </c>
      <c r="E1278">
        <f>Model!M386</f>
        <v>0</v>
      </c>
      <c r="F1278">
        <f>Model!N386</f>
        <v>0</v>
      </c>
      <c r="G1278">
        <f>Model!O386</f>
        <v>0</v>
      </c>
      <c r="H1278">
        <f>Model!P386</f>
        <v>0</v>
      </c>
      <c r="I1278">
        <f>Model!Q386</f>
        <v>0</v>
      </c>
      <c r="J1278">
        <f>Model!R386</f>
        <v>0</v>
      </c>
      <c r="K1278">
        <f>Model!S386</f>
        <v>0</v>
      </c>
      <c r="L1278">
        <f>Model!T386</f>
        <v>0</v>
      </c>
      <c r="M1278">
        <f>Model!U386</f>
        <v>0</v>
      </c>
      <c r="N1278">
        <f>Model!V386</f>
        <v>0</v>
      </c>
      <c r="O1278">
        <f>Model!W386</f>
        <v>0</v>
      </c>
      <c r="P1278">
        <f>Model!X386</f>
        <v>0</v>
      </c>
      <c r="Q1278">
        <f>Model!Y386</f>
        <v>0</v>
      </c>
      <c r="R1278">
        <f>Model!Z386</f>
        <v>0</v>
      </c>
      <c r="S1278">
        <f>Model!AA386</f>
        <v>0</v>
      </c>
      <c r="T1278">
        <f>Model!AB386</f>
        <v>0</v>
      </c>
      <c r="U1278">
        <f>Model!AC386</f>
        <v>0</v>
      </c>
      <c r="V1278">
        <f>Model!AD386</f>
        <v>0</v>
      </c>
      <c r="W1278">
        <f>Model!AE386</f>
        <v>0</v>
      </c>
      <c r="X1278">
        <f>Model!AF386</f>
        <v>0</v>
      </c>
      <c r="Y1278">
        <f>Model!AG386</f>
        <v>0</v>
      </c>
      <c r="Z1278">
        <f>Model!AH386</f>
        <v>0</v>
      </c>
      <c r="AA1278">
        <f>Model!AI386</f>
        <v>0</v>
      </c>
      <c r="AB1278">
        <f>Model!AJ386</f>
        <v>0</v>
      </c>
      <c r="AC1278">
        <f>Model!AK386</f>
        <v>0</v>
      </c>
      <c r="AD1278">
        <f>Model!AL386</f>
        <v>0</v>
      </c>
      <c r="AE1278">
        <f>Model!AM386</f>
        <v>0</v>
      </c>
      <c r="AF1278">
        <f>Model!AN386</f>
        <v>0</v>
      </c>
      <c r="AG1278">
        <f>Model!AO386</f>
        <v>0</v>
      </c>
      <c r="AH1278">
        <f>Model!AP386</f>
        <v>0</v>
      </c>
      <c r="AI1278">
        <f>Model!AQ386</f>
        <v>0</v>
      </c>
      <c r="AJ1278">
        <f>Model!AR386</f>
        <v>0</v>
      </c>
      <c r="AK1278">
        <f>Model!AS386</f>
        <v>0</v>
      </c>
      <c r="AL1278">
        <f>Model!AT386</f>
        <v>0</v>
      </c>
      <c r="AM1278">
        <f>Model!AU386</f>
        <v>0</v>
      </c>
      <c r="AN1278">
        <f>Model!AV386</f>
        <v>0</v>
      </c>
      <c r="AO1278">
        <f>Model!AW386</f>
        <v>0</v>
      </c>
      <c r="AP1278">
        <f>Model!AX386</f>
        <v>0</v>
      </c>
      <c r="AQ1278">
        <f>Model!AY386</f>
        <v>0</v>
      </c>
      <c r="AR1278">
        <f>Model!AZ386</f>
        <v>0</v>
      </c>
      <c r="AS1278">
        <f>Model!BA386</f>
        <v>0</v>
      </c>
      <c r="AT1278">
        <f>Model!BB386</f>
        <v>0</v>
      </c>
      <c r="AU1278">
        <f>Model!BC386</f>
        <v>0</v>
      </c>
      <c r="AV1278">
        <f>Model!BD386</f>
        <v>0</v>
      </c>
      <c r="AW1278">
        <f>Model!BE386</f>
        <v>0</v>
      </c>
      <c r="AX1278">
        <f>Model!BF386</f>
        <v>0</v>
      </c>
      <c r="AY1278">
        <f>Model!BG386</f>
        <v>0</v>
      </c>
      <c r="AZ1278">
        <f>Model!BH386</f>
        <v>0</v>
      </c>
      <c r="BA1278">
        <f>Model!BI386</f>
        <v>0</v>
      </c>
      <c r="BB1278">
        <f>Model!BJ386</f>
        <v>0</v>
      </c>
      <c r="BC1278">
        <f>Model!BK386</f>
        <v>0</v>
      </c>
      <c r="BD1278">
        <f>Model!BL386</f>
        <v>0</v>
      </c>
      <c r="BE1278">
        <f>Model!BM386</f>
        <v>0</v>
      </c>
      <c r="BF1278">
        <f>Model!BN386</f>
        <v>0</v>
      </c>
      <c r="BG1278">
        <f>Model!BO386</f>
        <v>0</v>
      </c>
      <c r="BH1278">
        <f>Model!BP386</f>
        <v>0</v>
      </c>
      <c r="BI1278">
        <f>Model!BQ386</f>
        <v>0</v>
      </c>
      <c r="BJ1278">
        <f>Model!BR386</f>
        <v>0</v>
      </c>
      <c r="BK1278">
        <f>Model!BS386</f>
        <v>0</v>
      </c>
      <c r="BL1278">
        <f>Model!BT386</f>
        <v>0</v>
      </c>
      <c r="BM1278">
        <f>Model!BU386</f>
        <v>0</v>
      </c>
      <c r="BN1278">
        <f>Model!BV386</f>
        <v>0</v>
      </c>
      <c r="BO1278">
        <f>Model!BW386</f>
        <v>0</v>
      </c>
      <c r="BP1278">
        <f>Model!BX386</f>
        <v>0</v>
      </c>
      <c r="BQ1278">
        <f>Model!BY386</f>
        <v>0</v>
      </c>
      <c r="BR1278">
        <f>Model!BZ386</f>
        <v>0</v>
      </c>
      <c r="BS1278">
        <f>Model!CA386</f>
        <v>0</v>
      </c>
      <c r="BT1278">
        <f>Model!CB386</f>
        <v>0</v>
      </c>
      <c r="BU1278">
        <f>Model!CC386</f>
        <v>0</v>
      </c>
      <c r="BV1278">
        <f>Model!CD386</f>
        <v>0</v>
      </c>
      <c r="BW1278">
        <f>Model!CE386</f>
        <v>0</v>
      </c>
      <c r="BX1278">
        <f>Model!CF386</f>
        <v>0</v>
      </c>
      <c r="BY1278">
        <f>Model!CG386</f>
        <v>0</v>
      </c>
      <c r="BZ1278">
        <f>Model!CH386</f>
        <v>0</v>
      </c>
      <c r="CA1278">
        <f>Model!CI386</f>
        <v>0</v>
      </c>
      <c r="CB1278">
        <f>Model!CJ386</f>
        <v>0</v>
      </c>
      <c r="CC1278">
        <f>Model!CK386</f>
        <v>0</v>
      </c>
      <c r="CD1278">
        <f>Model!CL386</f>
        <v>0</v>
      </c>
      <c r="CE1278">
        <f>Model!CM386</f>
        <v>0</v>
      </c>
      <c r="CF1278">
        <f>Model!CN386</f>
        <v>0</v>
      </c>
      <c r="CG1278">
        <f>Model!CO386</f>
        <v>0</v>
      </c>
      <c r="CH1278">
        <f>Model!CP386</f>
        <v>0</v>
      </c>
      <c r="CI1278">
        <f>Model!CQ386</f>
        <v>0</v>
      </c>
      <c r="CJ1278">
        <f>Model!CR386</f>
        <v>0</v>
      </c>
      <c r="CK1278">
        <f>Model!CS386</f>
        <v>0</v>
      </c>
      <c r="CL1278">
        <f>Model!CT386</f>
        <v>0</v>
      </c>
      <c r="CM1278">
        <f>Model!CU386</f>
        <v>0</v>
      </c>
      <c r="CN1278">
        <f>Model!CV386</f>
        <v>0</v>
      </c>
      <c r="CO1278">
        <f>Model!CW386</f>
        <v>0</v>
      </c>
      <c r="CP1278">
        <f>Model!CX386</f>
        <v>0</v>
      </c>
      <c r="CQ1278">
        <f>Model!CY386</f>
        <v>0</v>
      </c>
      <c r="CR1278">
        <f>Model!CZ386</f>
        <v>0</v>
      </c>
      <c r="CS1278">
        <f>Model!DA386</f>
        <v>0</v>
      </c>
      <c r="CT1278">
        <f>Model!DB386</f>
        <v>0</v>
      </c>
      <c r="CU1278">
        <f>Model!DC386</f>
        <v>0</v>
      </c>
      <c r="CV1278">
        <f>Model!DD386</f>
        <v>0</v>
      </c>
      <c r="CW1278">
        <f>Model!DE386</f>
        <v>0</v>
      </c>
      <c r="CX1278">
        <f>Model!DF386</f>
        <v>0</v>
      </c>
    </row>
    <row r="1279" spans="1:102">
      <c r="A1279" t="str">
        <f>Model!I387</f>
        <v>Incremental bookings per Online ad dollar</v>
      </c>
      <c r="B1279">
        <f>Model!J387</f>
        <v>0</v>
      </c>
      <c r="C1279">
        <f>Model!K387</f>
        <v>0</v>
      </c>
      <c r="D1279">
        <f>Model!L387</f>
        <v>0</v>
      </c>
      <c r="E1279">
        <f>Model!M387</f>
        <v>0</v>
      </c>
      <c r="F1279">
        <f>Model!N387</f>
        <v>0</v>
      </c>
      <c r="G1279">
        <f>Model!O387</f>
        <v>0</v>
      </c>
      <c r="H1279">
        <f>Model!P387</f>
        <v>0</v>
      </c>
      <c r="I1279">
        <f>Model!Q387</f>
        <v>0</v>
      </c>
      <c r="J1279">
        <f>Model!R387</f>
        <v>0</v>
      </c>
      <c r="K1279">
        <f>Model!S387</f>
        <v>0</v>
      </c>
      <c r="L1279">
        <f>Model!T387</f>
        <v>0</v>
      </c>
      <c r="M1279">
        <f>Model!U387</f>
        <v>0</v>
      </c>
      <c r="N1279">
        <f>Model!V387</f>
        <v>0</v>
      </c>
      <c r="O1279">
        <f>Model!W387</f>
        <v>0</v>
      </c>
      <c r="P1279">
        <f>Model!X387</f>
        <v>0</v>
      </c>
      <c r="Q1279">
        <f>Model!Y387</f>
        <v>0</v>
      </c>
      <c r="R1279">
        <f>Model!Z387</f>
        <v>0</v>
      </c>
      <c r="S1279">
        <f>Model!AA387</f>
        <v>0</v>
      </c>
      <c r="T1279">
        <f>Model!AB387</f>
        <v>0</v>
      </c>
      <c r="U1279">
        <f>Model!AC387</f>
        <v>0</v>
      </c>
      <c r="V1279">
        <f>Model!AD387</f>
        <v>0</v>
      </c>
      <c r="W1279">
        <f>Model!AE387</f>
        <v>0</v>
      </c>
      <c r="X1279">
        <f>Model!AF387</f>
        <v>0</v>
      </c>
      <c r="Y1279">
        <f>Model!AG387</f>
        <v>0</v>
      </c>
      <c r="Z1279">
        <f>Model!AH387</f>
        <v>0</v>
      </c>
      <c r="AA1279">
        <f>Model!AI387</f>
        <v>0</v>
      </c>
      <c r="AB1279">
        <f>Model!AJ387</f>
        <v>0</v>
      </c>
      <c r="AC1279">
        <f>Model!AK387</f>
        <v>25.001986886548789</v>
      </c>
      <c r="AD1279">
        <f>Model!AL387</f>
        <v>23.700470062418134</v>
      </c>
      <c r="AE1279">
        <f>Model!AM387</f>
        <v>25.280802738021166</v>
      </c>
      <c r="AF1279">
        <f>Model!AN387</f>
        <v>28.011678567106379</v>
      </c>
      <c r="AG1279">
        <f>Model!AO387</f>
        <v>29.378927839833029</v>
      </c>
      <c r="AH1279">
        <f>Model!AP387</f>
        <v>29.773868662810482</v>
      </c>
      <c r="AI1279">
        <f>Model!AQ387</f>
        <v>21.668604460209551</v>
      </c>
      <c r="AJ1279">
        <f>Model!AR387</f>
        <v>22.372191125172371</v>
      </c>
      <c r="AK1279">
        <f>Model!AS387</f>
        <v>17.92885528738973</v>
      </c>
      <c r="AL1279">
        <f>Model!AT387</f>
        <v>15.609265379486272</v>
      </c>
      <c r="AM1279">
        <f>Model!AU387</f>
        <v>21.823283136440345</v>
      </c>
      <c r="AN1279">
        <f>Model!AV387</f>
        <v>21.58380403934644</v>
      </c>
      <c r="AO1279">
        <f>Model!AW387</f>
        <v>22.69539029160741</v>
      </c>
      <c r="AP1279">
        <f>Model!AX387</f>
        <v>24.309778123600019</v>
      </c>
      <c r="AQ1279">
        <f>Model!AY387</f>
        <v>22.267700957934192</v>
      </c>
      <c r="AR1279">
        <f>Model!AZ387</f>
        <v>23.975510399693277</v>
      </c>
      <c r="AS1279">
        <f>Model!BA387</f>
        <v>23.615675217711352</v>
      </c>
      <c r="AT1279">
        <f>Model!BB387</f>
        <v>22.838556724875673</v>
      </c>
      <c r="AU1279">
        <f>Model!BC387</f>
        <v>20.998330208304186</v>
      </c>
      <c r="AV1279">
        <f>Model!BD387</f>
        <v>20.104385871051353</v>
      </c>
      <c r="AW1279">
        <f>Model!BE387</f>
        <v>22.232364063111223</v>
      </c>
      <c r="AX1279">
        <f>Model!BF387</f>
        <v>19.808690759354459</v>
      </c>
      <c r="AY1279">
        <f>Model!BG387</f>
        <v>16.530573689624045</v>
      </c>
      <c r="AZ1279">
        <f>Model!BH387</f>
        <v>18.308591992802516</v>
      </c>
      <c r="BA1279">
        <f>Model!BI387</f>
        <v>19.378337843306856</v>
      </c>
      <c r="BB1279">
        <f>Model!BJ387</f>
        <v>18.754835020685483</v>
      </c>
      <c r="BC1279">
        <f>Model!BK387</f>
        <v>18.567991896682706</v>
      </c>
      <c r="BD1279">
        <f>Model!BL387</f>
        <v>27.647873906642424</v>
      </c>
      <c r="BE1279">
        <f>Model!BM387</f>
        <v>26.568673265644264</v>
      </c>
      <c r="BF1279">
        <f>Model!BN387</f>
        <v>19.380240199410835</v>
      </c>
      <c r="BG1279">
        <f>Model!BO387</f>
        <v>18.349834983498351</v>
      </c>
      <c r="BH1279">
        <f>Model!BP387</f>
        <v>15.102620369175163</v>
      </c>
      <c r="BI1279">
        <f>Model!BQ387</f>
        <v>13.265776957478524</v>
      </c>
      <c r="BJ1279">
        <f>Model!BR387</f>
        <v>11.946066283025992</v>
      </c>
      <c r="BK1279">
        <f>Model!BS387</f>
        <v>11.246540658305355</v>
      </c>
      <c r="BL1279">
        <f>Model!BT387</f>
        <v>22.102329220387606</v>
      </c>
      <c r="BM1279">
        <f>Model!BU387</f>
        <v>19.663170840023227</v>
      </c>
      <c r="BN1279">
        <f>Model!BV387</f>
        <v>17.905511713857337</v>
      </c>
      <c r="BO1279">
        <f>Model!BW387</f>
        <v>14.415472555007447</v>
      </c>
      <c r="BP1279">
        <f>Model!BX387</f>
        <v>17.476341762080231</v>
      </c>
      <c r="BQ1279">
        <f>Model!BY387</f>
        <v>20.083240401465666</v>
      </c>
      <c r="BR1279">
        <f>Model!BZ387</f>
        <v>12.939433750980934</v>
      </c>
      <c r="BS1279">
        <f>Model!CA387</f>
        <v>17.92655649416924</v>
      </c>
      <c r="BT1279">
        <f>Model!CB387</f>
        <v>56.682082295742966</v>
      </c>
      <c r="BU1279">
        <f>Model!CC387</f>
        <v>37.884359396747861</v>
      </c>
      <c r="BV1279">
        <f>Model!CD387</f>
        <v>25.82980909211825</v>
      </c>
      <c r="BW1279">
        <f>Model!CE387</f>
        <v>24.172925191664802</v>
      </c>
      <c r="BX1279">
        <f>Model!CF387</f>
        <v>24.689798721480638</v>
      </c>
      <c r="BY1279">
        <f>Model!CG387</f>
        <v>0</v>
      </c>
      <c r="BZ1279">
        <f>Model!CH387</f>
        <v>0</v>
      </c>
      <c r="CA1279">
        <f>Model!CI387</f>
        <v>0</v>
      </c>
      <c r="CB1279">
        <f>Model!CJ387</f>
        <v>0</v>
      </c>
      <c r="CC1279">
        <f>Model!CK387</f>
        <v>0</v>
      </c>
      <c r="CD1279">
        <f>Model!CL387</f>
        <v>0</v>
      </c>
      <c r="CE1279">
        <f>Model!CM387</f>
        <v>0</v>
      </c>
      <c r="CF1279">
        <f>Model!CN387</f>
        <v>0</v>
      </c>
      <c r="CG1279">
        <f>Model!CO387</f>
        <v>0</v>
      </c>
      <c r="CH1279">
        <f>Model!CP387</f>
        <v>20.174978081526159</v>
      </c>
      <c r="CI1279">
        <f>Model!CQ387</f>
        <v>23.216085971760382</v>
      </c>
      <c r="CJ1279">
        <f>Model!CR387</f>
        <v>21.827061647138315</v>
      </c>
      <c r="CK1279">
        <f>Model!CS387</f>
        <v>19.180416676071598</v>
      </c>
      <c r="CL1279">
        <f>Model!CT387</f>
        <v>20.413022277755765</v>
      </c>
      <c r="CM1279">
        <f>Model!CU387</f>
        <v>19.813880935082697</v>
      </c>
      <c r="CN1279">
        <f>Model!CV387</f>
        <v>13.830797598922748</v>
      </c>
      <c r="CO1279">
        <f>Model!CW387</f>
        <v>16.94713987496441</v>
      </c>
      <c r="CP1279">
        <f>Model!CX387</f>
        <v>19.832931814202279</v>
      </c>
      <c r="CQ1279">
        <f>Model!CY387</f>
        <v>27.489857033130477</v>
      </c>
      <c r="CR1279">
        <f>Model!CZ387</f>
        <v>21.619147009114148</v>
      </c>
      <c r="CS1279">
        <f>Model!DA387</f>
        <v>20.822798253745663</v>
      </c>
      <c r="CT1279">
        <f>Model!DB387</f>
        <v>20.759195279117513</v>
      </c>
      <c r="CU1279">
        <f>Model!DC387</f>
        <v>20.723649689982121</v>
      </c>
      <c r="CV1279">
        <f>Model!DD387</f>
        <v>20.690220452600695</v>
      </c>
      <c r="CW1279">
        <f>Model!DE387</f>
        <v>20.648052617622533</v>
      </c>
      <c r="CX1279">
        <f>Model!DF387</f>
        <v>20.664586325503667</v>
      </c>
    </row>
    <row r="1280" spans="1:102">
      <c r="A1280" t="str">
        <f>Model!I388</f>
        <v>% change Y/Y</v>
      </c>
      <c r="B1280">
        <f>Model!J388</f>
        <v>0</v>
      </c>
      <c r="C1280">
        <f>Model!K388</f>
        <v>0</v>
      </c>
      <c r="D1280">
        <f>Model!L388</f>
        <v>0</v>
      </c>
      <c r="E1280">
        <f>Model!M388</f>
        <v>0</v>
      </c>
      <c r="F1280">
        <f>Model!N388</f>
        <v>0</v>
      </c>
      <c r="G1280">
        <f>Model!O388</f>
        <v>0</v>
      </c>
      <c r="H1280">
        <f>Model!P388</f>
        <v>0</v>
      </c>
      <c r="I1280">
        <f>Model!Q388</f>
        <v>0</v>
      </c>
      <c r="J1280">
        <f>Model!R388</f>
        <v>0</v>
      </c>
      <c r="K1280">
        <f>Model!S388</f>
        <v>0</v>
      </c>
      <c r="L1280">
        <f>Model!T388</f>
        <v>0</v>
      </c>
      <c r="M1280">
        <f>Model!U388</f>
        <v>0</v>
      </c>
      <c r="N1280">
        <f>Model!V388</f>
        <v>0</v>
      </c>
      <c r="O1280">
        <f>Model!W388</f>
        <v>0</v>
      </c>
      <c r="P1280">
        <f>Model!X388</f>
        <v>0</v>
      </c>
      <c r="Q1280">
        <f>Model!Y388</f>
        <v>0</v>
      </c>
      <c r="R1280">
        <f>Model!Z388</f>
        <v>0</v>
      </c>
      <c r="S1280">
        <f>Model!AA388</f>
        <v>0</v>
      </c>
      <c r="T1280">
        <f>Model!AB388</f>
        <v>0</v>
      </c>
      <c r="U1280">
        <f>Model!AC388</f>
        <v>0</v>
      </c>
      <c r="V1280">
        <f>Model!AD388</f>
        <v>0</v>
      </c>
      <c r="W1280">
        <f>Model!AE388</f>
        <v>0</v>
      </c>
      <c r="X1280">
        <f>Model!AF388</f>
        <v>0</v>
      </c>
      <c r="Y1280">
        <f>Model!AG388</f>
        <v>0</v>
      </c>
      <c r="Z1280">
        <f>Model!AH388</f>
        <v>0</v>
      </c>
      <c r="AA1280">
        <f>Model!AI388</f>
        <v>0</v>
      </c>
      <c r="AB1280">
        <f>Model!AJ388</f>
        <v>0</v>
      </c>
      <c r="AC1280">
        <f>Model!AK388</f>
        <v>0</v>
      </c>
      <c r="AD1280">
        <f>Model!AL388</f>
        <v>0</v>
      </c>
      <c r="AE1280">
        <f>Model!AM388</f>
        <v>0</v>
      </c>
      <c r="AF1280">
        <f>Model!AN388</f>
        <v>0</v>
      </c>
      <c r="AG1280">
        <f>Model!AO388</f>
        <v>0.17506372486096522</v>
      </c>
      <c r="AH1280">
        <f>Model!AP388</f>
        <v>0.25625646176625594</v>
      </c>
      <c r="AI1280">
        <f>Model!AQ388</f>
        <v>-0.14288305301235682</v>
      </c>
      <c r="AJ1280">
        <f>Model!AR388</f>
        <v>-0.2013262942605788</v>
      </c>
      <c r="AK1280">
        <f>Model!AS388</f>
        <v>-0.38973759065907332</v>
      </c>
      <c r="AL1280">
        <f>Model!AT388</f>
        <v>-0.47573942922025214</v>
      </c>
      <c r="AM1280">
        <f>Model!AU388</f>
        <v>7.1383773936541939E-3</v>
      </c>
      <c r="AN1280">
        <f>Model!AV388</f>
        <v>-3.5239600869441334E-2</v>
      </c>
      <c r="AO1280">
        <f>Model!AW388</f>
        <v>0.26585830092399854</v>
      </c>
      <c r="AP1280">
        <f>Model!AX388</f>
        <v>0.55739412026064827</v>
      </c>
      <c r="AQ1280">
        <f>Model!AY388</f>
        <v>2.0364388745512052E-2</v>
      </c>
      <c r="AR1280">
        <f>Model!AZ388</f>
        <v>0.11081023326503758</v>
      </c>
      <c r="AS1280">
        <f>Model!BA388</f>
        <v>4.0549420577457918E-2</v>
      </c>
      <c r="AT1280">
        <f>Model!BB388</f>
        <v>-6.0519737829119791E-2</v>
      </c>
      <c r="AU1280">
        <f>Model!BC388</f>
        <v>-5.7005020501576187E-2</v>
      </c>
      <c r="AV1280">
        <f>Model!BD388</f>
        <v>-0.1614616107897936</v>
      </c>
      <c r="AW1280">
        <f>Model!BE388</f>
        <v>-5.8575973028400674E-2</v>
      </c>
      <c r="AX1280">
        <f>Model!BF388</f>
        <v>-0.13266451124825651</v>
      </c>
      <c r="AY1280">
        <f>Model!BG388</f>
        <v>-0.21276722836339057</v>
      </c>
      <c r="AZ1280">
        <f>Model!BH388</f>
        <v>-8.9323488405315121E-2</v>
      </c>
      <c r="BA1280">
        <f>Model!BI388</f>
        <v>-0.1283725928426962</v>
      </c>
      <c r="BB1280">
        <f>Model!BJ388</f>
        <v>-5.3201685637467078E-2</v>
      </c>
      <c r="BC1280">
        <f>Model!BK388</f>
        <v>0.12325151233786347</v>
      </c>
      <c r="BD1280">
        <f>Model!BL388</f>
        <v>0.51010377627680881</v>
      </c>
      <c r="BE1280">
        <f>Model!BM388</f>
        <v>0.37105016335654928</v>
      </c>
      <c r="BF1280">
        <f>Model!BN388</f>
        <v>3.3346343918011945E-2</v>
      </c>
      <c r="BG1280">
        <f>Model!BO388</f>
        <v>-1.174908489826143E-2</v>
      </c>
      <c r="BH1280">
        <f>Model!BP388</f>
        <v>-0.45375111228546416</v>
      </c>
      <c r="BI1280">
        <f>Model!BQ388</f>
        <v>-0.50069855484156256</v>
      </c>
      <c r="BJ1280">
        <f>Model!BR388</f>
        <v>-0.38359555092670339</v>
      </c>
      <c r="BK1280">
        <f>Model!BS388</f>
        <v>-0.38710398930458234</v>
      </c>
      <c r="BL1280">
        <f>Model!BT388</f>
        <v>0.46347644846446845</v>
      </c>
      <c r="BM1280">
        <f>Model!BU388</f>
        <v>0.48224796052659391</v>
      </c>
      <c r="BN1280">
        <f>Model!BV388</f>
        <v>0.49886257866315731</v>
      </c>
      <c r="BO1280">
        <f>Model!BW388</f>
        <v>0.28176947854288836</v>
      </c>
      <c r="BP1280">
        <f>Model!BX388</f>
        <v>-0.20929864052700276</v>
      </c>
      <c r="BQ1280">
        <f>Model!BY388</f>
        <v>2.1363266629785382E-2</v>
      </c>
      <c r="BR1280">
        <f>Model!BZ388</f>
        <v>-0.27734912256280742</v>
      </c>
      <c r="BS1280">
        <f>Model!CA388</f>
        <v>0.24356356864223372</v>
      </c>
      <c r="BT1280">
        <f>Model!CB388</f>
        <v>2.2433608284504061</v>
      </c>
      <c r="BU1280">
        <f>Model!CC388</f>
        <v>0.88636687304619821</v>
      </c>
      <c r="BV1280">
        <f>Model!CD388</f>
        <v>0.9962086123096463</v>
      </c>
      <c r="BW1280">
        <f>Model!CE388</f>
        <v>0.34844219521620023</v>
      </c>
      <c r="BX1280">
        <f>Model!CF388</f>
        <v>-0.56441616607061507</v>
      </c>
      <c r="BY1280">
        <f>Model!CG388</f>
        <v>0</v>
      </c>
      <c r="BZ1280">
        <f>Model!CH388</f>
        <v>0</v>
      </c>
      <c r="CA1280">
        <f>Model!CI388</f>
        <v>0</v>
      </c>
      <c r="CB1280">
        <f>Model!CJ388</f>
        <v>0</v>
      </c>
      <c r="CC1280">
        <f>Model!CK388</f>
        <v>0</v>
      </c>
      <c r="CD1280">
        <f>Model!CL388</f>
        <v>0</v>
      </c>
      <c r="CE1280">
        <f>Model!CM388</f>
        <v>0</v>
      </c>
      <c r="CF1280">
        <f>Model!CN388</f>
        <v>0</v>
      </c>
      <c r="CG1280">
        <f>Model!CO388</f>
        <v>0</v>
      </c>
      <c r="CH1280">
        <f>Model!CP388</f>
        <v>0</v>
      </c>
      <c r="CI1280">
        <f>Model!CQ388</f>
        <v>0.15073661433213181</v>
      </c>
      <c r="CJ1280">
        <f>Model!CR388</f>
        <v>-5.983025417426735E-2</v>
      </c>
      <c r="CK1280">
        <f>Model!CS388</f>
        <v>-0.12125521125349048</v>
      </c>
      <c r="CL1280">
        <f>Model!CT388</f>
        <v>6.4263755188483263E-2</v>
      </c>
      <c r="CM1280">
        <f>Model!CU388</f>
        <v>-2.9350937578996206E-2</v>
      </c>
      <c r="CN1280">
        <f>Model!CV388</f>
        <v>-0.30196423183134347</v>
      </c>
      <c r="CO1280">
        <f>Model!CW388</f>
        <v>0.22531905725266244</v>
      </c>
      <c r="CP1280">
        <f>Model!CX388</f>
        <v>0.17028194494936444</v>
      </c>
      <c r="CQ1280">
        <f>Model!CY388</f>
        <v>0.3860712722989903</v>
      </c>
      <c r="CR1280">
        <f>Model!CZ388</f>
        <v>-0.21355913262629966</v>
      </c>
      <c r="CS1280">
        <f>Model!DA388</f>
        <v>-3.6835345771632944E-2</v>
      </c>
      <c r="CT1280">
        <f>Model!DB388</f>
        <v>-3.0544873870018696E-3</v>
      </c>
      <c r="CU1280">
        <f>Model!DC388</f>
        <v>-1.712281649527525E-3</v>
      </c>
      <c r="CV1280">
        <f>Model!DD388</f>
        <v>-1.6130960463777155E-3</v>
      </c>
      <c r="CW1280">
        <f>Model!DE388</f>
        <v>-2.0380563404225338E-3</v>
      </c>
      <c r="CX1280">
        <f>Model!DF388</f>
        <v>8.0073933301694211E-4</v>
      </c>
    </row>
    <row r="1281" spans="1:102">
      <c r="A1281" t="str">
        <f>Model!I392</f>
        <v>Incremental bookings per Total ad dollar</v>
      </c>
      <c r="B1281">
        <f>Model!J392</f>
        <v>0</v>
      </c>
      <c r="C1281">
        <f>Model!K392</f>
        <v>0</v>
      </c>
      <c r="D1281">
        <f>Model!L392</f>
        <v>0</v>
      </c>
      <c r="E1281">
        <f>Model!M392</f>
        <v>0</v>
      </c>
      <c r="F1281">
        <f>Model!N392</f>
        <v>0</v>
      </c>
      <c r="G1281">
        <f>Model!O392</f>
        <v>0</v>
      </c>
      <c r="H1281">
        <f>Model!P392</f>
        <v>0</v>
      </c>
      <c r="I1281">
        <f>Model!Q392</f>
        <v>0</v>
      </c>
      <c r="J1281">
        <f>Model!R392</f>
        <v>0</v>
      </c>
      <c r="K1281">
        <f>Model!S392</f>
        <v>0</v>
      </c>
      <c r="L1281">
        <f>Model!T392</f>
        <v>0</v>
      </c>
      <c r="M1281">
        <f>Model!U392</f>
        <v>0</v>
      </c>
      <c r="N1281">
        <f>Model!V392</f>
        <v>0</v>
      </c>
      <c r="O1281">
        <f>Model!W392</f>
        <v>0</v>
      </c>
      <c r="P1281">
        <f>Model!X392</f>
        <v>0</v>
      </c>
      <c r="Q1281">
        <f>Model!Y392</f>
        <v>0</v>
      </c>
      <c r="R1281">
        <f>Model!Z392</f>
        <v>0</v>
      </c>
      <c r="S1281">
        <f>Model!AA392</f>
        <v>0</v>
      </c>
      <c r="T1281">
        <f>Model!AB392</f>
        <v>0</v>
      </c>
      <c r="U1281">
        <f>Model!AC392</f>
        <v>0</v>
      </c>
      <c r="V1281">
        <f>Model!AD392</f>
        <v>0</v>
      </c>
      <c r="W1281">
        <f>Model!AE392</f>
        <v>0</v>
      </c>
      <c r="X1281">
        <f>Model!AF392</f>
        <v>0</v>
      </c>
      <c r="Y1281">
        <f>Model!AG392</f>
        <v>0</v>
      </c>
      <c r="Z1281">
        <f>Model!AH392</f>
        <v>0</v>
      </c>
      <c r="AA1281">
        <f>Model!AI392</f>
        <v>0</v>
      </c>
      <c r="AB1281">
        <f>Model!AJ392</f>
        <v>0</v>
      </c>
      <c r="AC1281">
        <f>Model!AK392</f>
        <v>21.039123892325712</v>
      </c>
      <c r="AD1281">
        <f>Model!AL392</f>
        <v>22.957453161155495</v>
      </c>
      <c r="AE1281">
        <f>Model!AM392</f>
        <v>23.179678585013313</v>
      </c>
      <c r="AF1281">
        <f>Model!AN392</f>
        <v>27.900253134040501</v>
      </c>
      <c r="AG1281">
        <f>Model!AO392</f>
        <v>28.608242378622492</v>
      </c>
      <c r="AH1281">
        <f>Model!AP392</f>
        <v>29.13253653826947</v>
      </c>
      <c r="AI1281">
        <f>Model!AQ392</f>
        <v>21.754344313647909</v>
      </c>
      <c r="AJ1281">
        <f>Model!AR392</f>
        <v>20.93857717713156</v>
      </c>
      <c r="AK1281">
        <f>Model!AS392</f>
        <v>20.434379142730872</v>
      </c>
      <c r="AL1281">
        <f>Model!AT392</f>
        <v>14.653440017417795</v>
      </c>
      <c r="AM1281">
        <f>Model!AU392</f>
        <v>21.695834543283965</v>
      </c>
      <c r="AN1281">
        <f>Model!AV392</f>
        <v>22.710802504928697</v>
      </c>
      <c r="AO1281">
        <f>Model!AW392</f>
        <v>22.191311340026964</v>
      </c>
      <c r="AP1281">
        <f>Model!AX392</f>
        <v>24.854800993225826</v>
      </c>
      <c r="AQ1281">
        <f>Model!AY392</f>
        <v>22.541925056655479</v>
      </c>
      <c r="AR1281">
        <f>Model!AZ392</f>
        <v>23.945672984874584</v>
      </c>
      <c r="AS1281">
        <f>Model!BA392</f>
        <v>23.67288548555516</v>
      </c>
      <c r="AT1281">
        <f>Model!BB392</f>
        <v>22.906549644293218</v>
      </c>
      <c r="AU1281">
        <f>Model!BC392</f>
        <v>20.947134309191238</v>
      </c>
      <c r="AV1281">
        <f>Model!BD392</f>
        <v>20.110124038198535</v>
      </c>
      <c r="AW1281">
        <f>Model!BE392</f>
        <v>22.343318299461622</v>
      </c>
      <c r="AX1281">
        <f>Model!BF392</f>
        <v>19.781623140284776</v>
      </c>
      <c r="AY1281">
        <f>Model!BG392</f>
        <v>16.460432256176588</v>
      </c>
      <c r="AZ1281">
        <f>Model!BH392</f>
        <v>18.315389202020537</v>
      </c>
      <c r="BA1281">
        <f>Model!BI392</f>
        <v>17.126145775620842</v>
      </c>
      <c r="BB1281">
        <f>Model!BJ392</f>
        <v>16.317166384764409</v>
      </c>
      <c r="BC1281">
        <f>Model!BK392</f>
        <v>15.484926878200731</v>
      </c>
      <c r="BD1281">
        <f>Model!BL392</f>
        <v>22.381519910263606</v>
      </c>
      <c r="BE1281">
        <f>Model!BM392</f>
        <v>21.80005577244841</v>
      </c>
      <c r="BF1281">
        <f>Model!BN392</f>
        <v>16.900837878428586</v>
      </c>
      <c r="BG1281">
        <f>Model!BO392</f>
        <v>15.417036379769302</v>
      </c>
      <c r="BH1281">
        <f>Model!BP392</f>
        <v>12.547641439390187</v>
      </c>
      <c r="BI1281">
        <f>Model!BQ392</f>
        <v>11.28506295479936</v>
      </c>
      <c r="BJ1281">
        <f>Model!BR392</f>
        <v>10.197934595524945</v>
      </c>
      <c r="BK1281">
        <f>Model!BS392</f>
        <v>11.76398127617639</v>
      </c>
      <c r="BL1281">
        <f>Model!BT392</f>
        <v>20.14978601997149</v>
      </c>
      <c r="BM1281">
        <f>Model!BU392</f>
        <v>20.1320686085229</v>
      </c>
      <c r="BN1281">
        <f>Model!BV392</f>
        <v>14.808918010032508</v>
      </c>
      <c r="BO1281">
        <f>Model!BW392</f>
        <v>14.142283199029025</v>
      </c>
      <c r="BP1281">
        <f>Model!BX392</f>
        <v>18.908358263630248</v>
      </c>
      <c r="BQ1281">
        <f>Model!BY392</f>
        <v>19.771505310467521</v>
      </c>
      <c r="BR1281">
        <f>Model!BZ392</f>
        <v>12.452692496987606</v>
      </c>
      <c r="BS1281">
        <f>Model!CA392</f>
        <v>14.727921498661891</v>
      </c>
      <c r="BT1281">
        <f>Model!CB392</f>
        <v>30.366237148877147</v>
      </c>
      <c r="BU1281">
        <f>Model!CC392</f>
        <v>26.098374145157983</v>
      </c>
      <c r="BV1281">
        <f>Model!CD392</f>
        <v>19.403129248287545</v>
      </c>
      <c r="BW1281">
        <f>Model!CE392</f>
        <v>19.531421483666559</v>
      </c>
      <c r="BX1281">
        <f>Model!CF392</f>
        <v>23.262824477641551</v>
      </c>
      <c r="BY1281">
        <f>Model!CG392</f>
        <v>0</v>
      </c>
      <c r="BZ1281">
        <f>Model!CH392</f>
        <v>0</v>
      </c>
      <c r="CA1281">
        <f>Model!CI392</f>
        <v>0</v>
      </c>
      <c r="CB1281">
        <f>Model!CJ392</f>
        <v>0</v>
      </c>
      <c r="CC1281">
        <f>Model!CK392</f>
        <v>0</v>
      </c>
      <c r="CD1281">
        <f>Model!CL392</f>
        <v>0</v>
      </c>
      <c r="CE1281">
        <f>Model!CM392</f>
        <v>0</v>
      </c>
      <c r="CF1281">
        <f>Model!CN392</f>
        <v>0</v>
      </c>
      <c r="CG1281">
        <f>Model!CO392</f>
        <v>0</v>
      </c>
      <c r="CH1281">
        <f>Model!CP392</f>
        <v>20.557158079411035</v>
      </c>
      <c r="CI1281">
        <f>Model!CQ392</f>
        <v>23.285533989967877</v>
      </c>
      <c r="CJ1281">
        <f>Model!CR392</f>
        <v>21.841580136793986</v>
      </c>
      <c r="CK1281">
        <f>Model!CS392</f>
        <v>19.179172062395793</v>
      </c>
      <c r="CL1281">
        <f>Model!CT392</f>
        <v>17.370261955933309</v>
      </c>
      <c r="CM1281">
        <f>Model!CU392</f>
        <v>16.721618932834001</v>
      </c>
      <c r="CN1281">
        <f>Model!CV392</f>
        <v>12.436012102989595</v>
      </c>
      <c r="CO1281">
        <f>Model!CW392</f>
        <v>16.45866723979541</v>
      </c>
      <c r="CP1281">
        <f>Model!CX392</f>
        <v>17.325316138560314</v>
      </c>
      <c r="CQ1281">
        <f>Model!CY392</f>
        <v>21.883888431047254</v>
      </c>
      <c r="CR1281">
        <f>Model!CZ392</f>
        <v>19.262504064157401</v>
      </c>
      <c r="CS1281">
        <f>Model!DA392</f>
        <v>18.847274511388882</v>
      </c>
      <c r="CT1281">
        <f>Model!DB392</f>
        <v>18.997871458293616</v>
      </c>
      <c r="CU1281">
        <f>Model!DC392</f>
        <v>18.936272010357499</v>
      </c>
      <c r="CV1281">
        <f>Model!DD392</f>
        <v>18.892153732094993</v>
      </c>
      <c r="CW1281">
        <f>Model!DE392</f>
        <v>18.825458704055489</v>
      </c>
      <c r="CX1281">
        <f>Model!DF392</f>
        <v>19.229310199275002</v>
      </c>
    </row>
    <row r="1282" spans="1:102">
      <c r="A1282" t="str">
        <f>Model!I393</f>
        <v>% change Y/Y</v>
      </c>
      <c r="B1282">
        <f>Model!J393</f>
        <v>0</v>
      </c>
      <c r="C1282">
        <f>Model!K393</f>
        <v>0</v>
      </c>
      <c r="D1282">
        <f>Model!L393</f>
        <v>0</v>
      </c>
      <c r="E1282">
        <f>Model!M393</f>
        <v>0</v>
      </c>
      <c r="F1282">
        <f>Model!N393</f>
        <v>0</v>
      </c>
      <c r="G1282">
        <f>Model!O393</f>
        <v>0</v>
      </c>
      <c r="H1282">
        <f>Model!P393</f>
        <v>0</v>
      </c>
      <c r="I1282">
        <f>Model!Q393</f>
        <v>0</v>
      </c>
      <c r="J1282">
        <f>Model!R393</f>
        <v>0</v>
      </c>
      <c r="K1282">
        <f>Model!S393</f>
        <v>0</v>
      </c>
      <c r="L1282">
        <f>Model!T393</f>
        <v>0</v>
      </c>
      <c r="M1282">
        <f>Model!U393</f>
        <v>0</v>
      </c>
      <c r="N1282">
        <f>Model!V393</f>
        <v>0</v>
      </c>
      <c r="O1282">
        <f>Model!W393</f>
        <v>0</v>
      </c>
      <c r="P1282">
        <f>Model!X393</f>
        <v>0</v>
      </c>
      <c r="Q1282">
        <f>Model!Y393</f>
        <v>0</v>
      </c>
      <c r="R1282">
        <f>Model!Z393</f>
        <v>0</v>
      </c>
      <c r="S1282">
        <f>Model!AA393</f>
        <v>0</v>
      </c>
      <c r="T1282">
        <f>Model!AB393</f>
        <v>0</v>
      </c>
      <c r="U1282">
        <f>Model!AC393</f>
        <v>0</v>
      </c>
      <c r="V1282">
        <f>Model!AD393</f>
        <v>0</v>
      </c>
      <c r="W1282">
        <f>Model!AE393</f>
        <v>0</v>
      </c>
      <c r="X1282">
        <f>Model!AF393</f>
        <v>0</v>
      </c>
      <c r="Y1282">
        <f>Model!AG393</f>
        <v>0</v>
      </c>
      <c r="Z1282">
        <f>Model!AH393</f>
        <v>0</v>
      </c>
      <c r="AA1282">
        <f>Model!AI393</f>
        <v>0</v>
      </c>
      <c r="AB1282">
        <f>Model!AJ393</f>
        <v>0</v>
      </c>
      <c r="AC1282">
        <f>Model!AK393</f>
        <v>0</v>
      </c>
      <c r="AD1282">
        <f>Model!AL393</f>
        <v>0</v>
      </c>
      <c r="AE1282">
        <f>Model!AM393</f>
        <v>0</v>
      </c>
      <c r="AF1282">
        <f>Model!AN393</f>
        <v>0</v>
      </c>
      <c r="AG1282">
        <f>Model!AO393</f>
        <v>0.3597639580922718</v>
      </c>
      <c r="AH1282">
        <f>Model!AP393</f>
        <v>0.2689794609953664</v>
      </c>
      <c r="AI1282">
        <f>Model!AQ393</f>
        <v>-6.1490683148943459E-2</v>
      </c>
      <c r="AJ1282">
        <f>Model!AR393</f>
        <v>-0.24952017185876885</v>
      </c>
      <c r="AK1282">
        <f>Model!AS393</f>
        <v>-0.28571707159470727</v>
      </c>
      <c r="AL1282">
        <f>Model!AT393</f>
        <v>-0.49700775288933219</v>
      </c>
      <c r="AM1282">
        <f>Model!AU393</f>
        <v>-2.6895671742787064E-3</v>
      </c>
      <c r="AN1282">
        <f>Model!AV393</f>
        <v>8.4639243287872645E-2</v>
      </c>
      <c r="AO1282">
        <f>Model!AW393</f>
        <v>8.5979230639903426E-2</v>
      </c>
      <c r="AP1282">
        <f>Model!AX393</f>
        <v>0.69617516185156481</v>
      </c>
      <c r="AQ1282">
        <f>Model!AY393</f>
        <v>3.899783212687824E-2</v>
      </c>
      <c r="AR1282">
        <f>Model!AZ393</f>
        <v>5.4373705186238741E-2</v>
      </c>
      <c r="AS1282">
        <f>Model!BA393</f>
        <v>6.676370417352695E-2</v>
      </c>
      <c r="AT1282">
        <f>Model!BB393</f>
        <v>-7.8385312739522761E-2</v>
      </c>
      <c r="AU1282">
        <f>Model!BC393</f>
        <v>-7.0747761934972009E-2</v>
      </c>
      <c r="AV1282">
        <f>Model!BD393</f>
        <v>-0.16017712048012989</v>
      </c>
      <c r="AW1282">
        <f>Model!BE393</f>
        <v>-5.6164137105500722E-2</v>
      </c>
      <c r="AX1282">
        <f>Model!BF393</f>
        <v>-0.13642065490151045</v>
      </c>
      <c r="AY1282">
        <f>Model!BG393</f>
        <v>-0.21419168783607612</v>
      </c>
      <c r="AZ1282">
        <f>Model!BH393</f>
        <v>-8.924533895310427E-2</v>
      </c>
      <c r="BA1282">
        <f>Model!BI393</f>
        <v>-0.23350034466306158</v>
      </c>
      <c r="BB1282">
        <f>Model!BJ393</f>
        <v>-0.17513511054940112</v>
      </c>
      <c r="BC1282">
        <f>Model!BK393</f>
        <v>-5.9263654975391655E-2</v>
      </c>
      <c r="BD1282">
        <f>Model!BL393</f>
        <v>0.22200624094815824</v>
      </c>
      <c r="BE1282">
        <f>Model!BM393</f>
        <v>0.27291079137495733</v>
      </c>
      <c r="BF1282">
        <f>Model!BN393</f>
        <v>3.577039541676541E-2</v>
      </c>
      <c r="BG1282">
        <f>Model!BO393</f>
        <v>-4.3842957067498078E-3</v>
      </c>
      <c r="BH1282">
        <f>Model!BP393</f>
        <v>-0.43937491780278282</v>
      </c>
      <c r="BI1282">
        <f>Model!BQ393</f>
        <v>-0.48233788607725614</v>
      </c>
      <c r="BJ1282">
        <f>Model!BR393</f>
        <v>-0.39660183306408159</v>
      </c>
      <c r="BK1282">
        <f>Model!BS393</f>
        <v>-0.23694924326614164</v>
      </c>
      <c r="BL1282">
        <f>Model!BT393</f>
        <v>0.60586243377311289</v>
      </c>
      <c r="BM1282">
        <f>Model!BU393</f>
        <v>0.7839571377810568</v>
      </c>
      <c r="BN1282">
        <f>Model!BV393</f>
        <v>0.45214875338884353</v>
      </c>
      <c r="BO1282">
        <f>Model!BW393</f>
        <v>0.20216811528500211</v>
      </c>
      <c r="BP1282">
        <f>Model!BX393</f>
        <v>-6.1609972190811324E-2</v>
      </c>
      <c r="BQ1282">
        <f>Model!BY393</f>
        <v>-1.7909898136485358E-2</v>
      </c>
      <c r="BR1282">
        <f>Model!BZ393</f>
        <v>-0.15910855279559555</v>
      </c>
      <c r="BS1282">
        <f>Model!CA393</f>
        <v>4.1410449175071973E-2</v>
      </c>
      <c r="BT1282">
        <f>Model!CB393</f>
        <v>0.60596899664662263</v>
      </c>
      <c r="BU1282">
        <f>Model!CC393</f>
        <v>0.31999934933334906</v>
      </c>
      <c r="BV1282">
        <f>Model!CD393</f>
        <v>0.55814730452721761</v>
      </c>
      <c r="BW1282">
        <f>Model!CE393</f>
        <v>0.32614921158026888</v>
      </c>
      <c r="BX1282">
        <f>Model!CF393</f>
        <v>-0.23392469196659282</v>
      </c>
      <c r="BY1282">
        <f>Model!CG393</f>
        <v>0</v>
      </c>
      <c r="BZ1282">
        <f>Model!CH393</f>
        <v>0</v>
      </c>
      <c r="CA1282">
        <f>Model!CI393</f>
        <v>0</v>
      </c>
      <c r="CB1282">
        <f>Model!CJ393</f>
        <v>0</v>
      </c>
      <c r="CC1282">
        <f>Model!CK393</f>
        <v>0</v>
      </c>
      <c r="CD1282">
        <f>Model!CL393</f>
        <v>0</v>
      </c>
      <c r="CE1282">
        <f>Model!CM393</f>
        <v>0</v>
      </c>
      <c r="CF1282">
        <f>Model!CN393</f>
        <v>0</v>
      </c>
      <c r="CG1282">
        <f>Model!CO393</f>
        <v>0</v>
      </c>
      <c r="CH1282">
        <f>Model!CP393</f>
        <v>0</v>
      </c>
      <c r="CI1282">
        <f>Model!CQ393</f>
        <v>0.13272145400727542</v>
      </c>
      <c r="CJ1282">
        <f>Model!CR393</f>
        <v>-6.201076830773955E-2</v>
      </c>
      <c r="CK1282">
        <f>Model!CS393</f>
        <v>-0.12189631234203346</v>
      </c>
      <c r="CL1282">
        <f>Model!CT393</f>
        <v>-9.4316381362946178E-2</v>
      </c>
      <c r="CM1282">
        <f>Model!CU393</f>
        <v>-3.734215550374842E-2</v>
      </c>
      <c r="CN1282">
        <f>Model!CV393</f>
        <v>-0.2562913822554187</v>
      </c>
      <c r="CO1282">
        <f>Model!CW393</f>
        <v>0.32346825521653977</v>
      </c>
      <c r="CP1282">
        <f>Model!CX393</f>
        <v>5.2656079993490312E-2</v>
      </c>
      <c r="CQ1282">
        <f>Model!CY393</f>
        <v>0.26311625462008714</v>
      </c>
      <c r="CR1282">
        <f>Model!CZ393</f>
        <v>-0.11978604145919636</v>
      </c>
      <c r="CS1282">
        <f>Model!DA393</f>
        <v>-2.1556364187414023E-2</v>
      </c>
      <c r="CT1282">
        <f>Model!DB393</f>
        <v>7.9903832680812137E-3</v>
      </c>
      <c r="CU1282">
        <f>Model!DC393</f>
        <v>-3.2424394528275391E-3</v>
      </c>
      <c r="CV1282">
        <f>Model!DD393</f>
        <v>-2.3298291362933155E-3</v>
      </c>
      <c r="CW1282">
        <f>Model!DE393</f>
        <v>-3.5303030551884218E-3</v>
      </c>
      <c r="CX1282">
        <f>Model!DF393</f>
        <v>2.1452411947471495E-2</v>
      </c>
    </row>
    <row r="1283" spans="1:102">
      <c r="A1283" t="str">
        <f>Model!I397</f>
        <v>Incremental bookings per Total ad dollar (constant currency)</v>
      </c>
      <c r="B1283">
        <f>Model!J397</f>
        <v>0</v>
      </c>
      <c r="C1283">
        <f>Model!K397</f>
        <v>0</v>
      </c>
      <c r="D1283">
        <f>Model!L397</f>
        <v>0</v>
      </c>
      <c r="E1283">
        <f>Model!M397</f>
        <v>0</v>
      </c>
      <c r="F1283">
        <f>Model!N397</f>
        <v>0</v>
      </c>
      <c r="G1283">
        <f>Model!O397</f>
        <v>0</v>
      </c>
      <c r="H1283">
        <f>Model!P397</f>
        <v>0</v>
      </c>
      <c r="I1283">
        <f>Model!Q397</f>
        <v>0</v>
      </c>
      <c r="J1283">
        <f>Model!R397</f>
        <v>0</v>
      </c>
      <c r="K1283">
        <f>Model!S397</f>
        <v>0</v>
      </c>
      <c r="L1283">
        <f>Model!T397</f>
        <v>0</v>
      </c>
      <c r="M1283">
        <f>Model!U397</f>
        <v>0</v>
      </c>
      <c r="N1283">
        <f>Model!V397</f>
        <v>0</v>
      </c>
      <c r="O1283">
        <f>Model!W397</f>
        <v>0</v>
      </c>
      <c r="P1283">
        <f>Model!X397</f>
        <v>0</v>
      </c>
      <c r="Q1283">
        <f>Model!Y397</f>
        <v>0</v>
      </c>
      <c r="R1283">
        <f>Model!Z397</f>
        <v>0</v>
      </c>
      <c r="S1283">
        <f>Model!AA397</f>
        <v>0</v>
      </c>
      <c r="T1283">
        <f>Model!AB397</f>
        <v>0</v>
      </c>
      <c r="U1283">
        <f>Model!AC397</f>
        <v>0</v>
      </c>
      <c r="V1283">
        <f>Model!AD397</f>
        <v>0</v>
      </c>
      <c r="W1283">
        <f>Model!AE397</f>
        <v>0</v>
      </c>
      <c r="X1283">
        <f>Model!AF397</f>
        <v>0</v>
      </c>
      <c r="Y1283">
        <f>Model!AG397</f>
        <v>0</v>
      </c>
      <c r="Z1283">
        <f>Model!AH397</f>
        <v>0</v>
      </c>
      <c r="AA1283">
        <f>Model!AI397</f>
        <v>0</v>
      </c>
      <c r="AB1283">
        <f>Model!AJ397</f>
        <v>0</v>
      </c>
      <c r="AC1283">
        <f>Model!AK397</f>
        <v>0</v>
      </c>
      <c r="AD1283">
        <f>Model!AL397</f>
        <v>0</v>
      </c>
      <c r="AE1283">
        <f>Model!AM397</f>
        <v>0</v>
      </c>
      <c r="AF1283">
        <f>Model!AN397</f>
        <v>0</v>
      </c>
      <c r="AG1283">
        <f>Model!AO397</f>
        <v>71.267378016685072</v>
      </c>
      <c r="AH1283">
        <f>Model!AP397</f>
        <v>76.559089224435851</v>
      </c>
      <c r="AI1283">
        <f>Model!AQ397</f>
        <v>70.001403807812082</v>
      </c>
      <c r="AJ1283">
        <f>Model!AR397</f>
        <v>75.728435483910914</v>
      </c>
      <c r="AK1283">
        <f>Model!AS397</f>
        <v>22.321148849386582</v>
      </c>
      <c r="AL1283">
        <f>Model!AT397</f>
        <v>18.97103590379243</v>
      </c>
      <c r="AM1283">
        <f>Model!AU397</f>
        <v>21.526617509857822</v>
      </c>
      <c r="AN1283">
        <f>Model!AV397</f>
        <v>22.94781967424435</v>
      </c>
      <c r="AO1283">
        <f>Model!AW397</f>
        <v>21.486115116643834</v>
      </c>
      <c r="AP1283">
        <f>Model!AX397</f>
        <v>24.284005533198798</v>
      </c>
      <c r="AQ1283">
        <f>Model!AY397</f>
        <v>22.167072522452251</v>
      </c>
      <c r="AR1283">
        <f>Model!AZ397</f>
        <v>23.238043950963238</v>
      </c>
      <c r="AS1283">
        <f>Model!BA397</f>
        <v>23.542979064337644</v>
      </c>
      <c r="AT1283">
        <f>Model!BB397</f>
        <v>23.722834293974017</v>
      </c>
      <c r="AU1283">
        <f>Model!BC397</f>
        <v>21.314622353423637</v>
      </c>
      <c r="AV1283">
        <f>Model!BD397</f>
        <v>20.128896836982932</v>
      </c>
      <c r="AW1283">
        <f>Model!BE397</f>
        <v>22.317126253178646</v>
      </c>
      <c r="AX1283">
        <f>Model!BF397</f>
        <v>20.373812485794843</v>
      </c>
      <c r="AY1283">
        <f>Model!BG397</f>
        <v>17.733307988625739</v>
      </c>
      <c r="AZ1283">
        <f>Model!BH397</f>
        <v>18.380810738894084</v>
      </c>
      <c r="BA1283">
        <f>Model!BI397</f>
        <v>16.921891445863157</v>
      </c>
      <c r="BB1283">
        <f>Model!BJ397</f>
        <v>15.387509970838575</v>
      </c>
      <c r="BC1283">
        <f>Model!BK397</f>
        <v>14.535345915513608</v>
      </c>
      <c r="BD1283">
        <f>Model!BL397</f>
        <v>22.392825258352104</v>
      </c>
      <c r="BE1283">
        <f>Model!BM397</f>
        <v>21.76806393627686</v>
      </c>
      <c r="BF1283">
        <f>Model!BN397</f>
        <v>16.829622998945375</v>
      </c>
      <c r="BG1283">
        <f>Model!BO397</f>
        <v>15.502099348624347</v>
      </c>
      <c r="BH1283">
        <f>Model!BP397</f>
        <v>14.114631513944671</v>
      </c>
      <c r="BI1283">
        <f>Model!BQ397</f>
        <v>14.760252099441761</v>
      </c>
      <c r="BJ1283">
        <f>Model!BR397</f>
        <v>14.24478159218749</v>
      </c>
      <c r="BK1283">
        <f>Model!BS397</f>
        <v>15.200009719465065</v>
      </c>
      <c r="BL1283">
        <f>Model!BT397</f>
        <v>19.125603799355982</v>
      </c>
      <c r="BM1283">
        <f>Model!BU397</f>
        <v>19.170951270948219</v>
      </c>
      <c r="BN1283">
        <f>Model!BV397</f>
        <v>10.430626046163335</v>
      </c>
      <c r="BO1283">
        <f>Model!BW397</f>
        <v>11.699242987737028</v>
      </c>
      <c r="BP1283">
        <f>Model!BX397</f>
        <v>18.885341144146093</v>
      </c>
      <c r="BQ1283">
        <f>Model!BY397</f>
        <v>19.660152005301462</v>
      </c>
      <c r="BR1283">
        <f>Model!BZ397</f>
        <v>12.699647464861489</v>
      </c>
      <c r="BS1283">
        <f>Model!CA397</f>
        <v>14.436911707683713</v>
      </c>
      <c r="BT1283">
        <f>Model!CB397</f>
        <v>46.370514225272018</v>
      </c>
      <c r="BU1283">
        <f>Model!CC397</f>
        <v>34.945885014810614</v>
      </c>
      <c r="BV1283">
        <f>Model!CD397</f>
        <v>20.809606412509929</v>
      </c>
      <c r="BW1283">
        <f>Model!CE397</f>
        <v>19.043003773746985</v>
      </c>
      <c r="BX1283">
        <f>Model!CF397</f>
        <v>22.856796982267923</v>
      </c>
      <c r="BY1283">
        <f>Model!CG397</f>
        <v>0</v>
      </c>
      <c r="BZ1283">
        <f>Model!CH397</f>
        <v>0</v>
      </c>
      <c r="CA1283">
        <f>Model!CI397</f>
        <v>0</v>
      </c>
      <c r="CB1283">
        <f>Model!CJ397</f>
        <v>0</v>
      </c>
      <c r="CC1283">
        <f>Model!CK397</f>
        <v>0</v>
      </c>
      <c r="CD1283">
        <f>Model!CL397</f>
        <v>0</v>
      </c>
      <c r="CE1283">
        <f>Model!CM397</f>
        <v>0</v>
      </c>
      <c r="CF1283">
        <f>Model!CN397</f>
        <v>0</v>
      </c>
      <c r="CG1283">
        <f>Model!CO397</f>
        <v>0</v>
      </c>
      <c r="CH1283">
        <f>Model!CP397</f>
        <v>20.959015263215488</v>
      </c>
      <c r="CI1283">
        <f>Model!CQ397</f>
        <v>23.15842922415915</v>
      </c>
      <c r="CJ1283">
        <f>Model!CR397</f>
        <v>21.884421979073352</v>
      </c>
      <c r="CK1283">
        <f>Model!CS397</f>
        <v>19.488524252777886</v>
      </c>
      <c r="CL1283">
        <f>Model!CT397</f>
        <v>16.981296967946228</v>
      </c>
      <c r="CM1283">
        <f>Model!CU397</f>
        <v>16.893484532926216</v>
      </c>
      <c r="CN1283">
        <f>Model!CV397</f>
        <v>15.283165775108046</v>
      </c>
      <c r="CO1283">
        <f>Model!CW397</f>
        <v>14.7395365136703</v>
      </c>
      <c r="CP1283">
        <f>Model!CX397</f>
        <v>17.159169343847658</v>
      </c>
      <c r="CQ1283">
        <f>Model!CY397</f>
        <v>22.203047434219354</v>
      </c>
      <c r="CR1283">
        <f>Model!CZ397</f>
        <v>19.015245866399603</v>
      </c>
      <c r="CS1283">
        <f>Model!DA397</f>
        <v>18.846584300098979</v>
      </c>
      <c r="CT1283">
        <f>Model!DB397</f>
        <v>18.997871458293634</v>
      </c>
      <c r="CU1283">
        <f>Model!DC397</f>
        <v>18.936272010357499</v>
      </c>
      <c r="CV1283">
        <f>Model!DD397</f>
        <v>18.892153732094993</v>
      </c>
      <c r="CW1283">
        <f>Model!DE397</f>
        <v>18.825458704055489</v>
      </c>
      <c r="CX1283">
        <f>Model!DF397</f>
        <v>19.229310199275002</v>
      </c>
    </row>
    <row r="1284" spans="1:102">
      <c r="A1284" t="str">
        <f>Model!I398</f>
        <v>% change Y/Y</v>
      </c>
      <c r="B1284">
        <f>Model!J398</f>
        <v>0</v>
      </c>
      <c r="C1284">
        <f>Model!K398</f>
        <v>0</v>
      </c>
      <c r="D1284">
        <f>Model!L398</f>
        <v>0</v>
      </c>
      <c r="E1284">
        <f>Model!M398</f>
        <v>0</v>
      </c>
      <c r="F1284">
        <f>Model!N398</f>
        <v>0</v>
      </c>
      <c r="G1284">
        <f>Model!O398</f>
        <v>0</v>
      </c>
      <c r="H1284">
        <f>Model!P398</f>
        <v>0</v>
      </c>
      <c r="I1284">
        <f>Model!Q398</f>
        <v>0</v>
      </c>
      <c r="J1284">
        <f>Model!R398</f>
        <v>0</v>
      </c>
      <c r="K1284">
        <f>Model!S398</f>
        <v>0</v>
      </c>
      <c r="L1284">
        <f>Model!T398</f>
        <v>0</v>
      </c>
      <c r="M1284">
        <f>Model!U398</f>
        <v>0</v>
      </c>
      <c r="N1284">
        <f>Model!V398</f>
        <v>0</v>
      </c>
      <c r="O1284">
        <f>Model!W398</f>
        <v>0</v>
      </c>
      <c r="P1284">
        <f>Model!X398</f>
        <v>0</v>
      </c>
      <c r="Q1284">
        <f>Model!Y398</f>
        <v>0</v>
      </c>
      <c r="R1284">
        <f>Model!Z398</f>
        <v>0</v>
      </c>
      <c r="S1284">
        <f>Model!AA398</f>
        <v>0</v>
      </c>
      <c r="T1284">
        <f>Model!AB398</f>
        <v>0</v>
      </c>
      <c r="U1284">
        <f>Model!AC398</f>
        <v>0</v>
      </c>
      <c r="V1284">
        <f>Model!AD398</f>
        <v>0</v>
      </c>
      <c r="W1284">
        <f>Model!AE398</f>
        <v>0</v>
      </c>
      <c r="X1284">
        <f>Model!AF398</f>
        <v>0</v>
      </c>
      <c r="Y1284">
        <f>Model!AG398</f>
        <v>0</v>
      </c>
      <c r="Z1284">
        <f>Model!AH398</f>
        <v>0</v>
      </c>
      <c r="AA1284">
        <f>Model!AI398</f>
        <v>0</v>
      </c>
      <c r="AB1284">
        <f>Model!AJ398</f>
        <v>0</v>
      </c>
      <c r="AC1284">
        <f>Model!AK398</f>
        <v>0</v>
      </c>
      <c r="AD1284">
        <f>Model!AL398</f>
        <v>0</v>
      </c>
      <c r="AE1284">
        <f>Model!AM398</f>
        <v>0</v>
      </c>
      <c r="AF1284">
        <f>Model!AN398</f>
        <v>0</v>
      </c>
      <c r="AG1284">
        <f>Model!AO398</f>
        <v>0</v>
      </c>
      <c r="AH1284">
        <f>Model!AP398</f>
        <v>0</v>
      </c>
      <c r="AI1284">
        <f>Model!AQ398</f>
        <v>0</v>
      </c>
      <c r="AJ1284">
        <f>Model!AR398</f>
        <v>0</v>
      </c>
      <c r="AK1284">
        <f>Model!AS398</f>
        <v>-0.68679710871135502</v>
      </c>
      <c r="AL1284">
        <f>Model!AT398</f>
        <v>-0.75220400221614281</v>
      </c>
      <c r="AM1284">
        <f>Model!AU398</f>
        <v>-0.69248305978321723</v>
      </c>
      <c r="AN1284">
        <f>Model!AV398</f>
        <v>-0.69697222017587057</v>
      </c>
      <c r="AO1284">
        <f>Model!AW398</f>
        <v>-3.740998003181617E-2</v>
      </c>
      <c r="AP1284">
        <f>Model!AX398</f>
        <v>0.28005690655744697</v>
      </c>
      <c r="AQ1284">
        <f>Model!AY398</f>
        <v>2.9751771837871921E-2</v>
      </c>
      <c r="AR1284">
        <f>Model!AZ398</f>
        <v>1.2647139503393579E-2</v>
      </c>
      <c r="AS1284">
        <f>Model!BA398</f>
        <v>9.5729913785135512E-2</v>
      </c>
      <c r="AT1284">
        <f>Model!BB398</f>
        <v>-2.3108676962604102E-2</v>
      </c>
      <c r="AU1284">
        <f>Model!BC398</f>
        <v>-3.8455694506579374E-2</v>
      </c>
      <c r="AV1284">
        <f>Model!BD398</f>
        <v>-0.13379556044136964</v>
      </c>
      <c r="AW1284">
        <f>Model!BE398</f>
        <v>-5.2068721116771965E-2</v>
      </c>
      <c r="AX1284">
        <f>Model!BF398</f>
        <v>-0.14117292085245814</v>
      </c>
      <c r="AY1284">
        <f>Model!BG398</f>
        <v>-0.16802147865512862</v>
      </c>
      <c r="AZ1284">
        <f>Model!BH398</f>
        <v>-8.6844605158742705E-2</v>
      </c>
      <c r="BA1284">
        <f>Model!BI398</f>
        <v>-0.24175311579585845</v>
      </c>
      <c r="BB1284">
        <f>Model!BJ398</f>
        <v>-0.24474076800465538</v>
      </c>
      <c r="BC1284">
        <f>Model!BK398</f>
        <v>-0.18033646486957344</v>
      </c>
      <c r="BD1284">
        <f>Model!BL398</f>
        <v>0.21827190195525681</v>
      </c>
      <c r="BE1284">
        <f>Model!BM398</f>
        <v>0.28638479959038099</v>
      </c>
      <c r="BF1284">
        <f>Model!BN398</f>
        <v>9.3719713640465496E-2</v>
      </c>
      <c r="BG1284">
        <f>Model!BO398</f>
        <v>6.6510521230796593E-2</v>
      </c>
      <c r="BH1284">
        <f>Model!BP398</f>
        <v>-0.36968062979546634</v>
      </c>
      <c r="BI1284">
        <f>Model!BQ398</f>
        <v>-0.3219308734736146</v>
      </c>
      <c r="BJ1284">
        <f>Model!BR398</f>
        <v>-0.15358878846661417</v>
      </c>
      <c r="BK1284">
        <f>Model!BS398</f>
        <v>-1.9487014136965186E-2</v>
      </c>
      <c r="BL1284">
        <f>Model!BT398</f>
        <v>0.35501970281411022</v>
      </c>
      <c r="BM1284">
        <f>Model!BU398</f>
        <v>0.29882275328300612</v>
      </c>
      <c r="BN1284">
        <f>Model!BV398</f>
        <v>-0.26775809241722726</v>
      </c>
      <c r="BO1284">
        <f>Model!BW398</f>
        <v>-0.2303134535002942</v>
      </c>
      <c r="BP1284">
        <f>Model!BX398</f>
        <v>-1.256235660481364E-2</v>
      </c>
      <c r="BQ1284">
        <f>Model!BY398</f>
        <v>2.5517812206563795E-2</v>
      </c>
      <c r="BR1284">
        <f>Model!BZ398</f>
        <v>0.21753453806665424</v>
      </c>
      <c r="BS1284">
        <f>Model!CA398</f>
        <v>0.23400391998151227</v>
      </c>
      <c r="BT1284">
        <f>Model!CB398</f>
        <v>1.4553707487378658</v>
      </c>
      <c r="BU1284">
        <f>Model!CC398</f>
        <v>0.7774982108677122</v>
      </c>
      <c r="BV1284">
        <f>Model!CD398</f>
        <v>0.63859717130635274</v>
      </c>
      <c r="BW1284">
        <f>Model!CE398</f>
        <v>0.31904968038363668</v>
      </c>
      <c r="BX1284">
        <f>Model!CF398</f>
        <v>-0.50708338339256698</v>
      </c>
      <c r="BY1284">
        <f>Model!CG398</f>
        <v>0</v>
      </c>
      <c r="BZ1284">
        <f>Model!CH398</f>
        <v>0</v>
      </c>
      <c r="CA1284">
        <f>Model!CI398</f>
        <v>0</v>
      </c>
      <c r="CB1284">
        <f>Model!CJ398</f>
        <v>0</v>
      </c>
      <c r="CC1284">
        <f>Model!CK398</f>
        <v>0</v>
      </c>
      <c r="CD1284">
        <f>Model!CL398</f>
        <v>0</v>
      </c>
      <c r="CE1284">
        <f>Model!CM398</f>
        <v>0</v>
      </c>
      <c r="CF1284">
        <f>Model!CN398</f>
        <v>0</v>
      </c>
      <c r="CG1284">
        <f>Model!CO398</f>
        <v>0</v>
      </c>
      <c r="CH1284">
        <f>Model!CP398</f>
        <v>0</v>
      </c>
      <c r="CI1284">
        <f>Model!CQ398</f>
        <v>0.10493880238752373</v>
      </c>
      <c r="CJ1284">
        <f>Model!CR398</f>
        <v>-5.501267951959099E-2</v>
      </c>
      <c r="CK1284">
        <f>Model!CS398</f>
        <v>-0.10947959825425169</v>
      </c>
      <c r="CL1284">
        <f>Model!CT398</f>
        <v>-0.12865146956800888</v>
      </c>
      <c r="CM1284">
        <f>Model!CU398</f>
        <v>-5.1711265155874875E-3</v>
      </c>
      <c r="CN1284">
        <f>Model!CV398</f>
        <v>-9.5321883101119886E-2</v>
      </c>
      <c r="CO1284">
        <f>Model!CW398</f>
        <v>-3.5570461607055459E-2</v>
      </c>
      <c r="CP1284">
        <f>Model!CX398</f>
        <v>0.16415935656682623</v>
      </c>
      <c r="CQ1284">
        <f>Model!CY398</f>
        <v>0.29394651858134124</v>
      </c>
      <c r="CR1284">
        <f>Model!CZ398</f>
        <v>-0.14357495642272544</v>
      </c>
      <c r="CS1284">
        <f>Model!DA398</f>
        <v>-8.8698072844092257E-3</v>
      </c>
      <c r="CT1284">
        <f>Model!DB398</f>
        <v>8.0272985165732447E-3</v>
      </c>
      <c r="CU1284">
        <f>Model!DC398</f>
        <v>-3.2424394528285383E-3</v>
      </c>
      <c r="CV1284">
        <f>Model!DD398</f>
        <v>-2.3298291362933155E-3</v>
      </c>
      <c r="CW1284">
        <f>Model!DE398</f>
        <v>-3.5303030551884218E-3</v>
      </c>
      <c r="CX1284">
        <f>Model!DF398</f>
        <v>2.1452411947471495E-2</v>
      </c>
    </row>
    <row r="1285" spans="1:102">
      <c r="A1285">
        <f>Model!I399</f>
        <v>0</v>
      </c>
      <c r="B1285">
        <f>Model!J399</f>
        <v>0</v>
      </c>
      <c r="C1285">
        <f>Model!K399</f>
        <v>0</v>
      </c>
      <c r="D1285">
        <f>Model!L399</f>
        <v>0</v>
      </c>
      <c r="E1285">
        <f>Model!M399</f>
        <v>0</v>
      </c>
      <c r="F1285">
        <f>Model!N399</f>
        <v>0</v>
      </c>
      <c r="G1285">
        <f>Model!O399</f>
        <v>0</v>
      </c>
      <c r="H1285">
        <f>Model!P399</f>
        <v>0</v>
      </c>
      <c r="I1285">
        <f>Model!Q399</f>
        <v>0</v>
      </c>
      <c r="J1285">
        <f>Model!R399</f>
        <v>0</v>
      </c>
      <c r="K1285">
        <f>Model!S399</f>
        <v>0</v>
      </c>
      <c r="L1285">
        <f>Model!T399</f>
        <v>0</v>
      </c>
      <c r="M1285">
        <f>Model!U399</f>
        <v>0</v>
      </c>
      <c r="N1285">
        <f>Model!V399</f>
        <v>0</v>
      </c>
      <c r="O1285">
        <f>Model!W399</f>
        <v>0</v>
      </c>
      <c r="P1285">
        <f>Model!X399</f>
        <v>0</v>
      </c>
      <c r="Q1285">
        <f>Model!Y399</f>
        <v>0</v>
      </c>
      <c r="R1285">
        <f>Model!Z399</f>
        <v>0</v>
      </c>
      <c r="S1285">
        <f>Model!AA399</f>
        <v>0</v>
      </c>
      <c r="T1285">
        <f>Model!AB399</f>
        <v>0</v>
      </c>
      <c r="U1285">
        <f>Model!AC399</f>
        <v>0</v>
      </c>
      <c r="V1285">
        <f>Model!AD399</f>
        <v>0</v>
      </c>
      <c r="W1285">
        <f>Model!AE399</f>
        <v>0</v>
      </c>
      <c r="X1285">
        <f>Model!AF399</f>
        <v>0</v>
      </c>
      <c r="Y1285">
        <f>Model!AG399</f>
        <v>0</v>
      </c>
      <c r="Z1285">
        <f>Model!AH399</f>
        <v>0</v>
      </c>
      <c r="AA1285">
        <f>Model!AI399</f>
        <v>0</v>
      </c>
      <c r="AB1285">
        <f>Model!AJ399</f>
        <v>0</v>
      </c>
      <c r="AC1285">
        <f>Model!AK399</f>
        <v>0</v>
      </c>
      <c r="AD1285">
        <f>Model!AL399</f>
        <v>0</v>
      </c>
      <c r="AE1285">
        <f>Model!AM399</f>
        <v>0</v>
      </c>
      <c r="AF1285">
        <f>Model!AN399</f>
        <v>0</v>
      </c>
      <c r="AG1285">
        <f>Model!AO399</f>
        <v>0</v>
      </c>
      <c r="AH1285">
        <f>Model!AP399</f>
        <v>0</v>
      </c>
      <c r="AI1285">
        <f>Model!AQ399</f>
        <v>0</v>
      </c>
      <c r="AJ1285">
        <f>Model!AR399</f>
        <v>0</v>
      </c>
      <c r="AK1285">
        <f>Model!AS399</f>
        <v>0</v>
      </c>
      <c r="AL1285">
        <f>Model!AT399</f>
        <v>0</v>
      </c>
      <c r="AM1285">
        <f>Model!AU399</f>
        <v>0</v>
      </c>
      <c r="AN1285">
        <f>Model!AV399</f>
        <v>0</v>
      </c>
      <c r="AO1285">
        <f>Model!AW399</f>
        <v>0</v>
      </c>
      <c r="AP1285">
        <f>Model!AX399</f>
        <v>0</v>
      </c>
      <c r="AQ1285">
        <f>Model!AY399</f>
        <v>0</v>
      </c>
      <c r="AR1285">
        <f>Model!AZ399</f>
        <v>0</v>
      </c>
      <c r="AS1285">
        <f>Model!BA399</f>
        <v>0</v>
      </c>
      <c r="AT1285">
        <f>Model!BB399</f>
        <v>0</v>
      </c>
      <c r="AU1285">
        <f>Model!BC399</f>
        <v>0</v>
      </c>
      <c r="AV1285">
        <f>Model!BD399</f>
        <v>0</v>
      </c>
      <c r="AW1285">
        <f>Model!BE399</f>
        <v>0</v>
      </c>
      <c r="AX1285">
        <f>Model!BF399</f>
        <v>0</v>
      </c>
      <c r="AY1285">
        <f>Model!BG399</f>
        <v>0</v>
      </c>
      <c r="AZ1285">
        <f>Model!BH399</f>
        <v>0</v>
      </c>
      <c r="BA1285">
        <f>Model!BI399</f>
        <v>0</v>
      </c>
      <c r="BB1285">
        <f>Model!BJ399</f>
        <v>0</v>
      </c>
      <c r="BC1285">
        <f>Model!BK399</f>
        <v>0</v>
      </c>
      <c r="BD1285">
        <f>Model!BL399</f>
        <v>0</v>
      </c>
      <c r="BE1285">
        <f>Model!BM399</f>
        <v>0</v>
      </c>
      <c r="BF1285">
        <f>Model!BN399</f>
        <v>0</v>
      </c>
      <c r="BG1285">
        <f>Model!BO399</f>
        <v>0</v>
      </c>
      <c r="BH1285">
        <f>Model!BP399</f>
        <v>0</v>
      </c>
      <c r="BI1285">
        <f>Model!BQ399</f>
        <v>0</v>
      </c>
      <c r="BJ1285">
        <f>Model!BR399</f>
        <v>0</v>
      </c>
      <c r="BK1285">
        <f>Model!BS399</f>
        <v>0</v>
      </c>
      <c r="BL1285">
        <f>Model!BT399</f>
        <v>0</v>
      </c>
      <c r="BM1285">
        <f>Model!BU399</f>
        <v>0</v>
      </c>
      <c r="BN1285">
        <f>Model!BV399</f>
        <v>0</v>
      </c>
      <c r="BO1285">
        <f>Model!BW399</f>
        <v>0</v>
      </c>
      <c r="BP1285">
        <f>Model!BX399</f>
        <v>0</v>
      </c>
      <c r="BQ1285">
        <f>Model!BY399</f>
        <v>0</v>
      </c>
      <c r="BR1285">
        <f>Model!BZ399</f>
        <v>0</v>
      </c>
      <c r="BS1285">
        <f>Model!CA399</f>
        <v>0</v>
      </c>
      <c r="BT1285">
        <f>Model!CB399</f>
        <v>0</v>
      </c>
      <c r="BU1285">
        <f>Model!CC399</f>
        <v>0</v>
      </c>
      <c r="BV1285">
        <f>Model!CD399</f>
        <v>0</v>
      </c>
      <c r="BW1285">
        <f>Model!CE399</f>
        <v>0</v>
      </c>
      <c r="BX1285">
        <f>Model!CF399</f>
        <v>0</v>
      </c>
      <c r="BY1285">
        <f>Model!CG399</f>
        <v>0</v>
      </c>
      <c r="BZ1285">
        <f>Model!CH399</f>
        <v>0</v>
      </c>
      <c r="CA1285">
        <f>Model!CI399</f>
        <v>0</v>
      </c>
      <c r="CB1285">
        <f>Model!CJ399</f>
        <v>0</v>
      </c>
      <c r="CC1285">
        <f>Model!CK399</f>
        <v>0</v>
      </c>
      <c r="CD1285">
        <f>Model!CL399</f>
        <v>0</v>
      </c>
      <c r="CE1285">
        <f>Model!CM399</f>
        <v>0</v>
      </c>
      <c r="CF1285">
        <f>Model!CN399</f>
        <v>0</v>
      </c>
      <c r="CG1285">
        <f>Model!CO399</f>
        <v>0</v>
      </c>
      <c r="CH1285">
        <f>Model!CP399</f>
        <v>0</v>
      </c>
      <c r="CI1285">
        <f>Model!CQ399</f>
        <v>0</v>
      </c>
      <c r="CJ1285">
        <f>Model!CR399</f>
        <v>0</v>
      </c>
      <c r="CK1285">
        <f>Model!CS399</f>
        <v>0</v>
      </c>
      <c r="CL1285">
        <f>Model!CT399</f>
        <v>0</v>
      </c>
      <c r="CM1285">
        <f>Model!CU399</f>
        <v>0</v>
      </c>
      <c r="CN1285">
        <f>Model!CV399</f>
        <v>0</v>
      </c>
      <c r="CO1285">
        <f>Model!CW399</f>
        <v>0</v>
      </c>
      <c r="CP1285">
        <f>Model!CX399</f>
        <v>0</v>
      </c>
      <c r="CQ1285">
        <f>Model!CY399</f>
        <v>0</v>
      </c>
      <c r="CR1285">
        <f>Model!CZ399</f>
        <v>0</v>
      </c>
      <c r="CS1285">
        <f>Model!DA399</f>
        <v>0</v>
      </c>
      <c r="CT1285">
        <f>Model!DB399</f>
        <v>0</v>
      </c>
      <c r="CU1285">
        <f>Model!DC399</f>
        <v>0</v>
      </c>
      <c r="CV1285">
        <f>Model!DD399</f>
        <v>0</v>
      </c>
      <c r="CW1285">
        <f>Model!DE399</f>
        <v>0</v>
      </c>
      <c r="CX1285">
        <f>Model!DF399</f>
        <v>0</v>
      </c>
    </row>
    <row r="1286" spans="1:102">
      <c r="A1286" t="str">
        <f>Model!I400</f>
        <v>Online Ad Spend % of Bookings</v>
      </c>
      <c r="B1286">
        <f>Model!J400</f>
        <v>0</v>
      </c>
      <c r="C1286">
        <f>Model!K400</f>
        <v>0</v>
      </c>
      <c r="D1286">
        <f>Model!L400</f>
        <v>0</v>
      </c>
      <c r="E1286">
        <f>Model!M400</f>
        <v>0</v>
      </c>
      <c r="F1286">
        <f>Model!N400</f>
        <v>0</v>
      </c>
      <c r="G1286">
        <f>Model!O400</f>
        <v>0</v>
      </c>
      <c r="H1286">
        <f>Model!P400</f>
        <v>0</v>
      </c>
      <c r="I1286">
        <f>Model!Q400</f>
        <v>0</v>
      </c>
      <c r="J1286">
        <f>Model!R400</f>
        <v>0</v>
      </c>
      <c r="K1286">
        <f>Model!S400</f>
        <v>0</v>
      </c>
      <c r="L1286">
        <f>Model!T400</f>
        <v>0</v>
      </c>
      <c r="M1286">
        <f>Model!U400</f>
        <v>0</v>
      </c>
      <c r="N1286">
        <f>Model!V400</f>
        <v>0</v>
      </c>
      <c r="O1286">
        <f>Model!W400</f>
        <v>0</v>
      </c>
      <c r="P1286">
        <f>Model!X400</f>
        <v>0</v>
      </c>
      <c r="Q1286">
        <f>Model!Y400</f>
        <v>0</v>
      </c>
      <c r="R1286">
        <f>Model!Z400</f>
        <v>0</v>
      </c>
      <c r="S1286">
        <f>Model!AA400</f>
        <v>0</v>
      </c>
      <c r="T1286">
        <f>Model!AB400</f>
        <v>0</v>
      </c>
      <c r="U1286">
        <f>Model!AC400</f>
        <v>0</v>
      </c>
      <c r="V1286">
        <f>Model!AD400</f>
        <v>0</v>
      </c>
      <c r="W1286">
        <f>Model!AE400</f>
        <v>0</v>
      </c>
      <c r="X1286">
        <f>Model!AF400</f>
        <v>0</v>
      </c>
      <c r="Y1286">
        <f>Model!AG400</f>
        <v>2.9272074566730186E-2</v>
      </c>
      <c r="Z1286">
        <f>Model!AH400</f>
        <v>3.2881867687496631E-2</v>
      </c>
      <c r="AA1286">
        <f>Model!AI400</f>
        <v>3.8265306122448987E-2</v>
      </c>
      <c r="AB1286">
        <f>Model!AJ400</f>
        <v>3.624412386686602E-2</v>
      </c>
      <c r="AC1286">
        <f>Model!AK400</f>
        <v>3.1975250653235733E-2</v>
      </c>
      <c r="AD1286">
        <f>Model!AL400</f>
        <v>3.520091731306952E-2</v>
      </c>
      <c r="AE1286">
        <f>Model!AM400</f>
        <v>3.8717666067680415E-2</v>
      </c>
      <c r="AF1286">
        <f>Model!AN400</f>
        <v>3.603491489059852E-2</v>
      </c>
      <c r="AG1286">
        <f>Model!AO400</f>
        <v>3.2866829067469121E-2</v>
      </c>
      <c r="AH1286">
        <f>Model!AP400</f>
        <v>3.4531378482581462E-2</v>
      </c>
      <c r="AI1286">
        <f>Model!AQ400</f>
        <v>4.1108998272067231E-2</v>
      </c>
      <c r="AJ1286">
        <f>Model!AR400</f>
        <v>3.7648039008502394E-2</v>
      </c>
      <c r="AK1286">
        <f>Model!AS400</f>
        <v>3.5047108846337494E-2</v>
      </c>
      <c r="AL1286">
        <f>Model!AT400</f>
        <v>3.7873164597184407E-2</v>
      </c>
      <c r="AM1286">
        <f>Model!AU400</f>
        <v>4.2273048126849622E-2</v>
      </c>
      <c r="AN1286">
        <f>Model!AV400</f>
        <v>4.0651742097653563E-2</v>
      </c>
      <c r="AO1286">
        <f>Model!AW400</f>
        <v>3.8151985280104696E-2</v>
      </c>
      <c r="AP1286">
        <f>Model!AX400</f>
        <v>3.8859532341401333E-2</v>
      </c>
      <c r="AQ1286">
        <f>Model!AY400</f>
        <v>4.3117074388417373E-2</v>
      </c>
      <c r="AR1286">
        <f>Model!AZ400</f>
        <v>4.0975803981623281E-2</v>
      </c>
      <c r="AS1286">
        <f>Model!BA400</f>
        <v>3.9680171489817791E-2</v>
      </c>
      <c r="AT1286">
        <f>Model!BB400</f>
        <v>4.087923875432526E-2</v>
      </c>
      <c r="AU1286">
        <f>Model!BC400</f>
        <v>4.4738053380214159E-2</v>
      </c>
      <c r="AV1286">
        <f>Model!BD400</f>
        <v>4.3966303470540757E-2</v>
      </c>
      <c r="AW1286">
        <f>Model!BE400</f>
        <v>4.1295783042765613E-2</v>
      </c>
      <c r="AX1286">
        <f>Model!BF400</f>
        <v>4.2908991676899988E-2</v>
      </c>
      <c r="AY1286">
        <f>Model!BG400</f>
        <v>4.790653728294178E-2</v>
      </c>
      <c r="AZ1286">
        <f>Model!BH400</f>
        <v>4.660039489671932E-2</v>
      </c>
      <c r="BA1286">
        <f>Model!BI400</f>
        <v>4.404599584835573E-2</v>
      </c>
      <c r="BB1286">
        <f>Model!BJ400</f>
        <v>4.577789858653751E-2</v>
      </c>
      <c r="BC1286">
        <f>Model!BK400</f>
        <v>4.9527542963307011E-2</v>
      </c>
      <c r="BD1286">
        <f>Model!BL400</f>
        <v>4.3684942000437731E-2</v>
      </c>
      <c r="BE1286">
        <f>Model!BM400</f>
        <v>4.2414332247557002E-2</v>
      </c>
      <c r="BF1286">
        <f>Model!BN400</f>
        <v>4.7248855074604815E-2</v>
      </c>
      <c r="BG1286">
        <f>Model!BO400</f>
        <v>5.0626781451204514E-2</v>
      </c>
      <c r="BH1286">
        <f>Model!BP400</f>
        <v>4.6899709165963033E-2</v>
      </c>
      <c r="BI1286">
        <f>Model!BQ400</f>
        <v>4.599230490018149E-2</v>
      </c>
      <c r="BJ1286">
        <f>Model!BR400</f>
        <v>5.0714572192513373E-2</v>
      </c>
      <c r="BK1286">
        <f>Model!BS400</f>
        <v>5.3101163892272298E-2</v>
      </c>
      <c r="BL1286">
        <f>Model!BT400</f>
        <v>4.6712858926342075E-2</v>
      </c>
      <c r="BM1286">
        <f>Model!BU400</f>
        <v>4.6832943013270879E-2</v>
      </c>
      <c r="BN1286">
        <f>Model!BV400</f>
        <v>5.1548706751763519E-2</v>
      </c>
      <c r="BO1286">
        <f>Model!BW400</f>
        <v>5.6346099674972908E-2</v>
      </c>
      <c r="BP1286">
        <f>Model!BX400</f>
        <v>4.8866199047114874E-2</v>
      </c>
      <c r="BQ1286">
        <f>Model!BY400</f>
        <v>4.7410112631120993E-2</v>
      </c>
      <c r="BR1286">
        <f>Model!BZ400</f>
        <v>5.5180506803865936E-2</v>
      </c>
      <c r="BS1286">
        <f>Model!CA400</f>
        <v>5.6260683760683765E-2</v>
      </c>
      <c r="BT1286">
        <f>Model!CB400</f>
        <v>4.3885650723025582E-2</v>
      </c>
      <c r="BU1286">
        <f>Model!CC400</f>
        <v>4.3867611197693231E-2</v>
      </c>
      <c r="BV1286">
        <f>Model!CD400</f>
        <v>5.236529192579073E-2</v>
      </c>
      <c r="BW1286">
        <f>Model!CE400</f>
        <v>5.4429248212459348E-2</v>
      </c>
      <c r="BX1286">
        <f>Model!CF400</f>
        <v>4.3266841494126608E-2</v>
      </c>
      <c r="BY1286">
        <f>Model!CG400</f>
        <v>0</v>
      </c>
      <c r="BZ1286">
        <f>Model!CH400</f>
        <v>0</v>
      </c>
      <c r="CA1286">
        <f>Model!CI400</f>
        <v>0</v>
      </c>
      <c r="CB1286">
        <f>Model!CJ400</f>
        <v>0</v>
      </c>
      <c r="CC1286">
        <f>Model!CK400</f>
        <v>0</v>
      </c>
      <c r="CD1286">
        <f>Model!CL400</f>
        <v>0</v>
      </c>
      <c r="CE1286">
        <f>Model!CM400</f>
        <v>0</v>
      </c>
      <c r="CF1286">
        <f>Model!CN400</f>
        <v>0</v>
      </c>
      <c r="CG1286">
        <f>Model!CO400</f>
        <v>3.6582124309656183E-2</v>
      </c>
      <c r="CH1286">
        <f>Model!CP400</f>
        <v>3.9245818126667685E-2</v>
      </c>
      <c r="CI1286">
        <f>Model!CQ400</f>
        <v>4.0462044390704159E-2</v>
      </c>
      <c r="CJ1286">
        <f>Model!CR400</f>
        <v>4.244219226151999E-2</v>
      </c>
      <c r="CK1286">
        <f>Model!CS400</f>
        <v>4.4758117795895412E-2</v>
      </c>
      <c r="CL1286">
        <f>Model!CT400</f>
        <v>4.591542644168177E-2</v>
      </c>
      <c r="CM1286">
        <f>Model!CU400</f>
        <v>4.6922882703777334E-2</v>
      </c>
      <c r="CN1286">
        <f>Model!CV400</f>
        <v>4.9312382941939202E-2</v>
      </c>
      <c r="CO1286">
        <f>Model!CW400</f>
        <v>5.1100606576879579E-2</v>
      </c>
      <c r="CP1286">
        <f>Model!CX400</f>
        <v>5.0990704946691952E-2</v>
      </c>
      <c r="CQ1286">
        <f>Model!CY400</f>
        <v>4.8641289832098561E-2</v>
      </c>
      <c r="CR1286">
        <f>Model!CZ400</f>
        <v>4.8337204017689879E-2</v>
      </c>
      <c r="CS1286">
        <f>Model!DA400</f>
        <v>4.8302344599154216E-2</v>
      </c>
      <c r="CT1286">
        <f>Model!DB400</f>
        <v>4.8289623421081278E-2</v>
      </c>
      <c r="CU1286">
        <f>Model!DC400</f>
        <v>4.8286528808900497E-2</v>
      </c>
      <c r="CV1286">
        <f>Model!DD400</f>
        <v>4.8290135730566612E-2</v>
      </c>
      <c r="CW1286">
        <f>Model!DE400</f>
        <v>4.8300283319863642E-2</v>
      </c>
      <c r="CX1286">
        <f>Model!DF400</f>
        <v>4.8306924062336887E-2</v>
      </c>
    </row>
    <row r="1287" spans="1:102">
      <c r="A1287" t="str">
        <f>Model!I401</f>
        <v>change Y/Y (in bp)</v>
      </c>
      <c r="B1287">
        <f>Model!J401</f>
        <v>0</v>
      </c>
      <c r="C1287">
        <f>Model!K401</f>
        <v>0</v>
      </c>
      <c r="D1287">
        <f>Model!L401</f>
        <v>0</v>
      </c>
      <c r="E1287">
        <f>Model!M401</f>
        <v>0</v>
      </c>
      <c r="F1287">
        <f>Model!N401</f>
        <v>0</v>
      </c>
      <c r="G1287">
        <f>Model!O401</f>
        <v>0</v>
      </c>
      <c r="H1287">
        <f>Model!P401</f>
        <v>0</v>
      </c>
      <c r="I1287">
        <f>Model!Q401</f>
        <v>0</v>
      </c>
      <c r="J1287">
        <f>Model!R401</f>
        <v>0</v>
      </c>
      <c r="K1287">
        <f>Model!S401</f>
        <v>0</v>
      </c>
      <c r="L1287">
        <f>Model!T401</f>
        <v>0</v>
      </c>
      <c r="M1287">
        <f>Model!U401</f>
        <v>0</v>
      </c>
      <c r="N1287">
        <f>Model!V401</f>
        <v>0</v>
      </c>
      <c r="O1287">
        <f>Model!W401</f>
        <v>0</v>
      </c>
      <c r="P1287">
        <f>Model!X401</f>
        <v>0</v>
      </c>
      <c r="Q1287">
        <f>Model!Y401</f>
        <v>0</v>
      </c>
      <c r="R1287">
        <f>Model!Z401</f>
        <v>0</v>
      </c>
      <c r="S1287">
        <f>Model!AA401</f>
        <v>0</v>
      </c>
      <c r="T1287">
        <f>Model!AB401</f>
        <v>0</v>
      </c>
      <c r="U1287">
        <f>Model!AC401</f>
        <v>0</v>
      </c>
      <c r="V1287">
        <f>Model!AD401</f>
        <v>0</v>
      </c>
      <c r="W1287">
        <f>Model!AE401</f>
        <v>0</v>
      </c>
      <c r="X1287">
        <f>Model!AF401</f>
        <v>0</v>
      </c>
      <c r="Y1287">
        <f>Model!AG401</f>
        <v>0</v>
      </c>
      <c r="Z1287">
        <f>Model!AH401</f>
        <v>0</v>
      </c>
      <c r="AA1287">
        <f>Model!AI401</f>
        <v>0</v>
      </c>
      <c r="AB1287">
        <f>Model!AJ401</f>
        <v>0</v>
      </c>
      <c r="AC1287">
        <f>Model!AK401</f>
        <v>27.031760865055475</v>
      </c>
      <c r="AD1287">
        <f>Model!AL401</f>
        <v>23.190496255728888</v>
      </c>
      <c r="AE1287">
        <f>Model!AM401</f>
        <v>4.5235994523142722</v>
      </c>
      <c r="AF1287">
        <f>Model!AN401</f>
        <v>-2.0920897626749979</v>
      </c>
      <c r="AG1287">
        <f>Model!AO401</f>
        <v>8.9157841423338766</v>
      </c>
      <c r="AH1287">
        <f>Model!AP401</f>
        <v>-6.6953883048805753</v>
      </c>
      <c r="AI1287">
        <f>Model!AQ401</f>
        <v>23.91332204386816</v>
      </c>
      <c r="AJ1287">
        <f>Model!AR401</f>
        <v>16.131241179038746</v>
      </c>
      <c r="AK1287">
        <f>Model!AS401</f>
        <v>21.80279778868373</v>
      </c>
      <c r="AL1287">
        <f>Model!AT401</f>
        <v>33.417861146029445</v>
      </c>
      <c r="AM1287">
        <f>Model!AU401</f>
        <v>11.64049854782391</v>
      </c>
      <c r="AN1287">
        <f>Model!AV401</f>
        <v>30.037030891511691</v>
      </c>
      <c r="AO1287">
        <f>Model!AW401</f>
        <v>31.048764337672022</v>
      </c>
      <c r="AP1287">
        <f>Model!AX401</f>
        <v>9.8636774421692603</v>
      </c>
      <c r="AQ1287">
        <f>Model!AY401</f>
        <v>8.4402626156775131</v>
      </c>
      <c r="AR1287">
        <f>Model!AZ401</f>
        <v>3.2406188396971736</v>
      </c>
      <c r="AS1287">
        <f>Model!BA401</f>
        <v>15.281862097130949</v>
      </c>
      <c r="AT1287">
        <f>Model!BB401</f>
        <v>20.197064129239273</v>
      </c>
      <c r="AU1287">
        <f>Model!BC401</f>
        <v>16.209789917967857</v>
      </c>
      <c r="AV1287">
        <f>Model!BD401</f>
        <v>29.904994889174766</v>
      </c>
      <c r="AW1287">
        <f>Model!BE401</f>
        <v>16.156115529478225</v>
      </c>
      <c r="AX1287">
        <f>Model!BF401</f>
        <v>20.297529225747276</v>
      </c>
      <c r="AY1287">
        <f>Model!BG401</f>
        <v>31.684839027276215</v>
      </c>
      <c r="AZ1287">
        <f>Model!BH401</f>
        <v>26.340914261785628</v>
      </c>
      <c r="BA1287">
        <f>Model!BI401</f>
        <v>27.502128055901174</v>
      </c>
      <c r="BB1287">
        <f>Model!BJ401</f>
        <v>28.689069096375224</v>
      </c>
      <c r="BC1287">
        <f>Model!BK401</f>
        <v>16.210056803652311</v>
      </c>
      <c r="BD1287">
        <f>Model!BL401</f>
        <v>-29.154528962815895</v>
      </c>
      <c r="BE1287">
        <f>Model!BM401</f>
        <v>-16.316636007987288</v>
      </c>
      <c r="BF1287">
        <f>Model!BN401</f>
        <v>14.709564880673042</v>
      </c>
      <c r="BG1287">
        <f>Model!BO401</f>
        <v>10.992384878975026</v>
      </c>
      <c r="BH1287">
        <f>Model!BP401</f>
        <v>32.147671655253021</v>
      </c>
      <c r="BI1287">
        <f>Model!BQ401</f>
        <v>35.779726526244879</v>
      </c>
      <c r="BJ1287">
        <f>Model!BR401</f>
        <v>34.65717117908558</v>
      </c>
      <c r="BK1287">
        <f>Model!BS401</f>
        <v>24.743824410677835</v>
      </c>
      <c r="BL1287">
        <f>Model!BT401</f>
        <v>-1.868502396209573</v>
      </c>
      <c r="BM1287">
        <f>Model!BU401</f>
        <v>8.406381130893898</v>
      </c>
      <c r="BN1287">
        <f>Model!BV401</f>
        <v>8.3413455925014652</v>
      </c>
      <c r="BO1287">
        <f>Model!BW401</f>
        <v>32.449357827006104</v>
      </c>
      <c r="BP1287">
        <f>Model!BX401</f>
        <v>21.53340120772798</v>
      </c>
      <c r="BQ1287">
        <f>Model!BY401</f>
        <v>5.7716961785011369</v>
      </c>
      <c r="BR1287">
        <f>Model!BZ401</f>
        <v>36.318000521024175</v>
      </c>
      <c r="BS1287">
        <f>Model!CA401</f>
        <v>-0.85415914289142802</v>
      </c>
      <c r="BT1287">
        <f>Model!CB401</f>
        <v>-49.805483240892912</v>
      </c>
      <c r="BU1287">
        <f>Model!CC401</f>
        <v>-35.425014334277627</v>
      </c>
      <c r="BV1287">
        <f>Model!CD401</f>
        <v>-28.152148780752061</v>
      </c>
      <c r="BW1287">
        <f>Model!CE401</f>
        <v>-18.314355482244167</v>
      </c>
      <c r="BX1287">
        <f>Model!CF401</f>
        <v>-6.1880922889897407</v>
      </c>
      <c r="BY1287">
        <f>Model!CG401</f>
        <v>0</v>
      </c>
      <c r="BZ1287">
        <f>Model!CH401</f>
        <v>0</v>
      </c>
      <c r="CA1287">
        <f>Model!CI401</f>
        <v>0</v>
      </c>
      <c r="CB1287">
        <f>Model!CJ401</f>
        <v>0</v>
      </c>
      <c r="CC1287">
        <f>Model!CK401</f>
        <v>0</v>
      </c>
      <c r="CD1287">
        <f>Model!CL401</f>
        <v>0</v>
      </c>
      <c r="CE1287">
        <f>Model!CM401</f>
        <v>0</v>
      </c>
      <c r="CF1287">
        <f>Model!CN401</f>
        <v>0</v>
      </c>
      <c r="CG1287">
        <f>Model!CO401</f>
        <v>0</v>
      </c>
      <c r="CH1287">
        <f>Model!CP401</f>
        <v>26.63693817011502</v>
      </c>
      <c r="CI1287">
        <f>Model!CQ401</f>
        <v>12.162262640364741</v>
      </c>
      <c r="CJ1287">
        <f>Model!CR401</f>
        <v>19.801478708158307</v>
      </c>
      <c r="CK1287">
        <f>Model!CS401</f>
        <v>23.159255343754221</v>
      </c>
      <c r="CL1287">
        <f>Model!CT401</f>
        <v>11.573086457863576</v>
      </c>
      <c r="CM1287">
        <f>Model!CU401</f>
        <v>10.074562620955643</v>
      </c>
      <c r="CN1287">
        <f>Model!CV401</f>
        <v>23.895002381618681</v>
      </c>
      <c r="CO1287">
        <f>Model!CW401</f>
        <v>17.882236349403765</v>
      </c>
      <c r="CP1287">
        <f>Model!CX401</f>
        <v>-1.0990163018762682</v>
      </c>
      <c r="CQ1287">
        <f>Model!CY401</f>
        <v>-23.494151145933909</v>
      </c>
      <c r="CR1287">
        <f>Model!CZ401</f>
        <v>-3.0408581440868194</v>
      </c>
      <c r="CS1287">
        <f>Model!DA401</f>
        <v>-0.34859418535662656</v>
      </c>
      <c r="CT1287">
        <f>Model!DB401</f>
        <v>-0.12721178072938599</v>
      </c>
      <c r="CU1287">
        <f>Model!DC401</f>
        <v>-3.0946121807803872E-2</v>
      </c>
      <c r="CV1287">
        <f>Model!DD401</f>
        <v>3.6069216661147041E-2</v>
      </c>
      <c r="CW1287">
        <f>Model!DE401</f>
        <v>0.10147589297029858</v>
      </c>
      <c r="CX1287">
        <f>Model!DF401</f>
        <v>6.6407424732448095E-2</v>
      </c>
    </row>
    <row r="1288" spans="1:102">
      <c r="A1288" t="str">
        <f>Model!I402</f>
        <v>Seq. change (in bp)</v>
      </c>
      <c r="B1288">
        <f>Model!J402</f>
        <v>0</v>
      </c>
      <c r="C1288">
        <f>Model!K402</f>
        <v>0</v>
      </c>
      <c r="D1288">
        <f>Model!L402</f>
        <v>0</v>
      </c>
      <c r="E1288">
        <f>Model!M402</f>
        <v>0</v>
      </c>
      <c r="F1288">
        <f>Model!N402</f>
        <v>0</v>
      </c>
      <c r="G1288">
        <f>Model!O402</f>
        <v>0</v>
      </c>
      <c r="H1288">
        <f>Model!P402</f>
        <v>0</v>
      </c>
      <c r="I1288">
        <f>Model!Q402</f>
        <v>0</v>
      </c>
      <c r="J1288">
        <f>Model!R402</f>
        <v>0</v>
      </c>
      <c r="K1288">
        <f>Model!S402</f>
        <v>0</v>
      </c>
      <c r="L1288">
        <f>Model!T402</f>
        <v>0</v>
      </c>
      <c r="M1288">
        <f>Model!U402</f>
        <v>0</v>
      </c>
      <c r="N1288">
        <f>Model!V402</f>
        <v>0</v>
      </c>
      <c r="O1288">
        <f>Model!W402</f>
        <v>0</v>
      </c>
      <c r="P1288">
        <f>Model!X402</f>
        <v>0</v>
      </c>
      <c r="Q1288">
        <f>Model!Y402</f>
        <v>0</v>
      </c>
      <c r="R1288">
        <f>Model!Z402</f>
        <v>0</v>
      </c>
      <c r="S1288">
        <f>Model!AA402</f>
        <v>0</v>
      </c>
      <c r="T1288">
        <f>Model!AB402</f>
        <v>0</v>
      </c>
      <c r="U1288">
        <f>Model!AC402</f>
        <v>0</v>
      </c>
      <c r="V1288">
        <f>Model!AD402</f>
        <v>0</v>
      </c>
      <c r="W1288">
        <f>Model!AE402</f>
        <v>0</v>
      </c>
      <c r="X1288">
        <f>Model!AF402</f>
        <v>0</v>
      </c>
      <c r="Y1288">
        <f>Model!AG402</f>
        <v>0</v>
      </c>
      <c r="Z1288">
        <f>Model!AH402</f>
        <v>36.097931207664452</v>
      </c>
      <c r="AA1288">
        <f>Model!AI402</f>
        <v>53.83438434952356</v>
      </c>
      <c r="AB1288">
        <f>Model!AJ402</f>
        <v>-20.211822555829677</v>
      </c>
      <c r="AC1288">
        <f>Model!AK402</f>
        <v>-42.688732136302868</v>
      </c>
      <c r="AD1288">
        <f>Model!AL402</f>
        <v>32.256666598337866</v>
      </c>
      <c r="AE1288">
        <f>Model!AM402</f>
        <v>35.167487546108944</v>
      </c>
      <c r="AF1288">
        <f>Model!AN402</f>
        <v>-26.827511770818948</v>
      </c>
      <c r="AG1288">
        <f>Model!AO402</f>
        <v>-31.680858231293989</v>
      </c>
      <c r="AH1288">
        <f>Model!AP402</f>
        <v>16.645494151123415</v>
      </c>
      <c r="AI1288">
        <f>Model!AQ402</f>
        <v>65.776197894857688</v>
      </c>
      <c r="AJ1288">
        <f>Model!AR402</f>
        <v>-34.609592635648362</v>
      </c>
      <c r="AK1288">
        <f>Model!AS402</f>
        <v>-26.009301621649008</v>
      </c>
      <c r="AL1288">
        <f>Model!AT402</f>
        <v>28.260557508469134</v>
      </c>
      <c r="AM1288">
        <f>Model!AU402</f>
        <v>43.998835296652146</v>
      </c>
      <c r="AN1288">
        <f>Model!AV402</f>
        <v>-16.213060291960581</v>
      </c>
      <c r="AO1288">
        <f>Model!AW402</f>
        <v>-24.997568175488677</v>
      </c>
      <c r="AP1288">
        <f>Model!AX402</f>
        <v>7.075470612966372</v>
      </c>
      <c r="AQ1288">
        <f>Model!AY402</f>
        <v>42.575420470160402</v>
      </c>
      <c r="AR1288">
        <f>Model!AZ402</f>
        <v>-21.412704067940922</v>
      </c>
      <c r="AS1288">
        <f>Model!BA402</f>
        <v>-12.956324918054902</v>
      </c>
      <c r="AT1288">
        <f>Model!BB402</f>
        <v>11.990672645074696</v>
      </c>
      <c r="AU1288">
        <f>Model!BC402</f>
        <v>38.588146258888983</v>
      </c>
      <c r="AV1288">
        <f>Model!BD402</f>
        <v>-7.717499096734012</v>
      </c>
      <c r="AW1288">
        <f>Model!BE402</f>
        <v>-26.705204277751442</v>
      </c>
      <c r="AX1288">
        <f>Model!BF402</f>
        <v>16.132086341343747</v>
      </c>
      <c r="AY1288">
        <f>Model!BG402</f>
        <v>49.975456060417919</v>
      </c>
      <c r="AZ1288">
        <f>Model!BH402</f>
        <v>-13.061423862224601</v>
      </c>
      <c r="BA1288">
        <f>Model!BI402</f>
        <v>-25.543990483635898</v>
      </c>
      <c r="BB1288">
        <f>Model!BJ402</f>
        <v>17.319027381817801</v>
      </c>
      <c r="BC1288">
        <f>Model!BK402</f>
        <v>37.496443767695013</v>
      </c>
      <c r="BD1288">
        <f>Model!BL402</f>
        <v>-58.42600962869281</v>
      </c>
      <c r="BE1288">
        <f>Model!BM402</f>
        <v>-12.706097528807289</v>
      </c>
      <c r="BF1288">
        <f>Model!BN402</f>
        <v>48.345228270478131</v>
      </c>
      <c r="BG1288">
        <f>Model!BO402</f>
        <v>33.779263765996994</v>
      </c>
      <c r="BH1288">
        <f>Model!BP402</f>
        <v>-37.270722852414814</v>
      </c>
      <c r="BI1288">
        <f>Model!BQ402</f>
        <v>-9.074042657815431</v>
      </c>
      <c r="BJ1288">
        <f>Model!BR402</f>
        <v>47.222672923318832</v>
      </c>
      <c r="BK1288">
        <f>Model!BS402</f>
        <v>23.865916997589249</v>
      </c>
      <c r="BL1288">
        <f>Model!BT402</f>
        <v>-63.883049659302223</v>
      </c>
      <c r="BM1288">
        <f>Model!BU402</f>
        <v>1.200840869288039</v>
      </c>
      <c r="BN1288">
        <f>Model!BV402</f>
        <v>47.157637384926396</v>
      </c>
      <c r="BO1288">
        <f>Model!BW402</f>
        <v>47.973929232093887</v>
      </c>
      <c r="BP1288">
        <f>Model!BX402</f>
        <v>-74.799006278580336</v>
      </c>
      <c r="BQ1288">
        <f>Model!BY402</f>
        <v>-14.560864159938806</v>
      </c>
      <c r="BR1288">
        <f>Model!BZ402</f>
        <v>77.703941727449433</v>
      </c>
      <c r="BS1288">
        <f>Model!CA402</f>
        <v>10.801769568178285</v>
      </c>
      <c r="BT1288">
        <f>Model!CB402</f>
        <v>-123.75033037658183</v>
      </c>
      <c r="BU1288">
        <f>Model!CC402</f>
        <v>-0.1803952533235148</v>
      </c>
      <c r="BV1288">
        <f>Model!CD402</f>
        <v>84.976807280974995</v>
      </c>
      <c r="BW1288">
        <f>Model!CE402</f>
        <v>20.63956286668618</v>
      </c>
      <c r="BX1288">
        <f>Model!CF402</f>
        <v>-111.6240671833274</v>
      </c>
      <c r="BY1288">
        <f>Model!CG402</f>
        <v>0</v>
      </c>
      <c r="BZ1288">
        <f>Model!CH402</f>
        <v>0</v>
      </c>
      <c r="CA1288">
        <f>Model!CI402</f>
        <v>0</v>
      </c>
      <c r="CB1288">
        <f>Model!CJ402</f>
        <v>0</v>
      </c>
      <c r="CC1288">
        <f>Model!CK402</f>
        <v>0</v>
      </c>
      <c r="CD1288">
        <f>Model!CL402</f>
        <v>0</v>
      </c>
      <c r="CE1288">
        <f>Model!CM402</f>
        <v>0</v>
      </c>
      <c r="CF1288">
        <f>Model!CN402</f>
        <v>0</v>
      </c>
      <c r="CG1288">
        <f>Model!CO402</f>
        <v>0</v>
      </c>
      <c r="CH1288">
        <f>Model!CP402</f>
        <v>0</v>
      </c>
      <c r="CI1288">
        <f>Model!CQ402</f>
        <v>0</v>
      </c>
      <c r="CJ1288">
        <f>Model!CR402</f>
        <v>0</v>
      </c>
      <c r="CK1288">
        <f>Model!CS402</f>
        <v>0</v>
      </c>
      <c r="CL1288">
        <f>Model!CT402</f>
        <v>0</v>
      </c>
      <c r="CM1288">
        <f>Model!CU402</f>
        <v>0</v>
      </c>
      <c r="CN1288">
        <f>Model!CV402</f>
        <v>0</v>
      </c>
      <c r="CO1288">
        <f>Model!CW402</f>
        <v>0</v>
      </c>
      <c r="CP1288">
        <f>Model!CX402</f>
        <v>0</v>
      </c>
      <c r="CQ1288">
        <f>Model!CY402</f>
        <v>0</v>
      </c>
      <c r="CR1288">
        <f>Model!CZ402</f>
        <v>0</v>
      </c>
      <c r="CS1288">
        <f>Model!DA402</f>
        <v>0</v>
      </c>
      <c r="CT1288">
        <f>Model!DB402</f>
        <v>0</v>
      </c>
      <c r="CU1288">
        <f>Model!DC402</f>
        <v>0</v>
      </c>
      <c r="CV1288">
        <f>Model!DD402</f>
        <v>0</v>
      </c>
      <c r="CW1288">
        <f>Model!DE402</f>
        <v>0</v>
      </c>
      <c r="CX1288">
        <f>Model!DF402</f>
        <v>0</v>
      </c>
    </row>
    <row r="1289" spans="1:102">
      <c r="A1289">
        <f>Model!I403</f>
        <v>0</v>
      </c>
      <c r="B1289">
        <f>Model!J403</f>
        <v>0</v>
      </c>
      <c r="C1289">
        <f>Model!K403</f>
        <v>0</v>
      </c>
      <c r="D1289">
        <f>Model!L403</f>
        <v>0</v>
      </c>
      <c r="E1289">
        <f>Model!M403</f>
        <v>0</v>
      </c>
      <c r="F1289">
        <f>Model!N403</f>
        <v>0</v>
      </c>
      <c r="G1289">
        <f>Model!O403</f>
        <v>0</v>
      </c>
      <c r="H1289">
        <f>Model!P403</f>
        <v>0</v>
      </c>
      <c r="I1289">
        <f>Model!Q403</f>
        <v>0</v>
      </c>
      <c r="J1289">
        <f>Model!R403</f>
        <v>0</v>
      </c>
      <c r="K1289">
        <f>Model!S403</f>
        <v>0</v>
      </c>
      <c r="L1289">
        <f>Model!T403</f>
        <v>0</v>
      </c>
      <c r="M1289">
        <f>Model!U403</f>
        <v>0</v>
      </c>
      <c r="N1289">
        <f>Model!V403</f>
        <v>0</v>
      </c>
      <c r="O1289">
        <f>Model!W403</f>
        <v>0</v>
      </c>
      <c r="P1289">
        <f>Model!X403</f>
        <v>0</v>
      </c>
      <c r="Q1289">
        <f>Model!Y403</f>
        <v>0</v>
      </c>
      <c r="R1289">
        <f>Model!Z403</f>
        <v>0</v>
      </c>
      <c r="S1289">
        <f>Model!AA403</f>
        <v>0</v>
      </c>
      <c r="T1289">
        <f>Model!AB403</f>
        <v>0</v>
      </c>
      <c r="U1289">
        <f>Model!AC403</f>
        <v>0</v>
      </c>
      <c r="V1289">
        <f>Model!AD403</f>
        <v>0</v>
      </c>
      <c r="W1289">
        <f>Model!AE403</f>
        <v>0</v>
      </c>
      <c r="X1289">
        <f>Model!AF403</f>
        <v>0</v>
      </c>
      <c r="Y1289">
        <f>Model!AG403</f>
        <v>0</v>
      </c>
      <c r="Z1289">
        <f>Model!AH403</f>
        <v>0</v>
      </c>
      <c r="AA1289">
        <f>Model!AI403</f>
        <v>0</v>
      </c>
      <c r="AB1289">
        <f>Model!AJ403</f>
        <v>0</v>
      </c>
      <c r="AC1289">
        <f>Model!AK403</f>
        <v>0</v>
      </c>
      <c r="AD1289">
        <f>Model!AL403</f>
        <v>0</v>
      </c>
      <c r="AE1289">
        <f>Model!AM403</f>
        <v>0</v>
      </c>
      <c r="AF1289">
        <f>Model!AN403</f>
        <v>0</v>
      </c>
      <c r="AG1289">
        <f>Model!AO403</f>
        <v>0</v>
      </c>
      <c r="AH1289">
        <f>Model!AP403</f>
        <v>0</v>
      </c>
      <c r="AI1289">
        <f>Model!AQ403</f>
        <v>0</v>
      </c>
      <c r="AJ1289">
        <f>Model!AR403</f>
        <v>0</v>
      </c>
      <c r="AK1289">
        <f>Model!AS403</f>
        <v>0</v>
      </c>
      <c r="AL1289">
        <f>Model!AT403</f>
        <v>0</v>
      </c>
      <c r="AM1289">
        <f>Model!AU403</f>
        <v>0</v>
      </c>
      <c r="AN1289">
        <f>Model!AV403</f>
        <v>0</v>
      </c>
      <c r="AO1289">
        <f>Model!AW403</f>
        <v>0</v>
      </c>
      <c r="AP1289">
        <f>Model!AX403</f>
        <v>0</v>
      </c>
      <c r="AQ1289">
        <f>Model!AY403</f>
        <v>0</v>
      </c>
      <c r="AR1289">
        <f>Model!AZ403</f>
        <v>0</v>
      </c>
      <c r="AS1289">
        <f>Model!BA403</f>
        <v>0</v>
      </c>
      <c r="AT1289">
        <f>Model!BB403</f>
        <v>0</v>
      </c>
      <c r="AU1289">
        <f>Model!BC403</f>
        <v>0</v>
      </c>
      <c r="AV1289">
        <f>Model!BD403</f>
        <v>0</v>
      </c>
      <c r="AW1289">
        <f>Model!BE403</f>
        <v>0</v>
      </c>
      <c r="AX1289">
        <f>Model!BF403</f>
        <v>0</v>
      </c>
      <c r="AY1289">
        <f>Model!BG403</f>
        <v>0</v>
      </c>
      <c r="AZ1289">
        <f>Model!BH403</f>
        <v>0</v>
      </c>
      <c r="BA1289">
        <f>Model!BI403</f>
        <v>0</v>
      </c>
      <c r="BB1289">
        <f>Model!BJ403</f>
        <v>0</v>
      </c>
      <c r="BC1289">
        <f>Model!BK403</f>
        <v>0</v>
      </c>
      <c r="BD1289">
        <f>Model!BL403</f>
        <v>0</v>
      </c>
      <c r="BE1289">
        <f>Model!BM403</f>
        <v>0</v>
      </c>
      <c r="BF1289">
        <f>Model!BN403</f>
        <v>0</v>
      </c>
      <c r="BG1289">
        <f>Model!BO403</f>
        <v>0</v>
      </c>
      <c r="BH1289">
        <f>Model!BP403</f>
        <v>0</v>
      </c>
      <c r="BI1289">
        <f>Model!BQ403</f>
        <v>0</v>
      </c>
      <c r="BJ1289">
        <f>Model!BR403</f>
        <v>0</v>
      </c>
      <c r="BK1289">
        <f>Model!BS403</f>
        <v>0</v>
      </c>
      <c r="BL1289">
        <f>Model!BT403</f>
        <v>0</v>
      </c>
      <c r="BM1289">
        <f>Model!BU403</f>
        <v>0</v>
      </c>
      <c r="BN1289">
        <f>Model!BV403</f>
        <v>0</v>
      </c>
      <c r="BO1289">
        <f>Model!BW403</f>
        <v>0</v>
      </c>
      <c r="BP1289">
        <f>Model!BX403</f>
        <v>0</v>
      </c>
      <c r="BQ1289">
        <f>Model!BY403</f>
        <v>0</v>
      </c>
      <c r="BR1289">
        <f>Model!BZ403</f>
        <v>0</v>
      </c>
      <c r="BS1289">
        <f>Model!CA403</f>
        <v>0</v>
      </c>
      <c r="BT1289">
        <f>Model!CB403</f>
        <v>0</v>
      </c>
      <c r="BU1289">
        <f>Model!CC403</f>
        <v>0</v>
      </c>
      <c r="BV1289">
        <f>Model!CD403</f>
        <v>0</v>
      </c>
      <c r="BW1289">
        <f>Model!CE403</f>
        <v>0</v>
      </c>
      <c r="BX1289">
        <f>Model!CF403</f>
        <v>0</v>
      </c>
      <c r="BY1289">
        <f>Model!CG403</f>
        <v>0</v>
      </c>
      <c r="BZ1289">
        <f>Model!CH403</f>
        <v>0</v>
      </c>
      <c r="CA1289">
        <f>Model!CI403</f>
        <v>0</v>
      </c>
      <c r="CB1289">
        <f>Model!CJ403</f>
        <v>0</v>
      </c>
      <c r="CC1289">
        <f>Model!CK403</f>
        <v>0</v>
      </c>
      <c r="CD1289">
        <f>Model!CL403</f>
        <v>0</v>
      </c>
      <c r="CE1289">
        <f>Model!CM403</f>
        <v>0</v>
      </c>
      <c r="CF1289">
        <f>Model!CN403</f>
        <v>0</v>
      </c>
      <c r="CG1289">
        <f>Model!CO403</f>
        <v>0</v>
      </c>
      <c r="CH1289">
        <f>Model!CP403</f>
        <v>0</v>
      </c>
      <c r="CI1289">
        <f>Model!CQ403</f>
        <v>0</v>
      </c>
      <c r="CJ1289">
        <f>Model!CR403</f>
        <v>0</v>
      </c>
      <c r="CK1289">
        <f>Model!CS403</f>
        <v>0</v>
      </c>
      <c r="CL1289">
        <f>Model!CT403</f>
        <v>0</v>
      </c>
      <c r="CM1289">
        <f>Model!CU403</f>
        <v>0</v>
      </c>
      <c r="CN1289">
        <f>Model!CV403</f>
        <v>0</v>
      </c>
      <c r="CO1289">
        <f>Model!CW403</f>
        <v>0</v>
      </c>
      <c r="CP1289">
        <f>Model!CX403</f>
        <v>0</v>
      </c>
      <c r="CQ1289">
        <f>Model!CY403</f>
        <v>0</v>
      </c>
      <c r="CR1289">
        <f>Model!CZ403</f>
        <v>0</v>
      </c>
      <c r="CS1289">
        <f>Model!DA403</f>
        <v>0</v>
      </c>
      <c r="CT1289">
        <f>Model!DB403</f>
        <v>0</v>
      </c>
      <c r="CU1289">
        <f>Model!DC403</f>
        <v>0</v>
      </c>
      <c r="CV1289">
        <f>Model!DD403</f>
        <v>0</v>
      </c>
      <c r="CW1289">
        <f>Model!DE403</f>
        <v>0</v>
      </c>
      <c r="CX1289">
        <f>Model!DF403</f>
        <v>0</v>
      </c>
    </row>
    <row r="1290" spans="1:102">
      <c r="A1290" t="str">
        <f>Model!I404</f>
        <v>Total Ad Spend % of Bookings</v>
      </c>
      <c r="B1290">
        <f>Model!J404</f>
        <v>0</v>
      </c>
      <c r="C1290">
        <f>Model!K404</f>
        <v>0</v>
      </c>
      <c r="D1290">
        <f>Model!L404</f>
        <v>0</v>
      </c>
      <c r="E1290">
        <f>Model!M404</f>
        <v>0</v>
      </c>
      <c r="F1290">
        <f>Model!N404</f>
        <v>0</v>
      </c>
      <c r="G1290">
        <f>Model!O404</f>
        <v>0</v>
      </c>
      <c r="H1290">
        <f>Model!P404</f>
        <v>0</v>
      </c>
      <c r="I1290">
        <f>Model!Q404</f>
        <v>0</v>
      </c>
      <c r="J1290">
        <f>Model!R404</f>
        <v>0</v>
      </c>
      <c r="K1290">
        <f>Model!S404</f>
        <v>0</v>
      </c>
      <c r="L1290">
        <f>Model!T404</f>
        <v>0</v>
      </c>
      <c r="M1290">
        <f>Model!U404</f>
        <v>0</v>
      </c>
      <c r="N1290">
        <f>Model!V404</f>
        <v>0</v>
      </c>
      <c r="O1290">
        <f>Model!W404</f>
        <v>0</v>
      </c>
      <c r="P1290">
        <f>Model!X404</f>
        <v>0</v>
      </c>
      <c r="Q1290">
        <f>Model!Y404</f>
        <v>0</v>
      </c>
      <c r="R1290">
        <f>Model!Z404</f>
        <v>0</v>
      </c>
      <c r="S1290">
        <f>Model!AA404</f>
        <v>0</v>
      </c>
      <c r="T1290">
        <f>Model!AB404</f>
        <v>0</v>
      </c>
      <c r="U1290">
        <f>Model!AC404</f>
        <v>0</v>
      </c>
      <c r="V1290">
        <f>Model!AD404</f>
        <v>0</v>
      </c>
      <c r="W1290">
        <f>Model!AE404</f>
        <v>0</v>
      </c>
      <c r="X1290">
        <f>Model!AF404</f>
        <v>0</v>
      </c>
      <c r="Y1290">
        <f>Model!AG404</f>
        <v>4.1909640998311515E-2</v>
      </c>
      <c r="Z1290">
        <f>Model!AH404</f>
        <v>4.2437051814309595E-2</v>
      </c>
      <c r="AA1290">
        <f>Model!AI404</f>
        <v>4.5644885558390032E-2</v>
      </c>
      <c r="AB1290">
        <f>Model!AJ404</f>
        <v>4.5496423808946543E-2</v>
      </c>
      <c r="AC1290">
        <f>Model!AK404</f>
        <v>4.3326379506675568E-2</v>
      </c>
      <c r="AD1290">
        <f>Model!AL404</f>
        <v>4.2716438674527957E-2</v>
      </c>
      <c r="AE1290">
        <f>Model!AM404</f>
        <v>4.4767211506863899E-2</v>
      </c>
      <c r="AF1290">
        <f>Model!AN404</f>
        <v>4.1788521161407119E-2</v>
      </c>
      <c r="AG1290">
        <f>Model!AO404</f>
        <v>3.9708019733744569E-2</v>
      </c>
      <c r="AH1290">
        <f>Model!AP404</f>
        <v>3.9236669802579657E-2</v>
      </c>
      <c r="AI1290">
        <f>Model!AQ404</f>
        <v>4.5153521681093739E-2</v>
      </c>
      <c r="AJ1290">
        <f>Model!AR404</f>
        <v>4.2900170344869037E-2</v>
      </c>
      <c r="AK1290">
        <f>Model!AS404</f>
        <v>4.0586360044124678E-2</v>
      </c>
      <c r="AL1290">
        <f>Model!AT404</f>
        <v>4.2518886775180335E-2</v>
      </c>
      <c r="AM1290">
        <f>Model!AU404</f>
        <v>4.5385232951110716E-2</v>
      </c>
      <c r="AN1290">
        <f>Model!AV404</f>
        <v>4.3291672076359242E-2</v>
      </c>
      <c r="AO1290">
        <f>Model!AW404</f>
        <v>4.2128110986121667E-2</v>
      </c>
      <c r="AP1290">
        <f>Model!AX404</f>
        <v>4.1827997349113528E-2</v>
      </c>
      <c r="AQ1290">
        <f>Model!AY404</f>
        <v>4.5057413879181225E-2</v>
      </c>
      <c r="AR1290">
        <f>Model!AZ404</f>
        <v>4.2822664624808576E-2</v>
      </c>
      <c r="AS1290">
        <f>Model!BA404</f>
        <v>4.2169774919614149E-2</v>
      </c>
      <c r="AT1290">
        <f>Model!BB404</f>
        <v>4.2577335640138408E-2</v>
      </c>
      <c r="AU1290">
        <f>Model!BC404</f>
        <v>4.6022215119066651E-2</v>
      </c>
      <c r="AV1290">
        <f>Model!BD404</f>
        <v>4.5178167877320416E-2</v>
      </c>
      <c r="AW1290">
        <f>Model!BE404</f>
        <v>4.2958277454924754E-2</v>
      </c>
      <c r="AX1290">
        <f>Model!BF404</f>
        <v>4.4262791649611138E-2</v>
      </c>
      <c r="AY1290">
        <f>Model!BG404</f>
        <v>4.8984295199182834E-2</v>
      </c>
      <c r="AZ1290">
        <f>Model!BH404</f>
        <v>4.7507594167679225E-2</v>
      </c>
      <c r="BA1290">
        <f>Model!BI404</f>
        <v>4.7075494373429477E-2</v>
      </c>
      <c r="BB1290">
        <f>Model!BJ404</f>
        <v>4.8953741227636648E-2</v>
      </c>
      <c r="BC1290">
        <f>Model!BK404</f>
        <v>5.3233163028332552E-2</v>
      </c>
      <c r="BD1290">
        <f>Model!BL404</f>
        <v>4.6717224775662071E-2</v>
      </c>
      <c r="BE1290">
        <f>Model!BM404</f>
        <v>4.6768892508143325E-2</v>
      </c>
      <c r="BF1290">
        <f>Model!BN404</f>
        <v>5.1535012557246261E-2</v>
      </c>
      <c r="BG1290">
        <f>Model!BO404</f>
        <v>5.580604789119583E-2</v>
      </c>
      <c r="BH1290">
        <f>Model!BP404</f>
        <v>5.142321043249836E-2</v>
      </c>
      <c r="BI1290">
        <f>Model!BQ404</f>
        <v>5.1310199637023594E-2</v>
      </c>
      <c r="BJ1290">
        <f>Model!BR404</f>
        <v>5.5957286096256692E-2</v>
      </c>
      <c r="BK1290">
        <f>Model!BS404</f>
        <v>5.769298957910407E-2</v>
      </c>
      <c r="BL1290">
        <f>Model!BT404</f>
        <v>5.1220640865584678E-2</v>
      </c>
      <c r="BM1290">
        <f>Model!BU404</f>
        <v>5.1027082207410077E-2</v>
      </c>
      <c r="BN1290">
        <f>Model!BV404</f>
        <v>5.7836972343522565E-2</v>
      </c>
      <c r="BO1290">
        <f>Model!BW404</f>
        <v>6.0289328277356433E-2</v>
      </c>
      <c r="BP1290">
        <f>Model!BX404</f>
        <v>5.156206987824246E-2</v>
      </c>
      <c r="BQ1290">
        <f>Model!BY404</f>
        <v>5.0939478899792147E-2</v>
      </c>
      <c r="BR1290">
        <f>Model!BZ404</f>
        <v>6.1007645333461549E-2</v>
      </c>
      <c r="BS1290">
        <f>Model!CA404</f>
        <v>6.1443847072879337E-2</v>
      </c>
      <c r="BT1290">
        <f>Model!CB404</f>
        <v>4.859026696329255E-2</v>
      </c>
      <c r="BU1290">
        <f>Model!CC404</f>
        <v>4.881153050704435E-2</v>
      </c>
      <c r="BV1290">
        <f>Model!CD404</f>
        <v>5.9388575897262916E-2</v>
      </c>
      <c r="BW1290">
        <f>Model!CE404</f>
        <v>6.0183998857013053E-2</v>
      </c>
      <c r="BX1290">
        <f>Model!CF404</f>
        <v>4.7565368224573489E-2</v>
      </c>
      <c r="BY1290">
        <f>Model!CG404</f>
        <v>0</v>
      </c>
      <c r="BZ1290">
        <f>Model!CH404</f>
        <v>0</v>
      </c>
      <c r="CA1290">
        <f>Model!CI404</f>
        <v>0</v>
      </c>
      <c r="CB1290">
        <f>Model!CJ404</f>
        <v>0</v>
      </c>
      <c r="CC1290">
        <f>Model!CK404</f>
        <v>0</v>
      </c>
      <c r="CD1290">
        <f>Model!CL404</f>
        <v>0</v>
      </c>
      <c r="CE1290">
        <f>Model!CM404</f>
        <v>0</v>
      </c>
      <c r="CF1290">
        <f>Model!CN404</f>
        <v>0</v>
      </c>
      <c r="CG1290">
        <f>Model!CO404</f>
        <v>4.1721367378380635E-2</v>
      </c>
      <c r="CH1290">
        <f>Model!CP404</f>
        <v>4.3141710549296018E-2</v>
      </c>
      <c r="CI1290">
        <f>Model!CQ404</f>
        <v>4.307924555955555E-2</v>
      </c>
      <c r="CJ1290">
        <f>Model!CR404</f>
        <v>4.4079924277403267E-2</v>
      </c>
      <c r="CK1290">
        <f>Model!CS404</f>
        <v>4.6005411863930278E-2</v>
      </c>
      <c r="CL1290">
        <f>Model!CT404</f>
        <v>4.9169172644423456E-2</v>
      </c>
      <c r="CM1290">
        <f>Model!CU404</f>
        <v>5.1521471172962234E-2</v>
      </c>
      <c r="CN1290">
        <f>Model!CV404</f>
        <v>5.424149978389281E-2</v>
      </c>
      <c r="CO1290">
        <f>Model!CW404</f>
        <v>5.5443550163761068E-2</v>
      </c>
      <c r="CP1290">
        <f>Model!CX404</f>
        <v>5.5811624356733071E-2</v>
      </c>
      <c r="CQ1290">
        <f>Model!CY404</f>
        <v>5.4185305103996641E-2</v>
      </c>
      <c r="CR1290">
        <f>Model!CZ404</f>
        <v>5.3895878284566191E-2</v>
      </c>
      <c r="CS1290">
        <f>Model!DA404</f>
        <v>5.3802545707094078E-2</v>
      </c>
      <c r="CT1290">
        <f>Model!DB404</f>
        <v>5.3689339123291033E-2</v>
      </c>
      <c r="CU1290">
        <f>Model!DC404</f>
        <v>5.3612733705618885E-2</v>
      </c>
      <c r="CV1290">
        <f>Model!DD404</f>
        <v>5.3558753097985613E-2</v>
      </c>
      <c r="CW1290">
        <f>Model!DE404</f>
        <v>5.3527050545001169E-2</v>
      </c>
      <c r="CX1290">
        <f>Model!DF404</f>
        <v>5.3416731686233405E-2</v>
      </c>
    </row>
    <row r="1291" spans="1:102">
      <c r="A1291" t="str">
        <f>Model!I405</f>
        <v>change Y/Y (in bp)</v>
      </c>
      <c r="B1291">
        <f>Model!J405</f>
        <v>0</v>
      </c>
      <c r="C1291">
        <f>Model!K405</f>
        <v>0</v>
      </c>
      <c r="D1291">
        <f>Model!L405</f>
        <v>0</v>
      </c>
      <c r="E1291">
        <f>Model!M405</f>
        <v>0</v>
      </c>
      <c r="F1291">
        <f>Model!N405</f>
        <v>0</v>
      </c>
      <c r="G1291">
        <f>Model!O405</f>
        <v>0</v>
      </c>
      <c r="H1291">
        <f>Model!P405</f>
        <v>0</v>
      </c>
      <c r="I1291">
        <f>Model!Q405</f>
        <v>0</v>
      </c>
      <c r="J1291">
        <f>Model!R405</f>
        <v>0</v>
      </c>
      <c r="K1291">
        <f>Model!S405</f>
        <v>0</v>
      </c>
      <c r="L1291">
        <f>Model!T405</f>
        <v>0</v>
      </c>
      <c r="M1291">
        <f>Model!U405</f>
        <v>0</v>
      </c>
      <c r="N1291">
        <f>Model!V405</f>
        <v>0</v>
      </c>
      <c r="O1291">
        <f>Model!W405</f>
        <v>0</v>
      </c>
      <c r="P1291">
        <f>Model!X405</f>
        <v>0</v>
      </c>
      <c r="Q1291">
        <f>Model!Y405</f>
        <v>0</v>
      </c>
      <c r="R1291">
        <f>Model!Z405</f>
        <v>0</v>
      </c>
      <c r="S1291">
        <f>Model!AA405</f>
        <v>0</v>
      </c>
      <c r="T1291">
        <f>Model!AB405</f>
        <v>0</v>
      </c>
      <c r="U1291">
        <f>Model!AC405</f>
        <v>0</v>
      </c>
      <c r="V1291">
        <f>Model!AD405</f>
        <v>0</v>
      </c>
      <c r="W1291">
        <f>Model!AE405</f>
        <v>0</v>
      </c>
      <c r="X1291">
        <f>Model!AF405</f>
        <v>0</v>
      </c>
      <c r="Y1291">
        <f>Model!AG405</f>
        <v>0</v>
      </c>
      <c r="Z1291">
        <f>Model!AH405</f>
        <v>0</v>
      </c>
      <c r="AA1291">
        <f>Model!AI405</f>
        <v>0</v>
      </c>
      <c r="AB1291">
        <f>Model!AJ405</f>
        <v>0</v>
      </c>
      <c r="AC1291">
        <f>Model!AK405</f>
        <v>14.16738508364053</v>
      </c>
      <c r="AD1291">
        <f>Model!AL405</f>
        <v>2.7938686021836134</v>
      </c>
      <c r="AE1291">
        <f>Model!AM405</f>
        <v>-8.7767405152613254</v>
      </c>
      <c r="AF1291">
        <f>Model!AN405</f>
        <v>-37.079026475394237</v>
      </c>
      <c r="AG1291">
        <f>Model!AO405</f>
        <v>-36.183597729309987</v>
      </c>
      <c r="AH1291">
        <f>Model!AP405</f>
        <v>-34.797688719482991</v>
      </c>
      <c r="AI1291">
        <f>Model!AQ405</f>
        <v>3.8631017422983973</v>
      </c>
      <c r="AJ1291">
        <f>Model!AR405</f>
        <v>11.116491834619186</v>
      </c>
      <c r="AK1291">
        <f>Model!AS405</f>
        <v>8.7834031038010885</v>
      </c>
      <c r="AL1291">
        <f>Model!AT405</f>
        <v>32.822169726006784</v>
      </c>
      <c r="AM1291">
        <f>Model!AU405</f>
        <v>2.3171127001697656</v>
      </c>
      <c r="AN1291">
        <f>Model!AV405</f>
        <v>3.915017314902042</v>
      </c>
      <c r="AO1291">
        <f>Model!AW405</f>
        <v>15.417509419969889</v>
      </c>
      <c r="AP1291">
        <f>Model!AX405</f>
        <v>-6.9088942606680694</v>
      </c>
      <c r="AQ1291">
        <f>Model!AY405</f>
        <v>-3.2781907192949018</v>
      </c>
      <c r="AR1291">
        <f>Model!AZ405</f>
        <v>-4.6900745155066534</v>
      </c>
      <c r="AS1291">
        <f>Model!BA405</f>
        <v>0.41663933492482041</v>
      </c>
      <c r="AT1291">
        <f>Model!BB405</f>
        <v>7.4933829102487994</v>
      </c>
      <c r="AU1291">
        <f>Model!BC405</f>
        <v>9.6480123988542523</v>
      </c>
      <c r="AV1291">
        <f>Model!BD405</f>
        <v>23.555032525118396</v>
      </c>
      <c r="AW1291">
        <f>Model!BE405</f>
        <v>7.8850253531060481</v>
      </c>
      <c r="AX1291">
        <f>Model!BF405</f>
        <v>16.854560094727301</v>
      </c>
      <c r="AY1291">
        <f>Model!BG405</f>
        <v>29.620800801161835</v>
      </c>
      <c r="AZ1291">
        <f>Model!BH405</f>
        <v>23.294262903588088</v>
      </c>
      <c r="BA1291">
        <f>Model!BI405</f>
        <v>41.172169185047238</v>
      </c>
      <c r="BB1291">
        <f>Model!BJ405</f>
        <v>46.909495780255092</v>
      </c>
      <c r="BC1291">
        <f>Model!BK405</f>
        <v>42.488678291497173</v>
      </c>
      <c r="BD1291">
        <f>Model!BL405</f>
        <v>-7.9036939201715395</v>
      </c>
      <c r="BE1291">
        <f>Model!BM405</f>
        <v>-3.0660186528615183</v>
      </c>
      <c r="BF1291">
        <f>Model!BN405</f>
        <v>25.812713296096135</v>
      </c>
      <c r="BG1291">
        <f>Model!BO405</f>
        <v>25.728848628632782</v>
      </c>
      <c r="BH1291">
        <f>Model!BP405</f>
        <v>47.059856568362896</v>
      </c>
      <c r="BI1291">
        <f>Model!BQ405</f>
        <v>45.413071288802691</v>
      </c>
      <c r="BJ1291">
        <f>Model!BR405</f>
        <v>44.222735390104312</v>
      </c>
      <c r="BK1291">
        <f>Model!BS405</f>
        <v>18.869416879082404</v>
      </c>
      <c r="BL1291">
        <f>Model!BT405</f>
        <v>-2.0256956691368231</v>
      </c>
      <c r="BM1291">
        <f>Model!BU405</f>
        <v>-2.8311742961351776</v>
      </c>
      <c r="BN1291">
        <f>Model!BV405</f>
        <v>18.796862472658731</v>
      </c>
      <c r="BO1291">
        <f>Model!BW405</f>
        <v>25.963386982523623</v>
      </c>
      <c r="BP1291">
        <f>Model!BX405</f>
        <v>3.4142901265778178</v>
      </c>
      <c r="BQ1291">
        <f>Model!BY405</f>
        <v>-0.87603307617929727</v>
      </c>
      <c r="BR1291">
        <f>Model!BZ405</f>
        <v>31.706729899389842</v>
      </c>
      <c r="BS1291">
        <f>Model!CA405</f>
        <v>11.545187955229046</v>
      </c>
      <c r="BT1291">
        <f>Model!CB405</f>
        <v>-29.718029149499099</v>
      </c>
      <c r="BU1291">
        <f>Model!CC405</f>
        <v>-21.279483927477973</v>
      </c>
      <c r="BV1291">
        <f>Model!CD405</f>
        <v>-16.190694361986335</v>
      </c>
      <c r="BW1291">
        <f>Model!CE405</f>
        <v>-12.598482158662842</v>
      </c>
      <c r="BX1291">
        <f>Model!CF405</f>
        <v>-10.248987387190613</v>
      </c>
      <c r="BY1291">
        <f>Model!CG405</f>
        <v>0</v>
      </c>
      <c r="BZ1291">
        <f>Model!CH405</f>
        <v>0</v>
      </c>
      <c r="CA1291">
        <f>Model!CI405</f>
        <v>0</v>
      </c>
      <c r="CB1291">
        <f>Model!CJ405</f>
        <v>0</v>
      </c>
      <c r="CC1291">
        <f>Model!CK405</f>
        <v>0</v>
      </c>
      <c r="CD1291">
        <f>Model!CL405</f>
        <v>0</v>
      </c>
      <c r="CE1291">
        <f>Model!CM405</f>
        <v>0</v>
      </c>
      <c r="CF1291">
        <f>Model!CN405</f>
        <v>0</v>
      </c>
      <c r="CG1291">
        <f>Model!CO405</f>
        <v>0</v>
      </c>
      <c r="CH1291">
        <f>Model!CP405</f>
        <v>14.203431709153836</v>
      </c>
      <c r="CI1291">
        <f>Model!CQ405</f>
        <v>-0.62464989740468324</v>
      </c>
      <c r="CJ1291">
        <f>Model!CR405</f>
        <v>10.006787178477166</v>
      </c>
      <c r="CK1291">
        <f>Model!CS405</f>
        <v>19.254875865270112</v>
      </c>
      <c r="CL1291">
        <f>Model!CT405</f>
        <v>31.637607804931786</v>
      </c>
      <c r="CM1291">
        <f>Model!CU405</f>
        <v>23.522985285387779</v>
      </c>
      <c r="CN1291">
        <f>Model!CV405</f>
        <v>27.200286109305765</v>
      </c>
      <c r="CO1291">
        <f>Model!CW405</f>
        <v>12.020503798682579</v>
      </c>
      <c r="CP1291">
        <f>Model!CX405</f>
        <v>3.6807419297200243</v>
      </c>
      <c r="CQ1291">
        <f>Model!CY405</f>
        <v>-16.2631925273643</v>
      </c>
      <c r="CR1291">
        <f>Model!CZ405</f>
        <v>-2.8942681943044946</v>
      </c>
      <c r="CS1291">
        <f>Model!DA405</f>
        <v>-0.93332577472113321</v>
      </c>
      <c r="CT1291">
        <f>Model!DB405</f>
        <v>-1.132065838030452</v>
      </c>
      <c r="CU1291">
        <f>Model!DC405</f>
        <v>-0.76605417672147291</v>
      </c>
      <c r="CV1291">
        <f>Model!DD405</f>
        <v>-0.53980607633272171</v>
      </c>
      <c r="CW1291">
        <f>Model!DE405</f>
        <v>-0.31702552984444465</v>
      </c>
      <c r="CX1291">
        <f>Model!DF405</f>
        <v>-1.1031885876776337</v>
      </c>
    </row>
    <row r="1292" spans="1:102">
      <c r="A1292">
        <f>Model!I406</f>
        <v>0</v>
      </c>
      <c r="B1292">
        <f>Model!J406</f>
        <v>0</v>
      </c>
      <c r="C1292">
        <f>Model!K406</f>
        <v>0</v>
      </c>
      <c r="D1292">
        <f>Model!L406</f>
        <v>0</v>
      </c>
      <c r="E1292">
        <f>Model!M406</f>
        <v>0</v>
      </c>
      <c r="F1292">
        <f>Model!N406</f>
        <v>0</v>
      </c>
      <c r="G1292">
        <f>Model!O406</f>
        <v>0</v>
      </c>
      <c r="H1292">
        <f>Model!P406</f>
        <v>0</v>
      </c>
      <c r="I1292">
        <f>Model!Q406</f>
        <v>0</v>
      </c>
      <c r="J1292">
        <f>Model!R406</f>
        <v>0</v>
      </c>
      <c r="K1292">
        <f>Model!S406</f>
        <v>0</v>
      </c>
      <c r="L1292">
        <f>Model!T406</f>
        <v>0</v>
      </c>
      <c r="M1292">
        <f>Model!U406</f>
        <v>0</v>
      </c>
      <c r="N1292">
        <f>Model!V406</f>
        <v>0</v>
      </c>
      <c r="O1292">
        <f>Model!W406</f>
        <v>0</v>
      </c>
      <c r="P1292">
        <f>Model!X406</f>
        <v>0</v>
      </c>
      <c r="Q1292">
        <f>Model!Y406</f>
        <v>0</v>
      </c>
      <c r="R1292">
        <f>Model!Z406</f>
        <v>0</v>
      </c>
      <c r="S1292">
        <f>Model!AA406</f>
        <v>0</v>
      </c>
      <c r="T1292">
        <f>Model!AB406</f>
        <v>0</v>
      </c>
      <c r="U1292">
        <f>Model!AC406</f>
        <v>0</v>
      </c>
      <c r="V1292">
        <f>Model!AD406</f>
        <v>0</v>
      </c>
      <c r="W1292">
        <f>Model!AE406</f>
        <v>0</v>
      </c>
      <c r="X1292">
        <f>Model!AF406</f>
        <v>0</v>
      </c>
      <c r="Y1292">
        <f>Model!AG406</f>
        <v>0</v>
      </c>
      <c r="Z1292">
        <f>Model!AH406</f>
        <v>0</v>
      </c>
      <c r="AA1292">
        <f>Model!AI406</f>
        <v>0</v>
      </c>
      <c r="AB1292">
        <f>Model!AJ406</f>
        <v>0</v>
      </c>
      <c r="AC1292">
        <f>Model!AK406</f>
        <v>0</v>
      </c>
      <c r="AD1292">
        <f>Model!AL406</f>
        <v>0</v>
      </c>
      <c r="AE1292">
        <f>Model!AM406</f>
        <v>0</v>
      </c>
      <c r="AF1292">
        <f>Model!AN406</f>
        <v>0</v>
      </c>
      <c r="AG1292">
        <f>Model!AO406</f>
        <v>0</v>
      </c>
      <c r="AH1292">
        <f>Model!AP406</f>
        <v>0</v>
      </c>
      <c r="AI1292">
        <f>Model!AQ406</f>
        <v>0</v>
      </c>
      <c r="AJ1292">
        <f>Model!AR406</f>
        <v>0</v>
      </c>
      <c r="AK1292">
        <f>Model!AS406</f>
        <v>0</v>
      </c>
      <c r="AL1292">
        <f>Model!AT406</f>
        <v>0</v>
      </c>
      <c r="AM1292">
        <f>Model!AU406</f>
        <v>0</v>
      </c>
      <c r="AN1292">
        <f>Model!AV406</f>
        <v>0</v>
      </c>
      <c r="AO1292">
        <f>Model!AW406</f>
        <v>0</v>
      </c>
      <c r="AP1292">
        <f>Model!AX406</f>
        <v>0</v>
      </c>
      <c r="AQ1292">
        <f>Model!AY406</f>
        <v>0</v>
      </c>
      <c r="AR1292">
        <f>Model!AZ406</f>
        <v>0</v>
      </c>
      <c r="AS1292">
        <f>Model!BA406</f>
        <v>0</v>
      </c>
      <c r="AT1292">
        <f>Model!BB406</f>
        <v>0</v>
      </c>
      <c r="AU1292">
        <f>Model!BC406</f>
        <v>0</v>
      </c>
      <c r="AV1292">
        <f>Model!BD406</f>
        <v>0</v>
      </c>
      <c r="AW1292">
        <f>Model!BE406</f>
        <v>0</v>
      </c>
      <c r="AX1292">
        <f>Model!BF406</f>
        <v>0</v>
      </c>
      <c r="AY1292">
        <f>Model!BG406</f>
        <v>0</v>
      </c>
      <c r="AZ1292">
        <f>Model!BH406</f>
        <v>0</v>
      </c>
      <c r="BA1292">
        <f>Model!BI406</f>
        <v>0</v>
      </c>
      <c r="BB1292">
        <f>Model!BJ406</f>
        <v>0</v>
      </c>
      <c r="BC1292">
        <f>Model!BK406</f>
        <v>0</v>
      </c>
      <c r="BD1292">
        <f>Model!BL406</f>
        <v>0</v>
      </c>
      <c r="BE1292">
        <f>Model!BM406</f>
        <v>0</v>
      </c>
      <c r="BF1292">
        <f>Model!BN406</f>
        <v>0</v>
      </c>
      <c r="BG1292">
        <f>Model!BO406</f>
        <v>0</v>
      </c>
      <c r="BH1292">
        <f>Model!BP406</f>
        <v>0</v>
      </c>
      <c r="BI1292">
        <f>Model!BQ406</f>
        <v>0</v>
      </c>
      <c r="BJ1292">
        <f>Model!BR406</f>
        <v>0</v>
      </c>
      <c r="BK1292">
        <f>Model!BS406</f>
        <v>0</v>
      </c>
      <c r="BL1292">
        <f>Model!BT406</f>
        <v>0</v>
      </c>
      <c r="BM1292">
        <f>Model!BU406</f>
        <v>0</v>
      </c>
      <c r="BN1292">
        <f>Model!BV406</f>
        <v>0</v>
      </c>
      <c r="BO1292">
        <f>Model!BW406</f>
        <v>0</v>
      </c>
      <c r="BP1292">
        <f>Model!BX406</f>
        <v>0</v>
      </c>
      <c r="BQ1292">
        <f>Model!BY406</f>
        <v>0</v>
      </c>
      <c r="BR1292">
        <f>Model!BZ406</f>
        <v>0</v>
      </c>
      <c r="BS1292">
        <f>Model!CA406</f>
        <v>0</v>
      </c>
      <c r="BT1292">
        <f>Model!CB406</f>
        <v>0</v>
      </c>
      <c r="BU1292">
        <f>Model!CC406</f>
        <v>0</v>
      </c>
      <c r="BV1292">
        <f>Model!CD406</f>
        <v>0</v>
      </c>
      <c r="BW1292">
        <f>Model!CE406</f>
        <v>0</v>
      </c>
      <c r="BX1292">
        <f>Model!CF406</f>
        <v>0</v>
      </c>
      <c r="BY1292">
        <f>Model!CG406</f>
        <v>0</v>
      </c>
      <c r="BZ1292">
        <f>Model!CH406</f>
        <v>0</v>
      </c>
      <c r="CA1292">
        <f>Model!CI406</f>
        <v>0</v>
      </c>
      <c r="CB1292">
        <f>Model!CJ406</f>
        <v>0</v>
      </c>
      <c r="CC1292">
        <f>Model!CK406</f>
        <v>0</v>
      </c>
      <c r="CD1292">
        <f>Model!CL406</f>
        <v>0</v>
      </c>
      <c r="CE1292">
        <f>Model!CM406</f>
        <v>0</v>
      </c>
      <c r="CF1292">
        <f>Model!CN406</f>
        <v>0</v>
      </c>
      <c r="CG1292">
        <f>Model!CO406</f>
        <v>0</v>
      </c>
      <c r="CH1292">
        <f>Model!CP406</f>
        <v>0</v>
      </c>
      <c r="CI1292">
        <f>Model!CQ406</f>
        <v>0</v>
      </c>
      <c r="CJ1292">
        <f>Model!CR406</f>
        <v>0</v>
      </c>
      <c r="CK1292">
        <f>Model!CS406</f>
        <v>0</v>
      </c>
      <c r="CL1292">
        <f>Model!CT406</f>
        <v>0</v>
      </c>
      <c r="CM1292">
        <f>Model!CU406</f>
        <v>0</v>
      </c>
      <c r="CN1292">
        <f>Model!CV406</f>
        <v>0</v>
      </c>
      <c r="CO1292">
        <f>Model!CW406</f>
        <v>0</v>
      </c>
      <c r="CP1292">
        <f>Model!CX406</f>
        <v>0</v>
      </c>
      <c r="CQ1292">
        <f>Model!CY406</f>
        <v>0</v>
      </c>
      <c r="CR1292">
        <f>Model!CZ406</f>
        <v>0</v>
      </c>
      <c r="CS1292">
        <f>Model!DA406</f>
        <v>0</v>
      </c>
      <c r="CT1292">
        <f>Model!DB406</f>
        <v>0</v>
      </c>
      <c r="CU1292">
        <f>Model!DC406</f>
        <v>0</v>
      </c>
      <c r="CV1292">
        <f>Model!DD406</f>
        <v>0</v>
      </c>
      <c r="CW1292">
        <f>Model!DE406</f>
        <v>0</v>
      </c>
      <c r="CX1292">
        <f>Model!DF406</f>
        <v>0</v>
      </c>
    </row>
    <row r="1293" spans="1:102">
      <c r="A1293" t="str">
        <f>Model!I407</f>
        <v>Total Ad Spend % of Bookings (constant currency)</v>
      </c>
      <c r="B1293">
        <f>Model!J407</f>
        <v>0</v>
      </c>
      <c r="C1293">
        <f>Model!K407</f>
        <v>0</v>
      </c>
      <c r="D1293">
        <f>Model!L407</f>
        <v>0</v>
      </c>
      <c r="E1293">
        <f>Model!M407</f>
        <v>0</v>
      </c>
      <c r="F1293">
        <f>Model!N407</f>
        <v>0</v>
      </c>
      <c r="G1293">
        <f>Model!O407</f>
        <v>0</v>
      </c>
      <c r="H1293">
        <f>Model!P407</f>
        <v>0</v>
      </c>
      <c r="I1293">
        <f>Model!Q407</f>
        <v>0</v>
      </c>
      <c r="J1293">
        <f>Model!R407</f>
        <v>0</v>
      </c>
      <c r="K1293">
        <f>Model!S407</f>
        <v>0</v>
      </c>
      <c r="L1293">
        <f>Model!T407</f>
        <v>0</v>
      </c>
      <c r="M1293">
        <f>Model!U407</f>
        <v>0</v>
      </c>
      <c r="N1293">
        <f>Model!V407</f>
        <v>0</v>
      </c>
      <c r="O1293">
        <f>Model!W407</f>
        <v>0</v>
      </c>
      <c r="P1293">
        <f>Model!X407</f>
        <v>0</v>
      </c>
      <c r="Q1293">
        <f>Model!Y407</f>
        <v>0</v>
      </c>
      <c r="R1293">
        <f>Model!Z407</f>
        <v>0</v>
      </c>
      <c r="S1293">
        <f>Model!AA407</f>
        <v>0</v>
      </c>
      <c r="T1293">
        <f>Model!AB407</f>
        <v>0</v>
      </c>
      <c r="U1293">
        <f>Model!AC407</f>
        <v>0</v>
      </c>
      <c r="V1293">
        <f>Model!AD407</f>
        <v>0</v>
      </c>
      <c r="W1293">
        <f>Model!AE407</f>
        <v>0</v>
      </c>
      <c r="X1293">
        <f>Model!AF407</f>
        <v>0</v>
      </c>
      <c r="Y1293">
        <f>Model!AG407</f>
        <v>0</v>
      </c>
      <c r="Z1293">
        <f>Model!AH407</f>
        <v>0</v>
      </c>
      <c r="AA1293">
        <f>Model!AI407</f>
        <v>0</v>
      </c>
      <c r="AB1293">
        <f>Model!AJ407</f>
        <v>0</v>
      </c>
      <c r="AC1293">
        <f>Model!AK407</f>
        <v>0</v>
      </c>
      <c r="AD1293">
        <f>Model!AL407</f>
        <v>0</v>
      </c>
      <c r="AE1293">
        <f>Model!AM407</f>
        <v>0</v>
      </c>
      <c r="AF1293">
        <f>Model!AN407</f>
        <v>0</v>
      </c>
      <c r="AG1293">
        <f>Model!AO407</f>
        <v>3.8968081494530307E-2</v>
      </c>
      <c r="AH1293">
        <f>Model!AP407</f>
        <v>3.8738025647730205E-2</v>
      </c>
      <c r="AI1293">
        <f>Model!AQ407</f>
        <v>4.4982757001228016E-2</v>
      </c>
      <c r="AJ1293">
        <f>Model!AR407</f>
        <v>4.2742299770365311E-2</v>
      </c>
      <c r="AK1293">
        <f>Model!AS407</f>
        <v>4.0341637740990234E-2</v>
      </c>
      <c r="AL1293">
        <f>Model!AT407</f>
        <v>4.2282725170843902E-2</v>
      </c>
      <c r="AM1293">
        <f>Model!AU407</f>
        <v>4.5454483199488478E-2</v>
      </c>
      <c r="AN1293">
        <f>Model!AV407</f>
        <v>4.2979430264436978E-2</v>
      </c>
      <c r="AO1293">
        <f>Model!AW407</f>
        <v>4.1945848754033711E-2</v>
      </c>
      <c r="AP1293">
        <f>Model!AX407</f>
        <v>4.1995831205078313E-2</v>
      </c>
      <c r="AQ1293">
        <f>Model!AY407</f>
        <v>4.5345451569537037E-2</v>
      </c>
      <c r="AR1293">
        <f>Model!AZ407</f>
        <v>4.2998231700668174E-2</v>
      </c>
      <c r="AS1293">
        <f>Model!BA407</f>
        <v>4.214759024435346E-2</v>
      </c>
      <c r="AT1293">
        <f>Model!BB407</f>
        <v>4.2049536744797653E-2</v>
      </c>
      <c r="AU1293">
        <f>Model!BC407</f>
        <v>4.5805292262329579E-2</v>
      </c>
      <c r="AV1293">
        <f>Model!BD407</f>
        <v>4.5187914739285476E-2</v>
      </c>
      <c r="AW1293">
        <f>Model!BE407</f>
        <v>4.3002540910409302E-2</v>
      </c>
      <c r="AX1293">
        <f>Model!BF407</f>
        <v>4.4290212807145825E-2</v>
      </c>
      <c r="AY1293">
        <f>Model!BG407</f>
        <v>4.8901483755186576E-2</v>
      </c>
      <c r="AZ1293">
        <f>Model!BH407</f>
        <v>4.7510786822085822E-2</v>
      </c>
      <c r="BA1293">
        <f>Model!BI407</f>
        <v>4.7072756155523011E-2</v>
      </c>
      <c r="BB1293">
        <f>Model!BJ407</f>
        <v>4.8955939204439268E-2</v>
      </c>
      <c r="BC1293">
        <f>Model!BK407</f>
        <v>5.324627004713841E-2</v>
      </c>
      <c r="BD1293">
        <f>Model!BL407</f>
        <v>4.6729976116769115E-2</v>
      </c>
      <c r="BE1293">
        <f>Model!BM407</f>
        <v>4.6778451126128731E-2</v>
      </c>
      <c r="BF1293">
        <f>Model!BN407</f>
        <v>5.1547854286054157E-2</v>
      </c>
      <c r="BG1293">
        <f>Model!BO407</f>
        <v>5.5802783167367066E-2</v>
      </c>
      <c r="BH1293">
        <f>Model!BP407</f>
        <v>5.1216762175860096E-2</v>
      </c>
      <c r="BI1293">
        <f>Model!BQ407</f>
        <v>5.0895918183609314E-2</v>
      </c>
      <c r="BJ1293">
        <f>Model!BR407</f>
        <v>5.5503855917409452E-2</v>
      </c>
      <c r="BK1293">
        <f>Model!BS407</f>
        <v>5.7550874645082295E-2</v>
      </c>
      <c r="BL1293">
        <f>Model!BT407</f>
        <v>5.1374290259498544E-2</v>
      </c>
      <c r="BM1293">
        <f>Model!BU407</f>
        <v>5.1038557626517225E-2</v>
      </c>
      <c r="BN1293">
        <f>Model!BV407</f>
        <v>5.7838729461444895E-2</v>
      </c>
      <c r="BO1293">
        <f>Model!BW407</f>
        <v>6.0280739503223359E-2</v>
      </c>
      <c r="BP1293">
        <f>Model!BX407</f>
        <v>5.1594897192459487E-2</v>
      </c>
      <c r="BQ1293">
        <f>Model!BY407</f>
        <v>5.1007308336578995E-2</v>
      </c>
      <c r="BR1293">
        <f>Model!BZ407</f>
        <v>6.0954458504456799E-2</v>
      </c>
      <c r="BS1293">
        <f>Model!CA407</f>
        <v>6.1449423578899341E-2</v>
      </c>
      <c r="BT1293">
        <f>Model!CB407</f>
        <v>4.8423906563516236E-2</v>
      </c>
      <c r="BU1293">
        <f>Model!CC407</f>
        <v>4.8665063779583878E-2</v>
      </c>
      <c r="BV1293">
        <f>Model!CD407</f>
        <v>5.9315338926969323E-2</v>
      </c>
      <c r="BW1293">
        <f>Model!CE407</f>
        <v>6.0190991931541142E-2</v>
      </c>
      <c r="BX1293">
        <f>Model!CF407</f>
        <v>4.7514117431047539E-2</v>
      </c>
      <c r="BY1293">
        <f>Model!CG407</f>
        <v>0</v>
      </c>
      <c r="BZ1293">
        <f>Model!CH407</f>
        <v>0</v>
      </c>
      <c r="CA1293">
        <f>Model!CI407</f>
        <v>0</v>
      </c>
      <c r="CB1293">
        <f>Model!CJ407</f>
        <v>0</v>
      </c>
      <c r="CC1293">
        <f>Model!CK407</f>
        <v>0</v>
      </c>
      <c r="CD1293">
        <f>Model!CL407</f>
        <v>0</v>
      </c>
      <c r="CE1293">
        <f>Model!CM407</f>
        <v>0</v>
      </c>
      <c r="CF1293">
        <f>Model!CN407</f>
        <v>0</v>
      </c>
      <c r="CG1293">
        <f>Model!CO407</f>
        <v>4.1713645448969293E-2</v>
      </c>
      <c r="CH1293">
        <f>Model!CP407</f>
        <v>4.3157077015462564E-2</v>
      </c>
      <c r="CI1293">
        <f>Model!CQ407</f>
        <v>4.3164131600800411E-2</v>
      </c>
      <c r="CJ1293">
        <f>Model!CR407</f>
        <v>4.4076911053131301E-2</v>
      </c>
      <c r="CK1293">
        <f>Model!CS407</f>
        <v>4.6019284168291569E-2</v>
      </c>
      <c r="CL1293">
        <f>Model!CT407</f>
        <v>4.9170197880709705E-2</v>
      </c>
      <c r="CM1293">
        <f>Model!CU407</f>
        <v>5.1501735935860486E-2</v>
      </c>
      <c r="CN1293">
        <f>Model!CV407</f>
        <v>5.4035756688838782E-2</v>
      </c>
      <c r="CO1293">
        <f>Model!CW407</f>
        <v>5.5440500289194485E-2</v>
      </c>
      <c r="CP1293">
        <f>Model!CX407</f>
        <v>5.5802435831116125E-2</v>
      </c>
      <c r="CQ1293">
        <f>Model!CY407</f>
        <v>5.4125397734094222E-2</v>
      </c>
      <c r="CR1293">
        <f>Model!CZ407</f>
        <v>5.3895764938748494E-2</v>
      </c>
      <c r="CS1293">
        <f>Model!DA407</f>
        <v>5.3802545707094085E-2</v>
      </c>
      <c r="CT1293">
        <f>Model!DB407</f>
        <v>5.3689339123291033E-2</v>
      </c>
      <c r="CU1293">
        <f>Model!DC407</f>
        <v>5.3612733705618885E-2</v>
      </c>
      <c r="CV1293">
        <f>Model!DD407</f>
        <v>5.3558753097985613E-2</v>
      </c>
      <c r="CW1293">
        <f>Model!DE407</f>
        <v>5.3527050545001169E-2</v>
      </c>
      <c r="CX1293">
        <f>Model!DF407</f>
        <v>5.3416731686233405E-2</v>
      </c>
    </row>
    <row r="1294" spans="1:102">
      <c r="A1294" t="str">
        <f>Model!I408</f>
        <v>change Y/Y (in bp)</v>
      </c>
      <c r="B1294">
        <f>Model!J408</f>
        <v>0</v>
      </c>
      <c r="C1294">
        <f>Model!K408</f>
        <v>0</v>
      </c>
      <c r="D1294">
        <f>Model!L408</f>
        <v>0</v>
      </c>
      <c r="E1294">
        <f>Model!M408</f>
        <v>0</v>
      </c>
      <c r="F1294">
        <f>Model!N408</f>
        <v>0</v>
      </c>
      <c r="G1294">
        <f>Model!O408</f>
        <v>0</v>
      </c>
      <c r="H1294">
        <f>Model!P408</f>
        <v>0</v>
      </c>
      <c r="I1294">
        <f>Model!Q408</f>
        <v>0</v>
      </c>
      <c r="J1294">
        <f>Model!R408</f>
        <v>0</v>
      </c>
      <c r="K1294">
        <f>Model!S408</f>
        <v>0</v>
      </c>
      <c r="L1294">
        <f>Model!T408</f>
        <v>0</v>
      </c>
      <c r="M1294">
        <f>Model!U408</f>
        <v>0</v>
      </c>
      <c r="N1294">
        <f>Model!V408</f>
        <v>0</v>
      </c>
      <c r="O1294">
        <f>Model!W408</f>
        <v>0</v>
      </c>
      <c r="P1294">
        <f>Model!X408</f>
        <v>0</v>
      </c>
      <c r="Q1294">
        <f>Model!Y408</f>
        <v>0</v>
      </c>
      <c r="R1294">
        <f>Model!Z408</f>
        <v>0</v>
      </c>
      <c r="S1294">
        <f>Model!AA408</f>
        <v>0</v>
      </c>
      <c r="T1294">
        <f>Model!AB408</f>
        <v>0</v>
      </c>
      <c r="U1294">
        <f>Model!AC408</f>
        <v>0</v>
      </c>
      <c r="V1294">
        <f>Model!AD408</f>
        <v>0</v>
      </c>
      <c r="W1294">
        <f>Model!AE408</f>
        <v>0</v>
      </c>
      <c r="X1294">
        <f>Model!AF408</f>
        <v>0</v>
      </c>
      <c r="Y1294">
        <f>Model!AG408</f>
        <v>0</v>
      </c>
      <c r="Z1294">
        <f>Model!AH408</f>
        <v>0</v>
      </c>
      <c r="AA1294">
        <f>Model!AI408</f>
        <v>0</v>
      </c>
      <c r="AB1294">
        <f>Model!AJ408</f>
        <v>0</v>
      </c>
      <c r="AC1294">
        <f>Model!AK408</f>
        <v>0</v>
      </c>
      <c r="AD1294">
        <f>Model!AL408</f>
        <v>0</v>
      </c>
      <c r="AE1294">
        <f>Model!AM408</f>
        <v>0</v>
      </c>
      <c r="AF1294">
        <f>Model!AN408</f>
        <v>0</v>
      </c>
      <c r="AG1294">
        <f>Model!AO408</f>
        <v>0</v>
      </c>
      <c r="AH1294">
        <f>Model!AP408</f>
        <v>0</v>
      </c>
      <c r="AI1294">
        <f>Model!AQ408</f>
        <v>0</v>
      </c>
      <c r="AJ1294">
        <f>Model!AR408</f>
        <v>0</v>
      </c>
      <c r="AK1294">
        <f>Model!AS408</f>
        <v>13.735562464599269</v>
      </c>
      <c r="AL1294">
        <f>Model!AT408</f>
        <v>35.446995231136967</v>
      </c>
      <c r="AM1294">
        <f>Model!AU408</f>
        <v>4.7172619826046231</v>
      </c>
      <c r="AN1294">
        <f>Model!AV408</f>
        <v>2.371304940716676</v>
      </c>
      <c r="AO1294">
        <f>Model!AW408</f>
        <v>16.042110130434772</v>
      </c>
      <c r="AP1294">
        <f>Model!AX408</f>
        <v>-2.868939657655889</v>
      </c>
      <c r="AQ1294">
        <f>Model!AY408</f>
        <v>-1.0903162995144071</v>
      </c>
      <c r="AR1294">
        <f>Model!AZ408</f>
        <v>0.18801436231195845</v>
      </c>
      <c r="AS1294">
        <f>Model!BA408</f>
        <v>2.0174149031974844</v>
      </c>
      <c r="AT1294">
        <f>Model!BB408</f>
        <v>0.53705539719339779</v>
      </c>
      <c r="AU1294">
        <f>Model!BC408</f>
        <v>4.5984069279254163</v>
      </c>
      <c r="AV1294">
        <f>Model!BD408</f>
        <v>21.896830386173015</v>
      </c>
      <c r="AW1294">
        <f>Model!BE408</f>
        <v>8.5495066605584249</v>
      </c>
      <c r="AX1294">
        <f>Model!BF408</f>
        <v>22.406760623481723</v>
      </c>
      <c r="AY1294">
        <f>Model!BG408</f>
        <v>30.961914928569964</v>
      </c>
      <c r="AZ1294">
        <f>Model!BH408</f>
        <v>23.228720828003464</v>
      </c>
      <c r="BA1294">
        <f>Model!BI408</f>
        <v>40.702152451137088</v>
      </c>
      <c r="BB1294">
        <f>Model!BJ408</f>
        <v>46.65726397293443</v>
      </c>
      <c r="BC1294">
        <f>Model!BK408</f>
        <v>43.447862919518343</v>
      </c>
      <c r="BD1294">
        <f>Model!BL408</f>
        <v>-7.8081070531670766</v>
      </c>
      <c r="BE1294">
        <f>Model!BM408</f>
        <v>-2.9430502939428034</v>
      </c>
      <c r="BF1294">
        <f>Model!BN408</f>
        <v>25.919150816148885</v>
      </c>
      <c r="BG1294">
        <f>Model!BO408</f>
        <v>25.565131202286569</v>
      </c>
      <c r="BH1294">
        <f>Model!BP408</f>
        <v>44.867860590909814</v>
      </c>
      <c r="BI1294">
        <f>Model!BQ408</f>
        <v>41.174670574805823</v>
      </c>
      <c r="BJ1294">
        <f>Model!BR408</f>
        <v>39.56001631355295</v>
      </c>
      <c r="BK1294">
        <f>Model!BS408</f>
        <v>17.480914777152286</v>
      </c>
      <c r="BL1294">
        <f>Model!BT408</f>
        <v>1.5752808363844739</v>
      </c>
      <c r="BM1294">
        <f>Model!BU408</f>
        <v>1.4263944290791168</v>
      </c>
      <c r="BN1294">
        <f>Model!BV408</f>
        <v>23.348735440354428</v>
      </c>
      <c r="BO1294">
        <f>Model!BW408</f>
        <v>27.298648581410635</v>
      </c>
      <c r="BP1294">
        <f>Model!BX408</f>
        <v>2.206069329609428</v>
      </c>
      <c r="BQ1294">
        <f>Model!BY408</f>
        <v>-0.31249289938230229</v>
      </c>
      <c r="BR1294">
        <f>Model!BZ408</f>
        <v>31.157290430119041</v>
      </c>
      <c r="BS1294">
        <f>Model!CA408</f>
        <v>11.686840756759825</v>
      </c>
      <c r="BT1294">
        <f>Model!CB408</f>
        <v>-31.709906289432503</v>
      </c>
      <c r="BU1294">
        <f>Model!CC408</f>
        <v>-23.422445569951169</v>
      </c>
      <c r="BV1294">
        <f>Model!CD408</f>
        <v>-16.39119577487476</v>
      </c>
      <c r="BW1294">
        <f>Model!CE408</f>
        <v>-12.584316473581991</v>
      </c>
      <c r="BX1294">
        <f>Model!CF408</f>
        <v>-9.0978913246869695</v>
      </c>
      <c r="BY1294">
        <f>Model!CG408</f>
        <v>0</v>
      </c>
      <c r="BZ1294">
        <f>Model!CH408</f>
        <v>0</v>
      </c>
      <c r="CA1294">
        <f>Model!CI408</f>
        <v>0</v>
      </c>
      <c r="CB1294">
        <f>Model!CJ408</f>
        <v>0</v>
      </c>
      <c r="CC1294">
        <f>Model!CK408</f>
        <v>0</v>
      </c>
      <c r="CD1294">
        <f>Model!CL408</f>
        <v>0</v>
      </c>
      <c r="CE1294">
        <f>Model!CM408</f>
        <v>0</v>
      </c>
      <c r="CF1294">
        <f>Model!CN408</f>
        <v>0</v>
      </c>
      <c r="CG1294">
        <f>Model!CO408</f>
        <v>0</v>
      </c>
      <c r="CH1294">
        <f>Model!CP408</f>
        <v>14.43431566493271</v>
      </c>
      <c r="CI1294">
        <f>Model!CQ408</f>
        <v>7.0545853378470302E-2</v>
      </c>
      <c r="CJ1294">
        <f>Model!CR408</f>
        <v>9.1277945233089053</v>
      </c>
      <c r="CK1294">
        <f>Model!CS408</f>
        <v>19.423731151602674</v>
      </c>
      <c r="CL1294">
        <f>Model!CT408</f>
        <v>31.509137124181365</v>
      </c>
      <c r="CM1294">
        <f>Model!CU408</f>
        <v>23.315380551507808</v>
      </c>
      <c r="CN1294">
        <f>Model!CV408</f>
        <v>25.340207529782958</v>
      </c>
      <c r="CO1294">
        <f>Model!CW408</f>
        <v>14.047436003557026</v>
      </c>
      <c r="CP1294">
        <f>Model!CX408</f>
        <v>3.6193554192164026</v>
      </c>
      <c r="CQ1294">
        <f>Model!CY408</f>
        <v>-16.77038097021903</v>
      </c>
      <c r="CR1294">
        <f>Model!CZ408</f>
        <v>-2.296327953457272</v>
      </c>
      <c r="CS1294">
        <f>Model!DA408</f>
        <v>-0.93219231654409485</v>
      </c>
      <c r="CT1294">
        <f>Model!DB408</f>
        <v>-1.1320658380305215</v>
      </c>
      <c r="CU1294">
        <f>Model!DC408</f>
        <v>-0.76605417672147291</v>
      </c>
      <c r="CV1294">
        <f>Model!DD408</f>
        <v>-0.53980607633272171</v>
      </c>
      <c r="CW1294">
        <f>Model!DE408</f>
        <v>-0.31702552984444465</v>
      </c>
      <c r="CX1294">
        <f>Model!DF408</f>
        <v>-1.1031885876776337</v>
      </c>
    </row>
    <row r="1295" spans="1:102">
      <c r="A1295">
        <f>Model!I409</f>
        <v>0</v>
      </c>
      <c r="B1295">
        <f>Model!J409</f>
        <v>0</v>
      </c>
      <c r="C1295">
        <f>Model!K409</f>
        <v>0</v>
      </c>
      <c r="D1295">
        <f>Model!L409</f>
        <v>0</v>
      </c>
      <c r="E1295">
        <f>Model!M409</f>
        <v>0</v>
      </c>
      <c r="F1295">
        <f>Model!N409</f>
        <v>0</v>
      </c>
      <c r="G1295">
        <f>Model!O409</f>
        <v>0</v>
      </c>
      <c r="H1295">
        <f>Model!P409</f>
        <v>0</v>
      </c>
      <c r="I1295">
        <f>Model!Q409</f>
        <v>0</v>
      </c>
      <c r="J1295">
        <f>Model!R409</f>
        <v>0</v>
      </c>
      <c r="K1295">
        <f>Model!S409</f>
        <v>0</v>
      </c>
      <c r="L1295">
        <f>Model!T409</f>
        <v>0</v>
      </c>
      <c r="M1295">
        <f>Model!U409</f>
        <v>0</v>
      </c>
      <c r="N1295">
        <f>Model!V409</f>
        <v>0</v>
      </c>
      <c r="O1295">
        <f>Model!W409</f>
        <v>0</v>
      </c>
      <c r="P1295">
        <f>Model!X409</f>
        <v>0</v>
      </c>
      <c r="Q1295">
        <f>Model!Y409</f>
        <v>0</v>
      </c>
      <c r="R1295">
        <f>Model!Z409</f>
        <v>0</v>
      </c>
      <c r="S1295">
        <f>Model!AA409</f>
        <v>0</v>
      </c>
      <c r="T1295">
        <f>Model!AB409</f>
        <v>0</v>
      </c>
      <c r="U1295">
        <f>Model!AC409</f>
        <v>0</v>
      </c>
      <c r="V1295">
        <f>Model!AD409</f>
        <v>0</v>
      </c>
      <c r="W1295">
        <f>Model!AE409</f>
        <v>0</v>
      </c>
      <c r="X1295">
        <f>Model!AF409</f>
        <v>0</v>
      </c>
      <c r="Y1295">
        <f>Model!AG409</f>
        <v>0</v>
      </c>
      <c r="Z1295">
        <f>Model!AH409</f>
        <v>0</v>
      </c>
      <c r="AA1295">
        <f>Model!AI409</f>
        <v>0</v>
      </c>
      <c r="AB1295">
        <f>Model!AJ409</f>
        <v>0</v>
      </c>
      <c r="AC1295">
        <f>Model!AK409</f>
        <v>0</v>
      </c>
      <c r="AD1295">
        <f>Model!AL409</f>
        <v>0</v>
      </c>
      <c r="AE1295">
        <f>Model!AM409</f>
        <v>0</v>
      </c>
      <c r="AF1295">
        <f>Model!AN409</f>
        <v>0</v>
      </c>
      <c r="AG1295">
        <f>Model!AO409</f>
        <v>0</v>
      </c>
      <c r="AH1295">
        <f>Model!AP409</f>
        <v>0</v>
      </c>
      <c r="AI1295">
        <f>Model!AQ409</f>
        <v>0</v>
      </c>
      <c r="AJ1295">
        <f>Model!AR409</f>
        <v>0</v>
      </c>
      <c r="AK1295">
        <f>Model!AS409</f>
        <v>0</v>
      </c>
      <c r="AL1295">
        <f>Model!AT409</f>
        <v>0</v>
      </c>
      <c r="AM1295">
        <f>Model!AU409</f>
        <v>0</v>
      </c>
      <c r="AN1295">
        <f>Model!AV409</f>
        <v>0</v>
      </c>
      <c r="AO1295">
        <f>Model!AW409</f>
        <v>0</v>
      </c>
      <c r="AP1295">
        <f>Model!AX409</f>
        <v>0</v>
      </c>
      <c r="AQ1295">
        <f>Model!AY409</f>
        <v>0</v>
      </c>
      <c r="AR1295">
        <f>Model!AZ409</f>
        <v>0</v>
      </c>
      <c r="AS1295">
        <f>Model!BA409</f>
        <v>0</v>
      </c>
      <c r="AT1295">
        <f>Model!BB409</f>
        <v>0</v>
      </c>
      <c r="AU1295">
        <f>Model!BC409</f>
        <v>0</v>
      </c>
      <c r="AV1295">
        <f>Model!BD409</f>
        <v>0</v>
      </c>
      <c r="AW1295">
        <f>Model!BE409</f>
        <v>0</v>
      </c>
      <c r="AX1295">
        <f>Model!BF409</f>
        <v>0</v>
      </c>
      <c r="AY1295">
        <f>Model!BG409</f>
        <v>0</v>
      </c>
      <c r="AZ1295">
        <f>Model!BH409</f>
        <v>0</v>
      </c>
      <c r="BA1295">
        <f>Model!BI409</f>
        <v>0</v>
      </c>
      <c r="BB1295">
        <f>Model!BJ409</f>
        <v>0</v>
      </c>
      <c r="BC1295">
        <f>Model!BK409</f>
        <v>0</v>
      </c>
      <c r="BD1295">
        <f>Model!BL409</f>
        <v>0</v>
      </c>
      <c r="BE1295">
        <f>Model!BM409</f>
        <v>0</v>
      </c>
      <c r="BF1295">
        <f>Model!BN409</f>
        <v>0</v>
      </c>
      <c r="BG1295">
        <f>Model!BO409</f>
        <v>0</v>
      </c>
      <c r="BH1295">
        <f>Model!BP409</f>
        <v>0</v>
      </c>
      <c r="BI1295">
        <f>Model!BQ409</f>
        <v>0</v>
      </c>
      <c r="BJ1295">
        <f>Model!BR409</f>
        <v>0</v>
      </c>
      <c r="BK1295">
        <f>Model!BS409</f>
        <v>0</v>
      </c>
      <c r="BL1295">
        <f>Model!BT409</f>
        <v>0</v>
      </c>
      <c r="BM1295">
        <f>Model!BU409</f>
        <v>0</v>
      </c>
      <c r="BN1295">
        <f>Model!BV409</f>
        <v>0</v>
      </c>
      <c r="BO1295">
        <f>Model!BW409</f>
        <v>0</v>
      </c>
      <c r="BP1295">
        <f>Model!BX409</f>
        <v>0</v>
      </c>
      <c r="BQ1295">
        <f>Model!BY409</f>
        <v>0</v>
      </c>
      <c r="BR1295">
        <f>Model!BZ409</f>
        <v>0</v>
      </c>
      <c r="BS1295">
        <f>Model!CA409</f>
        <v>0</v>
      </c>
      <c r="BT1295">
        <f>Model!CB409</f>
        <v>0</v>
      </c>
      <c r="BU1295">
        <f>Model!CC409</f>
        <v>0</v>
      </c>
      <c r="BV1295">
        <f>Model!CD409</f>
        <v>0</v>
      </c>
      <c r="BW1295">
        <f>Model!CE409</f>
        <v>0</v>
      </c>
      <c r="BX1295">
        <f>Model!CF409</f>
        <v>0</v>
      </c>
      <c r="BY1295">
        <f>Model!CG409</f>
        <v>0</v>
      </c>
      <c r="BZ1295">
        <f>Model!CH409</f>
        <v>0</v>
      </c>
      <c r="CA1295">
        <f>Model!CI409</f>
        <v>0</v>
      </c>
      <c r="CB1295">
        <f>Model!CJ409</f>
        <v>0</v>
      </c>
      <c r="CC1295">
        <f>Model!CK409</f>
        <v>0</v>
      </c>
      <c r="CD1295">
        <f>Model!CL409</f>
        <v>0</v>
      </c>
      <c r="CE1295">
        <f>Model!CM409</f>
        <v>0</v>
      </c>
      <c r="CF1295">
        <f>Model!CN409</f>
        <v>0</v>
      </c>
      <c r="CG1295">
        <f>Model!CO409</f>
        <v>0</v>
      </c>
      <c r="CH1295">
        <f>Model!CP409</f>
        <v>0</v>
      </c>
      <c r="CI1295">
        <f>Model!CQ409</f>
        <v>0</v>
      </c>
      <c r="CJ1295">
        <f>Model!CR409</f>
        <v>0</v>
      </c>
      <c r="CK1295">
        <f>Model!CS409</f>
        <v>0</v>
      </c>
      <c r="CL1295">
        <f>Model!CT409</f>
        <v>0</v>
      </c>
      <c r="CM1295">
        <f>Model!CU409</f>
        <v>0</v>
      </c>
      <c r="CN1295">
        <f>Model!CV409</f>
        <v>0</v>
      </c>
      <c r="CO1295">
        <f>Model!CW409</f>
        <v>0</v>
      </c>
      <c r="CP1295">
        <f>Model!CX409</f>
        <v>0</v>
      </c>
      <c r="CQ1295">
        <f>Model!CY409</f>
        <v>0</v>
      </c>
      <c r="CR1295">
        <f>Model!CZ409</f>
        <v>0</v>
      </c>
      <c r="CS1295">
        <f>Model!DA409</f>
        <v>0</v>
      </c>
      <c r="CT1295">
        <f>Model!DB409</f>
        <v>0</v>
      </c>
      <c r="CU1295">
        <f>Model!DC409</f>
        <v>0</v>
      </c>
      <c r="CV1295">
        <f>Model!DD409</f>
        <v>0</v>
      </c>
      <c r="CW1295">
        <f>Model!DE409</f>
        <v>0</v>
      </c>
      <c r="CX1295">
        <f>Model!DF409</f>
        <v>0</v>
      </c>
    </row>
    <row r="1296" spans="1:102">
      <c r="A1296" t="str">
        <f>Model!I410</f>
        <v>ROI Commentary (10-Q)</v>
      </c>
      <c r="B1296">
        <f>Model!J410</f>
        <v>0</v>
      </c>
      <c r="C1296">
        <f>Model!K410</f>
        <v>0</v>
      </c>
      <c r="D1296">
        <f>Model!L410</f>
        <v>0</v>
      </c>
      <c r="E1296">
        <f>Model!M410</f>
        <v>0</v>
      </c>
      <c r="F1296">
        <f>Model!N410</f>
        <v>0</v>
      </c>
      <c r="G1296">
        <f>Model!O410</f>
        <v>0</v>
      </c>
      <c r="H1296">
        <f>Model!P410</f>
        <v>0</v>
      </c>
      <c r="I1296">
        <f>Model!Q410</f>
        <v>0</v>
      </c>
      <c r="J1296">
        <f>Model!R410</f>
        <v>0</v>
      </c>
      <c r="K1296">
        <f>Model!S410</f>
        <v>0</v>
      </c>
      <c r="L1296">
        <f>Model!T410</f>
        <v>0</v>
      </c>
      <c r="M1296">
        <f>Model!U410</f>
        <v>0</v>
      </c>
      <c r="N1296">
        <f>Model!V410</f>
        <v>0</v>
      </c>
      <c r="O1296">
        <f>Model!W410</f>
        <v>0</v>
      </c>
      <c r="P1296">
        <f>Model!X410</f>
        <v>0</v>
      </c>
      <c r="Q1296">
        <f>Model!Y410</f>
        <v>0</v>
      </c>
      <c r="R1296">
        <f>Model!Z410</f>
        <v>0</v>
      </c>
      <c r="S1296">
        <f>Model!AA410</f>
        <v>0</v>
      </c>
      <c r="T1296">
        <f>Model!AB410</f>
        <v>0</v>
      </c>
      <c r="U1296">
        <f>Model!AC410</f>
        <v>0</v>
      </c>
      <c r="V1296">
        <f>Model!AD410</f>
        <v>0</v>
      </c>
      <c r="W1296">
        <f>Model!AE410</f>
        <v>0</v>
      </c>
      <c r="X1296">
        <f>Model!AF410</f>
        <v>0</v>
      </c>
      <c r="Y1296">
        <f>Model!AG410</f>
        <v>0</v>
      </c>
      <c r="Z1296">
        <f>Model!AH410</f>
        <v>0</v>
      </c>
      <c r="AA1296">
        <f>Model!AI410</f>
        <v>0</v>
      </c>
      <c r="AB1296">
        <f>Model!AJ410</f>
        <v>0</v>
      </c>
      <c r="AC1296">
        <f>Model!AK410</f>
        <v>0</v>
      </c>
      <c r="AD1296">
        <f>Model!AL410</f>
        <v>0</v>
      </c>
      <c r="AE1296">
        <f>Model!AM410</f>
        <v>0</v>
      </c>
      <c r="AF1296">
        <f>Model!AN410</f>
        <v>0</v>
      </c>
      <c r="AG1296">
        <f>Model!AO410</f>
        <v>0</v>
      </c>
      <c r="AH1296">
        <f>Model!AP410</f>
        <v>0</v>
      </c>
      <c r="AI1296">
        <f>Model!AQ410</f>
        <v>0</v>
      </c>
      <c r="AJ1296">
        <f>Model!AR410</f>
        <v>0</v>
      </c>
      <c r="AK1296">
        <f>Model!AS410</f>
        <v>0</v>
      </c>
      <c r="AL1296">
        <f>Model!AT410</f>
        <v>0</v>
      </c>
      <c r="AM1296">
        <f>Model!AU410</f>
        <v>0</v>
      </c>
      <c r="AN1296">
        <f>Model!AV410</f>
        <v>0</v>
      </c>
      <c r="AO1296">
        <f>Model!AW410</f>
        <v>0</v>
      </c>
      <c r="AP1296">
        <f>Model!AX410</f>
        <v>0</v>
      </c>
      <c r="AQ1296">
        <f>Model!AY410</f>
        <v>0</v>
      </c>
      <c r="AR1296">
        <f>Model!AZ410</f>
        <v>0</v>
      </c>
      <c r="AS1296">
        <f>Model!BA410</f>
        <v>0</v>
      </c>
      <c r="AT1296">
        <f>Model!BB410</f>
        <v>0</v>
      </c>
      <c r="AU1296">
        <f>Model!BC410</f>
        <v>0</v>
      </c>
      <c r="AV1296">
        <f>Model!BD410</f>
        <v>0</v>
      </c>
      <c r="AW1296">
        <f>Model!BE410</f>
        <v>0</v>
      </c>
      <c r="AX1296">
        <f>Model!BF410</f>
        <v>0</v>
      </c>
      <c r="AY1296">
        <f>Model!BG410</f>
        <v>0</v>
      </c>
      <c r="AZ1296">
        <f>Model!BH410</f>
        <v>0</v>
      </c>
      <c r="BA1296" t="str">
        <f>Model!BI410</f>
        <v>Decline</v>
      </c>
      <c r="BB1296" t="str">
        <f>Model!BJ410</f>
        <v>Decline</v>
      </c>
      <c r="BC1296" t="str">
        <f>Model!BK410</f>
        <v>Decline</v>
      </c>
      <c r="BD1296" t="str">
        <f>Model!BL410</f>
        <v>Decline</v>
      </c>
      <c r="BE1296" t="str">
        <f>Model!BM410</f>
        <v>Decline</v>
      </c>
      <c r="BF1296" t="str">
        <f>Model!BN410</f>
        <v>Decline</v>
      </c>
      <c r="BG1296" t="str">
        <f>Model!BO410</f>
        <v>Decline</v>
      </c>
      <c r="BH1296" t="str">
        <f>Model!BP410</f>
        <v>Decline</v>
      </c>
      <c r="BI1296" t="str">
        <f>Model!BQ410</f>
        <v>Decline</v>
      </c>
      <c r="BJ1296" t="str">
        <f>Model!BR410</f>
        <v>Decline</v>
      </c>
      <c r="BK1296" t="str">
        <f>Model!BS410</f>
        <v>Decline</v>
      </c>
      <c r="BL1296" t="str">
        <f>Model!BT410</f>
        <v>Stable</v>
      </c>
      <c r="BM1296" t="str">
        <f>Model!BU410</f>
        <v>Solid</v>
      </c>
      <c r="BN1296" t="str">
        <f>Model!BV410</f>
        <v>Stable</v>
      </c>
      <c r="BO1296" t="str">
        <f>Model!BW410</f>
        <v>Pressure</v>
      </c>
      <c r="BP1296" t="str">
        <f>Model!BX410</f>
        <v>Pressure</v>
      </c>
      <c r="BQ1296" t="str">
        <f>Model!BY410</f>
        <v>Pressure</v>
      </c>
      <c r="BR1296" t="str">
        <f>Model!BZ410</f>
        <v>Pressure</v>
      </c>
      <c r="BS1296" t="str">
        <f>Model!CA410</f>
        <v>Improved</v>
      </c>
      <c r="BT1296">
        <f>Model!CB410</f>
        <v>0</v>
      </c>
      <c r="BU1296">
        <f>Model!CC410</f>
        <v>0</v>
      </c>
      <c r="BV1296">
        <f>Model!CD410</f>
        <v>0</v>
      </c>
      <c r="BW1296">
        <f>Model!CE410</f>
        <v>0</v>
      </c>
      <c r="BX1296">
        <f>Model!CF410</f>
        <v>0</v>
      </c>
      <c r="BY1296">
        <f>Model!CG410</f>
        <v>0</v>
      </c>
      <c r="BZ1296">
        <f>Model!CH410</f>
        <v>0</v>
      </c>
      <c r="CA1296">
        <f>Model!CI410</f>
        <v>0</v>
      </c>
      <c r="CB1296">
        <f>Model!CJ410</f>
        <v>0</v>
      </c>
      <c r="CC1296">
        <f>Model!CK410</f>
        <v>0</v>
      </c>
      <c r="CD1296">
        <f>Model!CL410</f>
        <v>0</v>
      </c>
      <c r="CE1296">
        <f>Model!CM410</f>
        <v>0</v>
      </c>
      <c r="CF1296">
        <f>Model!CN410</f>
        <v>0</v>
      </c>
      <c r="CG1296">
        <f>Model!CO410</f>
        <v>0</v>
      </c>
      <c r="CH1296">
        <f>Model!CP410</f>
        <v>0</v>
      </c>
      <c r="CI1296">
        <f>Model!CQ410</f>
        <v>0</v>
      </c>
      <c r="CJ1296">
        <f>Model!CR410</f>
        <v>0</v>
      </c>
      <c r="CK1296">
        <f>Model!CS410</f>
        <v>0</v>
      </c>
      <c r="CL1296">
        <f>Model!CT410</f>
        <v>0</v>
      </c>
      <c r="CM1296">
        <f>Model!CU410</f>
        <v>0</v>
      </c>
      <c r="CN1296" t="str">
        <f>Model!CV410</f>
        <v>Decline</v>
      </c>
      <c r="CO1296">
        <f>Model!CW410</f>
        <v>0</v>
      </c>
      <c r="CP1296">
        <f>Model!CX410</f>
        <v>0</v>
      </c>
      <c r="CQ1296">
        <f>Model!CY410</f>
        <v>0</v>
      </c>
      <c r="CR1296">
        <f>Model!CZ410</f>
        <v>0</v>
      </c>
      <c r="CS1296">
        <f>Model!DA410</f>
        <v>0</v>
      </c>
      <c r="CT1296">
        <f>Model!DB410</f>
        <v>0</v>
      </c>
      <c r="CU1296">
        <f>Model!DC410</f>
        <v>0</v>
      </c>
      <c r="CV1296">
        <f>Model!DD410</f>
        <v>0</v>
      </c>
      <c r="CW1296">
        <f>Model!DE410</f>
        <v>0</v>
      </c>
      <c r="CX1296">
        <f>Model!DF410</f>
        <v>0</v>
      </c>
    </row>
    <row r="1297" spans="1:102">
      <c r="A1297" t="str">
        <f>'Bookings and Drivers'!I170</f>
        <v>Booking.com Worldwide Property Count</v>
      </c>
      <c r="B1297">
        <f>'Bookings and Drivers'!J170</f>
        <v>0</v>
      </c>
      <c r="C1297">
        <f>'Bookings and Drivers'!K170</f>
        <v>0</v>
      </c>
      <c r="D1297">
        <f>'Bookings and Drivers'!L170</f>
        <v>0</v>
      </c>
      <c r="E1297">
        <f>'Bookings and Drivers'!M170</f>
        <v>0</v>
      </c>
      <c r="F1297">
        <f>'Bookings and Drivers'!N170</f>
        <v>0</v>
      </c>
      <c r="G1297">
        <f>'Bookings and Drivers'!O170</f>
        <v>0</v>
      </c>
      <c r="H1297">
        <f>'Bookings and Drivers'!P170</f>
        <v>0</v>
      </c>
      <c r="I1297">
        <f>'Bookings and Drivers'!Q170</f>
        <v>0</v>
      </c>
      <c r="J1297">
        <f>'Bookings and Drivers'!R170</f>
        <v>0</v>
      </c>
      <c r="K1297">
        <f>'Bookings and Drivers'!S170</f>
        <v>0</v>
      </c>
      <c r="L1297">
        <f>'Bookings and Drivers'!T170</f>
        <v>0</v>
      </c>
      <c r="M1297">
        <f>'Bookings and Drivers'!U170</f>
        <v>0</v>
      </c>
      <c r="N1297">
        <f>'Bookings and Drivers'!V170</f>
        <v>0</v>
      </c>
      <c r="O1297">
        <f>'Bookings and Drivers'!W170</f>
        <v>0</v>
      </c>
      <c r="P1297">
        <f>'Bookings and Drivers'!X170</f>
        <v>0</v>
      </c>
      <c r="Q1297">
        <f>'Bookings and Drivers'!Y170</f>
        <v>0</v>
      </c>
      <c r="R1297">
        <f>'Bookings and Drivers'!Z170</f>
        <v>0</v>
      </c>
      <c r="S1297">
        <f>'Bookings and Drivers'!AA170</f>
        <v>0</v>
      </c>
      <c r="T1297">
        <f>'Bookings and Drivers'!AB170</f>
        <v>0</v>
      </c>
      <c r="U1297">
        <f>'Bookings and Drivers'!AC170</f>
        <v>0</v>
      </c>
      <c r="V1297">
        <f>'Bookings and Drivers'!AD170</f>
        <v>0</v>
      </c>
      <c r="W1297">
        <f>'Bookings and Drivers'!AE170</f>
        <v>0</v>
      </c>
      <c r="X1297">
        <f>'Bookings and Drivers'!AF170</f>
        <v>0</v>
      </c>
      <c r="Y1297">
        <f>'Bookings and Drivers'!AG170</f>
        <v>22000</v>
      </c>
      <c r="Z1297">
        <f>'Bookings and Drivers'!AH170</f>
        <v>24000</v>
      </c>
      <c r="AA1297">
        <f>'Bookings and Drivers'!AI170</f>
        <v>26000</v>
      </c>
      <c r="AB1297">
        <f>'Bookings and Drivers'!AJ170</f>
        <v>28000</v>
      </c>
      <c r="AC1297">
        <f>'Bookings and Drivers'!AK170</f>
        <v>32000</v>
      </c>
      <c r="AD1297">
        <f>'Bookings and Drivers'!AL170</f>
        <v>35000</v>
      </c>
      <c r="AE1297">
        <f>'Bookings and Drivers'!AM170</f>
        <v>38000</v>
      </c>
      <c r="AF1297">
        <f>'Bookings and Drivers'!AN170</f>
        <v>41500</v>
      </c>
      <c r="AG1297">
        <f>'Bookings and Drivers'!AO170</f>
        <v>45000</v>
      </c>
      <c r="AH1297">
        <f>'Bookings and Drivers'!AP170</f>
        <v>52000</v>
      </c>
      <c r="AI1297">
        <f>'Bookings and Drivers'!AQ170</f>
        <v>57000</v>
      </c>
      <c r="AJ1297">
        <f>'Bookings and Drivers'!AR170</f>
        <v>60000</v>
      </c>
      <c r="AK1297">
        <f>'Bookings and Drivers'!AS170</f>
        <v>66000</v>
      </c>
      <c r="AL1297">
        <f>'Bookings and Drivers'!AT170</f>
        <v>71000</v>
      </c>
      <c r="AM1297">
        <f>'Bookings and Drivers'!AU170</f>
        <v>73000</v>
      </c>
      <c r="AN1297">
        <f>'Bookings and Drivers'!AV170</f>
        <v>78000</v>
      </c>
      <c r="AO1297">
        <f>'Bookings and Drivers'!AW170</f>
        <v>86000</v>
      </c>
      <c r="AP1297">
        <f>'Bookings and Drivers'!AX170</f>
        <v>96000</v>
      </c>
      <c r="AQ1297">
        <f>'Bookings and Drivers'!AY170</f>
        <v>105000</v>
      </c>
      <c r="AR1297">
        <f>'Bookings and Drivers'!AZ170</f>
        <v>120000</v>
      </c>
      <c r="AS1297">
        <f>'Bookings and Drivers'!BA170</f>
        <v>135000</v>
      </c>
      <c r="AT1297">
        <f>'Bookings and Drivers'!BB170</f>
        <v>155000</v>
      </c>
      <c r="AU1297">
        <f>'Bookings and Drivers'!BC170</f>
        <v>170000</v>
      </c>
      <c r="AV1297">
        <f>'Bookings and Drivers'!BD170</f>
        <v>183884</v>
      </c>
      <c r="AW1297">
        <f>'Bookings and Drivers'!BE170</f>
        <v>210000</v>
      </c>
      <c r="AX1297">
        <f>'Bookings and Drivers'!BF170</f>
        <v>235000</v>
      </c>
      <c r="AY1297">
        <f>'Bookings and Drivers'!BG170</f>
        <v>245000</v>
      </c>
      <c r="AZ1297">
        <f>'Bookings and Drivers'!BH170</f>
        <v>275000</v>
      </c>
      <c r="BA1297">
        <f>'Bookings and Drivers'!BI170</f>
        <v>295000</v>
      </c>
      <c r="BB1297">
        <f>'Bookings and Drivers'!BJ170</f>
        <v>330000</v>
      </c>
      <c r="BC1297">
        <f>'Bookings and Drivers'!BK170</f>
        <v>355000</v>
      </c>
      <c r="BD1297">
        <f>'Bookings and Drivers'!BL170</f>
        <v>426000</v>
      </c>
      <c r="BE1297">
        <f>'Bookings and Drivers'!BM170</f>
        <v>462000</v>
      </c>
      <c r="BF1297">
        <f>'Bookings and Drivers'!BN170</f>
        <v>523000</v>
      </c>
      <c r="BG1297">
        <f>'Bookings and Drivers'!BO170</f>
        <v>540000</v>
      </c>
      <c r="BH1297">
        <f>'Bookings and Drivers'!BP170</f>
        <v>602000</v>
      </c>
      <c r="BI1297">
        <f>'Bookings and Drivers'!BQ170</f>
        <v>637000</v>
      </c>
      <c r="BJ1297">
        <f>'Bookings and Drivers'!BR170</f>
        <v>742000</v>
      </c>
      <c r="BK1297">
        <f>'Bookings and Drivers'!BS170</f>
        <v>750000</v>
      </c>
      <c r="BL1297">
        <f>'Bookings and Drivers'!BT170</f>
        <v>852000</v>
      </c>
      <c r="BM1297">
        <f>'Bookings and Drivers'!BU170</f>
        <v>879500</v>
      </c>
      <c r="BN1297">
        <f>'Bookings and Drivers'!BV170</f>
        <v>965000</v>
      </c>
      <c r="BO1297">
        <f>'Bookings and Drivers'!BW170</f>
        <v>1065000</v>
      </c>
      <c r="BP1297">
        <f>'Bookings and Drivers'!BX170</f>
        <v>1115000</v>
      </c>
      <c r="BQ1297">
        <f>'Bookings and Drivers'!BY170</f>
        <v>1191000</v>
      </c>
      <c r="BR1297">
        <f>'Bookings and Drivers'!BZ170</f>
        <v>1340000</v>
      </c>
      <c r="BS1297">
        <f>'Bookings and Drivers'!CA170</f>
        <v>1514051</v>
      </c>
      <c r="BT1297">
        <f>'Bookings and Drivers'!CB170</f>
        <v>1586000</v>
      </c>
      <c r="BU1297">
        <f>'Bookings and Drivers'!CC170</f>
        <v>1688698.8340807175</v>
      </c>
      <c r="BV1297">
        <f>'Bookings and Drivers'!CD170</f>
        <v>1889400.1942521075</v>
      </c>
      <c r="BW1297">
        <f>'Bookings and Drivers'!CE170</f>
        <v>2122541.5327217234</v>
      </c>
      <c r="BX1297">
        <f>'Bookings and Drivers'!CF170</f>
        <v>2218363.2743281196</v>
      </c>
      <c r="BY1297">
        <f>'Bookings and Drivers'!CG170</f>
        <v>0</v>
      </c>
      <c r="BZ1297">
        <f>'Bookings and Drivers'!CH170</f>
        <v>0</v>
      </c>
      <c r="CA1297">
        <f>'Bookings and Drivers'!CI170</f>
        <v>0</v>
      </c>
      <c r="CB1297">
        <f>'Bookings and Drivers'!CJ170</f>
        <v>0</v>
      </c>
      <c r="CC1297">
        <f>'Bookings and Drivers'!CK170</f>
        <v>0</v>
      </c>
      <c r="CD1297">
        <f>'Bookings and Drivers'!CL170</f>
        <v>0</v>
      </c>
      <c r="CE1297">
        <f>'Bookings and Drivers'!CM170</f>
        <v>28000</v>
      </c>
      <c r="CF1297">
        <f>'Bookings and Drivers'!CN170</f>
        <v>41500</v>
      </c>
      <c r="CG1297">
        <f>'Bookings and Drivers'!CO170</f>
        <v>60000</v>
      </c>
      <c r="CH1297">
        <f>'Bookings and Drivers'!CP170</f>
        <v>78000</v>
      </c>
      <c r="CI1297">
        <f>'Bookings and Drivers'!CQ170</f>
        <v>120000</v>
      </c>
      <c r="CJ1297">
        <f>'Bookings and Drivers'!CR170</f>
        <v>183884</v>
      </c>
      <c r="CK1297">
        <f>'Bookings and Drivers'!CS170</f>
        <v>275000</v>
      </c>
      <c r="CL1297">
        <f>'Bookings and Drivers'!CT170</f>
        <v>426000</v>
      </c>
      <c r="CM1297">
        <f>'Bookings and Drivers'!CU170</f>
        <v>602000</v>
      </c>
      <c r="CN1297">
        <f>'Bookings and Drivers'!CV170</f>
        <v>852000</v>
      </c>
      <c r="CO1297">
        <f>'Bookings and Drivers'!CW170</f>
        <v>1115000</v>
      </c>
      <c r="CP1297">
        <f>'Bookings and Drivers'!CX170</f>
        <v>1586000</v>
      </c>
      <c r="CQ1297">
        <f>'Bookings and Drivers'!CY170</f>
        <v>2218363.2743281196</v>
      </c>
      <c r="CR1297">
        <f>'Bookings and Drivers'!CZ170</f>
        <v>2970185.3072618344</v>
      </c>
      <c r="CS1297">
        <f>'Bookings and Drivers'!DA170</f>
        <v>3775481.9984709951</v>
      </c>
      <c r="CT1297">
        <f>'Bookings and Drivers'!DB170</f>
        <v>4543207.6232800707</v>
      </c>
      <c r="CU1297">
        <f>'Bookings and Drivers'!DC170</f>
        <v>5236086.7535406454</v>
      </c>
      <c r="CV1297">
        <f>'Bookings and Drivers'!DD170</f>
        <v>5834998.7233302062</v>
      </c>
      <c r="CW1297">
        <f>'Bookings and Drivers'!DE170</f>
        <v>6335561.0817669984</v>
      </c>
      <c r="CX1297">
        <f>'Bookings and Drivers'!DF170</f>
        <v>6743188.8569577951</v>
      </c>
    </row>
    <row r="1298" spans="1:102">
      <c r="A1298" t="str">
        <f>'Bookings and Drivers'!I171</f>
        <v>% change Y/Y</v>
      </c>
      <c r="B1298">
        <f>'Bookings and Drivers'!J171</f>
        <v>0</v>
      </c>
      <c r="C1298">
        <f>'Bookings and Drivers'!K171</f>
        <v>0</v>
      </c>
      <c r="D1298">
        <f>'Bookings and Drivers'!L171</f>
        <v>0</v>
      </c>
      <c r="E1298">
        <f>'Bookings and Drivers'!M171</f>
        <v>0</v>
      </c>
      <c r="F1298">
        <f>'Bookings and Drivers'!N171</f>
        <v>0</v>
      </c>
      <c r="G1298">
        <f>'Bookings and Drivers'!O171</f>
        <v>0</v>
      </c>
      <c r="H1298">
        <f>'Bookings and Drivers'!P171</f>
        <v>0</v>
      </c>
      <c r="I1298">
        <f>'Bookings and Drivers'!Q171</f>
        <v>0</v>
      </c>
      <c r="J1298">
        <f>'Bookings and Drivers'!R171</f>
        <v>0</v>
      </c>
      <c r="K1298">
        <f>'Bookings and Drivers'!S171</f>
        <v>0</v>
      </c>
      <c r="L1298">
        <f>'Bookings and Drivers'!T171</f>
        <v>0</v>
      </c>
      <c r="M1298">
        <f>'Bookings and Drivers'!U171</f>
        <v>0</v>
      </c>
      <c r="N1298">
        <f>'Bookings and Drivers'!V171</f>
        <v>0</v>
      </c>
      <c r="O1298">
        <f>'Bookings and Drivers'!W171</f>
        <v>0</v>
      </c>
      <c r="P1298">
        <f>'Bookings and Drivers'!X171</f>
        <v>0</v>
      </c>
      <c r="Q1298">
        <f>'Bookings and Drivers'!Y171</f>
        <v>0</v>
      </c>
      <c r="R1298">
        <f>'Bookings and Drivers'!Z171</f>
        <v>0</v>
      </c>
      <c r="S1298">
        <f>'Bookings and Drivers'!AA171</f>
        <v>0</v>
      </c>
      <c r="T1298">
        <f>'Bookings and Drivers'!AB171</f>
        <v>0</v>
      </c>
      <c r="U1298">
        <f>'Bookings and Drivers'!AC171</f>
        <v>0</v>
      </c>
      <c r="V1298">
        <f>'Bookings and Drivers'!AD171</f>
        <v>0</v>
      </c>
      <c r="W1298">
        <f>'Bookings and Drivers'!AE171</f>
        <v>0</v>
      </c>
      <c r="X1298">
        <f>'Bookings and Drivers'!AF171</f>
        <v>0</v>
      </c>
      <c r="Y1298">
        <f>'Bookings and Drivers'!AG171</f>
        <v>0</v>
      </c>
      <c r="Z1298">
        <f>'Bookings and Drivers'!AH171</f>
        <v>0</v>
      </c>
      <c r="AA1298">
        <f>'Bookings and Drivers'!AI171</f>
        <v>0</v>
      </c>
      <c r="AB1298">
        <f>'Bookings and Drivers'!AJ171</f>
        <v>0</v>
      </c>
      <c r="AC1298">
        <f>'Bookings and Drivers'!AK171</f>
        <v>0.45454545454545459</v>
      </c>
      <c r="AD1298">
        <f>'Bookings and Drivers'!AL171</f>
        <v>0.45833333333333326</v>
      </c>
      <c r="AE1298">
        <f>'Bookings and Drivers'!AM171</f>
        <v>0.46153846153846145</v>
      </c>
      <c r="AF1298">
        <f>'Bookings and Drivers'!AN171</f>
        <v>0.48214285714285721</v>
      </c>
      <c r="AG1298">
        <f>'Bookings and Drivers'!AO171</f>
        <v>0.40625</v>
      </c>
      <c r="AH1298">
        <f>'Bookings and Drivers'!AP171</f>
        <v>0.48571428571428577</v>
      </c>
      <c r="AI1298">
        <f>'Bookings and Drivers'!AQ171</f>
        <v>0.5</v>
      </c>
      <c r="AJ1298">
        <f>'Bookings and Drivers'!AR171</f>
        <v>0.44578313253012047</v>
      </c>
      <c r="AK1298">
        <f>'Bookings and Drivers'!AS171</f>
        <v>0.46666666666666656</v>
      </c>
      <c r="AL1298">
        <f>'Bookings and Drivers'!AT171</f>
        <v>0.36538461538461542</v>
      </c>
      <c r="AM1298">
        <f>'Bookings and Drivers'!AU171</f>
        <v>0.2807017543859649</v>
      </c>
      <c r="AN1298">
        <f>'Bookings and Drivers'!AV171</f>
        <v>0.30000000000000004</v>
      </c>
      <c r="AO1298">
        <f>'Bookings and Drivers'!AW171</f>
        <v>0.30303030303030298</v>
      </c>
      <c r="AP1298">
        <f>'Bookings and Drivers'!AX171</f>
        <v>0.352112676056338</v>
      </c>
      <c r="AQ1298">
        <f>'Bookings and Drivers'!AY171</f>
        <v>0.43835616438356162</v>
      </c>
      <c r="AR1298">
        <f>'Bookings and Drivers'!AZ171</f>
        <v>0.53846153846153855</v>
      </c>
      <c r="AS1298">
        <f>'Bookings and Drivers'!BA171</f>
        <v>0.56976744186046502</v>
      </c>
      <c r="AT1298">
        <f>'Bookings and Drivers'!BB171</f>
        <v>0.61458333333333326</v>
      </c>
      <c r="AU1298">
        <f>'Bookings and Drivers'!BC171</f>
        <v>0.61904761904761907</v>
      </c>
      <c r="AV1298">
        <f>'Bookings and Drivers'!BD171</f>
        <v>0.53236666666666665</v>
      </c>
      <c r="AW1298">
        <f>'Bookings and Drivers'!BE171</f>
        <v>0.55555555555555558</v>
      </c>
      <c r="AX1298">
        <f>'Bookings and Drivers'!BF171</f>
        <v>0.5161290322580645</v>
      </c>
      <c r="AY1298">
        <f>'Bookings and Drivers'!BG171</f>
        <v>0.44117647058823528</v>
      </c>
      <c r="AZ1298">
        <f>'Bookings and Drivers'!BH171</f>
        <v>0.49550803767592622</v>
      </c>
      <c r="BA1298">
        <f>'Bookings and Drivers'!BI171</f>
        <v>0.40476190476190466</v>
      </c>
      <c r="BB1298">
        <f>'Bookings and Drivers'!BJ171</f>
        <v>0.4042553191489362</v>
      </c>
      <c r="BC1298">
        <f>'Bookings and Drivers'!BK171</f>
        <v>0.44897959183673475</v>
      </c>
      <c r="BD1298">
        <f>'Bookings and Drivers'!BL171</f>
        <v>0.54909090909090907</v>
      </c>
      <c r="BE1298">
        <f>'Bookings and Drivers'!BM171</f>
        <v>0.56610169491525419</v>
      </c>
      <c r="BF1298">
        <f>'Bookings and Drivers'!BN171</f>
        <v>0.58484848484848495</v>
      </c>
      <c r="BG1298">
        <f>'Bookings and Drivers'!BO171</f>
        <v>0.52112676056338025</v>
      </c>
      <c r="BH1298">
        <f>'Bookings and Drivers'!BP171</f>
        <v>0.41314553990610325</v>
      </c>
      <c r="BI1298">
        <f>'Bookings and Drivers'!BQ171</f>
        <v>0.3787878787878789</v>
      </c>
      <c r="BJ1298">
        <f>'Bookings and Drivers'!BR171</f>
        <v>0.41873804971319317</v>
      </c>
      <c r="BK1298">
        <f>'Bookings and Drivers'!BS171</f>
        <v>0.38888888888888884</v>
      </c>
      <c r="BL1298">
        <f>'Bookings and Drivers'!BT171</f>
        <v>0.41528239202657802</v>
      </c>
      <c r="BM1298">
        <f>'Bookings and Drivers'!BU171</f>
        <v>0.38069073783359508</v>
      </c>
      <c r="BN1298">
        <f>'Bookings and Drivers'!BV171</f>
        <v>0.30053908355795156</v>
      </c>
      <c r="BO1298">
        <f>'Bookings and Drivers'!BW171</f>
        <v>0.41999999999999993</v>
      </c>
      <c r="BP1298">
        <f>'Bookings and Drivers'!BX171</f>
        <v>0.30868544600938974</v>
      </c>
      <c r="BQ1298">
        <f>'Bookings and Drivers'!BY171</f>
        <v>0.3541785105173394</v>
      </c>
      <c r="BR1298">
        <f>'Bookings and Drivers'!BZ171</f>
        <v>0.3886010362694301</v>
      </c>
      <c r="BS1298">
        <f>'Bookings and Drivers'!CA171</f>
        <v>0.42164413145539914</v>
      </c>
      <c r="BT1298">
        <f>'Bookings and Drivers'!CB171</f>
        <v>0.42242152466367711</v>
      </c>
      <c r="BU1298">
        <f>'Bookings and Drivers'!CC171</f>
        <v>0.41788315204090476</v>
      </c>
      <c r="BV1298">
        <f>'Bookings and Drivers'!CD171</f>
        <v>0.41000014496425941</v>
      </c>
      <c r="BW1298">
        <f>'Bookings and Drivers'!CE171</f>
        <v>0.40189566449328562</v>
      </c>
      <c r="BX1298">
        <f>'Bookings and Drivers'!CF171</f>
        <v>0.39871580979074372</v>
      </c>
      <c r="BY1298">
        <f>'Bookings and Drivers'!CG171</f>
        <v>0</v>
      </c>
      <c r="BZ1298">
        <f>'Bookings and Drivers'!CH171</f>
        <v>0</v>
      </c>
      <c r="CA1298">
        <f>'Bookings and Drivers'!CI171</f>
        <v>0</v>
      </c>
      <c r="CB1298">
        <f>'Bookings and Drivers'!CJ171</f>
        <v>0</v>
      </c>
      <c r="CC1298">
        <f>'Bookings and Drivers'!CK171</f>
        <v>0</v>
      </c>
      <c r="CD1298">
        <f>'Bookings and Drivers'!CL171</f>
        <v>0</v>
      </c>
      <c r="CE1298">
        <f>'Bookings and Drivers'!CM171</f>
        <v>0</v>
      </c>
      <c r="CF1298">
        <f>'Bookings and Drivers'!CN171</f>
        <v>0</v>
      </c>
      <c r="CG1298">
        <f>'Bookings and Drivers'!CO171</f>
        <v>0</v>
      </c>
      <c r="CH1298">
        <f>'Bookings and Drivers'!CP171</f>
        <v>0.30000000000000004</v>
      </c>
      <c r="CI1298">
        <f>'Bookings and Drivers'!CQ171</f>
        <v>0.53846153846153855</v>
      </c>
      <c r="CJ1298">
        <f>'Bookings and Drivers'!CR171</f>
        <v>0.53236666666666665</v>
      </c>
      <c r="CK1298">
        <f>'Bookings and Drivers'!CS171</f>
        <v>0.49550803767592622</v>
      </c>
      <c r="CL1298">
        <f>'Bookings and Drivers'!CT171</f>
        <v>0.54909090909090907</v>
      </c>
      <c r="CM1298">
        <f>'Bookings and Drivers'!CU171</f>
        <v>0.41314553990610325</v>
      </c>
      <c r="CN1298">
        <f>'Bookings and Drivers'!CV171</f>
        <v>0.41528239202657802</v>
      </c>
      <c r="CO1298">
        <f>'Bookings and Drivers'!CW171</f>
        <v>0.30868544600938974</v>
      </c>
      <c r="CP1298">
        <f>'Bookings and Drivers'!CX171</f>
        <v>0.42242152466367711</v>
      </c>
      <c r="CQ1298">
        <f>'Bookings and Drivers'!CY171</f>
        <v>0.39871580979074372</v>
      </c>
      <c r="CR1298">
        <f>'Bookings and Drivers'!CZ171</f>
        <v>0.33890843832213213</v>
      </c>
      <c r="CS1298">
        <f>'Bookings and Drivers'!DA171</f>
        <v>0.2711267506577057</v>
      </c>
      <c r="CT1298">
        <f>'Bookings and Drivers'!DB171</f>
        <v>0.20334506299327926</v>
      </c>
      <c r="CU1298">
        <f>'Bookings and Drivers'!DC171</f>
        <v>0.15250879724495944</v>
      </c>
      <c r="CV1298">
        <f>'Bookings and Drivers'!DD171</f>
        <v>0.11438159793371958</v>
      </c>
      <c r="CW1298">
        <f>'Bookings and Drivers'!DE171</f>
        <v>8.5786198450289675E-2</v>
      </c>
      <c r="CX1298">
        <f>'Bookings and Drivers'!DF171</f>
        <v>6.4339648837717256E-2</v>
      </c>
    </row>
    <row r="1299" spans="1:102">
      <c r="A1299" t="str">
        <f>'Bookings and Drivers'!I173</f>
        <v>QoQ % Growth</v>
      </c>
      <c r="B1299">
        <f>'Bookings and Drivers'!J173</f>
        <v>0</v>
      </c>
      <c r="C1299">
        <f>'Bookings and Drivers'!K173</f>
        <v>0</v>
      </c>
      <c r="D1299">
        <f>'Bookings and Drivers'!L173</f>
        <v>0</v>
      </c>
      <c r="E1299">
        <f>'Bookings and Drivers'!M173</f>
        <v>0</v>
      </c>
      <c r="F1299">
        <f>'Bookings and Drivers'!N173</f>
        <v>0</v>
      </c>
      <c r="G1299">
        <f>'Bookings and Drivers'!O173</f>
        <v>0</v>
      </c>
      <c r="H1299">
        <f>'Bookings and Drivers'!P173</f>
        <v>0</v>
      </c>
      <c r="I1299">
        <f>'Bookings and Drivers'!Q173</f>
        <v>0</v>
      </c>
      <c r="J1299">
        <f>'Bookings and Drivers'!R173</f>
        <v>0</v>
      </c>
      <c r="K1299">
        <f>'Bookings and Drivers'!S173</f>
        <v>0</v>
      </c>
      <c r="L1299">
        <f>'Bookings and Drivers'!T173</f>
        <v>0</v>
      </c>
      <c r="M1299">
        <f>'Bookings and Drivers'!U173</f>
        <v>0</v>
      </c>
      <c r="N1299">
        <f>'Bookings and Drivers'!V173</f>
        <v>0</v>
      </c>
      <c r="O1299">
        <f>'Bookings and Drivers'!W173</f>
        <v>0</v>
      </c>
      <c r="P1299">
        <f>'Bookings and Drivers'!X173</f>
        <v>0</v>
      </c>
      <c r="Q1299">
        <f>'Bookings and Drivers'!Y173</f>
        <v>0</v>
      </c>
      <c r="R1299">
        <f>'Bookings and Drivers'!Z173</f>
        <v>0</v>
      </c>
      <c r="S1299">
        <f>'Bookings and Drivers'!AA173</f>
        <v>0</v>
      </c>
      <c r="T1299">
        <f>'Bookings and Drivers'!AB173</f>
        <v>0</v>
      </c>
      <c r="U1299">
        <f>'Bookings and Drivers'!AC173</f>
        <v>0</v>
      </c>
      <c r="V1299">
        <f>'Bookings and Drivers'!AD173</f>
        <v>0</v>
      </c>
      <c r="W1299">
        <f>'Bookings and Drivers'!AE173</f>
        <v>0</v>
      </c>
      <c r="X1299">
        <f>'Bookings and Drivers'!AF173</f>
        <v>0</v>
      </c>
      <c r="Y1299">
        <f>'Bookings and Drivers'!AG173</f>
        <v>0</v>
      </c>
      <c r="Z1299">
        <f>'Bookings and Drivers'!AH173</f>
        <v>0</v>
      </c>
      <c r="AA1299">
        <f>'Bookings and Drivers'!AI173</f>
        <v>0</v>
      </c>
      <c r="AB1299">
        <f>'Bookings and Drivers'!AJ173</f>
        <v>0</v>
      </c>
      <c r="AC1299">
        <f>'Bookings and Drivers'!AK173</f>
        <v>0</v>
      </c>
      <c r="AD1299">
        <f>'Bookings and Drivers'!AL173</f>
        <v>0</v>
      </c>
      <c r="AE1299">
        <f>'Bookings and Drivers'!AM173</f>
        <v>0</v>
      </c>
      <c r="AF1299">
        <f>'Bookings and Drivers'!AN173</f>
        <v>0</v>
      </c>
      <c r="AG1299">
        <f>'Bookings and Drivers'!AO173</f>
        <v>0</v>
      </c>
      <c r="AH1299">
        <f>'Bookings and Drivers'!AP173</f>
        <v>0</v>
      </c>
      <c r="AI1299">
        <f>'Bookings and Drivers'!AQ173</f>
        <v>0</v>
      </c>
      <c r="AJ1299">
        <f>'Bookings and Drivers'!AR173</f>
        <v>0</v>
      </c>
      <c r="AK1299">
        <f>'Bookings and Drivers'!AS173</f>
        <v>0.10000000000000009</v>
      </c>
      <c r="AL1299">
        <f>'Bookings and Drivers'!AT173</f>
        <v>7.575757575757569E-2</v>
      </c>
      <c r="AM1299">
        <f>'Bookings and Drivers'!AU173</f>
        <v>2.8169014084507005E-2</v>
      </c>
      <c r="AN1299">
        <f>'Bookings and Drivers'!AV173</f>
        <v>6.8493150684931559E-2</v>
      </c>
      <c r="AO1299">
        <f>'Bookings and Drivers'!AW173</f>
        <v>0.10256410256410264</v>
      </c>
      <c r="AP1299">
        <f>'Bookings and Drivers'!AX173</f>
        <v>0.11627906976744184</v>
      </c>
      <c r="AQ1299">
        <f>'Bookings and Drivers'!AY173</f>
        <v>9.375E-2</v>
      </c>
      <c r="AR1299">
        <f>'Bookings and Drivers'!AZ173</f>
        <v>0.14285714285714279</v>
      </c>
      <c r="AS1299">
        <f>'Bookings and Drivers'!BA173</f>
        <v>0.125</v>
      </c>
      <c r="AT1299">
        <f>'Bookings and Drivers'!BB173</f>
        <v>0.14814814814814814</v>
      </c>
      <c r="AU1299">
        <f>'Bookings and Drivers'!BC173</f>
        <v>9.6774193548387011E-2</v>
      </c>
      <c r="AV1299">
        <f>'Bookings and Drivers'!BD173</f>
        <v>8.1670588235294161E-2</v>
      </c>
      <c r="AW1299">
        <f>'Bookings and Drivers'!BE173</f>
        <v>0.14202431967979812</v>
      </c>
      <c r="AX1299">
        <f>'Bookings and Drivers'!BF173</f>
        <v>0.11904761904761907</v>
      </c>
      <c r="AY1299">
        <f>'Bookings and Drivers'!BG173</f>
        <v>4.2553191489361764E-2</v>
      </c>
      <c r="AZ1299">
        <f>'Bookings and Drivers'!BH173</f>
        <v>0.12244897959183665</v>
      </c>
      <c r="BA1299">
        <f>'Bookings and Drivers'!BI173</f>
        <v>7.2727272727272751E-2</v>
      </c>
      <c r="BB1299">
        <f>'Bookings and Drivers'!BJ173</f>
        <v>0.11864406779661008</v>
      </c>
      <c r="BC1299">
        <f>'Bookings and Drivers'!BK173</f>
        <v>7.575757575757569E-2</v>
      </c>
      <c r="BD1299">
        <f>'Bookings and Drivers'!BL173</f>
        <v>0.2</v>
      </c>
      <c r="BE1299">
        <f>'Bookings and Drivers'!BM173</f>
        <v>8.4507042253521236E-2</v>
      </c>
      <c r="BF1299">
        <f>'Bookings and Drivers'!BN173</f>
        <v>0.13203463203463195</v>
      </c>
      <c r="BG1299">
        <f>'Bookings and Drivers'!BO173</f>
        <v>3.2504780114722687E-2</v>
      </c>
      <c r="BH1299">
        <f>'Bookings and Drivers'!BP173</f>
        <v>0.11481481481481493</v>
      </c>
      <c r="BI1299">
        <f>'Bookings and Drivers'!BQ173</f>
        <v>5.8139534883721034E-2</v>
      </c>
      <c r="BJ1299">
        <f>'Bookings and Drivers'!BR173</f>
        <v>0.16483516483516492</v>
      </c>
      <c r="BK1299">
        <f>'Bookings and Drivers'!BS173</f>
        <v>1.0781671159029615E-2</v>
      </c>
      <c r="BL1299">
        <f>'Bookings and Drivers'!BT173</f>
        <v>0.1359999999999999</v>
      </c>
      <c r="BM1299">
        <f>'Bookings and Drivers'!BU173</f>
        <v>3.2276995305164258E-2</v>
      </c>
      <c r="BN1299">
        <f>'Bookings and Drivers'!BV173</f>
        <v>9.7214326321773736E-2</v>
      </c>
      <c r="BO1299">
        <f>'Bookings and Drivers'!BW173</f>
        <v>0.10362694300518127</v>
      </c>
      <c r="BP1299">
        <f>'Bookings and Drivers'!BX173</f>
        <v>4.6948356807511749E-2</v>
      </c>
      <c r="BQ1299">
        <f>'Bookings and Drivers'!BY173</f>
        <v>6.8161434977578539E-2</v>
      </c>
      <c r="BR1299">
        <f>'Bookings and Drivers'!BZ173</f>
        <v>0.12510495382031905</v>
      </c>
      <c r="BS1299">
        <f>'Bookings and Drivers'!CA173</f>
        <v>0.12988880597014929</v>
      </c>
      <c r="BT1299">
        <f>'Bookings and Drivers'!CB173</f>
        <v>4.7520856298764125E-2</v>
      </c>
      <c r="BU1299">
        <f>'Bookings and Drivers'!CC173</f>
        <v>6.4753363228699609E-2</v>
      </c>
      <c r="BV1299">
        <f>'Bookings and Drivers'!CD173</f>
        <v>0.1188497061293031</v>
      </c>
      <c r="BW1299">
        <f>'Bookings and Drivers'!CE173</f>
        <v>0.12339436567164182</v>
      </c>
      <c r="BX1299">
        <f>'Bookings and Drivers'!CF173</f>
        <v>4.5144813483825916E-2</v>
      </c>
      <c r="BY1299">
        <f>'Bookings and Drivers'!CG173</f>
        <v>0</v>
      </c>
      <c r="BZ1299">
        <f>'Bookings and Drivers'!CH173</f>
        <v>0</v>
      </c>
      <c r="CA1299">
        <f>'Bookings and Drivers'!CI173</f>
        <v>0</v>
      </c>
      <c r="CB1299">
        <f>'Bookings and Drivers'!CJ173</f>
        <v>0</v>
      </c>
      <c r="CC1299">
        <f>'Bookings and Drivers'!CK173</f>
        <v>0</v>
      </c>
      <c r="CD1299">
        <f>'Bookings and Drivers'!CL173</f>
        <v>0</v>
      </c>
      <c r="CE1299">
        <f>'Bookings and Drivers'!CM173</f>
        <v>0</v>
      </c>
      <c r="CF1299">
        <f>'Bookings and Drivers'!CN173</f>
        <v>0</v>
      </c>
      <c r="CG1299">
        <f>'Bookings and Drivers'!CO173</f>
        <v>0</v>
      </c>
      <c r="CH1299">
        <f>'Bookings and Drivers'!CP173</f>
        <v>0</v>
      </c>
      <c r="CI1299">
        <f>'Bookings and Drivers'!CQ173</f>
        <v>0</v>
      </c>
      <c r="CJ1299">
        <f>'Bookings and Drivers'!CR173</f>
        <v>0</v>
      </c>
      <c r="CK1299">
        <f>'Bookings and Drivers'!CS173</f>
        <v>0</v>
      </c>
      <c r="CL1299">
        <f>'Bookings and Drivers'!CT173</f>
        <v>0</v>
      </c>
      <c r="CM1299">
        <f>'Bookings and Drivers'!CU173</f>
        <v>0</v>
      </c>
      <c r="CN1299">
        <f>'Bookings and Drivers'!CV173</f>
        <v>0</v>
      </c>
      <c r="CO1299">
        <f>'Bookings and Drivers'!CW173</f>
        <v>0</v>
      </c>
      <c r="CP1299">
        <f>'Bookings and Drivers'!CX173</f>
        <v>0</v>
      </c>
      <c r="CQ1299">
        <f>'Bookings and Drivers'!CY173</f>
        <v>0</v>
      </c>
      <c r="CR1299">
        <f>'Bookings and Drivers'!CZ173</f>
        <v>0</v>
      </c>
      <c r="CS1299">
        <f>'Bookings and Drivers'!DA173</f>
        <v>0</v>
      </c>
      <c r="CT1299">
        <f>'Bookings and Drivers'!DB173</f>
        <v>0</v>
      </c>
      <c r="CU1299">
        <f>'Bookings and Drivers'!DC173</f>
        <v>0</v>
      </c>
      <c r="CV1299">
        <f>'Bookings and Drivers'!DD173</f>
        <v>0</v>
      </c>
      <c r="CW1299">
        <f>'Bookings and Drivers'!DE173</f>
        <v>0</v>
      </c>
      <c r="CX1299">
        <f>'Bookings and Drivers'!DF173</f>
        <v>0</v>
      </c>
    </row>
    <row r="1300" spans="1:102">
      <c r="A1300" t="str">
        <f>'Bookings and Drivers'!I174</f>
        <v>QoQ Abs Growth</v>
      </c>
      <c r="B1300">
        <f>'Bookings and Drivers'!J174</f>
        <v>0</v>
      </c>
      <c r="C1300">
        <f>'Bookings and Drivers'!K174</f>
        <v>0</v>
      </c>
      <c r="D1300">
        <f>'Bookings and Drivers'!L174</f>
        <v>0</v>
      </c>
      <c r="E1300">
        <f>'Bookings and Drivers'!M174</f>
        <v>0</v>
      </c>
      <c r="F1300">
        <f>'Bookings and Drivers'!N174</f>
        <v>0</v>
      </c>
      <c r="G1300">
        <f>'Bookings and Drivers'!O174</f>
        <v>0</v>
      </c>
      <c r="H1300">
        <f>'Bookings and Drivers'!P174</f>
        <v>0</v>
      </c>
      <c r="I1300">
        <f>'Bookings and Drivers'!Q174</f>
        <v>0</v>
      </c>
      <c r="J1300">
        <f>'Bookings and Drivers'!R174</f>
        <v>0</v>
      </c>
      <c r="K1300">
        <f>'Bookings and Drivers'!S174</f>
        <v>0</v>
      </c>
      <c r="L1300">
        <f>'Bookings and Drivers'!T174</f>
        <v>0</v>
      </c>
      <c r="M1300">
        <f>'Bookings and Drivers'!U174</f>
        <v>0</v>
      </c>
      <c r="N1300">
        <f>'Bookings and Drivers'!V174</f>
        <v>0</v>
      </c>
      <c r="O1300">
        <f>'Bookings and Drivers'!W174</f>
        <v>0</v>
      </c>
      <c r="P1300">
        <f>'Bookings and Drivers'!X174</f>
        <v>0</v>
      </c>
      <c r="Q1300">
        <f>'Bookings and Drivers'!Y174</f>
        <v>0</v>
      </c>
      <c r="R1300">
        <f>'Bookings and Drivers'!Z174</f>
        <v>0</v>
      </c>
      <c r="S1300">
        <f>'Bookings and Drivers'!AA174</f>
        <v>0</v>
      </c>
      <c r="T1300">
        <f>'Bookings and Drivers'!AB174</f>
        <v>0</v>
      </c>
      <c r="U1300">
        <f>'Bookings and Drivers'!AC174</f>
        <v>0</v>
      </c>
      <c r="V1300">
        <f>'Bookings and Drivers'!AD174</f>
        <v>0</v>
      </c>
      <c r="W1300">
        <f>'Bookings and Drivers'!AE174</f>
        <v>0</v>
      </c>
      <c r="X1300">
        <f>'Bookings and Drivers'!AF174</f>
        <v>0</v>
      </c>
      <c r="Y1300">
        <f>'Bookings and Drivers'!AG174</f>
        <v>0</v>
      </c>
      <c r="Z1300">
        <f>'Bookings and Drivers'!AH174</f>
        <v>2000</v>
      </c>
      <c r="AA1300">
        <f>'Bookings and Drivers'!AI174</f>
        <v>2000</v>
      </c>
      <c r="AB1300">
        <f>'Bookings and Drivers'!AJ174</f>
        <v>2000</v>
      </c>
      <c r="AC1300">
        <f>'Bookings and Drivers'!AK174</f>
        <v>4000</v>
      </c>
      <c r="AD1300">
        <f>'Bookings and Drivers'!AL174</f>
        <v>3000</v>
      </c>
      <c r="AE1300">
        <f>'Bookings and Drivers'!AM174</f>
        <v>3000</v>
      </c>
      <c r="AF1300">
        <f>'Bookings and Drivers'!AN174</f>
        <v>3500</v>
      </c>
      <c r="AG1300">
        <f>'Bookings and Drivers'!AO174</f>
        <v>3500</v>
      </c>
      <c r="AH1300">
        <f>'Bookings and Drivers'!AP174</f>
        <v>7000</v>
      </c>
      <c r="AI1300">
        <f>'Bookings and Drivers'!AQ174</f>
        <v>5000</v>
      </c>
      <c r="AJ1300">
        <f>'Bookings and Drivers'!AR174</f>
        <v>3000</v>
      </c>
      <c r="AK1300">
        <f>'Bookings and Drivers'!AS174</f>
        <v>6000</v>
      </c>
      <c r="AL1300">
        <f>'Bookings and Drivers'!AT174</f>
        <v>5000</v>
      </c>
      <c r="AM1300">
        <f>'Bookings and Drivers'!AU174</f>
        <v>2000</v>
      </c>
      <c r="AN1300">
        <f>'Bookings and Drivers'!AV174</f>
        <v>5000</v>
      </c>
      <c r="AO1300">
        <f>'Bookings and Drivers'!AW174</f>
        <v>8000</v>
      </c>
      <c r="AP1300">
        <f>'Bookings and Drivers'!AX174</f>
        <v>10000</v>
      </c>
      <c r="AQ1300">
        <f>'Bookings and Drivers'!AY174</f>
        <v>9000</v>
      </c>
      <c r="AR1300">
        <f>'Bookings and Drivers'!AZ174</f>
        <v>15000</v>
      </c>
      <c r="AS1300">
        <f>'Bookings and Drivers'!BA174</f>
        <v>15000</v>
      </c>
      <c r="AT1300">
        <f>'Bookings and Drivers'!BB174</f>
        <v>20000</v>
      </c>
      <c r="AU1300">
        <f>'Bookings and Drivers'!BC174</f>
        <v>15000</v>
      </c>
      <c r="AV1300">
        <f>'Bookings and Drivers'!BD174</f>
        <v>13884</v>
      </c>
      <c r="AW1300">
        <f>'Bookings and Drivers'!BE174</f>
        <v>26116</v>
      </c>
      <c r="AX1300">
        <f>'Bookings and Drivers'!BF174</f>
        <v>25000</v>
      </c>
      <c r="AY1300">
        <f>'Bookings and Drivers'!BG174</f>
        <v>10000</v>
      </c>
      <c r="AZ1300">
        <f>'Bookings and Drivers'!BH174</f>
        <v>30000</v>
      </c>
      <c r="BA1300">
        <f>'Bookings and Drivers'!BI174</f>
        <v>20000</v>
      </c>
      <c r="BB1300">
        <f>'Bookings and Drivers'!BJ174</f>
        <v>35000</v>
      </c>
      <c r="BC1300">
        <f>'Bookings and Drivers'!BK174</f>
        <v>25000</v>
      </c>
      <c r="BD1300">
        <f>'Bookings and Drivers'!BL174</f>
        <v>71000</v>
      </c>
      <c r="BE1300">
        <f>'Bookings and Drivers'!BM174</f>
        <v>36000</v>
      </c>
      <c r="BF1300">
        <f>'Bookings and Drivers'!BN174</f>
        <v>61000</v>
      </c>
      <c r="BG1300">
        <f>'Bookings and Drivers'!BO174</f>
        <v>17000</v>
      </c>
      <c r="BH1300">
        <f>'Bookings and Drivers'!BP174</f>
        <v>62000</v>
      </c>
      <c r="BI1300">
        <f>'Bookings and Drivers'!BQ174</f>
        <v>35000</v>
      </c>
      <c r="BJ1300">
        <f>'Bookings and Drivers'!BR174</f>
        <v>105000</v>
      </c>
      <c r="BK1300">
        <f>'Bookings and Drivers'!BS174</f>
        <v>8000</v>
      </c>
      <c r="BL1300">
        <f>'Bookings and Drivers'!BT174</f>
        <v>102000</v>
      </c>
      <c r="BM1300">
        <f>'Bookings and Drivers'!BU174</f>
        <v>27500</v>
      </c>
      <c r="BN1300">
        <f>'Bookings and Drivers'!BV174</f>
        <v>85500</v>
      </c>
      <c r="BO1300">
        <f>'Bookings and Drivers'!BW174</f>
        <v>100000</v>
      </c>
      <c r="BP1300">
        <f>'Bookings and Drivers'!BX174</f>
        <v>50000</v>
      </c>
      <c r="BQ1300">
        <f>'Bookings and Drivers'!BY174</f>
        <v>76000</v>
      </c>
      <c r="BR1300">
        <f>'Bookings and Drivers'!BZ174</f>
        <v>149000</v>
      </c>
      <c r="BS1300">
        <f>'Bookings and Drivers'!CA174</f>
        <v>174051</v>
      </c>
      <c r="BT1300">
        <f>'Bookings and Drivers'!CB174</f>
        <v>71949</v>
      </c>
      <c r="BU1300">
        <f>'Bookings and Drivers'!CC174</f>
        <v>102698.83408071753</v>
      </c>
      <c r="BV1300">
        <f>'Bookings and Drivers'!CD174</f>
        <v>200701.36017139</v>
      </c>
      <c r="BW1300">
        <f>'Bookings and Drivers'!CE174</f>
        <v>233141.3384696159</v>
      </c>
      <c r="BX1300">
        <f>'Bookings and Drivers'!CF174</f>
        <v>95821.741606396157</v>
      </c>
      <c r="BY1300">
        <f>'Bookings and Drivers'!CG174</f>
        <v>0</v>
      </c>
      <c r="BZ1300">
        <f>'Bookings and Drivers'!CH174</f>
        <v>0</v>
      </c>
      <c r="CA1300">
        <f>'Bookings and Drivers'!CI174</f>
        <v>0</v>
      </c>
      <c r="CB1300">
        <f>'Bookings and Drivers'!CJ174</f>
        <v>0</v>
      </c>
      <c r="CC1300">
        <f>'Bookings and Drivers'!CK174</f>
        <v>0</v>
      </c>
      <c r="CD1300">
        <f>'Bookings and Drivers'!CL174</f>
        <v>0</v>
      </c>
      <c r="CE1300">
        <f>'Bookings and Drivers'!CM174</f>
        <v>0</v>
      </c>
      <c r="CF1300">
        <f>'Bookings and Drivers'!CN174</f>
        <v>0</v>
      </c>
      <c r="CG1300">
        <f>'Bookings and Drivers'!CO174</f>
        <v>18500</v>
      </c>
      <c r="CH1300">
        <f>'Bookings and Drivers'!CP174</f>
        <v>18000</v>
      </c>
      <c r="CI1300">
        <f>'Bookings and Drivers'!CQ174</f>
        <v>42000</v>
      </c>
      <c r="CJ1300">
        <f>'Bookings and Drivers'!CR174</f>
        <v>63884</v>
      </c>
      <c r="CK1300">
        <f>'Bookings and Drivers'!CS174</f>
        <v>91116</v>
      </c>
      <c r="CL1300">
        <f>'Bookings and Drivers'!CT174</f>
        <v>151000</v>
      </c>
      <c r="CM1300">
        <f>'Bookings and Drivers'!CU174</f>
        <v>176000</v>
      </c>
      <c r="CN1300">
        <f>'Bookings and Drivers'!CV174</f>
        <v>250000</v>
      </c>
      <c r="CO1300">
        <f>'Bookings and Drivers'!CW174</f>
        <v>263000</v>
      </c>
      <c r="CP1300">
        <f>'Bookings and Drivers'!CX174</f>
        <v>471000</v>
      </c>
      <c r="CQ1300">
        <f>'Bookings and Drivers'!CY174</f>
        <v>632363.27432811959</v>
      </c>
      <c r="CR1300">
        <f>'Bookings and Drivers'!CZ174</f>
        <v>0</v>
      </c>
      <c r="CS1300">
        <f>'Bookings and Drivers'!DA174</f>
        <v>0</v>
      </c>
      <c r="CT1300">
        <f>'Bookings and Drivers'!DB174</f>
        <v>0</v>
      </c>
      <c r="CU1300">
        <f>'Bookings and Drivers'!DC174</f>
        <v>0</v>
      </c>
      <c r="CV1300">
        <f>'Bookings and Drivers'!DD174</f>
        <v>0</v>
      </c>
      <c r="CW1300">
        <f>'Bookings and Drivers'!DE174</f>
        <v>0</v>
      </c>
      <c r="CX1300">
        <f>'Bookings and Drivers'!DF174</f>
        <v>0</v>
      </c>
    </row>
    <row r="1301" spans="1:102">
      <c r="A1301">
        <f>'Bookings and Drivers'!I175</f>
        <v>0</v>
      </c>
      <c r="B1301">
        <f>'Bookings and Drivers'!J175</f>
        <v>0</v>
      </c>
      <c r="C1301">
        <f>'Bookings and Drivers'!K175</f>
        <v>0</v>
      </c>
      <c r="D1301">
        <f>'Bookings and Drivers'!L175</f>
        <v>0</v>
      </c>
      <c r="E1301">
        <f>'Bookings and Drivers'!M175</f>
        <v>0</v>
      </c>
      <c r="F1301">
        <f>'Bookings and Drivers'!N175</f>
        <v>0</v>
      </c>
      <c r="G1301">
        <f>'Bookings and Drivers'!O175</f>
        <v>0</v>
      </c>
      <c r="H1301">
        <f>'Bookings and Drivers'!P175</f>
        <v>0</v>
      </c>
      <c r="I1301">
        <f>'Bookings and Drivers'!Q175</f>
        <v>0</v>
      </c>
      <c r="J1301">
        <f>'Bookings and Drivers'!R175</f>
        <v>0</v>
      </c>
      <c r="K1301">
        <f>'Bookings and Drivers'!S175</f>
        <v>0</v>
      </c>
      <c r="L1301">
        <f>'Bookings and Drivers'!T175</f>
        <v>0</v>
      </c>
      <c r="M1301">
        <f>'Bookings and Drivers'!U175</f>
        <v>0</v>
      </c>
      <c r="N1301">
        <f>'Bookings and Drivers'!V175</f>
        <v>0</v>
      </c>
      <c r="O1301">
        <f>'Bookings and Drivers'!W175</f>
        <v>0</v>
      </c>
      <c r="P1301">
        <f>'Bookings and Drivers'!X175</f>
        <v>0</v>
      </c>
      <c r="Q1301">
        <f>'Bookings and Drivers'!Y175</f>
        <v>0</v>
      </c>
      <c r="R1301">
        <f>'Bookings and Drivers'!Z175</f>
        <v>0</v>
      </c>
      <c r="S1301">
        <f>'Bookings and Drivers'!AA175</f>
        <v>0</v>
      </c>
      <c r="T1301">
        <f>'Bookings and Drivers'!AB175</f>
        <v>0</v>
      </c>
      <c r="U1301">
        <f>'Bookings and Drivers'!AC175</f>
        <v>0</v>
      </c>
      <c r="V1301">
        <f>'Bookings and Drivers'!AD175</f>
        <v>0</v>
      </c>
      <c r="W1301">
        <f>'Bookings and Drivers'!AE175</f>
        <v>0</v>
      </c>
      <c r="X1301">
        <f>'Bookings and Drivers'!AF175</f>
        <v>0</v>
      </c>
      <c r="Y1301">
        <f>'Bookings and Drivers'!AG175</f>
        <v>0</v>
      </c>
      <c r="Z1301">
        <f>'Bookings and Drivers'!AH175</f>
        <v>0</v>
      </c>
      <c r="AA1301">
        <f>'Bookings and Drivers'!AI175</f>
        <v>0</v>
      </c>
      <c r="AB1301">
        <f>'Bookings and Drivers'!AJ175</f>
        <v>0</v>
      </c>
      <c r="AC1301">
        <f>'Bookings and Drivers'!AK175</f>
        <v>0</v>
      </c>
      <c r="AD1301">
        <f>'Bookings and Drivers'!AL175</f>
        <v>0</v>
      </c>
      <c r="AE1301">
        <f>'Bookings and Drivers'!AM175</f>
        <v>0</v>
      </c>
      <c r="AF1301">
        <f>'Bookings and Drivers'!AN175</f>
        <v>0</v>
      </c>
      <c r="AG1301">
        <f>'Bookings and Drivers'!AO175</f>
        <v>0</v>
      </c>
      <c r="AH1301">
        <f>'Bookings and Drivers'!AP175</f>
        <v>0</v>
      </c>
      <c r="AI1301">
        <f>'Bookings and Drivers'!AQ175</f>
        <v>0</v>
      </c>
      <c r="AJ1301">
        <f>'Bookings and Drivers'!AR175</f>
        <v>0</v>
      </c>
      <c r="AK1301">
        <f>'Bookings and Drivers'!AS175</f>
        <v>0</v>
      </c>
      <c r="AL1301">
        <f>'Bookings and Drivers'!AT175</f>
        <v>0</v>
      </c>
      <c r="AM1301">
        <f>'Bookings and Drivers'!AU175</f>
        <v>0</v>
      </c>
      <c r="AN1301">
        <f>'Bookings and Drivers'!AV175</f>
        <v>0</v>
      </c>
      <c r="AO1301">
        <f>'Bookings and Drivers'!AW175</f>
        <v>0</v>
      </c>
      <c r="AP1301">
        <f>'Bookings and Drivers'!AX175</f>
        <v>0</v>
      </c>
      <c r="AQ1301">
        <f>'Bookings and Drivers'!AY175</f>
        <v>0</v>
      </c>
      <c r="AR1301">
        <f>'Bookings and Drivers'!AZ175</f>
        <v>0</v>
      </c>
      <c r="AS1301">
        <f>'Bookings and Drivers'!BA175</f>
        <v>0</v>
      </c>
      <c r="AT1301">
        <f>'Bookings and Drivers'!BB175</f>
        <v>0</v>
      </c>
      <c r="AU1301">
        <f>'Bookings and Drivers'!BC175</f>
        <v>0</v>
      </c>
      <c r="AV1301">
        <f>'Bookings and Drivers'!BD175</f>
        <v>0</v>
      </c>
      <c r="AW1301">
        <f>'Bookings and Drivers'!BE175</f>
        <v>0</v>
      </c>
      <c r="AX1301">
        <f>'Bookings and Drivers'!BF175</f>
        <v>0</v>
      </c>
      <c r="AY1301">
        <f>'Bookings and Drivers'!BG175</f>
        <v>0</v>
      </c>
      <c r="AZ1301">
        <f>'Bookings and Drivers'!BH175</f>
        <v>0</v>
      </c>
      <c r="BA1301">
        <f>'Bookings and Drivers'!BI175</f>
        <v>0</v>
      </c>
      <c r="BB1301">
        <f>'Bookings and Drivers'!BJ175</f>
        <v>0</v>
      </c>
      <c r="BC1301">
        <f>'Bookings and Drivers'!BK175</f>
        <v>0</v>
      </c>
      <c r="BD1301">
        <f>'Bookings and Drivers'!BL175</f>
        <v>0</v>
      </c>
      <c r="BE1301">
        <f>'Bookings and Drivers'!BM175</f>
        <v>0</v>
      </c>
      <c r="BF1301">
        <f>'Bookings and Drivers'!BN175</f>
        <v>0</v>
      </c>
      <c r="BG1301">
        <f>'Bookings and Drivers'!BO175</f>
        <v>0</v>
      </c>
      <c r="BH1301">
        <f>'Bookings and Drivers'!BP175</f>
        <v>0</v>
      </c>
      <c r="BI1301">
        <f>'Bookings and Drivers'!BQ175</f>
        <v>0</v>
      </c>
      <c r="BJ1301">
        <f>'Bookings and Drivers'!BR175</f>
        <v>0</v>
      </c>
      <c r="BK1301">
        <f>'Bookings and Drivers'!BS175</f>
        <v>0</v>
      </c>
      <c r="BL1301">
        <f>'Bookings and Drivers'!BT175</f>
        <v>0</v>
      </c>
      <c r="BM1301">
        <f>'Bookings and Drivers'!BU175</f>
        <v>0</v>
      </c>
      <c r="BN1301">
        <f>'Bookings and Drivers'!BV175</f>
        <v>0</v>
      </c>
      <c r="BO1301">
        <f>'Bookings and Drivers'!BW175</f>
        <v>0</v>
      </c>
      <c r="BP1301">
        <f>'Bookings and Drivers'!BX175</f>
        <v>0</v>
      </c>
      <c r="BQ1301">
        <f>'Bookings and Drivers'!BY175</f>
        <v>0</v>
      </c>
      <c r="BR1301">
        <f>'Bookings and Drivers'!BZ175</f>
        <v>0</v>
      </c>
      <c r="BS1301">
        <f>'Bookings and Drivers'!CA175</f>
        <v>0</v>
      </c>
      <c r="BT1301">
        <f>'Bookings and Drivers'!CB175</f>
        <v>0</v>
      </c>
      <c r="BU1301">
        <f>'Bookings and Drivers'!CC175</f>
        <v>0</v>
      </c>
      <c r="BV1301">
        <f>'Bookings and Drivers'!CD175</f>
        <v>0</v>
      </c>
      <c r="BW1301">
        <f>'Bookings and Drivers'!CE175</f>
        <v>0</v>
      </c>
      <c r="BX1301">
        <f>'Bookings and Drivers'!CF175</f>
        <v>0</v>
      </c>
      <c r="BY1301">
        <f>'Bookings and Drivers'!CG175</f>
        <v>0</v>
      </c>
      <c r="BZ1301">
        <f>'Bookings and Drivers'!CH175</f>
        <v>0</v>
      </c>
      <c r="CA1301">
        <f>'Bookings and Drivers'!CI175</f>
        <v>0</v>
      </c>
      <c r="CB1301">
        <f>'Bookings and Drivers'!CJ175</f>
        <v>0</v>
      </c>
      <c r="CC1301">
        <f>'Bookings and Drivers'!CK175</f>
        <v>0</v>
      </c>
      <c r="CD1301">
        <f>'Bookings and Drivers'!CL175</f>
        <v>0</v>
      </c>
      <c r="CE1301">
        <f>'Bookings and Drivers'!CM175</f>
        <v>0</v>
      </c>
      <c r="CF1301">
        <f>'Bookings and Drivers'!CN175</f>
        <v>0</v>
      </c>
      <c r="CG1301">
        <f>'Bookings and Drivers'!CO175</f>
        <v>0</v>
      </c>
      <c r="CH1301">
        <f>'Bookings and Drivers'!CP175</f>
        <v>0</v>
      </c>
      <c r="CI1301">
        <f>'Bookings and Drivers'!CQ175</f>
        <v>0</v>
      </c>
      <c r="CJ1301">
        <f>'Bookings and Drivers'!CR175</f>
        <v>0</v>
      </c>
      <c r="CK1301">
        <f>'Bookings and Drivers'!CS175</f>
        <v>0</v>
      </c>
      <c r="CL1301">
        <f>'Bookings and Drivers'!CT175</f>
        <v>0</v>
      </c>
      <c r="CM1301">
        <f>'Bookings and Drivers'!CU175</f>
        <v>0</v>
      </c>
      <c r="CN1301">
        <f>'Bookings and Drivers'!CV175</f>
        <v>0</v>
      </c>
      <c r="CO1301">
        <f>'Bookings and Drivers'!CW175</f>
        <v>0</v>
      </c>
      <c r="CP1301">
        <f>'Bookings and Drivers'!CX175</f>
        <v>0</v>
      </c>
      <c r="CQ1301">
        <f>'Bookings and Drivers'!CY175</f>
        <v>0</v>
      </c>
      <c r="CR1301">
        <f>'Bookings and Drivers'!CZ175</f>
        <v>0</v>
      </c>
      <c r="CS1301">
        <f>'Bookings and Drivers'!DA175</f>
        <v>0</v>
      </c>
      <c r="CT1301">
        <f>'Bookings and Drivers'!DB175</f>
        <v>0</v>
      </c>
      <c r="CU1301">
        <f>'Bookings and Drivers'!DC175</f>
        <v>0</v>
      </c>
      <c r="CV1301">
        <f>'Bookings and Drivers'!DD175</f>
        <v>0</v>
      </c>
      <c r="CW1301">
        <f>'Bookings and Drivers'!DE175</f>
        <v>0</v>
      </c>
      <c r="CX1301">
        <f>'Bookings and Drivers'!DF175</f>
        <v>0</v>
      </c>
    </row>
    <row r="1302" spans="1:102">
      <c r="A1302" t="str">
        <f>'Bookings and Drivers'!I176</f>
        <v>Room Nights per Hotel ("Yield")</v>
      </c>
      <c r="B1302">
        <f>'Bookings and Drivers'!J176</f>
        <v>0</v>
      </c>
      <c r="C1302">
        <f>'Bookings and Drivers'!K176</f>
        <v>0</v>
      </c>
      <c r="D1302">
        <f>'Bookings and Drivers'!L176</f>
        <v>0</v>
      </c>
      <c r="E1302">
        <f>'Bookings and Drivers'!M176</f>
        <v>0</v>
      </c>
      <c r="F1302">
        <f>'Bookings and Drivers'!N176</f>
        <v>0</v>
      </c>
      <c r="G1302">
        <f>'Bookings and Drivers'!O176</f>
        <v>0</v>
      </c>
      <c r="H1302">
        <f>'Bookings and Drivers'!P176</f>
        <v>0</v>
      </c>
      <c r="I1302">
        <f>'Bookings and Drivers'!Q176</f>
        <v>0</v>
      </c>
      <c r="J1302">
        <f>'Bookings and Drivers'!R176</f>
        <v>0</v>
      </c>
      <c r="K1302">
        <f>'Bookings and Drivers'!S176</f>
        <v>0</v>
      </c>
      <c r="L1302">
        <f>'Bookings and Drivers'!T176</f>
        <v>0</v>
      </c>
      <c r="M1302">
        <f>'Bookings and Drivers'!U176</f>
        <v>0</v>
      </c>
      <c r="N1302">
        <f>'Bookings and Drivers'!V176</f>
        <v>0</v>
      </c>
      <c r="O1302">
        <f>'Bookings and Drivers'!W176</f>
        <v>0</v>
      </c>
      <c r="P1302">
        <f>'Bookings and Drivers'!X176</f>
        <v>0</v>
      </c>
      <c r="Q1302">
        <f>'Bookings and Drivers'!Y176</f>
        <v>0</v>
      </c>
      <c r="R1302">
        <f>'Bookings and Drivers'!Z176</f>
        <v>0</v>
      </c>
      <c r="S1302">
        <f>'Bookings and Drivers'!AA176</f>
        <v>0</v>
      </c>
      <c r="T1302">
        <f>'Bookings and Drivers'!AB176</f>
        <v>0</v>
      </c>
      <c r="U1302">
        <f>'Bookings and Drivers'!AC176</f>
        <v>0</v>
      </c>
      <c r="V1302">
        <f>'Bookings and Drivers'!AD176</f>
        <v>0</v>
      </c>
      <c r="W1302">
        <f>'Bookings and Drivers'!AE176</f>
        <v>0</v>
      </c>
      <c r="X1302">
        <f>'Bookings and Drivers'!AF176</f>
        <v>0</v>
      </c>
      <c r="Y1302">
        <f>'Bookings and Drivers'!AG176</f>
        <v>107.50906494779603</v>
      </c>
      <c r="Z1302">
        <f>'Bookings and Drivers'!AH176</f>
        <v>118.3959120691097</v>
      </c>
      <c r="AA1302">
        <f>'Bookings and Drivers'!AI176</f>
        <v>120.36487797274442</v>
      </c>
      <c r="AB1302">
        <f>'Bookings and Drivers'!AJ176</f>
        <v>90.313497564105617</v>
      </c>
      <c r="AC1302">
        <f>'Bookings and Drivers'!AK176</f>
        <v>125.28165724697857</v>
      </c>
      <c r="AD1302">
        <f>'Bookings and Drivers'!AL176</f>
        <v>141.75035140982777</v>
      </c>
      <c r="AE1302">
        <f>'Bookings and Drivers'!AM176</f>
        <v>149.39181854490838</v>
      </c>
      <c r="AF1302">
        <f>'Bookings and Drivers'!AN176</f>
        <v>112.05837630291389</v>
      </c>
      <c r="AG1302">
        <f>'Bookings and Drivers'!AO176</f>
        <v>152.34249521232593</v>
      </c>
      <c r="AH1302">
        <f>'Bookings and Drivers'!AP176</f>
        <v>150.07818455515519</v>
      </c>
      <c r="AI1302">
        <f>'Bookings and Drivers'!AQ176</f>
        <v>147.59911672236947</v>
      </c>
      <c r="AJ1302">
        <f>'Bookings and Drivers'!AR176</f>
        <v>103.54941026231263</v>
      </c>
      <c r="AK1302">
        <f>'Bookings and Drivers'!AS176</f>
        <v>139.70499276857618</v>
      </c>
      <c r="AL1302">
        <f>'Bookings and Drivers'!AT176</f>
        <v>155.42181343621763</v>
      </c>
      <c r="AM1302">
        <f>'Bookings and Drivers'!AU176</f>
        <v>179.21161247516736</v>
      </c>
      <c r="AN1302">
        <f>'Bookings and Drivers'!AV176</f>
        <v>137.80036904138527</v>
      </c>
      <c r="AO1302">
        <f>'Bookings and Drivers'!AW176</f>
        <v>183.12400493972152</v>
      </c>
      <c r="AP1302">
        <f>'Bookings and Drivers'!AX176</f>
        <v>185.63645913850488</v>
      </c>
      <c r="AQ1302">
        <f>'Bookings and Drivers'!AY176</f>
        <v>210.59449020523985</v>
      </c>
      <c r="AR1302">
        <f>'Bookings and Drivers'!AZ176</f>
        <v>147.04133549644558</v>
      </c>
      <c r="AS1302">
        <f>'Bookings and Drivers'!BA176</f>
        <v>197.44774477447746</v>
      </c>
      <c r="AT1302">
        <f>'Bookings and Drivers'!BB176</f>
        <v>199.95602664653956</v>
      </c>
      <c r="AU1302">
        <f>'Bookings and Drivers'!BC176</f>
        <v>205.85846521349654</v>
      </c>
      <c r="AV1302">
        <f>'Bookings and Drivers'!BD176</f>
        <v>157.2167489833306</v>
      </c>
      <c r="AW1302">
        <f>'Bookings and Drivers'!BE176</f>
        <v>196.71428571428572</v>
      </c>
      <c r="AX1302">
        <f>'Bookings and Drivers'!BF176</f>
        <v>192.25531914893617</v>
      </c>
      <c r="AY1302">
        <f>'Bookings and Drivers'!BG176</f>
        <v>202.77551020408163</v>
      </c>
      <c r="AZ1302">
        <f>'Bookings and Drivers'!BH176</f>
        <v>151.19999999999999</v>
      </c>
      <c r="BA1302">
        <f>'Bookings and Drivers'!BI176</f>
        <v>198.52237288135592</v>
      </c>
      <c r="BB1302">
        <f>'Bookings and Drivers'!BJ176</f>
        <v>194.33030303030304</v>
      </c>
      <c r="BC1302">
        <f>'Bookings and Drivers'!BK176</f>
        <v>193.91098591549294</v>
      </c>
      <c r="BD1302">
        <f>'Bookings and Drivers'!BL176</f>
        <v>135.10798122065728</v>
      </c>
      <c r="BE1302">
        <f>'Bookings and Drivers'!BM176</f>
        <v>169.88300000000001</v>
      </c>
      <c r="BF1302">
        <f>'Bookings and Drivers'!BN176</f>
        <v>160.63621414913959</v>
      </c>
      <c r="BG1302">
        <f>'Bookings and Drivers'!BO176</f>
        <v>163.85315555555556</v>
      </c>
      <c r="BH1302">
        <f>'Bookings and Drivers'!BP176</f>
        <v>120.23056478405316</v>
      </c>
      <c r="BI1302">
        <f>'Bookings and Drivers'!BQ176</f>
        <v>156.10713233908947</v>
      </c>
      <c r="BJ1302">
        <f>'Bookings and Drivers'!BR176</f>
        <v>144.51937601078168</v>
      </c>
      <c r="BK1302">
        <f>'Bookings and Drivers'!BS176</f>
        <v>145.28631893333335</v>
      </c>
      <c r="BL1302">
        <f>'Bookings and Drivers'!BT176</f>
        <v>109.14053990610329</v>
      </c>
      <c r="BM1302">
        <f>'Bookings and Drivers'!BU176</f>
        <v>149.04179131893119</v>
      </c>
      <c r="BN1302">
        <f>'Bookings and Drivers'!BV176</f>
        <v>139.41973663212434</v>
      </c>
      <c r="BO1302">
        <f>'Bookings and Drivers'!BW176</f>
        <v>133.92767714553989</v>
      </c>
      <c r="BP1302">
        <f>'Bookings and Drivers'!BX176</f>
        <v>110.56693004484305</v>
      </c>
      <c r="BQ1302">
        <f>'Bookings and Drivers'!BY176</f>
        <v>141.23540574160367</v>
      </c>
      <c r="BR1302">
        <f>'Bookings and Drivers'!BZ176</f>
        <v>122.18809562873133</v>
      </c>
      <c r="BS1302">
        <f>'Bookings and Drivers'!CA176</f>
        <v>112.40349563389873</v>
      </c>
      <c r="BT1302">
        <f>'Bookings and Drivers'!CB176</f>
        <v>91.274422036569987</v>
      </c>
      <c r="BU1302">
        <f>'Bookings and Drivers'!CC176</f>
        <v>115.04960292161381</v>
      </c>
      <c r="BV1302">
        <f>'Bookings and Drivers'!CD176</f>
        <v>103.12327577943333</v>
      </c>
      <c r="BW1302">
        <f>'Bookings and Drivers'!CE176</f>
        <v>94.611980197500458</v>
      </c>
      <c r="BX1302">
        <f>'Bookings and Drivers'!CF176</f>
        <v>77.980768909746658</v>
      </c>
      <c r="BY1302">
        <f>'Bookings and Drivers'!CG176</f>
        <v>0</v>
      </c>
      <c r="BZ1302">
        <f>'Bookings and Drivers'!CH176</f>
        <v>0</v>
      </c>
      <c r="CA1302">
        <f>'Bookings and Drivers'!CI176</f>
        <v>0</v>
      </c>
      <c r="CB1302">
        <f>'Bookings and Drivers'!CJ176</f>
        <v>0</v>
      </c>
      <c r="CC1302">
        <f>'Bookings and Drivers'!CK176</f>
        <v>0</v>
      </c>
      <c r="CD1302">
        <f>'Bookings and Drivers'!CL176</f>
        <v>0</v>
      </c>
      <c r="CE1302">
        <f>'Bookings and Drivers'!CM176</f>
        <v>388.03450277130207</v>
      </c>
      <c r="CF1302">
        <f>'Bookings and Drivers'!CN176</f>
        <v>465.00209765119831</v>
      </c>
      <c r="CG1302">
        <f>'Bookings and Drivers'!CO176</f>
        <v>488.09320250560921</v>
      </c>
      <c r="CH1302">
        <f>'Bookings and Drivers'!CP176</f>
        <v>565.2096765719582</v>
      </c>
      <c r="CI1302">
        <f>'Bookings and Drivers'!CQ176</f>
        <v>611.0595519436348</v>
      </c>
      <c r="CJ1302">
        <f>'Bookings and Drivers'!CR176</f>
        <v>661.03746618038156</v>
      </c>
      <c r="CK1302">
        <f>'Bookings and Drivers'!CS176</f>
        <v>646.36363636363637</v>
      </c>
      <c r="CL1302">
        <f>'Bookings and Drivers'!CT176</f>
        <v>584.71244131455398</v>
      </c>
      <c r="CM1302">
        <f>'Bookings and Drivers'!CU176</f>
        <v>537.13985049833889</v>
      </c>
      <c r="CN1302">
        <f>'Bookings and Drivers'!CV176</f>
        <v>479.60809800469485</v>
      </c>
      <c r="CO1302">
        <f>'Bookings and Drivers'!CW176</f>
        <v>476.71516096412552</v>
      </c>
      <c r="CP1302">
        <f>'Bookings and Drivers'!CX176</f>
        <v>407.87470031447037</v>
      </c>
      <c r="CQ1302">
        <f>'Bookings and Drivers'!CY176</f>
        <v>343.91698048252033</v>
      </c>
      <c r="CR1302">
        <f>'Bookings and Drivers'!CZ176</f>
        <v>297.41235116275254</v>
      </c>
      <c r="CS1302">
        <f>'Bookings and Drivers'!DA176</f>
        <v>265.55520676692487</v>
      </c>
      <c r="CT1302">
        <f>'Bookings and Drivers'!DB176</f>
        <v>246.16231162186352</v>
      </c>
      <c r="CU1302">
        <f>'Bookings and Drivers'!DC176</f>
        <v>235.29122658543233</v>
      </c>
      <c r="CV1302">
        <f>'Bookings and Drivers'!DD176</f>
        <v>230.44948943414855</v>
      </c>
      <c r="CW1302">
        <f>'Bookings and Drivers'!DE176</f>
        <v>229.71068227581239</v>
      </c>
      <c r="CX1302">
        <f>'Bookings and Drivers'!DF176</f>
        <v>233.58809743602308</v>
      </c>
    </row>
    <row r="1303" spans="1:102">
      <c r="A1303" t="str">
        <f>'Bookings and Drivers'!I177</f>
        <v xml:space="preserve"> % change Y/Y</v>
      </c>
      <c r="B1303">
        <f>'Bookings and Drivers'!J177</f>
        <v>0</v>
      </c>
      <c r="C1303">
        <f>'Bookings and Drivers'!K177</f>
        <v>0</v>
      </c>
      <c r="D1303">
        <f>'Bookings and Drivers'!L177</f>
        <v>0</v>
      </c>
      <c r="E1303">
        <f>'Bookings and Drivers'!M177</f>
        <v>0</v>
      </c>
      <c r="F1303">
        <f>'Bookings and Drivers'!N177</f>
        <v>0</v>
      </c>
      <c r="G1303">
        <f>'Bookings and Drivers'!O177</f>
        <v>0</v>
      </c>
      <c r="H1303">
        <f>'Bookings and Drivers'!P177</f>
        <v>0</v>
      </c>
      <c r="I1303">
        <f>'Bookings and Drivers'!Q177</f>
        <v>0</v>
      </c>
      <c r="J1303">
        <f>'Bookings and Drivers'!R177</f>
        <v>0</v>
      </c>
      <c r="K1303">
        <f>'Bookings and Drivers'!S177</f>
        <v>0</v>
      </c>
      <c r="L1303">
        <f>'Bookings and Drivers'!T177</f>
        <v>0</v>
      </c>
      <c r="M1303">
        <f>'Bookings and Drivers'!U177</f>
        <v>0</v>
      </c>
      <c r="N1303">
        <f>'Bookings and Drivers'!V177</f>
        <v>0</v>
      </c>
      <c r="O1303">
        <f>'Bookings and Drivers'!W177</f>
        <v>0</v>
      </c>
      <c r="P1303">
        <f>'Bookings and Drivers'!X177</f>
        <v>0</v>
      </c>
      <c r="Q1303">
        <f>'Bookings and Drivers'!Y177</f>
        <v>0</v>
      </c>
      <c r="R1303">
        <f>'Bookings and Drivers'!Z177</f>
        <v>0</v>
      </c>
      <c r="S1303">
        <f>'Bookings and Drivers'!AA177</f>
        <v>0</v>
      </c>
      <c r="T1303">
        <f>'Bookings and Drivers'!AB177</f>
        <v>0</v>
      </c>
      <c r="U1303">
        <f>'Bookings and Drivers'!AC177</f>
        <v>0</v>
      </c>
      <c r="V1303">
        <f>'Bookings and Drivers'!AD177</f>
        <v>0</v>
      </c>
      <c r="W1303">
        <f>'Bookings and Drivers'!AE177</f>
        <v>0</v>
      </c>
      <c r="X1303">
        <f>'Bookings and Drivers'!AF177</f>
        <v>0</v>
      </c>
      <c r="Y1303">
        <f>'Bookings and Drivers'!AG177</f>
        <v>0</v>
      </c>
      <c r="Z1303">
        <f>'Bookings and Drivers'!AH177</f>
        <v>0</v>
      </c>
      <c r="AA1303">
        <f>'Bookings and Drivers'!AI177</f>
        <v>0</v>
      </c>
      <c r="AB1303">
        <f>'Bookings and Drivers'!AJ177</f>
        <v>0</v>
      </c>
      <c r="AC1303">
        <f>'Bookings and Drivers'!AK177</f>
        <v>0.16531249999999997</v>
      </c>
      <c r="AD1303">
        <f>'Bookings and Drivers'!AL177</f>
        <v>0.19725714285714258</v>
      </c>
      <c r="AE1303">
        <f>'Bookings and Drivers'!AM177</f>
        <v>0.24115789473684224</v>
      </c>
      <c r="AF1303">
        <f>'Bookings and Drivers'!AN177</f>
        <v>0.24077108433734939</v>
      </c>
      <c r="AG1303">
        <f>'Bookings and Drivers'!AO177</f>
        <v>0.21599999999999997</v>
      </c>
      <c r="AH1303">
        <f>'Bookings and Drivers'!AP177</f>
        <v>5.8750000000000302E-2</v>
      </c>
      <c r="AI1303">
        <f>'Bookings and Drivers'!AQ177</f>
        <v>-1.2000000000000011E-2</v>
      </c>
      <c r="AJ1303">
        <f>'Bookings and Drivers'!AR177</f>
        <v>-7.5933333333333297E-2</v>
      </c>
      <c r="AK1303">
        <f>'Bookings and Drivers'!AS177</f>
        <v>-8.2954545454545392E-2</v>
      </c>
      <c r="AL1303">
        <f>'Bookings and Drivers'!AT177</f>
        <v>3.5605633802817005E-2</v>
      </c>
      <c r="AM1303">
        <f>'Bookings and Drivers'!AU177</f>
        <v>0.21417808219178069</v>
      </c>
      <c r="AN1303">
        <f>'Bookings and Drivers'!AV177</f>
        <v>0.3307692307692307</v>
      </c>
      <c r="AO1303">
        <f>'Bookings and Drivers'!AW177</f>
        <v>0.31079069767441814</v>
      </c>
      <c r="AP1303">
        <f>'Bookings and Drivers'!AX177</f>
        <v>0.19440415109225828</v>
      </c>
      <c r="AQ1303">
        <f>'Bookings and Drivers'!AY177</f>
        <v>0.17511631805902694</v>
      </c>
      <c r="AR1303">
        <f>'Bookings and Drivers'!AZ177</f>
        <v>6.7060534883509604E-2</v>
      </c>
      <c r="AS1303">
        <f>'Bookings and Drivers'!BA177</f>
        <v>7.8218799547721041E-2</v>
      </c>
      <c r="AT1303">
        <f>'Bookings and Drivers'!BB177</f>
        <v>7.7137689301381984E-2</v>
      </c>
      <c r="AU1303">
        <f>'Bookings and Drivers'!BC177</f>
        <v>-2.2488836185256766E-2</v>
      </c>
      <c r="AV1303">
        <f>'Bookings and Drivers'!BD177</f>
        <v>6.9201041003405406E-2</v>
      </c>
      <c r="AW1303">
        <f>'Bookings and Drivers'!BE177</f>
        <v>-3.7146996083925465E-3</v>
      </c>
      <c r="AX1303">
        <f>'Bookings and Drivers'!BF177</f>
        <v>-3.851200499805818E-2</v>
      </c>
      <c r="AY1303">
        <f>'Bookings and Drivers'!BG177</f>
        <v>-1.4976090520336771E-2</v>
      </c>
      <c r="AZ1303">
        <f>'Bookings and Drivers'!BH177</f>
        <v>-3.827040707964624E-2</v>
      </c>
      <c r="BA1303">
        <f>'Bookings and Drivers'!BI177</f>
        <v>9.1914380315840649E-3</v>
      </c>
      <c r="BB1303">
        <f>'Bookings and Drivers'!BJ177</f>
        <v>1.0792855513971134E-2</v>
      </c>
      <c r="BC1303">
        <f>'Bookings and Drivers'!BK177</f>
        <v>-4.37159511011318E-2</v>
      </c>
      <c r="BD1303">
        <f>'Bookings and Drivers'!BL177</f>
        <v>-0.10642869563057344</v>
      </c>
      <c r="BE1303">
        <f>'Bookings and Drivers'!BM177</f>
        <v>-0.14426269677157155</v>
      </c>
      <c r="BF1303">
        <f>'Bookings and Drivers'!BN177</f>
        <v>-0.17338566531185484</v>
      </c>
      <c r="BG1303">
        <f>'Bookings and Drivers'!BO177</f>
        <v>-0.15500839324821281</v>
      </c>
      <c r="BH1303">
        <f>'Bookings and Drivers'!BP177</f>
        <v>-0.11011500802684959</v>
      </c>
      <c r="BI1303">
        <f>'Bookings and Drivers'!BQ177</f>
        <v>-8.1090324876006092E-2</v>
      </c>
      <c r="BJ1303">
        <f>'Bookings and Drivers'!BR177</f>
        <v>-0.10033128721145368</v>
      </c>
      <c r="BK1303">
        <f>'Bookings and Drivers'!BS177</f>
        <v>-0.11331387887691302</v>
      </c>
      <c r="BL1303">
        <f>'Bookings and Drivers'!BT177</f>
        <v>-9.2239647196773356E-2</v>
      </c>
      <c r="BM1303">
        <f>'Bookings and Drivers'!BU177</f>
        <v>-4.5259565750085273E-2</v>
      </c>
      <c r="BN1303">
        <f>'Bookings and Drivers'!BV177</f>
        <v>-3.52868903770861E-2</v>
      </c>
      <c r="BO1303">
        <f>'Bookings and Drivers'!BW177</f>
        <v>-7.8181083196178558E-2</v>
      </c>
      <c r="BP1303">
        <f>'Bookings and Drivers'!BX177</f>
        <v>1.3069297072993535E-2</v>
      </c>
      <c r="BQ1303">
        <f>'Bookings and Drivers'!BY177</f>
        <v>-5.23771588374351E-2</v>
      </c>
      <c r="BR1303">
        <f>'Bookings and Drivers'!BZ177</f>
        <v>-0.12359542070331664</v>
      </c>
      <c r="BS1303">
        <f>'Bookings and Drivers'!CA177</f>
        <v>-0.16071496176440603</v>
      </c>
      <c r="BT1303">
        <f>'Bookings and Drivers'!CB177</f>
        <v>-0.17448714548236555</v>
      </c>
      <c r="BU1303">
        <f>'Bookings and Drivers'!CC177</f>
        <v>-0.1854053711425443</v>
      </c>
      <c r="BV1303">
        <f>'Bookings and Drivers'!CD177</f>
        <v>-0.1560284555643332</v>
      </c>
      <c r="BW1303">
        <f>'Bookings and Drivers'!CE177</f>
        <v>-0.15828258130286021</v>
      </c>
      <c r="BX1303">
        <f>'Bookings and Drivers'!CF177</f>
        <v>-0.14564488966577183</v>
      </c>
      <c r="BY1303">
        <f>'Bookings and Drivers'!CG177</f>
        <v>0</v>
      </c>
      <c r="BZ1303">
        <f>'Bookings and Drivers'!CH177</f>
        <v>0</v>
      </c>
      <c r="CA1303">
        <f>'Bookings and Drivers'!CI177</f>
        <v>0</v>
      </c>
      <c r="CB1303">
        <f>'Bookings and Drivers'!CJ177</f>
        <v>0</v>
      </c>
      <c r="CC1303">
        <f>'Bookings and Drivers'!CK177</f>
        <v>0</v>
      </c>
      <c r="CD1303">
        <f>'Bookings and Drivers'!CL177</f>
        <v>0</v>
      </c>
      <c r="CE1303">
        <f>'Bookings and Drivers'!CM177</f>
        <v>0</v>
      </c>
      <c r="CF1303">
        <f>'Bookings and Drivers'!CN177</f>
        <v>0.19835245147068536</v>
      </c>
      <c r="CG1303">
        <f>'Bookings and Drivers'!CO177</f>
        <v>4.9658065998084311E-2</v>
      </c>
      <c r="CH1303">
        <f>'Bookings and Drivers'!CP177</f>
        <v>0.1579953862714627</v>
      </c>
      <c r="CI1303">
        <f>'Bookings and Drivers'!CQ177</f>
        <v>8.1120117492962551E-2</v>
      </c>
      <c r="CJ1303">
        <f>'Bookings and Drivers'!CR177</f>
        <v>8.1788941974278773E-2</v>
      </c>
      <c r="CK1303">
        <f>'Bookings and Drivers'!CS177</f>
        <v>-2.2198181748356527E-2</v>
      </c>
      <c r="CL1303">
        <f>'Bookings and Drivers'!CT177</f>
        <v>-9.5381595715879897E-2</v>
      </c>
      <c r="CM1303">
        <f>'Bookings and Drivers'!CU177</f>
        <v>-8.1360661164079362E-2</v>
      </c>
      <c r="CN1303">
        <f>'Bookings and Drivers'!CV177</f>
        <v>-0.10710758555759392</v>
      </c>
      <c r="CO1303">
        <f>'Bookings and Drivers'!CW177</f>
        <v>-6.0318769691437568E-3</v>
      </c>
      <c r="CP1303">
        <f>'Bookings and Drivers'!CX177</f>
        <v>-0.14440585550169993</v>
      </c>
      <c r="CQ1303">
        <f>'Bookings and Drivers'!CY177</f>
        <v>-0.15680727385797355</v>
      </c>
      <c r="CR1303">
        <f>'Bookings and Drivers'!CZ177</f>
        <v>-0.13522050948028541</v>
      </c>
      <c r="CS1303">
        <f>'Bookings and Drivers'!DA177</f>
        <v>-0.10711439612806983</v>
      </c>
      <c r="CT1303">
        <f>'Bookings and Drivers'!DB177</f>
        <v>-7.3027734538386513E-2</v>
      </c>
      <c r="CU1303">
        <f>'Bookings and Drivers'!DC177</f>
        <v>-4.4162264177672217E-2</v>
      </c>
      <c r="CV1303">
        <f>'Bookings and Drivers'!DD177</f>
        <v>-2.0577635730611443E-2</v>
      </c>
      <c r="CW1303">
        <f>'Bookings and Drivers'!DE177</f>
        <v>-3.2059396623105307E-3</v>
      </c>
      <c r="CX1303">
        <f>'Bookings and Drivers'!DF177</f>
        <v>1.6879559634736863E-2</v>
      </c>
    </row>
    <row r="1304" spans="1:102">
      <c r="A1304" t="str">
        <f>'Bookings and Drivers'!I178</f>
        <v>Two Year</v>
      </c>
      <c r="B1304">
        <f>'Bookings and Drivers'!J178</f>
        <v>0</v>
      </c>
      <c r="C1304">
        <f>'Bookings and Drivers'!K178</f>
        <v>0</v>
      </c>
      <c r="D1304">
        <f>'Bookings and Drivers'!L178</f>
        <v>0</v>
      </c>
      <c r="E1304">
        <f>'Bookings and Drivers'!M178</f>
        <v>0</v>
      </c>
      <c r="F1304">
        <f>'Bookings and Drivers'!N178</f>
        <v>0</v>
      </c>
      <c r="G1304">
        <f>'Bookings and Drivers'!O178</f>
        <v>0</v>
      </c>
      <c r="H1304">
        <f>'Bookings and Drivers'!P178</f>
        <v>0</v>
      </c>
      <c r="I1304">
        <f>'Bookings and Drivers'!Q178</f>
        <v>0</v>
      </c>
      <c r="J1304">
        <f>'Bookings and Drivers'!R178</f>
        <v>0</v>
      </c>
      <c r="K1304">
        <f>'Bookings and Drivers'!S178</f>
        <v>0</v>
      </c>
      <c r="L1304">
        <f>'Bookings and Drivers'!T178</f>
        <v>0</v>
      </c>
      <c r="M1304">
        <f>'Bookings and Drivers'!U178</f>
        <v>0</v>
      </c>
      <c r="N1304">
        <f>'Bookings and Drivers'!V178</f>
        <v>0</v>
      </c>
      <c r="O1304">
        <f>'Bookings and Drivers'!W178</f>
        <v>0</v>
      </c>
      <c r="P1304">
        <f>'Bookings and Drivers'!X178</f>
        <v>0</v>
      </c>
      <c r="Q1304">
        <f>'Bookings and Drivers'!Y178</f>
        <v>0</v>
      </c>
      <c r="R1304">
        <f>'Bookings and Drivers'!Z178</f>
        <v>0</v>
      </c>
      <c r="S1304">
        <f>'Bookings and Drivers'!AA178</f>
        <v>0</v>
      </c>
      <c r="T1304">
        <f>'Bookings and Drivers'!AB178</f>
        <v>0</v>
      </c>
      <c r="U1304">
        <f>'Bookings and Drivers'!AC178</f>
        <v>0</v>
      </c>
      <c r="V1304">
        <f>'Bookings and Drivers'!AD178</f>
        <v>0</v>
      </c>
      <c r="W1304">
        <f>'Bookings and Drivers'!AE178</f>
        <v>0</v>
      </c>
      <c r="X1304">
        <f>'Bookings and Drivers'!AF178</f>
        <v>0</v>
      </c>
      <c r="Y1304">
        <f>'Bookings and Drivers'!AG178</f>
        <v>0</v>
      </c>
      <c r="Z1304">
        <f>'Bookings and Drivers'!AH178</f>
        <v>0</v>
      </c>
      <c r="AA1304">
        <f>'Bookings and Drivers'!AI178</f>
        <v>0</v>
      </c>
      <c r="AB1304">
        <f>'Bookings and Drivers'!AJ178</f>
        <v>0</v>
      </c>
      <c r="AC1304">
        <f>'Bookings and Drivers'!AK178</f>
        <v>0.16531249999999997</v>
      </c>
      <c r="AD1304">
        <f>'Bookings and Drivers'!AL178</f>
        <v>0.19725714285714258</v>
      </c>
      <c r="AE1304">
        <f>'Bookings and Drivers'!AM178</f>
        <v>0.24115789473684224</v>
      </c>
      <c r="AF1304">
        <f>'Bookings and Drivers'!AN178</f>
        <v>0.24077108433734939</v>
      </c>
      <c r="AG1304">
        <f>'Bookings and Drivers'!AO178</f>
        <v>0.38131249999999994</v>
      </c>
      <c r="AH1304">
        <f>'Bookings and Drivers'!AP178</f>
        <v>0.25600714285714288</v>
      </c>
      <c r="AI1304">
        <f>'Bookings and Drivers'!AQ178</f>
        <v>0.22915789473684223</v>
      </c>
      <c r="AJ1304">
        <f>'Bookings and Drivers'!AR178</f>
        <v>0.1648377510040161</v>
      </c>
      <c r="AK1304">
        <f>'Bookings and Drivers'!AS178</f>
        <v>0.13304545454545458</v>
      </c>
      <c r="AL1304">
        <f>'Bookings and Drivers'!AT178</f>
        <v>9.4355633802817307E-2</v>
      </c>
      <c r="AM1304">
        <f>'Bookings and Drivers'!AU178</f>
        <v>0.20217808219178068</v>
      </c>
      <c r="AN1304">
        <f>'Bookings and Drivers'!AV178</f>
        <v>0.25483589743589741</v>
      </c>
      <c r="AO1304">
        <f>'Bookings and Drivers'!AW178</f>
        <v>0.22783615221987275</v>
      </c>
      <c r="AP1304">
        <f>'Bookings and Drivers'!AX178</f>
        <v>0.23000978489507529</v>
      </c>
      <c r="AQ1304">
        <f>'Bookings and Drivers'!AY178</f>
        <v>0.38929440025080764</v>
      </c>
      <c r="AR1304">
        <f>'Bookings and Drivers'!AZ178</f>
        <v>0.39782976565274031</v>
      </c>
      <c r="AS1304">
        <f>'Bookings and Drivers'!BA178</f>
        <v>0.38900949722213918</v>
      </c>
      <c r="AT1304">
        <f>'Bookings and Drivers'!BB178</f>
        <v>0.27154184039364027</v>
      </c>
      <c r="AU1304">
        <f>'Bookings and Drivers'!BC178</f>
        <v>0.15262748187377018</v>
      </c>
      <c r="AV1304">
        <f>'Bookings and Drivers'!BD178</f>
        <v>0.13626157588691501</v>
      </c>
      <c r="AW1304">
        <f>'Bookings and Drivers'!BE178</f>
        <v>7.4504099939328494E-2</v>
      </c>
      <c r="AX1304">
        <f>'Bookings and Drivers'!BF178</f>
        <v>3.8625684303323804E-2</v>
      </c>
      <c r="AY1304">
        <f>'Bookings and Drivers'!BG178</f>
        <v>-3.7464926705593538E-2</v>
      </c>
      <c r="AZ1304">
        <f>'Bookings and Drivers'!BH178</f>
        <v>3.0930633923759165E-2</v>
      </c>
      <c r="BA1304">
        <f>'Bookings and Drivers'!BI178</f>
        <v>5.4767384231915184E-3</v>
      </c>
      <c r="BB1304">
        <f>'Bookings and Drivers'!BJ178</f>
        <v>-2.7719149484087047E-2</v>
      </c>
      <c r="BC1304">
        <f>'Bookings and Drivers'!BK178</f>
        <v>-5.8692041621468571E-2</v>
      </c>
      <c r="BD1304">
        <f>'Bookings and Drivers'!BL178</f>
        <v>-0.14469910271021968</v>
      </c>
      <c r="BE1304">
        <f>'Bookings and Drivers'!BM178</f>
        <v>-0.13507125873998749</v>
      </c>
      <c r="BF1304">
        <f>'Bookings and Drivers'!BN178</f>
        <v>-0.16259280979788371</v>
      </c>
      <c r="BG1304">
        <f>'Bookings and Drivers'!BO178</f>
        <v>-0.19872434434934461</v>
      </c>
      <c r="BH1304">
        <f>'Bookings and Drivers'!BP178</f>
        <v>-0.21654370365742304</v>
      </c>
      <c r="BI1304">
        <f>'Bookings and Drivers'!BQ178</f>
        <v>-0.22535302164757764</v>
      </c>
      <c r="BJ1304">
        <f>'Bookings and Drivers'!BR178</f>
        <v>-0.27371695252330852</v>
      </c>
      <c r="BK1304">
        <f>'Bookings and Drivers'!BS178</f>
        <v>-0.26832227212512583</v>
      </c>
      <c r="BL1304">
        <f>'Bookings and Drivers'!BT178</f>
        <v>-0.20235465522362295</v>
      </c>
      <c r="BM1304">
        <f>'Bookings and Drivers'!BU178</f>
        <v>-0.12634989062609137</v>
      </c>
      <c r="BN1304">
        <f>'Bookings and Drivers'!BV178</f>
        <v>-0.13561817758853978</v>
      </c>
      <c r="BO1304">
        <f>'Bookings and Drivers'!BW178</f>
        <v>-0.19149496207309158</v>
      </c>
      <c r="BP1304">
        <f>'Bookings and Drivers'!BX178</f>
        <v>-7.917035012377982E-2</v>
      </c>
      <c r="BQ1304">
        <f>'Bookings and Drivers'!BY178</f>
        <v>-9.7636724587520374E-2</v>
      </c>
      <c r="BR1304">
        <f>'Bookings and Drivers'!BZ178</f>
        <v>-0.15888231108040274</v>
      </c>
      <c r="BS1304">
        <f>'Bookings and Drivers'!CA178</f>
        <v>-0.23889604496058459</v>
      </c>
      <c r="BT1304">
        <f>'Bookings and Drivers'!CB178</f>
        <v>-0.16141784840937201</v>
      </c>
      <c r="BU1304">
        <f>'Bookings and Drivers'!CC178</f>
        <v>-0.2377825299799794</v>
      </c>
      <c r="BV1304">
        <f>'Bookings and Drivers'!CD178</f>
        <v>-0.27962387626764984</v>
      </c>
      <c r="BW1304">
        <f>'Bookings and Drivers'!CE178</f>
        <v>-0.31899754306726624</v>
      </c>
      <c r="BX1304">
        <f>'Bookings and Drivers'!CF178</f>
        <v>-0.32013203514813737</v>
      </c>
      <c r="BY1304">
        <f>'Bookings and Drivers'!CG178</f>
        <v>0</v>
      </c>
      <c r="BZ1304">
        <f>'Bookings and Drivers'!CH178</f>
        <v>0</v>
      </c>
      <c r="CA1304">
        <f>'Bookings and Drivers'!CI178</f>
        <v>0</v>
      </c>
      <c r="CB1304">
        <f>'Bookings and Drivers'!CJ178</f>
        <v>0</v>
      </c>
      <c r="CC1304">
        <f>'Bookings and Drivers'!CK178</f>
        <v>0</v>
      </c>
      <c r="CD1304">
        <f>'Bookings and Drivers'!CL178</f>
        <v>0</v>
      </c>
      <c r="CE1304">
        <f>'Bookings and Drivers'!CM178</f>
        <v>0</v>
      </c>
      <c r="CF1304">
        <f>'Bookings and Drivers'!CN178</f>
        <v>0</v>
      </c>
      <c r="CG1304">
        <f>'Bookings and Drivers'!CO178</f>
        <v>0.24801051746876968</v>
      </c>
      <c r="CH1304">
        <f>'Bookings and Drivers'!CP178</f>
        <v>0.20765345226954701</v>
      </c>
      <c r="CI1304">
        <f>'Bookings and Drivers'!CQ178</f>
        <v>0.23911550376442525</v>
      </c>
      <c r="CJ1304">
        <f>'Bookings and Drivers'!CR178</f>
        <v>0.16290905946724132</v>
      </c>
      <c r="CK1304">
        <f>'Bookings and Drivers'!CS178</f>
        <v>5.9590760225922246E-2</v>
      </c>
      <c r="CL1304">
        <f>'Bookings and Drivers'!CT178</f>
        <v>0.11757977746423642</v>
      </c>
      <c r="CM1304">
        <f>'Bookings and Drivers'!CU178</f>
        <v>0.17674225687995926</v>
      </c>
      <c r="CN1304">
        <f>'Bookings and Drivers'!CV178</f>
        <v>0.18846824672167328</v>
      </c>
      <c r="CO1304">
        <f>'Bookings and Drivers'!CW178</f>
        <v>0.11313946252673768</v>
      </c>
      <c r="CP1304">
        <f>'Bookings and Drivers'!CX178</f>
        <v>0.15043773247084369</v>
      </c>
      <c r="CQ1304">
        <f>'Bookings and Drivers'!CY178</f>
        <v>0.30121312935967348</v>
      </c>
      <c r="CR1304">
        <f>'Bookings and Drivers'!CZ178</f>
        <v>0.29202778333825896</v>
      </c>
      <c r="CS1304">
        <f>'Bookings and Drivers'!DA178</f>
        <v>0.24233490560835524</v>
      </c>
      <c r="CT1304">
        <f>'Bookings and Drivers'!DB178</f>
        <v>0.18014213066645635</v>
      </c>
      <c r="CU1304">
        <f>'Bookings and Drivers'!DC178</f>
        <v>0.11718999871605873</v>
      </c>
      <c r="CV1304">
        <f>'Bookings and Drivers'!DD178</f>
        <v>6.473989990828366E-2</v>
      </c>
      <c r="CW1304">
        <f>'Bookings and Drivers'!DE178</f>
        <v>2.3783575392921974E-2</v>
      </c>
      <c r="CX1304">
        <f>'Bookings and Drivers'!DF178</f>
        <v>-1.3673619972426332E-2</v>
      </c>
    </row>
    <row r="1305" spans="1:102">
      <c r="A1305">
        <f>'Bookings and Drivers'!I180</f>
        <v>0</v>
      </c>
      <c r="B1305">
        <f>'Bookings and Drivers'!J180</f>
        <v>0</v>
      </c>
      <c r="C1305">
        <f>'Bookings and Drivers'!K180</f>
        <v>0</v>
      </c>
      <c r="D1305">
        <f>'Bookings and Drivers'!L180</f>
        <v>0</v>
      </c>
      <c r="E1305">
        <f>'Bookings and Drivers'!M180</f>
        <v>0</v>
      </c>
      <c r="F1305">
        <f>'Bookings and Drivers'!N180</f>
        <v>0</v>
      </c>
      <c r="G1305">
        <f>'Bookings and Drivers'!O180</f>
        <v>0</v>
      </c>
      <c r="H1305">
        <f>'Bookings and Drivers'!P180</f>
        <v>0</v>
      </c>
      <c r="I1305">
        <f>'Bookings and Drivers'!Q180</f>
        <v>0</v>
      </c>
      <c r="J1305">
        <f>'Bookings and Drivers'!R180</f>
        <v>0</v>
      </c>
      <c r="K1305">
        <f>'Bookings and Drivers'!S180</f>
        <v>0</v>
      </c>
      <c r="L1305">
        <f>'Bookings and Drivers'!T180</f>
        <v>0</v>
      </c>
      <c r="M1305">
        <f>'Bookings and Drivers'!U180</f>
        <v>0</v>
      </c>
      <c r="N1305">
        <f>'Bookings and Drivers'!V180</f>
        <v>0</v>
      </c>
      <c r="O1305">
        <f>'Bookings and Drivers'!W180</f>
        <v>0</v>
      </c>
      <c r="P1305">
        <f>'Bookings and Drivers'!X180</f>
        <v>0</v>
      </c>
      <c r="Q1305">
        <f>'Bookings and Drivers'!Y180</f>
        <v>0</v>
      </c>
      <c r="R1305">
        <f>'Bookings and Drivers'!Z180</f>
        <v>0</v>
      </c>
      <c r="S1305">
        <f>'Bookings and Drivers'!AA180</f>
        <v>0</v>
      </c>
      <c r="T1305">
        <f>'Bookings and Drivers'!AB180</f>
        <v>0</v>
      </c>
      <c r="U1305">
        <f>'Bookings and Drivers'!AC180</f>
        <v>0</v>
      </c>
      <c r="V1305">
        <f>'Bookings and Drivers'!AD180</f>
        <v>0</v>
      </c>
      <c r="W1305">
        <f>'Bookings and Drivers'!AE180</f>
        <v>0</v>
      </c>
      <c r="X1305">
        <f>'Bookings and Drivers'!AF180</f>
        <v>0</v>
      </c>
      <c r="Y1305">
        <f>'Bookings and Drivers'!AG180</f>
        <v>0</v>
      </c>
      <c r="Z1305">
        <f>'Bookings and Drivers'!AH180</f>
        <v>0</v>
      </c>
      <c r="AA1305">
        <f>'Bookings and Drivers'!AI180</f>
        <v>0</v>
      </c>
      <c r="AB1305">
        <f>'Bookings and Drivers'!AJ180</f>
        <v>0</v>
      </c>
      <c r="AC1305">
        <f>'Bookings and Drivers'!AK180</f>
        <v>0</v>
      </c>
      <c r="AD1305">
        <f>'Bookings and Drivers'!AL180</f>
        <v>0</v>
      </c>
      <c r="AE1305">
        <f>'Bookings and Drivers'!AM180</f>
        <v>0</v>
      </c>
      <c r="AF1305">
        <f>'Bookings and Drivers'!AN180</f>
        <v>0</v>
      </c>
      <c r="AG1305">
        <f>'Bookings and Drivers'!AO180</f>
        <v>0</v>
      </c>
      <c r="AH1305">
        <f>'Bookings and Drivers'!AP180</f>
        <v>0</v>
      </c>
      <c r="AI1305">
        <f>'Bookings and Drivers'!AQ180</f>
        <v>0</v>
      </c>
      <c r="AJ1305">
        <f>'Bookings and Drivers'!AR180</f>
        <v>0</v>
      </c>
      <c r="AK1305">
        <f>'Bookings and Drivers'!AS180</f>
        <v>0</v>
      </c>
      <c r="AL1305">
        <f>'Bookings and Drivers'!AT180</f>
        <v>0</v>
      </c>
      <c r="AM1305">
        <f>'Bookings and Drivers'!AU180</f>
        <v>0</v>
      </c>
      <c r="AN1305">
        <f>'Bookings and Drivers'!AV180</f>
        <v>0</v>
      </c>
      <c r="AO1305">
        <f>'Bookings and Drivers'!AW180</f>
        <v>0</v>
      </c>
      <c r="AP1305">
        <f>'Bookings and Drivers'!AX180</f>
        <v>0</v>
      </c>
      <c r="AQ1305">
        <f>'Bookings and Drivers'!AY180</f>
        <v>0</v>
      </c>
      <c r="AR1305">
        <f>'Bookings and Drivers'!AZ180</f>
        <v>0</v>
      </c>
      <c r="AS1305">
        <f>'Bookings and Drivers'!BA180</f>
        <v>0</v>
      </c>
      <c r="AT1305">
        <f>'Bookings and Drivers'!BB180</f>
        <v>0</v>
      </c>
      <c r="AU1305">
        <f>'Bookings and Drivers'!BC180</f>
        <v>0</v>
      </c>
      <c r="AV1305">
        <f>'Bookings and Drivers'!BD180</f>
        <v>0</v>
      </c>
      <c r="AW1305">
        <f>'Bookings and Drivers'!BE180</f>
        <v>0</v>
      </c>
      <c r="AX1305">
        <f>'Bookings and Drivers'!BF180</f>
        <v>0</v>
      </c>
      <c r="AY1305">
        <f>'Bookings and Drivers'!BG180</f>
        <v>0</v>
      </c>
      <c r="AZ1305">
        <f>'Bookings and Drivers'!BH180</f>
        <v>0</v>
      </c>
      <c r="BA1305">
        <f>'Bookings and Drivers'!BI180</f>
        <v>0</v>
      </c>
      <c r="BB1305">
        <f>'Bookings and Drivers'!BJ180</f>
        <v>0</v>
      </c>
      <c r="BC1305">
        <f>'Bookings and Drivers'!BK180</f>
        <v>0</v>
      </c>
      <c r="BD1305">
        <f>'Bookings and Drivers'!BL180</f>
        <v>0</v>
      </c>
      <c r="BE1305">
        <f>'Bookings and Drivers'!BM180</f>
        <v>0</v>
      </c>
      <c r="BF1305">
        <f>'Bookings and Drivers'!BN180</f>
        <v>0</v>
      </c>
      <c r="BG1305">
        <f>'Bookings and Drivers'!BO180</f>
        <v>0</v>
      </c>
      <c r="BH1305">
        <f>'Bookings and Drivers'!BP180</f>
        <v>0</v>
      </c>
      <c r="BI1305">
        <f>'Bookings and Drivers'!BQ180</f>
        <v>0</v>
      </c>
      <c r="BJ1305">
        <f>'Bookings and Drivers'!BR180</f>
        <v>0</v>
      </c>
      <c r="BK1305">
        <f>'Bookings and Drivers'!BS180</f>
        <v>0</v>
      </c>
      <c r="BL1305">
        <f>'Bookings and Drivers'!BT180</f>
        <v>0</v>
      </c>
      <c r="BM1305">
        <f>'Bookings and Drivers'!BU180</f>
        <v>0</v>
      </c>
      <c r="BN1305">
        <f>'Bookings and Drivers'!BV180</f>
        <v>0</v>
      </c>
      <c r="BO1305">
        <f>'Bookings and Drivers'!BW180</f>
        <v>0</v>
      </c>
      <c r="BP1305">
        <f>'Bookings and Drivers'!BX180</f>
        <v>0</v>
      </c>
      <c r="BQ1305">
        <f>'Bookings and Drivers'!BY180</f>
        <v>0</v>
      </c>
      <c r="BR1305">
        <f>'Bookings and Drivers'!BZ180</f>
        <v>0</v>
      </c>
      <c r="BS1305">
        <f>'Bookings and Drivers'!CA180</f>
        <v>0</v>
      </c>
      <c r="BT1305">
        <f>'Bookings and Drivers'!CB180</f>
        <v>0</v>
      </c>
      <c r="BU1305">
        <f>'Bookings and Drivers'!CC180</f>
        <v>0</v>
      </c>
      <c r="BV1305">
        <f>'Bookings and Drivers'!CD180</f>
        <v>0</v>
      </c>
      <c r="BW1305">
        <f>'Bookings and Drivers'!CE180</f>
        <v>0</v>
      </c>
      <c r="BX1305">
        <f>'Bookings and Drivers'!CF180</f>
        <v>0</v>
      </c>
      <c r="BY1305">
        <f>'Bookings and Drivers'!CG180</f>
        <v>0</v>
      </c>
      <c r="BZ1305">
        <f>'Bookings and Drivers'!CH180</f>
        <v>0</v>
      </c>
      <c r="CA1305">
        <f>'Bookings and Drivers'!CI180</f>
        <v>0</v>
      </c>
      <c r="CB1305">
        <f>'Bookings and Drivers'!CJ180</f>
        <v>0</v>
      </c>
      <c r="CC1305">
        <f>'Bookings and Drivers'!CK180</f>
        <v>0</v>
      </c>
      <c r="CD1305">
        <f>'Bookings and Drivers'!CL180</f>
        <v>0</v>
      </c>
      <c r="CE1305">
        <f>'Bookings and Drivers'!CM180</f>
        <v>0</v>
      </c>
      <c r="CF1305">
        <f>'Bookings and Drivers'!CN180</f>
        <v>0</v>
      </c>
      <c r="CG1305">
        <f>'Bookings and Drivers'!CO180</f>
        <v>0</v>
      </c>
      <c r="CH1305">
        <f>'Bookings and Drivers'!CP180</f>
        <v>0</v>
      </c>
      <c r="CI1305">
        <f>'Bookings and Drivers'!CQ180</f>
        <v>0</v>
      </c>
      <c r="CJ1305">
        <f>'Bookings and Drivers'!CR180</f>
        <v>0</v>
      </c>
      <c r="CK1305">
        <f>'Bookings and Drivers'!CS180</f>
        <v>0</v>
      </c>
      <c r="CL1305">
        <f>'Bookings and Drivers'!CT180</f>
        <v>0</v>
      </c>
      <c r="CM1305">
        <f>'Bookings and Drivers'!CU180</f>
        <v>0</v>
      </c>
      <c r="CN1305">
        <f>'Bookings and Drivers'!CV180</f>
        <v>0</v>
      </c>
      <c r="CO1305">
        <f>'Bookings and Drivers'!CW180</f>
        <v>0</v>
      </c>
      <c r="CP1305">
        <f>'Bookings and Drivers'!CX180</f>
        <v>0</v>
      </c>
      <c r="CQ1305">
        <f>'Bookings and Drivers'!CY180</f>
        <v>0</v>
      </c>
      <c r="CR1305">
        <f>'Bookings and Drivers'!CZ180</f>
        <v>0</v>
      </c>
      <c r="CS1305">
        <f>'Bookings and Drivers'!DA180</f>
        <v>0</v>
      </c>
      <c r="CT1305">
        <f>'Bookings and Drivers'!DB180</f>
        <v>0</v>
      </c>
      <c r="CU1305">
        <f>'Bookings and Drivers'!DC180</f>
        <v>0</v>
      </c>
      <c r="CV1305">
        <f>'Bookings and Drivers'!DD180</f>
        <v>0</v>
      </c>
      <c r="CW1305">
        <f>'Bookings and Drivers'!DE180</f>
        <v>0</v>
      </c>
      <c r="CX1305">
        <f>'Bookings and Drivers'!DF180</f>
        <v>0</v>
      </c>
    </row>
    <row r="1306" spans="1:102">
      <c r="A1306" t="str">
        <f>'Bookings and Drivers'!I181</f>
        <v>Implied Hotel Count</v>
      </c>
      <c r="B1306">
        <f>'Bookings and Drivers'!J181</f>
        <v>0</v>
      </c>
      <c r="C1306">
        <f>'Bookings and Drivers'!K181</f>
        <v>0</v>
      </c>
      <c r="D1306">
        <f>'Bookings and Drivers'!L181</f>
        <v>0</v>
      </c>
      <c r="E1306">
        <f>'Bookings and Drivers'!M181</f>
        <v>0</v>
      </c>
      <c r="F1306">
        <f>'Bookings and Drivers'!N181</f>
        <v>0</v>
      </c>
      <c r="G1306">
        <f>'Bookings and Drivers'!O181</f>
        <v>0</v>
      </c>
      <c r="H1306">
        <f>'Bookings and Drivers'!P181</f>
        <v>0</v>
      </c>
      <c r="I1306">
        <f>'Bookings and Drivers'!Q181</f>
        <v>0</v>
      </c>
      <c r="J1306">
        <f>'Bookings and Drivers'!R181</f>
        <v>0</v>
      </c>
      <c r="K1306">
        <f>'Bookings and Drivers'!S181</f>
        <v>0</v>
      </c>
      <c r="L1306">
        <f>'Bookings and Drivers'!T181</f>
        <v>0</v>
      </c>
      <c r="M1306">
        <f>'Bookings and Drivers'!U181</f>
        <v>0</v>
      </c>
      <c r="N1306">
        <f>'Bookings and Drivers'!V181</f>
        <v>0</v>
      </c>
      <c r="O1306">
        <f>'Bookings and Drivers'!W181</f>
        <v>0</v>
      </c>
      <c r="P1306">
        <f>'Bookings and Drivers'!X181</f>
        <v>0</v>
      </c>
      <c r="Q1306">
        <f>'Bookings and Drivers'!Y181</f>
        <v>0</v>
      </c>
      <c r="R1306">
        <f>'Bookings and Drivers'!Z181</f>
        <v>0</v>
      </c>
      <c r="S1306">
        <f>'Bookings and Drivers'!AA181</f>
        <v>0</v>
      </c>
      <c r="T1306">
        <f>'Bookings and Drivers'!AB181</f>
        <v>0</v>
      </c>
      <c r="U1306">
        <f>'Bookings and Drivers'!AC181</f>
        <v>0</v>
      </c>
      <c r="V1306">
        <f>'Bookings and Drivers'!AD181</f>
        <v>0</v>
      </c>
      <c r="W1306">
        <f>'Bookings and Drivers'!AE181</f>
        <v>0</v>
      </c>
      <c r="X1306">
        <f>'Bookings and Drivers'!AF181</f>
        <v>0</v>
      </c>
      <c r="Y1306">
        <f>'Bookings and Drivers'!AG181</f>
        <v>0</v>
      </c>
      <c r="Z1306">
        <f>'Bookings and Drivers'!AH181</f>
        <v>0</v>
      </c>
      <c r="AA1306">
        <f>'Bookings and Drivers'!AI181</f>
        <v>0</v>
      </c>
      <c r="AB1306">
        <f>'Bookings and Drivers'!AJ181</f>
        <v>0</v>
      </c>
      <c r="AC1306">
        <f>'Bookings and Drivers'!AK181</f>
        <v>0</v>
      </c>
      <c r="AD1306">
        <f>'Bookings and Drivers'!AL181</f>
        <v>0</v>
      </c>
      <c r="AE1306">
        <f>'Bookings and Drivers'!AM181</f>
        <v>0</v>
      </c>
      <c r="AF1306">
        <f>'Bookings and Drivers'!AN181</f>
        <v>0</v>
      </c>
      <c r="AG1306">
        <f>'Bookings and Drivers'!AO181</f>
        <v>0</v>
      </c>
      <c r="AH1306">
        <f>'Bookings and Drivers'!AP181</f>
        <v>0</v>
      </c>
      <c r="AI1306">
        <f>'Bookings and Drivers'!AQ181</f>
        <v>0</v>
      </c>
      <c r="AJ1306">
        <f>'Bookings and Drivers'!AR181</f>
        <v>0</v>
      </c>
      <c r="AK1306">
        <f>'Bookings and Drivers'!AS181</f>
        <v>0</v>
      </c>
      <c r="AL1306">
        <f>'Bookings and Drivers'!AT181</f>
        <v>0</v>
      </c>
      <c r="AM1306">
        <f>'Bookings and Drivers'!AU181</f>
        <v>0</v>
      </c>
      <c r="AN1306">
        <f>'Bookings and Drivers'!AV181</f>
        <v>0</v>
      </c>
      <c r="AO1306">
        <f>'Bookings and Drivers'!AW181</f>
        <v>0</v>
      </c>
      <c r="AP1306">
        <f>'Bookings and Drivers'!AX181</f>
        <v>0</v>
      </c>
      <c r="AQ1306">
        <f>'Bookings and Drivers'!AY181</f>
        <v>0</v>
      </c>
      <c r="AR1306">
        <f>'Bookings and Drivers'!AZ181</f>
        <v>0</v>
      </c>
      <c r="AS1306">
        <f>'Bookings and Drivers'!BA181</f>
        <v>0</v>
      </c>
      <c r="AT1306">
        <f>'Bookings and Drivers'!BB181</f>
        <v>0</v>
      </c>
      <c r="AU1306">
        <f>'Bookings and Drivers'!BC181</f>
        <v>0</v>
      </c>
      <c r="AV1306">
        <f>'Bookings and Drivers'!BD181</f>
        <v>0</v>
      </c>
      <c r="AW1306">
        <f>'Bookings and Drivers'!BE181</f>
        <v>0</v>
      </c>
      <c r="AX1306">
        <f>'Bookings and Drivers'!BF181</f>
        <v>0</v>
      </c>
      <c r="AY1306">
        <f>'Bookings and Drivers'!BG181</f>
        <v>0</v>
      </c>
      <c r="AZ1306">
        <f>'Bookings and Drivers'!BH181</f>
        <v>0</v>
      </c>
      <c r="BA1306">
        <f>'Bookings and Drivers'!BI181</f>
        <v>0</v>
      </c>
      <c r="BB1306">
        <f>'Bookings and Drivers'!BJ181</f>
        <v>0</v>
      </c>
      <c r="BC1306">
        <f>'Bookings and Drivers'!BK181</f>
        <v>0</v>
      </c>
      <c r="BD1306">
        <f>'Bookings and Drivers'!BL181</f>
        <v>316000</v>
      </c>
      <c r="BE1306">
        <f>'Bookings and Drivers'!BM181</f>
        <v>317000</v>
      </c>
      <c r="BF1306">
        <f>'Bookings and Drivers'!BN181</f>
        <v>329500</v>
      </c>
      <c r="BG1306">
        <f>'Bookings and Drivers'!BO181</f>
        <v>333000</v>
      </c>
      <c r="BH1306">
        <f>'Bookings and Drivers'!BP181</f>
        <v>355000</v>
      </c>
      <c r="BI1306">
        <f>'Bookings and Drivers'!BQ181</f>
        <v>362000</v>
      </c>
      <c r="BJ1306">
        <f>'Bookings and Drivers'!BR181</f>
        <v>405000</v>
      </c>
      <c r="BK1306">
        <f>'Bookings and Drivers'!BS181</f>
        <v>400000</v>
      </c>
      <c r="BL1306">
        <f>'Bookings and Drivers'!BT181</f>
        <v>462000</v>
      </c>
      <c r="BM1306">
        <f>'Bookings and Drivers'!BU181</f>
        <v>482000</v>
      </c>
      <c r="BN1306">
        <f>'Bookings and Drivers'!BV181</f>
        <v>498000</v>
      </c>
      <c r="BO1306">
        <f>'Bookings and Drivers'!BW181</f>
        <v>536000</v>
      </c>
      <c r="BP1306">
        <f>'Bookings and Drivers'!BX181</f>
        <v>547000</v>
      </c>
      <c r="BQ1306">
        <f>'Bookings and Drivers'!BY181</f>
        <v>578000</v>
      </c>
      <c r="BR1306">
        <f>'Bookings and Drivers'!BZ181</f>
        <v>619000</v>
      </c>
      <c r="BS1306">
        <f>'Bookings and Drivers'!CA181</f>
        <v>698051</v>
      </c>
      <c r="BT1306">
        <f>'Bookings and Drivers'!CB181</f>
        <v>396000</v>
      </c>
      <c r="BU1306">
        <f>'Bookings and Drivers'!CC181</f>
        <v>451448.83408071753</v>
      </c>
      <c r="BV1306">
        <f>'Bookings and Drivers'!CD181</f>
        <v>538750.19425210753</v>
      </c>
      <c r="BW1306">
        <f>'Bookings and Drivers'!CE181</f>
        <v>672141.53272172343</v>
      </c>
      <c r="BX1306">
        <f>'Bookings and Drivers'!CF181</f>
        <v>375263.27432811959</v>
      </c>
      <c r="BY1306">
        <f>'Bookings and Drivers'!CG181</f>
        <v>0</v>
      </c>
      <c r="BZ1306">
        <f>'Bookings and Drivers'!CH181</f>
        <v>0</v>
      </c>
      <c r="CA1306">
        <f>'Bookings and Drivers'!CI181</f>
        <v>0</v>
      </c>
      <c r="CB1306">
        <f>'Bookings and Drivers'!CJ181</f>
        <v>0</v>
      </c>
      <c r="CC1306">
        <f>'Bookings and Drivers'!CK181</f>
        <v>0</v>
      </c>
      <c r="CD1306">
        <f>'Bookings and Drivers'!CL181</f>
        <v>0</v>
      </c>
      <c r="CE1306">
        <f>'Bookings and Drivers'!CM181</f>
        <v>0</v>
      </c>
      <c r="CF1306">
        <f>'Bookings and Drivers'!CN181</f>
        <v>0</v>
      </c>
      <c r="CG1306">
        <f>'Bookings and Drivers'!CO181</f>
        <v>0</v>
      </c>
      <c r="CH1306">
        <f>'Bookings and Drivers'!CP181</f>
        <v>0</v>
      </c>
      <c r="CI1306">
        <f>'Bookings and Drivers'!CQ181</f>
        <v>0</v>
      </c>
      <c r="CJ1306">
        <f>'Bookings and Drivers'!CR181</f>
        <v>0</v>
      </c>
      <c r="CK1306">
        <f>'Bookings and Drivers'!CS181</f>
        <v>0</v>
      </c>
      <c r="CL1306">
        <f>'Bookings and Drivers'!CT181</f>
        <v>316000</v>
      </c>
      <c r="CM1306">
        <f>'Bookings and Drivers'!CU181</f>
        <v>355000</v>
      </c>
      <c r="CN1306">
        <f>'Bookings and Drivers'!CV181</f>
        <v>462000</v>
      </c>
      <c r="CO1306">
        <f>'Bookings and Drivers'!CW181</f>
        <v>547000</v>
      </c>
      <c r="CP1306">
        <f>'Bookings and Drivers'!CX181</f>
        <v>396000</v>
      </c>
      <c r="CQ1306">
        <f>'Bookings and Drivers'!CY181</f>
        <v>375263.27432811959</v>
      </c>
      <c r="CR1306">
        <f>'Bookings and Drivers'!CZ181</f>
        <v>0</v>
      </c>
      <c r="CS1306">
        <f>'Bookings and Drivers'!DA181</f>
        <v>0</v>
      </c>
      <c r="CT1306">
        <f>'Bookings and Drivers'!DB181</f>
        <v>0</v>
      </c>
      <c r="CU1306">
        <f>'Bookings and Drivers'!DC181</f>
        <v>0</v>
      </c>
      <c r="CV1306">
        <f>'Bookings and Drivers'!DD181</f>
        <v>0</v>
      </c>
      <c r="CW1306">
        <f>'Bookings and Drivers'!DE181</f>
        <v>0</v>
      </c>
      <c r="CX1306">
        <f>'Bookings and Drivers'!DF181</f>
        <v>0</v>
      </c>
    </row>
    <row r="1307" spans="1:102">
      <c r="A1307" t="str">
        <f>'Bookings and Drivers'!I182</f>
        <v>% change Y/Y</v>
      </c>
      <c r="B1307">
        <f>'Bookings and Drivers'!J182</f>
        <v>0</v>
      </c>
      <c r="C1307">
        <f>'Bookings and Drivers'!K182</f>
        <v>0</v>
      </c>
      <c r="D1307">
        <f>'Bookings and Drivers'!L182</f>
        <v>0</v>
      </c>
      <c r="E1307">
        <f>'Bookings and Drivers'!M182</f>
        <v>0</v>
      </c>
      <c r="F1307">
        <f>'Bookings and Drivers'!N182</f>
        <v>0</v>
      </c>
      <c r="G1307">
        <f>'Bookings and Drivers'!O182</f>
        <v>0</v>
      </c>
      <c r="H1307">
        <f>'Bookings and Drivers'!P182</f>
        <v>0</v>
      </c>
      <c r="I1307">
        <f>'Bookings and Drivers'!Q182</f>
        <v>0</v>
      </c>
      <c r="J1307">
        <f>'Bookings and Drivers'!R182</f>
        <v>0</v>
      </c>
      <c r="K1307">
        <f>'Bookings and Drivers'!S182</f>
        <v>0</v>
      </c>
      <c r="L1307">
        <f>'Bookings and Drivers'!T182</f>
        <v>0</v>
      </c>
      <c r="M1307">
        <f>'Bookings and Drivers'!U182</f>
        <v>0</v>
      </c>
      <c r="N1307">
        <f>'Bookings and Drivers'!V182</f>
        <v>0</v>
      </c>
      <c r="O1307">
        <f>'Bookings and Drivers'!W182</f>
        <v>0</v>
      </c>
      <c r="P1307">
        <f>'Bookings and Drivers'!X182</f>
        <v>0</v>
      </c>
      <c r="Q1307">
        <f>'Bookings and Drivers'!Y182</f>
        <v>0</v>
      </c>
      <c r="R1307">
        <f>'Bookings and Drivers'!Z182</f>
        <v>0</v>
      </c>
      <c r="S1307">
        <f>'Bookings and Drivers'!AA182</f>
        <v>0</v>
      </c>
      <c r="T1307">
        <f>'Bookings and Drivers'!AB182</f>
        <v>0</v>
      </c>
      <c r="U1307">
        <f>'Bookings and Drivers'!AC182</f>
        <v>0</v>
      </c>
      <c r="V1307">
        <f>'Bookings and Drivers'!AD182</f>
        <v>0</v>
      </c>
      <c r="W1307">
        <f>'Bookings and Drivers'!AE182</f>
        <v>0</v>
      </c>
      <c r="X1307">
        <f>'Bookings and Drivers'!AF182</f>
        <v>0</v>
      </c>
      <c r="Y1307">
        <f>'Bookings and Drivers'!AG182</f>
        <v>0</v>
      </c>
      <c r="Z1307">
        <f>'Bookings and Drivers'!AH182</f>
        <v>0</v>
      </c>
      <c r="AA1307">
        <f>'Bookings and Drivers'!AI182</f>
        <v>0</v>
      </c>
      <c r="AB1307">
        <f>'Bookings and Drivers'!AJ182</f>
        <v>0</v>
      </c>
      <c r="AC1307">
        <f>'Bookings and Drivers'!AK182</f>
        <v>0</v>
      </c>
      <c r="AD1307">
        <f>'Bookings and Drivers'!AL182</f>
        <v>0</v>
      </c>
      <c r="AE1307">
        <f>'Bookings and Drivers'!AM182</f>
        <v>0</v>
      </c>
      <c r="AF1307">
        <f>'Bookings and Drivers'!AN182</f>
        <v>0</v>
      </c>
      <c r="AG1307">
        <f>'Bookings and Drivers'!AO182</f>
        <v>0</v>
      </c>
      <c r="AH1307">
        <f>'Bookings and Drivers'!AP182</f>
        <v>0</v>
      </c>
      <c r="AI1307">
        <f>'Bookings and Drivers'!AQ182</f>
        <v>0</v>
      </c>
      <c r="AJ1307">
        <f>'Bookings and Drivers'!AR182</f>
        <v>0</v>
      </c>
      <c r="AK1307">
        <f>'Bookings and Drivers'!AS182</f>
        <v>0</v>
      </c>
      <c r="AL1307">
        <f>'Bookings and Drivers'!AT182</f>
        <v>0</v>
      </c>
      <c r="AM1307">
        <f>'Bookings and Drivers'!AU182</f>
        <v>0</v>
      </c>
      <c r="AN1307">
        <f>'Bookings and Drivers'!AV182</f>
        <v>0</v>
      </c>
      <c r="AO1307">
        <f>'Bookings and Drivers'!AW182</f>
        <v>0</v>
      </c>
      <c r="AP1307">
        <f>'Bookings and Drivers'!AX182</f>
        <v>0</v>
      </c>
      <c r="AQ1307">
        <f>'Bookings and Drivers'!AY182</f>
        <v>0</v>
      </c>
      <c r="AR1307">
        <f>'Bookings and Drivers'!AZ182</f>
        <v>0</v>
      </c>
      <c r="AS1307">
        <f>'Bookings and Drivers'!BA182</f>
        <v>0</v>
      </c>
      <c r="AT1307">
        <f>'Bookings and Drivers'!BB182</f>
        <v>0</v>
      </c>
      <c r="AU1307">
        <f>'Bookings and Drivers'!BC182</f>
        <v>0</v>
      </c>
      <c r="AV1307">
        <f>'Bookings and Drivers'!BD182</f>
        <v>0</v>
      </c>
      <c r="AW1307">
        <f>'Bookings and Drivers'!BE182</f>
        <v>0</v>
      </c>
      <c r="AX1307">
        <f>'Bookings and Drivers'!BF182</f>
        <v>0</v>
      </c>
      <c r="AY1307">
        <f>'Bookings and Drivers'!BG182</f>
        <v>0</v>
      </c>
      <c r="AZ1307">
        <f>'Bookings and Drivers'!BH182</f>
        <v>0</v>
      </c>
      <c r="BA1307">
        <f>'Bookings and Drivers'!BI182</f>
        <v>0</v>
      </c>
      <c r="BB1307">
        <f>'Bookings and Drivers'!BJ182</f>
        <v>0</v>
      </c>
      <c r="BC1307">
        <f>'Bookings and Drivers'!BK182</f>
        <v>0</v>
      </c>
      <c r="BD1307">
        <f>'Bookings and Drivers'!BL182</f>
        <v>0</v>
      </c>
      <c r="BE1307">
        <f>'Bookings and Drivers'!BM182</f>
        <v>0</v>
      </c>
      <c r="BF1307">
        <f>'Bookings and Drivers'!BN182</f>
        <v>0</v>
      </c>
      <c r="BG1307">
        <f>'Bookings and Drivers'!BO182</f>
        <v>0</v>
      </c>
      <c r="BH1307">
        <f>'Bookings and Drivers'!BP182</f>
        <v>0.12341772151898733</v>
      </c>
      <c r="BI1307">
        <f>'Bookings and Drivers'!BQ182</f>
        <v>0.14195583596214512</v>
      </c>
      <c r="BJ1307">
        <f>'Bookings and Drivers'!BR182</f>
        <v>0.22913505311077387</v>
      </c>
      <c r="BK1307">
        <f>'Bookings and Drivers'!BS182</f>
        <v>0.20120120120120122</v>
      </c>
      <c r="BL1307">
        <f>'Bookings and Drivers'!BT182</f>
        <v>0.30140845070422539</v>
      </c>
      <c r="BM1307">
        <f>'Bookings and Drivers'!BU182</f>
        <v>0.33149171270718236</v>
      </c>
      <c r="BN1307">
        <f>'Bookings and Drivers'!BV182</f>
        <v>0.22962962962962963</v>
      </c>
      <c r="BO1307">
        <f>'Bookings and Drivers'!BW182</f>
        <v>0.34000000000000008</v>
      </c>
      <c r="BP1307">
        <f>'Bookings and Drivers'!BX182</f>
        <v>0.18398268398268391</v>
      </c>
      <c r="BQ1307">
        <f>'Bookings and Drivers'!BY182</f>
        <v>0.19917012448132776</v>
      </c>
      <c r="BR1307">
        <f>'Bookings and Drivers'!BZ182</f>
        <v>0.24297188755020072</v>
      </c>
      <c r="BS1307">
        <f>'Bookings and Drivers'!CA182</f>
        <v>0.30233395522388062</v>
      </c>
      <c r="BT1307">
        <f>'Bookings and Drivers'!CB182</f>
        <v>-0.27605118829981723</v>
      </c>
      <c r="BU1307">
        <f>'Bookings and Drivers'!CC182</f>
        <v>-0.218946653839589</v>
      </c>
      <c r="BV1307">
        <f>'Bookings and Drivers'!CD182</f>
        <v>-0.12964427422922853</v>
      </c>
      <c r="BW1307">
        <f>'Bookings and Drivers'!CE182</f>
        <v>-3.7116868650394541E-2</v>
      </c>
      <c r="BX1307">
        <f>'Bookings and Drivers'!CF182</f>
        <v>-5.236546886838489E-2</v>
      </c>
      <c r="BY1307">
        <f>'Bookings and Drivers'!CG182</f>
        <v>0</v>
      </c>
      <c r="BZ1307">
        <f>'Bookings and Drivers'!CH182</f>
        <v>0</v>
      </c>
      <c r="CA1307">
        <f>'Bookings and Drivers'!CI182</f>
        <v>0</v>
      </c>
      <c r="CB1307">
        <f>'Bookings and Drivers'!CJ182</f>
        <v>0</v>
      </c>
      <c r="CC1307">
        <f>'Bookings and Drivers'!CK182</f>
        <v>0</v>
      </c>
      <c r="CD1307">
        <f>'Bookings and Drivers'!CL182</f>
        <v>0</v>
      </c>
      <c r="CE1307">
        <f>'Bookings and Drivers'!CM182</f>
        <v>0</v>
      </c>
      <c r="CF1307">
        <f>'Bookings and Drivers'!CN182</f>
        <v>0</v>
      </c>
      <c r="CG1307">
        <f>'Bookings and Drivers'!CO182</f>
        <v>0</v>
      </c>
      <c r="CH1307">
        <f>'Bookings and Drivers'!CP182</f>
        <v>0</v>
      </c>
      <c r="CI1307">
        <f>'Bookings and Drivers'!CQ182</f>
        <v>0</v>
      </c>
      <c r="CJ1307">
        <f>'Bookings and Drivers'!CR182</f>
        <v>0</v>
      </c>
      <c r="CK1307">
        <f>'Bookings and Drivers'!CS182</f>
        <v>0</v>
      </c>
      <c r="CL1307">
        <f>'Bookings and Drivers'!CT182</f>
        <v>0</v>
      </c>
      <c r="CM1307">
        <f>'Bookings and Drivers'!CU182</f>
        <v>0.12341772151898733</v>
      </c>
      <c r="CN1307">
        <f>'Bookings and Drivers'!CV182</f>
        <v>0.30140845070422539</v>
      </c>
      <c r="CO1307">
        <f>'Bookings and Drivers'!CW182</f>
        <v>0.18398268398268391</v>
      </c>
      <c r="CP1307">
        <f>'Bookings and Drivers'!CX182</f>
        <v>-0.27605118829981723</v>
      </c>
      <c r="CQ1307">
        <f>'Bookings and Drivers'!CY182</f>
        <v>-5.236546886838489E-2</v>
      </c>
      <c r="CR1307">
        <f>'Bookings and Drivers'!CZ182</f>
        <v>0</v>
      </c>
      <c r="CS1307">
        <f>'Bookings and Drivers'!DA182</f>
        <v>0</v>
      </c>
      <c r="CT1307">
        <f>'Bookings and Drivers'!DB182</f>
        <v>0</v>
      </c>
      <c r="CU1307">
        <f>'Bookings and Drivers'!DC182</f>
        <v>0</v>
      </c>
      <c r="CV1307">
        <f>'Bookings and Drivers'!DD182</f>
        <v>0</v>
      </c>
      <c r="CW1307">
        <f>'Bookings and Drivers'!DE182</f>
        <v>0</v>
      </c>
      <c r="CX1307">
        <f>'Bookings and Drivers'!DF182</f>
        <v>0</v>
      </c>
    </row>
    <row r="1308" spans="1:102">
      <c r="A1308" t="str">
        <f>'Bookings and Drivers'!I183</f>
        <v>QoQ Abs Growth</v>
      </c>
      <c r="B1308">
        <f>'Bookings and Drivers'!J183</f>
        <v>0</v>
      </c>
      <c r="C1308">
        <f>'Bookings and Drivers'!K183</f>
        <v>0</v>
      </c>
      <c r="D1308">
        <f>'Bookings and Drivers'!L183</f>
        <v>0</v>
      </c>
      <c r="E1308">
        <f>'Bookings and Drivers'!M183</f>
        <v>0</v>
      </c>
      <c r="F1308">
        <f>'Bookings and Drivers'!N183</f>
        <v>0</v>
      </c>
      <c r="G1308">
        <f>'Bookings and Drivers'!O183</f>
        <v>0</v>
      </c>
      <c r="H1308">
        <f>'Bookings and Drivers'!P183</f>
        <v>0</v>
      </c>
      <c r="I1308">
        <f>'Bookings and Drivers'!Q183</f>
        <v>0</v>
      </c>
      <c r="J1308">
        <f>'Bookings and Drivers'!R183</f>
        <v>0</v>
      </c>
      <c r="K1308">
        <f>'Bookings and Drivers'!S183</f>
        <v>0</v>
      </c>
      <c r="L1308">
        <f>'Bookings and Drivers'!T183</f>
        <v>0</v>
      </c>
      <c r="M1308">
        <f>'Bookings and Drivers'!U183</f>
        <v>0</v>
      </c>
      <c r="N1308">
        <f>'Bookings and Drivers'!V183</f>
        <v>0</v>
      </c>
      <c r="O1308">
        <f>'Bookings and Drivers'!W183</f>
        <v>0</v>
      </c>
      <c r="P1308">
        <f>'Bookings and Drivers'!X183</f>
        <v>0</v>
      </c>
      <c r="Q1308">
        <f>'Bookings and Drivers'!Y183</f>
        <v>0</v>
      </c>
      <c r="R1308">
        <f>'Bookings and Drivers'!Z183</f>
        <v>0</v>
      </c>
      <c r="S1308">
        <f>'Bookings and Drivers'!AA183</f>
        <v>0</v>
      </c>
      <c r="T1308">
        <f>'Bookings and Drivers'!AB183</f>
        <v>0</v>
      </c>
      <c r="U1308">
        <f>'Bookings and Drivers'!AC183</f>
        <v>0</v>
      </c>
      <c r="V1308">
        <f>'Bookings and Drivers'!AD183</f>
        <v>0</v>
      </c>
      <c r="W1308">
        <f>'Bookings and Drivers'!AE183</f>
        <v>0</v>
      </c>
      <c r="X1308">
        <f>'Bookings and Drivers'!AF183</f>
        <v>0</v>
      </c>
      <c r="Y1308">
        <f>'Bookings and Drivers'!AG183</f>
        <v>0</v>
      </c>
      <c r="Z1308">
        <f>'Bookings and Drivers'!AH183</f>
        <v>0</v>
      </c>
      <c r="AA1308">
        <f>'Bookings and Drivers'!AI183</f>
        <v>0</v>
      </c>
      <c r="AB1308">
        <f>'Bookings and Drivers'!AJ183</f>
        <v>0</v>
      </c>
      <c r="AC1308">
        <f>'Bookings and Drivers'!AK183</f>
        <v>0</v>
      </c>
      <c r="AD1308">
        <f>'Bookings and Drivers'!AL183</f>
        <v>0</v>
      </c>
      <c r="AE1308">
        <f>'Bookings and Drivers'!AM183</f>
        <v>0</v>
      </c>
      <c r="AF1308">
        <f>'Bookings and Drivers'!AN183</f>
        <v>0</v>
      </c>
      <c r="AG1308">
        <f>'Bookings and Drivers'!AO183</f>
        <v>0</v>
      </c>
      <c r="AH1308">
        <f>'Bookings and Drivers'!AP183</f>
        <v>0</v>
      </c>
      <c r="AI1308">
        <f>'Bookings and Drivers'!AQ183</f>
        <v>0</v>
      </c>
      <c r="AJ1308">
        <f>'Bookings and Drivers'!AR183</f>
        <v>0</v>
      </c>
      <c r="AK1308">
        <f>'Bookings and Drivers'!AS183</f>
        <v>0</v>
      </c>
      <c r="AL1308">
        <f>'Bookings and Drivers'!AT183</f>
        <v>0</v>
      </c>
      <c r="AM1308">
        <f>'Bookings and Drivers'!AU183</f>
        <v>0</v>
      </c>
      <c r="AN1308">
        <f>'Bookings and Drivers'!AV183</f>
        <v>0</v>
      </c>
      <c r="AO1308">
        <f>'Bookings and Drivers'!AW183</f>
        <v>0</v>
      </c>
      <c r="AP1308">
        <f>'Bookings and Drivers'!AX183</f>
        <v>0</v>
      </c>
      <c r="AQ1308">
        <f>'Bookings and Drivers'!AY183</f>
        <v>0</v>
      </c>
      <c r="AR1308">
        <f>'Bookings and Drivers'!AZ183</f>
        <v>0</v>
      </c>
      <c r="AS1308">
        <f>'Bookings and Drivers'!BA183</f>
        <v>0</v>
      </c>
      <c r="AT1308">
        <f>'Bookings and Drivers'!BB183</f>
        <v>0</v>
      </c>
      <c r="AU1308">
        <f>'Bookings and Drivers'!BC183</f>
        <v>0</v>
      </c>
      <c r="AV1308">
        <f>'Bookings and Drivers'!BD183</f>
        <v>0</v>
      </c>
      <c r="AW1308">
        <f>'Bookings and Drivers'!BE183</f>
        <v>0</v>
      </c>
      <c r="AX1308">
        <f>'Bookings and Drivers'!BF183</f>
        <v>0</v>
      </c>
      <c r="AY1308">
        <f>'Bookings and Drivers'!BG183</f>
        <v>0</v>
      </c>
      <c r="AZ1308">
        <f>'Bookings and Drivers'!BH183</f>
        <v>0</v>
      </c>
      <c r="BA1308">
        <f>'Bookings and Drivers'!BI183</f>
        <v>0</v>
      </c>
      <c r="BB1308">
        <f>'Bookings and Drivers'!BJ183</f>
        <v>0</v>
      </c>
      <c r="BC1308">
        <f>'Bookings and Drivers'!BK183</f>
        <v>0</v>
      </c>
      <c r="BD1308">
        <f>'Bookings and Drivers'!BL183</f>
        <v>0</v>
      </c>
      <c r="BE1308">
        <f>'Bookings and Drivers'!BM183</f>
        <v>1000</v>
      </c>
      <c r="BF1308">
        <f>'Bookings and Drivers'!BN183</f>
        <v>12500</v>
      </c>
      <c r="BG1308">
        <f>'Bookings and Drivers'!BO183</f>
        <v>3500</v>
      </c>
      <c r="BH1308">
        <f>'Bookings and Drivers'!BP183</f>
        <v>22000</v>
      </c>
      <c r="BI1308">
        <f>'Bookings and Drivers'!BQ183</f>
        <v>7000</v>
      </c>
      <c r="BJ1308">
        <f>'Bookings and Drivers'!BR183</f>
        <v>43000</v>
      </c>
      <c r="BK1308">
        <f>'Bookings and Drivers'!BS183</f>
        <v>-5000</v>
      </c>
      <c r="BL1308">
        <f>'Bookings and Drivers'!BT183</f>
        <v>62000</v>
      </c>
      <c r="BM1308">
        <f>'Bookings and Drivers'!BU183</f>
        <v>20000</v>
      </c>
      <c r="BN1308">
        <f>'Bookings and Drivers'!BV183</f>
        <v>16000</v>
      </c>
      <c r="BO1308">
        <f>'Bookings and Drivers'!BW183</f>
        <v>38000</v>
      </c>
      <c r="BP1308">
        <f>'Bookings and Drivers'!BX183</f>
        <v>11000</v>
      </c>
      <c r="BQ1308">
        <f>'Bookings and Drivers'!BY183</f>
        <v>31000</v>
      </c>
      <c r="BR1308">
        <f>'Bookings and Drivers'!BZ183</f>
        <v>41000</v>
      </c>
      <c r="BS1308">
        <f>'Bookings and Drivers'!CA183</f>
        <v>79051</v>
      </c>
      <c r="BT1308">
        <f>'Bookings and Drivers'!CB183</f>
        <v>-302051</v>
      </c>
      <c r="BU1308">
        <f>'Bookings and Drivers'!CC183</f>
        <v>55448.834080717526</v>
      </c>
      <c r="BV1308">
        <f>'Bookings and Drivers'!CD183</f>
        <v>87301.360171389999</v>
      </c>
      <c r="BW1308">
        <f>'Bookings and Drivers'!CE183</f>
        <v>133391.3384696159</v>
      </c>
      <c r="BX1308">
        <f>'Bookings and Drivers'!CF183</f>
        <v>-296878.25839360384</v>
      </c>
      <c r="BY1308">
        <f>'Bookings and Drivers'!CG183</f>
        <v>0</v>
      </c>
      <c r="BZ1308">
        <f>'Bookings and Drivers'!CH183</f>
        <v>0</v>
      </c>
      <c r="CA1308">
        <f>'Bookings and Drivers'!CI183</f>
        <v>0</v>
      </c>
      <c r="CB1308">
        <f>'Bookings and Drivers'!CJ183</f>
        <v>0</v>
      </c>
      <c r="CC1308">
        <f>'Bookings and Drivers'!CK183</f>
        <v>0</v>
      </c>
      <c r="CD1308">
        <f>'Bookings and Drivers'!CL183</f>
        <v>0</v>
      </c>
      <c r="CE1308">
        <f>'Bookings and Drivers'!CM183</f>
        <v>0</v>
      </c>
      <c r="CF1308">
        <f>'Bookings and Drivers'!CN183</f>
        <v>0</v>
      </c>
      <c r="CG1308">
        <f>'Bookings and Drivers'!CO183</f>
        <v>0</v>
      </c>
      <c r="CH1308">
        <f>'Bookings and Drivers'!CP183</f>
        <v>0</v>
      </c>
      <c r="CI1308">
        <f>'Bookings and Drivers'!CQ183</f>
        <v>0</v>
      </c>
      <c r="CJ1308">
        <f>'Bookings and Drivers'!CR183</f>
        <v>0</v>
      </c>
      <c r="CK1308">
        <f>'Bookings and Drivers'!CS183</f>
        <v>0</v>
      </c>
      <c r="CL1308">
        <f>'Bookings and Drivers'!CT183</f>
        <v>316000</v>
      </c>
      <c r="CM1308">
        <f>'Bookings and Drivers'!CU183</f>
        <v>39000</v>
      </c>
      <c r="CN1308">
        <f>'Bookings and Drivers'!CV183</f>
        <v>107000</v>
      </c>
      <c r="CO1308">
        <f>'Bookings and Drivers'!CW183</f>
        <v>85000</v>
      </c>
      <c r="CP1308">
        <f>'Bookings and Drivers'!CX183</f>
        <v>-151000</v>
      </c>
      <c r="CQ1308">
        <f>'Bookings and Drivers'!CY183</f>
        <v>-20736.725671880413</v>
      </c>
      <c r="CR1308">
        <f>'Bookings and Drivers'!CZ183</f>
        <v>0</v>
      </c>
      <c r="CS1308">
        <f>'Bookings and Drivers'!DA183</f>
        <v>0</v>
      </c>
      <c r="CT1308">
        <f>'Bookings and Drivers'!DB183</f>
        <v>0</v>
      </c>
      <c r="CU1308">
        <f>'Bookings and Drivers'!DC183</f>
        <v>0</v>
      </c>
      <c r="CV1308">
        <f>'Bookings and Drivers'!DD183</f>
        <v>0</v>
      </c>
      <c r="CW1308">
        <f>'Bookings and Drivers'!DE183</f>
        <v>0</v>
      </c>
      <c r="CX1308">
        <f>'Bookings and Drivers'!DF183</f>
        <v>0</v>
      </c>
    </row>
    <row r="1309" spans="1:102">
      <c r="A1309">
        <f>'Bookings and Drivers'!I184</f>
        <v>0</v>
      </c>
      <c r="B1309">
        <f>'Bookings and Drivers'!J184</f>
        <v>0</v>
      </c>
      <c r="C1309">
        <f>'Bookings and Drivers'!K184</f>
        <v>0</v>
      </c>
      <c r="D1309">
        <f>'Bookings and Drivers'!L184</f>
        <v>0</v>
      </c>
      <c r="E1309">
        <f>'Bookings and Drivers'!M184</f>
        <v>0</v>
      </c>
      <c r="F1309">
        <f>'Bookings and Drivers'!N184</f>
        <v>0</v>
      </c>
      <c r="G1309">
        <f>'Bookings and Drivers'!O184</f>
        <v>0</v>
      </c>
      <c r="H1309">
        <f>'Bookings and Drivers'!P184</f>
        <v>0</v>
      </c>
      <c r="I1309">
        <f>'Bookings and Drivers'!Q184</f>
        <v>0</v>
      </c>
      <c r="J1309">
        <f>'Bookings and Drivers'!R184</f>
        <v>0</v>
      </c>
      <c r="K1309">
        <f>'Bookings and Drivers'!S184</f>
        <v>0</v>
      </c>
      <c r="L1309">
        <f>'Bookings and Drivers'!T184</f>
        <v>0</v>
      </c>
      <c r="M1309">
        <f>'Bookings and Drivers'!U184</f>
        <v>0</v>
      </c>
      <c r="N1309">
        <f>'Bookings and Drivers'!V184</f>
        <v>0</v>
      </c>
      <c r="O1309">
        <f>'Bookings and Drivers'!W184</f>
        <v>0</v>
      </c>
      <c r="P1309">
        <f>'Bookings and Drivers'!X184</f>
        <v>0</v>
      </c>
      <c r="Q1309">
        <f>'Bookings and Drivers'!Y184</f>
        <v>0</v>
      </c>
      <c r="R1309">
        <f>'Bookings and Drivers'!Z184</f>
        <v>0</v>
      </c>
      <c r="S1309">
        <f>'Bookings and Drivers'!AA184</f>
        <v>0</v>
      </c>
      <c r="T1309">
        <f>'Bookings and Drivers'!AB184</f>
        <v>0</v>
      </c>
      <c r="U1309">
        <f>'Bookings and Drivers'!AC184</f>
        <v>0</v>
      </c>
      <c r="V1309">
        <f>'Bookings and Drivers'!AD184</f>
        <v>0</v>
      </c>
      <c r="W1309">
        <f>'Bookings and Drivers'!AE184</f>
        <v>0</v>
      </c>
      <c r="X1309">
        <f>'Bookings and Drivers'!AF184</f>
        <v>0</v>
      </c>
      <c r="Y1309">
        <f>'Bookings and Drivers'!AG184</f>
        <v>0</v>
      </c>
      <c r="Z1309">
        <f>'Bookings and Drivers'!AH184</f>
        <v>0</v>
      </c>
      <c r="AA1309">
        <f>'Bookings and Drivers'!AI184</f>
        <v>0</v>
      </c>
      <c r="AB1309">
        <f>'Bookings and Drivers'!AJ184</f>
        <v>0</v>
      </c>
      <c r="AC1309">
        <f>'Bookings and Drivers'!AK184</f>
        <v>0</v>
      </c>
      <c r="AD1309">
        <f>'Bookings and Drivers'!AL184</f>
        <v>0</v>
      </c>
      <c r="AE1309">
        <f>'Bookings and Drivers'!AM184</f>
        <v>0</v>
      </c>
      <c r="AF1309">
        <f>'Bookings and Drivers'!AN184</f>
        <v>0</v>
      </c>
      <c r="AG1309">
        <f>'Bookings and Drivers'!AO184</f>
        <v>0</v>
      </c>
      <c r="AH1309">
        <f>'Bookings and Drivers'!AP184</f>
        <v>0</v>
      </c>
      <c r="AI1309">
        <f>'Bookings and Drivers'!AQ184</f>
        <v>0</v>
      </c>
      <c r="AJ1309">
        <f>'Bookings and Drivers'!AR184</f>
        <v>0</v>
      </c>
      <c r="AK1309">
        <f>'Bookings and Drivers'!AS184</f>
        <v>0</v>
      </c>
      <c r="AL1309">
        <f>'Bookings and Drivers'!AT184</f>
        <v>0</v>
      </c>
      <c r="AM1309">
        <f>'Bookings and Drivers'!AU184</f>
        <v>0</v>
      </c>
      <c r="AN1309">
        <f>'Bookings and Drivers'!AV184</f>
        <v>0</v>
      </c>
      <c r="AO1309">
        <f>'Bookings and Drivers'!AW184</f>
        <v>0</v>
      </c>
      <c r="AP1309">
        <f>'Bookings and Drivers'!AX184</f>
        <v>0</v>
      </c>
      <c r="AQ1309">
        <f>'Bookings and Drivers'!AY184</f>
        <v>0</v>
      </c>
      <c r="AR1309">
        <f>'Bookings and Drivers'!AZ184</f>
        <v>0</v>
      </c>
      <c r="AS1309">
        <f>'Bookings and Drivers'!BA184</f>
        <v>0</v>
      </c>
      <c r="AT1309">
        <f>'Bookings and Drivers'!BB184</f>
        <v>0</v>
      </c>
      <c r="AU1309">
        <f>'Bookings and Drivers'!BC184</f>
        <v>0</v>
      </c>
      <c r="AV1309">
        <f>'Bookings and Drivers'!BD184</f>
        <v>0</v>
      </c>
      <c r="AW1309">
        <f>'Bookings and Drivers'!BE184</f>
        <v>0</v>
      </c>
      <c r="AX1309">
        <f>'Bookings and Drivers'!BF184</f>
        <v>0</v>
      </c>
      <c r="AY1309">
        <f>'Bookings and Drivers'!BG184</f>
        <v>0</v>
      </c>
      <c r="AZ1309">
        <f>'Bookings and Drivers'!BH184</f>
        <v>0</v>
      </c>
      <c r="BA1309">
        <f>'Bookings and Drivers'!BI184</f>
        <v>0</v>
      </c>
      <c r="BB1309">
        <f>'Bookings and Drivers'!BJ184</f>
        <v>0</v>
      </c>
      <c r="BC1309">
        <f>'Bookings and Drivers'!BK184</f>
        <v>0</v>
      </c>
      <c r="BD1309">
        <f>'Bookings and Drivers'!BL184</f>
        <v>0</v>
      </c>
      <c r="BE1309">
        <f>'Bookings and Drivers'!BM184</f>
        <v>0</v>
      </c>
      <c r="BF1309">
        <f>'Bookings and Drivers'!BN184</f>
        <v>0</v>
      </c>
      <c r="BG1309">
        <f>'Bookings and Drivers'!BO184</f>
        <v>0</v>
      </c>
      <c r="BH1309">
        <f>'Bookings and Drivers'!BP184</f>
        <v>0</v>
      </c>
      <c r="BI1309">
        <f>'Bookings and Drivers'!BQ184</f>
        <v>0</v>
      </c>
      <c r="BJ1309">
        <f>'Bookings and Drivers'!BR184</f>
        <v>0</v>
      </c>
      <c r="BK1309">
        <f>'Bookings and Drivers'!BS184</f>
        <v>0</v>
      </c>
      <c r="BL1309">
        <f>'Bookings and Drivers'!BT184</f>
        <v>0</v>
      </c>
      <c r="BM1309">
        <f>'Bookings and Drivers'!BU184</f>
        <v>0</v>
      </c>
      <c r="BN1309">
        <f>'Bookings and Drivers'!BV184</f>
        <v>0</v>
      </c>
      <c r="BO1309">
        <f>'Bookings and Drivers'!BW184</f>
        <v>0</v>
      </c>
      <c r="BP1309">
        <f>'Bookings and Drivers'!BX184</f>
        <v>0</v>
      </c>
      <c r="BQ1309">
        <f>'Bookings and Drivers'!BY184</f>
        <v>0</v>
      </c>
      <c r="BR1309">
        <f>'Bookings and Drivers'!BZ184</f>
        <v>0</v>
      </c>
      <c r="BS1309">
        <f>'Bookings and Drivers'!CA184</f>
        <v>0</v>
      </c>
      <c r="BT1309">
        <f>'Bookings and Drivers'!CB184</f>
        <v>0</v>
      </c>
      <c r="BU1309">
        <f>'Bookings and Drivers'!CC184</f>
        <v>0</v>
      </c>
      <c r="BV1309">
        <f>'Bookings and Drivers'!CD184</f>
        <v>0</v>
      </c>
      <c r="BW1309">
        <f>'Bookings and Drivers'!CE184</f>
        <v>0</v>
      </c>
      <c r="BX1309">
        <f>'Bookings and Drivers'!CF184</f>
        <v>0</v>
      </c>
      <c r="BY1309">
        <f>'Bookings and Drivers'!CG184</f>
        <v>0</v>
      </c>
      <c r="BZ1309">
        <f>'Bookings and Drivers'!CH184</f>
        <v>0</v>
      </c>
      <c r="CA1309">
        <f>'Bookings and Drivers'!CI184</f>
        <v>0</v>
      </c>
      <c r="CB1309">
        <f>'Bookings and Drivers'!CJ184</f>
        <v>0</v>
      </c>
      <c r="CC1309">
        <f>'Bookings and Drivers'!CK184</f>
        <v>0</v>
      </c>
      <c r="CD1309">
        <f>'Bookings and Drivers'!CL184</f>
        <v>0</v>
      </c>
      <c r="CE1309">
        <f>'Bookings and Drivers'!CM184</f>
        <v>0</v>
      </c>
      <c r="CF1309">
        <f>'Bookings and Drivers'!CN184</f>
        <v>0</v>
      </c>
      <c r="CG1309">
        <f>'Bookings and Drivers'!CO184</f>
        <v>0</v>
      </c>
      <c r="CH1309">
        <f>'Bookings and Drivers'!CP184</f>
        <v>0</v>
      </c>
      <c r="CI1309">
        <f>'Bookings and Drivers'!CQ184</f>
        <v>0</v>
      </c>
      <c r="CJ1309">
        <f>'Bookings and Drivers'!CR184</f>
        <v>0</v>
      </c>
      <c r="CK1309">
        <f>'Bookings and Drivers'!CS184</f>
        <v>0</v>
      </c>
      <c r="CL1309">
        <f>'Bookings and Drivers'!CT184</f>
        <v>0</v>
      </c>
      <c r="CM1309">
        <f>'Bookings and Drivers'!CU184</f>
        <v>0</v>
      </c>
      <c r="CN1309">
        <f>'Bookings and Drivers'!CV184</f>
        <v>0</v>
      </c>
      <c r="CO1309">
        <f>'Bookings and Drivers'!CW184</f>
        <v>0</v>
      </c>
      <c r="CP1309">
        <f>'Bookings and Drivers'!CX184</f>
        <v>0</v>
      </c>
      <c r="CQ1309">
        <f>'Bookings and Drivers'!CY184</f>
        <v>0</v>
      </c>
      <c r="CR1309">
        <f>'Bookings and Drivers'!CZ184</f>
        <v>0</v>
      </c>
      <c r="CS1309">
        <f>'Bookings and Drivers'!DA184</f>
        <v>0</v>
      </c>
      <c r="CT1309">
        <f>'Bookings and Drivers'!DB184</f>
        <v>0</v>
      </c>
      <c r="CU1309">
        <f>'Bookings and Drivers'!DC184</f>
        <v>0</v>
      </c>
      <c r="CV1309">
        <f>'Bookings and Drivers'!DD184</f>
        <v>0</v>
      </c>
      <c r="CW1309">
        <f>'Bookings and Drivers'!DE184</f>
        <v>0</v>
      </c>
      <c r="CX1309">
        <f>'Bookings and Drivers'!DF184</f>
        <v>0</v>
      </c>
    </row>
    <row r="1310" spans="1:102">
      <c r="A1310" t="str">
        <f>'Bookings and Drivers'!I185</f>
        <v>Vacation Rental Property Count</v>
      </c>
      <c r="B1310">
        <f>'Bookings and Drivers'!J185</f>
        <v>0</v>
      </c>
      <c r="C1310">
        <f>'Bookings and Drivers'!K185</f>
        <v>0</v>
      </c>
      <c r="D1310">
        <f>'Bookings and Drivers'!L185</f>
        <v>0</v>
      </c>
      <c r="E1310">
        <f>'Bookings and Drivers'!M185</f>
        <v>0</v>
      </c>
      <c r="F1310">
        <f>'Bookings and Drivers'!N185</f>
        <v>0</v>
      </c>
      <c r="G1310">
        <f>'Bookings and Drivers'!O185</f>
        <v>0</v>
      </c>
      <c r="H1310">
        <f>'Bookings and Drivers'!P185</f>
        <v>0</v>
      </c>
      <c r="I1310">
        <f>'Bookings and Drivers'!Q185</f>
        <v>0</v>
      </c>
      <c r="J1310">
        <f>'Bookings and Drivers'!R185</f>
        <v>0</v>
      </c>
      <c r="K1310">
        <f>'Bookings and Drivers'!S185</f>
        <v>0</v>
      </c>
      <c r="L1310">
        <f>'Bookings and Drivers'!T185</f>
        <v>0</v>
      </c>
      <c r="M1310">
        <f>'Bookings and Drivers'!U185</f>
        <v>0</v>
      </c>
      <c r="N1310">
        <f>'Bookings and Drivers'!V185</f>
        <v>0</v>
      </c>
      <c r="O1310">
        <f>'Bookings and Drivers'!W185</f>
        <v>0</v>
      </c>
      <c r="P1310">
        <f>'Bookings and Drivers'!X185</f>
        <v>0</v>
      </c>
      <c r="Q1310">
        <f>'Bookings and Drivers'!Y185</f>
        <v>0</v>
      </c>
      <c r="R1310">
        <f>'Bookings and Drivers'!Z185</f>
        <v>0</v>
      </c>
      <c r="S1310">
        <f>'Bookings and Drivers'!AA185</f>
        <v>0</v>
      </c>
      <c r="T1310">
        <f>'Bookings and Drivers'!AB185</f>
        <v>0</v>
      </c>
      <c r="U1310">
        <f>'Bookings and Drivers'!AC185</f>
        <v>0</v>
      </c>
      <c r="V1310">
        <f>'Bookings and Drivers'!AD185</f>
        <v>0</v>
      </c>
      <c r="W1310">
        <f>'Bookings and Drivers'!AE185</f>
        <v>0</v>
      </c>
      <c r="X1310">
        <f>'Bookings and Drivers'!AF185</f>
        <v>0</v>
      </c>
      <c r="Y1310">
        <f>'Bookings and Drivers'!AG185</f>
        <v>0</v>
      </c>
      <c r="Z1310">
        <f>'Bookings and Drivers'!AH185</f>
        <v>0</v>
      </c>
      <c r="AA1310">
        <f>'Bookings and Drivers'!AI185</f>
        <v>0</v>
      </c>
      <c r="AB1310">
        <f>'Bookings and Drivers'!AJ185</f>
        <v>0</v>
      </c>
      <c r="AC1310">
        <f>'Bookings and Drivers'!AK185</f>
        <v>0</v>
      </c>
      <c r="AD1310">
        <f>'Bookings and Drivers'!AL185</f>
        <v>0</v>
      </c>
      <c r="AE1310">
        <f>'Bookings and Drivers'!AM185</f>
        <v>0</v>
      </c>
      <c r="AF1310">
        <f>'Bookings and Drivers'!AN185</f>
        <v>0</v>
      </c>
      <c r="AG1310">
        <f>'Bookings and Drivers'!AO185</f>
        <v>0</v>
      </c>
      <c r="AH1310">
        <f>'Bookings and Drivers'!AP185</f>
        <v>0</v>
      </c>
      <c r="AI1310">
        <f>'Bookings and Drivers'!AQ185</f>
        <v>0</v>
      </c>
      <c r="AJ1310">
        <f>'Bookings and Drivers'!AR185</f>
        <v>0</v>
      </c>
      <c r="AK1310">
        <f>'Bookings and Drivers'!AS185</f>
        <v>0</v>
      </c>
      <c r="AL1310">
        <f>'Bookings and Drivers'!AT185</f>
        <v>0</v>
      </c>
      <c r="AM1310">
        <f>'Bookings and Drivers'!AU185</f>
        <v>0</v>
      </c>
      <c r="AN1310">
        <f>'Bookings and Drivers'!AV185</f>
        <v>0</v>
      </c>
      <c r="AO1310">
        <f>'Bookings and Drivers'!AW185</f>
        <v>0</v>
      </c>
      <c r="AP1310">
        <f>'Bookings and Drivers'!AX185</f>
        <v>0</v>
      </c>
      <c r="AQ1310">
        <f>'Bookings and Drivers'!AY185</f>
        <v>0</v>
      </c>
      <c r="AR1310">
        <f>'Bookings and Drivers'!AZ185</f>
        <v>0</v>
      </c>
      <c r="AS1310">
        <f>'Bookings and Drivers'!BA185</f>
        <v>0</v>
      </c>
      <c r="AT1310">
        <f>'Bookings and Drivers'!BB185</f>
        <v>0</v>
      </c>
      <c r="AU1310">
        <f>'Bookings and Drivers'!BC185</f>
        <v>0</v>
      </c>
      <c r="AV1310">
        <f>'Bookings and Drivers'!BD185</f>
        <v>0</v>
      </c>
      <c r="AW1310">
        <f>'Bookings and Drivers'!BE185</f>
        <v>0</v>
      </c>
      <c r="AX1310">
        <f>'Bookings and Drivers'!BF185</f>
        <v>0</v>
      </c>
      <c r="AY1310">
        <f>'Bookings and Drivers'!BG185</f>
        <v>0</v>
      </c>
      <c r="AZ1310">
        <f>'Bookings and Drivers'!BH185</f>
        <v>0</v>
      </c>
      <c r="BA1310">
        <f>'Bookings and Drivers'!BI185</f>
        <v>0</v>
      </c>
      <c r="BB1310">
        <f>'Bookings and Drivers'!BJ185</f>
        <v>0</v>
      </c>
      <c r="BC1310">
        <f>'Bookings and Drivers'!BK185</f>
        <v>0</v>
      </c>
      <c r="BD1310">
        <f>'Bookings and Drivers'!BL185</f>
        <v>110000</v>
      </c>
      <c r="BE1310">
        <f>'Bookings and Drivers'!BM185</f>
        <v>145000</v>
      </c>
      <c r="BF1310">
        <f>'Bookings and Drivers'!BN185</f>
        <v>193500</v>
      </c>
      <c r="BG1310">
        <f>'Bookings and Drivers'!BO185</f>
        <v>207000</v>
      </c>
      <c r="BH1310">
        <f>'Bookings and Drivers'!BP185</f>
        <v>247000</v>
      </c>
      <c r="BI1310">
        <f>'Bookings and Drivers'!BQ185</f>
        <v>275000</v>
      </c>
      <c r="BJ1310">
        <f>'Bookings and Drivers'!BR185</f>
        <v>337000</v>
      </c>
      <c r="BK1310">
        <f>'Bookings and Drivers'!BS185</f>
        <v>350000</v>
      </c>
      <c r="BL1310">
        <f>'Bookings and Drivers'!BT185</f>
        <v>390000</v>
      </c>
      <c r="BM1310">
        <f>'Bookings and Drivers'!BU185</f>
        <v>397500</v>
      </c>
      <c r="BN1310">
        <f>'Bookings and Drivers'!BV185</f>
        <v>467000</v>
      </c>
      <c r="BO1310">
        <f>'Bookings and Drivers'!BW185</f>
        <v>529000</v>
      </c>
      <c r="BP1310">
        <f>'Bookings and Drivers'!BX185</f>
        <v>568000</v>
      </c>
      <c r="BQ1310">
        <f>'Bookings and Drivers'!BY185</f>
        <v>613000</v>
      </c>
      <c r="BR1310">
        <f>'Bookings and Drivers'!BZ185</f>
        <v>721000</v>
      </c>
      <c r="BS1310">
        <f>'Bookings and Drivers'!CA185</f>
        <v>816000</v>
      </c>
      <c r="BT1310">
        <f>'Bookings and Drivers'!CB185</f>
        <v>1190000</v>
      </c>
      <c r="BU1310">
        <f>'Bookings and Drivers'!CC185</f>
        <v>1237250</v>
      </c>
      <c r="BV1310">
        <f>'Bookings and Drivers'!CD185</f>
        <v>1350650</v>
      </c>
      <c r="BW1310">
        <f>'Bookings and Drivers'!CE185</f>
        <v>1450400</v>
      </c>
      <c r="BX1310">
        <f>'Bookings and Drivers'!CF185</f>
        <v>1843100</v>
      </c>
      <c r="BY1310">
        <f>'Bookings and Drivers'!CG185</f>
        <v>0</v>
      </c>
      <c r="BZ1310">
        <f>'Bookings and Drivers'!CH185</f>
        <v>0</v>
      </c>
      <c r="CA1310">
        <f>'Bookings and Drivers'!CI185</f>
        <v>0</v>
      </c>
      <c r="CB1310">
        <f>'Bookings and Drivers'!CJ185</f>
        <v>0</v>
      </c>
      <c r="CC1310">
        <f>'Bookings and Drivers'!CK185</f>
        <v>0</v>
      </c>
      <c r="CD1310">
        <f>'Bookings and Drivers'!CL185</f>
        <v>0</v>
      </c>
      <c r="CE1310">
        <f>'Bookings and Drivers'!CM185</f>
        <v>0</v>
      </c>
      <c r="CF1310">
        <f>'Bookings and Drivers'!CN185</f>
        <v>0</v>
      </c>
      <c r="CG1310">
        <f>'Bookings and Drivers'!CO185</f>
        <v>0</v>
      </c>
      <c r="CH1310">
        <f>'Bookings and Drivers'!CP185</f>
        <v>0</v>
      </c>
      <c r="CI1310">
        <f>'Bookings and Drivers'!CQ185</f>
        <v>0</v>
      </c>
      <c r="CJ1310">
        <f>'Bookings and Drivers'!CR185</f>
        <v>0</v>
      </c>
      <c r="CK1310">
        <f>'Bookings and Drivers'!CS185</f>
        <v>0</v>
      </c>
      <c r="CL1310">
        <f>'Bookings and Drivers'!CT185</f>
        <v>110000</v>
      </c>
      <c r="CM1310">
        <f>'Bookings and Drivers'!CU185</f>
        <v>247000</v>
      </c>
      <c r="CN1310">
        <f>'Bookings and Drivers'!CV185</f>
        <v>390000</v>
      </c>
      <c r="CO1310">
        <f>'Bookings and Drivers'!CW185</f>
        <v>568000</v>
      </c>
      <c r="CP1310">
        <f>'Bookings and Drivers'!CX185</f>
        <v>1190000</v>
      </c>
      <c r="CQ1310">
        <f>'Bookings and Drivers'!CY185</f>
        <v>1843100</v>
      </c>
      <c r="CR1310">
        <f>'Bookings and Drivers'!CZ185</f>
        <v>0</v>
      </c>
      <c r="CS1310">
        <f>'Bookings and Drivers'!DA185</f>
        <v>0</v>
      </c>
      <c r="CT1310">
        <f>'Bookings and Drivers'!DB185</f>
        <v>0</v>
      </c>
      <c r="CU1310">
        <f>'Bookings and Drivers'!DC185</f>
        <v>0</v>
      </c>
      <c r="CV1310">
        <f>'Bookings and Drivers'!DD185</f>
        <v>0</v>
      </c>
      <c r="CW1310">
        <f>'Bookings and Drivers'!DE185</f>
        <v>0</v>
      </c>
      <c r="CX1310">
        <f>'Bookings and Drivers'!DF185</f>
        <v>0</v>
      </c>
    </row>
    <row r="1311" spans="1:102">
      <c r="A1311" t="str">
        <f>'Bookings and Drivers'!I186</f>
        <v>% change Y/Y</v>
      </c>
      <c r="B1311">
        <f>'Bookings and Drivers'!J186</f>
        <v>0</v>
      </c>
      <c r="C1311">
        <f>'Bookings and Drivers'!K186</f>
        <v>0</v>
      </c>
      <c r="D1311">
        <f>'Bookings and Drivers'!L186</f>
        <v>0</v>
      </c>
      <c r="E1311">
        <f>'Bookings and Drivers'!M186</f>
        <v>0</v>
      </c>
      <c r="F1311">
        <f>'Bookings and Drivers'!N186</f>
        <v>0</v>
      </c>
      <c r="G1311">
        <f>'Bookings and Drivers'!O186</f>
        <v>0</v>
      </c>
      <c r="H1311">
        <f>'Bookings and Drivers'!P186</f>
        <v>0</v>
      </c>
      <c r="I1311">
        <f>'Bookings and Drivers'!Q186</f>
        <v>0</v>
      </c>
      <c r="J1311">
        <f>'Bookings and Drivers'!R186</f>
        <v>0</v>
      </c>
      <c r="K1311">
        <f>'Bookings and Drivers'!S186</f>
        <v>0</v>
      </c>
      <c r="L1311">
        <f>'Bookings and Drivers'!T186</f>
        <v>0</v>
      </c>
      <c r="M1311">
        <f>'Bookings and Drivers'!U186</f>
        <v>0</v>
      </c>
      <c r="N1311">
        <f>'Bookings and Drivers'!V186</f>
        <v>0</v>
      </c>
      <c r="O1311">
        <f>'Bookings and Drivers'!W186</f>
        <v>0</v>
      </c>
      <c r="P1311">
        <f>'Bookings and Drivers'!X186</f>
        <v>0</v>
      </c>
      <c r="Q1311">
        <f>'Bookings and Drivers'!Y186</f>
        <v>0</v>
      </c>
      <c r="R1311">
        <f>'Bookings and Drivers'!Z186</f>
        <v>0</v>
      </c>
      <c r="S1311">
        <f>'Bookings and Drivers'!AA186</f>
        <v>0</v>
      </c>
      <c r="T1311">
        <f>'Bookings and Drivers'!AB186</f>
        <v>0</v>
      </c>
      <c r="U1311">
        <f>'Bookings and Drivers'!AC186</f>
        <v>0</v>
      </c>
      <c r="V1311">
        <f>'Bookings and Drivers'!AD186</f>
        <v>0</v>
      </c>
      <c r="W1311">
        <f>'Bookings and Drivers'!AE186</f>
        <v>0</v>
      </c>
      <c r="X1311">
        <f>'Bookings and Drivers'!AF186</f>
        <v>0</v>
      </c>
      <c r="Y1311">
        <f>'Bookings and Drivers'!AG186</f>
        <v>0</v>
      </c>
      <c r="Z1311">
        <f>'Bookings and Drivers'!AH186</f>
        <v>0</v>
      </c>
      <c r="AA1311">
        <f>'Bookings and Drivers'!AI186</f>
        <v>0</v>
      </c>
      <c r="AB1311">
        <f>'Bookings and Drivers'!AJ186</f>
        <v>0</v>
      </c>
      <c r="AC1311">
        <f>'Bookings and Drivers'!AK186</f>
        <v>0</v>
      </c>
      <c r="AD1311">
        <f>'Bookings and Drivers'!AL186</f>
        <v>0</v>
      </c>
      <c r="AE1311">
        <f>'Bookings and Drivers'!AM186</f>
        <v>0</v>
      </c>
      <c r="AF1311">
        <f>'Bookings and Drivers'!AN186</f>
        <v>0</v>
      </c>
      <c r="AG1311">
        <f>'Bookings and Drivers'!AO186</f>
        <v>0</v>
      </c>
      <c r="AH1311">
        <f>'Bookings and Drivers'!AP186</f>
        <v>0</v>
      </c>
      <c r="AI1311">
        <f>'Bookings and Drivers'!AQ186</f>
        <v>0</v>
      </c>
      <c r="AJ1311">
        <f>'Bookings and Drivers'!AR186</f>
        <v>0</v>
      </c>
      <c r="AK1311">
        <f>'Bookings and Drivers'!AS186</f>
        <v>0</v>
      </c>
      <c r="AL1311">
        <f>'Bookings and Drivers'!AT186</f>
        <v>0</v>
      </c>
      <c r="AM1311">
        <f>'Bookings and Drivers'!AU186</f>
        <v>0</v>
      </c>
      <c r="AN1311">
        <f>'Bookings and Drivers'!AV186</f>
        <v>0</v>
      </c>
      <c r="AO1311">
        <f>'Bookings and Drivers'!AW186</f>
        <v>0</v>
      </c>
      <c r="AP1311">
        <f>'Bookings and Drivers'!AX186</f>
        <v>0</v>
      </c>
      <c r="AQ1311">
        <f>'Bookings and Drivers'!AY186</f>
        <v>0</v>
      </c>
      <c r="AR1311">
        <f>'Bookings and Drivers'!AZ186</f>
        <v>0</v>
      </c>
      <c r="AS1311">
        <f>'Bookings and Drivers'!BA186</f>
        <v>0</v>
      </c>
      <c r="AT1311">
        <f>'Bookings and Drivers'!BB186</f>
        <v>0</v>
      </c>
      <c r="AU1311">
        <f>'Bookings and Drivers'!BC186</f>
        <v>0</v>
      </c>
      <c r="AV1311">
        <f>'Bookings and Drivers'!BD186</f>
        <v>0</v>
      </c>
      <c r="AW1311">
        <f>'Bookings and Drivers'!BE186</f>
        <v>0</v>
      </c>
      <c r="AX1311">
        <f>'Bookings and Drivers'!BF186</f>
        <v>0</v>
      </c>
      <c r="AY1311">
        <f>'Bookings and Drivers'!BG186</f>
        <v>0</v>
      </c>
      <c r="AZ1311">
        <f>'Bookings and Drivers'!BH186</f>
        <v>0</v>
      </c>
      <c r="BA1311">
        <f>'Bookings and Drivers'!BI186</f>
        <v>0</v>
      </c>
      <c r="BB1311">
        <f>'Bookings and Drivers'!BJ186</f>
        <v>0</v>
      </c>
      <c r="BC1311">
        <f>'Bookings and Drivers'!BK186</f>
        <v>0</v>
      </c>
      <c r="BD1311">
        <f>'Bookings and Drivers'!BL186</f>
        <v>0</v>
      </c>
      <c r="BE1311">
        <f>'Bookings and Drivers'!BM186</f>
        <v>0</v>
      </c>
      <c r="BF1311">
        <f>'Bookings and Drivers'!BN186</f>
        <v>0</v>
      </c>
      <c r="BG1311">
        <f>'Bookings and Drivers'!BO186</f>
        <v>0</v>
      </c>
      <c r="BH1311">
        <f>'Bookings and Drivers'!BP186</f>
        <v>1.2454545454545456</v>
      </c>
      <c r="BI1311">
        <f>'Bookings and Drivers'!BQ186</f>
        <v>0.89655172413793105</v>
      </c>
      <c r="BJ1311">
        <f>'Bookings and Drivers'!BR186</f>
        <v>0.74160206718346244</v>
      </c>
      <c r="BK1311">
        <f>'Bookings and Drivers'!BS186</f>
        <v>0.6908212560386473</v>
      </c>
      <c r="BL1311">
        <f>'Bookings and Drivers'!BT186</f>
        <v>0.57894736842105265</v>
      </c>
      <c r="BM1311">
        <f>'Bookings and Drivers'!BU186</f>
        <v>0.44545454545454555</v>
      </c>
      <c r="BN1311">
        <f>'Bookings and Drivers'!BV186</f>
        <v>0.3857566765578635</v>
      </c>
      <c r="BO1311">
        <f>'Bookings and Drivers'!BW186</f>
        <v>0.51142857142857134</v>
      </c>
      <c r="BP1311">
        <f>'Bookings and Drivers'!BX186</f>
        <v>0.45641025641025634</v>
      </c>
      <c r="BQ1311">
        <f>'Bookings and Drivers'!BY186</f>
        <v>0.54213836477987432</v>
      </c>
      <c r="BR1311">
        <f>'Bookings and Drivers'!BZ186</f>
        <v>0.54389721627409005</v>
      </c>
      <c r="BS1311">
        <f>'Bookings and Drivers'!CA186</f>
        <v>0.54253308128544431</v>
      </c>
      <c r="BT1311">
        <f>'Bookings and Drivers'!CB186</f>
        <v>1.0950704225352115</v>
      </c>
      <c r="BU1311">
        <f>'Bookings and Drivers'!CC186</f>
        <v>1.0183523654159869</v>
      </c>
      <c r="BV1311">
        <f>'Bookings and Drivers'!CD186</f>
        <v>0.87330097087378644</v>
      </c>
      <c r="BW1311">
        <f>'Bookings and Drivers'!CE186</f>
        <v>0.77745098039215677</v>
      </c>
      <c r="BX1311">
        <f>'Bookings and Drivers'!CF186</f>
        <v>0.54882352941176471</v>
      </c>
      <c r="BY1311">
        <f>'Bookings and Drivers'!CG186</f>
        <v>0</v>
      </c>
      <c r="BZ1311">
        <f>'Bookings and Drivers'!CH186</f>
        <v>0</v>
      </c>
      <c r="CA1311">
        <f>'Bookings and Drivers'!CI186</f>
        <v>0</v>
      </c>
      <c r="CB1311">
        <f>'Bookings and Drivers'!CJ186</f>
        <v>0</v>
      </c>
      <c r="CC1311">
        <f>'Bookings and Drivers'!CK186</f>
        <v>0</v>
      </c>
      <c r="CD1311">
        <f>'Bookings and Drivers'!CL186</f>
        <v>0</v>
      </c>
      <c r="CE1311">
        <f>'Bookings and Drivers'!CM186</f>
        <v>0</v>
      </c>
      <c r="CF1311">
        <f>'Bookings and Drivers'!CN186</f>
        <v>0</v>
      </c>
      <c r="CG1311">
        <f>'Bookings and Drivers'!CO186</f>
        <v>0</v>
      </c>
      <c r="CH1311">
        <f>'Bookings and Drivers'!CP186</f>
        <v>0</v>
      </c>
      <c r="CI1311">
        <f>'Bookings and Drivers'!CQ186</f>
        <v>0</v>
      </c>
      <c r="CJ1311">
        <f>'Bookings and Drivers'!CR186</f>
        <v>0</v>
      </c>
      <c r="CK1311">
        <f>'Bookings and Drivers'!CS186</f>
        <v>0</v>
      </c>
      <c r="CL1311">
        <f>'Bookings and Drivers'!CT186</f>
        <v>0</v>
      </c>
      <c r="CM1311">
        <f>'Bookings and Drivers'!CU186</f>
        <v>1.2454545454545456</v>
      </c>
      <c r="CN1311">
        <f>'Bookings and Drivers'!CV186</f>
        <v>0.57894736842105265</v>
      </c>
      <c r="CO1311">
        <f>'Bookings and Drivers'!CW186</f>
        <v>0.45641025641025634</v>
      </c>
      <c r="CP1311">
        <f>'Bookings and Drivers'!CX186</f>
        <v>1.0950704225352115</v>
      </c>
      <c r="CQ1311">
        <f>'Bookings and Drivers'!CY186</f>
        <v>0.54882352941176471</v>
      </c>
      <c r="CR1311">
        <f>'Bookings and Drivers'!CZ186</f>
        <v>0</v>
      </c>
      <c r="CS1311">
        <f>'Bookings and Drivers'!DA186</f>
        <v>0</v>
      </c>
      <c r="CT1311">
        <f>'Bookings and Drivers'!DB186</f>
        <v>0</v>
      </c>
      <c r="CU1311">
        <f>'Bookings and Drivers'!DC186</f>
        <v>0</v>
      </c>
      <c r="CV1311">
        <f>'Bookings and Drivers'!DD186</f>
        <v>0</v>
      </c>
      <c r="CW1311">
        <f>'Bookings and Drivers'!DE186</f>
        <v>0</v>
      </c>
      <c r="CX1311">
        <f>'Bookings and Drivers'!DF186</f>
        <v>0</v>
      </c>
    </row>
    <row r="1312" spans="1:102">
      <c r="A1312" t="str">
        <f>'Bookings and Drivers'!I187</f>
        <v>Abs. change Y/Y</v>
      </c>
      <c r="B1312">
        <f>'Bookings and Drivers'!J187</f>
        <v>0</v>
      </c>
      <c r="C1312">
        <f>'Bookings and Drivers'!K187</f>
        <v>0</v>
      </c>
      <c r="D1312">
        <f>'Bookings and Drivers'!L187</f>
        <v>0</v>
      </c>
      <c r="E1312">
        <f>'Bookings and Drivers'!M187</f>
        <v>0</v>
      </c>
      <c r="F1312">
        <f>'Bookings and Drivers'!N187</f>
        <v>0</v>
      </c>
      <c r="G1312">
        <f>'Bookings and Drivers'!O187</f>
        <v>0</v>
      </c>
      <c r="H1312">
        <f>'Bookings and Drivers'!P187</f>
        <v>0</v>
      </c>
      <c r="I1312">
        <f>'Bookings and Drivers'!Q187</f>
        <v>0</v>
      </c>
      <c r="J1312">
        <f>'Bookings and Drivers'!R187</f>
        <v>0</v>
      </c>
      <c r="K1312">
        <f>'Bookings and Drivers'!S187</f>
        <v>0</v>
      </c>
      <c r="L1312">
        <f>'Bookings and Drivers'!T187</f>
        <v>0</v>
      </c>
      <c r="M1312">
        <f>'Bookings and Drivers'!U187</f>
        <v>0</v>
      </c>
      <c r="N1312">
        <f>'Bookings and Drivers'!V187</f>
        <v>0</v>
      </c>
      <c r="O1312">
        <f>'Bookings and Drivers'!W187</f>
        <v>0</v>
      </c>
      <c r="P1312">
        <f>'Bookings and Drivers'!X187</f>
        <v>0</v>
      </c>
      <c r="Q1312">
        <f>'Bookings and Drivers'!Y187</f>
        <v>0</v>
      </c>
      <c r="R1312">
        <f>'Bookings and Drivers'!Z187</f>
        <v>0</v>
      </c>
      <c r="S1312">
        <f>'Bookings and Drivers'!AA187</f>
        <v>0</v>
      </c>
      <c r="T1312">
        <f>'Bookings and Drivers'!AB187</f>
        <v>0</v>
      </c>
      <c r="U1312">
        <f>'Bookings and Drivers'!AC187</f>
        <v>0</v>
      </c>
      <c r="V1312">
        <f>'Bookings and Drivers'!AD187</f>
        <v>0</v>
      </c>
      <c r="W1312">
        <f>'Bookings and Drivers'!AE187</f>
        <v>0</v>
      </c>
      <c r="X1312">
        <f>'Bookings and Drivers'!AF187</f>
        <v>0</v>
      </c>
      <c r="Y1312">
        <f>'Bookings and Drivers'!AG187</f>
        <v>0</v>
      </c>
      <c r="Z1312">
        <f>'Bookings and Drivers'!AH187</f>
        <v>0</v>
      </c>
      <c r="AA1312">
        <f>'Bookings and Drivers'!AI187</f>
        <v>0</v>
      </c>
      <c r="AB1312">
        <f>'Bookings and Drivers'!AJ187</f>
        <v>0</v>
      </c>
      <c r="AC1312">
        <f>'Bookings and Drivers'!AK187</f>
        <v>0</v>
      </c>
      <c r="AD1312">
        <f>'Bookings and Drivers'!AL187</f>
        <v>0</v>
      </c>
      <c r="AE1312">
        <f>'Bookings and Drivers'!AM187</f>
        <v>0</v>
      </c>
      <c r="AF1312">
        <f>'Bookings and Drivers'!AN187</f>
        <v>0</v>
      </c>
      <c r="AG1312">
        <f>'Bookings and Drivers'!AO187</f>
        <v>0</v>
      </c>
      <c r="AH1312">
        <f>'Bookings and Drivers'!AP187</f>
        <v>0</v>
      </c>
      <c r="AI1312">
        <f>'Bookings and Drivers'!AQ187</f>
        <v>0</v>
      </c>
      <c r="AJ1312">
        <f>'Bookings and Drivers'!AR187</f>
        <v>0</v>
      </c>
      <c r="AK1312">
        <f>'Bookings and Drivers'!AS187</f>
        <v>0</v>
      </c>
      <c r="AL1312">
        <f>'Bookings and Drivers'!AT187</f>
        <v>0</v>
      </c>
      <c r="AM1312">
        <f>'Bookings and Drivers'!AU187</f>
        <v>0</v>
      </c>
      <c r="AN1312">
        <f>'Bookings and Drivers'!AV187</f>
        <v>0</v>
      </c>
      <c r="AO1312">
        <f>'Bookings and Drivers'!AW187</f>
        <v>0</v>
      </c>
      <c r="AP1312">
        <f>'Bookings and Drivers'!AX187</f>
        <v>0</v>
      </c>
      <c r="AQ1312">
        <f>'Bookings and Drivers'!AY187</f>
        <v>0</v>
      </c>
      <c r="AR1312">
        <f>'Bookings and Drivers'!AZ187</f>
        <v>0</v>
      </c>
      <c r="AS1312">
        <f>'Bookings and Drivers'!BA187</f>
        <v>0</v>
      </c>
      <c r="AT1312">
        <f>'Bookings and Drivers'!BB187</f>
        <v>0</v>
      </c>
      <c r="AU1312">
        <f>'Bookings and Drivers'!BC187</f>
        <v>0</v>
      </c>
      <c r="AV1312">
        <f>'Bookings and Drivers'!BD187</f>
        <v>0</v>
      </c>
      <c r="AW1312">
        <f>'Bookings and Drivers'!BE187</f>
        <v>0</v>
      </c>
      <c r="AX1312">
        <f>'Bookings and Drivers'!BF187</f>
        <v>0</v>
      </c>
      <c r="AY1312">
        <f>'Bookings and Drivers'!BG187</f>
        <v>0</v>
      </c>
      <c r="AZ1312">
        <f>'Bookings and Drivers'!BH187</f>
        <v>0</v>
      </c>
      <c r="BA1312">
        <f>'Bookings and Drivers'!BI187</f>
        <v>0</v>
      </c>
      <c r="BB1312">
        <f>'Bookings and Drivers'!BJ187</f>
        <v>0</v>
      </c>
      <c r="BC1312">
        <f>'Bookings and Drivers'!BK187</f>
        <v>0</v>
      </c>
      <c r="BD1312">
        <f>'Bookings and Drivers'!BL187</f>
        <v>0</v>
      </c>
      <c r="BE1312">
        <f>'Bookings and Drivers'!BM187</f>
        <v>0</v>
      </c>
      <c r="BF1312">
        <f>'Bookings and Drivers'!BN187</f>
        <v>0</v>
      </c>
      <c r="BG1312">
        <f>'Bookings and Drivers'!BO187</f>
        <v>0</v>
      </c>
      <c r="BH1312">
        <f>'Bookings and Drivers'!BP187</f>
        <v>137000</v>
      </c>
      <c r="BI1312">
        <f>'Bookings and Drivers'!BQ187</f>
        <v>130000</v>
      </c>
      <c r="BJ1312">
        <f>'Bookings and Drivers'!BR187</f>
        <v>143500</v>
      </c>
      <c r="BK1312">
        <f>'Bookings and Drivers'!BS187</f>
        <v>143000</v>
      </c>
      <c r="BL1312">
        <f>'Bookings and Drivers'!BT187</f>
        <v>143000</v>
      </c>
      <c r="BM1312">
        <f>'Bookings and Drivers'!BU187</f>
        <v>122500</v>
      </c>
      <c r="BN1312">
        <f>'Bookings and Drivers'!BV187</f>
        <v>130000</v>
      </c>
      <c r="BO1312">
        <f>'Bookings and Drivers'!BW187</f>
        <v>179000</v>
      </c>
      <c r="BP1312">
        <f>'Bookings and Drivers'!BX187</f>
        <v>178000</v>
      </c>
      <c r="BQ1312">
        <f>'Bookings and Drivers'!BY187</f>
        <v>215500</v>
      </c>
      <c r="BR1312">
        <f>'Bookings and Drivers'!BZ187</f>
        <v>254000</v>
      </c>
      <c r="BS1312">
        <f>'Bookings and Drivers'!CA187</f>
        <v>287000</v>
      </c>
      <c r="BT1312">
        <f>'Bookings and Drivers'!CB187</f>
        <v>622000</v>
      </c>
      <c r="BU1312">
        <f>'Bookings and Drivers'!CC187</f>
        <v>624250</v>
      </c>
      <c r="BV1312">
        <f>'Bookings and Drivers'!CD187</f>
        <v>629650</v>
      </c>
      <c r="BW1312">
        <f>'Bookings and Drivers'!CE187</f>
        <v>634400</v>
      </c>
      <c r="BX1312">
        <f>'Bookings and Drivers'!CF187</f>
        <v>653100</v>
      </c>
      <c r="BY1312">
        <f>'Bookings and Drivers'!CG187</f>
        <v>0</v>
      </c>
      <c r="BZ1312">
        <f>'Bookings and Drivers'!CH187</f>
        <v>0</v>
      </c>
      <c r="CA1312">
        <f>'Bookings and Drivers'!CI187</f>
        <v>0</v>
      </c>
      <c r="CB1312">
        <f>'Bookings and Drivers'!CJ187</f>
        <v>0</v>
      </c>
      <c r="CC1312">
        <f>'Bookings and Drivers'!CK187</f>
        <v>0</v>
      </c>
      <c r="CD1312">
        <f>'Bookings and Drivers'!CL187</f>
        <v>0</v>
      </c>
      <c r="CE1312">
        <f>'Bookings and Drivers'!CM187</f>
        <v>0</v>
      </c>
      <c r="CF1312">
        <f>'Bookings and Drivers'!CN187</f>
        <v>0</v>
      </c>
      <c r="CG1312">
        <f>'Bookings and Drivers'!CO187</f>
        <v>0</v>
      </c>
      <c r="CH1312">
        <f>'Bookings and Drivers'!CP187</f>
        <v>0</v>
      </c>
      <c r="CI1312">
        <f>'Bookings and Drivers'!CQ187</f>
        <v>0</v>
      </c>
      <c r="CJ1312">
        <f>'Bookings and Drivers'!CR187</f>
        <v>0</v>
      </c>
      <c r="CK1312">
        <f>'Bookings and Drivers'!CS187</f>
        <v>0</v>
      </c>
      <c r="CL1312">
        <f>'Bookings and Drivers'!CT187</f>
        <v>0</v>
      </c>
      <c r="CM1312">
        <f>'Bookings and Drivers'!CU187</f>
        <v>137000</v>
      </c>
      <c r="CN1312">
        <f>'Bookings and Drivers'!CV187</f>
        <v>143000</v>
      </c>
      <c r="CO1312">
        <f>'Bookings and Drivers'!CW187</f>
        <v>178000</v>
      </c>
      <c r="CP1312">
        <f>'Bookings and Drivers'!CX187</f>
        <v>622000</v>
      </c>
      <c r="CQ1312">
        <f>'Bookings and Drivers'!CY187</f>
        <v>653100</v>
      </c>
      <c r="CR1312">
        <f>'Bookings and Drivers'!CZ187</f>
        <v>0</v>
      </c>
      <c r="CS1312">
        <f>'Bookings and Drivers'!DA187</f>
        <v>0</v>
      </c>
      <c r="CT1312">
        <f>'Bookings and Drivers'!DB187</f>
        <v>0</v>
      </c>
      <c r="CU1312">
        <f>'Bookings and Drivers'!DC187</f>
        <v>0</v>
      </c>
      <c r="CV1312">
        <f>'Bookings and Drivers'!DD187</f>
        <v>0</v>
      </c>
      <c r="CW1312">
        <f>'Bookings and Drivers'!DE187</f>
        <v>0</v>
      </c>
      <c r="CX1312">
        <f>'Bookings and Drivers'!DF187</f>
        <v>0</v>
      </c>
    </row>
    <row r="1313" spans="1:104">
      <c r="A1313" t="str">
        <f>'Bookings and Drivers'!I188</f>
        <v>QoQ % Growth</v>
      </c>
      <c r="B1313">
        <f>'Bookings and Drivers'!J188</f>
        <v>0</v>
      </c>
      <c r="C1313">
        <f>'Bookings and Drivers'!K188</f>
        <v>0</v>
      </c>
      <c r="D1313">
        <f>'Bookings and Drivers'!L188</f>
        <v>0</v>
      </c>
      <c r="E1313">
        <f>'Bookings and Drivers'!M188</f>
        <v>0</v>
      </c>
      <c r="F1313">
        <f>'Bookings and Drivers'!N188</f>
        <v>0</v>
      </c>
      <c r="G1313">
        <f>'Bookings and Drivers'!O188</f>
        <v>0</v>
      </c>
      <c r="H1313">
        <f>'Bookings and Drivers'!P188</f>
        <v>0</v>
      </c>
      <c r="I1313">
        <f>'Bookings and Drivers'!Q188</f>
        <v>0</v>
      </c>
      <c r="J1313">
        <f>'Bookings and Drivers'!R188</f>
        <v>0</v>
      </c>
      <c r="K1313">
        <f>'Bookings and Drivers'!S188</f>
        <v>0</v>
      </c>
      <c r="L1313">
        <f>'Bookings and Drivers'!T188</f>
        <v>0</v>
      </c>
      <c r="M1313">
        <f>'Bookings and Drivers'!U188</f>
        <v>0</v>
      </c>
      <c r="N1313">
        <f>'Bookings and Drivers'!V188</f>
        <v>0</v>
      </c>
      <c r="O1313">
        <f>'Bookings and Drivers'!W188</f>
        <v>0</v>
      </c>
      <c r="P1313">
        <f>'Bookings and Drivers'!X188</f>
        <v>0</v>
      </c>
      <c r="Q1313">
        <f>'Bookings and Drivers'!Y188</f>
        <v>0</v>
      </c>
      <c r="R1313">
        <f>'Bookings and Drivers'!Z188</f>
        <v>0</v>
      </c>
      <c r="S1313">
        <f>'Bookings and Drivers'!AA188</f>
        <v>0</v>
      </c>
      <c r="T1313">
        <f>'Bookings and Drivers'!AB188</f>
        <v>0</v>
      </c>
      <c r="U1313">
        <f>'Bookings and Drivers'!AC188</f>
        <v>0</v>
      </c>
      <c r="V1313">
        <f>'Bookings and Drivers'!AD188</f>
        <v>0</v>
      </c>
      <c r="W1313">
        <f>'Bookings and Drivers'!AE188</f>
        <v>0</v>
      </c>
      <c r="X1313">
        <f>'Bookings and Drivers'!AF188</f>
        <v>0</v>
      </c>
      <c r="Y1313">
        <f>'Bookings and Drivers'!AG188</f>
        <v>0</v>
      </c>
      <c r="Z1313">
        <f>'Bookings and Drivers'!AH188</f>
        <v>0</v>
      </c>
      <c r="AA1313">
        <f>'Bookings and Drivers'!AI188</f>
        <v>0</v>
      </c>
      <c r="AB1313">
        <f>'Bookings and Drivers'!AJ188</f>
        <v>0</v>
      </c>
      <c r="AC1313">
        <f>'Bookings and Drivers'!AK188</f>
        <v>0</v>
      </c>
      <c r="AD1313">
        <f>'Bookings and Drivers'!AL188</f>
        <v>0</v>
      </c>
      <c r="AE1313">
        <f>'Bookings and Drivers'!AM188</f>
        <v>0</v>
      </c>
      <c r="AF1313">
        <f>'Bookings and Drivers'!AN188</f>
        <v>0</v>
      </c>
      <c r="AG1313">
        <f>'Bookings and Drivers'!AO188</f>
        <v>0</v>
      </c>
      <c r="AH1313">
        <f>'Bookings and Drivers'!AP188</f>
        <v>0</v>
      </c>
      <c r="AI1313">
        <f>'Bookings and Drivers'!AQ188</f>
        <v>0</v>
      </c>
      <c r="AJ1313">
        <f>'Bookings and Drivers'!AR188</f>
        <v>0</v>
      </c>
      <c r="AK1313">
        <f>'Bookings and Drivers'!AS188</f>
        <v>0</v>
      </c>
      <c r="AL1313">
        <f>'Bookings and Drivers'!AT188</f>
        <v>0</v>
      </c>
      <c r="AM1313">
        <f>'Bookings and Drivers'!AU188</f>
        <v>0</v>
      </c>
      <c r="AN1313">
        <f>'Bookings and Drivers'!AV188</f>
        <v>0</v>
      </c>
      <c r="AO1313">
        <f>'Bookings and Drivers'!AW188</f>
        <v>0</v>
      </c>
      <c r="AP1313">
        <f>'Bookings and Drivers'!AX188</f>
        <v>0</v>
      </c>
      <c r="AQ1313">
        <f>'Bookings and Drivers'!AY188</f>
        <v>0</v>
      </c>
      <c r="AR1313">
        <f>'Bookings and Drivers'!AZ188</f>
        <v>0</v>
      </c>
      <c r="AS1313">
        <f>'Bookings and Drivers'!BA188</f>
        <v>0</v>
      </c>
      <c r="AT1313">
        <f>'Bookings and Drivers'!BB188</f>
        <v>0</v>
      </c>
      <c r="AU1313">
        <f>'Bookings and Drivers'!BC188</f>
        <v>0</v>
      </c>
      <c r="AV1313">
        <f>'Bookings and Drivers'!BD188</f>
        <v>0</v>
      </c>
      <c r="AW1313">
        <f>'Bookings and Drivers'!BE188</f>
        <v>0</v>
      </c>
      <c r="AX1313">
        <f>'Bookings and Drivers'!BF188</f>
        <v>0</v>
      </c>
      <c r="AY1313">
        <f>'Bookings and Drivers'!BG188</f>
        <v>0</v>
      </c>
      <c r="AZ1313">
        <f>'Bookings and Drivers'!BH188</f>
        <v>0</v>
      </c>
      <c r="BA1313">
        <f>'Bookings and Drivers'!BI188</f>
        <v>0</v>
      </c>
      <c r="BB1313">
        <f>'Bookings and Drivers'!BJ188</f>
        <v>0</v>
      </c>
      <c r="BC1313">
        <f>'Bookings and Drivers'!BK188</f>
        <v>0</v>
      </c>
      <c r="BD1313">
        <f>'Bookings and Drivers'!BL188</f>
        <v>0</v>
      </c>
      <c r="BE1313">
        <f>'Bookings and Drivers'!BM188</f>
        <v>0.31818181818181812</v>
      </c>
      <c r="BF1313">
        <f>'Bookings and Drivers'!BN188</f>
        <v>0.33448275862068955</v>
      </c>
      <c r="BG1313">
        <f>'Bookings and Drivers'!BO188</f>
        <v>6.9767441860465018E-2</v>
      </c>
      <c r="BH1313">
        <f>'Bookings and Drivers'!BP188</f>
        <v>0.19323671497584538</v>
      </c>
      <c r="BI1313">
        <f>'Bookings and Drivers'!BQ188</f>
        <v>0.11336032388663964</v>
      </c>
      <c r="BJ1313">
        <f>'Bookings and Drivers'!BR188</f>
        <v>0.22545454545454535</v>
      </c>
      <c r="BK1313">
        <f>'Bookings and Drivers'!BS188</f>
        <v>3.8575667655786461E-2</v>
      </c>
      <c r="BL1313">
        <f>'Bookings and Drivers'!BT188</f>
        <v>0.11428571428571432</v>
      </c>
      <c r="BM1313">
        <f>'Bookings and Drivers'!BU188</f>
        <v>1.9230769230769162E-2</v>
      </c>
      <c r="BN1313">
        <f>'Bookings and Drivers'!BV188</f>
        <v>0.17484276729559745</v>
      </c>
      <c r="BO1313">
        <f>'Bookings and Drivers'!BW188</f>
        <v>0.13276231263383287</v>
      </c>
      <c r="BP1313">
        <f>'Bookings and Drivers'!BX188</f>
        <v>7.3724007561436711E-2</v>
      </c>
      <c r="BQ1313">
        <f>'Bookings and Drivers'!BY188</f>
        <v>7.9225352112676006E-2</v>
      </c>
      <c r="BR1313">
        <f>'Bookings and Drivers'!BZ188</f>
        <v>0.1761827079934748</v>
      </c>
      <c r="BS1313">
        <f>'Bookings and Drivers'!CA188</f>
        <v>0.13176144244105403</v>
      </c>
      <c r="BT1313">
        <f>'Bookings and Drivers'!CB188</f>
        <v>0.45833333333333326</v>
      </c>
      <c r="BU1313">
        <f>'Bookings and Drivers'!CC188</f>
        <v>3.9705882352941257E-2</v>
      </c>
      <c r="BV1313">
        <f>'Bookings and Drivers'!CD188</f>
        <v>9.1654879773691578E-2</v>
      </c>
      <c r="BW1313">
        <f>'Bookings and Drivers'!CE188</f>
        <v>7.3853329878206697E-2</v>
      </c>
      <c r="BX1313">
        <f>'Bookings and Drivers'!CF188</f>
        <v>0.27075289575289574</v>
      </c>
      <c r="BY1313">
        <f>'Bookings and Drivers'!CG188</f>
        <v>0</v>
      </c>
      <c r="BZ1313">
        <f>'Bookings and Drivers'!CH188</f>
        <v>0</v>
      </c>
      <c r="CA1313">
        <f>'Bookings and Drivers'!CI188</f>
        <v>0</v>
      </c>
      <c r="CB1313">
        <f>'Bookings and Drivers'!CJ188</f>
        <v>0</v>
      </c>
      <c r="CC1313">
        <f>'Bookings and Drivers'!CK188</f>
        <v>0</v>
      </c>
      <c r="CD1313">
        <f>'Bookings and Drivers'!CL188</f>
        <v>0</v>
      </c>
      <c r="CE1313">
        <f>'Bookings and Drivers'!CM188</f>
        <v>0</v>
      </c>
      <c r="CF1313">
        <f>'Bookings and Drivers'!CN188</f>
        <v>0</v>
      </c>
      <c r="CG1313">
        <f>'Bookings and Drivers'!CO188</f>
        <v>0</v>
      </c>
      <c r="CH1313">
        <f>'Bookings and Drivers'!CP188</f>
        <v>0</v>
      </c>
      <c r="CI1313">
        <f>'Bookings and Drivers'!CQ188</f>
        <v>0</v>
      </c>
      <c r="CJ1313">
        <f>'Bookings and Drivers'!CR188</f>
        <v>0</v>
      </c>
      <c r="CK1313">
        <f>'Bookings and Drivers'!CS188</f>
        <v>0</v>
      </c>
      <c r="CL1313">
        <f>'Bookings and Drivers'!CT188</f>
        <v>0</v>
      </c>
      <c r="CM1313">
        <f>'Bookings and Drivers'!CU188</f>
        <v>0</v>
      </c>
      <c r="CN1313">
        <f>'Bookings and Drivers'!CV188</f>
        <v>0</v>
      </c>
      <c r="CO1313">
        <f>'Bookings and Drivers'!CW188</f>
        <v>0</v>
      </c>
      <c r="CP1313">
        <f>'Bookings and Drivers'!CX188</f>
        <v>0</v>
      </c>
      <c r="CQ1313">
        <f>'Bookings and Drivers'!CY188</f>
        <v>0</v>
      </c>
      <c r="CR1313">
        <f>'Bookings and Drivers'!CZ188</f>
        <v>0</v>
      </c>
      <c r="CS1313">
        <f>'Bookings and Drivers'!DA188</f>
        <v>0</v>
      </c>
      <c r="CT1313">
        <f>'Bookings and Drivers'!DB188</f>
        <v>0</v>
      </c>
      <c r="CU1313">
        <f>'Bookings and Drivers'!DC188</f>
        <v>0</v>
      </c>
      <c r="CV1313">
        <f>'Bookings and Drivers'!DD188</f>
        <v>0</v>
      </c>
      <c r="CW1313">
        <f>'Bookings and Drivers'!DE188</f>
        <v>0</v>
      </c>
      <c r="CX1313">
        <f>'Bookings and Drivers'!DF188</f>
        <v>0</v>
      </c>
    </row>
    <row r="1314" spans="1:104">
      <c r="A1314" t="str">
        <f>'Bookings and Drivers'!I189</f>
        <v>QoQ Abs Growth</v>
      </c>
      <c r="B1314">
        <f>'Bookings and Drivers'!J189</f>
        <v>0</v>
      </c>
      <c r="C1314">
        <f>'Bookings and Drivers'!K189</f>
        <v>0</v>
      </c>
      <c r="D1314">
        <f>'Bookings and Drivers'!L189</f>
        <v>0</v>
      </c>
      <c r="E1314">
        <f>'Bookings and Drivers'!M189</f>
        <v>0</v>
      </c>
      <c r="F1314">
        <f>'Bookings and Drivers'!N189</f>
        <v>0</v>
      </c>
      <c r="G1314">
        <f>'Bookings and Drivers'!O189</f>
        <v>0</v>
      </c>
      <c r="H1314">
        <f>'Bookings and Drivers'!P189</f>
        <v>0</v>
      </c>
      <c r="I1314">
        <f>'Bookings and Drivers'!Q189</f>
        <v>0</v>
      </c>
      <c r="J1314">
        <f>'Bookings and Drivers'!R189</f>
        <v>0</v>
      </c>
      <c r="K1314">
        <f>'Bookings and Drivers'!S189</f>
        <v>0</v>
      </c>
      <c r="L1314">
        <f>'Bookings and Drivers'!T189</f>
        <v>0</v>
      </c>
      <c r="M1314">
        <f>'Bookings and Drivers'!U189</f>
        <v>0</v>
      </c>
      <c r="N1314">
        <f>'Bookings and Drivers'!V189</f>
        <v>0</v>
      </c>
      <c r="O1314">
        <f>'Bookings and Drivers'!W189</f>
        <v>0</v>
      </c>
      <c r="P1314">
        <f>'Bookings and Drivers'!X189</f>
        <v>0</v>
      </c>
      <c r="Q1314">
        <f>'Bookings and Drivers'!Y189</f>
        <v>0</v>
      </c>
      <c r="R1314">
        <f>'Bookings and Drivers'!Z189</f>
        <v>0</v>
      </c>
      <c r="S1314">
        <f>'Bookings and Drivers'!AA189</f>
        <v>0</v>
      </c>
      <c r="T1314">
        <f>'Bookings and Drivers'!AB189</f>
        <v>0</v>
      </c>
      <c r="U1314">
        <f>'Bookings and Drivers'!AC189</f>
        <v>0</v>
      </c>
      <c r="V1314">
        <f>'Bookings and Drivers'!AD189</f>
        <v>0</v>
      </c>
      <c r="W1314">
        <f>'Bookings and Drivers'!AE189</f>
        <v>0</v>
      </c>
      <c r="X1314">
        <f>'Bookings and Drivers'!AF189</f>
        <v>0</v>
      </c>
      <c r="Y1314">
        <f>'Bookings and Drivers'!AG189</f>
        <v>0</v>
      </c>
      <c r="Z1314">
        <f>'Bookings and Drivers'!AH189</f>
        <v>0</v>
      </c>
      <c r="AA1314">
        <f>'Bookings and Drivers'!AI189</f>
        <v>0</v>
      </c>
      <c r="AB1314">
        <f>'Bookings and Drivers'!AJ189</f>
        <v>0</v>
      </c>
      <c r="AC1314">
        <f>'Bookings and Drivers'!AK189</f>
        <v>0</v>
      </c>
      <c r="AD1314">
        <f>'Bookings and Drivers'!AL189</f>
        <v>0</v>
      </c>
      <c r="AE1314">
        <f>'Bookings and Drivers'!AM189</f>
        <v>0</v>
      </c>
      <c r="AF1314">
        <f>'Bookings and Drivers'!AN189</f>
        <v>0</v>
      </c>
      <c r="AG1314">
        <f>'Bookings and Drivers'!AO189</f>
        <v>0</v>
      </c>
      <c r="AH1314">
        <f>'Bookings and Drivers'!AP189</f>
        <v>0</v>
      </c>
      <c r="AI1314">
        <f>'Bookings and Drivers'!AQ189</f>
        <v>0</v>
      </c>
      <c r="AJ1314">
        <f>'Bookings and Drivers'!AR189</f>
        <v>0</v>
      </c>
      <c r="AK1314">
        <f>'Bookings and Drivers'!AS189</f>
        <v>0</v>
      </c>
      <c r="AL1314">
        <f>'Bookings and Drivers'!AT189</f>
        <v>0</v>
      </c>
      <c r="AM1314">
        <f>'Bookings and Drivers'!AU189</f>
        <v>0</v>
      </c>
      <c r="AN1314">
        <f>'Bookings and Drivers'!AV189</f>
        <v>0</v>
      </c>
      <c r="AO1314">
        <f>'Bookings and Drivers'!AW189</f>
        <v>0</v>
      </c>
      <c r="AP1314">
        <f>'Bookings and Drivers'!AX189</f>
        <v>0</v>
      </c>
      <c r="AQ1314">
        <f>'Bookings and Drivers'!AY189</f>
        <v>0</v>
      </c>
      <c r="AR1314">
        <f>'Bookings and Drivers'!AZ189</f>
        <v>0</v>
      </c>
      <c r="AS1314">
        <f>'Bookings and Drivers'!BA189</f>
        <v>0</v>
      </c>
      <c r="AT1314">
        <f>'Bookings and Drivers'!BB189</f>
        <v>0</v>
      </c>
      <c r="AU1314">
        <f>'Bookings and Drivers'!BC189</f>
        <v>0</v>
      </c>
      <c r="AV1314">
        <f>'Bookings and Drivers'!BD189</f>
        <v>0</v>
      </c>
      <c r="AW1314">
        <f>'Bookings and Drivers'!BE189</f>
        <v>0</v>
      </c>
      <c r="AX1314">
        <f>'Bookings and Drivers'!BF189</f>
        <v>0</v>
      </c>
      <c r="AY1314">
        <f>'Bookings and Drivers'!BG189</f>
        <v>0</v>
      </c>
      <c r="AZ1314">
        <f>'Bookings and Drivers'!BH189</f>
        <v>0</v>
      </c>
      <c r="BA1314">
        <f>'Bookings and Drivers'!BI189</f>
        <v>0</v>
      </c>
      <c r="BB1314">
        <f>'Bookings and Drivers'!BJ189</f>
        <v>0</v>
      </c>
      <c r="BC1314">
        <f>'Bookings and Drivers'!BK189</f>
        <v>0</v>
      </c>
      <c r="BD1314">
        <f>'Bookings and Drivers'!BL189</f>
        <v>0</v>
      </c>
      <c r="BE1314">
        <f>'Bookings and Drivers'!BM189</f>
        <v>35000</v>
      </c>
      <c r="BF1314">
        <f>'Bookings and Drivers'!BN189</f>
        <v>48500</v>
      </c>
      <c r="BG1314">
        <f>'Bookings and Drivers'!BO189</f>
        <v>13500</v>
      </c>
      <c r="BH1314">
        <f>'Bookings and Drivers'!BP189</f>
        <v>40000</v>
      </c>
      <c r="BI1314">
        <f>'Bookings and Drivers'!BQ189</f>
        <v>28000</v>
      </c>
      <c r="BJ1314">
        <f>'Bookings and Drivers'!BR189</f>
        <v>62000</v>
      </c>
      <c r="BK1314">
        <f>'Bookings and Drivers'!BS189</f>
        <v>13000</v>
      </c>
      <c r="BL1314">
        <f>'Bookings and Drivers'!BT189</f>
        <v>40000</v>
      </c>
      <c r="BM1314">
        <f>'Bookings and Drivers'!BU189</f>
        <v>7500</v>
      </c>
      <c r="BN1314">
        <f>'Bookings and Drivers'!BV189</f>
        <v>69500</v>
      </c>
      <c r="BO1314">
        <f>'Bookings and Drivers'!BW189</f>
        <v>62000</v>
      </c>
      <c r="BP1314">
        <f>'Bookings and Drivers'!BX189</f>
        <v>39000</v>
      </c>
      <c r="BQ1314">
        <f>'Bookings and Drivers'!BY189</f>
        <v>45000</v>
      </c>
      <c r="BR1314">
        <f>'Bookings and Drivers'!BZ189</f>
        <v>108000</v>
      </c>
      <c r="BS1314">
        <f>'Bookings and Drivers'!CA189</f>
        <v>95000</v>
      </c>
      <c r="BT1314">
        <f>'Bookings and Drivers'!CB189</f>
        <v>374000</v>
      </c>
      <c r="BU1314">
        <f>'Bookings and Drivers'!CC189</f>
        <v>47250</v>
      </c>
      <c r="BV1314">
        <f>'Bookings and Drivers'!CD189</f>
        <v>113400</v>
      </c>
      <c r="BW1314">
        <f>'Bookings and Drivers'!CE189</f>
        <v>99750</v>
      </c>
      <c r="BX1314">
        <f>'Bookings and Drivers'!CF189</f>
        <v>392700</v>
      </c>
      <c r="BY1314">
        <f>'Bookings and Drivers'!CG189</f>
        <v>0</v>
      </c>
      <c r="BZ1314">
        <f>'Bookings and Drivers'!CH189</f>
        <v>0</v>
      </c>
      <c r="CA1314">
        <f>'Bookings and Drivers'!CI189</f>
        <v>0</v>
      </c>
      <c r="CB1314">
        <f>'Bookings and Drivers'!CJ189</f>
        <v>0</v>
      </c>
      <c r="CC1314">
        <f>'Bookings and Drivers'!CK189</f>
        <v>0</v>
      </c>
      <c r="CD1314">
        <f>'Bookings and Drivers'!CL189</f>
        <v>0</v>
      </c>
      <c r="CE1314">
        <f>'Bookings and Drivers'!CM189</f>
        <v>0</v>
      </c>
      <c r="CF1314">
        <f>'Bookings and Drivers'!CN189</f>
        <v>0</v>
      </c>
      <c r="CG1314">
        <f>'Bookings and Drivers'!CO189</f>
        <v>0</v>
      </c>
      <c r="CH1314">
        <f>'Bookings and Drivers'!CP189</f>
        <v>0</v>
      </c>
      <c r="CI1314">
        <f>'Bookings and Drivers'!CQ189</f>
        <v>0</v>
      </c>
      <c r="CJ1314">
        <f>'Bookings and Drivers'!CR189</f>
        <v>0</v>
      </c>
      <c r="CK1314">
        <f>'Bookings and Drivers'!CS189</f>
        <v>0</v>
      </c>
      <c r="CL1314">
        <f>'Bookings and Drivers'!CT189</f>
        <v>0</v>
      </c>
      <c r="CM1314">
        <f>'Bookings and Drivers'!CU189</f>
        <v>0</v>
      </c>
      <c r="CN1314">
        <f>'Bookings and Drivers'!CV189</f>
        <v>0</v>
      </c>
      <c r="CO1314">
        <f>'Bookings and Drivers'!CW189</f>
        <v>0</v>
      </c>
      <c r="CP1314">
        <f>'Bookings and Drivers'!CX189</f>
        <v>0</v>
      </c>
      <c r="CQ1314">
        <f>'Bookings and Drivers'!CY189</f>
        <v>0</v>
      </c>
      <c r="CR1314">
        <f>'Bookings and Drivers'!CZ189</f>
        <v>0</v>
      </c>
      <c r="CS1314">
        <f>'Bookings and Drivers'!DA189</f>
        <v>0</v>
      </c>
      <c r="CT1314">
        <f>'Bookings and Drivers'!DB189</f>
        <v>0</v>
      </c>
      <c r="CU1314">
        <f>'Bookings and Drivers'!DC189</f>
        <v>0</v>
      </c>
      <c r="CV1314">
        <f>'Bookings and Drivers'!DD189</f>
        <v>0</v>
      </c>
      <c r="CW1314">
        <f>'Bookings and Drivers'!DE189</f>
        <v>0</v>
      </c>
      <c r="CX1314">
        <f>'Bookings and Drivers'!DF189</f>
        <v>0</v>
      </c>
    </row>
    <row r="1315" spans="1:104">
      <c r="A1315" t="str">
        <f>'Bookings and Drivers'!I190</f>
        <v>Seasonality</v>
      </c>
      <c r="B1315">
        <f>'Bookings and Drivers'!J190</f>
        <v>0</v>
      </c>
      <c r="C1315">
        <f>'Bookings and Drivers'!K190</f>
        <v>0</v>
      </c>
      <c r="D1315">
        <f>'Bookings and Drivers'!L190</f>
        <v>0</v>
      </c>
      <c r="E1315">
        <f>'Bookings and Drivers'!M190</f>
        <v>0</v>
      </c>
      <c r="F1315">
        <f>'Bookings and Drivers'!N190</f>
        <v>0</v>
      </c>
      <c r="G1315">
        <f>'Bookings and Drivers'!O190</f>
        <v>0</v>
      </c>
      <c r="H1315">
        <f>'Bookings and Drivers'!P190</f>
        <v>0</v>
      </c>
      <c r="I1315">
        <f>'Bookings and Drivers'!Q190</f>
        <v>0</v>
      </c>
      <c r="J1315">
        <f>'Bookings and Drivers'!R190</f>
        <v>0</v>
      </c>
      <c r="K1315">
        <f>'Bookings and Drivers'!S190</f>
        <v>0</v>
      </c>
      <c r="L1315">
        <f>'Bookings and Drivers'!T190</f>
        <v>0</v>
      </c>
      <c r="M1315">
        <f>'Bookings and Drivers'!U190</f>
        <v>0</v>
      </c>
      <c r="N1315">
        <f>'Bookings and Drivers'!V190</f>
        <v>0</v>
      </c>
      <c r="O1315">
        <f>'Bookings and Drivers'!W190</f>
        <v>0</v>
      </c>
      <c r="P1315">
        <f>'Bookings and Drivers'!X190</f>
        <v>0</v>
      </c>
      <c r="Q1315">
        <f>'Bookings and Drivers'!Y190</f>
        <v>0</v>
      </c>
      <c r="R1315">
        <f>'Bookings and Drivers'!Z190</f>
        <v>0</v>
      </c>
      <c r="S1315">
        <f>'Bookings and Drivers'!AA190</f>
        <v>0</v>
      </c>
      <c r="T1315">
        <f>'Bookings and Drivers'!AB190</f>
        <v>0</v>
      </c>
      <c r="U1315">
        <f>'Bookings and Drivers'!AC190</f>
        <v>0</v>
      </c>
      <c r="V1315">
        <f>'Bookings and Drivers'!AD190</f>
        <v>0</v>
      </c>
      <c r="W1315">
        <f>'Bookings and Drivers'!AE190</f>
        <v>0</v>
      </c>
      <c r="X1315">
        <f>'Bookings and Drivers'!AF190</f>
        <v>0</v>
      </c>
      <c r="Y1315">
        <f>'Bookings and Drivers'!AG190</f>
        <v>0</v>
      </c>
      <c r="Z1315">
        <f>'Bookings and Drivers'!AH190</f>
        <v>0</v>
      </c>
      <c r="AA1315">
        <f>'Bookings and Drivers'!AI190</f>
        <v>0</v>
      </c>
      <c r="AB1315">
        <f>'Bookings and Drivers'!AJ190</f>
        <v>0</v>
      </c>
      <c r="AC1315">
        <f>'Bookings and Drivers'!AK190</f>
        <v>0</v>
      </c>
      <c r="AD1315">
        <f>'Bookings and Drivers'!AL190</f>
        <v>0</v>
      </c>
      <c r="AE1315">
        <f>'Bookings and Drivers'!AM190</f>
        <v>0</v>
      </c>
      <c r="AF1315">
        <f>'Bookings and Drivers'!AN190</f>
        <v>0</v>
      </c>
      <c r="AG1315">
        <f>'Bookings and Drivers'!AO190</f>
        <v>0</v>
      </c>
      <c r="AH1315">
        <f>'Bookings and Drivers'!AP190</f>
        <v>0</v>
      </c>
      <c r="AI1315">
        <f>'Bookings and Drivers'!AQ190</f>
        <v>0</v>
      </c>
      <c r="AJ1315">
        <f>'Bookings and Drivers'!AR190</f>
        <v>0</v>
      </c>
      <c r="AK1315">
        <f>'Bookings and Drivers'!AS190</f>
        <v>0</v>
      </c>
      <c r="AL1315">
        <f>'Bookings and Drivers'!AT190</f>
        <v>0</v>
      </c>
      <c r="AM1315">
        <f>'Bookings and Drivers'!AU190</f>
        <v>0</v>
      </c>
      <c r="AN1315">
        <f>'Bookings and Drivers'!AV190</f>
        <v>0</v>
      </c>
      <c r="AO1315">
        <f>'Bookings and Drivers'!AW190</f>
        <v>0</v>
      </c>
      <c r="AP1315">
        <f>'Bookings and Drivers'!AX190</f>
        <v>0</v>
      </c>
      <c r="AQ1315">
        <f>'Bookings and Drivers'!AY190</f>
        <v>0</v>
      </c>
      <c r="AR1315">
        <f>'Bookings and Drivers'!AZ190</f>
        <v>0</v>
      </c>
      <c r="AS1315">
        <f>'Bookings and Drivers'!BA190</f>
        <v>0</v>
      </c>
      <c r="AT1315">
        <f>'Bookings and Drivers'!BB190</f>
        <v>0</v>
      </c>
      <c r="AU1315">
        <f>'Bookings and Drivers'!BC190</f>
        <v>0</v>
      </c>
      <c r="AV1315">
        <f>'Bookings and Drivers'!BD190</f>
        <v>0</v>
      </c>
      <c r="AW1315">
        <f>'Bookings and Drivers'!BE190</f>
        <v>0</v>
      </c>
      <c r="AX1315">
        <f>'Bookings and Drivers'!BF190</f>
        <v>0</v>
      </c>
      <c r="AY1315">
        <f>'Bookings and Drivers'!BG190</f>
        <v>0</v>
      </c>
      <c r="AZ1315">
        <f>'Bookings and Drivers'!BH190</f>
        <v>0</v>
      </c>
      <c r="BA1315">
        <f>'Bookings and Drivers'!BI190</f>
        <v>0</v>
      </c>
      <c r="BB1315">
        <f>'Bookings and Drivers'!BJ190</f>
        <v>0</v>
      </c>
      <c r="BC1315">
        <f>'Bookings and Drivers'!BK190</f>
        <v>0</v>
      </c>
      <c r="BD1315">
        <f>'Bookings and Drivers'!BL190</f>
        <v>0</v>
      </c>
      <c r="BE1315">
        <f>'Bookings and Drivers'!BM190</f>
        <v>0.25547445255474455</v>
      </c>
      <c r="BF1315">
        <f>'Bookings and Drivers'!BN190</f>
        <v>0.354014598540146</v>
      </c>
      <c r="BG1315">
        <f>'Bookings and Drivers'!BO190</f>
        <v>9.8540145985401464E-2</v>
      </c>
      <c r="BH1315">
        <f>'Bookings and Drivers'!BP190</f>
        <v>0.29197080291970801</v>
      </c>
      <c r="BI1315">
        <f>'Bookings and Drivers'!BQ190</f>
        <v>0.19580419580419581</v>
      </c>
      <c r="BJ1315">
        <f>'Bookings and Drivers'!BR190</f>
        <v>0.43356643356643354</v>
      </c>
      <c r="BK1315">
        <f>'Bookings and Drivers'!BS190</f>
        <v>9.0909090909090912E-2</v>
      </c>
      <c r="BL1315">
        <f>'Bookings and Drivers'!BT190</f>
        <v>0.27972027972027974</v>
      </c>
      <c r="BM1315">
        <f>'Bookings and Drivers'!BU190</f>
        <v>4.2134831460674156E-2</v>
      </c>
      <c r="BN1315">
        <f>'Bookings and Drivers'!BV190</f>
        <v>0.3904494382022472</v>
      </c>
      <c r="BO1315">
        <f>'Bookings and Drivers'!BW190</f>
        <v>0.34831460674157305</v>
      </c>
      <c r="BP1315">
        <f>'Bookings and Drivers'!BX190</f>
        <v>0.21910112359550563</v>
      </c>
      <c r="BQ1315">
        <f>'Bookings and Drivers'!BY190</f>
        <v>0.25280898876404495</v>
      </c>
      <c r="BR1315">
        <f>'Bookings and Drivers'!BZ190</f>
        <v>0.6067415730337079</v>
      </c>
      <c r="BS1315">
        <f>'Bookings and Drivers'!CA190</f>
        <v>0.5337078651685393</v>
      </c>
      <c r="BT1315">
        <f>'Bookings and Drivers'!CB190</f>
        <v>2.101123595505618</v>
      </c>
      <c r="BU1315">
        <f>'Bookings and Drivers'!CC190</f>
        <v>0.2654494382022472</v>
      </c>
      <c r="BV1315">
        <f>'Bookings and Drivers'!CD190</f>
        <v>0.63707865168539324</v>
      </c>
      <c r="BW1315">
        <f>'Bookings and Drivers'!CE190</f>
        <v>0.5603932584269663</v>
      </c>
      <c r="BX1315">
        <f>'Bookings and Drivers'!CF190</f>
        <v>2.2061797752808987</v>
      </c>
      <c r="BY1315">
        <f>'Bookings and Drivers'!CG190</f>
        <v>0</v>
      </c>
      <c r="BZ1315">
        <f>'Bookings and Drivers'!CH190</f>
        <v>0</v>
      </c>
      <c r="CA1315">
        <f>'Bookings and Drivers'!CI190</f>
        <v>0</v>
      </c>
      <c r="CB1315">
        <f>'Bookings and Drivers'!CJ190</f>
        <v>0</v>
      </c>
      <c r="CC1315">
        <f>'Bookings and Drivers'!CK190</f>
        <v>0</v>
      </c>
      <c r="CD1315">
        <f>'Bookings and Drivers'!CL190</f>
        <v>0</v>
      </c>
      <c r="CE1315">
        <f>'Bookings and Drivers'!CM190</f>
        <v>0</v>
      </c>
      <c r="CF1315">
        <f>'Bookings and Drivers'!CN190</f>
        <v>0</v>
      </c>
      <c r="CG1315">
        <f>'Bookings and Drivers'!CO190</f>
        <v>0</v>
      </c>
      <c r="CH1315">
        <f>'Bookings and Drivers'!CP190</f>
        <v>0</v>
      </c>
      <c r="CI1315">
        <f>'Bookings and Drivers'!CQ190</f>
        <v>0</v>
      </c>
      <c r="CJ1315">
        <f>'Bookings and Drivers'!CR190</f>
        <v>0</v>
      </c>
      <c r="CK1315">
        <f>'Bookings and Drivers'!CS190</f>
        <v>0</v>
      </c>
      <c r="CL1315">
        <f>'Bookings and Drivers'!CT190</f>
        <v>0</v>
      </c>
      <c r="CM1315">
        <f>'Bookings and Drivers'!CU190</f>
        <v>0</v>
      </c>
      <c r="CN1315">
        <f>'Bookings and Drivers'!CV190</f>
        <v>0</v>
      </c>
      <c r="CO1315">
        <f>'Bookings and Drivers'!CW190</f>
        <v>0</v>
      </c>
      <c r="CP1315">
        <f>'Bookings and Drivers'!CX190</f>
        <v>0</v>
      </c>
      <c r="CQ1315">
        <f>'Bookings and Drivers'!CY190</f>
        <v>0</v>
      </c>
      <c r="CR1315">
        <f>'Bookings and Drivers'!CZ190</f>
        <v>0</v>
      </c>
      <c r="CS1315">
        <f>'Bookings and Drivers'!DA190</f>
        <v>0</v>
      </c>
      <c r="CT1315">
        <f>'Bookings and Drivers'!DB190</f>
        <v>0</v>
      </c>
      <c r="CU1315">
        <f>'Bookings and Drivers'!DC190</f>
        <v>0</v>
      </c>
      <c r="CV1315">
        <f>'Bookings and Drivers'!DD190</f>
        <v>0</v>
      </c>
      <c r="CW1315">
        <f>'Bookings and Drivers'!DE190</f>
        <v>0</v>
      </c>
      <c r="CX1315">
        <f>'Bookings and Drivers'!DF190</f>
        <v>0</v>
      </c>
    </row>
    <row r="1316" spans="1:104">
      <c r="A1316" t="str">
        <f>'Bookings and Drivers'!I191</f>
        <v>% of WW Hotel Count</v>
      </c>
      <c r="B1316">
        <f>'Bookings and Drivers'!J191</f>
        <v>0</v>
      </c>
      <c r="C1316">
        <f>'Bookings and Drivers'!K191</f>
        <v>0</v>
      </c>
      <c r="D1316">
        <f>'Bookings and Drivers'!L191</f>
        <v>0</v>
      </c>
      <c r="E1316">
        <f>'Bookings and Drivers'!M191</f>
        <v>0</v>
      </c>
      <c r="F1316">
        <f>'Bookings and Drivers'!N191</f>
        <v>0</v>
      </c>
      <c r="G1316">
        <f>'Bookings and Drivers'!O191</f>
        <v>0</v>
      </c>
      <c r="H1316">
        <f>'Bookings and Drivers'!P191</f>
        <v>0</v>
      </c>
      <c r="I1316">
        <f>'Bookings and Drivers'!Q191</f>
        <v>0</v>
      </c>
      <c r="J1316">
        <f>'Bookings and Drivers'!R191</f>
        <v>0</v>
      </c>
      <c r="K1316">
        <f>'Bookings and Drivers'!S191</f>
        <v>0</v>
      </c>
      <c r="L1316">
        <f>'Bookings and Drivers'!T191</f>
        <v>0</v>
      </c>
      <c r="M1316">
        <f>'Bookings and Drivers'!U191</f>
        <v>0</v>
      </c>
      <c r="N1316">
        <f>'Bookings and Drivers'!V191</f>
        <v>0</v>
      </c>
      <c r="O1316">
        <f>'Bookings and Drivers'!W191</f>
        <v>0</v>
      </c>
      <c r="P1316">
        <f>'Bookings and Drivers'!X191</f>
        <v>0</v>
      </c>
      <c r="Q1316">
        <f>'Bookings and Drivers'!Y191</f>
        <v>0</v>
      </c>
      <c r="R1316">
        <f>'Bookings and Drivers'!Z191</f>
        <v>0</v>
      </c>
      <c r="S1316">
        <f>'Bookings and Drivers'!AA191</f>
        <v>0</v>
      </c>
      <c r="T1316">
        <f>'Bookings and Drivers'!AB191</f>
        <v>0</v>
      </c>
      <c r="U1316">
        <f>'Bookings and Drivers'!AC191</f>
        <v>0</v>
      </c>
      <c r="V1316">
        <f>'Bookings and Drivers'!AD191</f>
        <v>0</v>
      </c>
      <c r="W1316">
        <f>'Bookings and Drivers'!AE191</f>
        <v>0</v>
      </c>
      <c r="X1316">
        <f>'Bookings and Drivers'!AF191</f>
        <v>0</v>
      </c>
      <c r="Y1316">
        <f>'Bookings and Drivers'!AG191</f>
        <v>0</v>
      </c>
      <c r="Z1316">
        <f>'Bookings and Drivers'!AH191</f>
        <v>0</v>
      </c>
      <c r="AA1316">
        <f>'Bookings and Drivers'!AI191</f>
        <v>0</v>
      </c>
      <c r="AB1316">
        <f>'Bookings and Drivers'!AJ191</f>
        <v>0</v>
      </c>
      <c r="AC1316">
        <f>'Bookings and Drivers'!AK191</f>
        <v>0</v>
      </c>
      <c r="AD1316">
        <f>'Bookings and Drivers'!AL191</f>
        <v>0</v>
      </c>
      <c r="AE1316">
        <f>'Bookings and Drivers'!AM191</f>
        <v>0</v>
      </c>
      <c r="AF1316">
        <f>'Bookings and Drivers'!AN191</f>
        <v>0</v>
      </c>
      <c r="AG1316">
        <f>'Bookings and Drivers'!AO191</f>
        <v>0</v>
      </c>
      <c r="AH1316">
        <f>'Bookings and Drivers'!AP191</f>
        <v>0</v>
      </c>
      <c r="AI1316">
        <f>'Bookings and Drivers'!AQ191</f>
        <v>0</v>
      </c>
      <c r="AJ1316">
        <f>'Bookings and Drivers'!AR191</f>
        <v>0</v>
      </c>
      <c r="AK1316">
        <f>'Bookings and Drivers'!AS191</f>
        <v>0</v>
      </c>
      <c r="AL1316">
        <f>'Bookings and Drivers'!AT191</f>
        <v>0</v>
      </c>
      <c r="AM1316">
        <f>'Bookings and Drivers'!AU191</f>
        <v>0</v>
      </c>
      <c r="AN1316">
        <f>'Bookings and Drivers'!AV191</f>
        <v>0</v>
      </c>
      <c r="AO1316">
        <f>'Bookings and Drivers'!AW191</f>
        <v>0</v>
      </c>
      <c r="AP1316">
        <f>'Bookings and Drivers'!AX191</f>
        <v>0</v>
      </c>
      <c r="AQ1316">
        <f>'Bookings and Drivers'!AY191</f>
        <v>0</v>
      </c>
      <c r="AR1316">
        <f>'Bookings and Drivers'!AZ191</f>
        <v>0</v>
      </c>
      <c r="AS1316">
        <f>'Bookings and Drivers'!BA191</f>
        <v>0</v>
      </c>
      <c r="AT1316">
        <f>'Bookings and Drivers'!BB191</f>
        <v>0</v>
      </c>
      <c r="AU1316">
        <f>'Bookings and Drivers'!BC191</f>
        <v>0</v>
      </c>
      <c r="AV1316">
        <f>'Bookings and Drivers'!BD191</f>
        <v>0</v>
      </c>
      <c r="AW1316">
        <f>'Bookings and Drivers'!BE191</f>
        <v>0</v>
      </c>
      <c r="AX1316">
        <f>'Bookings and Drivers'!BF191</f>
        <v>0</v>
      </c>
      <c r="AY1316">
        <f>'Bookings and Drivers'!BG191</f>
        <v>0</v>
      </c>
      <c r="AZ1316">
        <f>'Bookings and Drivers'!BH191</f>
        <v>0</v>
      </c>
      <c r="BA1316">
        <f>'Bookings and Drivers'!BI191</f>
        <v>0</v>
      </c>
      <c r="BB1316">
        <f>'Bookings and Drivers'!BJ191</f>
        <v>0</v>
      </c>
      <c r="BC1316">
        <f>'Bookings and Drivers'!BK191</f>
        <v>0</v>
      </c>
      <c r="BD1316">
        <f>'Bookings and Drivers'!BL191</f>
        <v>0.25821596244131456</v>
      </c>
      <c r="BE1316">
        <f>'Bookings and Drivers'!BM191</f>
        <v>0.31385281385281383</v>
      </c>
      <c r="BF1316">
        <f>'Bookings and Drivers'!BN191</f>
        <v>0.36998087954110898</v>
      </c>
      <c r="BG1316">
        <f>'Bookings and Drivers'!BO191</f>
        <v>0.38333333333333336</v>
      </c>
      <c r="BH1316">
        <f>'Bookings and Drivers'!BP191</f>
        <v>0.41029900332225916</v>
      </c>
      <c r="BI1316">
        <f>'Bookings and Drivers'!BQ191</f>
        <v>0.43171114599686028</v>
      </c>
      <c r="BJ1316">
        <f>'Bookings and Drivers'!BR191</f>
        <v>0.45417789757412397</v>
      </c>
      <c r="BK1316">
        <f>'Bookings and Drivers'!BS191</f>
        <v>0.46666666666666667</v>
      </c>
      <c r="BL1316">
        <f>'Bookings and Drivers'!BT191</f>
        <v>0.45774647887323944</v>
      </c>
      <c r="BM1316">
        <f>'Bookings and Drivers'!BU191</f>
        <v>0.45196134167140423</v>
      </c>
      <c r="BN1316">
        <f>'Bookings and Drivers'!BV191</f>
        <v>0.48393782383419687</v>
      </c>
      <c r="BO1316">
        <f>'Bookings and Drivers'!BW191</f>
        <v>0.49671361502347416</v>
      </c>
      <c r="BP1316">
        <f>'Bookings and Drivers'!BX191</f>
        <v>0.50941704035874436</v>
      </c>
      <c r="BQ1316">
        <f>'Bookings and Drivers'!BY191</f>
        <v>0.5146935348446684</v>
      </c>
      <c r="BR1316">
        <f>'Bookings and Drivers'!BZ191</f>
        <v>0.53805970149253735</v>
      </c>
      <c r="BS1316">
        <f>'Bookings and Drivers'!CA191</f>
        <v>0.53895146200491262</v>
      </c>
      <c r="BT1316">
        <f>'Bookings and Drivers'!CB191</f>
        <v>0.75031525851197978</v>
      </c>
      <c r="BU1316">
        <f>'Bookings and Drivers'!CC191</f>
        <v>0.7326646853957981</v>
      </c>
      <c r="BV1316">
        <f>'Bookings and Drivers'!CD191</f>
        <v>0.71485649472722523</v>
      </c>
      <c r="BW1316">
        <f>'Bookings and Drivers'!CE191</f>
        <v>0.68333174057619495</v>
      </c>
      <c r="BX1316">
        <f>'Bookings and Drivers'!CF191</f>
        <v>0.83083777185151231</v>
      </c>
      <c r="BY1316">
        <f>'Bookings and Drivers'!CG191</f>
        <v>0</v>
      </c>
      <c r="BZ1316">
        <f>'Bookings and Drivers'!CH191</f>
        <v>0</v>
      </c>
      <c r="CA1316">
        <f>'Bookings and Drivers'!CI191</f>
        <v>0</v>
      </c>
      <c r="CB1316">
        <f>'Bookings and Drivers'!CJ191</f>
        <v>0</v>
      </c>
      <c r="CC1316">
        <f>'Bookings and Drivers'!CK191</f>
        <v>0</v>
      </c>
      <c r="CD1316">
        <f>'Bookings and Drivers'!CL191</f>
        <v>0</v>
      </c>
      <c r="CE1316">
        <f>'Bookings and Drivers'!CM191</f>
        <v>0</v>
      </c>
      <c r="CF1316">
        <f>'Bookings and Drivers'!CN191</f>
        <v>0</v>
      </c>
      <c r="CG1316">
        <f>'Bookings and Drivers'!CO191</f>
        <v>0</v>
      </c>
      <c r="CH1316">
        <f>'Bookings and Drivers'!CP191</f>
        <v>0</v>
      </c>
      <c r="CI1316">
        <f>'Bookings and Drivers'!CQ191</f>
        <v>0</v>
      </c>
      <c r="CJ1316">
        <f>'Bookings and Drivers'!CR191</f>
        <v>0</v>
      </c>
      <c r="CK1316">
        <f>'Bookings and Drivers'!CS191</f>
        <v>0</v>
      </c>
      <c r="CL1316">
        <f>'Bookings and Drivers'!CT191</f>
        <v>0.25821596244131456</v>
      </c>
      <c r="CM1316">
        <f>'Bookings and Drivers'!CU191</f>
        <v>0.41029900332225916</v>
      </c>
      <c r="CN1316">
        <f>'Bookings and Drivers'!CV191</f>
        <v>0.45774647887323944</v>
      </c>
      <c r="CO1316">
        <f>'Bookings and Drivers'!CW191</f>
        <v>0.50941704035874436</v>
      </c>
      <c r="CP1316">
        <f>'Bookings and Drivers'!CX191</f>
        <v>0.75031525851197978</v>
      </c>
      <c r="CQ1316">
        <f>'Bookings and Drivers'!CY191</f>
        <v>0.83083777185151231</v>
      </c>
      <c r="CR1316">
        <f>'Bookings and Drivers'!CZ191</f>
        <v>0</v>
      </c>
      <c r="CS1316">
        <f>'Bookings and Drivers'!DA191</f>
        <v>0</v>
      </c>
      <c r="CT1316">
        <f>'Bookings and Drivers'!DB191</f>
        <v>0</v>
      </c>
      <c r="CU1316">
        <f>'Bookings and Drivers'!DC191</f>
        <v>0</v>
      </c>
      <c r="CV1316">
        <f>'Bookings and Drivers'!DD191</f>
        <v>0</v>
      </c>
      <c r="CW1316">
        <f>'Bookings and Drivers'!DE191</f>
        <v>0</v>
      </c>
      <c r="CX1316">
        <f>'Bookings and Drivers'!DF191</f>
        <v>0</v>
      </c>
    </row>
    <row r="1317" spans="1:104">
      <c r="A1317" t="str">
        <f>Model!I45</f>
        <v>Total Gross Profit (constant currency)</v>
      </c>
      <c r="B1317">
        <f>Model!J45</f>
        <v>0</v>
      </c>
      <c r="C1317">
        <f>Model!K45</f>
        <v>0</v>
      </c>
      <c r="D1317">
        <f>Model!L45</f>
        <v>0</v>
      </c>
      <c r="E1317">
        <f>Model!M45</f>
        <v>0</v>
      </c>
      <c r="F1317">
        <f>Model!N45</f>
        <v>0</v>
      </c>
      <c r="G1317">
        <f>Model!O45</f>
        <v>0</v>
      </c>
      <c r="H1317">
        <f>Model!P45</f>
        <v>0</v>
      </c>
      <c r="I1317">
        <f>Model!Q45</f>
        <v>0</v>
      </c>
      <c r="J1317">
        <f>Model!R45</f>
        <v>0</v>
      </c>
      <c r="K1317">
        <f>Model!S45</f>
        <v>0</v>
      </c>
      <c r="L1317">
        <f>Model!T45</f>
        <v>0</v>
      </c>
      <c r="M1317">
        <f>Model!U45</f>
        <v>0</v>
      </c>
      <c r="N1317">
        <f>Model!V45</f>
        <v>0</v>
      </c>
      <c r="O1317">
        <f>Model!W45</f>
        <v>0</v>
      </c>
      <c r="P1317">
        <f>Model!X45</f>
        <v>0</v>
      </c>
      <c r="Q1317">
        <f>Model!Y45</f>
        <v>0</v>
      </c>
      <c r="R1317">
        <f>Model!Z45</f>
        <v>0</v>
      </c>
      <c r="S1317">
        <f>Model!AA45</f>
        <v>0</v>
      </c>
      <c r="T1317">
        <f>Model!AB45</f>
        <v>0</v>
      </c>
      <c r="U1317">
        <f>Model!AC45</f>
        <v>0</v>
      </c>
      <c r="V1317">
        <f>Model!AD45</f>
        <v>0</v>
      </c>
      <c r="W1317">
        <f>Model!AE45</f>
        <v>0</v>
      </c>
      <c r="X1317">
        <f>Model!AF45</f>
        <v>0</v>
      </c>
      <c r="Y1317">
        <f>Model!AG45</f>
        <v>0</v>
      </c>
      <c r="Z1317">
        <f>Model!AH45</f>
        <v>0</v>
      </c>
      <c r="AA1317">
        <f>Model!AI45</f>
        <v>0</v>
      </c>
      <c r="AB1317">
        <f>Model!AJ45</f>
        <v>0</v>
      </c>
      <c r="AC1317">
        <f>Model!AK45</f>
        <v>0</v>
      </c>
      <c r="AD1317">
        <f>Model!AL45</f>
        <v>0</v>
      </c>
      <c r="AE1317">
        <f>Model!AM45</f>
        <v>0</v>
      </c>
      <c r="AF1317">
        <f>Model!AN45</f>
        <v>0</v>
      </c>
      <c r="AG1317">
        <f>Model!AO45</f>
        <v>0</v>
      </c>
      <c r="AH1317">
        <f>Model!AP45</f>
        <v>0</v>
      </c>
      <c r="AI1317">
        <f>Model!AQ45</f>
        <v>0</v>
      </c>
      <c r="AJ1317">
        <f>Model!AR45</f>
        <v>0</v>
      </c>
      <c r="AK1317">
        <f>Model!AS45</f>
        <v>0</v>
      </c>
      <c r="AL1317">
        <f>Model!AT45</f>
        <v>0</v>
      </c>
      <c r="AM1317">
        <f>Model!AU45</f>
        <v>0</v>
      </c>
      <c r="AN1317">
        <f>Model!AV45</f>
        <v>0</v>
      </c>
      <c r="AO1317">
        <f>Model!AW45</f>
        <v>0</v>
      </c>
      <c r="AP1317">
        <f>Model!AX45</f>
        <v>0</v>
      </c>
      <c r="AQ1317">
        <f>Model!AY45</f>
        <v>0</v>
      </c>
      <c r="AR1317">
        <f>Model!AZ45</f>
        <v>0</v>
      </c>
      <c r="AS1317">
        <f>Model!BA45</f>
        <v>0</v>
      </c>
      <c r="AT1317">
        <f>Model!BB45</f>
        <v>0</v>
      </c>
      <c r="AU1317">
        <f>Model!BC45</f>
        <v>0</v>
      </c>
      <c r="AV1317">
        <f>Model!BD45</f>
        <v>0</v>
      </c>
      <c r="AW1317">
        <f>Model!BE45</f>
        <v>0</v>
      </c>
      <c r="AX1317">
        <f>Model!BF45</f>
        <v>0</v>
      </c>
      <c r="AY1317">
        <f>Model!BG45</f>
        <v>0</v>
      </c>
      <c r="AZ1317">
        <f>Model!BH45</f>
        <v>0</v>
      </c>
      <c r="BA1317">
        <f>Model!BI45</f>
        <v>1010.3149999999999</v>
      </c>
      <c r="BB1317">
        <f>Model!BJ45</f>
        <v>1377.8650000000002</v>
      </c>
      <c r="BC1317">
        <f>Model!BK45</f>
        <v>1950.7149999999999</v>
      </c>
      <c r="BD1317">
        <f>Model!BL45</f>
        <v>1336.9809999999998</v>
      </c>
      <c r="BE1317">
        <f>Model!BM45</f>
        <v>1421.2510000000004</v>
      </c>
      <c r="BF1317">
        <f>Model!BN45</f>
        <v>1864.9959999999996</v>
      </c>
      <c r="BG1317">
        <f>Model!BO45</f>
        <v>2634.1280000000002</v>
      </c>
      <c r="BH1317">
        <f>Model!BP45</f>
        <v>1762.6849999999999</v>
      </c>
      <c r="BI1317">
        <f>Model!BQ45</f>
        <v>1856.5417200000004</v>
      </c>
      <c r="BJ1317">
        <f>Model!BR45</f>
        <v>2372.5749599999999</v>
      </c>
      <c r="BK1317">
        <f>Model!BS45</f>
        <v>3379.77162</v>
      </c>
      <c r="BL1317">
        <f>Model!BT45</f>
        <v>2059.8625499999998</v>
      </c>
      <c r="BM1317">
        <f>Model!BU45</f>
        <v>2123.73972</v>
      </c>
      <c r="BN1317">
        <f>Model!BV45</f>
        <v>2469.6290799999997</v>
      </c>
      <c r="BO1317">
        <f>Model!BW45</f>
        <v>3625.1568599999996</v>
      </c>
      <c r="BP1317">
        <f>Model!BX45</f>
        <v>2330.4349199999997</v>
      </c>
      <c r="BQ1317">
        <f>Model!BY45</f>
        <v>2564.7014999999997</v>
      </c>
      <c r="BR1317">
        <f>Model!BZ45</f>
        <v>3012.9743200000003</v>
      </c>
      <c r="BS1317">
        <f>Model!CA45</f>
        <v>4270.9849699999995</v>
      </c>
      <c r="BT1317">
        <f>Model!CB45</f>
        <v>2663.3423699999998</v>
      </c>
      <c r="BU1317">
        <f>Model!CC45</f>
        <v>2653.431669194043</v>
      </c>
      <c r="BV1317">
        <f>Model!CD45</f>
        <v>3458.9119604073776</v>
      </c>
      <c r="BW1317">
        <f>Model!CE45</f>
        <v>5024.3487495013678</v>
      </c>
      <c r="BX1317">
        <f>Model!CF45</f>
        <v>3275.7959629330717</v>
      </c>
      <c r="BY1317">
        <f>Model!CG45</f>
        <v>0</v>
      </c>
      <c r="BZ1317">
        <f>Model!CH45</f>
        <v>0</v>
      </c>
      <c r="CA1317">
        <f>Model!CI45</f>
        <v>0</v>
      </c>
      <c r="CB1317">
        <f>Model!CJ45</f>
        <v>0</v>
      </c>
      <c r="CC1317">
        <f>Model!CK45</f>
        <v>0</v>
      </c>
      <c r="CD1317">
        <f>Model!CL45</f>
        <v>0</v>
      </c>
      <c r="CE1317">
        <f>Model!CM45</f>
        <v>0</v>
      </c>
      <c r="CF1317">
        <f>Model!CN45</f>
        <v>0</v>
      </c>
      <c r="CG1317">
        <f>Model!CO45</f>
        <v>0</v>
      </c>
      <c r="CH1317">
        <f>Model!CP45</f>
        <v>0</v>
      </c>
      <c r="CI1317">
        <f>Model!CQ45</f>
        <v>0</v>
      </c>
      <c r="CJ1317">
        <f>Model!CR45</f>
        <v>0</v>
      </c>
      <c r="CK1317">
        <f>Model!CS45</f>
        <v>0</v>
      </c>
      <c r="CL1317">
        <f>Model!CT45</f>
        <v>0</v>
      </c>
      <c r="CM1317">
        <f>Model!CU45</f>
        <v>0</v>
      </c>
      <c r="CN1317">
        <f>Model!CV45</f>
        <v>0</v>
      </c>
      <c r="CO1317">
        <f>Model!CW45</f>
        <v>0</v>
      </c>
      <c r="CP1317">
        <f>Model!CX45</f>
        <v>0</v>
      </c>
      <c r="CQ1317">
        <f>Model!CY45</f>
        <v>0</v>
      </c>
      <c r="CR1317">
        <f>Model!CZ45</f>
        <v>0</v>
      </c>
      <c r="CS1317">
        <f>Model!DA45</f>
        <v>0</v>
      </c>
      <c r="CT1317">
        <f>Model!DB45</f>
        <v>0</v>
      </c>
      <c r="CU1317">
        <f>Model!DC45</f>
        <v>0</v>
      </c>
      <c r="CV1317">
        <f>Model!DD45</f>
        <v>0</v>
      </c>
      <c r="CW1317">
        <f>Model!DE45</f>
        <v>0</v>
      </c>
      <c r="CX1317">
        <f>Model!DF45</f>
        <v>0</v>
      </c>
      <c r="CY1317">
        <f>Model!DG45</f>
        <v>0</v>
      </c>
      <c r="CZ1317">
        <f>Model!DH45</f>
        <v>0</v>
      </c>
    </row>
    <row r="1318" spans="1:104">
      <c r="A1318" t="str">
        <f>Model!I46</f>
        <v>% change Y/Y (constant currency)</v>
      </c>
      <c r="B1318">
        <f>Model!J46</f>
        <v>0</v>
      </c>
      <c r="C1318">
        <f>Model!K46</f>
        <v>0</v>
      </c>
      <c r="D1318">
        <f>Model!L46</f>
        <v>0</v>
      </c>
      <c r="E1318">
        <f>Model!M46</f>
        <v>0</v>
      </c>
      <c r="F1318">
        <f>Model!N46</f>
        <v>0</v>
      </c>
      <c r="G1318">
        <f>Model!O46</f>
        <v>0</v>
      </c>
      <c r="H1318">
        <f>Model!P46</f>
        <v>0</v>
      </c>
      <c r="I1318">
        <f>Model!Q46</f>
        <v>0</v>
      </c>
      <c r="J1318">
        <f>Model!R46</f>
        <v>0</v>
      </c>
      <c r="K1318">
        <f>Model!S46</f>
        <v>0</v>
      </c>
      <c r="L1318">
        <f>Model!T46</f>
        <v>0</v>
      </c>
      <c r="M1318">
        <f>Model!U46</f>
        <v>0</v>
      </c>
      <c r="N1318">
        <f>Model!V46</f>
        <v>0</v>
      </c>
      <c r="O1318">
        <f>Model!W46</f>
        <v>0</v>
      </c>
      <c r="P1318">
        <f>Model!X46</f>
        <v>0</v>
      </c>
      <c r="Q1318">
        <f>Model!Y46</f>
        <v>0</v>
      </c>
      <c r="R1318">
        <f>Model!Z46</f>
        <v>0</v>
      </c>
      <c r="S1318">
        <f>Model!AA46</f>
        <v>0</v>
      </c>
      <c r="T1318">
        <f>Model!AB46</f>
        <v>0</v>
      </c>
      <c r="U1318">
        <f>Model!AC46</f>
        <v>0</v>
      </c>
      <c r="V1318">
        <f>Model!AD46</f>
        <v>0</v>
      </c>
      <c r="W1318">
        <f>Model!AE46</f>
        <v>0</v>
      </c>
      <c r="X1318">
        <f>Model!AF46</f>
        <v>0</v>
      </c>
      <c r="Y1318">
        <f>Model!AG46</f>
        <v>0</v>
      </c>
      <c r="Z1318">
        <f>Model!AH46</f>
        <v>0</v>
      </c>
      <c r="AA1318">
        <f>Model!AI46</f>
        <v>0</v>
      </c>
      <c r="AB1318">
        <f>Model!AJ46</f>
        <v>0</v>
      </c>
      <c r="AC1318">
        <f>Model!AK46</f>
        <v>0</v>
      </c>
      <c r="AD1318">
        <f>Model!AL46</f>
        <v>0</v>
      </c>
      <c r="AE1318">
        <f>Model!AM46</f>
        <v>0</v>
      </c>
      <c r="AF1318">
        <f>Model!AN46</f>
        <v>0</v>
      </c>
      <c r="AG1318">
        <f>Model!AO46</f>
        <v>0</v>
      </c>
      <c r="AH1318">
        <f>Model!AP46</f>
        <v>0</v>
      </c>
      <c r="AI1318">
        <f>Model!AQ46</f>
        <v>0</v>
      </c>
      <c r="AJ1318">
        <f>Model!AR46</f>
        <v>0</v>
      </c>
      <c r="AK1318">
        <f>Model!AS46</f>
        <v>0</v>
      </c>
      <c r="AL1318">
        <f>Model!AT46</f>
        <v>0</v>
      </c>
      <c r="AM1318">
        <f>Model!AU46</f>
        <v>0</v>
      </c>
      <c r="AN1318">
        <f>Model!AV46</f>
        <v>0</v>
      </c>
      <c r="AO1318">
        <f>Model!AW46</f>
        <v>0</v>
      </c>
      <c r="AP1318">
        <f>Model!AX46</f>
        <v>0</v>
      </c>
      <c r="AQ1318">
        <f>Model!AY46</f>
        <v>0</v>
      </c>
      <c r="AR1318">
        <f>Model!AZ46</f>
        <v>0</v>
      </c>
      <c r="AS1318">
        <f>Model!BA46</f>
        <v>0</v>
      </c>
      <c r="AT1318">
        <f>Model!BB46</f>
        <v>0</v>
      </c>
      <c r="AU1318">
        <f>Model!BC46</f>
        <v>0</v>
      </c>
      <c r="AV1318">
        <f>Model!BD46</f>
        <v>0</v>
      </c>
      <c r="AW1318">
        <f>Model!BE46</f>
        <v>0</v>
      </c>
      <c r="AX1318">
        <f>Model!BF46</f>
        <v>0</v>
      </c>
      <c r="AY1318">
        <f>Model!BG46</f>
        <v>0</v>
      </c>
      <c r="AZ1318">
        <f>Model!BH46</f>
        <v>0</v>
      </c>
      <c r="BA1318">
        <f>Model!BI46</f>
        <v>0.35925105746359409</v>
      </c>
      <c r="BB1318">
        <f>Model!BJ46</f>
        <v>0.37218142453955738</v>
      </c>
      <c r="BC1318">
        <f>Model!BK46</f>
        <v>0.39685900690368281</v>
      </c>
      <c r="BD1318">
        <f>Model!BL46</f>
        <v>0.42269859005054489</v>
      </c>
      <c r="BE1318">
        <f>Model!BM46</f>
        <v>0.40764610043925509</v>
      </c>
      <c r="BF1318">
        <f>Model!BN46</f>
        <v>0.34768165739907686</v>
      </c>
      <c r="BG1318">
        <f>Model!BO46</f>
        <v>0.32430463559511646</v>
      </c>
      <c r="BH1318">
        <f>Model!BP46</f>
        <v>0.32204580961088314</v>
      </c>
      <c r="BI1318">
        <f>Model!BQ46</f>
        <v>0.32</v>
      </c>
      <c r="BJ1318">
        <f>Model!BR46</f>
        <v>0.26</v>
      </c>
      <c r="BK1318">
        <f>Model!BS46</f>
        <v>0.28999999999999998</v>
      </c>
      <c r="BL1318">
        <f>Model!BT46</f>
        <v>0.23</v>
      </c>
      <c r="BM1318">
        <f>Model!BU46</f>
        <v>0.27</v>
      </c>
      <c r="BN1318">
        <f>Model!BV46</f>
        <v>0.18</v>
      </c>
      <c r="BO1318">
        <f>Model!BW46</f>
        <v>0.23</v>
      </c>
      <c r="BP1318">
        <f>Model!BX46</f>
        <v>0.24</v>
      </c>
      <c r="BQ1318">
        <f>Model!BY46</f>
        <v>0.27</v>
      </c>
      <c r="BR1318">
        <f>Model!BZ46</f>
        <v>0.24</v>
      </c>
      <c r="BS1318">
        <f>Model!CA46</f>
        <v>0.19</v>
      </c>
      <c r="BT1318">
        <f>Model!CB46</f>
        <v>0.17</v>
      </c>
      <c r="BU1318">
        <f>Model!CC46</f>
        <v>0.13674573005461874</v>
      </c>
      <c r="BV1318">
        <f>Model!CD46</f>
        <v>0.17179197619070094</v>
      </c>
      <c r="BW1318">
        <f>Model!CE46</f>
        <v>0.14853991927892246</v>
      </c>
      <c r="BX1318">
        <f>Model!CF46</f>
        <v>0.18262215609962792</v>
      </c>
      <c r="BY1318">
        <f>Model!CG46</f>
        <v>0</v>
      </c>
      <c r="BZ1318">
        <f>Model!CH46</f>
        <v>0</v>
      </c>
      <c r="CA1318">
        <f>Model!CI46</f>
        <v>0</v>
      </c>
      <c r="CB1318">
        <f>Model!CJ46</f>
        <v>0</v>
      </c>
      <c r="CC1318">
        <f>Model!CK46</f>
        <v>0</v>
      </c>
      <c r="CD1318">
        <f>Model!CL46</f>
        <v>0</v>
      </c>
      <c r="CE1318">
        <f>Model!CM46</f>
        <v>0</v>
      </c>
      <c r="CF1318">
        <f>Model!CN46</f>
        <v>0</v>
      </c>
      <c r="CG1318">
        <f>Model!CO46</f>
        <v>0</v>
      </c>
      <c r="CH1318">
        <f>Model!CP46</f>
        <v>0</v>
      </c>
      <c r="CI1318">
        <f>Model!CQ46</f>
        <v>0</v>
      </c>
      <c r="CJ1318">
        <f>Model!CR46</f>
        <v>0</v>
      </c>
      <c r="CK1318">
        <f>Model!CS46</f>
        <v>0</v>
      </c>
      <c r="CL1318">
        <f>Model!CT46</f>
        <v>0</v>
      </c>
      <c r="CM1318">
        <f>Model!CU46</f>
        <v>0</v>
      </c>
      <c r="CN1318">
        <f>Model!CV46</f>
        <v>0</v>
      </c>
      <c r="CO1318">
        <f>Model!CW46</f>
        <v>0</v>
      </c>
      <c r="CP1318">
        <f>Model!CX46</f>
        <v>0</v>
      </c>
      <c r="CQ1318">
        <f>Model!CY46</f>
        <v>0</v>
      </c>
      <c r="CR1318">
        <f>Model!CZ46</f>
        <v>0</v>
      </c>
      <c r="CS1318">
        <f>Model!DA46</f>
        <v>0</v>
      </c>
      <c r="CT1318">
        <f>Model!DB46</f>
        <v>0</v>
      </c>
      <c r="CU1318">
        <f>Model!DC46</f>
        <v>0</v>
      </c>
      <c r="CV1318">
        <f>Model!DD46</f>
        <v>0</v>
      </c>
      <c r="CW1318">
        <f>Model!DE46</f>
        <v>0</v>
      </c>
      <c r="CX1318">
        <f>Model!DF46</f>
        <v>0</v>
      </c>
      <c r="CY1318">
        <f>Model!DG46</f>
        <v>0</v>
      </c>
      <c r="CZ1318">
        <f>Model!DH46</f>
        <v>0</v>
      </c>
    </row>
    <row r="1319" spans="1:104">
      <c r="A1319" t="str">
        <f>Model!I47</f>
        <v>FX Impact</v>
      </c>
      <c r="B1319">
        <f>Model!J47</f>
        <v>0</v>
      </c>
      <c r="C1319">
        <f>Model!K47</f>
        <v>0</v>
      </c>
      <c r="D1319">
        <f>Model!L47</f>
        <v>0</v>
      </c>
      <c r="E1319">
        <f>Model!M47</f>
        <v>0</v>
      </c>
      <c r="F1319">
        <f>Model!N47</f>
        <v>0</v>
      </c>
      <c r="G1319">
        <f>Model!O47</f>
        <v>0</v>
      </c>
      <c r="H1319">
        <f>Model!P47</f>
        <v>0</v>
      </c>
      <c r="I1319">
        <f>Model!Q47</f>
        <v>0</v>
      </c>
      <c r="J1319">
        <f>Model!R47</f>
        <v>0</v>
      </c>
      <c r="K1319">
        <f>Model!S47</f>
        <v>0</v>
      </c>
      <c r="L1319">
        <f>Model!T47</f>
        <v>0</v>
      </c>
      <c r="M1319">
        <f>Model!U47</f>
        <v>0</v>
      </c>
      <c r="N1319">
        <f>Model!V47</f>
        <v>0</v>
      </c>
      <c r="O1319">
        <f>Model!W47</f>
        <v>0</v>
      </c>
      <c r="P1319">
        <f>Model!X47</f>
        <v>0</v>
      </c>
      <c r="Q1319">
        <f>Model!Y47</f>
        <v>0</v>
      </c>
      <c r="R1319">
        <f>Model!Z47</f>
        <v>0</v>
      </c>
      <c r="S1319">
        <f>Model!AA47</f>
        <v>0</v>
      </c>
      <c r="T1319">
        <f>Model!AB47</f>
        <v>0</v>
      </c>
      <c r="U1319">
        <f>Model!AC47</f>
        <v>0</v>
      </c>
      <c r="V1319">
        <f>Model!AD47</f>
        <v>0</v>
      </c>
      <c r="W1319">
        <f>Model!AE47</f>
        <v>0</v>
      </c>
      <c r="X1319">
        <f>Model!AF47</f>
        <v>0</v>
      </c>
      <c r="Y1319">
        <f>Model!AG47</f>
        <v>0</v>
      </c>
      <c r="Z1319">
        <f>Model!AH47</f>
        <v>0</v>
      </c>
      <c r="AA1319">
        <f>Model!AI47</f>
        <v>0</v>
      </c>
      <c r="AB1319">
        <f>Model!AJ47</f>
        <v>0</v>
      </c>
      <c r="AC1319">
        <f>Model!AK47</f>
        <v>0</v>
      </c>
      <c r="AD1319">
        <f>Model!AL47</f>
        <v>0</v>
      </c>
      <c r="AE1319">
        <f>Model!AM47</f>
        <v>0</v>
      </c>
      <c r="AF1319">
        <f>Model!AN47</f>
        <v>0</v>
      </c>
      <c r="AG1319">
        <f>Model!AO47</f>
        <v>0</v>
      </c>
      <c r="AH1319">
        <f>Model!AP47</f>
        <v>0</v>
      </c>
      <c r="AI1319">
        <f>Model!AQ47</f>
        <v>0</v>
      </c>
      <c r="AJ1319">
        <f>Model!AR47</f>
        <v>0</v>
      </c>
      <c r="AK1319">
        <f>Model!AS47</f>
        <v>0</v>
      </c>
      <c r="AL1319">
        <f>Model!AT47</f>
        <v>0</v>
      </c>
      <c r="AM1319">
        <f>Model!AU47</f>
        <v>0</v>
      </c>
      <c r="AN1319">
        <f>Model!AV47</f>
        <v>0</v>
      </c>
      <c r="AO1319">
        <f>Model!AW47</f>
        <v>0</v>
      </c>
      <c r="AP1319">
        <f>Model!AX47</f>
        <v>0</v>
      </c>
      <c r="AQ1319">
        <f>Model!AY47</f>
        <v>0</v>
      </c>
      <c r="AR1319">
        <f>Model!AZ47</f>
        <v>0</v>
      </c>
      <c r="AS1319">
        <f>Model!BA47</f>
        <v>0</v>
      </c>
      <c r="AT1319">
        <f>Model!BB47</f>
        <v>0</v>
      </c>
      <c r="AU1319">
        <f>Model!BC47</f>
        <v>0</v>
      </c>
      <c r="AV1319">
        <f>Model!BD47</f>
        <v>0</v>
      </c>
      <c r="AW1319">
        <f>Model!BE47</f>
        <v>0</v>
      </c>
      <c r="AX1319">
        <f>Model!BF47</f>
        <v>0</v>
      </c>
      <c r="AY1319">
        <f>Model!BG47</f>
        <v>0</v>
      </c>
      <c r="AZ1319">
        <f>Model!BH47</f>
        <v>0</v>
      </c>
      <c r="BA1319">
        <f>Model!BI47</f>
        <v>-8.7449279417928238E-4</v>
      </c>
      <c r="BB1319">
        <f>Model!BJ47</f>
        <v>5.9652917615233836E-3</v>
      </c>
      <c r="BC1319">
        <f>Model!BK47</f>
        <v>2.7461491255645232E-2</v>
      </c>
      <c r="BD1319">
        <f>Model!BL47</f>
        <v>-3.915935089119138E-3</v>
      </c>
      <c r="BE1319">
        <f>Model!BM47</f>
        <v>-1.4638518716604265E-2</v>
      </c>
      <c r="BF1319">
        <f>Model!BN47</f>
        <v>1.300714308941342E-2</v>
      </c>
      <c r="BG1319">
        <f>Model!BO47</f>
        <v>-7.1138952221270202E-3</v>
      </c>
      <c r="BH1319">
        <f>Model!BP47</f>
        <v>-6.6001600538813099E-2</v>
      </c>
      <c r="BI1319">
        <f>Model!BQ47</f>
        <v>-0.13104125147265772</v>
      </c>
      <c r="BJ1319">
        <f>Model!BR47</f>
        <v>-0.14852339569494566</v>
      </c>
      <c r="BK1319">
        <f>Model!BS47</f>
        <v>-0.16507376016134495</v>
      </c>
      <c r="BL1319">
        <f>Model!BT47</f>
        <v>-0.10776925212801228</v>
      </c>
      <c r="BM1319">
        <f>Model!BU47</f>
        <v>-6.2365431673520044E-2</v>
      </c>
      <c r="BN1319">
        <f>Model!BV47</f>
        <v>-1.9021914983281374E-2</v>
      </c>
      <c r="BO1319">
        <f>Model!BW47</f>
        <v>-1.2246490156014672E-2</v>
      </c>
      <c r="BP1319">
        <f>Model!BX47</f>
        <v>-2.877216618432743E-2</v>
      </c>
      <c r="BQ1319">
        <f>Model!BY47</f>
        <v>-0.1141233999356257</v>
      </c>
      <c r="BR1319">
        <f>Model!BZ47</f>
        <v>-2.51707411830846E-2</v>
      </c>
      <c r="BS1319">
        <f>Model!CA47</f>
        <v>2.8856565070047357E-2</v>
      </c>
      <c r="BT1319">
        <f>Model!CB47</f>
        <v>4.6829404474949238E-2</v>
      </c>
      <c r="BU1319">
        <f>Model!CC47</f>
        <v>6.171233571310078E-2</v>
      </c>
      <c r="BV1319">
        <f>Model!CD47</f>
        <v>3.4986884159618183E-2</v>
      </c>
      <c r="BW1319">
        <f>Model!CE47</f>
        <v>-4.557675090678546E-3</v>
      </c>
      <c r="BX1319">
        <f>Model!CF47</f>
        <v>3.6821902121040105E-2</v>
      </c>
      <c r="BY1319">
        <f>Model!CG47</f>
        <v>0</v>
      </c>
      <c r="BZ1319">
        <f>Model!CH47</f>
        <v>0</v>
      </c>
      <c r="CA1319">
        <f>Model!CI47</f>
        <v>0</v>
      </c>
      <c r="CB1319">
        <f>Model!CJ47</f>
        <v>0</v>
      </c>
      <c r="CC1319">
        <f>Model!CK47</f>
        <v>0</v>
      </c>
      <c r="CD1319">
        <f>Model!CL47</f>
        <v>0</v>
      </c>
      <c r="CE1319">
        <f>Model!CM47</f>
        <v>0</v>
      </c>
      <c r="CF1319">
        <f>Model!CN47</f>
        <v>0</v>
      </c>
      <c r="CG1319">
        <f>Model!CO47</f>
        <v>0</v>
      </c>
      <c r="CH1319">
        <f>Model!CP47</f>
        <v>0</v>
      </c>
      <c r="CI1319">
        <f>Model!CQ47</f>
        <v>0</v>
      </c>
      <c r="CJ1319">
        <f>Model!CR47</f>
        <v>0</v>
      </c>
      <c r="CK1319">
        <f>Model!CS47</f>
        <v>0</v>
      </c>
      <c r="CL1319">
        <f>Model!CT47</f>
        <v>0</v>
      </c>
      <c r="CM1319">
        <f>Model!CU47</f>
        <v>0</v>
      </c>
      <c r="CN1319">
        <f>Model!CV47</f>
        <v>0</v>
      </c>
      <c r="CO1319">
        <f>Model!CW47</f>
        <v>0</v>
      </c>
      <c r="CP1319">
        <f>Model!CX47</f>
        <v>0</v>
      </c>
      <c r="CQ1319">
        <f>Model!CY47</f>
        <v>0</v>
      </c>
      <c r="CR1319">
        <f>Model!CZ47</f>
        <v>0</v>
      </c>
      <c r="CS1319">
        <f>Model!DA47</f>
        <v>0</v>
      </c>
      <c r="CT1319">
        <f>Model!DB47</f>
        <v>0</v>
      </c>
      <c r="CU1319">
        <f>Model!DC47</f>
        <v>0</v>
      </c>
      <c r="CV1319">
        <f>Model!DD47</f>
        <v>0</v>
      </c>
      <c r="CW1319">
        <f>Model!DE47</f>
        <v>0</v>
      </c>
      <c r="CX1319">
        <f>Model!DF47</f>
        <v>0</v>
      </c>
      <c r="CY1319">
        <f>Model!DG47</f>
        <v>0</v>
      </c>
      <c r="CZ1319">
        <f>Model!DH47</f>
        <v>0</v>
      </c>
    </row>
    <row r="1320" spans="1:104">
      <c r="A1320">
        <f>Model!I48</f>
        <v>0</v>
      </c>
      <c r="B1320">
        <f>Model!J48</f>
        <v>0</v>
      </c>
      <c r="C1320">
        <f>Model!K48</f>
        <v>0</v>
      </c>
      <c r="D1320">
        <f>Model!L48</f>
        <v>0</v>
      </c>
      <c r="E1320">
        <f>Model!M48</f>
        <v>0</v>
      </c>
      <c r="F1320">
        <f>Model!N48</f>
        <v>0</v>
      </c>
      <c r="G1320">
        <f>Model!O48</f>
        <v>0</v>
      </c>
      <c r="H1320">
        <f>Model!P48</f>
        <v>0</v>
      </c>
      <c r="I1320">
        <f>Model!Q48</f>
        <v>0</v>
      </c>
      <c r="J1320">
        <f>Model!R48</f>
        <v>0</v>
      </c>
      <c r="K1320">
        <f>Model!S48</f>
        <v>0</v>
      </c>
      <c r="L1320">
        <f>Model!T48</f>
        <v>0</v>
      </c>
      <c r="M1320">
        <f>Model!U48</f>
        <v>0</v>
      </c>
      <c r="N1320">
        <f>Model!V48</f>
        <v>0</v>
      </c>
      <c r="O1320">
        <f>Model!W48</f>
        <v>0</v>
      </c>
      <c r="P1320">
        <f>Model!X48</f>
        <v>0</v>
      </c>
      <c r="Q1320">
        <f>Model!Y48</f>
        <v>0</v>
      </c>
      <c r="R1320">
        <f>Model!Z48</f>
        <v>0</v>
      </c>
      <c r="S1320">
        <f>Model!AA48</f>
        <v>0</v>
      </c>
      <c r="T1320">
        <f>Model!AB48</f>
        <v>0</v>
      </c>
      <c r="U1320">
        <f>Model!AC48</f>
        <v>0</v>
      </c>
      <c r="V1320">
        <f>Model!AD48</f>
        <v>0</v>
      </c>
      <c r="W1320">
        <f>Model!AE48</f>
        <v>0</v>
      </c>
      <c r="X1320">
        <f>Model!AF48</f>
        <v>0</v>
      </c>
      <c r="Y1320">
        <f>Model!AG48</f>
        <v>0</v>
      </c>
      <c r="Z1320">
        <f>Model!AH48</f>
        <v>0</v>
      </c>
      <c r="AA1320">
        <f>Model!AI48</f>
        <v>0</v>
      </c>
      <c r="AB1320">
        <f>Model!AJ48</f>
        <v>0</v>
      </c>
      <c r="AC1320">
        <f>Model!AK48</f>
        <v>0</v>
      </c>
      <c r="AD1320">
        <f>Model!AL48</f>
        <v>0</v>
      </c>
      <c r="AE1320">
        <f>Model!AM48</f>
        <v>0</v>
      </c>
      <c r="AF1320">
        <f>Model!AN48</f>
        <v>0</v>
      </c>
      <c r="AG1320">
        <f>Model!AO48</f>
        <v>0</v>
      </c>
      <c r="AH1320">
        <f>Model!AP48</f>
        <v>0</v>
      </c>
      <c r="AI1320">
        <f>Model!AQ48</f>
        <v>0</v>
      </c>
      <c r="AJ1320">
        <f>Model!AR48</f>
        <v>0</v>
      </c>
      <c r="AK1320">
        <f>Model!AS48</f>
        <v>0</v>
      </c>
      <c r="AL1320">
        <f>Model!AT48</f>
        <v>0</v>
      </c>
      <c r="AM1320">
        <f>Model!AU48</f>
        <v>0</v>
      </c>
      <c r="AN1320">
        <f>Model!AV48</f>
        <v>0</v>
      </c>
      <c r="AO1320">
        <f>Model!AW48</f>
        <v>0</v>
      </c>
      <c r="AP1320">
        <f>Model!AX48</f>
        <v>0</v>
      </c>
      <c r="AQ1320">
        <f>Model!AY48</f>
        <v>0</v>
      </c>
      <c r="AR1320">
        <f>Model!AZ48</f>
        <v>0</v>
      </c>
      <c r="AS1320">
        <f>Model!BA48</f>
        <v>0</v>
      </c>
      <c r="AT1320">
        <f>Model!BB48</f>
        <v>0</v>
      </c>
      <c r="AU1320">
        <f>Model!BC48</f>
        <v>0</v>
      </c>
      <c r="AV1320">
        <f>Model!BD48</f>
        <v>0</v>
      </c>
      <c r="AW1320">
        <f>Model!BE48</f>
        <v>0</v>
      </c>
      <c r="AX1320">
        <f>Model!BF48</f>
        <v>0</v>
      </c>
      <c r="AY1320">
        <f>Model!BG48</f>
        <v>0</v>
      </c>
      <c r="AZ1320">
        <f>Model!BH48</f>
        <v>0</v>
      </c>
      <c r="BA1320">
        <f>Model!BI48</f>
        <v>0</v>
      </c>
      <c r="BB1320">
        <f>Model!BJ48</f>
        <v>0</v>
      </c>
      <c r="BC1320">
        <f>Model!BK48</f>
        <v>0</v>
      </c>
      <c r="BD1320">
        <f>Model!BL48</f>
        <v>0</v>
      </c>
      <c r="BE1320">
        <f>Model!BM48</f>
        <v>0</v>
      </c>
      <c r="BF1320">
        <f>Model!BN48</f>
        <v>0</v>
      </c>
      <c r="BG1320">
        <f>Model!BO48</f>
        <v>0</v>
      </c>
      <c r="BH1320">
        <f>Model!BP48</f>
        <v>0</v>
      </c>
      <c r="BI1320">
        <f>Model!BQ48</f>
        <v>0</v>
      </c>
      <c r="BJ1320">
        <f>Model!BR48</f>
        <v>0</v>
      </c>
      <c r="BK1320">
        <f>Model!BS48</f>
        <v>0</v>
      </c>
      <c r="BL1320">
        <f>Model!BT48</f>
        <v>0</v>
      </c>
      <c r="BM1320">
        <f>Model!BU48</f>
        <v>0</v>
      </c>
      <c r="BN1320">
        <f>Model!BV48</f>
        <v>0</v>
      </c>
      <c r="BO1320">
        <f>Model!BW48</f>
        <v>0</v>
      </c>
      <c r="BP1320">
        <f>Model!BX48</f>
        <v>0</v>
      </c>
      <c r="BQ1320">
        <f>Model!BY48</f>
        <v>0</v>
      </c>
      <c r="BR1320">
        <f>Model!BZ48</f>
        <v>0</v>
      </c>
      <c r="BS1320">
        <f>Model!CA48</f>
        <v>0</v>
      </c>
      <c r="BT1320">
        <f>Model!CB48</f>
        <v>0</v>
      </c>
      <c r="BU1320">
        <f>Model!CC48</f>
        <v>0</v>
      </c>
      <c r="BV1320">
        <f>Model!CD48</f>
        <v>0</v>
      </c>
      <c r="BW1320">
        <f>Model!CE48</f>
        <v>0</v>
      </c>
      <c r="BX1320">
        <f>Model!CF48</f>
        <v>0</v>
      </c>
      <c r="BY1320">
        <f>Model!CG48</f>
        <v>0</v>
      </c>
      <c r="BZ1320">
        <f>Model!CH48</f>
        <v>0</v>
      </c>
      <c r="CA1320">
        <f>Model!CI48</f>
        <v>0</v>
      </c>
      <c r="CB1320">
        <f>Model!CJ48</f>
        <v>0</v>
      </c>
      <c r="CC1320">
        <f>Model!CK48</f>
        <v>0</v>
      </c>
      <c r="CD1320">
        <f>Model!CL48</f>
        <v>0</v>
      </c>
      <c r="CE1320">
        <f>Model!CM48</f>
        <v>0</v>
      </c>
      <c r="CF1320">
        <f>Model!CN48</f>
        <v>0</v>
      </c>
      <c r="CG1320">
        <f>Model!CO48</f>
        <v>0</v>
      </c>
      <c r="CH1320">
        <f>Model!CP48</f>
        <v>0</v>
      </c>
      <c r="CI1320">
        <f>Model!CQ48</f>
        <v>0</v>
      </c>
      <c r="CJ1320">
        <f>Model!CR48</f>
        <v>0</v>
      </c>
      <c r="CK1320">
        <f>Model!CS48</f>
        <v>0</v>
      </c>
      <c r="CL1320">
        <f>Model!CT48</f>
        <v>0</v>
      </c>
      <c r="CM1320">
        <f>Model!CU48</f>
        <v>0</v>
      </c>
      <c r="CN1320">
        <f>Model!CV48</f>
        <v>0</v>
      </c>
      <c r="CO1320">
        <f>Model!CW48</f>
        <v>0</v>
      </c>
      <c r="CP1320">
        <f>Model!CX48</f>
        <v>0</v>
      </c>
      <c r="CQ1320">
        <f>Model!CY48</f>
        <v>0</v>
      </c>
      <c r="CR1320">
        <f>Model!CZ48</f>
        <v>0</v>
      </c>
      <c r="CS1320">
        <f>Model!DA48</f>
        <v>0</v>
      </c>
      <c r="CT1320">
        <f>Model!DB48</f>
        <v>0</v>
      </c>
      <c r="CU1320">
        <f>Model!DC48</f>
        <v>0</v>
      </c>
      <c r="CV1320">
        <f>Model!DD48</f>
        <v>0</v>
      </c>
      <c r="CW1320">
        <f>Model!DE48</f>
        <v>0</v>
      </c>
      <c r="CX1320">
        <f>Model!DF48</f>
        <v>0</v>
      </c>
      <c r="CY1320">
        <f>Model!DG48</f>
        <v>0</v>
      </c>
      <c r="CZ1320">
        <f>Model!DH48</f>
        <v>0</v>
      </c>
    </row>
    <row r="1321" spans="1:104">
      <c r="A1321" t="str">
        <f>Model!I95</f>
        <v>Adjusted EBITDA (new Non-GAAP method)</v>
      </c>
      <c r="B1321">
        <f>Model!J95</f>
        <v>0</v>
      </c>
      <c r="C1321">
        <f>Model!K95</f>
        <v>0</v>
      </c>
      <c r="D1321">
        <f>Model!L95</f>
        <v>0</v>
      </c>
      <c r="E1321">
        <f>Model!M95</f>
        <v>0</v>
      </c>
      <c r="F1321">
        <f>Model!N95</f>
        <v>0</v>
      </c>
      <c r="G1321">
        <f>Model!O95</f>
        <v>0</v>
      </c>
      <c r="H1321">
        <f>Model!P95</f>
        <v>0</v>
      </c>
      <c r="I1321">
        <f>Model!Q95</f>
        <v>0</v>
      </c>
      <c r="J1321">
        <f>Model!R95</f>
        <v>0</v>
      </c>
      <c r="K1321">
        <f>Model!S95</f>
        <v>0</v>
      </c>
      <c r="L1321">
        <f>Model!T95</f>
        <v>0</v>
      </c>
      <c r="M1321">
        <f>Model!U95</f>
        <v>0</v>
      </c>
      <c r="N1321">
        <f>Model!V95</f>
        <v>0</v>
      </c>
      <c r="O1321">
        <f>Model!W95</f>
        <v>0</v>
      </c>
      <c r="P1321">
        <f>Model!X95</f>
        <v>0</v>
      </c>
      <c r="Q1321">
        <f>Model!Y95</f>
        <v>0</v>
      </c>
      <c r="R1321">
        <f>Model!Z95</f>
        <v>0</v>
      </c>
      <c r="S1321">
        <f>Model!AA95</f>
        <v>0</v>
      </c>
      <c r="T1321">
        <f>Model!AB95</f>
        <v>0</v>
      </c>
      <c r="U1321">
        <f>Model!AC95</f>
        <v>0</v>
      </c>
      <c r="V1321">
        <f>Model!AD95</f>
        <v>0</v>
      </c>
      <c r="W1321">
        <f>Model!AE95</f>
        <v>0</v>
      </c>
      <c r="X1321">
        <f>Model!AF95</f>
        <v>0</v>
      </c>
      <c r="Y1321">
        <f>Model!AG95</f>
        <v>6.9629999999999912</v>
      </c>
      <c r="Z1321">
        <f>Model!AH95</f>
        <v>26.775000000000006</v>
      </c>
      <c r="AA1321">
        <f>Model!AI95</f>
        <v>39.393000000000001</v>
      </c>
      <c r="AB1321">
        <f>Model!AJ95</f>
        <v>20.604999999999965</v>
      </c>
      <c r="AC1321">
        <f>Model!AK95</f>
        <v>12.749000000000043</v>
      </c>
      <c r="AD1321">
        <f>Model!AL95</f>
        <v>53.43799999999996</v>
      </c>
      <c r="AE1321">
        <f>Model!AM95</f>
        <v>85.821999999999989</v>
      </c>
      <c r="AF1321">
        <f>Model!AN95</f>
        <v>53.037000000000013</v>
      </c>
      <c r="AG1321">
        <f>Model!AO95</f>
        <v>37.034000000000006</v>
      </c>
      <c r="AH1321">
        <f>Model!AP95</f>
        <v>92.048000000000044</v>
      </c>
      <c r="AI1321">
        <f>Model!AQ95</f>
        <v>142.35700000000003</v>
      </c>
      <c r="AJ1321">
        <f>Model!AR95</f>
        <v>75.554000000000002</v>
      </c>
      <c r="AK1321">
        <f>Model!AS95</f>
        <v>61.21700000000002</v>
      </c>
      <c r="AL1321">
        <f>Model!AT95</f>
        <v>120.25699999999998</v>
      </c>
      <c r="AM1321">
        <f>Model!AU95</f>
        <v>214.14899999999997</v>
      </c>
      <c r="AN1321">
        <f>Model!AV95</f>
        <v>125.93500000000007</v>
      </c>
      <c r="AO1321">
        <f>Model!AW95</f>
        <v>99.808999999999884</v>
      </c>
      <c r="AP1321">
        <f>Model!AX95</f>
        <v>188.74199999999985</v>
      </c>
      <c r="AQ1321">
        <f>Model!AY95</f>
        <v>344.07499999999987</v>
      </c>
      <c r="AR1321">
        <f>Model!AZ95</f>
        <v>201.54300000000006</v>
      </c>
      <c r="AS1321">
        <f>Model!BA95</f>
        <v>159.46500000000003</v>
      </c>
      <c r="AT1321">
        <f>Model!BB95</f>
        <v>335.94000000000005</v>
      </c>
      <c r="AU1321">
        <f>Model!BC95</f>
        <v>631.16200000000015</v>
      </c>
      <c r="AV1321">
        <f>Model!BD95</f>
        <v>318.68400000000008</v>
      </c>
      <c r="AW1321">
        <f>Model!BE95</f>
        <v>254.99699999999999</v>
      </c>
      <c r="AX1321">
        <f>Model!BF95</f>
        <v>477.22299999999996</v>
      </c>
      <c r="AY1321">
        <f>Model!BG95</f>
        <v>763.34300000000007</v>
      </c>
      <c r="AZ1321">
        <f>Model!BH95</f>
        <v>389.65000000000015</v>
      </c>
      <c r="BA1321">
        <f>Model!BI95</f>
        <v>325.97699999999998</v>
      </c>
      <c r="BB1321">
        <f>Model!BJ95</f>
        <v>580.07599999999991</v>
      </c>
      <c r="BC1321">
        <f>Model!BK95</f>
        <v>1079.3659999999993</v>
      </c>
      <c r="BD1321">
        <f>Model!BL95</f>
        <v>534.87599999999986</v>
      </c>
      <c r="BE1321">
        <f>Model!BM95</f>
        <v>474.52900000000017</v>
      </c>
      <c r="BF1321">
        <f>Model!BN95</f>
        <v>774.25700000000006</v>
      </c>
      <c r="BG1321">
        <f>Model!BO95</f>
        <v>1383.7750000000003</v>
      </c>
      <c r="BH1321">
        <f>Model!BP95</f>
        <v>645.39599999999996</v>
      </c>
      <c r="BI1321">
        <f>Model!BQ95</f>
        <v>477.72699999999975</v>
      </c>
      <c r="BJ1321">
        <f>Model!BR95</f>
        <v>744.56100000000015</v>
      </c>
      <c r="BK1321">
        <f>Model!BS95</f>
        <v>1538.3230000000001</v>
      </c>
      <c r="BL1321">
        <f>Model!BT95</f>
        <v>714.64699999999959</v>
      </c>
      <c r="BM1321">
        <f>Model!BU95</f>
        <v>610.26099999999951</v>
      </c>
      <c r="BN1321">
        <f>Model!BV95</f>
        <v>812.1160000000001</v>
      </c>
      <c r="BO1321">
        <f>Model!BW95</f>
        <v>1848.2410000000002</v>
      </c>
      <c r="BP1321">
        <f>Model!BX95</f>
        <v>868.61699999999962</v>
      </c>
      <c r="BQ1321">
        <f>Model!BY95</f>
        <v>634.76499999999987</v>
      </c>
      <c r="BR1321">
        <f>Model!BZ95</f>
        <v>974.13700000000051</v>
      </c>
      <c r="BS1321">
        <f>Model!CA95</f>
        <v>2187.6760000000004</v>
      </c>
      <c r="BT1321">
        <f>Model!CB95</f>
        <v>1070.6539999999998</v>
      </c>
      <c r="BU1321">
        <f>Model!CC95</f>
        <v>764.65551155532273</v>
      </c>
      <c r="BV1321">
        <f>Model!CD95</f>
        <v>1210.0034275840203</v>
      </c>
      <c r="BW1321">
        <f>Model!CE95</f>
        <v>2557.2658733780972</v>
      </c>
      <c r="BX1321">
        <f>Model!CF95</f>
        <v>1391.7444963980067</v>
      </c>
      <c r="BY1321">
        <f>Model!CG95</f>
        <v>0</v>
      </c>
      <c r="BZ1321">
        <f>Model!CH95</f>
        <v>0</v>
      </c>
      <c r="CA1321">
        <f>Model!CI95</f>
        <v>0</v>
      </c>
      <c r="CB1321">
        <f>Model!CJ95</f>
        <v>19.082999999999984</v>
      </c>
      <c r="CC1321">
        <f>Model!CK95</f>
        <v>47.557000000000023</v>
      </c>
      <c r="CD1321">
        <f>Model!CL95</f>
        <v>64.277000000000001</v>
      </c>
      <c r="CE1321">
        <f>Model!CM95</f>
        <v>93.736000000000175</v>
      </c>
      <c r="CF1321">
        <f>Model!CN95</f>
        <v>205.04599999999976</v>
      </c>
      <c r="CG1321">
        <f>Model!CO95</f>
        <v>346.99300000000005</v>
      </c>
      <c r="CH1321">
        <f>Model!CP95</f>
        <v>521.55799999999965</v>
      </c>
      <c r="CI1321">
        <f>Model!CQ95</f>
        <v>834.16899999999976</v>
      </c>
      <c r="CJ1321">
        <f>Model!CR95</f>
        <v>1445.2510000000004</v>
      </c>
      <c r="CK1321">
        <f>Model!CS95</f>
        <v>1885.2130000000011</v>
      </c>
      <c r="CL1321">
        <f>Model!CT95</f>
        <v>2520.2950000000001</v>
      </c>
      <c r="CM1321">
        <f>Model!CU95</f>
        <v>3277.956999999999</v>
      </c>
      <c r="CN1321">
        <f>Model!CV95</f>
        <v>3475.257999999998</v>
      </c>
      <c r="CO1321">
        <f>Model!CW95</f>
        <v>4139.2349999999997</v>
      </c>
      <c r="CP1321">
        <f>Model!CX95</f>
        <v>4867.2319999999982</v>
      </c>
      <c r="CQ1321">
        <f>Model!CY95</f>
        <v>5923.6693089154496</v>
      </c>
      <c r="CR1321">
        <f>Model!CZ95</f>
        <v>6799.2864405486807</v>
      </c>
      <c r="CS1321">
        <f>Model!DA95</f>
        <v>7681.090174516783</v>
      </c>
      <c r="CT1321">
        <f>Model!DB95</f>
        <v>8561.946486500301</v>
      </c>
      <c r="CU1321">
        <f>Model!DC95</f>
        <v>9437.0385176143209</v>
      </c>
      <c r="CV1321">
        <f>Model!DD95</f>
        <v>10295.109285605473</v>
      </c>
      <c r="CW1321">
        <f>Model!DE95</f>
        <v>11125.332248816248</v>
      </c>
      <c r="CX1321">
        <f>Model!DF95</f>
        <v>12064.464817989532</v>
      </c>
      <c r="CY1321">
        <f>Model!DG95</f>
        <v>0.33029084133864983</v>
      </c>
      <c r="CZ1321">
        <f>Model!DH95</f>
        <v>0.171890847406589</v>
      </c>
    </row>
    <row r="1322" spans="1:104">
      <c r="A1322" t="str">
        <f>Model!I96</f>
        <v>EBITDA Margin % of GP</v>
      </c>
      <c r="B1322">
        <f>Model!J96</f>
        <v>0</v>
      </c>
      <c r="C1322">
        <f>Model!K96</f>
        <v>0</v>
      </c>
      <c r="D1322">
        <f>Model!L96</f>
        <v>0</v>
      </c>
      <c r="E1322">
        <f>Model!M96</f>
        <v>0</v>
      </c>
      <c r="F1322">
        <f>Model!N96</f>
        <v>0</v>
      </c>
      <c r="G1322">
        <f>Model!O96</f>
        <v>0</v>
      </c>
      <c r="H1322">
        <f>Model!P96</f>
        <v>0</v>
      </c>
      <c r="I1322">
        <f>Model!Q96</f>
        <v>0</v>
      </c>
      <c r="J1322">
        <f>Model!R96</f>
        <v>0</v>
      </c>
      <c r="K1322">
        <f>Model!S96</f>
        <v>0</v>
      </c>
      <c r="L1322">
        <f>Model!T96</f>
        <v>0</v>
      </c>
      <c r="M1322">
        <f>Model!U96</f>
        <v>0</v>
      </c>
      <c r="N1322">
        <f>Model!V96</f>
        <v>0</v>
      </c>
      <c r="O1322">
        <f>Model!W96</f>
        <v>0</v>
      </c>
      <c r="P1322">
        <f>Model!X96</f>
        <v>0</v>
      </c>
      <c r="Q1322">
        <f>Model!Y96</f>
        <v>0</v>
      </c>
      <c r="R1322">
        <f>Model!Z96</f>
        <v>0</v>
      </c>
      <c r="S1322">
        <f>Model!AA96</f>
        <v>0</v>
      </c>
      <c r="T1322">
        <f>Model!AB96</f>
        <v>0</v>
      </c>
      <c r="U1322">
        <f>Model!AC96</f>
        <v>0</v>
      </c>
      <c r="V1322">
        <f>Model!AD96</f>
        <v>0</v>
      </c>
      <c r="W1322">
        <f>Model!AE96</f>
        <v>0</v>
      </c>
      <c r="X1322">
        <f>Model!AF96</f>
        <v>0</v>
      </c>
      <c r="Y1322">
        <f>Model!AG96</f>
        <v>9.6399053038169091E-2</v>
      </c>
      <c r="Z1322">
        <f>Model!AH96</f>
        <v>0.25306226607689697</v>
      </c>
      <c r="AA1322">
        <f>Model!AI96</f>
        <v>0.32204872465663825</v>
      </c>
      <c r="AB1322">
        <f>Model!AJ96</f>
        <v>0.20705005174995197</v>
      </c>
      <c r="AC1322">
        <f>Model!AK96</f>
        <v>0.12277660609212376</v>
      </c>
      <c r="AD1322">
        <f>Model!AL96</f>
        <v>0.3449994512340776</v>
      </c>
      <c r="AE1322">
        <f>Model!AM96</f>
        <v>0.4241663412922389</v>
      </c>
      <c r="AF1322">
        <f>Model!AN96</f>
        <v>0.33116664169039417</v>
      </c>
      <c r="AG1322">
        <f>Model!AO96</f>
        <v>0.2044913667912735</v>
      </c>
      <c r="AH1322">
        <f>Model!AP96</f>
        <v>0.36278648142674169</v>
      </c>
      <c r="AI1322">
        <f>Model!AQ96</f>
        <v>0.45038566429805305</v>
      </c>
      <c r="AJ1322">
        <f>Model!AR96</f>
        <v>0.36843927535171778</v>
      </c>
      <c r="AK1322">
        <f>Model!AS96</f>
        <v>0.29384630154082475</v>
      </c>
      <c r="AL1322">
        <f>Model!AT96</f>
        <v>0.39397781403363924</v>
      </c>
      <c r="AM1322">
        <f>Model!AU96</f>
        <v>0.49342405404533574</v>
      </c>
      <c r="AN1322">
        <f>Model!AV96</f>
        <v>0.40210543793045106</v>
      </c>
      <c r="AO1322">
        <f>Model!AW96</f>
        <v>0.31276714423595159</v>
      </c>
      <c r="AP1322">
        <f>Model!AX96</f>
        <v>0.42301382389328146</v>
      </c>
      <c r="AQ1322">
        <f>Model!AY96</f>
        <v>0.51492200033522484</v>
      </c>
      <c r="AR1322">
        <f>Model!AZ96</f>
        <v>0.41973609126843642</v>
      </c>
      <c r="AS1322">
        <f>Model!BA96</f>
        <v>0.31526784866985103</v>
      </c>
      <c r="AT1322">
        <f>Model!BB96</f>
        <v>0.44838213251791514</v>
      </c>
      <c r="AU1322">
        <f>Model!BC96</f>
        <v>0.57370644676898019</v>
      </c>
      <c r="AV1322">
        <f>Model!BD96</f>
        <v>0.43974792223508596</v>
      </c>
      <c r="AW1322">
        <f>Model!BE96</f>
        <v>0.34306621390362818</v>
      </c>
      <c r="AX1322">
        <f>Model!BF96</f>
        <v>0.47525449587807295</v>
      </c>
      <c r="AY1322">
        <f>Model!BG96</f>
        <v>0.54661113740699085</v>
      </c>
      <c r="AZ1322">
        <f>Model!BH96</f>
        <v>0.41463155094440024</v>
      </c>
      <c r="BA1322">
        <f>Model!BI96</f>
        <v>0.32285659104752568</v>
      </c>
      <c r="BB1322">
        <f>Model!BJ96</f>
        <v>0.41917397415191615</v>
      </c>
      <c r="BC1322">
        <f>Model!BK96</f>
        <v>0.54264993853896148</v>
      </c>
      <c r="BD1322">
        <f>Model!BL96</f>
        <v>0.40116672829316102</v>
      </c>
      <c r="BE1322">
        <f>Model!BM96</f>
        <v>0.33738982175956711</v>
      </c>
      <c r="BF1322">
        <f>Model!BN96</f>
        <v>0.41118356066608752</v>
      </c>
      <c r="BG1322">
        <f>Model!BO96</f>
        <v>0.52816283190164204</v>
      </c>
      <c r="BH1322">
        <f>Model!BP96</f>
        <v>0.38538351988582925</v>
      </c>
      <c r="BI1322">
        <f>Model!BQ96</f>
        <v>0.28568156647745879</v>
      </c>
      <c r="BJ1322">
        <f>Model!BR96</f>
        <v>0.35575463016494774</v>
      </c>
      <c r="BK1322">
        <f>Model!BS96</f>
        <v>0.52194632206894365</v>
      </c>
      <c r="BL1322">
        <f>Model!BT96</f>
        <v>0.38025617982071758</v>
      </c>
      <c r="BM1322">
        <f>Model!BU96</f>
        <v>0.30219168585505934</v>
      </c>
      <c r="BN1322">
        <f>Model!BV96</f>
        <v>0.33422914802672465</v>
      </c>
      <c r="BO1322">
        <f>Model!BW96</f>
        <v>0.51496476935623592</v>
      </c>
      <c r="BP1322">
        <f>Model!BX96</f>
        <v>0.38158139240656452</v>
      </c>
      <c r="BQ1322">
        <f>Model!BY96</f>
        <v>0.27193705860806638</v>
      </c>
      <c r="BR1322">
        <f>Model!BZ96</f>
        <v>0.33001300217425644</v>
      </c>
      <c r="BS1322">
        <f>Model!CA96</f>
        <v>0.50009132361637876</v>
      </c>
      <c r="BT1322">
        <f>Model!CB96</f>
        <v>0.38652564330746153</v>
      </c>
      <c r="BU1322">
        <f>Model!CC96</f>
        <v>0.27333698767639436</v>
      </c>
      <c r="BV1322">
        <f>Model!CD96</f>
        <v>0.3396799543757506</v>
      </c>
      <c r="BW1322">
        <f>Model!CE96</f>
        <v>0.51100237264827453</v>
      </c>
      <c r="BX1322">
        <f>Model!CF96</f>
        <v>0.41202806474160841</v>
      </c>
      <c r="BY1322">
        <f>Model!CG96</f>
        <v>0</v>
      </c>
      <c r="BZ1322">
        <f>Model!CH96</f>
        <v>0</v>
      </c>
      <c r="CA1322">
        <f>Model!CI96</f>
        <v>0</v>
      </c>
      <c r="CB1322">
        <f>Model!CJ96</f>
        <v>0.13075473637329121</v>
      </c>
      <c r="CC1322">
        <f>Model!CK96</f>
        <v>0.23643848284022503</v>
      </c>
      <c r="CD1322">
        <f>Model!CL96</f>
        <v>0.238195293681675</v>
      </c>
      <c r="CE1322">
        <f>Model!CM96</f>
        <v>0.23441501280409763</v>
      </c>
      <c r="CF1322">
        <f>Model!CN96</f>
        <v>0.33007251917613045</v>
      </c>
      <c r="CG1322">
        <f>Model!CO96</f>
        <v>0.36297439985104152</v>
      </c>
      <c r="CH1322">
        <f>Model!CP96</f>
        <v>0.41368441174114379</v>
      </c>
      <c r="CI1322">
        <f>Model!CQ96</f>
        <v>0.43589921794412206</v>
      </c>
      <c r="CJ1322">
        <f>Model!CR96</f>
        <v>0.46925562034884483</v>
      </c>
      <c r="CK1322">
        <f>Model!CS96</f>
        <v>0.46164551050877889</v>
      </c>
      <c r="CL1322">
        <f>Model!CT96</f>
        <v>0.44092814307353223</v>
      </c>
      <c r="CM1322">
        <f>Model!CU96</f>
        <v>0.43221265985683255</v>
      </c>
      <c r="CN1322">
        <f>Model!CV96</f>
        <v>0.40448511005891991</v>
      </c>
      <c r="CO1322">
        <f>Model!CW96</f>
        <v>0.40129506533011361</v>
      </c>
      <c r="CP1322">
        <f>Model!CX96</f>
        <v>0.3915541917108219</v>
      </c>
      <c r="CQ1322">
        <f>Model!CY96</f>
        <v>0.40182615308691572</v>
      </c>
      <c r="CR1322">
        <f>Model!CZ96</f>
        <v>0.40497346093324088</v>
      </c>
      <c r="CS1322">
        <f>Model!DA96</f>
        <v>0.40809674515089023</v>
      </c>
      <c r="CT1322">
        <f>Model!DB96</f>
        <v>0.41208620348985653</v>
      </c>
      <c r="CU1322">
        <f>Model!DC96</f>
        <v>0.41601074691877599</v>
      </c>
      <c r="CV1322">
        <f>Model!DD96</f>
        <v>0.41911216242140398</v>
      </c>
      <c r="CW1322">
        <f>Model!DE96</f>
        <v>0.42142903190958902</v>
      </c>
      <c r="CX1322">
        <f>Model!DF96</f>
        <v>0.42515110350104895</v>
      </c>
      <c r="CY1322">
        <f>Model!DG96</f>
        <v>0</v>
      </c>
      <c r="CZ1322">
        <f>Model!DH96</f>
        <v>0</v>
      </c>
    </row>
    <row r="1323" spans="1:104">
      <c r="A1323" t="str">
        <f>Model!I97</f>
        <v>% change Y/Y (in bp)</v>
      </c>
      <c r="B1323">
        <f>Model!J97</f>
        <v>0</v>
      </c>
      <c r="C1323">
        <f>Model!K97</f>
        <v>0</v>
      </c>
      <c r="D1323">
        <f>Model!L97</f>
        <v>0</v>
      </c>
      <c r="E1323">
        <f>Model!M97</f>
        <v>0</v>
      </c>
      <c r="F1323">
        <f>Model!N97</f>
        <v>0</v>
      </c>
      <c r="G1323">
        <f>Model!O97</f>
        <v>0</v>
      </c>
      <c r="H1323">
        <f>Model!P97</f>
        <v>0</v>
      </c>
      <c r="I1323">
        <f>Model!Q97</f>
        <v>0</v>
      </c>
      <c r="J1323">
        <f>Model!R97</f>
        <v>0</v>
      </c>
      <c r="K1323">
        <f>Model!S97</f>
        <v>0</v>
      </c>
      <c r="L1323">
        <f>Model!T97</f>
        <v>0</v>
      </c>
      <c r="M1323">
        <f>Model!U97</f>
        <v>0</v>
      </c>
      <c r="N1323">
        <f>Model!V97</f>
        <v>0</v>
      </c>
      <c r="O1323">
        <f>Model!W97</f>
        <v>0</v>
      </c>
      <c r="P1323">
        <f>Model!X97</f>
        <v>0</v>
      </c>
      <c r="Q1323">
        <f>Model!Y97</f>
        <v>0</v>
      </c>
      <c r="R1323">
        <f>Model!Z97</f>
        <v>0</v>
      </c>
      <c r="S1323">
        <f>Model!AA97</f>
        <v>0</v>
      </c>
      <c r="T1323">
        <f>Model!AB97</f>
        <v>0</v>
      </c>
      <c r="U1323">
        <f>Model!AC97</f>
        <v>0</v>
      </c>
      <c r="V1323">
        <f>Model!AD97</f>
        <v>0</v>
      </c>
      <c r="W1323">
        <f>Model!AE97</f>
        <v>0</v>
      </c>
      <c r="X1323">
        <f>Model!AF97</f>
        <v>0</v>
      </c>
      <c r="Y1323">
        <f>Model!AG97</f>
        <v>0</v>
      </c>
      <c r="Z1323">
        <f>Model!AH97</f>
        <v>0</v>
      </c>
      <c r="AA1323">
        <f>Model!AI97</f>
        <v>0</v>
      </c>
      <c r="AB1323">
        <f>Model!AJ97</f>
        <v>0</v>
      </c>
      <c r="AC1323">
        <f>Model!AK97</f>
        <v>263.77553053954671</v>
      </c>
      <c r="AD1323">
        <f>Model!AL97</f>
        <v>919.37185157180636</v>
      </c>
      <c r="AE1323">
        <f>Model!AM97</f>
        <v>1021.1761663560065</v>
      </c>
      <c r="AF1323">
        <f>Model!AN97</f>
        <v>1241.1658994044219</v>
      </c>
      <c r="AG1323">
        <f>Model!AO97</f>
        <v>817.14760699149736</v>
      </c>
      <c r="AH1323">
        <f>Model!AP97</f>
        <v>177.87030192664088</v>
      </c>
      <c r="AI1323">
        <f>Model!AQ97</f>
        <v>262.19323005814141</v>
      </c>
      <c r="AJ1323">
        <f>Model!AR97</f>
        <v>372.72633661323607</v>
      </c>
      <c r="AK1323">
        <f>Model!AS97</f>
        <v>893.54934749551251</v>
      </c>
      <c r="AL1323">
        <f>Model!AT97</f>
        <v>311.91332606897549</v>
      </c>
      <c r="AM1323">
        <f>Model!AU97</f>
        <v>430.3838974728269</v>
      </c>
      <c r="AN1323">
        <f>Model!AV97</f>
        <v>336.66162578733281</v>
      </c>
      <c r="AO1323">
        <f>Model!AW97</f>
        <v>189.20842695126839</v>
      </c>
      <c r="AP1323">
        <f>Model!AX97</f>
        <v>290.36009859642218</v>
      </c>
      <c r="AQ1323">
        <f>Model!AY97</f>
        <v>214.97946289889103</v>
      </c>
      <c r="AR1323">
        <f>Model!AZ97</f>
        <v>176.30653337985359</v>
      </c>
      <c r="AS1323">
        <f>Model!BA97</f>
        <v>25.007044338994366</v>
      </c>
      <c r="AT1323">
        <f>Model!BB97</f>
        <v>253.68308624633684</v>
      </c>
      <c r="AU1323">
        <f>Model!BC97</f>
        <v>587.84446433755352</v>
      </c>
      <c r="AV1323">
        <f>Model!BD97</f>
        <v>200.11830966649546</v>
      </c>
      <c r="AW1323">
        <f>Model!BE97</f>
        <v>277.98365233777156</v>
      </c>
      <c r="AX1323">
        <f>Model!BF97</f>
        <v>268.723633601578</v>
      </c>
      <c r="AY1323">
        <f>Model!BG97</f>
        <v>-270.95309361989337</v>
      </c>
      <c r="AZ1323">
        <f>Model!BH97</f>
        <v>-251.16371290685723</v>
      </c>
      <c r="BA1323">
        <f>Model!BI97</f>
        <v>-202.09622856102504</v>
      </c>
      <c r="BB1323">
        <f>Model!BJ97</f>
        <v>-560.80521726156792</v>
      </c>
      <c r="BC1323">
        <f>Model!BK97</f>
        <v>-39.611988680293699</v>
      </c>
      <c r="BD1323">
        <f>Model!BL97</f>
        <v>-134.64822651239217</v>
      </c>
      <c r="BE1323">
        <f>Model!BM97</f>
        <v>145.33230712041433</v>
      </c>
      <c r="BF1323">
        <f>Model!BN97</f>
        <v>-79.904134858286284</v>
      </c>
      <c r="BG1323">
        <f>Model!BO97</f>
        <v>-144.87106637319448</v>
      </c>
      <c r="BH1323">
        <f>Model!BP97</f>
        <v>-157.83208407331773</v>
      </c>
      <c r="BI1323">
        <f>Model!BQ97</f>
        <v>-517.08255282108314</v>
      </c>
      <c r="BJ1323">
        <f>Model!BR97</f>
        <v>-554.2893050113978</v>
      </c>
      <c r="BK1323">
        <f>Model!BS97</f>
        <v>-62.165098326983916</v>
      </c>
      <c r="BL1323">
        <f>Model!BT97</f>
        <v>-51.273400651116738</v>
      </c>
      <c r="BM1323">
        <f>Model!BU97</f>
        <v>165.10119377600552</v>
      </c>
      <c r="BN1323">
        <f>Model!BV97</f>
        <v>-215.25482138223083</v>
      </c>
      <c r="BO1323">
        <f>Model!BW97</f>
        <v>-69.815527127077274</v>
      </c>
      <c r="BP1323">
        <f>Model!BX97</f>
        <v>13.252125858469466</v>
      </c>
      <c r="BQ1323">
        <f>Model!BY97</f>
        <v>-302.54627246992959</v>
      </c>
      <c r="BR1323">
        <f>Model!BZ97</f>
        <v>-42.161458524682118</v>
      </c>
      <c r="BS1323">
        <f>Model!CA97</f>
        <v>-148.73445739857161</v>
      </c>
      <c r="BT1323">
        <f>Model!CB97</f>
        <v>49.44250900897007</v>
      </c>
      <c r="BU1323">
        <f>Model!CC97</f>
        <v>13.999290683279764</v>
      </c>
      <c r="BV1323">
        <f>Model!CD97</f>
        <v>96.669522014941606</v>
      </c>
      <c r="BW1323">
        <f>Model!CE97</f>
        <v>109.1104903189577</v>
      </c>
      <c r="BX1323">
        <f>Model!CF97</f>
        <v>255.02421434146882</v>
      </c>
      <c r="BY1323">
        <f>Model!CG97</f>
        <v>0</v>
      </c>
      <c r="BZ1323">
        <f>Model!CH97</f>
        <v>0</v>
      </c>
      <c r="CA1323">
        <f>Model!CI97</f>
        <v>0</v>
      </c>
      <c r="CB1323">
        <f>Model!CJ97</f>
        <v>0</v>
      </c>
      <c r="CC1323">
        <f>Model!CK97</f>
        <v>1056.8374646693383</v>
      </c>
      <c r="CD1323">
        <f>Model!CL97</f>
        <v>17.568108414499626</v>
      </c>
      <c r="CE1323">
        <f>Model!CM97</f>
        <v>-37.802808775773691</v>
      </c>
      <c r="CF1323">
        <f>Model!CN97</f>
        <v>956.57506372032822</v>
      </c>
      <c r="CG1323">
        <f>Model!CO97</f>
        <v>329.01880674911064</v>
      </c>
      <c r="CH1323">
        <f>Model!CP97</f>
        <v>507.10011890102271</v>
      </c>
      <c r="CI1323">
        <f>Model!CQ97</f>
        <v>222.14806202978278</v>
      </c>
      <c r="CJ1323">
        <f>Model!CR97</f>
        <v>333.56402404722763</v>
      </c>
      <c r="CK1323">
        <f>Model!CS97</f>
        <v>-76.101098400659367</v>
      </c>
      <c r="CL1323">
        <f>Model!CT97</f>
        <v>-207.17367435246658</v>
      </c>
      <c r="CM1323">
        <f>Model!CU97</f>
        <v>-87.154832166996826</v>
      </c>
      <c r="CN1323">
        <f>Model!CV97</f>
        <v>-277.27549797912644</v>
      </c>
      <c r="CO1323">
        <f>Model!CW97</f>
        <v>-31.90044728806296</v>
      </c>
      <c r="CP1323">
        <f>Model!CX97</f>
        <v>-97.408736192917118</v>
      </c>
      <c r="CQ1323">
        <f>Model!CY97</f>
        <v>102.71961376093819</v>
      </c>
      <c r="CR1323">
        <f>Model!CZ97</f>
        <v>31.473078463251646</v>
      </c>
      <c r="CS1323">
        <f>Model!DA97</f>
        <v>31.23284217649347</v>
      </c>
      <c r="CT1323">
        <f>Model!DB97</f>
        <v>39.894583389663005</v>
      </c>
      <c r="CU1323">
        <f>Model!DC97</f>
        <v>39.245434289194577</v>
      </c>
      <c r="CV1323">
        <f>Model!DD97</f>
        <v>31.014155026279909</v>
      </c>
      <c r="CW1323">
        <f>Model!DE97</f>
        <v>23.16869488185047</v>
      </c>
      <c r="CX1323">
        <f>Model!DF97</f>
        <v>37.220715914599303</v>
      </c>
      <c r="CY1323">
        <f>Model!DG97</f>
        <v>0</v>
      </c>
      <c r="CZ1323">
        <f>Model!DH97</f>
        <v>0</v>
      </c>
    </row>
    <row r="1324" spans="1:104">
      <c r="A1324" t="str">
        <f>Model!I98</f>
        <v>Incremental Margin (% of Gross Profit)</v>
      </c>
      <c r="B1324">
        <f>Model!J98</f>
        <v>0</v>
      </c>
      <c r="C1324">
        <f>Model!K98</f>
        <v>0</v>
      </c>
      <c r="D1324">
        <f>Model!L98</f>
        <v>0</v>
      </c>
      <c r="E1324">
        <f>Model!M98</f>
        <v>0</v>
      </c>
      <c r="F1324">
        <f>Model!N98</f>
        <v>0</v>
      </c>
      <c r="G1324">
        <f>Model!O98</f>
        <v>0</v>
      </c>
      <c r="H1324">
        <f>Model!P98</f>
        <v>0</v>
      </c>
      <c r="I1324">
        <f>Model!Q98</f>
        <v>0</v>
      </c>
      <c r="J1324">
        <f>Model!R98</f>
        <v>0</v>
      </c>
      <c r="K1324">
        <f>Model!S98</f>
        <v>0</v>
      </c>
      <c r="L1324">
        <f>Model!T98</f>
        <v>0</v>
      </c>
      <c r="M1324">
        <f>Model!U98</f>
        <v>0</v>
      </c>
      <c r="N1324">
        <f>Model!V98</f>
        <v>0</v>
      </c>
      <c r="O1324">
        <f>Model!W98</f>
        <v>0</v>
      </c>
      <c r="P1324">
        <f>Model!X98</f>
        <v>0</v>
      </c>
      <c r="Q1324">
        <f>Model!Y98</f>
        <v>0</v>
      </c>
      <c r="R1324">
        <f>Model!Z98</f>
        <v>0</v>
      </c>
      <c r="S1324">
        <f>Model!AA98</f>
        <v>0</v>
      </c>
      <c r="T1324">
        <f>Model!AB98</f>
        <v>0</v>
      </c>
      <c r="U1324">
        <f>Model!AC98</f>
        <v>0</v>
      </c>
      <c r="V1324">
        <f>Model!AD98</f>
        <v>0</v>
      </c>
      <c r="W1324">
        <f>Model!AE98</f>
        <v>0</v>
      </c>
      <c r="X1324">
        <f>Model!AF98</f>
        <v>0</v>
      </c>
      <c r="Y1324">
        <f>Model!AG98</f>
        <v>0</v>
      </c>
      <c r="Z1324">
        <f>Model!AH98</f>
        <v>0</v>
      </c>
      <c r="AA1324">
        <f>Model!AI98</f>
        <v>0</v>
      </c>
      <c r="AB1324">
        <f>Model!AJ98</f>
        <v>0</v>
      </c>
      <c r="AC1324">
        <f>Model!AK98</f>
        <v>0.18305492280435479</v>
      </c>
      <c r="AD1324">
        <f>Model!AL98</f>
        <v>0.5431563079304933</v>
      </c>
      <c r="AE1324">
        <f>Model!AM98</f>
        <v>0.58028271112722007</v>
      </c>
      <c r="AF1324">
        <f>Model!AN98</f>
        <v>0.53487259833429568</v>
      </c>
      <c r="AG1324">
        <f>Model!AO98</f>
        <v>0.31431196935183225</v>
      </c>
      <c r="AH1324">
        <f>Model!AP98</f>
        <v>0.39066294317629974</v>
      </c>
      <c r="AI1324">
        <f>Model!AQ98</f>
        <v>0.49702409733883107</v>
      </c>
      <c r="AJ1324">
        <f>Model!AR98</f>
        <v>0.50134704873867253</v>
      </c>
      <c r="AK1324">
        <f>Model!AS98</f>
        <v>0.88819921401550062</v>
      </c>
      <c r="AL1324">
        <f>Model!AT98</f>
        <v>0.54760934133131334</v>
      </c>
      <c r="AM1324">
        <f>Model!AU98</f>
        <v>0.60877823756868576</v>
      </c>
      <c r="AN1324">
        <f>Model!AV98</f>
        <v>0.46595575450408822</v>
      </c>
      <c r="AO1324">
        <f>Model!AW98</f>
        <v>0.34834726409474032</v>
      </c>
      <c r="AP1324">
        <f>Model!AX98</f>
        <v>0.48589530742270026</v>
      </c>
      <c r="AQ1324">
        <f>Model!AY98</f>
        <v>0.55476042049171215</v>
      </c>
      <c r="AR1324">
        <f>Model!AZ98</f>
        <v>0.45280487731843311</v>
      </c>
      <c r="AS1324">
        <f>Model!BA98</f>
        <v>0.31954234782422436</v>
      </c>
      <c r="AT1324">
        <f>Model!BB98</f>
        <v>0.48573304778529819</v>
      </c>
      <c r="AU1324">
        <f>Model!BC98</f>
        <v>0.6646455526230497</v>
      </c>
      <c r="AV1324">
        <f>Model!BD98</f>
        <v>0.47904355684964295</v>
      </c>
      <c r="AW1324">
        <f>Model!BE98</f>
        <v>0.40227387569479522</v>
      </c>
      <c r="AX1324">
        <f>Model!BF98</f>
        <v>0.55423572563403456</v>
      </c>
      <c r="AY1324">
        <f>Model!BG98</f>
        <v>0.4460255168667096</v>
      </c>
      <c r="AZ1324">
        <f>Model!BH98</f>
        <v>0.32999307147540385</v>
      </c>
      <c r="BA1324">
        <f>Model!BI98</f>
        <v>0.26646444700555982</v>
      </c>
      <c r="BB1324">
        <f>Model!BJ98</f>
        <v>0.27087036788311164</v>
      </c>
      <c r="BC1324">
        <f>Model!BK98</f>
        <v>0.53331454492679153</v>
      </c>
      <c r="BD1324">
        <f>Model!BL98</f>
        <v>0.36901443523202782</v>
      </c>
      <c r="BE1324">
        <f>Model!BM98</f>
        <v>0.37436933917329901</v>
      </c>
      <c r="BF1324">
        <f>Model!BN98</f>
        <v>0.3890303541484274</v>
      </c>
      <c r="BG1324">
        <f>Model!BO98</f>
        <v>0.48248966180757236</v>
      </c>
      <c r="BH1324">
        <f>Model!BP98</f>
        <v>0.32374100719424487</v>
      </c>
      <c r="BI1324">
        <f>Model!BQ98</f>
        <v>1.2033187214266685E-2</v>
      </c>
      <c r="BJ1324">
        <f>Model!BR98</f>
        <v>-0.14147015387546996</v>
      </c>
      <c r="BK1324">
        <f>Model!BS98</f>
        <v>0.47218488011145587</v>
      </c>
      <c r="BL1324">
        <f>Model!BT98</f>
        <v>0.33830814175028423</v>
      </c>
      <c r="BM1324">
        <f>Model!BU98</f>
        <v>0.38170695882078454</v>
      </c>
      <c r="BN1324">
        <f>Model!BV98</f>
        <v>0.20051229994776054</v>
      </c>
      <c r="BO1324">
        <f>Model!BW98</f>
        <v>0.48290304636628373</v>
      </c>
      <c r="BP1324">
        <f>Model!BX98</f>
        <v>0.38785524638644964</v>
      </c>
      <c r="BQ1324">
        <f>Model!BY98</f>
        <v>7.7843607541656423E-2</v>
      </c>
      <c r="BR1324">
        <f>Model!BZ98</f>
        <v>0.31038743591905021</v>
      </c>
      <c r="BS1324">
        <f>Model!CA98</f>
        <v>0.43213153572929036</v>
      </c>
      <c r="BT1324">
        <f>Model!CB98</f>
        <v>0.40932813595309431</v>
      </c>
      <c r="BU1324">
        <f>Model!CC98</f>
        <v>0.28039101726653698</v>
      </c>
      <c r="BV1324">
        <f>Model!CD98</f>
        <v>0.38643015014100784</v>
      </c>
      <c r="BW1324">
        <f>Model!CE98</f>
        <v>0.58678289054067911</v>
      </c>
      <c r="BX1324">
        <f>Model!CF98</f>
        <v>0.52824183530769153</v>
      </c>
      <c r="BY1324">
        <f>Model!CG98</f>
        <v>0</v>
      </c>
      <c r="BZ1324">
        <f>Model!CH98</f>
        <v>0</v>
      </c>
      <c r="CA1324">
        <f>Model!CI98</f>
        <v>0</v>
      </c>
      <c r="CB1324">
        <f>Model!CJ98</f>
        <v>0</v>
      </c>
      <c r="CC1324">
        <f>Model!CK98</f>
        <v>0.5158894082690153</v>
      </c>
      <c r="CD1324">
        <f>Model!CL98</f>
        <v>0.2433380390330511</v>
      </c>
      <c r="CE1324">
        <f>Model!CM98</f>
        <v>0.2265693498023422</v>
      </c>
      <c r="CF1324">
        <f>Model!CN98</f>
        <v>0.50288466316983071</v>
      </c>
      <c r="CG1324">
        <f>Model!CO98</f>
        <v>0.42403123469034193</v>
      </c>
      <c r="CH1324">
        <f>Model!CP98</f>
        <v>0.57273484868369151</v>
      </c>
      <c r="CI1324">
        <f>Model!CQ98</f>
        <v>0.47879573173066498</v>
      </c>
      <c r="CJ1324">
        <f>Model!CR98</f>
        <v>0.52399147320456274</v>
      </c>
      <c r="CK1324">
        <f>Model!CS98</f>
        <v>0.43829603676425954</v>
      </c>
      <c r="CL1324">
        <f>Model!CT98</f>
        <v>0.38909450712379828</v>
      </c>
      <c r="CM1324">
        <f>Model!CU98</f>
        <v>0.40554766936224573</v>
      </c>
      <c r="CN1324">
        <f>Model!CV98</f>
        <v>0.19579785983008352</v>
      </c>
      <c r="CO1324">
        <f>Model!CW98</f>
        <v>0.38538672052980993</v>
      </c>
      <c r="CP1324">
        <f>Model!CX98</f>
        <v>0.34406785348509505</v>
      </c>
      <c r="CQ1324">
        <f>Model!CY98</f>
        <v>0.45706980055051716</v>
      </c>
      <c r="CR1324">
        <f>Model!CZ98</f>
        <v>0.42763287445030806</v>
      </c>
      <c r="CS1324">
        <f>Model!DA98</f>
        <v>0.43389946339839869</v>
      </c>
      <c r="CT1324">
        <f>Model!DB98</f>
        <v>0.45048802716234498</v>
      </c>
      <c r="CU1324">
        <f>Model!DC98</f>
        <v>0.45875748800515415</v>
      </c>
      <c r="CV1324">
        <f>Model!DD98</f>
        <v>0.45654489342941679</v>
      </c>
      <c r="CW1324">
        <f>Model!DE98</f>
        <v>0.45244407824280486</v>
      </c>
      <c r="CX1324">
        <f>Model!DF98</f>
        <v>0.47483160578653533</v>
      </c>
      <c r="CY1324">
        <f>Model!DG98</f>
        <v>0</v>
      </c>
      <c r="CZ1324">
        <f>Model!DH98</f>
        <v>0</v>
      </c>
    </row>
    <row r="1325" spans="1:104">
      <c r="A1325" t="str">
        <f>Model!I99</f>
        <v>% change Y/Y</v>
      </c>
      <c r="B1325">
        <f>Model!J99</f>
        <v>0</v>
      </c>
      <c r="C1325">
        <f>Model!K99</f>
        <v>0</v>
      </c>
      <c r="D1325">
        <f>Model!L99</f>
        <v>0</v>
      </c>
      <c r="E1325">
        <f>Model!M99</f>
        <v>0</v>
      </c>
      <c r="F1325">
        <f>Model!N99</f>
        <v>0</v>
      </c>
      <c r="G1325">
        <f>Model!O99</f>
        <v>0</v>
      </c>
      <c r="H1325">
        <f>Model!P99</f>
        <v>0</v>
      </c>
      <c r="I1325">
        <f>Model!Q99</f>
        <v>0</v>
      </c>
      <c r="J1325">
        <f>Model!R99</f>
        <v>0</v>
      </c>
      <c r="K1325">
        <f>Model!S99</f>
        <v>0</v>
      </c>
      <c r="L1325">
        <f>Model!T99</f>
        <v>0</v>
      </c>
      <c r="M1325">
        <f>Model!U99</f>
        <v>0</v>
      </c>
      <c r="N1325">
        <f>Model!V99</f>
        <v>0</v>
      </c>
      <c r="O1325">
        <f>Model!W99</f>
        <v>0</v>
      </c>
      <c r="P1325">
        <f>Model!X99</f>
        <v>0</v>
      </c>
      <c r="Q1325">
        <f>Model!Y99</f>
        <v>0</v>
      </c>
      <c r="R1325">
        <f>Model!Z99</f>
        <v>0</v>
      </c>
      <c r="S1325">
        <f>Model!AA99</f>
        <v>0</v>
      </c>
      <c r="T1325">
        <f>Model!AB99</f>
        <v>0</v>
      </c>
      <c r="U1325">
        <f>Model!AC99</f>
        <v>0</v>
      </c>
      <c r="V1325">
        <f>Model!AD99</f>
        <v>0</v>
      </c>
      <c r="W1325">
        <f>Model!AE99</f>
        <v>0</v>
      </c>
      <c r="X1325">
        <f>Model!AF99</f>
        <v>0</v>
      </c>
      <c r="Y1325">
        <f>Model!AG99</f>
        <v>0</v>
      </c>
      <c r="Z1325">
        <f>Model!AH99</f>
        <v>0</v>
      </c>
      <c r="AA1325">
        <f>Model!AI99</f>
        <v>0</v>
      </c>
      <c r="AB1325">
        <f>Model!AJ99</f>
        <v>0</v>
      </c>
      <c r="AC1325">
        <f>Model!AK99</f>
        <v>0.83096366508689634</v>
      </c>
      <c r="AD1325">
        <f>Model!AL99</f>
        <v>0.99581699346405039</v>
      </c>
      <c r="AE1325">
        <f>Model!AM99</f>
        <v>1.178610413017541</v>
      </c>
      <c r="AF1325">
        <f>Model!AN99</f>
        <v>1.5739868963843779</v>
      </c>
      <c r="AG1325">
        <f>Model!AO99</f>
        <v>1.9048552827672665</v>
      </c>
      <c r="AH1325">
        <f>Model!AP99</f>
        <v>0.72251955537258339</v>
      </c>
      <c r="AI1325">
        <f>Model!AQ99</f>
        <v>0.65874717438419106</v>
      </c>
      <c r="AJ1325">
        <f>Model!AR99</f>
        <v>0.42455267077700443</v>
      </c>
      <c r="AK1325">
        <f>Model!AS99</f>
        <v>0.65299454555273551</v>
      </c>
      <c r="AL1325">
        <f>Model!AT99</f>
        <v>0.30645967321397438</v>
      </c>
      <c r="AM1325">
        <f>Model!AU99</f>
        <v>0.50430958786712221</v>
      </c>
      <c r="AN1325">
        <f>Model!AV99</f>
        <v>0.66682108161050468</v>
      </c>
      <c r="AO1325">
        <f>Model!AW99</f>
        <v>0.63041312053841003</v>
      </c>
      <c r="AP1325">
        <f>Model!AX99</f>
        <v>0.56948867841372963</v>
      </c>
      <c r="AQ1325">
        <f>Model!AY99</f>
        <v>0.60670841330101899</v>
      </c>
      <c r="AR1325">
        <f>Model!AZ99</f>
        <v>0.60037320840115882</v>
      </c>
      <c r="AS1325">
        <f>Model!BA99</f>
        <v>0.59770161007524591</v>
      </c>
      <c r="AT1325">
        <f>Model!BB99</f>
        <v>0.77989000858314705</v>
      </c>
      <c r="AU1325">
        <f>Model!BC99</f>
        <v>0.83437331977039997</v>
      </c>
      <c r="AV1325">
        <f>Model!BD99</f>
        <v>0.58122088090382684</v>
      </c>
      <c r="AW1325">
        <f>Model!BE99</f>
        <v>0.59907816762298904</v>
      </c>
      <c r="AX1325">
        <f>Model!BF99</f>
        <v>0.42056021908674124</v>
      </c>
      <c r="AY1325">
        <f>Model!BG99</f>
        <v>0.20942483863096939</v>
      </c>
      <c r="AZ1325">
        <f>Model!BH99</f>
        <v>0.22268454017145523</v>
      </c>
      <c r="BA1325">
        <f>Model!BI99</f>
        <v>0.27835621595548177</v>
      </c>
      <c r="BB1325">
        <f>Model!BJ99</f>
        <v>0.21552397935556322</v>
      </c>
      <c r="BC1325">
        <f>Model!BK99</f>
        <v>0.41399868735286649</v>
      </c>
      <c r="BD1325">
        <f>Model!BL99</f>
        <v>0.37270884126780346</v>
      </c>
      <c r="BE1325">
        <f>Model!BM99</f>
        <v>0.45571313313516049</v>
      </c>
      <c r="BF1325">
        <f>Model!BN99</f>
        <v>0.33475096366683021</v>
      </c>
      <c r="BG1325">
        <f>Model!BO99</f>
        <v>0.28202574474274833</v>
      </c>
      <c r="BH1325">
        <f>Model!BP99</f>
        <v>0.20662733044668324</v>
      </c>
      <c r="BI1325">
        <f>Model!BQ99</f>
        <v>6.7393141409683999E-3</v>
      </c>
      <c r="BJ1325">
        <f>Model!BR99</f>
        <v>-3.8354189887853662E-2</v>
      </c>
      <c r="BK1325">
        <f>Model!BS99</f>
        <v>0.11168578706798415</v>
      </c>
      <c r="BL1325">
        <f>Model!BT99</f>
        <v>0.1073000142548135</v>
      </c>
      <c r="BM1325">
        <f>Model!BU99</f>
        <v>0.27742622878757084</v>
      </c>
      <c r="BN1325">
        <f>Model!BV99</f>
        <v>9.0731316843079224E-2</v>
      </c>
      <c r="BO1325">
        <f>Model!BW99</f>
        <v>0.20146484190901393</v>
      </c>
      <c r="BP1325">
        <f>Model!BX99</f>
        <v>0.21544902588270864</v>
      </c>
      <c r="BQ1325">
        <f>Model!BY99</f>
        <v>4.0153311451985862E-2</v>
      </c>
      <c r="BR1325">
        <f>Model!BZ99</f>
        <v>0.19950475055287709</v>
      </c>
      <c r="BS1325">
        <f>Model!CA99</f>
        <v>0.1836529976339667</v>
      </c>
      <c r="BT1325">
        <f>Model!CB99</f>
        <v>0.23259618450939845</v>
      </c>
      <c r="BU1325">
        <f>Model!CC99</f>
        <v>0.20462771506828958</v>
      </c>
      <c r="BV1325">
        <f>Model!CD99</f>
        <v>0.24212859955429233</v>
      </c>
      <c r="BW1325">
        <f>Model!CE99</f>
        <v>0.16894177811435362</v>
      </c>
      <c r="BX1325">
        <f>Model!CF99</f>
        <v>0.29990127193099458</v>
      </c>
      <c r="BY1325">
        <f>Model!CG99</f>
        <v>0</v>
      </c>
      <c r="BZ1325">
        <f>Model!CH99</f>
        <v>0</v>
      </c>
      <c r="CA1325">
        <f>Model!CI99</f>
        <v>0</v>
      </c>
      <c r="CB1325">
        <f>Model!CJ99</f>
        <v>0</v>
      </c>
      <c r="CC1325">
        <f>Model!CK99</f>
        <v>1.492113399360691</v>
      </c>
      <c r="CD1325">
        <f>Model!CL99</f>
        <v>0.35157810627247232</v>
      </c>
      <c r="CE1325">
        <f>Model!CM99</f>
        <v>0.45831323801671164</v>
      </c>
      <c r="CF1325">
        <f>Model!CN99</f>
        <v>1.1874839976103031</v>
      </c>
      <c r="CG1325">
        <f>Model!CO99</f>
        <v>0.69226905182252008</v>
      </c>
      <c r="CH1325">
        <f>Model!CP99</f>
        <v>0.50307931283916263</v>
      </c>
      <c r="CI1325">
        <f>Model!CQ99</f>
        <v>0.59937916780108891</v>
      </c>
      <c r="CJ1325">
        <f>Model!CR99</f>
        <v>0.73256378503636665</v>
      </c>
      <c r="CK1325">
        <f>Model!CS99</f>
        <v>0.30441909398436717</v>
      </c>
      <c r="CL1325">
        <f>Model!CT99</f>
        <v>0.33687546181784156</v>
      </c>
      <c r="CM1325">
        <f>Model!CU99</f>
        <v>0.30062433167545821</v>
      </c>
      <c r="CN1325">
        <f>Model!CV99</f>
        <v>6.0190234344135396E-2</v>
      </c>
      <c r="CO1325">
        <f>Model!CW99</f>
        <v>0.19105833293528196</v>
      </c>
      <c r="CP1325">
        <f>Model!CX99</f>
        <v>0.17587718503539862</v>
      </c>
      <c r="CQ1325">
        <f>Model!CY99</f>
        <v>0.21705094577687101</v>
      </c>
      <c r="CR1325">
        <f>Model!CZ99</f>
        <v>0.14781668016399552</v>
      </c>
      <c r="CS1325">
        <f>Model!DA99</f>
        <v>0.12969062881500593</v>
      </c>
      <c r="CT1325">
        <f>Model!DB99</f>
        <v>0.1146785536909718</v>
      </c>
      <c r="CU1325">
        <f>Model!DC99</f>
        <v>0.10220713625035915</v>
      </c>
      <c r="CV1325">
        <f>Model!DD99</f>
        <v>9.0925852044532185E-2</v>
      </c>
      <c r="CW1325">
        <f>Model!DE99</f>
        <v>8.0642462374982848E-2</v>
      </c>
      <c r="CX1325">
        <f>Model!DF99</f>
        <v>8.4413889686144827E-2</v>
      </c>
      <c r="CY1325">
        <f>Model!DG99</f>
        <v>0</v>
      </c>
      <c r="CZ1325">
        <f>Model!DH99</f>
        <v>0</v>
      </c>
    </row>
    <row r="1326" spans="1:104">
      <c r="A1326" t="str">
        <f>Model!I100</f>
        <v>Abs. change Y/Y</v>
      </c>
      <c r="B1326">
        <f>Model!J100</f>
        <v>0</v>
      </c>
      <c r="C1326">
        <f>Model!K100</f>
        <v>0</v>
      </c>
      <c r="D1326">
        <f>Model!L100</f>
        <v>0</v>
      </c>
      <c r="E1326">
        <f>Model!M100</f>
        <v>0</v>
      </c>
      <c r="F1326">
        <f>Model!N100</f>
        <v>0</v>
      </c>
      <c r="G1326">
        <f>Model!O100</f>
        <v>0</v>
      </c>
      <c r="H1326">
        <f>Model!P100</f>
        <v>0</v>
      </c>
      <c r="I1326">
        <f>Model!Q100</f>
        <v>0</v>
      </c>
      <c r="J1326">
        <f>Model!R100</f>
        <v>0</v>
      </c>
      <c r="K1326">
        <f>Model!S100</f>
        <v>0</v>
      </c>
      <c r="L1326">
        <f>Model!T100</f>
        <v>0</v>
      </c>
      <c r="M1326">
        <f>Model!U100</f>
        <v>0</v>
      </c>
      <c r="N1326">
        <f>Model!V100</f>
        <v>0</v>
      </c>
      <c r="O1326">
        <f>Model!W100</f>
        <v>0</v>
      </c>
      <c r="P1326">
        <f>Model!X100</f>
        <v>0</v>
      </c>
      <c r="Q1326">
        <f>Model!Y100</f>
        <v>0</v>
      </c>
      <c r="R1326">
        <f>Model!Z100</f>
        <v>0</v>
      </c>
      <c r="S1326">
        <f>Model!AA100</f>
        <v>0</v>
      </c>
      <c r="T1326">
        <f>Model!AB100</f>
        <v>0</v>
      </c>
      <c r="U1326">
        <f>Model!AC100</f>
        <v>0</v>
      </c>
      <c r="V1326">
        <f>Model!AD100</f>
        <v>0</v>
      </c>
      <c r="W1326">
        <f>Model!AE100</f>
        <v>0</v>
      </c>
      <c r="X1326">
        <f>Model!AF100</f>
        <v>0</v>
      </c>
      <c r="Y1326">
        <f>Model!AG100</f>
        <v>0</v>
      </c>
      <c r="Z1326">
        <f>Model!AH100</f>
        <v>0</v>
      </c>
      <c r="AA1326">
        <f>Model!AI100</f>
        <v>0</v>
      </c>
      <c r="AB1326">
        <f>Model!AJ100</f>
        <v>0</v>
      </c>
      <c r="AC1326">
        <f>Model!AK100</f>
        <v>5.786000000000052</v>
      </c>
      <c r="AD1326">
        <f>Model!AL100</f>
        <v>26.662999999999954</v>
      </c>
      <c r="AE1326">
        <f>Model!AM100</f>
        <v>46.428999999999988</v>
      </c>
      <c r="AF1326">
        <f>Model!AN100</f>
        <v>32.432000000000045</v>
      </c>
      <c r="AG1326">
        <f>Model!AO100</f>
        <v>24.284999999999961</v>
      </c>
      <c r="AH1326">
        <f>Model!AP100</f>
        <v>38.610000000000085</v>
      </c>
      <c r="AI1326">
        <f>Model!AQ100</f>
        <v>56.535000000000039</v>
      </c>
      <c r="AJ1326">
        <f>Model!AR100</f>
        <v>22.516999999999989</v>
      </c>
      <c r="AK1326">
        <f>Model!AS100</f>
        <v>24.183000000000014</v>
      </c>
      <c r="AL1326">
        <f>Model!AT100</f>
        <v>28.208999999999932</v>
      </c>
      <c r="AM1326">
        <f>Model!AU100</f>
        <v>71.791999999999945</v>
      </c>
      <c r="AN1326">
        <f>Model!AV100</f>
        <v>50.381000000000071</v>
      </c>
      <c r="AO1326">
        <f>Model!AW100</f>
        <v>38.591999999999864</v>
      </c>
      <c r="AP1326">
        <f>Model!AX100</f>
        <v>68.484999999999872</v>
      </c>
      <c r="AQ1326">
        <f>Model!AY100</f>
        <v>129.9259999999999</v>
      </c>
      <c r="AR1326">
        <f>Model!AZ100</f>
        <v>75.60799999999999</v>
      </c>
      <c r="AS1326">
        <f>Model!BA100</f>
        <v>59.656000000000148</v>
      </c>
      <c r="AT1326">
        <f>Model!BB100</f>
        <v>147.19800000000021</v>
      </c>
      <c r="AU1326">
        <f>Model!BC100</f>
        <v>287.08700000000027</v>
      </c>
      <c r="AV1326">
        <f>Model!BD100</f>
        <v>117.14100000000002</v>
      </c>
      <c r="AW1326">
        <f>Model!BE100</f>
        <v>95.531999999999954</v>
      </c>
      <c r="AX1326">
        <f>Model!BF100</f>
        <v>141.2829999999999</v>
      </c>
      <c r="AY1326">
        <f>Model!BG100</f>
        <v>132.18099999999993</v>
      </c>
      <c r="AZ1326">
        <f>Model!BH100</f>
        <v>70.966000000000065</v>
      </c>
      <c r="BA1326">
        <f>Model!BI100</f>
        <v>70.97999999999999</v>
      </c>
      <c r="BB1326">
        <f>Model!BJ100</f>
        <v>102.85299999999995</v>
      </c>
      <c r="BC1326">
        <f>Model!BK100</f>
        <v>316.02299999999923</v>
      </c>
      <c r="BD1326">
        <f>Model!BL100</f>
        <v>145.22599999999971</v>
      </c>
      <c r="BE1326">
        <f>Model!BM100</f>
        <v>148.55200000000019</v>
      </c>
      <c r="BF1326">
        <f>Model!BN100</f>
        <v>194.18100000000015</v>
      </c>
      <c r="BG1326">
        <f>Model!BO100</f>
        <v>304.40900000000101</v>
      </c>
      <c r="BH1326">
        <f>Model!BP100</f>
        <v>110.5200000000001</v>
      </c>
      <c r="BI1326">
        <f>Model!BQ100</f>
        <v>3.1979999999995812</v>
      </c>
      <c r="BJ1326">
        <f>Model!BR100</f>
        <v>-29.695999999999913</v>
      </c>
      <c r="BK1326">
        <f>Model!BS100</f>
        <v>154.54799999999977</v>
      </c>
      <c r="BL1326">
        <f>Model!BT100</f>
        <v>69.250999999999635</v>
      </c>
      <c r="BM1326">
        <f>Model!BU100</f>
        <v>132.53399999999976</v>
      </c>
      <c r="BN1326">
        <f>Model!BV100</f>
        <v>67.55499999999995</v>
      </c>
      <c r="BO1326">
        <f>Model!BW100</f>
        <v>309.91800000000012</v>
      </c>
      <c r="BP1326">
        <f>Model!BX100</f>
        <v>153.97000000000003</v>
      </c>
      <c r="BQ1326">
        <f>Model!BY100</f>
        <v>24.50400000000036</v>
      </c>
      <c r="BR1326">
        <f>Model!BZ100</f>
        <v>162.02100000000041</v>
      </c>
      <c r="BS1326">
        <f>Model!CA100</f>
        <v>339.43500000000017</v>
      </c>
      <c r="BT1326">
        <f>Model!CB100</f>
        <v>202.03700000000015</v>
      </c>
      <c r="BU1326">
        <f>Model!CC100</f>
        <v>129.89051155532286</v>
      </c>
      <c r="BV1326">
        <f>Model!CD100</f>
        <v>235.86642758401979</v>
      </c>
      <c r="BW1326">
        <f>Model!CE100</f>
        <v>369.58987337809685</v>
      </c>
      <c r="BX1326">
        <f>Model!CF100</f>
        <v>321.09049639800696</v>
      </c>
      <c r="BY1326">
        <f>Model!CG100</f>
        <v>0</v>
      </c>
      <c r="BZ1326">
        <f>Model!CH100</f>
        <v>0</v>
      </c>
      <c r="CA1326">
        <f>Model!CI100</f>
        <v>0</v>
      </c>
      <c r="CB1326">
        <f>Model!CJ100</f>
        <v>0</v>
      </c>
      <c r="CC1326">
        <f>Model!CK100</f>
        <v>28.474000000000039</v>
      </c>
      <c r="CD1326">
        <f>Model!CL100</f>
        <v>16.719999999999978</v>
      </c>
      <c r="CE1326">
        <f>Model!CM100</f>
        <v>29.459000000000174</v>
      </c>
      <c r="CF1326">
        <f>Model!CN100</f>
        <v>111.30999999999959</v>
      </c>
      <c r="CG1326">
        <f>Model!CO100</f>
        <v>141.94700000000029</v>
      </c>
      <c r="CH1326">
        <f>Model!CP100</f>
        <v>174.5649999999996</v>
      </c>
      <c r="CI1326">
        <f>Model!CQ100</f>
        <v>312.6110000000001</v>
      </c>
      <c r="CJ1326">
        <f>Model!CR100</f>
        <v>611.08200000000068</v>
      </c>
      <c r="CK1326">
        <f>Model!CS100</f>
        <v>439.96200000000067</v>
      </c>
      <c r="CL1326">
        <f>Model!CT100</f>
        <v>635.08199999999897</v>
      </c>
      <c r="CM1326">
        <f>Model!CU100</f>
        <v>757.6619999999989</v>
      </c>
      <c r="CN1326">
        <f>Model!CV100</f>
        <v>197.30099999999902</v>
      </c>
      <c r="CO1326">
        <f>Model!CW100</f>
        <v>663.97700000000168</v>
      </c>
      <c r="CP1326">
        <f>Model!CX100</f>
        <v>727.99699999999848</v>
      </c>
      <c r="CQ1326">
        <f>Model!CY100</f>
        <v>1056.4373089154515</v>
      </c>
      <c r="CR1326">
        <f>Model!CZ100</f>
        <v>875.61713163323111</v>
      </c>
      <c r="CS1326">
        <f>Model!DA100</f>
        <v>881.80373396810228</v>
      </c>
      <c r="CT1326">
        <f>Model!DB100</f>
        <v>880.85631198351803</v>
      </c>
      <c r="CU1326">
        <f>Model!DC100</f>
        <v>875.09203111401985</v>
      </c>
      <c r="CV1326">
        <f>Model!DD100</f>
        <v>858.07076799115202</v>
      </c>
      <c r="CW1326">
        <f>Model!DE100</f>
        <v>830.22296321077556</v>
      </c>
      <c r="CX1326">
        <f>Model!DF100</f>
        <v>939.13256917328363</v>
      </c>
      <c r="CY1326">
        <f>Model!DG100</f>
        <v>0</v>
      </c>
      <c r="CZ1326">
        <f>Model!DH100</f>
        <v>0</v>
      </c>
    </row>
    <row r="1327" spans="1:104">
      <c r="A1327" t="str">
        <f>Model!I101</f>
        <v>Sequential Growth</v>
      </c>
      <c r="B1327">
        <f>Model!J101</f>
        <v>0</v>
      </c>
      <c r="C1327">
        <f>Model!K101</f>
        <v>0</v>
      </c>
      <c r="D1327">
        <f>Model!L101</f>
        <v>0</v>
      </c>
      <c r="E1327">
        <f>Model!M101</f>
        <v>0</v>
      </c>
      <c r="F1327">
        <f>Model!N101</f>
        <v>0</v>
      </c>
      <c r="G1327">
        <f>Model!O101</f>
        <v>0</v>
      </c>
      <c r="H1327">
        <f>Model!P101</f>
        <v>0</v>
      </c>
      <c r="I1327">
        <f>Model!Q101</f>
        <v>0</v>
      </c>
      <c r="J1327">
        <f>Model!R101</f>
        <v>0</v>
      </c>
      <c r="K1327">
        <f>Model!S101</f>
        <v>0</v>
      </c>
      <c r="L1327">
        <f>Model!T101</f>
        <v>0</v>
      </c>
      <c r="M1327">
        <f>Model!U101</f>
        <v>0</v>
      </c>
      <c r="N1327">
        <f>Model!V101</f>
        <v>0</v>
      </c>
      <c r="O1327">
        <f>Model!W101</f>
        <v>0</v>
      </c>
      <c r="P1327">
        <f>Model!X101</f>
        <v>0</v>
      </c>
      <c r="Q1327">
        <f>Model!Y101</f>
        <v>0</v>
      </c>
      <c r="R1327">
        <f>Model!Z101</f>
        <v>0</v>
      </c>
      <c r="S1327">
        <f>Model!AA101</f>
        <v>0</v>
      </c>
      <c r="T1327">
        <f>Model!AB101</f>
        <v>0</v>
      </c>
      <c r="U1327">
        <f>Model!AC101</f>
        <v>0</v>
      </c>
      <c r="V1327">
        <f>Model!AD101</f>
        <v>0</v>
      </c>
      <c r="W1327">
        <f>Model!AE101</f>
        <v>0</v>
      </c>
      <c r="X1327">
        <f>Model!AF101</f>
        <v>0</v>
      </c>
      <c r="Y1327">
        <f>Model!AG101</f>
        <v>0</v>
      </c>
      <c r="Z1327">
        <f>Model!AH101</f>
        <v>19.812000000000015</v>
      </c>
      <c r="AA1327">
        <f>Model!AI101</f>
        <v>12.617999999999995</v>
      </c>
      <c r="AB1327">
        <f>Model!AJ101</f>
        <v>-18.788000000000036</v>
      </c>
      <c r="AC1327">
        <f>Model!AK101</f>
        <v>-7.8559999999999217</v>
      </c>
      <c r="AD1327">
        <f>Model!AL101</f>
        <v>40.688999999999915</v>
      </c>
      <c r="AE1327">
        <f>Model!AM101</f>
        <v>32.384000000000029</v>
      </c>
      <c r="AF1327">
        <f>Model!AN101</f>
        <v>-32.784999999999975</v>
      </c>
      <c r="AG1327">
        <f>Model!AO101</f>
        <v>-16.003000000000007</v>
      </c>
      <c r="AH1327">
        <f>Model!AP101</f>
        <v>55.014000000000038</v>
      </c>
      <c r="AI1327">
        <f>Model!AQ101</f>
        <v>50.308999999999983</v>
      </c>
      <c r="AJ1327">
        <f>Model!AR101</f>
        <v>-66.803000000000026</v>
      </c>
      <c r="AK1327">
        <f>Model!AS101</f>
        <v>-14.336999999999982</v>
      </c>
      <c r="AL1327">
        <f>Model!AT101</f>
        <v>59.039999999999957</v>
      </c>
      <c r="AM1327">
        <f>Model!AU101</f>
        <v>93.891999999999996</v>
      </c>
      <c r="AN1327">
        <f>Model!AV101</f>
        <v>-88.213999999999899</v>
      </c>
      <c r="AO1327">
        <f>Model!AW101</f>
        <v>-26.12600000000019</v>
      </c>
      <c r="AP1327">
        <f>Model!AX101</f>
        <v>88.932999999999964</v>
      </c>
      <c r="AQ1327">
        <f>Model!AY101</f>
        <v>155.33300000000003</v>
      </c>
      <c r="AR1327">
        <f>Model!AZ101</f>
        <v>-142.53199999999981</v>
      </c>
      <c r="AS1327">
        <f>Model!BA101</f>
        <v>-42.078000000000031</v>
      </c>
      <c r="AT1327">
        <f>Model!BB101</f>
        <v>176.47500000000002</v>
      </c>
      <c r="AU1327">
        <f>Model!BC101</f>
        <v>295.22200000000009</v>
      </c>
      <c r="AV1327">
        <f>Model!BD101</f>
        <v>-312.47800000000007</v>
      </c>
      <c r="AW1327">
        <f>Model!BE101</f>
        <v>-63.687000000000097</v>
      </c>
      <c r="AX1327">
        <f>Model!BF101</f>
        <v>222.22599999999997</v>
      </c>
      <c r="AY1327">
        <f>Model!BG101</f>
        <v>286.12000000000012</v>
      </c>
      <c r="AZ1327">
        <f>Model!BH101</f>
        <v>-373.69299999999993</v>
      </c>
      <c r="BA1327">
        <f>Model!BI101</f>
        <v>-63.673000000000172</v>
      </c>
      <c r="BB1327">
        <f>Model!BJ101</f>
        <v>254.09899999999993</v>
      </c>
      <c r="BC1327">
        <f>Model!BK101</f>
        <v>499.2899999999994</v>
      </c>
      <c r="BD1327">
        <f>Model!BL101</f>
        <v>-544.48999999999944</v>
      </c>
      <c r="BE1327">
        <f>Model!BM101</f>
        <v>-60.346999999999696</v>
      </c>
      <c r="BF1327">
        <f>Model!BN101</f>
        <v>299.72799999999989</v>
      </c>
      <c r="BG1327">
        <f>Model!BO101</f>
        <v>609.51800000000026</v>
      </c>
      <c r="BH1327">
        <f>Model!BP101</f>
        <v>-738.37900000000036</v>
      </c>
      <c r="BI1327">
        <f>Model!BQ101</f>
        <v>-167.66900000000021</v>
      </c>
      <c r="BJ1327">
        <f>Model!BR101</f>
        <v>266.8340000000004</v>
      </c>
      <c r="BK1327">
        <f>Model!BS101</f>
        <v>793.76199999999994</v>
      </c>
      <c r="BL1327">
        <f>Model!BT101</f>
        <v>-823.6760000000005</v>
      </c>
      <c r="BM1327">
        <f>Model!BU101</f>
        <v>-104.38600000000008</v>
      </c>
      <c r="BN1327">
        <f>Model!BV101</f>
        <v>201.85500000000059</v>
      </c>
      <c r="BO1327">
        <f>Model!BW101</f>
        <v>1036.125</v>
      </c>
      <c r="BP1327">
        <f>Model!BX101</f>
        <v>-979.62400000000059</v>
      </c>
      <c r="BQ1327">
        <f>Model!BY101</f>
        <v>-233.85199999999975</v>
      </c>
      <c r="BR1327">
        <f>Model!BZ101</f>
        <v>339.37200000000064</v>
      </c>
      <c r="BS1327">
        <f>Model!CA101</f>
        <v>1213.5389999999998</v>
      </c>
      <c r="BT1327">
        <f>Model!CB101</f>
        <v>-1117.0220000000006</v>
      </c>
      <c r="BU1327">
        <f>Model!CC101</f>
        <v>-305.99848844467704</v>
      </c>
      <c r="BV1327">
        <f>Model!CD101</f>
        <v>445.34791602869757</v>
      </c>
      <c r="BW1327">
        <f>Model!CE101</f>
        <v>1347.2624457940769</v>
      </c>
      <c r="BX1327">
        <f>Model!CF101</f>
        <v>-1165.5213769800905</v>
      </c>
      <c r="BY1327">
        <f>Model!CG101</f>
        <v>0</v>
      </c>
      <c r="BZ1327">
        <f>Model!CH101</f>
        <v>0</v>
      </c>
      <c r="CA1327">
        <f>Model!CI101</f>
        <v>0</v>
      </c>
      <c r="CB1327">
        <f>Model!CJ101</f>
        <v>0</v>
      </c>
      <c r="CC1327">
        <f>Model!CK101</f>
        <v>0</v>
      </c>
      <c r="CD1327">
        <f>Model!CL101</f>
        <v>0</v>
      </c>
      <c r="CE1327">
        <f>Model!CM101</f>
        <v>0</v>
      </c>
      <c r="CF1327">
        <f>Model!CN101</f>
        <v>0</v>
      </c>
      <c r="CG1327">
        <f>Model!CO101</f>
        <v>0</v>
      </c>
      <c r="CH1327">
        <f>Model!CP101</f>
        <v>0</v>
      </c>
      <c r="CI1327">
        <f>Model!CQ101</f>
        <v>0</v>
      </c>
      <c r="CJ1327">
        <f>Model!CR101</f>
        <v>0</v>
      </c>
      <c r="CK1327">
        <f>Model!CS101</f>
        <v>0</v>
      </c>
      <c r="CL1327">
        <f>Model!CT101</f>
        <v>0</v>
      </c>
      <c r="CM1327">
        <f>Model!CU101</f>
        <v>0</v>
      </c>
      <c r="CN1327">
        <f>Model!CV101</f>
        <v>0</v>
      </c>
      <c r="CO1327">
        <f>Model!CW101</f>
        <v>0</v>
      </c>
      <c r="CP1327">
        <f>Model!CX101</f>
        <v>0</v>
      </c>
      <c r="CQ1327">
        <f>Model!CY101</f>
        <v>0</v>
      </c>
      <c r="CR1327">
        <f>Model!CZ101</f>
        <v>0</v>
      </c>
      <c r="CS1327">
        <f>Model!DA101</f>
        <v>0</v>
      </c>
      <c r="CT1327">
        <f>Model!DB101</f>
        <v>0</v>
      </c>
      <c r="CU1327">
        <f>Model!DC101</f>
        <v>0</v>
      </c>
      <c r="CV1327">
        <f>Model!DD101</f>
        <v>0</v>
      </c>
      <c r="CW1327">
        <f>Model!DE101</f>
        <v>0</v>
      </c>
      <c r="CX1327">
        <f>Model!DF101</f>
        <v>0</v>
      </c>
      <c r="CY1327">
        <f>Model!DG101</f>
        <v>0</v>
      </c>
      <c r="CZ1327">
        <f>Model!DH101</f>
        <v>0</v>
      </c>
    </row>
    <row r="1328" spans="1:104">
      <c r="A1328" t="str">
        <f>Model!I159</f>
        <v>Adjusted Diluted EPS (new Non-GAAP method)</v>
      </c>
      <c r="B1328">
        <f>Model!J159</f>
        <v>0</v>
      </c>
      <c r="C1328">
        <f>Model!K159</f>
        <v>0</v>
      </c>
      <c r="D1328">
        <f>Model!L159</f>
        <v>0</v>
      </c>
      <c r="E1328">
        <f>Model!M159</f>
        <v>0</v>
      </c>
      <c r="F1328">
        <f>Model!N159</f>
        <v>0</v>
      </c>
      <c r="G1328">
        <f>Model!O159</f>
        <v>0</v>
      </c>
      <c r="H1328">
        <f>Model!P159</f>
        <v>0</v>
      </c>
      <c r="I1328">
        <f>Model!Q159</f>
        <v>0</v>
      </c>
      <c r="J1328">
        <f>Model!R159</f>
        <v>0</v>
      </c>
      <c r="K1328">
        <f>Model!S159</f>
        <v>0</v>
      </c>
      <c r="L1328">
        <f>Model!T159</f>
        <v>0</v>
      </c>
      <c r="M1328">
        <f>Model!U159</f>
        <v>0</v>
      </c>
      <c r="N1328">
        <f>Model!V159</f>
        <v>0</v>
      </c>
      <c r="O1328">
        <f>Model!W159</f>
        <v>0</v>
      </c>
      <c r="P1328">
        <f>Model!X159</f>
        <v>0</v>
      </c>
      <c r="Q1328">
        <f>Model!Y159</f>
        <v>0</v>
      </c>
      <c r="R1328">
        <f>Model!Z159</f>
        <v>0</v>
      </c>
      <c r="S1328">
        <f>Model!AA159</f>
        <v>0</v>
      </c>
      <c r="T1328">
        <f>Model!AB159</f>
        <v>0</v>
      </c>
      <c r="U1328">
        <f>Model!AC159</f>
        <v>0</v>
      </c>
      <c r="V1328">
        <f>Model!AD159</f>
        <v>0</v>
      </c>
      <c r="W1328">
        <f>Model!AE159</f>
        <v>0</v>
      </c>
      <c r="X1328">
        <f>Model!AF159</f>
        <v>0</v>
      </c>
      <c r="Y1328">
        <f>Model!AG159</f>
        <v>0</v>
      </c>
      <c r="Z1328">
        <f>Model!AH159</f>
        <v>0</v>
      </c>
      <c r="AA1328">
        <f>Model!AI159</f>
        <v>0</v>
      </c>
      <c r="AB1328">
        <f>Model!AJ159</f>
        <v>0</v>
      </c>
      <c r="AC1328">
        <f>Model!AK159</f>
        <v>0</v>
      </c>
      <c r="AD1328">
        <f>Model!AL159</f>
        <v>0</v>
      </c>
      <c r="AE1328">
        <f>Model!AM159</f>
        <v>0</v>
      </c>
      <c r="AF1328">
        <f>Model!AN159</f>
        <v>0</v>
      </c>
      <c r="AG1328">
        <f>Model!AO159</f>
        <v>0</v>
      </c>
      <c r="AH1328">
        <f>Model!AP159</f>
        <v>0</v>
      </c>
      <c r="AI1328">
        <f>Model!AQ159</f>
        <v>0</v>
      </c>
      <c r="AJ1328">
        <f>Model!AR159</f>
        <v>0</v>
      </c>
      <c r="AK1328">
        <f>Model!AS159</f>
        <v>0</v>
      </c>
      <c r="AL1328">
        <f>Model!AT159</f>
        <v>0</v>
      </c>
      <c r="AM1328">
        <f>Model!AU159</f>
        <v>0</v>
      </c>
      <c r="AN1328">
        <f>Model!AV159</f>
        <v>0</v>
      </c>
      <c r="AO1328">
        <f>Model!AW159</f>
        <v>0</v>
      </c>
      <c r="AP1328">
        <f>Model!AX159</f>
        <v>0</v>
      </c>
      <c r="AQ1328">
        <f>Model!AY159</f>
        <v>0</v>
      </c>
      <c r="AR1328">
        <f>Model!AZ159</f>
        <v>0</v>
      </c>
      <c r="AS1328">
        <f>Model!BA159</f>
        <v>0</v>
      </c>
      <c r="AT1328">
        <f>Model!BB159</f>
        <v>0</v>
      </c>
      <c r="AU1328">
        <f>Model!BC159</f>
        <v>0</v>
      </c>
      <c r="AV1328">
        <f>Model!BD159</f>
        <v>0</v>
      </c>
      <c r="AW1328">
        <f>Model!BE159</f>
        <v>0</v>
      </c>
      <c r="AX1328">
        <f>Model!BF159</f>
        <v>0</v>
      </c>
      <c r="AY1328">
        <f>Model!BG159</f>
        <v>0</v>
      </c>
      <c r="AZ1328">
        <f>Model!BH159</f>
        <v>0</v>
      </c>
      <c r="BA1328">
        <f>Model!BI159</f>
        <v>0</v>
      </c>
      <c r="BB1328">
        <f>Model!BJ159</f>
        <v>0</v>
      </c>
      <c r="BC1328">
        <f>Model!BK159</f>
        <v>0</v>
      </c>
      <c r="BD1328">
        <f>Model!BL159</f>
        <v>0</v>
      </c>
      <c r="BE1328">
        <f>Model!BM159</f>
        <v>0</v>
      </c>
      <c r="BF1328">
        <f>Model!BN159</f>
        <v>0</v>
      </c>
      <c r="BG1328">
        <f>Model!BO159</f>
        <v>0</v>
      </c>
      <c r="BH1328">
        <f>Model!BP159</f>
        <v>0</v>
      </c>
      <c r="BI1328">
        <f>Model!BQ159</f>
        <v>6.8661221997481174</v>
      </c>
      <c r="BJ1328">
        <f>Model!BR159</f>
        <v>10.635381836350362</v>
      </c>
      <c r="BK1328">
        <f>Model!BS159</f>
        <v>23.955779385879129</v>
      </c>
      <c r="BL1328">
        <f>Model!BT159</f>
        <v>10.726464694561827</v>
      </c>
      <c r="BM1328">
        <f>Model!BU159</f>
        <v>9.1958945919527526</v>
      </c>
      <c r="BN1328">
        <f>Model!BV159</f>
        <v>12.592640683992892</v>
      </c>
      <c r="BO1328">
        <f>Model!BW159</f>
        <v>29.688844422211105</v>
      </c>
      <c r="BP1328">
        <f>Model!BX159</f>
        <v>14.211375449820066</v>
      </c>
      <c r="BQ1328">
        <f>Model!BY159</f>
        <v>9.8763818090954487</v>
      </c>
      <c r="BR1328">
        <f>Model!BZ159</f>
        <v>15.141581428799755</v>
      </c>
      <c r="BS1328">
        <f>Model!CA159</f>
        <v>35.224885936124245</v>
      </c>
      <c r="BT1328">
        <f>Model!CB159</f>
        <v>16.857632794690225</v>
      </c>
      <c r="BU1328">
        <f>Model!CC159</f>
        <v>11.206184679648887</v>
      </c>
      <c r="BV1328">
        <f>Model!CD159</f>
        <v>18.642647186857957</v>
      </c>
      <c r="BW1328">
        <f>Model!CE159</f>
        <v>40.966442951350366</v>
      </c>
      <c r="BX1328">
        <f>Model!CF159</f>
        <v>21.54848427457372</v>
      </c>
      <c r="BY1328">
        <f>Model!CG159</f>
        <v>0</v>
      </c>
      <c r="BZ1328">
        <f>Model!CH159</f>
        <v>0</v>
      </c>
      <c r="CA1328">
        <f>Model!CI159</f>
        <v>0</v>
      </c>
      <c r="CB1328">
        <f>Model!CJ159</f>
        <v>0</v>
      </c>
      <c r="CC1328">
        <f>Model!CK159</f>
        <v>0</v>
      </c>
      <c r="CD1328">
        <f>Model!CL159</f>
        <v>0</v>
      </c>
      <c r="CE1328">
        <f>Model!CM159</f>
        <v>0</v>
      </c>
      <c r="CF1328">
        <f>Model!CN159</f>
        <v>0</v>
      </c>
      <c r="CG1328">
        <f>Model!CO159</f>
        <v>0</v>
      </c>
      <c r="CH1328">
        <f>Model!CP159</f>
        <v>0</v>
      </c>
      <c r="CI1328">
        <f>Model!CQ159</f>
        <v>0</v>
      </c>
      <c r="CJ1328">
        <f>Model!CR159</f>
        <v>0</v>
      </c>
      <c r="CK1328">
        <f>Model!CS159</f>
        <v>0</v>
      </c>
      <c r="CL1328">
        <f>Model!CT159</f>
        <v>0</v>
      </c>
      <c r="CM1328">
        <f>Model!CU159</f>
        <v>0</v>
      </c>
      <c r="CN1328">
        <f>Model!CV159</f>
        <v>51.921287771596873</v>
      </c>
      <c r="CO1328">
        <f>Model!CW159</f>
        <v>65.635479296086928</v>
      </c>
      <c r="CP1328">
        <f>Model!CX159</f>
        <v>77.103064792457701</v>
      </c>
      <c r="CQ1328">
        <f>Model!CY159</f>
        <v>92.09019546493181</v>
      </c>
      <c r="CR1328">
        <f>Model!CZ159</f>
        <v>109.07187742548903</v>
      </c>
      <c r="CS1328">
        <f>Model!DA159</f>
        <v>125.72713745961265</v>
      </c>
      <c r="CT1328">
        <f>Model!DB159</f>
        <v>142.78759401880708</v>
      </c>
      <c r="CU1328">
        <f>Model!DC159</f>
        <v>158.97688006497836</v>
      </c>
      <c r="CV1328">
        <f>Model!DD159</f>
        <v>173.61664514832248</v>
      </c>
      <c r="CW1328">
        <f>Model!DE159</f>
        <v>188.10423891021458</v>
      </c>
      <c r="CX1328">
        <f>Model!DF159</f>
        <v>204.21363582428231</v>
      </c>
      <c r="CY1328">
        <f>Model!DG159</f>
        <v>0</v>
      </c>
      <c r="CZ1328">
        <f>Model!DH159</f>
        <v>0.19348431128671262</v>
      </c>
    </row>
    <row r="1329" spans="1:104">
      <c r="A1329" t="str">
        <f>Model!I160</f>
        <v>% change Y/Y</v>
      </c>
      <c r="B1329">
        <f>Model!J160</f>
        <v>0</v>
      </c>
      <c r="C1329">
        <f>Model!K160</f>
        <v>0</v>
      </c>
      <c r="D1329">
        <f>Model!L160</f>
        <v>0</v>
      </c>
      <c r="E1329">
        <f>Model!M160</f>
        <v>0</v>
      </c>
      <c r="F1329">
        <f>Model!N160</f>
        <v>0</v>
      </c>
      <c r="G1329">
        <f>Model!O160</f>
        <v>0</v>
      </c>
      <c r="H1329">
        <f>Model!P160</f>
        <v>0</v>
      </c>
      <c r="I1329">
        <f>Model!Q160</f>
        <v>0</v>
      </c>
      <c r="J1329">
        <f>Model!R160</f>
        <v>0</v>
      </c>
      <c r="K1329">
        <f>Model!S160</f>
        <v>0</v>
      </c>
      <c r="L1329">
        <f>Model!T160</f>
        <v>0</v>
      </c>
      <c r="M1329">
        <f>Model!U160</f>
        <v>0</v>
      </c>
      <c r="N1329">
        <f>Model!V160</f>
        <v>0</v>
      </c>
      <c r="O1329">
        <f>Model!W160</f>
        <v>0</v>
      </c>
      <c r="P1329">
        <f>Model!X160</f>
        <v>0</v>
      </c>
      <c r="Q1329">
        <f>Model!Y160</f>
        <v>0</v>
      </c>
      <c r="R1329">
        <f>Model!Z160</f>
        <v>0</v>
      </c>
      <c r="S1329">
        <f>Model!AA160</f>
        <v>0</v>
      </c>
      <c r="T1329">
        <f>Model!AB160</f>
        <v>0</v>
      </c>
      <c r="U1329">
        <f>Model!AC160</f>
        <v>0</v>
      </c>
      <c r="V1329">
        <f>Model!AD160</f>
        <v>0</v>
      </c>
      <c r="W1329">
        <f>Model!AE160</f>
        <v>0</v>
      </c>
      <c r="X1329">
        <f>Model!AF160</f>
        <v>0</v>
      </c>
      <c r="Y1329">
        <f>Model!AG160</f>
        <v>0</v>
      </c>
      <c r="Z1329">
        <f>Model!AH160</f>
        <v>0</v>
      </c>
      <c r="AA1329">
        <f>Model!AI160</f>
        <v>0</v>
      </c>
      <c r="AB1329">
        <f>Model!AJ160</f>
        <v>0</v>
      </c>
      <c r="AC1329">
        <f>Model!AK160</f>
        <v>0</v>
      </c>
      <c r="AD1329">
        <f>Model!AL160</f>
        <v>0</v>
      </c>
      <c r="AE1329">
        <f>Model!AM160</f>
        <v>0</v>
      </c>
      <c r="AF1329">
        <f>Model!AN160</f>
        <v>0</v>
      </c>
      <c r="AG1329">
        <f>Model!AO160</f>
        <v>0</v>
      </c>
      <c r="AH1329">
        <f>Model!AP160</f>
        <v>0</v>
      </c>
      <c r="AI1329">
        <f>Model!AQ160</f>
        <v>0</v>
      </c>
      <c r="AJ1329">
        <f>Model!AR160</f>
        <v>0</v>
      </c>
      <c r="AK1329">
        <f>Model!AS160</f>
        <v>0</v>
      </c>
      <c r="AL1329">
        <f>Model!AT160</f>
        <v>0</v>
      </c>
      <c r="AM1329">
        <f>Model!AU160</f>
        <v>0</v>
      </c>
      <c r="AN1329">
        <f>Model!AV160</f>
        <v>0</v>
      </c>
      <c r="AO1329">
        <f>Model!AW160</f>
        <v>0</v>
      </c>
      <c r="AP1329">
        <f>Model!AX160</f>
        <v>0</v>
      </c>
      <c r="AQ1329">
        <f>Model!AY160</f>
        <v>0</v>
      </c>
      <c r="AR1329">
        <f>Model!AZ160</f>
        <v>0</v>
      </c>
      <c r="AS1329">
        <f>Model!BA160</f>
        <v>0</v>
      </c>
      <c r="AT1329">
        <f>Model!BB160</f>
        <v>0</v>
      </c>
      <c r="AU1329">
        <f>Model!BC160</f>
        <v>0</v>
      </c>
      <c r="AV1329">
        <f>Model!BD160</f>
        <v>0</v>
      </c>
      <c r="AW1329">
        <f>Model!BE160</f>
        <v>0</v>
      </c>
      <c r="AX1329">
        <f>Model!BF160</f>
        <v>0</v>
      </c>
      <c r="AY1329">
        <f>Model!BG160</f>
        <v>0</v>
      </c>
      <c r="AZ1329">
        <f>Model!BH160</f>
        <v>0</v>
      </c>
      <c r="BA1329">
        <f>Model!BI160</f>
        <v>0</v>
      </c>
      <c r="BB1329">
        <f>Model!BJ160</f>
        <v>0</v>
      </c>
      <c r="BC1329">
        <f>Model!BK160</f>
        <v>0</v>
      </c>
      <c r="BD1329">
        <f>Model!BL160</f>
        <v>0</v>
      </c>
      <c r="BE1329">
        <f>Model!BM160</f>
        <v>0</v>
      </c>
      <c r="BF1329">
        <f>Model!BN160</f>
        <v>0</v>
      </c>
      <c r="BG1329">
        <f>Model!BO160</f>
        <v>0</v>
      </c>
      <c r="BH1329">
        <f>Model!BP160</f>
        <v>0</v>
      </c>
      <c r="BI1329">
        <f>Model!BQ160</f>
        <v>0</v>
      </c>
      <c r="BJ1329">
        <f>Model!BR160</f>
        <v>0</v>
      </c>
      <c r="BK1329">
        <f>Model!BS160</f>
        <v>0</v>
      </c>
      <c r="BL1329">
        <f>Model!BT160</f>
        <v>0</v>
      </c>
      <c r="BM1329">
        <f>Model!BU160</f>
        <v>0.33931414624256218</v>
      </c>
      <c r="BN1329">
        <f>Model!BV160</f>
        <v>0.18403277642114091</v>
      </c>
      <c r="BO1329">
        <f>Model!BW160</f>
        <v>0.23931866060310125</v>
      </c>
      <c r="BP1329">
        <f>Model!BX160</f>
        <v>0.32488903422439286</v>
      </c>
      <c r="BQ1329">
        <f>Model!BY160</f>
        <v>7.3999023187823809E-2</v>
      </c>
      <c r="BR1329">
        <f>Model!BZ160</f>
        <v>0.202415109647887</v>
      </c>
      <c r="BS1329">
        <f>Model!CA160</f>
        <v>0.18646874345070374</v>
      </c>
      <c r="BT1329">
        <f>Model!CB160</f>
        <v>0.1862069828648194</v>
      </c>
      <c r="BU1329">
        <f>Model!CC160</f>
        <v>0.13464474098488011</v>
      </c>
      <c r="BV1329">
        <f>Model!CD160</f>
        <v>0.23122193507469868</v>
      </c>
      <c r="BW1329">
        <f>Model!CE160</f>
        <v>0.16299717834821914</v>
      </c>
      <c r="BX1329">
        <f>Model!CF160</f>
        <v>0.27826276304707553</v>
      </c>
      <c r="BY1329">
        <f>Model!CG160</f>
        <v>0</v>
      </c>
      <c r="BZ1329">
        <f>Model!CH160</f>
        <v>0</v>
      </c>
      <c r="CA1329">
        <f>Model!CI160</f>
        <v>0</v>
      </c>
      <c r="CB1329">
        <f>Model!CJ160</f>
        <v>0</v>
      </c>
      <c r="CC1329">
        <f>Model!CK160</f>
        <v>0</v>
      </c>
      <c r="CD1329">
        <f>Model!CL160</f>
        <v>0</v>
      </c>
      <c r="CE1329">
        <f>Model!CM160</f>
        <v>0</v>
      </c>
      <c r="CF1329">
        <f>Model!CN160</f>
        <v>0</v>
      </c>
      <c r="CG1329">
        <f>Model!CO160</f>
        <v>0</v>
      </c>
      <c r="CH1329">
        <f>Model!CP160</f>
        <v>0</v>
      </c>
      <c r="CI1329">
        <f>Model!CQ160</f>
        <v>0</v>
      </c>
      <c r="CJ1329">
        <f>Model!CR160</f>
        <v>0</v>
      </c>
      <c r="CK1329">
        <f>Model!CS160</f>
        <v>0</v>
      </c>
      <c r="CL1329">
        <f>Model!CT160</f>
        <v>0</v>
      </c>
      <c r="CM1329">
        <f>Model!CU160</f>
        <v>0</v>
      </c>
      <c r="CN1329">
        <f>Model!CV160</f>
        <v>0</v>
      </c>
      <c r="CO1329">
        <f>Model!CW160</f>
        <v>0.2641342715692867</v>
      </c>
      <c r="CP1329">
        <f>Model!CX160</f>
        <v>0.17471626046394162</v>
      </c>
      <c r="CQ1329">
        <f>Model!CY160</f>
        <v>0.19437788514393994</v>
      </c>
      <c r="CR1329">
        <f>Model!CZ160</f>
        <v>0.18440271382661888</v>
      </c>
      <c r="CS1329">
        <f>Model!DA160</f>
        <v>0.15269985652810858</v>
      </c>
      <c r="CT1329">
        <f>Model!DB160</f>
        <v>0.13569430517476611</v>
      </c>
      <c r="CU1329">
        <f>Model!DC160</f>
        <v>0.11338020055186959</v>
      </c>
      <c r="CV1329">
        <f>Model!DD160</f>
        <v>9.2087384513775961E-2</v>
      </c>
      <c r="CW1329">
        <f>Model!DE160</f>
        <v>8.3445880143088846E-2</v>
      </c>
      <c r="CX1329">
        <f>Model!DF160</f>
        <v>8.5640796865598778E-2</v>
      </c>
      <c r="CY1329">
        <f>Model!DG160</f>
        <v>0</v>
      </c>
      <c r="CZ1329">
        <f>Model!DH160</f>
        <v>0</v>
      </c>
    </row>
    <row r="1330" spans="1:104">
      <c r="A1330">
        <f>Model!I161</f>
        <v>0</v>
      </c>
      <c r="B1330">
        <f>Model!J161</f>
        <v>0</v>
      </c>
      <c r="C1330">
        <f>Model!K161</f>
        <v>0</v>
      </c>
      <c r="D1330">
        <f>Model!L161</f>
        <v>0</v>
      </c>
      <c r="E1330">
        <f>Model!M161</f>
        <v>0</v>
      </c>
      <c r="F1330">
        <f>Model!N161</f>
        <v>0</v>
      </c>
      <c r="G1330">
        <f>Model!O161</f>
        <v>0</v>
      </c>
      <c r="H1330">
        <f>Model!P161</f>
        <v>0</v>
      </c>
      <c r="I1330">
        <f>Model!Q161</f>
        <v>0</v>
      </c>
      <c r="J1330">
        <f>Model!R161</f>
        <v>0</v>
      </c>
      <c r="K1330">
        <f>Model!S161</f>
        <v>0</v>
      </c>
      <c r="L1330">
        <f>Model!T161</f>
        <v>0</v>
      </c>
      <c r="M1330">
        <f>Model!U161</f>
        <v>0</v>
      </c>
      <c r="N1330">
        <f>Model!V161</f>
        <v>0</v>
      </c>
      <c r="O1330">
        <f>Model!W161</f>
        <v>0</v>
      </c>
      <c r="P1330">
        <f>Model!X161</f>
        <v>0</v>
      </c>
      <c r="Q1330">
        <f>Model!Y161</f>
        <v>0</v>
      </c>
      <c r="R1330">
        <f>Model!Z161</f>
        <v>0</v>
      </c>
      <c r="S1330">
        <f>Model!AA161</f>
        <v>0</v>
      </c>
      <c r="T1330">
        <f>Model!AB161</f>
        <v>0</v>
      </c>
      <c r="U1330">
        <f>Model!AC161</f>
        <v>0</v>
      </c>
      <c r="V1330">
        <f>Model!AD161</f>
        <v>0</v>
      </c>
      <c r="W1330">
        <f>Model!AE161</f>
        <v>0</v>
      </c>
      <c r="X1330">
        <f>Model!AF161</f>
        <v>0</v>
      </c>
      <c r="Y1330">
        <f>Model!AG161</f>
        <v>0</v>
      </c>
      <c r="Z1330">
        <f>Model!AH161</f>
        <v>0</v>
      </c>
      <c r="AA1330">
        <f>Model!AI161</f>
        <v>0</v>
      </c>
      <c r="AB1330">
        <f>Model!AJ161</f>
        <v>0</v>
      </c>
      <c r="AC1330">
        <f>Model!AK161</f>
        <v>0</v>
      </c>
      <c r="AD1330">
        <f>Model!AL161</f>
        <v>0</v>
      </c>
      <c r="AE1330">
        <f>Model!AM161</f>
        <v>0</v>
      </c>
      <c r="AF1330">
        <f>Model!AN161</f>
        <v>0</v>
      </c>
      <c r="AG1330">
        <f>Model!AO161</f>
        <v>0</v>
      </c>
      <c r="AH1330">
        <f>Model!AP161</f>
        <v>0</v>
      </c>
      <c r="AI1330">
        <f>Model!AQ161</f>
        <v>0</v>
      </c>
      <c r="AJ1330">
        <f>Model!AR161</f>
        <v>0</v>
      </c>
      <c r="AK1330">
        <f>Model!AS161</f>
        <v>0</v>
      </c>
      <c r="AL1330">
        <f>Model!AT161</f>
        <v>0</v>
      </c>
      <c r="AM1330">
        <f>Model!AU161</f>
        <v>0</v>
      </c>
      <c r="AN1330">
        <f>Model!AV161</f>
        <v>0</v>
      </c>
      <c r="AO1330">
        <f>Model!AW161</f>
        <v>0</v>
      </c>
      <c r="AP1330">
        <f>Model!AX161</f>
        <v>0</v>
      </c>
      <c r="AQ1330">
        <f>Model!AY161</f>
        <v>0</v>
      </c>
      <c r="AR1330">
        <f>Model!AZ161</f>
        <v>0</v>
      </c>
      <c r="AS1330">
        <f>Model!BA161</f>
        <v>0</v>
      </c>
      <c r="AT1330">
        <f>Model!BB161</f>
        <v>0</v>
      </c>
      <c r="AU1330">
        <f>Model!BC161</f>
        <v>0</v>
      </c>
      <c r="AV1330">
        <f>Model!BD161</f>
        <v>0</v>
      </c>
      <c r="AW1330">
        <f>Model!BE161</f>
        <v>0</v>
      </c>
      <c r="AX1330">
        <f>Model!BF161</f>
        <v>0</v>
      </c>
      <c r="AY1330">
        <f>Model!BG161</f>
        <v>0</v>
      </c>
      <c r="AZ1330">
        <f>Model!BH161</f>
        <v>0</v>
      </c>
      <c r="BA1330">
        <f>Model!BI161</f>
        <v>0</v>
      </c>
      <c r="BB1330">
        <f>Model!BJ161</f>
        <v>0</v>
      </c>
      <c r="BC1330">
        <f>Model!BK161</f>
        <v>0</v>
      </c>
      <c r="BD1330">
        <f>Model!BL161</f>
        <v>0</v>
      </c>
      <c r="BE1330">
        <f>Model!BM161</f>
        <v>0</v>
      </c>
      <c r="BF1330">
        <f>Model!BN161</f>
        <v>0</v>
      </c>
      <c r="BG1330">
        <f>Model!BO161</f>
        <v>0</v>
      </c>
      <c r="BH1330">
        <f>Model!BP161</f>
        <v>0</v>
      </c>
      <c r="BI1330">
        <f>Model!BQ161</f>
        <v>0</v>
      </c>
      <c r="BJ1330">
        <f>Model!BR161</f>
        <v>0</v>
      </c>
      <c r="BK1330">
        <f>Model!BS161</f>
        <v>0</v>
      </c>
      <c r="BL1330">
        <f>Model!BT161</f>
        <v>0</v>
      </c>
      <c r="BM1330">
        <f>Model!BU161</f>
        <v>9.6</v>
      </c>
      <c r="BN1330">
        <f>Model!BV161</f>
        <v>12.5</v>
      </c>
      <c r="BO1330">
        <f>Model!BW161</f>
        <v>29.8</v>
      </c>
      <c r="BP1330">
        <f>Model!BX161</f>
        <v>12.8</v>
      </c>
      <c r="BQ1330">
        <f>Model!BY161</f>
        <v>0</v>
      </c>
      <c r="BR1330">
        <f>Model!BZ161</f>
        <v>0</v>
      </c>
      <c r="BS1330">
        <f>Model!CA161</f>
        <v>0</v>
      </c>
      <c r="BT1330">
        <f>Model!CB161</f>
        <v>0</v>
      </c>
      <c r="BU1330">
        <f>Model!CC161</f>
        <v>7.7517757658546849E-2</v>
      </c>
      <c r="BV1330">
        <f>Model!CD161</f>
        <v>0</v>
      </c>
      <c r="BW1330">
        <f>Model!CE161</f>
        <v>0</v>
      </c>
      <c r="BX1330">
        <f>Model!CF161</f>
        <v>0</v>
      </c>
      <c r="BY1330">
        <f>Model!CG161</f>
        <v>0</v>
      </c>
      <c r="BZ1330">
        <f>Model!CH161</f>
        <v>0</v>
      </c>
      <c r="CA1330">
        <f>Model!CI161</f>
        <v>0</v>
      </c>
      <c r="CB1330">
        <f>Model!CJ161</f>
        <v>0</v>
      </c>
      <c r="CC1330">
        <f>Model!CK161</f>
        <v>0</v>
      </c>
      <c r="CD1330">
        <f>Model!CL161</f>
        <v>0</v>
      </c>
      <c r="CE1330">
        <f>Model!CM161</f>
        <v>0</v>
      </c>
      <c r="CF1330">
        <f>Model!CN161</f>
        <v>0</v>
      </c>
      <c r="CG1330">
        <f>Model!CO161</f>
        <v>0</v>
      </c>
      <c r="CH1330">
        <f>Model!CP161</f>
        <v>0</v>
      </c>
      <c r="CI1330">
        <f>Model!CQ161</f>
        <v>0</v>
      </c>
      <c r="CJ1330">
        <f>Model!CR161</f>
        <v>0</v>
      </c>
      <c r="CK1330">
        <f>Model!CS161</f>
        <v>0</v>
      </c>
      <c r="CL1330">
        <f>Model!CT161</f>
        <v>0</v>
      </c>
      <c r="CM1330">
        <f>Model!CU161</f>
        <v>0</v>
      </c>
      <c r="CN1330">
        <f>Model!CV161</f>
        <v>0</v>
      </c>
      <c r="CO1330">
        <f>Model!CW161</f>
        <v>0</v>
      </c>
      <c r="CP1330">
        <f>Model!CX161</f>
        <v>0</v>
      </c>
      <c r="CQ1330">
        <f>Model!CY161</f>
        <v>0</v>
      </c>
      <c r="CR1330">
        <f>Model!CZ161</f>
        <v>0</v>
      </c>
      <c r="CS1330">
        <f>Model!DA161</f>
        <v>0</v>
      </c>
      <c r="CT1330">
        <f>Model!DB161</f>
        <v>0</v>
      </c>
      <c r="CU1330">
        <f>Model!DC161</f>
        <v>0</v>
      </c>
      <c r="CV1330">
        <f>Model!DD161</f>
        <v>0</v>
      </c>
      <c r="CW1330">
        <f>Model!DE161</f>
        <v>0</v>
      </c>
      <c r="CX1330">
        <f>Model!DF161</f>
        <v>0</v>
      </c>
      <c r="CY1330">
        <f>Model!DG161</f>
        <v>0</v>
      </c>
      <c r="CZ1330">
        <f>Model!DH161</f>
        <v>0</v>
      </c>
    </row>
    <row r="1331" spans="1:104">
      <c r="A1331" t="str">
        <f>Model!I126</f>
        <v>Adjusted Income Before Taxes (new Non-GAAP method)</v>
      </c>
      <c r="B1331">
        <f>Model!J126</f>
        <v>0</v>
      </c>
      <c r="C1331">
        <f>Model!K126</f>
        <v>0</v>
      </c>
      <c r="D1331">
        <f>Model!L126</f>
        <v>0</v>
      </c>
      <c r="E1331">
        <f>Model!M126</f>
        <v>0</v>
      </c>
      <c r="F1331">
        <f>Model!N126</f>
        <v>0</v>
      </c>
      <c r="G1331">
        <f>Model!O126</f>
        <v>0</v>
      </c>
      <c r="H1331">
        <f>Model!P126</f>
        <v>0</v>
      </c>
      <c r="I1331">
        <f>Model!Q126</f>
        <v>0</v>
      </c>
      <c r="J1331">
        <f>Model!R126</f>
        <v>0</v>
      </c>
      <c r="K1331">
        <f>Model!S126</f>
        <v>0</v>
      </c>
      <c r="L1331">
        <f>Model!T126</f>
        <v>0</v>
      </c>
      <c r="M1331">
        <f>Model!U126</f>
        <v>0</v>
      </c>
      <c r="N1331">
        <f>Model!V126</f>
        <v>0</v>
      </c>
      <c r="O1331">
        <f>Model!W126</f>
        <v>0</v>
      </c>
      <c r="P1331">
        <f>Model!X126</f>
        <v>0</v>
      </c>
      <c r="Q1331">
        <f>Model!Y126</f>
        <v>0</v>
      </c>
      <c r="R1331">
        <f>Model!Z126</f>
        <v>0</v>
      </c>
      <c r="S1331">
        <f>Model!AA126</f>
        <v>0</v>
      </c>
      <c r="T1331">
        <f>Model!AB126</f>
        <v>0</v>
      </c>
      <c r="U1331">
        <f>Model!AC126</f>
        <v>0</v>
      </c>
      <c r="V1331">
        <f>Model!AD126</f>
        <v>0</v>
      </c>
      <c r="W1331">
        <f>Model!AE126</f>
        <v>0</v>
      </c>
      <c r="X1331">
        <f>Model!AF126</f>
        <v>0</v>
      </c>
      <c r="Y1331">
        <f>Model!AG126</f>
        <v>4.6529999999999916</v>
      </c>
      <c r="Z1331">
        <f>Model!AH126</f>
        <v>24.756000000000007</v>
      </c>
      <c r="AA1331">
        <f>Model!AI126</f>
        <v>37.783999999999999</v>
      </c>
      <c r="AB1331">
        <f>Model!AJ126</f>
        <v>20.552999999999965</v>
      </c>
      <c r="AC1331">
        <f>Model!AK126</f>
        <v>15.890000000000041</v>
      </c>
      <c r="AD1331">
        <f>Model!AL126</f>
        <v>54.362999999999957</v>
      </c>
      <c r="AE1331">
        <f>Model!AM126</f>
        <v>86.263999999999996</v>
      </c>
      <c r="AF1331">
        <f>Model!AN126</f>
        <v>51.998000000000019</v>
      </c>
      <c r="AG1331">
        <f>Model!AO126</f>
        <v>34.927000000000014</v>
      </c>
      <c r="AH1331">
        <f>Model!AP126</f>
        <v>88.994000000000042</v>
      </c>
      <c r="AI1331">
        <f>Model!AQ126</f>
        <v>140.07200000000003</v>
      </c>
      <c r="AJ1331">
        <f>Model!AR126</f>
        <v>59.984000000000002</v>
      </c>
      <c r="AK1331">
        <f>Model!AS126</f>
        <v>48.827000000000012</v>
      </c>
      <c r="AL1331">
        <f>Model!AT126</f>
        <v>110.46199999999996</v>
      </c>
      <c r="AM1331">
        <f>Model!AU126</f>
        <v>205.43199999999999</v>
      </c>
      <c r="AN1331">
        <f>Model!AV126</f>
        <v>121.48800000000007</v>
      </c>
      <c r="AO1331">
        <f>Model!AW126</f>
        <v>95.149999999999878</v>
      </c>
      <c r="AP1331">
        <f>Model!AX126</f>
        <v>182.69399999999985</v>
      </c>
      <c r="AQ1331">
        <f>Model!AY126</f>
        <v>337.96499999999986</v>
      </c>
      <c r="AR1331">
        <f>Model!AZ126</f>
        <v>196.09000000000006</v>
      </c>
      <c r="AS1331">
        <f>Model!BA126</f>
        <v>154.15800000000002</v>
      </c>
      <c r="AT1331">
        <f>Model!BB126</f>
        <v>330.39800000000008</v>
      </c>
      <c r="AU1331">
        <f>Model!BC126</f>
        <v>625.4530000000002</v>
      </c>
      <c r="AV1331">
        <f>Model!BD126</f>
        <v>311.8420000000001</v>
      </c>
      <c r="AW1331">
        <f>Model!BE126</f>
        <v>244.39300000000003</v>
      </c>
      <c r="AX1331">
        <f>Model!BF126</f>
        <v>464.608</v>
      </c>
      <c r="AY1331">
        <f>Model!BG126</f>
        <v>749.86599999999999</v>
      </c>
      <c r="AZ1331">
        <f>Model!BH126</f>
        <v>375.14200000000017</v>
      </c>
      <c r="BA1331">
        <f>Model!BI126</f>
        <v>310.83999999999997</v>
      </c>
      <c r="BB1331">
        <f>Model!BJ126</f>
        <v>569.65899999999999</v>
      </c>
      <c r="BC1331">
        <f>Model!BK126</f>
        <v>1059.5509999999995</v>
      </c>
      <c r="BD1331">
        <f>Model!BL126</f>
        <v>513.41399999999999</v>
      </c>
      <c r="BE1331">
        <f>Model!BM126</f>
        <v>454.03100000000012</v>
      </c>
      <c r="BF1331">
        <f>Model!BN126</f>
        <v>752.63700000000017</v>
      </c>
      <c r="BG1331">
        <f>Model!BO126</f>
        <v>1355.6300000000003</v>
      </c>
      <c r="BH1331">
        <f>Model!BP126</f>
        <v>614.80199999999991</v>
      </c>
      <c r="BI1331">
        <f>Model!BQ126</f>
        <v>449.94499999999982</v>
      </c>
      <c r="BJ1331">
        <f>Model!BR126</f>
        <v>706.60500000000013</v>
      </c>
      <c r="BK1331">
        <f>Model!BS126</f>
        <v>1500.4469999999999</v>
      </c>
      <c r="BL1331">
        <f>Model!BT126</f>
        <v>675.12899999999968</v>
      </c>
      <c r="BM1331">
        <f>Model!BU126</f>
        <v>569.18999999999949</v>
      </c>
      <c r="BN1331">
        <f>Model!BV126</f>
        <v>764.54000000000008</v>
      </c>
      <c r="BO1331">
        <f>Model!BW126</f>
        <v>1796.4090000000001</v>
      </c>
      <c r="BP1331">
        <f>Model!BX126</f>
        <v>820.72299999999973</v>
      </c>
      <c r="BQ1331">
        <f>Model!BY126</f>
        <v>587.12099999999975</v>
      </c>
      <c r="BR1331">
        <f>Model!BZ126</f>
        <v>921.8300000000005</v>
      </c>
      <c r="BS1331">
        <f>Model!CA126</f>
        <v>2128.4360000000006</v>
      </c>
      <c r="BT1331">
        <f>Model!CB126</f>
        <v>1010.5799999999998</v>
      </c>
      <c r="BU1331">
        <f>Model!CC126</f>
        <v>693.01428899676637</v>
      </c>
      <c r="BV1331">
        <f>Model!CD126</f>
        <v>1140.4311203363275</v>
      </c>
      <c r="BW1331">
        <f>Model!CE126</f>
        <v>2483.4190903170311</v>
      </c>
      <c r="BX1331">
        <f>Model!CF126</f>
        <v>1302.3776449972868</v>
      </c>
      <c r="BY1331">
        <f>Model!CG126</f>
        <v>0</v>
      </c>
      <c r="BZ1331">
        <f>Model!CH126</f>
        <v>0</v>
      </c>
      <c r="CA1331">
        <f>Model!CI126</f>
        <v>0</v>
      </c>
      <c r="CB1331">
        <f>Model!CJ126</f>
        <v>0</v>
      </c>
      <c r="CC1331">
        <f>Model!CK126</f>
        <v>0</v>
      </c>
      <c r="CD1331">
        <f>Model!CL126</f>
        <v>0</v>
      </c>
      <c r="CE1331">
        <f>Model!CM126</f>
        <v>87.74600000000018</v>
      </c>
      <c r="CF1331">
        <f>Model!CN126</f>
        <v>208.51499999999976</v>
      </c>
      <c r="CG1331">
        <f>Model!CO126</f>
        <v>323.97700000000003</v>
      </c>
      <c r="CH1331">
        <f>Model!CP126</f>
        <v>486.20899999999972</v>
      </c>
      <c r="CI1331">
        <f>Model!CQ126</f>
        <v>811.89899999999977</v>
      </c>
      <c r="CJ1331">
        <f>Model!CR126</f>
        <v>1421.8510000000006</v>
      </c>
      <c r="CK1331">
        <f>Model!CS126</f>
        <v>1834.0090000000012</v>
      </c>
      <c r="CL1331">
        <f>Model!CT126</f>
        <v>2453.4640000000004</v>
      </c>
      <c r="CM1331">
        <f>Model!CU126</f>
        <v>3177.099999999999</v>
      </c>
      <c r="CN1331">
        <f>Model!CV126</f>
        <v>3332.1259999999979</v>
      </c>
      <c r="CO1331">
        <f>Model!CW126</f>
        <v>3950.8620000000001</v>
      </c>
      <c r="CP1331">
        <f>Model!CX126</f>
        <v>4647.9669999999978</v>
      </c>
      <c r="CQ1331">
        <f>Model!CY126</f>
        <v>5619.2421446474136</v>
      </c>
      <c r="CR1331">
        <f>Model!CZ126</f>
        <v>6527.8479510800644</v>
      </c>
      <c r="CS1331">
        <f>Model!DA126</f>
        <v>7423.7976384595304</v>
      </c>
      <c r="CT1331">
        <f>Model!DB126</f>
        <v>8322.5632444063685</v>
      </c>
      <c r="CU1331">
        <f>Model!DC126</f>
        <v>9214.8879048421713</v>
      </c>
      <c r="CV1331">
        <f>Model!DD126</f>
        <v>10081.272947635378</v>
      </c>
      <c r="CW1331">
        <f>Model!DE126</f>
        <v>10944.672139209451</v>
      </c>
      <c r="CX1331">
        <f>Model!DF126</f>
        <v>11909.055567644578</v>
      </c>
      <c r="CY1331">
        <f>Model!DG126</f>
        <v>0.32630645032137906</v>
      </c>
      <c r="CZ1331">
        <f>Model!DH126</f>
        <v>0.17376442335032749</v>
      </c>
    </row>
    <row r="1332" spans="1:104">
      <c r="A1332">
        <f>Model!I127</f>
        <v>0</v>
      </c>
      <c r="B1332">
        <f>Model!J127</f>
        <v>0</v>
      </c>
      <c r="C1332">
        <f>Model!K127</f>
        <v>0</v>
      </c>
      <c r="D1332">
        <f>Model!L127</f>
        <v>0</v>
      </c>
      <c r="E1332">
        <f>Model!M127</f>
        <v>0</v>
      </c>
      <c r="F1332">
        <f>Model!N127</f>
        <v>0</v>
      </c>
      <c r="G1332">
        <f>Model!O127</f>
        <v>0</v>
      </c>
      <c r="H1332">
        <f>Model!P127</f>
        <v>0</v>
      </c>
      <c r="I1332">
        <f>Model!Q127</f>
        <v>0</v>
      </c>
      <c r="J1332">
        <f>Model!R127</f>
        <v>0</v>
      </c>
      <c r="K1332">
        <f>Model!S127</f>
        <v>0</v>
      </c>
      <c r="L1332">
        <f>Model!T127</f>
        <v>0</v>
      </c>
      <c r="M1332">
        <f>Model!U127</f>
        <v>0</v>
      </c>
      <c r="N1332">
        <f>Model!V127</f>
        <v>0</v>
      </c>
      <c r="O1332">
        <f>Model!W127</f>
        <v>0</v>
      </c>
      <c r="P1332">
        <f>Model!X127</f>
        <v>0</v>
      </c>
      <c r="Q1332">
        <f>Model!Y127</f>
        <v>0</v>
      </c>
      <c r="R1332">
        <f>Model!Z127</f>
        <v>0</v>
      </c>
      <c r="S1332">
        <f>Model!AA127</f>
        <v>0</v>
      </c>
      <c r="T1332">
        <f>Model!AB127</f>
        <v>0</v>
      </c>
      <c r="U1332">
        <f>Model!AC127</f>
        <v>0</v>
      </c>
      <c r="V1332">
        <f>Model!AD127</f>
        <v>0</v>
      </c>
      <c r="W1332">
        <f>Model!AE127</f>
        <v>0</v>
      </c>
      <c r="X1332">
        <f>Model!AF127</f>
        <v>0</v>
      </c>
      <c r="Y1332">
        <f>Model!AG127</f>
        <v>0</v>
      </c>
      <c r="Z1332">
        <f>Model!AH127</f>
        <v>0</v>
      </c>
      <c r="AA1332">
        <f>Model!AI127</f>
        <v>0</v>
      </c>
      <c r="AB1332">
        <f>Model!AJ127</f>
        <v>0</v>
      </c>
      <c r="AC1332">
        <f>Model!AK127</f>
        <v>0</v>
      </c>
      <c r="AD1332">
        <f>Model!AL127</f>
        <v>0</v>
      </c>
      <c r="AE1332">
        <f>Model!AM127</f>
        <v>0</v>
      </c>
      <c r="AF1332">
        <f>Model!AN127</f>
        <v>0</v>
      </c>
      <c r="AG1332">
        <f>Model!AO127</f>
        <v>0</v>
      </c>
      <c r="AH1332">
        <f>Model!AP127</f>
        <v>0</v>
      </c>
      <c r="AI1332">
        <f>Model!AQ127</f>
        <v>0</v>
      </c>
      <c r="AJ1332">
        <f>Model!AR127</f>
        <v>0</v>
      </c>
      <c r="AK1332">
        <f>Model!AS127</f>
        <v>0</v>
      </c>
      <c r="AL1332">
        <f>Model!AT127</f>
        <v>0</v>
      </c>
      <c r="AM1332">
        <f>Model!AU127</f>
        <v>0</v>
      </c>
      <c r="AN1332">
        <f>Model!AV127</f>
        <v>0</v>
      </c>
      <c r="AO1332">
        <f>Model!AW127</f>
        <v>0</v>
      </c>
      <c r="AP1332">
        <f>Model!AX127</f>
        <v>0</v>
      </c>
      <c r="AQ1332">
        <f>Model!AY127</f>
        <v>0</v>
      </c>
      <c r="AR1332">
        <f>Model!AZ127</f>
        <v>0</v>
      </c>
      <c r="AS1332">
        <f>Model!BA127</f>
        <v>0</v>
      </c>
      <c r="AT1332">
        <f>Model!BB127</f>
        <v>0</v>
      </c>
      <c r="AU1332">
        <f>Model!BC127</f>
        <v>0</v>
      </c>
      <c r="AV1332">
        <f>Model!BD127</f>
        <v>0</v>
      </c>
      <c r="AW1332">
        <f>Model!BE127</f>
        <v>0</v>
      </c>
      <c r="AX1332">
        <f>Model!BF127</f>
        <v>0</v>
      </c>
      <c r="AY1332">
        <f>Model!BG127</f>
        <v>0</v>
      </c>
      <c r="AZ1332">
        <f>Model!BH127</f>
        <v>0</v>
      </c>
      <c r="BA1332">
        <f>Model!BI127</f>
        <v>0</v>
      </c>
      <c r="BB1332">
        <f>Model!BJ127</f>
        <v>0</v>
      </c>
      <c r="BC1332">
        <f>Model!BK127</f>
        <v>0</v>
      </c>
      <c r="BD1332">
        <f>Model!BL127</f>
        <v>0</v>
      </c>
      <c r="BE1332">
        <f>Model!BM127</f>
        <v>0</v>
      </c>
      <c r="BF1332">
        <f>Model!BN127</f>
        <v>0</v>
      </c>
      <c r="BG1332">
        <f>Model!BO127</f>
        <v>0</v>
      </c>
      <c r="BH1332">
        <f>Model!BP127</f>
        <v>0</v>
      </c>
      <c r="BI1332">
        <f>Model!BQ127</f>
        <v>0</v>
      </c>
      <c r="BJ1332">
        <f>Model!BR127</f>
        <v>0</v>
      </c>
      <c r="BK1332">
        <f>Model!BS127</f>
        <v>0</v>
      </c>
      <c r="BL1332">
        <f>Model!BT127</f>
        <v>0</v>
      </c>
      <c r="BM1332">
        <f>Model!BU127</f>
        <v>0</v>
      </c>
      <c r="BN1332">
        <f>Model!BV127</f>
        <v>0</v>
      </c>
      <c r="BO1332">
        <f>Model!BW127</f>
        <v>0</v>
      </c>
      <c r="BP1332">
        <f>Model!BX127</f>
        <v>0</v>
      </c>
      <c r="BQ1332">
        <f>Model!BY127</f>
        <v>0</v>
      </c>
      <c r="BR1332">
        <f>Model!BZ127</f>
        <v>0</v>
      </c>
      <c r="BS1332">
        <f>Model!CA127</f>
        <v>0</v>
      </c>
      <c r="BT1332">
        <f>Model!CB127</f>
        <v>0</v>
      </c>
      <c r="BU1332">
        <f>Model!CC127</f>
        <v>0</v>
      </c>
      <c r="BV1332">
        <f>Model!CD127</f>
        <v>0</v>
      </c>
      <c r="BW1332">
        <f>Model!CE127</f>
        <v>0</v>
      </c>
      <c r="BX1332">
        <f>Model!CF127</f>
        <v>0</v>
      </c>
      <c r="BY1332">
        <f>Model!CG127</f>
        <v>0</v>
      </c>
      <c r="BZ1332">
        <f>Model!CH127</f>
        <v>0</v>
      </c>
      <c r="CA1332">
        <f>Model!CI127</f>
        <v>0</v>
      </c>
      <c r="CB1332">
        <f>Model!CJ127</f>
        <v>0</v>
      </c>
      <c r="CC1332">
        <f>Model!CK127</f>
        <v>0</v>
      </c>
      <c r="CD1332">
        <f>Model!CL127</f>
        <v>0</v>
      </c>
      <c r="CE1332">
        <f>Model!CM127</f>
        <v>0</v>
      </c>
      <c r="CF1332">
        <f>Model!CN127</f>
        <v>0</v>
      </c>
      <c r="CG1332">
        <f>Model!CO127</f>
        <v>0</v>
      </c>
      <c r="CH1332">
        <f>Model!CP127</f>
        <v>0</v>
      </c>
      <c r="CI1332">
        <f>Model!CQ127</f>
        <v>0</v>
      </c>
      <c r="CJ1332">
        <f>Model!CR127</f>
        <v>0</v>
      </c>
      <c r="CK1332">
        <f>Model!CS127</f>
        <v>0</v>
      </c>
      <c r="CL1332">
        <f>Model!CT127</f>
        <v>0</v>
      </c>
      <c r="CM1332">
        <f>Model!CU127</f>
        <v>0</v>
      </c>
      <c r="CN1332">
        <f>Model!CV127</f>
        <v>0</v>
      </c>
      <c r="CO1332">
        <f>Model!CW127</f>
        <v>0</v>
      </c>
      <c r="CP1332">
        <f>Model!CX127</f>
        <v>0</v>
      </c>
      <c r="CQ1332">
        <f>Model!CY127</f>
        <v>0</v>
      </c>
      <c r="CR1332">
        <f>Model!CZ127</f>
        <v>0</v>
      </c>
      <c r="CS1332">
        <f>Model!DA127</f>
        <v>0</v>
      </c>
      <c r="CT1332">
        <f>Model!DB127</f>
        <v>0</v>
      </c>
      <c r="CU1332">
        <f>Model!DC127</f>
        <v>0</v>
      </c>
      <c r="CV1332">
        <f>Model!DD127</f>
        <v>0</v>
      </c>
      <c r="CW1332">
        <f>Model!DE127</f>
        <v>0</v>
      </c>
      <c r="CX1332">
        <f>Model!DF127</f>
        <v>0</v>
      </c>
      <c r="CY1332">
        <f>Model!DG127</f>
        <v>0</v>
      </c>
      <c r="CZ1332">
        <f>Model!DH127</f>
        <v>0</v>
      </c>
    </row>
    <row r="1333" spans="1:104">
      <c r="A1333" t="str">
        <f>Model!I137</f>
        <v>Adjusted Taxes (new Non-GAAP method)</v>
      </c>
      <c r="B1333">
        <f>Model!J137</f>
        <v>0</v>
      </c>
      <c r="C1333">
        <f>Model!K137</f>
        <v>0</v>
      </c>
      <c r="D1333">
        <f>Model!L137</f>
        <v>0</v>
      </c>
      <c r="E1333">
        <f>Model!M137</f>
        <v>0</v>
      </c>
      <c r="F1333">
        <f>Model!N137</f>
        <v>0</v>
      </c>
      <c r="G1333">
        <f>Model!O137</f>
        <v>0</v>
      </c>
      <c r="H1333">
        <f>Model!P137</f>
        <v>0</v>
      </c>
      <c r="I1333">
        <f>Model!Q137</f>
        <v>0</v>
      </c>
      <c r="J1333">
        <f>Model!R137</f>
        <v>0</v>
      </c>
      <c r="K1333">
        <f>Model!S137</f>
        <v>0</v>
      </c>
      <c r="L1333">
        <f>Model!T137</f>
        <v>0</v>
      </c>
      <c r="M1333">
        <f>Model!U137</f>
        <v>0</v>
      </c>
      <c r="N1333">
        <f>Model!V137</f>
        <v>0</v>
      </c>
      <c r="O1333">
        <f>Model!W137</f>
        <v>0</v>
      </c>
      <c r="P1333">
        <f>Model!X137</f>
        <v>0</v>
      </c>
      <c r="Q1333">
        <f>Model!Y137</f>
        <v>0</v>
      </c>
      <c r="R1333">
        <f>Model!Z137</f>
        <v>0</v>
      </c>
      <c r="S1333">
        <f>Model!AA137</f>
        <v>0</v>
      </c>
      <c r="T1333">
        <f>Model!AB137</f>
        <v>0</v>
      </c>
      <c r="U1333">
        <f>Model!AC137</f>
        <v>0</v>
      </c>
      <c r="V1333">
        <f>Model!AD137</f>
        <v>0</v>
      </c>
      <c r="W1333">
        <f>Model!AE137</f>
        <v>0</v>
      </c>
      <c r="X1333">
        <f>Model!AF137</f>
        <v>0</v>
      </c>
      <c r="Y1333">
        <f>Model!AG137</f>
        <v>0</v>
      </c>
      <c r="Z1333">
        <f>Model!AH137</f>
        <v>0</v>
      </c>
      <c r="AA1333">
        <f>Model!AI137</f>
        <v>0</v>
      </c>
      <c r="AB1333">
        <f>Model!AJ137</f>
        <v>0</v>
      </c>
      <c r="AC1333">
        <f>Model!AK137</f>
        <v>0</v>
      </c>
      <c r="AD1333">
        <f>Model!AL137</f>
        <v>0</v>
      </c>
      <c r="AE1333">
        <f>Model!AM137</f>
        <v>0</v>
      </c>
      <c r="AF1333">
        <f>Model!AN137</f>
        <v>0</v>
      </c>
      <c r="AG1333">
        <f>Model!AO137</f>
        <v>0</v>
      </c>
      <c r="AH1333">
        <f>Model!AP137</f>
        <v>0</v>
      </c>
      <c r="AI1333">
        <f>Model!AQ137</f>
        <v>0</v>
      </c>
      <c r="AJ1333">
        <f>Model!AR137</f>
        <v>0</v>
      </c>
      <c r="AK1333">
        <f>Model!AS137</f>
        <v>0</v>
      </c>
      <c r="AL1333">
        <f>Model!AT137</f>
        <v>0</v>
      </c>
      <c r="AM1333">
        <f>Model!AU137</f>
        <v>0</v>
      </c>
      <c r="AN1333">
        <f>Model!AV137</f>
        <v>0</v>
      </c>
      <c r="AO1333">
        <f>Model!AW137</f>
        <v>0</v>
      </c>
      <c r="AP1333">
        <f>Model!AX137</f>
        <v>0</v>
      </c>
      <c r="AQ1333">
        <f>Model!AY137</f>
        <v>0</v>
      </c>
      <c r="AR1333">
        <f>Model!AZ137</f>
        <v>0</v>
      </c>
      <c r="AS1333">
        <f>Model!BA137</f>
        <v>0</v>
      </c>
      <c r="AT1333">
        <f>Model!BB137</f>
        <v>0</v>
      </c>
      <c r="AU1333">
        <f>Model!BC137</f>
        <v>0</v>
      </c>
      <c r="AV1333">
        <f>Model!BD137</f>
        <v>0</v>
      </c>
      <c r="AW1333">
        <f>Model!BE137</f>
        <v>0</v>
      </c>
      <c r="AX1333">
        <f>Model!BF137</f>
        <v>0</v>
      </c>
      <c r="AY1333">
        <f>Model!BG137</f>
        <v>0</v>
      </c>
      <c r="AZ1333">
        <f>Model!BH137</f>
        <v>0</v>
      </c>
      <c r="BA1333">
        <f>Model!BI137</f>
        <v>0</v>
      </c>
      <c r="BB1333">
        <f>Model!BJ137</f>
        <v>0</v>
      </c>
      <c r="BC1333">
        <f>Model!BK137</f>
        <v>0</v>
      </c>
      <c r="BD1333">
        <f>Model!BL137</f>
        <v>0</v>
      </c>
      <c r="BE1333">
        <f>Model!BM137</f>
        <v>0</v>
      </c>
      <c r="BF1333">
        <f>Model!BN137</f>
        <v>0</v>
      </c>
      <c r="BG1333">
        <f>Model!BO137</f>
        <v>0</v>
      </c>
      <c r="BH1333">
        <f>Model!BP137</f>
        <v>0</v>
      </c>
      <c r="BI1333">
        <f>Model!BQ137</f>
        <v>-90.119</v>
      </c>
      <c r="BJ1333">
        <f>Model!BR137</f>
        <v>-153.161</v>
      </c>
      <c r="BK1333">
        <f>Model!BS137</f>
        <v>-275.58799999999997</v>
      </c>
      <c r="BL1333">
        <f>Model!BT137</f>
        <v>-134.483</v>
      </c>
      <c r="BM1333">
        <f>Model!BU137</f>
        <v>-108.209</v>
      </c>
      <c r="BN1333">
        <f>Model!BV137</f>
        <v>-134.16499999999999</v>
      </c>
      <c r="BO1333">
        <f>Model!BW137</f>
        <v>-312.709</v>
      </c>
      <c r="BP1333">
        <f>Model!BX137</f>
        <v>-109.86999999999999</v>
      </c>
      <c r="BQ1333">
        <f>Model!BY137</f>
        <v>-93.054999999999993</v>
      </c>
      <c r="BR1333">
        <f>Model!BZ137</f>
        <v>-163.90299999999999</v>
      </c>
      <c r="BS1333">
        <f>Model!CA137</f>
        <v>-368.178</v>
      </c>
      <c r="BT1333">
        <f>Model!CB137</f>
        <v>-174.96399999999994</v>
      </c>
      <c r="BU1333">
        <f>Model!CC137</f>
        <v>-138.60285779935327</v>
      </c>
      <c r="BV1333">
        <f>Model!CD137</f>
        <v>-228.0862240672655</v>
      </c>
      <c r="BW1333">
        <f>Model!CE137</f>
        <v>-496.68381806340625</v>
      </c>
      <c r="BX1333">
        <f>Model!CF137</f>
        <v>-260.47552899945737</v>
      </c>
      <c r="BY1333">
        <f>Model!CG137</f>
        <v>0</v>
      </c>
      <c r="BZ1333">
        <f>Model!CH137</f>
        <v>0</v>
      </c>
      <c r="CA1333">
        <f>Model!CI137</f>
        <v>0</v>
      </c>
      <c r="CB1333">
        <f>Model!CJ137</f>
        <v>0</v>
      </c>
      <c r="CC1333">
        <f>Model!CK137</f>
        <v>0</v>
      </c>
      <c r="CD1333">
        <f>Model!CL137</f>
        <v>0</v>
      </c>
      <c r="CE1333">
        <f>Model!CM137</f>
        <v>0</v>
      </c>
      <c r="CF1333">
        <f>Model!CN137</f>
        <v>0</v>
      </c>
      <c r="CG1333">
        <f>Model!CO137</f>
        <v>0</v>
      </c>
      <c r="CH1333">
        <f>Model!CP137</f>
        <v>0</v>
      </c>
      <c r="CI1333">
        <f>Model!CQ137</f>
        <v>0</v>
      </c>
      <c r="CJ1333">
        <f>Model!CR137</f>
        <v>0</v>
      </c>
      <c r="CK1333">
        <f>Model!CS137</f>
        <v>0</v>
      </c>
      <c r="CL1333">
        <f>Model!CT137</f>
        <v>0</v>
      </c>
      <c r="CM1333">
        <f>Model!CU137</f>
        <v>0</v>
      </c>
      <c r="CN1333">
        <f>Model!CV137</f>
        <v>-653.35099999999989</v>
      </c>
      <c r="CO1333">
        <f>Model!CW137</f>
        <v>-664.95299999999997</v>
      </c>
      <c r="CP1333">
        <f>Model!CX137</f>
        <v>-800.09999999999991</v>
      </c>
      <c r="CQ1333">
        <f>Model!CY137</f>
        <v>-1123.8484289294825</v>
      </c>
      <c r="CR1333">
        <f>Model!CZ137</f>
        <v>-1305.5695902160126</v>
      </c>
      <c r="CS1333">
        <f>Model!DA137</f>
        <v>-1484.7595276919058</v>
      </c>
      <c r="CT1333">
        <f>Model!DB137</f>
        <v>-1664.5126488812734</v>
      </c>
      <c r="CU1333">
        <f>Model!DC137</f>
        <v>-1842.9775809684338</v>
      </c>
      <c r="CV1333">
        <f>Model!DD137</f>
        <v>-2016.254589527075</v>
      </c>
      <c r="CW1333">
        <f>Model!DE137</f>
        <v>-2188.9344278418898</v>
      </c>
      <c r="CX1333">
        <f>Model!DF137</f>
        <v>-2381.811113528915</v>
      </c>
      <c r="CY1333">
        <f>Model!DG137</f>
        <v>0</v>
      </c>
      <c r="CZ1333">
        <f>Model!DH137</f>
        <v>0</v>
      </c>
    </row>
    <row r="1334" spans="1:104">
      <c r="A1334" t="str">
        <f>Model!I138</f>
        <v>Tax Rate</v>
      </c>
      <c r="B1334">
        <f>Model!J138</f>
        <v>0</v>
      </c>
      <c r="C1334">
        <f>Model!K138</f>
        <v>0</v>
      </c>
      <c r="D1334">
        <f>Model!L138</f>
        <v>0</v>
      </c>
      <c r="E1334">
        <f>Model!M138</f>
        <v>0</v>
      </c>
      <c r="F1334">
        <f>Model!N138</f>
        <v>0</v>
      </c>
      <c r="G1334">
        <f>Model!O138</f>
        <v>0</v>
      </c>
      <c r="H1334">
        <f>Model!P138</f>
        <v>0</v>
      </c>
      <c r="I1334">
        <f>Model!Q138</f>
        <v>0</v>
      </c>
      <c r="J1334">
        <f>Model!R138</f>
        <v>0</v>
      </c>
      <c r="K1334">
        <f>Model!S138</f>
        <v>0</v>
      </c>
      <c r="L1334">
        <f>Model!T138</f>
        <v>0</v>
      </c>
      <c r="M1334">
        <f>Model!U138</f>
        <v>0</v>
      </c>
      <c r="N1334">
        <f>Model!V138</f>
        <v>0</v>
      </c>
      <c r="O1334">
        <f>Model!W138</f>
        <v>0</v>
      </c>
      <c r="P1334">
        <f>Model!X138</f>
        <v>0</v>
      </c>
      <c r="Q1334">
        <f>Model!Y138</f>
        <v>0</v>
      </c>
      <c r="R1334">
        <f>Model!Z138</f>
        <v>0</v>
      </c>
      <c r="S1334">
        <f>Model!AA138</f>
        <v>0</v>
      </c>
      <c r="T1334">
        <f>Model!AB138</f>
        <v>0</v>
      </c>
      <c r="U1334">
        <f>Model!AC138</f>
        <v>0</v>
      </c>
      <c r="V1334">
        <f>Model!AD138</f>
        <v>0</v>
      </c>
      <c r="W1334">
        <f>Model!AE138</f>
        <v>0</v>
      </c>
      <c r="X1334">
        <f>Model!AF138</f>
        <v>0</v>
      </c>
      <c r="Y1334">
        <f>Model!AG138</f>
        <v>0</v>
      </c>
      <c r="Z1334">
        <f>Model!AH138</f>
        <v>0</v>
      </c>
      <c r="AA1334">
        <f>Model!AI138</f>
        <v>0</v>
      </c>
      <c r="AB1334">
        <f>Model!AJ138</f>
        <v>0</v>
      </c>
      <c r="AC1334">
        <f>Model!AK138</f>
        <v>0</v>
      </c>
      <c r="AD1334">
        <f>Model!AL138</f>
        <v>0</v>
      </c>
      <c r="AE1334">
        <f>Model!AM138</f>
        <v>0</v>
      </c>
      <c r="AF1334">
        <f>Model!AN138</f>
        <v>0</v>
      </c>
      <c r="AG1334">
        <f>Model!AO138</f>
        <v>0</v>
      </c>
      <c r="AH1334">
        <f>Model!AP138</f>
        <v>0</v>
      </c>
      <c r="AI1334">
        <f>Model!AQ138</f>
        <v>0</v>
      </c>
      <c r="AJ1334">
        <f>Model!AR138</f>
        <v>0</v>
      </c>
      <c r="AK1334">
        <f>Model!AS138</f>
        <v>0</v>
      </c>
      <c r="AL1334">
        <f>Model!AT138</f>
        <v>0</v>
      </c>
      <c r="AM1334">
        <f>Model!AU138</f>
        <v>0</v>
      </c>
      <c r="AN1334">
        <f>Model!AV138</f>
        <v>0</v>
      </c>
      <c r="AO1334">
        <f>Model!AW138</f>
        <v>0</v>
      </c>
      <c r="AP1334">
        <f>Model!AX138</f>
        <v>0</v>
      </c>
      <c r="AQ1334">
        <f>Model!AY138</f>
        <v>0</v>
      </c>
      <c r="AR1334">
        <f>Model!AZ138</f>
        <v>0</v>
      </c>
      <c r="AS1334">
        <f>Model!BA138</f>
        <v>0</v>
      </c>
      <c r="AT1334">
        <f>Model!BB138</f>
        <v>0</v>
      </c>
      <c r="AU1334">
        <f>Model!BC138</f>
        <v>0</v>
      </c>
      <c r="AV1334">
        <f>Model!BD138</f>
        <v>0</v>
      </c>
      <c r="AW1334">
        <f>Model!BE138</f>
        <v>0</v>
      </c>
      <c r="AX1334">
        <f>Model!BF138</f>
        <v>0</v>
      </c>
      <c r="AY1334">
        <f>Model!BG138</f>
        <v>0</v>
      </c>
      <c r="AZ1334">
        <f>Model!BH138</f>
        <v>0</v>
      </c>
      <c r="BA1334">
        <f>Model!BI138</f>
        <v>0</v>
      </c>
      <c r="BB1334">
        <f>Model!BJ138</f>
        <v>0</v>
      </c>
      <c r="BC1334">
        <f>Model!BK138</f>
        <v>0</v>
      </c>
      <c r="BD1334">
        <f>Model!BL138</f>
        <v>0</v>
      </c>
      <c r="BE1334">
        <f>Model!BM138</f>
        <v>0</v>
      </c>
      <c r="BF1334">
        <f>Model!BN138</f>
        <v>0</v>
      </c>
      <c r="BG1334">
        <f>Model!BO138</f>
        <v>0</v>
      </c>
      <c r="BH1334">
        <f>Model!BP138</f>
        <v>0</v>
      </c>
      <c r="BI1334">
        <f>Model!BQ138</f>
        <v>0.20028892420184696</v>
      </c>
      <c r="BJ1334">
        <f>Model!BR138</f>
        <v>0.21675617919488252</v>
      </c>
      <c r="BK1334">
        <f>Model!BS138</f>
        <v>0.18367059949468389</v>
      </c>
      <c r="BL1334">
        <f>Model!BT138</f>
        <v>0.19919600550413338</v>
      </c>
      <c r="BM1334">
        <f>Model!BU138</f>
        <v>0.19011050791475623</v>
      </c>
      <c r="BN1334">
        <f>Model!BV138</f>
        <v>0.17548460512203415</v>
      </c>
      <c r="BO1334">
        <f>Model!BW138</f>
        <v>0.17407450085142079</v>
      </c>
      <c r="BP1334">
        <f>Model!BX138</f>
        <v>0.13386977092149244</v>
      </c>
      <c r="BQ1334">
        <f>Model!BY138</f>
        <v>0.15849373468160743</v>
      </c>
      <c r="BR1334">
        <f>Model!BZ138</f>
        <v>0.17780176388271146</v>
      </c>
      <c r="BS1334">
        <f>Model!CA138</f>
        <v>0.1729805359428237</v>
      </c>
      <c r="BT1334">
        <f>Model!CB138</f>
        <v>0.17313226068198459</v>
      </c>
      <c r="BU1334">
        <f>Model!CC138</f>
        <v>0.2</v>
      </c>
      <c r="BV1334">
        <f>Model!CD138</f>
        <v>0.2</v>
      </c>
      <c r="BW1334">
        <f>Model!CE138</f>
        <v>0.2</v>
      </c>
      <c r="BX1334">
        <f>Model!CF138</f>
        <v>0.2</v>
      </c>
      <c r="BY1334">
        <f>Model!CG138</f>
        <v>0</v>
      </c>
      <c r="BZ1334">
        <f>Model!CH138</f>
        <v>0</v>
      </c>
      <c r="CA1334">
        <f>Model!CI138</f>
        <v>0</v>
      </c>
      <c r="CB1334">
        <f>Model!CJ138</f>
        <v>0</v>
      </c>
      <c r="CC1334">
        <f>Model!CK138</f>
        <v>0</v>
      </c>
      <c r="CD1334">
        <f>Model!CL138</f>
        <v>0</v>
      </c>
      <c r="CE1334">
        <f>Model!CM138</f>
        <v>0</v>
      </c>
      <c r="CF1334">
        <f>Model!CN138</f>
        <v>0</v>
      </c>
      <c r="CG1334">
        <f>Model!CO138</f>
        <v>0</v>
      </c>
      <c r="CH1334">
        <f>Model!CP138</f>
        <v>0</v>
      </c>
      <c r="CI1334">
        <f>Model!CQ138</f>
        <v>0</v>
      </c>
      <c r="CJ1334">
        <f>Model!CR138</f>
        <v>0</v>
      </c>
      <c r="CK1334">
        <f>Model!CS138</f>
        <v>0</v>
      </c>
      <c r="CL1334">
        <f>Model!CT138</f>
        <v>0</v>
      </c>
      <c r="CM1334">
        <f>Model!CU138</f>
        <v>0</v>
      </c>
      <c r="CN1334">
        <f>Model!CV138</f>
        <v>0.19607631884268492</v>
      </c>
      <c r="CO1334">
        <f>Model!CW138</f>
        <v>0.16830580263243819</v>
      </c>
      <c r="CP1334">
        <f>Model!CX138</f>
        <v>0.17213977637965164</v>
      </c>
      <c r="CQ1334">
        <f>Model!CY138</f>
        <v>0.19999999999999996</v>
      </c>
      <c r="CR1334">
        <f>Model!CZ138</f>
        <v>0.19999999999999996</v>
      </c>
      <c r="CS1334">
        <f>Model!DA138</f>
        <v>0.19999999999999996</v>
      </c>
      <c r="CT1334">
        <f>Model!DB138</f>
        <v>0.19999999999999996</v>
      </c>
      <c r="CU1334">
        <f>Model!DC138</f>
        <v>0.19999999999999996</v>
      </c>
      <c r="CV1334">
        <f>Model!DD138</f>
        <v>0.19999999999999996</v>
      </c>
      <c r="CW1334">
        <f>Model!DE138</f>
        <v>0.19999999999999996</v>
      </c>
      <c r="CX1334">
        <f>Model!DF138</f>
        <v>0.19999999999999996</v>
      </c>
      <c r="CY1334">
        <f>Model!DG138</f>
        <v>0</v>
      </c>
      <c r="CZ1334">
        <f>Model!DH138</f>
        <v>0</v>
      </c>
    </row>
    <row r="1335" spans="1:104">
      <c r="A1335" t="str">
        <f>Model!I139</f>
        <v>Non-GAAP Variance</v>
      </c>
      <c r="B1335">
        <f>Model!J139</f>
        <v>0</v>
      </c>
      <c r="C1335">
        <f>Model!K139</f>
        <v>0</v>
      </c>
      <c r="D1335">
        <f>Model!L139</f>
        <v>0</v>
      </c>
      <c r="E1335">
        <f>Model!M139</f>
        <v>0</v>
      </c>
      <c r="F1335">
        <f>Model!N139</f>
        <v>0</v>
      </c>
      <c r="G1335">
        <f>Model!O139</f>
        <v>0</v>
      </c>
      <c r="H1335">
        <f>Model!P139</f>
        <v>0</v>
      </c>
      <c r="I1335">
        <f>Model!Q139</f>
        <v>0</v>
      </c>
      <c r="J1335">
        <f>Model!R139</f>
        <v>0</v>
      </c>
      <c r="K1335">
        <f>Model!S139</f>
        <v>0</v>
      </c>
      <c r="L1335">
        <f>Model!T139</f>
        <v>0</v>
      </c>
      <c r="M1335">
        <f>Model!U139</f>
        <v>0</v>
      </c>
      <c r="N1335">
        <f>Model!V139</f>
        <v>0</v>
      </c>
      <c r="O1335">
        <f>Model!W139</f>
        <v>0</v>
      </c>
      <c r="P1335">
        <f>Model!X139</f>
        <v>0</v>
      </c>
      <c r="Q1335">
        <f>Model!Y139</f>
        <v>0</v>
      </c>
      <c r="R1335">
        <f>Model!Z139</f>
        <v>0</v>
      </c>
      <c r="S1335">
        <f>Model!AA139</f>
        <v>0</v>
      </c>
      <c r="T1335">
        <f>Model!AB139</f>
        <v>0</v>
      </c>
      <c r="U1335">
        <f>Model!AC139</f>
        <v>0</v>
      </c>
      <c r="V1335">
        <f>Model!AD139</f>
        <v>0</v>
      </c>
      <c r="W1335">
        <f>Model!AE139</f>
        <v>0</v>
      </c>
      <c r="X1335">
        <f>Model!AF139</f>
        <v>0</v>
      </c>
      <c r="Y1335">
        <f>Model!AG139</f>
        <v>0</v>
      </c>
      <c r="Z1335">
        <f>Model!AH139</f>
        <v>0</v>
      </c>
      <c r="AA1335">
        <f>Model!AI139</f>
        <v>0</v>
      </c>
      <c r="AB1335">
        <f>Model!AJ139</f>
        <v>0</v>
      </c>
      <c r="AC1335">
        <f>Model!AK139</f>
        <v>0</v>
      </c>
      <c r="AD1335">
        <f>Model!AL139</f>
        <v>0</v>
      </c>
      <c r="AE1335">
        <f>Model!AM139</f>
        <v>0</v>
      </c>
      <c r="AF1335">
        <f>Model!AN139</f>
        <v>0</v>
      </c>
      <c r="AG1335">
        <f>Model!AO139</f>
        <v>0</v>
      </c>
      <c r="AH1335">
        <f>Model!AP139</f>
        <v>0</v>
      </c>
      <c r="AI1335">
        <f>Model!AQ139</f>
        <v>0</v>
      </c>
      <c r="AJ1335">
        <f>Model!AR139</f>
        <v>0</v>
      </c>
      <c r="AK1335">
        <f>Model!AS139</f>
        <v>0</v>
      </c>
      <c r="AL1335">
        <f>Model!AT139</f>
        <v>0</v>
      </c>
      <c r="AM1335">
        <f>Model!AU139</f>
        <v>0</v>
      </c>
      <c r="AN1335">
        <f>Model!AV139</f>
        <v>0</v>
      </c>
      <c r="AO1335">
        <f>Model!AW139</f>
        <v>0</v>
      </c>
      <c r="AP1335">
        <f>Model!AX139</f>
        <v>0</v>
      </c>
      <c r="AQ1335">
        <f>Model!AY139</f>
        <v>0</v>
      </c>
      <c r="AR1335">
        <f>Model!AZ139</f>
        <v>0</v>
      </c>
      <c r="AS1335">
        <f>Model!BA139</f>
        <v>0</v>
      </c>
      <c r="AT1335">
        <f>Model!BB139</f>
        <v>0</v>
      </c>
      <c r="AU1335">
        <f>Model!BC139</f>
        <v>0</v>
      </c>
      <c r="AV1335">
        <f>Model!BD139</f>
        <v>0</v>
      </c>
      <c r="AW1335">
        <f>Model!BE139</f>
        <v>0</v>
      </c>
      <c r="AX1335">
        <f>Model!BF139</f>
        <v>0</v>
      </c>
      <c r="AY1335">
        <f>Model!BG139</f>
        <v>0</v>
      </c>
      <c r="AZ1335">
        <f>Model!BH139</f>
        <v>0</v>
      </c>
      <c r="BA1335">
        <f>Model!BI139</f>
        <v>0</v>
      </c>
      <c r="BB1335">
        <f>Model!BJ139</f>
        <v>0</v>
      </c>
      <c r="BC1335">
        <f>Model!BK139</f>
        <v>0</v>
      </c>
      <c r="BD1335">
        <f>Model!BL139</f>
        <v>0</v>
      </c>
      <c r="BE1335">
        <f>Model!BM139</f>
        <v>0</v>
      </c>
      <c r="BF1335">
        <f>Model!BN139</f>
        <v>0</v>
      </c>
      <c r="BG1335">
        <f>Model!BO139</f>
        <v>0</v>
      </c>
      <c r="BH1335">
        <f>Model!BP139</f>
        <v>0</v>
      </c>
      <c r="BI1335">
        <f>Model!BQ139</f>
        <v>506.20205095104814</v>
      </c>
      <c r="BJ1335">
        <f>Model!BR139</f>
        <v>683.58161017308851</v>
      </c>
      <c r="BK1335">
        <f>Model!BS139</f>
        <v>204.09181960692885</v>
      </c>
      <c r="BL1335">
        <f>Model!BT139</f>
        <v>537.29800656104226</v>
      </c>
      <c r="BM1335">
        <f>Model!BU139</f>
        <v>284.17156319170522</v>
      </c>
      <c r="BN1335">
        <f>Model!BV139</f>
        <v>328.55297091440525</v>
      </c>
      <c r="BO1335">
        <f>Model!BW139</f>
        <v>218.76399058537555</v>
      </c>
      <c r="BP1335">
        <f>Model!BX139</f>
        <v>138.6977092149244</v>
      </c>
      <c r="BQ1335">
        <f>Model!BY139</f>
        <v>249.99999999999994</v>
      </c>
      <c r="BR1335">
        <f>Model!BZ139</f>
        <v>249.99999999999994</v>
      </c>
      <c r="BS1335">
        <f>Model!CA139</f>
        <v>249.99999999999994</v>
      </c>
      <c r="BT1335">
        <f>Model!CB139</f>
        <v>249.99999999999994</v>
      </c>
      <c r="BU1335">
        <f>Model!CC139</f>
        <v>249.99999999999994</v>
      </c>
      <c r="BV1335">
        <f>Model!CD139</f>
        <v>249.99999999999994</v>
      </c>
      <c r="BW1335">
        <f>Model!CE139</f>
        <v>249.99999999999994</v>
      </c>
      <c r="BX1335">
        <f>Model!CF139</f>
        <v>249.99999999999994</v>
      </c>
      <c r="BY1335">
        <f>Model!CG139</f>
        <v>0</v>
      </c>
      <c r="BZ1335">
        <f>Model!CH139</f>
        <v>0</v>
      </c>
      <c r="CA1335">
        <f>Model!CI139</f>
        <v>0</v>
      </c>
      <c r="CB1335">
        <f>Model!CJ139</f>
        <v>0</v>
      </c>
      <c r="CC1335">
        <f>Model!CK139</f>
        <v>0</v>
      </c>
      <c r="CD1335">
        <f>Model!CL139</f>
        <v>0</v>
      </c>
      <c r="CE1335">
        <f>Model!CM139</f>
        <v>0</v>
      </c>
      <c r="CF1335">
        <f>Model!CN139</f>
        <v>0</v>
      </c>
      <c r="CG1335">
        <f>Model!CO139</f>
        <v>0</v>
      </c>
      <c r="CH1335">
        <f>Model!CP139</f>
        <v>0</v>
      </c>
      <c r="CI1335">
        <f>Model!CQ139</f>
        <v>0</v>
      </c>
      <c r="CJ1335">
        <f>Model!CR139</f>
        <v>0</v>
      </c>
      <c r="CK1335">
        <f>Model!CS139</f>
        <v>0</v>
      </c>
      <c r="CL1335">
        <f>Model!CT139</f>
        <v>0</v>
      </c>
      <c r="CM1335">
        <f>Model!CU139</f>
        <v>0</v>
      </c>
      <c r="CN1335">
        <f>Model!CV139</f>
        <v>416.41409814354017</v>
      </c>
      <c r="CO1335">
        <f>Model!CW139</f>
        <v>234.01168922985161</v>
      </c>
      <c r="CP1335">
        <f>Model!CX139</f>
        <v>250.61470017620547</v>
      </c>
      <c r="CQ1335">
        <f>Model!CY139</f>
        <v>249.9999999999994</v>
      </c>
      <c r="CR1335">
        <f>Model!CZ139</f>
        <v>249.99999999999994</v>
      </c>
      <c r="CS1335">
        <f>Model!DA139</f>
        <v>249.99999999999994</v>
      </c>
      <c r="CT1335">
        <f>Model!DB139</f>
        <v>249.99999999999994</v>
      </c>
      <c r="CU1335">
        <f>Model!DC139</f>
        <v>249.99999999999994</v>
      </c>
      <c r="CV1335">
        <f>Model!DD139</f>
        <v>249.99999999999994</v>
      </c>
      <c r="CW1335">
        <f>Model!DE139</f>
        <v>249.99999999999994</v>
      </c>
      <c r="CX1335">
        <f>Model!DF139</f>
        <v>249.99999999999994</v>
      </c>
      <c r="CY1335">
        <f>Model!DG139</f>
        <v>0</v>
      </c>
      <c r="CZ1335">
        <f>Model!DH139</f>
        <v>0</v>
      </c>
    </row>
    <row r="1336" spans="1:104">
      <c r="A1336" t="str">
        <f>Model!I148</f>
        <v>Adjusted Net Income (new Non-GAAP method)</v>
      </c>
      <c r="B1336">
        <f>Model!J148</f>
        <v>0</v>
      </c>
      <c r="C1336">
        <f>Model!K148</f>
        <v>0</v>
      </c>
      <c r="D1336">
        <f>Model!L148</f>
        <v>0</v>
      </c>
      <c r="E1336">
        <f>Model!M148</f>
        <v>0</v>
      </c>
      <c r="F1336">
        <f>Model!N148</f>
        <v>0</v>
      </c>
      <c r="G1336">
        <f>Model!O148</f>
        <v>0</v>
      </c>
      <c r="H1336">
        <f>Model!P148</f>
        <v>0</v>
      </c>
      <c r="I1336">
        <f>Model!Q148</f>
        <v>0</v>
      </c>
      <c r="J1336">
        <f>Model!R148</f>
        <v>0</v>
      </c>
      <c r="K1336">
        <f>Model!S148</f>
        <v>0</v>
      </c>
      <c r="L1336">
        <f>Model!T148</f>
        <v>0</v>
      </c>
      <c r="M1336">
        <f>Model!U148</f>
        <v>0</v>
      </c>
      <c r="N1336">
        <f>Model!V148</f>
        <v>0</v>
      </c>
      <c r="O1336">
        <f>Model!W148</f>
        <v>0</v>
      </c>
      <c r="P1336">
        <f>Model!X148</f>
        <v>0</v>
      </c>
      <c r="Q1336">
        <f>Model!Y148</f>
        <v>0</v>
      </c>
      <c r="R1336">
        <f>Model!Z148</f>
        <v>0</v>
      </c>
      <c r="S1336">
        <f>Model!AA148</f>
        <v>0</v>
      </c>
      <c r="T1336">
        <f>Model!AB148</f>
        <v>0</v>
      </c>
      <c r="U1336">
        <f>Model!AC148</f>
        <v>0</v>
      </c>
      <c r="V1336">
        <f>Model!AD148</f>
        <v>0</v>
      </c>
      <c r="W1336">
        <f>Model!AE148</f>
        <v>0</v>
      </c>
      <c r="X1336">
        <f>Model!AF148</f>
        <v>0</v>
      </c>
      <c r="Y1336">
        <f>Model!AG148</f>
        <v>0</v>
      </c>
      <c r="Z1336">
        <f>Model!AH148</f>
        <v>0</v>
      </c>
      <c r="AA1336">
        <f>Model!AI148</f>
        <v>0</v>
      </c>
      <c r="AB1336">
        <f>Model!AJ148</f>
        <v>0</v>
      </c>
      <c r="AC1336">
        <f>Model!AK148</f>
        <v>0</v>
      </c>
      <c r="AD1336">
        <f>Model!AL148</f>
        <v>0</v>
      </c>
      <c r="AE1336">
        <f>Model!AM148</f>
        <v>0</v>
      </c>
      <c r="AF1336">
        <f>Model!AN148</f>
        <v>0</v>
      </c>
      <c r="AG1336">
        <f>Model!AO148</f>
        <v>0</v>
      </c>
      <c r="AH1336">
        <f>Model!AP148</f>
        <v>0</v>
      </c>
      <c r="AI1336">
        <f>Model!AQ148</f>
        <v>0</v>
      </c>
      <c r="AJ1336">
        <f>Model!AR148</f>
        <v>0</v>
      </c>
      <c r="AK1336">
        <f>Model!AS148</f>
        <v>0</v>
      </c>
      <c r="AL1336">
        <f>Model!AT148</f>
        <v>0</v>
      </c>
      <c r="AM1336">
        <f>Model!AU148</f>
        <v>0</v>
      </c>
      <c r="AN1336">
        <f>Model!AV148</f>
        <v>0</v>
      </c>
      <c r="AO1336">
        <f>Model!AW148</f>
        <v>0</v>
      </c>
      <c r="AP1336">
        <f>Model!AX148</f>
        <v>0</v>
      </c>
      <c r="AQ1336">
        <f>Model!AY148</f>
        <v>0</v>
      </c>
      <c r="AR1336">
        <f>Model!AZ148</f>
        <v>0</v>
      </c>
      <c r="AS1336">
        <f>Model!BA148</f>
        <v>0</v>
      </c>
      <c r="AT1336">
        <f>Model!BB148</f>
        <v>0</v>
      </c>
      <c r="AU1336">
        <f>Model!BC148</f>
        <v>0</v>
      </c>
      <c r="AV1336">
        <f>Model!BD148</f>
        <v>0</v>
      </c>
      <c r="AW1336">
        <f>Model!BE148</f>
        <v>0</v>
      </c>
      <c r="AX1336">
        <f>Model!BF148</f>
        <v>0</v>
      </c>
      <c r="AY1336">
        <f>Model!BG148</f>
        <v>0</v>
      </c>
      <c r="AZ1336">
        <f>Model!BH148</f>
        <v>0</v>
      </c>
      <c r="BA1336">
        <f>Model!BI148</f>
        <v>0</v>
      </c>
      <c r="BB1336">
        <f>Model!BJ148</f>
        <v>0</v>
      </c>
      <c r="BC1336">
        <f>Model!BK148</f>
        <v>0</v>
      </c>
      <c r="BD1336">
        <f>Model!BL148</f>
        <v>0</v>
      </c>
      <c r="BE1336">
        <f>Model!BM148</f>
        <v>0</v>
      </c>
      <c r="BF1336">
        <f>Model!BN148</f>
        <v>0</v>
      </c>
      <c r="BG1336">
        <f>Model!BO148</f>
        <v>0</v>
      </c>
      <c r="BH1336">
        <f>Model!BP148</f>
        <v>0</v>
      </c>
      <c r="BI1336">
        <f>Model!BQ148</f>
        <v>359.82599999999985</v>
      </c>
      <c r="BJ1336">
        <f>Model!BR148</f>
        <v>553.44400000000007</v>
      </c>
      <c r="BK1336">
        <f>Model!BS148</f>
        <v>1224.8589999999999</v>
      </c>
      <c r="BL1336">
        <f>Model!BT148</f>
        <v>540.64599999999973</v>
      </c>
      <c r="BM1336">
        <f>Model!BU148</f>
        <v>460.98099999999948</v>
      </c>
      <c r="BN1336">
        <f>Model!BV148</f>
        <v>630.37500000000011</v>
      </c>
      <c r="BO1336">
        <f>Model!BW148</f>
        <v>1483.7</v>
      </c>
      <c r="BP1336">
        <f>Model!BX148</f>
        <v>710.85299999999972</v>
      </c>
      <c r="BQ1336">
        <f>Model!BY148</f>
        <v>494.0659999999998</v>
      </c>
      <c r="BR1336">
        <f>Model!BZ148</f>
        <v>757.92700000000048</v>
      </c>
      <c r="BS1336">
        <f>Model!CA148</f>
        <v>1760.2580000000007</v>
      </c>
      <c r="BT1336">
        <f>Model!CB148</f>
        <v>835.61599999999987</v>
      </c>
      <c r="BU1336">
        <f>Model!CC148</f>
        <v>554.41143119741309</v>
      </c>
      <c r="BV1336">
        <f>Model!CD148</f>
        <v>912.34489626906202</v>
      </c>
      <c r="BW1336">
        <f>Model!CE148</f>
        <v>1986.7352722536248</v>
      </c>
      <c r="BX1336">
        <f>Model!CF148</f>
        <v>1041.9021159978292</v>
      </c>
      <c r="BY1336">
        <f>Model!CG148</f>
        <v>0</v>
      </c>
      <c r="BZ1336">
        <f>Model!CH148</f>
        <v>0</v>
      </c>
      <c r="CA1336">
        <f>Model!CI148</f>
        <v>0</v>
      </c>
      <c r="CB1336">
        <f>Model!CJ148</f>
        <v>0</v>
      </c>
      <c r="CC1336">
        <f>Model!CK148</f>
        <v>0</v>
      </c>
      <c r="CD1336">
        <f>Model!CL148</f>
        <v>0</v>
      </c>
      <c r="CE1336">
        <f>Model!CM148</f>
        <v>0</v>
      </c>
      <c r="CF1336">
        <f>Model!CN148</f>
        <v>0</v>
      </c>
      <c r="CG1336">
        <f>Model!CO148</f>
        <v>0</v>
      </c>
      <c r="CH1336">
        <f>Model!CP148</f>
        <v>0</v>
      </c>
      <c r="CI1336">
        <f>Model!CQ148</f>
        <v>0</v>
      </c>
      <c r="CJ1336">
        <f>Model!CR148</f>
        <v>0</v>
      </c>
      <c r="CK1336">
        <f>Model!CS148</f>
        <v>0</v>
      </c>
      <c r="CL1336">
        <f>Model!CT148</f>
        <v>0</v>
      </c>
      <c r="CM1336">
        <f>Model!CU148</f>
        <v>0</v>
      </c>
      <c r="CN1336">
        <f>Model!CV148</f>
        <v>2678.7749999999978</v>
      </c>
      <c r="CO1336">
        <f>Model!CW148</f>
        <v>3285.9090000000001</v>
      </c>
      <c r="CP1336">
        <f>Model!CX148</f>
        <v>3847.8669999999984</v>
      </c>
      <c r="CQ1336">
        <f>Model!CY148</f>
        <v>4495.3937157179316</v>
      </c>
      <c r="CR1336">
        <f>Model!CZ148</f>
        <v>5222.278360864052</v>
      </c>
      <c r="CS1336">
        <f>Model!DA148</f>
        <v>5939.0381107676249</v>
      </c>
      <c r="CT1336">
        <f>Model!DB148</f>
        <v>6658.0505955250946</v>
      </c>
      <c r="CU1336">
        <f>Model!DC148</f>
        <v>7371.910323873738</v>
      </c>
      <c r="CV1336">
        <f>Model!DD148</f>
        <v>8065.0183581083029</v>
      </c>
      <c r="CW1336">
        <f>Model!DE148</f>
        <v>8755.7377113675611</v>
      </c>
      <c r="CX1336">
        <f>Model!DF148</f>
        <v>9527.2444541156638</v>
      </c>
      <c r="CY1336">
        <f>Model!DG148</f>
        <v>0</v>
      </c>
      <c r="CZ1336">
        <f>Model!DH148</f>
        <v>0.17261643007844008</v>
      </c>
    </row>
    <row r="1337" spans="1:104">
      <c r="A1337">
        <f>Model!I149</f>
        <v>0</v>
      </c>
      <c r="B1337">
        <f>Model!J149</f>
        <v>0</v>
      </c>
      <c r="C1337">
        <f>Model!K149</f>
        <v>0</v>
      </c>
      <c r="D1337">
        <f>Model!L149</f>
        <v>0</v>
      </c>
      <c r="E1337">
        <f>Model!M149</f>
        <v>0</v>
      </c>
      <c r="F1337">
        <f>Model!N149</f>
        <v>0</v>
      </c>
      <c r="G1337">
        <f>Model!O149</f>
        <v>0</v>
      </c>
      <c r="H1337">
        <f>Model!P149</f>
        <v>0</v>
      </c>
      <c r="I1337">
        <f>Model!Q149</f>
        <v>0</v>
      </c>
      <c r="J1337">
        <f>Model!R149</f>
        <v>0</v>
      </c>
      <c r="K1337">
        <f>Model!S149</f>
        <v>0</v>
      </c>
      <c r="L1337">
        <f>Model!T149</f>
        <v>0</v>
      </c>
      <c r="M1337">
        <f>Model!U149</f>
        <v>0</v>
      </c>
      <c r="N1337">
        <f>Model!V149</f>
        <v>0</v>
      </c>
      <c r="O1337">
        <f>Model!W149</f>
        <v>0</v>
      </c>
      <c r="P1337">
        <f>Model!X149</f>
        <v>0</v>
      </c>
      <c r="Q1337">
        <f>Model!Y149</f>
        <v>0</v>
      </c>
      <c r="R1337">
        <f>Model!Z149</f>
        <v>0</v>
      </c>
      <c r="S1337">
        <f>Model!AA149</f>
        <v>0</v>
      </c>
      <c r="T1337">
        <f>Model!AB149</f>
        <v>0</v>
      </c>
      <c r="U1337">
        <f>Model!AC149</f>
        <v>0</v>
      </c>
      <c r="V1337">
        <f>Model!AD149</f>
        <v>0</v>
      </c>
      <c r="W1337">
        <f>Model!AE149</f>
        <v>0</v>
      </c>
      <c r="X1337">
        <f>Model!AF149</f>
        <v>0</v>
      </c>
      <c r="Y1337">
        <f>Model!AG149</f>
        <v>0</v>
      </c>
      <c r="Z1337">
        <f>Model!AH149</f>
        <v>0</v>
      </c>
      <c r="AA1337">
        <f>Model!AI149</f>
        <v>0</v>
      </c>
      <c r="AB1337">
        <f>Model!AJ149</f>
        <v>0</v>
      </c>
      <c r="AC1337">
        <f>Model!AK149</f>
        <v>0</v>
      </c>
      <c r="AD1337">
        <f>Model!AL149</f>
        <v>0</v>
      </c>
      <c r="AE1337">
        <f>Model!AM149</f>
        <v>0</v>
      </c>
      <c r="AF1337">
        <f>Model!AN149</f>
        <v>0</v>
      </c>
      <c r="AG1337">
        <f>Model!AO149</f>
        <v>0</v>
      </c>
      <c r="AH1337">
        <f>Model!AP149</f>
        <v>0</v>
      </c>
      <c r="AI1337">
        <f>Model!AQ149</f>
        <v>0</v>
      </c>
      <c r="AJ1337">
        <f>Model!AR149</f>
        <v>0</v>
      </c>
      <c r="AK1337">
        <f>Model!AS149</f>
        <v>0</v>
      </c>
      <c r="AL1337">
        <f>Model!AT149</f>
        <v>0</v>
      </c>
      <c r="AM1337">
        <f>Model!AU149</f>
        <v>0</v>
      </c>
      <c r="AN1337">
        <f>Model!AV149</f>
        <v>0</v>
      </c>
      <c r="AO1337">
        <f>Model!AW149</f>
        <v>0</v>
      </c>
      <c r="AP1337">
        <f>Model!AX149</f>
        <v>0</v>
      </c>
      <c r="AQ1337">
        <f>Model!AY149</f>
        <v>0</v>
      </c>
      <c r="AR1337">
        <f>Model!AZ149</f>
        <v>0</v>
      </c>
      <c r="AS1337">
        <f>Model!BA149</f>
        <v>0</v>
      </c>
      <c r="AT1337">
        <f>Model!BB149</f>
        <v>0</v>
      </c>
      <c r="AU1337">
        <f>Model!BC149</f>
        <v>0</v>
      </c>
      <c r="AV1337">
        <f>Model!BD149</f>
        <v>0</v>
      </c>
      <c r="AW1337">
        <f>Model!BE149</f>
        <v>0</v>
      </c>
      <c r="AX1337">
        <f>Model!BF149</f>
        <v>0</v>
      </c>
      <c r="AY1337">
        <f>Model!BG149</f>
        <v>0</v>
      </c>
      <c r="AZ1337">
        <f>Model!BH149</f>
        <v>0</v>
      </c>
      <c r="BA1337">
        <f>Model!BI149</f>
        <v>0</v>
      </c>
      <c r="BB1337">
        <f>Model!BJ149</f>
        <v>0</v>
      </c>
      <c r="BC1337">
        <f>Model!BK149</f>
        <v>0</v>
      </c>
      <c r="BD1337">
        <f>Model!BL149</f>
        <v>0</v>
      </c>
      <c r="BE1337">
        <f>Model!BM149</f>
        <v>0</v>
      </c>
      <c r="BF1337">
        <f>Model!BN149</f>
        <v>0</v>
      </c>
      <c r="BG1337">
        <f>Model!BO149</f>
        <v>0</v>
      </c>
      <c r="BH1337">
        <f>Model!BP149</f>
        <v>0</v>
      </c>
      <c r="BI1337">
        <f>Model!BQ149</f>
        <v>0</v>
      </c>
      <c r="BJ1337">
        <f>Model!BR149</f>
        <v>0</v>
      </c>
      <c r="BK1337">
        <f>Model!BS149</f>
        <v>0</v>
      </c>
      <c r="BL1337">
        <f>Model!BT149</f>
        <v>0</v>
      </c>
      <c r="BM1337">
        <f>Model!BU149</f>
        <v>0</v>
      </c>
      <c r="BN1337">
        <f>Model!BV149</f>
        <v>0</v>
      </c>
      <c r="BO1337">
        <f>Model!BW149</f>
        <v>0</v>
      </c>
      <c r="BP1337">
        <f>Model!BX149</f>
        <v>0</v>
      </c>
      <c r="BQ1337">
        <f>Model!BY149</f>
        <v>0</v>
      </c>
      <c r="BR1337">
        <f>Model!BZ149</f>
        <v>0</v>
      </c>
      <c r="BS1337">
        <f>Model!CA149</f>
        <v>0</v>
      </c>
      <c r="BT1337">
        <f>Model!CB149</f>
        <v>0</v>
      </c>
      <c r="BU1337">
        <f>Model!CC149</f>
        <v>0</v>
      </c>
      <c r="BV1337">
        <f>Model!CD149</f>
        <v>0</v>
      </c>
      <c r="BW1337">
        <f>Model!CE149</f>
        <v>0</v>
      </c>
      <c r="BX1337">
        <f>Model!CF149</f>
        <v>0</v>
      </c>
      <c r="BY1337">
        <f>Model!CG149</f>
        <v>0</v>
      </c>
      <c r="BZ1337">
        <f>Model!CH149</f>
        <v>0</v>
      </c>
      <c r="CA1337">
        <f>Model!CI149</f>
        <v>0</v>
      </c>
      <c r="CB1337">
        <f>Model!CJ149</f>
        <v>0</v>
      </c>
      <c r="CC1337">
        <f>Model!CK149</f>
        <v>0</v>
      </c>
      <c r="CD1337">
        <f>Model!CL149</f>
        <v>0</v>
      </c>
      <c r="CE1337">
        <f>Model!CM149</f>
        <v>0</v>
      </c>
      <c r="CF1337">
        <f>Model!CN149</f>
        <v>0</v>
      </c>
      <c r="CG1337">
        <f>Model!CO149</f>
        <v>0</v>
      </c>
      <c r="CH1337">
        <f>Model!CP149</f>
        <v>0</v>
      </c>
      <c r="CI1337">
        <f>Model!CQ149</f>
        <v>0</v>
      </c>
      <c r="CJ1337">
        <f>Model!CR149</f>
        <v>0</v>
      </c>
      <c r="CK1337">
        <f>Model!CS149</f>
        <v>0</v>
      </c>
      <c r="CL1337">
        <f>Model!CT149</f>
        <v>0</v>
      </c>
      <c r="CM1337">
        <f>Model!CU149</f>
        <v>0</v>
      </c>
      <c r="CN1337">
        <f>Model!CV149</f>
        <v>0</v>
      </c>
      <c r="CO1337">
        <f>Model!CW149</f>
        <v>0</v>
      </c>
      <c r="CP1337">
        <f>Model!CX149</f>
        <v>0</v>
      </c>
      <c r="CQ1337">
        <f>Model!CY149</f>
        <v>0</v>
      </c>
      <c r="CR1337">
        <f>Model!CZ149</f>
        <v>0</v>
      </c>
      <c r="CS1337">
        <f>Model!DA149</f>
        <v>0</v>
      </c>
      <c r="CT1337">
        <f>Model!DB149</f>
        <v>0</v>
      </c>
      <c r="CU1337">
        <f>Model!DC149</f>
        <v>0</v>
      </c>
      <c r="CV1337">
        <f>Model!DD149</f>
        <v>0</v>
      </c>
      <c r="CW1337">
        <f>Model!DE149</f>
        <v>0</v>
      </c>
      <c r="CX1337">
        <f>Model!DF149</f>
        <v>0</v>
      </c>
      <c r="CY1337">
        <f>Model!DG149</f>
        <v>0</v>
      </c>
      <c r="CZ1337">
        <f>Model!DH149</f>
        <v>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34.5" style="2141" bestFit="1" customWidth="1"/>
    <col min="2" max="2" width="23.1640625" style="2358" customWidth="1"/>
    <col min="3" max="3" width="14" style="2141" bestFit="1" customWidth="1"/>
    <col min="4" max="256" width="9.33203125" style="2141"/>
    <col min="257" max="257" width="34.5" style="2141" bestFit="1" customWidth="1"/>
    <col min="258" max="258" width="23.1640625" style="2141" customWidth="1"/>
    <col min="259" max="259" width="14" style="2141" bestFit="1" customWidth="1"/>
    <col min="260" max="512" width="9.33203125" style="2141"/>
    <col min="513" max="513" width="34.5" style="2141" bestFit="1" customWidth="1"/>
    <col min="514" max="514" width="23.1640625" style="2141" customWidth="1"/>
    <col min="515" max="515" width="14" style="2141" bestFit="1" customWidth="1"/>
    <col min="516" max="768" width="9.33203125" style="2141"/>
    <col min="769" max="769" width="34.5" style="2141" bestFit="1" customWidth="1"/>
    <col min="770" max="770" width="23.1640625" style="2141" customWidth="1"/>
    <col min="771" max="771" width="14" style="2141" bestFit="1" customWidth="1"/>
    <col min="772" max="1024" width="9.33203125" style="2141"/>
    <col min="1025" max="1025" width="34.5" style="2141" bestFit="1" customWidth="1"/>
    <col min="1026" max="1026" width="23.1640625" style="2141" customWidth="1"/>
    <col min="1027" max="1027" width="14" style="2141" bestFit="1" customWidth="1"/>
    <col min="1028" max="1280" width="9.33203125" style="2141"/>
    <col min="1281" max="1281" width="34.5" style="2141" bestFit="1" customWidth="1"/>
    <col min="1282" max="1282" width="23.1640625" style="2141" customWidth="1"/>
    <col min="1283" max="1283" width="14" style="2141" bestFit="1" customWidth="1"/>
    <col min="1284" max="1536" width="9.33203125" style="2141"/>
    <col min="1537" max="1537" width="34.5" style="2141" bestFit="1" customWidth="1"/>
    <col min="1538" max="1538" width="23.1640625" style="2141" customWidth="1"/>
    <col min="1539" max="1539" width="14" style="2141" bestFit="1" customWidth="1"/>
    <col min="1540" max="1792" width="9.33203125" style="2141"/>
    <col min="1793" max="1793" width="34.5" style="2141" bestFit="1" customWidth="1"/>
    <col min="1794" max="1794" width="23.1640625" style="2141" customWidth="1"/>
    <col min="1795" max="1795" width="14" style="2141" bestFit="1" customWidth="1"/>
    <col min="1796" max="2048" width="9.33203125" style="2141"/>
    <col min="2049" max="2049" width="34.5" style="2141" bestFit="1" customWidth="1"/>
    <col min="2050" max="2050" width="23.1640625" style="2141" customWidth="1"/>
    <col min="2051" max="2051" width="14" style="2141" bestFit="1" customWidth="1"/>
    <col min="2052" max="2304" width="9.33203125" style="2141"/>
    <col min="2305" max="2305" width="34.5" style="2141" bestFit="1" customWidth="1"/>
    <col min="2306" max="2306" width="23.1640625" style="2141" customWidth="1"/>
    <col min="2307" max="2307" width="14" style="2141" bestFit="1" customWidth="1"/>
    <col min="2308" max="2560" width="9.33203125" style="2141"/>
    <col min="2561" max="2561" width="34.5" style="2141" bestFit="1" customWidth="1"/>
    <col min="2562" max="2562" width="23.1640625" style="2141" customWidth="1"/>
    <col min="2563" max="2563" width="14" style="2141" bestFit="1" customWidth="1"/>
    <col min="2564" max="2816" width="9.33203125" style="2141"/>
    <col min="2817" max="2817" width="34.5" style="2141" bestFit="1" customWidth="1"/>
    <col min="2818" max="2818" width="23.1640625" style="2141" customWidth="1"/>
    <col min="2819" max="2819" width="14" style="2141" bestFit="1" customWidth="1"/>
    <col min="2820" max="3072" width="9.33203125" style="2141"/>
    <col min="3073" max="3073" width="34.5" style="2141" bestFit="1" customWidth="1"/>
    <col min="3074" max="3074" width="23.1640625" style="2141" customWidth="1"/>
    <col min="3075" max="3075" width="14" style="2141" bestFit="1" customWidth="1"/>
    <col min="3076" max="3328" width="9.33203125" style="2141"/>
    <col min="3329" max="3329" width="34.5" style="2141" bestFit="1" customWidth="1"/>
    <col min="3330" max="3330" width="23.1640625" style="2141" customWidth="1"/>
    <col min="3331" max="3331" width="14" style="2141" bestFit="1" customWidth="1"/>
    <col min="3332" max="3584" width="9.33203125" style="2141"/>
    <col min="3585" max="3585" width="34.5" style="2141" bestFit="1" customWidth="1"/>
    <col min="3586" max="3586" width="23.1640625" style="2141" customWidth="1"/>
    <col min="3587" max="3587" width="14" style="2141" bestFit="1" customWidth="1"/>
    <col min="3588" max="3840" width="9.33203125" style="2141"/>
    <col min="3841" max="3841" width="34.5" style="2141" bestFit="1" customWidth="1"/>
    <col min="3842" max="3842" width="23.1640625" style="2141" customWidth="1"/>
    <col min="3843" max="3843" width="14" style="2141" bestFit="1" customWidth="1"/>
    <col min="3844" max="4096" width="9.33203125" style="2141"/>
    <col min="4097" max="4097" width="34.5" style="2141" bestFit="1" customWidth="1"/>
    <col min="4098" max="4098" width="23.1640625" style="2141" customWidth="1"/>
    <col min="4099" max="4099" width="14" style="2141" bestFit="1" customWidth="1"/>
    <col min="4100" max="4352" width="9.33203125" style="2141"/>
    <col min="4353" max="4353" width="34.5" style="2141" bestFit="1" customWidth="1"/>
    <col min="4354" max="4354" width="23.1640625" style="2141" customWidth="1"/>
    <col min="4355" max="4355" width="14" style="2141" bestFit="1" customWidth="1"/>
    <col min="4356" max="4608" width="9.33203125" style="2141"/>
    <col min="4609" max="4609" width="34.5" style="2141" bestFit="1" customWidth="1"/>
    <col min="4610" max="4610" width="23.1640625" style="2141" customWidth="1"/>
    <col min="4611" max="4611" width="14" style="2141" bestFit="1" customWidth="1"/>
    <col min="4612" max="4864" width="9.33203125" style="2141"/>
    <col min="4865" max="4865" width="34.5" style="2141" bestFit="1" customWidth="1"/>
    <col min="4866" max="4866" width="23.1640625" style="2141" customWidth="1"/>
    <col min="4867" max="4867" width="14" style="2141" bestFit="1" customWidth="1"/>
    <col min="4868" max="5120" width="9.33203125" style="2141"/>
    <col min="5121" max="5121" width="34.5" style="2141" bestFit="1" customWidth="1"/>
    <col min="5122" max="5122" width="23.1640625" style="2141" customWidth="1"/>
    <col min="5123" max="5123" width="14" style="2141" bestFit="1" customWidth="1"/>
    <col min="5124" max="5376" width="9.33203125" style="2141"/>
    <col min="5377" max="5377" width="34.5" style="2141" bestFit="1" customWidth="1"/>
    <col min="5378" max="5378" width="23.1640625" style="2141" customWidth="1"/>
    <col min="5379" max="5379" width="14" style="2141" bestFit="1" customWidth="1"/>
    <col min="5380" max="5632" width="9.33203125" style="2141"/>
    <col min="5633" max="5633" width="34.5" style="2141" bestFit="1" customWidth="1"/>
    <col min="5634" max="5634" width="23.1640625" style="2141" customWidth="1"/>
    <col min="5635" max="5635" width="14" style="2141" bestFit="1" customWidth="1"/>
    <col min="5636" max="5888" width="9.33203125" style="2141"/>
    <col min="5889" max="5889" width="34.5" style="2141" bestFit="1" customWidth="1"/>
    <col min="5890" max="5890" width="23.1640625" style="2141" customWidth="1"/>
    <col min="5891" max="5891" width="14" style="2141" bestFit="1" customWidth="1"/>
    <col min="5892" max="6144" width="9.33203125" style="2141"/>
    <col min="6145" max="6145" width="34.5" style="2141" bestFit="1" customWidth="1"/>
    <col min="6146" max="6146" width="23.1640625" style="2141" customWidth="1"/>
    <col min="6147" max="6147" width="14" style="2141" bestFit="1" customWidth="1"/>
    <col min="6148" max="6400" width="9.33203125" style="2141"/>
    <col min="6401" max="6401" width="34.5" style="2141" bestFit="1" customWidth="1"/>
    <col min="6402" max="6402" width="23.1640625" style="2141" customWidth="1"/>
    <col min="6403" max="6403" width="14" style="2141" bestFit="1" customWidth="1"/>
    <col min="6404" max="6656" width="9.33203125" style="2141"/>
    <col min="6657" max="6657" width="34.5" style="2141" bestFit="1" customWidth="1"/>
    <col min="6658" max="6658" width="23.1640625" style="2141" customWidth="1"/>
    <col min="6659" max="6659" width="14" style="2141" bestFit="1" customWidth="1"/>
    <col min="6660" max="6912" width="9.33203125" style="2141"/>
    <col min="6913" max="6913" width="34.5" style="2141" bestFit="1" customWidth="1"/>
    <col min="6914" max="6914" width="23.1640625" style="2141" customWidth="1"/>
    <col min="6915" max="6915" width="14" style="2141" bestFit="1" customWidth="1"/>
    <col min="6916" max="7168" width="9.33203125" style="2141"/>
    <col min="7169" max="7169" width="34.5" style="2141" bestFit="1" customWidth="1"/>
    <col min="7170" max="7170" width="23.1640625" style="2141" customWidth="1"/>
    <col min="7171" max="7171" width="14" style="2141" bestFit="1" customWidth="1"/>
    <col min="7172" max="7424" width="9.33203125" style="2141"/>
    <col min="7425" max="7425" width="34.5" style="2141" bestFit="1" customWidth="1"/>
    <col min="7426" max="7426" width="23.1640625" style="2141" customWidth="1"/>
    <col min="7427" max="7427" width="14" style="2141" bestFit="1" customWidth="1"/>
    <col min="7428" max="7680" width="9.33203125" style="2141"/>
    <col min="7681" max="7681" width="34.5" style="2141" bestFit="1" customWidth="1"/>
    <col min="7682" max="7682" width="23.1640625" style="2141" customWidth="1"/>
    <col min="7683" max="7683" width="14" style="2141" bestFit="1" customWidth="1"/>
    <col min="7684" max="7936" width="9.33203125" style="2141"/>
    <col min="7937" max="7937" width="34.5" style="2141" bestFit="1" customWidth="1"/>
    <col min="7938" max="7938" width="23.1640625" style="2141" customWidth="1"/>
    <col min="7939" max="7939" width="14" style="2141" bestFit="1" customWidth="1"/>
    <col min="7940" max="8192" width="9.33203125" style="2141"/>
    <col min="8193" max="8193" width="34.5" style="2141" bestFit="1" customWidth="1"/>
    <col min="8194" max="8194" width="23.1640625" style="2141" customWidth="1"/>
    <col min="8195" max="8195" width="14" style="2141" bestFit="1" customWidth="1"/>
    <col min="8196" max="8448" width="9.33203125" style="2141"/>
    <col min="8449" max="8449" width="34.5" style="2141" bestFit="1" customWidth="1"/>
    <col min="8450" max="8450" width="23.1640625" style="2141" customWidth="1"/>
    <col min="8451" max="8451" width="14" style="2141" bestFit="1" customWidth="1"/>
    <col min="8452" max="8704" width="9.33203125" style="2141"/>
    <col min="8705" max="8705" width="34.5" style="2141" bestFit="1" customWidth="1"/>
    <col min="8706" max="8706" width="23.1640625" style="2141" customWidth="1"/>
    <col min="8707" max="8707" width="14" style="2141" bestFit="1" customWidth="1"/>
    <col min="8708" max="8960" width="9.33203125" style="2141"/>
    <col min="8961" max="8961" width="34.5" style="2141" bestFit="1" customWidth="1"/>
    <col min="8962" max="8962" width="23.1640625" style="2141" customWidth="1"/>
    <col min="8963" max="8963" width="14" style="2141" bestFit="1" customWidth="1"/>
    <col min="8964" max="9216" width="9.33203125" style="2141"/>
    <col min="9217" max="9217" width="34.5" style="2141" bestFit="1" customWidth="1"/>
    <col min="9218" max="9218" width="23.1640625" style="2141" customWidth="1"/>
    <col min="9219" max="9219" width="14" style="2141" bestFit="1" customWidth="1"/>
    <col min="9220" max="9472" width="9.33203125" style="2141"/>
    <col min="9473" max="9473" width="34.5" style="2141" bestFit="1" customWidth="1"/>
    <col min="9474" max="9474" width="23.1640625" style="2141" customWidth="1"/>
    <col min="9475" max="9475" width="14" style="2141" bestFit="1" customWidth="1"/>
    <col min="9476" max="9728" width="9.33203125" style="2141"/>
    <col min="9729" max="9729" width="34.5" style="2141" bestFit="1" customWidth="1"/>
    <col min="9730" max="9730" width="23.1640625" style="2141" customWidth="1"/>
    <col min="9731" max="9731" width="14" style="2141" bestFit="1" customWidth="1"/>
    <col min="9732" max="9984" width="9.33203125" style="2141"/>
    <col min="9985" max="9985" width="34.5" style="2141" bestFit="1" customWidth="1"/>
    <col min="9986" max="9986" width="23.1640625" style="2141" customWidth="1"/>
    <col min="9987" max="9987" width="14" style="2141" bestFit="1" customWidth="1"/>
    <col min="9988" max="10240" width="9.33203125" style="2141"/>
    <col min="10241" max="10241" width="34.5" style="2141" bestFit="1" customWidth="1"/>
    <col min="10242" max="10242" width="23.1640625" style="2141" customWidth="1"/>
    <col min="10243" max="10243" width="14" style="2141" bestFit="1" customWidth="1"/>
    <col min="10244" max="10496" width="9.33203125" style="2141"/>
    <col min="10497" max="10497" width="34.5" style="2141" bestFit="1" customWidth="1"/>
    <col min="10498" max="10498" width="23.1640625" style="2141" customWidth="1"/>
    <col min="10499" max="10499" width="14" style="2141" bestFit="1" customWidth="1"/>
    <col min="10500" max="10752" width="9.33203125" style="2141"/>
    <col min="10753" max="10753" width="34.5" style="2141" bestFit="1" customWidth="1"/>
    <col min="10754" max="10754" width="23.1640625" style="2141" customWidth="1"/>
    <col min="10755" max="10755" width="14" style="2141" bestFit="1" customWidth="1"/>
    <col min="10756" max="11008" width="9.33203125" style="2141"/>
    <col min="11009" max="11009" width="34.5" style="2141" bestFit="1" customWidth="1"/>
    <col min="11010" max="11010" width="23.1640625" style="2141" customWidth="1"/>
    <col min="11011" max="11011" width="14" style="2141" bestFit="1" customWidth="1"/>
    <col min="11012" max="11264" width="9.33203125" style="2141"/>
    <col min="11265" max="11265" width="34.5" style="2141" bestFit="1" customWidth="1"/>
    <col min="11266" max="11266" width="23.1640625" style="2141" customWidth="1"/>
    <col min="11267" max="11267" width="14" style="2141" bestFit="1" customWidth="1"/>
    <col min="11268" max="11520" width="9.33203125" style="2141"/>
    <col min="11521" max="11521" width="34.5" style="2141" bestFit="1" customWidth="1"/>
    <col min="11522" max="11522" width="23.1640625" style="2141" customWidth="1"/>
    <col min="11523" max="11523" width="14" style="2141" bestFit="1" customWidth="1"/>
    <col min="11524" max="11776" width="9.33203125" style="2141"/>
    <col min="11777" max="11777" width="34.5" style="2141" bestFit="1" customWidth="1"/>
    <col min="11778" max="11778" width="23.1640625" style="2141" customWidth="1"/>
    <col min="11779" max="11779" width="14" style="2141" bestFit="1" customWidth="1"/>
    <col min="11780" max="12032" width="9.33203125" style="2141"/>
    <col min="12033" max="12033" width="34.5" style="2141" bestFit="1" customWidth="1"/>
    <col min="12034" max="12034" width="23.1640625" style="2141" customWidth="1"/>
    <col min="12035" max="12035" width="14" style="2141" bestFit="1" customWidth="1"/>
    <col min="12036" max="12288" width="9.33203125" style="2141"/>
    <col min="12289" max="12289" width="34.5" style="2141" bestFit="1" customWidth="1"/>
    <col min="12290" max="12290" width="23.1640625" style="2141" customWidth="1"/>
    <col min="12291" max="12291" width="14" style="2141" bestFit="1" customWidth="1"/>
    <col min="12292" max="12544" width="9.33203125" style="2141"/>
    <col min="12545" max="12545" width="34.5" style="2141" bestFit="1" customWidth="1"/>
    <col min="12546" max="12546" width="23.1640625" style="2141" customWidth="1"/>
    <col min="12547" max="12547" width="14" style="2141" bestFit="1" customWidth="1"/>
    <col min="12548" max="12800" width="9.33203125" style="2141"/>
    <col min="12801" max="12801" width="34.5" style="2141" bestFit="1" customWidth="1"/>
    <col min="12802" max="12802" width="23.1640625" style="2141" customWidth="1"/>
    <col min="12803" max="12803" width="14" style="2141" bestFit="1" customWidth="1"/>
    <col min="12804" max="13056" width="9.33203125" style="2141"/>
    <col min="13057" max="13057" width="34.5" style="2141" bestFit="1" customWidth="1"/>
    <col min="13058" max="13058" width="23.1640625" style="2141" customWidth="1"/>
    <col min="13059" max="13059" width="14" style="2141" bestFit="1" customWidth="1"/>
    <col min="13060" max="13312" width="9.33203125" style="2141"/>
    <col min="13313" max="13313" width="34.5" style="2141" bestFit="1" customWidth="1"/>
    <col min="13314" max="13314" width="23.1640625" style="2141" customWidth="1"/>
    <col min="13315" max="13315" width="14" style="2141" bestFit="1" customWidth="1"/>
    <col min="13316" max="13568" width="9.33203125" style="2141"/>
    <col min="13569" max="13569" width="34.5" style="2141" bestFit="1" customWidth="1"/>
    <col min="13570" max="13570" width="23.1640625" style="2141" customWidth="1"/>
    <col min="13571" max="13571" width="14" style="2141" bestFit="1" customWidth="1"/>
    <col min="13572" max="13824" width="9.33203125" style="2141"/>
    <col min="13825" max="13825" width="34.5" style="2141" bestFit="1" customWidth="1"/>
    <col min="13826" max="13826" width="23.1640625" style="2141" customWidth="1"/>
    <col min="13827" max="13827" width="14" style="2141" bestFit="1" customWidth="1"/>
    <col min="13828" max="14080" width="9.33203125" style="2141"/>
    <col min="14081" max="14081" width="34.5" style="2141" bestFit="1" customWidth="1"/>
    <col min="14082" max="14082" width="23.1640625" style="2141" customWidth="1"/>
    <col min="14083" max="14083" width="14" style="2141" bestFit="1" customWidth="1"/>
    <col min="14084" max="14336" width="9.33203125" style="2141"/>
    <col min="14337" max="14337" width="34.5" style="2141" bestFit="1" customWidth="1"/>
    <col min="14338" max="14338" width="23.1640625" style="2141" customWidth="1"/>
    <col min="14339" max="14339" width="14" style="2141" bestFit="1" customWidth="1"/>
    <col min="14340" max="14592" width="9.33203125" style="2141"/>
    <col min="14593" max="14593" width="34.5" style="2141" bestFit="1" customWidth="1"/>
    <col min="14594" max="14594" width="23.1640625" style="2141" customWidth="1"/>
    <col min="14595" max="14595" width="14" style="2141" bestFit="1" customWidth="1"/>
    <col min="14596" max="14848" width="9.33203125" style="2141"/>
    <col min="14849" max="14849" width="34.5" style="2141" bestFit="1" customWidth="1"/>
    <col min="14850" max="14850" width="23.1640625" style="2141" customWidth="1"/>
    <col min="14851" max="14851" width="14" style="2141" bestFit="1" customWidth="1"/>
    <col min="14852" max="15104" width="9.33203125" style="2141"/>
    <col min="15105" max="15105" width="34.5" style="2141" bestFit="1" customWidth="1"/>
    <col min="15106" max="15106" width="23.1640625" style="2141" customWidth="1"/>
    <col min="15107" max="15107" width="14" style="2141" bestFit="1" customWidth="1"/>
    <col min="15108" max="15360" width="9.33203125" style="2141"/>
    <col min="15361" max="15361" width="34.5" style="2141" bestFit="1" customWidth="1"/>
    <col min="15362" max="15362" width="23.1640625" style="2141" customWidth="1"/>
    <col min="15363" max="15363" width="14" style="2141" bestFit="1" customWidth="1"/>
    <col min="15364" max="15616" width="9.33203125" style="2141"/>
    <col min="15617" max="15617" width="34.5" style="2141" bestFit="1" customWidth="1"/>
    <col min="15618" max="15618" width="23.1640625" style="2141" customWidth="1"/>
    <col min="15619" max="15619" width="14" style="2141" bestFit="1" customWidth="1"/>
    <col min="15620" max="15872" width="9.33203125" style="2141"/>
    <col min="15873" max="15873" width="34.5" style="2141" bestFit="1" customWidth="1"/>
    <col min="15874" max="15874" width="23.1640625" style="2141" customWidth="1"/>
    <col min="15875" max="15875" width="14" style="2141" bestFit="1" customWidth="1"/>
    <col min="15876" max="16128" width="9.33203125" style="2141"/>
    <col min="16129" max="16129" width="34.5" style="2141" bestFit="1" customWidth="1"/>
    <col min="16130" max="16130" width="23.1640625" style="2141" customWidth="1"/>
    <col min="16131" max="16131" width="14" style="2141" bestFit="1" customWidth="1"/>
    <col min="16132" max="16384" width="9.33203125" style="2141"/>
  </cols>
  <sheetData>
    <row r="1" spans="1:2">
      <c r="A1" s="2141" t="s">
        <v>1076</v>
      </c>
      <c r="B1" s="2357">
        <v>6.1</v>
      </c>
    </row>
    <row r="2" spans="1:2">
      <c r="A2" s="2141" t="s">
        <v>1077</v>
      </c>
      <c r="B2" s="2361">
        <v>43209.345671296294</v>
      </c>
    </row>
    <row r="3" spans="1:2">
      <c r="A3" s="2141" t="s">
        <v>1078</v>
      </c>
      <c r="B3" s="2358" t="s">
        <v>770</v>
      </c>
    </row>
    <row r="4" spans="1:2">
      <c r="A4" s="2141" t="s">
        <v>1079</v>
      </c>
      <c r="B4" s="2358" t="s">
        <v>1080</v>
      </c>
    </row>
    <row r="5" spans="1:2">
      <c r="A5" s="2141" t="s">
        <v>1081</v>
      </c>
      <c r="B5" s="2358" t="s">
        <v>1082</v>
      </c>
    </row>
    <row r="6" spans="1:2">
      <c r="A6" s="2141" t="s">
        <v>1083</v>
      </c>
    </row>
    <row r="7" spans="1:2">
      <c r="A7" s="2141" t="s">
        <v>1084</v>
      </c>
      <c r="B7" s="2358" t="s">
        <v>752</v>
      </c>
    </row>
    <row r="8" spans="1:2">
      <c r="A8" s="2141" t="s">
        <v>1085</v>
      </c>
      <c r="B8" s="2358" t="s">
        <v>1086</v>
      </c>
    </row>
    <row r="9" spans="1:2">
      <c r="A9" s="2141" t="s">
        <v>1087</v>
      </c>
      <c r="B9" s="2358" t="s">
        <v>1124</v>
      </c>
    </row>
    <row r="10" spans="1:2">
      <c r="A10" s="2141" t="s">
        <v>1088</v>
      </c>
    </row>
    <row r="11" spans="1:2">
      <c r="A11" s="2141" t="s">
        <v>1089</v>
      </c>
    </row>
    <row r="12" spans="1:2">
      <c r="A12" s="2141" t="s">
        <v>1090</v>
      </c>
    </row>
    <row r="13" spans="1:2">
      <c r="A13" s="2141" t="s">
        <v>1091</v>
      </c>
    </row>
    <row r="14" spans="1:2">
      <c r="A14" s="2141" t="s">
        <v>1092</v>
      </c>
    </row>
    <row r="15" spans="1:2">
      <c r="A15" s="2141" t="s">
        <v>1093</v>
      </c>
    </row>
    <row r="16" spans="1:2">
      <c r="A16" s="2141" t="s">
        <v>1094</v>
      </c>
    </row>
    <row r="17" spans="1:4">
      <c r="A17" s="2141" t="s">
        <v>1095</v>
      </c>
      <c r="B17" s="2358" t="s">
        <v>1125</v>
      </c>
    </row>
    <row r="18" spans="1:4">
      <c r="A18" s="2141" t="s">
        <v>1096</v>
      </c>
      <c r="B18" s="2358" t="s">
        <v>771</v>
      </c>
    </row>
    <row r="19" spans="1:4">
      <c r="A19" s="2141" t="s">
        <v>1097</v>
      </c>
      <c r="B19" s="2358" t="s">
        <v>751</v>
      </c>
    </row>
    <row r="20" spans="1:4">
      <c r="A20" s="2141" t="s">
        <v>1098</v>
      </c>
      <c r="B20" s="2359" t="s">
        <v>1128</v>
      </c>
    </row>
    <row r="21" spans="1:4">
      <c r="A21" s="2141" t="s">
        <v>1099</v>
      </c>
      <c r="B21" s="2358" t="s">
        <v>751</v>
      </c>
    </row>
    <row r="22" spans="1:4">
      <c r="A22" s="2141" t="s">
        <v>1100</v>
      </c>
      <c r="B22" s="2359" t="s">
        <v>1129</v>
      </c>
    </row>
    <row r="23" spans="1:4">
      <c r="A23" s="2141" t="s">
        <v>533</v>
      </c>
      <c r="B23" s="2357">
        <v>2180.6</v>
      </c>
    </row>
    <row r="24" spans="1:4">
      <c r="A24" s="2141" t="s">
        <v>601</v>
      </c>
      <c r="B24" s="2358" t="s">
        <v>574</v>
      </c>
      <c r="D24" s="2141" t="s">
        <v>495</v>
      </c>
    </row>
    <row r="25" spans="1:4">
      <c r="A25" s="2141" t="s">
        <v>1101</v>
      </c>
      <c r="B25" s="2358" t="s">
        <v>1130</v>
      </c>
    </row>
    <row r="26" spans="1:4">
      <c r="A26" s="2141" t="s">
        <v>1102</v>
      </c>
      <c r="B26" s="2358">
        <v>0</v>
      </c>
    </row>
    <row r="27" spans="1:4">
      <c r="A27" s="2141" t="s">
        <v>1103</v>
      </c>
      <c r="B27" s="2358" t="s">
        <v>1104</v>
      </c>
    </row>
    <row r="28" spans="1:4">
      <c r="A28" s="2141" t="s">
        <v>1105</v>
      </c>
      <c r="B28" s="2358" t="s">
        <v>1106</v>
      </c>
    </row>
    <row r="29" spans="1:4">
      <c r="A29" s="2141" t="s">
        <v>1107</v>
      </c>
    </row>
    <row r="30" spans="1:4">
      <c r="A30" s="2141" t="s">
        <v>1108</v>
      </c>
    </row>
    <row r="31" spans="1:4">
      <c r="A31" s="2141" t="s">
        <v>1109</v>
      </c>
    </row>
    <row r="32" spans="1:4">
      <c r="A32" s="2141" t="s">
        <v>1110</v>
      </c>
      <c r="B32" s="2357"/>
    </row>
    <row r="33" spans="1:2">
      <c r="A33" s="2141" t="s">
        <v>1111</v>
      </c>
      <c r="B33" s="2357"/>
    </row>
    <row r="34" spans="1:2">
      <c r="A34" s="2141" t="s">
        <v>1112</v>
      </c>
      <c r="B34" s="2357"/>
    </row>
    <row r="35" spans="1:2">
      <c r="A35" s="2141" t="s">
        <v>1113</v>
      </c>
      <c r="B35" s="2358">
        <v>1000000</v>
      </c>
    </row>
    <row r="36" spans="1:2">
      <c r="A36" s="2141" t="s">
        <v>1114</v>
      </c>
      <c r="B36" s="2358" t="s">
        <v>1126</v>
      </c>
    </row>
    <row r="37" spans="1:2">
      <c r="A37" s="2141" t="s">
        <v>1115</v>
      </c>
      <c r="B37" s="2358" t="s">
        <v>1116</v>
      </c>
    </row>
    <row r="38" spans="1:2">
      <c r="A38" s="2141" t="s">
        <v>1117</v>
      </c>
      <c r="B38" s="2358" t="s">
        <v>1118</v>
      </c>
    </row>
    <row r="39" spans="1:2">
      <c r="A39" s="2141" t="s">
        <v>1119</v>
      </c>
      <c r="B39" s="2358" t="s">
        <v>1127</v>
      </c>
    </row>
    <row r="40" spans="1:2">
      <c r="A40" s="2141" t="s">
        <v>1120</v>
      </c>
      <c r="B40" s="2358">
        <v>1500005604</v>
      </c>
    </row>
    <row r="41" spans="1:2">
      <c r="A41" s="2141" t="s">
        <v>1121</v>
      </c>
      <c r="B41" s="2358">
        <v>1</v>
      </c>
    </row>
    <row r="42" spans="1:2">
      <c r="A42" s="2360" t="s">
        <v>1122</v>
      </c>
    </row>
    <row r="43" spans="1:2">
      <c r="A43" s="2141" t="s">
        <v>1123</v>
      </c>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cols>
    <col min="1" max="1" width="33.33203125" style="2141" bestFit="1" customWidth="1"/>
    <col min="2" max="256" width="9.33203125" style="2141"/>
    <col min="257" max="257" width="33.33203125" style="2141" bestFit="1" customWidth="1"/>
    <col min="258" max="512" width="9.33203125" style="2141"/>
    <col min="513" max="513" width="33.33203125" style="2141" bestFit="1" customWidth="1"/>
    <col min="514" max="768" width="9.33203125" style="2141"/>
    <col min="769" max="769" width="33.33203125" style="2141" bestFit="1" customWidth="1"/>
    <col min="770" max="1024" width="9.33203125" style="2141"/>
    <col min="1025" max="1025" width="33.33203125" style="2141" bestFit="1" customWidth="1"/>
    <col min="1026" max="1280" width="9.33203125" style="2141"/>
    <col min="1281" max="1281" width="33.33203125" style="2141" bestFit="1" customWidth="1"/>
    <col min="1282" max="1536" width="9.33203125" style="2141"/>
    <col min="1537" max="1537" width="33.33203125" style="2141" bestFit="1" customWidth="1"/>
    <col min="1538" max="1792" width="9.33203125" style="2141"/>
    <col min="1793" max="1793" width="33.33203125" style="2141" bestFit="1" customWidth="1"/>
    <col min="1794" max="2048" width="9.33203125" style="2141"/>
    <col min="2049" max="2049" width="33.33203125" style="2141" bestFit="1" customWidth="1"/>
    <col min="2050" max="2304" width="9.33203125" style="2141"/>
    <col min="2305" max="2305" width="33.33203125" style="2141" bestFit="1" customWidth="1"/>
    <col min="2306" max="2560" width="9.33203125" style="2141"/>
    <col min="2561" max="2561" width="33.33203125" style="2141" bestFit="1" customWidth="1"/>
    <col min="2562" max="2816" width="9.33203125" style="2141"/>
    <col min="2817" max="2817" width="33.33203125" style="2141" bestFit="1" customWidth="1"/>
    <col min="2818" max="3072" width="9.33203125" style="2141"/>
    <col min="3073" max="3073" width="33.33203125" style="2141" bestFit="1" customWidth="1"/>
    <col min="3074" max="3328" width="9.33203125" style="2141"/>
    <col min="3329" max="3329" width="33.33203125" style="2141" bestFit="1" customWidth="1"/>
    <col min="3330" max="3584" width="9.33203125" style="2141"/>
    <col min="3585" max="3585" width="33.33203125" style="2141" bestFit="1" customWidth="1"/>
    <col min="3586" max="3840" width="9.33203125" style="2141"/>
    <col min="3841" max="3841" width="33.33203125" style="2141" bestFit="1" customWidth="1"/>
    <col min="3842" max="4096" width="9.33203125" style="2141"/>
    <col min="4097" max="4097" width="33.33203125" style="2141" bestFit="1" customWidth="1"/>
    <col min="4098" max="4352" width="9.33203125" style="2141"/>
    <col min="4353" max="4353" width="33.33203125" style="2141" bestFit="1" customWidth="1"/>
    <col min="4354" max="4608" width="9.33203125" style="2141"/>
    <col min="4609" max="4609" width="33.33203125" style="2141" bestFit="1" customWidth="1"/>
    <col min="4610" max="4864" width="9.33203125" style="2141"/>
    <col min="4865" max="4865" width="33.33203125" style="2141" bestFit="1" customWidth="1"/>
    <col min="4866" max="5120" width="9.33203125" style="2141"/>
    <col min="5121" max="5121" width="33.33203125" style="2141" bestFit="1" customWidth="1"/>
    <col min="5122" max="5376" width="9.33203125" style="2141"/>
    <col min="5377" max="5377" width="33.33203125" style="2141" bestFit="1" customWidth="1"/>
    <col min="5378" max="5632" width="9.33203125" style="2141"/>
    <col min="5633" max="5633" width="33.33203125" style="2141" bestFit="1" customWidth="1"/>
    <col min="5634" max="5888" width="9.33203125" style="2141"/>
    <col min="5889" max="5889" width="33.33203125" style="2141" bestFit="1" customWidth="1"/>
    <col min="5890" max="6144" width="9.33203125" style="2141"/>
    <col min="6145" max="6145" width="33.33203125" style="2141" bestFit="1" customWidth="1"/>
    <col min="6146" max="6400" width="9.33203125" style="2141"/>
    <col min="6401" max="6401" width="33.33203125" style="2141" bestFit="1" customWidth="1"/>
    <col min="6402" max="6656" width="9.33203125" style="2141"/>
    <col min="6657" max="6657" width="33.33203125" style="2141" bestFit="1" customWidth="1"/>
    <col min="6658" max="6912" width="9.33203125" style="2141"/>
    <col min="6913" max="6913" width="33.33203125" style="2141" bestFit="1" customWidth="1"/>
    <col min="6914" max="7168" width="9.33203125" style="2141"/>
    <col min="7169" max="7169" width="33.33203125" style="2141" bestFit="1" customWidth="1"/>
    <col min="7170" max="7424" width="9.33203125" style="2141"/>
    <col min="7425" max="7425" width="33.33203125" style="2141" bestFit="1" customWidth="1"/>
    <col min="7426" max="7680" width="9.33203125" style="2141"/>
    <col min="7681" max="7681" width="33.33203125" style="2141" bestFit="1" customWidth="1"/>
    <col min="7682" max="7936" width="9.33203125" style="2141"/>
    <col min="7937" max="7937" width="33.33203125" style="2141" bestFit="1" customWidth="1"/>
    <col min="7938" max="8192" width="9.33203125" style="2141"/>
    <col min="8193" max="8193" width="33.33203125" style="2141" bestFit="1" customWidth="1"/>
    <col min="8194" max="8448" width="9.33203125" style="2141"/>
    <col min="8449" max="8449" width="33.33203125" style="2141" bestFit="1" customWidth="1"/>
    <col min="8450" max="8704" width="9.33203125" style="2141"/>
    <col min="8705" max="8705" width="33.33203125" style="2141" bestFit="1" customWidth="1"/>
    <col min="8706" max="8960" width="9.33203125" style="2141"/>
    <col min="8961" max="8961" width="33.33203125" style="2141" bestFit="1" customWidth="1"/>
    <col min="8962" max="9216" width="9.33203125" style="2141"/>
    <col min="9217" max="9217" width="33.33203125" style="2141" bestFit="1" customWidth="1"/>
    <col min="9218" max="9472" width="9.33203125" style="2141"/>
    <col min="9473" max="9473" width="33.33203125" style="2141" bestFit="1" customWidth="1"/>
    <col min="9474" max="9728" width="9.33203125" style="2141"/>
    <col min="9729" max="9729" width="33.33203125" style="2141" bestFit="1" customWidth="1"/>
    <col min="9730" max="9984" width="9.33203125" style="2141"/>
    <col min="9985" max="9985" width="33.33203125" style="2141" bestFit="1" customWidth="1"/>
    <col min="9986" max="10240" width="9.33203125" style="2141"/>
    <col min="10241" max="10241" width="33.33203125" style="2141" bestFit="1" customWidth="1"/>
    <col min="10242" max="10496" width="9.33203125" style="2141"/>
    <col min="10497" max="10497" width="33.33203125" style="2141" bestFit="1" customWidth="1"/>
    <col min="10498" max="10752" width="9.33203125" style="2141"/>
    <col min="10753" max="10753" width="33.33203125" style="2141" bestFit="1" customWidth="1"/>
    <col min="10754" max="11008" width="9.33203125" style="2141"/>
    <col min="11009" max="11009" width="33.33203125" style="2141" bestFit="1" customWidth="1"/>
    <col min="11010" max="11264" width="9.33203125" style="2141"/>
    <col min="11265" max="11265" width="33.33203125" style="2141" bestFit="1" customWidth="1"/>
    <col min="11266" max="11520" width="9.33203125" style="2141"/>
    <col min="11521" max="11521" width="33.33203125" style="2141" bestFit="1" customWidth="1"/>
    <col min="11522" max="11776" width="9.33203125" style="2141"/>
    <col min="11777" max="11777" width="33.33203125" style="2141" bestFit="1" customWidth="1"/>
    <col min="11778" max="12032" width="9.33203125" style="2141"/>
    <col min="12033" max="12033" width="33.33203125" style="2141" bestFit="1" customWidth="1"/>
    <col min="12034" max="12288" width="9.33203125" style="2141"/>
    <col min="12289" max="12289" width="33.33203125" style="2141" bestFit="1" customWidth="1"/>
    <col min="12290" max="12544" width="9.33203125" style="2141"/>
    <col min="12545" max="12545" width="33.33203125" style="2141" bestFit="1" customWidth="1"/>
    <col min="12546" max="12800" width="9.33203125" style="2141"/>
    <col min="12801" max="12801" width="33.33203125" style="2141" bestFit="1" customWidth="1"/>
    <col min="12802" max="13056" width="9.33203125" style="2141"/>
    <col min="13057" max="13057" width="33.33203125" style="2141" bestFit="1" customWidth="1"/>
    <col min="13058" max="13312" width="9.33203125" style="2141"/>
    <col min="13313" max="13313" width="33.33203125" style="2141" bestFit="1" customWidth="1"/>
    <col min="13314" max="13568" width="9.33203125" style="2141"/>
    <col min="13569" max="13569" width="33.33203125" style="2141" bestFit="1" customWidth="1"/>
    <col min="13570" max="13824" width="9.33203125" style="2141"/>
    <col min="13825" max="13825" width="33.33203125" style="2141" bestFit="1" customWidth="1"/>
    <col min="13826" max="14080" width="9.33203125" style="2141"/>
    <col min="14081" max="14081" width="33.33203125" style="2141" bestFit="1" customWidth="1"/>
    <col min="14082" max="14336" width="9.33203125" style="2141"/>
    <col min="14337" max="14337" width="33.33203125" style="2141" bestFit="1" customWidth="1"/>
    <col min="14338" max="14592" width="9.33203125" style="2141"/>
    <col min="14593" max="14593" width="33.33203125" style="2141" bestFit="1" customWidth="1"/>
    <col min="14594" max="14848" width="9.33203125" style="2141"/>
    <col min="14849" max="14849" width="33.33203125" style="2141" bestFit="1" customWidth="1"/>
    <col min="14850" max="15104" width="9.33203125" style="2141"/>
    <col min="15105" max="15105" width="33.33203125" style="2141" bestFit="1" customWidth="1"/>
    <col min="15106" max="15360" width="9.33203125" style="2141"/>
    <col min="15361" max="15361" width="33.33203125" style="2141" bestFit="1" customWidth="1"/>
    <col min="15362" max="15616" width="9.33203125" style="2141"/>
    <col min="15617" max="15617" width="33.33203125" style="2141" bestFit="1" customWidth="1"/>
    <col min="15618" max="15872" width="9.33203125" style="2141"/>
    <col min="15873" max="15873" width="33.33203125" style="2141" bestFit="1" customWidth="1"/>
    <col min="15874" max="16128" width="9.33203125" style="2141"/>
    <col min="16129" max="16129" width="33.33203125" style="2141" bestFit="1" customWidth="1"/>
    <col min="16130" max="16384" width="9.33203125" style="2141"/>
  </cols>
  <sheetData>
    <row r="1" spans="1:1">
      <c r="A1" s="2362" t="s">
        <v>1131</v>
      </c>
    </row>
    <row r="2" spans="1:1">
      <c r="A2" s="2362" t="s">
        <v>1136</v>
      </c>
    </row>
    <row r="3" spans="1:1">
      <c r="A3" s="2362" t="s">
        <v>1137</v>
      </c>
    </row>
    <row r="4" spans="1:1">
      <c r="A4" s="2362" t="s">
        <v>1138</v>
      </c>
    </row>
    <row r="5" spans="1:1">
      <c r="A5" s="2362" t="s">
        <v>1139</v>
      </c>
    </row>
    <row r="6" spans="1:1">
      <c r="A6" s="2362" t="s">
        <v>1132</v>
      </c>
    </row>
    <row r="7" spans="1:1">
      <c r="A7" s="2362" t="s">
        <v>1140</v>
      </c>
    </row>
    <row r="8" spans="1:1">
      <c r="A8" s="2362" t="s">
        <v>1141</v>
      </c>
    </row>
    <row r="9" spans="1:1">
      <c r="A9" s="2362" t="s">
        <v>1142</v>
      </c>
    </row>
    <row r="10" spans="1:1">
      <c r="A10" s="2362" t="s">
        <v>1133</v>
      </c>
    </row>
    <row r="11" spans="1:1">
      <c r="A11" s="2362" t="s">
        <v>1143</v>
      </c>
    </row>
    <row r="12" spans="1:1">
      <c r="A12" s="2362" t="s">
        <v>1134</v>
      </c>
    </row>
    <row r="13" spans="1:1">
      <c r="A13" s="2362" t="s">
        <v>1135</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1bdc8b58-6d8a-4ca2-bc61-c0487ae1cf53</GUID>
    <SOURCETYPE>Chart</SOURCETYPE>
    <SOURCE_OBJECTNAME>MWA_Risk_Reward</SOURCE_OBJECTNAME>
    <SOURCE_SHEETCODE>MWRSSData</SOURCE_SHEETCODE>
    <SOURCE_SHEETNAME>MWA RR</SOURCE_SHEETNAME>
    <OBJECTTYPE>Native</OBJECTTYPE>
    <SOURCEAPPLICATION>EXCEL_SOURCE</SOURCEAPPLICATION>
    <UPDATEDAT>5/7/2015 12:22:54 PM</UPDATEDAT>
    <SOURCE_ISOUTOFDATE>False</SOURCE_ISOUTOFDATE>
    <SOURCE_WORKBOOKNAME>PCLN_model.xls</SOURCE_WORKBOOKNAME>
    <SOURCE_WORKBOOKPATH>\\MSAD\ROOT\NA\NY\LIB\ER\TECH\INTERNET\MODELS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/MSResearch/Content/ExternalAssets/2015-05/Images/aVNdPTapGEy8k_BcxiP2kA--.png</TARGET_BINARYFULLNAME>
    <TARGET_STORYFULLNAME>/MSResearch/Content/ExternalAssets/2015-05/Sections/20150507_122208_MWA_Risk_Reward.xml</TARGET_STORYFULLNAME>
    <TARGET_UUID>353a7844-f4d5-11e4-96ae-7c07ebc02301</TARGET_UUID>
    <HIDEGRIDLINES>False</HIDEGRIDLINES>
  </Link>
  <Link>
    <GUID>d3d95ece-9e14-4dda-92a2-eeda5d34aa6e</GUID>
    <SOURCE_ALTADDRESS>$I$7:$DA$127</SOURCE_ALTADDRESS>
    <SOURCETYPE>Table</SOURCETYPE>
    <SOURCE_OBJECTNAME>Linking_Range_58</SOURCE_OBJECTNAME>
    <OBJECTTYPE>Native</OBJECTTYPE>
    <SOURCE_SHEETCODE>Sheet5</SOURCE_SHEETCODE>
    <SOURCE_SHEETNAME>Model</SOURCE_SHEETNAME>
    <SOURCEAPPLICATION>EXCEL_SOURCE</SOURCEAPPLICATION>
    <UPDATEDAT>5/7/2015 12:25:39 PM</UPDATEDAT>
    <SOURCE_ISOUTOFDATE>False</SOURCE_ISOUTOFDATE>
    <SOURCE_WORKBOOKNAME>PCLN_model.xls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/MSResearch/Content/ExternalAssets/2015-05/Images/9mvIz65V0Ee8IzcMHsWsRw--.png</TARGET_BINARYFULLNAME>
    <TARGET_STORYFULLNAME>/MSResearch/Content/ExternalAssets/2015-05/Sections/20150504_090908_Linking_Range_58.xml</TARGET_STORYFULLNAME>
    <TARGET_UUID>bff8f01a-f25e-11e4-96ae-7c07ebc02301</TARGET_UUID>
    <LINKSTATUS>Unknown</LINKSTATUS>
    <TRANSPARENTBACKGROUND>False</TRANSPARENTBACKGROUND>
    <TRANSPARENTPLOTAREA>False</TRANSPARENTPLOTAREA>
  </Link>
  <Link>
    <GUID>64b75f4b-3786-43ba-b05d-80b804d881e6</GUID>
    <SOURCE_ALTADDRESS>$I$468:$CY$517</SOURCE_ALTADDRESS>
    <SOURCETYPE>Table</SOURCETYPE>
    <SOURCE_OBJECTNAME>Linking_Range_59</SOURCE_OBJECTNAME>
    <OBJECTTYPE>Native</OBJECTTYPE>
    <SOURCE_SHEETCODE>Sheet5</SOURCE_SHEETCODE>
    <SOURCE_SHEETNAME>Model</SOURCE_SHEETNAME>
    <SOURCEAPPLICATION>EXCEL_SOURCE</SOURCEAPPLICATION>
    <UPDATEDAT>5/7/2015 12:27:13 PM</UPDATEDAT>
    <SOURCE_ISOUTOFDATE>False</SOURCE_ISOUTOFDATE>
    <SOURCE_WORKBOOKNAME>PCLN_model.xls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/MSResearch/Content/ExternalAssets/2015-05/Images/PW6GtZQ3aEKq3wgq4r7LzQ--.png</TARGET_BINARYFULLNAME>
    <TARGET_STORYFULLNAME>/MSResearch/Content/ExternalAssets/2015-05/Sections/20150504_090941_Linking_Range_59.xml</TARGET_STORYFULLNAME>
    <TARGET_UUID>d3330ef4-f25e-11e4-96ae-7c07ebc02301</TARGET_UUID>
    <LINKSTATUS>Unknown</LINKSTATUS>
    <TRANSPARENTBACKGROUND>False</TRANSPARENTBACKGROUND>
    <TRANSPARENTPLOTAREA>False</TRANSPARENTPLOTAREA>
  </Link>
  <Link>
    <GUID>fbd7439e-53c5-4289-91f4-ae466b57245f</GUID>
    <SOURCE_ALTADDRESS>$I$526:$CY$583</SOURCE_ALTADDRESS>
    <SOURCETYPE>Table</SOURCETYPE>
    <SOURCE_OBJECTNAME>Linking_Range_60</SOURCE_OBJECTNAME>
    <OBJECTTYPE>Native</OBJECTTYPE>
    <SOURCE_SHEETCODE>Sheet5</SOURCE_SHEETCODE>
    <SOURCE_SHEETNAME>Model</SOURCE_SHEETNAME>
    <SOURCEAPPLICATION>EXCEL_SOURCE</SOURCEAPPLICATION>
    <UPDATEDAT>5/7/2015 12:28:19 PM</UPDATEDAT>
    <SOURCE_ISOUTOFDATE>False</SOURCE_ISOUTOFDATE>
    <SOURCE_WORKBOOKNAME>PCLN_model.xls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/MSResearch/Content/ExternalAssets/2015-05/Images/YBSbnrEX4EWy6-wytyl1yQ--.png</TARGET_BINARYFULLNAME>
    <TARGET_STORYFULLNAME>/MSResearch/Content/ExternalAssets/2015-05/Sections/20150504_091004_Linking_Range_60.xml</TARGET_STORYFULLNAME>
    <TARGET_UUID>e1457496-f25e-11e4-96ae-7c07ebc02301</TARGET_UUID>
    <LINKSTATUS>Unknown</LINKSTATUS>
    <TRANSPARENTBACKGROUND>False</TRANSPARENTBACKGROUND>
    <TRANSPARENTPLOTAREA>False</TRANSPARENTPLOTAREA>
  </Link>
  <Link>
    <GUID>948d2076-e8f2-4fc7-aeab-45575028127a</GUID>
    <SOURCE_ALTADDRESS>$I$7:$DG$46</SOURCE_ALTADDRESS>
    <SOURCETYPE>Table</SOURCETYPE>
    <SOURCE_OBJECTNAME>Linking_Range_61</SOURCE_OBJECTNAME>
    <OBJECTTYPE>Native</OBJECTTYPE>
    <SOURCE_SHEETCODE>Sheet9</SOURCE_SHEETCODE>
    <SOURCE_SHEETNAME>Base DCF</SOURCE_SHEETNAME>
    <SOURCEAPPLICATION>EXCEL_SOURCE</SOURCEAPPLICATION>
    <UPDATEDAT>5/7/2015 12:29:24 PM</UPDATEDAT>
    <SOURCE_ISOUTOFDATE>False</SOURCE_ISOUTOFDATE>
    <SOURCE_WORKBOOKNAME>PCLN_model.xls</SOURCE_WORKBOOKNAME>
    <SOURCE_WORKBOOKPATH>\\MSAD\ROOT\NA\NY\LIB\ER\TECH\INTERNET\MODELS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/MSResearch/Content/ExternalAssets/2015-05/Images/6xnUv6FsWUayfslPkC-kYQ--.png</TARGET_BINARYFULLNAME>
    <TARGET_STORYFULLNAME>/MSResearch/Content/ExternalAssets/2015-05/Sections/20150504_091717_Linking_Range_61.xml</TARGET_STORYFULLNAME>
    <TARGET_UUID>e36f8210-f25f-11e4-96ae-7c07ebc02301</TARGET_UUID>
    <LINKSTATUS>Unknown</LINKSTATUS>
    <TRANSPARENTBACKGROUND>False</TRANSPARENTBACKGROUND>
    <TRANSPARENTPLOTAREA>False</TRANSPARENTPLOTAREA>
  </Link>
</lk:Links>
</file>

<file path=customXml/itemProps1.xml><?xml version="1.0" encoding="utf-8"?>
<ds:datastoreItem xmlns:ds="http://schemas.openxmlformats.org/officeDocument/2006/customXml" ds:itemID="{CF95D6A0-EE09-468C-A0FC-AE8F3FC0C3CD}">
  <ds:schemaRefs>
    <ds:schemaRef ds:uri="thomsonreuters.linking.metadatachange"/>
  </ds:schemaRefs>
</ds:datastoreItem>
</file>

<file path=customXml/itemProps2.xml><?xml version="1.0" encoding="utf-8"?>
<ds:datastoreItem xmlns:ds="http://schemas.openxmlformats.org/officeDocument/2006/customXml" ds:itemID="{CFC602E5-01D0-4A91-BA97-3345CAD03563}">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98</vt:i4>
      </vt:variant>
    </vt:vector>
  </HeadingPairs>
  <TitlesOfParts>
    <vt:vector size="109" baseType="lpstr">
      <vt:lpstr>ImportantDisclosures</vt:lpstr>
      <vt:lpstr>MS v Con</vt:lpstr>
      <vt:lpstr>Model</vt:lpstr>
      <vt:lpstr>Bookings and Drivers</vt:lpstr>
      <vt:lpstr>FX</vt:lpstr>
      <vt:lpstr>Bear DCF</vt:lpstr>
      <vt:lpstr>Base DCF</vt:lpstr>
      <vt:lpstr>Bull DCF</vt:lpstr>
      <vt:lpstr>Outlinks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'Bear DCF'!fair_value</vt:lpstr>
      <vt:lpstr>'Bull DCF'!fair_value</vt:lpstr>
      <vt:lpstr>fair_value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'Bear DCF'!Linking_Range_18</vt:lpstr>
      <vt:lpstr>'Bull DCF'!Linking_Range_18</vt:lpstr>
      <vt:lpstr>Linking_Range_18</vt:lpstr>
      <vt:lpstr>Linking_Range_58</vt:lpstr>
      <vt:lpstr>Linking_Range_59</vt:lpstr>
      <vt:lpstr>Linking_Range_60</vt:lpstr>
      <vt:lpstr>'Bear DCF'!Linking_Range_61</vt:lpstr>
      <vt:lpstr>'Bull DCF'!Linking_Range_61</vt:lpstr>
      <vt:lpstr>Linking_Range_61</vt:lpstr>
      <vt:lpstr>Linking_Range_62</vt:lpstr>
      <vt:lpstr>Linking_Range_63</vt:lpstr>
      <vt:lpstr>Linking_Range_64</vt:lpstr>
      <vt:lpstr>Linking_Range_65</vt:lpstr>
      <vt:lpstr>Linking_Range_66</vt:lpstr>
      <vt:lpstr>Linking_Range_67</vt:lpstr>
      <vt:lpstr>'Bear DCF'!Linking_Range_9</vt:lpstr>
      <vt:lpstr>'Bull DCF'!Linking_Range_9</vt:lpstr>
      <vt:lpstr>Linking_Range_9</vt:lpstr>
      <vt:lpstr>'Bear DCF'!Linking_Text_3</vt:lpstr>
      <vt:lpstr>'Bull DCF'!Linking_Text_3</vt:lpstr>
      <vt:lpstr>Linking_Text_3</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'Base DCF'!Print_Area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t</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2015-01-06T16:26:11Z</dcterms:created>
  <dc:creator>Soyer-Osman, Erhan (Research)</dc:creator>
  <cp:lastModifiedBy>Wang, Alaxandar (Research)</cp:lastModifiedBy>
  <cp:lastPrinted>2018-02-28T23:47:18Z</cp:lastPrinted>
  <dcterms:modified xsi:type="dcterms:W3CDTF">2018-04-19T12:17:48Z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67</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762812</vt:lpwstr>
  </property>
  <property fmtid="{D5CDD505-2E9C-101B-9397-08002B2CF9AE}" name="ERModPubCompanyName" pid="6">
    <vt:lpwstr>Booking Holdings Inc</vt:lpwstr>
  </property>
  <property fmtid="{D5CDD505-2E9C-101B-9397-08002B2CF9AE}" name="MSDH34TAG" pid="7">
    <vt:lpwstr>.TEZUF76X5TAHATHESADREYAK-00-INB160+*94600-06=b07b4f2c/-43cb/-11e8/-9695/-5e5c95fbb3b1,MD=20180419083815/-0400,ZZ=000Z-4c67.</vt:lpwstr>
  </property>
</Properties>
</file>